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버킷분석" sheetId="2" state="visible" r:id="rId4"/>
    <sheet name="매매후보" sheetId="3" state="visible" r:id="rId5"/>
    <sheet name="스왑분석" sheetId="4" state="visible" r:id="rId6"/>
    <sheet name="스프레드쇼크" sheetId="5" state="visible" r:id="rId7"/>
    <sheet name="보유분석" sheetId="6" state="visible" r:id="rId8"/>
    <sheet name="시장분석" sheetId="7" state="visible" r:id="rId9"/>
    <sheet name="피어커브" sheetId="8" state="visible" r:id="rId10"/>
    <sheet name="원자료_잔고" sheetId="9" state="visible" r:id="rId11"/>
    <sheet name="원자료_시장" sheetId="10" state="visible" r:id="rId12"/>
    <sheet name="매핑" sheetId="11" state="visible" r:id="rId13"/>
    <sheet name="설정" sheetId="12" state="visible" r:id="rId14"/>
    <sheet name="방법론_점검" sheetId="13" state="visible" r:id="rId15"/>
  </sheets>
  <definedNames>
    <definedName function="false" hidden="true" localSheetId="6" name="_xlnm._FilterDatabase" vbProcedure="false">시장분석!$A$1:$AU$601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<sst xmlns="http://schemas.openxmlformats.org/spreadsheetml/2006/main" count="8465" uniqueCount="1357">
  <si>
    <r>
      <rPr>
        <b val="true"/>
        <sz val="14"/>
        <rFont val="Noto Sans CJK SC"/>
        <family val="2"/>
      </rPr>
      <t xml:space="preserve">외화 </t>
    </r>
    <r>
      <rPr>
        <b val="true"/>
        <sz val="14"/>
        <rFont val="Arial"/>
        <family val="0"/>
        <charset val="1"/>
      </rPr>
      <t xml:space="preserve">IG </t>
    </r>
    <r>
      <rPr>
        <b val="true"/>
        <sz val="14"/>
        <rFont val="Noto Sans CJK SC"/>
        <family val="2"/>
      </rPr>
      <t xml:space="preserve">크레딧 포트 운용 요약</t>
    </r>
  </si>
  <si>
    <t xml:space="preserve">지표</t>
  </si>
  <si>
    <t xml:space="preserve">값</t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</si>
  <si>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년 보유 시나리오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선형 근사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볼록성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듀레이션 감소 무시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총수익은 차등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비례 쇼크 기준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</si>
  <si>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평가금액</t>
    </r>
    <r>
      <rPr>
        <sz val="11"/>
        <color theme="1"/>
        <rFont val="Arial"/>
        <family val="0"/>
        <charset val="1"/>
      </rPr>
      <t xml:space="preserve">($M)</t>
    </r>
  </si>
  <si>
    <t xml:space="preserve">시나리오</t>
  </si>
  <si>
    <r>
      <rPr>
        <b val="true"/>
        <sz val="10"/>
        <color rgb="FFFFFFFF"/>
        <rFont val="Noto Sans CJK SC"/>
        <family val="2"/>
      </rPr>
      <t xml:space="preserve">금리</t>
    </r>
    <r>
      <rPr>
        <b val="true"/>
        <sz val="10"/>
        <color rgb="FFFFFFFF"/>
        <rFont val="Arial"/>
        <family val="0"/>
        <charset val="1"/>
      </rPr>
      <t xml:space="preserve">Δ(bp)</t>
    </r>
  </si>
  <si>
    <r>
      <rPr>
        <b val="true"/>
        <sz val="10"/>
        <color rgb="FFFFFFFF"/>
        <rFont val="Noto Sans CJK SC"/>
        <family val="2"/>
      </rPr>
      <t xml:space="preserve">기본 스프레드</t>
    </r>
    <r>
      <rPr>
        <b val="true"/>
        <sz val="10"/>
        <color rgb="FFFFFFFF"/>
        <rFont val="Arial"/>
        <family val="0"/>
        <charset val="1"/>
      </rPr>
      <t xml:space="preserve">Δ(bp)</t>
    </r>
  </si>
  <si>
    <r>
      <rPr>
        <b val="true"/>
        <sz val="10"/>
        <color rgb="FFFFFFFF"/>
        <rFont val="Noto Sans CJK SC"/>
        <family val="2"/>
      </rPr>
      <t xml:space="preserve">캐리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Noto Sans CJK SC"/>
        <family val="2"/>
      </rPr>
      <t xml:space="preserve">롤다운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</si>
  <si>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SC"/>
        <family val="2"/>
      </rPr>
      <t xml:space="preserve">금리손익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</si>
  <si>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SC"/>
        <family val="2"/>
      </rPr>
      <t xml:space="preserve">스프레드손익 균등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</si>
  <si>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SC"/>
        <family val="2"/>
      </rPr>
      <t xml:space="preserve">스프레드손익 차등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비례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</si>
  <si>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SC"/>
        <family val="2"/>
      </rPr>
      <t xml:space="preserve">총수익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</si>
  <si>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SC"/>
        <family val="2"/>
      </rPr>
      <t xml:space="preserve">총수익률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</si>
  <si>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sz val="11"/>
        <color theme="1"/>
        <rFont val="Noto Sans CJK SC"/>
        <family val="2"/>
      </rPr>
      <t xml:space="preserve">액면</t>
    </r>
    <r>
      <rPr>
        <sz val="11"/>
        <color theme="1"/>
        <rFont val="Arial"/>
        <family val="0"/>
        <charset val="1"/>
      </rPr>
      <t xml:space="preserve">($M)</t>
    </r>
  </si>
  <si>
    <r>
      <rPr>
        <sz val="11"/>
        <color theme="1"/>
        <rFont val="Noto Sans CJK SC"/>
        <family val="2"/>
      </rPr>
      <t xml:space="preserve">기본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무변동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</si>
  <si>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종목수 </t>
    </r>
    <r>
      <rPr>
        <sz val="11"/>
        <color theme="1"/>
        <rFont val="Arial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로트수</t>
    </r>
  </si>
  <si>
    <t xml:space="preserve">금리 상승</t>
  </si>
  <si>
    <r>
      <rPr>
        <sz val="11"/>
        <color theme="1"/>
        <rFont val="Noto Sans CJK SC"/>
        <family val="2"/>
      </rPr>
      <t xml:space="preserve">가중 </t>
    </r>
    <r>
      <rPr>
        <sz val="11"/>
        <color theme="1"/>
        <rFont val="Arial"/>
        <family val="0"/>
        <charset val="1"/>
      </rPr>
      <t xml:space="preserve">YTM(%)</t>
    </r>
  </si>
  <si>
    <t xml:space="preserve">금리 하락</t>
  </si>
  <si>
    <r>
      <rPr>
        <sz val="11"/>
        <color theme="1"/>
        <rFont val="Noto Sans CJK SC"/>
        <family val="2"/>
      </rPr>
      <t xml:space="preserve">가중 </t>
    </r>
    <r>
      <rPr>
        <sz val="11"/>
        <color theme="1"/>
        <rFont val="Arial"/>
        <family val="0"/>
        <charset val="1"/>
      </rPr>
      <t xml:space="preserve">G-spread(bp, </t>
    </r>
    <r>
      <rPr>
        <sz val="11"/>
        <color theme="1"/>
        <rFont val="Noto Sans CJK SC"/>
        <family val="2"/>
      </rPr>
      <t xml:space="preserve">크레딧</t>
    </r>
    <r>
      <rPr>
        <sz val="11"/>
        <color theme="1"/>
        <rFont val="Arial"/>
        <family val="0"/>
        <charset val="1"/>
      </rPr>
      <t xml:space="preserve">)</t>
    </r>
  </si>
  <si>
    <t xml:space="preserve">스프레드 확대</t>
  </si>
  <si>
    <r>
      <rPr>
        <sz val="11"/>
        <color theme="1"/>
        <rFont val="Noto Sans CJK SC"/>
        <family val="2"/>
      </rPr>
      <t xml:space="preserve">가중 듀레이션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Arial"/>
        <family val="0"/>
        <charset val="1"/>
      </rPr>
      <t xml:space="preserve">)</t>
    </r>
  </si>
  <si>
    <t xml:space="preserve">스프레드 축소</t>
  </si>
  <si>
    <t xml:space="preserve">DV01($/bp)</t>
  </si>
  <si>
    <r>
      <rPr>
        <sz val="11"/>
        <color theme="1"/>
        <rFont val="Noto Sans CJK SC"/>
        <family val="2"/>
      </rPr>
      <t xml:space="preserve">리스크오프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금리↓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스프레드↑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</si>
  <si>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CR01($/bp, </t>
    </r>
    <r>
      <rPr>
        <sz val="11"/>
        <color theme="1"/>
        <rFont val="Noto Sans CJK SC"/>
        <family val="2"/>
      </rPr>
      <t xml:space="preserve">국채 제외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</si>
  <si>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스태그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금리↑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스프레드↑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</si>
  <si>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1Y </t>
    </r>
    <r>
      <rPr>
        <sz val="11"/>
        <color theme="1"/>
        <rFont val="Noto Sans CJK SC"/>
        <family val="2"/>
      </rPr>
      <t xml:space="preserve">캐리</t>
    </r>
    <r>
      <rPr>
        <sz val="11"/>
        <color theme="1"/>
        <rFont val="Arial"/>
        <family val="0"/>
        <charset val="1"/>
      </rPr>
      <t xml:space="preserve">($)</t>
    </r>
  </si>
  <si>
    <r>
      <rPr>
        <sz val="11"/>
        <color theme="1"/>
        <rFont val="Arial"/>
        <family val="0"/>
        <charset val="1"/>
      </rPr>
      <t xml:space="preserve">1Y </t>
    </r>
    <r>
      <rPr>
        <sz val="11"/>
        <color theme="1"/>
        <rFont val="Noto Sans CJK SC"/>
        <family val="2"/>
      </rPr>
      <t xml:space="preserve">스프레드 롤다운</t>
    </r>
    <r>
      <rPr>
        <sz val="11"/>
        <color theme="1"/>
        <rFont val="Arial"/>
        <family val="0"/>
        <charset val="1"/>
      </rPr>
      <t xml:space="preserve">($)</t>
    </r>
  </si>
  <si>
    <r>
      <rPr>
        <b val="true"/>
        <sz val="10"/>
        <rFont val="Noto Sans CJK SC"/>
        <family val="2"/>
      </rPr>
      <t xml:space="preserve">손익분기 기본 스프레드 확대폭</t>
    </r>
    <r>
      <rPr>
        <b val="true"/>
        <sz val="10"/>
        <rFont val="Arial"/>
        <family val="0"/>
        <charset val="1"/>
      </rPr>
      <t xml:space="preserve">(bp) — </t>
    </r>
    <r>
      <rPr>
        <b val="true"/>
        <sz val="10"/>
        <rFont val="Noto Sans CJK SC"/>
        <family val="2"/>
      </rPr>
      <t xml:space="preserve">균등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캐리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롤다운 </t>
    </r>
    <r>
      <rPr>
        <b val="true"/>
        <sz val="10"/>
        <rFont val="Arial"/>
        <family val="0"/>
        <charset val="1"/>
      </rPr>
      <t xml:space="preserve">÷ CR01)</t>
    </r>
  </si>
  <si>
    <r>
      <rPr>
        <sz val="11"/>
        <color theme="1"/>
        <rFont val="Arial"/>
        <family val="0"/>
        <charset val="1"/>
      </rPr>
      <t xml:space="preserve">1Y </t>
    </r>
    <r>
      <rPr>
        <sz val="11"/>
        <color theme="1"/>
        <rFont val="Noto Sans CJK SC"/>
        <family val="2"/>
      </rPr>
      <t xml:space="preserve">기대수익</t>
    </r>
    <r>
      <rPr>
        <sz val="11"/>
        <color theme="1"/>
        <rFont val="Arial"/>
        <family val="0"/>
        <charset val="1"/>
      </rPr>
      <t xml:space="preserve">($) = </t>
    </r>
    <r>
      <rPr>
        <sz val="11"/>
        <color theme="1"/>
        <rFont val="Noto Sans CJK SC"/>
        <family val="2"/>
      </rPr>
      <t xml:space="preserve">캐리</t>
    </r>
    <r>
      <rPr>
        <sz val="11"/>
        <color theme="1"/>
        <rFont val="Arial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롤다운</t>
    </r>
  </si>
  <si>
    <r>
      <rPr>
        <b val="true"/>
        <sz val="10"/>
        <rFont val="Noto Sans CJK SC"/>
        <family val="2"/>
      </rPr>
      <t xml:space="preserve">손익분기 기본 스프레드 확대폭</t>
    </r>
    <r>
      <rPr>
        <b val="true"/>
        <sz val="10"/>
        <rFont val="Arial"/>
        <family val="0"/>
        <charset val="1"/>
      </rPr>
      <t xml:space="preserve">(bp) — </t>
    </r>
    <r>
      <rPr>
        <b val="true"/>
        <sz val="10"/>
        <rFont val="Noto Sans CJK SC"/>
        <family val="2"/>
      </rPr>
      <t xml:space="preserve">차등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비례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캐리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롤다운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조정 </t>
    </r>
    <r>
      <rPr>
        <b val="true"/>
        <sz val="10"/>
        <rFont val="Arial"/>
        <family val="0"/>
        <charset val="1"/>
      </rPr>
      <t xml:space="preserve">CR01)</t>
    </r>
  </si>
  <si>
    <r>
      <rPr>
        <sz val="11"/>
        <color theme="1"/>
        <rFont val="Arial"/>
        <family val="0"/>
        <charset val="1"/>
      </rPr>
      <t xml:space="preserve">1Y </t>
    </r>
    <r>
      <rPr>
        <sz val="11"/>
        <color theme="1"/>
        <rFont val="Noto Sans CJK SC"/>
        <family val="2"/>
      </rPr>
      <t xml:space="preserve">기대수익률</t>
    </r>
    <r>
      <rPr>
        <sz val="11"/>
        <color theme="1"/>
        <rFont val="Arial"/>
        <family val="0"/>
        <charset val="1"/>
      </rPr>
      <t xml:space="preserve">(%, </t>
    </r>
    <r>
      <rPr>
        <sz val="11"/>
        <color theme="1"/>
        <rFont val="Noto Sans CJK SC"/>
        <family val="2"/>
      </rPr>
      <t xml:space="preserve">평가금액 대비</t>
    </r>
    <r>
      <rPr>
        <sz val="11"/>
        <color theme="1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</si>
  <si>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크레딧 손익분기</t>
    </r>
    <r>
      <rPr>
        <b val="true"/>
        <sz val="10"/>
        <rFont val="Arial"/>
        <family val="0"/>
        <charset val="1"/>
      </rPr>
      <t xml:space="preserve">(bp) — (G-spread+</t>
    </r>
    <r>
      <rPr>
        <b val="true"/>
        <sz val="10"/>
        <rFont val="Noto Sans CJK SC"/>
        <family val="2"/>
      </rPr>
      <t xml:space="preserve">롤다운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크레딧 듀레이션</t>
    </r>
  </si>
  <si>
    <r>
      <rPr>
        <sz val="11"/>
        <color theme="1"/>
        <rFont val="Noto Sans CJK SC"/>
        <family val="2"/>
      </rPr>
      <t xml:space="preserve">평가손익</t>
    </r>
    <r>
      <rPr>
        <sz val="11"/>
        <color theme="1"/>
        <rFont val="Arial"/>
        <family val="0"/>
        <charset val="1"/>
      </rPr>
      <t xml:space="preserve">($)</t>
    </r>
  </si>
  <si>
    <t xml:space="preserve">국채 비중</t>
  </si>
  <si>
    <r>
      <rPr>
        <b val="true"/>
        <sz val="11"/>
        <rFont val="Noto Sans CJK SC"/>
        <family val="2"/>
      </rPr>
      <t xml:space="preserve">운용코드별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잔고 로트 기준 — 펀드별 정확히 분리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</si>
  <si>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쇼크조정 </t>
    </r>
    <r>
      <rPr>
        <sz val="11"/>
        <color theme="1"/>
        <rFont val="Arial"/>
        <family val="0"/>
        <charset val="1"/>
      </rPr>
      <t xml:space="preserve">CR01($/bp)</t>
    </r>
  </si>
  <si>
    <t xml:space="preserve">운용코드</t>
  </si>
  <si>
    <r>
      <rPr>
        <b val="true"/>
        <sz val="10"/>
        <color rgb="FFFFFFFF"/>
        <rFont val="Noto Sans CJK SC"/>
        <family val="2"/>
      </rPr>
      <t xml:space="preserve">평가금액</t>
    </r>
    <r>
      <rPr>
        <b val="true"/>
        <sz val="10"/>
        <color rgb="FFFFFFFF"/>
        <rFont val="Arial"/>
        <family val="0"/>
        <charset val="1"/>
      </rPr>
      <t xml:space="preserve">($M)</t>
    </r>
  </si>
  <si>
    <r>
      <rPr>
        <b val="true"/>
        <sz val="10"/>
        <color rgb="FFFFFFFF"/>
        <rFont val="Noto Sans CJK SC"/>
        <family val="2"/>
      </rPr>
      <t xml:space="preserve">가중</t>
    </r>
    <r>
      <rPr>
        <b val="true"/>
        <sz val="10"/>
        <color rgb="FFFFFFFF"/>
        <rFont val="Arial"/>
        <family val="0"/>
        <charset val="1"/>
      </rPr>
      <t xml:space="preserve">YTM(%)</t>
    </r>
  </si>
  <si>
    <r>
      <rPr>
        <b val="true"/>
        <sz val="10"/>
        <color rgb="FFFFFFFF"/>
        <rFont val="Noto Sans CJK SC"/>
        <family val="2"/>
      </rPr>
      <t xml:space="preserve">가중</t>
    </r>
    <r>
      <rPr>
        <b val="true"/>
        <sz val="10"/>
        <color rgb="FFFFFFFF"/>
        <rFont val="Arial"/>
        <family val="0"/>
        <charset val="1"/>
      </rPr>
      <t xml:space="preserve">G(bp)</t>
    </r>
  </si>
  <si>
    <t xml:space="preserve">가중듀레이션</t>
  </si>
  <si>
    <r>
      <rPr>
        <b val="true"/>
        <sz val="10"/>
        <color rgb="FFFFFFFF"/>
        <rFont val="Arial"/>
        <family val="0"/>
        <charset val="1"/>
      </rPr>
      <t xml:space="preserve">1Y</t>
    </r>
    <r>
      <rPr>
        <b val="true"/>
        <sz val="10"/>
        <color rgb="FFFFFFFF"/>
        <rFont val="Noto Sans CJK SC"/>
        <family val="2"/>
      </rPr>
      <t xml:space="preserve">기대수익률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</si>
  <si>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종목수</t>
  </si>
  <si>
    <r>
      <rPr>
        <sz val="11"/>
        <color theme="1"/>
        <rFont val="Arial"/>
        <family val="0"/>
        <charset val="1"/>
      </rPr>
      <t xml:space="preserve">G-spread </t>
    </r>
    <r>
      <rPr>
        <sz val="11"/>
        <color theme="1"/>
        <rFont val="Noto Sans CJK SC"/>
        <family val="2"/>
      </rPr>
      <t xml:space="preserve">커버리지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크레딧 평가금액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</si>
  <si>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Cheap </t>
    </r>
    <r>
      <rPr>
        <sz val="11"/>
        <color theme="1"/>
        <rFont val="Noto Sans CJK SC"/>
        <family val="2"/>
      </rPr>
      <t xml:space="preserve">보유 </t>
    </r>
    <r>
      <rPr>
        <sz val="11"/>
        <color theme="1"/>
        <rFont val="Arial"/>
        <family val="0"/>
        <charset val="1"/>
      </rPr>
      <t xml:space="preserve">/ Rich </t>
    </r>
    <r>
      <rPr>
        <sz val="11"/>
        <color theme="1"/>
        <rFont val="Noto Sans CJK SC"/>
        <family val="2"/>
      </rPr>
      <t xml:space="preserve">보유 로트수</t>
    </r>
  </si>
  <si>
    <r>
      <rPr>
        <b val="true"/>
        <sz val="14"/>
        <rFont val="Noto Sans CJK SC"/>
        <family val="2"/>
      </rPr>
      <t xml:space="preserve">버킷별 포트폴리오 분해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설정의 펀드 선택 반영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Noto Sans CJK SC"/>
        <family val="2"/>
      </rPr>
      <t xml:space="preserve">평가금액 기준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</si>
  <si>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O</t>
    </r>
    <r>
      <rPr>
        <i val="true"/>
        <sz val="10"/>
        <color rgb="FF595959"/>
        <rFont val="Noto Sans CJK SC"/>
        <family val="2"/>
      </rPr>
      <t xml:space="preserve">열 목표비중은 직접 입력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노란 칸</t>
    </r>
    <r>
      <rPr>
        <i val="true"/>
        <sz val="10"/>
        <color rgb="FF595959"/>
        <rFont val="Arial"/>
        <family val="0"/>
        <charset val="1"/>
      </rPr>
      <t xml:space="preserve">). J</t>
    </r>
    <r>
      <rPr>
        <i val="true"/>
        <sz val="10"/>
        <color rgb="FF595959"/>
        <rFont val="Noto Sans CJK SC"/>
        <family val="2"/>
      </rPr>
      <t xml:space="preserve">열 </t>
    </r>
    <r>
      <rPr>
        <i val="true"/>
        <sz val="10"/>
        <color rgb="FF595959"/>
        <rFont val="Arial"/>
        <family val="0"/>
        <charset val="1"/>
      </rPr>
      <t xml:space="preserve">= (G-spread + </t>
    </r>
    <r>
      <rPr>
        <i val="true"/>
        <sz val="10"/>
        <color rgb="FF595959"/>
        <rFont val="Noto Sans CJK SC"/>
        <family val="2"/>
      </rPr>
      <t xml:space="preserve">롤다운</t>
    </r>
    <r>
      <rPr>
        <i val="true"/>
        <sz val="10"/>
        <color rgb="FF595959"/>
        <rFont val="Arial"/>
        <family val="0"/>
        <charset val="1"/>
      </rPr>
      <t xml:space="preserve">) ÷ </t>
    </r>
    <r>
      <rPr>
        <i val="true"/>
        <sz val="10"/>
        <color rgb="FF595959"/>
        <rFont val="Noto Sans CJK SC"/>
        <family val="2"/>
      </rPr>
      <t xml:space="preserve">크레딧 듀레이션</t>
    </r>
    <r>
      <rPr>
        <i val="true"/>
        <sz val="10"/>
        <color rgb="FF595959"/>
        <rFont val="Arial"/>
        <family val="0"/>
        <charset val="1"/>
      </rPr>
      <t xml:space="preserve">. Q</t>
    </r>
    <r>
      <rPr>
        <i val="true"/>
        <sz val="10"/>
        <color rgb="FF595959"/>
        <rFont val="Noto Sans CJK SC"/>
        <family val="2"/>
      </rPr>
      <t xml:space="preserve">열 </t>
    </r>
    <r>
      <rPr>
        <i val="true"/>
        <sz val="10"/>
        <color rgb="FF595959"/>
        <rFont val="Arial"/>
        <family val="0"/>
        <charset val="1"/>
      </rPr>
      <t xml:space="preserve">= </t>
    </r>
    <r>
      <rPr>
        <i val="true"/>
        <sz val="10"/>
        <color rgb="FF595959"/>
        <rFont val="Noto Sans CJK SC"/>
        <family val="2"/>
      </rPr>
      <t xml:space="preserve">스프레드 쇼크 손실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차등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비례 반영</t>
    </r>
    <r>
      <rPr>
        <i val="true"/>
        <sz val="10"/>
        <color rgb="FF595959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</si>
  <si>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■ 만기 구간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잔존만기</t>
    </r>
    <r>
      <rPr>
        <b val="true"/>
        <sz val="11"/>
        <rFont val="Arial"/>
        <family val="0"/>
        <charset val="1"/>
      </rPr>
      <t xml:space="preserve">)</t>
    </r>
  </si>
  <si>
    <t xml:space="preserve">구분</t>
  </si>
  <si>
    <t xml:space="preserve">비중</t>
  </si>
  <si>
    <r>
      <rPr>
        <b val="true"/>
        <sz val="10"/>
        <color rgb="FFFFFFFF"/>
        <rFont val="Arial"/>
        <family val="0"/>
        <charset val="1"/>
      </rPr>
      <t xml:space="preserve">DV01</t>
    </r>
    <r>
      <rPr>
        <b val="true"/>
        <sz val="10"/>
        <color rgb="FFFFFFFF"/>
        <rFont val="Noto Sans CJK SC"/>
        <family val="2"/>
      </rPr>
      <t xml:space="preserve">비중</t>
    </r>
  </si>
  <si>
    <r>
      <rPr>
        <b val="true"/>
        <sz val="10"/>
        <color rgb="FFFFFFFF"/>
        <rFont val="Noto Sans CJK SC"/>
        <family val="2"/>
      </rPr>
      <t xml:space="preserve">포트대비</t>
    </r>
    <r>
      <rPr>
        <b val="true"/>
        <sz val="10"/>
        <color rgb="FFFFFFFF"/>
        <rFont val="Arial"/>
        <family val="0"/>
        <charset val="1"/>
      </rPr>
      <t xml:space="preserve">(bp)</t>
    </r>
  </si>
  <si>
    <r>
      <rPr>
        <b val="true"/>
        <sz val="10"/>
        <color rgb="FFFFFFFF"/>
        <rFont val="Noto Sans CJK SC"/>
        <family val="2"/>
      </rPr>
      <t xml:space="preserve">가중</t>
    </r>
    <r>
      <rPr>
        <b val="true"/>
        <sz val="10"/>
        <color rgb="FFFFFFFF"/>
        <rFont val="Arial"/>
        <family val="0"/>
        <charset val="1"/>
      </rPr>
      <t xml:space="preserve">G-spread(bp)</t>
    </r>
  </si>
  <si>
    <r>
      <rPr>
        <b val="true"/>
        <sz val="10"/>
        <color rgb="FFFFFFFF"/>
        <rFont val="Noto Sans CJK SC"/>
        <family val="2"/>
      </rPr>
      <t xml:space="preserve">손익분기 확대폭</t>
    </r>
    <r>
      <rPr>
        <b val="true"/>
        <sz val="10"/>
        <color rgb="FFFFFFFF"/>
        <rFont val="Arial"/>
        <family val="0"/>
        <charset val="1"/>
      </rPr>
      <t xml:space="preserve">(bp)
</t>
    </r>
    <r>
      <rPr>
        <b val="true"/>
        <sz val="10"/>
        <color rgb="FFFFFFFF"/>
        <rFont val="Noto Sans CJK SC"/>
        <family val="2"/>
      </rPr>
      <t xml:space="preserve">스프레드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Noto Sans CJK SC"/>
        <family val="2"/>
      </rPr>
      <t xml:space="preserve">롤다운</t>
    </r>
  </si>
  <si>
    <r>
      <rPr>
        <b val="true"/>
        <sz val="10"/>
        <color rgb="FFFFFFFF"/>
        <rFont val="Noto Sans CJK SC"/>
        <family val="2"/>
      </rPr>
      <t xml:space="preserve">평가손익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</si>
  <si>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Arial"/>
        <family val="0"/>
        <charset val="1"/>
      </rPr>
      <t xml:space="preserve">Cheap </t>
    </r>
    <r>
      <rPr>
        <b val="true"/>
        <sz val="10"/>
        <color rgb="FFFFFFFF"/>
        <rFont val="Noto Sans CJK SC"/>
        <family val="2"/>
      </rPr>
      <t xml:space="preserve">보유수</t>
    </r>
  </si>
  <si>
    <r>
      <rPr>
        <b val="true"/>
        <sz val="10"/>
        <color rgb="FFFFFFFF"/>
        <rFont val="Arial"/>
        <family val="0"/>
        <charset val="1"/>
      </rPr>
      <t xml:space="preserve">Rich </t>
    </r>
    <r>
      <rPr>
        <b val="true"/>
        <sz val="10"/>
        <color rgb="FFFFFFFF"/>
        <rFont val="Noto Sans CJK SC"/>
        <family val="2"/>
      </rPr>
      <t xml:space="preserve">보유수</t>
    </r>
  </si>
  <si>
    <r>
      <rPr>
        <b val="true"/>
        <sz val="10"/>
        <color rgb="FFFFFFFF"/>
        <rFont val="Noto Sans CJK SC"/>
        <family val="2"/>
      </rPr>
      <t xml:space="preserve">목표비중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입력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</si>
  <si>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갭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목표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Noto Sans CJK SC"/>
        <family val="2"/>
      </rPr>
      <t xml:space="preserve">현재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</si>
  <si>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스프레드쇼크 손실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</si>
  <si>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손실비중</t>
  </si>
  <si>
    <r>
      <rPr>
        <b val="true"/>
        <sz val="10"/>
        <color rgb="FFFFFFFF"/>
        <rFont val="Noto Sans CJK SC"/>
        <family val="2"/>
      </rPr>
      <t xml:space="preserve">└ 롤다운 기여</t>
    </r>
    <r>
      <rPr>
        <b val="true"/>
        <sz val="10"/>
        <color rgb="FFFFFFFF"/>
        <rFont val="Arial"/>
        <family val="0"/>
        <charset val="1"/>
      </rPr>
      <t xml:space="preserve">(bp)</t>
    </r>
  </si>
  <si>
    <r>
      <rPr>
        <b val="true"/>
        <sz val="10"/>
        <color rgb="FFFFFFFF"/>
        <rFont val="Arial"/>
        <family val="0"/>
        <charset val="1"/>
      </rPr>
      <t xml:space="preserve">G-spread </t>
    </r>
    <r>
      <rPr>
        <b val="true"/>
        <sz val="10"/>
        <color rgb="FFFFFFFF"/>
        <rFont val="Noto Sans CJK SC"/>
        <family val="2"/>
      </rPr>
      <t xml:space="preserve">커버리지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</si>
  <si>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이하</t>
    </r>
  </si>
  <si>
    <r>
      <rPr>
        <sz val="10"/>
        <rFont val="Arial"/>
        <family val="0"/>
        <charset val="1"/>
      </rPr>
      <t xml:space="preserve">1-2</t>
    </r>
    <r>
      <rPr>
        <sz val="10"/>
        <rFont val="Noto Sans CJK SC"/>
        <family val="2"/>
      </rPr>
      <t xml:space="preserve">년</t>
    </r>
  </si>
  <si>
    <r>
      <rPr>
        <sz val="10"/>
        <rFont val="Arial"/>
        <family val="0"/>
        <charset val="1"/>
      </rPr>
      <t xml:space="preserve">2-3</t>
    </r>
    <r>
      <rPr>
        <sz val="10"/>
        <rFont val="Noto Sans CJK SC"/>
        <family val="2"/>
      </rPr>
      <t xml:space="preserve">년</t>
    </r>
  </si>
  <si>
    <r>
      <rPr>
        <sz val="10"/>
        <rFont val="Arial"/>
        <family val="0"/>
        <charset val="1"/>
      </rPr>
      <t xml:space="preserve">3-4</t>
    </r>
    <r>
      <rPr>
        <sz val="10"/>
        <rFont val="Noto Sans CJK SC"/>
        <family val="2"/>
      </rPr>
      <t xml:space="preserve">년</t>
    </r>
  </si>
  <si>
    <r>
      <rPr>
        <sz val="10"/>
        <rFont val="Arial"/>
        <family val="0"/>
        <charset val="1"/>
      </rPr>
      <t xml:space="preserve">4-5</t>
    </r>
    <r>
      <rPr>
        <sz val="10"/>
        <rFont val="Noto Sans CJK SC"/>
        <family val="2"/>
      </rPr>
      <t xml:space="preserve">년</t>
    </r>
  </si>
  <si>
    <r>
      <rPr>
        <sz val="10"/>
        <rFont val="Arial"/>
        <family val="0"/>
        <charset val="1"/>
      </rPr>
      <t xml:space="preserve">5-7</t>
    </r>
    <r>
      <rPr>
        <sz val="10"/>
        <rFont val="Noto Sans CJK SC"/>
        <family val="2"/>
      </rPr>
      <t xml:space="preserve">년</t>
    </r>
  </si>
  <si>
    <r>
      <rPr>
        <sz val="10"/>
        <rFont val="Arial"/>
        <family val="0"/>
        <charset val="1"/>
      </rPr>
      <t xml:space="preserve">7-10</t>
    </r>
    <r>
      <rPr>
        <sz val="10"/>
        <rFont val="Noto Sans CJK SC"/>
        <family val="2"/>
      </rPr>
      <t xml:space="preserve">년</t>
    </r>
  </si>
  <si>
    <r>
      <rPr>
        <sz val="10"/>
        <rFont val="Arial"/>
        <family val="0"/>
        <charset val="1"/>
      </rPr>
      <t xml:space="preserve">10-20</t>
    </r>
    <r>
      <rPr>
        <sz val="10"/>
        <rFont val="Noto Sans CJK SC"/>
        <family val="2"/>
      </rPr>
      <t xml:space="preserve">년</t>
    </r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</si>
  <si>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년 이상</t>
    </r>
  </si>
  <si>
    <r>
      <rPr>
        <i val="true"/>
        <sz val="10"/>
        <rFont val="Noto Sans CJK SC"/>
        <family val="2"/>
      </rPr>
      <t xml:space="preserve">기타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목록외</t>
    </r>
    <r>
      <rPr>
        <i val="true"/>
        <sz val="10"/>
        <rFont val="Arial"/>
        <family val="0"/>
        <charset val="1"/>
      </rPr>
      <t xml:space="preserve">)</t>
    </r>
  </si>
  <si>
    <t xml:space="preserve">합계</t>
  </si>
  <si>
    <t xml:space="preserve">■ 국가</t>
  </si>
  <si>
    <t xml:space="preserve">한국</t>
  </si>
  <si>
    <t xml:space="preserve">미국</t>
  </si>
  <si>
    <t xml:space="preserve">일본</t>
  </si>
  <si>
    <t xml:space="preserve">영국</t>
  </si>
  <si>
    <t xml:space="preserve">프랑스</t>
  </si>
  <si>
    <t xml:space="preserve">스페인</t>
  </si>
  <si>
    <t xml:space="preserve">독일</t>
  </si>
  <si>
    <t xml:space="preserve">네덜란드</t>
  </si>
  <si>
    <t xml:space="preserve">스위스</t>
  </si>
  <si>
    <t xml:space="preserve">캐나다</t>
  </si>
  <si>
    <t xml:space="preserve">뉴질랜드</t>
  </si>
  <si>
    <t xml:space="preserve">■ 지역</t>
  </si>
  <si>
    <t xml:space="preserve">유럽</t>
  </si>
  <si>
    <r>
      <rPr>
        <sz val="10"/>
        <rFont val="Noto Sans CJK SC"/>
        <family val="2"/>
      </rPr>
      <t xml:space="preserve">아시아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기타</t>
    </r>
  </si>
  <si>
    <t xml:space="preserve">기타</t>
  </si>
  <si>
    <t xml:space="preserve">■ 섹터</t>
  </si>
  <si>
    <t xml:space="preserve">금융기관</t>
  </si>
  <si>
    <t xml:space="preserve">기본소비재</t>
  </si>
  <si>
    <t xml:space="preserve">기술</t>
  </si>
  <si>
    <t xml:space="preserve">산업</t>
  </si>
  <si>
    <t xml:space="preserve">에너지</t>
  </si>
  <si>
    <t xml:space="preserve">원자재</t>
  </si>
  <si>
    <t xml:space="preserve">유틸리티</t>
  </si>
  <si>
    <t xml:space="preserve">자유 소비재</t>
  </si>
  <si>
    <t xml:space="preserve">정부</t>
  </si>
  <si>
    <t xml:space="preserve">통신</t>
  </si>
  <si>
    <r>
      <rPr>
        <b val="true"/>
        <sz val="11"/>
        <rFont val="Noto Sans CJK SC"/>
        <family val="2"/>
      </rPr>
      <t xml:space="preserve">■ 등급군 </t>
    </r>
    <r>
      <rPr>
        <b val="true"/>
        <sz val="11"/>
        <rFont val="Arial"/>
        <family val="0"/>
        <charset val="1"/>
      </rPr>
      <t xml:space="preserve">(S&amp;P→Fitch→Moody's)</t>
    </r>
  </si>
  <si>
    <r>
      <rPr>
        <sz val="10"/>
        <rFont val="Arial"/>
        <family val="0"/>
        <charset val="1"/>
      </rPr>
      <t xml:space="preserve">AA</t>
    </r>
    <r>
      <rPr>
        <sz val="10"/>
        <rFont val="Noto Sans CJK SC"/>
        <family val="2"/>
      </rPr>
      <t xml:space="preserve">이상</t>
    </r>
  </si>
  <si>
    <t xml:space="preserve">A</t>
  </si>
  <si>
    <t xml:space="preserve">BBB</t>
  </si>
  <si>
    <t xml:space="preserve">HY</t>
  </si>
  <si>
    <t xml:space="preserve">무등급</t>
  </si>
  <si>
    <t xml:space="preserve">■ 보유목적</t>
  </si>
  <si>
    <t xml:space="preserve">기타포괄손익</t>
  </si>
  <si>
    <r>
      <rPr>
        <sz val="10"/>
        <rFont val="Noto Sans CJK SC"/>
        <family val="2"/>
      </rPr>
      <t xml:space="preserve">당기손익</t>
    </r>
    <r>
      <rPr>
        <sz val="10"/>
        <rFont val="Arial"/>
        <family val="0"/>
        <charset val="1"/>
      </rPr>
      <t xml:space="preserve">-TD</t>
    </r>
  </si>
  <si>
    <t xml:space="preserve">■ 통화</t>
  </si>
  <si>
    <t xml:space="preserve">USD</t>
  </si>
  <si>
    <t xml:space="preserve">EUR</t>
  </si>
  <si>
    <t xml:space="preserve">JPY</t>
  </si>
  <si>
    <r>
      <rPr>
        <b val="true"/>
        <sz val="14"/>
        <rFont val="Noto Sans CJK SC"/>
        <family val="2"/>
      </rPr>
      <t xml:space="preserve">매매 후보 — 피어커브 대비 상대가치</t>
    </r>
    <r>
      <rPr>
        <b val="true"/>
        <sz val="14"/>
        <rFont val="Arial"/>
        <family val="0"/>
        <charset val="1"/>
      </rPr>
      <t xml:space="preserve">(z) </t>
    </r>
    <r>
      <rPr>
        <b val="true"/>
        <sz val="14"/>
        <rFont val="Noto Sans CJK SC"/>
        <family val="2"/>
      </rPr>
      <t xml:space="preserve">기준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시장데이터 유니버스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</si>
  <si>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매수</t>
    </r>
    <r>
      <rPr>
        <i val="true"/>
        <sz val="10"/>
        <color rgb="FF595959"/>
        <rFont val="Arial"/>
        <family val="0"/>
        <charset val="1"/>
      </rPr>
      <t xml:space="preserve">: Cheap &amp; </t>
    </r>
    <r>
      <rPr>
        <i val="true"/>
        <sz val="10"/>
        <color rgb="FF595959"/>
        <rFont val="Noto Sans CJK SC"/>
        <family val="2"/>
      </rPr>
      <t xml:space="preserve">제약통과</t>
    </r>
    <r>
      <rPr>
        <i val="true"/>
        <sz val="10"/>
        <color rgb="FF595959"/>
        <rFont val="Arial"/>
        <family val="0"/>
        <charset val="1"/>
      </rPr>
      <t xml:space="preserve">(FRN·BBB0</t>
    </r>
    <r>
      <rPr>
        <i val="true"/>
        <sz val="10"/>
        <color rgb="FF595959"/>
        <rFont val="Noto Sans CJK SC"/>
        <family val="2"/>
      </rPr>
      <t xml:space="preserve">미만 제외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보유여부 무관</t>
    </r>
    <r>
      <rPr>
        <i val="true"/>
        <sz val="10"/>
        <color rgb="FF595959"/>
        <rFont val="Arial"/>
        <family val="0"/>
        <charset val="1"/>
      </rPr>
      <t xml:space="preserve">) / </t>
    </r>
    <r>
      <rPr>
        <i val="true"/>
        <sz val="10"/>
        <color rgb="FF595959"/>
        <rFont val="Noto Sans CJK SC"/>
        <family val="2"/>
      </rPr>
      <t xml:space="preserve">매도</t>
    </r>
    <r>
      <rPr>
        <i val="true"/>
        <sz val="10"/>
        <color rgb="FF595959"/>
        <rFont val="Arial"/>
        <family val="0"/>
        <charset val="1"/>
      </rPr>
      <t xml:space="preserve">: Rich &amp; </t>
    </r>
    <r>
      <rPr>
        <i val="true"/>
        <sz val="10"/>
        <color rgb="FF595959"/>
        <rFont val="Noto Sans CJK SC"/>
        <family val="2"/>
      </rPr>
      <t xml:space="preserve">선택 펀드 보유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발행자내 상대잔차 </t>
    </r>
    <r>
      <rPr>
        <i val="true"/>
        <sz val="10"/>
        <color rgb="FF595959"/>
        <rFont val="Arial"/>
        <family val="0"/>
        <charset val="1"/>
      </rPr>
      <t xml:space="preserve">= </t>
    </r>
    <r>
      <rPr>
        <i val="true"/>
        <sz val="10"/>
        <color rgb="FF595959"/>
        <rFont val="Noto Sans CJK SC"/>
        <family val="2"/>
      </rPr>
      <t xml:space="preserve">같은 발행자 커브 안에서의 상대위치</t>
    </r>
    <r>
      <rPr>
        <i val="true"/>
        <sz val="10"/>
        <color rgb="FF595959"/>
        <rFont val="Arial"/>
        <family val="0"/>
        <charset val="1"/>
      </rPr>
      <t xml:space="preserve">(+ </t>
    </r>
    <r>
      <rPr>
        <i val="true"/>
        <sz val="10"/>
        <color rgb="FF595959"/>
        <rFont val="Noto Sans CJK SC"/>
        <family val="2"/>
      </rPr>
      <t xml:space="preserve">싸다</t>
    </r>
    <r>
      <rPr>
        <i val="true"/>
        <sz val="10"/>
        <color rgb="FF595959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</si>
  <si>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▲ 매수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증액 후보 </t>
    </r>
    <r>
      <rPr>
        <b val="true"/>
        <sz val="11"/>
        <rFont val="Arial"/>
        <family val="0"/>
        <charset val="1"/>
      </rPr>
      <t xml:space="preserve">(Cheap </t>
    </r>
    <r>
      <rPr>
        <b val="true"/>
        <sz val="11"/>
        <rFont val="Noto Sans CJK SC"/>
        <family val="2"/>
      </rPr>
      <t xml:space="preserve">상위 </t>
    </r>
    <r>
      <rPr>
        <b val="true"/>
        <sz val="11"/>
        <rFont val="Arial"/>
        <family val="0"/>
        <charset val="1"/>
      </rPr>
      <t xml:space="preserve">20)</t>
    </r>
  </si>
  <si>
    <t xml:space="preserve">순위</t>
  </si>
  <si>
    <t xml:space="preserve">채권명</t>
  </si>
  <si>
    <t xml:space="preserve">발행자</t>
  </si>
  <si>
    <t xml:space="preserve">국가</t>
  </si>
  <si>
    <t xml:space="preserve">섹터</t>
  </si>
  <si>
    <t xml:space="preserve">등급</t>
  </si>
  <si>
    <t xml:space="preserve">듀레이션</t>
  </si>
  <si>
    <t xml:space="preserve">YTM(%)</t>
  </si>
  <si>
    <t xml:space="preserve">G-spread</t>
  </si>
  <si>
    <r>
      <rPr>
        <b val="true"/>
        <sz val="10"/>
        <color rgb="FFFFFFFF"/>
        <rFont val="Noto Sans CJK SC"/>
        <family val="2"/>
      </rPr>
      <t xml:space="preserve">적정</t>
    </r>
    <r>
      <rPr>
        <b val="true"/>
        <sz val="10"/>
        <color rgb="FFFFFFFF"/>
        <rFont val="Arial"/>
        <family val="0"/>
        <charset val="1"/>
      </rPr>
      <t xml:space="preserve">G</t>
    </r>
  </si>
  <si>
    <r>
      <rPr>
        <b val="true"/>
        <sz val="10"/>
        <color rgb="FFFFFFFF"/>
        <rFont val="Noto Sans CJK SC"/>
        <family val="2"/>
      </rPr>
      <t xml:space="preserve">잔차</t>
    </r>
    <r>
      <rPr>
        <b val="true"/>
        <sz val="10"/>
        <color rgb="FFFFFFFF"/>
        <rFont val="Arial"/>
        <family val="0"/>
        <charset val="1"/>
      </rPr>
      <t xml:space="preserve">(bp)</t>
    </r>
  </si>
  <si>
    <t xml:space="preserve">z</t>
  </si>
  <si>
    <t xml:space="preserve">발행자내 상대잔차</t>
  </si>
  <si>
    <r>
      <rPr>
        <b val="true"/>
        <sz val="10"/>
        <color rgb="FFFFFFFF"/>
        <rFont val="Noto Sans CJK SC"/>
        <family val="2"/>
      </rPr>
      <t xml:space="preserve">보유 평가금액</t>
    </r>
    <r>
      <rPr>
        <b val="true"/>
        <sz val="10"/>
        <color rgb="FFFFFFFF"/>
        <rFont val="Arial"/>
        <family val="0"/>
        <charset val="1"/>
      </rPr>
      <t xml:space="preserve">($M)</t>
    </r>
  </si>
  <si>
    <t xml:space="preserve">제약점검</t>
  </si>
  <si>
    <r>
      <rPr>
        <b val="true"/>
        <sz val="11"/>
        <rFont val="Noto Sans CJK SC"/>
        <family val="2"/>
      </rPr>
      <t xml:space="preserve">▼ 매도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축소 후보 </t>
    </r>
    <r>
      <rPr>
        <b val="true"/>
        <sz val="11"/>
        <rFont val="Arial"/>
        <family val="0"/>
        <charset val="1"/>
      </rPr>
      <t xml:space="preserve">(Rich </t>
    </r>
    <r>
      <rPr>
        <b val="true"/>
        <sz val="11"/>
        <rFont val="Noto Sans CJK SC"/>
        <family val="2"/>
      </rPr>
      <t xml:space="preserve">보유 상위 </t>
    </r>
    <r>
      <rPr>
        <b val="true"/>
        <sz val="11"/>
        <rFont val="Arial"/>
        <family val="0"/>
        <charset val="1"/>
      </rPr>
      <t xml:space="preserve">20)</t>
    </r>
  </si>
  <si>
    <t xml:space="preserve">스왑 분석 — 보유 종목 매도 → 비슷한 듀레이션의 대안 매수</t>
  </si>
  <si>
    <r>
      <rPr>
        <i val="true"/>
        <sz val="10"/>
        <color rgb="FF595959"/>
        <rFont val="Noto Sans CJK SC"/>
        <family val="2"/>
      </rPr>
      <t xml:space="preserve">비교는 절대지표</t>
    </r>
    <r>
      <rPr>
        <i val="true"/>
        <sz val="10"/>
        <color rgb="FF595959"/>
        <rFont val="Arial"/>
        <family val="0"/>
        <charset val="1"/>
      </rPr>
      <t xml:space="preserve">(G-spread·YTM·</t>
    </r>
    <r>
      <rPr>
        <i val="true"/>
        <sz val="10"/>
        <color rgb="FF595959"/>
        <rFont val="Noto Sans CJK SC"/>
        <family val="2"/>
      </rPr>
      <t xml:space="preserve">기대수익률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손익분기</t>
    </r>
    <r>
      <rPr>
        <i val="true"/>
        <sz val="10"/>
        <color rgb="FF595959"/>
        <rFont val="Arial"/>
        <family val="0"/>
        <charset val="1"/>
      </rPr>
      <t xml:space="preserve">) </t>
    </r>
    <r>
      <rPr>
        <i val="true"/>
        <sz val="10"/>
        <color rgb="FF595959"/>
        <rFont val="Noto Sans CJK SC"/>
        <family val="2"/>
      </rPr>
      <t xml:space="preserve">기준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잔차</t>
    </r>
    <r>
      <rPr>
        <i val="true"/>
        <sz val="10"/>
        <color rgb="FF595959"/>
        <rFont val="Arial"/>
        <family val="0"/>
        <charset val="1"/>
      </rPr>
      <t xml:space="preserve">·z</t>
    </r>
    <r>
      <rPr>
        <i val="true"/>
        <sz val="10"/>
        <color rgb="FF595959"/>
        <rFont val="Noto Sans CJK SC"/>
        <family val="2"/>
      </rPr>
      <t xml:space="preserve">는 각자 피어커브 기준이라 </t>
    </r>
    <r>
      <rPr>
        <i val="true"/>
        <sz val="10"/>
        <color rgb="FF595959"/>
        <rFont val="Arial"/>
        <family val="0"/>
        <charset val="1"/>
      </rPr>
      <t xml:space="preserve">"</t>
    </r>
    <r>
      <rPr>
        <i val="true"/>
        <sz val="10"/>
        <color rgb="FF595959"/>
        <rFont val="Noto Sans CJK SC"/>
        <family val="2"/>
      </rPr>
      <t xml:space="preserve">동일 피어</t>
    </r>
    <r>
      <rPr>
        <i val="true"/>
        <sz val="10"/>
        <color rgb="FF595959"/>
        <rFont val="Arial"/>
        <family val="0"/>
        <charset val="1"/>
      </rPr>
      <t xml:space="preserve">"</t>
    </r>
    <r>
      <rPr>
        <i val="true"/>
        <sz val="10"/>
        <color rgb="FF595959"/>
        <rFont val="Noto Sans CJK SC"/>
        <family val="2"/>
      </rPr>
      <t xml:space="preserve">일 때만 직접 비교 의미 있음</t>
    </r>
  </si>
  <si>
    <t xml:space="preserve">매도 종목</t>
  </si>
  <si>
    <t xml:space="preserve">HSBC 4.95 03/31/30</t>
  </si>
  <si>
    <r>
      <rPr>
        <sz val="10"/>
        <color rgb="FF595959"/>
        <rFont val="Noto Sans CJK SC"/>
        <family val="2"/>
      </rPr>
      <t xml:space="preserve">드롭다운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시장데이터 채권명</t>
    </r>
    <r>
      <rPr>
        <sz val="10"/>
        <color rgb="FF595959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</si>
  <si>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듀레이션 허용범위</t>
    </r>
    <r>
      <rPr>
        <b val="true"/>
        <sz val="10"/>
        <rFont val="Arial"/>
        <family val="0"/>
        <charset val="1"/>
      </rPr>
      <t xml:space="preserve">(±</t>
    </r>
    <r>
      <rPr>
        <b val="true"/>
        <sz val="10"/>
        <rFont val="Noto Sans CJK SC"/>
        <family val="2"/>
      </rPr>
      <t xml:space="preserve">년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</si>
  <si>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대안 종목 듀레이션 </t>
    </r>
    <r>
      <rPr>
        <sz val="10"/>
        <color rgb="FF595959"/>
        <rFont val="Arial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매도 종목 </t>
    </r>
    <r>
      <rPr>
        <sz val="10"/>
        <color rgb="FF595959"/>
        <rFont val="Arial"/>
        <family val="0"/>
        <charset val="1"/>
      </rPr>
      <t xml:space="preserve">± </t>
    </r>
    <r>
      <rPr>
        <sz val="10"/>
        <color rgb="FF595959"/>
        <rFont val="Noto Sans CJK SC"/>
        <family val="2"/>
      </rPr>
      <t xml:space="preserve">이 값</t>
    </r>
  </si>
  <si>
    <r>
      <rPr>
        <b val="true"/>
        <sz val="10"/>
        <rFont val="Noto Sans CJK SC"/>
        <family val="2"/>
      </rPr>
      <t xml:space="preserve">같은 섹터만</t>
    </r>
    <r>
      <rPr>
        <b val="true"/>
        <sz val="10"/>
        <rFont val="Arial"/>
        <family val="0"/>
        <charset val="1"/>
      </rPr>
      <t xml:space="preserve">(Y/N)</t>
    </r>
  </si>
  <si>
    <t xml:space="preserve">N</t>
  </si>
  <si>
    <r>
      <rPr>
        <sz val="10"/>
        <color rgb="FF595959"/>
        <rFont val="Arial"/>
        <family val="0"/>
        <charset val="1"/>
      </rPr>
      <t xml:space="preserve">Y</t>
    </r>
    <r>
      <rPr>
        <sz val="10"/>
        <color rgb="FF595959"/>
        <rFont val="Noto Sans CJK SC"/>
        <family val="2"/>
      </rPr>
      <t xml:space="preserve">면 동일 섹터 대안만</t>
    </r>
  </si>
  <si>
    <r>
      <rPr>
        <b val="true"/>
        <sz val="10"/>
        <rFont val="Noto Sans CJK SC"/>
        <family val="2"/>
      </rPr>
      <t xml:space="preserve">같은 지역만</t>
    </r>
    <r>
      <rPr>
        <b val="true"/>
        <sz val="10"/>
        <rFont val="Arial"/>
        <family val="0"/>
        <charset val="1"/>
      </rPr>
      <t xml:space="preserve">(Y/N)</t>
    </r>
  </si>
  <si>
    <r>
      <rPr>
        <sz val="10"/>
        <color rgb="FF595959"/>
        <rFont val="Arial"/>
        <family val="0"/>
        <charset val="1"/>
      </rPr>
      <t xml:space="preserve">Y</t>
    </r>
    <r>
      <rPr>
        <sz val="10"/>
        <color rgb="FF595959"/>
        <rFont val="Noto Sans CJK SC"/>
        <family val="2"/>
      </rPr>
      <t xml:space="preserve">면 동일 지역 대안만</t>
    </r>
  </si>
  <si>
    <r>
      <rPr>
        <b val="true"/>
        <sz val="10"/>
        <rFont val="Noto Sans CJK SC"/>
        <family val="2"/>
      </rPr>
      <t xml:space="preserve">보유 종목 제외</t>
    </r>
    <r>
      <rPr>
        <b val="true"/>
        <sz val="10"/>
        <rFont val="Arial"/>
        <family val="0"/>
        <charset val="1"/>
      </rPr>
      <t xml:space="preserve">(Y/N)</t>
    </r>
  </si>
  <si>
    <r>
      <rPr>
        <sz val="10"/>
        <color rgb="FF595959"/>
        <rFont val="Arial"/>
        <family val="0"/>
        <charset val="1"/>
      </rPr>
      <t xml:space="preserve">Y</t>
    </r>
    <r>
      <rPr>
        <sz val="10"/>
        <color rgb="FF595959"/>
        <rFont val="Noto Sans CJK SC"/>
        <family val="2"/>
      </rPr>
      <t xml:space="preserve">면 선택 펀드 미보유 종목만</t>
    </r>
  </si>
  <si>
    <r>
      <rPr>
        <b val="true"/>
        <sz val="10"/>
        <rFont val="Noto Sans CJK SC"/>
        <family val="2"/>
      </rPr>
      <t xml:space="preserve">최소 </t>
    </r>
    <r>
      <rPr>
        <b val="true"/>
        <sz val="10"/>
        <rFont val="Arial"/>
        <family val="0"/>
        <charset val="1"/>
      </rPr>
      <t xml:space="preserve">G-spread </t>
    </r>
    <r>
      <rPr>
        <b val="true"/>
        <sz val="10"/>
        <rFont val="Noto Sans CJK SC"/>
        <family val="2"/>
      </rPr>
      <t xml:space="preserve">픽업</t>
    </r>
    <r>
      <rPr>
        <b val="true"/>
        <sz val="10"/>
        <rFont val="Arial"/>
        <family val="0"/>
        <charset val="1"/>
      </rPr>
      <t xml:space="preserve">(bp)</t>
    </r>
  </si>
  <si>
    <t xml:space="preserve">이 이상 넓은 대안만 표시</t>
  </si>
  <si>
    <r>
      <rPr>
        <b val="true"/>
        <sz val="10"/>
        <rFont val="Noto Sans CJK SC"/>
        <family val="2"/>
      </rPr>
      <t xml:space="preserve">매도 금액</t>
    </r>
    <r>
      <rPr>
        <b val="true"/>
        <sz val="10"/>
        <rFont val="Arial"/>
        <family val="0"/>
        <charset val="1"/>
      </rPr>
      <t xml:space="preserve">($M, </t>
    </r>
    <r>
      <rPr>
        <b val="true"/>
        <sz val="10"/>
        <rFont val="Noto Sans CJK SC"/>
        <family val="2"/>
      </rPr>
      <t xml:space="preserve">비우면 보유분 전량</t>
    </r>
    <r>
      <rPr>
        <b val="true"/>
        <sz val="10"/>
        <rFont val="Arial"/>
        <family val="0"/>
        <charset val="1"/>
      </rPr>
      <t xml:space="preserve">)</t>
    </r>
  </si>
  <si>
    <t xml:space="preserve">평가금액 기준</t>
  </si>
  <si>
    <r>
      <rPr>
        <sz val="10"/>
        <color rgb="FFA6A6A6"/>
        <rFont val="Arial"/>
        <family val="0"/>
        <charset val="1"/>
      </rPr>
      <t xml:space="preserve">(</t>
    </r>
    <r>
      <rPr>
        <sz val="10"/>
        <color rgb="FFA6A6A6"/>
        <rFont val="Noto Sans CJK SC"/>
        <family val="2"/>
      </rPr>
      <t xml:space="preserve">매도종목 행번호</t>
    </r>
    <r>
      <rPr>
        <sz val="10"/>
        <color rgb="FFA6A6A6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</si>
  <si>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적용 매도금액</t>
    </r>
    <r>
      <rPr>
        <b val="true"/>
        <sz val="10"/>
        <rFont val="Arial"/>
        <family val="0"/>
        <charset val="1"/>
      </rPr>
      <t xml:space="preserve">($M)</t>
    </r>
  </si>
  <si>
    <r>
      <rPr>
        <sz val="10"/>
        <color rgb="FF595959"/>
        <rFont val="Noto Sans CJK SC"/>
        <family val="2"/>
      </rPr>
      <t xml:space="preserve">보유분이 없으면 </t>
    </r>
    <r>
      <rPr>
        <sz val="10"/>
        <color rgb="FF595959"/>
        <rFont val="Arial"/>
        <family val="0"/>
        <charset val="1"/>
      </rPr>
      <t xml:space="preserve">10M </t>
    </r>
    <r>
      <rPr>
        <sz val="10"/>
        <color rgb="FF595959"/>
        <rFont val="Noto Sans CJK SC"/>
        <family val="2"/>
      </rPr>
      <t xml:space="preserve">가정</t>
    </r>
  </si>
  <si>
    <t xml:space="preserve">■ 매도 종목</t>
  </si>
  <si>
    <t xml:space="preserve">지역</t>
  </si>
  <si>
    <r>
      <rPr>
        <b val="true"/>
        <sz val="10"/>
        <color rgb="FFFFFFFF"/>
        <rFont val="Noto Sans CJK SC"/>
        <family val="2"/>
      </rPr>
      <t xml:space="preserve">손익분기</t>
    </r>
    <r>
      <rPr>
        <b val="true"/>
        <sz val="10"/>
        <color rgb="FFFFFFFF"/>
        <rFont val="Arial"/>
        <family val="0"/>
        <charset val="1"/>
      </rPr>
      <t xml:space="preserve">(bp)</t>
    </r>
  </si>
  <si>
    <t xml:space="preserve">적용커브</t>
  </si>
  <si>
    <r>
      <rPr>
        <b val="true"/>
        <sz val="11"/>
        <rFont val="Noto Sans CJK SC"/>
        <family val="2"/>
      </rPr>
      <t xml:space="preserve">■ 대안 종목 </t>
    </r>
    <r>
      <rPr>
        <b val="true"/>
        <sz val="11"/>
        <rFont val="Arial"/>
        <family val="0"/>
        <charset val="1"/>
      </rPr>
      <t xml:space="preserve">(G-spread </t>
    </r>
    <r>
      <rPr>
        <b val="true"/>
        <sz val="11"/>
        <rFont val="Noto Sans CJK SC"/>
        <family val="2"/>
      </rPr>
      <t xml:space="preserve">픽업 순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상위 </t>
    </r>
    <r>
      <rPr>
        <b val="true"/>
        <sz val="11"/>
        <rFont val="Arial"/>
        <family val="0"/>
        <charset val="1"/>
      </rPr>
      <t xml:space="preserve">20)</t>
    </r>
  </si>
  <si>
    <r>
      <rPr>
        <b val="true"/>
        <sz val="10"/>
        <color rgb="FFFFFFFF"/>
        <rFont val="Arial"/>
        <family val="0"/>
        <charset val="1"/>
      </rPr>
      <t xml:space="preserve">G </t>
    </r>
    <r>
      <rPr>
        <b val="true"/>
        <sz val="10"/>
        <color rgb="FFFFFFFF"/>
        <rFont val="Noto Sans CJK SC"/>
        <family val="2"/>
      </rPr>
      <t xml:space="preserve">픽업</t>
    </r>
    <r>
      <rPr>
        <b val="true"/>
        <sz val="10"/>
        <color rgb="FFFFFFFF"/>
        <rFont val="Arial"/>
        <family val="0"/>
        <charset val="1"/>
      </rPr>
      <t xml:space="preserve">(bp)</t>
    </r>
  </si>
  <si>
    <r>
      <rPr>
        <b val="true"/>
        <sz val="10"/>
        <color rgb="FFFFFFFF"/>
        <rFont val="Arial"/>
        <family val="0"/>
        <charset val="1"/>
      </rPr>
      <t xml:space="preserve">YTM </t>
    </r>
    <r>
      <rPr>
        <b val="true"/>
        <sz val="10"/>
        <color rgb="FFFFFFFF"/>
        <rFont val="Noto Sans CJK SC"/>
        <family val="2"/>
      </rPr>
      <t xml:space="preserve">픽업</t>
    </r>
    <r>
      <rPr>
        <b val="true"/>
        <sz val="10"/>
        <color rgb="FFFFFFFF"/>
        <rFont val="Arial"/>
        <family val="0"/>
        <charset val="1"/>
      </rPr>
      <t xml:space="preserve">(bp)</t>
    </r>
  </si>
  <si>
    <r>
      <rPr>
        <b val="true"/>
        <sz val="10"/>
        <color rgb="FFFFFFFF"/>
        <rFont val="Noto Sans CJK SC"/>
        <family val="2"/>
      </rPr>
      <t xml:space="preserve">기대수익률 픽업</t>
    </r>
    <r>
      <rPr>
        <b val="true"/>
        <sz val="10"/>
        <color rgb="FFFFFFFF"/>
        <rFont val="Arial"/>
        <family val="0"/>
        <charset val="1"/>
      </rPr>
      <t xml:space="preserve">(bp)</t>
    </r>
  </si>
  <si>
    <r>
      <rPr>
        <b val="true"/>
        <sz val="10"/>
        <color rgb="FFFFFFFF"/>
        <rFont val="Noto Sans CJK SC"/>
        <family val="2"/>
      </rPr>
      <t xml:space="preserve">손익분기 변화</t>
    </r>
    <r>
      <rPr>
        <b val="true"/>
        <sz val="10"/>
        <color rgb="FFFFFFFF"/>
        <rFont val="Arial"/>
        <family val="0"/>
        <charset val="1"/>
      </rPr>
      <t xml:space="preserve">(bp)</t>
    </r>
  </si>
  <si>
    <t xml:space="preserve">피어</t>
  </si>
  <si>
    <r>
      <rPr>
        <b val="true"/>
        <sz val="10"/>
        <color rgb="FFFFFFFF"/>
        <rFont val="Arial"/>
        <family val="0"/>
        <charset val="1"/>
      </rPr>
      <t xml:space="preserve">DV01</t>
    </r>
    <r>
      <rPr>
        <b val="true"/>
        <sz val="10"/>
        <color rgb="FFFFFFFF"/>
        <rFont val="Noto Sans CJK SC"/>
        <family val="2"/>
      </rPr>
      <t xml:space="preserve">중립 매수금액</t>
    </r>
    <r>
      <rPr>
        <b val="true"/>
        <sz val="10"/>
        <color rgb="FFFFFFFF"/>
        <rFont val="Arial"/>
        <family val="0"/>
        <charset val="1"/>
      </rPr>
      <t xml:space="preserve">($M)</t>
    </r>
  </si>
  <si>
    <r>
      <rPr>
        <b val="true"/>
        <sz val="10"/>
        <color rgb="FFFFFFFF"/>
        <rFont val="Noto Sans CJK SC"/>
        <family val="2"/>
      </rPr>
      <t xml:space="preserve">연간 기대수익 변화</t>
    </r>
    <r>
      <rPr>
        <b val="true"/>
        <sz val="10"/>
        <color rgb="FFFFFFFF"/>
        <rFont val="Arial"/>
        <family val="0"/>
        <charset val="1"/>
      </rPr>
      <t xml:space="preserve">($, </t>
    </r>
    <r>
      <rPr>
        <b val="true"/>
        <sz val="10"/>
        <color rgb="FFFFFFFF"/>
        <rFont val="Noto Sans CJK SC"/>
        <family val="2"/>
      </rPr>
      <t xml:space="preserve">동일금액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</si>
  <si>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DV01 </t>
    </r>
    <r>
      <rPr>
        <b val="true"/>
        <sz val="10"/>
        <color rgb="FFFFFFFF"/>
        <rFont val="Noto Sans CJK SC"/>
        <family val="2"/>
      </rPr>
      <t xml:space="preserve">변화</t>
    </r>
    <r>
      <rPr>
        <b val="true"/>
        <sz val="10"/>
        <color rgb="FFFFFFFF"/>
        <rFont val="Arial"/>
        <family val="0"/>
        <charset val="1"/>
      </rPr>
      <t xml:space="preserve">($/bp, </t>
    </r>
    <r>
      <rPr>
        <b val="true"/>
        <sz val="10"/>
        <color rgb="FFFFFFFF"/>
        <rFont val="Noto Sans CJK SC"/>
        <family val="2"/>
      </rPr>
      <t xml:space="preserve">동일금액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</si>
  <si>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정렬키</t>
  </si>
  <si>
    <t xml:space="preserve">행</t>
  </si>
  <si>
    <t xml:space="preserve">읽는 법</t>
  </si>
  <si>
    <r>
      <rPr>
        <sz val="10"/>
        <color rgb="FF595959"/>
        <rFont val="Arial"/>
        <family val="0"/>
        <charset val="1"/>
      </rPr>
      <t xml:space="preserve">- G </t>
    </r>
    <r>
      <rPr>
        <sz val="10"/>
        <color rgb="FF595959"/>
        <rFont val="Noto Sans CJK SC"/>
        <family val="2"/>
      </rPr>
      <t xml:space="preserve">픽업</t>
    </r>
    <r>
      <rPr>
        <sz val="10"/>
        <color rgb="FF595959"/>
        <rFont val="Arial"/>
        <family val="0"/>
        <charset val="1"/>
      </rPr>
      <t xml:space="preserve">·YTM </t>
    </r>
    <r>
      <rPr>
        <sz val="10"/>
        <color rgb="FF595959"/>
        <rFont val="Noto Sans CJK SC"/>
        <family val="2"/>
      </rPr>
      <t xml:space="preserve">픽업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기대수익률 픽업</t>
    </r>
    <r>
      <rPr>
        <sz val="10"/>
        <color rgb="FF595959"/>
        <rFont val="Arial"/>
        <family val="0"/>
        <charset val="1"/>
      </rPr>
      <t xml:space="preserve">(YTM+</t>
    </r>
    <r>
      <rPr>
        <sz val="10"/>
        <color rgb="FF595959"/>
        <rFont val="Noto Sans CJK SC"/>
        <family val="2"/>
      </rPr>
      <t xml:space="preserve">스프레드 롤다운</t>
    </r>
    <r>
      <rPr>
        <sz val="10"/>
        <color rgb="FF595959"/>
        <rFont val="Arial"/>
        <family val="0"/>
        <charset val="1"/>
      </rPr>
      <t xml:space="preserve">) = </t>
    </r>
    <r>
      <rPr>
        <sz val="10"/>
        <color rgb="FF595959"/>
        <rFont val="Noto Sans CJK SC"/>
        <family val="2"/>
      </rPr>
      <t xml:space="preserve">대안 − 매도 종목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기대수익률 픽업에는 금리커브 차이도 섞임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듀레이션 차이만큼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</si>
  <si>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- </t>
    </r>
    <r>
      <rPr>
        <sz val="10"/>
        <color rgb="FF595959"/>
        <rFont val="Noto Sans CJK SC"/>
        <family val="2"/>
      </rPr>
      <t xml:space="preserve">손익분기 변화 </t>
    </r>
    <r>
      <rPr>
        <sz val="10"/>
        <color rgb="FF595959"/>
        <rFont val="Arial"/>
        <family val="0"/>
        <charset val="1"/>
      </rPr>
      <t xml:space="preserve">&lt; 0 </t>
    </r>
    <r>
      <rPr>
        <sz val="10"/>
        <color rgb="FF595959"/>
        <rFont val="Noto Sans CJK SC"/>
        <family val="2"/>
      </rPr>
      <t xml:space="preserve">이면 픽업을 얻는 대신 스프레드 확대에 대한 완충력이 줄어듦</t>
    </r>
  </si>
  <si>
    <r>
      <rPr>
        <sz val="10"/>
        <color rgb="FF595959"/>
        <rFont val="Arial"/>
        <family val="0"/>
        <charset val="1"/>
      </rPr>
      <t xml:space="preserve">- </t>
    </r>
    <r>
      <rPr>
        <sz val="10"/>
        <color rgb="FF595959"/>
        <rFont val="Noto Sans CJK SC"/>
        <family val="2"/>
      </rPr>
      <t xml:space="preserve">잔차</t>
    </r>
    <r>
      <rPr>
        <sz val="10"/>
        <color rgb="FF595959"/>
        <rFont val="Arial"/>
        <family val="0"/>
        <charset val="1"/>
      </rPr>
      <t xml:space="preserve">·z</t>
    </r>
    <r>
      <rPr>
        <sz val="10"/>
        <color rgb="FF595959"/>
        <rFont val="Noto Sans CJK SC"/>
        <family val="2"/>
      </rPr>
      <t xml:space="preserve">는 </t>
    </r>
    <r>
      <rPr>
        <sz val="10"/>
        <color rgb="FF595959"/>
        <rFont val="Arial"/>
        <family val="0"/>
        <charset val="1"/>
      </rPr>
      <t xml:space="preserve">"</t>
    </r>
    <r>
      <rPr>
        <sz val="10"/>
        <color rgb="FF595959"/>
        <rFont val="Noto Sans CJK SC"/>
        <family val="2"/>
      </rPr>
      <t xml:space="preserve">동일 피어</t>
    </r>
    <r>
      <rPr>
        <sz val="10"/>
        <color rgb="FF595959"/>
        <rFont val="Arial"/>
        <family val="0"/>
        <charset val="1"/>
      </rPr>
      <t xml:space="preserve">"</t>
    </r>
    <r>
      <rPr>
        <sz val="10"/>
        <color rgb="FF595959"/>
        <rFont val="Noto Sans CJK SC"/>
        <family val="2"/>
      </rPr>
      <t xml:space="preserve">일 때만 매도 종목과 직접 비교 가능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다른 피어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회색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는 각자 피어 대비 위치일 뿐</t>
    </r>
  </si>
  <si>
    <r>
      <rPr>
        <sz val="10"/>
        <color rgb="FF595959"/>
        <rFont val="Arial"/>
        <family val="0"/>
        <charset val="1"/>
      </rPr>
      <t xml:space="preserve">- </t>
    </r>
    <r>
      <rPr>
        <sz val="10"/>
        <color rgb="FF595959"/>
        <rFont val="Noto Sans CJK SC"/>
        <family val="2"/>
      </rPr>
      <t xml:space="preserve">연간 기대수익 변화</t>
    </r>
    <r>
      <rPr>
        <sz val="10"/>
        <color rgb="FF595959"/>
        <rFont val="Arial"/>
        <family val="0"/>
        <charset val="1"/>
      </rPr>
      <t xml:space="preserve">·DV01 </t>
    </r>
    <r>
      <rPr>
        <sz val="10"/>
        <color rgb="FF595959"/>
        <rFont val="Noto Sans CJK SC"/>
        <family val="2"/>
      </rPr>
      <t xml:space="preserve">변화 </t>
    </r>
    <r>
      <rPr>
        <sz val="10"/>
        <color rgb="FF595959"/>
        <rFont val="Arial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매도금액과 같은 금액을 대안에 넣을 때의 차이</t>
    </r>
    <r>
      <rPr>
        <sz val="10"/>
        <color rgb="FF595959"/>
        <rFont val="Arial"/>
        <family val="0"/>
        <charset val="1"/>
      </rPr>
      <t xml:space="preserve">. DV01</t>
    </r>
    <r>
      <rPr>
        <sz val="10"/>
        <color rgb="FF595959"/>
        <rFont val="Noto Sans CJK SC"/>
        <family val="2"/>
      </rPr>
      <t xml:space="preserve">중립 매수금액 </t>
    </r>
    <r>
      <rPr>
        <sz val="10"/>
        <color rgb="FF595959"/>
        <rFont val="Arial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매도금액 </t>
    </r>
    <r>
      <rPr>
        <sz val="10"/>
        <color rgb="FF595959"/>
        <rFont val="Arial"/>
        <family val="0"/>
        <charset val="1"/>
      </rPr>
      <t xml:space="preserve">× </t>
    </r>
    <r>
      <rPr>
        <sz val="10"/>
        <color rgb="FF595959"/>
        <rFont val="Noto Sans CJK SC"/>
        <family val="2"/>
      </rPr>
      <t xml:space="preserve">매도 듀레이션 </t>
    </r>
    <r>
      <rPr>
        <sz val="10"/>
        <color rgb="FF595959"/>
        <rFont val="Arial"/>
        <family val="0"/>
        <charset val="1"/>
      </rPr>
      <t xml:space="preserve">÷ </t>
    </r>
    <r>
      <rPr>
        <sz val="10"/>
        <color rgb="FF595959"/>
        <rFont val="Noto Sans CJK SC"/>
        <family val="2"/>
      </rPr>
      <t xml:space="preserve">대안 듀레이션 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금리 리스크를 그대로 유지하려면 이만큼만 매수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</si>
  <si>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- </t>
    </r>
    <r>
      <rPr>
        <sz val="10"/>
        <color rgb="FF595959"/>
        <rFont val="Noto Sans CJK SC"/>
        <family val="2"/>
      </rPr>
      <t xml:space="preserve">대안은 시장데이터 유니버스 중 </t>
    </r>
    <r>
      <rPr>
        <sz val="10"/>
        <color rgb="FF595959"/>
        <rFont val="Arial"/>
        <family val="0"/>
        <charset val="1"/>
      </rPr>
      <t xml:space="preserve">USD </t>
    </r>
    <r>
      <rPr>
        <sz val="10"/>
        <color rgb="FF595959"/>
        <rFont val="Noto Sans CJK SC"/>
        <family val="2"/>
      </rPr>
      <t xml:space="preserve">크레딧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듀레이션 </t>
    </r>
    <r>
      <rPr>
        <sz val="10"/>
        <color rgb="FF595959"/>
        <rFont val="Arial"/>
        <family val="0"/>
        <charset val="1"/>
      </rPr>
      <t xml:space="preserve">0.5</t>
    </r>
    <r>
      <rPr>
        <sz val="10"/>
        <color rgb="FF595959"/>
        <rFont val="Noto Sans CJK SC"/>
        <family val="2"/>
      </rPr>
      <t xml:space="preserve">년 이상</t>
    </r>
    <r>
      <rPr>
        <sz val="10"/>
        <color rgb="FF595959"/>
        <rFont val="Arial"/>
        <family val="0"/>
        <charset val="1"/>
      </rPr>
      <t xml:space="preserve">·FRN/BBB0</t>
    </r>
    <r>
      <rPr>
        <sz val="10"/>
        <color rgb="FF595959"/>
        <rFont val="Noto Sans CJK SC"/>
        <family val="2"/>
      </rPr>
      <t xml:space="preserve">미만 제외 종목</t>
    </r>
  </si>
  <si>
    <r>
      <rPr>
        <b val="true"/>
        <sz val="14"/>
        <rFont val="Noto Sans CJK SC"/>
        <family val="2"/>
      </rPr>
      <t xml:space="preserve">스프레드 확대 시나리오 설정 — 종목별 실효 쇼크 </t>
    </r>
    <r>
      <rPr>
        <b val="true"/>
        <sz val="14"/>
        <rFont val="Arial"/>
        <family val="0"/>
        <charset val="1"/>
      </rPr>
      <t xml:space="preserve">= </t>
    </r>
    <r>
      <rPr>
        <b val="true"/>
        <sz val="14"/>
        <rFont val="Noto Sans CJK SC"/>
        <family val="2"/>
      </rPr>
      <t xml:space="preserve">기본 쇼크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차등계수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비례계수</t>
    </r>
  </si>
  <si>
    <r>
      <rPr>
        <i val="true"/>
        <sz val="10"/>
        <color rgb="FF595959"/>
        <rFont val="Noto Sans CJK SC"/>
        <family val="2"/>
      </rPr>
      <t xml:space="preserve">기본 쇼크</t>
    </r>
    <r>
      <rPr>
        <i val="true"/>
        <sz val="10"/>
        <color rgb="FF595959"/>
        <rFont val="Arial"/>
        <family val="0"/>
        <charset val="1"/>
      </rPr>
      <t xml:space="preserve">(bp)</t>
    </r>
    <r>
      <rPr>
        <i val="true"/>
        <sz val="10"/>
        <color rgb="FF595959"/>
        <rFont val="Noto Sans CJK SC"/>
        <family val="2"/>
      </rPr>
      <t xml:space="preserve">는 </t>
    </r>
    <r>
      <rPr>
        <i val="true"/>
        <sz val="10"/>
        <color rgb="FF595959"/>
        <rFont val="Arial"/>
        <family val="0"/>
        <charset val="1"/>
      </rPr>
      <t xml:space="preserve">[</t>
    </r>
    <r>
      <rPr>
        <i val="true"/>
        <sz val="10"/>
        <color rgb="FF595959"/>
        <rFont val="Noto Sans CJK SC"/>
        <family val="2"/>
      </rPr>
      <t xml:space="preserve">설정</t>
    </r>
    <r>
      <rPr>
        <i val="true"/>
        <sz val="10"/>
        <color rgb="FF595959"/>
        <rFont val="Arial"/>
        <family val="0"/>
        <charset val="1"/>
      </rPr>
      <t xml:space="preserve">]</t>
    </r>
    <r>
      <rPr>
        <i val="true"/>
        <sz val="10"/>
        <color rgb="FF595959"/>
        <rFont val="Noto Sans CJK SC"/>
        <family val="2"/>
      </rPr>
      <t xml:space="preserve">의 스프레드 쇼크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파란 글씨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노란 칸이 입력값</t>
    </r>
  </si>
  <si>
    <r>
      <rPr>
        <b val="true"/>
        <sz val="10"/>
        <rFont val="Noto Sans CJK SC"/>
        <family val="2"/>
      </rPr>
      <t xml:space="preserve">차등계수 적용</t>
    </r>
    <r>
      <rPr>
        <b val="true"/>
        <sz val="10"/>
        <rFont val="Arial"/>
        <family val="0"/>
        <charset val="1"/>
      </rPr>
      <t xml:space="preserve">(Y/N)</t>
    </r>
  </si>
  <si>
    <t xml:space="preserve">Y</t>
  </si>
  <si>
    <r>
      <rPr>
        <sz val="10"/>
        <color rgb="FF595959"/>
        <rFont val="Arial"/>
        <family val="0"/>
        <charset val="1"/>
      </rPr>
      <t xml:space="preserve">Y</t>
    </r>
    <r>
      <rPr>
        <sz val="10"/>
        <color rgb="FF595959"/>
        <rFont val="Noto Sans CJK SC"/>
        <family val="2"/>
      </rPr>
      <t xml:space="preserve">면 아래 지역</t>
    </r>
    <r>
      <rPr>
        <sz val="10"/>
        <color rgb="FF595959"/>
        <rFont val="Arial"/>
        <family val="0"/>
        <charset val="1"/>
      </rPr>
      <t xml:space="preserve">×</t>
    </r>
    <r>
      <rPr>
        <sz val="10"/>
        <color rgb="FF595959"/>
        <rFont val="Noto Sans CJK SC"/>
        <family val="2"/>
      </rPr>
      <t xml:space="preserve">섹터 계수 적용</t>
    </r>
    <r>
      <rPr>
        <sz val="10"/>
        <color rgb="FF595959"/>
        <rFont val="Arial"/>
        <family val="0"/>
        <charset val="1"/>
      </rPr>
      <t xml:space="preserve">, N</t>
    </r>
    <r>
      <rPr>
        <sz val="10"/>
        <color rgb="FF595959"/>
        <rFont val="Noto Sans CJK SC"/>
        <family val="2"/>
      </rPr>
      <t xml:space="preserve">이면 모두 </t>
    </r>
    <r>
      <rPr>
        <sz val="10"/>
        <color rgb="FF595959"/>
        <rFont val="Arial"/>
        <family val="0"/>
        <charset val="1"/>
      </rPr>
      <t xml:space="preserve">1.0</t>
    </r>
  </si>
  <si>
    <r>
      <rPr>
        <b val="true"/>
        <sz val="10"/>
        <rFont val="Noto Sans CJK SC"/>
        <family val="2"/>
      </rPr>
      <t xml:space="preserve">비례 확대 적용</t>
    </r>
    <r>
      <rPr>
        <b val="true"/>
        <sz val="10"/>
        <rFont val="Arial"/>
        <family val="0"/>
        <charset val="1"/>
      </rPr>
      <t xml:space="preserve">(Y/N)</t>
    </r>
  </si>
  <si>
    <r>
      <rPr>
        <sz val="10"/>
        <color rgb="FF595959"/>
        <rFont val="Arial"/>
        <family val="0"/>
        <charset val="1"/>
      </rPr>
      <t xml:space="preserve">Y</t>
    </r>
    <r>
      <rPr>
        <sz val="10"/>
        <color rgb="FF595959"/>
        <rFont val="Noto Sans CJK SC"/>
        <family val="2"/>
      </rPr>
      <t xml:space="preserve">면 종목 </t>
    </r>
    <r>
      <rPr>
        <sz val="10"/>
        <color rgb="FF595959"/>
        <rFont val="Arial"/>
        <family val="0"/>
        <charset val="1"/>
      </rPr>
      <t xml:space="preserve">G-spread ÷ </t>
    </r>
    <r>
      <rPr>
        <sz val="10"/>
        <color rgb="FF595959"/>
        <rFont val="Noto Sans CJK SC"/>
        <family val="2"/>
      </rPr>
      <t xml:space="preserve">기준 스프레드 만큼 쇼크 확대</t>
    </r>
    <r>
      <rPr>
        <sz val="10"/>
        <color rgb="FF595959"/>
        <rFont val="Arial"/>
        <family val="0"/>
        <charset val="1"/>
      </rPr>
      <t xml:space="preserve">/</t>
    </r>
    <r>
      <rPr>
        <sz val="10"/>
        <color rgb="FF595959"/>
        <rFont val="Noto Sans CJK SC"/>
        <family val="2"/>
      </rPr>
      <t xml:space="preserve">축소</t>
    </r>
  </si>
  <si>
    <t xml:space="preserve">비례계수 하한</t>
  </si>
  <si>
    <t xml:space="preserve">좁거나 음수 스프레드 종목의 최소 배수</t>
  </si>
  <si>
    <t xml:space="preserve">비례계수 상한</t>
  </si>
  <si>
    <t xml:space="preserve">와이드 종목의 쇼크 상한</t>
  </si>
  <si>
    <r>
      <rPr>
        <b val="true"/>
        <sz val="10"/>
        <rFont val="Noto Sans CJK SC"/>
        <family val="2"/>
      </rPr>
      <t xml:space="preserve">기준 스프레드</t>
    </r>
    <r>
      <rPr>
        <b val="true"/>
        <sz val="10"/>
        <rFont val="Arial"/>
        <family val="0"/>
        <charset val="1"/>
      </rPr>
      <t xml:space="preserve">(bp)</t>
    </r>
  </si>
  <si>
    <r>
      <rPr>
        <sz val="10"/>
        <color rgb="FF595959"/>
        <rFont val="Noto Sans CJK SC"/>
        <family val="2"/>
      </rPr>
      <t xml:space="preserve">선택 포트 평가금액가중 </t>
    </r>
    <r>
      <rPr>
        <sz val="10"/>
        <color rgb="FF595959"/>
        <rFont val="Arial"/>
        <family val="0"/>
        <charset val="1"/>
      </rPr>
      <t xml:space="preserve">G-spread(</t>
    </r>
    <r>
      <rPr>
        <sz val="10"/>
        <color rgb="FF595959"/>
        <rFont val="Noto Sans CJK SC"/>
        <family val="2"/>
      </rPr>
      <t xml:space="preserve">국채 제외</t>
    </r>
    <r>
      <rPr>
        <sz val="10"/>
        <color rgb="FF595959"/>
        <rFont val="Arial"/>
        <family val="0"/>
        <charset val="1"/>
      </rPr>
      <t xml:space="preserve">) — </t>
    </r>
    <r>
      <rPr>
        <sz val="10"/>
        <color rgb="FF595959"/>
        <rFont val="Noto Sans CJK SC"/>
        <family val="2"/>
      </rPr>
      <t xml:space="preserve">자동</t>
    </r>
  </si>
  <si>
    <r>
      <rPr>
        <b val="true"/>
        <sz val="11"/>
        <rFont val="Noto Sans CJK SC"/>
        <family val="2"/>
      </rPr>
      <t xml:space="preserve">■ 차등계수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기본 쇼크 대비 배수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</si>
  <si>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지역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섹터</t>
    </r>
  </si>
  <si>
    <t xml:space="preserve">목록외</t>
  </si>
  <si>
    <r>
      <rPr>
        <b val="true"/>
        <sz val="10"/>
        <rFont val="Noto Sans CJK SC"/>
        <family val="2"/>
      </rPr>
      <t xml:space="preserve">아시아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기타</t>
    </r>
  </si>
  <si>
    <r>
      <rPr>
        <b val="true"/>
        <sz val="11"/>
        <rFont val="Noto Sans CJK SC"/>
        <family val="2"/>
      </rPr>
      <t xml:space="preserve">■ 적용 결과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지역</t>
    </r>
    <r>
      <rPr>
        <b val="true"/>
        <sz val="11"/>
        <rFont val="Arial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섹터별 실효 쇼크</t>
    </r>
    <r>
      <rPr>
        <b val="true"/>
        <sz val="11"/>
        <rFont val="Arial"/>
        <family val="0"/>
        <charset val="1"/>
      </rPr>
      <t xml:space="preserve">(bp, CR01</t>
    </r>
    <r>
      <rPr>
        <b val="true"/>
        <sz val="11"/>
        <rFont val="Noto Sans CJK SC"/>
        <family val="2"/>
      </rPr>
      <t xml:space="preserve">가중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선택 포트</t>
    </r>
    <r>
      <rPr>
        <b val="true"/>
        <sz val="11"/>
        <rFont val="Arial"/>
        <family val="0"/>
        <charset val="1"/>
      </rPr>
      <t xml:space="preserve">)</t>
    </r>
  </si>
  <si>
    <t xml:space="preserve">포트 전체</t>
  </si>
  <si>
    <t xml:space="preserve">종목명</t>
  </si>
  <si>
    <t xml:space="preserve">ISIN</t>
  </si>
  <si>
    <t xml:space="preserve">보유목적</t>
  </si>
  <si>
    <t xml:space="preserve">수량</t>
  </si>
  <si>
    <t xml:space="preserve">평가단가</t>
  </si>
  <si>
    <r>
      <rPr>
        <b val="true"/>
        <sz val="10"/>
        <color rgb="FFFFFFFF"/>
        <rFont val="Noto Sans CJK SC"/>
        <family val="2"/>
      </rPr>
      <t xml:space="preserve">평가수익률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</si>
  <si>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수정듀레이션</t>
  </si>
  <si>
    <t xml:space="preserve">만기일</t>
  </si>
  <si>
    <t xml:space="preserve">표면이율</t>
  </si>
  <si>
    <r>
      <rPr>
        <b val="true"/>
        <sz val="10"/>
        <color rgb="FFFFFFFF"/>
        <rFont val="Arial"/>
        <family val="0"/>
        <charset val="1"/>
      </rPr>
      <t xml:space="preserve">USD</t>
    </r>
    <r>
      <rPr>
        <b val="true"/>
        <sz val="10"/>
        <color rgb="FFFFFFFF"/>
        <rFont val="Noto Sans CJK SC"/>
        <family val="2"/>
      </rPr>
      <t xml:space="preserve">환산</t>
    </r>
  </si>
  <si>
    <t xml:space="preserve">외화평가금액</t>
  </si>
  <si>
    <t xml:space="preserve">외화평가손익</t>
  </si>
  <si>
    <t xml:space="preserve">S&amp;P</t>
  </si>
  <si>
    <t xml:space="preserve">Moodys</t>
  </si>
  <si>
    <t xml:space="preserve">Fitch</t>
  </si>
  <si>
    <t xml:space="preserve">유효</t>
  </si>
  <si>
    <t xml:space="preserve">티커</t>
  </si>
  <si>
    <t xml:space="preserve">FRN</t>
  </si>
  <si>
    <r>
      <rPr>
        <b val="true"/>
        <sz val="10"/>
        <color rgb="FFFFFFFF"/>
        <rFont val="Noto Sans CJK SC"/>
        <family val="2"/>
      </rPr>
      <t xml:space="preserve">매칭키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</si>
  <si>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잔존만기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</si>
  <si>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만기구간</t>
  </si>
  <si>
    <t xml:space="preserve">통화</t>
  </si>
  <si>
    <r>
      <rPr>
        <b val="true"/>
        <sz val="10"/>
        <color rgb="FFFFFFFF"/>
        <rFont val="Noto Sans CJK SC"/>
        <family val="2"/>
      </rPr>
      <t xml:space="preserve">액면</t>
    </r>
    <r>
      <rPr>
        <b val="true"/>
        <sz val="10"/>
        <color rgb="FFFFFFFF"/>
        <rFont val="Arial"/>
        <family val="0"/>
        <charset val="1"/>
      </rPr>
      <t xml:space="preserve">($M)</t>
    </r>
  </si>
  <si>
    <t xml:space="preserve">국채</t>
  </si>
  <si>
    <t xml:space="preserve">크레딧듀레이션</t>
  </si>
  <si>
    <t xml:space="preserve">시장행</t>
  </si>
  <si>
    <t xml:space="preserve">포함</t>
  </si>
  <si>
    <r>
      <rPr>
        <b val="true"/>
        <sz val="10"/>
        <color rgb="FFFFFFFF"/>
        <rFont val="Arial"/>
        <family val="0"/>
        <charset val="1"/>
      </rPr>
      <t xml:space="preserve">FRN(</t>
    </r>
    <r>
      <rPr>
        <b val="true"/>
        <sz val="10"/>
        <color rgb="FFFFFFFF"/>
        <rFont val="Noto Sans CJK SC"/>
        <family val="2"/>
      </rPr>
      <t xml:space="preserve">시장포함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</si>
  <si>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매칭 시장종목</t>
  </si>
  <si>
    <r>
      <rPr>
        <b val="true"/>
        <sz val="10"/>
        <color rgb="FFFFFFFF"/>
        <rFont val="Noto Sans CJK SC"/>
        <family val="2"/>
      </rPr>
      <t xml:space="preserve">등급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통합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</si>
  <si>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등급군</t>
  </si>
  <si>
    <t xml:space="preserve">등급서열</t>
  </si>
  <si>
    <t xml:space="preserve">CR01($/bp)</t>
  </si>
  <si>
    <r>
      <rPr>
        <b val="true"/>
        <sz val="10"/>
        <color rgb="FFFFFFFF"/>
        <rFont val="Arial"/>
        <family val="0"/>
        <charset val="1"/>
      </rPr>
      <t xml:space="preserve">1Y</t>
    </r>
    <r>
      <rPr>
        <b val="true"/>
        <sz val="10"/>
        <color rgb="FFFFFFFF"/>
        <rFont val="Noto Sans CJK SC"/>
        <family val="2"/>
      </rPr>
      <t xml:space="preserve">캐리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</si>
  <si>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신호</t>
  </si>
  <si>
    <r>
      <rPr>
        <b val="true"/>
        <sz val="10"/>
        <color rgb="FFFFFFFF"/>
        <rFont val="Noto Sans CJK SC"/>
        <family val="2"/>
      </rPr>
      <t xml:space="preserve">롤다운</t>
    </r>
    <r>
      <rPr>
        <b val="true"/>
        <sz val="10"/>
        <color rgb="FFFFFFFF"/>
        <rFont val="Arial"/>
        <family val="0"/>
        <charset val="1"/>
      </rPr>
      <t xml:space="preserve">(bp)</t>
    </r>
  </si>
  <si>
    <r>
      <rPr>
        <b val="true"/>
        <sz val="10"/>
        <color rgb="FFFFFFFF"/>
        <rFont val="Noto Sans CJK SC"/>
        <family val="2"/>
      </rPr>
      <t xml:space="preserve">롤다운수익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</si>
  <si>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Arial"/>
        <family val="0"/>
        <charset val="1"/>
      </rPr>
      <t xml:space="preserve">1Y</t>
    </r>
    <r>
      <rPr>
        <b val="true"/>
        <sz val="10"/>
        <color rgb="FFFFFFFF"/>
        <rFont val="Noto Sans CJK SC"/>
        <family val="2"/>
      </rPr>
      <t xml:space="preserve">기대수익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</si>
  <si>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점검</t>
  </si>
  <si>
    <t xml:space="preserve">차등계수</t>
  </si>
  <si>
    <t xml:space="preserve">비례계수</t>
  </si>
  <si>
    <r>
      <rPr>
        <b val="true"/>
        <sz val="10"/>
        <color rgb="FFFFFFFF"/>
        <rFont val="Noto Sans CJK SC"/>
        <family val="2"/>
      </rPr>
      <t xml:space="preserve">조정</t>
    </r>
    <r>
      <rPr>
        <b val="true"/>
        <sz val="10"/>
        <color rgb="FFFFFFFF"/>
        <rFont val="Arial"/>
        <family val="0"/>
        <charset val="1"/>
      </rPr>
      <t xml:space="preserve">CR01($/bp)</t>
    </r>
  </si>
  <si>
    <t xml:space="preserve">mv×YTM</t>
  </si>
  <si>
    <t xml:space="preserve">mv(YTM)</t>
  </si>
  <si>
    <t xml:space="preserve">mv×G</t>
  </si>
  <si>
    <t xml:space="preserve">mv(G)</t>
  </si>
  <si>
    <r>
      <rPr>
        <b val="true"/>
        <sz val="10"/>
        <color rgb="FFFFFFFF"/>
        <rFont val="Arial"/>
        <family val="0"/>
        <charset val="1"/>
      </rPr>
      <t xml:space="preserve">mv×</t>
    </r>
    <r>
      <rPr>
        <b val="true"/>
        <sz val="10"/>
        <color rgb="FFFFFFFF"/>
        <rFont val="Noto Sans CJK SC"/>
        <family val="2"/>
      </rPr>
      <t xml:space="preserve">듀</t>
    </r>
  </si>
  <si>
    <r>
      <rPr>
        <b val="true"/>
        <sz val="10"/>
        <color rgb="FFFFFFFF"/>
        <rFont val="Arial"/>
        <family val="0"/>
        <charset val="1"/>
      </rPr>
      <t xml:space="preserve">mv(</t>
    </r>
    <r>
      <rPr>
        <b val="true"/>
        <sz val="10"/>
        <color rgb="FFFFFFFF"/>
        <rFont val="Noto Sans CJK SC"/>
        <family val="2"/>
      </rPr>
      <t xml:space="preserve">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</si>
  <si>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mv×</t>
    </r>
    <r>
      <rPr>
        <b val="true"/>
        <sz val="10"/>
        <color rgb="FFFFFFFF"/>
        <rFont val="Noto Sans CJK SC"/>
        <family val="2"/>
      </rPr>
      <t xml:space="preserve">크듀</t>
    </r>
    <r>
      <rPr>
        <b val="true"/>
        <sz val="10"/>
        <color rgb="FFFFFFFF"/>
        <rFont val="Arial"/>
        <family val="0"/>
        <charset val="1"/>
      </rPr>
      <t xml:space="preserve">(G)</t>
    </r>
  </si>
  <si>
    <r>
      <rPr>
        <b val="true"/>
        <sz val="10"/>
        <color rgb="FFFFFFFF"/>
        <rFont val="Arial"/>
        <family val="0"/>
        <charset val="1"/>
      </rPr>
      <t xml:space="preserve">mv×</t>
    </r>
    <r>
      <rPr>
        <b val="true"/>
        <sz val="10"/>
        <color rgb="FFFFFFFF"/>
        <rFont val="Noto Sans CJK SC"/>
        <family val="2"/>
      </rPr>
      <t xml:space="preserve">롤효과</t>
    </r>
  </si>
  <si>
    <r>
      <rPr>
        <b val="true"/>
        <sz val="10"/>
        <color rgb="FFFFFFFF"/>
        <rFont val="Arial"/>
        <family val="0"/>
        <charset val="1"/>
      </rPr>
      <t xml:space="preserve">mv(</t>
    </r>
    <r>
      <rPr>
        <b val="true"/>
        <sz val="10"/>
        <color rgb="FFFFFFFF"/>
        <rFont val="Noto Sans CJK SC"/>
        <family val="2"/>
      </rPr>
      <t xml:space="preserve">크레딧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</si>
  <si>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I-spread</t>
  </si>
  <si>
    <t xml:space="preserve">1D</t>
  </si>
  <si>
    <t xml:space="preserve">1W</t>
  </si>
  <si>
    <t xml:space="preserve">MTD</t>
  </si>
  <si>
    <t xml:space="preserve">YTD</t>
  </si>
  <si>
    <t xml:space="preserve">만기토큰</t>
  </si>
  <si>
    <t xml:space="preserve">쿠폰표기</t>
  </si>
  <si>
    <t xml:space="preserve">쿠폰</t>
  </si>
  <si>
    <r>
      <rPr>
        <b val="true"/>
        <sz val="10"/>
        <color rgb="FFFFFFFF"/>
        <rFont val="Noto Sans CJK SC"/>
        <family val="2"/>
      </rPr>
      <t xml:space="preserve">매칭키</t>
    </r>
    <r>
      <rPr>
        <b val="true"/>
        <sz val="10"/>
        <color rgb="FFFFFFFF"/>
        <rFont val="Arial"/>
        <family val="0"/>
        <charset val="1"/>
      </rPr>
      <t xml:space="preserve">2</t>
    </r>
  </si>
  <si>
    <r>
      <rPr>
        <b val="true"/>
        <sz val="10"/>
        <color rgb="FFFFFFFF"/>
        <rFont val="Arial"/>
        <family val="0"/>
        <charset val="1"/>
      </rPr>
      <t xml:space="preserve">RV</t>
    </r>
    <r>
      <rPr>
        <b val="true"/>
        <sz val="10"/>
        <color rgb="FFFFFFFF"/>
        <rFont val="Noto Sans CJK SC"/>
        <family val="2"/>
      </rPr>
      <t xml:space="preserve">대상</t>
    </r>
  </si>
  <si>
    <t xml:space="preserve">피어키</t>
  </si>
  <si>
    <r>
      <rPr>
        <b val="true"/>
        <sz val="10"/>
        <color rgb="FFFFFFFF"/>
        <rFont val="Arial"/>
        <family val="0"/>
        <charset val="1"/>
      </rPr>
      <t xml:space="preserve">ln(</t>
    </r>
    <r>
      <rPr>
        <b val="true"/>
        <sz val="10"/>
        <color rgb="FFFFFFFF"/>
        <rFont val="Noto Sans CJK SC"/>
        <family val="2"/>
      </rPr>
      <t xml:space="preserve">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</si>
  <si>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G(RV)</t>
  </si>
  <si>
    <r>
      <rPr>
        <b val="true"/>
        <sz val="10"/>
        <color rgb="FFFFFFFF"/>
        <rFont val="Noto Sans CJK SC"/>
        <family val="2"/>
      </rPr>
      <t xml:space="preserve">피어</t>
    </r>
    <r>
      <rPr>
        <b val="true"/>
        <sz val="10"/>
        <color rgb="FFFFFFFF"/>
        <rFont val="Arial"/>
        <family val="0"/>
        <charset val="1"/>
      </rPr>
      <t xml:space="preserve">n</t>
    </r>
  </si>
  <si>
    <r>
      <rPr>
        <b val="true"/>
        <sz val="10"/>
        <color rgb="FFFFFFFF"/>
        <rFont val="Noto Sans CJK SC"/>
        <family val="2"/>
      </rPr>
      <t xml:space="preserve">지역</t>
    </r>
    <r>
      <rPr>
        <b val="true"/>
        <sz val="10"/>
        <color rgb="FFFFFFFF"/>
        <rFont val="Arial"/>
        <family val="0"/>
        <charset val="1"/>
      </rPr>
      <t xml:space="preserve">n</t>
    </r>
  </si>
  <si>
    <r>
      <rPr>
        <b val="true"/>
        <sz val="10"/>
        <color rgb="FFFFFFFF"/>
        <rFont val="Noto Sans CJK SC"/>
        <family val="2"/>
      </rPr>
      <t xml:space="preserve">커브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</si>
  <si>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커브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</si>
  <si>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커브</t>
    </r>
    <r>
      <rPr>
        <b val="true"/>
        <sz val="10"/>
        <color rgb="FFFFFFFF"/>
        <rFont val="Arial"/>
        <family val="0"/>
        <charset val="1"/>
      </rPr>
      <t xml:space="preserve">σ</t>
    </r>
  </si>
  <si>
    <r>
      <rPr>
        <b val="true"/>
        <sz val="10"/>
        <color rgb="FFFFFFFF"/>
        <rFont val="Noto Sans CJK SC"/>
        <family val="2"/>
      </rPr>
      <t xml:space="preserve">적정</t>
    </r>
    <r>
      <rPr>
        <b val="true"/>
        <sz val="10"/>
        <color rgb="FFFFFFFF"/>
        <rFont val="Arial"/>
        <family val="0"/>
        <charset val="1"/>
      </rPr>
      <t xml:space="preserve">G(bp)</t>
    </r>
  </si>
  <si>
    <r>
      <rPr>
        <b val="true"/>
        <sz val="10"/>
        <color rgb="FFFFFFFF"/>
        <rFont val="Noto Sans CJK SC"/>
        <family val="2"/>
      </rPr>
      <t xml:space="preserve">발행자내 상대잔차</t>
    </r>
    <r>
      <rPr>
        <b val="true"/>
        <sz val="10"/>
        <color rgb="FFFFFFFF"/>
        <rFont val="Arial"/>
        <family val="0"/>
        <charset val="1"/>
      </rPr>
      <t xml:space="preserve">(bp)</t>
    </r>
  </si>
  <si>
    <r>
      <rPr>
        <b val="true"/>
        <sz val="10"/>
        <color rgb="FFFFFFFF"/>
        <rFont val="Noto Sans CJK SC"/>
        <family val="2"/>
      </rPr>
      <t xml:space="preserve">스프레드롤다운</t>
    </r>
    <r>
      <rPr>
        <b val="true"/>
        <sz val="10"/>
        <color rgb="FFFFFFFF"/>
        <rFont val="Arial"/>
        <family val="0"/>
        <charset val="1"/>
      </rPr>
      <t xml:space="preserve">(bp,1Y)</t>
    </r>
  </si>
  <si>
    <r>
      <rPr>
        <b val="true"/>
        <sz val="10"/>
        <color rgb="FFFFFFFF"/>
        <rFont val="Noto Sans CJK SC"/>
        <family val="2"/>
      </rPr>
      <t xml:space="preserve">보유 평가금액</t>
    </r>
    <r>
      <rPr>
        <b val="true"/>
        <sz val="10"/>
        <color rgb="FFFFFFFF"/>
        <rFont val="Arial"/>
        <family val="0"/>
        <charset val="1"/>
      </rPr>
      <t xml:space="preserve">($M,</t>
    </r>
    <r>
      <rPr>
        <b val="true"/>
        <sz val="10"/>
        <color rgb="FFFFFFFF"/>
        <rFont val="Noto Sans CJK SC"/>
        <family val="2"/>
      </rPr>
      <t xml:space="preserve">선택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</si>
  <si>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매수키</t>
  </si>
  <si>
    <r>
      <rPr>
        <b val="true"/>
        <sz val="10"/>
        <color rgb="FFFFFFFF"/>
        <rFont val="Arial"/>
        <family val="0"/>
        <charset val="1"/>
      </rPr>
      <t xml:space="preserve">1Y</t>
    </r>
    <r>
      <rPr>
        <b val="true"/>
        <sz val="10"/>
        <color rgb="FFFFFFFF"/>
        <rFont val="Noto Sans CJK SC"/>
        <family val="2"/>
      </rPr>
      <t xml:space="preserve">기대수익률</t>
    </r>
    <r>
      <rPr>
        <b val="true"/>
        <sz val="10"/>
        <color rgb="FFFFFFFF"/>
        <rFont val="Arial"/>
        <family val="0"/>
        <charset val="1"/>
      </rPr>
      <t xml:space="preserve">(%)
YTM+</t>
    </r>
    <r>
      <rPr>
        <b val="true"/>
        <sz val="10"/>
        <color rgb="FFFFFFFF"/>
        <rFont val="Noto Sans CJK SC"/>
        <family val="2"/>
      </rPr>
      <t xml:space="preserve">롤다운</t>
    </r>
  </si>
  <si>
    <r>
      <rPr>
        <b val="true"/>
        <sz val="10"/>
        <color rgb="FFFFFFFF"/>
        <rFont val="Noto Sans CJK SC"/>
        <family val="2"/>
      </rPr>
      <t xml:space="preserve">손익분기 확대폭</t>
    </r>
    <r>
      <rPr>
        <b val="true"/>
        <sz val="10"/>
        <color rgb="FFFFFFFF"/>
        <rFont val="Arial"/>
        <family val="0"/>
        <charset val="1"/>
      </rPr>
      <t xml:space="preserve">(bp)</t>
    </r>
  </si>
  <si>
    <t xml:space="preserve">스왑키</t>
  </si>
  <si>
    <t xml:space="preserve">매도키</t>
  </si>
  <si>
    <r>
      <rPr>
        <b val="true"/>
        <sz val="14"/>
        <rFont val="Noto Sans CJK SC"/>
        <family val="2"/>
      </rPr>
      <t xml:space="preserve">피어 스프레드 커브</t>
    </r>
    <r>
      <rPr>
        <b val="true"/>
        <sz val="14"/>
        <rFont val="Arial"/>
        <family val="0"/>
        <charset val="1"/>
      </rPr>
      <t xml:space="preserve">: G-spread = a + b·ln(</t>
    </r>
    <r>
      <rPr>
        <b val="true"/>
        <sz val="14"/>
        <rFont val="Noto Sans CJK SC"/>
        <family val="2"/>
      </rPr>
      <t xml:space="preserve">듀레이션</t>
    </r>
    <r>
      <rPr>
        <b val="true"/>
        <sz val="14"/>
        <rFont val="Arial"/>
        <family val="0"/>
        <charset val="1"/>
      </rPr>
      <t xml:space="preserve">)  (</t>
    </r>
    <r>
      <rPr>
        <b val="true"/>
        <sz val="14"/>
        <rFont val="Noto Sans CJK SC"/>
        <family val="2"/>
      </rPr>
      <t xml:space="preserve">시장데이터 </t>
    </r>
    <r>
      <rPr>
        <b val="true"/>
        <sz val="14"/>
        <rFont val="Arial"/>
        <family val="0"/>
        <charset val="1"/>
      </rPr>
      <t xml:space="preserve">USD </t>
    </r>
    <r>
      <rPr>
        <b val="true"/>
        <sz val="14"/>
        <rFont val="Noto Sans CJK SC"/>
        <family val="2"/>
      </rPr>
      <t xml:space="preserve">크레딧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Noto Sans CJK SC"/>
        <family val="2"/>
      </rPr>
      <t xml:space="preserve">국채 제외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</si>
  <si>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표본수 미달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목록에 없는 피어는 지역</t>
    </r>
    <r>
      <rPr>
        <i val="true"/>
        <sz val="10"/>
        <color rgb="FF595959"/>
        <rFont val="Arial"/>
        <family val="0"/>
        <charset val="1"/>
      </rPr>
      <t xml:space="preserve">|</t>
    </r>
    <r>
      <rPr>
        <i val="true"/>
        <sz val="10"/>
        <color rgb="FF595959"/>
        <rFont val="Noto Sans CJK SC"/>
        <family val="2"/>
      </rPr>
      <t xml:space="preserve">전체 → 전체</t>
    </r>
    <r>
      <rPr>
        <i val="true"/>
        <sz val="10"/>
        <color rgb="FF595959"/>
        <rFont val="Arial"/>
        <family val="0"/>
        <charset val="1"/>
      </rPr>
      <t xml:space="preserve">|</t>
    </r>
    <r>
      <rPr>
        <i val="true"/>
        <sz val="10"/>
        <color rgb="FF595959"/>
        <rFont val="Noto Sans CJK SC"/>
        <family val="2"/>
      </rPr>
      <t xml:space="preserve">전체 커브로 자동 대체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새 조합은 하단 노란 칸에 입력</t>
    </r>
  </si>
  <si>
    <t xml:space="preserve">키</t>
  </si>
  <si>
    <t xml:space="preserve">n</t>
  </si>
  <si>
    <t xml:space="preserve">Σx</t>
  </si>
  <si>
    <t xml:space="preserve">Σy</t>
  </si>
  <si>
    <t xml:space="preserve">Σxy</t>
  </si>
  <si>
    <t xml:space="preserve">Σx²</t>
  </si>
  <si>
    <t xml:space="preserve">Σy²</t>
  </si>
  <si>
    <r>
      <rPr>
        <b val="true"/>
        <sz val="10"/>
        <color rgb="FFFFFFFF"/>
        <rFont val="Arial"/>
        <family val="0"/>
        <charset val="1"/>
      </rPr>
      <t xml:space="preserve">b(</t>
    </r>
    <r>
      <rPr>
        <b val="true"/>
        <sz val="10"/>
        <color rgb="FFFFFFFF"/>
        <rFont val="Noto Sans CJK SC"/>
        <family val="2"/>
      </rPr>
      <t xml:space="preserve">기울기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</si>
  <si>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a(</t>
    </r>
    <r>
      <rPr>
        <b val="true"/>
        <sz val="10"/>
        <color rgb="FFFFFFFF"/>
        <rFont val="Noto Sans CJK SC"/>
        <family val="2"/>
      </rPr>
      <t xml:space="preserve">절편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</si>
  <si>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σ(</t>
    </r>
    <r>
      <rPr>
        <b val="true"/>
        <sz val="10"/>
        <color rgb="FFFFFFFF"/>
        <rFont val="Noto Sans CJK SC"/>
        <family val="2"/>
      </rPr>
      <t xml:space="preserve">잔차</t>
    </r>
    <r>
      <rPr>
        <b val="true"/>
        <sz val="10"/>
        <color rgb="FFFFFFFF"/>
        <rFont val="Arial"/>
        <family val="0"/>
        <charset val="1"/>
      </rPr>
      <t xml:space="preserve">,bp)</t>
    </r>
  </si>
  <si>
    <t xml:space="preserve">커브 사용가능</t>
  </si>
  <si>
    <t xml:space="preserve">전체</t>
  </si>
  <si>
    <t xml:space="preserve">평가가격</t>
  </si>
  <si>
    <t xml:space="preserve">평가금리</t>
  </si>
  <si>
    <t xml:space="preserve">Rates Duration</t>
  </si>
  <si>
    <t xml:space="preserve">Rates Delta</t>
  </si>
  <si>
    <r>
      <rPr>
        <sz val="10"/>
        <color rgb="FF0000FF"/>
        <rFont val="Noto Sans CJK SC"/>
        <family val="2"/>
      </rPr>
      <t xml:space="preserve">이표 </t>
    </r>
    <r>
      <rPr>
        <sz val="10"/>
        <color rgb="FF0000FF"/>
        <rFont val="Arial"/>
        <family val="0"/>
        <charset val="1"/>
      </rPr>
      <t xml:space="preserve">/ FRN</t>
    </r>
  </si>
  <si>
    <t xml:space="preserve">Credit Duration</t>
  </si>
  <si>
    <t xml:space="preserve">Credit Delta</t>
  </si>
  <si>
    <t xml:space="preserve">실제만기</t>
  </si>
  <si>
    <t xml:space="preserve">만기</t>
  </si>
  <si>
    <t xml:space="preserve">Credit</t>
  </si>
  <si>
    <t xml:space="preserve">delta</t>
  </si>
  <si>
    <t xml:space="preserve">매입가격</t>
  </si>
  <si>
    <t xml:space="preserve">TICKER</t>
  </si>
  <si>
    <t xml:space="preserve">원화 수익률</t>
  </si>
  <si>
    <t xml:space="preserve">외화 수익률</t>
  </si>
  <si>
    <t xml:space="preserve">Delta(duration)</t>
  </si>
  <si>
    <t xml:space="preserve">부서코드</t>
  </si>
  <si>
    <t xml:space="preserve">부서명</t>
  </si>
  <si>
    <t xml:space="preserve">종목코드</t>
  </si>
  <si>
    <t xml:space="preserve">매수일자</t>
  </si>
  <si>
    <t xml:space="preserve">잔고일련번호</t>
  </si>
  <si>
    <t xml:space="preserve">발행일</t>
  </si>
  <si>
    <t xml:space="preserve">잔존기간</t>
  </si>
  <si>
    <t xml:space="preserve">매입수익율</t>
  </si>
  <si>
    <t xml:space="preserve">매입단가</t>
  </si>
  <si>
    <r>
      <rPr>
        <sz val="10"/>
        <color rgb="FF0000FF"/>
        <rFont val="Arial"/>
        <family val="0"/>
        <charset val="1"/>
      </rPr>
      <t xml:space="preserve">BP</t>
    </r>
    <r>
      <rPr>
        <sz val="10"/>
        <color rgb="FF0000FF"/>
        <rFont val="Noto Sans CJK SC"/>
        <family val="2"/>
      </rPr>
      <t xml:space="preserve">수익율</t>
    </r>
  </si>
  <si>
    <r>
      <rPr>
        <sz val="10"/>
        <color rgb="FF0000FF"/>
        <rFont val="Arial"/>
        <family val="0"/>
        <charset val="1"/>
      </rPr>
      <t xml:space="preserve">BP</t>
    </r>
    <r>
      <rPr>
        <sz val="10"/>
        <color rgb="FF0000FF"/>
        <rFont val="Noto Sans CJK SC"/>
        <family val="2"/>
      </rPr>
      <t xml:space="preserve">단가</t>
    </r>
  </si>
  <si>
    <t xml:space="preserve">평가수익율</t>
  </si>
  <si>
    <t xml:space="preserve">환율</t>
  </si>
  <si>
    <r>
      <rPr>
        <sz val="10"/>
        <color rgb="FF0000FF"/>
        <rFont val="Arial"/>
        <family val="0"/>
        <charset val="1"/>
      </rPr>
      <t xml:space="preserve">USD</t>
    </r>
    <r>
      <rPr>
        <sz val="10"/>
        <color rgb="FF0000FF"/>
        <rFont val="Noto Sans CJK SC"/>
        <family val="2"/>
      </rPr>
      <t xml:space="preserve">환산</t>
    </r>
  </si>
  <si>
    <t xml:space="preserve">원화평가금액</t>
  </si>
  <si>
    <t xml:space="preserve">외화장부금액</t>
  </si>
  <si>
    <t xml:space="preserve">원화장부금액</t>
  </si>
  <si>
    <t xml:space="preserve">원화평가손익</t>
  </si>
  <si>
    <t xml:space="preserve">외화일반경과</t>
  </si>
  <si>
    <t xml:space="preserve">원화일반경과</t>
  </si>
  <si>
    <t xml:space="preserve">외화할인경과</t>
  </si>
  <si>
    <t xml:space="preserve">원화할인경과</t>
  </si>
  <si>
    <t xml:space="preserve">외화기결산일반미수</t>
  </si>
  <si>
    <t xml:space="preserve">원화기결산일반미수</t>
  </si>
  <si>
    <t xml:space="preserve">외화기결산할인미수</t>
  </si>
  <si>
    <t xml:space="preserve">원화기결산할인미수</t>
  </si>
  <si>
    <t xml:space="preserve">외화일반미수</t>
  </si>
  <si>
    <t xml:space="preserve">원화일반미수</t>
  </si>
  <si>
    <t xml:space="preserve">외화할인미수</t>
  </si>
  <si>
    <t xml:space="preserve">원화할인미수</t>
  </si>
  <si>
    <t xml:space="preserve">외화상각후원가</t>
  </si>
  <si>
    <t xml:space="preserve">원화상각후원가</t>
  </si>
  <si>
    <t xml:space="preserve">외화유효이자금액</t>
  </si>
  <si>
    <t xml:space="preserve">원화유효이자금액</t>
  </si>
  <si>
    <t xml:space="preserve">외화상각금액</t>
  </si>
  <si>
    <t xml:space="preserve">원화상각금액</t>
  </si>
  <si>
    <r>
      <rPr>
        <sz val="10"/>
        <color rgb="FF0000FF"/>
        <rFont val="Noto Sans CJK SC"/>
        <family val="2"/>
      </rPr>
      <t xml:space="preserve">환차손익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장부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</si>
  <si>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환차손익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경과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</si>
  <si>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환차손익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미수</t>
    </r>
    <r>
      <rPr>
        <sz val="10"/>
        <color rgb="FF0000FF"/>
        <rFont val="Arial"/>
        <family val="0"/>
        <charset val="1"/>
      </rPr>
      <t xml:space="preserve">)</t>
    </r>
  </si>
  <si>
    <t xml:space="preserve">외화이연평가손익</t>
  </si>
  <si>
    <t xml:space="preserve">원화이연평가손익</t>
  </si>
  <si>
    <t xml:space="preserve">외화총경과일반</t>
  </si>
  <si>
    <t xml:space="preserve">원화총경과일반</t>
  </si>
  <si>
    <t xml:space="preserve">외화총경과할인</t>
  </si>
  <si>
    <t xml:space="preserve">원화총경과할인</t>
  </si>
  <si>
    <t xml:space="preserve">장부환율</t>
  </si>
  <si>
    <t xml:space="preserve">통합신용등급</t>
  </si>
  <si>
    <t xml:space="preserve">기대신용손실</t>
  </si>
  <si>
    <r>
      <rPr>
        <sz val="10"/>
        <color rgb="FF0000FF"/>
        <rFont val="Arial"/>
        <family val="0"/>
        <charset val="1"/>
      </rPr>
      <t xml:space="preserve">KIS</t>
    </r>
    <r>
      <rPr>
        <sz val="10"/>
        <color rgb="FF0000FF"/>
        <rFont val="Noto Sans CJK SC"/>
        <family val="2"/>
      </rPr>
      <t xml:space="preserve">평가단가</t>
    </r>
  </si>
  <si>
    <r>
      <rPr>
        <sz val="10"/>
        <color rgb="FF0000FF"/>
        <rFont val="Arial"/>
        <family val="0"/>
        <charset val="1"/>
      </rPr>
      <t xml:space="preserve">KBP</t>
    </r>
    <r>
      <rPr>
        <sz val="10"/>
        <color rgb="FF0000FF"/>
        <rFont val="Noto Sans CJK SC"/>
        <family val="2"/>
      </rPr>
      <t xml:space="preserve">평가단가</t>
    </r>
  </si>
  <si>
    <r>
      <rPr>
        <sz val="10"/>
        <color rgb="FF0000FF"/>
        <rFont val="Arial"/>
        <family val="0"/>
        <charset val="1"/>
      </rPr>
      <t xml:space="preserve">NICE</t>
    </r>
    <r>
      <rPr>
        <sz val="10"/>
        <color rgb="FF0000FF"/>
        <rFont val="Noto Sans CJK SC"/>
        <family val="2"/>
      </rPr>
      <t xml:space="preserve">평가단가</t>
    </r>
  </si>
  <si>
    <t xml:space="preserve">가용수량</t>
  </si>
  <si>
    <t xml:space="preserve">US302154DM88</t>
  </si>
  <si>
    <t xml:space="preserve">이표채</t>
  </si>
  <si>
    <t xml:space="preserve">KP</t>
  </si>
  <si>
    <t xml:space="preserve">EIBKOR</t>
  </si>
  <si>
    <t xml:space="preserve">AA</t>
  </si>
  <si>
    <t xml:space="preserve">외화운용실</t>
  </si>
  <si>
    <t xml:space="preserve">EIBKOR 1.625 01/18/27</t>
  </si>
  <si>
    <t xml:space="preserve">AA-</t>
  </si>
  <si>
    <t xml:space="preserve">US65540KAK16</t>
  </si>
  <si>
    <t xml:space="preserve">NACF</t>
  </si>
  <si>
    <t xml:space="preserve">A+</t>
  </si>
  <si>
    <t xml:space="preserve">NACF 4.875 07/03/28</t>
  </si>
  <si>
    <t xml:space="preserve">N/A</t>
  </si>
  <si>
    <t xml:space="preserve">US05971KAV17</t>
  </si>
  <si>
    <t xml:space="preserve">SANTAN</t>
  </si>
  <si>
    <r>
      <rPr>
        <sz val="10"/>
        <color rgb="FF0000FF"/>
        <rFont val="Noto Sans CJK SC"/>
        <family val="2"/>
      </rPr>
      <t xml:space="preserve">당기손익</t>
    </r>
    <r>
      <rPr>
        <sz val="10"/>
        <color rgb="FF0000FF"/>
        <rFont val="Arial"/>
        <family val="0"/>
        <charset val="1"/>
      </rPr>
      <t xml:space="preserve">-TD</t>
    </r>
  </si>
  <si>
    <t xml:space="preserve">SANTAN 4.867 04/15/31</t>
  </si>
  <si>
    <t xml:space="preserve">A-</t>
  </si>
  <si>
    <t xml:space="preserve">US06738ECX13</t>
  </si>
  <si>
    <t xml:space="preserve">BACR</t>
  </si>
  <si>
    <t xml:space="preserve">BBB+</t>
  </si>
  <si>
    <t xml:space="preserve">BACR 5.086 02/25/29</t>
  </si>
  <si>
    <t xml:space="preserve">US06738EDJ10</t>
  </si>
  <si>
    <t xml:space="preserve">BACR 4.521 02/24/32</t>
  </si>
  <si>
    <t xml:space="preserve">US06738EDM49</t>
  </si>
  <si>
    <t xml:space="preserve">BACR 5.102 06/26/32</t>
  </si>
  <si>
    <t xml:space="preserve">US11135FBY60</t>
  </si>
  <si>
    <t xml:space="preserve">북미</t>
  </si>
  <si>
    <t xml:space="preserve">AVGO</t>
  </si>
  <si>
    <t xml:space="preserve">AVGO 5.15 11/15/31</t>
  </si>
  <si>
    <t xml:space="preserve">US38141GF335</t>
  </si>
  <si>
    <t xml:space="preserve">GS</t>
  </si>
  <si>
    <t xml:space="preserve">GS 4.972 06/03/32</t>
  </si>
  <si>
    <t xml:space="preserve">US38141GWV21</t>
  </si>
  <si>
    <t xml:space="preserve">GS </t>
  </si>
  <si>
    <t xml:space="preserve">GS 3.814 04/23/29</t>
  </si>
  <si>
    <t xml:space="preserve">US404280CV97</t>
  </si>
  <si>
    <t xml:space="preserve">HSBC</t>
  </si>
  <si>
    <t xml:space="preserve">HSBC 2.206 08/17/29</t>
  </si>
  <si>
    <t xml:space="preserve">US404280FL88</t>
  </si>
  <si>
    <t xml:space="preserve">HSBC 4.675 03/10/32</t>
  </si>
  <si>
    <t xml:space="preserve">US44891CCU53</t>
  </si>
  <si>
    <t xml:space="preserve">HYNMTR</t>
  </si>
  <si>
    <t xml:space="preserve">HYNMTR 5.3 01/08/29</t>
  </si>
  <si>
    <t xml:space="preserve">US44891CDD20</t>
  </si>
  <si>
    <t xml:space="preserve">HYNMTR 5.4 06/24/31</t>
  </si>
  <si>
    <t xml:space="preserve">US44891CDH34</t>
  </si>
  <si>
    <t xml:space="preserve">HYNMTR 4.75 09/26/31</t>
  </si>
  <si>
    <t xml:space="preserve">US44891CED11</t>
  </si>
  <si>
    <t xml:space="preserve">HYNMTR 4.25 01/08/29</t>
  </si>
  <si>
    <t xml:space="preserve">US44891CEP41</t>
  </si>
  <si>
    <t xml:space="preserve">HYNMTR 5 06/18/31</t>
  </si>
  <si>
    <t xml:space="preserve">US456837BU63</t>
  </si>
  <si>
    <t xml:space="preserve">INTEND</t>
  </si>
  <si>
    <t xml:space="preserve">INTNED 4.803 03/23/32</t>
  </si>
  <si>
    <t xml:space="preserve">US48128BAU52</t>
  </si>
  <si>
    <t xml:space="preserve">JPM </t>
  </si>
  <si>
    <t xml:space="preserve">JPM 5.041 07/23/32</t>
  </si>
  <si>
    <t xml:space="preserve">US606822DS05</t>
  </si>
  <si>
    <t xml:space="preserve">MUFG</t>
  </si>
  <si>
    <t xml:space="preserve">MUFG 4.505 01/14/32</t>
  </si>
  <si>
    <t xml:space="preserve">A1</t>
  </si>
  <si>
    <t xml:space="preserve">US60687YDL02</t>
  </si>
  <si>
    <t xml:space="preserve">MIZUHO</t>
  </si>
  <si>
    <t xml:space="preserve">MIZUHO 4.711 07/08/31</t>
  </si>
  <si>
    <t xml:space="preserve">US61747YFY68</t>
  </si>
  <si>
    <t xml:space="preserve">MS</t>
  </si>
  <si>
    <t xml:space="preserve">MS 4.994 04/12/29</t>
  </si>
  <si>
    <t xml:space="preserve">US61748UAY82</t>
  </si>
  <si>
    <t xml:space="preserve">ㅇ</t>
  </si>
  <si>
    <t xml:space="preserve">MS 4.868 07/12/29</t>
  </si>
  <si>
    <t xml:space="preserve">US61748UBA97</t>
  </si>
  <si>
    <t xml:space="preserve">MS 5.17 07/14/32</t>
  </si>
  <si>
    <t xml:space="preserve">US65535HAY53</t>
  </si>
  <si>
    <t xml:space="preserve">NOMURA</t>
  </si>
  <si>
    <t xml:space="preserve">NOMURA 2.172 07/14/28</t>
  </si>
  <si>
    <t xml:space="preserve">US65535HCL15</t>
  </si>
  <si>
    <t xml:space="preserve">NOMURA 5.166 07/14/31</t>
  </si>
  <si>
    <t xml:space="preserve">US780097BG51</t>
  </si>
  <si>
    <t xml:space="preserve">NWG</t>
  </si>
  <si>
    <t xml:space="preserve">NWG 4.892 05/18/29</t>
  </si>
  <si>
    <t xml:space="preserve">US82460EAN04</t>
  </si>
  <si>
    <t xml:space="preserve">SHINHAN</t>
  </si>
  <si>
    <t xml:space="preserve">SHNHAN 4 04/23/29</t>
  </si>
  <si>
    <t xml:space="preserve">US83368TCJ51</t>
  </si>
  <si>
    <t xml:space="preserve">SOCGEN</t>
  </si>
  <si>
    <t xml:space="preserve">SOCGEN 5.249 05/22/29</t>
  </si>
  <si>
    <t xml:space="preserve">US86562MED83</t>
  </si>
  <si>
    <t xml:space="preserve">SUMIBK</t>
  </si>
  <si>
    <t xml:space="preserve">SUMIBK 4.494 01/15/32</t>
  </si>
  <si>
    <t xml:space="preserve">US95000U4H36</t>
  </si>
  <si>
    <t xml:space="preserve">WFC</t>
  </si>
  <si>
    <t xml:space="preserve">WFC 4.577 05/20/29</t>
  </si>
  <si>
    <t xml:space="preserve">US98105HAG56</t>
  </si>
  <si>
    <t xml:space="preserve">WOORIB</t>
  </si>
  <si>
    <t xml:space="preserve">WOORIB 5.125 08/06/28</t>
  </si>
  <si>
    <t xml:space="preserve">USG84228FZ63</t>
  </si>
  <si>
    <t xml:space="preserve">STANLN</t>
  </si>
  <si>
    <t xml:space="preserve">STANLN 7.018 02/08/30</t>
  </si>
  <si>
    <t xml:space="preserve">USH42097FT99</t>
  </si>
  <si>
    <t xml:space="preserve">UBS</t>
  </si>
  <si>
    <t xml:space="preserve">UBS 4.588 08/10/32</t>
  </si>
  <si>
    <t xml:space="preserve">USJ5903AAA28</t>
  </si>
  <si>
    <t xml:space="preserve">NORBK</t>
  </si>
  <si>
    <t xml:space="preserve">NORBK 5.094 10/16/29</t>
  </si>
  <si>
    <t xml:space="preserve">USU8531HAA87</t>
  </si>
  <si>
    <t xml:space="preserve">SPCX</t>
  </si>
  <si>
    <t xml:space="preserve">SPCX 5.35 07/15/31</t>
  </si>
  <si>
    <t xml:space="preserve">USY29011DG83</t>
  </si>
  <si>
    <t xml:space="preserve">GSCCOR</t>
  </si>
  <si>
    <t xml:space="preserve">GSCCOR 5.375 08/07/28</t>
  </si>
  <si>
    <t xml:space="preserve">USY3815NBK64</t>
  </si>
  <si>
    <t xml:space="preserve">HYUCAP</t>
  </si>
  <si>
    <t xml:space="preserve">HYUCAP 5.25 01/22/28</t>
  </si>
  <si>
    <t xml:space="preserve">USY5S5CGAB83</t>
  </si>
  <si>
    <t xml:space="preserve">LGENSO</t>
  </si>
  <si>
    <t xml:space="preserve">LGENSO 5.75 09/25/28</t>
  </si>
  <si>
    <t xml:space="preserve">USY5S5CGAK82</t>
  </si>
  <si>
    <t xml:space="preserve">LGENSO 5.375 07/02/27</t>
  </si>
  <si>
    <t xml:space="preserve">USY5S5CGAN22</t>
  </si>
  <si>
    <t xml:space="preserve">LGENSO 5.25 04/02/28</t>
  </si>
  <si>
    <t xml:space="preserve">USY5S80VAB27</t>
  </si>
  <si>
    <t xml:space="preserve">LGELEC</t>
  </si>
  <si>
    <t xml:space="preserve">LGELEC 5.625 04/24/29</t>
  </si>
  <si>
    <t xml:space="preserve">Baa2</t>
  </si>
  <si>
    <t xml:space="preserve">USY7S272AG74</t>
  </si>
  <si>
    <t xml:space="preserve">POHANG</t>
  </si>
  <si>
    <t xml:space="preserve">pohang 5.75 01/17/28</t>
  </si>
  <si>
    <t xml:space="preserve">USY7S27KAX02</t>
  </si>
  <si>
    <t xml:space="preserve">POINTL</t>
  </si>
  <si>
    <t xml:space="preserve">POINTL 5.125 06/29/31</t>
  </si>
  <si>
    <t xml:space="preserve">USY8085FBD16</t>
  </si>
  <si>
    <t xml:space="preserve">HYUELE</t>
  </si>
  <si>
    <t xml:space="preserve">BBB-</t>
  </si>
  <si>
    <t xml:space="preserve">HYUELE 2.375 01/19/31</t>
  </si>
  <si>
    <t xml:space="preserve">USY8085FBK58</t>
  </si>
  <si>
    <t xml:space="preserve">HYUELE 6.375 01/17/28</t>
  </si>
  <si>
    <t xml:space="preserve">XS1795263281</t>
  </si>
  <si>
    <t xml:space="preserve">SHNHAN</t>
  </si>
  <si>
    <t xml:space="preserve">SHNHAN 4.5 03/26/28</t>
  </si>
  <si>
    <t xml:space="preserve">XS1932879130</t>
  </si>
  <si>
    <t xml:space="preserve">CITNAT</t>
  </si>
  <si>
    <t xml:space="preserve">CITNAT 4.5 02/01/29</t>
  </si>
  <si>
    <t xml:space="preserve">XS2703610050</t>
  </si>
  <si>
    <t xml:space="preserve">DFHOLD</t>
  </si>
  <si>
    <t xml:space="preserve">DFHOLD 6.875 11/06/26</t>
  </si>
  <si>
    <t xml:space="preserve">XS2985211569</t>
  </si>
  <si>
    <t xml:space="preserve">DAESEC</t>
  </si>
  <si>
    <t xml:space="preserve">NR</t>
  </si>
  <si>
    <t xml:space="preserve">DAESEC 5.25 03/06/28</t>
  </si>
  <si>
    <t xml:space="preserve">XS3078370726</t>
  </si>
  <si>
    <t xml:space="preserve">KUB</t>
  </si>
  <si>
    <t xml:space="preserve">KUB 4.791 05/28/28</t>
  </si>
  <si>
    <t xml:space="preserve">XS3189630372</t>
  </si>
  <si>
    <t xml:space="preserve">DAESEC 4.375 10/14/28</t>
  </si>
  <si>
    <t xml:space="preserve">XS3299380850</t>
  </si>
  <si>
    <t xml:space="preserve">XS3304372868</t>
  </si>
  <si>
    <t xml:space="preserve">XS3412559299</t>
  </si>
  <si>
    <t xml:space="preserve">DAESEC 4.375 03/11/31</t>
  </si>
  <si>
    <t xml:space="preserve">STANLN 4.529 06/05/32</t>
  </si>
  <si>
    <t xml:space="preserve">A3</t>
  </si>
  <si>
    <t xml:space="preserve">DAESEC 5.25 07/06/31</t>
  </si>
  <si>
    <t xml:space="preserve">XS3423950230</t>
  </si>
  <si>
    <t xml:space="preserve">NHSECS</t>
  </si>
  <si>
    <t xml:space="preserve">XS3423950313</t>
  </si>
  <si>
    <t xml:space="preserve">NHSECS 5 06/29/31</t>
  </si>
  <si>
    <t xml:space="preserve">FR0014010FH7</t>
  </si>
  <si>
    <t xml:space="preserve">BNP</t>
  </si>
  <si>
    <t xml:space="preserve">US02079KBM80</t>
  </si>
  <si>
    <t xml:space="preserve">GOOGL </t>
  </si>
  <si>
    <t xml:space="preserve">NHSECS 4.875 06/29/29</t>
  </si>
  <si>
    <t xml:space="preserve">US09659X2X97</t>
  </si>
  <si>
    <t xml:space="preserve">BNP 5.11 06/12/30</t>
  </si>
  <si>
    <t xml:space="preserve">US38141GC365</t>
  </si>
  <si>
    <t xml:space="preserve">GOOGL 4.8 02/15/36</t>
  </si>
  <si>
    <t xml:space="preserve">AA+</t>
  </si>
  <si>
    <t xml:space="preserve">US44891CEA71</t>
  </si>
  <si>
    <t xml:space="preserve">BNP 5.283 11/19/30</t>
  </si>
  <si>
    <t xml:space="preserve">US44891CER07</t>
  </si>
  <si>
    <t xml:space="preserve">GS 5.207 01/28/31</t>
  </si>
  <si>
    <t xml:space="preserve">US46647PEJ12</t>
  </si>
  <si>
    <t xml:space="preserve">JPM</t>
  </si>
  <si>
    <t xml:space="preserve">HYNMTR 4.5 09/18/30</t>
  </si>
  <si>
    <t xml:space="preserve">US46647PEV40</t>
  </si>
  <si>
    <t xml:space="preserve">HYNMTR 5.4 09/17/29</t>
  </si>
  <si>
    <t xml:space="preserve">US46647PFD33</t>
  </si>
  <si>
    <t xml:space="preserve">JPM 4.995 07/22/30</t>
  </si>
  <si>
    <t xml:space="preserve">US46647PFE16</t>
  </si>
  <si>
    <t xml:space="preserve">JPM 5.14 01/24/31</t>
  </si>
  <si>
    <t xml:space="preserve">US46647PFJ03</t>
  </si>
  <si>
    <t xml:space="preserve">JPM 4.255 10/22/31</t>
  </si>
  <si>
    <t xml:space="preserve">US500631AE67</t>
  </si>
  <si>
    <t xml:space="preserve">KORELE</t>
  </si>
  <si>
    <t xml:space="preserve">JPM 4.81 10/22/36</t>
  </si>
  <si>
    <t xml:space="preserve">JPM 4.898 01/22/37</t>
  </si>
  <si>
    <t xml:space="preserve">KORELE 7.95 04/01/2096</t>
  </si>
  <si>
    <t xml:space="preserve">US61748UAR32</t>
  </si>
  <si>
    <t xml:space="preserve">US61748UAV44</t>
  </si>
  <si>
    <t xml:space="preserve">MS </t>
  </si>
  <si>
    <t xml:space="preserve">MS 4.238 01/09/30</t>
  </si>
  <si>
    <t xml:space="preserve">US61778EUR07</t>
  </si>
  <si>
    <t xml:space="preserve">MS 4.555 04/10/30</t>
  </si>
  <si>
    <t xml:space="preserve">US65535HCB33</t>
  </si>
  <si>
    <t xml:space="preserve">US65535HCK32</t>
  </si>
  <si>
    <t xml:space="preserve">MS 4.788 05/10/30</t>
  </si>
  <si>
    <t xml:space="preserve">US780097BL47</t>
  </si>
  <si>
    <t xml:space="preserve">NOMURA 5.491 06/29/35</t>
  </si>
  <si>
    <t xml:space="preserve">US91282CGT27</t>
  </si>
  <si>
    <t xml:space="preserve">Treasury</t>
  </si>
  <si>
    <t xml:space="preserve">T</t>
  </si>
  <si>
    <t xml:space="preserve">NOMURA 4.996 06/29/29</t>
  </si>
  <si>
    <t xml:space="preserve">US91282CKQ32</t>
  </si>
  <si>
    <t xml:space="preserve">NWG 4.445 05/08/30</t>
  </si>
  <si>
    <t xml:space="preserve">US91282CNC19</t>
  </si>
  <si>
    <t xml:space="preserve">T 3.625 03/31/28</t>
  </si>
  <si>
    <t xml:space="preserve">US95000U3P60</t>
  </si>
  <si>
    <t xml:space="preserve">T 4.375 05/15/34</t>
  </si>
  <si>
    <t xml:space="preserve">USG84228FL77</t>
  </si>
  <si>
    <t xml:space="preserve">T 4.25 05/15/35</t>
  </si>
  <si>
    <t xml:space="preserve">USG84228FY98</t>
  </si>
  <si>
    <t xml:space="preserve">WFC 5.244 01/24/31</t>
  </si>
  <si>
    <t xml:space="preserve">USH42097EV54</t>
  </si>
  <si>
    <t xml:space="preserve">STANLN 7.767 11/16/28</t>
  </si>
  <si>
    <t xml:space="preserve">USH42097FW29</t>
  </si>
  <si>
    <t xml:space="preserve">STANLN 6.75 02/08/28</t>
  </si>
  <si>
    <t xml:space="preserve">USJ5901UAH52</t>
  </si>
  <si>
    <t xml:space="preserve">UBS 5.428 02/08/30</t>
  </si>
  <si>
    <t xml:space="preserve">UBS 5.3791 10/11/31</t>
  </si>
  <si>
    <t xml:space="preserve">USJ5S39RAM64</t>
  </si>
  <si>
    <t xml:space="preserve">NTT</t>
  </si>
  <si>
    <t xml:space="preserve">NORBK 5.359 09/09/35</t>
  </si>
  <si>
    <t xml:space="preserve">USY29011DM51</t>
  </si>
  <si>
    <t xml:space="preserve">USY5S5CGAR36</t>
  </si>
  <si>
    <t xml:space="preserve">NTT 5.11 07/02/29</t>
  </si>
  <si>
    <t xml:space="preserve">GSCCOR 4.25 10/28/30</t>
  </si>
  <si>
    <t xml:space="preserve">USY5S5CGAV48</t>
  </si>
  <si>
    <t xml:space="preserve">LGENSO 5.875 04/02/35</t>
  </si>
  <si>
    <t xml:space="preserve">USY70750CB13</t>
  </si>
  <si>
    <t xml:space="preserve">PKX</t>
  </si>
  <si>
    <t xml:space="preserve">LGENSO 5.875 04/02/36</t>
  </si>
  <si>
    <t xml:space="preserve">USY7S272AL69</t>
  </si>
  <si>
    <t xml:space="preserve">PKX 5.125 05/07/30</t>
  </si>
  <si>
    <t xml:space="preserve">USY7S272AM43</t>
  </si>
  <si>
    <t xml:space="preserve">POHANG 4.5 01/16/31</t>
  </si>
  <si>
    <t xml:space="preserve">POHANG 5 01/16/36</t>
  </si>
  <si>
    <t xml:space="preserve">USY8085FBL32</t>
  </si>
  <si>
    <t xml:space="preserve">HYUELE 6.5 01/17/33</t>
  </si>
  <si>
    <t xml:space="preserve">USY8085FBU31</t>
  </si>
  <si>
    <t xml:space="preserve">USY8085FBY52</t>
  </si>
  <si>
    <t xml:space="preserve">USY8085FBZ28</t>
  </si>
  <si>
    <t xml:space="preserve">HYUELE 5.5 01/16/29</t>
  </si>
  <si>
    <t xml:space="preserve">XS2559683359</t>
  </si>
  <si>
    <t xml:space="preserve">CACIB</t>
  </si>
  <si>
    <t xml:space="preserve">HYUELE 4.25 09/11/28</t>
  </si>
  <si>
    <t xml:space="preserve">HYUELE 4.375 09/11/30</t>
  </si>
  <si>
    <t xml:space="preserve">CACIB Notes (230802)</t>
  </si>
  <si>
    <t xml:space="preserve">XS2739009855</t>
  </si>
  <si>
    <t xml:space="preserve">XS3017043053</t>
  </si>
  <si>
    <t xml:space="preserve">TD</t>
  </si>
  <si>
    <t xml:space="preserve">XS3028206350</t>
  </si>
  <si>
    <t xml:space="preserve">DAESEC 6 01/26/29</t>
  </si>
  <si>
    <t xml:space="preserve">XS3030377132</t>
  </si>
  <si>
    <t xml:space="preserve">TD 5.15 06/30/30</t>
  </si>
  <si>
    <t xml:space="preserve">XS3412558648</t>
  </si>
  <si>
    <t xml:space="preserve">GS 4.7 03/20/29</t>
  </si>
  <si>
    <t xml:space="preserve">WFC 5.2 03/20/30</t>
  </si>
  <si>
    <t xml:space="preserve">DAESEC 5.125 07/06/29</t>
  </si>
  <si>
    <t xml:space="preserve">XS3448558893</t>
  </si>
  <si>
    <t xml:space="preserve">SAMAER</t>
  </si>
  <si>
    <t xml:space="preserve">XS3504731228</t>
  </si>
  <si>
    <t xml:space="preserve">KORSFC</t>
  </si>
  <si>
    <t xml:space="preserve">KR6065904G23</t>
  </si>
  <si>
    <t xml:space="preserve">HYNCRD</t>
  </si>
  <si>
    <t xml:space="preserve">SAMAER 5 07/27/29</t>
  </si>
  <si>
    <t xml:space="preserve">US302154EB15</t>
  </si>
  <si>
    <t xml:space="preserve">KORSFC 4.875 09/17/29</t>
  </si>
  <si>
    <r>
      <rPr>
        <sz val="10"/>
        <color rgb="FF0000FF"/>
        <rFont val="Noto Sans CJK SC"/>
        <family val="2"/>
      </rPr>
      <t xml:space="preserve">현대카드</t>
    </r>
    <r>
      <rPr>
        <sz val="10"/>
        <color rgb="FF0000FF"/>
        <rFont val="Arial"/>
        <family val="0"/>
        <charset val="1"/>
      </rPr>
      <t xml:space="preserve">953(USD)</t>
    </r>
  </si>
  <si>
    <t xml:space="preserve">US404280BT50</t>
  </si>
  <si>
    <t xml:space="preserve">EIBKOR 4.5 01/11/29</t>
  </si>
  <si>
    <t xml:space="preserve">US404280CC17</t>
  </si>
  <si>
    <t xml:space="preserve">US404280CF48</t>
  </si>
  <si>
    <t xml:space="preserve">HSBC 4.583 06/19/29</t>
  </si>
  <si>
    <t xml:space="preserve">HSBC 3.973 05/22/30</t>
  </si>
  <si>
    <t xml:space="preserve">US404280EG03</t>
  </si>
  <si>
    <t xml:space="preserve">US404280EN53</t>
  </si>
  <si>
    <t xml:space="preserve">HSBC 5.733 05/17/32</t>
  </si>
  <si>
    <t xml:space="preserve">US404280ER67</t>
  </si>
  <si>
    <t xml:space="preserve">HSBC 5.286 11/19/30</t>
  </si>
  <si>
    <t xml:space="preserve">US404280EW52</t>
  </si>
  <si>
    <t xml:space="preserve">HSBC 5.13 03/03/31</t>
  </si>
  <si>
    <t xml:space="preserve">HSBC 5.24 05/13/31</t>
  </si>
  <si>
    <t xml:space="preserve">US44891CBL63</t>
  </si>
  <si>
    <t xml:space="preserve">HYNMTR 6.375 04/08/30</t>
  </si>
  <si>
    <t xml:space="preserve">US44891CCE12</t>
  </si>
  <si>
    <t xml:space="preserve">HYNMTR 5.8 04/01/30</t>
  </si>
  <si>
    <t xml:space="preserve">US44891CCJ09</t>
  </si>
  <si>
    <t xml:space="preserve">HYNMTR 5.7 06/26/30</t>
  </si>
  <si>
    <t xml:space="preserve">US44891CCP68</t>
  </si>
  <si>
    <t xml:space="preserve">US44891CDB63</t>
  </si>
  <si>
    <t xml:space="preserve">HYNMTR 6.2 09/21/30</t>
  </si>
  <si>
    <t xml:space="preserve">US44891CDL46</t>
  </si>
  <si>
    <t xml:space="preserve">US44891CDM29</t>
  </si>
  <si>
    <t xml:space="preserve">HYNMTR 5.275 06/24/27</t>
  </si>
  <si>
    <t xml:space="preserve">HYNMTR 5 01/07/28</t>
  </si>
  <si>
    <t xml:space="preserve">HYNMTR 5.3 01/08/30</t>
  </si>
  <si>
    <t xml:space="preserve">US44891CDQ33</t>
  </si>
  <si>
    <t xml:space="preserve">HYNMTR 5.15 03/27/30</t>
  </si>
  <si>
    <t xml:space="preserve">US44891CDW01</t>
  </si>
  <si>
    <t xml:space="preserve">US44891CEE93</t>
  </si>
  <si>
    <t xml:space="preserve">HYNMTR 5.1 06/24/30</t>
  </si>
  <si>
    <t xml:space="preserve">US50050HAN61</t>
  </si>
  <si>
    <t xml:space="preserve">HYNMTR 4.55 01/08/31</t>
  </si>
  <si>
    <t xml:space="preserve">US500630ED65</t>
  </si>
  <si>
    <t xml:space="preserve">KDB</t>
  </si>
  <si>
    <t xml:space="preserve">CITNAT 2.5 11/04/30</t>
  </si>
  <si>
    <t xml:space="preserve">US50064FAY07</t>
  </si>
  <si>
    <t xml:space="preserve">KOREA </t>
  </si>
  <si>
    <t xml:space="preserve">US50064FBA12</t>
  </si>
  <si>
    <t xml:space="preserve">KDB 4.5 02/15/29</t>
  </si>
  <si>
    <t xml:space="preserve">USY4899GGX52</t>
  </si>
  <si>
    <t xml:space="preserve">KOHNPW</t>
  </si>
  <si>
    <t xml:space="preserve">KOREA 3.625 10/29/30</t>
  </si>
  <si>
    <t xml:space="preserve">KOREA 3.875 02/12/31</t>
  </si>
  <si>
    <t xml:space="preserve">KOHNPW 4 5/8 07/29/29</t>
  </si>
  <si>
    <t xml:space="preserve">USY5S5CGAL65</t>
  </si>
  <si>
    <t xml:space="preserve">LGENSO 5.375 07/02/29</t>
  </si>
  <si>
    <t xml:space="preserve">USY5S5CGAP79</t>
  </si>
  <si>
    <t xml:space="preserve">LGENSO 5.375 04/02/30</t>
  </si>
  <si>
    <t xml:space="preserve">USY5S5CGAS19</t>
  </si>
  <si>
    <t xml:space="preserve">LGENSO 5 04/02/29</t>
  </si>
  <si>
    <t xml:space="preserve">XS2798085416</t>
  </si>
  <si>
    <t xml:space="preserve">XS3109629371</t>
  </si>
  <si>
    <t xml:space="preserve">HYNCRD 5.75 04/24/29</t>
  </si>
  <si>
    <t xml:space="preserve">NHSECS 4.75 07/10/30</t>
  </si>
  <si>
    <t xml:space="preserve">XS3187679041</t>
  </si>
  <si>
    <t xml:space="preserve">HANMIL</t>
  </si>
  <si>
    <t xml:space="preserve">XS3219365635</t>
  </si>
  <si>
    <t xml:space="preserve">KOEWPW</t>
  </si>
  <si>
    <t xml:space="preserve">HANMIL 4.25 10/01/30</t>
  </si>
  <si>
    <t xml:space="preserve">KOEWPW 4 05/04/31</t>
  </si>
  <si>
    <t xml:space="preserve">XS3299373996</t>
  </si>
  <si>
    <t xml:space="preserve">DAESEC 4.25 03/11/29</t>
  </si>
  <si>
    <t xml:space="preserve">US05964HBG92</t>
  </si>
  <si>
    <t xml:space="preserve">US06051GMW68</t>
  </si>
  <si>
    <t xml:space="preserve">BAC</t>
  </si>
  <si>
    <t xml:space="preserve">SANTAN 5.439 07/15/31</t>
  </si>
  <si>
    <t xml:space="preserve">US22536PAB76</t>
  </si>
  <si>
    <t xml:space="preserve">ACAFP</t>
  </si>
  <si>
    <t xml:space="preserve">US38141GD355</t>
  </si>
  <si>
    <t xml:space="preserve">BAC 5.464 05/09/36</t>
  </si>
  <si>
    <t xml:space="preserve">US38145GAR11</t>
  </si>
  <si>
    <t xml:space="preserve">ACAFP 4.125 01/10/27</t>
  </si>
  <si>
    <t xml:space="preserve">US44891CDF77</t>
  </si>
  <si>
    <t xml:space="preserve">GS 4.369 10/21/31</t>
  </si>
  <si>
    <t xml:space="preserve">US44891CDG50</t>
  </si>
  <si>
    <t xml:space="preserve">GS 4.516 01/21/32</t>
  </si>
  <si>
    <t xml:space="preserve">US60687YDF34</t>
  </si>
  <si>
    <t xml:space="preserve">HYNMTR 4.3 09/24/27</t>
  </si>
  <si>
    <t xml:space="preserve">US61748UAS15</t>
  </si>
  <si>
    <t xml:space="preserve">HYNMTR 4.55 09/26/29</t>
  </si>
  <si>
    <t xml:space="preserve">MIZUHO 5.382 07/10/30</t>
  </si>
  <si>
    <t xml:space="preserve">US91282CNT44</t>
  </si>
  <si>
    <t xml:space="preserve">MS 4.493 01/16/32</t>
  </si>
  <si>
    <t xml:space="preserve">T 4.25 08/15/35</t>
  </si>
  <si>
    <t xml:space="preserve">US91282CNW72</t>
  </si>
  <si>
    <t xml:space="preserve">US91282CNZ04</t>
  </si>
  <si>
    <t xml:space="preserve">US91282CPM72</t>
  </si>
  <si>
    <t xml:space="preserve">T 3.875 08/31/32</t>
  </si>
  <si>
    <t xml:space="preserve">T 3.875 09/30/32</t>
  </si>
  <si>
    <t xml:space="preserve">T 3.75 11/30/32</t>
  </si>
  <si>
    <t xml:space="preserve">US91282CPZ85</t>
  </si>
  <si>
    <t xml:space="preserve">US91282CQQ77</t>
  </si>
  <si>
    <t xml:space="preserve">T 4.125 02/15/36</t>
  </si>
  <si>
    <t xml:space="preserve">USY70750CC95</t>
  </si>
  <si>
    <t xml:space="preserve">T 4.375 05/15/36</t>
  </si>
  <si>
    <t xml:space="preserve">PKX 5.75 05/07/35</t>
  </si>
  <si>
    <t xml:space="preserve">XS2052998403</t>
  </si>
  <si>
    <t xml:space="preserve">ANZNZ</t>
  </si>
  <si>
    <t xml:space="preserve">XS2082472122</t>
  </si>
  <si>
    <t xml:space="preserve">JAPTOB</t>
  </si>
  <si>
    <t xml:space="preserve">XS2167007918</t>
  </si>
  <si>
    <t xml:space="preserve">ANZNZ 0.375 09/17/29</t>
  </si>
  <si>
    <t xml:space="preserve">XS3127996778</t>
  </si>
  <si>
    <t xml:space="preserve">JAPTOB 1 11/26/29</t>
  </si>
  <si>
    <t xml:space="preserve">WFC 1.741 05/04/30</t>
  </si>
  <si>
    <t xml:space="preserve">US06738ECY95</t>
  </si>
  <si>
    <t xml:space="preserve">WFC 2.766 07/23/29</t>
  </si>
  <si>
    <t xml:space="preserve">US38141GB607</t>
  </si>
  <si>
    <t xml:space="preserve">US500631AH98</t>
  </si>
  <si>
    <t xml:space="preserve">BACR 5.367 02/25/31</t>
  </si>
  <si>
    <t xml:space="preserve">GS 4.692 10/23/30</t>
  </si>
  <si>
    <t xml:space="preserve">US912810UC08</t>
  </si>
  <si>
    <t xml:space="preserve">KORELE 7 02/01/27</t>
  </si>
  <si>
    <t xml:space="preserve">T 4.25 08/15/54</t>
  </si>
  <si>
    <t xml:space="preserve">USJ5S39RAV63</t>
  </si>
  <si>
    <t xml:space="preserve">JP</t>
  </si>
  <si>
    <t xml:space="preserve">NTT 5.502 07/16/35</t>
  </si>
  <si>
    <t xml:space="preserve">XS2565831943</t>
  </si>
  <si>
    <t xml:space="preserve">XS2982332400</t>
  </si>
  <si>
    <t xml:space="preserve">BMW</t>
  </si>
  <si>
    <t xml:space="preserve">XS3268973453</t>
  </si>
  <si>
    <t xml:space="preserve">TD 3.631 12/13/29</t>
  </si>
  <si>
    <t xml:space="preserve">US46647PFG63</t>
  </si>
  <si>
    <t xml:space="preserve">BMW 3.125 07/22/29</t>
  </si>
  <si>
    <t xml:space="preserve">USY7S272AK86</t>
  </si>
  <si>
    <t xml:space="preserve">HYUCAP 2.861 01/21/29</t>
  </si>
  <si>
    <t xml:space="preserve">HK0001277489</t>
  </si>
  <si>
    <t xml:space="preserve">NHNCOR</t>
  </si>
  <si>
    <t xml:space="preserve">JPM 4.347 01/22/32</t>
  </si>
  <si>
    <t xml:space="preserve">HK0001319182</t>
  </si>
  <si>
    <t xml:space="preserve">POHANG 4.875 01/23/27</t>
  </si>
  <si>
    <t xml:space="preserve">HK0001325593</t>
  </si>
  <si>
    <t xml:space="preserve">SMIND</t>
  </si>
  <si>
    <t xml:space="preserve">NHNCOR 4.375 04/21/31</t>
  </si>
  <si>
    <t xml:space="preserve">KOEWPW 4.75 01/13/32</t>
  </si>
  <si>
    <t xml:space="preserve">US302154DG11</t>
  </si>
  <si>
    <t xml:space="preserve">SMIND 4.5 02/27/30</t>
  </si>
  <si>
    <t xml:space="preserve">US302154DY27</t>
  </si>
  <si>
    <t xml:space="preserve">EIBKOR 1.375 02/09/31</t>
  </si>
  <si>
    <t xml:space="preserve">EIBKOR 5.125 09/18/28</t>
  </si>
  <si>
    <t xml:space="preserve">US302154DZ91</t>
  </si>
  <si>
    <t xml:space="preserve">US302154ED70</t>
  </si>
  <si>
    <t xml:space="preserve">US302154EE53</t>
  </si>
  <si>
    <t xml:space="preserve">EIBKOR 5.125 09/18/33</t>
  </si>
  <si>
    <t xml:space="preserve">US302154EM79</t>
  </si>
  <si>
    <t xml:space="preserve">EIBKOR 4 09/11/27</t>
  </si>
  <si>
    <t xml:space="preserve">US302154EQ83</t>
  </si>
  <si>
    <t xml:space="preserve">EIBKOR 4 09/11/29</t>
  </si>
  <si>
    <t xml:space="preserve">US302154ER66</t>
  </si>
  <si>
    <t xml:space="preserve">EIBKOR 3.75 09/22/30</t>
  </si>
  <si>
    <t xml:space="preserve">AAA</t>
  </si>
  <si>
    <t xml:space="preserve">US302154ES40</t>
  </si>
  <si>
    <t xml:space="preserve">EIBKOR 3.75 01/13/29</t>
  </si>
  <si>
    <t xml:space="preserve">EIBKOR 3.875 01/13/31</t>
  </si>
  <si>
    <t xml:space="preserve">US302154EV78</t>
  </si>
  <si>
    <t xml:space="preserve">EIBKOR 4.375 01/13/36</t>
  </si>
  <si>
    <t xml:space="preserve">US302154EW51</t>
  </si>
  <si>
    <t xml:space="preserve">US45604HAN70</t>
  </si>
  <si>
    <t xml:space="preserve">INDKOR</t>
  </si>
  <si>
    <t xml:space="preserve">EIBKOR 4.375 07/20/29</t>
  </si>
  <si>
    <t xml:space="preserve">US45604HAQ02</t>
  </si>
  <si>
    <t xml:space="preserve">EIBKOR 4.5 07/20/31</t>
  </si>
  <si>
    <t xml:space="preserve">US45604HAS67</t>
  </si>
  <si>
    <t xml:space="preserve">INDKOR 5.375 10/04/28</t>
  </si>
  <si>
    <t xml:space="preserve">INDKOR 4 09/30/29</t>
  </si>
  <si>
    <t xml:space="preserve">US500630EG96</t>
  </si>
  <si>
    <t xml:space="preserve">INDKOR 4.375 06/24/30</t>
  </si>
  <si>
    <t xml:space="preserve">US500630EH79</t>
  </si>
  <si>
    <t xml:space="preserve">US500630EK09</t>
  </si>
  <si>
    <t xml:space="preserve">KDB 4.625 02/03/2028</t>
  </si>
  <si>
    <t xml:space="preserve">US500630EM64</t>
  </si>
  <si>
    <t xml:space="preserve">KDB 4.875 02/03/2030</t>
  </si>
  <si>
    <t xml:space="preserve">US500630ER51</t>
  </si>
  <si>
    <t xml:space="preserve">KDB 3.75 09/16/30</t>
  </si>
  <si>
    <t xml:space="preserve">US500630ES35</t>
  </si>
  <si>
    <t xml:space="preserve">KDB 3.75 01/28/29</t>
  </si>
  <si>
    <t xml:space="preserve">US500630ET18</t>
  </si>
  <si>
    <t xml:space="preserve">KDB 4 01/28/31</t>
  </si>
  <si>
    <t xml:space="preserve">US50066CAV19</t>
  </si>
  <si>
    <t xml:space="preserve">KORGAS</t>
  </si>
  <si>
    <t xml:space="preserve">KDB 4.625 09/10/29</t>
  </si>
  <si>
    <t xml:space="preserve">KDB 4.75 09/10/31</t>
  </si>
  <si>
    <t xml:space="preserve">US98105GAP72</t>
  </si>
  <si>
    <t xml:space="preserve">KORGAS 5 07/08/29</t>
  </si>
  <si>
    <t xml:space="preserve">USY2350DER36</t>
  </si>
  <si>
    <t xml:space="preserve">USY2387CVK89</t>
  </si>
  <si>
    <t xml:space="preserve">WOORIB 4.75 01/24/29</t>
  </si>
  <si>
    <t xml:space="preserve">CITNAT 4.25 05/07/31</t>
  </si>
  <si>
    <t xml:space="preserve">USY4841M6A22</t>
  </si>
  <si>
    <t xml:space="preserve">KHFC</t>
  </si>
  <si>
    <t xml:space="preserve">EIBKOR 4 04/09/31</t>
  </si>
  <si>
    <t xml:space="preserve">USY4841PAD43</t>
  </si>
  <si>
    <t xml:space="preserve">KHFC 4.875 08/27/27</t>
  </si>
  <si>
    <t xml:space="preserve">KHFC 5.125 01/21/30</t>
  </si>
  <si>
    <t xml:space="preserve">USY4841PAG73</t>
  </si>
  <si>
    <t xml:space="preserve">USY4841PAK85</t>
  </si>
  <si>
    <t xml:space="preserve">USY4872AMX28</t>
  </si>
  <si>
    <t xml:space="preserve">HIGHWY</t>
  </si>
  <si>
    <t xml:space="preserve">KHFC 3.875 09/17/30</t>
  </si>
  <si>
    <t xml:space="preserve">USY4872ATJ60</t>
  </si>
  <si>
    <t xml:space="preserve">KHFC 3.875 01/15/31</t>
  </si>
  <si>
    <t xml:space="preserve">USY48861DE86</t>
  </si>
  <si>
    <t xml:space="preserve">HIGHWY 5 05/14/27</t>
  </si>
  <si>
    <t xml:space="preserve">USY4899GHF38</t>
  </si>
  <si>
    <t xml:space="preserve">HIGHWY 4.25 05/06/31</t>
  </si>
  <si>
    <t xml:space="preserve">USY4907LAR34</t>
  </si>
  <si>
    <t xml:space="preserve">KORGAS 4.5 06/23/31</t>
  </si>
  <si>
    <t xml:space="preserve">USY4907LAT99</t>
  </si>
  <si>
    <t xml:space="preserve">KOHNPW 4.5 06/16/31</t>
  </si>
  <si>
    <t xml:space="preserve">USY4907LAU62</t>
  </si>
  <si>
    <t xml:space="preserve">KORELE 4.125 11/12/30</t>
  </si>
  <si>
    <t xml:space="preserve">USY4938AAM19</t>
  </si>
  <si>
    <t xml:space="preserve">KOROIL</t>
  </si>
  <si>
    <t xml:space="preserve">KORELE Float 07/21/29</t>
  </si>
  <si>
    <t xml:space="preserve">USY4938AAT61</t>
  </si>
  <si>
    <t xml:space="preserve">KORELE 4.75 07/21/31</t>
  </si>
  <si>
    <t xml:space="preserve">USY4938AAV18</t>
  </si>
  <si>
    <t xml:space="preserve">KOROIL 4.125 09/30/27</t>
  </si>
  <si>
    <t xml:space="preserve">KOROIL 4 09/29/28</t>
  </si>
  <si>
    <t xml:space="preserve">USY4938AAW90</t>
  </si>
  <si>
    <t xml:space="preserve">KOROIL 4.125 09/29/30</t>
  </si>
  <si>
    <t xml:space="preserve">USY4938AAY56</t>
  </si>
  <si>
    <t xml:space="preserve">USY49915BC76</t>
  </si>
  <si>
    <t xml:space="preserve">KOREAT</t>
  </si>
  <si>
    <t xml:space="preserve">KOROIL 4.5 03/30/29</t>
  </si>
  <si>
    <t xml:space="preserve">USY49915BF08</t>
  </si>
  <si>
    <t xml:space="preserve">KOROIL 4.625 03/30/31</t>
  </si>
  <si>
    <t xml:space="preserve">USY6396XAF60</t>
  </si>
  <si>
    <t xml:space="preserve">KOREAT 4.125 02/02/28</t>
  </si>
  <si>
    <t xml:space="preserve">KOREAT 4.625 01/13/30</t>
  </si>
  <si>
    <t xml:space="preserve">USY6396XAG44</t>
  </si>
  <si>
    <t xml:space="preserve">NACF Float 07/22/27</t>
  </si>
  <si>
    <t xml:space="preserve">USY6396XAK55</t>
  </si>
  <si>
    <t xml:space="preserve">NACF 4.75 07/22/29</t>
  </si>
  <si>
    <t xml:space="preserve">USY6396XAL39</t>
  </si>
  <si>
    <t xml:space="preserve">NACF 4.375 07/21/30</t>
  </si>
  <si>
    <t xml:space="preserve">USY6396XAM12</t>
  </si>
  <si>
    <t xml:space="preserve">USY7770HAE81</t>
  </si>
  <si>
    <t xml:space="preserve">NACF Float 01/23/30</t>
  </si>
  <si>
    <t xml:space="preserve">USY7T4K3AC40</t>
  </si>
  <si>
    <t xml:space="preserve">SHINFN</t>
  </si>
  <si>
    <t xml:space="preserve">NACF 4.625 07/23/31</t>
  </si>
  <si>
    <t xml:space="preserve">USY9700WAD84</t>
  </si>
  <si>
    <t xml:space="preserve">SHNHAN 4.375 04/10/31</t>
  </si>
  <si>
    <t xml:space="preserve">XS1211568735</t>
  </si>
  <si>
    <t xml:space="preserve">SHINFN 4.5 07/30/30</t>
  </si>
  <si>
    <t xml:space="preserve">XS2393758987</t>
  </si>
  <si>
    <t xml:space="preserve">HYUSEC</t>
  </si>
  <si>
    <t xml:space="preserve">WOORIB 4.125 01/27/31</t>
  </si>
  <si>
    <t xml:space="preserve">XS2457676257</t>
  </si>
  <si>
    <t xml:space="preserve">KOMRMR</t>
  </si>
  <si>
    <t xml:space="preserve">EIBKOR 2.7 04/01/27</t>
  </si>
  <si>
    <t xml:space="preserve">XS2600704956</t>
  </si>
  <si>
    <t xml:space="preserve">HYUSEC 2.125 11/01/26</t>
  </si>
  <si>
    <t xml:space="preserve">XS2629403499</t>
  </si>
  <si>
    <t xml:space="preserve">HATELE</t>
  </si>
  <si>
    <t xml:space="preserve">KOMRMR 4.125 04/20/27</t>
  </si>
  <si>
    <t xml:space="preserve">KOMRMR 5.375 05/11/28</t>
  </si>
  <si>
    <t xml:space="preserve">XS2790212828</t>
  </si>
  <si>
    <t xml:space="preserve">HATELE 4.875 06/28/28</t>
  </si>
  <si>
    <t xml:space="preserve">XS2803406698</t>
  </si>
  <si>
    <t xml:space="preserve">KOBCOP</t>
  </si>
  <si>
    <t xml:space="preserve">KOMRMR 5.125 05/08/29</t>
  </si>
  <si>
    <t xml:space="preserve">XS2803407233</t>
  </si>
  <si>
    <t xml:space="preserve">KOBCOP 5.375 05/02/27</t>
  </si>
  <si>
    <t xml:space="preserve">XS2917896685</t>
  </si>
  <si>
    <t xml:space="preserve">KOLAHO</t>
  </si>
  <si>
    <t xml:space="preserve">KOBCOP 5.25 05/02/29</t>
  </si>
  <si>
    <t xml:space="preserve">XS3037640037</t>
  </si>
  <si>
    <t xml:space="preserve">KORWAT</t>
  </si>
  <si>
    <t xml:space="preserve">XS3037681908</t>
  </si>
  <si>
    <t xml:space="preserve">KTGC</t>
  </si>
  <si>
    <t xml:space="preserve">KOLAHO 4.25 10/22/27</t>
  </si>
  <si>
    <t xml:space="preserve">KORWAT 4.375 05/21/27</t>
  </si>
  <si>
    <t xml:space="preserve">XS3053429638</t>
  </si>
  <si>
    <t xml:space="preserve">KTGC 5 05/02/28</t>
  </si>
  <si>
    <t xml:space="preserve">XS3056053799</t>
  </si>
  <si>
    <t xml:space="preserve">KOLAHO 4.25 05/28/27</t>
  </si>
  <si>
    <t xml:space="preserve">XS3109629702</t>
  </si>
  <si>
    <t xml:space="preserve">KOBCOP 4.625 05/09/30</t>
  </si>
  <si>
    <t xml:space="preserve">XS3177263418</t>
  </si>
  <si>
    <t xml:space="preserve">KOREAN</t>
  </si>
  <si>
    <t xml:space="preserve">NHSECS 4.625 07/10/28</t>
  </si>
  <si>
    <t xml:space="preserve">KOREAN 4 09/30/30</t>
  </si>
  <si>
    <t xml:space="preserve">XS3322576417</t>
  </si>
  <si>
    <t xml:space="preserve">XS3340625626</t>
  </si>
  <si>
    <t xml:space="preserve">KORAIR</t>
  </si>
  <si>
    <t xml:space="preserve">KOMRMR 4.875 04/13/31</t>
  </si>
  <si>
    <t xml:space="preserve">KORAIR 4.125 04/21/29</t>
  </si>
  <si>
    <t xml:space="preserve">XS3428230844</t>
  </si>
  <si>
    <t xml:space="preserve">XS3441682534</t>
  </si>
  <si>
    <t xml:space="preserve">XS3458340877</t>
  </si>
  <si>
    <t xml:space="preserve">KTGC 4.875 01/21/30</t>
  </si>
  <si>
    <t xml:space="preserve">KOMIPW 4.75 07/28/29</t>
  </si>
  <si>
    <t xml:space="preserve">XS3464389678</t>
  </si>
  <si>
    <t xml:space="preserve">KOREAN 4.75 08/11/29</t>
  </si>
  <si>
    <t xml:space="preserve">XS3493264934</t>
  </si>
  <si>
    <t xml:space="preserve">JP541005AQB3</t>
  </si>
  <si>
    <t xml:space="preserve">HYUSEC 4.875 08/26/29</t>
  </si>
  <si>
    <t xml:space="preserve">KOSOPW 4.75 09/15/29</t>
  </si>
  <si>
    <t xml:space="preserve">JP541005CQB9</t>
  </si>
  <si>
    <t xml:space="preserve">EIBKOR 0.835 11/26/27</t>
  </si>
  <si>
    <t xml:space="preserve">JP541034ARB1</t>
  </si>
  <si>
    <t xml:space="preserve">JP541034BRB9</t>
  </si>
  <si>
    <t xml:space="preserve">EIBKOR 1.065 11/28/29</t>
  </si>
  <si>
    <t xml:space="preserve">JP541037AS71</t>
  </si>
  <si>
    <t xml:space="preserve">SHNHAN 1.322 11/12/27</t>
  </si>
  <si>
    <t xml:space="preserve">USY4841PAP72</t>
  </si>
  <si>
    <t xml:space="preserve">SHNHAN 1.556 02/09/29</t>
  </si>
  <si>
    <t xml:space="preserve">USY4938AAZ22</t>
  </si>
  <si>
    <t xml:space="preserve">KOREAN 2 07/06/29</t>
  </si>
  <si>
    <t xml:space="preserve">USY4938ABA61</t>
  </si>
  <si>
    <t xml:space="preserve">KHFC 5.375 10/07/31</t>
  </si>
  <si>
    <t xml:space="preserve">USY4938ABB45</t>
  </si>
  <si>
    <t xml:space="preserve">KOROIL 5.25 09/30/29</t>
  </si>
  <si>
    <t xml:space="preserve">KOROIL 5.375 09/30/31</t>
  </si>
  <si>
    <t xml:space="preserve">KOROIL Float 09/30/29</t>
  </si>
  <si>
    <r>
      <rPr>
        <b val="true"/>
        <sz val="10"/>
        <color rgb="FFFFFFFF"/>
        <rFont val="Noto Sans CJK SC"/>
        <family val="2"/>
      </rPr>
      <t xml:space="preserve">수량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</si>
  <si>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Noto Sans CJK SC"/>
        <family val="2"/>
      </rPr>
      <t xml:space="preserve">손익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</si>
  <si>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sz val="10"/>
        <color rgb="FF0000FF"/>
        <rFont val="Arial"/>
        <family val="0"/>
        <charset val="1"/>
      </rPr>
      <t xml:space="preserve">3-5</t>
    </r>
    <r>
      <rPr>
        <sz val="10"/>
        <color rgb="FF0000FF"/>
        <rFont val="Noto Sans CJK SC"/>
        <family val="2"/>
      </rPr>
      <t xml:space="preserve">년</t>
    </r>
  </si>
  <si>
    <t xml:space="preserve">BNP PARIBAS</t>
  </si>
  <si>
    <t xml:space="preserve">NHNCOR 4 3/8 04/21/31</t>
  </si>
  <si>
    <r>
      <rPr>
        <sz val="10"/>
        <color rgb="FF0000FF"/>
        <rFont val="Noto Sans CJK SC"/>
        <family val="2"/>
      </rPr>
      <t xml:space="preserve">아시아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기타</t>
    </r>
  </si>
  <si>
    <t xml:space="preserve">NAVER CORP</t>
  </si>
  <si>
    <t xml:space="preserve">KOEWPW 4 3/4 01/13/32</t>
  </si>
  <si>
    <r>
      <rPr>
        <sz val="10"/>
        <color rgb="FF0000FF"/>
        <rFont val="Arial"/>
        <family val="0"/>
        <charset val="1"/>
      </rPr>
      <t xml:space="preserve">5-7</t>
    </r>
    <r>
      <rPr>
        <sz val="10"/>
        <color rgb="FF0000FF"/>
        <rFont val="Noto Sans CJK SC"/>
        <family val="2"/>
      </rPr>
      <t xml:space="preserve">년</t>
    </r>
  </si>
  <si>
    <t xml:space="preserve">KOREA EAST-WEST POWER CO</t>
  </si>
  <si>
    <r>
      <rPr>
        <sz val="10"/>
        <color rgb="FF0000FF"/>
        <rFont val="Arial"/>
        <family val="0"/>
        <charset val="1"/>
      </rPr>
      <t xml:space="preserve">1-3</t>
    </r>
    <r>
      <rPr>
        <sz val="10"/>
        <color rgb="FF0000FF"/>
        <rFont val="Noto Sans CJK SC"/>
        <family val="2"/>
      </rPr>
      <t xml:space="preserve">년</t>
    </r>
  </si>
  <si>
    <t xml:space="preserve">EXPORT-IMPORT BANK KOREA</t>
  </si>
  <si>
    <t xml:space="preserve">-</t>
  </si>
  <si>
    <t xml:space="preserve">SHINHAN BANK</t>
  </si>
  <si>
    <t xml:space="preserve">KOREAN AIR LINES CO LTD</t>
  </si>
  <si>
    <t xml:space="preserve">HYNCRD 4.345 04/12/29</t>
  </si>
  <si>
    <t xml:space="preserve">HYUNDAI CARD CO LTD</t>
  </si>
  <si>
    <r>
      <rPr>
        <sz val="10"/>
        <color rgb="FF0000FF"/>
        <rFont val="Arial"/>
        <family val="0"/>
        <charset val="1"/>
      </rPr>
      <t xml:space="preserve">7-10</t>
    </r>
    <r>
      <rPr>
        <sz val="10"/>
        <color rgb="FF0000FF"/>
        <rFont val="Noto Sans CJK SC"/>
        <family val="2"/>
      </rPr>
      <t xml:space="preserve">년</t>
    </r>
  </si>
  <si>
    <t xml:space="preserve">ALPHABET INC</t>
  </si>
  <si>
    <t xml:space="preserve">BANCO SANTANDER SA</t>
  </si>
  <si>
    <t xml:space="preserve">SANTAN 5.565 01/17/30</t>
  </si>
  <si>
    <t xml:space="preserve">BAC 2.496 02/13/31</t>
  </si>
  <si>
    <t xml:space="preserve">BANK OF AMERICA CORP</t>
  </si>
  <si>
    <t xml:space="preserve">BAC 4.695 04/23/32</t>
  </si>
  <si>
    <t xml:space="preserve">BARCLAYS PLC</t>
  </si>
  <si>
    <t xml:space="preserve">BNP 5.085 05/09/31</t>
  </si>
  <si>
    <t xml:space="preserve">BROADCOM INC</t>
  </si>
  <si>
    <t xml:space="preserve">ACAFP 4 1/8 01/10/27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</si>
  <si>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년 이하</t>
    </r>
  </si>
  <si>
    <t xml:space="preserve">CREDIT AGRICOLE LONDON</t>
  </si>
  <si>
    <t xml:space="preserve">EIBKOR 1 3/8 02/09/31</t>
  </si>
  <si>
    <t xml:space="preserve">EIBKOR 1 5/8 01/18/27</t>
  </si>
  <si>
    <t xml:space="preserve">EIBKOR 5 1/8 09/18/28</t>
  </si>
  <si>
    <t xml:space="preserve">EIBKOR 5 1/8 09/18/33</t>
  </si>
  <si>
    <t xml:space="preserve">EIBKOR 4 1/2 01/11/29</t>
  </si>
  <si>
    <t xml:space="preserve">EIBKOR 4 7/8 01/14/30</t>
  </si>
  <si>
    <t xml:space="preserve">EIBKOR 3 3/4 09/22/30</t>
  </si>
  <si>
    <t xml:space="preserve">EIBKOR 3 3/4 01/13/29</t>
  </si>
  <si>
    <t xml:space="preserve">EIBKOR 3 7/8 01/13/31</t>
  </si>
  <si>
    <t xml:space="preserve">EIBKOR 4 3/8 01/13/36</t>
  </si>
  <si>
    <t xml:space="preserve">EIBKOR 4 3/8 07/20/29</t>
  </si>
  <si>
    <t xml:space="preserve">EIBKOR 4 1/2 07/20/31</t>
  </si>
  <si>
    <t xml:space="preserve">GOLDMAN SACHS GROUP INC</t>
  </si>
  <si>
    <t xml:space="preserve">HSBC HOLDINGS PLC</t>
  </si>
  <si>
    <t xml:space="preserve">HSBC 5.13 11/19/28</t>
  </si>
  <si>
    <t xml:space="preserve">HYNMTR 6 3/8 04/08/30</t>
  </si>
  <si>
    <t xml:space="preserve">HYUNDAI CAPITAL AMERICA</t>
  </si>
  <si>
    <t xml:space="preserve">28096, 34578</t>
  </si>
  <si>
    <t xml:space="preserve">HYNMTR 4 3/4 09/26/31</t>
  </si>
  <si>
    <t xml:space="preserve">HYNMTR 4 1/2 09/18/30</t>
  </si>
  <si>
    <t xml:space="preserve">HYNMTR 4 1/4 01/08/29</t>
  </si>
  <si>
    <t xml:space="preserve">INDKOR 5 3/8 10/04/28</t>
  </si>
  <si>
    <t xml:space="preserve">INDUSTRIAL BANK OF KOREA</t>
  </si>
  <si>
    <t xml:space="preserve">INDKOR 4 3/8 06/24/30</t>
  </si>
  <si>
    <t xml:space="preserve">ING GROEP NV</t>
  </si>
  <si>
    <t xml:space="preserve">JPMORGAN CHASE &amp; CO</t>
  </si>
  <si>
    <r>
      <rPr>
        <sz val="10"/>
        <color rgb="FF0000FF"/>
        <rFont val="Arial"/>
        <family val="0"/>
        <charset val="1"/>
      </rPr>
      <t xml:space="preserve">10-20</t>
    </r>
    <r>
      <rPr>
        <sz val="10"/>
        <color rgb="FF0000FF"/>
        <rFont val="Noto Sans CJK SC"/>
        <family val="2"/>
      </rPr>
      <t xml:space="preserve">년</t>
    </r>
  </si>
  <si>
    <t xml:space="preserve">CITNAT 2 1/2 11/04/30</t>
  </si>
  <si>
    <t xml:space="preserve">KOOKMIN BANK</t>
  </si>
  <si>
    <t xml:space="preserve">KDB 4 1/2 02/15/29</t>
  </si>
  <si>
    <t xml:space="preserve">KOREA DEVELOPMENT BANK</t>
  </si>
  <si>
    <t xml:space="preserve">KDB 4 5/8 02/03/28</t>
  </si>
  <si>
    <t xml:space="preserve">KDB 4 7/8 02/03/30</t>
  </si>
  <si>
    <t xml:space="preserve">KDB 3 3/4 09/16/30</t>
  </si>
  <si>
    <t xml:space="preserve">KDB 3 3/4 01/28/29</t>
  </si>
  <si>
    <r>
      <rPr>
        <sz val="10"/>
        <color rgb="FF0000FF"/>
        <rFont val="Arial"/>
        <family val="0"/>
        <charset val="1"/>
      </rPr>
      <t xml:space="preserve">20</t>
    </r>
    <r>
      <rPr>
        <sz val="10"/>
        <color rgb="FF0000FF"/>
        <rFont val="Noto Sans CJK SC"/>
        <family val="2"/>
      </rPr>
      <t xml:space="preserve">년 이상</t>
    </r>
  </si>
  <si>
    <t xml:space="preserve">KOREA ELECTRIC POWER CO</t>
  </si>
  <si>
    <t xml:space="preserve">KOREA ELECTRIC POWER</t>
  </si>
  <si>
    <t xml:space="preserve">KOREA 3 5/8 10/29/30</t>
  </si>
  <si>
    <t xml:space="preserve">REPUBLIC OF KOREA</t>
  </si>
  <si>
    <t xml:space="preserve">KOREA 3 7/8 02/12/31</t>
  </si>
  <si>
    <t xml:space="preserve">KOREA GAS CORP</t>
  </si>
  <si>
    <t xml:space="preserve">MITSUBISHI UFJ FIN GRP</t>
  </si>
  <si>
    <t xml:space="preserve">MIZUHO FINANCIAL GROUP</t>
  </si>
  <si>
    <t xml:space="preserve">MORGAN STANLEY</t>
  </si>
  <si>
    <t xml:space="preserve">MORGAN STANLEY BANK NA</t>
  </si>
  <si>
    <t xml:space="preserve">NOMURA HOLDINGS INC</t>
  </si>
  <si>
    <t xml:space="preserve">NOMURA 6.07 07/12/28</t>
  </si>
  <si>
    <t xml:space="preserve">NACF 1 1/4 07/28/26</t>
  </si>
  <si>
    <t xml:space="preserve">NONGHYUP BANK</t>
  </si>
  <si>
    <t xml:space="preserve">NACF 4 7/8 07/03/28</t>
  </si>
  <si>
    <t xml:space="preserve">10227, 42003</t>
  </si>
  <si>
    <t xml:space="preserve">NATWEST GROUP PLC</t>
  </si>
  <si>
    <t xml:space="preserve">SOCIETE GENERALE</t>
  </si>
  <si>
    <t xml:space="preserve">SUMITOMO MITSUI FINL GRP</t>
  </si>
  <si>
    <t xml:space="preserve">T 4 1/4 08/15/54</t>
  </si>
  <si>
    <t xml:space="preserve">US TREASURY N/B</t>
  </si>
  <si>
    <t xml:space="preserve">T 3 5/8 03/31/28</t>
  </si>
  <si>
    <t xml:space="preserve">T 4 02/15/34</t>
  </si>
  <si>
    <t xml:space="preserve">T 4 3/8 05/15/34</t>
  </si>
  <si>
    <t xml:space="preserve">T 4 1/8 10/31/29</t>
  </si>
  <si>
    <t xml:space="preserve">T 4 1/4 05/15/35</t>
  </si>
  <si>
    <t xml:space="preserve">T 4 1/4 08/15/35</t>
  </si>
  <si>
    <t xml:space="preserve">38038, 38088</t>
  </si>
  <si>
    <t xml:space="preserve">T 3 7/8 08/31/32</t>
  </si>
  <si>
    <t xml:space="preserve">T 3 7/8 09/30/32</t>
  </si>
  <si>
    <t xml:space="preserve">T 3 3/4 11/30/32</t>
  </si>
  <si>
    <t xml:space="preserve">T 4 1/8 02/15/36</t>
  </si>
  <si>
    <t xml:space="preserve">T 4 3/8 05/15/36</t>
  </si>
  <si>
    <t xml:space="preserve">WELLS FARGO &amp; COMPANY</t>
  </si>
  <si>
    <t xml:space="preserve">WFC 4.97 04/23/29</t>
  </si>
  <si>
    <t xml:space="preserve">WFC 4.182 01/23/30</t>
  </si>
  <si>
    <t xml:space="preserve">WFC 4.844 05/20/32</t>
  </si>
  <si>
    <t xml:space="preserve">WOORIB 4 3/4 01/24/29</t>
  </si>
  <si>
    <t xml:space="preserve">WOORI BANK</t>
  </si>
  <si>
    <t xml:space="preserve">WOORIB 5 1/8 08/06/28</t>
  </si>
  <si>
    <t xml:space="preserve">STANDARD CHARTERED PLC</t>
  </si>
  <si>
    <t xml:space="preserve">STANLN 6 3/4 02/08/28</t>
  </si>
  <si>
    <t xml:space="preserve">UBS 3.869 01/12/29</t>
  </si>
  <si>
    <t xml:space="preserve">UBS GROUP AG</t>
  </si>
  <si>
    <t xml:space="preserve">UBS 4.194 04/01/31</t>
  </si>
  <si>
    <t xml:space="preserve">UBS 4.214 04/10/30</t>
  </si>
  <si>
    <t xml:space="preserve">34507, 38038</t>
  </si>
  <si>
    <t xml:space="preserve">NORINCHUKIN BANK</t>
  </si>
  <si>
    <t xml:space="preserve">28096, 34507</t>
  </si>
  <si>
    <t xml:space="preserve">NTT FINANCE CORP</t>
  </si>
  <si>
    <t xml:space="preserve">NTT 4.876 07/16/30</t>
  </si>
  <si>
    <t xml:space="preserve">NTT 5.171 07/16/32</t>
  </si>
  <si>
    <t xml:space="preserve">SUMITR 4 1/2 09/10/29</t>
  </si>
  <si>
    <t xml:space="preserve">SUMITOMO MITSUI TR BK LT</t>
  </si>
  <si>
    <t xml:space="preserve">SPACE EXPLORATION TECH</t>
  </si>
  <si>
    <t xml:space="preserve">CITNAT 4 1/4 05/07/31</t>
  </si>
  <si>
    <t xml:space="preserve">GSCCOR 5 3/8 08/07/28</t>
  </si>
  <si>
    <t xml:space="preserve">GS CALTEX CORP</t>
  </si>
  <si>
    <t xml:space="preserve">GSCCOR 4 1/4 10/28/30</t>
  </si>
  <si>
    <t xml:space="preserve">HYUCAP 5 1/4 01/22/28</t>
  </si>
  <si>
    <t xml:space="preserve">28096, 42003</t>
  </si>
  <si>
    <t xml:space="preserve">HYUNDAI CAPITAL SERVICES</t>
  </si>
  <si>
    <t xml:space="preserve">KHFC 4 7/8 08/27/27</t>
  </si>
  <si>
    <t xml:space="preserve">KOREA HOUSING FINANCE CO</t>
  </si>
  <si>
    <t xml:space="preserve">KHFC 5 1/8 01/21/30</t>
  </si>
  <si>
    <t xml:space="preserve">KHFC 3 7/8 09/17/30</t>
  </si>
  <si>
    <t xml:space="preserve">KHFC 3 7/8 01/15/31</t>
  </si>
  <si>
    <t xml:space="preserve">KOREA EXPRESSWAY CORP</t>
  </si>
  <si>
    <t xml:space="preserve">HIGHWY 4 1/4 05/06/31</t>
  </si>
  <si>
    <t xml:space="preserve">KORGAS 4 1/2 06/23/31</t>
  </si>
  <si>
    <t xml:space="preserve">KOREA HYDRO &amp; NUCLEAR PO</t>
  </si>
  <si>
    <t xml:space="preserve">KOHNPW 4 1/2 06/16/31</t>
  </si>
  <si>
    <t xml:space="preserve">KORELE 5 3/8 07/31/26</t>
  </si>
  <si>
    <t xml:space="preserve">KORELE 4 1/8 11/12/30</t>
  </si>
  <si>
    <t xml:space="preserve">KORELE 4 3/4 07/21/31</t>
  </si>
  <si>
    <t xml:space="preserve">KOROIL 4 1/8 09/30/27</t>
  </si>
  <si>
    <t xml:space="preserve">KOREA NATIONAL OIL CORP</t>
  </si>
  <si>
    <t xml:space="preserve">KOROIL 4 1/8 09/29/30</t>
  </si>
  <si>
    <t xml:space="preserve">KOROIL 4 1/2 03/30/29</t>
  </si>
  <si>
    <t xml:space="preserve">KOROIL 4 5/8 03/30/31</t>
  </si>
  <si>
    <t xml:space="preserve">KOREAT 4 1/8 02/02/28</t>
  </si>
  <si>
    <t xml:space="preserve">KT CORP</t>
  </si>
  <si>
    <t xml:space="preserve">KOREAT 4 5/8 01/13/30</t>
  </si>
  <si>
    <t xml:space="preserve">LGENSO 5 3/4 09/25/28</t>
  </si>
  <si>
    <t xml:space="preserve">LGENERGYSOLUTION</t>
  </si>
  <si>
    <t xml:space="preserve">LGENSO 5 3/8 07/02/27</t>
  </si>
  <si>
    <t xml:space="preserve">LGENSO 5 3/8 07/02/29</t>
  </si>
  <si>
    <t xml:space="preserve">LGENSO 5 1/4 04/02/28</t>
  </si>
  <si>
    <t xml:space="preserve">LGENSO 5 3/8 04/02/30</t>
  </si>
  <si>
    <t xml:space="preserve">LGENSO 5 7/8 04/02/35</t>
  </si>
  <si>
    <t xml:space="preserve">34507, 38088</t>
  </si>
  <si>
    <t xml:space="preserve">LGENSO 5 7/8 04/02/36</t>
  </si>
  <si>
    <t xml:space="preserve">LGELEC 5 5/8 04/24/29</t>
  </si>
  <si>
    <t xml:space="preserve">LG ELECTRONICS INC</t>
  </si>
  <si>
    <t xml:space="preserve">NACF 4 3/4 07/22/29</t>
  </si>
  <si>
    <t xml:space="preserve">NACF 4 3/8 07/21/30</t>
  </si>
  <si>
    <t xml:space="preserve">NACF 4 5/8 07/23/31</t>
  </si>
  <si>
    <t xml:space="preserve">PKX 5 1/8 05/07/30</t>
  </si>
  <si>
    <t xml:space="preserve">28096, 34507, 34578</t>
  </si>
  <si>
    <t xml:space="preserve">POSCO HOLDINGS INC</t>
  </si>
  <si>
    <t xml:space="preserve">PKX 5 3/4 05/07/35</t>
  </si>
  <si>
    <t xml:space="preserve">SHNHAN 4 3/8 04/10/31</t>
  </si>
  <si>
    <t xml:space="preserve">POHANG 5 3/4 01/17/28</t>
  </si>
  <si>
    <t xml:space="preserve">POSCO</t>
  </si>
  <si>
    <t xml:space="preserve">POHANG 4 7/8 01/23/27</t>
  </si>
  <si>
    <t xml:space="preserve">POHANG 4 1/2 01/16/31</t>
  </si>
  <si>
    <t xml:space="preserve">POINTL 5 1/8 06/29/31</t>
  </si>
  <si>
    <t xml:space="preserve">POSCO INTERNATIONAL CORP</t>
  </si>
  <si>
    <t xml:space="preserve">SHINFN 4 1/2 07/30/30</t>
  </si>
  <si>
    <t xml:space="preserve">SHINHAN FINANCIAL GROUP</t>
  </si>
  <si>
    <t xml:space="preserve">HYUELE 2 3/8 01/19/31</t>
  </si>
  <si>
    <t xml:space="preserve">SK HYNIX INC</t>
  </si>
  <si>
    <t xml:space="preserve">HYUELE 6 3/8 01/17/28</t>
  </si>
  <si>
    <t xml:space="preserve">HYUELE 6 1/2 01/17/33</t>
  </si>
  <si>
    <t xml:space="preserve">HYUELE 5 1/2 01/16/29</t>
  </si>
  <si>
    <t xml:space="preserve">HYUELE 4 1/4 09/11/28</t>
  </si>
  <si>
    <t xml:space="preserve">HYUELE 4 3/8 09/11/30</t>
  </si>
  <si>
    <t xml:space="preserve">WOORIB 4 1/8 01/27/31</t>
  </si>
  <si>
    <t xml:space="preserve">EIBKOR 2.205 08/02/26</t>
  </si>
  <si>
    <t xml:space="preserve">SHNHAN 4 1/2 03/26/28</t>
  </si>
  <si>
    <t xml:space="preserve">CITNAT 4 1/2 02/01/29</t>
  </si>
  <si>
    <t xml:space="preserve">ANZNZ 0 3/8 09/17/29</t>
  </si>
  <si>
    <t xml:space="preserve">ANZ NEW ZEALAND INTL/LDN</t>
  </si>
  <si>
    <t xml:space="preserve">JT INTL FIN SERVICES BV</t>
  </si>
  <si>
    <t xml:space="preserve">KOMIPW 1 1/4 08/09/26</t>
  </si>
  <si>
    <t xml:space="preserve">KOREA MIDLAND POWER CO</t>
  </si>
  <si>
    <t xml:space="preserve">HYUSEC 2 1/8 11/01/26</t>
  </si>
  <si>
    <t xml:space="preserve">KB SECURITIES CO LTD</t>
  </si>
  <si>
    <t xml:space="preserve">ACAFP 6.22 07/20/26</t>
  </si>
  <si>
    <t xml:space="preserve">CREDIT AGRICOLE CIB SA</t>
  </si>
  <si>
    <t xml:space="preserve">KOMRMR 4 1/8 04/20/27</t>
  </si>
  <si>
    <t xml:space="preserve">KOREAREHABNRESOURCE</t>
  </si>
  <si>
    <t xml:space="preserve">ACAFP Float 04/23/27</t>
  </si>
  <si>
    <t xml:space="preserve">TORONTO-DOMINION BANK</t>
  </si>
  <si>
    <t xml:space="preserve">KOMRMR 5 3/8 05/11/28</t>
  </si>
  <si>
    <t xml:space="preserve">HATELE 4 7/8 06/28/28</t>
  </si>
  <si>
    <t xml:space="preserve">SK BROADBAND CO LTD</t>
  </si>
  <si>
    <t xml:space="preserve">DAESEC 6 7/8 07/26/26</t>
  </si>
  <si>
    <t xml:space="preserve">MIRAE ASSET SECURITIES</t>
  </si>
  <si>
    <t xml:space="preserve">KOSOPW 5 3/8 09/21/26</t>
  </si>
  <si>
    <t xml:space="preserve">KOREA SOUTHERN POWER</t>
  </si>
  <si>
    <t xml:space="preserve">DFHOLD 6 7/8 11/06/26</t>
  </si>
  <si>
    <t xml:space="preserve">28096, 34507, 38064</t>
  </si>
  <si>
    <t xml:space="preserve">KOREA INV &amp; SECS CO LTD</t>
  </si>
  <si>
    <t xml:space="preserve">DAESEC 5 7/8 01/26/27</t>
  </si>
  <si>
    <t xml:space="preserve">SKBTAM 4 7/8 01/23/27</t>
  </si>
  <si>
    <t xml:space="preserve">SK BATTERY AMERICA INC</t>
  </si>
  <si>
    <t xml:space="preserve">KOMRMR 5 1/8 05/08/29</t>
  </si>
  <si>
    <t xml:space="preserve">HYNCRD 5 3/4 04/24/29</t>
  </si>
  <si>
    <t xml:space="preserve">KOBCOP 5 3/8 05/02/27</t>
  </si>
  <si>
    <t xml:space="preserve">KOREA OCEAN BUSINESS CO</t>
  </si>
  <si>
    <t xml:space="preserve">KOBCOP 5 1/4 05/02/29</t>
  </si>
  <si>
    <t xml:space="preserve">EIBKOR 0.33 07/25/26</t>
  </si>
  <si>
    <t xml:space="preserve">KOLAHO 4 1/4 10/22/27</t>
  </si>
  <si>
    <t xml:space="preserve">KOREA LAND &amp; HOUSING COR</t>
  </si>
  <si>
    <t xml:space="preserve">BMW 3 1/8 07/22/29</t>
  </si>
  <si>
    <t xml:space="preserve">BMW INTL INVESTMENT BV</t>
  </si>
  <si>
    <t xml:space="preserve">DAESEC 5 1/4 03/06/28</t>
  </si>
  <si>
    <t xml:space="preserve">GOLDMAN SACHS FIN C INTL</t>
  </si>
  <si>
    <t xml:space="preserve">HANFGI 5 04/30/28</t>
  </si>
  <si>
    <t xml:space="preserve">HANA SECURITIES CO LTD</t>
  </si>
  <si>
    <t xml:space="preserve">KORWAT 4 3/8 05/21/27</t>
  </si>
  <si>
    <t xml:space="preserve">KOREA WATER RESOURCES</t>
  </si>
  <si>
    <t xml:space="preserve">KOREA TOBACCO &amp; GINSENG</t>
  </si>
  <si>
    <t xml:space="preserve">KOLAHO 4 1/4 05/28/27</t>
  </si>
  <si>
    <t xml:space="preserve">KOBCOP 4 5/8 05/09/30</t>
  </si>
  <si>
    <t xml:space="preserve">KUBOTA CREDIT USA</t>
  </si>
  <si>
    <t xml:space="preserve">NHSECS 4 3/4 07/10/30</t>
  </si>
  <si>
    <t xml:space="preserve">NH INVESTMENT &amp; SECS</t>
  </si>
  <si>
    <t xml:space="preserve">NHSECS 4 5/8 07/10/28</t>
  </si>
  <si>
    <t xml:space="preserve">HANMIL 4 1/4 10/01/30</t>
  </si>
  <si>
    <t xml:space="preserve">KB CAPITAL CO LTD</t>
  </si>
  <si>
    <t xml:space="preserve">DAESEC 4 3/8 10/14/28</t>
  </si>
  <si>
    <t xml:space="preserve">34578, 42003</t>
  </si>
  <si>
    <t xml:space="preserve">DAESEC 4 1/4 03/11/29</t>
  </si>
  <si>
    <t xml:space="preserve">DAESEC 4 3/8 03/11/31</t>
  </si>
  <si>
    <t xml:space="preserve">KOMRMR 4 7/8 04/13/31</t>
  </si>
  <si>
    <t xml:space="preserve">KOREA MINE REHAB MINERAL</t>
  </si>
  <si>
    <t xml:space="preserve">KORAIR 4 1/8 04/21/29</t>
  </si>
  <si>
    <t xml:space="preserve">INCHEON INTL AIRPORT</t>
  </si>
  <si>
    <t xml:space="preserve">HANFGI 4 7/8 06/02/31</t>
  </si>
  <si>
    <t xml:space="preserve">DAESEC 5 1/8 07/06/29</t>
  </si>
  <si>
    <t xml:space="preserve">DAESEC 5 1/4 07/06/31</t>
  </si>
  <si>
    <t xml:space="preserve">NHSECS 4 7/8 06/29/29</t>
  </si>
  <si>
    <t xml:space="preserve">34507, 42003</t>
  </si>
  <si>
    <t xml:space="preserve">KTGC 4 7/8 01/21/30</t>
  </si>
  <si>
    <t xml:space="preserve">KOMIPW 4 3/4 07/28/29</t>
  </si>
  <si>
    <t xml:space="preserve">HANWHA AEROSPACE CO LTD</t>
  </si>
  <si>
    <t xml:space="preserve">KOREAN 4 3/4 08/11/29</t>
  </si>
  <si>
    <r>
      <rPr>
        <b val="true"/>
        <sz val="14"/>
        <rFont val="Noto Sans CJK SC"/>
        <family val="2"/>
      </rPr>
      <t xml:space="preserve">티커 매핑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국가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지역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섹터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</si>
  <si>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시장데이터에 없는 보유종목은 여기 값으로 분류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티커 </t>
    </r>
    <r>
      <rPr>
        <i val="true"/>
        <sz val="10"/>
        <color rgb="FF595959"/>
        <rFont val="Arial"/>
        <family val="0"/>
        <charset val="1"/>
      </rPr>
      <t xml:space="preserve">= </t>
    </r>
    <r>
      <rPr>
        <i val="true"/>
        <sz val="10"/>
        <color rgb="FF595959"/>
        <rFont val="Noto Sans CJK SC"/>
        <family val="2"/>
      </rPr>
      <t xml:space="preserve">종목명 첫 단어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대문자</t>
    </r>
    <r>
      <rPr>
        <i val="true"/>
        <sz val="10"/>
        <color rgb="FF595959"/>
        <rFont val="Arial"/>
        <family val="0"/>
        <charset val="1"/>
      </rPr>
      <t xml:space="preserve">). </t>
    </r>
    <r>
      <rPr>
        <i val="true"/>
        <sz val="10"/>
        <color rgb="FF595959"/>
        <rFont val="Noto Sans CJK SC"/>
        <family val="2"/>
      </rPr>
      <t xml:space="preserve">빈 칸은 </t>
    </r>
    <r>
      <rPr>
        <i val="true"/>
        <sz val="10"/>
        <color rgb="FF595959"/>
        <rFont val="Arial"/>
        <family val="0"/>
        <charset val="1"/>
      </rPr>
      <t xml:space="preserve">"</t>
    </r>
    <r>
      <rPr>
        <i val="true"/>
        <sz val="10"/>
        <color rgb="FF595959"/>
        <rFont val="Noto Sans CJK SC"/>
        <family val="2"/>
      </rPr>
      <t xml:space="preserve">미분류</t>
    </r>
    <r>
      <rPr>
        <i val="true"/>
        <sz val="10"/>
        <color rgb="FF595959"/>
        <rFont val="Arial"/>
        <family val="0"/>
        <charset val="1"/>
      </rPr>
      <t xml:space="preserve">"</t>
    </r>
    <r>
      <rPr>
        <i val="true"/>
        <sz val="10"/>
        <color rgb="FF595959"/>
        <rFont val="Noto Sans CJK SC"/>
        <family val="2"/>
      </rPr>
      <t xml:space="preserve">로 집계</t>
    </r>
  </si>
  <si>
    <r>
      <rPr>
        <b val="true"/>
        <sz val="10"/>
        <rFont val="Noto Sans CJK SC"/>
        <family val="2"/>
      </rPr>
      <t xml:space="preserve">종목 매칭 예외표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잔고 </t>
    </r>
    <r>
      <rPr>
        <b val="true"/>
        <sz val="10"/>
        <rFont val="Arial"/>
        <family val="0"/>
        <charset val="1"/>
      </rPr>
      <t xml:space="preserve">ISIN → </t>
    </r>
    <r>
      <rPr>
        <b val="true"/>
        <sz val="10"/>
        <rFont val="Noto Sans CJK SC"/>
        <family val="2"/>
      </rPr>
      <t xml:space="preserve">시장데이터 채권명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</si>
  <si>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발행자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</si>
  <si>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</si>
  <si>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r>
      <rPr>
        <b val="true"/>
        <sz val="10"/>
        <color rgb="FFFFFFFF"/>
        <rFont val="Noto Sans CJK SC"/>
        <family val="2"/>
      </rPr>
      <t xml:space="preserve">잔고 </t>
    </r>
    <r>
      <rPr>
        <b val="true"/>
        <sz val="10"/>
        <color rgb="FFFFFFFF"/>
        <rFont val="Arial"/>
        <family val="0"/>
        <charset val="1"/>
      </rPr>
      <t xml:space="preserve">ISIN</t>
    </r>
  </si>
  <si>
    <t xml:space="preserve">시장데이터 채권명</t>
  </si>
  <si>
    <r>
      <rPr>
        <sz val="10"/>
        <color rgb="FF595959"/>
        <rFont val="Noto Sans CJK SC"/>
        <family val="2"/>
      </rPr>
      <t xml:space="preserve">잔고 만기일 </t>
    </r>
    <r>
      <rPr>
        <sz val="10"/>
        <color rgb="FF595959"/>
        <rFont val="Arial"/>
        <family val="0"/>
        <charset val="1"/>
      </rPr>
      <t xml:space="preserve">12/12 vs </t>
    </r>
    <r>
      <rPr>
        <sz val="10"/>
        <color rgb="FF595959"/>
        <rFont val="Noto Sans CJK SC"/>
        <family val="2"/>
      </rPr>
      <t xml:space="preserve">시장 </t>
    </r>
    <r>
      <rPr>
        <sz val="10"/>
        <color rgb="FF595959"/>
        <rFont val="Arial"/>
        <family val="0"/>
        <charset val="1"/>
      </rPr>
      <t xml:space="preserve">12/13</t>
    </r>
  </si>
  <si>
    <r>
      <rPr>
        <sz val="10"/>
        <color rgb="FF595959"/>
        <rFont val="Noto Sans CJK SC"/>
        <family val="2"/>
      </rPr>
      <t xml:space="preserve">잔고 종목명 상이</t>
    </r>
    <r>
      <rPr>
        <sz val="10"/>
        <color rgb="FF595959"/>
        <rFont val="Arial"/>
        <family val="0"/>
        <charset val="1"/>
      </rPr>
      <t xml:space="preserve">(FRN)</t>
    </r>
  </si>
  <si>
    <t xml:space="preserve">GOOGL</t>
  </si>
  <si>
    <t xml:space="preserve">HANFGI</t>
  </si>
  <si>
    <t xml:space="preserve">INTNED</t>
  </si>
  <si>
    <t xml:space="preserve">KOMIPW</t>
  </si>
  <si>
    <t xml:space="preserve">KOREA</t>
  </si>
  <si>
    <t xml:space="preserve">KOSOPW</t>
  </si>
  <si>
    <t xml:space="preserve">SKBTAM</t>
  </si>
  <si>
    <t xml:space="preserve">SUMITR</t>
  </si>
  <si>
    <r>
      <rPr>
        <sz val="10"/>
        <rFont val="Arial"/>
        <family val="0"/>
        <charset val="1"/>
      </rPr>
      <t xml:space="preserve">CREDIT AGRICOLE CIB (</t>
    </r>
    <r>
      <rPr>
        <sz val="10"/>
        <rFont val="Noto Sans CJK SC"/>
        <family val="2"/>
      </rPr>
      <t xml:space="preserve">잔고 표기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</si>
  <si>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시장데이터 </t>
    </r>
    <r>
      <rPr>
        <sz val="10"/>
        <rFont val="Arial"/>
        <family val="0"/>
        <charset val="1"/>
      </rPr>
      <t xml:space="preserve">ACAFP</t>
    </r>
    <r>
      <rPr>
        <sz val="10"/>
        <rFont val="Noto Sans CJK SC"/>
        <family val="2"/>
      </rPr>
      <t xml:space="preserve">와 동일 발행자</t>
    </r>
  </si>
  <si>
    <r>
      <rPr>
        <sz val="10"/>
        <rFont val="Arial"/>
        <family val="0"/>
        <charset val="1"/>
      </rPr>
      <t xml:space="preserve">KOREA SECURITIES FINANCE 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</si>
  <si>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t xml:space="preserve">확인 필요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</si>
  <si>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)</t>
    </r>
  </si>
  <si>
    <t xml:space="preserve">발행자 확인 후 입력</t>
  </si>
  <si>
    <r>
      <rPr>
        <sz val="10"/>
        <rFont val="Noto Sans CJK SC"/>
        <family val="2"/>
      </rPr>
      <t xml:space="preserve">현대카드</t>
    </r>
    <r>
      <rPr>
        <sz val="10"/>
        <rFont val="Arial"/>
        <family val="0"/>
        <charset val="1"/>
      </rPr>
      <t xml:space="preserve">953(USD)</t>
    </r>
  </si>
  <si>
    <r>
      <rPr>
        <sz val="10"/>
        <rFont val="Arial"/>
        <family val="0"/>
        <charset val="1"/>
      </rPr>
      <t xml:space="preserve">HYUNDAI CARD (</t>
    </r>
    <r>
      <rPr>
        <sz val="10"/>
        <rFont val="Noto Sans CJK SC"/>
        <family val="2"/>
      </rPr>
      <t xml:space="preserve">잔고 한글명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</si>
  <si>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시장데이터 </t>
    </r>
    <r>
      <rPr>
        <sz val="10"/>
        <rFont val="Arial"/>
        <family val="0"/>
        <charset val="1"/>
      </rPr>
      <t xml:space="preserve">HYNCRD 4.345 04/12/29</t>
    </r>
  </si>
  <si>
    <r>
      <rPr>
        <b val="true"/>
        <sz val="14"/>
        <rFont val="Noto Sans CJK SC"/>
        <family val="2"/>
      </rPr>
      <t xml:space="preserve">설정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파란 글씨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노란 칸 </t>
    </r>
    <r>
      <rPr>
        <b val="true"/>
        <sz val="14"/>
        <rFont val="Arial"/>
        <family val="0"/>
        <charset val="1"/>
      </rPr>
      <t xml:space="preserve">= </t>
    </r>
    <r>
      <rPr>
        <b val="true"/>
        <sz val="14"/>
        <rFont val="Noto Sans CJK SC"/>
        <family val="2"/>
      </rPr>
      <t xml:space="preserve">입력값</t>
    </r>
    <r>
      <rPr>
        <b val="true"/>
        <sz val="14"/>
        <rFont val="Arial"/>
        <family val="0"/>
        <charset val="1"/>
      </rPr>
      <t xml:space="preserve">)</t>
    </r>
  </si>
  <si>
    <t xml:space="preserve">항목</t>
  </si>
  <si>
    <t xml:space="preserve">설명</t>
  </si>
  <si>
    <r>
      <rPr>
        <b val="true"/>
        <sz val="11"/>
        <rFont val="Noto Sans CJK SC"/>
        <family val="2"/>
      </rPr>
      <t xml:space="preserve">■ 원자료 헤더 매핑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원자료 양식이 바뀌면 </t>
    </r>
    <r>
      <rPr>
        <b val="true"/>
        <sz val="11"/>
        <rFont val="Arial"/>
        <family val="0"/>
        <charset val="1"/>
      </rPr>
      <t xml:space="preserve">J</t>
    </r>
    <r>
      <rPr>
        <b val="true"/>
        <sz val="11"/>
        <rFont val="Noto Sans CJK SC"/>
        <family val="2"/>
      </rPr>
      <t xml:space="preserve">열 헤더명만 수정</t>
    </r>
    <r>
      <rPr>
        <b val="true"/>
        <sz val="11"/>
        <rFont val="Arial"/>
        <family val="0"/>
        <charset val="1"/>
      </rPr>
      <t xml:space="preserve">)</t>
    </r>
  </si>
  <si>
    <t xml:space="preserve">기준일</t>
  </si>
  <si>
    <r>
      <rPr>
        <sz val="10"/>
        <color rgb="FF595959"/>
        <rFont val="Noto Sans CJK SC"/>
        <family val="2"/>
      </rPr>
      <t xml:space="preserve">잔고 기준일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잔존만기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만기구간 계산에 사용</t>
    </r>
  </si>
  <si>
    <t xml:space="preserve">원자료</t>
  </si>
  <si>
    <t xml:space="preserve">표준항목</t>
  </si>
  <si>
    <t xml:space="preserve">원자료 헤더명</t>
  </si>
  <si>
    <t xml:space="preserve">열번호</t>
  </si>
  <si>
    <t xml:space="preserve">상태</t>
  </si>
  <si>
    <t xml:space="preserve">잔고탐지</t>
  </si>
  <si>
    <t xml:space="preserve">시장탐지</t>
  </si>
  <si>
    <t xml:space="preserve">펀드 선택</t>
  </si>
  <si>
    <t xml:space="preserve">선택펀드</t>
  </si>
  <si>
    <r>
      <rPr>
        <sz val="10"/>
        <color rgb="FF595959"/>
        <rFont val="Arial"/>
        <family val="0"/>
        <charset val="1"/>
      </rPr>
      <t xml:space="preserve">"</t>
    </r>
    <r>
      <rPr>
        <sz val="10"/>
        <color rgb="FF595959"/>
        <rFont val="Noto Sans CJK SC"/>
        <family val="2"/>
      </rPr>
      <t xml:space="preserve">전체</t>
    </r>
    <r>
      <rPr>
        <sz val="10"/>
        <color rgb="FF595959"/>
        <rFont val="Arial"/>
        <family val="0"/>
        <charset val="1"/>
      </rPr>
      <t xml:space="preserve">" / "</t>
    </r>
    <r>
      <rPr>
        <sz val="10"/>
        <color rgb="FF595959"/>
        <rFont val="Noto Sans CJK SC"/>
        <family val="2"/>
      </rPr>
      <t xml:space="preserve">선택펀드</t>
    </r>
    <r>
      <rPr>
        <sz val="10"/>
        <color rgb="FF595959"/>
        <rFont val="Arial"/>
        <family val="0"/>
        <charset val="1"/>
      </rPr>
      <t xml:space="preserve">"(F·G</t>
    </r>
    <r>
      <rPr>
        <sz val="10"/>
        <color rgb="FF595959"/>
        <rFont val="Noto Sans CJK SC"/>
        <family val="2"/>
      </rPr>
      <t xml:space="preserve">열 </t>
    </r>
    <r>
      <rPr>
        <sz val="10"/>
        <color rgb="FF595959"/>
        <rFont val="Arial"/>
        <family val="0"/>
        <charset val="1"/>
      </rPr>
      <t xml:space="preserve">Y </t>
    </r>
    <r>
      <rPr>
        <sz val="10"/>
        <color rgb="FF595959"/>
        <rFont val="Noto Sans CJK SC"/>
        <family val="2"/>
      </rPr>
      <t xml:space="preserve">표시 코드 합산</t>
    </r>
    <r>
      <rPr>
        <sz val="10"/>
        <color rgb="FF595959"/>
        <rFont val="Arial"/>
        <family val="0"/>
        <charset val="1"/>
      </rPr>
      <t xml:space="preserve">) / </t>
    </r>
    <r>
      <rPr>
        <sz val="10"/>
        <color rgb="FF595959"/>
        <rFont val="Noto Sans CJK SC"/>
        <family val="2"/>
      </rPr>
      <t xml:space="preserve">단일 운용코드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잔고가 로트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운용코드별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라 펀드별 수량이 정확히 분리됨</t>
    </r>
  </si>
  <si>
    <t xml:space="preserve">잔고 헤더행</t>
  </si>
  <si>
    <r>
      <rPr>
        <b val="true"/>
        <sz val="10"/>
        <rFont val="Arial"/>
        <family val="0"/>
        <charset val="1"/>
      </rPr>
      <t xml:space="preserve">RV </t>
    </r>
    <r>
      <rPr>
        <b val="true"/>
        <sz val="10"/>
        <rFont val="Noto Sans CJK SC"/>
        <family val="2"/>
      </rPr>
      <t xml:space="preserve">신호 임계 </t>
    </r>
    <r>
      <rPr>
        <b val="true"/>
        <sz val="10"/>
        <rFont val="Arial"/>
        <family val="0"/>
        <charset val="1"/>
      </rPr>
      <t xml:space="preserve">z</t>
    </r>
  </si>
  <si>
    <r>
      <rPr>
        <sz val="10"/>
        <color rgb="FF595959"/>
        <rFont val="Arial"/>
        <family val="0"/>
        <charset val="1"/>
      </rPr>
      <t xml:space="preserve">|z| ≥ </t>
    </r>
    <r>
      <rPr>
        <sz val="10"/>
        <color rgb="FF595959"/>
        <rFont val="Noto Sans CJK SC"/>
        <family val="2"/>
      </rPr>
      <t xml:space="preserve">임계값이면 </t>
    </r>
    <r>
      <rPr>
        <sz val="10"/>
        <color rgb="FF595959"/>
        <rFont val="Arial"/>
        <family val="0"/>
        <charset val="1"/>
      </rPr>
      <t xml:space="preserve">Cheap/Rich</t>
    </r>
  </si>
  <si>
    <t xml:space="preserve">시장 헤더행</t>
  </si>
  <si>
    <t xml:space="preserve">피어커브 최소 표본수</t>
  </si>
  <si>
    <r>
      <rPr>
        <sz val="10"/>
        <color rgb="FF595959"/>
        <rFont val="Noto Sans CJK SC"/>
        <family val="2"/>
      </rPr>
      <t xml:space="preserve">지역</t>
    </r>
    <r>
      <rPr>
        <sz val="10"/>
        <color rgb="FF595959"/>
        <rFont val="Arial"/>
        <family val="0"/>
        <charset val="1"/>
      </rPr>
      <t xml:space="preserve">|</t>
    </r>
    <r>
      <rPr>
        <sz val="10"/>
        <color rgb="FF595959"/>
        <rFont val="Noto Sans CJK SC"/>
        <family val="2"/>
      </rPr>
      <t xml:space="preserve">섹터 피어가 이 수 미만이면 지역 커브 → 전체 커브로 대체</t>
    </r>
  </si>
  <si>
    <t xml:space="preserve">잔고</t>
  </si>
  <si>
    <t xml:space="preserve">isin</t>
  </si>
  <si>
    <r>
      <rPr>
        <b val="true"/>
        <sz val="10"/>
        <rFont val="Arial"/>
        <family val="0"/>
        <charset val="1"/>
      </rPr>
      <t xml:space="preserve">RV </t>
    </r>
    <r>
      <rPr>
        <b val="true"/>
        <sz val="10"/>
        <rFont val="Noto Sans CJK SC"/>
        <family val="2"/>
      </rPr>
      <t xml:space="preserve">최소 듀레이션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년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</si>
  <si>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이보다 짧은 종목은 </t>
    </r>
    <r>
      <rPr>
        <sz val="10"/>
        <color rgb="FF595959"/>
        <rFont val="Arial"/>
        <family val="0"/>
        <charset val="1"/>
      </rPr>
      <t xml:space="preserve">RV </t>
    </r>
    <r>
      <rPr>
        <sz val="10"/>
        <color rgb="FF595959"/>
        <rFont val="Noto Sans CJK SC"/>
        <family val="2"/>
      </rPr>
      <t xml:space="preserve">커브 적합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신호에서 제외</t>
    </r>
  </si>
  <si>
    <t xml:space="preserve">name</t>
  </si>
  <si>
    <r>
      <rPr>
        <b val="true"/>
        <sz val="10"/>
        <rFont val="Noto Sans CJK SC"/>
        <family val="2"/>
      </rPr>
      <t xml:space="preserve">금리 쇼크</t>
    </r>
    <r>
      <rPr>
        <b val="true"/>
        <sz val="10"/>
        <rFont val="Arial"/>
        <family val="0"/>
        <charset val="1"/>
      </rPr>
      <t xml:space="preserve">(bp)</t>
    </r>
  </si>
  <si>
    <t xml:space="preserve">시나리오용 평행이동 폭</t>
  </si>
  <si>
    <t xml:space="preserve">fund</t>
  </si>
  <si>
    <r>
      <rPr>
        <b val="true"/>
        <sz val="10"/>
        <rFont val="Noto Sans CJK SC"/>
        <family val="2"/>
      </rPr>
      <t xml:space="preserve">스프레드 쇼크</t>
    </r>
    <r>
      <rPr>
        <b val="true"/>
        <sz val="10"/>
        <rFont val="Arial"/>
        <family val="0"/>
        <charset val="1"/>
      </rPr>
      <t xml:space="preserve">(bp)</t>
    </r>
  </si>
  <si>
    <t xml:space="preserve">시나리오용 기본 크레딧 스프레드 변화 폭</t>
  </si>
  <si>
    <t xml:space="preserve">purp</t>
  </si>
  <si>
    <t xml:space="preserve">qty</t>
  </si>
  <si>
    <t xml:space="preserve">price</t>
  </si>
  <si>
    <r>
      <rPr>
        <b val="true"/>
        <sz val="10"/>
        <rFont val="Noto Sans CJK SC"/>
        <family val="2"/>
      </rPr>
      <t xml:space="preserve">등급표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원표기 → 표준등급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등급군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서열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</si>
  <si>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펀드 선택 목록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추가 가능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</si>
  <si>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선택펀드 포함</t>
    </r>
    <r>
      <rPr>
        <b val="true"/>
        <sz val="10"/>
        <rFont val="Arial"/>
        <family val="0"/>
        <charset val="1"/>
      </rPr>
      <t xml:space="preserve">(Y)</t>
    </r>
  </si>
  <si>
    <t xml:space="preserve">ytm</t>
  </si>
  <si>
    <t xml:space="preserve">원표기</t>
  </si>
  <si>
    <t xml:space="preserve">표준등급</t>
  </si>
  <si>
    <t xml:space="preserve">서열</t>
  </si>
  <si>
    <t xml:space="preserve">mdur</t>
  </si>
  <si>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이상</t>
    </r>
  </si>
  <si>
    <t xml:space="preserve">mat</t>
  </si>
  <si>
    <t xml:space="preserve">cpn</t>
  </si>
  <si>
    <t xml:space="preserve">fxr</t>
  </si>
  <si>
    <t xml:space="preserve">mvl</t>
  </si>
  <si>
    <t xml:space="preserve">pnll</t>
  </si>
  <si>
    <t xml:space="preserve">bookl</t>
  </si>
  <si>
    <t xml:space="preserve">sp</t>
  </si>
  <si>
    <t xml:space="preserve">md</t>
  </si>
  <si>
    <t xml:space="preserve">fi</t>
  </si>
  <si>
    <t xml:space="preserve">시장</t>
  </si>
  <si>
    <t xml:space="preserve">BB+</t>
  </si>
  <si>
    <t xml:space="preserve">ccy</t>
  </si>
  <si>
    <t xml:space="preserve">BB</t>
  </si>
  <si>
    <t xml:space="preserve">BB-</t>
  </si>
  <si>
    <t xml:space="preserve">g</t>
  </si>
  <si>
    <t xml:space="preserve">B+</t>
  </si>
  <si>
    <t xml:space="preserve">i</t>
  </si>
  <si>
    <t xml:space="preserve">B</t>
  </si>
  <si>
    <t xml:space="preserve">d1</t>
  </si>
  <si>
    <t xml:space="preserve">B-</t>
  </si>
  <si>
    <t xml:space="preserve">w1</t>
  </si>
  <si>
    <t xml:space="preserve">Aaa</t>
  </si>
  <si>
    <t xml:space="preserve">mtd</t>
  </si>
  <si>
    <t xml:space="preserve">Aa1</t>
  </si>
  <si>
    <t xml:space="preserve">ytd</t>
  </si>
  <si>
    <t xml:space="preserve">Aa2</t>
  </si>
  <si>
    <t xml:space="preserve">dur</t>
  </si>
  <si>
    <t xml:space="preserve">Aa3</t>
  </si>
  <si>
    <t xml:space="preserve">sec</t>
  </si>
  <si>
    <t xml:space="preserve">rtg</t>
  </si>
  <si>
    <t xml:space="preserve">A2</t>
  </si>
  <si>
    <t xml:space="preserve">reg</t>
  </si>
  <si>
    <t xml:space="preserve">iss</t>
  </si>
  <si>
    <t xml:space="preserve">Baa1</t>
  </si>
  <si>
    <t xml:space="preserve">Baa3</t>
  </si>
  <si>
    <t xml:space="preserve">Ba1</t>
  </si>
  <si>
    <t xml:space="preserve">Ba2</t>
  </si>
  <si>
    <t xml:space="preserve">Ba3</t>
  </si>
  <si>
    <t xml:space="preserve">B1</t>
  </si>
  <si>
    <t xml:space="preserve">B2</t>
  </si>
  <si>
    <t xml:space="preserve">B3</t>
  </si>
  <si>
    <t xml:space="preserve">방법론 및 데이터 점검</t>
  </si>
  <si>
    <r>
      <rPr>
        <b val="true"/>
        <sz val="10"/>
        <rFont val="Noto Sans CJK SC"/>
        <family val="2"/>
      </rPr>
      <t xml:space="preserve">■ 사용법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매일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</si>
  <si>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잔고 파일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시트 전체 복사</t>
    </r>
    <r>
      <rPr>
        <sz val="10"/>
        <rFont val="Arial"/>
        <family val="0"/>
        <charset val="1"/>
      </rPr>
      <t xml:space="preserve">(Ctrl+A) → [</t>
    </r>
    <r>
      <rPr>
        <sz val="10"/>
        <rFont val="Noto Sans CJK SC"/>
        <family val="2"/>
      </rPr>
      <t xml:space="preserve">원자료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잔고</t>
    </r>
    <r>
      <rPr>
        <sz val="10"/>
        <rFont val="Arial"/>
        <family val="0"/>
        <charset val="1"/>
      </rPr>
      <t xml:space="preserve">] A1</t>
    </r>
    <r>
      <rPr>
        <sz val="10"/>
        <rFont val="Noto Sans CJK SC"/>
        <family val="2"/>
      </rPr>
      <t xml:space="preserve">에 값 붙여넣기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상단 안내행이 있어도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종목명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헤더행을 자동 탐지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</si>
  <si>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시장데이터</t>
    </r>
    <r>
      <rPr>
        <sz val="10"/>
        <rFont val="Arial"/>
        <family val="0"/>
        <charset val="1"/>
      </rPr>
      <t xml:space="preserve">(ig_credit CSV): [</t>
    </r>
    <r>
      <rPr>
        <sz val="10"/>
        <rFont val="Noto Sans CJK SC"/>
        <family val="2"/>
      </rPr>
      <t xml:space="preserve">원자료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시장</t>
    </r>
    <r>
      <rPr>
        <sz val="10"/>
        <rFont val="Arial"/>
        <family val="0"/>
        <charset val="1"/>
      </rPr>
      <t xml:space="preserve">] A1</t>
    </r>
    <r>
      <rPr>
        <sz val="10"/>
        <rFont val="Noto Sans CJK SC"/>
        <family val="2"/>
      </rPr>
      <t xml:space="preserve">에 붙여넣기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채권명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헤더행 자동 탐지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</si>
  <si>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붙여넣기 전 기존 데이터 전체 삭제 권장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열 순서가 바뀌거나 열이 추가돼도 헤더명으로 찾으므로 무관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헤더명이 바뀌면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설정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헤더 매핑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열만 수정</t>
    </r>
  </si>
  <si>
    <r>
      <rPr>
        <sz val="10"/>
        <rFont val="Arial"/>
        <family val="0"/>
        <charset val="1"/>
      </rPr>
      <t xml:space="preserve">- [</t>
    </r>
    <r>
      <rPr>
        <sz val="10"/>
        <rFont val="Noto Sans CJK SC"/>
        <family val="2"/>
      </rPr>
      <t xml:space="preserve">설정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에서 기준일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펀드 선택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선택펀드는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열 </t>
    </r>
    <r>
      <rPr>
        <sz val="10"/>
        <rFont val="Arial"/>
        <family val="0"/>
        <charset val="1"/>
      </rPr>
      <t xml:space="preserve">Y)·</t>
    </r>
    <r>
      <rPr>
        <sz val="10"/>
        <rFont val="Noto Sans CJK SC"/>
        <family val="2"/>
      </rPr>
      <t xml:space="preserve">임계값 변경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환율은 잔고의 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환산 사용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수동 입력 불필요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</si>
  <si>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시장데이터와 매칭 안 되는 보유종목은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매핑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예외표</t>
    </r>
    <r>
      <rPr>
        <sz val="10"/>
        <rFont val="Arial"/>
        <family val="0"/>
        <charset val="1"/>
      </rPr>
      <t xml:space="preserve">(ISIN → </t>
    </r>
    <r>
      <rPr>
        <sz val="10"/>
        <rFont val="Noto Sans CJK SC"/>
        <family val="2"/>
      </rPr>
      <t xml:space="preserve">시장 채권명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추가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시장데이터에 없는 신규 종목은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매핑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티커표로 국가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섹터 분류</t>
    </r>
  </si>
  <si>
    <t xml:space="preserve">■ 데이터 원천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</si>
  <si>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포지션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수익률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듀레이션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만기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평가손익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잔고 시스템 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종목코드 이후 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사용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잔고 파일 앞쪽 </t>
    </r>
    <r>
      <rPr>
        <sz val="10"/>
        <rFont val="Arial"/>
        <family val="0"/>
        <charset val="1"/>
      </rPr>
      <t xml:space="preserve">A~T </t>
    </r>
    <r>
      <rPr>
        <sz val="10"/>
        <rFont val="Noto Sans CJK SC"/>
        <family val="2"/>
      </rPr>
      <t xml:space="preserve">계산열은 사용하지 않음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 어긋남 확인됨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</si>
  <si>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- G-spread·</t>
    </r>
    <r>
      <rPr>
        <sz val="10"/>
        <rFont val="Noto Sans CJK SC"/>
        <family val="2"/>
      </rPr>
      <t xml:space="preserve">섹터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·RV(</t>
    </r>
    <r>
      <rPr>
        <sz val="10"/>
        <rFont val="Noto Sans CJK SC"/>
        <family val="2"/>
      </rPr>
      <t xml:space="preserve">피어커브</t>
    </r>
    <r>
      <rPr>
        <sz val="10"/>
        <rFont val="Arial"/>
        <family val="0"/>
        <charset val="1"/>
      </rPr>
      <t xml:space="preserve">) = </t>
    </r>
    <r>
      <rPr>
        <sz val="10"/>
        <rFont val="Noto Sans CJK SC"/>
        <family val="2"/>
      </rPr>
      <t xml:space="preserve">시장데이터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보유종목과는 만기일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쿠폰</t>
    </r>
    <r>
      <rPr>
        <sz val="10"/>
        <rFont val="Arial"/>
        <family val="0"/>
        <charset val="1"/>
      </rPr>
      <t xml:space="preserve">(FRN</t>
    </r>
    <r>
      <rPr>
        <sz val="10"/>
        <rFont val="Noto Sans CJK SC"/>
        <family val="2"/>
      </rPr>
      <t xml:space="preserve">은 만기일</t>
    </r>
    <r>
      <rPr>
        <sz val="10"/>
        <rFont val="Arial"/>
        <family val="0"/>
        <charset val="1"/>
      </rPr>
      <t xml:space="preserve">+F)</t>
    </r>
    <r>
      <rPr>
        <sz val="10"/>
        <rFont val="Noto Sans CJK SC"/>
        <family val="2"/>
      </rPr>
      <t xml:space="preserve">으로 매칭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동일 키 중복 시 티커로 구분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예외는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매핑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예외표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</si>
  <si>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= S&amp;P → Fitch → Moody's(</t>
    </r>
    <r>
      <rPr>
        <sz val="10"/>
        <rFont val="Noto Sans CJK SC"/>
        <family val="2"/>
      </rPr>
      <t xml:space="preserve">환산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순으로 첫 번째 값</t>
    </r>
  </si>
  <si>
    <t xml:space="preserve">■ 계산 방법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</si>
  <si>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평가금액</t>
    </r>
    <r>
      <rPr>
        <sz val="10"/>
        <rFont val="Arial"/>
        <family val="0"/>
        <charset val="1"/>
      </rPr>
      <t xml:space="preserve">($M) = </t>
    </r>
    <r>
      <rPr>
        <sz val="10"/>
        <rFont val="Noto Sans CJK SC"/>
        <family val="2"/>
      </rPr>
      <t xml:space="preserve">외화평가금액 </t>
    </r>
    <r>
      <rPr>
        <sz val="10"/>
        <rFont val="Arial"/>
        <family val="0"/>
        <charset val="1"/>
      </rPr>
      <t xml:space="preserve">× USD</t>
    </r>
    <r>
      <rPr>
        <sz val="10"/>
        <rFont val="Noto Sans CJK SC"/>
        <family val="2"/>
      </rPr>
      <t xml:space="preserve">환산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클린가 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경과이자 미포함</t>
    </r>
    <r>
      <rPr>
        <sz val="10"/>
        <rFont val="Arial"/>
        <family val="0"/>
        <charset val="1"/>
      </rPr>
      <t xml:space="preserve">). DV01 = </t>
    </r>
    <r>
      <rPr>
        <sz val="10"/>
        <rFont val="Noto Sans CJK SC"/>
        <family val="2"/>
      </rPr>
      <t xml:space="preserve">평가금액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수정듀레이션 </t>
    </r>
    <r>
      <rPr>
        <sz val="10"/>
        <rFont val="Arial"/>
        <family val="0"/>
        <charset val="1"/>
      </rPr>
      <t xml:space="preserve">× 1bp</t>
    </r>
  </si>
  <si>
    <r>
      <rPr>
        <sz val="10"/>
        <rFont val="Arial"/>
        <family val="0"/>
        <charset val="1"/>
      </rPr>
      <t xml:space="preserve">- CR01: </t>
    </r>
    <r>
      <rPr>
        <sz val="10"/>
        <rFont val="Noto Sans CJK SC"/>
        <family val="2"/>
      </rPr>
      <t xml:space="preserve">국채 제외</t>
    </r>
    <r>
      <rPr>
        <sz val="10"/>
        <rFont val="Arial"/>
        <family val="0"/>
        <charset val="1"/>
      </rPr>
      <t xml:space="preserve">. FRN</t>
    </r>
    <r>
      <rPr>
        <sz val="10"/>
        <rFont val="Noto Sans CJK SC"/>
        <family val="2"/>
      </rPr>
      <t xml:space="preserve">은 수정듀레이션이 금리 리셋까지만 반영되므로 크레딧 듀레이션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잔존만기로 대체</t>
    </r>
  </si>
  <si>
    <r>
      <rPr>
        <sz val="10"/>
        <rFont val="Arial"/>
        <family val="0"/>
        <charset val="1"/>
      </rPr>
      <t xml:space="preserve">- 1Y </t>
    </r>
    <r>
      <rPr>
        <sz val="10"/>
        <rFont val="Noto Sans CJK SC"/>
        <family val="2"/>
      </rPr>
      <t xml:space="preserve">캐리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평가금액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평가수익률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스프레드 롤다운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피어커브 기울기 </t>
    </r>
    <r>
      <rPr>
        <sz val="10"/>
        <rFont val="Arial"/>
        <family val="0"/>
        <charset val="1"/>
      </rPr>
      <t xml:space="preserve">b × [ln(D)−ln(D−1)] × (</t>
    </r>
    <r>
      <rPr>
        <sz val="10"/>
        <rFont val="Noto Sans CJK SC"/>
        <family val="2"/>
      </rPr>
      <t xml:space="preserve">크레딧듀레이션−</t>
    </r>
    <r>
      <rPr>
        <sz val="10"/>
        <rFont val="Arial"/>
        <family val="0"/>
        <charset val="1"/>
      </rPr>
      <t xml:space="preserve">1). </t>
    </r>
    <r>
      <rPr>
        <sz val="10"/>
        <rFont val="Noto Sans CJK SC"/>
        <family val="2"/>
      </rPr>
      <t xml:space="preserve">금리커브 롤다운 미포함</t>
    </r>
  </si>
  <si>
    <r>
      <rPr>
        <sz val="10"/>
        <rFont val="Arial"/>
        <family val="0"/>
        <charset val="1"/>
      </rPr>
      <t xml:space="preserve">- RV: </t>
    </r>
    <r>
      <rPr>
        <sz val="10"/>
        <rFont val="Noto Sans CJK SC"/>
        <family val="2"/>
      </rPr>
      <t xml:space="preserve">시장데이터 </t>
    </r>
    <r>
      <rPr>
        <sz val="10"/>
        <rFont val="Arial"/>
        <family val="0"/>
        <charset val="1"/>
      </rPr>
      <t xml:space="preserve">USD·</t>
    </r>
    <r>
      <rPr>
        <sz val="10"/>
        <rFont val="Noto Sans CJK SC"/>
        <family val="2"/>
      </rPr>
      <t xml:space="preserve">비국채 종목으로 지역</t>
    </r>
    <r>
      <rPr>
        <sz val="10"/>
        <rFont val="Arial"/>
        <family val="0"/>
        <charset val="1"/>
      </rPr>
      <t xml:space="preserve">|</t>
    </r>
    <r>
      <rPr>
        <sz val="10"/>
        <rFont val="Noto Sans CJK SC"/>
        <family val="2"/>
      </rPr>
      <t xml:space="preserve">섹터별 </t>
    </r>
    <r>
      <rPr>
        <sz val="10"/>
        <rFont val="Arial"/>
        <family val="0"/>
        <charset val="1"/>
      </rPr>
      <t xml:space="preserve">G = a + b·ln(</t>
    </r>
    <r>
      <rPr>
        <sz val="10"/>
        <rFont val="Noto Sans CJK SC"/>
        <family val="2"/>
      </rPr>
      <t xml:space="preserve">듀레이션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적합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잔차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실제 − 적정</t>
    </r>
    <r>
      <rPr>
        <sz val="10"/>
        <rFont val="Arial"/>
        <family val="0"/>
        <charset val="1"/>
      </rPr>
      <t xml:space="preserve">, z = </t>
    </r>
    <r>
      <rPr>
        <sz val="10"/>
        <rFont val="Noto Sans CJK SC"/>
        <family val="2"/>
      </rPr>
      <t xml:space="preserve">잔차</t>
    </r>
    <r>
      <rPr>
        <sz val="10"/>
        <rFont val="Arial"/>
        <family val="0"/>
        <charset val="1"/>
      </rPr>
      <t xml:space="preserve">/σ. </t>
    </r>
    <r>
      <rPr>
        <sz val="10"/>
        <rFont val="Noto Sans CJK SC"/>
        <family val="2"/>
      </rPr>
      <t xml:space="preserve">표본 부족 시 지역 → 전체 커브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</si>
  <si>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스프레드 쇼크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실효 쇼크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기본 쇼크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차등계수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섹터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비례계수</t>
    </r>
    <r>
      <rPr>
        <sz val="10"/>
        <rFont val="Arial"/>
        <family val="0"/>
        <charset val="1"/>
      </rPr>
      <t xml:space="preserve">(G ÷ </t>
    </r>
    <r>
      <rPr>
        <sz val="10"/>
        <rFont val="Noto Sans CJK SC"/>
        <family val="2"/>
      </rPr>
      <t xml:space="preserve">포트 가중 </t>
    </r>
    <r>
      <rPr>
        <sz val="10"/>
        <rFont val="Arial"/>
        <family val="0"/>
        <charset val="1"/>
      </rPr>
      <t xml:space="preserve">G, </t>
    </r>
    <r>
      <rPr>
        <sz val="10"/>
        <rFont val="Noto Sans CJK SC"/>
        <family val="2"/>
      </rPr>
      <t xml:space="preserve">하한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</si>
  <si>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만기구간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잔고 만기일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최종만기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조기상환일은 시스템 열에 없어 미반영</t>
    </r>
  </si>
  <si>
    <t xml:space="preserve">■ 해석상 주의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</si>
  <si>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잔차</t>
    </r>
    <r>
      <rPr>
        <sz val="10"/>
        <rFont val="Arial"/>
        <family val="0"/>
        <charset val="1"/>
      </rPr>
      <t xml:space="preserve">·z</t>
    </r>
    <r>
      <rPr>
        <sz val="10"/>
        <rFont val="Noto Sans CJK SC"/>
        <family val="2"/>
      </rPr>
      <t xml:space="preserve">는 각 종목의 피어커브 대비 값 → 서로 다른 피어 종목끼리 잔차 크기를 직접 비교하면 안 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피어 간 비교는 </t>
    </r>
    <r>
      <rPr>
        <sz val="10"/>
        <rFont val="Arial"/>
        <family val="0"/>
        <charset val="1"/>
      </rPr>
      <t xml:space="preserve">G-spread·</t>
    </r>
    <r>
      <rPr>
        <sz val="10"/>
        <rFont val="Noto Sans CJK SC"/>
        <family val="2"/>
      </rPr>
      <t xml:space="preserve">기대수익률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손익분기 같은 절대지표로</t>
    </r>
    <r>
      <rPr>
        <sz val="10"/>
        <rFont val="Arial"/>
        <family val="0"/>
        <charset val="1"/>
      </rPr>
      <t xml:space="preserve">([</t>
    </r>
    <r>
      <rPr>
        <sz val="10"/>
        <rFont val="Noto Sans CJK SC"/>
        <family val="2"/>
      </rPr>
      <t xml:space="preserve">스왑분석</t>
    </r>
    <r>
      <rPr>
        <sz val="10"/>
        <rFont val="Arial"/>
        <family val="0"/>
        <charset val="1"/>
      </rPr>
      <t xml:space="preserve">])</t>
    </r>
  </si>
  <si>
    <r>
      <rPr>
        <sz val="10"/>
        <rFont val="Arial"/>
        <family val="0"/>
        <charset val="1"/>
      </rPr>
      <t xml:space="preserve">- [</t>
    </r>
    <r>
      <rPr>
        <sz val="10"/>
        <rFont val="Noto Sans CJK SC"/>
        <family val="2"/>
      </rPr>
      <t xml:space="preserve">매매후보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순위</t>
    </r>
    <r>
      <rPr>
        <sz val="10"/>
        <rFont val="Arial"/>
        <family val="0"/>
        <charset val="1"/>
      </rPr>
      <t xml:space="preserve">(z)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자기 피어 안에서 얼마나 이례적인가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의 순위이지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종목 간 우열 순위가 아님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</si>
  <si>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피어커브에 등급 미반영 → </t>
    </r>
    <r>
      <rPr>
        <sz val="10"/>
        <rFont val="Arial"/>
        <family val="0"/>
        <charset val="1"/>
      </rPr>
      <t xml:space="preserve">Cheap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피어 대비 넓다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는 뜻</t>
    </r>
    <r>
      <rPr>
        <sz val="10"/>
        <rFont val="Arial"/>
        <family val="0"/>
        <charset val="1"/>
      </rPr>
      <t xml:space="preserve">. σ</t>
    </r>
    <r>
      <rPr>
        <sz val="10"/>
        <rFont val="Noto Sans CJK SC"/>
        <family val="2"/>
      </rPr>
      <t xml:space="preserve">가 작은 피어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소수 발행자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가 과장될 수 있으니 잔차</t>
    </r>
    <r>
      <rPr>
        <sz val="10"/>
        <rFont val="Arial"/>
        <family val="0"/>
        <charset val="1"/>
      </rPr>
      <t xml:space="preserve">(bp)</t>
    </r>
    <r>
      <rPr>
        <sz val="10"/>
        <rFont val="Noto Sans CJK SC"/>
        <family val="2"/>
      </rPr>
      <t xml:space="preserve">와 함께 확인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</si>
  <si>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시장데이터 매칭이 안 된 보유종목은 </t>
    </r>
    <r>
      <rPr>
        <sz val="10"/>
        <rFont val="Arial"/>
        <family val="0"/>
        <charset val="1"/>
      </rPr>
      <t xml:space="preserve">G-spread·RV·</t>
    </r>
    <r>
      <rPr>
        <sz val="10"/>
        <rFont val="Noto Sans CJK SC"/>
        <family val="2"/>
      </rPr>
      <t xml:space="preserve">롤다운이 비어 있음 →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] G-spread </t>
    </r>
    <r>
      <rPr>
        <sz val="10"/>
        <rFont val="Noto Sans CJK SC"/>
        <family val="2"/>
      </rPr>
      <t xml:space="preserve">커버리지 확인</t>
    </r>
  </si>
  <si>
    <r>
      <rPr>
        <b val="true"/>
        <sz val="10"/>
        <rFont val="Noto Sans CJK SC"/>
        <family val="2"/>
      </rPr>
      <t xml:space="preserve">■ 데이터 점검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현재 펀드 선택 기준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자동 집계</t>
    </r>
    <r>
      <rPr>
        <b val="true"/>
        <sz val="10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</si>
  <si>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  잔고 유효 로트 수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전체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</si>
  <si>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  시장데이터 미매칭 로트 수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국채 제외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</si>
  <si>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    └ 미매칭 평가금액</t>
    </r>
    <r>
      <rPr>
        <sz val="11"/>
        <color theme="1"/>
        <rFont val="Arial"/>
        <family val="0"/>
        <charset val="1"/>
      </rPr>
      <t xml:space="preserve">($M)</t>
    </r>
  </si>
  <si>
    <r>
      <rPr>
        <sz val="11"/>
        <color theme="1"/>
        <rFont val="Arial"/>
        <family val="0"/>
        <charset val="1"/>
      </rPr>
      <t xml:space="preserve">  FRN </t>
    </r>
    <r>
      <rPr>
        <sz val="11"/>
        <color theme="1"/>
        <rFont val="Noto Sans CJK SC"/>
        <family val="2"/>
      </rPr>
      <t xml:space="preserve">보유 로트 수</t>
    </r>
  </si>
  <si>
    <r>
      <rPr>
        <sz val="11"/>
        <color theme="1"/>
        <rFont val="Arial"/>
        <family val="0"/>
        <charset val="1"/>
      </rPr>
      <t xml:space="preserve">  BBB0 </t>
    </r>
    <r>
      <rPr>
        <sz val="11"/>
        <color theme="1"/>
        <rFont val="Noto Sans CJK SC"/>
        <family val="2"/>
      </rPr>
      <t xml:space="preserve">미만 보유 로트 수</t>
    </r>
  </si>
  <si>
    <t xml:space="preserve">  등급 없음 보유 로트 수</t>
  </si>
  <si>
    <r>
      <rPr>
        <sz val="11"/>
        <color theme="1"/>
        <rFont val="Noto Sans CJK SC"/>
        <family val="2"/>
      </rPr>
      <t xml:space="preserve">  비</t>
    </r>
    <r>
      <rPr>
        <sz val="11"/>
        <color theme="1"/>
        <rFont val="Arial"/>
        <family val="0"/>
        <charset val="1"/>
      </rPr>
      <t xml:space="preserve">USD </t>
    </r>
    <r>
      <rPr>
        <sz val="11"/>
        <color theme="1"/>
        <rFont val="Noto Sans CJK SC"/>
        <family val="2"/>
      </rPr>
      <t xml:space="preserve">보유 로트 수</t>
    </r>
  </si>
  <si>
    <t xml:space="preserve">  만기경과인데 잔고 남은 로트 수</t>
  </si>
  <si>
    <t xml:space="preserve">  국가 미분류 로트 수</t>
  </si>
  <si>
    <t xml:space="preserve">  원자료 헤더 미탐지 항목 수</t>
  </si>
  <si>
    <r>
      <rPr>
        <b val="true"/>
        <sz val="10"/>
        <rFont val="Noto Sans CJK SC"/>
        <family val="2"/>
      </rPr>
      <t xml:space="preserve">■ 시장데이터 미매칭 보유종목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선택 펀드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</si>
  <si>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A6A6A6"/>
        <rFont val="Arial"/>
        <family val="0"/>
        <charset val="1"/>
      </rPr>
      <t xml:space="preserve">(</t>
    </r>
    <r>
      <rPr>
        <sz val="10"/>
        <color rgb="FFA6A6A6"/>
        <rFont val="Noto Sans CJK SC"/>
        <family val="2"/>
      </rPr>
      <t xml:space="preserve">정렬 보조</t>
    </r>
    <r>
      <rPr>
        <sz val="10"/>
        <color rgb="FFA6A6A6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</si>
  <si>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종목명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상위 </t>
    </r>
    <r>
      <rPr>
        <b val="true"/>
        <sz val="10"/>
        <color rgb="FFFFFFFF"/>
        <rFont val="Arial"/>
        <family val="0"/>
        <charset val="1"/>
      </rPr>
      <t xml:space="preserve">25, </t>
    </r>
    <r>
      <rPr>
        <b val="true"/>
        <sz val="10"/>
        <color rgb="FFFFFFFF"/>
        <rFont val="Noto Sans CJK SC"/>
        <family val="2"/>
      </rPr>
      <t xml:space="preserve">평가금액순</t>
    </r>
    <r>
      <rPr>
        <b val="true"/>
        <sz val="10"/>
        <color rgb="FFFFFFFF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</si>
</sst>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#,##0.0"/>
    <numFmt numFmtId="166" formatCode="0"/>
    <numFmt numFmtId="167" formatCode="#,##0;\(#,##0\)"/>
    <numFmt numFmtId="168" formatCode="0.00%;\-0.00%"/>
    <numFmt numFmtId="169" formatCode="0.000"/>
    <numFmt numFmtId="170" formatCode="0.0"/>
    <numFmt numFmtId="171" formatCode="0.00"/>
    <numFmt numFmtId="172" formatCode="#,##0"/>
    <numFmt numFmtId="173" formatCode="0.00%"/>
    <numFmt numFmtId="174" formatCode="0.0%"/>
    <numFmt numFmtId="175" formatCode="0%"/>
    <numFmt numFmtId="176" formatCode="\+0.0;\-0.0;0.0"/>
    <numFmt numFmtId="177" formatCode="#,##0;\(#,##0\);\-"/>
    <numFmt numFmtId="178" formatCode="\+0.0%;\-0.0%;\-"/>
    <numFmt numFmtId="179" formatCode="\+0.0;\-0.0"/>
    <numFmt numFmtId="180" formatCode="\+0.00;\-0.00"/>
    <numFmt numFmtId="181" formatCode="#,##0.00;\(#,##0.00\);\-"/>
    <numFmt numFmtId="182" formatCode="General"/>
    <numFmt numFmtId="183" formatCode="@"/>
    <numFmt numFmtId="184" formatCode="#,##0.00"/>
    <numFmt numFmtId="185" formatCode="\+0.00;\-0.00;0.00"/>
    <numFmt numFmtId="186" formatCode="yyyy\-mm\-dd"/>
    <numFmt numFmtId="187" formatCode="0.000000"/>
    <numFmt numFmtId="188" formatCode="yyyy\-mm\-dd\ h:mm:ss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name val="Noto Sans CJK SC"/>
      <family val="2"/>
    </font>
    <font>
      <sz val="10"/>
      <color rgb="FF0000FF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sz val="10"/>
      <color rgb="FFA6A6A6"/>
      <name val="Arial"/>
      <family val="0"/>
      <charset val="1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sz val="10"/>
      <color rgb="FFA6A6A6"/>
      <name val="Noto Sans CJK SC"/>
      <family val="2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color rgb="FFA6A6A6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만기 구간: 평가금액비중 vs DV01비중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버킷분석!C5</c:f>
              <c:strCache>
                <c:ptCount val="1"/>
                <c:pt idx="0">
                  <c:v>비중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버킷분석!$A$6:$A$14</c:f>
              <c:strCache>
                <c:ptCount val="9"/>
                <c:pt idx="0">
                  <c:v>1년 이하</c:v>
                </c:pt>
                <c:pt idx="1">
                  <c:v>1-2년</c:v>
                </c:pt>
                <c:pt idx="2">
                  <c:v>2-3년</c:v>
                </c:pt>
                <c:pt idx="3">
                  <c:v>3-4년</c:v>
                </c:pt>
                <c:pt idx="4">
                  <c:v>4-5년</c:v>
                </c:pt>
                <c:pt idx="5">
                  <c:v>5-7년</c:v>
                </c:pt>
                <c:pt idx="6">
                  <c:v>7-10년</c:v>
                </c:pt>
                <c:pt idx="7">
                  <c:v>10-20년</c:v>
                </c:pt>
                <c:pt idx="8">
                  <c:v>20년 이상</c:v>
                </c:pt>
              </c:strCache>
            </c:strRef>
          </c:cat>
          <c:val>
            <c:numRef>
              <c:f>버킷분석!$C$6:$C$14</c:f>
              <c:numCache>
                <c:formatCode>0.0%</c:formatCode>
                <c:ptCount val="9"/>
                <c:pt idx="0">
                  <c:v>0.0560887536828227</c:v>
                </c:pt>
                <c:pt idx="1">
                  <c:v>0.099115562319201</c:v>
                </c:pt>
                <c:pt idx="2">
                  <c:v>0.360714060875157</c:v>
                </c:pt>
                <c:pt idx="3">
                  <c:v>0.218737662818772</c:v>
                </c:pt>
                <c:pt idx="4">
                  <c:v>0.139586179645941</c:v>
                </c:pt>
                <c:pt idx="5">
                  <c:v>0.0937219906054807</c:v>
                </c:pt>
                <c:pt idx="6">
                  <c:v>0.0275056897565335</c:v>
                </c:pt>
                <c:pt idx="7">
                  <c:v>0.00194430085534663</c:v>
                </c:pt>
                <c:pt idx="8">
                  <c:v>0.00258579944074499</c:v>
                </c:pt>
              </c:numCache>
            </c:numRef>
          </c:val>
        </c:ser>
        <c:ser>
          <c:idx val="1"/>
          <c:order val="1"/>
          <c:tx>
            <c:strRef>
              <c:f>버킷분석!E5</c:f>
              <c:strCache>
                <c:ptCount val="1"/>
                <c:pt idx="0">
                  <c:v>DV01비중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버킷분석!$A$6:$A$14</c:f>
              <c:strCache>
                <c:ptCount val="9"/>
                <c:pt idx="0">
                  <c:v>1년 이하</c:v>
                </c:pt>
                <c:pt idx="1">
                  <c:v>1-2년</c:v>
                </c:pt>
                <c:pt idx="2">
                  <c:v>2-3년</c:v>
                </c:pt>
                <c:pt idx="3">
                  <c:v>3-4년</c:v>
                </c:pt>
                <c:pt idx="4">
                  <c:v>4-5년</c:v>
                </c:pt>
                <c:pt idx="5">
                  <c:v>5-7년</c:v>
                </c:pt>
                <c:pt idx="6">
                  <c:v>7-10년</c:v>
                </c:pt>
                <c:pt idx="7">
                  <c:v>10-20년</c:v>
                </c:pt>
                <c:pt idx="8">
                  <c:v>20년 이상</c:v>
                </c:pt>
              </c:strCache>
            </c:strRef>
          </c:cat>
          <c:val>
            <c:numRef>
              <c:f>버킷분석!$E$6:$E$14</c:f>
              <c:numCache>
                <c:formatCode>0.0%</c:formatCode>
                <c:ptCount val="9"/>
                <c:pt idx="0">
                  <c:v>0.00337634045445286</c:v>
                </c:pt>
                <c:pt idx="1">
                  <c:v>0.0547783617081048</c:v>
                </c:pt>
                <c:pt idx="2">
                  <c:v>0.290909518290253</c:v>
                </c:pt>
                <c:pt idx="3">
                  <c:v>0.228942732015055</c:v>
                </c:pt>
                <c:pt idx="4">
                  <c:v>0.191904381951</c:v>
                </c:pt>
                <c:pt idx="5">
                  <c:v>0.141409737081543</c:v>
                </c:pt>
                <c:pt idx="6">
                  <c:v>0.0693521411360079</c:v>
                </c:pt>
                <c:pt idx="7">
                  <c:v>0.00506193745876505</c:v>
                </c:pt>
                <c:pt idx="8">
                  <c:v>0.0142648499048178</c:v>
                </c:pt>
              </c:numCache>
            </c:numRef>
          </c:val>
        </c:ser>
        <c:gapWidth val="150"/>
        <c:overlap val="0"/>
        <c:axId val="92349705"/>
        <c:axId val="19975532"/>
      </c:barChart>
      <c:catAx>
        <c:axId val="923497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75532"/>
        <c:crosses val="autoZero"/>
        <c:auto val="1"/>
        <c:lblAlgn val="ctr"/>
        <c:lblOffset val="100"/>
        <c:noMultiLvlLbl val="0"/>
      </c:catAx>
      <c:valAx>
        <c:axId val="19975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497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섹터: 가중 G-spread(bp)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버킷분석!H47</c:f>
              <c:strCache>
                <c:ptCount val="1"/>
                <c:pt idx="0">
                  <c:v>가중G-spread(bp)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버킷분석!$A$48:$A$57</c:f>
              <c:strCache>
                <c:ptCount val="10"/>
                <c:pt idx="0">
                  <c:v>금융기관</c:v>
                </c:pt>
                <c:pt idx="1">
                  <c:v>기본소비재</c:v>
                </c:pt>
                <c:pt idx="2">
                  <c:v>기술</c:v>
                </c:pt>
                <c:pt idx="3">
                  <c:v>산업</c:v>
                </c:pt>
                <c:pt idx="4">
                  <c:v>에너지</c:v>
                </c:pt>
                <c:pt idx="5">
                  <c:v>원자재</c:v>
                </c:pt>
                <c:pt idx="6">
                  <c:v>유틸리티</c:v>
                </c:pt>
                <c:pt idx="7">
                  <c:v>자유 소비재</c:v>
                </c:pt>
                <c:pt idx="8">
                  <c:v>정부</c:v>
                </c:pt>
                <c:pt idx="9">
                  <c:v>통신</c:v>
                </c:pt>
              </c:strCache>
            </c:strRef>
          </c:cat>
          <c:val>
            <c:numRef>
              <c:f>버킷분석!$H$48:$H$57</c:f>
              <c:numCache>
                <c:formatCode>0.0</c:formatCode>
                <c:ptCount val="10"/>
                <c:pt idx="0">
                  <c:v>64.5471727863262</c:v>
                </c:pt>
                <c:pt idx="2">
                  <c:v>56.4372939517789</c:v>
                </c:pt>
                <c:pt idx="3">
                  <c:v>51.0037116936664</c:v>
                </c:pt>
                <c:pt idx="4">
                  <c:v>58.6056267964763</c:v>
                </c:pt>
                <c:pt idx="5">
                  <c:v>82.8348183350111</c:v>
                </c:pt>
                <c:pt idx="6">
                  <c:v>35.8150430828274</c:v>
                </c:pt>
                <c:pt idx="7">
                  <c:v>72.9362633629531</c:v>
                </c:pt>
                <c:pt idx="8">
                  <c:v>34.4650874687641</c:v>
                </c:pt>
                <c:pt idx="9">
                  <c:v>117.337168163756</c:v>
                </c:pt>
              </c:numCache>
            </c:numRef>
          </c:val>
        </c:ser>
        <c:gapWidth val="150"/>
        <c:overlap val="0"/>
        <c:axId val="50105210"/>
        <c:axId val="78231532"/>
      </c:barChart>
      <c:catAx>
        <c:axId val="501052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31532"/>
        <c:crosses val="autoZero"/>
        <c:auto val="1"/>
        <c:lblAlgn val="ctr"/>
        <c:lblOffset val="100"/>
        <c:noMultiLvlLbl val="0"/>
      </c:catAx>
      <c:valAx>
        <c:axId val="78231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052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25560</xdr:rowOff>
    </xdr:from>
    <xdr:to>
      <xdr:col>4</xdr:col>
      <xdr:colOff>473400</xdr:colOff>
      <xdr:row>51</xdr:row>
      <xdr:rowOff>57960</xdr:rowOff>
    </xdr:to>
    <xdr:graphicFrame>
      <xdr:nvGraphicFramePr>
        <xdr:cNvPr id="0" name="Chart 1"/>
        <xdr:cNvGraphicFramePr/>
      </xdr:nvGraphicFramePr>
      <xdr:xfrm>
        <a:off x="0" y="7810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37</xdr:row>
      <xdr:rowOff>25560</xdr:rowOff>
    </xdr:from>
    <xdr:to>
      <xdr:col>12</xdr:col>
      <xdr:colOff>332280</xdr:colOff>
      <xdr:row>51</xdr:row>
      <xdr:rowOff>57960</xdr:rowOff>
    </xdr:to>
    <xdr:graphicFrame>
      <xdr:nvGraphicFramePr>
        <xdr:cNvPr id="1" name="Chart 2"/>
        <xdr:cNvGraphicFramePr/>
      </xdr:nvGraphicFramePr>
      <xdr:xfrm>
        <a:off x="6907680" y="7810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1"/>
  </cols>
  <sheetData>
    <row r="1" customFormat="false" ht="21.6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tr">
        <f aca="false">"기준일 "&amp;TEXT(설정!$C$4,"yyyy-mm-dd")&amp;"  |  펀드: "&amp;IF(설정!$C$5="선택펀드","선택("&amp;TRIM(IF(설정!$G$16="Y",설정!$F$16&amp;" ","")&amp;IF(설정!$G$17="Y",설정!$F$17&amp;" ","")&amp;IF(설정!$G$18="Y",설정!$F$18&amp;" ","")&amp;IF(설정!$G$19="Y",설정!$F$19&amp;" ","")&amp;IF(설정!$G$20="Y",설정!$F$20&amp;" ","")&amp;IF(설정!$G$21="Y",설정!$F$21&amp;" ","")&amp;IF(설정!$G$22="Y",설정!$F$22&amp;" ","")&amp;IF(설정!$G$23="Y",설정!$F$23&amp;" ","")&amp;IF(설정!$G$24="Y",설정!$F$24&amp;" ","")&amp;IF(설정!$G$25="Y",설정!$F$25&amp;" ","")&amp;IF(설정!$G$26="Y",설정!$F$26&amp;" ","")&amp;IF(설정!$G$27="Y",설정!$F$27&amp;" ","")&amp;IF(설정!$G$28="Y",설정!$F$28&amp;" ","")&amp;IF(설정!$G$29="Y",설정!$F$29&amp;" ","")&amp;IF(설정!$G$30="Y",설정!$F$30&amp;" ","")&amp;IF(설정!$G$31="Y",설정!$F$31&amp;" ","")&amp;IF(설정!$G$32="Y",설정!$F$32&amp;" ","")&amp;IF(설정!$G$33="Y",설정!$F$33&amp;" ","")&amp;IF(설정!$G$34="Y",설정!$F$34&amp;" ","")&amp;IF(설정!$G$35="Y",설정!$F$35&amp;" ","")&amp;IF(설정!$G$36="Y",설정!$F$36&amp;" ",""))&amp;")",설정!$C$5&amp;"")&amp;"  |  평가금액(USD 환산) 기준"</f>
        <v>기준일 2026-10-01  |  펀드: 선택(28096 34507 34578 38168)  |  평가금액(USD 환산) 기준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tr">
        <f aca="false">IF(COUNTIF(설정!$M$7:$M$37,"헤더없음")&gt;0,"⚠ 원자료 헤더를 찾지 못한 항목이 있습니다 — [설정] 헤더 매핑 확인","")&amp;IF(INDEX(원자료_잔고!$A$1:$EZ$1500,설정!$L$5+800+1,설정!$L$8)&amp;""&lt;&gt;"","  ⚠ 잔고 행 수가 800개를 초과 — 일부 미집계","")</f>
        <v/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7.15" hidden="false" customHeight="false" outlineLevel="0" collapsed="false">
      <c r="A4" s="5" t="s">
        <v>1</v>
      </c>
      <c r="B4" s="5" t="s">
        <v>2</v>
      </c>
      <c r="C4" s="2"/>
      <c r="D4" s="6" t="s">
        <v>3</v>
      </c>
      <c r="E4" s="2"/>
      <c r="F4" s="2"/>
      <c r="G4" s="2"/>
      <c r="H4" s="2"/>
      <c r="I4" s="2"/>
      <c r="J4" s="2"/>
      <c r="K4" s="2"/>
      <c r="L4" s="2"/>
    </row>
    <row r="5" customFormat="false" ht="29.85" hidden="false" customHeight="false" outlineLevel="0" collapsed="false">
      <c r="A5" s="7" t="s">
        <v>4</v>
      </c>
      <c r="B5" s="8" t="n">
        <f aca="false">SUMIFS(보유분석!$AA$2:$AA$801,보유분석!$AC$2:$AC$801,1)</f>
        <v>1409.39864963</v>
      </c>
      <c r="C5" s="2"/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</row>
    <row r="6" customFormat="false" ht="17.15" hidden="false" customHeight="false" outlineLevel="0" collapsed="false">
      <c r="A6" s="7" t="s">
        <v>14</v>
      </c>
      <c r="B6" s="8" t="n">
        <f aca="false">SUMIFS(보유분석!$X$2:$X$801,보유분석!$AC$2:$AC$801,1)</f>
        <v>1441.935</v>
      </c>
      <c r="C6" s="2"/>
      <c r="D6" s="7" t="s">
        <v>15</v>
      </c>
      <c r="E6" s="9" t="n">
        <v>0</v>
      </c>
      <c r="F6" s="9" t="n">
        <v>0</v>
      </c>
      <c r="G6" s="10" t="n">
        <f aca="false">$B$15</f>
        <v>82103985.8464318</v>
      </c>
      <c r="H6" s="10" t="n">
        <f aca="false">-$B$11*E6</f>
        <v>-0</v>
      </c>
      <c r="I6" s="11" t="n">
        <f aca="false">-$B$12*F6</f>
        <v>-0</v>
      </c>
      <c r="J6" s="10" t="n">
        <f aca="false">-$B$19*F6</f>
        <v>-0</v>
      </c>
      <c r="K6" s="10" t="n">
        <f aca="false">G6+H6+J6</f>
        <v>82103985.8464318</v>
      </c>
      <c r="L6" s="12" t="n">
        <f aca="false">K6/($B$5*1000000)</f>
        <v>0.0582546221879707</v>
      </c>
    </row>
    <row r="7" customFormat="false" ht="17.15" hidden="false" customHeight="false" outlineLevel="0" collapsed="false">
      <c r="A7" s="7" t="s">
        <v>16</v>
      </c>
      <c r="B7" s="13" t="str">
        <f aca="false">SUMPRODUCT((보유분석!$AC$2:$AC$801=1)/(COUNTIFS(보유분석!$B$2:$B$801,보유분석!$B$2:$B$801,보유분석!$AC$2:$AC$801,1)+(보유분석!$AC$2:$AC$801&lt;&gt;1)))&amp;" / "&amp;COUNTIFS(보유분석!$AC$2:$AC$801,1)</f>
        <v>134 / 278</v>
      </c>
      <c r="C7" s="2"/>
      <c r="D7" s="7" t="s">
        <v>17</v>
      </c>
      <c r="E7" s="9" t="n">
        <f aca="false">설정!$C$9</f>
        <v>50</v>
      </c>
      <c r="F7" s="9" t="n">
        <v>0</v>
      </c>
      <c r="G7" s="10" t="n">
        <f aca="false">$B$15</f>
        <v>82103985.8464318</v>
      </c>
      <c r="H7" s="10" t="n">
        <f aca="false">-$B$11*E7</f>
        <v>-18961158.8758973</v>
      </c>
      <c r="I7" s="11" t="n">
        <f aca="false">-$B$12*F7</f>
        <v>-0</v>
      </c>
      <c r="J7" s="10" t="n">
        <f aca="false">-$B$19*F7</f>
        <v>-0</v>
      </c>
      <c r="K7" s="10" t="n">
        <f aca="false">G7+H7+J7</f>
        <v>63142826.9705344</v>
      </c>
      <c r="L7" s="12" t="n">
        <f aca="false">K7/($B$5*1000000)</f>
        <v>0.0448012540576159</v>
      </c>
    </row>
    <row r="8" customFormat="false" ht="17.15" hidden="false" customHeight="false" outlineLevel="0" collapsed="false">
      <c r="A8" s="7" t="s">
        <v>18</v>
      </c>
      <c r="B8" s="14" t="n">
        <f aca="false">SUMIFS(보유분석!$BA$2:$BA$801,보유분석!$AC$2:$AC$801,1)/SUMIFS(보유분석!$BB$2:$BB$801,보유분석!$AC$2:$AC$801,1)</f>
        <v>5.6600358249336</v>
      </c>
      <c r="C8" s="2"/>
      <c r="D8" s="7" t="s">
        <v>19</v>
      </c>
      <c r="E8" s="9" t="n">
        <f aca="false">-설정!$C$9</f>
        <v>-50</v>
      </c>
      <c r="F8" s="9" t="n">
        <v>0</v>
      </c>
      <c r="G8" s="10" t="n">
        <f aca="false">$B$15</f>
        <v>82103985.8464318</v>
      </c>
      <c r="H8" s="10" t="n">
        <f aca="false">-$B$11*E8</f>
        <v>18961158.8758973</v>
      </c>
      <c r="I8" s="11" t="n">
        <f aca="false">-$B$12*F8</f>
        <v>-0</v>
      </c>
      <c r="J8" s="10" t="n">
        <f aca="false">-$B$19*F8</f>
        <v>-0</v>
      </c>
      <c r="K8" s="10" t="n">
        <f aca="false">G8+H8+J8</f>
        <v>101065144.722329</v>
      </c>
      <c r="L8" s="12" t="n">
        <f aca="false">K8/($B$5*1000000)</f>
        <v>0.0717079903183255</v>
      </c>
    </row>
    <row r="9" customFormat="false" ht="17.15" hidden="false" customHeight="false" outlineLevel="0" collapsed="false">
      <c r="A9" s="7" t="s">
        <v>20</v>
      </c>
      <c r="B9" s="15" t="n">
        <f aca="false">SUMIFS(보유분석!$BC$2:$BC$801,보유분석!$AC$2:$AC$801,1)/SUMIFS(보유분석!$BD$2:$BD$801,보유분석!$AC$2:$AC$801,1)</f>
        <v>66.114006085129</v>
      </c>
      <c r="C9" s="2"/>
      <c r="D9" s="7" t="s">
        <v>21</v>
      </c>
      <c r="E9" s="9" t="n">
        <v>0</v>
      </c>
      <c r="F9" s="9" t="n">
        <f aca="false">설정!$C$10</f>
        <v>25</v>
      </c>
      <c r="G9" s="10" t="n">
        <f aca="false">$B$15</f>
        <v>82103985.8464318</v>
      </c>
      <c r="H9" s="10" t="n">
        <f aca="false">-$B$11*E9</f>
        <v>-0</v>
      </c>
      <c r="I9" s="11" t="n">
        <f aca="false">-$B$12*F9</f>
        <v>-9219866.07997173</v>
      </c>
      <c r="J9" s="10" t="n">
        <f aca="false">-$B$19*F9</f>
        <v>-10177025.3714211</v>
      </c>
      <c r="K9" s="10" t="n">
        <f aca="false">G9+H9+J9</f>
        <v>71926960.4750107</v>
      </c>
      <c r="L9" s="12" t="n">
        <f aca="false">K9/($B$5*1000000)</f>
        <v>0.0510337940893396</v>
      </c>
    </row>
    <row r="10" customFormat="false" ht="17.15" hidden="false" customHeight="false" outlineLevel="0" collapsed="false">
      <c r="A10" s="7" t="s">
        <v>22</v>
      </c>
      <c r="B10" s="16" t="n">
        <f aca="false">SUMIFS(보유분석!$BE$2:$BE$801,보유분석!$AC$2:$AC$801,1)/SUMIFS(보유분석!$BF$2:$BF$801,보유분석!$AC$2:$AC$801,1)</f>
        <v>2.69067362607096</v>
      </c>
      <c r="C10" s="2"/>
      <c r="D10" s="7" t="s">
        <v>23</v>
      </c>
      <c r="E10" s="9" t="n">
        <v>0</v>
      </c>
      <c r="F10" s="9" t="n">
        <f aca="false">-설정!$C$10</f>
        <v>-25</v>
      </c>
      <c r="G10" s="10" t="n">
        <f aca="false">$B$15</f>
        <v>82103985.8464318</v>
      </c>
      <c r="H10" s="10" t="n">
        <f aca="false">-$B$11*E10</f>
        <v>-0</v>
      </c>
      <c r="I10" s="11" t="n">
        <f aca="false">-$B$12*F10</f>
        <v>9219866.07997173</v>
      </c>
      <c r="J10" s="10" t="n">
        <f aca="false">-$B$19*F10</f>
        <v>10177025.3714211</v>
      </c>
      <c r="K10" s="10" t="n">
        <f aca="false">G10+H10+J10</f>
        <v>92281011.2178528</v>
      </c>
      <c r="L10" s="12" t="n">
        <f aca="false">K10/($B$5*1000000)</f>
        <v>0.0654754502866018</v>
      </c>
    </row>
    <row r="11" customFormat="false" ht="17.15" hidden="false" customHeight="false" outlineLevel="0" collapsed="false">
      <c r="A11" s="17" t="s">
        <v>24</v>
      </c>
      <c r="B11" s="18" t="n">
        <f aca="false">SUMIFS(보유분석!$AM$2:$AM$801,보유분석!$AC$2:$AC$801,1)</f>
        <v>379223.177517947</v>
      </c>
      <c r="C11" s="2"/>
      <c r="D11" s="7" t="s">
        <v>25</v>
      </c>
      <c r="E11" s="9" t="n">
        <f aca="false">-설정!$C$9</f>
        <v>-50</v>
      </c>
      <c r="F11" s="9" t="n">
        <f aca="false">설정!$C$10</f>
        <v>25</v>
      </c>
      <c r="G11" s="10" t="n">
        <f aca="false">$B$15</f>
        <v>82103985.8464318</v>
      </c>
      <c r="H11" s="10" t="n">
        <f aca="false">-$B$11*E11</f>
        <v>18961158.8758973</v>
      </c>
      <c r="I11" s="11" t="n">
        <f aca="false">-$B$12*F11</f>
        <v>-9219866.07997173</v>
      </c>
      <c r="J11" s="10" t="n">
        <f aca="false">-$B$19*F11</f>
        <v>-10177025.3714211</v>
      </c>
      <c r="K11" s="10" t="n">
        <f aca="false">G11+H11+J11</f>
        <v>90888119.350908</v>
      </c>
      <c r="L11" s="12" t="n">
        <f aca="false">K11/($B$5*1000000)</f>
        <v>0.0644871622196944</v>
      </c>
    </row>
    <row r="12" customFormat="false" ht="17.15" hidden="false" customHeight="false" outlineLevel="0" collapsed="false">
      <c r="A12" s="17" t="s">
        <v>26</v>
      </c>
      <c r="B12" s="18" t="n">
        <f aca="false">SUMIFS(보유분석!$AN$2:$AN$801,보유분석!$AC$2:$AC$801,1)</f>
        <v>368794.643198869</v>
      </c>
      <c r="C12" s="2"/>
      <c r="D12" s="7" t="s">
        <v>27</v>
      </c>
      <c r="E12" s="9" t="n">
        <f aca="false">설정!$C$9</f>
        <v>50</v>
      </c>
      <c r="F12" s="9" t="n">
        <f aca="false">설정!$C$10</f>
        <v>25</v>
      </c>
      <c r="G12" s="10" t="n">
        <f aca="false">$B$15</f>
        <v>82103985.8464318</v>
      </c>
      <c r="H12" s="10" t="n">
        <f aca="false">-$B$11*E12</f>
        <v>-18961158.8758973</v>
      </c>
      <c r="I12" s="11" t="n">
        <f aca="false">-$B$12*F12</f>
        <v>-9219866.07997173</v>
      </c>
      <c r="J12" s="10" t="n">
        <f aca="false">-$B$19*F12</f>
        <v>-10177025.3714211</v>
      </c>
      <c r="K12" s="10" t="n">
        <f aca="false">G12+H12+J12</f>
        <v>52965801.5991134</v>
      </c>
      <c r="L12" s="12" t="n">
        <f aca="false">K12/($B$5*1000000)</f>
        <v>0.0375804259589848</v>
      </c>
    </row>
    <row r="13" customFormat="false" ht="17.15" hidden="false" customHeight="false" outlineLevel="0" collapsed="false">
      <c r="A13" s="17" t="s">
        <v>28</v>
      </c>
      <c r="B13" s="18" t="n">
        <f aca="false">SUMIFS(보유분석!$AO$2:$AO$801,보유분석!$AC$2:$AC$801,1)</f>
        <v>79772468.4851883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7.15" hidden="false" customHeight="false" outlineLevel="0" collapsed="false">
      <c r="A14" s="17" t="s">
        <v>29</v>
      </c>
      <c r="B14" s="18" t="n">
        <f aca="false">SUMIFS(보유분석!$AU$2:$AU$801,보유분석!$AC$2:$AC$801,1)</f>
        <v>2331517.36124341</v>
      </c>
      <c r="C14" s="2"/>
      <c r="D14" s="19" t="s">
        <v>30</v>
      </c>
      <c r="E14" s="2"/>
      <c r="F14" s="2"/>
      <c r="G14" s="2"/>
      <c r="H14" s="2"/>
      <c r="I14" s="2"/>
      <c r="J14" s="2"/>
      <c r="K14" s="2"/>
      <c r="L14" s="20" t="n">
        <f aca="false">IF(B12=0,"",B15/B12)</f>
        <v>222.627924132179</v>
      </c>
    </row>
    <row r="15" customFormat="false" ht="17.15" hidden="false" customHeight="false" outlineLevel="0" collapsed="false">
      <c r="A15" s="17" t="s">
        <v>31</v>
      </c>
      <c r="B15" s="18" t="n">
        <f aca="false">B13+B14</f>
        <v>82103985.8464318</v>
      </c>
      <c r="C15" s="2"/>
      <c r="D15" s="19" t="s">
        <v>32</v>
      </c>
      <c r="E15" s="2"/>
      <c r="F15" s="2"/>
      <c r="G15" s="2"/>
      <c r="H15" s="2"/>
      <c r="I15" s="2"/>
      <c r="J15" s="2"/>
      <c r="K15" s="2"/>
      <c r="L15" s="20" t="n">
        <f aca="false">IF(B19=0,"",B15/B19)</f>
        <v>201.689547903149</v>
      </c>
    </row>
    <row r="16" customFormat="false" ht="17.15" hidden="false" customHeight="false" outlineLevel="0" collapsed="false">
      <c r="A16" s="17" t="s">
        <v>33</v>
      </c>
      <c r="B16" s="21" t="n">
        <f aca="false">B15/(B5*1000000)</f>
        <v>0.0582546221879707</v>
      </c>
      <c r="C16" s="2"/>
      <c r="D16" s="19" t="s">
        <v>34</v>
      </c>
      <c r="E16" s="2"/>
      <c r="F16" s="2"/>
      <c r="G16" s="2"/>
      <c r="H16" s="2"/>
      <c r="I16" s="2"/>
      <c r="J16" s="2"/>
      <c r="K16" s="2"/>
      <c r="L16" s="20" t="n">
        <f aca="false">버킷분석!J16</f>
        <v>31.4685741331147</v>
      </c>
    </row>
    <row r="17" customFormat="false" ht="17.15" hidden="false" customHeight="false" outlineLevel="0" collapsed="false">
      <c r="A17" s="7" t="s">
        <v>35</v>
      </c>
      <c r="B17" s="22" t="n">
        <f aca="false">SUMIFS(보유분석!$AP$2:$AP$801,보유분석!$AC$2:$AC$801,1)</f>
        <v>-44901234.1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7.15" hidden="false" customHeight="false" outlineLevel="0" collapsed="false">
      <c r="A18" s="7" t="s">
        <v>36</v>
      </c>
      <c r="B18" s="23" t="n">
        <f aca="false">SUMIFS(보유분석!$AA$2:$AA$801,보유분석!$AC$2:$AC$801,1,보유분석!$Y$2:$Y$801,1)/B5</f>
        <v>0.011994310484431</v>
      </c>
      <c r="C18" s="2"/>
      <c r="D18" s="24" t="s">
        <v>37</v>
      </c>
      <c r="E18" s="2"/>
      <c r="F18" s="2"/>
      <c r="G18" s="2"/>
      <c r="H18" s="2"/>
      <c r="I18" s="2"/>
      <c r="J18" s="2"/>
      <c r="K18" s="2"/>
      <c r="L18" s="2"/>
    </row>
    <row r="19" customFormat="false" ht="17.15" hidden="false" customHeight="false" outlineLevel="0" collapsed="false">
      <c r="A19" s="7" t="s">
        <v>38</v>
      </c>
      <c r="B19" s="18" t="n">
        <f aca="false">SUMIFS(보유분석!$AZ$2:$AZ$801,보유분석!$AC$2:$AC$801,1)</f>
        <v>407081.014856842</v>
      </c>
      <c r="C19" s="2"/>
      <c r="D19" s="5" t="s">
        <v>39</v>
      </c>
      <c r="E19" s="5" t="s">
        <v>40</v>
      </c>
      <c r="F19" s="5" t="s">
        <v>41</v>
      </c>
      <c r="G19" s="5" t="s">
        <v>42</v>
      </c>
      <c r="H19" s="5" t="s">
        <v>43</v>
      </c>
      <c r="I19" s="25" t="s">
        <v>24</v>
      </c>
      <c r="J19" s="25" t="s">
        <v>44</v>
      </c>
      <c r="K19" s="5" t="s">
        <v>45</v>
      </c>
      <c r="L19" s="2"/>
    </row>
    <row r="20" customFormat="false" ht="17.15" hidden="false" customHeight="false" outlineLevel="0" collapsed="false">
      <c r="A20" s="17" t="s">
        <v>46</v>
      </c>
      <c r="B20" s="23" t="n">
        <f aca="false">SUMIFS(보유분석!$BD$2:$BD$801,보유분석!$AC$2:$AC$801,1)/SUMIFS(보유분석!$BI$2:$BI$801,보유분석!$AC$2:$AC$801,1)</f>
        <v>0.977967173185718</v>
      </c>
      <c r="C20" s="2"/>
      <c r="D20" s="26" t="n">
        <v>28096</v>
      </c>
      <c r="E20" s="27" t="n">
        <f aca="false">SUMPRODUCT((보유분석!$C$2:$C$801=$D20&amp;"")*(보유분석!$Q$2:$Q$801=1)*($D20&lt;&gt;"")*보유분석!$AA$2:$AA$801)</f>
        <v>498.56028619</v>
      </c>
      <c r="F20" s="28" t="n">
        <f aca="false">IF(SUMPRODUCT((보유분석!$C$2:$C$801=$D20&amp;"")*(보유분석!$Q$2:$Q$801=1)*($D20&lt;&gt;"")*보유분석!$BB$2:$BB$801)=0,"",SUMPRODUCT((보유분석!$C$2:$C$801=$D20&amp;"")*(보유분석!$Q$2:$Q$801=1)*($D20&lt;&gt;"")*보유분석!$BA$2:$BA$801)/SUMPRODUCT((보유분석!$C$2:$C$801=$D20&amp;"")*(보유분석!$Q$2:$Q$801=1)*($D20&lt;&gt;"")*보유분석!$BB$2:$BB$801))</f>
        <v>5.66773559054222</v>
      </c>
      <c r="G20" s="29" t="n">
        <f aca="false">IF(SUMPRODUCT((보유분석!$C$2:$C$801=$D20&amp;"")*(보유분석!$Q$2:$Q$801=1)*($D20&lt;&gt;"")*보유분석!$BD$2:$BD$801)=0,"",SUMPRODUCT((보유분석!$C$2:$C$801=$D20&amp;"")*(보유분석!$Q$2:$Q$801=1)*($D20&lt;&gt;"")*보유분석!$BC$2:$BC$801)/SUMPRODUCT((보유분석!$C$2:$C$801=$D20&amp;"")*(보유분석!$Q$2:$Q$801=1)*($D20&lt;&gt;"")*보유분석!$BD$2:$BD$801))</f>
        <v>72.1797239742496</v>
      </c>
      <c r="H20" s="30" t="n">
        <f aca="false">IF(SUMPRODUCT((보유분석!$C$2:$C$801=$D20&amp;"")*(보유분석!$Q$2:$Q$801=1)*($D20&lt;&gt;"")*보유분석!$BF$2:$BF$801)=0,"",SUMPRODUCT((보유분석!$C$2:$C$801=$D20&amp;"")*(보유분석!$Q$2:$Q$801=1)*($D20&lt;&gt;"")*보유분석!$BE$2:$BE$801)/SUMPRODUCT((보유분석!$C$2:$C$801=$D20&amp;"")*(보유분석!$Q$2:$Q$801=1)*($D20&lt;&gt;"")*보유분석!$BF$2:$BF$801))</f>
        <v>2.6548407729748</v>
      </c>
      <c r="I20" s="31" t="n">
        <f aca="false">SUMPRODUCT((보유분석!$C$2:$C$801=$D20&amp;"")*(보유분석!$Q$2:$Q$801=1)*($D20&lt;&gt;"")*보유분석!$AM$2:$AM$801)</f>
        <v>132359.81755632</v>
      </c>
      <c r="J20" s="32" t="n">
        <f aca="false">IF(E20=0,"",SUMPRODUCT((보유분석!$C$2:$C$801=$D20&amp;"")*(보유분석!$Q$2:$Q$801=1)*($D20&lt;&gt;"")*보유분석!$AV$2:$AV$801)/(E20*1000000))</f>
        <v>0.0580333339282512</v>
      </c>
      <c r="K20" s="33" t="n">
        <f aca="false">SUMPRODUCT((보유분석!$C$2:$C$801=$D20&amp;"")*(보유분석!$Q$2:$Q$801=1)*($D20&lt;&gt;"")/(COUNTIFS(보유분석!$C$2:$C$801,보유분석!$C$2:$C$801,보유분석!$B$2:$B$801,보유분석!$B$2:$B$801,보유분석!$Q$2:$Q$801,1)+(보유분석!$Q$2:$Q$801&lt;&gt;1)))</f>
        <v>54</v>
      </c>
      <c r="L20" s="2"/>
    </row>
    <row r="21" customFormat="false" ht="17.15" hidden="false" customHeight="false" outlineLevel="0" collapsed="false">
      <c r="A21" s="17" t="s">
        <v>47</v>
      </c>
      <c r="B21" s="13" t="str">
        <f aca="false">COUNTIFS(보유분석!$AC$2:$AC$801,1,보유분석!$AR$2:$AR$801,"Cheap")&amp;" / "&amp;COUNTIFS(보유분석!$AC$2:$AC$801,1,보유분석!$AR$2:$AR$801,"Rich")</f>
        <v>36 / 10</v>
      </c>
      <c r="C21" s="2"/>
      <c r="D21" s="26" t="n">
        <v>34507</v>
      </c>
      <c r="E21" s="27" t="n">
        <f aca="false">SUMPRODUCT((보유분석!$C$2:$C$801=$D21&amp;"")*(보유분석!$Q$2:$Q$801=1)*($D21&lt;&gt;"")*보유분석!$AA$2:$AA$801)</f>
        <v>322.87790234</v>
      </c>
      <c r="F21" s="28" t="n">
        <f aca="false">IF(SUMPRODUCT((보유분석!$C$2:$C$801=$D21&amp;"")*(보유분석!$Q$2:$Q$801=1)*($D21&lt;&gt;"")*보유분석!$BB$2:$BB$801)=0,"",SUMPRODUCT((보유분석!$C$2:$C$801=$D21&amp;"")*(보유분석!$Q$2:$Q$801=1)*($D21&lt;&gt;"")*보유분석!$BA$2:$BA$801)/SUMPRODUCT((보유분석!$C$2:$C$801=$D21&amp;"")*(보유분석!$Q$2:$Q$801=1)*($D21&lt;&gt;"")*보유분석!$BB$2:$BB$801))</f>
        <v>5.62915757245964</v>
      </c>
      <c r="G21" s="29" t="n">
        <f aca="false">IF(SUMPRODUCT((보유분석!$C$2:$C$801=$D21&amp;"")*(보유분석!$Q$2:$Q$801=1)*($D21&lt;&gt;"")*보유분석!$BD$2:$BD$801)=0,"",SUMPRODUCT((보유분석!$C$2:$C$801=$D21&amp;"")*(보유분석!$Q$2:$Q$801=1)*($D21&lt;&gt;"")*보유분석!$BC$2:$BC$801)/SUMPRODUCT((보유분석!$C$2:$C$801=$D21&amp;"")*(보유분석!$Q$2:$Q$801=1)*($D21&lt;&gt;"")*보유분석!$BD$2:$BD$801))</f>
        <v>54.9338160518767</v>
      </c>
      <c r="H21" s="30" t="n">
        <f aca="false">IF(SUMPRODUCT((보유분석!$C$2:$C$801=$D21&amp;"")*(보유분석!$Q$2:$Q$801=1)*($D21&lt;&gt;"")*보유분석!$BF$2:$BF$801)=0,"",SUMPRODUCT((보유분석!$C$2:$C$801=$D21&amp;"")*(보유분석!$Q$2:$Q$801=1)*($D21&lt;&gt;"")*보유분석!$BE$2:$BE$801)/SUMPRODUCT((보유분석!$C$2:$C$801=$D21&amp;"")*(보유분석!$Q$2:$Q$801=1)*($D21&lt;&gt;"")*보유분석!$BF$2:$BF$801))</f>
        <v>2.82160538043068</v>
      </c>
      <c r="I21" s="31" t="n">
        <f aca="false">SUMPRODUCT((보유분석!$C$2:$C$801=$D21&amp;"")*(보유분석!$Q$2:$Q$801=1)*($D21&lt;&gt;"")*보유분석!$AM$2:$AM$801)</f>
        <v>91103.4026464716</v>
      </c>
      <c r="J21" s="32" t="n">
        <f aca="false">IF(E21=0,"",SUMPRODUCT((보유분석!$C$2:$C$801=$D21&amp;"")*(보유분석!$Q$2:$Q$801=1)*($D21&lt;&gt;"")*보유분석!$AV$2:$AV$801)/(E21*1000000))</f>
        <v>0.0575108061223929</v>
      </c>
      <c r="K21" s="33" t="n">
        <f aca="false">SUMPRODUCT((보유분석!$C$2:$C$801=$D21&amp;"")*(보유분석!$Q$2:$Q$801=1)*($D21&lt;&gt;"")/(COUNTIFS(보유분석!$C$2:$C$801,보유분석!$C$2:$C$801,보유분석!$B$2:$B$801,보유분석!$B$2:$B$801,보유분석!$Q$2:$Q$801,1)+(보유분석!$Q$2:$Q$801&lt;&gt;1)))</f>
        <v>49</v>
      </c>
      <c r="L21" s="2"/>
    </row>
    <row r="22" customFormat="false" ht="15" hidden="false" customHeight="false" outlineLevel="0" collapsed="false">
      <c r="A22" s="2"/>
      <c r="B22" s="2"/>
      <c r="C22" s="2"/>
      <c r="D22" s="34" t="n">
        <v>10227</v>
      </c>
      <c r="E22" s="35" t="n">
        <f aca="false">SUMPRODUCT((보유분석!$C$2:$C$801=$D22&amp;"")*(보유분석!$Q$2:$Q$801=1)*($D22&lt;&gt;"")*보유분석!$AA$2:$AA$801)</f>
        <v>1.984683</v>
      </c>
      <c r="F22" s="36" t="n">
        <f aca="false">IF(SUMPRODUCT((보유분석!$C$2:$C$801=$D22&amp;"")*(보유분석!$Q$2:$Q$801=1)*($D22&lt;&gt;"")*보유분석!$BB$2:$BB$801)=0,"",SUMPRODUCT((보유분석!$C$2:$C$801=$D22&amp;"")*(보유분석!$Q$2:$Q$801=1)*($D22&lt;&gt;"")*보유분석!$BA$2:$BA$801)/SUMPRODUCT((보유분석!$C$2:$C$801=$D22&amp;"")*(보유분석!$Q$2:$Q$801=1)*($D22&lt;&gt;"")*보유분석!$BB$2:$BB$801))</f>
        <v>4.9766452221841</v>
      </c>
      <c r="G22" s="37" t="n">
        <f aca="false">IF(SUMPRODUCT((보유분석!$C$2:$C$801=$D22&amp;"")*(보유분석!$Q$2:$Q$801=1)*($D22&lt;&gt;"")*보유분석!$BD$2:$BD$801)=0,"",SUMPRODUCT((보유분석!$C$2:$C$801=$D22&amp;"")*(보유분석!$Q$2:$Q$801=1)*($D22&lt;&gt;"")*보유분석!$BC$2:$BC$801)/SUMPRODUCT((보유분석!$C$2:$C$801=$D22&amp;"")*(보유분석!$Q$2:$Q$801=1)*($D22&lt;&gt;"")*보유분석!$BD$2:$BD$801))</f>
        <v>-1.92232788813125</v>
      </c>
      <c r="H22" s="38" t="n">
        <f aca="false">IF(SUMPRODUCT((보유분석!$C$2:$C$801=$D22&amp;"")*(보유분석!$Q$2:$Q$801=1)*($D22&lt;&gt;"")*보유분석!$BF$2:$BF$801)=0,"",SUMPRODUCT((보유분석!$C$2:$C$801=$D22&amp;"")*(보유분석!$Q$2:$Q$801=1)*($D22&lt;&gt;"")*보유분석!$BE$2:$BE$801)/SUMPRODUCT((보유분석!$C$2:$C$801=$D22&amp;"")*(보유분석!$Q$2:$Q$801=1)*($D22&lt;&gt;"")*보유분석!$BF$2:$BF$801))</f>
        <v>0.951937271141034</v>
      </c>
      <c r="I22" s="39" t="n">
        <f aca="false">SUMPRODUCT((보유분석!$C$2:$C$801=$D22&amp;"")*(보유분석!$Q$2:$Q$801=1)*($D22&lt;&gt;"")*보유분석!$AM$2:$AM$801)</f>
        <v>188.92937191</v>
      </c>
      <c r="J22" s="40" t="n">
        <f aca="false">IF(E22=0,"",SUMPRODUCT((보유분석!$C$2:$C$801=$D22&amp;"")*(보유분석!$Q$2:$Q$801=1)*($D22&lt;&gt;"")*보유분석!$AV$2:$AV$801)/(E22*1000000))</f>
        <v>0.0501513650249946</v>
      </c>
      <c r="K22" s="9" t="n">
        <f aca="false">SUMPRODUCT((보유분석!$C$2:$C$801=$D22&amp;"")*(보유분석!$Q$2:$Q$801=1)*($D22&lt;&gt;"")/(COUNTIFS(보유분석!$C$2:$C$801,보유분석!$C$2:$C$801,보유분석!$B$2:$B$801,보유분석!$B$2:$B$801,보유분석!$Q$2:$Q$801,1)+(보유분석!$Q$2:$Q$801&lt;&gt;1)))</f>
        <v>2</v>
      </c>
      <c r="L22" s="2"/>
    </row>
    <row r="23" customFormat="false" ht="15" hidden="false" customHeight="false" outlineLevel="0" collapsed="false">
      <c r="A23" s="2"/>
      <c r="B23" s="2"/>
      <c r="C23" s="2"/>
      <c r="D23" s="26" t="n">
        <v>34578</v>
      </c>
      <c r="E23" s="27" t="n">
        <f aca="false">SUMPRODUCT((보유분석!$C$2:$C$801=$D23&amp;"")*(보유분석!$Q$2:$Q$801=1)*($D23&lt;&gt;"")*보유분석!$AA$2:$AA$801)</f>
        <v>583.0324943</v>
      </c>
      <c r="F23" s="28" t="n">
        <f aca="false">IF(SUMPRODUCT((보유분석!$C$2:$C$801=$D23&amp;"")*(보유분석!$Q$2:$Q$801=1)*($D23&lt;&gt;"")*보유분석!$BB$2:$BB$801)=0,"",SUMPRODUCT((보유분석!$C$2:$C$801=$D23&amp;"")*(보유분석!$Q$2:$Q$801=1)*($D23&lt;&gt;"")*보유분석!$BA$2:$BA$801)/SUMPRODUCT((보유분석!$C$2:$C$801=$D23&amp;"")*(보유분석!$Q$2:$Q$801=1)*($D23&lt;&gt;"")*보유분석!$BB$2:$BB$801))</f>
        <v>5.67037669610464</v>
      </c>
      <c r="G23" s="29" t="n">
        <f aca="false">IF(SUMPRODUCT((보유분석!$C$2:$C$801=$D23&amp;"")*(보유분석!$Q$2:$Q$801=1)*($D23&lt;&gt;"")*보유분석!$BD$2:$BD$801)=0,"",SUMPRODUCT((보유분석!$C$2:$C$801=$D23&amp;"")*(보유분석!$Q$2:$Q$801=1)*($D23&lt;&gt;"")*보유분석!$BC$2:$BC$801)/SUMPRODUCT((보유분석!$C$2:$C$801=$D23&amp;"")*(보유분석!$Q$2:$Q$801=1)*($D23&lt;&gt;"")*보유분석!$BD$2:$BD$801))</f>
        <v>66.6015580778052</v>
      </c>
      <c r="H23" s="30" t="n">
        <f aca="false">IF(SUMPRODUCT((보유분석!$C$2:$C$801=$D23&amp;"")*(보유분석!$Q$2:$Q$801=1)*($D23&lt;&gt;"")*보유분석!$BF$2:$BF$801)=0,"",SUMPRODUCT((보유분석!$C$2:$C$801=$D23&amp;"")*(보유분석!$Q$2:$Q$801=1)*($D23&lt;&gt;"")*보유분석!$BE$2:$BE$801)/SUMPRODUCT((보유분석!$C$2:$C$801=$D23&amp;"")*(보유분석!$Q$2:$Q$801=1)*($D23&lt;&gt;"")*보유분석!$BF$2:$BF$801))</f>
        <v>2.64066373531447</v>
      </c>
      <c r="I23" s="31" t="n">
        <f aca="false">SUMPRODUCT((보유분석!$C$2:$C$801=$D23&amp;"")*(보유분석!$Q$2:$Q$801=1)*($D23&lt;&gt;"")*보유분석!$AM$2:$AM$801)</f>
        <v>153959.276420795</v>
      </c>
      <c r="J23" s="32" t="n">
        <f aca="false">IF(E23=0,"",SUMPRODUCT((보유분석!$C$2:$C$801=$D23&amp;"")*(보유분석!$Q$2:$Q$801=1)*($D23&lt;&gt;"")*보유분석!$AV$2:$AV$801)/(E23*1000000))</f>
        <v>0.0588541865436471</v>
      </c>
      <c r="K23" s="33" t="n">
        <f aca="false">SUMPRODUCT((보유분석!$C$2:$C$801=$D23&amp;"")*(보유분석!$Q$2:$Q$801=1)*($D23&lt;&gt;"")/(COUNTIFS(보유분석!$C$2:$C$801,보유분석!$C$2:$C$801,보유분석!$B$2:$B$801,보유분석!$B$2:$B$801,보유분석!$Q$2:$Q$801,1)+(보유분석!$Q$2:$Q$801&lt;&gt;1)))</f>
        <v>36</v>
      </c>
      <c r="L23" s="2"/>
    </row>
    <row r="24" customFormat="false" ht="15" hidden="false" customHeight="false" outlineLevel="0" collapsed="false">
      <c r="A24" s="2"/>
      <c r="B24" s="2"/>
      <c r="C24" s="2"/>
      <c r="D24" s="34" t="n">
        <v>38038</v>
      </c>
      <c r="E24" s="35" t="n">
        <f aca="false">SUMPRODUCT((보유분석!$C$2:$C$801=$D24&amp;"")*(보유분석!$Q$2:$Q$801=1)*($D24&lt;&gt;"")*보유분석!$AA$2:$AA$801)</f>
        <v>290.425648</v>
      </c>
      <c r="F24" s="36" t="n">
        <f aca="false">IF(SUMPRODUCT((보유분석!$C$2:$C$801=$D24&amp;"")*(보유분석!$Q$2:$Q$801=1)*($D24&lt;&gt;"")*보유분석!$BB$2:$BB$801)=0,"",SUMPRODUCT((보유분석!$C$2:$C$801=$D24&amp;"")*(보유분석!$Q$2:$Q$801=1)*($D24&lt;&gt;"")*보유분석!$BA$2:$BA$801)/SUMPRODUCT((보유분석!$C$2:$C$801=$D24&amp;"")*(보유분석!$Q$2:$Q$801=1)*($D24&lt;&gt;"")*보유분석!$BB$2:$BB$801))</f>
        <v>5.35481514210412</v>
      </c>
      <c r="G24" s="37" t="n">
        <f aca="false">IF(SUMPRODUCT((보유분석!$C$2:$C$801=$D24&amp;"")*(보유분석!$Q$2:$Q$801=1)*($D24&lt;&gt;"")*보유분석!$BD$2:$BD$801)=0,"",SUMPRODUCT((보유분석!$C$2:$C$801=$D24&amp;"")*(보유분석!$Q$2:$Q$801=1)*($D24&lt;&gt;"")*보유분석!$BC$2:$BC$801)/SUMPRODUCT((보유분석!$C$2:$C$801=$D24&amp;"")*(보유분석!$Q$2:$Q$801=1)*($D24&lt;&gt;"")*보유분석!$BD$2:$BD$801))</f>
        <v>78.3031075327346</v>
      </c>
      <c r="H24" s="38" t="n">
        <f aca="false">IF(SUMPRODUCT((보유분석!$C$2:$C$801=$D24&amp;"")*(보유분석!$Q$2:$Q$801=1)*($D24&lt;&gt;"")*보유분석!$BF$2:$BF$801)=0,"",SUMPRODUCT((보유분석!$C$2:$C$801=$D24&amp;"")*(보유분석!$Q$2:$Q$801=1)*($D24&lt;&gt;"")*보유분석!$BE$2:$BE$801)/SUMPRODUCT((보유분석!$C$2:$C$801=$D24&amp;"")*(보유분석!$Q$2:$Q$801=1)*($D24&lt;&gt;"")*보유분석!$BF$2:$BF$801))</f>
        <v>5.46874815847118</v>
      </c>
      <c r="I24" s="39" t="n">
        <f aca="false">SUMPRODUCT((보유분석!$C$2:$C$801=$D24&amp;"")*(보유분석!$Q$2:$Q$801=1)*($D24&lt;&gt;"")*보유분석!$AM$2:$AM$801)</f>
        <v>158826.47276728</v>
      </c>
      <c r="J24" s="40" t="n">
        <f aca="false">IF(E24=0,"",SUMPRODUCT((보유분석!$C$2:$C$801=$D24&amp;"")*(보유분석!$Q$2:$Q$801=1)*($D24&lt;&gt;"")*보유분석!$AV$2:$AV$801)/(E24*1000000))</f>
        <v>0.0541168299128647</v>
      </c>
      <c r="K24" s="9" t="n">
        <f aca="false">SUMPRODUCT((보유분석!$C$2:$C$801=$D24&amp;"")*(보유분석!$Q$2:$Q$801=1)*($D24&lt;&gt;"")/(COUNTIFS(보유분석!$C$2:$C$801,보유분석!$C$2:$C$801,보유분석!$B$2:$B$801,보유분석!$B$2:$B$801,보유분석!$Q$2:$Q$801,1)+(보유분석!$Q$2:$Q$801&lt;&gt;1)))</f>
        <v>18</v>
      </c>
      <c r="L24" s="2"/>
    </row>
    <row r="25" customFormat="false" ht="15" hidden="false" customHeight="false" outlineLevel="0" collapsed="false">
      <c r="A25" s="2"/>
      <c r="B25" s="2"/>
      <c r="C25" s="2"/>
      <c r="D25" s="34" t="n">
        <v>38064</v>
      </c>
      <c r="E25" s="35" t="n">
        <f aca="false">SUMPRODUCT((보유분석!$C$2:$C$801=$D25&amp;"")*(보유분석!$Q$2:$Q$801=1)*($D25&lt;&gt;"")*보유분석!$AA$2:$AA$801)</f>
        <v>8.011592</v>
      </c>
      <c r="F25" s="36" t="n">
        <f aca="false">IF(SUMPRODUCT((보유분석!$C$2:$C$801=$D25&amp;"")*(보유분석!$Q$2:$Q$801=1)*($D25&lt;&gt;"")*보유분석!$BB$2:$BB$801)=0,"",SUMPRODUCT((보유분석!$C$2:$C$801=$D25&amp;"")*(보유분석!$Q$2:$Q$801=1)*($D25&lt;&gt;"")*보유분석!$BA$2:$BA$801)/SUMPRODUCT((보유분석!$C$2:$C$801=$D25&amp;"")*(보유분석!$Q$2:$Q$801=1)*($D25&lt;&gt;"")*보유분석!$BB$2:$BB$801))</f>
        <v>5.2818</v>
      </c>
      <c r="G25" s="37" t="n">
        <f aca="false">IF(SUMPRODUCT((보유분석!$C$2:$C$801=$D25&amp;"")*(보유분석!$Q$2:$Q$801=1)*($D25&lt;&gt;"")*보유분석!$BD$2:$BD$801)=0,"",SUMPRODUCT((보유분석!$C$2:$C$801=$D25&amp;"")*(보유분석!$Q$2:$Q$801=1)*($D25&lt;&gt;"")*보유분석!$BC$2:$BC$801)/SUMPRODUCT((보유분석!$C$2:$C$801=$D25&amp;"")*(보유분석!$Q$2:$Q$801=1)*($D25&lt;&gt;"")*보유분석!$BD$2:$BD$801))</f>
        <v>-6.955</v>
      </c>
      <c r="H25" s="38" t="n">
        <f aca="false">IF(SUMPRODUCT((보유분석!$C$2:$C$801=$D25&amp;"")*(보유분석!$Q$2:$Q$801=1)*($D25&lt;&gt;"")*보유분석!$BF$2:$BF$801)=0,"",SUMPRODUCT((보유분석!$C$2:$C$801=$D25&amp;"")*(보유분석!$Q$2:$Q$801=1)*($D25&lt;&gt;"")*보유분석!$BE$2:$BE$801)/SUMPRODUCT((보유분석!$C$2:$C$801=$D25&amp;"")*(보유분석!$Q$2:$Q$801=1)*($D25&lt;&gt;"")*보유분석!$BF$2:$BF$801))</f>
        <v>0.0968</v>
      </c>
      <c r="I25" s="39" t="n">
        <f aca="false">SUMPRODUCT((보유분석!$C$2:$C$801=$D25&amp;"")*(보유분석!$Q$2:$Q$801=1)*($D25&lt;&gt;"")*보유분석!$AM$2:$AM$801)</f>
        <v>77.55221056</v>
      </c>
      <c r="J25" s="40" t="n">
        <f aca="false">IF(E25=0,"",SUMPRODUCT((보유분석!$C$2:$C$801=$D25&amp;"")*(보유분석!$Q$2:$Q$801=1)*($D25&lt;&gt;"")*보유분석!$AV$2:$AV$801)/(E25*1000000))</f>
        <v>0.052818</v>
      </c>
      <c r="K25" s="9" t="n">
        <f aca="false">SUMPRODUCT((보유분석!$C$2:$C$801=$D25&amp;"")*(보유분석!$Q$2:$Q$801=1)*($D25&lt;&gt;"")/(COUNTIFS(보유분석!$C$2:$C$801,보유분석!$C$2:$C$801,보유분석!$B$2:$B$801,보유분석!$B$2:$B$801,보유분석!$Q$2:$Q$801,1)+(보유분석!$Q$2:$Q$801&lt;&gt;1)))</f>
        <v>1</v>
      </c>
      <c r="L25" s="2"/>
    </row>
    <row r="26" customFormat="false" ht="15" hidden="false" customHeight="false" outlineLevel="0" collapsed="false">
      <c r="A26" s="2"/>
      <c r="B26" s="2"/>
      <c r="C26" s="2"/>
      <c r="D26" s="34" t="n">
        <v>38070</v>
      </c>
      <c r="E26" s="35" t="n">
        <f aca="false">SUMPRODUCT((보유분석!$C$2:$C$801=$D26&amp;"")*(보유분석!$Q$2:$Q$801=1)*($D26&lt;&gt;"")*보유분석!$AA$2:$AA$801)</f>
        <v>10.5637321598</v>
      </c>
      <c r="F26" s="36" t="n">
        <f aca="false">IF(SUMPRODUCT((보유분석!$C$2:$C$801=$D26&amp;"")*(보유분석!$Q$2:$Q$801=1)*($D26&lt;&gt;"")*보유분석!$BB$2:$BB$801)=0,"",SUMPRODUCT((보유분석!$C$2:$C$801=$D26&amp;"")*(보유분석!$Q$2:$Q$801=1)*($D26&lt;&gt;"")*보유분석!$BA$2:$BA$801)/SUMPRODUCT((보유분석!$C$2:$C$801=$D26&amp;"")*(보유분석!$Q$2:$Q$801=1)*($D26&lt;&gt;"")*보유분석!$BB$2:$BB$801))</f>
        <v>3.89678108120815</v>
      </c>
      <c r="G26" s="37" t="n">
        <f aca="false">IF(SUMPRODUCT((보유분석!$C$2:$C$801=$D26&amp;"")*(보유분석!$Q$2:$Q$801=1)*($D26&lt;&gt;"")*보유분석!$BD$2:$BD$801)=0,"",SUMPRODUCT((보유분석!$C$2:$C$801=$D26&amp;"")*(보유분석!$Q$2:$Q$801=1)*($D26&lt;&gt;"")*보유분석!$BC$2:$BC$801)/SUMPRODUCT((보유분석!$C$2:$C$801=$D26&amp;"")*(보유분석!$Q$2:$Q$801=1)*($D26&lt;&gt;"")*보유분석!$BD$2:$BD$801))</f>
        <v>75.6502222001223</v>
      </c>
      <c r="H26" s="38" t="n">
        <f aca="false">IF(SUMPRODUCT((보유분석!$C$2:$C$801=$D26&amp;"")*(보유분석!$Q$2:$Q$801=1)*($D26&lt;&gt;"")*보유분석!$BF$2:$BF$801)=0,"",SUMPRODUCT((보유분석!$C$2:$C$801=$D26&amp;"")*(보유분석!$Q$2:$Q$801=1)*($D26&lt;&gt;"")*보유분석!$BE$2:$BE$801)/SUMPRODUCT((보유분석!$C$2:$C$801=$D26&amp;"")*(보유분석!$Q$2:$Q$801=1)*($D26&lt;&gt;"")*보유분석!$BF$2:$BF$801))</f>
        <v>2.48766884250606</v>
      </c>
      <c r="I26" s="39" t="n">
        <f aca="false">SUMPRODUCT((보유분석!$C$2:$C$801=$D26&amp;"")*(보유분석!$Q$2:$Q$801=1)*($D26&lt;&gt;"")*보유분석!$AM$2:$AM$801)</f>
        <v>2627.90673545137</v>
      </c>
      <c r="J26" s="40" t="n">
        <f aca="false">IF(E26=0,"",SUMPRODUCT((보유분석!$C$2:$C$801=$D26&amp;"")*(보유분석!$Q$2:$Q$801=1)*($D26&lt;&gt;"")*보유분석!$AV$2:$AV$801)/(E26*1000000))</f>
        <v>0.0389678108120815</v>
      </c>
      <c r="K26" s="9" t="n">
        <f aca="false">SUMPRODUCT((보유분석!$C$2:$C$801=$D26&amp;"")*(보유분석!$Q$2:$Q$801=1)*($D26&lt;&gt;"")/(COUNTIFS(보유분석!$C$2:$C$801,보유분석!$C$2:$C$801,보유분석!$B$2:$B$801,보유분석!$B$2:$B$801,보유분석!$Q$2:$Q$801,1)+(보유분석!$Q$2:$Q$801&lt;&gt;1)))</f>
        <v>4</v>
      </c>
      <c r="L26" s="2"/>
    </row>
    <row r="27" customFormat="false" ht="15" hidden="false" customHeight="false" outlineLevel="0" collapsed="false">
      <c r="A27" s="2"/>
      <c r="B27" s="2"/>
      <c r="C27" s="2"/>
      <c r="D27" s="34" t="n">
        <v>38088</v>
      </c>
      <c r="E27" s="35" t="n">
        <f aca="false">SUMPRODUCT((보유분석!$C$2:$C$801=$D27&amp;"")*(보유분석!$Q$2:$Q$801=1)*($D27&lt;&gt;"")*보유분석!$AA$2:$AA$801)</f>
        <v>124.566274</v>
      </c>
      <c r="F27" s="36" t="n">
        <f aca="false">IF(SUMPRODUCT((보유분석!$C$2:$C$801=$D27&amp;"")*(보유분석!$Q$2:$Q$801=1)*($D27&lt;&gt;"")*보유분석!$BB$2:$BB$801)=0,"",SUMPRODUCT((보유분석!$C$2:$C$801=$D27&amp;"")*(보유분석!$Q$2:$Q$801=1)*($D27&lt;&gt;"")*보유분석!$BA$2:$BA$801)/SUMPRODUCT((보유분석!$C$2:$C$801=$D27&amp;"")*(보유분석!$Q$2:$Q$801=1)*($D27&lt;&gt;"")*보유분석!$BB$2:$BB$801))</f>
        <v>5.34423729651816</v>
      </c>
      <c r="G27" s="37" t="n">
        <f aca="false">IF(SUMPRODUCT((보유분석!$C$2:$C$801=$D27&amp;"")*(보유분석!$Q$2:$Q$801=1)*($D27&lt;&gt;"")*보유분석!$BD$2:$BD$801)=0,"",SUMPRODUCT((보유분석!$C$2:$C$801=$D27&amp;"")*(보유분석!$Q$2:$Q$801=1)*($D27&lt;&gt;"")*보유분석!$BC$2:$BC$801)/SUMPRODUCT((보유분석!$C$2:$C$801=$D27&amp;"")*(보유분석!$Q$2:$Q$801=1)*($D27&lt;&gt;"")*보유분석!$BD$2:$BD$801))</f>
        <v>47.6090059156601</v>
      </c>
      <c r="H27" s="38" t="n">
        <f aca="false">IF(SUMPRODUCT((보유분석!$C$2:$C$801=$D27&amp;"")*(보유분석!$Q$2:$Q$801=1)*($D27&lt;&gt;"")*보유분석!$BF$2:$BF$801)=0,"",SUMPRODUCT((보유분석!$C$2:$C$801=$D27&amp;"")*(보유분석!$Q$2:$Q$801=1)*($D27&lt;&gt;"")*보유분석!$BE$2:$BE$801)/SUMPRODUCT((보유분석!$C$2:$C$801=$D27&amp;"")*(보유분석!$Q$2:$Q$801=1)*($D27&lt;&gt;"")*보유분석!$BF$2:$BF$801))</f>
        <v>6.22146070256143</v>
      </c>
      <c r="I27" s="39" t="n">
        <f aca="false">SUMPRODUCT((보유분석!$C$2:$C$801=$D27&amp;"")*(보유분석!$Q$2:$Q$801=1)*($D27&lt;&gt;"")*보유분석!$AM$2:$AM$801)</f>
        <v>77498.41785555</v>
      </c>
      <c r="J27" s="40" t="n">
        <f aca="false">IF(E27=0,"",SUMPRODUCT((보유분석!$C$2:$C$801=$D27&amp;"")*(보유분석!$Q$2:$Q$801=1)*($D27&lt;&gt;"")*보유분석!$AV$2:$AV$801)/(E27*1000000))</f>
        <v>0.0539898853496321</v>
      </c>
      <c r="K27" s="9" t="n">
        <f aca="false">SUMPRODUCT((보유분석!$C$2:$C$801=$D27&amp;"")*(보유분석!$Q$2:$Q$801=1)*($D27&lt;&gt;"")/(COUNTIFS(보유분석!$C$2:$C$801,보유분석!$C$2:$C$801,보유분석!$B$2:$B$801,보유분석!$B$2:$B$801,보유분석!$Q$2:$Q$801,1)+(보유분석!$Q$2:$Q$801&lt;&gt;1)))</f>
        <v>9</v>
      </c>
      <c r="L27" s="2"/>
    </row>
    <row r="28" customFormat="false" ht="15" hidden="false" customHeight="false" outlineLevel="0" collapsed="false">
      <c r="A28" s="2"/>
      <c r="B28" s="2"/>
      <c r="C28" s="2"/>
      <c r="D28" s="34" t="n">
        <v>38167</v>
      </c>
      <c r="E28" s="35" t="n">
        <f aca="false">SUMPRODUCT((보유분석!$C$2:$C$801=$D28&amp;"")*(보유분석!$Q$2:$Q$801=1)*($D28&lt;&gt;"")*보유분석!$AA$2:$AA$801)</f>
        <v>11.1239626684</v>
      </c>
      <c r="F28" s="36" t="n">
        <f aca="false">IF(SUMPRODUCT((보유분석!$C$2:$C$801=$D28&amp;"")*(보유분석!$Q$2:$Q$801=1)*($D28&lt;&gt;"")*보유분석!$BB$2:$BB$801)=0,"",SUMPRODUCT((보유분석!$C$2:$C$801=$D28&amp;"")*(보유분석!$Q$2:$Q$801=1)*($D28&lt;&gt;"")*보유분석!$BA$2:$BA$801)/SUMPRODUCT((보유분석!$C$2:$C$801=$D28&amp;"")*(보유분석!$Q$2:$Q$801=1)*($D28&lt;&gt;"")*보유분석!$BB$2:$BB$801))</f>
        <v>4.05071180320062</v>
      </c>
      <c r="G28" s="37" t="n">
        <f aca="false">IF(SUMPRODUCT((보유분석!$C$2:$C$801=$D28&amp;"")*(보유분석!$Q$2:$Q$801=1)*($D28&lt;&gt;"")*보유분석!$BD$2:$BD$801)=0,"",SUMPRODUCT((보유분석!$C$2:$C$801=$D28&amp;"")*(보유분석!$Q$2:$Q$801=1)*($D28&lt;&gt;"")*보유분석!$BC$2:$BC$801)/SUMPRODUCT((보유분석!$C$2:$C$801=$D28&amp;"")*(보유분석!$Q$2:$Q$801=1)*($D28&lt;&gt;"")*보유분석!$BD$2:$BD$801))</f>
        <v>75.3236157230176</v>
      </c>
      <c r="H28" s="38" t="n">
        <f aca="false">IF(SUMPRODUCT((보유분석!$C$2:$C$801=$D28&amp;"")*(보유분석!$Q$2:$Q$801=1)*($D28&lt;&gt;"")*보유분석!$BF$2:$BF$801)=0,"",SUMPRODUCT((보유분석!$C$2:$C$801=$D28&amp;"")*(보유분석!$Q$2:$Q$801=1)*($D28&lt;&gt;"")*보유분석!$BE$2:$BE$801)/SUMPRODUCT((보유분석!$C$2:$C$801=$D28&amp;"")*(보유분석!$Q$2:$Q$801=1)*($D28&lt;&gt;"")*보유분석!$BF$2:$BF$801))</f>
        <v>2.56024820007551</v>
      </c>
      <c r="I28" s="39" t="n">
        <f aca="false">SUMPRODUCT((보유분석!$C$2:$C$801=$D28&amp;"")*(보유분석!$Q$2:$Q$801=1)*($D28&lt;&gt;"")*보유분석!$AM$2:$AM$801)</f>
        <v>2848.01053994783</v>
      </c>
      <c r="J28" s="40" t="n">
        <f aca="false">IF(E28=0,"",SUMPRODUCT((보유분석!$C$2:$C$801=$D28&amp;"")*(보유분석!$Q$2:$Q$801=1)*($D28&lt;&gt;"")*보유분석!$AV$2:$AV$801)/(E28*1000000))</f>
        <v>0.0405071180320062</v>
      </c>
      <c r="K28" s="9" t="n">
        <f aca="false">SUMPRODUCT((보유분석!$C$2:$C$801=$D28&amp;"")*(보유분석!$Q$2:$Q$801=1)*($D28&lt;&gt;"")/(COUNTIFS(보유분석!$C$2:$C$801,보유분석!$C$2:$C$801,보유분석!$B$2:$B$801,보유분석!$B$2:$B$801,보유분석!$Q$2:$Q$801,1)+(보유분석!$Q$2:$Q$801&lt;&gt;1)))</f>
        <v>3</v>
      </c>
      <c r="L28" s="2"/>
    </row>
    <row r="29" customFormat="false" ht="15" hidden="false" customHeight="false" outlineLevel="0" collapsed="false">
      <c r="A29" s="2"/>
      <c r="B29" s="2"/>
      <c r="C29" s="2"/>
      <c r="D29" s="26" t="n">
        <v>38168</v>
      </c>
      <c r="E29" s="27" t="n">
        <f aca="false">SUMPRODUCT((보유분석!$C$2:$C$801=$D29&amp;"")*(보유분석!$Q$2:$Q$801=1)*($D29&lt;&gt;"")*보유분석!$AA$2:$AA$801)</f>
        <v>4.9279668</v>
      </c>
      <c r="F29" s="28" t="n">
        <f aca="false">IF(SUMPRODUCT((보유분석!$C$2:$C$801=$D29&amp;"")*(보유분석!$Q$2:$Q$801=1)*($D29&lt;&gt;"")*보유분석!$BB$2:$BB$801)=0,"",SUMPRODUCT((보유분석!$C$2:$C$801=$D29&amp;"")*(보유분석!$Q$2:$Q$801=1)*($D29&lt;&gt;"")*보유분석!$BA$2:$BA$801)/SUMPRODUCT((보유분석!$C$2:$C$801=$D29&amp;"")*(보유분석!$Q$2:$Q$801=1)*($D29&lt;&gt;"")*보유분석!$BB$2:$BB$801))</f>
        <v>5.68074297117424</v>
      </c>
      <c r="G29" s="29" t="n">
        <f aca="false">IF(SUMPRODUCT((보유분석!$C$2:$C$801=$D29&amp;"")*(보유분석!$Q$2:$Q$801=1)*($D29&lt;&gt;"")*보유분석!$BD$2:$BD$801)=0,"",SUMPRODUCT((보유분석!$C$2:$C$801=$D29&amp;"")*(보유분석!$Q$2:$Q$801=1)*($D29&lt;&gt;"")*보유분석!$BC$2:$BC$801)/SUMPRODUCT((보유분석!$C$2:$C$801=$D29&amp;"")*(보유분석!$Q$2:$Q$801=1)*($D29&lt;&gt;"")*보유분석!$BD$2:$BD$801))</f>
        <v>70.1812617453511</v>
      </c>
      <c r="H29" s="30" t="n">
        <f aca="false">IF(SUMPRODUCT((보유분석!$C$2:$C$801=$D29&amp;"")*(보유분석!$Q$2:$Q$801=1)*($D29&lt;&gt;"")*보유분석!$BF$2:$BF$801)=0,"",SUMPRODUCT((보유분석!$C$2:$C$801=$D29&amp;"")*(보유분석!$Q$2:$Q$801=1)*($D29&lt;&gt;"")*보유분석!$BE$2:$BE$801)/SUMPRODUCT((보유분석!$C$2:$C$801=$D29&amp;"")*(보유분석!$Q$2:$Q$801=1)*($D29&lt;&gt;"")*보유분석!$BF$2:$BF$801))</f>
        <v>3.65400370465158</v>
      </c>
      <c r="I29" s="31" t="n">
        <f aca="false">SUMPRODUCT((보유분석!$C$2:$C$801=$D29&amp;"")*(보유분석!$Q$2:$Q$801=1)*($D29&lt;&gt;"")*보유분석!$AM$2:$AM$801)</f>
        <v>1800.68089436</v>
      </c>
      <c r="J29" s="32" t="n">
        <f aca="false">IF(E29=0,"",SUMPRODUCT((보유분석!$C$2:$C$801=$D29&amp;"")*(보유분석!$Q$2:$Q$801=1)*($D29&lt;&gt;"")*보유분석!$AV$2:$AV$801)/(E29*1000000))</f>
        <v>0.0584416784995956</v>
      </c>
      <c r="K29" s="33" t="n">
        <f aca="false">SUMPRODUCT((보유분석!$C$2:$C$801=$D29&amp;"")*(보유분석!$Q$2:$Q$801=1)*($D29&lt;&gt;"")/(COUNTIFS(보유분석!$C$2:$C$801,보유분석!$C$2:$C$801,보유분석!$B$2:$B$801,보유분석!$B$2:$B$801,보유분석!$Q$2:$Q$801,1)+(보유분석!$Q$2:$Q$801&lt;&gt;1)))</f>
        <v>2</v>
      </c>
      <c r="L29" s="2"/>
    </row>
    <row r="30" customFormat="false" ht="15" hidden="false" customHeight="false" outlineLevel="0" collapsed="false">
      <c r="A30" s="2"/>
      <c r="B30" s="2"/>
      <c r="C30" s="2"/>
      <c r="D30" s="34" t="n">
        <v>42003</v>
      </c>
      <c r="E30" s="35" t="n">
        <f aca="false">SUMPRODUCT((보유분석!$C$2:$C$801=$D30&amp;"")*(보유분석!$Q$2:$Q$801=1)*($D30&lt;&gt;"")*보유분석!$AA$2:$AA$801)</f>
        <v>305.9649567</v>
      </c>
      <c r="F30" s="36" t="n">
        <f aca="false">IF(SUMPRODUCT((보유분석!$C$2:$C$801=$D30&amp;"")*(보유분석!$Q$2:$Q$801=1)*($D30&lt;&gt;"")*보유분석!$BB$2:$BB$801)=0,"",SUMPRODUCT((보유분석!$C$2:$C$801=$D30&amp;"")*(보유분석!$Q$2:$Q$801=1)*($D30&lt;&gt;"")*보유분석!$BA$2:$BA$801)/SUMPRODUCT((보유분석!$C$2:$C$801=$D30&amp;"")*(보유분석!$Q$2:$Q$801=1)*($D30&lt;&gt;"")*보유분석!$BB$2:$BB$801))</f>
        <v>5.26619605171009</v>
      </c>
      <c r="G30" s="37" t="n">
        <f aca="false">IF(SUMPRODUCT((보유분석!$C$2:$C$801=$D30&amp;"")*(보유분석!$Q$2:$Q$801=1)*($D30&lt;&gt;"")*보유분석!$BD$2:$BD$801)=0,"",SUMPRODUCT((보유분석!$C$2:$C$801=$D30&amp;"")*(보유분석!$Q$2:$Q$801=1)*($D30&lt;&gt;"")*보유분석!$BC$2:$BC$801)/SUMPRODUCT((보유분석!$C$2:$C$801=$D30&amp;"")*(보유분석!$Q$2:$Q$801=1)*($D30&lt;&gt;"")*보유분석!$BD$2:$BD$801))</f>
        <v>24.7779268820905</v>
      </c>
      <c r="H30" s="38" t="n">
        <f aca="false">IF(SUMPRODUCT((보유분석!$C$2:$C$801=$D30&amp;"")*(보유분석!$Q$2:$Q$801=1)*($D30&lt;&gt;"")*보유분석!$BF$2:$BF$801)=0,"",SUMPRODUCT((보유분석!$C$2:$C$801=$D30&amp;"")*(보유분석!$Q$2:$Q$801=1)*($D30&lt;&gt;"")*보유분석!$BE$2:$BE$801)/SUMPRODUCT((보유분석!$C$2:$C$801=$D30&amp;"")*(보유분석!$Q$2:$Q$801=1)*($D30&lt;&gt;"")*보유분석!$BF$2:$BF$801))</f>
        <v>2.84203261080025</v>
      </c>
      <c r="I30" s="39" t="n">
        <f aca="false">SUMPRODUCT((보유분석!$C$2:$C$801=$D30&amp;"")*(보유분석!$Q$2:$Q$801=1)*($D30&lt;&gt;"")*보유분석!$AM$2:$AM$801)</f>
        <v>86956.2384703486</v>
      </c>
      <c r="J30" s="40" t="n">
        <f aca="false">IF(E30=0,"",SUMPRODUCT((보유분석!$C$2:$C$801=$D30&amp;"")*(보유분석!$Q$2:$Q$801=1)*($D30&lt;&gt;"")*보유분석!$AV$2:$AV$801)/(E30*1000000))</f>
        <v>0.0538472719785484</v>
      </c>
      <c r="K30" s="9" t="n">
        <f aca="false">SUMPRODUCT((보유분석!$C$2:$C$801=$D30&amp;"")*(보유분석!$Q$2:$Q$801=1)*($D30&lt;&gt;"")/(COUNTIFS(보유분석!$C$2:$C$801,보유분석!$C$2:$C$801,보유분석!$B$2:$B$801,보유분석!$B$2:$B$801,보유분석!$Q$2:$Q$801,1)+(보유분석!$Q$2:$Q$801&lt;&gt;1)))</f>
        <v>81</v>
      </c>
      <c r="L30" s="2"/>
    </row>
    <row r="31" customFormat="false" ht="15" hidden="false" customHeight="false" outlineLevel="0" collapsed="false">
      <c r="A31" s="2"/>
      <c r="B31" s="2"/>
      <c r="C31" s="2"/>
      <c r="D31" s="34" t="n">
        <v>42006</v>
      </c>
      <c r="E31" s="35" t="n">
        <f aca="false">SUMPRODUCT((보유분석!$C$2:$C$801=$D31&amp;"")*(보유분석!$Q$2:$Q$801=1)*($D31&lt;&gt;"")*보유분석!$AA$2:$AA$801)</f>
        <v>34.4366746776</v>
      </c>
      <c r="F31" s="36" t="n">
        <f aca="false">IF(SUMPRODUCT((보유분석!$C$2:$C$801=$D31&amp;"")*(보유분석!$Q$2:$Q$801=1)*($D31&lt;&gt;"")*보유분석!$BB$2:$BB$801)=0,"",SUMPRODUCT((보유분석!$C$2:$C$801=$D31&amp;"")*(보유분석!$Q$2:$Q$801=1)*($D31&lt;&gt;"")*보유분석!$BA$2:$BA$801)/SUMPRODUCT((보유분석!$C$2:$C$801=$D31&amp;"")*(보유분석!$Q$2:$Q$801=1)*($D31&lt;&gt;"")*보유분석!$BB$2:$BB$801))</f>
        <v>2.15142888809909</v>
      </c>
      <c r="G31" s="37" t="n">
        <f aca="false">IF(SUMPRODUCT((보유분석!$C$2:$C$801=$D31&amp;"")*(보유분석!$Q$2:$Q$801=1)*($D31&lt;&gt;"")*보유분석!$BD$2:$BD$801)=0,"",SUMPRODUCT((보유분석!$C$2:$C$801=$D31&amp;"")*(보유분석!$Q$2:$Q$801=1)*($D31&lt;&gt;"")*보유분석!$BC$2:$BC$801)/SUMPRODUCT((보유분석!$C$2:$C$801=$D31&amp;"")*(보유분석!$Q$2:$Q$801=1)*($D31&lt;&gt;"")*보유분석!$BD$2:$BD$801))</f>
        <v>37.2678467735132</v>
      </c>
      <c r="H31" s="38" t="n">
        <f aca="false">IF(SUMPRODUCT((보유분석!$C$2:$C$801=$D31&amp;"")*(보유분석!$Q$2:$Q$801=1)*($D31&lt;&gt;"")*보유분석!$BF$2:$BF$801)=0,"",SUMPRODUCT((보유분석!$C$2:$C$801=$D31&amp;"")*(보유분석!$Q$2:$Q$801=1)*($D31&lt;&gt;"")*보유분석!$BE$2:$BE$801)/SUMPRODUCT((보유분석!$C$2:$C$801=$D31&amp;"")*(보유분석!$Q$2:$Q$801=1)*($D31&lt;&gt;"")*보유분석!$BF$2:$BF$801))</f>
        <v>1.55029982290113</v>
      </c>
      <c r="I31" s="39" t="n">
        <f aca="false">SUMPRODUCT((보유분석!$C$2:$C$801=$D31&amp;"")*(보유분석!$Q$2:$Q$801=1)*($D31&lt;&gt;"")*보유분석!$AM$2:$AM$801)</f>
        <v>5338.7170653987</v>
      </c>
      <c r="J31" s="40" t="n">
        <f aca="false">IF(E31=0,"",SUMPRODUCT((보유분석!$C$2:$C$801=$D31&amp;"")*(보유분석!$Q$2:$Q$801=1)*($D31&lt;&gt;"")*보유분석!$AV$2:$AV$801)/(E31*1000000))</f>
        <v>0.0215142888809909</v>
      </c>
      <c r="K31" s="9" t="n">
        <f aca="false">SUMPRODUCT((보유분석!$C$2:$C$801=$D31&amp;"")*(보유분석!$Q$2:$Q$801=1)*($D31&lt;&gt;"")/(COUNTIFS(보유분석!$C$2:$C$801,보유분석!$C$2:$C$801,보유분석!$B$2:$B$801,보유분석!$B$2:$B$801,보유분석!$Q$2:$Q$801,1)+(보유분석!$Q$2:$Q$801&lt;&gt;1)))</f>
        <v>5</v>
      </c>
      <c r="L31" s="2"/>
    </row>
    <row r="32" customFormat="false" ht="15" hidden="false" customHeight="false" outlineLevel="0" collapsed="false">
      <c r="A32" s="2"/>
      <c r="B32" s="2"/>
      <c r="C32" s="2"/>
      <c r="D32" s="34" t="n">
        <v>42011</v>
      </c>
      <c r="E32" s="35" t="n">
        <f aca="false">SUMPRODUCT((보유분석!$C$2:$C$801=$D32&amp;"")*(보유분석!$Q$2:$Q$801=1)*($D32&lt;&gt;"")*보유분석!$AA$2:$AA$801)</f>
        <v>15.8614483</v>
      </c>
      <c r="F32" s="36" t="n">
        <f aca="false">IF(SUMPRODUCT((보유분석!$C$2:$C$801=$D32&amp;"")*(보유분석!$Q$2:$Q$801=1)*($D32&lt;&gt;"")*보유분석!$BB$2:$BB$801)=0,"",SUMPRODUCT((보유분석!$C$2:$C$801=$D32&amp;"")*(보유분석!$Q$2:$Q$801=1)*($D32&lt;&gt;"")*보유분석!$BA$2:$BA$801)/SUMPRODUCT((보유분석!$C$2:$C$801=$D32&amp;"")*(보유분석!$Q$2:$Q$801=1)*($D32&lt;&gt;"")*보유분석!$BB$2:$BB$801))</f>
        <v>5.3930464622723</v>
      </c>
      <c r="G32" s="37" t="str">
        <f aca="false">IF(SUMPRODUCT((보유분석!$C$2:$C$801=$D32&amp;"")*(보유분석!$Q$2:$Q$801=1)*($D32&lt;&gt;"")*보유분석!$BD$2:$BD$801)=0,"",SUMPRODUCT((보유분석!$C$2:$C$801=$D32&amp;"")*(보유분석!$Q$2:$Q$801=1)*($D32&lt;&gt;"")*보유분석!$BC$2:$BC$801)/SUMPRODUCT((보유분석!$C$2:$C$801=$D32&amp;"")*(보유분석!$Q$2:$Q$801=1)*($D32&lt;&gt;"")*보유분석!$BD$2:$BD$801))</f>
        <v/>
      </c>
      <c r="H32" s="38" t="n">
        <f aca="false">IF(SUMPRODUCT((보유분석!$C$2:$C$801=$D32&amp;"")*(보유분석!$Q$2:$Q$801=1)*($D32&lt;&gt;"")*보유분석!$BF$2:$BF$801)=0,"",SUMPRODUCT((보유분석!$C$2:$C$801=$D32&amp;"")*(보유분석!$Q$2:$Q$801=1)*($D32&lt;&gt;"")*보유분석!$BE$2:$BE$801)/SUMPRODUCT((보유분석!$C$2:$C$801=$D32&amp;"")*(보유분석!$Q$2:$Q$801=1)*($D32&lt;&gt;"")*보유분석!$BF$2:$BF$801))</f>
        <v>4.11685124811648</v>
      </c>
      <c r="I32" s="39" t="n">
        <f aca="false">SUMPRODUCT((보유분석!$C$2:$C$801=$D32&amp;"")*(보유분석!$Q$2:$Q$801=1)*($D32&lt;&gt;"")*보유분석!$AM$2:$AM$801)</f>
        <v>6529.922323079</v>
      </c>
      <c r="J32" s="40" t="n">
        <f aca="false">IF(E32=0,"",SUMPRODUCT((보유분석!$C$2:$C$801=$D32&amp;"")*(보유분석!$Q$2:$Q$801=1)*($D32&lt;&gt;"")*보유분석!$AV$2:$AV$801)/(E32*1000000))</f>
        <v>0.053930464622723</v>
      </c>
      <c r="K32" s="9" t="n">
        <f aca="false">SUMPRODUCT((보유분석!$C$2:$C$801=$D32&amp;"")*(보유분석!$Q$2:$Q$801=1)*($D32&lt;&gt;"")/(COUNTIFS(보유분석!$C$2:$C$801,보유분석!$C$2:$C$801,보유분석!$B$2:$B$801,보유분석!$B$2:$B$801,보유분석!$Q$2:$Q$801,1)+(보유분석!$Q$2:$Q$801&lt;&gt;1)))</f>
        <v>4</v>
      </c>
      <c r="L32" s="2"/>
    </row>
    <row r="33" customFormat="false" ht="15" hidden="false" customHeight="false" outlineLevel="0" collapsed="false">
      <c r="A33" s="2"/>
      <c r="B33" s="2"/>
      <c r="C33" s="2"/>
      <c r="D33" s="41"/>
      <c r="E33" s="35" t="n">
        <f aca="false">SUMPRODUCT((보유분석!$C$2:$C$801=$D33&amp;"")*(보유분석!$Q$2:$Q$801=1)*($D33&lt;&gt;"")*보유분석!$AA$2:$AA$801)</f>
        <v>0</v>
      </c>
      <c r="F33" s="36" t="str">
        <f aca="false">IF(SUMPRODUCT((보유분석!$C$2:$C$801=$D33&amp;"")*(보유분석!$Q$2:$Q$801=1)*($D33&lt;&gt;"")*보유분석!$BB$2:$BB$801)=0,"",SUMPRODUCT((보유분석!$C$2:$C$801=$D33&amp;"")*(보유분석!$Q$2:$Q$801=1)*($D33&lt;&gt;"")*보유분석!$BA$2:$BA$801)/SUMPRODUCT((보유분석!$C$2:$C$801=$D33&amp;"")*(보유분석!$Q$2:$Q$801=1)*($D33&lt;&gt;"")*보유분석!$BB$2:$BB$801))</f>
        <v/>
      </c>
      <c r="G33" s="37" t="str">
        <f aca="false">IF(SUMPRODUCT((보유분석!$C$2:$C$801=$D33&amp;"")*(보유분석!$Q$2:$Q$801=1)*($D33&lt;&gt;"")*보유분석!$BD$2:$BD$801)=0,"",SUMPRODUCT((보유분석!$C$2:$C$801=$D33&amp;"")*(보유분석!$Q$2:$Q$801=1)*($D33&lt;&gt;"")*보유분석!$BC$2:$BC$801)/SUMPRODUCT((보유분석!$C$2:$C$801=$D33&amp;"")*(보유분석!$Q$2:$Q$801=1)*($D33&lt;&gt;"")*보유분석!$BD$2:$BD$801))</f>
        <v/>
      </c>
      <c r="H33" s="38" t="str">
        <f aca="false">IF(SUMPRODUCT((보유분석!$C$2:$C$801=$D33&amp;"")*(보유분석!$Q$2:$Q$801=1)*($D33&lt;&gt;"")*보유분석!$BF$2:$BF$801)=0,"",SUMPRODUCT((보유분석!$C$2:$C$801=$D33&amp;"")*(보유분석!$Q$2:$Q$801=1)*($D33&lt;&gt;"")*보유분석!$BE$2:$BE$801)/SUMPRODUCT((보유분석!$C$2:$C$801=$D33&amp;"")*(보유분석!$Q$2:$Q$801=1)*($D33&lt;&gt;"")*보유분석!$BF$2:$BF$801))</f>
        <v/>
      </c>
      <c r="I33" s="39" t="n">
        <f aca="false">SUMPRODUCT((보유분석!$C$2:$C$801=$D33&amp;"")*(보유분석!$Q$2:$Q$801=1)*($D33&lt;&gt;"")*보유분석!$AM$2:$AM$801)</f>
        <v>0</v>
      </c>
      <c r="J33" s="40" t="str">
        <f aca="false">IF(E33=0,"",SUMPRODUCT((보유분석!$C$2:$C$801=$D33&amp;"")*(보유분석!$Q$2:$Q$801=1)*($D33&lt;&gt;"")*보유분석!$AV$2:$AV$801)/(E33*1000000))</f>
        <v/>
      </c>
      <c r="K33" s="9" t="n">
        <f aca="false">SUMPRODUCT((보유분석!$C$2:$C$801=$D33&amp;"")*(보유분석!$Q$2:$Q$801=1)*($D33&lt;&gt;"")/(COUNTIFS(보유분석!$C$2:$C$801,보유분석!$C$2:$C$801,보유분석!$B$2:$B$801,보유분석!$B$2:$B$801,보유분석!$Q$2:$Q$801,1)+(보유분석!$Q$2:$Q$801&lt;&gt;1)))</f>
        <v>0</v>
      </c>
      <c r="L33" s="2"/>
    </row>
    <row r="34" customFormat="false" ht="15" hidden="false" customHeight="false" outlineLevel="0" collapsed="false">
      <c r="A34" s="2"/>
      <c r="B34" s="2"/>
      <c r="C34" s="2"/>
      <c r="D34" s="41"/>
      <c r="E34" s="35" t="n">
        <f aca="false">SUMPRODUCT((보유분석!$C$2:$C$801=$D34&amp;"")*(보유분석!$Q$2:$Q$801=1)*($D34&lt;&gt;"")*보유분석!$AA$2:$AA$801)</f>
        <v>0</v>
      </c>
      <c r="F34" s="36" t="str">
        <f aca="false">IF(SUMPRODUCT((보유분석!$C$2:$C$801=$D34&amp;"")*(보유분석!$Q$2:$Q$801=1)*($D34&lt;&gt;"")*보유분석!$BB$2:$BB$801)=0,"",SUMPRODUCT((보유분석!$C$2:$C$801=$D34&amp;"")*(보유분석!$Q$2:$Q$801=1)*($D34&lt;&gt;"")*보유분석!$BA$2:$BA$801)/SUMPRODUCT((보유분석!$C$2:$C$801=$D34&amp;"")*(보유분석!$Q$2:$Q$801=1)*($D34&lt;&gt;"")*보유분석!$BB$2:$BB$801))</f>
        <v/>
      </c>
      <c r="G34" s="37" t="str">
        <f aca="false">IF(SUMPRODUCT((보유분석!$C$2:$C$801=$D34&amp;"")*(보유분석!$Q$2:$Q$801=1)*($D34&lt;&gt;"")*보유분석!$BD$2:$BD$801)=0,"",SUMPRODUCT((보유분석!$C$2:$C$801=$D34&amp;"")*(보유분석!$Q$2:$Q$801=1)*($D34&lt;&gt;"")*보유분석!$BC$2:$BC$801)/SUMPRODUCT((보유분석!$C$2:$C$801=$D34&amp;"")*(보유분석!$Q$2:$Q$801=1)*($D34&lt;&gt;"")*보유분석!$BD$2:$BD$801))</f>
        <v/>
      </c>
      <c r="H34" s="38" t="str">
        <f aca="false">IF(SUMPRODUCT((보유분석!$C$2:$C$801=$D34&amp;"")*(보유분석!$Q$2:$Q$801=1)*($D34&lt;&gt;"")*보유분석!$BF$2:$BF$801)=0,"",SUMPRODUCT((보유분석!$C$2:$C$801=$D34&amp;"")*(보유분석!$Q$2:$Q$801=1)*($D34&lt;&gt;"")*보유분석!$BE$2:$BE$801)/SUMPRODUCT((보유분석!$C$2:$C$801=$D34&amp;"")*(보유분석!$Q$2:$Q$801=1)*($D34&lt;&gt;"")*보유분석!$BF$2:$BF$801))</f>
        <v/>
      </c>
      <c r="I34" s="39" t="n">
        <f aca="false">SUMPRODUCT((보유분석!$C$2:$C$801=$D34&amp;"")*(보유분석!$Q$2:$Q$801=1)*($D34&lt;&gt;"")*보유분석!$AM$2:$AM$801)</f>
        <v>0</v>
      </c>
      <c r="J34" s="40" t="str">
        <f aca="false">IF(E34=0,"",SUMPRODUCT((보유분석!$C$2:$C$801=$D34&amp;"")*(보유분석!$Q$2:$Q$801=1)*($D34&lt;&gt;"")*보유분석!$AV$2:$AV$801)/(E34*1000000))</f>
        <v/>
      </c>
      <c r="K34" s="9" t="n">
        <f aca="false">SUMPRODUCT((보유분석!$C$2:$C$801=$D34&amp;"")*(보유분석!$Q$2:$Q$801=1)*($D34&lt;&gt;"")/(COUNTIFS(보유분석!$C$2:$C$801,보유분석!$C$2:$C$801,보유분석!$B$2:$B$801,보유분석!$B$2:$B$801,보유분석!$Q$2:$Q$801,1)+(보유분석!$Q$2:$Q$801&lt;&gt;1)))</f>
        <v>0</v>
      </c>
      <c r="L34" s="2"/>
    </row>
    <row r="35" customFormat="false" ht="15" hidden="false" customHeight="false" outlineLevel="0" collapsed="false">
      <c r="A35" s="2"/>
      <c r="B35" s="2"/>
      <c r="C35" s="2"/>
      <c r="D35" s="41"/>
      <c r="E35" s="35" t="n">
        <f aca="false">SUMPRODUCT((보유분석!$C$2:$C$801=$D35&amp;"")*(보유분석!$Q$2:$Q$801=1)*($D35&lt;&gt;"")*보유분석!$AA$2:$AA$801)</f>
        <v>0</v>
      </c>
      <c r="F35" s="36" t="str">
        <f aca="false">IF(SUMPRODUCT((보유분석!$C$2:$C$801=$D35&amp;"")*(보유분석!$Q$2:$Q$801=1)*($D35&lt;&gt;"")*보유분석!$BB$2:$BB$801)=0,"",SUMPRODUCT((보유분석!$C$2:$C$801=$D35&amp;"")*(보유분석!$Q$2:$Q$801=1)*($D35&lt;&gt;"")*보유분석!$BA$2:$BA$801)/SUMPRODUCT((보유분석!$C$2:$C$801=$D35&amp;"")*(보유분석!$Q$2:$Q$801=1)*($D35&lt;&gt;"")*보유분석!$BB$2:$BB$801))</f>
        <v/>
      </c>
      <c r="G35" s="37" t="str">
        <f aca="false">IF(SUMPRODUCT((보유분석!$C$2:$C$801=$D35&amp;"")*(보유분석!$Q$2:$Q$801=1)*($D35&lt;&gt;"")*보유분석!$BD$2:$BD$801)=0,"",SUMPRODUCT((보유분석!$C$2:$C$801=$D35&amp;"")*(보유분석!$Q$2:$Q$801=1)*($D35&lt;&gt;"")*보유분석!$BC$2:$BC$801)/SUMPRODUCT((보유분석!$C$2:$C$801=$D35&amp;"")*(보유분석!$Q$2:$Q$801=1)*($D35&lt;&gt;"")*보유분석!$BD$2:$BD$801))</f>
        <v/>
      </c>
      <c r="H35" s="38" t="str">
        <f aca="false">IF(SUMPRODUCT((보유분석!$C$2:$C$801=$D35&amp;"")*(보유분석!$Q$2:$Q$801=1)*($D35&lt;&gt;"")*보유분석!$BF$2:$BF$801)=0,"",SUMPRODUCT((보유분석!$C$2:$C$801=$D35&amp;"")*(보유분석!$Q$2:$Q$801=1)*($D35&lt;&gt;"")*보유분석!$BE$2:$BE$801)/SUMPRODUCT((보유분석!$C$2:$C$801=$D35&amp;"")*(보유분석!$Q$2:$Q$801=1)*($D35&lt;&gt;"")*보유분석!$BF$2:$BF$801))</f>
        <v/>
      </c>
      <c r="I35" s="39" t="n">
        <f aca="false">SUMPRODUCT((보유분석!$C$2:$C$801=$D35&amp;"")*(보유분석!$Q$2:$Q$801=1)*($D35&lt;&gt;"")*보유분석!$AM$2:$AM$801)</f>
        <v>0</v>
      </c>
      <c r="J35" s="40" t="str">
        <f aca="false">IF(E35=0,"",SUMPRODUCT((보유분석!$C$2:$C$801=$D35&amp;"")*(보유분석!$Q$2:$Q$801=1)*($D35&lt;&gt;"")*보유분석!$AV$2:$AV$801)/(E35*1000000))</f>
        <v/>
      </c>
      <c r="K35" s="9" t="n">
        <f aca="false">SUMPRODUCT((보유분석!$C$2:$C$801=$D35&amp;"")*(보유분석!$Q$2:$Q$801=1)*($D35&lt;&gt;"")/(COUNTIFS(보유분석!$C$2:$C$801,보유분석!$C$2:$C$801,보유분석!$B$2:$B$801,보유분석!$B$2:$B$801,보유분석!$Q$2:$Q$801,1)+(보유분석!$Q$2:$Q$801&lt;&gt;1)))</f>
        <v>0</v>
      </c>
      <c r="L35" s="2"/>
    </row>
    <row r="36" customFormat="false" ht="15" hidden="false" customHeight="false" outlineLevel="0" collapsed="false">
      <c r="A36" s="2"/>
      <c r="B36" s="2"/>
      <c r="C36" s="2"/>
      <c r="D36" s="41"/>
      <c r="E36" s="35" t="n">
        <f aca="false">SUMPRODUCT((보유분석!$C$2:$C$801=$D36&amp;"")*(보유분석!$Q$2:$Q$801=1)*($D36&lt;&gt;"")*보유분석!$AA$2:$AA$801)</f>
        <v>0</v>
      </c>
      <c r="F36" s="36" t="str">
        <f aca="false">IF(SUMPRODUCT((보유분석!$C$2:$C$801=$D36&amp;"")*(보유분석!$Q$2:$Q$801=1)*($D36&lt;&gt;"")*보유분석!$BB$2:$BB$801)=0,"",SUMPRODUCT((보유분석!$C$2:$C$801=$D36&amp;"")*(보유분석!$Q$2:$Q$801=1)*($D36&lt;&gt;"")*보유분석!$BA$2:$BA$801)/SUMPRODUCT((보유분석!$C$2:$C$801=$D36&amp;"")*(보유분석!$Q$2:$Q$801=1)*($D36&lt;&gt;"")*보유분석!$BB$2:$BB$801))</f>
        <v/>
      </c>
      <c r="G36" s="37" t="str">
        <f aca="false">IF(SUMPRODUCT((보유분석!$C$2:$C$801=$D36&amp;"")*(보유분석!$Q$2:$Q$801=1)*($D36&lt;&gt;"")*보유분석!$BD$2:$BD$801)=0,"",SUMPRODUCT((보유분석!$C$2:$C$801=$D36&amp;"")*(보유분석!$Q$2:$Q$801=1)*($D36&lt;&gt;"")*보유분석!$BC$2:$BC$801)/SUMPRODUCT((보유분석!$C$2:$C$801=$D36&amp;"")*(보유분석!$Q$2:$Q$801=1)*($D36&lt;&gt;"")*보유분석!$BD$2:$BD$801))</f>
        <v/>
      </c>
      <c r="H36" s="38" t="str">
        <f aca="false">IF(SUMPRODUCT((보유분석!$C$2:$C$801=$D36&amp;"")*(보유분석!$Q$2:$Q$801=1)*($D36&lt;&gt;"")*보유분석!$BF$2:$BF$801)=0,"",SUMPRODUCT((보유분석!$C$2:$C$801=$D36&amp;"")*(보유분석!$Q$2:$Q$801=1)*($D36&lt;&gt;"")*보유분석!$BE$2:$BE$801)/SUMPRODUCT((보유분석!$C$2:$C$801=$D36&amp;"")*(보유분석!$Q$2:$Q$801=1)*($D36&lt;&gt;"")*보유분석!$BF$2:$BF$801))</f>
        <v/>
      </c>
      <c r="I36" s="39" t="n">
        <f aca="false">SUMPRODUCT((보유분석!$C$2:$C$801=$D36&amp;"")*(보유분석!$Q$2:$Q$801=1)*($D36&lt;&gt;"")*보유분석!$AM$2:$AM$801)</f>
        <v>0</v>
      </c>
      <c r="J36" s="40" t="str">
        <f aca="false">IF(E36=0,"",SUMPRODUCT((보유분석!$C$2:$C$801=$D36&amp;"")*(보유분석!$Q$2:$Q$801=1)*($D36&lt;&gt;"")*보유분석!$AV$2:$AV$801)/(E36*1000000))</f>
        <v/>
      </c>
      <c r="K36" s="9" t="n">
        <f aca="false">SUMPRODUCT((보유분석!$C$2:$C$801=$D36&amp;"")*(보유분석!$Q$2:$Q$801=1)*($D36&lt;&gt;"")/(COUNTIFS(보유분석!$C$2:$C$801,보유분석!$C$2:$C$801,보유분석!$B$2:$B$801,보유분석!$B$2:$B$801,보유분석!$Q$2:$Q$801,1)+(보유분석!$Q$2:$Q$801&lt;&gt;1)))</f>
        <v>0</v>
      </c>
      <c r="L36" s="2"/>
    </row>
  </sheetData>
  <conditionalFormatting sqref="L6:L12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4" min="13" style="0" width="9"/>
    <col collapsed="false" customWidth="true" hidden="false" outlineLevel="0" max="16" min="15" style="0" width="11"/>
    <col collapsed="false" customWidth="true" hidden="false" outlineLevel="0" max="17" min="17" style="0" width="13"/>
    <col collapsed="false" customWidth="true" hidden="false" outlineLevel="0" max="18" min="18" style="0" width="9"/>
    <col collapsed="false" customWidth="true" hidden="false" outlineLevel="0" max="19" min="19" style="0" width="12"/>
    <col collapsed="false" customWidth="true" hidden="false" outlineLevel="0" max="20" min="20" style="0" width="10"/>
  </cols>
  <sheetData>
    <row r="1" customFormat="false" ht="21.6" hidden="false" customHeight="false" outlineLevel="0" collapsed="false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4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7.15" hidden="false" customHeight="false" outlineLevel="0" collapsed="false">
      <c r="A4" s="24" t="s">
        <v>50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41" hidden="false" customHeight="false" outlineLevel="0" collapsed="false">
      <c r="A5" s="5" t="s">
        <v>51</v>
      </c>
      <c r="B5" s="5" t="s">
        <v>40</v>
      </c>
      <c r="C5" s="5" t="s">
        <v>52</v>
      </c>
      <c r="D5" s="25" t="s">
        <v>24</v>
      </c>
      <c r="E5" s="25" t="s">
        <v>53</v>
      </c>
      <c r="F5" s="5" t="s">
        <v>41</v>
      </c>
      <c r="G5" s="5" t="s">
        <v>54</v>
      </c>
      <c r="H5" s="5" t="s">
        <v>55</v>
      </c>
      <c r="I5" s="5" t="s">
        <v>43</v>
      </c>
      <c r="J5" s="5" t="s">
        <v>56</v>
      </c>
      <c r="K5" s="25" t="s">
        <v>44</v>
      </c>
      <c r="L5" s="5" t="s">
        <v>57</v>
      </c>
      <c r="M5" s="25" t="s">
        <v>58</v>
      </c>
      <c r="N5" s="25" t="s">
        <v>59</v>
      </c>
      <c r="O5" s="5" t="s">
        <v>60</v>
      </c>
      <c r="P5" s="5" t="s">
        <v>61</v>
      </c>
      <c r="Q5" s="5" t="s">
        <v>62</v>
      </c>
      <c r="R5" s="5" t="s">
        <v>63</v>
      </c>
      <c r="S5" s="5" t="s">
        <v>64</v>
      </c>
      <c r="T5" s="25" t="s">
        <v>65</v>
      </c>
    </row>
    <row r="6" customFormat="false" ht="15" hidden="false" customHeight="false" outlineLevel="0" collapsed="false">
      <c r="A6" s="43" t="s">
        <v>66</v>
      </c>
      <c r="B6" s="35" t="n">
        <f aca="false">SUMIFS(보유분석!$AA$2:$AA$801,보유분석!$V$2:$V$801,$A6,보유분석!$AC$2:$AC$801,1)</f>
        <v>79.0514137</v>
      </c>
      <c r="C6" s="44" t="n">
        <f aca="false">IF(SUMIFS(보유분석!$AA$2:$AA$801,보유분석!$AC$2:$AC$801,1)=0,0,B6/SUMIFS(보유분석!$AA$2:$AA$801,보유분석!$AC$2:$AC$801,1))</f>
        <v>0.0560887536828227</v>
      </c>
      <c r="D6" s="39" t="n">
        <f aca="false">SUMIFS(보유분석!$AM$2:$AM$801,보유분석!$V$2:$V$801,$A6,보유분석!$AC$2:$AC$801,1)</f>
        <v>1280.38655552</v>
      </c>
      <c r="E6" s="44" t="n">
        <f aca="false">IF(SUMIFS(보유분석!$AM$2:$AM$801,보유분석!$AC$2:$AC$801,1)=0,0,D6/SUMIFS(보유분석!$AM$2:$AM$801,보유분석!$AC$2:$AC$801,1))</f>
        <v>0.00337634045445286</v>
      </c>
      <c r="F6" s="36" t="n">
        <f aca="false">IF(SUMIFS(보유분석!$BB$2:$BB$801,보유분석!$V$2:$V$801,$A6,보유분석!$AC$2:$AC$801,1)=0,"",SUMIFS(보유분석!$BA$2:$BA$801,보유분석!$V$2:$V$801,$A6,보유분석!$AC$2:$AC$801,1)/SUMIFS(보유분석!$BB$2:$BB$801,보유분석!$V$2:$V$801,$A6,보유분석!$AC$2:$AC$801,1))</f>
        <v>5.21437932810884</v>
      </c>
      <c r="G6" s="45" t="n">
        <f aca="false">IF(F6="","",(F6-(SUMIFS(보유분석!$BA$2:$BA$801,보유분석!$AC$2:$AC$801,1)/SUMIFS(보유분석!$BB$2:$BB$801,보유분석!$AC$2:$AC$801,1)))*100)</f>
        <v>-44.5656496824756</v>
      </c>
      <c r="H6" s="37" t="n">
        <f aca="false">IF(SUMIFS(보유분석!$BD$2:$BD$801,보유분석!$V$2:$V$801,$A6,보유분석!$AC$2:$AC$801,1)=0,"",SUMIFS(보유분석!$BC$2:$BC$801,보유분석!$V$2:$V$801,$A6,보유분석!$AC$2:$AC$801,1)/SUMIFS(보유분석!$BD$2:$BD$801,보유분석!$V$2:$V$801,$A6,보유분석!$AC$2:$AC$801,1))</f>
        <v>-4.59976517454812</v>
      </c>
      <c r="I6" s="38" t="n">
        <f aca="false">IF(SUMIFS(보유분석!$BF$2:$BF$801,보유분석!$V$2:$V$801,$A6,보유분석!$AC$2:$AC$801,1)=0,"",SUMIFS(보유분석!$BE$2:$BE$801,보유분석!$V$2:$V$801,$A6,보유분석!$AC$2:$AC$801,1)/SUMIFS(보유분석!$BF$2:$BF$801,보유분석!$V$2:$V$801,$A6,보유분석!$AC$2:$AC$801,1))</f>
        <v>0.161968837189815</v>
      </c>
      <c r="J6" s="37" t="n">
        <f aca="false">IF(SUMIFS(보유분석!$BG$2:$BG$801,보유분석!$V$2:$V$801,$A6,보유분석!$AC$2:$AC$801,1)=0,"",(SUMIFS(보유분석!$BC$2:$BC$801,보유분석!$V$2:$V$801,$A6,보유분석!$AC$2:$AC$801,1)+SUMIFS(보유분석!$BH$2:$BH$801,보유분석!$V$2:$V$801,$A6,보유분석!$AC$2:$AC$801,1))/SUMIFS(보유분석!$BG$2:$BG$801,보유분석!$V$2:$V$801,$A6,보유분석!$AC$2:$AC$801,1))</f>
        <v>-24.8656996297411</v>
      </c>
      <c r="K6" s="40" t="n">
        <f aca="false">IF(B6=0,"",SUMIFS(보유분석!$AV$2:$AV$801,보유분석!$V$2:$V$801,$A6,보유분석!$AC$2:$AC$801,1)/(B6*1000000))</f>
        <v>0.0521437932810884</v>
      </c>
      <c r="L6" s="46" t="n">
        <f aca="false">SUMIFS(보유분석!$AP$2:$AP$801,보유분석!$V$2:$V$801,$A6,보유분석!$AC$2:$AC$801,1)</f>
        <v>-915055.96</v>
      </c>
      <c r="M6" s="9" t="n">
        <f aca="false">COUNTIFS(보유분석!$V$2:$V$801,$A6,보유분석!$AR$2:$AR$801,"Cheap",보유분석!$AC$2:$AC$801,1)</f>
        <v>0</v>
      </c>
      <c r="N6" s="9" t="n">
        <f aca="false">COUNTIFS(보유분석!$V$2:$V$801,$A6,보유분석!$AR$2:$AR$801,"Rich",보유분석!$AC$2:$AC$801,1)</f>
        <v>1</v>
      </c>
      <c r="O6" s="47"/>
      <c r="P6" s="48" t="str">
        <f aca="false">IF(O6="","",O6-C6)</f>
        <v/>
      </c>
      <c r="Q6" s="46" t="n">
        <f aca="false">-SUMIFS(보유분석!$AZ$2:$AZ$801,보유분석!$V$2:$V$801,$A6,보유분석!$AC$2:$AC$801,1)*설정!$C$10</f>
        <v>-22052.0829889768</v>
      </c>
      <c r="R6" s="44" t="n">
        <f aca="false">IF((-SUMIFS(보유분석!$AZ$2:$AZ$801,보유분석!$AC$2:$AC$801,1)*설정!$C$10)=0,0,Q6/(-SUMIFS(보유분석!$AZ$2:$AZ$801,보유분석!$AC$2:$AC$801,1)*설정!$C$10))</f>
        <v>0.00216684956400945</v>
      </c>
      <c r="S6" s="45" t="n">
        <f aca="false">IF(SUMIFS(보유분석!$BG$2:$BG$801,보유분석!$V$2:$V$801,$A6,보유분석!$AC$2:$AC$801,1)=0,"",SUMIFS(보유분석!$BH$2:$BH$801,보유분석!$V$2:$V$801,$A6,보유분석!$AC$2:$AC$801,1)/SUMIFS(보유분석!$BG$2:$BG$801,보유분석!$V$2:$V$801,$A6,보유분석!$AC$2:$AC$801,1))</f>
        <v>0</v>
      </c>
      <c r="T6" s="49" t="n">
        <f aca="false">IF(SUMIFS(보유분석!$BI$2:$BI$801,보유분석!$V$2:$V$801,$A6,보유분석!$AC$2:$AC$801,1)=0,"",SUMIFS(보유분석!$BD$2:$BD$801,보유분석!$V$2:$V$801,$A6,보유분석!$AC$2:$AC$801,1)/SUMIFS(보유분석!$BI$2:$BI$801,보유분석!$V$2:$V$801,$A6,보유분석!$AC$2:$AC$801,1))</f>
        <v>0.872831496244323</v>
      </c>
    </row>
    <row r="7" customFormat="false" ht="15" hidden="false" customHeight="false" outlineLevel="0" collapsed="false">
      <c r="A7" s="43" t="s">
        <v>67</v>
      </c>
      <c r="B7" s="35" t="n">
        <f aca="false">SUMIFS(보유분석!$AA$2:$AA$801,보유분석!$V$2:$V$801,$A7,보유분석!$AC$2:$AC$801,1)</f>
        <v>139.69333969</v>
      </c>
      <c r="C7" s="44" t="n">
        <f aca="false">IF(SUMIFS(보유분석!$AA$2:$AA$801,보유분석!$AC$2:$AC$801,1)=0,0,B7/SUMIFS(보유분석!$AA$2:$AA$801,보유분석!$AC$2:$AC$801,1))</f>
        <v>0.099115562319201</v>
      </c>
      <c r="D7" s="39" t="n">
        <f aca="false">SUMIFS(보유분석!$AM$2:$AM$801,보유분석!$V$2:$V$801,$A7,보유분석!$AC$2:$AC$801,1)</f>
        <v>20773.2243861749</v>
      </c>
      <c r="E7" s="44" t="n">
        <f aca="false">IF(SUMIFS(보유분석!$AM$2:$AM$801,보유분석!$AC$2:$AC$801,1)=0,0,D7/SUMIFS(보유분석!$AM$2:$AM$801,보유분석!$AC$2:$AC$801,1))</f>
        <v>0.0547783617081048</v>
      </c>
      <c r="F7" s="36" t="n">
        <f aca="false">IF(SUMIFS(보유분석!$BB$2:$BB$801,보유분석!$V$2:$V$801,$A7,보유분석!$AC$2:$AC$801,1)=0,"",SUMIFS(보유분석!$BA$2:$BA$801,보유분석!$V$2:$V$801,$A7,보유분석!$AC$2:$AC$801,1)/SUMIFS(보유분석!$BB$2:$BB$801,보유분석!$V$2:$V$801,$A7,보유분석!$AC$2:$AC$801,1))</f>
        <v>5.47873947178763</v>
      </c>
      <c r="G7" s="45" t="n">
        <f aca="false">IF(F7="","",(F7-(SUMIFS(보유분석!$BA$2:$BA$801,보유분석!$AC$2:$AC$801,1)/SUMIFS(보유분석!$BB$2:$BB$801,보유분석!$AC$2:$AC$801,1)))*100)</f>
        <v>-18.1296353145971</v>
      </c>
      <c r="H7" s="37" t="n">
        <f aca="false">IF(SUMIFS(보유분석!$BD$2:$BD$801,보유분석!$V$2:$V$801,$A7,보유분석!$AC$2:$AC$801,1)=0,"",SUMIFS(보유분석!$BC$2:$BC$801,보유분석!$V$2:$V$801,$A7,보유분석!$AC$2:$AC$801,1)/SUMIFS(보유분석!$BD$2:$BD$801,보유분석!$V$2:$V$801,$A7,보유분석!$AC$2:$AC$801,1))</f>
        <v>59.9644494519973</v>
      </c>
      <c r="I7" s="38" t="n">
        <f aca="false">IF(SUMIFS(보유분석!$BF$2:$BF$801,보유분석!$V$2:$V$801,$A7,보유분석!$AC$2:$AC$801,1)=0,"",SUMIFS(보유분석!$BE$2:$BE$801,보유분석!$V$2:$V$801,$A7,보유분석!$AC$2:$AC$801,1)/SUMIFS(보유분석!$BF$2:$BF$801,보유분석!$V$2:$V$801,$A7,보유분석!$AC$2:$AC$801,1))</f>
        <v>1.48705904177491</v>
      </c>
      <c r="J7" s="37" t="n">
        <f aca="false">IF(SUMIFS(보유분석!$BG$2:$BG$801,보유분석!$V$2:$V$801,$A7,보유분석!$AC$2:$AC$801,1)=0,"",(SUMIFS(보유분석!$BC$2:$BC$801,보유분석!$V$2:$V$801,$A7,보유분석!$AC$2:$AC$801,1)+SUMIFS(보유분석!$BH$2:$BH$801,보유분석!$V$2:$V$801,$A7,보유분석!$AC$2:$AC$801,1))/SUMIFS(보유분석!$BG$2:$BG$801,보유분석!$V$2:$V$801,$A7,보유분석!$AC$2:$AC$801,1))</f>
        <v>44.6334982128527</v>
      </c>
      <c r="K7" s="40" t="n">
        <f aca="false">IF(B7=0,"",SUMIFS(보유분석!$AV$2:$AV$801,보유분석!$V$2:$V$801,$A7,보유분석!$AC$2:$AC$801,1)/(B7*1000000))</f>
        <v>0.0554255654323368</v>
      </c>
      <c r="L7" s="46" t="n">
        <f aca="false">SUMIFS(보유분석!$AP$2:$AP$801,보유분석!$V$2:$V$801,$A7,보유분석!$AC$2:$AC$801,1)</f>
        <v>-2715439.15</v>
      </c>
      <c r="M7" s="9" t="n">
        <f aca="false">COUNTIFS(보유분석!$V$2:$V$801,$A7,보유분석!$AR$2:$AR$801,"Cheap",보유분석!$AC$2:$AC$801,1)</f>
        <v>1</v>
      </c>
      <c r="N7" s="9" t="n">
        <f aca="false">COUNTIFS(보유분석!$V$2:$V$801,$A7,보유분석!$AR$2:$AR$801,"Rich",보유분석!$AC$2:$AC$801,1)</f>
        <v>0</v>
      </c>
      <c r="O7" s="47"/>
      <c r="P7" s="48" t="str">
        <f aca="false">IF(O7="","",O7-C7)</f>
        <v/>
      </c>
      <c r="Q7" s="46" t="n">
        <f aca="false">-SUMIFS(보유분석!$AZ$2:$AZ$801,보유분석!$V$2:$V$801,$A7,보유분석!$AC$2:$AC$801,1)*설정!$C$10</f>
        <v>-477954.298918856</v>
      </c>
      <c r="R7" s="44" t="n">
        <f aca="false">IF((-SUMIFS(보유분석!$AZ$2:$AZ$801,보유분석!$AC$2:$AC$801,1)*설정!$C$10)=0,0,Q7/(-SUMIFS(보유분석!$AZ$2:$AZ$801,보유분석!$AC$2:$AC$801,1)*설정!$C$10))</f>
        <v>0.0469640471036889</v>
      </c>
      <c r="S7" s="45" t="n">
        <f aca="false">IF(SUMIFS(보유분석!$BG$2:$BG$801,보유분석!$V$2:$V$801,$A7,보유분석!$AC$2:$AC$801,1)=0,"",SUMIFS(보유분석!$BH$2:$BH$801,보유분석!$V$2:$V$801,$A7,보유분석!$AC$2:$AC$801,1)/SUMIFS(보유분석!$BG$2:$BG$801,보유분석!$V$2:$V$801,$A7,보유분석!$AC$2:$AC$801,1))</f>
        <v>4.32069789357059</v>
      </c>
      <c r="T7" s="49" t="n">
        <f aca="false">IF(SUMIFS(보유분석!$BI$2:$BI$801,보유분석!$V$2:$V$801,$A7,보유분석!$AC$2:$AC$801,1)=0,"",SUMIFS(보유분석!$BD$2:$BD$801,보유분석!$V$2:$V$801,$A7,보유분석!$AC$2:$AC$801,1)/SUMIFS(보유분석!$BI$2:$BI$801,보유분석!$V$2:$V$801,$A7,보유분석!$AC$2:$AC$801,1))</f>
        <v>1</v>
      </c>
    </row>
    <row r="8" customFormat="false" ht="15" hidden="false" customHeight="false" outlineLevel="0" collapsed="false">
      <c r="A8" s="43" t="s">
        <v>68</v>
      </c>
      <c r="B8" s="35" t="n">
        <f aca="false">SUMIFS(보유분석!$AA$2:$AA$801,보유분석!$V$2:$V$801,$A8,보유분석!$AC$2:$AC$801,1)</f>
        <v>508.3899103</v>
      </c>
      <c r="C8" s="44" t="n">
        <f aca="false">IF(SUMIFS(보유분석!$AA$2:$AA$801,보유분석!$AC$2:$AC$801,1)=0,0,B8/SUMIFS(보유분석!$AA$2:$AA$801,보유분석!$AC$2:$AC$801,1))</f>
        <v>0.360714060875157</v>
      </c>
      <c r="D8" s="39" t="n">
        <f aca="false">SUMIFS(보유분석!$AM$2:$AM$801,보유분석!$V$2:$V$801,$A8,보유분석!$AC$2:$AC$801,1)</f>
        <v>110319.631896245</v>
      </c>
      <c r="E8" s="44" t="n">
        <f aca="false">IF(SUMIFS(보유분석!$AM$2:$AM$801,보유분석!$AC$2:$AC$801,1)=0,0,D8/SUMIFS(보유분석!$AM$2:$AM$801,보유분석!$AC$2:$AC$801,1))</f>
        <v>0.290909518290253</v>
      </c>
      <c r="F8" s="36" t="n">
        <f aca="false">IF(SUMIFS(보유분석!$BB$2:$BB$801,보유분석!$V$2:$V$801,$A8,보유분석!$AC$2:$AC$801,1)=0,"",SUMIFS(보유분석!$BA$2:$BA$801,보유분석!$V$2:$V$801,$A8,보유분석!$AC$2:$AC$801,1)/SUMIFS(보유분석!$BB$2:$BB$801,보유분석!$V$2:$V$801,$A8,보유분석!$AC$2:$AC$801,1))</f>
        <v>5.59843549011606</v>
      </c>
      <c r="G8" s="45" t="n">
        <f aca="false">IF(F8="","",(F8-(SUMIFS(보유분석!$BA$2:$BA$801,보유분석!$AC$2:$AC$801,1)/SUMIFS(보유분석!$BB$2:$BB$801,보유분석!$AC$2:$AC$801,1)))*100)</f>
        <v>-6.16003348175367</v>
      </c>
      <c r="H8" s="37" t="n">
        <f aca="false">IF(SUMIFS(보유분석!$BD$2:$BD$801,보유분석!$V$2:$V$801,$A8,보유분석!$AC$2:$AC$801,1)=0,"",SUMIFS(보유분석!$BC$2:$BC$801,보유분석!$V$2:$V$801,$A8,보유분석!$AC$2:$AC$801,1)/SUMIFS(보유분석!$BD$2:$BD$801,보유분석!$V$2:$V$801,$A8,보유분석!$AC$2:$AC$801,1))</f>
        <v>64.7950045534586</v>
      </c>
      <c r="I8" s="38" t="n">
        <f aca="false">IF(SUMIFS(보유분석!$BF$2:$BF$801,보유분석!$V$2:$V$801,$A8,보유분석!$AC$2:$AC$801,1)=0,"",SUMIFS(보유분석!$BE$2:$BE$801,보유분석!$V$2:$V$801,$A8,보유분석!$AC$2:$AC$801,1)/SUMIFS(보유분석!$BF$2:$BF$801,보유분석!$V$2:$V$801,$A8,보유분석!$AC$2:$AC$801,1))</f>
        <v>2.16998075023058</v>
      </c>
      <c r="J8" s="37" t="n">
        <f aca="false">IF(SUMIFS(보유분석!$BG$2:$BG$801,보유분석!$V$2:$V$801,$A8,보유분석!$AC$2:$AC$801,1)=0,"",(SUMIFS(보유분석!$BC$2:$BC$801,보유분석!$V$2:$V$801,$A8,보유분석!$AC$2:$AC$801,1)+SUMIFS(보유분석!$BH$2:$BH$801,보유분석!$V$2:$V$801,$A8,보유분석!$AC$2:$AC$801,1))/SUMIFS(보유분석!$BG$2:$BG$801,보유분석!$V$2:$V$801,$A8,보유분석!$AC$2:$AC$801,1))</f>
        <v>37.365884915338</v>
      </c>
      <c r="K8" s="40" t="n">
        <f aca="false">IF(B8=0,"",SUMIFS(보유분석!$AV$2:$AV$801,보유분석!$V$2:$V$801,$A8,보유분석!$AC$2:$AC$801,1)/(B8*1000000))</f>
        <v>0.0576049863315396</v>
      </c>
      <c r="L8" s="46" t="n">
        <f aca="false">SUMIFS(보유분석!$AP$2:$AP$801,보유분석!$V$2:$V$801,$A8,보유분석!$AC$2:$AC$801,1)</f>
        <v>-13660126.3</v>
      </c>
      <c r="M8" s="9" t="n">
        <f aca="false">COUNTIFS(보유분석!$V$2:$V$801,$A8,보유분석!$AR$2:$AR$801,"Cheap",보유분석!$AC$2:$AC$801,1)</f>
        <v>6</v>
      </c>
      <c r="N8" s="9" t="n">
        <f aca="false">COUNTIFS(보유분석!$V$2:$V$801,$A8,보유분석!$AR$2:$AR$801,"Rich",보유분석!$AC$2:$AC$801,1)</f>
        <v>0</v>
      </c>
      <c r="O8" s="47"/>
      <c r="P8" s="48" t="str">
        <f aca="false">IF(O8="","",O8-C8)</f>
        <v/>
      </c>
      <c r="Q8" s="46" t="n">
        <f aca="false">-SUMIFS(보유분석!$AZ$2:$AZ$801,보유분석!$V$2:$V$801,$A8,보유분석!$AC$2:$AC$801,1)*설정!$C$10</f>
        <v>-2714804.50016785</v>
      </c>
      <c r="R8" s="44" t="n">
        <f aca="false">IF((-SUMIFS(보유분석!$AZ$2:$AZ$801,보유분석!$AC$2:$AC$801,1)*설정!$C$10)=0,0,Q8/(-SUMIFS(보유분석!$AZ$2:$AZ$801,보유분석!$AC$2:$AC$801,1)*설정!$C$10))</f>
        <v>0.266758153889595</v>
      </c>
      <c r="S8" s="45" t="n">
        <f aca="false">IF(SUMIFS(보유분석!$BG$2:$BG$801,보유분석!$V$2:$V$801,$A8,보유분석!$AC$2:$AC$801,1)=0,"",SUMIFS(보유분석!$BH$2:$BH$801,보유분석!$V$2:$V$801,$A8,보유분석!$AC$2:$AC$801,1)/SUMIFS(보유분석!$BG$2:$BG$801,보유분석!$V$2:$V$801,$A8,보유분석!$AC$2:$AC$801,1))</f>
        <v>7.48998974303413</v>
      </c>
      <c r="T8" s="49" t="n">
        <f aca="false">IF(SUMIFS(보유분석!$BI$2:$BI$801,보유분석!$V$2:$V$801,$A8,보유분석!$AC$2:$AC$801,1)=0,"",SUMIFS(보유분석!$BD$2:$BD$801,보유분석!$V$2:$V$801,$A8,보유분석!$AC$2:$AC$801,1)/SUMIFS(보유분석!$BI$2:$BI$801,보유분석!$V$2:$V$801,$A8,보유분석!$AC$2:$AC$801,1))</f>
        <v>0.997659716339968</v>
      </c>
    </row>
    <row r="9" customFormat="false" ht="15" hidden="false" customHeight="false" outlineLevel="0" collapsed="false">
      <c r="A9" s="43" t="s">
        <v>69</v>
      </c>
      <c r="B9" s="35" t="n">
        <f aca="false">SUMIFS(보유분석!$AA$2:$AA$801,보유분석!$V$2:$V$801,$A9,보유분석!$AC$2:$AC$801,1)</f>
        <v>308.2885666</v>
      </c>
      <c r="C9" s="44" t="n">
        <f aca="false">IF(SUMIFS(보유분석!$AA$2:$AA$801,보유분석!$AC$2:$AC$801,1)=0,0,B9/SUMIFS(보유분석!$AA$2:$AA$801,보유분석!$AC$2:$AC$801,1))</f>
        <v>0.218737662818772</v>
      </c>
      <c r="D9" s="39" t="n">
        <f aca="false">SUMIFS(보유분석!$AM$2:$AM$801,보유분석!$V$2:$V$801,$A9,보유분석!$AC$2:$AC$801,1)</f>
        <v>86820.390304389</v>
      </c>
      <c r="E9" s="44" t="n">
        <f aca="false">IF(SUMIFS(보유분석!$AM$2:$AM$801,보유분석!$AC$2:$AC$801,1)=0,0,D9/SUMIFS(보유분석!$AM$2:$AM$801,보유분석!$AC$2:$AC$801,1))</f>
        <v>0.228942732015055</v>
      </c>
      <c r="F9" s="36" t="n">
        <f aca="false">IF(SUMIFS(보유분석!$BB$2:$BB$801,보유분석!$V$2:$V$801,$A9,보유분석!$AC$2:$AC$801,1)=0,"",SUMIFS(보유분석!$BA$2:$BA$801,보유분석!$V$2:$V$801,$A9,보유분석!$AC$2:$AC$801,1)/SUMIFS(보유분석!$BB$2:$BB$801,보유분석!$V$2:$V$801,$A9,보유분석!$AC$2:$AC$801,1))</f>
        <v>5.73086975144293</v>
      </c>
      <c r="G9" s="45" t="n">
        <f aca="false">IF(F9="","",(F9-(SUMIFS(보유분석!$BA$2:$BA$801,보유분석!$AC$2:$AC$801,1)/SUMIFS(보유분석!$BB$2:$BB$801,보유분석!$AC$2:$AC$801,1)))*100)</f>
        <v>7.08339265093354</v>
      </c>
      <c r="H9" s="37" t="n">
        <f aca="false">IF(SUMIFS(보유분석!$BD$2:$BD$801,보유분석!$V$2:$V$801,$A9,보유분석!$AC$2:$AC$801,1)=0,"",SUMIFS(보유분석!$BC$2:$BC$801,보유분석!$V$2:$V$801,$A9,보유분석!$AC$2:$AC$801,1)/SUMIFS(보유분석!$BD$2:$BD$801,보유분석!$V$2:$V$801,$A9,보유분석!$AC$2:$AC$801,1))</f>
        <v>67.6972954664489</v>
      </c>
      <c r="I9" s="38" t="n">
        <f aca="false">IF(SUMIFS(보유분석!$BF$2:$BF$801,보유분석!$V$2:$V$801,$A9,보유분석!$AC$2:$AC$801,1)=0,"",SUMIFS(보유분석!$BE$2:$BE$801,보유분석!$V$2:$V$801,$A9,보유분석!$AC$2:$AC$801,1)/SUMIFS(보유분석!$BF$2:$BF$801,보유분석!$V$2:$V$801,$A9,보유분석!$AC$2:$AC$801,1))</f>
        <v>2.81620532548121</v>
      </c>
      <c r="J9" s="37" t="n">
        <f aca="false">IF(SUMIFS(보유분석!$BG$2:$BG$801,보유분석!$V$2:$V$801,$A9,보유분석!$AC$2:$AC$801,1)=0,"",(SUMIFS(보유분석!$BC$2:$BC$801,보유분석!$V$2:$V$801,$A9,보유분석!$AC$2:$AC$801,1)+SUMIFS(보유분석!$BH$2:$BH$801,보유분석!$V$2:$V$801,$A9,보유분석!$AC$2:$AC$801,1))/SUMIFS(보유분석!$BG$2:$BG$801,보유분석!$V$2:$V$801,$A9,보유분석!$AC$2:$AC$801,1))</f>
        <v>31.9998917770827</v>
      </c>
      <c r="K9" s="40" t="n">
        <f aca="false">IF(B9=0,"",SUMIFS(보유분석!$AV$2:$AV$801,보유분석!$V$2:$V$801,$A9,보유분석!$AC$2:$AC$801,1)/(B9*1000000))</f>
        <v>0.0595507945315287</v>
      </c>
      <c r="L9" s="46" t="n">
        <f aca="false">SUMIFS(보유분석!$AP$2:$AP$801,보유분석!$V$2:$V$801,$A9,보유분석!$AC$2:$AC$801,1)</f>
        <v>-11690079.63</v>
      </c>
      <c r="M9" s="9" t="n">
        <f aca="false">COUNTIFS(보유분석!$V$2:$V$801,$A9,보유분석!$AR$2:$AR$801,"Cheap",보유분석!$AC$2:$AC$801,1)</f>
        <v>4</v>
      </c>
      <c r="N9" s="9" t="n">
        <f aca="false">COUNTIFS(보유분석!$V$2:$V$801,$A9,보유분석!$AR$2:$AR$801,"Rich",보유분석!$AC$2:$AC$801,1)</f>
        <v>3</v>
      </c>
      <c r="O9" s="47"/>
      <c r="P9" s="48" t="str">
        <f aca="false">IF(O9="","",O9-C9)</f>
        <v/>
      </c>
      <c r="Q9" s="46" t="n">
        <f aca="false">-SUMIFS(보유분석!$AZ$2:$AZ$801,보유분석!$V$2:$V$801,$A9,보유분석!$AC$2:$AC$801,1)*설정!$C$10</f>
        <v>-2257499.49246837</v>
      </c>
      <c r="R9" s="44" t="n">
        <f aca="false">IF((-SUMIFS(보유분석!$AZ$2:$AZ$801,보유분석!$AC$2:$AC$801,1)*설정!$C$10)=0,0,Q9/(-SUMIFS(보유분석!$AZ$2:$AZ$801,보유분석!$AC$2:$AC$801,1)*설정!$C$10))</f>
        <v>0.221823117274311</v>
      </c>
      <c r="S9" s="45" t="n">
        <f aca="false">IF(SUMIFS(보유분석!$BG$2:$BG$801,보유분석!$V$2:$V$801,$A9,보유분석!$AC$2:$AC$801,1)=0,"",SUMIFS(보유분석!$BH$2:$BH$801,보유분석!$V$2:$V$801,$A9,보유분석!$AC$2:$AC$801,1)/SUMIFS(보유분석!$BG$2:$BG$801,보유분석!$V$2:$V$801,$A9,보유분석!$AC$2:$AC$801,1))</f>
        <v>7.96141175081498</v>
      </c>
      <c r="T9" s="49" t="n">
        <f aca="false">IF(SUMIFS(보유분석!$BI$2:$BI$801,보유분석!$V$2:$V$801,$A9,보유분석!$AC$2:$AC$801,1)=0,"",SUMIFS(보유분석!$BD$2:$BD$801,보유분석!$V$2:$V$801,$A9,보유분석!$AC$2:$AC$801,1)/SUMIFS(보유분석!$BI$2:$BI$801,보유분석!$V$2:$V$801,$A9,보유분석!$AC$2:$AC$801,1))</f>
        <v>1</v>
      </c>
    </row>
    <row r="10" customFormat="false" ht="15" hidden="false" customHeight="false" outlineLevel="0" collapsed="false">
      <c r="A10" s="43" t="s">
        <v>70</v>
      </c>
      <c r="B10" s="35" t="n">
        <f aca="false">SUMIFS(보유분석!$AA$2:$AA$801,보유분석!$V$2:$V$801,$A10,보유분석!$AC$2:$AC$801,1)</f>
        <v>196.7325731</v>
      </c>
      <c r="C10" s="44" t="n">
        <f aca="false">IF(SUMIFS(보유분석!$AA$2:$AA$801,보유분석!$AC$2:$AC$801,1)=0,0,B10/SUMIFS(보유분석!$AA$2:$AA$801,보유분석!$AC$2:$AC$801,1))</f>
        <v>0.139586179645941</v>
      </c>
      <c r="D10" s="39" t="n">
        <f aca="false">SUMIFS(보유분석!$AM$2:$AM$801,보유분석!$V$2:$V$801,$A10,보유분석!$AC$2:$AC$801,1)</f>
        <v>72774.589503076</v>
      </c>
      <c r="E10" s="44" t="n">
        <f aca="false">IF(SUMIFS(보유분석!$AM$2:$AM$801,보유분석!$AC$2:$AC$801,1)=0,0,D10/SUMIFS(보유분석!$AM$2:$AM$801,보유분석!$AC$2:$AC$801,1))</f>
        <v>0.191904381951</v>
      </c>
      <c r="F10" s="36" t="n">
        <f aca="false">IF(SUMIFS(보유분석!$BB$2:$BB$801,보유분석!$V$2:$V$801,$A10,보유분석!$AC$2:$AC$801,1)=0,"",SUMIFS(보유분석!$BA$2:$BA$801,보유분석!$V$2:$V$801,$A10,보유분석!$AC$2:$AC$801,1)/SUMIFS(보유분석!$BB$2:$BB$801,보유분석!$V$2:$V$801,$A10,보유분석!$AC$2:$AC$801,1))</f>
        <v>5.83008141260971</v>
      </c>
      <c r="G10" s="45" t="n">
        <f aca="false">IF(F10="","",(F10-(SUMIFS(보유분석!$BA$2:$BA$801,보유분석!$AC$2:$AC$801,1)/SUMIFS(보유분석!$BB$2:$BB$801,보유분석!$AC$2:$AC$801,1)))*100)</f>
        <v>17.0045587676109</v>
      </c>
      <c r="H10" s="37" t="n">
        <f aca="false">IF(SUMIFS(보유분석!$BD$2:$BD$801,보유분석!$V$2:$V$801,$A10,보유분석!$AC$2:$AC$801,1)=0,"",SUMIFS(보유분석!$BC$2:$BC$801,보유분석!$V$2:$V$801,$A10,보유분석!$AC$2:$AC$801,1)/SUMIFS(보유분석!$BD$2:$BD$801,보유분석!$V$2:$V$801,$A10,보유분석!$AC$2:$AC$801,1))</f>
        <v>80.6571122710243</v>
      </c>
      <c r="I10" s="38" t="n">
        <f aca="false">IF(SUMIFS(보유분석!$BF$2:$BF$801,보유분석!$V$2:$V$801,$A10,보유분석!$AC$2:$AC$801,1)=0,"",SUMIFS(보유분석!$BE$2:$BE$801,보유분석!$V$2:$V$801,$A10,보유분석!$AC$2:$AC$801,1)/SUMIFS(보유분석!$BF$2:$BF$801,보유분석!$V$2:$V$801,$A10,보유분석!$AC$2:$AC$801,1))</f>
        <v>3.69916320192104</v>
      </c>
      <c r="J10" s="37" t="n">
        <f aca="false">IF(SUMIFS(보유분석!$BG$2:$BG$801,보유분석!$V$2:$V$801,$A10,보유분석!$AC$2:$AC$801,1)=0,"",(SUMIFS(보유분석!$BC$2:$BC$801,보유분석!$V$2:$V$801,$A10,보유분석!$AC$2:$AC$801,1)+SUMIFS(보유분석!$BH$2:$BH$801,보유분석!$V$2:$V$801,$A10,보유분석!$AC$2:$AC$801,1))/SUMIFS(보유분석!$BG$2:$BG$801,보유분석!$V$2:$V$801,$A10,보유분석!$AC$2:$AC$801,1))</f>
        <v>27.4716635762154</v>
      </c>
      <c r="K10" s="40" t="n">
        <f aca="false">IF(B10=0,"",SUMIFS(보유분석!$AV$2:$AV$801,보유분석!$V$2:$V$801,$A10,보유분석!$AC$2:$AC$801,1)/(B10*1000000))</f>
        <v>0.0603973195986636</v>
      </c>
      <c r="L10" s="46" t="n">
        <f aca="false">SUMIFS(보유분석!$AP$2:$AP$801,보유분석!$V$2:$V$801,$A10,보유분석!$AC$2:$AC$801,1)</f>
        <v>-6935143.93</v>
      </c>
      <c r="M10" s="9" t="n">
        <f aca="false">COUNTIFS(보유분석!$V$2:$V$801,$A10,보유분석!$AR$2:$AR$801,"Cheap",보유분석!$AC$2:$AC$801,1)</f>
        <v>21</v>
      </c>
      <c r="N10" s="9" t="n">
        <f aca="false">COUNTIFS(보유분석!$V$2:$V$801,$A10,보유분석!$AR$2:$AR$801,"Rich",보유분석!$AC$2:$AC$801,1)</f>
        <v>2</v>
      </c>
      <c r="O10" s="47"/>
      <c r="P10" s="48" t="str">
        <f aca="false">IF(O10="","",O10-C10)</f>
        <v/>
      </c>
      <c r="Q10" s="46" t="n">
        <f aca="false">-SUMIFS(보유분석!$AZ$2:$AZ$801,보유분석!$V$2:$V$801,$A10,보유분석!$AC$2:$AC$801,1)*설정!$C$10</f>
        <v>-2232475.99133265</v>
      </c>
      <c r="R10" s="44" t="n">
        <f aca="false">IF((-SUMIFS(보유분석!$AZ$2:$AZ$801,보유분석!$AC$2:$AC$801,1)*설정!$C$10)=0,0,Q10/(-SUMIFS(보유분석!$AZ$2:$AZ$801,보유분석!$AC$2:$AC$801,1)*설정!$C$10))</f>
        <v>0.219364294561144</v>
      </c>
      <c r="S10" s="45" t="n">
        <f aca="false">IF(SUMIFS(보유분석!$BG$2:$BG$801,보유분석!$V$2:$V$801,$A10,보유분석!$AC$2:$AC$801,1)=0,"",SUMIFS(보유분석!$BH$2:$BH$801,보유분석!$V$2:$V$801,$A10,보유분석!$AC$2:$AC$801,1)/SUMIFS(보유분석!$BG$2:$BG$801,보유분석!$V$2:$V$801,$A10,보유분석!$AC$2:$AC$801,1))</f>
        <v>5.66751278093879</v>
      </c>
      <c r="T10" s="49" t="n">
        <f aca="false">IF(SUMIFS(보유분석!$BI$2:$BI$801,보유분석!$V$2:$V$801,$A10,보유분석!$AC$2:$AC$801,1)=0,"",SUMIFS(보유분석!$BD$2:$BD$801,보유분석!$V$2:$V$801,$A10,보유분석!$AC$2:$AC$801,1)/SUMIFS(보유분석!$BI$2:$BI$801,보유분석!$V$2:$V$801,$A10,보유분석!$AC$2:$AC$801,1))</f>
        <v>1</v>
      </c>
    </row>
    <row r="11" customFormat="false" ht="15" hidden="false" customHeight="false" outlineLevel="0" collapsed="false">
      <c r="A11" s="43" t="s">
        <v>71</v>
      </c>
      <c r="B11" s="35" t="n">
        <f aca="false">SUMIFS(보유분석!$AA$2:$AA$801,보유분석!$V$2:$V$801,$A11,보유분석!$AC$2:$AC$801,1)</f>
        <v>132.091647</v>
      </c>
      <c r="C11" s="44" t="n">
        <f aca="false">IF(SUMIFS(보유분석!$AA$2:$AA$801,보유분석!$AC$2:$AC$801,1)=0,0,B11/SUMIFS(보유분석!$AA$2:$AA$801,보유분석!$AC$2:$AC$801,1))</f>
        <v>0.0937219906054807</v>
      </c>
      <c r="D11" s="39" t="n">
        <f aca="false">SUMIFS(보유분석!$AM$2:$AM$801,보유분석!$V$2:$V$801,$A11,보유분석!$AC$2:$AC$801,1)</f>
        <v>53625.84982804</v>
      </c>
      <c r="E11" s="44" t="n">
        <f aca="false">IF(SUMIFS(보유분석!$AM$2:$AM$801,보유분석!$AC$2:$AC$801,1)=0,0,D11/SUMIFS(보유분석!$AM$2:$AM$801,보유분석!$AC$2:$AC$801,1))</f>
        <v>0.141409737081543</v>
      </c>
      <c r="F11" s="36" t="n">
        <f aca="false">IF(SUMIFS(보유분석!$BB$2:$BB$801,보유분석!$V$2:$V$801,$A11,보유분석!$AC$2:$AC$801,1)=0,"",SUMIFS(보유분석!$BA$2:$BA$801,보유분석!$V$2:$V$801,$A11,보유분석!$AC$2:$AC$801,1)/SUMIFS(보유분석!$BB$2:$BB$801,보유분석!$V$2:$V$801,$A11,보유분석!$AC$2:$AC$801,1))</f>
        <v>5.85553828072414</v>
      </c>
      <c r="G11" s="45" t="n">
        <f aca="false">IF(F11="","",(F11-(SUMIFS(보유분석!$BA$2:$BA$801,보유분석!$AC$2:$AC$801,1)/SUMIFS(보유분석!$BB$2:$BB$801,보유분석!$AC$2:$AC$801,1)))*100)</f>
        <v>19.5502455790543</v>
      </c>
      <c r="H11" s="37" t="n">
        <f aca="false">IF(SUMIFS(보유분석!$BD$2:$BD$801,보유분석!$V$2:$V$801,$A11,보유분석!$AC$2:$AC$801,1)=0,"",SUMIFS(보유분석!$BC$2:$BC$801,보유분석!$V$2:$V$801,$A11,보유분석!$AC$2:$AC$801,1)/SUMIFS(보유분석!$BD$2:$BD$801,보유분석!$V$2:$V$801,$A11,보유분석!$AC$2:$AC$801,1))</f>
        <v>83.8157738787214</v>
      </c>
      <c r="I11" s="38" t="n">
        <f aca="false">IF(SUMIFS(보유분석!$BF$2:$BF$801,보유분석!$V$2:$V$801,$A11,보유분석!$AC$2:$AC$801,1)=0,"",SUMIFS(보유분석!$BE$2:$BE$801,보유분석!$V$2:$V$801,$A11,보유분석!$AC$2:$AC$801,1)/SUMIFS(보유분석!$BF$2:$BF$801,보유분석!$V$2:$V$801,$A11,보유분석!$AC$2:$AC$801,1))</f>
        <v>4.05974571791356</v>
      </c>
      <c r="J11" s="37" t="n">
        <f aca="false">IF(SUMIFS(보유분석!$BG$2:$BG$801,보유분석!$V$2:$V$801,$A11,보유분석!$AC$2:$AC$801,1)=0,"",(SUMIFS(보유분석!$BC$2:$BC$801,보유분석!$V$2:$V$801,$A11,보유분석!$AC$2:$AC$801,1)+SUMIFS(보유분석!$BH$2:$BH$801,보유분석!$V$2:$V$801,$A11,보유분석!$AC$2:$AC$801,1))/SUMIFS(보유분석!$BG$2:$BG$801,보유분석!$V$2:$V$801,$A11,보유분석!$AC$2:$AC$801,1))</f>
        <v>25.7637641622495</v>
      </c>
      <c r="K11" s="40" t="n">
        <f aca="false">IF(B11=0,"",SUMIFS(보유분석!$AV$2:$AV$801,보유분석!$V$2:$V$801,$A11,보유분석!$AC$2:$AC$801,1)/(B11*1000000))</f>
        <v>0.0603619742716916</v>
      </c>
      <c r="L11" s="46" t="n">
        <f aca="false">SUMIFS(보유분석!$AP$2:$AP$801,보유분석!$V$2:$V$801,$A11,보유분석!$AC$2:$AC$801,1)</f>
        <v>-5502163.75</v>
      </c>
      <c r="M11" s="9" t="n">
        <f aca="false">COUNTIFS(보유분석!$V$2:$V$801,$A11,보유분석!$AR$2:$AR$801,"Cheap",보유분석!$AC$2:$AC$801,1)</f>
        <v>3</v>
      </c>
      <c r="N11" s="9" t="n">
        <f aca="false">COUNTIFS(보유분석!$V$2:$V$801,$A11,보유분석!$AR$2:$AR$801,"Rich",보유분석!$AC$2:$AC$801,1)</f>
        <v>3</v>
      </c>
      <c r="O11" s="47"/>
      <c r="P11" s="48" t="str">
        <f aca="false">IF(O11="","",O11-C11)</f>
        <v/>
      </c>
      <c r="Q11" s="46" t="n">
        <f aca="false">-SUMIFS(보유분석!$AZ$2:$AZ$801,보유분석!$V$2:$V$801,$A11,보유분석!$AC$2:$AC$801,1)*설정!$C$10</f>
        <v>-1636355.35469301</v>
      </c>
      <c r="R11" s="44" t="n">
        <f aca="false">IF((-SUMIFS(보유분석!$AZ$2:$AZ$801,보유분석!$AC$2:$AC$801,1)*설정!$C$10)=0,0,Q11/(-SUMIFS(보유분석!$AZ$2:$AZ$801,보유분석!$AC$2:$AC$801,1)*설정!$C$10))</f>
        <v>0.160789159402923</v>
      </c>
      <c r="S11" s="45" t="n">
        <f aca="false">IF(SUMIFS(보유분석!$BG$2:$BG$801,보유분석!$V$2:$V$801,$A11,보유분석!$AC$2:$AC$801,1)=0,"",SUMIFS(보유분석!$BH$2:$BH$801,보유분석!$V$2:$V$801,$A11,보유분석!$AC$2:$AC$801,1)/SUMIFS(보유분석!$BG$2:$BG$801,보유분석!$V$2:$V$801,$A11,보유분석!$AC$2:$AC$801,1))</f>
        <v>5.19773896320198</v>
      </c>
      <c r="T11" s="49" t="n">
        <f aca="false">IF(SUMIFS(보유분석!$BI$2:$BI$801,보유분석!$V$2:$V$801,$A11,보유분석!$AC$2:$AC$801,1)=0,"",SUMIFS(보유분석!$BD$2:$BD$801,보유분석!$V$2:$V$801,$A11,보유분석!$AC$2:$AC$801,1)/SUMIFS(보유분석!$BI$2:$BI$801,보유분석!$V$2:$V$801,$A11,보유분석!$AC$2:$AC$801,1))</f>
        <v>0.852844972097289</v>
      </c>
    </row>
    <row r="12" customFormat="false" ht="15" hidden="false" customHeight="false" outlineLevel="0" collapsed="false">
      <c r="A12" s="43" t="s">
        <v>72</v>
      </c>
      <c r="B12" s="35" t="n">
        <f aca="false">SUMIFS(보유분석!$AA$2:$AA$801,보유분석!$V$2:$V$801,$A12,보유분석!$AC$2:$AC$801,1)</f>
        <v>38.766482</v>
      </c>
      <c r="C12" s="44" t="n">
        <f aca="false">IF(SUMIFS(보유분석!$AA$2:$AA$801,보유분석!$AC$2:$AC$801,1)=0,0,B12/SUMIFS(보유분석!$AA$2:$AA$801,보유분석!$AC$2:$AC$801,1))</f>
        <v>0.0275056897565335</v>
      </c>
      <c r="D12" s="39" t="n">
        <f aca="false">SUMIFS(보유분석!$AM$2:$AM$801,보유분석!$V$2:$V$801,$A12,보유분석!$AC$2:$AC$801,1)</f>
        <v>26299.93932927</v>
      </c>
      <c r="E12" s="44" t="n">
        <f aca="false">IF(SUMIFS(보유분석!$AM$2:$AM$801,보유분석!$AC$2:$AC$801,1)=0,0,D12/SUMIFS(보유분석!$AM$2:$AM$801,보유분석!$AC$2:$AC$801,1))</f>
        <v>0.0693521411360079</v>
      </c>
      <c r="F12" s="36" t="n">
        <f aca="false">IF(SUMIFS(보유분석!$BB$2:$BB$801,보유분석!$V$2:$V$801,$A12,보유분석!$AC$2:$AC$801,1)=0,"",SUMIFS(보유분석!$BA$2:$BA$801,보유분석!$V$2:$V$801,$A12,보유분석!$AC$2:$AC$801,1)/SUMIFS(보유분석!$BB$2:$BB$801,보유분석!$V$2:$V$801,$A12,보유분석!$AC$2:$AC$801,1))</f>
        <v>5.86016361476907</v>
      </c>
      <c r="G12" s="45" t="n">
        <f aca="false">IF(F12="","",(F12-(SUMIFS(보유분석!$BA$2:$BA$801,보유분석!$AC$2:$AC$801,1)/SUMIFS(보유분석!$BB$2:$BB$801,보유분석!$AC$2:$AC$801,1)))*100)</f>
        <v>20.012778983547</v>
      </c>
      <c r="H12" s="37" t="n">
        <f aca="false">IF(SUMIFS(보유분석!$BD$2:$BD$801,보유분석!$V$2:$V$801,$A12,보유분석!$AC$2:$AC$801,1)=0,"",SUMIFS(보유분석!$BC$2:$BC$801,보유분석!$V$2:$V$801,$A12,보유분석!$AC$2:$AC$801,1)/SUMIFS(보유분석!$BD$2:$BD$801,보유분석!$V$2:$V$801,$A12,보유분석!$AC$2:$AC$801,1))</f>
        <v>110.387250302341</v>
      </c>
      <c r="I12" s="38" t="n">
        <f aca="false">IF(SUMIFS(보유분석!$BF$2:$BF$801,보유분석!$V$2:$V$801,$A12,보유분석!$AC$2:$AC$801,1)=0,"",SUMIFS(보유분석!$BE$2:$BE$801,보유분석!$V$2:$V$801,$A12,보유분석!$AC$2:$AC$801,1)/SUMIFS(보유분석!$BF$2:$BF$801,보유분석!$V$2:$V$801,$A12,보유분석!$AC$2:$AC$801,1))</f>
        <v>6.78419551438018</v>
      </c>
      <c r="J12" s="37" t="n">
        <f aca="false">IF(SUMIFS(보유분석!$BG$2:$BG$801,보유분석!$V$2:$V$801,$A12,보유분석!$AC$2:$AC$801,1)=0,"",(SUMIFS(보유분석!$BC$2:$BC$801,보유분석!$V$2:$V$801,$A12,보유분석!$AC$2:$AC$801,1)+SUMIFS(보유분석!$BH$2:$BH$801,보유분석!$V$2:$V$801,$A12,보유분석!$AC$2:$AC$801,1))/SUMIFS(보유분석!$BG$2:$BG$801,보유분석!$V$2:$V$801,$A12,보유분석!$AC$2:$AC$801,1))</f>
        <v>20.5010756440191</v>
      </c>
      <c r="K12" s="40" t="n">
        <f aca="false">IF(B12=0,"",SUMIFS(보유분석!$AV$2:$AV$801,보유분석!$V$2:$V$801,$A12,보유분석!$AC$2:$AC$801,1)/(B12*1000000))</f>
        <v>0.0602693299103078</v>
      </c>
      <c r="L12" s="46" t="n">
        <f aca="false">SUMIFS(보유분석!$AP$2:$AP$801,보유분석!$V$2:$V$801,$A12,보유분석!$AC$2:$AC$801,1)</f>
        <v>-2741936.7</v>
      </c>
      <c r="M12" s="9" t="n">
        <f aca="false">COUNTIFS(보유분석!$V$2:$V$801,$A12,보유분석!$AR$2:$AR$801,"Cheap",보유분석!$AC$2:$AC$801,1)</f>
        <v>1</v>
      </c>
      <c r="N12" s="9" t="n">
        <f aca="false">COUNTIFS(보유분석!$V$2:$V$801,$A12,보유분석!$AR$2:$AR$801,"Rich",보유분석!$AC$2:$AC$801,1)</f>
        <v>1</v>
      </c>
      <c r="O12" s="47"/>
      <c r="P12" s="48" t="str">
        <f aca="false">IF(O12="","",O12-C12)</f>
        <v/>
      </c>
      <c r="Q12" s="46" t="n">
        <f aca="false">-SUMIFS(보유분석!$AZ$2:$AZ$801,보유분석!$V$2:$V$801,$A12,보유분석!$AC$2:$AC$801,1)*설정!$C$10</f>
        <v>-641823.153722036</v>
      </c>
      <c r="R12" s="44" t="n">
        <f aca="false">IF((-SUMIFS(보유분석!$AZ$2:$AZ$801,보유분석!$AC$2:$AC$801,1)*설정!$C$10)=0,0,Q12/(-SUMIFS(보유분석!$AZ$2:$AZ$801,보유분석!$AC$2:$AC$801,1)*설정!$C$10))</f>
        <v>0.0630658891275237</v>
      </c>
      <c r="S12" s="45" t="n">
        <f aca="false">IF(SUMIFS(보유분석!$BG$2:$BG$801,보유분석!$V$2:$V$801,$A12,보유분석!$AC$2:$AC$801,1)=0,"",SUMIFS(보유분석!$BH$2:$BH$801,보유분석!$V$2:$V$801,$A12,보유분석!$AC$2:$AC$801,1)/SUMIFS(보유분석!$BG$2:$BG$801,보유분석!$V$2:$V$801,$A12,보유분석!$AC$2:$AC$801,1))</f>
        <v>4.18332742001429</v>
      </c>
      <c r="T12" s="49" t="n">
        <f aca="false">IF(SUMIFS(보유분석!$BI$2:$BI$801,보유분석!$V$2:$V$801,$A12,보유분석!$AC$2:$AC$801,1)=0,"",SUMIFS(보유분석!$BD$2:$BD$801,보유분석!$V$2:$V$801,$A12,보유분석!$AC$2:$AC$801,1)/SUMIFS(보유분석!$BI$2:$BI$801,보유분석!$V$2:$V$801,$A12,보유분석!$AC$2:$AC$801,1))</f>
        <v>1</v>
      </c>
    </row>
    <row r="13" customFormat="false" ht="15" hidden="false" customHeight="false" outlineLevel="0" collapsed="false">
      <c r="A13" s="43" t="s">
        <v>73</v>
      </c>
      <c r="B13" s="35" t="n">
        <f aca="false">SUMIFS(보유분석!$AA$2:$AA$801,보유분석!$V$2:$V$801,$A13,보유분석!$AC$2:$AC$801,1)</f>
        <v>2.740295</v>
      </c>
      <c r="C13" s="44" t="n">
        <f aca="false">IF(SUMIFS(보유분석!$AA$2:$AA$801,보유분석!$AC$2:$AC$801,1)=0,0,B13/SUMIFS(보유분석!$AA$2:$AA$801,보유분석!$AC$2:$AC$801,1))</f>
        <v>0.00194430085534663</v>
      </c>
      <c r="D13" s="39" t="n">
        <f aca="false">SUMIFS(보유분석!$AM$2:$AM$801,보유분석!$V$2:$V$801,$A13,보유분석!$AC$2:$AC$801,1)</f>
        <v>1919.60400751</v>
      </c>
      <c r="E13" s="44" t="n">
        <f aca="false">IF(SUMIFS(보유분석!$AM$2:$AM$801,보유분석!$AC$2:$AC$801,1)=0,0,D13/SUMIFS(보유분석!$AM$2:$AM$801,보유분석!$AC$2:$AC$801,1))</f>
        <v>0.00506193745876505</v>
      </c>
      <c r="F13" s="36" t="n">
        <f aca="false">IF(SUMIFS(보유분석!$BB$2:$BB$801,보유분석!$V$2:$V$801,$A13,보유분석!$AC$2:$AC$801,1)=0,"",SUMIFS(보유분석!$BA$2:$BA$801,보유분석!$V$2:$V$801,$A13,보유분석!$AC$2:$AC$801,1)/SUMIFS(보유분석!$BB$2:$BB$801,보유분석!$V$2:$V$801,$A13,보유분석!$AC$2:$AC$801,1))</f>
        <v>6.05494602179692</v>
      </c>
      <c r="G13" s="45" t="n">
        <f aca="false">IF(F13="","",(F13-(SUMIFS(보유분석!$BA$2:$BA$801,보유분석!$AC$2:$AC$801,1)/SUMIFS(보유분석!$BB$2:$BB$801,보유분석!$AC$2:$AC$801,1)))*100)</f>
        <v>39.4910196863327</v>
      </c>
      <c r="H13" s="37" t="n">
        <f aca="false">IF(SUMIFS(보유분석!$BD$2:$BD$801,보유분석!$V$2:$V$801,$A13,보유분석!$AC$2:$AC$801,1)=0,"",SUMIFS(보유분석!$BC$2:$BC$801,보유분석!$V$2:$V$801,$A13,보유분석!$AC$2:$AC$801,1)/SUMIFS(보유분석!$BD$2:$BD$801,보유분석!$V$2:$V$801,$A13,보유분석!$AC$2:$AC$801,1))</f>
        <v>84.8256748652974</v>
      </c>
      <c r="I13" s="38" t="n">
        <f aca="false">IF(SUMIFS(보유분석!$BF$2:$BF$801,보유분석!$V$2:$V$801,$A13,보유분석!$AC$2:$AC$801,1)=0,"",SUMIFS(보유분석!$BE$2:$BE$801,보유분석!$V$2:$V$801,$A13,보유분석!$AC$2:$AC$801,1)/SUMIFS(보유분석!$BF$2:$BF$801,보유분석!$V$2:$V$801,$A13,보유분석!$AC$2:$AC$801,1))</f>
        <v>7.00509984330154</v>
      </c>
      <c r="J13" s="37" t="n">
        <f aca="false">IF(SUMIFS(보유분석!$BG$2:$BG$801,보유분석!$V$2:$V$801,$A13,보유분석!$AC$2:$AC$801,1)=0,"",(SUMIFS(보유분석!$BC$2:$BC$801,보유분석!$V$2:$V$801,$A13,보유분석!$AC$2:$AC$801,1)+SUMIFS(보유분석!$BH$2:$BH$801,보유분석!$V$2:$V$801,$A13,보유분석!$AC$2:$AC$801,1))/SUMIFS(보유분석!$BG$2:$BG$801,보유분석!$V$2:$V$801,$A13,보유분석!$AC$2:$AC$801,1))</f>
        <v>14.7435617247258</v>
      </c>
      <c r="K13" s="40" t="n">
        <f aca="false">IF(B13=0,"",SUMIFS(보유분석!$AV$2:$AV$801,보유분석!$V$2:$V$801,$A13,보유분석!$AC$2:$AC$801,1)/(B13*1000000))</f>
        <v>0.0623949049241978</v>
      </c>
      <c r="L13" s="46" t="n">
        <f aca="false">SUMIFS(보유분석!$AP$2:$AP$801,보유분석!$V$2:$V$801,$A13,보유분석!$AC$2:$AC$801,1)</f>
        <v>-244509</v>
      </c>
      <c r="M13" s="9" t="n">
        <f aca="false">COUNTIFS(보유분석!$V$2:$V$801,$A13,보유분석!$AR$2:$AR$801,"Cheap",보유분석!$AC$2:$AC$801,1)</f>
        <v>0</v>
      </c>
      <c r="N13" s="9" t="n">
        <f aca="false">COUNTIFS(보유분석!$V$2:$V$801,$A13,보유분석!$AR$2:$AR$801,"Rich",보유분석!$AC$2:$AC$801,1)</f>
        <v>0</v>
      </c>
      <c r="O13" s="47"/>
      <c r="P13" s="48" t="str">
        <f aca="false">IF(O13="","",O13-C13)</f>
        <v/>
      </c>
      <c r="Q13" s="46" t="n">
        <f aca="false">-SUMIFS(보유분석!$AZ$2:$AZ$801,보유분석!$V$2:$V$801,$A13,보유분석!$AC$2:$AC$801,1)*설정!$C$10</f>
        <v>-61589.0865696866</v>
      </c>
      <c r="R13" s="44" t="n">
        <f aca="false">IF((-SUMIFS(보유분석!$AZ$2:$AZ$801,보유분석!$AC$2:$AC$801,1)*설정!$C$10)=0,0,Q13/(-SUMIFS(보유분석!$AZ$2:$AZ$801,보유분석!$AC$2:$AC$801,1)*설정!$C$10))</f>
        <v>0.00605177685246221</v>
      </c>
      <c r="S13" s="45" t="n">
        <f aca="false">IF(SUMIFS(보유분석!$BG$2:$BG$801,보유분석!$V$2:$V$801,$A13,보유분석!$AC$2:$AC$801,1)=0,"",SUMIFS(보유분석!$BH$2:$BH$801,보유분석!$V$2:$V$801,$A13,보유분석!$AC$2:$AC$801,1)/SUMIFS(보유분석!$BG$2:$BG$801,보유분석!$V$2:$V$801,$A13,보유분석!$AC$2:$AC$801,1))</f>
        <v>2.63443026867526</v>
      </c>
      <c r="T13" s="49" t="n">
        <f aca="false">IF(SUMIFS(보유분석!$BI$2:$BI$801,보유분석!$V$2:$V$801,$A13,보유분석!$AC$2:$AC$801,1)=0,"",SUMIFS(보유분석!$BD$2:$BD$801,보유분석!$V$2:$V$801,$A13,보유분석!$AC$2:$AC$801,1)/SUMIFS(보유분석!$BI$2:$BI$801,보유분석!$V$2:$V$801,$A13,보유분석!$AC$2:$AC$801,1))</f>
        <v>1</v>
      </c>
    </row>
    <row r="14" customFormat="false" ht="15" hidden="false" customHeight="false" outlineLevel="0" collapsed="false">
      <c r="A14" s="43" t="s">
        <v>74</v>
      </c>
      <c r="B14" s="35" t="n">
        <f aca="false">SUMIFS(보유분석!$AA$2:$AA$801,보유분석!$V$2:$V$801,$A14,보유분석!$AC$2:$AC$801,1)</f>
        <v>3.64442224</v>
      </c>
      <c r="C14" s="44" t="n">
        <f aca="false">IF(SUMIFS(보유분석!$AA$2:$AA$801,보유분석!$AC$2:$AC$801,1)=0,0,B14/SUMIFS(보유분석!$AA$2:$AA$801,보유분석!$AC$2:$AC$801,1))</f>
        <v>0.00258579944074499</v>
      </c>
      <c r="D14" s="39" t="n">
        <f aca="false">SUMIFS(보유분석!$AM$2:$AM$801,보유분석!$V$2:$V$801,$A14,보유분석!$AC$2:$AC$801,1)</f>
        <v>5409.5617077216</v>
      </c>
      <c r="E14" s="44" t="n">
        <f aca="false">IF(SUMIFS(보유분석!$AM$2:$AM$801,보유분석!$AC$2:$AC$801,1)=0,0,D14/SUMIFS(보유분석!$AM$2:$AM$801,보유분석!$AC$2:$AC$801,1))</f>
        <v>0.0142648499048178</v>
      </c>
      <c r="F14" s="36" t="n">
        <f aca="false">IF(SUMIFS(보유분석!$BB$2:$BB$801,보유분석!$V$2:$V$801,$A14,보유분석!$AC$2:$AC$801,1)=0,"",SUMIFS(보유분석!$BA$2:$BA$801,보유분석!$V$2:$V$801,$A14,보유분석!$AC$2:$AC$801,1)/SUMIFS(보유분석!$BB$2:$BB$801,보유분석!$V$2:$V$801,$A14,보유분석!$AC$2:$AC$801,1))</f>
        <v>6.1861</v>
      </c>
      <c r="G14" s="45" t="n">
        <f aca="false">IF(F14="","",(F14-(SUMIFS(보유분석!$BA$2:$BA$801,보유분석!$AC$2:$AC$801,1)/SUMIFS(보유분석!$BB$2:$BB$801,보유분석!$AC$2:$AC$801,1)))*100)</f>
        <v>52.6064175066404</v>
      </c>
      <c r="H14" s="37" t="n">
        <f aca="false">IF(SUMIFS(보유분석!$BD$2:$BD$801,보유분석!$V$2:$V$801,$A14,보유분석!$AC$2:$AC$801,1)=0,"",SUMIFS(보유분석!$BC$2:$BC$801,보유분석!$V$2:$V$801,$A14,보유분석!$AC$2:$AC$801,1)/SUMIFS(보유분석!$BD$2:$BD$801,보유분석!$V$2:$V$801,$A14,보유분석!$AC$2:$AC$801,1))</f>
        <v>64.761</v>
      </c>
      <c r="I14" s="38" t="n">
        <f aca="false">IF(SUMIFS(보유분석!$BF$2:$BF$801,보유분석!$V$2:$V$801,$A14,보유분석!$AC$2:$AC$801,1)=0,"",SUMIFS(보유분석!$BE$2:$BE$801,보유분석!$V$2:$V$801,$A14,보유분석!$AC$2:$AC$801,1)/SUMIFS(보유분석!$BF$2:$BF$801,보유분석!$V$2:$V$801,$A14,보유분석!$AC$2:$AC$801,1))</f>
        <v>14.8434</v>
      </c>
      <c r="J14" s="37" t="n">
        <f aca="false">IF(SUMIFS(보유분석!$BG$2:$BG$801,보유분석!$V$2:$V$801,$A14,보유분석!$AC$2:$AC$801,1)=0,"",(SUMIFS(보유분석!$BC$2:$BC$801,보유분석!$V$2:$V$801,$A14,보유분석!$AC$2:$AC$801,1)+SUMIFS(보유분석!$BH$2:$BH$801,보유분석!$V$2:$V$801,$A14,보유분석!$AC$2:$AC$801,1))/SUMIFS(보유분석!$BG$2:$BG$801,보유분석!$V$2:$V$801,$A14,보유분석!$AC$2:$AC$801,1))</f>
        <v>5.55516749375163</v>
      </c>
      <c r="K14" s="40" t="n">
        <f aca="false">IF(B14=0,"",SUMIFS(보유분석!$AV$2:$AV$801,보유분석!$V$2:$V$801,$A14,보유분석!$AC$2:$AC$801,1)/(B14*1000000))</f>
        <v>0.0636306573176753</v>
      </c>
      <c r="L14" s="46" t="n">
        <f aca="false">SUMIFS(보유분석!$AP$2:$AP$801,보유분석!$V$2:$V$801,$A14,보유분석!$AC$2:$AC$801,1)</f>
        <v>-496779.68</v>
      </c>
      <c r="M14" s="9" t="n">
        <f aca="false">COUNTIFS(보유분석!$V$2:$V$801,$A14,보유분석!$AR$2:$AR$801,"Cheap",보유분석!$AC$2:$AC$801,1)</f>
        <v>0</v>
      </c>
      <c r="N14" s="9" t="n">
        <f aca="false">COUNTIFS(보유분석!$V$2:$V$801,$A14,보유분석!$AR$2:$AR$801,"Rich",보유분석!$AC$2:$AC$801,1)</f>
        <v>0</v>
      </c>
      <c r="O14" s="47"/>
      <c r="P14" s="48" t="str">
        <f aca="false">IF(O14="","",O14-C14)</f>
        <v/>
      </c>
      <c r="Q14" s="46" t="n">
        <f aca="false">-SUMIFS(보유분석!$AZ$2:$AZ$801,보유분석!$V$2:$V$801,$A14,보유분석!$AC$2:$AC$801,1)*설정!$C$10</f>
        <v>-132471.410559614</v>
      </c>
      <c r="R14" s="44" t="n">
        <f aca="false">IF((-SUMIFS(보유분석!$AZ$2:$AZ$801,보유분석!$AC$2:$AC$801,1)*설정!$C$10)=0,0,Q14/(-SUMIFS(보유분석!$AZ$2:$AZ$801,보유분석!$AC$2:$AC$801,1)*설정!$C$10))</f>
        <v>0.0130167122243419</v>
      </c>
      <c r="S14" s="45" t="n">
        <f aca="false">IF(SUMIFS(보유분석!$BG$2:$BG$801,보유분석!$V$2:$V$801,$A14,보유분석!$AC$2:$AC$801,1)=0,"",SUMIFS(보유분석!$BH$2:$BH$801,보유분석!$V$2:$V$801,$A14,보유분석!$AC$2:$AC$801,1)/SUMIFS(보유분석!$BG$2:$BG$801,보유분석!$V$2:$V$801,$A14,보유분석!$AC$2:$AC$801,1))</f>
        <v>1.19221830421285</v>
      </c>
      <c r="T14" s="49" t="n">
        <f aca="false">IF(SUMIFS(보유분석!$BI$2:$BI$801,보유분석!$V$2:$V$801,$A14,보유분석!$AC$2:$AC$801,1)=0,"",SUMIFS(보유분석!$BD$2:$BD$801,보유분석!$V$2:$V$801,$A14,보유분석!$AC$2:$AC$801,1)/SUMIFS(보유분석!$BI$2:$BI$801,보유분석!$V$2:$V$801,$A14,보유분석!$AC$2:$AC$801,1))</f>
        <v>1</v>
      </c>
    </row>
    <row r="15" customFormat="false" ht="15" hidden="false" customHeight="false" outlineLevel="0" collapsed="false">
      <c r="A15" s="50" t="s">
        <v>75</v>
      </c>
      <c r="B15" s="35" t="n">
        <f aca="false">SUMPRODUCT(ISNA(MATCH(보유분석!$V$2:$V$801,$A$6:$A$14,0))*(보유분석!$AC$2:$AC$801=1)*보유분석!$AA$2:$AA$801)</f>
        <v>0</v>
      </c>
      <c r="C15" s="44" t="n">
        <f aca="false">IF(SUMIFS(보유분석!$AA$2:$AA$801,보유분석!$AC$2:$AC$801,1)=0,0,B15/SUMIFS(보유분석!$AA$2:$AA$801,보유분석!$AC$2:$AC$801,1))</f>
        <v>0</v>
      </c>
      <c r="D15" s="39" t="n">
        <f aca="false">SUMPRODUCT(ISNA(MATCH(보유분석!$V$2:$V$801,$A$6:$A$14,0))*(보유분석!$AC$2:$AC$801=1)*보유분석!$AM$2:$AM$801)</f>
        <v>0</v>
      </c>
      <c r="E15" s="44" t="n">
        <f aca="false">IF(SUMIFS(보유분석!$AM$2:$AM$801,보유분석!$AC$2:$AC$801,1)=0,0,D15/SUMIFS(보유분석!$AM$2:$AM$801,보유분석!$AC$2:$AC$801,1))</f>
        <v>0</v>
      </c>
      <c r="F15" s="36" t="str">
        <f aca="false">IF(SUMPRODUCT(ISNA(MATCH(보유분석!$V$2:$V$801,$A$6:$A$14,0))*(보유분석!$AC$2:$AC$801=1)*보유분석!$BB$2:$BB$801)=0,"",SUMPRODUCT(ISNA(MATCH(보유분석!$V$2:$V$801,$A$6:$A$14,0))*(보유분석!$AC$2:$AC$801=1)*보유분석!$BA$2:$BA$801)/SUMPRODUCT(ISNA(MATCH(보유분석!$V$2:$V$801,$A$6:$A$14,0))*(보유분석!$AC$2:$AC$801=1)*보유분석!$BB$2:$BB$801))</f>
        <v/>
      </c>
      <c r="G15" s="45" t="str">
        <f aca="false">IF(F15="","",(F15-(SUMIFS(보유분석!$BA$2:$BA$801,보유분석!$AC$2:$AC$801,1)/SUMIFS(보유분석!$BB$2:$BB$801,보유분석!$AC$2:$AC$801,1)))*100)</f>
        <v/>
      </c>
      <c r="H15" s="37" t="str">
        <f aca="false">IF(SUMPRODUCT(ISNA(MATCH(보유분석!$V$2:$V$801,$A$6:$A$14,0))*(보유분석!$AC$2:$AC$801=1)*보유분석!$BD$2:$BD$801)=0,"",SUMPRODUCT(ISNA(MATCH(보유분석!$V$2:$V$801,$A$6:$A$14,0))*(보유분석!$AC$2:$AC$801=1)*보유분석!$BC$2:$BC$801)/SUMPRODUCT(ISNA(MATCH(보유분석!$V$2:$V$801,$A$6:$A$14,0))*(보유분석!$AC$2:$AC$801=1)*보유분석!$BD$2:$BD$801))</f>
        <v/>
      </c>
      <c r="I15" s="38" t="str">
        <f aca="false">IF(SUMPRODUCT(ISNA(MATCH(보유분석!$V$2:$V$801,$A$6:$A$14,0))*(보유분석!$AC$2:$AC$801=1)*보유분석!$BF$2:$BF$801)=0,"",SUMPRODUCT(ISNA(MATCH(보유분석!$V$2:$V$801,$A$6:$A$14,0))*(보유분석!$AC$2:$AC$801=1)*보유분석!$BE$2:$BE$801)/SUMPRODUCT(ISNA(MATCH(보유분석!$V$2:$V$801,$A$6:$A$14,0))*(보유분석!$AC$2:$AC$801=1)*보유분석!$BF$2:$BF$801))</f>
        <v/>
      </c>
      <c r="J15" s="37" t="str">
        <f aca="false">IF(SUMPRODUCT(ISNA(MATCH(보유분석!$V$2:$V$801,$A$6:$A$14,0))*(보유분석!$AC$2:$AC$801=1)*보유분석!$BG$2:$BG$801)=0,"",(SUMPRODUCT(ISNA(MATCH(보유분석!$V$2:$V$801,$A$6:$A$14,0))*(보유분석!$AC$2:$AC$801=1)*보유분석!$BC$2:$BC$801)+SUMPRODUCT(ISNA(MATCH(보유분석!$V$2:$V$801,$A$6:$A$14,0))*(보유분석!$AC$2:$AC$801=1)*보유분석!$BH$2:$BH$801))/SUMPRODUCT(ISNA(MATCH(보유분석!$V$2:$V$801,$A$6:$A$14,0))*(보유분석!$AC$2:$AC$801=1)*보유분석!$BG$2:$BG$801))</f>
        <v/>
      </c>
      <c r="K15" s="40" t="str">
        <f aca="false">IF(B15=0,"",SUMPRODUCT(ISNA(MATCH(보유분석!$V$2:$V$801,$A$6:$A$14,0))*(보유분석!$AC$2:$AC$801=1)*보유분석!$AV$2:$AV$801)/(B15*1000000))</f>
        <v/>
      </c>
      <c r="L15" s="46" t="n">
        <f aca="false">SUMPRODUCT(ISNA(MATCH(보유분석!$V$2:$V$801,$A$6:$A$14,0))*(보유분석!$AC$2:$AC$801=1)*보유분석!$AP$2:$AP$801)</f>
        <v>0</v>
      </c>
      <c r="M15" s="9" t="n">
        <f aca="false">SUMPRODUCT(ISNA(MATCH(보유분석!$V$2:$V$801,$A$6:$A$14,0))*(보유분석!$AC$2:$AC$801=1)*(보유분석!$AR$2:$AR$801="Cheap"))</f>
        <v>0</v>
      </c>
      <c r="N15" s="9" t="n">
        <f aca="false">SUMPRODUCT(ISNA(MATCH(보유분석!$V$2:$V$801,$A$6:$A$14,0))*(보유분석!$AC$2:$AC$801=1)*(보유분석!$AR$2:$AR$801="Rich"))</f>
        <v>0</v>
      </c>
      <c r="O15" s="47"/>
      <c r="P15" s="48" t="str">
        <f aca="false">IF(O15="","",O15-C15)</f>
        <v/>
      </c>
      <c r="Q15" s="46" t="n">
        <f aca="false">-SUMPRODUCT(ISNA(MATCH(보유분석!$V$2:$V$801,$A$6:$A$14,0))*(보유분석!$AC$2:$AC$801=1)*보유분석!$AZ$2:$AZ$801)*설정!$C$10</f>
        <v>-0</v>
      </c>
      <c r="R15" s="44" t="n">
        <f aca="false">IF((-SUMIFS(보유분석!$AZ$2:$AZ$801,보유분석!$AC$2:$AC$801,1)*설정!$C$10)=0,0,Q15/(-SUMIFS(보유분석!$AZ$2:$AZ$801,보유분석!$AC$2:$AC$801,1)*설정!$C$10))</f>
        <v>0</v>
      </c>
      <c r="S15" s="45" t="str">
        <f aca="false">IF(SUMPRODUCT(ISNA(MATCH(보유분석!$V$2:$V$801,$A$6:$A$14,0))*(보유분석!$AC$2:$AC$801=1)*보유분석!$BG$2:$BG$801)=0,"",SUMPRODUCT(ISNA(MATCH(보유분석!$V$2:$V$801,$A$6:$A$14,0))*(보유분석!$AC$2:$AC$801=1)*보유분석!$BH$2:$BH$801)/SUMPRODUCT(ISNA(MATCH(보유분석!$V$2:$V$801,$A$6:$A$14,0))*(보유분석!$AC$2:$AC$801=1)*보유분석!$BG$2:$BG$801))</f>
        <v/>
      </c>
      <c r="T15" s="49" t="str">
        <f aca="false">IF(SUMPRODUCT(ISNA(MATCH(보유분석!$V$2:$V$801,$A$6:$A$14,0))*(보유분석!$AC$2:$AC$801=1)*보유분석!$BI$2:$BI$801)=0,"",SUMPRODUCT(ISNA(MATCH(보유분석!$V$2:$V$801,$A$6:$A$14,0))*(보유분석!$AC$2:$AC$801=1)*보유분석!$BD$2:$BD$801)/SUMPRODUCT(ISNA(MATCH(보유분석!$V$2:$V$801,$A$6:$A$14,0))*(보유분석!$AC$2:$AC$801=1)*보유분석!$BI$2:$BI$801))</f>
        <v/>
      </c>
    </row>
    <row r="16" customFormat="false" ht="15" hidden="false" customHeight="false" outlineLevel="0" collapsed="false">
      <c r="A16" s="51" t="s">
        <v>76</v>
      </c>
      <c r="B16" s="52" t="n">
        <f aca="false">SUM(B6:B15)</f>
        <v>1409.39864963</v>
      </c>
      <c r="C16" s="53" t="n">
        <f aca="false">SUM(C6:C15)</f>
        <v>1</v>
      </c>
      <c r="D16" s="54" t="n">
        <f aca="false">SUM(D6:D15)</f>
        <v>379223.177517947</v>
      </c>
      <c r="E16" s="53" t="n">
        <f aca="false">SUM(E6:E15)</f>
        <v>1</v>
      </c>
      <c r="F16" s="55" t="n">
        <f aca="false">IF(SUMIFS(보유분석!$BB$2:$BB$801,보유분석!$AC$2:$AC$801,1)=0,"",SUMIFS(보유분석!$BA$2:$BA$801,보유분석!$AC$2:$AC$801,1)/SUMIFS(보유분석!$BB$2:$BB$801,보유분석!$AC$2:$AC$801,1))</f>
        <v>5.6600358249336</v>
      </c>
      <c r="G16" s="56"/>
      <c r="H16" s="57" t="n">
        <f aca="false">IF(SUMIFS(보유분석!$BD$2:$BD$801,보유분석!$AC$2:$AC$801,1)=0,"",SUMIFS(보유분석!$BC$2:$BC$801,보유분석!$AC$2:$AC$801,1)/SUMIFS(보유분석!$BD$2:$BD$801,보유분석!$AC$2:$AC$801,1))</f>
        <v>66.114006085129</v>
      </c>
      <c r="I16" s="58" t="n">
        <f aca="false">IF(SUMIFS(보유분석!$BF$2:$BF$801,보유분석!$AC$2:$AC$801,1)=0,"",SUMIFS(보유분석!$BE$2:$BE$801,보유분석!$AC$2:$AC$801,1)/SUMIFS(보유분석!$BF$2:$BF$801,보유분석!$AC$2:$AC$801,1))</f>
        <v>2.69067362607096</v>
      </c>
      <c r="J16" s="57" t="n">
        <f aca="false">IF(SUMIFS(보유분석!$BG$2:$BG$801,보유분석!$AC$2:$AC$801,1)=0,"",(SUMIFS(보유분석!$BC$2:$BC$801,보유분석!$AC$2:$AC$801,1)+SUMIFS(보유분석!$BH$2:$BH$801,보유분석!$AC$2:$AC$801,1))/SUMIFS(보유분석!$BG$2:$BG$801,보유분석!$AC$2:$AC$801,1))</f>
        <v>31.4685741331147</v>
      </c>
      <c r="K16" s="59" t="n">
        <f aca="false">IF(B16=0,"",SUMIFS(보유분석!$AV$2:$AV$801,보유분석!$AC$2:$AC$801,1)/(B16*1000000))</f>
        <v>0.0582546221879707</v>
      </c>
      <c r="L16" s="60" t="n">
        <f aca="false">SUM(L6:L15)</f>
        <v>-44901234.1</v>
      </c>
      <c r="M16" s="61"/>
      <c r="N16" s="61"/>
      <c r="O16" s="53" t="str">
        <f aca="false">IF(COUNT(O6:O15)=0,"",SUM(O6:O15))</f>
        <v/>
      </c>
      <c r="P16" s="62"/>
      <c r="Q16" s="60" t="n">
        <f aca="false">SUM(Q6:Q15)</f>
        <v>-10177025.3714211</v>
      </c>
      <c r="R16" s="53" t="n">
        <f aca="false">SUM(R6:R15)</f>
        <v>1</v>
      </c>
      <c r="S16" s="56" t="n">
        <f aca="false">IF(SUMIFS(보유분석!$BG$2:$BG$801,보유분석!$AC$2:$AC$801,1)=0,"",SUMIFS(보유분석!$BH$2:$BH$801,보유분석!$AC$2:$AC$801,1)/SUMIFS(보유분석!$BG$2:$BG$801,보유분석!$AC$2:$AC$801,1))</f>
        <v>6.4728237935996</v>
      </c>
      <c r="T16" s="63" t="n">
        <f aca="false">IF(SUMIFS(보유분석!$BI$2:$BI$801,보유분석!$AC$2:$AC$801,1)=0,"",SUMIFS(보유분석!$BD$2:$BD$801,보유분석!$AC$2:$AC$801,1)/SUMIFS(보유분석!$BI$2:$BI$801,보유분석!$AC$2:$AC$801,1))</f>
        <v>0.977967173185718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5" hidden="false" customHeight="false" outlineLevel="0" collapsed="false">
      <c r="A19" s="24" t="s">
        <v>77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41" hidden="false" customHeight="false" outlineLevel="0" collapsed="false">
      <c r="A20" s="5" t="s">
        <v>51</v>
      </c>
      <c r="B20" s="5" t="s">
        <v>40</v>
      </c>
      <c r="C20" s="5" t="s">
        <v>52</v>
      </c>
      <c r="D20" s="25" t="s">
        <v>24</v>
      </c>
      <c r="E20" s="25" t="s">
        <v>53</v>
      </c>
      <c r="F20" s="5" t="s">
        <v>41</v>
      </c>
      <c r="G20" s="5" t="s">
        <v>54</v>
      </c>
      <c r="H20" s="5" t="s">
        <v>55</v>
      </c>
      <c r="I20" s="5" t="s">
        <v>43</v>
      </c>
      <c r="J20" s="5" t="s">
        <v>56</v>
      </c>
      <c r="K20" s="25" t="s">
        <v>44</v>
      </c>
      <c r="L20" s="5" t="s">
        <v>57</v>
      </c>
      <c r="M20" s="25" t="s">
        <v>58</v>
      </c>
      <c r="N20" s="25" t="s">
        <v>59</v>
      </c>
      <c r="O20" s="5" t="s">
        <v>60</v>
      </c>
      <c r="P20" s="5" t="s">
        <v>61</v>
      </c>
      <c r="Q20" s="5" t="s">
        <v>62</v>
      </c>
      <c r="R20" s="5" t="s">
        <v>63</v>
      </c>
      <c r="S20" s="5" t="s">
        <v>64</v>
      </c>
      <c r="T20" s="25" t="s">
        <v>65</v>
      </c>
    </row>
    <row r="21" customFormat="false" ht="15" hidden="false" customHeight="false" outlineLevel="0" collapsed="false">
      <c r="A21" s="64" t="s">
        <v>78</v>
      </c>
      <c r="B21" s="35" t="n">
        <f aca="false">SUMIFS(보유분석!$AA$2:$AA$801,보유분석!$AI$2:$AI$801,$A21,보유분석!$AC$2:$AC$801,1)</f>
        <v>763.96142594</v>
      </c>
      <c r="C21" s="44" t="n">
        <f aca="false">IF(SUMIFS(보유분석!$AA$2:$AA$801,보유분석!$AC$2:$AC$801,1)=0,0,B21/SUMIFS(보유분석!$AA$2:$AA$801,보유분석!$AC$2:$AC$801,1))</f>
        <v>0.542047791900863</v>
      </c>
      <c r="D21" s="39" t="n">
        <f aca="false">SUMIFS(보유분석!$AM$2:$AM$801,보유분석!$AI$2:$AI$801,$A21,보유분석!$AC$2:$AC$801,1)</f>
        <v>195533.531915525</v>
      </c>
      <c r="E21" s="44" t="n">
        <f aca="false">IF(SUMIFS(보유분석!$AM$2:$AM$801,보유분석!$AC$2:$AC$801,1)=0,0,D21/SUMIFS(보유분석!$AM$2:$AM$801,보유분석!$AC$2:$AC$801,1))</f>
        <v>0.515615984221511</v>
      </c>
      <c r="F21" s="36" t="n">
        <f aca="false">IF(SUMIFS(보유분석!$BB$2:$BB$801,보유분석!$AI$2:$AI$801,$A21,보유분석!$AC$2:$AC$801,1)=0,"",SUMIFS(보유분석!$BA$2:$BA$801,보유분석!$AI$2:$AI$801,$A21,보유분석!$AC$2:$AC$801,1)/SUMIFS(보유분석!$BB$2:$BB$801,보유분석!$AI$2:$AI$801,$A21,보유분석!$AC$2:$AC$801,1))</f>
        <v>5.65993154584605</v>
      </c>
      <c r="G21" s="45" t="n">
        <f aca="false">IF(F21="","",(F21-(SUMIFS(보유분석!$BA$2:$BA$801,보유분석!$AC$2:$AC$801,1)/SUMIFS(보유분석!$BB$2:$BB$801,보유분석!$AC$2:$AC$801,1)))*100)</f>
        <v>-0.0104279087550729</v>
      </c>
      <c r="H21" s="37" t="n">
        <f aca="false">IF(SUMIFS(보유분석!$BD$2:$BD$801,보유분석!$AI$2:$AI$801,$A21,보유분석!$AC$2:$AC$801,1)=0,"",SUMIFS(보유분석!$BC$2:$BC$801,보유분석!$AI$2:$AI$801,$A21,보유분석!$AC$2:$AC$801,1)/SUMIFS(보유분석!$BD$2:$BD$801,보유분석!$AI$2:$AI$801,$A21,보유분석!$AC$2:$AC$801,1))</f>
        <v>63.6922802380668</v>
      </c>
      <c r="I21" s="38" t="n">
        <f aca="false">IF(SUMIFS(보유분석!$BF$2:$BF$801,보유분석!$AI$2:$AI$801,$A21,보유분석!$AC$2:$AC$801,1)=0,"",SUMIFS(보유분석!$BE$2:$BE$801,보유분석!$AI$2:$AI$801,$A21,보유분석!$AC$2:$AC$801,1)/SUMIFS(보유분석!$BF$2:$BF$801,보유분석!$AI$2:$AI$801,$A21,보유분석!$AC$2:$AC$801,1))</f>
        <v>2.55946864954516</v>
      </c>
      <c r="J21" s="37" t="n">
        <f aca="false">IF(SUMIFS(보유분석!$BG$2:$BG$801,보유분석!$AI$2:$AI$801,$A21,보유분석!$AC$2:$AC$801,1)=0,"",(SUMIFS(보유분석!$BC$2:$BC$801,보유분석!$AI$2:$AI$801,$A21,보유분석!$AC$2:$AC$801,1)+SUMIFS(보유분석!$BH$2:$BH$801,보유분석!$AI$2:$AI$801,$A21,보유분석!$AC$2:$AC$801,1))/SUMIFS(보유분석!$BG$2:$BG$801,보유분석!$AI$2:$AI$801,$A21,보유분석!$AC$2:$AC$801,1))</f>
        <v>30.7939625364255</v>
      </c>
      <c r="K21" s="40" t="n">
        <f aca="false">IF(B21=0,"",SUMIFS(보유분석!$AV$2:$AV$801,보유분석!$AI$2:$AI$801,$A21,보유분석!$AC$2:$AC$801,1)/(B21*1000000))</f>
        <v>0.0581112304859905</v>
      </c>
      <c r="L21" s="46" t="n">
        <f aca="false">SUMIFS(보유분석!$AP$2:$AP$801,보유분석!$AI$2:$AI$801,$A21,보유분석!$AC$2:$AC$801,1)</f>
        <v>-23025675.67</v>
      </c>
      <c r="M21" s="9" t="n">
        <f aca="false">COUNTIFS(보유분석!$AI$2:$AI$801,$A21,보유분석!$AR$2:$AR$801,"Cheap",보유분석!$AC$2:$AC$801,1)</f>
        <v>20</v>
      </c>
      <c r="N21" s="9" t="n">
        <f aca="false">COUNTIFS(보유분석!$AI$2:$AI$801,$A21,보유분석!$AR$2:$AR$801,"Rich",보유분석!$AC$2:$AC$801,1)</f>
        <v>5</v>
      </c>
      <c r="O21" s="47"/>
      <c r="P21" s="48" t="str">
        <f aca="false">IF(O21="","",O21-C21)</f>
        <v/>
      </c>
      <c r="Q21" s="46" t="n">
        <f aca="false">-SUMIFS(보유분석!$AZ$2:$AZ$801,보유분석!$AI$2:$AI$801,$A21,보유분석!$AC$2:$AC$801,1)*설정!$C$10</f>
        <v>-5353045.28516016</v>
      </c>
      <c r="R21" s="44" t="n">
        <f aca="false">IF((-SUMIFS(보유분석!$AZ$2:$AZ$801,보유분석!$AC$2:$AC$801,1)*설정!$C$10)=0,0,Q21/(-SUMIFS(보유분석!$AZ$2:$AZ$801,보유분석!$AC$2:$AC$801,1)*설정!$C$10))</f>
        <v>0.525993115846256</v>
      </c>
      <c r="S21" s="45" t="n">
        <f aca="false">IF(SUMIFS(보유분석!$BG$2:$BG$801,보유분석!$AI$2:$AI$801,$A21,보유분석!$AC$2:$AC$801,1)=0,"",SUMIFS(보유분석!$BH$2:$BH$801,보유분석!$AI$2:$AI$801,$A21,보유분석!$AC$2:$AC$801,1)/SUMIFS(보유분석!$BG$2:$BG$801,보유분석!$AI$2:$AI$801,$A21,보유분석!$AC$2:$AC$801,1))</f>
        <v>5.90873198372447</v>
      </c>
      <c r="T21" s="49" t="n">
        <f aca="false">IF(SUMIFS(보유분석!$BI$2:$BI$801,보유분석!$AI$2:$AI$801,$A21,보유분석!$AC$2:$AC$801,1)=0,"",SUMIFS(보유분석!$BD$2:$BD$801,보유분석!$AI$2:$AI$801,$A21,보유분석!$AC$2:$AC$801,1)/SUMIFS(보유분석!$BI$2:$BI$801,보유분석!$AI$2:$AI$801,$A21,보유분석!$AC$2:$AC$801,1))</f>
        <v>0.999742060798741</v>
      </c>
    </row>
    <row r="22" customFormat="false" ht="15" hidden="false" customHeight="false" outlineLevel="0" collapsed="false">
      <c r="A22" s="64" t="s">
        <v>79</v>
      </c>
      <c r="B22" s="35" t="n">
        <f aca="false">SUMIFS(보유분석!$AA$2:$AA$801,보유분석!$AI$2:$AI$801,$A22,보유분석!$AC$2:$AC$801,1)</f>
        <v>346.2104953</v>
      </c>
      <c r="C22" s="44" t="n">
        <f aca="false">IF(SUMIFS(보유분석!$AA$2:$AA$801,보유분석!$AC$2:$AC$801,1)=0,0,B22/SUMIFS(보유분석!$AA$2:$AA$801,보유분석!$AC$2:$AC$801,1))</f>
        <v>0.245644123038495</v>
      </c>
      <c r="D22" s="39" t="n">
        <f aca="false">SUMIFS(보유분석!$AM$2:$AM$801,보유분석!$AI$2:$AI$801,$A22,보유분석!$AC$2:$AC$801,1)</f>
        <v>103156.980430809</v>
      </c>
      <c r="E22" s="44" t="n">
        <f aca="false">IF(SUMIFS(보유분석!$AM$2:$AM$801,보유분석!$AC$2:$AC$801,1)=0,0,D22/SUMIFS(보유분석!$AM$2:$AM$801,보유분석!$AC$2:$AC$801,1))</f>
        <v>0.272021823945418</v>
      </c>
      <c r="F22" s="36" t="n">
        <f aca="false">IF(SUMIFS(보유분석!$BB$2:$BB$801,보유분석!$AI$2:$AI$801,$A22,보유분석!$AC$2:$AC$801,1)=0,"",SUMIFS(보유분석!$BA$2:$BA$801,보유분석!$AI$2:$AI$801,$A22,보유분석!$AC$2:$AC$801,1)/SUMIFS(보유분석!$BB$2:$BB$801,보유분석!$AI$2:$AI$801,$A22,보유분석!$AC$2:$AC$801,1))</f>
        <v>5.64462762518794</v>
      </c>
      <c r="G22" s="45" t="n">
        <f aca="false">IF(F22="","",(F22-(SUMIFS(보유분석!$BA$2:$BA$801,보유분석!$AC$2:$AC$801,1)/SUMIFS(보유분석!$BB$2:$BB$801,보유분석!$AC$2:$AC$801,1)))*100)</f>
        <v>-1.54081997456554</v>
      </c>
      <c r="H22" s="37" t="n">
        <f aca="false">IF(SUMIFS(보유분석!$BD$2:$BD$801,보유분석!$AI$2:$AI$801,$A22,보유분석!$AC$2:$AC$801,1)=0,"",SUMIFS(보유분석!$BC$2:$BC$801,보유분석!$AI$2:$AI$801,$A22,보유분석!$AC$2:$AC$801,1)/SUMIFS(보유분석!$BD$2:$BD$801,보유분석!$AI$2:$AI$801,$A22,보유분석!$AC$2:$AC$801,1))</f>
        <v>66.5804152571463</v>
      </c>
      <c r="I22" s="38" t="n">
        <f aca="false">IF(SUMIFS(보유분석!$BF$2:$BF$801,보유분석!$AI$2:$AI$801,$A22,보유분석!$AC$2:$AC$801,1)=0,"",SUMIFS(보유분석!$BE$2:$BE$801,보유분석!$AI$2:$AI$801,$A22,보유분석!$AC$2:$AC$801,1)/SUMIFS(보유분석!$BF$2:$BF$801,보유분석!$AI$2:$AI$801,$A22,보유분석!$AC$2:$AC$801,1))</f>
        <v>2.97960292455666</v>
      </c>
      <c r="J22" s="37" t="n">
        <f aca="false">IF(SUMIFS(보유분석!$BG$2:$BG$801,보유분석!$AI$2:$AI$801,$A22,보유분석!$AC$2:$AC$801,1)=0,"",(SUMIFS(보유분석!$BC$2:$BC$801,보유분석!$AI$2:$AI$801,$A22,보유분석!$AC$2:$AC$801,1)+SUMIFS(보유분석!$BH$2:$BH$801,보유분석!$AI$2:$AI$801,$A22,보유분석!$AC$2:$AC$801,1))/SUMIFS(보유분석!$BG$2:$BG$801,보유분석!$AI$2:$AI$801,$A22,보유분석!$AC$2:$AC$801,1))</f>
        <v>31.8443473250221</v>
      </c>
      <c r="K22" s="40" t="n">
        <f aca="false">IF(B22=0,"",SUMIFS(보유분석!$AV$2:$AV$801,보유분석!$AI$2:$AI$801,$A22,보유분석!$AC$2:$AC$801,1)/(B22*1000000))</f>
        <v>0.0583152735960052</v>
      </c>
      <c r="L22" s="46" t="n">
        <f aca="false">SUMIFS(보유분석!$AP$2:$AP$801,보유분석!$AI$2:$AI$801,$A22,보유분석!$AC$2:$AC$801,1)</f>
        <v>-12389374.35</v>
      </c>
      <c r="M22" s="9" t="n">
        <f aca="false">COUNTIFS(보유분석!$AI$2:$AI$801,$A22,보유분석!$AR$2:$AR$801,"Cheap",보유분석!$AC$2:$AC$801,1)</f>
        <v>9</v>
      </c>
      <c r="N22" s="9" t="n">
        <f aca="false">COUNTIFS(보유분석!$AI$2:$AI$801,$A22,보유분석!$AR$2:$AR$801,"Rich",보유분석!$AC$2:$AC$801,1)</f>
        <v>3</v>
      </c>
      <c r="O22" s="47"/>
      <c r="P22" s="48" t="str">
        <f aca="false">IF(O22="","",O22-C22)</f>
        <v/>
      </c>
      <c r="Q22" s="46" t="n">
        <f aca="false">-SUMIFS(보유분석!$AZ$2:$AZ$801,보유분석!$AI$2:$AI$801,$A22,보유분석!$AC$2:$AC$801,1)*설정!$C$10</f>
        <v>-2496353.8861217</v>
      </c>
      <c r="R22" s="44" t="n">
        <f aca="false">IF((-SUMIFS(보유분석!$AZ$2:$AZ$801,보유분석!$AC$2:$AC$801,1)*설정!$C$10)=0,0,Q22/(-SUMIFS(보유분석!$AZ$2:$AZ$801,보유분석!$AC$2:$AC$801,1)*설정!$C$10))</f>
        <v>0.245293078774464</v>
      </c>
      <c r="S22" s="45" t="n">
        <f aca="false">IF(SUMIFS(보유분석!$BG$2:$BG$801,보유분석!$AI$2:$AI$801,$A22,보유분석!$AC$2:$AC$801,1)=0,"",SUMIFS(보유분석!$BH$2:$BH$801,보유분석!$AI$2:$AI$801,$A22,보유분석!$AC$2:$AC$801,1)/SUMIFS(보유분석!$BG$2:$BG$801,보유분석!$AI$2:$AI$801,$A22,보유분석!$AC$2:$AC$801,1))</f>
        <v>7.5305610799044</v>
      </c>
      <c r="T22" s="49" t="n">
        <f aca="false">IF(SUMIFS(보유분석!$BI$2:$BI$801,보유분석!$AI$2:$AI$801,$A22,보유분석!$AC$2:$AC$801,1)=0,"",SUMIFS(보유분석!$BD$2:$BD$801,보유분석!$AI$2:$AI$801,$A22,보유분석!$AC$2:$AC$801,1)/SUMIFS(보유분석!$BI$2:$BI$801,보유분석!$AI$2:$AI$801,$A22,보유분석!$AC$2:$AC$801,1))</f>
        <v>0.952858439524094</v>
      </c>
    </row>
    <row r="23" customFormat="false" ht="15" hidden="false" customHeight="false" outlineLevel="0" collapsed="false">
      <c r="A23" s="64" t="s">
        <v>80</v>
      </c>
      <c r="B23" s="35" t="n">
        <f aca="false">SUMIFS(보유분석!$AA$2:$AA$801,보유분석!$AI$2:$AI$801,$A23,보유분석!$AC$2:$AC$801,1)</f>
        <v>47.63017339</v>
      </c>
      <c r="C23" s="44" t="n">
        <f aca="false">IF(SUMIFS(보유분석!$AA$2:$AA$801,보유분석!$AC$2:$AC$801,1)=0,0,B23/SUMIFS(보유분석!$AA$2:$AA$801,보유분석!$AC$2:$AC$801,1))</f>
        <v>0.0337946778950754</v>
      </c>
      <c r="D23" s="39" t="n">
        <f aca="false">SUMIFS(보유분석!$AM$2:$AM$801,보유분석!$AI$2:$AI$801,$A23,보유분석!$AC$2:$AC$801,1)</f>
        <v>12069.7336198829</v>
      </c>
      <c r="E23" s="44" t="n">
        <f aca="false">IF(SUMIFS(보유분석!$AM$2:$AM$801,보유분석!$AC$2:$AC$801,1)=0,0,D23/SUMIFS(보유분석!$AM$2:$AM$801,보유분석!$AC$2:$AC$801,1))</f>
        <v>0.031827520930763</v>
      </c>
      <c r="F23" s="36" t="n">
        <f aca="false">IF(SUMIFS(보유분석!$BB$2:$BB$801,보유분석!$AI$2:$AI$801,$A23,보유분석!$AC$2:$AC$801,1)=0,"",SUMIFS(보유분석!$BA$2:$BA$801,보유분석!$AI$2:$AI$801,$A23,보유분석!$AC$2:$AC$801,1)/SUMIFS(보유분석!$BB$2:$BB$801,보유분석!$AI$2:$AI$801,$A23,보유분석!$AC$2:$AC$801,1))</f>
        <v>5.59976522166551</v>
      </c>
      <c r="G23" s="45" t="n">
        <f aca="false">IF(F23="","",(F23-(SUMIFS(보유분석!$BA$2:$BA$801,보유분석!$AC$2:$AC$801,1)/SUMIFS(보유분석!$BB$2:$BB$801,보유분석!$AC$2:$AC$801,1)))*100)</f>
        <v>-6.0270603268088</v>
      </c>
      <c r="H23" s="37" t="n">
        <f aca="false">IF(SUMIFS(보유분석!$BD$2:$BD$801,보유분석!$AI$2:$AI$801,$A23,보유분석!$AC$2:$AC$801,1)=0,"",SUMIFS(보유분석!$BC$2:$BC$801,보유분석!$AI$2:$AI$801,$A23,보유분석!$AC$2:$AC$801,1)/SUMIFS(보유분석!$BD$2:$BD$801,보유분석!$AI$2:$AI$801,$A23,보유분석!$AC$2:$AC$801,1))</f>
        <v>65.8234686654247</v>
      </c>
      <c r="I23" s="38" t="n">
        <f aca="false">IF(SUMIFS(보유분석!$BF$2:$BF$801,보유분석!$AI$2:$AI$801,$A23,보유분석!$AC$2:$AC$801,1)=0,"",SUMIFS(보유분석!$BE$2:$BE$801,보유분석!$AI$2:$AI$801,$A23,보유분석!$AC$2:$AC$801,1)/SUMIFS(보유분석!$BF$2:$BF$801,보유분석!$AI$2:$AI$801,$A23,보유분석!$AC$2:$AC$801,1))</f>
        <v>2.53405200125031</v>
      </c>
      <c r="J23" s="37" t="n">
        <f aca="false">IF(SUMIFS(보유분석!$BG$2:$BG$801,보유분석!$AI$2:$AI$801,$A23,보유분석!$AC$2:$AC$801,1)=0,"",(SUMIFS(보유분석!$BC$2:$BC$801,보유분석!$AI$2:$AI$801,$A23,보유분석!$AC$2:$AC$801,1)+SUMIFS(보유분석!$BH$2:$BH$801,보유분석!$AI$2:$AI$801,$A23,보유분석!$AC$2:$AC$801,1))/SUMIFS(보유분석!$BG$2:$BG$801,보유분석!$AI$2:$AI$801,$A23,보유분석!$AC$2:$AC$801,1))</f>
        <v>30.0476129328665</v>
      </c>
      <c r="K23" s="40" t="n">
        <f aca="false">IF(B23=0,"",SUMIFS(보유분석!$AV$2:$AV$801,보유분석!$AI$2:$AI$801,$A23,보유분석!$AC$2:$AC$801,1)/(B23*1000000))</f>
        <v>0.0570295267186451</v>
      </c>
      <c r="L23" s="46" t="n">
        <f aca="false">SUMIFS(보유분석!$AP$2:$AP$801,보유분석!$AI$2:$AI$801,$A23,보유분석!$AC$2:$AC$801,1)</f>
        <v>-927265.08</v>
      </c>
      <c r="M23" s="9" t="n">
        <f aca="false">COUNTIFS(보유분석!$AI$2:$AI$801,$A23,보유분석!$AR$2:$AR$801,"Cheap",보유분석!$AC$2:$AC$801,1)</f>
        <v>3</v>
      </c>
      <c r="N23" s="9" t="n">
        <f aca="false">COUNTIFS(보유분석!$AI$2:$AI$801,$A23,보유분석!$AR$2:$AR$801,"Rich",보유분석!$AC$2:$AC$801,1)</f>
        <v>0</v>
      </c>
      <c r="O23" s="47"/>
      <c r="P23" s="48" t="str">
        <f aca="false">IF(O23="","",O23-C23)</f>
        <v/>
      </c>
      <c r="Q23" s="46" t="n">
        <f aca="false">-SUMIFS(보유분석!$AZ$2:$AZ$801,보유분석!$AI$2:$AI$801,$A23,보유분석!$AC$2:$AC$801,1)*설정!$C$10</f>
        <v>-324651.850935373</v>
      </c>
      <c r="R23" s="44" t="n">
        <f aca="false">IF((-SUMIFS(보유분석!$AZ$2:$AZ$801,보유분석!$AC$2:$AC$801,1)*설정!$C$10)=0,0,Q23/(-SUMIFS(보유분석!$AZ$2:$AZ$801,보유분석!$AC$2:$AC$801,1)*설정!$C$10))</f>
        <v>0.0319004659108991</v>
      </c>
      <c r="S23" s="45" t="n">
        <f aca="false">IF(SUMIFS(보유분석!$BG$2:$BG$801,보유분석!$AI$2:$AI$801,$A23,보유분석!$AC$2:$AC$801,1)=0,"",SUMIFS(보유분석!$BH$2:$BH$801,보유분석!$AI$2:$AI$801,$A23,보유분석!$AC$2:$AC$801,1)/SUMIFS(보유분석!$BG$2:$BG$801,보유분석!$AI$2:$AI$801,$A23,보유분석!$AC$2:$AC$801,1))</f>
        <v>4.07203364998396</v>
      </c>
      <c r="T23" s="49" t="n">
        <f aca="false">IF(SUMIFS(보유분석!$BI$2:$BI$801,보유분석!$AI$2:$AI$801,$A23,보유분석!$AC$2:$AC$801,1)=0,"",SUMIFS(보유분석!$BD$2:$BD$801,보유분석!$AI$2:$AI$801,$A23,보유분석!$AC$2:$AC$801,1)/SUMIFS(보유분석!$BI$2:$BI$801,보유분석!$AI$2:$AI$801,$A23,보유분석!$AC$2:$AC$801,1))</f>
        <v>1</v>
      </c>
    </row>
    <row r="24" customFormat="false" ht="15" hidden="false" customHeight="false" outlineLevel="0" collapsed="false">
      <c r="A24" s="64" t="s">
        <v>81</v>
      </c>
      <c r="B24" s="35" t="n">
        <f aca="false">SUMIFS(보유분석!$AA$2:$AA$801,보유분석!$AI$2:$AI$801,$A24,보유분석!$AC$2:$AC$801,1)</f>
        <v>156.655819</v>
      </c>
      <c r="C24" s="44" t="n">
        <f aca="false">IF(SUMIFS(보유분석!$AA$2:$AA$801,보유분석!$AC$2:$AC$801,1)=0,0,B24/SUMIFS(보유분석!$AA$2:$AA$801,보유분석!$AC$2:$AC$801,1))</f>
        <v>0.111150822402963</v>
      </c>
      <c r="D24" s="39" t="n">
        <f aca="false">SUMIFS(보유분석!$AM$2:$AM$801,보유분석!$AI$2:$AI$801,$A24,보유분석!$AC$2:$AC$801,1)</f>
        <v>43050.90036278</v>
      </c>
      <c r="E24" s="44" t="n">
        <f aca="false">IF(SUMIFS(보유분석!$AM$2:$AM$801,보유분석!$AC$2:$AC$801,1)=0,0,D24/SUMIFS(보유분석!$AM$2:$AM$801,보유분석!$AC$2:$AC$801,1))</f>
        <v>0.113523916561621</v>
      </c>
      <c r="F24" s="36" t="n">
        <f aca="false">IF(SUMIFS(보유분석!$BB$2:$BB$801,보유분석!$AI$2:$AI$801,$A24,보유분석!$AC$2:$AC$801,1)=0,"",SUMIFS(보유분석!$BA$2:$BA$801,보유분석!$AI$2:$AI$801,$A24,보유분석!$AC$2:$AC$801,1)/SUMIFS(보유분석!$BB$2:$BB$801,보유분석!$AI$2:$AI$801,$A24,보유분석!$AC$2:$AC$801,1))</f>
        <v>5.68561115461022</v>
      </c>
      <c r="G24" s="45" t="n">
        <f aca="false">IF(F24="","",(F24-(SUMIFS(보유분석!$BA$2:$BA$801,보유분석!$AC$2:$AC$801,1)/SUMIFS(보유분석!$BB$2:$BB$801,보유분석!$AC$2:$AC$801,1)))*100)</f>
        <v>2.55753296766255</v>
      </c>
      <c r="H24" s="37" t="n">
        <f aca="false">IF(SUMIFS(보유분석!$BD$2:$BD$801,보유분석!$AI$2:$AI$801,$A24,보유분석!$AC$2:$AC$801,1)=0,"",SUMIFS(보유분석!$BC$2:$BC$801,보유분석!$AI$2:$AI$801,$A24,보유분석!$AC$2:$AC$801,1)/SUMIFS(보유분석!$BD$2:$BD$801,보유분석!$AI$2:$AI$801,$A24,보유분석!$AC$2:$AC$801,1))</f>
        <v>72.0157254260373</v>
      </c>
      <c r="I24" s="38" t="n">
        <f aca="false">IF(SUMIFS(보유분석!$BF$2:$BF$801,보유분석!$AI$2:$AI$801,$A24,보유분석!$AC$2:$AC$801,1)=0,"",SUMIFS(보유분석!$BE$2:$BE$801,보유분석!$AI$2:$AI$801,$A24,보유분석!$AC$2:$AC$801,1)/SUMIFS(보유분석!$BF$2:$BF$801,보유분석!$AI$2:$AI$801,$A24,보유분석!$AC$2:$AC$801,1))</f>
        <v>2.74812009139475</v>
      </c>
      <c r="J24" s="37" t="n">
        <f aca="false">IF(SUMIFS(보유분석!$BG$2:$BG$801,보유분석!$AI$2:$AI$801,$A24,보유분석!$AC$2:$AC$801,1)=0,"",(SUMIFS(보유분석!$BC$2:$BC$801,보유분석!$AI$2:$AI$801,$A24,보유분석!$AC$2:$AC$801,1)+SUMIFS(보유분석!$BH$2:$BH$801,보유분석!$AI$2:$AI$801,$A24,보유분석!$AC$2:$AC$801,1))/SUMIFS(보유분석!$BG$2:$BG$801,보유분석!$AI$2:$AI$801,$A24,보유분석!$AC$2:$AC$801,1))</f>
        <v>33.5797773638692</v>
      </c>
      <c r="K24" s="40" t="n">
        <f aca="false">IF(B24=0,"",SUMIFS(보유분석!$AV$2:$AV$801,보유분석!$AI$2:$AI$801,$A24,보유분석!$AC$2:$AC$801,1)/(B24*1000000))</f>
        <v>0.0588826650873197</v>
      </c>
      <c r="L24" s="46" t="n">
        <f aca="false">SUMIFS(보유분석!$AP$2:$AP$801,보유분석!$AI$2:$AI$801,$A24,보유분석!$AC$2:$AC$801,1)</f>
        <v>-5593491</v>
      </c>
      <c r="M24" s="9" t="n">
        <f aca="false">COUNTIFS(보유분석!$AI$2:$AI$801,$A24,보유분석!$AR$2:$AR$801,"Cheap",보유분석!$AC$2:$AC$801,1)</f>
        <v>1</v>
      </c>
      <c r="N24" s="9" t="n">
        <f aca="false">COUNTIFS(보유분석!$AI$2:$AI$801,$A24,보유분석!$AR$2:$AR$801,"Rich",보유분석!$AC$2:$AC$801,1)</f>
        <v>2</v>
      </c>
      <c r="O24" s="47"/>
      <c r="P24" s="48" t="str">
        <f aca="false">IF(O24="","",O24-C24)</f>
        <v/>
      </c>
      <c r="Q24" s="46" t="n">
        <f aca="false">-SUMIFS(보유분석!$AZ$2:$AZ$801,보유분석!$AI$2:$AI$801,$A24,보유분석!$AC$2:$AC$801,1)*설정!$C$10</f>
        <v>-1252257.55963516</v>
      </c>
      <c r="R24" s="44" t="n">
        <f aca="false">IF((-SUMIFS(보유분석!$AZ$2:$AZ$801,보유분석!$AC$2:$AC$801,1)*설정!$C$10)=0,0,Q24/(-SUMIFS(보유분석!$AZ$2:$AZ$801,보유분석!$AC$2:$AC$801,1)*설정!$C$10))</f>
        <v>0.123047502971912</v>
      </c>
      <c r="S24" s="45" t="n">
        <f aca="false">IF(SUMIFS(보유분석!$BG$2:$BG$801,보유분석!$AI$2:$AI$801,$A24,보유분석!$AC$2:$AC$801,1)=0,"",SUMIFS(보유분석!$BH$2:$BH$801,보유분석!$AI$2:$AI$801,$A24,보유분석!$AC$2:$AC$801,1)/SUMIFS(보유분석!$BG$2:$BG$801,보유분석!$AI$2:$AI$801,$A24,보유분석!$AC$2:$AC$801,1))</f>
        <v>7.37432671724655</v>
      </c>
      <c r="T24" s="49" t="n">
        <f aca="false">IF(SUMIFS(보유분석!$BI$2:$BI$801,보유분석!$AI$2:$AI$801,$A24,보유분석!$AC$2:$AC$801,1)=0,"",SUMIFS(보유분석!$BD$2:$BD$801,보유분석!$AI$2:$AI$801,$A24,보유분석!$AC$2:$AC$801,1)/SUMIFS(보유분석!$BI$2:$BI$801,보유분석!$AI$2:$AI$801,$A24,보유분석!$AC$2:$AC$801,1))</f>
        <v>1</v>
      </c>
    </row>
    <row r="25" customFormat="false" ht="15" hidden="false" customHeight="false" outlineLevel="0" collapsed="false">
      <c r="A25" s="64" t="s">
        <v>82</v>
      </c>
      <c r="B25" s="35" t="n">
        <f aca="false">SUMIFS(보유분석!$AA$2:$AA$801,보유분석!$AI$2:$AI$801,$A25,보유분석!$AC$2:$AC$801,1)</f>
        <v>35.459857</v>
      </c>
      <c r="C25" s="44" t="n">
        <f aca="false">IF(SUMIFS(보유분석!$AA$2:$AA$801,보유분석!$AC$2:$AC$801,1)=0,0,B25/SUMIFS(보유분석!$AA$2:$AA$801,보유분석!$AC$2:$AC$801,1))</f>
        <v>0.025159565045212</v>
      </c>
      <c r="D25" s="39" t="n">
        <f aca="false">SUMIFS(보유분석!$AM$2:$AM$801,보유분석!$AI$2:$AI$801,$A25,보유분석!$AC$2:$AC$801,1)</f>
        <v>7074.41576796</v>
      </c>
      <c r="E25" s="44" t="n">
        <f aca="false">IF(SUMIFS(보유분석!$AM$2:$AM$801,보유분석!$AC$2:$AC$801,1)=0,0,D25/SUMIFS(보유분석!$AM$2:$AM$801,보유분석!$AC$2:$AC$801,1))</f>
        <v>0.0186550194907989</v>
      </c>
      <c r="F25" s="36" t="n">
        <f aca="false">IF(SUMIFS(보유분석!$BB$2:$BB$801,보유분석!$AI$2:$AI$801,$A25,보유분석!$AC$2:$AC$801,1)=0,"",SUMIFS(보유분석!$BA$2:$BA$801,보유분석!$AI$2:$AI$801,$A25,보유분석!$AC$2:$AC$801,1)/SUMIFS(보유분석!$BB$2:$BB$801,보유분석!$AI$2:$AI$801,$A25,보유분석!$AC$2:$AC$801,1))</f>
        <v>5.60561961087717</v>
      </c>
      <c r="G25" s="45" t="n">
        <f aca="false">IF(F25="","",(F25-(SUMIFS(보유분석!$BA$2:$BA$801,보유분석!$AC$2:$AC$801,1)/SUMIFS(보유분석!$BB$2:$BB$801,보유분석!$AC$2:$AC$801,1)))*100)</f>
        <v>-5.44162140564293</v>
      </c>
      <c r="H25" s="37" t="n">
        <f aca="false">IF(SUMIFS(보유분석!$BD$2:$BD$801,보유분석!$AI$2:$AI$801,$A25,보유분석!$AC$2:$AC$801,1)=0,"",SUMIFS(보유분석!$BC$2:$BC$801,보유분석!$AI$2:$AI$801,$A25,보유분석!$AC$2:$AC$801,1)/SUMIFS(보유분석!$BD$2:$BD$801,보유분석!$AI$2:$AI$801,$A25,보유분석!$AC$2:$AC$801,1))</f>
        <v>95.4493203775242</v>
      </c>
      <c r="I25" s="38" t="n">
        <f aca="false">IF(SUMIFS(보유분석!$BF$2:$BF$801,보유분석!$AI$2:$AI$801,$A25,보유분석!$AC$2:$AC$801,1)=0,"",SUMIFS(보유분석!$BE$2:$BE$801,보유분석!$AI$2:$AI$801,$A25,보유분석!$AC$2:$AC$801,1)/SUMIFS(보유분석!$BF$2:$BF$801,보유분석!$AI$2:$AI$801,$A25,보유분석!$AC$2:$AC$801,1))</f>
        <v>1.99504915317622</v>
      </c>
      <c r="J25" s="37" t="n">
        <f aca="false">IF(SUMIFS(보유분석!$BG$2:$BG$801,보유분석!$AI$2:$AI$801,$A25,보유분석!$AC$2:$AC$801,1)=0,"",(SUMIFS(보유분석!$BC$2:$BC$801,보유분석!$AI$2:$AI$801,$A25,보유분석!$AC$2:$AC$801,1)+SUMIFS(보유분석!$BH$2:$BH$801,보유분석!$AI$2:$AI$801,$A25,보유분석!$AC$2:$AC$801,1))/SUMIFS(보유분석!$BG$2:$BG$801,보유분석!$AI$2:$AI$801,$A25,보유분석!$AC$2:$AC$801,1))</f>
        <v>41.5743647685732</v>
      </c>
      <c r="K25" s="40" t="n">
        <f aca="false">IF(B25=0,"",SUMIFS(보유분석!$AV$2:$AV$801,보유분석!$AI$2:$AI$801,$A25,보유분석!$AC$2:$AC$801,1)/(B25*1000000))</f>
        <v>0.0575068226643968</v>
      </c>
      <c r="L25" s="46" t="n">
        <f aca="false">SUMIFS(보유분석!$AP$2:$AP$801,보유분석!$AI$2:$AI$801,$A25,보유분석!$AC$2:$AC$801,1)</f>
        <v>-990577</v>
      </c>
      <c r="M25" s="9" t="n">
        <f aca="false">COUNTIFS(보유분석!$AI$2:$AI$801,$A25,보유분석!$AR$2:$AR$801,"Cheap",보유분석!$AC$2:$AC$801,1)</f>
        <v>3</v>
      </c>
      <c r="N25" s="9" t="n">
        <f aca="false">COUNTIFS(보유분석!$AI$2:$AI$801,$A25,보유분석!$AR$2:$AR$801,"Rich",보유분석!$AC$2:$AC$801,1)</f>
        <v>0</v>
      </c>
      <c r="O25" s="47"/>
      <c r="P25" s="48" t="str">
        <f aca="false">IF(O25="","",O25-C25)</f>
        <v/>
      </c>
      <c r="Q25" s="46" t="n">
        <f aca="false">-SUMIFS(보유분석!$AZ$2:$AZ$801,보유분석!$AI$2:$AI$801,$A25,보유분석!$AC$2:$AC$801,1)*설정!$C$10</f>
        <v>-269705.889041577</v>
      </c>
      <c r="R25" s="44" t="n">
        <f aca="false">IF((-SUMIFS(보유분석!$AZ$2:$AZ$801,보유분석!$AC$2:$AC$801,1)*설정!$C$10)=0,0,Q25/(-SUMIFS(보유분석!$AZ$2:$AZ$801,보유분석!$AC$2:$AC$801,1)*설정!$C$10))</f>
        <v>0.0265014460707703</v>
      </c>
      <c r="S25" s="45" t="n">
        <f aca="false">IF(SUMIFS(보유분석!$BG$2:$BG$801,보유분석!$AI$2:$AI$801,$A25,보유분석!$AC$2:$AC$801,1)=0,"",SUMIFS(보유분석!$BH$2:$BH$801,보유분석!$AI$2:$AI$801,$A25,보유분석!$AC$2:$AC$801,1)/SUMIFS(보유분석!$BG$2:$BG$801,보유분석!$AI$2:$AI$801,$A25,보유분석!$AC$2:$AC$801,1))</f>
        <v>7.27526721343855</v>
      </c>
      <c r="T25" s="49" t="n">
        <f aca="false">IF(SUMIFS(보유분석!$BI$2:$BI$801,보유분석!$AI$2:$AI$801,$A25,보유분석!$AC$2:$AC$801,1)=0,"",SUMIFS(보유분석!$BD$2:$BD$801,보유분석!$AI$2:$AI$801,$A25,보유분석!$AC$2:$AC$801,1)/SUMIFS(보유분석!$BI$2:$BI$801,보유분석!$AI$2:$AI$801,$A25,보유분석!$AC$2:$AC$801,1))</f>
        <v>0.716500548775479</v>
      </c>
    </row>
    <row r="26" customFormat="false" ht="15" hidden="false" customHeight="false" outlineLevel="0" collapsed="false">
      <c r="A26" s="64" t="s">
        <v>83</v>
      </c>
      <c r="B26" s="35" t="n">
        <f aca="false">SUMIFS(보유분석!$AA$2:$AA$801,보유분석!$AI$2:$AI$801,$A26,보유분석!$AC$2:$AC$801,1)</f>
        <v>9.58941</v>
      </c>
      <c r="C26" s="44" t="n">
        <f aca="false">IF(SUMIFS(보유분석!$AA$2:$AA$801,보유분석!$AC$2:$AC$801,1)=0,0,B26/SUMIFS(보유분석!$AA$2:$AA$801,보유분석!$AC$2:$AC$801,1))</f>
        <v>0.00680390179351842</v>
      </c>
      <c r="D26" s="39" t="n">
        <f aca="false">SUMIFS(보유분석!$AM$2:$AM$801,보유분석!$AI$2:$AI$801,$A26,보유분석!$AC$2:$AC$801,1)</f>
        <v>3713.1154461</v>
      </c>
      <c r="E26" s="44" t="n">
        <f aca="false">IF(SUMIFS(보유분석!$AM$2:$AM$801,보유분석!$AC$2:$AC$801,1)=0,0,D26/SUMIFS(보유분석!$AM$2:$AM$801,보유분석!$AC$2:$AC$801,1))</f>
        <v>0.00979137264341993</v>
      </c>
      <c r="F26" s="36" t="n">
        <f aca="false">IF(SUMIFS(보유분석!$BB$2:$BB$801,보유분석!$AI$2:$AI$801,$A26,보유분석!$AC$2:$AC$801,1)=0,"",SUMIFS(보유분석!$BA$2:$BA$801,보유분석!$AI$2:$AI$801,$A26,보유분석!$AC$2:$AC$801,1)/SUMIFS(보유분석!$BB$2:$BB$801,보유분석!$AI$2:$AI$801,$A26,보유분석!$AC$2:$AC$801,1))</f>
        <v>5.9103</v>
      </c>
      <c r="G26" s="45" t="n">
        <f aca="false">IF(F26="","",(F26-(SUMIFS(보유분석!$BA$2:$BA$801,보유분석!$AC$2:$AC$801,1)/SUMIFS(보유분석!$BB$2:$BB$801,보유분석!$AC$2:$AC$801,1)))*100)</f>
        <v>25.0264175066404</v>
      </c>
      <c r="H26" s="37" t="n">
        <f aca="false">IF(SUMIFS(보유분석!$BD$2:$BD$801,보유분석!$AI$2:$AI$801,$A26,보유분석!$AC$2:$AC$801,1)=0,"",SUMIFS(보유분석!$BC$2:$BC$801,보유분석!$AI$2:$AI$801,$A26,보유분석!$AC$2:$AC$801,1)/SUMIFS(보유분석!$BD$2:$BD$801,보유분석!$AI$2:$AI$801,$A26,보유분석!$AC$2:$AC$801,1))</f>
        <v>85.718</v>
      </c>
      <c r="I26" s="38" t="n">
        <f aca="false">IF(SUMIFS(보유분석!$BF$2:$BF$801,보유분석!$AI$2:$AI$801,$A26,보유분석!$AC$2:$AC$801,1)=0,"",SUMIFS(보유분석!$BE$2:$BE$801,보유분석!$AI$2:$AI$801,$A26,보유분석!$AC$2:$AC$801,1)/SUMIFS(보유분석!$BF$2:$BF$801,보유분석!$AI$2:$AI$801,$A26,보유분석!$AC$2:$AC$801,1))</f>
        <v>3.8721</v>
      </c>
      <c r="J26" s="37" t="n">
        <f aca="false">IF(SUMIFS(보유분석!$BG$2:$BG$801,보유분석!$AI$2:$AI$801,$A26,보유분석!$AC$2:$AC$801,1)=0,"",(SUMIFS(보유분석!$BC$2:$BC$801,보유분석!$AI$2:$AI$801,$A26,보유분석!$AC$2:$AC$801,1)+SUMIFS(보유분석!$BH$2:$BH$801,보유분석!$AI$2:$AI$801,$A26,보유분석!$AC$2:$AC$801,1))/SUMIFS(보유분석!$BG$2:$BG$801,보유분석!$AI$2:$AI$801,$A26,보유분석!$AC$2:$AC$801,1))</f>
        <v>28.6257050258526</v>
      </c>
      <c r="K26" s="40" t="n">
        <f aca="false">IF(B26=0,"",SUMIFS(보유분석!$AV$2:$AV$801,보유분석!$AI$2:$AI$801,$A26,보유분석!$AC$2:$AC$801,1)/(B26*1000000))</f>
        <v>0.0616153592430604</v>
      </c>
      <c r="L26" s="46" t="n">
        <f aca="false">SUMIFS(보유분석!$AP$2:$AP$801,보유분석!$AI$2:$AI$801,$A26,보유분석!$AC$2:$AC$801,1)</f>
        <v>-360590</v>
      </c>
      <c r="M26" s="9" t="n">
        <f aca="false">COUNTIFS(보유분석!$AI$2:$AI$801,$A26,보유분석!$AR$2:$AR$801,"Cheap",보유분석!$AC$2:$AC$801,1)</f>
        <v>0</v>
      </c>
      <c r="N26" s="9" t="n">
        <f aca="false">COUNTIFS(보유분석!$AI$2:$AI$801,$A26,보유분석!$AR$2:$AR$801,"Rich",보유분석!$AC$2:$AC$801,1)</f>
        <v>0</v>
      </c>
      <c r="O26" s="47"/>
      <c r="P26" s="48" t="str">
        <f aca="false">IF(O26="","",O26-C26)</f>
        <v/>
      </c>
      <c r="Q26" s="46" t="n">
        <f aca="false">-SUMIFS(보유분석!$AZ$2:$AZ$801,보유분석!$AI$2:$AI$801,$A26,보유분석!$AC$2:$AC$801,1)*설정!$C$10</f>
        <v>-120353.026784891</v>
      </c>
      <c r="R26" s="44" t="n">
        <f aca="false">IF((-SUMIFS(보유분석!$AZ$2:$AZ$801,보유분석!$AC$2:$AC$801,1)*설정!$C$10)=0,0,Q26/(-SUMIFS(보유분석!$AZ$2:$AZ$801,보유분석!$AC$2:$AC$801,1)*설정!$C$10))</f>
        <v>0.0118259533009385</v>
      </c>
      <c r="S26" s="45" t="n">
        <f aca="false">IF(SUMIFS(보유분석!$BG$2:$BG$801,보유분석!$AI$2:$AI$801,$A26,보유분석!$AC$2:$AC$801,1)=0,"",SUMIFS(보유분석!$BH$2:$BH$801,보유분석!$AI$2:$AI$801,$A26,보유분석!$AC$2:$AC$801,1)/SUMIFS(보유분석!$BG$2:$BG$801,보유분석!$AI$2:$AI$801,$A26,보유분석!$AC$2:$AC$801,1))</f>
        <v>6.48836353157305</v>
      </c>
      <c r="T26" s="49" t="n">
        <f aca="false">IF(SUMIFS(보유분석!$BI$2:$BI$801,보유분석!$AI$2:$AI$801,$A26,보유분석!$AC$2:$AC$801,1)=0,"",SUMIFS(보유분석!$BD$2:$BD$801,보유분석!$AI$2:$AI$801,$A26,보유분석!$AC$2:$AC$801,1)/SUMIFS(보유분석!$BI$2:$BI$801,보유분석!$AI$2:$AI$801,$A26,보유분석!$AC$2:$AC$801,1))</f>
        <v>1</v>
      </c>
    </row>
    <row r="27" customFormat="false" ht="15" hidden="false" customHeight="false" outlineLevel="0" collapsed="false">
      <c r="A27" s="64" t="s">
        <v>84</v>
      </c>
      <c r="B27" s="35" t="n">
        <f aca="false">SUMIFS(보유분석!$AA$2:$AA$801,보유분석!$AI$2:$AI$801,$A27,보유분석!$AC$2:$AC$801,1)</f>
        <v>0</v>
      </c>
      <c r="C27" s="44" t="n">
        <f aca="false">IF(SUMIFS(보유분석!$AA$2:$AA$801,보유분석!$AC$2:$AC$801,1)=0,0,B27/SUMIFS(보유분석!$AA$2:$AA$801,보유분석!$AC$2:$AC$801,1))</f>
        <v>0</v>
      </c>
      <c r="D27" s="39" t="n">
        <f aca="false">SUMIFS(보유분석!$AM$2:$AM$801,보유분석!$AI$2:$AI$801,$A27,보유분석!$AC$2:$AC$801,1)</f>
        <v>0</v>
      </c>
      <c r="E27" s="44" t="n">
        <f aca="false">IF(SUMIFS(보유분석!$AM$2:$AM$801,보유분석!$AC$2:$AC$801,1)=0,0,D27/SUMIFS(보유분석!$AM$2:$AM$801,보유분석!$AC$2:$AC$801,1))</f>
        <v>0</v>
      </c>
      <c r="F27" s="36" t="str">
        <f aca="false">IF(SUMIFS(보유분석!$BB$2:$BB$801,보유분석!$AI$2:$AI$801,$A27,보유분석!$AC$2:$AC$801,1)=0,"",SUMIFS(보유분석!$BA$2:$BA$801,보유분석!$AI$2:$AI$801,$A27,보유분석!$AC$2:$AC$801,1)/SUMIFS(보유분석!$BB$2:$BB$801,보유분석!$AI$2:$AI$801,$A27,보유분석!$AC$2:$AC$801,1))</f>
        <v/>
      </c>
      <c r="G27" s="45" t="str">
        <f aca="false">IF(F27="","",(F27-(SUMIFS(보유분석!$BA$2:$BA$801,보유분석!$AC$2:$AC$801,1)/SUMIFS(보유분석!$BB$2:$BB$801,보유분석!$AC$2:$AC$801,1)))*100)</f>
        <v/>
      </c>
      <c r="H27" s="37" t="str">
        <f aca="false">IF(SUMIFS(보유분석!$BD$2:$BD$801,보유분석!$AI$2:$AI$801,$A27,보유분석!$AC$2:$AC$801,1)=0,"",SUMIFS(보유분석!$BC$2:$BC$801,보유분석!$AI$2:$AI$801,$A27,보유분석!$AC$2:$AC$801,1)/SUMIFS(보유분석!$BD$2:$BD$801,보유분석!$AI$2:$AI$801,$A27,보유분석!$AC$2:$AC$801,1))</f>
        <v/>
      </c>
      <c r="I27" s="38" t="str">
        <f aca="false">IF(SUMIFS(보유분석!$BF$2:$BF$801,보유분석!$AI$2:$AI$801,$A27,보유분석!$AC$2:$AC$801,1)=0,"",SUMIFS(보유분석!$BE$2:$BE$801,보유분석!$AI$2:$AI$801,$A27,보유분석!$AC$2:$AC$801,1)/SUMIFS(보유분석!$BF$2:$BF$801,보유분석!$AI$2:$AI$801,$A27,보유분석!$AC$2:$AC$801,1))</f>
        <v/>
      </c>
      <c r="J27" s="37" t="str">
        <f aca="false">IF(SUMIFS(보유분석!$BG$2:$BG$801,보유분석!$AI$2:$AI$801,$A27,보유분석!$AC$2:$AC$801,1)=0,"",(SUMIFS(보유분석!$BC$2:$BC$801,보유분석!$AI$2:$AI$801,$A27,보유분석!$AC$2:$AC$801,1)+SUMIFS(보유분석!$BH$2:$BH$801,보유분석!$AI$2:$AI$801,$A27,보유분석!$AC$2:$AC$801,1))/SUMIFS(보유분석!$BG$2:$BG$801,보유분석!$AI$2:$AI$801,$A27,보유분석!$AC$2:$AC$801,1))</f>
        <v/>
      </c>
      <c r="K27" s="40" t="str">
        <f aca="false">IF(B27=0,"",SUMIFS(보유분석!$AV$2:$AV$801,보유분석!$AI$2:$AI$801,$A27,보유분석!$AC$2:$AC$801,1)/(B27*1000000))</f>
        <v/>
      </c>
      <c r="L27" s="46" t="n">
        <f aca="false">SUMIFS(보유분석!$AP$2:$AP$801,보유분석!$AI$2:$AI$801,$A27,보유분석!$AC$2:$AC$801,1)</f>
        <v>0</v>
      </c>
      <c r="M27" s="9" t="n">
        <f aca="false">COUNTIFS(보유분석!$AI$2:$AI$801,$A27,보유분석!$AR$2:$AR$801,"Cheap",보유분석!$AC$2:$AC$801,1)</f>
        <v>0</v>
      </c>
      <c r="N27" s="9" t="n">
        <f aca="false">COUNTIFS(보유분석!$AI$2:$AI$801,$A27,보유분석!$AR$2:$AR$801,"Rich",보유분석!$AC$2:$AC$801,1)</f>
        <v>0</v>
      </c>
      <c r="O27" s="47"/>
      <c r="P27" s="48" t="str">
        <f aca="false">IF(O27="","",O27-C27)</f>
        <v/>
      </c>
      <c r="Q27" s="46" t="n">
        <f aca="false">-SUMIFS(보유분석!$AZ$2:$AZ$801,보유분석!$AI$2:$AI$801,$A27,보유분석!$AC$2:$AC$801,1)*설정!$C$10</f>
        <v>-0</v>
      </c>
      <c r="R27" s="44" t="n">
        <f aca="false">IF((-SUMIFS(보유분석!$AZ$2:$AZ$801,보유분석!$AC$2:$AC$801,1)*설정!$C$10)=0,0,Q27/(-SUMIFS(보유분석!$AZ$2:$AZ$801,보유분석!$AC$2:$AC$801,1)*설정!$C$10))</f>
        <v>0</v>
      </c>
      <c r="S27" s="45" t="str">
        <f aca="false">IF(SUMIFS(보유분석!$BG$2:$BG$801,보유분석!$AI$2:$AI$801,$A27,보유분석!$AC$2:$AC$801,1)=0,"",SUMIFS(보유분석!$BH$2:$BH$801,보유분석!$AI$2:$AI$801,$A27,보유분석!$AC$2:$AC$801,1)/SUMIFS(보유분석!$BG$2:$BG$801,보유분석!$AI$2:$AI$801,$A27,보유분석!$AC$2:$AC$801,1))</f>
        <v/>
      </c>
      <c r="T27" s="49" t="str">
        <f aca="false">IF(SUMIFS(보유분석!$BI$2:$BI$801,보유분석!$AI$2:$AI$801,$A27,보유분석!$AC$2:$AC$801,1)=0,"",SUMIFS(보유분석!$BD$2:$BD$801,보유분석!$AI$2:$AI$801,$A27,보유분석!$AC$2:$AC$801,1)/SUMIFS(보유분석!$BI$2:$BI$801,보유분석!$AI$2:$AI$801,$A27,보유분석!$AC$2:$AC$801,1))</f>
        <v/>
      </c>
    </row>
    <row r="28" customFormat="false" ht="15" hidden="false" customHeight="false" outlineLevel="0" collapsed="false">
      <c r="A28" s="64" t="s">
        <v>85</v>
      </c>
      <c r="B28" s="35" t="n">
        <f aca="false">SUMIFS(보유분석!$AA$2:$AA$801,보유분석!$AI$2:$AI$801,$A28,보유분석!$AC$2:$AC$801,1)</f>
        <v>9.5834</v>
      </c>
      <c r="C28" s="44" t="n">
        <f aca="false">IF(SUMIFS(보유분석!$AA$2:$AA$801,보유분석!$AC$2:$AC$801,1)=0,0,B28/SUMIFS(보유분석!$AA$2:$AA$801,보유분석!$AC$2:$AC$801,1))</f>
        <v>0.00679963756352106</v>
      </c>
      <c r="D28" s="39" t="n">
        <f aca="false">SUMIFS(보유분석!$AM$2:$AM$801,보유분석!$AI$2:$AI$801,$A28,보유분석!$AC$2:$AC$801,1)</f>
        <v>3758.60948</v>
      </c>
      <c r="E28" s="44" t="n">
        <f aca="false">IF(SUMIFS(보유분석!$AM$2:$AM$801,보유분석!$AC$2:$AC$801,1)=0,0,D28/SUMIFS(보유분석!$AM$2:$AM$801,보유분석!$AC$2:$AC$801,1))</f>
        <v>0.00991133902890766</v>
      </c>
      <c r="F28" s="36" t="n">
        <f aca="false">IF(SUMIFS(보유분석!$BB$2:$BB$801,보유분석!$AI$2:$AI$801,$A28,보유분석!$AC$2:$AC$801,1)=0,"",SUMIFS(보유분석!$BA$2:$BA$801,보유분석!$AI$2:$AI$801,$A28,보유분석!$AC$2:$AC$801,1)/SUMIFS(보유분석!$BB$2:$BB$801,보유분석!$AI$2:$AI$801,$A28,보유분석!$AC$2:$AC$801,1))</f>
        <v>5.8188</v>
      </c>
      <c r="G28" s="45" t="n">
        <f aca="false">IF(F28="","",(F28-(SUMIFS(보유분석!$BA$2:$BA$801,보유분석!$AC$2:$AC$801,1)/SUMIFS(보유분석!$BB$2:$BB$801,보유분석!$AC$2:$AC$801,1)))*100)</f>
        <v>15.8764175066404</v>
      </c>
      <c r="H28" s="37" t="n">
        <f aca="false">IF(SUMIFS(보유분석!$BD$2:$BD$801,보유분석!$AI$2:$AI$801,$A28,보유분석!$AC$2:$AC$801,1)=0,"",SUMIFS(보유분석!$BC$2:$BC$801,보유분석!$AI$2:$AI$801,$A28,보유분석!$AC$2:$AC$801,1)/SUMIFS(보유분석!$BD$2:$BD$801,보유분석!$AI$2:$AI$801,$A28,보유분석!$AC$2:$AC$801,1))</f>
        <v>83.476</v>
      </c>
      <c r="I28" s="38" t="n">
        <f aca="false">IF(SUMIFS(보유분석!$BF$2:$BF$801,보유분석!$AI$2:$AI$801,$A28,보유분석!$AC$2:$AC$801,1)=0,"",SUMIFS(보유분석!$BE$2:$BE$801,보유분석!$AI$2:$AI$801,$A28,보유분석!$AC$2:$AC$801,1)/SUMIFS(보유분석!$BF$2:$BF$801,보유분석!$AI$2:$AI$801,$A28,보유분석!$AC$2:$AC$801,1))</f>
        <v>3.922</v>
      </c>
      <c r="J28" s="37" t="n">
        <f aca="false">IF(SUMIFS(보유분석!$BG$2:$BG$801,보유분석!$AI$2:$AI$801,$A28,보유분석!$AC$2:$AC$801,1)=0,"",(SUMIFS(보유분석!$BC$2:$BC$801,보유분석!$AI$2:$AI$801,$A28,보유분석!$AC$2:$AC$801,1)+SUMIFS(보유분석!$BH$2:$BH$801,보유분석!$AI$2:$AI$801,$A28,보유분석!$AC$2:$AC$801,1))/SUMIFS(보유분석!$BG$2:$BG$801,보유분석!$AI$2:$AI$801,$A28,보유분석!$AC$2:$AC$801,1))</f>
        <v>27.7196060471637</v>
      </c>
      <c r="K28" s="40" t="n">
        <f aca="false">IF(B28=0,"",SUMIFS(보유분석!$AV$2:$AV$801,보유분석!$AI$2:$AI$801,$A28,보유분석!$AC$2:$AC$801,1)/(B28*1000000))</f>
        <v>0.0607120294916976</v>
      </c>
      <c r="L28" s="46" t="n">
        <f aca="false">SUMIFS(보유분석!$AP$2:$AP$801,보유분석!$AI$2:$AI$801,$A28,보유분석!$AC$2:$AC$801,1)</f>
        <v>-373100</v>
      </c>
      <c r="M28" s="9" t="n">
        <f aca="false">COUNTIFS(보유분석!$AI$2:$AI$801,$A28,보유분석!$AR$2:$AR$801,"Cheap",보유분석!$AC$2:$AC$801,1)</f>
        <v>0</v>
      </c>
      <c r="N28" s="9" t="n">
        <f aca="false">COUNTIFS(보유분석!$AI$2:$AI$801,$A28,보유분석!$AR$2:$AR$801,"Rich",보유분석!$AC$2:$AC$801,1)</f>
        <v>0</v>
      </c>
      <c r="O28" s="47"/>
      <c r="P28" s="48" t="str">
        <f aca="false">IF(O28="","",O28-C28)</f>
        <v/>
      </c>
      <c r="Q28" s="46" t="n">
        <f aca="false">-SUMIFS(보유분석!$AZ$2:$AZ$801,보유분석!$AI$2:$AI$801,$A28,보유분석!$AC$2:$AC$801,1)*설정!$C$10</f>
        <v>-118641.156212985</v>
      </c>
      <c r="R28" s="44" t="n">
        <f aca="false">IF((-SUMIFS(보유분석!$AZ$2:$AZ$801,보유분석!$AC$2:$AC$801,1)*설정!$C$10)=0,0,Q28/(-SUMIFS(보유분석!$AZ$2:$AZ$801,보유분석!$AC$2:$AC$801,1)*설정!$C$10))</f>
        <v>0.0116577439755776</v>
      </c>
      <c r="S28" s="45" t="n">
        <f aca="false">IF(SUMIFS(보유분석!$BG$2:$BG$801,보유분석!$AI$2:$AI$801,$A28,보유분석!$AC$2:$AC$801,1)=0,"",SUMIFS(보유분석!$BH$2:$BH$801,보유분석!$AI$2:$AI$801,$A28,보유분석!$AC$2:$AC$801,1)/SUMIFS(보유분석!$BG$2:$BG$801,보유분석!$AI$2:$AI$801,$A28,보유분석!$AC$2:$AC$801,1))</f>
        <v>6.43556729142679</v>
      </c>
      <c r="T28" s="49" t="n">
        <f aca="false">IF(SUMIFS(보유분석!$BI$2:$BI$801,보유분석!$AI$2:$AI$801,$A28,보유분석!$AC$2:$AC$801,1)=0,"",SUMIFS(보유분석!$BD$2:$BD$801,보유분석!$AI$2:$AI$801,$A28,보유분석!$AC$2:$AC$801,1)/SUMIFS(보유분석!$BI$2:$BI$801,보유분석!$AI$2:$AI$801,$A28,보유분석!$AC$2:$AC$801,1))</f>
        <v>1</v>
      </c>
    </row>
    <row r="29" customFormat="false" ht="15" hidden="false" customHeight="false" outlineLevel="0" collapsed="false">
      <c r="A29" s="64" t="s">
        <v>86</v>
      </c>
      <c r="B29" s="35" t="n">
        <f aca="false">SUMIFS(보유분석!$AA$2:$AA$801,보유분석!$AI$2:$AI$801,$A29,보유분석!$AC$2:$AC$801,1)</f>
        <v>15.813569</v>
      </c>
      <c r="C29" s="44" t="n">
        <f aca="false">IF(SUMIFS(보유분석!$AA$2:$AA$801,보유분석!$AC$2:$AC$801,1)=0,0,B29/SUMIFS(보유분석!$AA$2:$AA$801,보유분석!$AC$2:$AC$801,1))</f>
        <v>0.0112200824118509</v>
      </c>
      <c r="D29" s="39" t="n">
        <f aca="false">SUMIFS(보유분석!$AM$2:$AM$801,보유분석!$AI$2:$AI$801,$A29,보유분석!$AC$2:$AC$801,1)</f>
        <v>4258.25417489</v>
      </c>
      <c r="E29" s="44" t="n">
        <f aca="false">IF(SUMIFS(보유분석!$AM$2:$AM$801,보유분석!$AC$2:$AC$801,1)=0,0,D29/SUMIFS(보유분석!$AM$2:$AM$801,보유분석!$AC$2:$AC$801,1))</f>
        <v>0.0112288869123472</v>
      </c>
      <c r="F29" s="36" t="n">
        <f aca="false">IF(SUMIFS(보유분석!$BB$2:$BB$801,보유분석!$AI$2:$AI$801,$A29,보유분석!$AC$2:$AC$801,1)=0,"",SUMIFS(보유분석!$BA$2:$BA$801,보유분석!$AI$2:$AI$801,$A29,보유분석!$AC$2:$AC$801,1)/SUMIFS(보유분석!$BB$2:$BB$801,보유분석!$AI$2:$AI$801,$A29,보유분석!$AC$2:$AC$801,1))</f>
        <v>5.65768815678485</v>
      </c>
      <c r="G29" s="45" t="n">
        <f aca="false">IF(F29="","",(F29-(SUMIFS(보유분석!$BA$2:$BA$801,보유분석!$AC$2:$AC$801,1)/SUMIFS(보유분석!$BB$2:$BB$801,보유분석!$AC$2:$AC$801,1)))*100)</f>
        <v>-0.234766814874909</v>
      </c>
      <c r="H29" s="37" t="n">
        <f aca="false">IF(SUMIFS(보유분석!$BD$2:$BD$801,보유분석!$AI$2:$AI$801,$A29,보유분석!$AC$2:$AC$801,1)=0,"",SUMIFS(보유분석!$BC$2:$BC$801,보유분석!$AI$2:$AI$801,$A29,보유분석!$AC$2:$AC$801,1)/SUMIFS(보유분석!$BD$2:$BD$801,보유분석!$AI$2:$AI$801,$A29,보유분석!$AC$2:$AC$801,1))</f>
        <v>65.6952717967845</v>
      </c>
      <c r="I29" s="38" t="n">
        <f aca="false">IF(SUMIFS(보유분석!$BF$2:$BF$801,보유분석!$AI$2:$AI$801,$A29,보유분석!$AC$2:$AC$801,1)=0,"",SUMIFS(보유분석!$BE$2:$BE$801,보유분석!$AI$2:$AI$801,$A29,보유분석!$AC$2:$AC$801,1)/SUMIFS(보유분석!$BF$2:$BF$801,보유분석!$AI$2:$AI$801,$A29,보유분석!$AC$2:$AC$801,1))</f>
        <v>2.69278502208452</v>
      </c>
      <c r="J29" s="37" t="n">
        <f aca="false">IF(SUMIFS(보유분석!$BG$2:$BG$801,보유분석!$AI$2:$AI$801,$A29,보유분석!$AC$2:$AC$801,1)=0,"",(SUMIFS(보유분석!$BC$2:$BC$801,보유분석!$AI$2:$AI$801,$A29,보유분석!$AC$2:$AC$801,1)+SUMIFS(보유분석!$BH$2:$BH$801,보유분석!$AI$2:$AI$801,$A29,보유분석!$AC$2:$AC$801,1))/SUMIFS(보유분석!$BG$2:$BG$801,보유분석!$AI$2:$AI$801,$A29,보유분석!$AC$2:$AC$801,1))</f>
        <v>37.5378949508765</v>
      </c>
      <c r="K29" s="40" t="n">
        <f aca="false">IF(B29=0,"",SUMIFS(보유분석!$AV$2:$AV$801,보유분석!$AI$2:$AI$801,$A29,보유분석!$AC$2:$AC$801,1)/(B29*1000000))</f>
        <v>0.0580376164267618</v>
      </c>
      <c r="L29" s="46" t="n">
        <f aca="false">SUMIFS(보유분석!$AP$2:$AP$801,보유분석!$AI$2:$AI$801,$A29,보유분석!$AC$2:$AC$801,1)</f>
        <v>-523161</v>
      </c>
      <c r="M29" s="9" t="n">
        <f aca="false">COUNTIFS(보유분석!$AI$2:$AI$801,$A29,보유분석!$AR$2:$AR$801,"Cheap",보유분석!$AC$2:$AC$801,1)</f>
        <v>0</v>
      </c>
      <c r="N29" s="9" t="n">
        <f aca="false">COUNTIFS(보유분석!$AI$2:$AI$801,$A29,보유분석!$AR$2:$AR$801,"Rich",보유분석!$AC$2:$AC$801,1)</f>
        <v>0</v>
      </c>
      <c r="O29" s="47"/>
      <c r="P29" s="48" t="str">
        <f aca="false">IF(O29="","",O29-C29)</f>
        <v/>
      </c>
      <c r="Q29" s="46" t="n">
        <f aca="false">-SUMIFS(보유분석!$AZ$2:$AZ$801,보유분석!$AI$2:$AI$801,$A29,보유분석!$AC$2:$AC$801,1)*설정!$C$10</f>
        <v>-107688.242796332</v>
      </c>
      <c r="R29" s="44" t="n">
        <f aca="false">IF((-SUMIFS(보유분석!$AZ$2:$AZ$801,보유분석!$AC$2:$AC$801,1)*설정!$C$10)=0,0,Q29/(-SUMIFS(보유분석!$AZ$2:$AZ$801,보유분석!$AC$2:$AC$801,1)*설정!$C$10))</f>
        <v>0.0105815047979285</v>
      </c>
      <c r="S29" s="45" t="n">
        <f aca="false">IF(SUMIFS(보유분석!$BG$2:$BG$801,보유분석!$AI$2:$AI$801,$A29,보유분석!$AC$2:$AC$801,1)=0,"",SUMIFS(보유분석!$BH$2:$BH$801,보유분석!$AI$2:$AI$801,$A29,보유분석!$AC$2:$AC$801,1)/SUMIFS(보유분석!$BG$2:$BG$801,보유분석!$AI$2:$AI$801,$A29,보유분석!$AC$2:$AC$801,1))</f>
        <v>9.15125205933133</v>
      </c>
      <c r="T29" s="49" t="n">
        <f aca="false">IF(SUMIFS(보유분석!$BI$2:$BI$801,보유분석!$AI$2:$AI$801,$A29,보유분석!$AC$2:$AC$801,1)=0,"",SUMIFS(보유분석!$BD$2:$BD$801,보유분석!$AI$2:$AI$801,$A29,보유분석!$AC$2:$AC$801,1)/SUMIFS(보유분석!$BI$2:$BI$801,보유분석!$AI$2:$AI$801,$A29,보유분석!$AC$2:$AC$801,1))</f>
        <v>0.689716786893585</v>
      </c>
    </row>
    <row r="30" customFormat="false" ht="15" hidden="false" customHeight="false" outlineLevel="0" collapsed="false">
      <c r="A30" s="64" t="s">
        <v>87</v>
      </c>
      <c r="B30" s="35" t="n">
        <f aca="false">SUMIFS(보유분석!$AA$2:$AA$801,보유분석!$AI$2:$AI$801,$A30,보유분석!$AC$2:$AC$801,1)</f>
        <v>24.4945</v>
      </c>
      <c r="C30" s="44" t="n">
        <f aca="false">IF(SUMIFS(보유분석!$AA$2:$AA$801,보유분석!$AC$2:$AC$801,1)=0,0,B30/SUMIFS(보유분석!$AA$2:$AA$801,보유분석!$AC$2:$AC$801,1))</f>
        <v>0.0173793979485012</v>
      </c>
      <c r="D30" s="39" t="n">
        <f aca="false">SUMIFS(보유분석!$AM$2:$AM$801,보유분석!$AI$2:$AI$801,$A30,보유분석!$AC$2:$AC$801,1)</f>
        <v>6607.63632</v>
      </c>
      <c r="E30" s="44" t="n">
        <f aca="false">IF(SUMIFS(보유분석!$AM$2:$AM$801,보유분석!$AC$2:$AC$801,1)=0,0,D30/SUMIFS(보유분석!$AM$2:$AM$801,보유분석!$AC$2:$AC$801,1))</f>
        <v>0.0174241362652136</v>
      </c>
      <c r="F30" s="36" t="n">
        <f aca="false">IF(SUMIFS(보유분석!$BB$2:$BB$801,보유분석!$AI$2:$AI$801,$A30,보유분석!$AC$2:$AC$801,1)=0,"",SUMIFS(보유분석!$BA$2:$BA$801,보유분석!$AI$2:$AI$801,$A30,보유분석!$AC$2:$AC$801,1)/SUMIFS(보유분석!$BB$2:$BB$801,보유분석!$AI$2:$AI$801,$A30,보유분석!$AC$2:$AC$801,1))</f>
        <v>5.7549</v>
      </c>
      <c r="G30" s="45" t="n">
        <f aca="false">IF(F30="","",(F30-(SUMIFS(보유분석!$BA$2:$BA$801,보유분석!$AC$2:$AC$801,1)/SUMIFS(보유분석!$BB$2:$BB$801,보유분석!$AC$2:$AC$801,1)))*100)</f>
        <v>9.48641750664034</v>
      </c>
      <c r="H30" s="37" t="n">
        <f aca="false">IF(SUMIFS(보유분석!$BD$2:$BD$801,보유분석!$AI$2:$AI$801,$A30,보유분석!$AC$2:$AC$801,1)=0,"",SUMIFS(보유분석!$BC$2:$BC$801,보유분석!$AI$2:$AI$801,$A30,보유분석!$AC$2:$AC$801,1)/SUMIFS(보유분석!$BD$2:$BD$801,보유분석!$AI$2:$AI$801,$A30,보유분석!$AC$2:$AC$801,1))</f>
        <v>53.762</v>
      </c>
      <c r="I30" s="38" t="n">
        <f aca="false">IF(SUMIFS(보유분석!$BF$2:$BF$801,보유분석!$AI$2:$AI$801,$A30,보유분석!$AC$2:$AC$801,1)=0,"",SUMIFS(보유분석!$BE$2:$BE$801,보유분석!$AI$2:$AI$801,$A30,보유분석!$AC$2:$AC$801,1)/SUMIFS(보유분석!$BF$2:$BF$801,보유분석!$AI$2:$AI$801,$A30,보유분석!$AC$2:$AC$801,1))</f>
        <v>2.6976</v>
      </c>
      <c r="J30" s="37" t="n">
        <f aca="false">IF(SUMIFS(보유분석!$BG$2:$BG$801,보유분석!$AI$2:$AI$801,$A30,보유분석!$AC$2:$AC$801,1)=0,"",(SUMIFS(보유분석!$BC$2:$BC$801,보유분석!$AI$2:$AI$801,$A30,보유분석!$AC$2:$AC$801,1)+SUMIFS(보유분석!$BH$2:$BH$801,보유분석!$AI$2:$AI$801,$A30,보유분석!$AC$2:$AC$801,1))/SUMIFS(보유분석!$BG$2:$BG$801,보유분석!$AI$2:$AI$801,$A30,보유분석!$AC$2:$AC$801,1))</f>
        <v>25.9781852838462</v>
      </c>
      <c r="K30" s="40" t="n">
        <f aca="false">IF(B30=0,"",SUMIFS(보유분석!$AV$2:$AV$801,보유분석!$AI$2:$AI$801,$A30,보유분석!$AC$2:$AC$801,1)/(B30*1000000))</f>
        <v>0.0591806752621704</v>
      </c>
      <c r="L30" s="46" t="n">
        <f aca="false">SUMIFS(보유분석!$AP$2:$AP$801,보유분석!$AI$2:$AI$801,$A30,보유분석!$AC$2:$AC$801,1)</f>
        <v>-718000</v>
      </c>
      <c r="M30" s="9" t="n">
        <f aca="false">COUNTIFS(보유분석!$AI$2:$AI$801,$A30,보유분석!$AR$2:$AR$801,"Cheap",보유분석!$AC$2:$AC$801,1)</f>
        <v>0</v>
      </c>
      <c r="N30" s="9" t="n">
        <f aca="false">COUNTIFS(보유분석!$AI$2:$AI$801,$A30,보유분석!$AR$2:$AR$801,"Rich",보유분석!$AC$2:$AC$801,1)</f>
        <v>0</v>
      </c>
      <c r="O30" s="47"/>
      <c r="P30" s="48" t="str">
        <f aca="false">IF(O30="","",O30-C30)</f>
        <v/>
      </c>
      <c r="Q30" s="46" t="n">
        <f aca="false">-SUMIFS(보유분석!$AZ$2:$AZ$801,보유분석!$AI$2:$AI$801,$A30,보유분석!$AC$2:$AC$801,1)*설정!$C$10</f>
        <v>-134328.474732884</v>
      </c>
      <c r="R30" s="44" t="n">
        <f aca="false">IF((-SUMIFS(보유분석!$AZ$2:$AZ$801,보유분석!$AC$2:$AC$801,1)*설정!$C$10)=0,0,Q30/(-SUMIFS(보유분석!$AZ$2:$AZ$801,보유분석!$AC$2:$AC$801,1)*설정!$C$10))</f>
        <v>0.0131991883512547</v>
      </c>
      <c r="S30" s="45" t="n">
        <f aca="false">IF(SUMIFS(보유분석!$BG$2:$BG$801,보유분석!$AI$2:$AI$801,$A30,보유분석!$AC$2:$AC$801,1)=0,"",SUMIFS(보유분석!$BH$2:$BH$801,보유분석!$AI$2:$AI$801,$A30,보유분석!$AC$2:$AC$801,1)/SUMIFS(보유분석!$BG$2:$BG$801,보유분석!$AI$2:$AI$801,$A30,보유분석!$AC$2:$AC$801,1))</f>
        <v>6.04861826130766</v>
      </c>
      <c r="T30" s="49" t="n">
        <f aca="false">IF(SUMIFS(보유분석!$BI$2:$BI$801,보유분석!$AI$2:$AI$801,$A30,보유분석!$AC$2:$AC$801,1)=0,"",SUMIFS(보유분석!$BD$2:$BD$801,보유분석!$AI$2:$AI$801,$A30,보유분석!$AC$2:$AC$801,1)/SUMIFS(보유분석!$BI$2:$BI$801,보유분석!$AI$2:$AI$801,$A30,보유분석!$AC$2:$AC$801,1))</f>
        <v>1</v>
      </c>
    </row>
    <row r="31" customFormat="false" ht="15" hidden="false" customHeight="false" outlineLevel="0" collapsed="false">
      <c r="A31" s="64" t="s">
        <v>88</v>
      </c>
      <c r="B31" s="35" t="n">
        <f aca="false">SUMIFS(보유분석!$AA$2:$AA$801,보유분석!$AI$2:$AI$801,$A31,보유분석!$AC$2:$AC$801,1)</f>
        <v>0</v>
      </c>
      <c r="C31" s="44" t="n">
        <f aca="false">IF(SUMIFS(보유분석!$AA$2:$AA$801,보유분석!$AC$2:$AC$801,1)=0,0,B31/SUMIFS(보유분석!$AA$2:$AA$801,보유분석!$AC$2:$AC$801,1))</f>
        <v>0</v>
      </c>
      <c r="D31" s="39" t="n">
        <f aca="false">SUMIFS(보유분석!$AM$2:$AM$801,보유분석!$AI$2:$AI$801,$A31,보유분석!$AC$2:$AC$801,1)</f>
        <v>0</v>
      </c>
      <c r="E31" s="44" t="n">
        <f aca="false">IF(SUMIFS(보유분석!$AM$2:$AM$801,보유분석!$AC$2:$AC$801,1)=0,0,D31/SUMIFS(보유분석!$AM$2:$AM$801,보유분석!$AC$2:$AC$801,1))</f>
        <v>0</v>
      </c>
      <c r="F31" s="36" t="str">
        <f aca="false">IF(SUMIFS(보유분석!$BB$2:$BB$801,보유분석!$AI$2:$AI$801,$A31,보유분석!$AC$2:$AC$801,1)=0,"",SUMIFS(보유분석!$BA$2:$BA$801,보유분석!$AI$2:$AI$801,$A31,보유분석!$AC$2:$AC$801,1)/SUMIFS(보유분석!$BB$2:$BB$801,보유분석!$AI$2:$AI$801,$A31,보유분석!$AC$2:$AC$801,1))</f>
        <v/>
      </c>
      <c r="G31" s="45" t="str">
        <f aca="false">IF(F31="","",(F31-(SUMIFS(보유분석!$BA$2:$BA$801,보유분석!$AC$2:$AC$801,1)/SUMIFS(보유분석!$BB$2:$BB$801,보유분석!$AC$2:$AC$801,1)))*100)</f>
        <v/>
      </c>
      <c r="H31" s="37" t="str">
        <f aca="false">IF(SUMIFS(보유분석!$BD$2:$BD$801,보유분석!$AI$2:$AI$801,$A31,보유분석!$AC$2:$AC$801,1)=0,"",SUMIFS(보유분석!$BC$2:$BC$801,보유분석!$AI$2:$AI$801,$A31,보유분석!$AC$2:$AC$801,1)/SUMIFS(보유분석!$BD$2:$BD$801,보유분석!$AI$2:$AI$801,$A31,보유분석!$AC$2:$AC$801,1))</f>
        <v/>
      </c>
      <c r="I31" s="38" t="str">
        <f aca="false">IF(SUMIFS(보유분석!$BF$2:$BF$801,보유분석!$AI$2:$AI$801,$A31,보유분석!$AC$2:$AC$801,1)=0,"",SUMIFS(보유분석!$BE$2:$BE$801,보유분석!$AI$2:$AI$801,$A31,보유분석!$AC$2:$AC$801,1)/SUMIFS(보유분석!$BF$2:$BF$801,보유분석!$AI$2:$AI$801,$A31,보유분석!$AC$2:$AC$801,1))</f>
        <v/>
      </c>
      <c r="J31" s="37" t="str">
        <f aca="false">IF(SUMIFS(보유분석!$BG$2:$BG$801,보유분석!$AI$2:$AI$801,$A31,보유분석!$AC$2:$AC$801,1)=0,"",(SUMIFS(보유분석!$BC$2:$BC$801,보유분석!$AI$2:$AI$801,$A31,보유분석!$AC$2:$AC$801,1)+SUMIFS(보유분석!$BH$2:$BH$801,보유분석!$AI$2:$AI$801,$A31,보유분석!$AC$2:$AC$801,1))/SUMIFS(보유분석!$BG$2:$BG$801,보유분석!$AI$2:$AI$801,$A31,보유분석!$AC$2:$AC$801,1))</f>
        <v/>
      </c>
      <c r="K31" s="40" t="str">
        <f aca="false">IF(B31=0,"",SUMIFS(보유분석!$AV$2:$AV$801,보유분석!$AI$2:$AI$801,$A31,보유분석!$AC$2:$AC$801,1)/(B31*1000000))</f>
        <v/>
      </c>
      <c r="L31" s="46" t="n">
        <f aca="false">SUMIFS(보유분석!$AP$2:$AP$801,보유분석!$AI$2:$AI$801,$A31,보유분석!$AC$2:$AC$801,1)</f>
        <v>0</v>
      </c>
      <c r="M31" s="9" t="n">
        <f aca="false">COUNTIFS(보유분석!$AI$2:$AI$801,$A31,보유분석!$AR$2:$AR$801,"Cheap",보유분석!$AC$2:$AC$801,1)</f>
        <v>0</v>
      </c>
      <c r="N31" s="9" t="n">
        <f aca="false">COUNTIFS(보유분석!$AI$2:$AI$801,$A31,보유분석!$AR$2:$AR$801,"Rich",보유분석!$AC$2:$AC$801,1)</f>
        <v>0</v>
      </c>
      <c r="O31" s="47"/>
      <c r="P31" s="48" t="str">
        <f aca="false">IF(O31="","",O31-C31)</f>
        <v/>
      </c>
      <c r="Q31" s="46" t="n">
        <f aca="false">-SUMIFS(보유분석!$AZ$2:$AZ$801,보유분석!$AI$2:$AI$801,$A31,보유분석!$AC$2:$AC$801,1)*설정!$C$10</f>
        <v>-0</v>
      </c>
      <c r="R31" s="44" t="n">
        <f aca="false">IF((-SUMIFS(보유분석!$AZ$2:$AZ$801,보유분석!$AC$2:$AC$801,1)*설정!$C$10)=0,0,Q31/(-SUMIFS(보유분석!$AZ$2:$AZ$801,보유분석!$AC$2:$AC$801,1)*설정!$C$10))</f>
        <v>0</v>
      </c>
      <c r="S31" s="45" t="str">
        <f aca="false">IF(SUMIFS(보유분석!$BG$2:$BG$801,보유분석!$AI$2:$AI$801,$A31,보유분석!$AC$2:$AC$801,1)=0,"",SUMIFS(보유분석!$BH$2:$BH$801,보유분석!$AI$2:$AI$801,$A31,보유분석!$AC$2:$AC$801,1)/SUMIFS(보유분석!$BG$2:$BG$801,보유분석!$AI$2:$AI$801,$A31,보유분석!$AC$2:$AC$801,1))</f>
        <v/>
      </c>
      <c r="T31" s="49" t="str">
        <f aca="false">IF(SUMIFS(보유분석!$BI$2:$BI$801,보유분석!$AI$2:$AI$801,$A31,보유분석!$AC$2:$AC$801,1)=0,"",SUMIFS(보유분석!$BD$2:$BD$801,보유분석!$AI$2:$AI$801,$A31,보유분석!$AC$2:$AC$801,1)/SUMIFS(보유분석!$BI$2:$BI$801,보유분석!$AI$2:$AI$801,$A31,보유분석!$AC$2:$AC$801,1))</f>
        <v/>
      </c>
    </row>
    <row r="32" customFormat="false" ht="15" hidden="false" customHeight="false" outlineLevel="0" collapsed="false">
      <c r="A32" s="50" t="s">
        <v>75</v>
      </c>
      <c r="B32" s="35" t="n">
        <f aca="false">SUMPRODUCT(ISNA(MATCH(보유분석!$AI$2:$AI$801,$A$21:$A$31,0))*(보유분석!$AC$2:$AC$801=1)*보유분석!$AA$2:$AA$801)</f>
        <v>0</v>
      </c>
      <c r="C32" s="44" t="n">
        <f aca="false">IF(SUMIFS(보유분석!$AA$2:$AA$801,보유분석!$AC$2:$AC$801,1)=0,0,B32/SUMIFS(보유분석!$AA$2:$AA$801,보유분석!$AC$2:$AC$801,1))</f>
        <v>0</v>
      </c>
      <c r="D32" s="39" t="n">
        <f aca="false">SUMPRODUCT(ISNA(MATCH(보유분석!$AI$2:$AI$801,$A$21:$A$31,0))*(보유분석!$AC$2:$AC$801=1)*보유분석!$AM$2:$AM$801)</f>
        <v>0</v>
      </c>
      <c r="E32" s="44" t="n">
        <f aca="false">IF(SUMIFS(보유분석!$AM$2:$AM$801,보유분석!$AC$2:$AC$801,1)=0,0,D32/SUMIFS(보유분석!$AM$2:$AM$801,보유분석!$AC$2:$AC$801,1))</f>
        <v>0</v>
      </c>
      <c r="F32" s="36" t="str">
        <f aca="false">IF(SUMPRODUCT(ISNA(MATCH(보유분석!$AI$2:$AI$801,$A$21:$A$31,0))*(보유분석!$AC$2:$AC$801=1)*보유분석!$BB$2:$BB$801)=0,"",SUMPRODUCT(ISNA(MATCH(보유분석!$AI$2:$AI$801,$A$21:$A$31,0))*(보유분석!$AC$2:$AC$801=1)*보유분석!$BA$2:$BA$801)/SUMPRODUCT(ISNA(MATCH(보유분석!$AI$2:$AI$801,$A$21:$A$31,0))*(보유분석!$AC$2:$AC$801=1)*보유분석!$BB$2:$BB$801))</f>
        <v/>
      </c>
      <c r="G32" s="45" t="str">
        <f aca="false">IF(F32="","",(F32-(SUMIFS(보유분석!$BA$2:$BA$801,보유분석!$AC$2:$AC$801,1)/SUMIFS(보유분석!$BB$2:$BB$801,보유분석!$AC$2:$AC$801,1)))*100)</f>
        <v/>
      </c>
      <c r="H32" s="37" t="str">
        <f aca="false">IF(SUMPRODUCT(ISNA(MATCH(보유분석!$AI$2:$AI$801,$A$21:$A$31,0))*(보유분석!$AC$2:$AC$801=1)*보유분석!$BD$2:$BD$801)=0,"",SUMPRODUCT(ISNA(MATCH(보유분석!$AI$2:$AI$801,$A$21:$A$31,0))*(보유분석!$AC$2:$AC$801=1)*보유분석!$BC$2:$BC$801)/SUMPRODUCT(ISNA(MATCH(보유분석!$AI$2:$AI$801,$A$21:$A$31,0))*(보유분석!$AC$2:$AC$801=1)*보유분석!$BD$2:$BD$801))</f>
        <v/>
      </c>
      <c r="I32" s="38" t="str">
        <f aca="false">IF(SUMPRODUCT(ISNA(MATCH(보유분석!$AI$2:$AI$801,$A$21:$A$31,0))*(보유분석!$AC$2:$AC$801=1)*보유분석!$BF$2:$BF$801)=0,"",SUMPRODUCT(ISNA(MATCH(보유분석!$AI$2:$AI$801,$A$21:$A$31,0))*(보유분석!$AC$2:$AC$801=1)*보유분석!$BE$2:$BE$801)/SUMPRODUCT(ISNA(MATCH(보유분석!$AI$2:$AI$801,$A$21:$A$31,0))*(보유분석!$AC$2:$AC$801=1)*보유분석!$BF$2:$BF$801))</f>
        <v/>
      </c>
      <c r="J32" s="37" t="str">
        <f aca="false">IF(SUMPRODUCT(ISNA(MATCH(보유분석!$AI$2:$AI$801,$A$21:$A$31,0))*(보유분석!$AC$2:$AC$801=1)*보유분석!$BG$2:$BG$801)=0,"",(SUMPRODUCT(ISNA(MATCH(보유분석!$AI$2:$AI$801,$A$21:$A$31,0))*(보유분석!$AC$2:$AC$801=1)*보유분석!$BC$2:$BC$801)+SUMPRODUCT(ISNA(MATCH(보유분석!$AI$2:$AI$801,$A$21:$A$31,0))*(보유분석!$AC$2:$AC$801=1)*보유분석!$BH$2:$BH$801))/SUMPRODUCT(ISNA(MATCH(보유분석!$AI$2:$AI$801,$A$21:$A$31,0))*(보유분석!$AC$2:$AC$801=1)*보유분석!$BG$2:$BG$801))</f>
        <v/>
      </c>
      <c r="K32" s="40" t="str">
        <f aca="false">IF(B32=0,"",SUMPRODUCT(ISNA(MATCH(보유분석!$AI$2:$AI$801,$A$21:$A$31,0))*(보유분석!$AC$2:$AC$801=1)*보유분석!$AV$2:$AV$801)/(B32*1000000))</f>
        <v/>
      </c>
      <c r="L32" s="46" t="n">
        <f aca="false">SUMPRODUCT(ISNA(MATCH(보유분석!$AI$2:$AI$801,$A$21:$A$31,0))*(보유분석!$AC$2:$AC$801=1)*보유분석!$AP$2:$AP$801)</f>
        <v>0</v>
      </c>
      <c r="M32" s="9" t="n">
        <f aca="false">SUMPRODUCT(ISNA(MATCH(보유분석!$AI$2:$AI$801,$A$21:$A$31,0))*(보유분석!$AC$2:$AC$801=1)*(보유분석!$AR$2:$AR$801="Cheap"))</f>
        <v>0</v>
      </c>
      <c r="N32" s="9" t="n">
        <f aca="false">SUMPRODUCT(ISNA(MATCH(보유분석!$AI$2:$AI$801,$A$21:$A$31,0))*(보유분석!$AC$2:$AC$801=1)*(보유분석!$AR$2:$AR$801="Rich"))</f>
        <v>0</v>
      </c>
      <c r="O32" s="47"/>
      <c r="P32" s="48" t="str">
        <f aca="false">IF(O32="","",O32-C32)</f>
        <v/>
      </c>
      <c r="Q32" s="46" t="n">
        <f aca="false">-SUMPRODUCT(ISNA(MATCH(보유분석!$AI$2:$AI$801,$A$21:$A$31,0))*(보유분석!$AC$2:$AC$801=1)*보유분석!$AZ$2:$AZ$801)*설정!$C$10</f>
        <v>-0</v>
      </c>
      <c r="R32" s="44" t="n">
        <f aca="false">IF((-SUMIFS(보유분석!$AZ$2:$AZ$801,보유분석!$AC$2:$AC$801,1)*설정!$C$10)=0,0,Q32/(-SUMIFS(보유분석!$AZ$2:$AZ$801,보유분석!$AC$2:$AC$801,1)*설정!$C$10))</f>
        <v>0</v>
      </c>
      <c r="S32" s="45" t="str">
        <f aca="false">IF(SUMPRODUCT(ISNA(MATCH(보유분석!$AI$2:$AI$801,$A$21:$A$31,0))*(보유분석!$AC$2:$AC$801=1)*보유분석!$BG$2:$BG$801)=0,"",SUMPRODUCT(ISNA(MATCH(보유분석!$AI$2:$AI$801,$A$21:$A$31,0))*(보유분석!$AC$2:$AC$801=1)*보유분석!$BH$2:$BH$801)/SUMPRODUCT(ISNA(MATCH(보유분석!$AI$2:$AI$801,$A$21:$A$31,0))*(보유분석!$AC$2:$AC$801=1)*보유분석!$BG$2:$BG$801))</f>
        <v/>
      </c>
      <c r="T32" s="49" t="str">
        <f aca="false">IF(SUMPRODUCT(ISNA(MATCH(보유분석!$AI$2:$AI$801,$A$21:$A$31,0))*(보유분석!$AC$2:$AC$801=1)*보유분석!$BI$2:$BI$801)=0,"",SUMPRODUCT(ISNA(MATCH(보유분석!$AI$2:$AI$801,$A$21:$A$31,0))*(보유분석!$AC$2:$AC$801=1)*보유분석!$BD$2:$BD$801)/SUMPRODUCT(ISNA(MATCH(보유분석!$AI$2:$AI$801,$A$21:$A$31,0))*(보유분석!$AC$2:$AC$801=1)*보유분석!$BI$2:$BI$801))</f>
        <v/>
      </c>
    </row>
    <row r="33" customFormat="false" ht="15" hidden="false" customHeight="false" outlineLevel="0" collapsed="false">
      <c r="A33" s="51" t="s">
        <v>76</v>
      </c>
      <c r="B33" s="52" t="n">
        <f aca="false">SUM(B21:B32)</f>
        <v>1409.39864963</v>
      </c>
      <c r="C33" s="53" t="n">
        <f aca="false">SUM(C21:C32)</f>
        <v>1</v>
      </c>
      <c r="D33" s="54" t="n">
        <f aca="false">SUM(D21:D32)</f>
        <v>379223.177517946</v>
      </c>
      <c r="E33" s="53" t="n">
        <f aca="false">SUM(E21:E32)</f>
        <v>1</v>
      </c>
      <c r="F33" s="55" t="n">
        <f aca="false">IF(SUMIFS(보유분석!$BB$2:$BB$801,보유분석!$AC$2:$AC$801,1)=0,"",SUMIFS(보유분석!$BA$2:$BA$801,보유분석!$AC$2:$AC$801,1)/SUMIFS(보유분석!$BB$2:$BB$801,보유분석!$AC$2:$AC$801,1))</f>
        <v>5.6600358249336</v>
      </c>
      <c r="G33" s="56"/>
      <c r="H33" s="57" t="n">
        <f aca="false">IF(SUMIFS(보유분석!$BD$2:$BD$801,보유분석!$AC$2:$AC$801,1)=0,"",SUMIFS(보유분석!$BC$2:$BC$801,보유분석!$AC$2:$AC$801,1)/SUMIFS(보유분석!$BD$2:$BD$801,보유분석!$AC$2:$AC$801,1))</f>
        <v>66.114006085129</v>
      </c>
      <c r="I33" s="58" t="n">
        <f aca="false">IF(SUMIFS(보유분석!$BF$2:$BF$801,보유분석!$AC$2:$AC$801,1)=0,"",SUMIFS(보유분석!$BE$2:$BE$801,보유분석!$AC$2:$AC$801,1)/SUMIFS(보유분석!$BF$2:$BF$801,보유분석!$AC$2:$AC$801,1))</f>
        <v>2.69067362607096</v>
      </c>
      <c r="J33" s="57" t="n">
        <f aca="false">IF(SUMIFS(보유분석!$BG$2:$BG$801,보유분석!$AC$2:$AC$801,1)=0,"",(SUMIFS(보유분석!$BC$2:$BC$801,보유분석!$AC$2:$AC$801,1)+SUMIFS(보유분석!$BH$2:$BH$801,보유분석!$AC$2:$AC$801,1))/SUMIFS(보유분석!$BG$2:$BG$801,보유분석!$AC$2:$AC$801,1))</f>
        <v>31.4685741331147</v>
      </c>
      <c r="K33" s="59" t="n">
        <f aca="false">IF(B33=0,"",SUMIFS(보유분석!$AV$2:$AV$801,보유분석!$AC$2:$AC$801,1)/(B33*1000000))</f>
        <v>0.0582546221879707</v>
      </c>
      <c r="L33" s="60" t="n">
        <f aca="false">SUM(L21:L32)</f>
        <v>-44901234.1</v>
      </c>
      <c r="M33" s="61"/>
      <c r="N33" s="61"/>
      <c r="O33" s="53" t="str">
        <f aca="false">IF(COUNT(O21:O32)=0,"",SUM(O21:O32))</f>
        <v/>
      </c>
      <c r="P33" s="62"/>
      <c r="Q33" s="60" t="n">
        <f aca="false">SUM(Q21:Q32)</f>
        <v>-10177025.3714211</v>
      </c>
      <c r="R33" s="53" t="n">
        <f aca="false">SUM(R21:R32)</f>
        <v>1</v>
      </c>
      <c r="S33" s="56" t="n">
        <f aca="false">IF(SUMIFS(보유분석!$BG$2:$BG$801,보유분석!$AC$2:$AC$801,1)=0,"",SUMIFS(보유분석!$BH$2:$BH$801,보유분석!$AC$2:$AC$801,1)/SUMIFS(보유분석!$BG$2:$BG$801,보유분석!$AC$2:$AC$801,1))</f>
        <v>6.4728237935996</v>
      </c>
      <c r="T33" s="63" t="n">
        <f aca="false">IF(SUMIFS(보유분석!$BI$2:$BI$801,보유분석!$AC$2:$AC$801,1)=0,"",SUMIFS(보유분석!$BD$2:$BD$801,보유분석!$AC$2:$AC$801,1)/SUMIFS(보유분석!$BI$2:$BI$801,보유분석!$AC$2:$AC$801,1))</f>
        <v>0.977967173185718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false" outlineLevel="0" collapsed="false">
      <c r="A36" s="24" t="s">
        <v>89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41" hidden="false" customHeight="false" outlineLevel="0" collapsed="false">
      <c r="A37" s="5" t="s">
        <v>51</v>
      </c>
      <c r="B37" s="5" t="s">
        <v>40</v>
      </c>
      <c r="C37" s="5" t="s">
        <v>52</v>
      </c>
      <c r="D37" s="25" t="s">
        <v>24</v>
      </c>
      <c r="E37" s="25" t="s">
        <v>53</v>
      </c>
      <c r="F37" s="5" t="s">
        <v>41</v>
      </c>
      <c r="G37" s="5" t="s">
        <v>54</v>
      </c>
      <c r="H37" s="5" t="s">
        <v>55</v>
      </c>
      <c r="I37" s="5" t="s">
        <v>43</v>
      </c>
      <c r="J37" s="5" t="s">
        <v>56</v>
      </c>
      <c r="K37" s="25" t="s">
        <v>44</v>
      </c>
      <c r="L37" s="5" t="s">
        <v>57</v>
      </c>
      <c r="M37" s="25" t="s">
        <v>58</v>
      </c>
      <c r="N37" s="25" t="s">
        <v>59</v>
      </c>
      <c r="O37" s="5" t="s">
        <v>60</v>
      </c>
      <c r="P37" s="5" t="s">
        <v>61</v>
      </c>
      <c r="Q37" s="5" t="s">
        <v>62</v>
      </c>
      <c r="R37" s="5" t="s">
        <v>63</v>
      </c>
      <c r="S37" s="5" t="s">
        <v>64</v>
      </c>
      <c r="T37" s="25" t="s">
        <v>65</v>
      </c>
    </row>
    <row r="38" customFormat="false" ht="15" hidden="false" customHeight="false" outlineLevel="0" collapsed="false">
      <c r="A38" s="64" t="s">
        <v>79</v>
      </c>
      <c r="B38" s="35" t="n">
        <f aca="false">SUMIFS(보유분석!$AA$2:$AA$801,보유분석!$AH$2:$AH$801,$A38,보유분석!$AC$2:$AC$801,1)</f>
        <v>346.2104953</v>
      </c>
      <c r="C38" s="44" t="n">
        <f aca="false">IF(SUMIFS(보유분석!$AA$2:$AA$801,보유분석!$AC$2:$AC$801,1)=0,0,B38/SUMIFS(보유분석!$AA$2:$AA$801,보유분석!$AC$2:$AC$801,1))</f>
        <v>0.245644123038495</v>
      </c>
      <c r="D38" s="39" t="n">
        <f aca="false">SUMIFS(보유분석!$AM$2:$AM$801,보유분석!$AH$2:$AH$801,$A38,보유분석!$AC$2:$AC$801,1)</f>
        <v>103156.980430809</v>
      </c>
      <c r="E38" s="44" t="n">
        <f aca="false">IF(SUMIFS(보유분석!$AM$2:$AM$801,보유분석!$AC$2:$AC$801,1)=0,0,D38/SUMIFS(보유분석!$AM$2:$AM$801,보유분석!$AC$2:$AC$801,1))</f>
        <v>0.272021823945418</v>
      </c>
      <c r="F38" s="36" t="n">
        <f aca="false">IF(SUMIFS(보유분석!$BB$2:$BB$801,보유분석!$AH$2:$AH$801,$A38,보유분석!$AC$2:$AC$801,1)=0,"",SUMIFS(보유분석!$BA$2:$BA$801,보유분석!$AH$2:$AH$801,$A38,보유분석!$AC$2:$AC$801,1)/SUMIFS(보유분석!$BB$2:$BB$801,보유분석!$AH$2:$AH$801,$A38,보유분석!$AC$2:$AC$801,1))</f>
        <v>5.64462762518794</v>
      </c>
      <c r="G38" s="45" t="n">
        <f aca="false">IF(F38="","",(F38-(SUMIFS(보유분석!$BA$2:$BA$801,보유분석!$AC$2:$AC$801,1)/SUMIFS(보유분석!$BB$2:$BB$801,보유분석!$AC$2:$AC$801,1)))*100)</f>
        <v>-1.54081997456554</v>
      </c>
      <c r="H38" s="37" t="n">
        <f aca="false">IF(SUMIFS(보유분석!$BD$2:$BD$801,보유분석!$AH$2:$AH$801,$A38,보유분석!$AC$2:$AC$801,1)=0,"",SUMIFS(보유분석!$BC$2:$BC$801,보유분석!$AH$2:$AH$801,$A38,보유분석!$AC$2:$AC$801,1)/SUMIFS(보유분석!$BD$2:$BD$801,보유분석!$AH$2:$AH$801,$A38,보유분석!$AC$2:$AC$801,1))</f>
        <v>66.5804152571463</v>
      </c>
      <c r="I38" s="38" t="n">
        <f aca="false">IF(SUMIFS(보유분석!$BF$2:$BF$801,보유분석!$AH$2:$AH$801,$A38,보유분석!$AC$2:$AC$801,1)=0,"",SUMIFS(보유분석!$BE$2:$BE$801,보유분석!$AH$2:$AH$801,$A38,보유분석!$AC$2:$AC$801,1)/SUMIFS(보유분석!$BF$2:$BF$801,보유분석!$AH$2:$AH$801,$A38,보유분석!$AC$2:$AC$801,1))</f>
        <v>2.97960292455666</v>
      </c>
      <c r="J38" s="37" t="n">
        <f aca="false">IF(SUMIFS(보유분석!$BG$2:$BG$801,보유분석!$AH$2:$AH$801,$A38,보유분석!$AC$2:$AC$801,1)=0,"",(SUMIFS(보유분석!$BC$2:$BC$801,보유분석!$AH$2:$AH$801,$A38,보유분석!$AC$2:$AC$801,1)+SUMIFS(보유분석!$BH$2:$BH$801,보유분석!$AH$2:$AH$801,$A38,보유분석!$AC$2:$AC$801,1))/SUMIFS(보유분석!$BG$2:$BG$801,보유분석!$AH$2:$AH$801,$A38,보유분석!$AC$2:$AC$801,1))</f>
        <v>31.8443473250221</v>
      </c>
      <c r="K38" s="40" t="n">
        <f aca="false">IF(B38=0,"",SUMIFS(보유분석!$AV$2:$AV$801,보유분석!$AH$2:$AH$801,$A38,보유분석!$AC$2:$AC$801,1)/(B38*1000000))</f>
        <v>0.0583152735960052</v>
      </c>
      <c r="L38" s="46" t="n">
        <f aca="false">SUMIFS(보유분석!$AP$2:$AP$801,보유분석!$AH$2:$AH$801,$A38,보유분석!$AC$2:$AC$801,1)</f>
        <v>-12389374.35</v>
      </c>
      <c r="M38" s="9" t="n">
        <f aca="false">COUNTIFS(보유분석!$AH$2:$AH$801,$A38,보유분석!$AR$2:$AR$801,"Cheap",보유분석!$AC$2:$AC$801,1)</f>
        <v>9</v>
      </c>
      <c r="N38" s="9" t="n">
        <f aca="false">COUNTIFS(보유분석!$AH$2:$AH$801,$A38,보유분석!$AR$2:$AR$801,"Rich",보유분석!$AC$2:$AC$801,1)</f>
        <v>3</v>
      </c>
      <c r="O38" s="47"/>
      <c r="P38" s="48" t="str">
        <f aca="false">IF(O38="","",O38-C38)</f>
        <v/>
      </c>
      <c r="Q38" s="46" t="n">
        <f aca="false">-SUMIFS(보유분석!$AZ$2:$AZ$801,보유분석!$AH$2:$AH$801,$A38,보유분석!$AC$2:$AC$801,1)*설정!$C$10</f>
        <v>-2496353.8861217</v>
      </c>
      <c r="R38" s="44" t="n">
        <f aca="false">IF((-SUMIFS(보유분석!$AZ$2:$AZ$801,보유분석!$AC$2:$AC$801,1)*설정!$C$10)=0,0,Q38/(-SUMIFS(보유분석!$AZ$2:$AZ$801,보유분석!$AC$2:$AC$801,1)*설정!$C$10))</f>
        <v>0.245293078774464</v>
      </c>
      <c r="S38" s="45" t="n">
        <f aca="false">IF(SUMIFS(보유분석!$BG$2:$BG$801,보유분석!$AH$2:$AH$801,$A38,보유분석!$AC$2:$AC$801,1)=0,"",SUMIFS(보유분석!$BH$2:$BH$801,보유분석!$AH$2:$AH$801,$A38,보유분석!$AC$2:$AC$801,1)/SUMIFS(보유분석!$BG$2:$BG$801,보유분석!$AH$2:$AH$801,$A38,보유분석!$AC$2:$AC$801,1))</f>
        <v>7.5305610799044</v>
      </c>
      <c r="T38" s="49" t="n">
        <f aca="false">IF(SUMIFS(보유분석!$BI$2:$BI$801,보유분석!$AH$2:$AH$801,$A38,보유분석!$AC$2:$AC$801,1)=0,"",SUMIFS(보유분석!$BD$2:$BD$801,보유분석!$AH$2:$AH$801,$A38,보유분석!$AC$2:$AC$801,1)/SUMIFS(보유분석!$BI$2:$BI$801,보유분석!$AH$2:$AH$801,$A38,보유분석!$AC$2:$AC$801,1))</f>
        <v>0.952858439524094</v>
      </c>
    </row>
    <row r="39" customFormat="false" ht="15" hidden="false" customHeight="false" outlineLevel="0" collapsed="false">
      <c r="A39" s="64" t="s">
        <v>90</v>
      </c>
      <c r="B39" s="35" t="n">
        <f aca="false">SUMIFS(보유분석!$AA$2:$AA$801,보유분석!$AH$2:$AH$801,$A39,보유분석!$AC$2:$AC$801,1)</f>
        <v>227.102055</v>
      </c>
      <c r="C39" s="44" t="n">
        <f aca="false">IF(SUMIFS(보유분석!$AA$2:$AA$801,보유분석!$AC$2:$AC$801,1)=0,0,B39/SUMIFS(보유분석!$AA$2:$AA$801,보유분석!$AC$2:$AC$801,1))</f>
        <v>0.161134009217065</v>
      </c>
      <c r="D39" s="39" t="n">
        <f aca="false">SUMIFS(보유분석!$AM$2:$AM$801,보유분석!$AH$2:$AH$801,$A39,보유분석!$AC$2:$AC$801,1)</f>
        <v>61855.29523173</v>
      </c>
      <c r="E39" s="44" t="n">
        <f aca="false">IF(SUMIFS(보유분석!$AM$2:$AM$801,보유분석!$AC$2:$AC$801,1)=0,0,D39/SUMIFS(보유분석!$AM$2:$AM$801,보유분석!$AC$2:$AC$801,1))</f>
        <v>0.163110534637094</v>
      </c>
      <c r="F39" s="36" t="n">
        <f aca="false">IF(SUMIFS(보유분석!$BB$2:$BB$801,보유분석!$AH$2:$AH$801,$A39,보유분석!$AC$2:$AC$801,1)=0,"",SUMIFS(보유분석!$BA$2:$BA$801,보유분석!$AH$2:$AH$801,$A39,보유분석!$AC$2:$AC$801,1)/SUMIFS(보유분석!$BB$2:$BB$801,보유분석!$AH$2:$AH$801,$A39,보유분석!$AC$2:$AC$801,1))</f>
        <v>5.68628479222656</v>
      </c>
      <c r="G39" s="45" t="n">
        <f aca="false">IF(F39="","",(F39-(SUMIFS(보유분석!$BA$2:$BA$801,보유분석!$AC$2:$AC$801,1)/SUMIFS(보유분석!$BB$2:$BB$801,보유분석!$AC$2:$AC$801,1)))*100)</f>
        <v>2.62489672929647</v>
      </c>
      <c r="H39" s="37" t="n">
        <f aca="false">IF(SUMIFS(보유분석!$BD$2:$BD$801,보유분석!$AH$2:$AH$801,$A39,보유분석!$AC$2:$AC$801,1)=0,"",SUMIFS(보유분석!$BC$2:$BC$801,보유분석!$AH$2:$AH$801,$A39,보유분석!$AC$2:$AC$801,1)/SUMIFS(보유분석!$BD$2:$BD$801,보유분석!$AH$2:$AH$801,$A39,보유분석!$AC$2:$AC$801,1))</f>
        <v>75.6343596375116</v>
      </c>
      <c r="I39" s="38" t="n">
        <f aca="false">IF(SUMIFS(보유분석!$BF$2:$BF$801,보유분석!$AH$2:$AH$801,$A39,보유분석!$AC$2:$AC$801,1)=0,"",SUMIFS(보유분석!$BE$2:$BE$801,보유분석!$AH$2:$AH$801,$A39,보유분석!$AC$2:$AC$801,1)/SUMIFS(보유분석!$BF$2:$BF$801,보유분석!$AH$2:$AH$801,$A39,보유분석!$AC$2:$AC$801,1))</f>
        <v>2.72367835824867</v>
      </c>
      <c r="J39" s="37" t="n">
        <f aca="false">IF(SUMIFS(보유분석!$BG$2:$BG$801,보유분석!$AH$2:$AH$801,$A39,보유분석!$AC$2:$AC$801,1)=0,"",(SUMIFS(보유분석!$BC$2:$BC$801,보유분석!$AH$2:$AH$801,$A39,보유분석!$AC$2:$AC$801,1)+SUMIFS(보유분석!$BH$2:$BH$801,보유분석!$AH$2:$AH$801,$A39,보유분석!$AC$2:$AC$801,1))/SUMIFS(보유분석!$BG$2:$BG$801,보유분석!$AH$2:$AH$801,$A39,보유분석!$AC$2:$AC$801,1))</f>
        <v>34.0138421640585</v>
      </c>
      <c r="K39" s="40" t="n">
        <f aca="false">IF(B39=0,"",SUMIFS(보유분석!$AV$2:$AV$801,보유분석!$AH$2:$AH$801,$A39,보유분석!$AC$2:$AC$801,1)/(B39*1000000))</f>
        <v>0.0588015827942662</v>
      </c>
      <c r="L39" s="46" t="n">
        <f aca="false">SUMIFS(보유분석!$AP$2:$AP$801,보유분석!$AH$2:$AH$801,$A39,보유분석!$AC$2:$AC$801,1)</f>
        <v>-7840919</v>
      </c>
      <c r="M39" s="9" t="n">
        <f aca="false">COUNTIFS(보유분석!$AH$2:$AH$801,$A39,보유분석!$AR$2:$AR$801,"Cheap",보유분석!$AC$2:$AC$801,1)</f>
        <v>4</v>
      </c>
      <c r="N39" s="9" t="n">
        <f aca="false">COUNTIFS(보유분석!$AH$2:$AH$801,$A39,보유분석!$AR$2:$AR$801,"Rich",보유분석!$AC$2:$AC$801,1)</f>
        <v>2</v>
      </c>
      <c r="O39" s="47"/>
      <c r="P39" s="48" t="str">
        <f aca="false">IF(O39="","",O39-C39)</f>
        <v/>
      </c>
      <c r="Q39" s="46" t="n">
        <f aca="false">-SUMIFS(보유분석!$AZ$2:$AZ$801,보유분석!$AH$2:$AH$801,$A39,보유분석!$AC$2:$AC$801,1)*설정!$C$10</f>
        <v>-1868645.87447094</v>
      </c>
      <c r="R39" s="44" t="n">
        <f aca="false">IF((-SUMIFS(보유분석!$AZ$2:$AZ$801,보유분석!$AC$2:$AC$801,1)*설정!$C$10)=0,0,Q39/(-SUMIFS(보유분석!$AZ$2:$AZ$801,보유분석!$AC$2:$AC$801,1)*설정!$C$10))</f>
        <v>0.183614151117127</v>
      </c>
      <c r="S39" s="45" t="n">
        <f aca="false">IF(SUMIFS(보유분석!$BG$2:$BG$801,보유분석!$AH$2:$AH$801,$A39,보유분석!$AC$2:$AC$801,1)=0,"",SUMIFS(보유분석!$BH$2:$BH$801,보유분석!$AH$2:$AH$801,$A39,보유분석!$AC$2:$AC$801,1)/SUMIFS(보유분석!$BG$2:$BG$801,보유분석!$AH$2:$AH$801,$A39,보유분석!$AC$2:$AC$801,1))</f>
        <v>7.32387161886781</v>
      </c>
      <c r="T39" s="49" t="n">
        <f aca="false">IF(SUMIFS(보유분석!$BI$2:$BI$801,보유분석!$AH$2:$AH$801,$A39,보유분석!$AC$2:$AC$801,1)=0,"",SUMIFS(보유분석!$BD$2:$BD$801,보유분석!$AH$2:$AH$801,$A39,보유분석!$AC$2:$AC$801,1)/SUMIFS(보유분석!$BI$2:$BI$801,보유분석!$AH$2:$AH$801,$A39,보유분석!$AC$2:$AC$801,1))</f>
        <v>0.934128579329676</v>
      </c>
    </row>
    <row r="40" customFormat="false" ht="15" hidden="false" customHeight="false" outlineLevel="0" collapsed="false">
      <c r="A40" s="64" t="s">
        <v>91</v>
      </c>
      <c r="B40" s="35" t="n">
        <f aca="false">SUMIFS(보유분석!$AA$2:$AA$801,보유분석!$AH$2:$AH$801,$A40,보유분석!$AC$2:$AC$801,1)</f>
        <v>811.59159933</v>
      </c>
      <c r="C40" s="44" t="n">
        <f aca="false">IF(SUMIFS(보유분석!$AA$2:$AA$801,보유분석!$AC$2:$AC$801,1)=0,0,B40/SUMIFS(보유분석!$AA$2:$AA$801,보유분석!$AC$2:$AC$801,1))</f>
        <v>0.575842469795939</v>
      </c>
      <c r="D40" s="39" t="n">
        <f aca="false">SUMIFS(보유분석!$AM$2:$AM$801,보유분석!$AH$2:$AH$801,$A40,보유분석!$AC$2:$AC$801,1)</f>
        <v>207603.265535408</v>
      </c>
      <c r="E40" s="44" t="n">
        <f aca="false">IF(SUMIFS(보유분석!$AM$2:$AM$801,보유분석!$AC$2:$AC$801,1)=0,0,D40/SUMIFS(보유분석!$AM$2:$AM$801,보유분석!$AC$2:$AC$801,1))</f>
        <v>0.547443505152274</v>
      </c>
      <c r="F40" s="36" t="n">
        <f aca="false">IF(SUMIFS(보유분석!$BB$2:$BB$801,보유분석!$AH$2:$AH$801,$A40,보유분석!$AC$2:$AC$801,1)=0,"",SUMIFS(보유분석!$BA$2:$BA$801,보유분석!$AH$2:$AH$801,$A40,보유분석!$AC$2:$AC$801,1)/SUMIFS(보유분석!$BB$2:$BB$801,보유분석!$AH$2:$AH$801,$A40,보유분석!$AC$2:$AC$801,1))</f>
        <v>5.65640054274631</v>
      </c>
      <c r="G40" s="45" t="n">
        <f aca="false">IF(F40="","",(F40-(SUMIFS(보유분석!$BA$2:$BA$801,보유분석!$AC$2:$AC$801,1)/SUMIFS(보유분석!$BB$2:$BB$801,보유분석!$AC$2:$AC$801,1)))*100)</f>
        <v>-0.363528218729137</v>
      </c>
      <c r="H40" s="37" t="n">
        <f aca="false">IF(SUMIFS(보유분석!$BD$2:$BD$801,보유분석!$AH$2:$AH$801,$A40,보유분석!$AC$2:$AC$801,1)=0,"",SUMIFS(보유분석!$BC$2:$BC$801,보유분석!$AH$2:$AH$801,$A40,보유분석!$AC$2:$AC$801,1)/SUMIFS(보유분석!$BD$2:$BD$801,보유분석!$AH$2:$AH$801,$A40,보유분석!$AC$2:$AC$801,1))</f>
        <v>63.8173844492132</v>
      </c>
      <c r="I40" s="38" t="n">
        <f aca="false">IF(SUMIFS(보유분석!$BF$2:$BF$801,보유분석!$AH$2:$AH$801,$A40,보유분석!$AC$2:$AC$801,1)=0,"",SUMIFS(보유분석!$BE$2:$BE$801,보유분석!$AH$2:$AH$801,$A40,보유분석!$AC$2:$AC$801,1)/SUMIFS(보유분석!$BF$2:$BF$801,보유분석!$AH$2:$AH$801,$A40,보유분석!$AC$2:$AC$801,1))</f>
        <v>2.55797701339925</v>
      </c>
      <c r="J40" s="37" t="n">
        <f aca="false">IF(SUMIFS(보유분석!$BG$2:$BG$801,보유분석!$AH$2:$AH$801,$A40,보유분석!$AC$2:$AC$801,1)=0,"",(SUMIFS(보유분석!$BC$2:$BC$801,보유분석!$AH$2:$AH$801,$A40,보유분석!$AC$2:$AC$801,1)+SUMIFS(보유분석!$BH$2:$BH$801,보유분석!$AH$2:$AH$801,$A40,보유분석!$AC$2:$AC$801,1))/SUMIFS(보유분석!$BG$2:$BG$801,보유분석!$AH$2:$AH$801,$A40,보유분석!$AC$2:$AC$801,1))</f>
        <v>30.7505599364555</v>
      </c>
      <c r="K40" s="40" t="n">
        <f aca="false">IF(B40=0,"",SUMIFS(보유분석!$AV$2:$AV$801,보유분석!$AH$2:$AH$801,$A40,보유분석!$AC$2:$AC$801,1)/(B40*1000000))</f>
        <v>0.0580477481408827</v>
      </c>
      <c r="L40" s="46" t="n">
        <f aca="false">SUMIFS(보유분석!$AP$2:$AP$801,보유분석!$AH$2:$AH$801,$A40,보유분석!$AC$2:$AC$801,1)</f>
        <v>-23952940.75</v>
      </c>
      <c r="M40" s="9" t="n">
        <f aca="false">COUNTIFS(보유분석!$AH$2:$AH$801,$A40,보유분석!$AR$2:$AR$801,"Cheap",보유분석!$AC$2:$AC$801,1)</f>
        <v>23</v>
      </c>
      <c r="N40" s="9" t="n">
        <f aca="false">COUNTIFS(보유분석!$AH$2:$AH$801,$A40,보유분석!$AR$2:$AR$801,"Rich",보유분석!$AC$2:$AC$801,1)</f>
        <v>5</v>
      </c>
      <c r="O40" s="47"/>
      <c r="P40" s="48" t="str">
        <f aca="false">IF(O40="","",O40-C40)</f>
        <v/>
      </c>
      <c r="Q40" s="46" t="n">
        <f aca="false">-SUMIFS(보유분석!$AZ$2:$AZ$801,보유분석!$AH$2:$AH$801,$A40,보유분석!$AC$2:$AC$801,1)*설정!$C$10</f>
        <v>-5677697.13609553</v>
      </c>
      <c r="R40" s="44" t="n">
        <f aca="false">IF((-SUMIFS(보유분석!$AZ$2:$AZ$801,보유분석!$AC$2:$AC$801,1)*설정!$C$10)=0,0,Q40/(-SUMIFS(보유분석!$AZ$2:$AZ$801,보유분석!$AC$2:$AC$801,1)*설정!$C$10))</f>
        <v>0.557893581757155</v>
      </c>
      <c r="S40" s="45" t="n">
        <f aca="false">IF(SUMIFS(보유분석!$BG$2:$BG$801,보유분석!$AH$2:$AH$801,$A40,보유분석!$AC$2:$AC$801,1)=0,"",SUMIFS(보유분석!$BH$2:$BH$801,보유분석!$AH$2:$AH$801,$A40,보유분석!$AC$2:$AC$801,1)/SUMIFS(보유분석!$BG$2:$BG$801,보유분석!$AH$2:$AH$801,$A40,보유분석!$AC$2:$AC$801,1))</f>
        <v>5.80192214197652</v>
      </c>
      <c r="T40" s="49" t="n">
        <f aca="false">IF(SUMIFS(보유분석!$BI$2:$BI$801,보유분석!$AH$2:$AH$801,$A40,보유분석!$AC$2:$AC$801,1)=0,"",SUMIFS(보유분석!$BD$2:$BD$801,보유분석!$AH$2:$AH$801,$A40,보유분석!$AC$2:$AC$801,1)/SUMIFS(보유분석!$BI$2:$BI$801,보유분석!$AH$2:$AH$801,$A40,보유분석!$AC$2:$AC$801,1))</f>
        <v>0.999757198571101</v>
      </c>
    </row>
    <row r="41" customFormat="false" ht="15" hidden="false" customHeight="false" outlineLevel="0" collapsed="false">
      <c r="A41" s="64" t="s">
        <v>92</v>
      </c>
      <c r="B41" s="35" t="n">
        <f aca="false">SUMIFS(보유분석!$AA$2:$AA$801,보유분석!$AH$2:$AH$801,$A41,보유분석!$AC$2:$AC$801,1)</f>
        <v>24.4945</v>
      </c>
      <c r="C41" s="44" t="n">
        <f aca="false">IF(SUMIFS(보유분석!$AA$2:$AA$801,보유분석!$AC$2:$AC$801,1)=0,0,B41/SUMIFS(보유분석!$AA$2:$AA$801,보유분석!$AC$2:$AC$801,1))</f>
        <v>0.0173793979485012</v>
      </c>
      <c r="D41" s="39" t="n">
        <f aca="false">SUMIFS(보유분석!$AM$2:$AM$801,보유분석!$AH$2:$AH$801,$A41,보유분석!$AC$2:$AC$801,1)</f>
        <v>6607.63632</v>
      </c>
      <c r="E41" s="44" t="n">
        <f aca="false">IF(SUMIFS(보유분석!$AM$2:$AM$801,보유분석!$AC$2:$AC$801,1)=0,0,D41/SUMIFS(보유분석!$AM$2:$AM$801,보유분석!$AC$2:$AC$801,1))</f>
        <v>0.0174241362652136</v>
      </c>
      <c r="F41" s="36" t="n">
        <f aca="false">IF(SUMIFS(보유분석!$BB$2:$BB$801,보유분석!$AH$2:$AH$801,$A41,보유분석!$AC$2:$AC$801,1)=0,"",SUMIFS(보유분석!$BA$2:$BA$801,보유분석!$AH$2:$AH$801,$A41,보유분석!$AC$2:$AC$801,1)/SUMIFS(보유분석!$BB$2:$BB$801,보유분석!$AH$2:$AH$801,$A41,보유분석!$AC$2:$AC$801,1))</f>
        <v>5.7549</v>
      </c>
      <c r="G41" s="45" t="n">
        <f aca="false">IF(F41="","",(F41-(SUMIFS(보유분석!$BA$2:$BA$801,보유분석!$AC$2:$AC$801,1)/SUMIFS(보유분석!$BB$2:$BB$801,보유분석!$AC$2:$AC$801,1)))*100)</f>
        <v>9.48641750664034</v>
      </c>
      <c r="H41" s="37" t="n">
        <f aca="false">IF(SUMIFS(보유분석!$BD$2:$BD$801,보유분석!$AH$2:$AH$801,$A41,보유분석!$AC$2:$AC$801,1)=0,"",SUMIFS(보유분석!$BC$2:$BC$801,보유분석!$AH$2:$AH$801,$A41,보유분석!$AC$2:$AC$801,1)/SUMIFS(보유분석!$BD$2:$BD$801,보유분석!$AH$2:$AH$801,$A41,보유분석!$AC$2:$AC$801,1))</f>
        <v>53.762</v>
      </c>
      <c r="I41" s="38" t="n">
        <f aca="false">IF(SUMIFS(보유분석!$BF$2:$BF$801,보유분석!$AH$2:$AH$801,$A41,보유분석!$AC$2:$AC$801,1)=0,"",SUMIFS(보유분석!$BE$2:$BE$801,보유분석!$AH$2:$AH$801,$A41,보유분석!$AC$2:$AC$801,1)/SUMIFS(보유분석!$BF$2:$BF$801,보유분석!$AH$2:$AH$801,$A41,보유분석!$AC$2:$AC$801,1))</f>
        <v>2.6976</v>
      </c>
      <c r="J41" s="37" t="n">
        <f aca="false">IF(SUMIFS(보유분석!$BG$2:$BG$801,보유분석!$AH$2:$AH$801,$A41,보유분석!$AC$2:$AC$801,1)=0,"",(SUMIFS(보유분석!$BC$2:$BC$801,보유분석!$AH$2:$AH$801,$A41,보유분석!$AC$2:$AC$801,1)+SUMIFS(보유분석!$BH$2:$BH$801,보유분석!$AH$2:$AH$801,$A41,보유분석!$AC$2:$AC$801,1))/SUMIFS(보유분석!$BG$2:$BG$801,보유분석!$AH$2:$AH$801,$A41,보유분석!$AC$2:$AC$801,1))</f>
        <v>25.9781852838462</v>
      </c>
      <c r="K41" s="40" t="n">
        <f aca="false">IF(B41=0,"",SUMIFS(보유분석!$AV$2:$AV$801,보유분석!$AH$2:$AH$801,$A41,보유분석!$AC$2:$AC$801,1)/(B41*1000000))</f>
        <v>0.0591806752621704</v>
      </c>
      <c r="L41" s="46" t="n">
        <f aca="false">SUMIFS(보유분석!$AP$2:$AP$801,보유분석!$AH$2:$AH$801,$A41,보유분석!$AC$2:$AC$801,1)</f>
        <v>-718000</v>
      </c>
      <c r="M41" s="9" t="n">
        <f aca="false">COUNTIFS(보유분석!$AH$2:$AH$801,$A41,보유분석!$AR$2:$AR$801,"Cheap",보유분석!$AC$2:$AC$801,1)</f>
        <v>0</v>
      </c>
      <c r="N41" s="9" t="n">
        <f aca="false">COUNTIFS(보유분석!$AH$2:$AH$801,$A41,보유분석!$AR$2:$AR$801,"Rich",보유분석!$AC$2:$AC$801,1)</f>
        <v>0</v>
      </c>
      <c r="O41" s="47"/>
      <c r="P41" s="48" t="str">
        <f aca="false">IF(O41="","",O41-C41)</f>
        <v/>
      </c>
      <c r="Q41" s="46" t="n">
        <f aca="false">-SUMIFS(보유분석!$AZ$2:$AZ$801,보유분석!$AH$2:$AH$801,$A41,보유분석!$AC$2:$AC$801,1)*설정!$C$10</f>
        <v>-134328.474732884</v>
      </c>
      <c r="R41" s="44" t="n">
        <f aca="false">IF((-SUMIFS(보유분석!$AZ$2:$AZ$801,보유분석!$AC$2:$AC$801,1)*설정!$C$10)=0,0,Q41/(-SUMIFS(보유분석!$AZ$2:$AZ$801,보유분석!$AC$2:$AC$801,1)*설정!$C$10))</f>
        <v>0.0131991883512547</v>
      </c>
      <c r="S41" s="45" t="n">
        <f aca="false">IF(SUMIFS(보유분석!$BG$2:$BG$801,보유분석!$AH$2:$AH$801,$A41,보유분석!$AC$2:$AC$801,1)=0,"",SUMIFS(보유분석!$BH$2:$BH$801,보유분석!$AH$2:$AH$801,$A41,보유분석!$AC$2:$AC$801,1)/SUMIFS(보유분석!$BG$2:$BG$801,보유분석!$AH$2:$AH$801,$A41,보유분석!$AC$2:$AC$801,1))</f>
        <v>6.04861826130766</v>
      </c>
      <c r="T41" s="49" t="n">
        <f aca="false">IF(SUMIFS(보유분석!$BI$2:$BI$801,보유분석!$AH$2:$AH$801,$A41,보유분석!$AC$2:$AC$801,1)=0,"",SUMIFS(보유분석!$BD$2:$BD$801,보유분석!$AH$2:$AH$801,$A41,보유분석!$AC$2:$AC$801,1)/SUMIFS(보유분석!$BI$2:$BI$801,보유분석!$AH$2:$AH$801,$A41,보유분석!$AC$2:$AC$801,1))</f>
        <v>1</v>
      </c>
    </row>
    <row r="42" customFormat="false" ht="15" hidden="false" customHeight="false" outlineLevel="0" collapsed="false">
      <c r="A42" s="50" t="s">
        <v>75</v>
      </c>
      <c r="B42" s="35" t="n">
        <f aca="false">SUMPRODUCT(ISNA(MATCH(보유분석!$AH$2:$AH$801,$A$38:$A$41,0))*(보유분석!$AC$2:$AC$801=1)*보유분석!$AA$2:$AA$801)</f>
        <v>0</v>
      </c>
      <c r="C42" s="44" t="n">
        <f aca="false">IF(SUMIFS(보유분석!$AA$2:$AA$801,보유분석!$AC$2:$AC$801,1)=0,0,B42/SUMIFS(보유분석!$AA$2:$AA$801,보유분석!$AC$2:$AC$801,1))</f>
        <v>0</v>
      </c>
      <c r="D42" s="39" t="n">
        <f aca="false">SUMPRODUCT(ISNA(MATCH(보유분석!$AH$2:$AH$801,$A$38:$A$41,0))*(보유분석!$AC$2:$AC$801=1)*보유분석!$AM$2:$AM$801)</f>
        <v>0</v>
      </c>
      <c r="E42" s="44" t="n">
        <f aca="false">IF(SUMIFS(보유분석!$AM$2:$AM$801,보유분석!$AC$2:$AC$801,1)=0,0,D42/SUMIFS(보유분석!$AM$2:$AM$801,보유분석!$AC$2:$AC$801,1))</f>
        <v>0</v>
      </c>
      <c r="F42" s="36" t="str">
        <f aca="false">IF(SUMPRODUCT(ISNA(MATCH(보유분석!$AH$2:$AH$801,$A$38:$A$41,0))*(보유분석!$AC$2:$AC$801=1)*보유분석!$BB$2:$BB$801)=0,"",SUMPRODUCT(ISNA(MATCH(보유분석!$AH$2:$AH$801,$A$38:$A$41,0))*(보유분석!$AC$2:$AC$801=1)*보유분석!$BA$2:$BA$801)/SUMPRODUCT(ISNA(MATCH(보유분석!$AH$2:$AH$801,$A$38:$A$41,0))*(보유분석!$AC$2:$AC$801=1)*보유분석!$BB$2:$BB$801))</f>
        <v/>
      </c>
      <c r="G42" s="45" t="str">
        <f aca="false">IF(F42="","",(F42-(SUMIFS(보유분석!$BA$2:$BA$801,보유분석!$AC$2:$AC$801,1)/SUMIFS(보유분석!$BB$2:$BB$801,보유분석!$AC$2:$AC$801,1)))*100)</f>
        <v/>
      </c>
      <c r="H42" s="37" t="str">
        <f aca="false">IF(SUMPRODUCT(ISNA(MATCH(보유분석!$AH$2:$AH$801,$A$38:$A$41,0))*(보유분석!$AC$2:$AC$801=1)*보유분석!$BD$2:$BD$801)=0,"",SUMPRODUCT(ISNA(MATCH(보유분석!$AH$2:$AH$801,$A$38:$A$41,0))*(보유분석!$AC$2:$AC$801=1)*보유분석!$BC$2:$BC$801)/SUMPRODUCT(ISNA(MATCH(보유분석!$AH$2:$AH$801,$A$38:$A$41,0))*(보유분석!$AC$2:$AC$801=1)*보유분석!$BD$2:$BD$801))</f>
        <v/>
      </c>
      <c r="I42" s="38" t="str">
        <f aca="false">IF(SUMPRODUCT(ISNA(MATCH(보유분석!$AH$2:$AH$801,$A$38:$A$41,0))*(보유분석!$AC$2:$AC$801=1)*보유분석!$BF$2:$BF$801)=0,"",SUMPRODUCT(ISNA(MATCH(보유분석!$AH$2:$AH$801,$A$38:$A$41,0))*(보유분석!$AC$2:$AC$801=1)*보유분석!$BE$2:$BE$801)/SUMPRODUCT(ISNA(MATCH(보유분석!$AH$2:$AH$801,$A$38:$A$41,0))*(보유분석!$AC$2:$AC$801=1)*보유분석!$BF$2:$BF$801))</f>
        <v/>
      </c>
      <c r="J42" s="37" t="str">
        <f aca="false">IF(SUMPRODUCT(ISNA(MATCH(보유분석!$AH$2:$AH$801,$A$38:$A$41,0))*(보유분석!$AC$2:$AC$801=1)*보유분석!$BG$2:$BG$801)=0,"",(SUMPRODUCT(ISNA(MATCH(보유분석!$AH$2:$AH$801,$A$38:$A$41,0))*(보유분석!$AC$2:$AC$801=1)*보유분석!$BC$2:$BC$801)+SUMPRODUCT(ISNA(MATCH(보유분석!$AH$2:$AH$801,$A$38:$A$41,0))*(보유분석!$AC$2:$AC$801=1)*보유분석!$BH$2:$BH$801))/SUMPRODUCT(ISNA(MATCH(보유분석!$AH$2:$AH$801,$A$38:$A$41,0))*(보유분석!$AC$2:$AC$801=1)*보유분석!$BG$2:$BG$801))</f>
        <v/>
      </c>
      <c r="K42" s="40" t="str">
        <f aca="false">IF(B42=0,"",SUMPRODUCT(ISNA(MATCH(보유분석!$AH$2:$AH$801,$A$38:$A$41,0))*(보유분석!$AC$2:$AC$801=1)*보유분석!$AV$2:$AV$801)/(B42*1000000))</f>
        <v/>
      </c>
      <c r="L42" s="46" t="n">
        <f aca="false">SUMPRODUCT(ISNA(MATCH(보유분석!$AH$2:$AH$801,$A$38:$A$41,0))*(보유분석!$AC$2:$AC$801=1)*보유분석!$AP$2:$AP$801)</f>
        <v>0</v>
      </c>
      <c r="M42" s="9" t="n">
        <f aca="false">SUMPRODUCT(ISNA(MATCH(보유분석!$AH$2:$AH$801,$A$38:$A$41,0))*(보유분석!$AC$2:$AC$801=1)*(보유분석!$AR$2:$AR$801="Cheap"))</f>
        <v>0</v>
      </c>
      <c r="N42" s="9" t="n">
        <f aca="false">SUMPRODUCT(ISNA(MATCH(보유분석!$AH$2:$AH$801,$A$38:$A$41,0))*(보유분석!$AC$2:$AC$801=1)*(보유분석!$AR$2:$AR$801="Rich"))</f>
        <v>0</v>
      </c>
      <c r="O42" s="47"/>
      <c r="P42" s="48" t="str">
        <f aca="false">IF(O42="","",O42-C42)</f>
        <v/>
      </c>
      <c r="Q42" s="46" t="n">
        <f aca="false">-SUMPRODUCT(ISNA(MATCH(보유분석!$AH$2:$AH$801,$A$38:$A$41,0))*(보유분석!$AC$2:$AC$801=1)*보유분석!$AZ$2:$AZ$801)*설정!$C$10</f>
        <v>-0</v>
      </c>
      <c r="R42" s="44" t="n">
        <f aca="false">IF((-SUMIFS(보유분석!$AZ$2:$AZ$801,보유분석!$AC$2:$AC$801,1)*설정!$C$10)=0,0,Q42/(-SUMIFS(보유분석!$AZ$2:$AZ$801,보유분석!$AC$2:$AC$801,1)*설정!$C$10))</f>
        <v>0</v>
      </c>
      <c r="S42" s="45" t="str">
        <f aca="false">IF(SUMPRODUCT(ISNA(MATCH(보유분석!$AH$2:$AH$801,$A$38:$A$41,0))*(보유분석!$AC$2:$AC$801=1)*보유분석!$BG$2:$BG$801)=0,"",SUMPRODUCT(ISNA(MATCH(보유분석!$AH$2:$AH$801,$A$38:$A$41,0))*(보유분석!$AC$2:$AC$801=1)*보유분석!$BH$2:$BH$801)/SUMPRODUCT(ISNA(MATCH(보유분석!$AH$2:$AH$801,$A$38:$A$41,0))*(보유분석!$AC$2:$AC$801=1)*보유분석!$BG$2:$BG$801))</f>
        <v/>
      </c>
      <c r="T42" s="49" t="str">
        <f aca="false">IF(SUMPRODUCT(ISNA(MATCH(보유분석!$AH$2:$AH$801,$A$38:$A$41,0))*(보유분석!$AC$2:$AC$801=1)*보유분석!$BI$2:$BI$801)=0,"",SUMPRODUCT(ISNA(MATCH(보유분석!$AH$2:$AH$801,$A$38:$A$41,0))*(보유분석!$AC$2:$AC$801=1)*보유분석!$BD$2:$BD$801)/SUMPRODUCT(ISNA(MATCH(보유분석!$AH$2:$AH$801,$A$38:$A$41,0))*(보유분석!$AC$2:$AC$801=1)*보유분석!$BI$2:$BI$801))</f>
        <v/>
      </c>
    </row>
    <row r="43" customFormat="false" ht="15" hidden="false" customHeight="false" outlineLevel="0" collapsed="false">
      <c r="A43" s="51" t="s">
        <v>76</v>
      </c>
      <c r="B43" s="52" t="n">
        <f aca="false">SUM(B38:B42)</f>
        <v>1409.39864963</v>
      </c>
      <c r="C43" s="53" t="n">
        <f aca="false">SUM(C38:C42)</f>
        <v>1</v>
      </c>
      <c r="D43" s="54" t="n">
        <f aca="false">SUM(D38:D42)</f>
        <v>379223.177517946</v>
      </c>
      <c r="E43" s="53" t="n">
        <f aca="false">SUM(E38:E42)</f>
        <v>1</v>
      </c>
      <c r="F43" s="55" t="n">
        <f aca="false">IF(SUMIFS(보유분석!$BB$2:$BB$801,보유분석!$AC$2:$AC$801,1)=0,"",SUMIFS(보유분석!$BA$2:$BA$801,보유분석!$AC$2:$AC$801,1)/SUMIFS(보유분석!$BB$2:$BB$801,보유분석!$AC$2:$AC$801,1))</f>
        <v>5.6600358249336</v>
      </c>
      <c r="G43" s="56"/>
      <c r="H43" s="57" t="n">
        <f aca="false">IF(SUMIFS(보유분석!$BD$2:$BD$801,보유분석!$AC$2:$AC$801,1)=0,"",SUMIFS(보유분석!$BC$2:$BC$801,보유분석!$AC$2:$AC$801,1)/SUMIFS(보유분석!$BD$2:$BD$801,보유분석!$AC$2:$AC$801,1))</f>
        <v>66.114006085129</v>
      </c>
      <c r="I43" s="58" t="n">
        <f aca="false">IF(SUMIFS(보유분석!$BF$2:$BF$801,보유분석!$AC$2:$AC$801,1)=0,"",SUMIFS(보유분석!$BE$2:$BE$801,보유분석!$AC$2:$AC$801,1)/SUMIFS(보유분석!$BF$2:$BF$801,보유분석!$AC$2:$AC$801,1))</f>
        <v>2.69067362607096</v>
      </c>
      <c r="J43" s="57" t="n">
        <f aca="false">IF(SUMIFS(보유분석!$BG$2:$BG$801,보유분석!$AC$2:$AC$801,1)=0,"",(SUMIFS(보유분석!$BC$2:$BC$801,보유분석!$AC$2:$AC$801,1)+SUMIFS(보유분석!$BH$2:$BH$801,보유분석!$AC$2:$AC$801,1))/SUMIFS(보유분석!$BG$2:$BG$801,보유분석!$AC$2:$AC$801,1))</f>
        <v>31.4685741331147</v>
      </c>
      <c r="K43" s="59" t="n">
        <f aca="false">IF(B43=0,"",SUMIFS(보유분석!$AV$2:$AV$801,보유분석!$AC$2:$AC$801,1)/(B43*1000000))</f>
        <v>0.0582546221879707</v>
      </c>
      <c r="L43" s="60" t="n">
        <f aca="false">SUM(L38:L42)</f>
        <v>-44901234.1</v>
      </c>
      <c r="M43" s="61"/>
      <c r="N43" s="61"/>
      <c r="O43" s="53" t="str">
        <f aca="false">IF(COUNT(O38:O42)=0,"",SUM(O38:O42))</f>
        <v/>
      </c>
      <c r="P43" s="62"/>
      <c r="Q43" s="60" t="n">
        <f aca="false">SUM(Q38:Q42)</f>
        <v>-10177025.3714211</v>
      </c>
      <c r="R43" s="53" t="n">
        <f aca="false">SUM(R38:R42)</f>
        <v>1</v>
      </c>
      <c r="S43" s="56" t="n">
        <f aca="false">IF(SUMIFS(보유분석!$BG$2:$BG$801,보유분석!$AC$2:$AC$801,1)=0,"",SUMIFS(보유분석!$BH$2:$BH$801,보유분석!$AC$2:$AC$801,1)/SUMIFS(보유분석!$BG$2:$BG$801,보유분석!$AC$2:$AC$801,1))</f>
        <v>6.4728237935996</v>
      </c>
      <c r="T43" s="63" t="n">
        <f aca="false">IF(SUMIFS(보유분석!$BI$2:$BI$801,보유분석!$AC$2:$AC$801,1)=0,"",SUMIFS(보유분석!$BD$2:$BD$801,보유분석!$AC$2:$AC$801,1)/SUMIFS(보유분석!$BI$2:$BI$801,보유분석!$AC$2:$AC$801,1))</f>
        <v>0.977967173185718</v>
      </c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24" t="s">
        <v>93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41" hidden="false" customHeight="false" outlineLevel="0" collapsed="false">
      <c r="A47" s="5" t="s">
        <v>51</v>
      </c>
      <c r="B47" s="5" t="s">
        <v>40</v>
      </c>
      <c r="C47" s="5" t="s">
        <v>52</v>
      </c>
      <c r="D47" s="25" t="s">
        <v>24</v>
      </c>
      <c r="E47" s="25" t="s">
        <v>53</v>
      </c>
      <c r="F47" s="5" t="s">
        <v>41</v>
      </c>
      <c r="G47" s="5" t="s">
        <v>54</v>
      </c>
      <c r="H47" s="5" t="s">
        <v>55</v>
      </c>
      <c r="I47" s="5" t="s">
        <v>43</v>
      </c>
      <c r="J47" s="5" t="s">
        <v>56</v>
      </c>
      <c r="K47" s="25" t="s">
        <v>44</v>
      </c>
      <c r="L47" s="5" t="s">
        <v>57</v>
      </c>
      <c r="M47" s="25" t="s">
        <v>58</v>
      </c>
      <c r="N47" s="25" t="s">
        <v>59</v>
      </c>
      <c r="O47" s="5" t="s">
        <v>60</v>
      </c>
      <c r="P47" s="5" t="s">
        <v>61</v>
      </c>
      <c r="Q47" s="5" t="s">
        <v>62</v>
      </c>
      <c r="R47" s="5" t="s">
        <v>63</v>
      </c>
      <c r="S47" s="5" t="s">
        <v>64</v>
      </c>
      <c r="T47" s="25" t="s">
        <v>65</v>
      </c>
    </row>
    <row r="48" customFormat="false" ht="15" hidden="false" customHeight="false" outlineLevel="0" collapsed="false">
      <c r="A48" s="64" t="s">
        <v>94</v>
      </c>
      <c r="B48" s="35" t="n">
        <f aca="false">SUMIFS(보유분석!$AA$2:$AA$801,보유분석!$AG$2:$AG$801,$A48,보유분석!$AC$2:$AC$801,1)</f>
        <v>829.04727479</v>
      </c>
      <c r="C48" s="44" t="n">
        <f aca="false">IF(SUMIFS(보유분석!$AA$2:$AA$801,보유분석!$AC$2:$AC$801,1)=0,0,B48/SUMIFS(보유분석!$AA$2:$AA$801,보유분석!$AC$2:$AC$801,1))</f>
        <v>0.588227663626359</v>
      </c>
      <c r="D48" s="39" t="n">
        <f aca="false">SUMIFS(보유분석!$AM$2:$AM$801,보유분석!$AG$2:$AG$801,$A48,보유분석!$AC$2:$AC$801,1)</f>
        <v>197863.10277263</v>
      </c>
      <c r="E48" s="44" t="n">
        <f aca="false">IF(SUMIFS(보유분석!$AM$2:$AM$801,보유분석!$AC$2:$AC$801,1)=0,0,D48/SUMIFS(보유분석!$AM$2:$AM$801,보유분석!$AC$2:$AC$801,1))</f>
        <v>0.521758991809687</v>
      </c>
      <c r="F48" s="36" t="n">
        <f aca="false">IF(SUMIFS(보유분석!$BB$2:$BB$801,보유분석!$AG$2:$AG$801,$A48,보유분석!$AC$2:$AC$801,1)=0,"",SUMIFS(보유분석!$BA$2:$BA$801,보유분석!$AG$2:$AG$801,$A48,보유분석!$AC$2:$AC$801,1)/SUMIFS(보유분석!$BB$2:$BB$801,보유분석!$AG$2:$AG$801,$A48,보유분석!$AC$2:$AC$801,1))</f>
        <v>5.6451100403215</v>
      </c>
      <c r="G48" s="45" t="n">
        <f aca="false">IF(F48="","",(F48-(SUMIFS(보유분석!$BA$2:$BA$801,보유분석!$AC$2:$AC$801,1)/SUMIFS(보유분석!$BB$2:$BB$801,보유분석!$AC$2:$AC$801,1)))*100)</f>
        <v>-1.49257846120925</v>
      </c>
      <c r="H48" s="37" t="n">
        <f aca="false">IF(SUMIFS(보유분석!$BD$2:$BD$801,보유분석!$AG$2:$AG$801,$A48,보유분석!$AC$2:$AC$801,1)=0,"",SUMIFS(보유분석!$BC$2:$BC$801,보유분석!$AG$2:$AG$801,$A48,보유분석!$AC$2:$AC$801,1)/SUMIFS(보유분석!$BD$2:$BD$801,보유분석!$AG$2:$AG$801,$A48,보유분석!$AC$2:$AC$801,1))</f>
        <v>64.5471727863262</v>
      </c>
      <c r="I48" s="38" t="n">
        <f aca="false">IF(SUMIFS(보유분석!$BF$2:$BF$801,보유분석!$AG$2:$AG$801,$A48,보유분석!$AC$2:$AC$801,1)=0,"",SUMIFS(보유분석!$BE$2:$BE$801,보유분석!$AG$2:$AG$801,$A48,보유분석!$AC$2:$AC$801,1)/SUMIFS(보유분석!$BF$2:$BF$801,보유분석!$AG$2:$AG$801,$A48,보유분석!$AC$2:$AC$801,1))</f>
        <v>2.38663232832831</v>
      </c>
      <c r="J48" s="37" t="n">
        <f aca="false">IF(SUMIFS(보유분석!$BG$2:$BG$801,보유분석!$AG$2:$AG$801,$A48,보유분석!$AC$2:$AC$801,1)=0,"",(SUMIFS(보유분석!$BC$2:$BC$801,보유분석!$AG$2:$AG$801,$A48,보유분석!$AC$2:$AC$801,1)+SUMIFS(보유분석!$BH$2:$BH$801,보유분석!$AG$2:$AG$801,$A48,보유분석!$AC$2:$AC$801,1))/SUMIFS(보유분석!$BG$2:$BG$801,보유분석!$AG$2:$AG$801,$A48,보유분석!$AC$2:$AC$801,1))</f>
        <v>32.3221563126973</v>
      </c>
      <c r="K48" s="40" t="n">
        <f aca="false">IF(B48=0,"",SUMIFS(보유분석!$AV$2:$AV$801,보유분석!$AG$2:$AG$801,$A48,보유분석!$AC$2:$AC$801,1)/(B48*1000000))</f>
        <v>0.0576386661497572</v>
      </c>
      <c r="L48" s="46" t="n">
        <f aca="false">SUMIFS(보유분석!$AP$2:$AP$801,보유분석!$AG$2:$AG$801,$A48,보유분석!$AC$2:$AC$801,1)</f>
        <v>-23163756.65</v>
      </c>
      <c r="M48" s="9" t="n">
        <f aca="false">COUNTIFS(보유분석!$AG$2:$AG$801,$A48,보유분석!$AR$2:$AR$801,"Cheap",보유분석!$AC$2:$AC$801,1)</f>
        <v>19</v>
      </c>
      <c r="N48" s="9" t="n">
        <f aca="false">COUNTIFS(보유분석!$AG$2:$AG$801,$A48,보유분석!$AR$2:$AR$801,"Rich",보유분석!$AC$2:$AC$801,1)</f>
        <v>3</v>
      </c>
      <c r="O48" s="47"/>
      <c r="P48" s="48" t="str">
        <f aca="false">IF(O48="","",O48-C48)</f>
        <v/>
      </c>
      <c r="Q48" s="46" t="n">
        <f aca="false">-SUMIFS(보유분석!$AZ$2:$AZ$801,보유분석!$AG$2:$AG$801,$A48,보유분석!$AC$2:$AC$801,1)*설정!$C$10</f>
        <v>-5482514.09026673</v>
      </c>
      <c r="R48" s="44" t="n">
        <f aca="false">IF((-SUMIFS(보유분석!$AZ$2:$AZ$801,보유분석!$AC$2:$AC$801,1)*설정!$C$10)=0,0,Q48/(-SUMIFS(보유분석!$AZ$2:$AZ$801,보유분석!$AC$2:$AC$801,1)*설정!$C$10))</f>
        <v>0.538714790439908</v>
      </c>
      <c r="S48" s="45" t="n">
        <f aca="false">IF(SUMIFS(보유분석!$BG$2:$BG$801,보유분석!$AG$2:$AG$801,$A48,보유분석!$AC$2:$AC$801,1)=0,"",SUMIFS(보유분석!$BH$2:$BH$801,보유분석!$AG$2:$AG$801,$A48,보유분석!$AC$2:$AC$801,1)/SUMIFS(보유분석!$BG$2:$BG$801,보유분석!$AG$2:$AG$801,$A48,보유분석!$AC$2:$AC$801,1))</f>
        <v>5.17932120663782</v>
      </c>
      <c r="T48" s="49" t="n">
        <f aca="false">IF(SUMIFS(보유분석!$BI$2:$BI$801,보유분석!$AG$2:$AG$801,$A48,보유분석!$AC$2:$AC$801,1)=0,"",SUMIFS(보유분석!$BD$2:$BD$801,보유분석!$AG$2:$AG$801,$A48,보유분석!$AC$2:$AC$801,1)/SUMIFS(보유분석!$BI$2:$BI$801,보유분석!$AG$2:$AG$801,$A48,보유분석!$AC$2:$AC$801,1))</f>
        <v>0.964190394802854</v>
      </c>
    </row>
    <row r="49" customFormat="false" ht="15" hidden="false" customHeight="false" outlineLevel="0" collapsed="false">
      <c r="A49" s="64" t="s">
        <v>95</v>
      </c>
      <c r="B49" s="35" t="n">
        <f aca="false">SUMIFS(보유분석!$AA$2:$AA$801,보유분석!$AG$2:$AG$801,$A49,보유분석!$AC$2:$AC$801,1)</f>
        <v>0</v>
      </c>
      <c r="C49" s="44" t="n">
        <f aca="false">IF(SUMIFS(보유분석!$AA$2:$AA$801,보유분석!$AC$2:$AC$801,1)=0,0,B49/SUMIFS(보유분석!$AA$2:$AA$801,보유분석!$AC$2:$AC$801,1))</f>
        <v>0</v>
      </c>
      <c r="D49" s="39" t="n">
        <f aca="false">SUMIFS(보유분석!$AM$2:$AM$801,보유분석!$AG$2:$AG$801,$A49,보유분석!$AC$2:$AC$801,1)</f>
        <v>0</v>
      </c>
      <c r="E49" s="44" t="n">
        <f aca="false">IF(SUMIFS(보유분석!$AM$2:$AM$801,보유분석!$AC$2:$AC$801,1)=0,0,D49/SUMIFS(보유분석!$AM$2:$AM$801,보유분석!$AC$2:$AC$801,1))</f>
        <v>0</v>
      </c>
      <c r="F49" s="36" t="str">
        <f aca="false">IF(SUMIFS(보유분석!$BB$2:$BB$801,보유분석!$AG$2:$AG$801,$A49,보유분석!$AC$2:$AC$801,1)=0,"",SUMIFS(보유분석!$BA$2:$BA$801,보유분석!$AG$2:$AG$801,$A49,보유분석!$AC$2:$AC$801,1)/SUMIFS(보유분석!$BB$2:$BB$801,보유분석!$AG$2:$AG$801,$A49,보유분석!$AC$2:$AC$801,1))</f>
        <v/>
      </c>
      <c r="G49" s="45" t="str">
        <f aca="false">IF(F49="","",(F49-(SUMIFS(보유분석!$BA$2:$BA$801,보유분석!$AC$2:$AC$801,1)/SUMIFS(보유분석!$BB$2:$BB$801,보유분석!$AC$2:$AC$801,1)))*100)</f>
        <v/>
      </c>
      <c r="H49" s="37" t="str">
        <f aca="false">IF(SUMIFS(보유분석!$BD$2:$BD$801,보유분석!$AG$2:$AG$801,$A49,보유분석!$AC$2:$AC$801,1)=0,"",SUMIFS(보유분석!$BC$2:$BC$801,보유분석!$AG$2:$AG$801,$A49,보유분석!$AC$2:$AC$801,1)/SUMIFS(보유분석!$BD$2:$BD$801,보유분석!$AG$2:$AG$801,$A49,보유분석!$AC$2:$AC$801,1))</f>
        <v/>
      </c>
      <c r="I49" s="38" t="str">
        <f aca="false">IF(SUMIFS(보유분석!$BF$2:$BF$801,보유분석!$AG$2:$AG$801,$A49,보유분석!$AC$2:$AC$801,1)=0,"",SUMIFS(보유분석!$BE$2:$BE$801,보유분석!$AG$2:$AG$801,$A49,보유분석!$AC$2:$AC$801,1)/SUMIFS(보유분석!$BF$2:$BF$801,보유분석!$AG$2:$AG$801,$A49,보유분석!$AC$2:$AC$801,1))</f>
        <v/>
      </c>
      <c r="J49" s="37" t="str">
        <f aca="false">IF(SUMIFS(보유분석!$BG$2:$BG$801,보유분석!$AG$2:$AG$801,$A49,보유분석!$AC$2:$AC$801,1)=0,"",(SUMIFS(보유분석!$BC$2:$BC$801,보유분석!$AG$2:$AG$801,$A49,보유분석!$AC$2:$AC$801,1)+SUMIFS(보유분석!$BH$2:$BH$801,보유분석!$AG$2:$AG$801,$A49,보유분석!$AC$2:$AC$801,1))/SUMIFS(보유분석!$BG$2:$BG$801,보유분석!$AG$2:$AG$801,$A49,보유분석!$AC$2:$AC$801,1))</f>
        <v/>
      </c>
      <c r="K49" s="40" t="str">
        <f aca="false">IF(B49=0,"",SUMIFS(보유분석!$AV$2:$AV$801,보유분석!$AG$2:$AG$801,$A49,보유분석!$AC$2:$AC$801,1)/(B49*1000000))</f>
        <v/>
      </c>
      <c r="L49" s="46" t="n">
        <f aca="false">SUMIFS(보유분석!$AP$2:$AP$801,보유분석!$AG$2:$AG$801,$A49,보유분석!$AC$2:$AC$801,1)</f>
        <v>0</v>
      </c>
      <c r="M49" s="9" t="n">
        <f aca="false">COUNTIFS(보유분석!$AG$2:$AG$801,$A49,보유분석!$AR$2:$AR$801,"Cheap",보유분석!$AC$2:$AC$801,1)</f>
        <v>0</v>
      </c>
      <c r="N49" s="9" t="n">
        <f aca="false">COUNTIFS(보유분석!$AG$2:$AG$801,$A49,보유분석!$AR$2:$AR$801,"Rich",보유분석!$AC$2:$AC$801,1)</f>
        <v>0</v>
      </c>
      <c r="O49" s="47"/>
      <c r="P49" s="48" t="str">
        <f aca="false">IF(O49="","",O49-C49)</f>
        <v/>
      </c>
      <c r="Q49" s="46" t="n">
        <f aca="false">-SUMIFS(보유분석!$AZ$2:$AZ$801,보유분석!$AG$2:$AG$801,$A49,보유분석!$AC$2:$AC$801,1)*설정!$C$10</f>
        <v>-0</v>
      </c>
      <c r="R49" s="44" t="n">
        <f aca="false">IF((-SUMIFS(보유분석!$AZ$2:$AZ$801,보유분석!$AC$2:$AC$801,1)*설정!$C$10)=0,0,Q49/(-SUMIFS(보유분석!$AZ$2:$AZ$801,보유분석!$AC$2:$AC$801,1)*설정!$C$10))</f>
        <v>0</v>
      </c>
      <c r="S49" s="45" t="str">
        <f aca="false">IF(SUMIFS(보유분석!$BG$2:$BG$801,보유분석!$AG$2:$AG$801,$A49,보유분석!$AC$2:$AC$801,1)=0,"",SUMIFS(보유분석!$BH$2:$BH$801,보유분석!$AG$2:$AG$801,$A49,보유분석!$AC$2:$AC$801,1)/SUMIFS(보유분석!$BG$2:$BG$801,보유분석!$AG$2:$AG$801,$A49,보유분석!$AC$2:$AC$801,1))</f>
        <v/>
      </c>
      <c r="T49" s="49" t="str">
        <f aca="false">IF(SUMIFS(보유분석!$BI$2:$BI$801,보유분석!$AG$2:$AG$801,$A49,보유분석!$AC$2:$AC$801,1)=0,"",SUMIFS(보유분석!$BD$2:$BD$801,보유분석!$AG$2:$AG$801,$A49,보유분석!$AC$2:$AC$801,1)/SUMIFS(보유분석!$BI$2:$BI$801,보유분석!$AG$2:$AG$801,$A49,보유분석!$AC$2:$AC$801,1))</f>
        <v/>
      </c>
    </row>
    <row r="50" customFormat="false" ht="15" hidden="false" customHeight="false" outlineLevel="0" collapsed="false">
      <c r="A50" s="64" t="s">
        <v>96</v>
      </c>
      <c r="B50" s="35" t="n">
        <f aca="false">SUMIFS(보유분석!$AA$2:$AA$801,보유분석!$AG$2:$AG$801,$A50,보유분석!$AC$2:$AC$801,1)</f>
        <v>99.2874944</v>
      </c>
      <c r="C50" s="44" t="n">
        <f aca="false">IF(SUMIFS(보유분석!$AA$2:$AA$801,보유분석!$AC$2:$AC$801,1)=0,0,B50/SUMIFS(보유분석!$AA$2:$AA$801,보유분석!$AC$2:$AC$801,1))</f>
        <v>0.0704467074848307</v>
      </c>
      <c r="D50" s="39" t="n">
        <f aca="false">SUMIFS(보유분석!$AM$2:$AM$801,보유분석!$AG$2:$AG$801,$A50,보유분석!$AC$2:$AC$801,1)</f>
        <v>31866.359702134</v>
      </c>
      <c r="E50" s="44" t="n">
        <f aca="false">IF(SUMIFS(보유분석!$AM$2:$AM$801,보유분석!$AC$2:$AC$801,1)=0,0,D50/SUMIFS(보유분석!$AM$2:$AM$801,보유분석!$AC$2:$AC$801,1))</f>
        <v>0.0840306225761371</v>
      </c>
      <c r="F50" s="36" t="n">
        <f aca="false">IF(SUMIFS(보유분석!$BB$2:$BB$801,보유분석!$AG$2:$AG$801,$A50,보유분석!$AC$2:$AC$801,1)=0,"",SUMIFS(보유분석!$BA$2:$BA$801,보유분석!$AG$2:$AG$801,$A50,보유분석!$AC$2:$AC$801,1)/SUMIFS(보유분석!$BB$2:$BB$801,보유분석!$AG$2:$AG$801,$A50,보유분석!$AC$2:$AC$801,1))</f>
        <v>5.5904395606715</v>
      </c>
      <c r="G50" s="45" t="n">
        <f aca="false">IF(F50="","",(F50-(SUMIFS(보유분석!$BA$2:$BA$801,보유분석!$AC$2:$AC$801,1)/SUMIFS(보유분석!$BB$2:$BB$801,보유분석!$AC$2:$AC$801,1)))*100)</f>
        <v>-6.95962642620973</v>
      </c>
      <c r="H50" s="37" t="n">
        <f aca="false">IF(SUMIFS(보유분석!$BD$2:$BD$801,보유분석!$AG$2:$AG$801,$A50,보유분석!$AC$2:$AC$801,1)=0,"",SUMIFS(보유분석!$BC$2:$BC$801,보유분석!$AG$2:$AG$801,$A50,보유분석!$AC$2:$AC$801,1)/SUMIFS(보유분석!$BD$2:$BD$801,보유분석!$AG$2:$AG$801,$A50,보유분석!$AC$2:$AC$801,1))</f>
        <v>56.4372939517789</v>
      </c>
      <c r="I50" s="38" t="n">
        <f aca="false">IF(SUMIFS(보유분석!$BF$2:$BF$801,보유분석!$AG$2:$AG$801,$A50,보유분석!$AC$2:$AC$801,1)=0,"",SUMIFS(보유분석!$BE$2:$BE$801,보유분석!$AG$2:$AG$801,$A50,보유분석!$AC$2:$AC$801,1)/SUMIFS(보유분석!$BF$2:$BF$801,보유분석!$AG$2:$AG$801,$A50,보유분석!$AC$2:$AC$801,1))</f>
        <v>3.20950386498363</v>
      </c>
      <c r="J50" s="37" t="n">
        <f aca="false">IF(SUMIFS(보유분석!$BG$2:$BG$801,보유분석!$AG$2:$AG$801,$A50,보유분석!$AC$2:$AC$801,1)=0,"",(SUMIFS(보유분석!$BC$2:$BC$801,보유분석!$AG$2:$AG$801,$A50,보유분석!$AC$2:$AC$801,1)+SUMIFS(보유분석!$BH$2:$BH$801,보유분석!$AG$2:$AG$801,$A50,보유분석!$AC$2:$AC$801,1))/SUMIFS(보유분석!$BG$2:$BG$801,보유분석!$AG$2:$AG$801,$A50,보유분석!$AC$2:$AC$801,1))</f>
        <v>21.8262641448206</v>
      </c>
      <c r="K50" s="40" t="n">
        <f aca="false">IF(B50=0,"",SUMIFS(보유분석!$AV$2:$AV$801,보유분석!$AG$2:$AG$801,$A50,보유분석!$AC$2:$AC$801,1)/(B50*1000000))</f>
        <v>0.0572658141246326</v>
      </c>
      <c r="L50" s="46" t="n">
        <f aca="false">SUMIFS(보유분석!$AP$2:$AP$801,보유분석!$AG$2:$AG$801,$A50,보유분석!$AC$2:$AC$801,1)</f>
        <v>-3665701.05</v>
      </c>
      <c r="M50" s="9" t="n">
        <f aca="false">COUNTIFS(보유분석!$AG$2:$AG$801,$A50,보유분석!$AR$2:$AR$801,"Cheap",보유분석!$AC$2:$AC$801,1)</f>
        <v>1</v>
      </c>
      <c r="N50" s="9" t="n">
        <f aca="false">COUNTIFS(보유분석!$AG$2:$AG$801,$A50,보유분석!$AR$2:$AR$801,"Rich",보유분석!$AC$2:$AC$801,1)</f>
        <v>3</v>
      </c>
      <c r="O50" s="47"/>
      <c r="P50" s="48" t="str">
        <f aca="false">IF(O50="","",O50-C50)</f>
        <v/>
      </c>
      <c r="Q50" s="46" t="n">
        <f aca="false">-SUMIFS(보유분석!$AZ$2:$AZ$801,보유분석!$AG$2:$AG$801,$A50,보유분석!$AC$2:$AC$801,1)*설정!$C$10</f>
        <v>-730276.437147066</v>
      </c>
      <c r="R50" s="44" t="n">
        <f aca="false">IF((-SUMIFS(보유분석!$AZ$2:$AZ$801,보유분석!$AC$2:$AC$801,1)*설정!$C$10)=0,0,Q50/(-SUMIFS(보유분석!$AZ$2:$AZ$801,보유분석!$AC$2:$AC$801,1)*설정!$C$10))</f>
        <v>0.0717573564469845</v>
      </c>
      <c r="S50" s="45" t="n">
        <f aca="false">IF(SUMIFS(보유분석!$BG$2:$BG$801,보유분석!$AG$2:$AG$801,$A50,보유분석!$AC$2:$AC$801,1)=0,"",SUMIFS(보유분석!$BH$2:$BH$801,보유분석!$AG$2:$AG$801,$A50,보유분석!$AC$2:$AC$801,1)/SUMIFS(보유분석!$BG$2:$BG$801,보유분석!$AG$2:$AG$801,$A50,보유분석!$AC$2:$AC$801,1))</f>
        <v>4.2418347981163</v>
      </c>
      <c r="T50" s="49" t="n">
        <f aca="false">IF(SUMIFS(보유분석!$BI$2:$BI$801,보유분석!$AG$2:$AG$801,$A50,보유분석!$AC$2:$AC$801,1)=0,"",SUMIFS(보유분석!$BD$2:$BD$801,보유분석!$AG$2:$AG$801,$A50,보유분석!$AC$2:$AC$801,1)/SUMIFS(보유분석!$BI$2:$BI$801,보유분석!$AG$2:$AG$801,$A50,보유분석!$AC$2:$AC$801,1))</f>
        <v>1</v>
      </c>
    </row>
    <row r="51" customFormat="false" ht="15" hidden="false" customHeight="false" outlineLevel="0" collapsed="false">
      <c r="A51" s="64" t="s">
        <v>97</v>
      </c>
      <c r="B51" s="35" t="n">
        <f aca="false">SUMIFS(보유분석!$AA$2:$AA$801,보유분석!$AG$2:$AG$801,$A51,보유분석!$AC$2:$AC$801,1)</f>
        <v>0.6920507</v>
      </c>
      <c r="C51" s="44" t="n">
        <f aca="false">IF(SUMIFS(보유분석!$AA$2:$AA$801,보유분석!$AC$2:$AC$801,1)=0,0,B51/SUMIFS(보유분석!$AA$2:$AA$801,보유분석!$AC$2:$AC$801,1))</f>
        <v>0.000491025516578776</v>
      </c>
      <c r="D51" s="39" t="n">
        <f aca="false">SUMIFS(보유분석!$AM$2:$AM$801,보유분석!$AG$2:$AG$801,$A51,보유분석!$AC$2:$AC$801,1)</f>
        <v>125.65268458</v>
      </c>
      <c r="E51" s="44" t="n">
        <f aca="false">IF(SUMIFS(보유분석!$AM$2:$AM$801,보유분석!$AC$2:$AC$801,1)=0,0,D51/SUMIFS(보유분석!$AM$2:$AM$801,보유분석!$AC$2:$AC$801,1))</f>
        <v>0.000331342312467316</v>
      </c>
      <c r="F51" s="36" t="n">
        <f aca="false">IF(SUMIFS(보유분석!$BB$2:$BB$801,보유분석!$AG$2:$AG$801,$A51,보유분석!$AC$2:$AC$801,1)=0,"",SUMIFS(보유분석!$BA$2:$BA$801,보유분석!$AG$2:$AG$801,$A51,보유분석!$AC$2:$AC$801,1)/SUMIFS(보유분석!$BB$2:$BB$801,보유분석!$AG$2:$AG$801,$A51,보유분석!$AC$2:$AC$801,1))</f>
        <v>5.45840077475538</v>
      </c>
      <c r="G51" s="45" t="n">
        <f aca="false">IF(F51="","",(F51-(SUMIFS(보유분석!$BA$2:$BA$801,보유분석!$AC$2:$AC$801,1)/SUMIFS(보유분석!$BB$2:$BB$801,보유분석!$AC$2:$AC$801,1)))*100)</f>
        <v>-20.163505017822</v>
      </c>
      <c r="H51" s="37" t="n">
        <f aca="false">IF(SUMIFS(보유분석!$BD$2:$BD$801,보유분석!$AG$2:$AG$801,$A51,보유분석!$AC$2:$AC$801,1)=0,"",SUMIFS(보유분석!$BC$2:$BC$801,보유분석!$AG$2:$AG$801,$A51,보유분석!$AC$2:$AC$801,1)/SUMIFS(보유분석!$BD$2:$BD$801,보유분석!$AG$2:$AG$801,$A51,보유분석!$AC$2:$AC$801,1))</f>
        <v>51.0037116936664</v>
      </c>
      <c r="I51" s="38" t="n">
        <f aca="false">IF(SUMIFS(보유분석!$BF$2:$BF$801,보유분석!$AG$2:$AG$801,$A51,보유분석!$AC$2:$AC$801,1)=0,"",SUMIFS(보유분석!$BE$2:$BE$801,보유분석!$AG$2:$AG$801,$A51,보유분석!$AC$2:$AC$801,1)/SUMIFS(보유분석!$BF$2:$BF$801,보유분석!$AG$2:$AG$801,$A51,보유분석!$AC$2:$AC$801,1))</f>
        <v>1.81565721384286</v>
      </c>
      <c r="J51" s="37" t="n">
        <f aca="false">IF(SUMIFS(보유분석!$BG$2:$BG$801,보유분석!$AG$2:$AG$801,$A51,보유분석!$AC$2:$AC$801,1)=0,"",(SUMIFS(보유분석!$BC$2:$BC$801,보유분석!$AG$2:$AG$801,$A51,보유분석!$AC$2:$AC$801,1)+SUMIFS(보유분석!$BH$2:$BH$801,보유분석!$AG$2:$AG$801,$A51,보유분석!$AC$2:$AC$801,1))/SUMIFS(보유분석!$BG$2:$BG$801,보유분석!$AG$2:$AG$801,$A51,보유분석!$AC$2:$AC$801,1))</f>
        <v>36.7897474408663</v>
      </c>
      <c r="K51" s="40" t="n">
        <f aca="false">IF(B51=0,"",SUMIFS(보유분석!$AV$2:$AV$801,보유분석!$AG$2:$AG$801,$A51,보유분석!$AC$2:$AC$801,1)/(B51*1000000))</f>
        <v>0.0561633936118337</v>
      </c>
      <c r="L51" s="46" t="n">
        <f aca="false">SUMIFS(보유분석!$AP$2:$AP$801,보유분석!$AG$2:$AG$801,$A51,보유분석!$AC$2:$AC$801,1)</f>
        <v>-14579.8</v>
      </c>
      <c r="M51" s="9" t="n">
        <f aca="false">COUNTIFS(보유분석!$AG$2:$AG$801,$A51,보유분석!$AR$2:$AR$801,"Cheap",보유분석!$AC$2:$AC$801,1)</f>
        <v>0</v>
      </c>
      <c r="N51" s="9" t="n">
        <f aca="false">COUNTIFS(보유분석!$AG$2:$AG$801,$A51,보유분석!$AR$2:$AR$801,"Rich",보유분석!$AC$2:$AC$801,1)</f>
        <v>0</v>
      </c>
      <c r="O51" s="47"/>
      <c r="P51" s="48" t="str">
        <f aca="false">IF(O51="","",O51-C51)</f>
        <v/>
      </c>
      <c r="Q51" s="46" t="n">
        <f aca="false">-SUMIFS(보유분석!$AZ$2:$AZ$801,보유분석!$AG$2:$AG$801,$A51,보유분석!$AC$2:$AC$801,1)*설정!$C$10</f>
        <v>-2500.81726628964</v>
      </c>
      <c r="R51" s="44" t="n">
        <f aca="false">IF((-SUMIFS(보유분석!$AZ$2:$AZ$801,보유분석!$AC$2:$AC$801,1)*설정!$C$10)=0,0,Q51/(-SUMIFS(보유분석!$AZ$2:$AZ$801,보유분석!$AC$2:$AC$801,1)*설정!$C$10))</f>
        <v>0.000245731652916224</v>
      </c>
      <c r="S51" s="45" t="n">
        <f aca="false">IF(SUMIFS(보유분석!$BG$2:$BG$801,보유분석!$AG$2:$AG$801,$A51,보유분석!$AC$2:$AC$801,1)=0,"",SUMIFS(보유분석!$BH$2:$BH$801,보유분석!$AG$2:$AG$801,$A51,보유분석!$AC$2:$AC$801,1)/SUMIFS(보유분석!$BG$2:$BG$801,보유분석!$AG$2:$AG$801,$A51,보유분석!$AC$2:$AC$801,1))</f>
        <v>8.69870068115529</v>
      </c>
      <c r="T51" s="49" t="n">
        <f aca="false">IF(SUMIFS(보유분석!$BI$2:$BI$801,보유분석!$AG$2:$AG$801,$A51,보유분석!$AC$2:$AC$801,1)=0,"",SUMIFS(보유분석!$BD$2:$BD$801,보유분석!$AG$2:$AG$801,$A51,보유분석!$AC$2:$AC$801,1)/SUMIFS(보유분석!$BI$2:$BI$801,보유분석!$AG$2:$AG$801,$A51,보유분석!$AC$2:$AC$801,1))</f>
        <v>1</v>
      </c>
    </row>
    <row r="52" customFormat="false" ht="15" hidden="false" customHeight="false" outlineLevel="0" collapsed="false">
      <c r="A52" s="64" t="s">
        <v>98</v>
      </c>
      <c r="B52" s="35" t="n">
        <f aca="false">SUMIFS(보유분석!$AA$2:$AA$801,보유분석!$AG$2:$AG$801,$A52,보유분석!$AC$2:$AC$801,1)</f>
        <v>7.3672</v>
      </c>
      <c r="C52" s="44" t="n">
        <f aca="false">IF(SUMIFS(보유분석!$AA$2:$AA$801,보유분석!$AC$2:$AC$801,1)=0,0,B52/SUMIFS(보유분석!$AA$2:$AA$801,보유분석!$AC$2:$AC$801,1))</f>
        <v>0.00522719388296141</v>
      </c>
      <c r="D52" s="39" t="n">
        <f aca="false">SUMIFS(보유분석!$AM$2:$AM$801,보유분석!$AG$2:$AG$801,$A52,보유분석!$AC$2:$AC$801,1)</f>
        <v>1681.8273406</v>
      </c>
      <c r="E52" s="44" t="n">
        <f aca="false">IF(SUMIFS(보유분석!$AM$2:$AM$801,보유분석!$AC$2:$AC$801,1)=0,0,D52/SUMIFS(보유분석!$AM$2:$AM$801,보유분석!$AC$2:$AC$801,1))</f>
        <v>0.00443492761072181</v>
      </c>
      <c r="F52" s="36" t="n">
        <f aca="false">IF(SUMIFS(보유분석!$BB$2:$BB$801,보유분석!$AG$2:$AG$801,$A52,보유분석!$AC$2:$AC$801,1)=0,"",SUMIFS(보유분석!$BA$2:$BA$801,보유분석!$AG$2:$AG$801,$A52,보유분석!$AC$2:$AC$801,1)/SUMIFS(보유분석!$BB$2:$BB$801,보유분석!$AG$2:$AG$801,$A52,보유분석!$AC$2:$AC$801,1))</f>
        <v>5.50940682525247</v>
      </c>
      <c r="G52" s="45" t="n">
        <f aca="false">IF(F52="","",(F52-(SUMIFS(보유분석!$BA$2:$BA$801,보유분석!$AC$2:$AC$801,1)/SUMIFS(보유분석!$BB$2:$BB$801,보유분석!$AC$2:$AC$801,1)))*100)</f>
        <v>-15.0628999681126</v>
      </c>
      <c r="H52" s="37" t="n">
        <f aca="false">IF(SUMIFS(보유분석!$BD$2:$BD$801,보유분석!$AG$2:$AG$801,$A52,보유분석!$AC$2:$AC$801,1)=0,"",SUMIFS(보유분석!$BC$2:$BC$801,보유분석!$AG$2:$AG$801,$A52,보유분석!$AC$2:$AC$801,1)/SUMIFS(보유분석!$BD$2:$BD$801,보유분석!$AG$2:$AG$801,$A52,보유분석!$AC$2:$AC$801,1))</f>
        <v>58.6056267964763</v>
      </c>
      <c r="I52" s="38" t="n">
        <f aca="false">IF(SUMIFS(보유분석!$BF$2:$BF$801,보유분석!$AG$2:$AG$801,$A52,보유분석!$AC$2:$AC$801,1)=0,"",SUMIFS(보유분석!$BE$2:$BE$801,보유분석!$AG$2:$AG$801,$A52,보유분석!$AC$2:$AC$801,1)/SUMIFS(보유분석!$BF$2:$BF$801,보유분석!$AG$2:$AG$801,$A52,보유분석!$AC$2:$AC$801,1))</f>
        <v>2.28285826446954</v>
      </c>
      <c r="J52" s="37" t="n">
        <f aca="false">IF(SUMIFS(보유분석!$BG$2:$BG$801,보유분석!$AG$2:$AG$801,$A52,보유분석!$AC$2:$AC$801,1)=0,"",(SUMIFS(보유분석!$BC$2:$BC$801,보유분석!$AG$2:$AG$801,$A52,보유분석!$AC$2:$AC$801,1)+SUMIFS(보유분석!$BH$2:$BH$801,보유분석!$AG$2:$AG$801,$A52,보유분석!$AC$2:$AC$801,1))/SUMIFS(보유분석!$BG$2:$BG$801,보유분석!$AG$2:$AG$801,$A52,보유분석!$AC$2:$AC$801,1))</f>
        <v>33.2490239721064</v>
      </c>
      <c r="K52" s="40" t="n">
        <f aca="false">IF(B52=0,"",SUMIFS(보유분석!$AV$2:$AV$801,보유분석!$AG$2:$AG$801,$A52,보유분석!$AC$2:$AC$801,1)/(B52*1000000))</f>
        <v>0.056823786488904</v>
      </c>
      <c r="L52" s="46" t="n">
        <f aca="false">SUMIFS(보유분석!$AP$2:$AP$801,보유분석!$AG$2:$AG$801,$A52,보유분석!$AC$2:$AC$801,1)</f>
        <v>-114025</v>
      </c>
      <c r="M52" s="9" t="n">
        <f aca="false">COUNTIFS(보유분석!$AG$2:$AG$801,$A52,보유분석!$AR$2:$AR$801,"Cheap",보유분석!$AC$2:$AC$801,1)</f>
        <v>0</v>
      </c>
      <c r="N52" s="9" t="n">
        <f aca="false">COUNTIFS(보유분석!$AG$2:$AG$801,$A52,보유분석!$AR$2:$AR$801,"Rich",보유분석!$AC$2:$AC$801,1)</f>
        <v>0</v>
      </c>
      <c r="O52" s="47"/>
      <c r="P52" s="48" t="str">
        <f aca="false">IF(O52="","",O52-C52)</f>
        <v/>
      </c>
      <c r="Q52" s="46" t="n">
        <f aca="false">-SUMIFS(보유분석!$AZ$2:$AZ$801,보유분석!$AG$2:$AG$801,$A52,보유분석!$AC$2:$AC$801,1)*설정!$C$10</f>
        <v>-37618.009416503</v>
      </c>
      <c r="R52" s="44" t="n">
        <f aca="false">IF((-SUMIFS(보유분석!$AZ$2:$AZ$801,보유분석!$AC$2:$AC$801,1)*설정!$C$10)=0,0,Q52/(-SUMIFS(보유분석!$AZ$2:$AZ$801,보유분석!$AC$2:$AC$801,1)*설정!$C$10))</f>
        <v>0.00369636588724061</v>
      </c>
      <c r="S52" s="45" t="n">
        <f aca="false">IF(SUMIFS(보유분석!$BG$2:$BG$801,보유분석!$AG$2:$AG$801,$A52,보유분석!$AC$2:$AC$801,1)=0,"",SUMIFS(보유분석!$BH$2:$BH$801,보유분석!$AG$2:$AG$801,$A52,보유분석!$AC$2:$AC$801,1)/SUMIFS(보유분석!$BG$2:$BG$801,보유분석!$AG$2:$AG$801,$A52,보유분석!$AC$2:$AC$801,1))</f>
        <v>7.57698479708812</v>
      </c>
      <c r="T52" s="49" t="n">
        <f aca="false">IF(SUMIFS(보유분석!$BI$2:$BI$801,보유분석!$AG$2:$AG$801,$A52,보유분석!$AC$2:$AC$801,1)=0,"",SUMIFS(보유분석!$BD$2:$BD$801,보유분석!$AG$2:$AG$801,$A52,보유분석!$AC$2:$AC$801,1)/SUMIFS(보유분석!$BI$2:$BI$801,보유분석!$AG$2:$AG$801,$A52,보유분석!$AC$2:$AC$801,1))</f>
        <v>1</v>
      </c>
    </row>
    <row r="53" customFormat="false" ht="15" hidden="false" customHeight="false" outlineLevel="0" collapsed="false">
      <c r="A53" s="64" t="s">
        <v>99</v>
      </c>
      <c r="B53" s="35" t="n">
        <f aca="false">SUMIFS(보유분석!$AA$2:$AA$801,보유분석!$AG$2:$AG$801,$A53,보유분석!$AC$2:$AC$801,1)</f>
        <v>53.1804882</v>
      </c>
      <c r="C53" s="44" t="n">
        <f aca="false">IF(SUMIFS(보유분석!$AA$2:$AA$801,보유분석!$AC$2:$AC$801,1)=0,0,B53/SUMIFS(보유분석!$AA$2:$AA$801,보유분석!$AC$2:$AC$801,1))</f>
        <v>0.037732750924631</v>
      </c>
      <c r="D53" s="39" t="n">
        <f aca="false">SUMIFS(보유분석!$AM$2:$AM$801,보유분석!$AG$2:$AG$801,$A53,보유분석!$AC$2:$AC$801,1)</f>
        <v>21192.740702868</v>
      </c>
      <c r="E53" s="44" t="n">
        <f aca="false">IF(SUMIFS(보유분석!$AM$2:$AM$801,보유분석!$AC$2:$AC$801,1)=0,0,D53/SUMIFS(보유분석!$AM$2:$AM$801,보유분석!$AC$2:$AC$801,1))</f>
        <v>0.0558846134921832</v>
      </c>
      <c r="F53" s="36" t="n">
        <f aca="false">IF(SUMIFS(보유분석!$BB$2:$BB$801,보유분석!$AG$2:$AG$801,$A53,보유분석!$AC$2:$AC$801,1)=0,"",SUMIFS(보유분석!$BA$2:$BA$801,보유분석!$AG$2:$AG$801,$A53,보유분석!$AC$2:$AC$801,1)/SUMIFS(보유분석!$BB$2:$BB$801,보유분석!$AG$2:$AG$801,$A53,보유분석!$AC$2:$AC$801,1))</f>
        <v>5.89003352659707</v>
      </c>
      <c r="G53" s="45" t="n">
        <f aca="false">IF(F53="","",(F53-(SUMIFS(보유분석!$BA$2:$BA$801,보유분석!$AC$2:$AC$801,1)/SUMIFS(보유분석!$BB$2:$BB$801,보유분석!$AC$2:$AC$801,1)))*100)</f>
        <v>22.9997701663477</v>
      </c>
      <c r="H53" s="37" t="n">
        <f aca="false">IF(SUMIFS(보유분석!$BD$2:$BD$801,보유분석!$AG$2:$AG$801,$A53,보유분석!$AC$2:$AC$801,1)=0,"",SUMIFS(보유분석!$BC$2:$BC$801,보유분석!$AG$2:$AG$801,$A53,보유분석!$AC$2:$AC$801,1)/SUMIFS(보유분석!$BD$2:$BD$801,보유분석!$AG$2:$AG$801,$A53,보유분석!$AC$2:$AC$801,1))</f>
        <v>82.8348183350111</v>
      </c>
      <c r="I53" s="38" t="n">
        <f aca="false">IF(SUMIFS(보유분석!$BF$2:$BF$801,보유분석!$AG$2:$AG$801,$A53,보유분석!$AC$2:$AC$801,1)=0,"",SUMIFS(보유분석!$BE$2:$BE$801,보유분석!$AG$2:$AG$801,$A53,보유분석!$AC$2:$AC$801,1)/SUMIFS(보유분석!$BF$2:$BF$801,보유분석!$AG$2:$AG$801,$A53,보유분석!$AC$2:$AC$801,1))</f>
        <v>3.98505944946703</v>
      </c>
      <c r="J53" s="37" t="n">
        <f aca="false">IF(SUMIFS(보유분석!$BG$2:$BG$801,보유분석!$AG$2:$AG$801,$A53,보유분석!$AC$2:$AC$801,1)=0,"",(SUMIFS(보유분석!$BC$2:$BC$801,보유분석!$AG$2:$AG$801,$A53,보유분석!$AC$2:$AC$801,1)+SUMIFS(보유분석!$BH$2:$BH$801,보유분석!$AG$2:$AG$801,$A53,보유분석!$AC$2:$AC$801,1))/SUMIFS(보유분석!$BG$2:$BG$801,보유분석!$AG$2:$AG$801,$A53,보유분석!$AC$2:$AC$801,1))</f>
        <v>25.9502869914957</v>
      </c>
      <c r="K53" s="40" t="n">
        <f aca="false">IF(B53=0,"",SUMIFS(보유분석!$AV$2:$AV$801,보유분석!$AG$2:$AG$801,$A53,보유분석!$AC$2:$AC$801,1)/(B53*1000000))</f>
        <v>0.0609581970716537</v>
      </c>
      <c r="L53" s="46" t="n">
        <f aca="false">SUMIFS(보유분석!$AP$2:$AP$801,보유분석!$AG$2:$AG$801,$A53,보유분석!$AC$2:$AC$801,1)</f>
        <v>-1922237.22</v>
      </c>
      <c r="M53" s="9" t="n">
        <f aca="false">COUNTIFS(보유분석!$AG$2:$AG$801,$A53,보유분석!$AR$2:$AR$801,"Cheap",보유분석!$AC$2:$AC$801,1)</f>
        <v>9</v>
      </c>
      <c r="N53" s="9" t="n">
        <f aca="false">COUNTIFS(보유분석!$AG$2:$AG$801,$A53,보유분석!$AR$2:$AR$801,"Rich",보유분석!$AC$2:$AC$801,1)</f>
        <v>0</v>
      </c>
      <c r="O53" s="47"/>
      <c r="P53" s="48" t="str">
        <f aca="false">IF(O53="","",O53-C53)</f>
        <v/>
      </c>
      <c r="Q53" s="46" t="n">
        <f aca="false">-SUMIFS(보유분석!$AZ$2:$AZ$801,보유분석!$AG$2:$AG$801,$A53,보유분석!$AC$2:$AC$801,1)*설정!$C$10</f>
        <v>-708192.132292054</v>
      </c>
      <c r="R53" s="44" t="n">
        <f aca="false">IF((-SUMIFS(보유분석!$AZ$2:$AZ$801,보유분석!$AC$2:$AC$801,1)*설정!$C$10)=0,0,Q53/(-SUMIFS(보유분석!$AZ$2:$AZ$801,보유분석!$AC$2:$AC$801,1)*설정!$C$10))</f>
        <v>0.0695873407450459</v>
      </c>
      <c r="S53" s="45" t="n">
        <f aca="false">IF(SUMIFS(보유분석!$BG$2:$BG$801,보유분석!$AG$2:$AG$801,$A53,보유분석!$AC$2:$AC$801,1)=0,"",SUMIFS(보유분석!$BH$2:$BH$801,보유분석!$AG$2:$AG$801,$A53,보유분석!$AC$2:$AC$801,1)/SUMIFS(보유분석!$BG$2:$BG$801,보유분석!$AG$2:$AG$801,$A53,보유분석!$AC$2:$AC$801,1))</f>
        <v>5.1639425503633</v>
      </c>
      <c r="T53" s="49" t="n">
        <f aca="false">IF(SUMIFS(보유분석!$BI$2:$BI$801,보유분석!$AG$2:$AG$801,$A53,보유분석!$AC$2:$AC$801,1)=0,"",SUMIFS(보유분석!$BD$2:$BD$801,보유분석!$AG$2:$AG$801,$A53,보유분석!$AC$2:$AC$801,1)/SUMIFS(보유분석!$BI$2:$BI$801,보유분석!$AG$2:$AG$801,$A53,보유분석!$AC$2:$AC$801,1))</f>
        <v>1</v>
      </c>
    </row>
    <row r="54" customFormat="false" ht="15" hidden="false" customHeight="false" outlineLevel="0" collapsed="false">
      <c r="A54" s="64" t="s">
        <v>100</v>
      </c>
      <c r="B54" s="35" t="n">
        <f aca="false">SUMIFS(보유분석!$AA$2:$AA$801,보유분석!$AG$2:$AG$801,$A54,보유분석!$AC$2:$AC$801,1)</f>
        <v>37.2034636</v>
      </c>
      <c r="C54" s="44" t="n">
        <f aca="false">IF(SUMIFS(보유분석!$AA$2:$AA$801,보유분석!$AC$2:$AC$801,1)=0,0,B54/SUMIFS(보유분석!$AA$2:$AA$801,보유분석!$AC$2:$AC$801,1))</f>
        <v>0.02639669309302</v>
      </c>
      <c r="D54" s="39" t="n">
        <f aca="false">SUMIFS(보유분석!$AM$2:$AM$801,보유분석!$AG$2:$AG$801,$A54,보유분석!$AC$2:$AC$801,1)</f>
        <v>11786.791868284</v>
      </c>
      <c r="E54" s="44" t="n">
        <f aca="false">IF(SUMIFS(보유분석!$AM$2:$AM$801,보유분석!$AC$2:$AC$801,1)=0,0,D54/SUMIFS(보유분석!$AM$2:$AM$801,보유분석!$AC$2:$AC$801,1))</f>
        <v>0.0310814121263097</v>
      </c>
      <c r="F54" s="36" t="n">
        <f aca="false">IF(SUMIFS(보유분석!$BB$2:$BB$801,보유분석!$AG$2:$AG$801,$A54,보유분석!$AC$2:$AC$801,1)=0,"",SUMIFS(보유분석!$BA$2:$BA$801,보유분석!$AG$2:$AG$801,$A54,보유분석!$AC$2:$AC$801,1)/SUMIFS(보유분석!$BB$2:$BB$801,보유분석!$AG$2:$AG$801,$A54,보유분석!$AC$2:$AC$801,1))</f>
        <v>5.36498472659519</v>
      </c>
      <c r="G54" s="45" t="n">
        <f aca="false">IF(F54="","",(F54-(SUMIFS(보유분석!$BA$2:$BA$801,보유분석!$AC$2:$AC$801,1)/SUMIFS(보유분석!$BB$2:$BB$801,보유분석!$AC$2:$AC$801,1)))*100)</f>
        <v>-29.5051098338409</v>
      </c>
      <c r="H54" s="37" t="n">
        <f aca="false">IF(SUMIFS(보유분석!$BD$2:$BD$801,보유분석!$AG$2:$AG$801,$A54,보유분석!$AC$2:$AC$801,1)=0,"",SUMIFS(보유분석!$BC$2:$BC$801,보유분석!$AG$2:$AG$801,$A54,보유분석!$AC$2:$AC$801,1)/SUMIFS(보유분석!$BD$2:$BD$801,보유분석!$AG$2:$AG$801,$A54,보유분석!$AC$2:$AC$801,1))</f>
        <v>35.8150430828274</v>
      </c>
      <c r="I54" s="38" t="n">
        <f aca="false">IF(SUMIFS(보유분석!$BF$2:$BF$801,보유분석!$AG$2:$AG$801,$A54,보유분석!$AC$2:$AC$801,1)=0,"",SUMIFS(보유분석!$BE$2:$BE$801,보유분석!$AG$2:$AG$801,$A54,보유분석!$AC$2:$AC$801,1)/SUMIFS(보유분석!$BF$2:$BF$801,보유분석!$AG$2:$AG$801,$A54,보유분석!$AC$2:$AC$801,1))</f>
        <v>3.16819745468107</v>
      </c>
      <c r="J54" s="37" t="n">
        <f aca="false">IF(SUMIFS(보유분석!$BG$2:$BG$801,보유분석!$AG$2:$AG$801,$A54,보유분석!$AC$2:$AC$801,1)=0,"",(SUMIFS(보유분석!$BC$2:$BC$801,보유분석!$AG$2:$AG$801,$A54,보유분석!$AC$2:$AC$801,1)+SUMIFS(보유분석!$BH$2:$BH$801,보유분석!$AG$2:$AG$801,$A54,보유분석!$AC$2:$AC$801,1))/SUMIFS(보유분석!$BG$2:$BG$801,보유분석!$AG$2:$AG$801,$A54,보유분석!$AC$2:$AC$801,1))</f>
        <v>20.4472503645566</v>
      </c>
      <c r="K54" s="40" t="n">
        <f aca="false">IF(B54=0,"",SUMIFS(보유분석!$AV$2:$AV$801,보유분석!$AG$2:$AG$801,$A54,보유분석!$AC$2:$AC$801,1)/(B54*1000000))</f>
        <v>0.0565464356136906</v>
      </c>
      <c r="L54" s="46" t="n">
        <f aca="false">SUMIFS(보유분석!$AP$2:$AP$801,보유분석!$AG$2:$AG$801,$A54,보유분석!$AC$2:$AC$801,1)</f>
        <v>-1303521.4</v>
      </c>
      <c r="M54" s="9" t="n">
        <f aca="false">COUNTIFS(보유분석!$AG$2:$AG$801,$A54,보유분석!$AR$2:$AR$801,"Cheap",보유분석!$AC$2:$AC$801,1)</f>
        <v>0</v>
      </c>
      <c r="N54" s="9" t="n">
        <f aca="false">COUNTIFS(보유분석!$AG$2:$AG$801,$A54,보유분석!$AR$2:$AR$801,"Rich",보유분석!$AC$2:$AC$801,1)</f>
        <v>0</v>
      </c>
      <c r="O54" s="47"/>
      <c r="P54" s="48" t="str">
        <f aca="false">IF(O54="","",O54-C54)</f>
        <v/>
      </c>
      <c r="Q54" s="46" t="n">
        <f aca="false">-SUMIFS(보유분석!$AZ$2:$AZ$801,보유분석!$AG$2:$AG$801,$A54,보유분석!$AC$2:$AC$801,1)*설정!$C$10</f>
        <v>-167655.288967163</v>
      </c>
      <c r="R54" s="44" t="n">
        <f aca="false">IF((-SUMIFS(보유분석!$AZ$2:$AZ$801,보유분석!$AC$2:$AC$801,1)*설정!$C$10)=0,0,Q54/(-SUMIFS(보유분석!$AZ$2:$AZ$801,보유분석!$AC$2:$AC$801,1)*설정!$C$10))</f>
        <v>0.0164738990862664</v>
      </c>
      <c r="S54" s="45" t="n">
        <f aca="false">IF(SUMIFS(보유분석!$BG$2:$BG$801,보유분석!$AG$2:$AG$801,$A54,보유분석!$AC$2:$AC$801,1)=0,"",SUMIFS(보유분석!$BH$2:$BH$801,보유분석!$AG$2:$AG$801,$A54,보유분석!$AC$2:$AC$801,1)/SUMIFS(보유분석!$BG$2:$BG$801,보유분석!$AG$2:$AG$801,$A54,보유분석!$AC$2:$AC$801,1))</f>
        <v>9.14270145460463</v>
      </c>
      <c r="T54" s="49" t="n">
        <f aca="false">IF(SUMIFS(보유분석!$BI$2:$BI$801,보유분석!$AG$2:$AG$801,$A54,보유분석!$AC$2:$AC$801,1)=0,"",SUMIFS(보유분석!$BD$2:$BD$801,보유분석!$AG$2:$AG$801,$A54,보유분석!$AC$2:$AC$801,1)/SUMIFS(보유분석!$BI$2:$BI$801,보유분석!$AG$2:$AG$801,$A54,보유분석!$AC$2:$AC$801,1))</f>
        <v>1</v>
      </c>
    </row>
    <row r="55" customFormat="false" ht="15" hidden="false" customHeight="false" outlineLevel="0" collapsed="false">
      <c r="A55" s="64" t="s">
        <v>101</v>
      </c>
      <c r="B55" s="35" t="n">
        <f aca="false">SUMIFS(보유분석!$AA$2:$AA$801,보유분석!$AG$2:$AG$801,$A55,보유분석!$AC$2:$AC$801,1)</f>
        <v>350.9617907</v>
      </c>
      <c r="C55" s="44" t="n">
        <f aca="false">IF(SUMIFS(보유분석!$AA$2:$AA$801,보유분석!$AC$2:$AC$801,1)=0,0,B55/SUMIFS(보유분석!$AA$2:$AA$801,보유분석!$AC$2:$AC$801,1))</f>
        <v>0.249015273848982</v>
      </c>
      <c r="D55" s="39" t="n">
        <f aca="false">SUMIFS(보유분석!$AM$2:$AM$801,보유분석!$AG$2:$AG$801,$A55,보유분석!$AC$2:$AC$801,1)</f>
        <v>94583.082326459</v>
      </c>
      <c r="E55" s="44" t="n">
        <f aca="false">IF(SUMIFS(보유분석!$AM$2:$AM$801,보유분석!$AC$2:$AC$801,1)=0,0,D55/SUMIFS(보유분석!$AM$2:$AM$801,보유분석!$AC$2:$AC$801,1))</f>
        <v>0.249412715081169</v>
      </c>
      <c r="F55" s="36" t="n">
        <f aca="false">IF(SUMIFS(보유분석!$BB$2:$BB$801,보유분석!$AG$2:$AG$801,$A55,보유분석!$AC$2:$AC$801,1)=0,"",SUMIFS(보유분석!$BA$2:$BA$801,보유분석!$AG$2:$AG$801,$A55,보유분석!$AC$2:$AC$801,1)/SUMIFS(보유분석!$BB$2:$BB$801,보유분석!$AG$2:$AG$801,$A55,보유분석!$AC$2:$AC$801,1))</f>
        <v>5.72805407015083</v>
      </c>
      <c r="G55" s="45" t="n">
        <f aca="false">IF(F55="","",(F55-(SUMIFS(보유분석!$BA$2:$BA$801,보유분석!$AC$2:$AC$801,1)/SUMIFS(보유분석!$BB$2:$BB$801,보유분석!$AC$2:$AC$801,1)))*100)</f>
        <v>6.80182452172371</v>
      </c>
      <c r="H55" s="37" t="n">
        <f aca="false">IF(SUMIFS(보유분석!$BD$2:$BD$801,보유분석!$AG$2:$AG$801,$A55,보유분석!$AC$2:$AC$801,1)=0,"",SUMIFS(보유분석!$BC$2:$BC$801,보유분석!$AG$2:$AG$801,$A55,보유분석!$AC$2:$AC$801,1)/SUMIFS(보유분석!$BD$2:$BD$801,보유분석!$AG$2:$AG$801,$A55,보유분석!$AC$2:$AC$801,1))</f>
        <v>72.9362633629531</v>
      </c>
      <c r="I55" s="38" t="n">
        <f aca="false">IF(SUMIFS(보유분석!$BF$2:$BF$801,보유분석!$AG$2:$AG$801,$A55,보유분석!$AC$2:$AC$801,1)=0,"",SUMIFS(보유분석!$BE$2:$BE$801,보유분석!$AG$2:$AG$801,$A55,보유분석!$AC$2:$AC$801,1)/SUMIFS(보유분석!$BF$2:$BF$801,보유분석!$AG$2:$AG$801,$A55,보유분석!$AC$2:$AC$801,1))</f>
        <v>2.69496808008106</v>
      </c>
      <c r="J55" s="37" t="n">
        <f aca="false">IF(SUMIFS(보유분석!$BG$2:$BG$801,보유분석!$AG$2:$AG$801,$A55,보유분석!$AC$2:$AC$801,1)=0,"",(SUMIFS(보유분석!$BC$2:$BC$801,보유분석!$AG$2:$AG$801,$A55,보유분석!$AC$2:$AC$801,1)+SUMIFS(보유분석!$BH$2:$BH$801,보유분석!$AG$2:$AG$801,$A55,보유분석!$AC$2:$AC$801,1))/SUMIFS(보유분석!$BG$2:$BG$801,보유분석!$AG$2:$AG$801,$A55,보유분석!$AC$2:$AC$801,1))</f>
        <v>37.1422216967165</v>
      </c>
      <c r="K55" s="40" t="n">
        <f aca="false">IF(B55=0,"",SUMIFS(보유분석!$AV$2:$AV$801,보유분석!$AG$2:$AG$801,$A55,보유분석!$AC$2:$AC$801,1)/(B55*1000000))</f>
        <v>0.0599891842657555</v>
      </c>
      <c r="L55" s="46" t="n">
        <f aca="false">SUMIFS(보유분석!$AP$2:$AP$801,보유분석!$AG$2:$AG$801,$A55,보유분석!$AC$2:$AC$801,1)</f>
        <v>-12384411.8</v>
      </c>
      <c r="M55" s="9" t="n">
        <f aca="false">COUNTIFS(보유분석!$AG$2:$AG$801,$A55,보유분석!$AR$2:$AR$801,"Cheap",보유분석!$AC$2:$AC$801,1)</f>
        <v>6</v>
      </c>
      <c r="N55" s="9" t="n">
        <f aca="false">COUNTIFS(보유분석!$AG$2:$AG$801,$A55,보유분석!$AR$2:$AR$801,"Rich",보유분석!$AC$2:$AC$801,1)</f>
        <v>1</v>
      </c>
      <c r="O55" s="47"/>
      <c r="P55" s="48" t="str">
        <f aca="false">IF(O55="","",O55-C55)</f>
        <v/>
      </c>
      <c r="Q55" s="46" t="n">
        <f aca="false">-SUMIFS(보유분석!$AZ$2:$AZ$801,보유분석!$AG$2:$AG$801,$A55,보유분석!$AC$2:$AC$801,1)*설정!$C$10</f>
        <v>-2784233.53377812</v>
      </c>
      <c r="R55" s="44" t="n">
        <f aca="false">IF((-SUMIFS(보유분석!$AZ$2:$AZ$801,보유분석!$AC$2:$AC$801,1)*설정!$C$10)=0,0,Q55/(-SUMIFS(보유분석!$AZ$2:$AZ$801,보유분석!$AC$2:$AC$801,1)*설정!$C$10))</f>
        <v>0.27358028816522</v>
      </c>
      <c r="S55" s="45" t="n">
        <f aca="false">IF(SUMIFS(보유분석!$BG$2:$BG$801,보유분석!$AG$2:$AG$801,$A55,보유분석!$AC$2:$AC$801,1)=0,"",SUMIFS(보유분석!$BH$2:$BH$801,보유분석!$AG$2:$AG$801,$A55,보유분석!$AC$2:$AC$801,1)/SUMIFS(보유분석!$BG$2:$BG$801,보유분석!$AG$2:$AG$801,$A55,보유분석!$AC$2:$AC$801,1))</f>
        <v>10.079009696072</v>
      </c>
      <c r="T55" s="49" t="n">
        <f aca="false">IF(SUMIFS(보유분석!$BI$2:$BI$801,보유분석!$AG$2:$AG$801,$A55,보유분석!$AC$2:$AC$801,1)=0,"",SUMIFS(보유분석!$BD$2:$BD$801,보유분석!$AG$2:$AG$801,$A55,보유분석!$AC$2:$AC$801,1)/SUMIFS(보유분석!$BI$2:$BI$801,보유분석!$AG$2:$AG$801,$A55,보유분석!$AC$2:$AC$801,1))</f>
        <v>0.997171427128805</v>
      </c>
    </row>
    <row r="56" customFormat="false" ht="15" hidden="false" customHeight="false" outlineLevel="0" collapsed="false">
      <c r="A56" s="64" t="s">
        <v>102</v>
      </c>
      <c r="B56" s="35" t="n">
        <f aca="false">SUMIFS(보유분석!$AA$2:$AA$801,보유분석!$AG$2:$AG$801,$A56,보유분석!$AC$2:$AC$801,1)</f>
        <v>24.46236624</v>
      </c>
      <c r="C56" s="44" t="n">
        <f aca="false">IF(SUMIFS(보유분석!$AA$2:$AA$801,보유분석!$AC$2:$AC$801,1)=0,0,B56/SUMIFS(보유분석!$AA$2:$AA$801,보유분석!$AC$2:$AC$801,1))</f>
        <v>0.0173565983239887</v>
      </c>
      <c r="D56" s="39" t="n">
        <f aca="false">SUMIFS(보유분석!$AM$2:$AM$801,보유분석!$AG$2:$AG$801,$A56,보유분석!$AC$2:$AC$801,1)</f>
        <v>17374.6631087116</v>
      </c>
      <c r="E56" s="44" t="n">
        <f aca="false">IF(SUMIFS(보유분석!$AM$2:$AM$801,보유분석!$AC$2:$AC$801,1)=0,0,D56/SUMIFS(보유분석!$AM$2:$AM$801,보유분석!$AC$2:$AC$801,1))</f>
        <v>0.0458164588526221</v>
      </c>
      <c r="F56" s="36" t="n">
        <f aca="false">IF(SUMIFS(보유분석!$BB$2:$BB$801,보유분석!$AG$2:$AG$801,$A56,보유분석!$AC$2:$AC$801,1)=0,"",SUMIFS(보유분석!$BA$2:$BA$801,보유분석!$AG$2:$AG$801,$A56,보유분석!$AC$2:$AC$801,1)/SUMIFS(보유분석!$BB$2:$BB$801,보유분석!$AG$2:$AG$801,$A56,보유분석!$AC$2:$AC$801,1))</f>
        <v>5.30488562612429</v>
      </c>
      <c r="G56" s="45" t="n">
        <f aca="false">IF(F56="","",(F56-(SUMIFS(보유분석!$BA$2:$BA$801,보유분석!$AC$2:$AC$801,1)/SUMIFS(보유분석!$BB$2:$BB$801,보유분석!$AC$2:$AC$801,1)))*100)</f>
        <v>-35.515019880931</v>
      </c>
      <c r="H56" s="37" t="n">
        <f aca="false">IF(SUMIFS(보유분석!$BD$2:$BD$801,보유분석!$AG$2:$AG$801,$A56,보유분석!$AC$2:$AC$801,1)=0,"",SUMIFS(보유분석!$BC$2:$BC$801,보유분석!$AG$2:$AG$801,$A56,보유분석!$AC$2:$AC$801,1)/SUMIFS(보유분석!$BD$2:$BD$801,보유분석!$AG$2:$AG$801,$A56,보유분석!$AC$2:$AC$801,1))</f>
        <v>34.4650874687641</v>
      </c>
      <c r="I56" s="38" t="n">
        <f aca="false">IF(SUMIFS(보유분석!$BF$2:$BF$801,보유분석!$AG$2:$AG$801,$A56,보유분석!$AC$2:$AC$801,1)=0,"",SUMIFS(보유분석!$BE$2:$BE$801,보유분석!$AG$2:$AG$801,$A56,보유분석!$AC$2:$AC$801,1)/SUMIFS(보유분석!$BF$2:$BF$801,보유분석!$AG$2:$AG$801,$A56,보유분석!$AC$2:$AC$801,1))</f>
        <v>7.10260934622962</v>
      </c>
      <c r="J56" s="37" t="n">
        <f aca="false">IF(SUMIFS(보유분석!$BG$2:$BG$801,보유분석!$AG$2:$AG$801,$A56,보유분석!$AC$2:$AC$801,1)=0,"",(SUMIFS(보유분석!$BC$2:$BC$801,보유분석!$AG$2:$AG$801,$A56,보유분석!$AC$2:$AC$801,1)+SUMIFS(보유분석!$BH$2:$BH$801,보유분석!$AG$2:$AG$801,$A56,보유분석!$AC$2:$AC$801,1))/SUMIFS(보유분석!$BG$2:$BG$801,보유분석!$AG$2:$AG$801,$A56,보유분석!$AC$2:$AC$801,1))</f>
        <v>5.94648533495995</v>
      </c>
      <c r="K56" s="40" t="n">
        <f aca="false">IF(B56=0,"",SUMIFS(보유분석!$AV$2:$AV$801,보유분석!$AG$2:$AG$801,$A56,보유분석!$AC$2:$AC$801,1)/(B56*1000000))</f>
        <v>0.0535370687551638</v>
      </c>
      <c r="L56" s="46" t="n">
        <f aca="false">SUMIFS(보유분석!$AP$2:$AP$801,보유분석!$AG$2:$AG$801,$A56,보유분석!$AC$2:$AC$801,1)</f>
        <v>-1966685.18</v>
      </c>
      <c r="M56" s="9" t="n">
        <f aca="false">COUNTIFS(보유분석!$AG$2:$AG$801,$A56,보유분석!$AR$2:$AR$801,"Cheap",보유분석!$AC$2:$AC$801,1)</f>
        <v>0</v>
      </c>
      <c r="N56" s="9" t="n">
        <f aca="false">COUNTIFS(보유분석!$AG$2:$AG$801,$A56,보유분석!$AR$2:$AR$801,"Rich",보유분석!$AC$2:$AC$801,1)</f>
        <v>2</v>
      </c>
      <c r="O56" s="47"/>
      <c r="P56" s="48" t="str">
        <f aca="false">IF(O56="","",O56-C56)</f>
        <v/>
      </c>
      <c r="Q56" s="46" t="n">
        <f aca="false">-SUMIFS(보유분석!$AZ$2:$AZ$801,보유분석!$AG$2:$AG$801,$A56,보유분석!$AC$2:$AC$801,1)*설정!$C$10</f>
        <v>-138590.878527677</v>
      </c>
      <c r="R56" s="44" t="n">
        <f aca="false">IF((-SUMIFS(보유분석!$AZ$2:$AZ$801,보유분석!$AC$2:$AC$801,1)*설정!$C$10)=0,0,Q56/(-SUMIFS(보유분석!$AZ$2:$AZ$801,보유분석!$AC$2:$AC$801,1)*설정!$C$10))</f>
        <v>0.0136180144462315</v>
      </c>
      <c r="S56" s="45" t="n">
        <f aca="false">IF(SUMIFS(보유분석!$BG$2:$BG$801,보유분석!$AG$2:$AG$801,$A56,보유분석!$AC$2:$AC$801,1)=0,"",SUMIFS(보유분석!$BH$2:$BH$801,보유분석!$AG$2:$AG$801,$A56,보유분석!$AC$2:$AC$801,1)/SUMIFS(보유분석!$BG$2:$BG$801,보유분석!$AG$2:$AG$801,$A56,보유분석!$AC$2:$AC$801,1))</f>
        <v>1.86937508493439</v>
      </c>
      <c r="T56" s="49" t="n">
        <f aca="false">IF(SUMIFS(보유분석!$BI$2:$BI$801,보유분석!$AG$2:$AG$801,$A56,보유분석!$AC$2:$AC$801,1)=0,"",SUMIFS(보유분석!$BD$2:$BD$801,보유분석!$AG$2:$AG$801,$A56,보유분석!$AC$2:$AC$801,1)/SUMIFS(보유분석!$BI$2:$BI$801,보유분석!$AG$2:$AG$801,$A56,보유분석!$AC$2:$AC$801,1))</f>
        <v>1</v>
      </c>
    </row>
    <row r="57" customFormat="false" ht="15" hidden="false" customHeight="false" outlineLevel="0" collapsed="false">
      <c r="A57" s="64" t="s">
        <v>103</v>
      </c>
      <c r="B57" s="35" t="n">
        <f aca="false">SUMIFS(보유분석!$AA$2:$AA$801,보유분석!$AG$2:$AG$801,$A57,보유분석!$AC$2:$AC$801,1)</f>
        <v>7.196521</v>
      </c>
      <c r="C57" s="44" t="n">
        <f aca="false">IF(SUMIFS(보유분석!$AA$2:$AA$801,보유분석!$AC$2:$AC$801,1)=0,0,B57/SUMIFS(보유분석!$AA$2:$AA$801,보유분석!$AC$2:$AC$801,1))</f>
        <v>0.00510609329864851</v>
      </c>
      <c r="D57" s="39" t="n">
        <f aca="false">SUMIFS(보유분석!$AM$2:$AM$801,보유분석!$AG$2:$AG$801,$A57,보유분석!$AC$2:$AC$801,1)</f>
        <v>2748.95701168</v>
      </c>
      <c r="E57" s="44" t="n">
        <f aca="false">IF(SUMIFS(보유분석!$AM$2:$AM$801,보유분석!$AC$2:$AC$801,1)=0,0,D57/SUMIFS(보유분석!$AM$2:$AM$801,보유분석!$AC$2:$AC$801,1))</f>
        <v>0.0072489161387028</v>
      </c>
      <c r="F57" s="36" t="n">
        <f aca="false">IF(SUMIFS(보유분석!$BB$2:$BB$801,보유분석!$AG$2:$AG$801,$A57,보유분석!$AC$2:$AC$801,1)=0,"",SUMIFS(보유분석!$BA$2:$BA$801,보유분석!$AG$2:$AG$801,$A57,보유분석!$AC$2:$AC$801,1)/SUMIFS(보유분석!$BB$2:$BB$801,보유분석!$AG$2:$AG$801,$A57,보유분석!$AC$2:$AC$801,1))</f>
        <v>6.22906316864774</v>
      </c>
      <c r="G57" s="45" t="n">
        <f aca="false">IF(F57="","",(F57-(SUMIFS(보유분석!$BA$2:$BA$801,보유분석!$AC$2:$AC$801,1)/SUMIFS(보유분석!$BB$2:$BB$801,보유분석!$AC$2:$AC$801,1)))*100)</f>
        <v>56.9027343714143</v>
      </c>
      <c r="H57" s="37" t="n">
        <f aca="false">IF(SUMIFS(보유분석!$BD$2:$BD$801,보유분석!$AG$2:$AG$801,$A57,보유분석!$AC$2:$AC$801,1)=0,"",SUMIFS(보유분석!$BC$2:$BC$801,보유분석!$AG$2:$AG$801,$A57,보유분석!$AC$2:$AC$801,1)/SUMIFS(보유분석!$BD$2:$BD$801,보유분석!$AG$2:$AG$801,$A57,보유분석!$AC$2:$AC$801,1))</f>
        <v>117.337168163756</v>
      </c>
      <c r="I57" s="38" t="n">
        <f aca="false">IF(SUMIFS(보유분석!$BF$2:$BF$801,보유분석!$AG$2:$AG$801,$A57,보유분석!$AC$2:$AC$801,1)=0,"",SUMIFS(보유분석!$BE$2:$BE$801,보유분석!$AG$2:$AG$801,$A57,보유분석!$AC$2:$AC$801,1)/SUMIFS(보유분석!$BF$2:$BF$801,보유분석!$AG$2:$AG$801,$A57,보유분석!$AC$2:$AC$801,1))</f>
        <v>3.81984157578363</v>
      </c>
      <c r="J57" s="37" t="n">
        <f aca="false">IF(SUMIFS(보유분석!$BG$2:$BG$801,보유분석!$AG$2:$AG$801,$A57,보유분석!$AC$2:$AC$801,1)=0,"",(SUMIFS(보유분석!$BC$2:$BC$801,보유분석!$AG$2:$AG$801,$A57,보유분석!$AC$2:$AC$801,1)+SUMIFS(보유분석!$BH$2:$BH$801,보유분석!$AG$2:$AG$801,$A57,보유분석!$AC$2:$AC$801,1))/SUMIFS(보유분석!$BG$2:$BG$801,보유분석!$AG$2:$AG$801,$A57,보유분석!$AC$2:$AC$801,1))</f>
        <v>37.3336805860606</v>
      </c>
      <c r="K57" s="40" t="n">
        <f aca="false">IF(B57=0,"",SUMIFS(보유분석!$AV$2:$AV$801,보유분석!$AG$2:$AG$801,$A57,보유분석!$AC$2:$AC$801,1)/(B57*1000000))</f>
        <v>0.0648177893980679</v>
      </c>
      <c r="L57" s="46" t="n">
        <f aca="false">SUMIFS(보유분석!$AP$2:$AP$801,보유분석!$AG$2:$AG$801,$A57,보유분석!$AC$2:$AC$801,1)</f>
        <v>-366316</v>
      </c>
      <c r="M57" s="9" t="n">
        <f aca="false">COUNTIFS(보유분석!$AG$2:$AG$801,$A57,보유분석!$AR$2:$AR$801,"Cheap",보유분석!$AC$2:$AC$801,1)</f>
        <v>1</v>
      </c>
      <c r="N57" s="9" t="n">
        <f aca="false">COUNTIFS(보유분석!$AG$2:$AG$801,$A57,보유분석!$AR$2:$AR$801,"Rich",보유분석!$AC$2:$AC$801,1)</f>
        <v>1</v>
      </c>
      <c r="O57" s="47"/>
      <c r="P57" s="48" t="str">
        <f aca="false">IF(O57="","",O57-C57)</f>
        <v/>
      </c>
      <c r="Q57" s="46" t="n">
        <f aca="false">-SUMIFS(보유분석!$AZ$2:$AZ$801,보유분석!$AG$2:$AG$801,$A57,보유분석!$AC$2:$AC$801,1)*설정!$C$10</f>
        <v>-125444.183759455</v>
      </c>
      <c r="R57" s="44" t="n">
        <f aca="false">IF((-SUMIFS(보유분석!$AZ$2:$AZ$801,보유분석!$AC$2:$AC$801,1)*설정!$C$10)=0,0,Q57/(-SUMIFS(보유분석!$AZ$2:$AZ$801,보유분석!$AC$2:$AC$801,1)*설정!$C$10))</f>
        <v>0.0123262131301868</v>
      </c>
      <c r="S57" s="45" t="n">
        <f aca="false">IF(SUMIFS(보유분석!$BG$2:$BG$801,보유분석!$AG$2:$AG$801,$A57,보유분석!$AC$2:$AC$801,1)=0,"",SUMIFS(보유분석!$BH$2:$BH$801,보유분석!$AG$2:$AG$801,$A57,보유분석!$AC$2:$AC$801,1)/SUMIFS(보유분석!$BG$2:$BG$801,보유분석!$AG$2:$AG$801,$A57,보유분석!$AC$2:$AC$801,1))</f>
        <v>6.61587047905789</v>
      </c>
      <c r="T57" s="49" t="n">
        <f aca="false">IF(SUMIFS(보유분석!$BI$2:$BI$801,보유분석!$AG$2:$AG$801,$A57,보유분석!$AC$2:$AC$801,1)=0,"",SUMIFS(보유분석!$BD$2:$BD$801,보유분석!$AG$2:$AG$801,$A57,보유분석!$AC$2:$AC$801,1)/SUMIFS(보유분석!$BI$2:$BI$801,보유분석!$AG$2:$AG$801,$A57,보유분석!$AC$2:$AC$801,1))</f>
        <v>1</v>
      </c>
    </row>
    <row r="58" customFormat="false" ht="15" hidden="false" customHeight="false" outlineLevel="0" collapsed="false">
      <c r="A58" s="50" t="s">
        <v>75</v>
      </c>
      <c r="B58" s="35" t="n">
        <f aca="false">SUMPRODUCT(ISNA(MATCH(보유분석!$AG$2:$AG$801,$A$48:$A$57,0))*(보유분석!$AC$2:$AC$801=1)*보유분석!$AA$2:$AA$801)</f>
        <v>0</v>
      </c>
      <c r="C58" s="44" t="n">
        <f aca="false">IF(SUMIFS(보유분석!$AA$2:$AA$801,보유분석!$AC$2:$AC$801,1)=0,0,B58/SUMIFS(보유분석!$AA$2:$AA$801,보유분석!$AC$2:$AC$801,1))</f>
        <v>0</v>
      </c>
      <c r="D58" s="39" t="n">
        <f aca="false">SUMPRODUCT(ISNA(MATCH(보유분석!$AG$2:$AG$801,$A$48:$A$57,0))*(보유분석!$AC$2:$AC$801=1)*보유분석!$AM$2:$AM$801)</f>
        <v>0</v>
      </c>
      <c r="E58" s="44" t="n">
        <f aca="false">IF(SUMIFS(보유분석!$AM$2:$AM$801,보유분석!$AC$2:$AC$801,1)=0,0,D58/SUMIFS(보유분석!$AM$2:$AM$801,보유분석!$AC$2:$AC$801,1))</f>
        <v>0</v>
      </c>
      <c r="F58" s="36" t="str">
        <f aca="false">IF(SUMPRODUCT(ISNA(MATCH(보유분석!$AG$2:$AG$801,$A$48:$A$57,0))*(보유분석!$AC$2:$AC$801=1)*보유분석!$BB$2:$BB$801)=0,"",SUMPRODUCT(ISNA(MATCH(보유분석!$AG$2:$AG$801,$A$48:$A$57,0))*(보유분석!$AC$2:$AC$801=1)*보유분석!$BA$2:$BA$801)/SUMPRODUCT(ISNA(MATCH(보유분석!$AG$2:$AG$801,$A$48:$A$57,0))*(보유분석!$AC$2:$AC$801=1)*보유분석!$BB$2:$BB$801))</f>
        <v/>
      </c>
      <c r="G58" s="45" t="str">
        <f aca="false">IF(F58="","",(F58-(SUMIFS(보유분석!$BA$2:$BA$801,보유분석!$AC$2:$AC$801,1)/SUMIFS(보유분석!$BB$2:$BB$801,보유분석!$AC$2:$AC$801,1)))*100)</f>
        <v/>
      </c>
      <c r="H58" s="37" t="str">
        <f aca="false">IF(SUMPRODUCT(ISNA(MATCH(보유분석!$AG$2:$AG$801,$A$48:$A$57,0))*(보유분석!$AC$2:$AC$801=1)*보유분석!$BD$2:$BD$801)=0,"",SUMPRODUCT(ISNA(MATCH(보유분석!$AG$2:$AG$801,$A$48:$A$57,0))*(보유분석!$AC$2:$AC$801=1)*보유분석!$BC$2:$BC$801)/SUMPRODUCT(ISNA(MATCH(보유분석!$AG$2:$AG$801,$A$48:$A$57,0))*(보유분석!$AC$2:$AC$801=1)*보유분석!$BD$2:$BD$801))</f>
        <v/>
      </c>
      <c r="I58" s="38" t="str">
        <f aca="false">IF(SUMPRODUCT(ISNA(MATCH(보유분석!$AG$2:$AG$801,$A$48:$A$57,0))*(보유분석!$AC$2:$AC$801=1)*보유분석!$BF$2:$BF$801)=0,"",SUMPRODUCT(ISNA(MATCH(보유분석!$AG$2:$AG$801,$A$48:$A$57,0))*(보유분석!$AC$2:$AC$801=1)*보유분석!$BE$2:$BE$801)/SUMPRODUCT(ISNA(MATCH(보유분석!$AG$2:$AG$801,$A$48:$A$57,0))*(보유분석!$AC$2:$AC$801=1)*보유분석!$BF$2:$BF$801))</f>
        <v/>
      </c>
      <c r="J58" s="37" t="str">
        <f aca="false">IF(SUMPRODUCT(ISNA(MATCH(보유분석!$AG$2:$AG$801,$A$48:$A$57,0))*(보유분석!$AC$2:$AC$801=1)*보유분석!$BG$2:$BG$801)=0,"",(SUMPRODUCT(ISNA(MATCH(보유분석!$AG$2:$AG$801,$A$48:$A$57,0))*(보유분석!$AC$2:$AC$801=1)*보유분석!$BC$2:$BC$801)+SUMPRODUCT(ISNA(MATCH(보유분석!$AG$2:$AG$801,$A$48:$A$57,0))*(보유분석!$AC$2:$AC$801=1)*보유분석!$BH$2:$BH$801))/SUMPRODUCT(ISNA(MATCH(보유분석!$AG$2:$AG$801,$A$48:$A$57,0))*(보유분석!$AC$2:$AC$801=1)*보유분석!$BG$2:$BG$801))</f>
        <v/>
      </c>
      <c r="K58" s="40" t="str">
        <f aca="false">IF(B58=0,"",SUMPRODUCT(ISNA(MATCH(보유분석!$AG$2:$AG$801,$A$48:$A$57,0))*(보유분석!$AC$2:$AC$801=1)*보유분석!$AV$2:$AV$801)/(B58*1000000))</f>
        <v/>
      </c>
      <c r="L58" s="46" t="n">
        <f aca="false">SUMPRODUCT(ISNA(MATCH(보유분석!$AG$2:$AG$801,$A$48:$A$57,0))*(보유분석!$AC$2:$AC$801=1)*보유분석!$AP$2:$AP$801)</f>
        <v>0</v>
      </c>
      <c r="M58" s="9" t="n">
        <f aca="false">SUMPRODUCT(ISNA(MATCH(보유분석!$AG$2:$AG$801,$A$48:$A$57,0))*(보유분석!$AC$2:$AC$801=1)*(보유분석!$AR$2:$AR$801="Cheap"))</f>
        <v>0</v>
      </c>
      <c r="N58" s="9" t="n">
        <f aca="false">SUMPRODUCT(ISNA(MATCH(보유분석!$AG$2:$AG$801,$A$48:$A$57,0))*(보유분석!$AC$2:$AC$801=1)*(보유분석!$AR$2:$AR$801="Rich"))</f>
        <v>0</v>
      </c>
      <c r="O58" s="47"/>
      <c r="P58" s="48" t="str">
        <f aca="false">IF(O58="","",O58-C58)</f>
        <v/>
      </c>
      <c r="Q58" s="46" t="n">
        <f aca="false">-SUMPRODUCT(ISNA(MATCH(보유분석!$AG$2:$AG$801,$A$48:$A$57,0))*(보유분석!$AC$2:$AC$801=1)*보유분석!$AZ$2:$AZ$801)*설정!$C$10</f>
        <v>-0</v>
      </c>
      <c r="R58" s="44" t="n">
        <f aca="false">IF((-SUMIFS(보유분석!$AZ$2:$AZ$801,보유분석!$AC$2:$AC$801,1)*설정!$C$10)=0,0,Q58/(-SUMIFS(보유분석!$AZ$2:$AZ$801,보유분석!$AC$2:$AC$801,1)*설정!$C$10))</f>
        <v>0</v>
      </c>
      <c r="S58" s="45" t="str">
        <f aca="false">IF(SUMPRODUCT(ISNA(MATCH(보유분석!$AG$2:$AG$801,$A$48:$A$57,0))*(보유분석!$AC$2:$AC$801=1)*보유분석!$BG$2:$BG$801)=0,"",SUMPRODUCT(ISNA(MATCH(보유분석!$AG$2:$AG$801,$A$48:$A$57,0))*(보유분석!$AC$2:$AC$801=1)*보유분석!$BH$2:$BH$801)/SUMPRODUCT(ISNA(MATCH(보유분석!$AG$2:$AG$801,$A$48:$A$57,0))*(보유분석!$AC$2:$AC$801=1)*보유분석!$BG$2:$BG$801))</f>
        <v/>
      </c>
      <c r="T58" s="49" t="str">
        <f aca="false">IF(SUMPRODUCT(ISNA(MATCH(보유분석!$AG$2:$AG$801,$A$48:$A$57,0))*(보유분석!$AC$2:$AC$801=1)*보유분석!$BI$2:$BI$801)=0,"",SUMPRODUCT(ISNA(MATCH(보유분석!$AG$2:$AG$801,$A$48:$A$57,0))*(보유분석!$AC$2:$AC$801=1)*보유분석!$BD$2:$BD$801)/SUMPRODUCT(ISNA(MATCH(보유분석!$AG$2:$AG$801,$A$48:$A$57,0))*(보유분석!$AC$2:$AC$801=1)*보유분석!$BI$2:$BI$801))</f>
        <v/>
      </c>
    </row>
    <row r="59" customFormat="false" ht="15" hidden="false" customHeight="false" outlineLevel="0" collapsed="false">
      <c r="A59" s="51" t="s">
        <v>76</v>
      </c>
      <c r="B59" s="52" t="n">
        <f aca="false">SUM(B48:B58)</f>
        <v>1409.39864963</v>
      </c>
      <c r="C59" s="53" t="n">
        <f aca="false">SUM(C48:C58)</f>
        <v>1</v>
      </c>
      <c r="D59" s="54" t="n">
        <f aca="false">SUM(D48:D58)</f>
        <v>379223.177517947</v>
      </c>
      <c r="E59" s="53" t="n">
        <f aca="false">SUM(E48:E58)</f>
        <v>1</v>
      </c>
      <c r="F59" s="55" t="n">
        <f aca="false">IF(SUMIFS(보유분석!$BB$2:$BB$801,보유분석!$AC$2:$AC$801,1)=0,"",SUMIFS(보유분석!$BA$2:$BA$801,보유분석!$AC$2:$AC$801,1)/SUMIFS(보유분석!$BB$2:$BB$801,보유분석!$AC$2:$AC$801,1))</f>
        <v>5.6600358249336</v>
      </c>
      <c r="G59" s="56"/>
      <c r="H59" s="57" t="n">
        <f aca="false">IF(SUMIFS(보유분석!$BD$2:$BD$801,보유분석!$AC$2:$AC$801,1)=0,"",SUMIFS(보유분석!$BC$2:$BC$801,보유분석!$AC$2:$AC$801,1)/SUMIFS(보유분석!$BD$2:$BD$801,보유분석!$AC$2:$AC$801,1))</f>
        <v>66.114006085129</v>
      </c>
      <c r="I59" s="58" t="n">
        <f aca="false">IF(SUMIFS(보유분석!$BF$2:$BF$801,보유분석!$AC$2:$AC$801,1)=0,"",SUMIFS(보유분석!$BE$2:$BE$801,보유분석!$AC$2:$AC$801,1)/SUMIFS(보유분석!$BF$2:$BF$801,보유분석!$AC$2:$AC$801,1))</f>
        <v>2.69067362607096</v>
      </c>
      <c r="J59" s="57" t="n">
        <f aca="false">IF(SUMIFS(보유분석!$BG$2:$BG$801,보유분석!$AC$2:$AC$801,1)=0,"",(SUMIFS(보유분석!$BC$2:$BC$801,보유분석!$AC$2:$AC$801,1)+SUMIFS(보유분석!$BH$2:$BH$801,보유분석!$AC$2:$AC$801,1))/SUMIFS(보유분석!$BG$2:$BG$801,보유분석!$AC$2:$AC$801,1))</f>
        <v>31.4685741331147</v>
      </c>
      <c r="K59" s="59" t="n">
        <f aca="false">IF(B59=0,"",SUMIFS(보유분석!$AV$2:$AV$801,보유분석!$AC$2:$AC$801,1)/(B59*1000000))</f>
        <v>0.0582546221879707</v>
      </c>
      <c r="L59" s="60" t="n">
        <f aca="false">SUM(L48:L58)</f>
        <v>-44901234.1</v>
      </c>
      <c r="M59" s="61"/>
      <c r="N59" s="61"/>
      <c r="O59" s="53" t="str">
        <f aca="false">IF(COUNT(O48:O58)=0,"",SUM(O48:O58))</f>
        <v/>
      </c>
      <c r="P59" s="62"/>
      <c r="Q59" s="60" t="n">
        <f aca="false">SUM(Q48:Q58)</f>
        <v>-10177025.3714211</v>
      </c>
      <c r="R59" s="53" t="n">
        <f aca="false">SUM(R48:R58)</f>
        <v>1</v>
      </c>
      <c r="S59" s="56" t="n">
        <f aca="false">IF(SUMIFS(보유분석!$BG$2:$BG$801,보유분석!$AC$2:$AC$801,1)=0,"",SUMIFS(보유분석!$BH$2:$BH$801,보유분석!$AC$2:$AC$801,1)/SUMIFS(보유분석!$BG$2:$BG$801,보유분석!$AC$2:$AC$801,1))</f>
        <v>6.4728237935996</v>
      </c>
      <c r="T59" s="63" t="n">
        <f aca="false">IF(SUMIFS(보유분석!$BI$2:$BI$801,보유분석!$AC$2:$AC$801,1)=0,"",SUMIFS(보유분석!$BD$2:$BD$801,보유분석!$AC$2:$AC$801,1)/SUMIFS(보유분석!$BI$2:$BI$801,보유분석!$AC$2:$AC$801,1))</f>
        <v>0.977967173185718</v>
      </c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customFormat="false" ht="17.15" hidden="false" customHeight="false" outlineLevel="0" collapsed="false">
      <c r="A62" s="24" t="s">
        <v>104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customFormat="false" ht="41" hidden="false" customHeight="false" outlineLevel="0" collapsed="false">
      <c r="A63" s="5" t="s">
        <v>51</v>
      </c>
      <c r="B63" s="5" t="s">
        <v>40</v>
      </c>
      <c r="C63" s="5" t="s">
        <v>52</v>
      </c>
      <c r="D63" s="25" t="s">
        <v>24</v>
      </c>
      <c r="E63" s="25" t="s">
        <v>53</v>
      </c>
      <c r="F63" s="5" t="s">
        <v>41</v>
      </c>
      <c r="G63" s="5" t="s">
        <v>54</v>
      </c>
      <c r="H63" s="5" t="s">
        <v>55</v>
      </c>
      <c r="I63" s="5" t="s">
        <v>43</v>
      </c>
      <c r="J63" s="5" t="s">
        <v>56</v>
      </c>
      <c r="K63" s="25" t="s">
        <v>44</v>
      </c>
      <c r="L63" s="5" t="s">
        <v>57</v>
      </c>
      <c r="M63" s="25" t="s">
        <v>58</v>
      </c>
      <c r="N63" s="25" t="s">
        <v>59</v>
      </c>
      <c r="O63" s="5" t="s">
        <v>60</v>
      </c>
      <c r="P63" s="5" t="s">
        <v>61</v>
      </c>
      <c r="Q63" s="5" t="s">
        <v>62</v>
      </c>
      <c r="R63" s="5" t="s">
        <v>63</v>
      </c>
      <c r="S63" s="5" t="s">
        <v>64</v>
      </c>
      <c r="T63" s="25" t="s">
        <v>65</v>
      </c>
    </row>
    <row r="64" customFormat="false" ht="15" hidden="false" customHeight="false" outlineLevel="0" collapsed="false">
      <c r="A64" s="43" t="s">
        <v>105</v>
      </c>
      <c r="B64" s="35" t="n">
        <f aca="false">SUMIFS(보유분석!$AA$2:$AA$801,보유분석!$AK$2:$AK$801,$A64,보유분석!$AC$2:$AC$801,1)</f>
        <v>72.17866084</v>
      </c>
      <c r="C64" s="44" t="n">
        <f aca="false">IF(SUMIFS(보유분석!$AA$2:$AA$801,보유분석!$AC$2:$AC$801,1)=0,0,B64/SUMIFS(보유분석!$AA$2:$AA$801,보유분석!$AC$2:$AC$801,1))</f>
        <v>0.0512123811520244</v>
      </c>
      <c r="D64" s="39" t="n">
        <f aca="false">SUMIFS(보유분석!$AM$2:$AM$801,보유분석!$AK$2:$AK$801,$A64,보유분석!$AC$2:$AC$801,1)</f>
        <v>29498.3551670756</v>
      </c>
      <c r="E64" s="44" t="n">
        <f aca="false">IF(SUMIFS(보유분석!$AM$2:$AM$801,보유분석!$AC$2:$AC$801,1)=0,0,D64/SUMIFS(보유분석!$AM$2:$AM$801,보유분석!$AC$2:$AC$801,1))</f>
        <v>0.0777862665466422</v>
      </c>
      <c r="F64" s="36" t="n">
        <f aca="false">IF(SUMIFS(보유분석!$BB$2:$BB$801,보유분석!$AK$2:$AK$801,$A64,보유분석!$AC$2:$AC$801,1)=0,"",SUMIFS(보유분석!$BA$2:$BA$801,보유분석!$AK$2:$AK$801,$A64,보유분석!$AC$2:$AC$801,1)/SUMIFS(보유분석!$BB$2:$BB$801,보유분석!$AK$2:$AK$801,$A64,보유분석!$AC$2:$AC$801,1))</f>
        <v>5.29302391725427</v>
      </c>
      <c r="G64" s="45" t="n">
        <f aca="false">IF(F64="","",(F64-(SUMIFS(보유분석!$BA$2:$BA$801,보유분석!$AC$2:$AC$801,1)/SUMIFS(보유분석!$BB$2:$BB$801,보유분석!$AC$2:$AC$801,1)))*100)</f>
        <v>-36.7011907679328</v>
      </c>
      <c r="H64" s="37" t="n">
        <f aca="false">IF(SUMIFS(보유분석!$BD$2:$BD$801,보유분석!$AK$2:$AK$801,$A64,보유분석!$AC$2:$AC$801,1)=0,"",SUMIFS(보유분석!$BC$2:$BC$801,보유분석!$AK$2:$AK$801,$A64,보유분석!$AC$2:$AC$801,1)/SUMIFS(보유분석!$BD$2:$BD$801,보유분석!$AK$2:$AK$801,$A64,보유분석!$AC$2:$AC$801,1))</f>
        <v>35.8994271311183</v>
      </c>
      <c r="I64" s="38" t="n">
        <f aca="false">IF(SUMIFS(보유분석!$BF$2:$BF$801,보유분석!$AK$2:$AK$801,$A64,보유분석!$AC$2:$AC$801,1)=0,"",SUMIFS(보유분석!$BE$2:$BE$801,보유분석!$AK$2:$AK$801,$A64,보유분석!$AC$2:$AC$801,1)/SUMIFS(보유분석!$BF$2:$BF$801,보유분석!$AK$2:$AK$801,$A64,보유분석!$AC$2:$AC$801,1))</f>
        <v>4.08685265475696</v>
      </c>
      <c r="J64" s="37" t="n">
        <f aca="false">IF(SUMIFS(보유분석!$BG$2:$BG$801,보유분석!$AK$2:$AK$801,$A64,보유분석!$AC$2:$AC$801,1)=0,"",(SUMIFS(보유분석!$BC$2:$BC$801,보유분석!$AK$2:$AK$801,$A64,보유분석!$AC$2:$AC$801,1)+SUMIFS(보유분석!$BH$2:$BH$801,보유분석!$AK$2:$AK$801,$A64,보유분석!$AC$2:$AC$801,1))/SUMIFS(보유분석!$BG$2:$BG$801,보유분석!$AK$2:$AK$801,$A64,보유분석!$AC$2:$AC$801,1))</f>
        <v>15.3027512684075</v>
      </c>
      <c r="K64" s="40" t="n">
        <f aca="false">IF(B64=0,"",SUMIFS(보유분석!$AV$2:$AV$801,보유분석!$AK$2:$AK$801,$A64,보유분석!$AC$2:$AC$801,1)/(B64*1000000))</f>
        <v>0.0546050786998657</v>
      </c>
      <c r="L64" s="46" t="n">
        <f aca="false">SUMIFS(보유분석!$AP$2:$AP$801,보유분석!$AK$2:$AK$801,$A64,보유분석!$AC$2:$AC$801,1)</f>
        <v>-3360910.58</v>
      </c>
      <c r="M64" s="9" t="n">
        <f aca="false">COUNTIFS(보유분석!$AK$2:$AK$801,$A64,보유분석!$AR$2:$AR$801,"Cheap",보유분석!$AC$2:$AC$801,1)</f>
        <v>0</v>
      </c>
      <c r="N64" s="9" t="n">
        <f aca="false">COUNTIFS(보유분석!$AK$2:$AK$801,$A64,보유분석!$AR$2:$AR$801,"Rich",보유분석!$AC$2:$AC$801,1)</f>
        <v>3</v>
      </c>
      <c r="O64" s="47"/>
      <c r="P64" s="48" t="str">
        <f aca="false">IF(O64="","",O64-C64)</f>
        <v/>
      </c>
      <c r="Q64" s="46" t="n">
        <f aca="false">-SUMIFS(보유분석!$AZ$2:$AZ$801,보유분석!$AK$2:$AK$801,$A64,보유분석!$AC$2:$AC$801,1)*설정!$C$10</f>
        <v>-328627.256198772</v>
      </c>
      <c r="R64" s="44" t="n">
        <f aca="false">IF((-SUMIFS(보유분석!$AZ$2:$AZ$801,보유분석!$AC$2:$AC$801,1)*설정!$C$10)=0,0,Q64/(-SUMIFS(보유분석!$AZ$2:$AZ$801,보유분석!$AC$2:$AC$801,1)*설정!$C$10))</f>
        <v>0.0322910913754443</v>
      </c>
      <c r="S64" s="45" t="n">
        <f aca="false">IF(SUMIFS(보유분석!$BG$2:$BG$801,보유분석!$AK$2:$AK$801,$A64,보유분석!$AC$2:$AC$801,1)=0,"",SUMIFS(보유분석!$BH$2:$BH$801,보유분석!$AK$2:$AK$801,$A64,보유분석!$AC$2:$AC$801,1)/SUMIFS(보유분석!$BG$2:$BG$801,보유분석!$AK$2:$AK$801,$A64,보유분석!$AC$2:$AC$801,1))</f>
        <v>6.53152174702281</v>
      </c>
      <c r="T64" s="49" t="n">
        <f aca="false">IF(SUMIFS(보유분석!$BI$2:$BI$801,보유분석!$AK$2:$AK$801,$A64,보유분석!$AC$2:$AC$801,1)=0,"",SUMIFS(보유분석!$BD$2:$BD$801,보유분석!$AK$2:$AK$801,$A64,보유분석!$AC$2:$AC$801,1)/SUMIFS(보유분석!$BI$2:$BI$801,보유분석!$AK$2:$AK$801,$A64,보유분석!$AC$2:$AC$801,1))</f>
        <v>0.818126624743446</v>
      </c>
    </row>
    <row r="65" customFormat="false" ht="15" hidden="false" customHeight="false" outlineLevel="0" collapsed="false">
      <c r="A65" s="43" t="s">
        <v>106</v>
      </c>
      <c r="B65" s="35" t="n">
        <f aca="false">SUMIFS(보유분석!$AA$2:$AA$801,보유분석!$AK$2:$AK$801,$A65,보유분석!$AC$2:$AC$801,1)</f>
        <v>604.6635711</v>
      </c>
      <c r="C65" s="44" t="n">
        <f aca="false">IF(SUMIFS(보유분석!$AA$2:$AA$801,보유분석!$AC$2:$AC$801,1)=0,0,B65/SUMIFS(보유분석!$AA$2:$AA$801,보유분석!$AC$2:$AC$801,1))</f>
        <v>0.429022385723683</v>
      </c>
      <c r="D65" s="39" t="n">
        <f aca="false">SUMIFS(보유분석!$AM$2:$AM$801,보유분석!$AK$2:$AK$801,$A65,보유분석!$AC$2:$AC$801,1)</f>
        <v>173848.743622068</v>
      </c>
      <c r="E65" s="44" t="n">
        <f aca="false">IF(SUMIFS(보유분석!$AM$2:$AM$801,보유분석!$AC$2:$AC$801,1)=0,0,D65/SUMIFS(보유분석!$AM$2:$AM$801,보유분석!$AC$2:$AC$801,1))</f>
        <v>0.458433856179164</v>
      </c>
      <c r="F65" s="36" t="n">
        <f aca="false">IF(SUMIFS(보유분석!$BB$2:$BB$801,보유분석!$AK$2:$AK$801,$A65,보유분석!$AC$2:$AC$801,1)=0,"",SUMIFS(보유분석!$BA$2:$BA$801,보유분석!$AK$2:$AK$801,$A65,보유분석!$AC$2:$AC$801,1)/SUMIFS(보유분석!$BB$2:$BB$801,보유분석!$AK$2:$AK$801,$A65,보유분석!$AC$2:$AC$801,1))</f>
        <v>5.6626624097957</v>
      </c>
      <c r="G65" s="45" t="n">
        <f aca="false">IF(F65="","",(F65-(SUMIFS(보유분석!$BA$2:$BA$801,보유분석!$AC$2:$AC$801,1)/SUMIFS(보유분석!$BB$2:$BB$801,보유분석!$AC$2:$AC$801,1)))*100)</f>
        <v>0.262658486210388</v>
      </c>
      <c r="H65" s="37" t="n">
        <f aca="false">IF(SUMIFS(보유분석!$BD$2:$BD$801,보유분석!$AK$2:$AK$801,$A65,보유분석!$AC$2:$AC$801,1)=0,"",SUMIFS(보유분석!$BC$2:$BC$801,보유분석!$AK$2:$AK$801,$A65,보유분석!$AC$2:$AC$801,1)/SUMIFS(보유분석!$BD$2:$BD$801,보유분석!$AK$2:$AK$801,$A65,보유분석!$AC$2:$AC$801,1))</f>
        <v>66.2756066553312</v>
      </c>
      <c r="I65" s="38" t="n">
        <f aca="false">IF(SUMIFS(보유분석!$BF$2:$BF$801,보유분석!$AK$2:$AK$801,$A65,보유분석!$AC$2:$AC$801,1)=0,"",SUMIFS(보유분석!$BE$2:$BE$801,보유분석!$AK$2:$AK$801,$A65,보유분석!$AC$2:$AC$801,1)/SUMIFS(보유분석!$BF$2:$BF$801,보유분석!$AK$2:$AK$801,$A65,보유분석!$AC$2:$AC$801,1))</f>
        <v>2.87513175807505</v>
      </c>
      <c r="J65" s="37" t="n">
        <f aca="false">IF(SUMIFS(보유분석!$BG$2:$BG$801,보유분석!$AK$2:$AK$801,$A65,보유분석!$AC$2:$AC$801,1)=0,"",(SUMIFS(보유분석!$BC$2:$BC$801,보유분석!$AK$2:$AK$801,$A65,보유분석!$AC$2:$AC$801,1)+SUMIFS(보유분석!$BH$2:$BH$801,보유분석!$AK$2:$AK$801,$A65,보유분석!$AC$2:$AC$801,1))/SUMIFS(보유분석!$BG$2:$BG$801,보유분석!$AK$2:$AK$801,$A65,보유분석!$AC$2:$AC$801,1))</f>
        <v>30.1229275928091</v>
      </c>
      <c r="K65" s="40" t="n">
        <f aca="false">IF(B65=0,"",SUMIFS(보유분석!$AV$2:$AV$801,보유분석!$AK$2:$AK$801,$A65,보유분석!$AC$2:$AC$801,1)/(B65*1000000))</f>
        <v>0.058486209146591</v>
      </c>
      <c r="L65" s="46" t="n">
        <f aca="false">SUMIFS(보유분석!$AP$2:$AP$801,보유분석!$AK$2:$AK$801,$A65,보유분석!$AC$2:$AC$801,1)</f>
        <v>-20623334.76</v>
      </c>
      <c r="M65" s="9" t="n">
        <f aca="false">COUNTIFS(보유분석!$AK$2:$AK$801,$A65,보유분석!$AR$2:$AR$801,"Cheap",보유분석!$AC$2:$AC$801,1)</f>
        <v>10</v>
      </c>
      <c r="N65" s="9" t="n">
        <f aca="false">COUNTIFS(보유분석!$AK$2:$AK$801,$A65,보유분석!$AR$2:$AR$801,"Rich",보유분석!$AC$2:$AC$801,1)</f>
        <v>7</v>
      </c>
      <c r="O65" s="47"/>
      <c r="P65" s="48" t="str">
        <f aca="false">IF(O65="","",O65-C65)</f>
        <v/>
      </c>
      <c r="Q65" s="46" t="n">
        <f aca="false">-SUMIFS(보유분석!$AZ$2:$AZ$801,보유분석!$AK$2:$AK$801,$A65,보유분석!$AC$2:$AC$801,1)*설정!$C$10</f>
        <v>-4586836.92779214</v>
      </c>
      <c r="R65" s="44" t="n">
        <f aca="false">IF((-SUMIFS(보유분석!$AZ$2:$AZ$801,보유분석!$AC$2:$AC$801,1)*설정!$C$10)=0,0,Q65/(-SUMIFS(보유분석!$AZ$2:$AZ$801,보유분석!$AC$2:$AC$801,1)*설정!$C$10))</f>
        <v>0.450705069545451</v>
      </c>
      <c r="S65" s="45" t="n">
        <f aca="false">IF(SUMIFS(보유분석!$BG$2:$BG$801,보유분석!$AK$2:$AK$801,$A65,보유분석!$AC$2:$AC$801,1)=0,"",SUMIFS(보유분석!$BH$2:$BH$801,보유분석!$AK$2:$AK$801,$A65,보유분석!$AC$2:$AC$801,1)/SUMIFS(보유분석!$BG$2:$BG$801,보유분석!$AK$2:$AK$801,$A65,보유분석!$AC$2:$AC$801,1))</f>
        <v>6.77898091539349</v>
      </c>
      <c r="T65" s="49" t="n">
        <f aca="false">IF(SUMIFS(보유분석!$BI$2:$BI$801,보유분석!$AK$2:$AK$801,$A65,보유분석!$AC$2:$AC$801,1)=0,"",SUMIFS(보유분석!$BD$2:$BD$801,보유분석!$AK$2:$AK$801,$A65,보유분석!$AC$2:$AC$801,1)/SUMIFS(보유분석!$BI$2:$BI$801,보유분석!$AK$2:$AK$801,$A65,보유분석!$AC$2:$AC$801,1))</f>
        <v>0.966211506734509</v>
      </c>
    </row>
    <row r="66" customFormat="false" ht="15" hidden="false" customHeight="false" outlineLevel="0" collapsed="false">
      <c r="A66" s="43" t="s">
        <v>107</v>
      </c>
      <c r="B66" s="35" t="n">
        <f aca="false">SUMIFS(보유분석!$AA$2:$AA$801,보유분석!$AK$2:$AK$801,$A66,보유분석!$AC$2:$AC$801,1)</f>
        <v>609.78364129</v>
      </c>
      <c r="C66" s="44" t="n">
        <f aca="false">IF(SUMIFS(보유분석!$AA$2:$AA$801,보유분석!$AC$2:$AC$801,1)=0,0,B66/SUMIFS(보유분석!$AA$2:$AA$801,보유분석!$AC$2:$AC$801,1))</f>
        <v>0.432655190531141</v>
      </c>
      <c r="D66" s="39" t="n">
        <f aca="false">SUMIFS(보유분석!$AM$2:$AM$801,보유분석!$AK$2:$AK$801,$A66,보유분석!$AC$2:$AC$801,1)</f>
        <v>149212.223590015</v>
      </c>
      <c r="E66" s="44" t="n">
        <f aca="false">IF(SUMIFS(보유분석!$AM$2:$AM$801,보유분석!$AC$2:$AC$801,1)=0,0,D66/SUMIFS(보유분석!$AM$2:$AM$801,보유분석!$AC$2:$AC$801,1))</f>
        <v>0.393468101202632</v>
      </c>
      <c r="F66" s="36" t="n">
        <f aca="false">IF(SUMIFS(보유분석!$BB$2:$BB$801,보유분석!$AK$2:$AK$801,$A66,보유분석!$AC$2:$AC$801,1)=0,"",SUMIFS(보유분석!$BA$2:$BA$801,보유분석!$AK$2:$AK$801,$A66,보유분석!$AC$2:$AC$801,1)/SUMIFS(보유분석!$BB$2:$BB$801,보유분석!$AK$2:$AK$801,$A66,보유분석!$AC$2:$AC$801,1))</f>
        <v>5.70815609458346</v>
      </c>
      <c r="G66" s="45" t="n">
        <f aca="false">IF(F66="","",(F66-(SUMIFS(보유분석!$BA$2:$BA$801,보유분석!$AC$2:$AC$801,1)/SUMIFS(보유분석!$BB$2:$BB$801,보유분석!$AC$2:$AC$801,1)))*100)</f>
        <v>4.81202696498668</v>
      </c>
      <c r="H66" s="37" t="n">
        <f aca="false">IF(SUMIFS(보유분석!$BD$2:$BD$801,보유분석!$AK$2:$AK$801,$A66,보유분석!$AC$2:$AC$801,1)=0,"",SUMIFS(보유분석!$BC$2:$BC$801,보유분석!$AK$2:$AK$801,$A66,보유분석!$AC$2:$AC$801,1)/SUMIFS(보유분석!$BD$2:$BD$801,보유분석!$AK$2:$AK$801,$A66,보유분석!$AC$2:$AC$801,1))</f>
        <v>68.8723848428906</v>
      </c>
      <c r="I66" s="38" t="n">
        <f aca="false">IF(SUMIFS(보유분석!$BF$2:$BF$801,보유분석!$AK$2:$AK$801,$A66,보유분석!$AC$2:$AC$801,1)=0,"",SUMIFS(보유분석!$BE$2:$BE$801,보유분석!$AK$2:$AK$801,$A66,보유분석!$AC$2:$AC$801,1)/SUMIFS(보유분석!$BF$2:$BF$801,보유분석!$AK$2:$AK$801,$A66,보유분석!$AC$2:$AC$801,1))</f>
        <v>2.44696993304635</v>
      </c>
      <c r="J66" s="37" t="n">
        <f aca="false">IF(SUMIFS(보유분석!$BG$2:$BG$801,보유분석!$AK$2:$AK$801,$A66,보유분석!$AC$2:$AC$801,1)=0,"",(SUMIFS(보유분석!$BC$2:$BC$801,보유분석!$AK$2:$AK$801,$A66,보유분석!$AC$2:$AC$801,1)+SUMIFS(보유분석!$BH$2:$BH$801,보유분석!$AK$2:$AK$801,$A66,보유분석!$AC$2:$AC$801,1))/SUMIFS(보유분석!$BG$2:$BG$801,보유분석!$AK$2:$AK$801,$A66,보유분석!$AC$2:$AC$801,1))</f>
        <v>34.7459561122495</v>
      </c>
      <c r="K66" s="40" t="n">
        <f aca="false">IF(B66=0,"",SUMIFS(보유분석!$AV$2:$AV$801,보유분석!$AK$2:$AK$801,$A66,보유분석!$AC$2:$AC$801,1)/(B66*1000000))</f>
        <v>0.0586965534517078</v>
      </c>
      <c r="L66" s="46" t="n">
        <f aca="false">SUMIFS(보유분석!$AP$2:$AP$801,보유분석!$AK$2:$AK$801,$A66,보유분석!$AC$2:$AC$801,1)</f>
        <v>-17525151.56</v>
      </c>
      <c r="M66" s="9" t="n">
        <f aca="false">COUNTIFS(보유분석!$AK$2:$AK$801,$A66,보유분석!$AR$2:$AR$801,"Cheap",보유분석!$AC$2:$AC$801,1)</f>
        <v>26</v>
      </c>
      <c r="N66" s="9" t="n">
        <f aca="false">COUNTIFS(보유분석!$AK$2:$AK$801,$A66,보유분석!$AR$2:$AR$801,"Rich",보유분석!$AC$2:$AC$801,1)</f>
        <v>0</v>
      </c>
      <c r="O66" s="47"/>
      <c r="P66" s="48" t="str">
        <f aca="false">IF(O66="","",O66-C66)</f>
        <v/>
      </c>
      <c r="Q66" s="46" t="n">
        <f aca="false">-SUMIFS(보유분석!$AZ$2:$AZ$801,보유분석!$AK$2:$AK$801,$A66,보유분석!$AC$2:$AC$801,1)*설정!$C$10</f>
        <v>-4637731.77639474</v>
      </c>
      <c r="R66" s="44" t="n">
        <f aca="false">IF((-SUMIFS(보유분석!$AZ$2:$AZ$801,보유분석!$AC$2:$AC$801,1)*설정!$C$10)=0,0,Q66/(-SUMIFS(보유분석!$AZ$2:$AZ$801,보유분석!$AC$2:$AC$801,1)*설정!$C$10))</f>
        <v>0.455706024809404</v>
      </c>
      <c r="S66" s="45" t="n">
        <f aca="false">IF(SUMIFS(보유분석!$BG$2:$BG$801,보유분석!$AK$2:$AK$801,$A66,보유분석!$AC$2:$AC$801,1)=0,"",SUMIFS(보유분석!$BH$2:$BH$801,보유분석!$AK$2:$AK$801,$A66,보유분석!$AC$2:$AC$801,1)/SUMIFS(보유분석!$BG$2:$BG$801,보유분석!$AK$2:$AK$801,$A66,보유분석!$AC$2:$AC$801,1))</f>
        <v>6.59996873710091</v>
      </c>
      <c r="T66" s="49" t="n">
        <f aca="false">IF(SUMIFS(보유분석!$BI$2:$BI$801,보유분석!$AK$2:$AK$801,$A66,보유분석!$AC$2:$AC$801,1)=0,"",SUMIFS(보유분석!$BD$2:$BD$801,보유분석!$AK$2:$AK$801,$A66,보유분석!$AC$2:$AC$801,1)/SUMIFS(보유분석!$BI$2:$BI$801,보유분석!$AK$2:$AK$801,$A66,보유분석!$AC$2:$AC$801,1))</f>
        <v>1</v>
      </c>
    </row>
    <row r="67" customFormat="false" ht="15" hidden="false" customHeight="false" outlineLevel="0" collapsed="false">
      <c r="A67" s="43" t="s">
        <v>108</v>
      </c>
      <c r="B67" s="35" t="n">
        <f aca="false">SUMIFS(보유분석!$AA$2:$AA$801,보유분석!$AK$2:$AK$801,$A67,보유분석!$AC$2:$AC$801,1)</f>
        <v>0</v>
      </c>
      <c r="C67" s="44" t="n">
        <f aca="false">IF(SUMIFS(보유분석!$AA$2:$AA$801,보유분석!$AC$2:$AC$801,1)=0,0,B67/SUMIFS(보유분석!$AA$2:$AA$801,보유분석!$AC$2:$AC$801,1))</f>
        <v>0</v>
      </c>
      <c r="D67" s="39" t="n">
        <f aca="false">SUMIFS(보유분석!$AM$2:$AM$801,보유분석!$AK$2:$AK$801,$A67,보유분석!$AC$2:$AC$801,1)</f>
        <v>0</v>
      </c>
      <c r="E67" s="44" t="n">
        <f aca="false">IF(SUMIFS(보유분석!$AM$2:$AM$801,보유분석!$AC$2:$AC$801,1)=0,0,D67/SUMIFS(보유분석!$AM$2:$AM$801,보유분석!$AC$2:$AC$801,1))</f>
        <v>0</v>
      </c>
      <c r="F67" s="36" t="str">
        <f aca="false">IF(SUMIFS(보유분석!$BB$2:$BB$801,보유분석!$AK$2:$AK$801,$A67,보유분석!$AC$2:$AC$801,1)=0,"",SUMIFS(보유분석!$BA$2:$BA$801,보유분석!$AK$2:$AK$801,$A67,보유분석!$AC$2:$AC$801,1)/SUMIFS(보유분석!$BB$2:$BB$801,보유분석!$AK$2:$AK$801,$A67,보유분석!$AC$2:$AC$801,1))</f>
        <v/>
      </c>
      <c r="G67" s="45" t="str">
        <f aca="false">IF(F67="","",(F67-(SUMIFS(보유분석!$BA$2:$BA$801,보유분석!$AC$2:$AC$801,1)/SUMIFS(보유분석!$BB$2:$BB$801,보유분석!$AC$2:$AC$801,1)))*100)</f>
        <v/>
      </c>
      <c r="H67" s="37" t="str">
        <f aca="false">IF(SUMIFS(보유분석!$BD$2:$BD$801,보유분석!$AK$2:$AK$801,$A67,보유분석!$AC$2:$AC$801,1)=0,"",SUMIFS(보유분석!$BC$2:$BC$801,보유분석!$AK$2:$AK$801,$A67,보유분석!$AC$2:$AC$801,1)/SUMIFS(보유분석!$BD$2:$BD$801,보유분석!$AK$2:$AK$801,$A67,보유분석!$AC$2:$AC$801,1))</f>
        <v/>
      </c>
      <c r="I67" s="38" t="str">
        <f aca="false">IF(SUMIFS(보유분석!$BF$2:$BF$801,보유분석!$AK$2:$AK$801,$A67,보유분석!$AC$2:$AC$801,1)=0,"",SUMIFS(보유분석!$BE$2:$BE$801,보유분석!$AK$2:$AK$801,$A67,보유분석!$AC$2:$AC$801,1)/SUMIFS(보유분석!$BF$2:$BF$801,보유분석!$AK$2:$AK$801,$A67,보유분석!$AC$2:$AC$801,1))</f>
        <v/>
      </c>
      <c r="J67" s="37" t="str">
        <f aca="false">IF(SUMIFS(보유분석!$BG$2:$BG$801,보유분석!$AK$2:$AK$801,$A67,보유분석!$AC$2:$AC$801,1)=0,"",(SUMIFS(보유분석!$BC$2:$BC$801,보유분석!$AK$2:$AK$801,$A67,보유분석!$AC$2:$AC$801,1)+SUMIFS(보유분석!$BH$2:$BH$801,보유분석!$AK$2:$AK$801,$A67,보유분석!$AC$2:$AC$801,1))/SUMIFS(보유분석!$BG$2:$BG$801,보유분석!$AK$2:$AK$801,$A67,보유분석!$AC$2:$AC$801,1))</f>
        <v/>
      </c>
      <c r="K67" s="40" t="str">
        <f aca="false">IF(B67=0,"",SUMIFS(보유분석!$AV$2:$AV$801,보유분석!$AK$2:$AK$801,$A67,보유분석!$AC$2:$AC$801,1)/(B67*1000000))</f>
        <v/>
      </c>
      <c r="L67" s="46" t="n">
        <f aca="false">SUMIFS(보유분석!$AP$2:$AP$801,보유분석!$AK$2:$AK$801,$A67,보유분석!$AC$2:$AC$801,1)</f>
        <v>0</v>
      </c>
      <c r="M67" s="9" t="n">
        <f aca="false">COUNTIFS(보유분석!$AK$2:$AK$801,$A67,보유분석!$AR$2:$AR$801,"Cheap",보유분석!$AC$2:$AC$801,1)</f>
        <v>0</v>
      </c>
      <c r="N67" s="9" t="n">
        <f aca="false">COUNTIFS(보유분석!$AK$2:$AK$801,$A67,보유분석!$AR$2:$AR$801,"Rich",보유분석!$AC$2:$AC$801,1)</f>
        <v>0</v>
      </c>
      <c r="O67" s="47"/>
      <c r="P67" s="48" t="str">
        <f aca="false">IF(O67="","",O67-C67)</f>
        <v/>
      </c>
      <c r="Q67" s="46" t="n">
        <f aca="false">-SUMIFS(보유분석!$AZ$2:$AZ$801,보유분석!$AK$2:$AK$801,$A67,보유분석!$AC$2:$AC$801,1)*설정!$C$10</f>
        <v>-0</v>
      </c>
      <c r="R67" s="44" t="n">
        <f aca="false">IF((-SUMIFS(보유분석!$AZ$2:$AZ$801,보유분석!$AC$2:$AC$801,1)*설정!$C$10)=0,0,Q67/(-SUMIFS(보유분석!$AZ$2:$AZ$801,보유분석!$AC$2:$AC$801,1)*설정!$C$10))</f>
        <v>0</v>
      </c>
      <c r="S67" s="45" t="str">
        <f aca="false">IF(SUMIFS(보유분석!$BG$2:$BG$801,보유분석!$AK$2:$AK$801,$A67,보유분석!$AC$2:$AC$801,1)=0,"",SUMIFS(보유분석!$BH$2:$BH$801,보유분석!$AK$2:$AK$801,$A67,보유분석!$AC$2:$AC$801,1)/SUMIFS(보유분석!$BG$2:$BG$801,보유분석!$AK$2:$AK$801,$A67,보유분석!$AC$2:$AC$801,1))</f>
        <v/>
      </c>
      <c r="T67" s="49" t="str">
        <f aca="false">IF(SUMIFS(보유분석!$BI$2:$BI$801,보유분석!$AK$2:$AK$801,$A67,보유분석!$AC$2:$AC$801,1)=0,"",SUMIFS(보유분석!$BD$2:$BD$801,보유분석!$AK$2:$AK$801,$A67,보유분석!$AC$2:$AC$801,1)/SUMIFS(보유분석!$BI$2:$BI$801,보유분석!$AK$2:$AK$801,$A67,보유분석!$AC$2:$AC$801,1))</f>
        <v/>
      </c>
    </row>
    <row r="68" customFormat="false" ht="15" hidden="false" customHeight="false" outlineLevel="0" collapsed="false">
      <c r="A68" s="64" t="s">
        <v>109</v>
      </c>
      <c r="B68" s="35" t="n">
        <f aca="false">SUMIFS(보유분석!$AA$2:$AA$801,보유분석!$AK$2:$AK$801,$A68,보유분석!$AC$2:$AC$801,1)</f>
        <v>122.7727764</v>
      </c>
      <c r="C68" s="44" t="n">
        <f aca="false">IF(SUMIFS(보유분석!$AA$2:$AA$801,보유분석!$AC$2:$AC$801,1)=0,0,B68/SUMIFS(보유분석!$AA$2:$AA$801,보유분석!$AC$2:$AC$801,1))</f>
        <v>0.0871100425931519</v>
      </c>
      <c r="D68" s="39" t="n">
        <f aca="false">SUMIFS(보유분석!$AM$2:$AM$801,보유분석!$AK$2:$AK$801,$A68,보유분석!$AC$2:$AC$801,1)</f>
        <v>26663.855138788</v>
      </c>
      <c r="E68" s="44" t="n">
        <f aca="false">IF(SUMIFS(보유분석!$AM$2:$AM$801,보유분석!$AC$2:$AC$801,1)=0,0,D68/SUMIFS(보유분석!$AM$2:$AM$801,보유분석!$AC$2:$AC$801,1))</f>
        <v>0.0703117760715619</v>
      </c>
      <c r="F68" s="36" t="n">
        <f aca="false">IF(SUMIFS(보유분석!$BB$2:$BB$801,보유분석!$AK$2:$AK$801,$A68,보유분석!$AC$2:$AC$801,1)=0,"",SUMIFS(보유분석!$BA$2:$BA$801,보유분석!$AK$2:$AK$801,$A68,보유분석!$AC$2:$AC$801,1)/SUMIFS(보유분석!$BB$2:$BB$801,보유분석!$AK$2:$AK$801,$A68,보유분석!$AC$2:$AC$801,1))</f>
        <v>5.62386554719732</v>
      </c>
      <c r="G68" s="45" t="n">
        <f aca="false">IF(F68="","",(F68-(SUMIFS(보유분석!$BA$2:$BA$801,보유분석!$AC$2:$AC$801,1)/SUMIFS(보유분석!$BB$2:$BB$801,보유분석!$AC$2:$AC$801,1)))*100)</f>
        <v>-3.61702777362787</v>
      </c>
      <c r="H68" s="37" t="n">
        <f aca="false">IF(SUMIFS(보유분석!$BD$2:$BD$801,보유분석!$AK$2:$AK$801,$A68,보유분석!$AC$2:$AC$801,1)=0,"",SUMIFS(보유분석!$BC$2:$BC$801,보유분석!$AK$2:$AK$801,$A68,보유분석!$AC$2:$AC$801,1)/SUMIFS(보유분석!$BD$2:$BD$801,보유분석!$AK$2:$AK$801,$A68,보유분석!$AC$2:$AC$801,1))</f>
        <v>62.7683863313982</v>
      </c>
      <c r="I68" s="38" t="n">
        <f aca="false">IF(SUMIFS(보유분석!$BF$2:$BF$801,보유분석!$AK$2:$AK$801,$A68,보유분석!$AC$2:$AC$801,1)=0,"",SUMIFS(보유분석!$BE$2:$BE$801,보유분석!$AK$2:$AK$801,$A68,보유분석!$AC$2:$AC$801,1)/SUMIFS(보유분석!$BF$2:$BF$801,보유분석!$AK$2:$AK$801,$A68,보유분석!$AC$2:$AC$801,1))</f>
        <v>2.17180517706269</v>
      </c>
      <c r="J68" s="37" t="n">
        <f aca="false">IF(SUMIFS(보유분석!$BG$2:$BG$801,보유분석!$AK$2:$AK$801,$A68,보유분석!$AC$2:$AC$801,1)=0,"",(SUMIFS(보유분석!$BC$2:$BC$801,보유분석!$AK$2:$AK$801,$A68,보유분석!$AC$2:$AC$801,1)+SUMIFS(보유분석!$BH$2:$BH$801,보유분석!$AK$2:$AK$801,$A68,보유분석!$AC$2:$AC$801,1))/SUMIFS(보유분석!$BG$2:$BG$801,보유분석!$AK$2:$AK$801,$A68,보유분석!$AC$2:$AC$801,1))</f>
        <v>32.7228667463369</v>
      </c>
      <c r="K68" s="40" t="n">
        <f aca="false">IF(B68=0,"",SUMIFS(보유분석!$AV$2:$AV$801,보유분석!$AK$2:$AK$801,$A68,보유분석!$AC$2:$AC$801,1)/(B68*1000000))</f>
        <v>0.0570646556884247</v>
      </c>
      <c r="L68" s="46" t="n">
        <f aca="false">SUMIFS(보유분석!$AP$2:$AP$801,보유분석!$AK$2:$AK$801,$A68,보유분석!$AC$2:$AC$801,1)</f>
        <v>-3391837.2</v>
      </c>
      <c r="M68" s="9" t="n">
        <f aca="false">COUNTIFS(보유분석!$AK$2:$AK$801,$A68,보유분석!$AR$2:$AR$801,"Cheap",보유분석!$AC$2:$AC$801,1)</f>
        <v>0</v>
      </c>
      <c r="N68" s="9" t="n">
        <f aca="false">COUNTIFS(보유분석!$AK$2:$AK$801,$A68,보유분석!$AR$2:$AR$801,"Rich",보유분석!$AC$2:$AC$801,1)</f>
        <v>0</v>
      </c>
      <c r="O68" s="47"/>
      <c r="P68" s="48" t="str">
        <f aca="false">IF(O68="","",O68-C68)</f>
        <v/>
      </c>
      <c r="Q68" s="46" t="n">
        <f aca="false">-SUMIFS(보유분석!$AZ$2:$AZ$801,보유분석!$AK$2:$AK$801,$A68,보유분석!$AC$2:$AC$801,1)*설정!$C$10</f>
        <v>-623829.411035406</v>
      </c>
      <c r="R68" s="44" t="n">
        <f aca="false">IF((-SUMIFS(보유분석!$AZ$2:$AZ$801,보유분석!$AC$2:$AC$801,1)*설정!$C$10)=0,0,Q68/(-SUMIFS(보유분석!$AZ$2:$AZ$801,보유분석!$AC$2:$AC$801,1)*설정!$C$10))</f>
        <v>0.0612978142697013</v>
      </c>
      <c r="S68" s="45" t="n">
        <f aca="false">IF(SUMIFS(보유분석!$BG$2:$BG$801,보유분석!$AK$2:$AK$801,$A68,보유분석!$AC$2:$AC$801,1)=0,"",SUMIFS(보유분석!$BH$2:$BH$801,보유분석!$AK$2:$AK$801,$A68,보유분석!$AC$2:$AC$801,1)/SUMIFS(보유분석!$BG$2:$BG$801,보유분석!$AK$2:$AK$801,$A68,보유분석!$AC$2:$AC$801,1))</f>
        <v>3.81079844916781</v>
      </c>
      <c r="T68" s="49" t="n">
        <f aca="false">IF(SUMIFS(보유분석!$BI$2:$BI$801,보유분석!$AK$2:$AK$801,$A68,보유분석!$AC$2:$AC$801,1)=0,"",SUMIFS(보유분석!$BD$2:$BD$801,보유분석!$AK$2:$AK$801,$A68,보유분석!$AC$2:$AC$801,1)/SUMIFS(보유분석!$BI$2:$BI$801,보유분석!$AK$2:$AK$801,$A68,보유분석!$AC$2:$AC$801,1))</f>
        <v>0.998394956880685</v>
      </c>
    </row>
    <row r="69" customFormat="false" ht="15" hidden="false" customHeight="false" outlineLevel="0" collapsed="false">
      <c r="A69" s="50" t="s">
        <v>75</v>
      </c>
      <c r="B69" s="35" t="n">
        <f aca="false">SUMPRODUCT(ISNA(MATCH(보유분석!$AK$2:$AK$801,$A$64:$A$68,0))*(보유분석!$AC$2:$AC$801=1)*보유분석!$AA$2:$AA$801)</f>
        <v>0</v>
      </c>
      <c r="C69" s="44" t="n">
        <f aca="false">IF(SUMIFS(보유분석!$AA$2:$AA$801,보유분석!$AC$2:$AC$801,1)=0,0,B69/SUMIFS(보유분석!$AA$2:$AA$801,보유분석!$AC$2:$AC$801,1))</f>
        <v>0</v>
      </c>
      <c r="D69" s="39" t="n">
        <f aca="false">SUMPRODUCT(ISNA(MATCH(보유분석!$AK$2:$AK$801,$A$64:$A$68,0))*(보유분석!$AC$2:$AC$801=1)*보유분석!$AM$2:$AM$801)</f>
        <v>0</v>
      </c>
      <c r="E69" s="44" t="n">
        <f aca="false">IF(SUMIFS(보유분석!$AM$2:$AM$801,보유분석!$AC$2:$AC$801,1)=0,0,D69/SUMIFS(보유분석!$AM$2:$AM$801,보유분석!$AC$2:$AC$801,1))</f>
        <v>0</v>
      </c>
      <c r="F69" s="36" t="str">
        <f aca="false">IF(SUMPRODUCT(ISNA(MATCH(보유분석!$AK$2:$AK$801,$A$64:$A$68,0))*(보유분석!$AC$2:$AC$801=1)*보유분석!$BB$2:$BB$801)=0,"",SUMPRODUCT(ISNA(MATCH(보유분석!$AK$2:$AK$801,$A$64:$A$68,0))*(보유분석!$AC$2:$AC$801=1)*보유분석!$BA$2:$BA$801)/SUMPRODUCT(ISNA(MATCH(보유분석!$AK$2:$AK$801,$A$64:$A$68,0))*(보유분석!$AC$2:$AC$801=1)*보유분석!$BB$2:$BB$801))</f>
        <v/>
      </c>
      <c r="G69" s="45" t="str">
        <f aca="false">IF(F69="","",(F69-(SUMIFS(보유분석!$BA$2:$BA$801,보유분석!$AC$2:$AC$801,1)/SUMIFS(보유분석!$BB$2:$BB$801,보유분석!$AC$2:$AC$801,1)))*100)</f>
        <v/>
      </c>
      <c r="H69" s="37" t="str">
        <f aca="false">IF(SUMPRODUCT(ISNA(MATCH(보유분석!$AK$2:$AK$801,$A$64:$A$68,0))*(보유분석!$AC$2:$AC$801=1)*보유분석!$BD$2:$BD$801)=0,"",SUMPRODUCT(ISNA(MATCH(보유분석!$AK$2:$AK$801,$A$64:$A$68,0))*(보유분석!$AC$2:$AC$801=1)*보유분석!$BC$2:$BC$801)/SUMPRODUCT(ISNA(MATCH(보유분석!$AK$2:$AK$801,$A$64:$A$68,0))*(보유분석!$AC$2:$AC$801=1)*보유분석!$BD$2:$BD$801))</f>
        <v/>
      </c>
      <c r="I69" s="38" t="str">
        <f aca="false">IF(SUMPRODUCT(ISNA(MATCH(보유분석!$AK$2:$AK$801,$A$64:$A$68,0))*(보유분석!$AC$2:$AC$801=1)*보유분석!$BF$2:$BF$801)=0,"",SUMPRODUCT(ISNA(MATCH(보유분석!$AK$2:$AK$801,$A$64:$A$68,0))*(보유분석!$AC$2:$AC$801=1)*보유분석!$BE$2:$BE$801)/SUMPRODUCT(ISNA(MATCH(보유분석!$AK$2:$AK$801,$A$64:$A$68,0))*(보유분석!$AC$2:$AC$801=1)*보유분석!$BF$2:$BF$801))</f>
        <v/>
      </c>
      <c r="J69" s="37" t="str">
        <f aca="false">IF(SUMPRODUCT(ISNA(MATCH(보유분석!$AK$2:$AK$801,$A$64:$A$68,0))*(보유분석!$AC$2:$AC$801=1)*보유분석!$BG$2:$BG$801)=0,"",(SUMPRODUCT(ISNA(MATCH(보유분석!$AK$2:$AK$801,$A$64:$A$68,0))*(보유분석!$AC$2:$AC$801=1)*보유분석!$BC$2:$BC$801)+SUMPRODUCT(ISNA(MATCH(보유분석!$AK$2:$AK$801,$A$64:$A$68,0))*(보유분석!$AC$2:$AC$801=1)*보유분석!$BH$2:$BH$801))/SUMPRODUCT(ISNA(MATCH(보유분석!$AK$2:$AK$801,$A$64:$A$68,0))*(보유분석!$AC$2:$AC$801=1)*보유분석!$BG$2:$BG$801))</f>
        <v/>
      </c>
      <c r="K69" s="40" t="str">
        <f aca="false">IF(B69=0,"",SUMPRODUCT(ISNA(MATCH(보유분석!$AK$2:$AK$801,$A$64:$A$68,0))*(보유분석!$AC$2:$AC$801=1)*보유분석!$AV$2:$AV$801)/(B69*1000000))</f>
        <v/>
      </c>
      <c r="L69" s="46" t="n">
        <f aca="false">SUMPRODUCT(ISNA(MATCH(보유분석!$AK$2:$AK$801,$A$64:$A$68,0))*(보유분석!$AC$2:$AC$801=1)*보유분석!$AP$2:$AP$801)</f>
        <v>0</v>
      </c>
      <c r="M69" s="9" t="n">
        <f aca="false">SUMPRODUCT(ISNA(MATCH(보유분석!$AK$2:$AK$801,$A$64:$A$68,0))*(보유분석!$AC$2:$AC$801=1)*(보유분석!$AR$2:$AR$801="Cheap"))</f>
        <v>0</v>
      </c>
      <c r="N69" s="9" t="n">
        <f aca="false">SUMPRODUCT(ISNA(MATCH(보유분석!$AK$2:$AK$801,$A$64:$A$68,0))*(보유분석!$AC$2:$AC$801=1)*(보유분석!$AR$2:$AR$801="Rich"))</f>
        <v>0</v>
      </c>
      <c r="O69" s="47"/>
      <c r="P69" s="48" t="str">
        <f aca="false">IF(O69="","",O69-C69)</f>
        <v/>
      </c>
      <c r="Q69" s="46" t="n">
        <f aca="false">-SUMPRODUCT(ISNA(MATCH(보유분석!$AK$2:$AK$801,$A$64:$A$68,0))*(보유분석!$AC$2:$AC$801=1)*보유분석!$AZ$2:$AZ$801)*설정!$C$10</f>
        <v>-0</v>
      </c>
      <c r="R69" s="44" t="n">
        <f aca="false">IF((-SUMIFS(보유분석!$AZ$2:$AZ$801,보유분석!$AC$2:$AC$801,1)*설정!$C$10)=0,0,Q69/(-SUMIFS(보유분석!$AZ$2:$AZ$801,보유분석!$AC$2:$AC$801,1)*설정!$C$10))</f>
        <v>0</v>
      </c>
      <c r="S69" s="45" t="str">
        <f aca="false">IF(SUMPRODUCT(ISNA(MATCH(보유분석!$AK$2:$AK$801,$A$64:$A$68,0))*(보유분석!$AC$2:$AC$801=1)*보유분석!$BG$2:$BG$801)=0,"",SUMPRODUCT(ISNA(MATCH(보유분석!$AK$2:$AK$801,$A$64:$A$68,0))*(보유분석!$AC$2:$AC$801=1)*보유분석!$BH$2:$BH$801)/SUMPRODUCT(ISNA(MATCH(보유분석!$AK$2:$AK$801,$A$64:$A$68,0))*(보유분석!$AC$2:$AC$801=1)*보유분석!$BG$2:$BG$801))</f>
        <v/>
      </c>
      <c r="T69" s="49" t="str">
        <f aca="false">IF(SUMPRODUCT(ISNA(MATCH(보유분석!$AK$2:$AK$801,$A$64:$A$68,0))*(보유분석!$AC$2:$AC$801=1)*보유분석!$BI$2:$BI$801)=0,"",SUMPRODUCT(ISNA(MATCH(보유분석!$AK$2:$AK$801,$A$64:$A$68,0))*(보유분석!$AC$2:$AC$801=1)*보유분석!$BD$2:$BD$801)/SUMPRODUCT(ISNA(MATCH(보유분석!$AK$2:$AK$801,$A$64:$A$68,0))*(보유분석!$AC$2:$AC$801=1)*보유분석!$BI$2:$BI$801))</f>
        <v/>
      </c>
    </row>
    <row r="70" customFormat="false" ht="15" hidden="false" customHeight="false" outlineLevel="0" collapsed="false">
      <c r="A70" s="51" t="s">
        <v>76</v>
      </c>
      <c r="B70" s="52" t="n">
        <f aca="false">SUM(B64:B69)</f>
        <v>1409.39864963</v>
      </c>
      <c r="C70" s="53" t="n">
        <f aca="false">SUM(C64:C69)</f>
        <v>1</v>
      </c>
      <c r="D70" s="54" t="n">
        <f aca="false">SUM(D64:D69)</f>
        <v>379223.177517947</v>
      </c>
      <c r="E70" s="53" t="n">
        <f aca="false">SUM(E64:E69)</f>
        <v>1</v>
      </c>
      <c r="F70" s="55" t="n">
        <f aca="false">IF(SUMIFS(보유분석!$BB$2:$BB$801,보유분석!$AC$2:$AC$801,1)=0,"",SUMIFS(보유분석!$BA$2:$BA$801,보유분석!$AC$2:$AC$801,1)/SUMIFS(보유분석!$BB$2:$BB$801,보유분석!$AC$2:$AC$801,1))</f>
        <v>5.6600358249336</v>
      </c>
      <c r="G70" s="56"/>
      <c r="H70" s="57" t="n">
        <f aca="false">IF(SUMIFS(보유분석!$BD$2:$BD$801,보유분석!$AC$2:$AC$801,1)=0,"",SUMIFS(보유분석!$BC$2:$BC$801,보유분석!$AC$2:$AC$801,1)/SUMIFS(보유분석!$BD$2:$BD$801,보유분석!$AC$2:$AC$801,1))</f>
        <v>66.114006085129</v>
      </c>
      <c r="I70" s="58" t="n">
        <f aca="false">IF(SUMIFS(보유분석!$BF$2:$BF$801,보유분석!$AC$2:$AC$801,1)=0,"",SUMIFS(보유분석!$BE$2:$BE$801,보유분석!$AC$2:$AC$801,1)/SUMIFS(보유분석!$BF$2:$BF$801,보유분석!$AC$2:$AC$801,1))</f>
        <v>2.69067362607096</v>
      </c>
      <c r="J70" s="57" t="n">
        <f aca="false">IF(SUMIFS(보유분석!$BG$2:$BG$801,보유분석!$AC$2:$AC$801,1)=0,"",(SUMIFS(보유분석!$BC$2:$BC$801,보유분석!$AC$2:$AC$801,1)+SUMIFS(보유분석!$BH$2:$BH$801,보유분석!$AC$2:$AC$801,1))/SUMIFS(보유분석!$BG$2:$BG$801,보유분석!$AC$2:$AC$801,1))</f>
        <v>31.4685741331147</v>
      </c>
      <c r="K70" s="59" t="n">
        <f aca="false">IF(B70=0,"",SUMIFS(보유분석!$AV$2:$AV$801,보유분석!$AC$2:$AC$801,1)/(B70*1000000))</f>
        <v>0.0582546221879707</v>
      </c>
      <c r="L70" s="60" t="n">
        <f aca="false">SUM(L64:L69)</f>
        <v>-44901234.1</v>
      </c>
      <c r="M70" s="61"/>
      <c r="N70" s="61"/>
      <c r="O70" s="53" t="str">
        <f aca="false">IF(COUNT(O64:O69)=0,"",SUM(O64:O69))</f>
        <v/>
      </c>
      <c r="P70" s="62"/>
      <c r="Q70" s="60" t="n">
        <f aca="false">SUM(Q64:Q69)</f>
        <v>-10177025.3714211</v>
      </c>
      <c r="R70" s="53" t="n">
        <f aca="false">SUM(R64:R69)</f>
        <v>1</v>
      </c>
      <c r="S70" s="56" t="n">
        <f aca="false">IF(SUMIFS(보유분석!$BG$2:$BG$801,보유분석!$AC$2:$AC$801,1)=0,"",SUMIFS(보유분석!$BH$2:$BH$801,보유분석!$AC$2:$AC$801,1)/SUMIFS(보유분석!$BG$2:$BG$801,보유분석!$AC$2:$AC$801,1))</f>
        <v>6.4728237935996</v>
      </c>
      <c r="T70" s="63" t="n">
        <f aca="false">IF(SUMIFS(보유분석!$BI$2:$BI$801,보유분석!$AC$2:$AC$801,1)=0,"",SUMIFS(보유분석!$BD$2:$BD$801,보유분석!$AC$2:$AC$801,1)/SUMIFS(보유분석!$BI$2:$BI$801,보유분석!$AC$2:$AC$801,1))</f>
        <v>0.977967173185718</v>
      </c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false" outlineLevel="0" collapsed="false">
      <c r="A73" s="24" t="s">
        <v>110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41" hidden="false" customHeight="false" outlineLevel="0" collapsed="false">
      <c r="A74" s="5" t="s">
        <v>51</v>
      </c>
      <c r="B74" s="5" t="s">
        <v>40</v>
      </c>
      <c r="C74" s="5" t="s">
        <v>52</v>
      </c>
      <c r="D74" s="25" t="s">
        <v>24</v>
      </c>
      <c r="E74" s="25" t="s">
        <v>53</v>
      </c>
      <c r="F74" s="5" t="s">
        <v>41</v>
      </c>
      <c r="G74" s="5" t="s">
        <v>54</v>
      </c>
      <c r="H74" s="5" t="s">
        <v>55</v>
      </c>
      <c r="I74" s="5" t="s">
        <v>43</v>
      </c>
      <c r="J74" s="5" t="s">
        <v>56</v>
      </c>
      <c r="K74" s="25" t="s">
        <v>44</v>
      </c>
      <c r="L74" s="5" t="s">
        <v>57</v>
      </c>
      <c r="M74" s="25" t="s">
        <v>58</v>
      </c>
      <c r="N74" s="25" t="s">
        <v>59</v>
      </c>
      <c r="O74" s="5" t="s">
        <v>60</v>
      </c>
      <c r="P74" s="5" t="s">
        <v>61</v>
      </c>
      <c r="Q74" s="5" t="s">
        <v>62</v>
      </c>
      <c r="R74" s="5" t="s">
        <v>63</v>
      </c>
      <c r="S74" s="5" t="s">
        <v>64</v>
      </c>
      <c r="T74" s="25" t="s">
        <v>65</v>
      </c>
    </row>
    <row r="75" customFormat="false" ht="15" hidden="false" customHeight="false" outlineLevel="0" collapsed="false">
      <c r="A75" s="64" t="s">
        <v>111</v>
      </c>
      <c r="B75" s="35" t="n">
        <f aca="false">SUMIFS(보유분석!$AA$2:$AA$801,보유분석!$D$2:$D$801,$A75,보유분석!$AC$2:$AC$801,1)</f>
        <v>0</v>
      </c>
      <c r="C75" s="44" t="n">
        <f aca="false">IF(SUMIFS(보유분석!$AA$2:$AA$801,보유분석!$AC$2:$AC$801,1)=0,0,B75/SUMIFS(보유분석!$AA$2:$AA$801,보유분석!$AC$2:$AC$801,1))</f>
        <v>0</v>
      </c>
      <c r="D75" s="39" t="n">
        <f aca="false">SUMIFS(보유분석!$AM$2:$AM$801,보유분석!$D$2:$D$801,$A75,보유분석!$AC$2:$AC$801,1)</f>
        <v>0</v>
      </c>
      <c r="E75" s="44" t="n">
        <f aca="false">IF(SUMIFS(보유분석!$AM$2:$AM$801,보유분석!$AC$2:$AC$801,1)=0,0,D75/SUMIFS(보유분석!$AM$2:$AM$801,보유분석!$AC$2:$AC$801,1))</f>
        <v>0</v>
      </c>
      <c r="F75" s="36" t="str">
        <f aca="false">IF(SUMIFS(보유분석!$BB$2:$BB$801,보유분석!$D$2:$D$801,$A75,보유분석!$AC$2:$AC$801,1)=0,"",SUMIFS(보유분석!$BA$2:$BA$801,보유분석!$D$2:$D$801,$A75,보유분석!$AC$2:$AC$801,1)/SUMIFS(보유분석!$BB$2:$BB$801,보유분석!$D$2:$D$801,$A75,보유분석!$AC$2:$AC$801,1))</f>
        <v/>
      </c>
      <c r="G75" s="45" t="str">
        <f aca="false">IF(F75="","",(F75-(SUMIFS(보유분석!$BA$2:$BA$801,보유분석!$AC$2:$AC$801,1)/SUMIFS(보유분석!$BB$2:$BB$801,보유분석!$AC$2:$AC$801,1)))*100)</f>
        <v/>
      </c>
      <c r="H75" s="37" t="str">
        <f aca="false">IF(SUMIFS(보유분석!$BD$2:$BD$801,보유분석!$D$2:$D$801,$A75,보유분석!$AC$2:$AC$801,1)=0,"",SUMIFS(보유분석!$BC$2:$BC$801,보유분석!$D$2:$D$801,$A75,보유분석!$AC$2:$AC$801,1)/SUMIFS(보유분석!$BD$2:$BD$801,보유분석!$D$2:$D$801,$A75,보유분석!$AC$2:$AC$801,1))</f>
        <v/>
      </c>
      <c r="I75" s="38" t="str">
        <f aca="false">IF(SUMIFS(보유분석!$BF$2:$BF$801,보유분석!$D$2:$D$801,$A75,보유분석!$AC$2:$AC$801,1)=0,"",SUMIFS(보유분석!$BE$2:$BE$801,보유분석!$D$2:$D$801,$A75,보유분석!$AC$2:$AC$801,1)/SUMIFS(보유분석!$BF$2:$BF$801,보유분석!$D$2:$D$801,$A75,보유분석!$AC$2:$AC$801,1))</f>
        <v/>
      </c>
      <c r="J75" s="37" t="str">
        <f aca="false">IF(SUMIFS(보유분석!$BG$2:$BG$801,보유분석!$D$2:$D$801,$A75,보유분석!$AC$2:$AC$801,1)=0,"",(SUMIFS(보유분석!$BC$2:$BC$801,보유분석!$D$2:$D$801,$A75,보유분석!$AC$2:$AC$801,1)+SUMIFS(보유분석!$BH$2:$BH$801,보유분석!$D$2:$D$801,$A75,보유분석!$AC$2:$AC$801,1))/SUMIFS(보유분석!$BG$2:$BG$801,보유분석!$D$2:$D$801,$A75,보유분석!$AC$2:$AC$801,1))</f>
        <v/>
      </c>
      <c r="K75" s="40" t="str">
        <f aca="false">IF(B75=0,"",SUMIFS(보유분석!$AV$2:$AV$801,보유분석!$D$2:$D$801,$A75,보유분석!$AC$2:$AC$801,1)/(B75*1000000))</f>
        <v/>
      </c>
      <c r="L75" s="46" t="n">
        <f aca="false">SUMIFS(보유분석!$AP$2:$AP$801,보유분석!$D$2:$D$801,$A75,보유분석!$AC$2:$AC$801,1)</f>
        <v>0</v>
      </c>
      <c r="M75" s="9" t="n">
        <f aca="false">COUNTIFS(보유분석!$D$2:$D$801,$A75,보유분석!$AR$2:$AR$801,"Cheap",보유분석!$AC$2:$AC$801,1)</f>
        <v>0</v>
      </c>
      <c r="N75" s="9" t="n">
        <f aca="false">COUNTIFS(보유분석!$D$2:$D$801,$A75,보유분석!$AR$2:$AR$801,"Rich",보유분석!$AC$2:$AC$801,1)</f>
        <v>0</v>
      </c>
      <c r="O75" s="47"/>
      <c r="P75" s="48" t="str">
        <f aca="false">IF(O75="","",O75-C75)</f>
        <v/>
      </c>
      <c r="Q75" s="46" t="n">
        <f aca="false">-SUMIFS(보유분석!$AZ$2:$AZ$801,보유분석!$D$2:$D$801,$A75,보유분석!$AC$2:$AC$801,1)*설정!$C$10</f>
        <v>-0</v>
      </c>
      <c r="R75" s="44" t="n">
        <f aca="false">IF((-SUMIFS(보유분석!$AZ$2:$AZ$801,보유분석!$AC$2:$AC$801,1)*설정!$C$10)=0,0,Q75/(-SUMIFS(보유분석!$AZ$2:$AZ$801,보유분석!$AC$2:$AC$801,1)*설정!$C$10))</f>
        <v>0</v>
      </c>
      <c r="S75" s="45" t="str">
        <f aca="false">IF(SUMIFS(보유분석!$BG$2:$BG$801,보유분석!$D$2:$D$801,$A75,보유분석!$AC$2:$AC$801,1)=0,"",SUMIFS(보유분석!$BH$2:$BH$801,보유분석!$D$2:$D$801,$A75,보유분석!$AC$2:$AC$801,1)/SUMIFS(보유분석!$BG$2:$BG$801,보유분석!$D$2:$D$801,$A75,보유분석!$AC$2:$AC$801,1))</f>
        <v/>
      </c>
      <c r="T75" s="49" t="str">
        <f aca="false">IF(SUMIFS(보유분석!$BI$2:$BI$801,보유분석!$D$2:$D$801,$A75,보유분석!$AC$2:$AC$801,1)=0,"",SUMIFS(보유분석!$BD$2:$BD$801,보유분석!$D$2:$D$801,$A75,보유분석!$AC$2:$AC$801,1)/SUMIFS(보유분석!$BI$2:$BI$801,보유분석!$D$2:$D$801,$A75,보유분석!$AC$2:$AC$801,1))</f>
        <v/>
      </c>
    </row>
    <row r="76" customFormat="false" ht="15" hidden="false" customHeight="false" outlineLevel="0" collapsed="false">
      <c r="A76" s="64" t="s">
        <v>112</v>
      </c>
      <c r="B76" s="35" t="n">
        <f aca="false">SUMIFS(보유분석!$AA$2:$AA$801,보유분석!$D$2:$D$801,$A76,보유분석!$AC$2:$AC$801,1)</f>
        <v>1409.39864963</v>
      </c>
      <c r="C76" s="44" t="n">
        <f aca="false">IF(SUMIFS(보유분석!$AA$2:$AA$801,보유분석!$AC$2:$AC$801,1)=0,0,B76/SUMIFS(보유분석!$AA$2:$AA$801,보유분석!$AC$2:$AC$801,1))</f>
        <v>1</v>
      </c>
      <c r="D76" s="39" t="n">
        <f aca="false">SUMIFS(보유분석!$AM$2:$AM$801,보유분석!$D$2:$D$801,$A76,보유분석!$AC$2:$AC$801,1)</f>
        <v>379223.177517947</v>
      </c>
      <c r="E76" s="44" t="n">
        <f aca="false">IF(SUMIFS(보유분석!$AM$2:$AM$801,보유분석!$AC$2:$AC$801,1)=0,0,D76/SUMIFS(보유분석!$AM$2:$AM$801,보유분석!$AC$2:$AC$801,1))</f>
        <v>1</v>
      </c>
      <c r="F76" s="36" t="n">
        <f aca="false">IF(SUMIFS(보유분석!$BB$2:$BB$801,보유분석!$D$2:$D$801,$A76,보유분석!$AC$2:$AC$801,1)=0,"",SUMIFS(보유분석!$BA$2:$BA$801,보유분석!$D$2:$D$801,$A76,보유분석!$AC$2:$AC$801,1)/SUMIFS(보유분석!$BB$2:$BB$801,보유분석!$D$2:$D$801,$A76,보유분석!$AC$2:$AC$801,1))</f>
        <v>5.6600358249336</v>
      </c>
      <c r="G76" s="45" t="n">
        <f aca="false">IF(F76="","",(F76-(SUMIFS(보유분석!$BA$2:$BA$801,보유분석!$AC$2:$AC$801,1)/SUMIFS(보유분석!$BB$2:$BB$801,보유분석!$AC$2:$AC$801,1)))*100)</f>
        <v>0</v>
      </c>
      <c r="H76" s="37" t="n">
        <f aca="false">IF(SUMIFS(보유분석!$BD$2:$BD$801,보유분석!$D$2:$D$801,$A76,보유분석!$AC$2:$AC$801,1)=0,"",SUMIFS(보유분석!$BC$2:$BC$801,보유분석!$D$2:$D$801,$A76,보유분석!$AC$2:$AC$801,1)/SUMIFS(보유분석!$BD$2:$BD$801,보유분석!$D$2:$D$801,$A76,보유분석!$AC$2:$AC$801,1))</f>
        <v>66.114006085129</v>
      </c>
      <c r="I76" s="38" t="n">
        <f aca="false">IF(SUMIFS(보유분석!$BF$2:$BF$801,보유분석!$D$2:$D$801,$A76,보유분석!$AC$2:$AC$801,1)=0,"",SUMIFS(보유분석!$BE$2:$BE$801,보유분석!$D$2:$D$801,$A76,보유분석!$AC$2:$AC$801,1)/SUMIFS(보유분석!$BF$2:$BF$801,보유분석!$D$2:$D$801,$A76,보유분석!$AC$2:$AC$801,1))</f>
        <v>2.69067362607096</v>
      </c>
      <c r="J76" s="37" t="n">
        <f aca="false">IF(SUMIFS(보유분석!$BG$2:$BG$801,보유분석!$D$2:$D$801,$A76,보유분석!$AC$2:$AC$801,1)=0,"",(SUMIFS(보유분석!$BC$2:$BC$801,보유분석!$D$2:$D$801,$A76,보유분석!$AC$2:$AC$801,1)+SUMIFS(보유분석!$BH$2:$BH$801,보유분석!$D$2:$D$801,$A76,보유분석!$AC$2:$AC$801,1))/SUMIFS(보유분석!$BG$2:$BG$801,보유분석!$D$2:$D$801,$A76,보유분석!$AC$2:$AC$801,1))</f>
        <v>31.4685741331147</v>
      </c>
      <c r="K76" s="40" t="n">
        <f aca="false">IF(B76=0,"",SUMIFS(보유분석!$AV$2:$AV$801,보유분석!$D$2:$D$801,$A76,보유분석!$AC$2:$AC$801,1)/(B76*1000000))</f>
        <v>0.0582546221879707</v>
      </c>
      <c r="L76" s="46" t="n">
        <f aca="false">SUMIFS(보유분석!$AP$2:$AP$801,보유분석!$D$2:$D$801,$A76,보유분석!$AC$2:$AC$801,1)</f>
        <v>-44901234.1</v>
      </c>
      <c r="M76" s="9" t="n">
        <f aca="false">COUNTIFS(보유분석!$D$2:$D$801,$A76,보유분석!$AR$2:$AR$801,"Cheap",보유분석!$AC$2:$AC$801,1)</f>
        <v>36</v>
      </c>
      <c r="N76" s="9" t="n">
        <f aca="false">COUNTIFS(보유분석!$D$2:$D$801,$A76,보유분석!$AR$2:$AR$801,"Rich",보유분석!$AC$2:$AC$801,1)</f>
        <v>10</v>
      </c>
      <c r="O76" s="47"/>
      <c r="P76" s="48" t="str">
        <f aca="false">IF(O76="","",O76-C76)</f>
        <v/>
      </c>
      <c r="Q76" s="46" t="n">
        <f aca="false">-SUMIFS(보유분석!$AZ$2:$AZ$801,보유분석!$D$2:$D$801,$A76,보유분석!$AC$2:$AC$801,1)*설정!$C$10</f>
        <v>-10177025.3714211</v>
      </c>
      <c r="R76" s="44" t="n">
        <f aca="false">IF((-SUMIFS(보유분석!$AZ$2:$AZ$801,보유분석!$AC$2:$AC$801,1)*설정!$C$10)=0,0,Q76/(-SUMIFS(보유분석!$AZ$2:$AZ$801,보유분석!$AC$2:$AC$801,1)*설정!$C$10))</f>
        <v>1</v>
      </c>
      <c r="S76" s="45" t="n">
        <f aca="false">IF(SUMIFS(보유분석!$BG$2:$BG$801,보유분석!$D$2:$D$801,$A76,보유분석!$AC$2:$AC$801,1)=0,"",SUMIFS(보유분석!$BH$2:$BH$801,보유분석!$D$2:$D$801,$A76,보유분석!$AC$2:$AC$801,1)/SUMIFS(보유분석!$BG$2:$BG$801,보유분석!$D$2:$D$801,$A76,보유분석!$AC$2:$AC$801,1))</f>
        <v>6.4728237935996</v>
      </c>
      <c r="T76" s="49" t="n">
        <f aca="false">IF(SUMIFS(보유분석!$BI$2:$BI$801,보유분석!$D$2:$D$801,$A76,보유분석!$AC$2:$AC$801,1)=0,"",SUMIFS(보유분석!$BD$2:$BD$801,보유분석!$D$2:$D$801,$A76,보유분석!$AC$2:$AC$801,1)/SUMIFS(보유분석!$BI$2:$BI$801,보유분석!$D$2:$D$801,$A76,보유분석!$AC$2:$AC$801,1))</f>
        <v>0.977967173185718</v>
      </c>
    </row>
    <row r="77" customFormat="false" ht="15" hidden="false" customHeight="false" outlineLevel="0" collapsed="false">
      <c r="A77" s="50" t="s">
        <v>75</v>
      </c>
      <c r="B77" s="35" t="n">
        <f aca="false">SUMPRODUCT(ISNA(MATCH(보유분석!$D$2:$D$801,$A$75:$A$76,0))*(보유분석!$AC$2:$AC$801=1)*보유분석!$AA$2:$AA$801)</f>
        <v>0</v>
      </c>
      <c r="C77" s="44" t="n">
        <f aca="false">IF(SUMIFS(보유분석!$AA$2:$AA$801,보유분석!$AC$2:$AC$801,1)=0,0,B77/SUMIFS(보유분석!$AA$2:$AA$801,보유분석!$AC$2:$AC$801,1))</f>
        <v>0</v>
      </c>
      <c r="D77" s="39" t="n">
        <f aca="false">SUMPRODUCT(ISNA(MATCH(보유분석!$D$2:$D$801,$A$75:$A$76,0))*(보유분석!$AC$2:$AC$801=1)*보유분석!$AM$2:$AM$801)</f>
        <v>0</v>
      </c>
      <c r="E77" s="44" t="n">
        <f aca="false">IF(SUMIFS(보유분석!$AM$2:$AM$801,보유분석!$AC$2:$AC$801,1)=0,0,D77/SUMIFS(보유분석!$AM$2:$AM$801,보유분석!$AC$2:$AC$801,1))</f>
        <v>0</v>
      </c>
      <c r="F77" s="36" t="str">
        <f aca="false">IF(SUMPRODUCT(ISNA(MATCH(보유분석!$D$2:$D$801,$A$75:$A$76,0))*(보유분석!$AC$2:$AC$801=1)*보유분석!$BB$2:$BB$801)=0,"",SUMPRODUCT(ISNA(MATCH(보유분석!$D$2:$D$801,$A$75:$A$76,0))*(보유분석!$AC$2:$AC$801=1)*보유분석!$BA$2:$BA$801)/SUMPRODUCT(ISNA(MATCH(보유분석!$D$2:$D$801,$A$75:$A$76,0))*(보유분석!$AC$2:$AC$801=1)*보유분석!$BB$2:$BB$801))</f>
        <v/>
      </c>
      <c r="G77" s="45" t="str">
        <f aca="false">IF(F77="","",(F77-(SUMIFS(보유분석!$BA$2:$BA$801,보유분석!$AC$2:$AC$801,1)/SUMIFS(보유분석!$BB$2:$BB$801,보유분석!$AC$2:$AC$801,1)))*100)</f>
        <v/>
      </c>
      <c r="H77" s="37" t="str">
        <f aca="false">IF(SUMPRODUCT(ISNA(MATCH(보유분석!$D$2:$D$801,$A$75:$A$76,0))*(보유분석!$AC$2:$AC$801=1)*보유분석!$BD$2:$BD$801)=0,"",SUMPRODUCT(ISNA(MATCH(보유분석!$D$2:$D$801,$A$75:$A$76,0))*(보유분석!$AC$2:$AC$801=1)*보유분석!$BC$2:$BC$801)/SUMPRODUCT(ISNA(MATCH(보유분석!$D$2:$D$801,$A$75:$A$76,0))*(보유분석!$AC$2:$AC$801=1)*보유분석!$BD$2:$BD$801))</f>
        <v/>
      </c>
      <c r="I77" s="38" t="str">
        <f aca="false">IF(SUMPRODUCT(ISNA(MATCH(보유분석!$D$2:$D$801,$A$75:$A$76,0))*(보유분석!$AC$2:$AC$801=1)*보유분석!$BF$2:$BF$801)=0,"",SUMPRODUCT(ISNA(MATCH(보유분석!$D$2:$D$801,$A$75:$A$76,0))*(보유분석!$AC$2:$AC$801=1)*보유분석!$BE$2:$BE$801)/SUMPRODUCT(ISNA(MATCH(보유분석!$D$2:$D$801,$A$75:$A$76,0))*(보유분석!$AC$2:$AC$801=1)*보유분석!$BF$2:$BF$801))</f>
        <v/>
      </c>
      <c r="J77" s="37" t="str">
        <f aca="false">IF(SUMPRODUCT(ISNA(MATCH(보유분석!$D$2:$D$801,$A$75:$A$76,0))*(보유분석!$AC$2:$AC$801=1)*보유분석!$BG$2:$BG$801)=0,"",(SUMPRODUCT(ISNA(MATCH(보유분석!$D$2:$D$801,$A$75:$A$76,0))*(보유분석!$AC$2:$AC$801=1)*보유분석!$BC$2:$BC$801)+SUMPRODUCT(ISNA(MATCH(보유분석!$D$2:$D$801,$A$75:$A$76,0))*(보유분석!$AC$2:$AC$801=1)*보유분석!$BH$2:$BH$801))/SUMPRODUCT(ISNA(MATCH(보유분석!$D$2:$D$801,$A$75:$A$76,0))*(보유분석!$AC$2:$AC$801=1)*보유분석!$BG$2:$BG$801))</f>
        <v/>
      </c>
      <c r="K77" s="40" t="str">
        <f aca="false">IF(B77=0,"",SUMPRODUCT(ISNA(MATCH(보유분석!$D$2:$D$801,$A$75:$A$76,0))*(보유분석!$AC$2:$AC$801=1)*보유분석!$AV$2:$AV$801)/(B77*1000000))</f>
        <v/>
      </c>
      <c r="L77" s="46" t="n">
        <f aca="false">SUMPRODUCT(ISNA(MATCH(보유분석!$D$2:$D$801,$A$75:$A$76,0))*(보유분석!$AC$2:$AC$801=1)*보유분석!$AP$2:$AP$801)</f>
        <v>0</v>
      </c>
      <c r="M77" s="9" t="n">
        <f aca="false">SUMPRODUCT(ISNA(MATCH(보유분석!$D$2:$D$801,$A$75:$A$76,0))*(보유분석!$AC$2:$AC$801=1)*(보유분석!$AR$2:$AR$801="Cheap"))</f>
        <v>0</v>
      </c>
      <c r="N77" s="9" t="n">
        <f aca="false">SUMPRODUCT(ISNA(MATCH(보유분석!$D$2:$D$801,$A$75:$A$76,0))*(보유분석!$AC$2:$AC$801=1)*(보유분석!$AR$2:$AR$801="Rich"))</f>
        <v>0</v>
      </c>
      <c r="O77" s="47"/>
      <c r="P77" s="48" t="str">
        <f aca="false">IF(O77="","",O77-C77)</f>
        <v/>
      </c>
      <c r="Q77" s="46" t="n">
        <f aca="false">-SUMPRODUCT(ISNA(MATCH(보유분석!$D$2:$D$801,$A$75:$A$76,0))*(보유분석!$AC$2:$AC$801=1)*보유분석!$AZ$2:$AZ$801)*설정!$C$10</f>
        <v>-0</v>
      </c>
      <c r="R77" s="44" t="n">
        <f aca="false">IF((-SUMIFS(보유분석!$AZ$2:$AZ$801,보유분석!$AC$2:$AC$801,1)*설정!$C$10)=0,0,Q77/(-SUMIFS(보유분석!$AZ$2:$AZ$801,보유분석!$AC$2:$AC$801,1)*설정!$C$10))</f>
        <v>0</v>
      </c>
      <c r="S77" s="45" t="str">
        <f aca="false">IF(SUMPRODUCT(ISNA(MATCH(보유분석!$D$2:$D$801,$A$75:$A$76,0))*(보유분석!$AC$2:$AC$801=1)*보유분석!$BG$2:$BG$801)=0,"",SUMPRODUCT(ISNA(MATCH(보유분석!$D$2:$D$801,$A$75:$A$76,0))*(보유분석!$AC$2:$AC$801=1)*보유분석!$BH$2:$BH$801)/SUMPRODUCT(ISNA(MATCH(보유분석!$D$2:$D$801,$A$75:$A$76,0))*(보유분석!$AC$2:$AC$801=1)*보유분석!$BG$2:$BG$801))</f>
        <v/>
      </c>
      <c r="T77" s="49" t="str">
        <f aca="false">IF(SUMPRODUCT(ISNA(MATCH(보유분석!$D$2:$D$801,$A$75:$A$76,0))*(보유분석!$AC$2:$AC$801=1)*보유분석!$BI$2:$BI$801)=0,"",SUMPRODUCT(ISNA(MATCH(보유분석!$D$2:$D$801,$A$75:$A$76,0))*(보유분석!$AC$2:$AC$801=1)*보유분석!$BD$2:$BD$801)/SUMPRODUCT(ISNA(MATCH(보유분석!$D$2:$D$801,$A$75:$A$76,0))*(보유분석!$AC$2:$AC$801=1)*보유분석!$BI$2:$BI$801))</f>
        <v/>
      </c>
    </row>
    <row r="78" customFormat="false" ht="15" hidden="false" customHeight="false" outlineLevel="0" collapsed="false">
      <c r="A78" s="51" t="s">
        <v>76</v>
      </c>
      <c r="B78" s="52" t="n">
        <f aca="false">SUM(B75:B77)</f>
        <v>1409.39864963</v>
      </c>
      <c r="C78" s="53" t="n">
        <f aca="false">SUM(C75:C77)</f>
        <v>1</v>
      </c>
      <c r="D78" s="54" t="n">
        <f aca="false">SUM(D75:D77)</f>
        <v>379223.177517947</v>
      </c>
      <c r="E78" s="53" t="n">
        <f aca="false">SUM(E75:E77)</f>
        <v>1</v>
      </c>
      <c r="F78" s="55" t="n">
        <f aca="false">IF(SUMIFS(보유분석!$BB$2:$BB$801,보유분석!$AC$2:$AC$801,1)=0,"",SUMIFS(보유분석!$BA$2:$BA$801,보유분석!$AC$2:$AC$801,1)/SUMIFS(보유분석!$BB$2:$BB$801,보유분석!$AC$2:$AC$801,1))</f>
        <v>5.6600358249336</v>
      </c>
      <c r="G78" s="56"/>
      <c r="H78" s="57" t="n">
        <f aca="false">IF(SUMIFS(보유분석!$BD$2:$BD$801,보유분석!$AC$2:$AC$801,1)=0,"",SUMIFS(보유분석!$BC$2:$BC$801,보유분석!$AC$2:$AC$801,1)/SUMIFS(보유분석!$BD$2:$BD$801,보유분석!$AC$2:$AC$801,1))</f>
        <v>66.114006085129</v>
      </c>
      <c r="I78" s="58" t="n">
        <f aca="false">IF(SUMIFS(보유분석!$BF$2:$BF$801,보유분석!$AC$2:$AC$801,1)=0,"",SUMIFS(보유분석!$BE$2:$BE$801,보유분석!$AC$2:$AC$801,1)/SUMIFS(보유분석!$BF$2:$BF$801,보유분석!$AC$2:$AC$801,1))</f>
        <v>2.69067362607096</v>
      </c>
      <c r="J78" s="57" t="n">
        <f aca="false">IF(SUMIFS(보유분석!$BG$2:$BG$801,보유분석!$AC$2:$AC$801,1)=0,"",(SUMIFS(보유분석!$BC$2:$BC$801,보유분석!$AC$2:$AC$801,1)+SUMIFS(보유분석!$BH$2:$BH$801,보유분석!$AC$2:$AC$801,1))/SUMIFS(보유분석!$BG$2:$BG$801,보유분석!$AC$2:$AC$801,1))</f>
        <v>31.4685741331147</v>
      </c>
      <c r="K78" s="59" t="n">
        <f aca="false">IF(B78=0,"",SUMIFS(보유분석!$AV$2:$AV$801,보유분석!$AC$2:$AC$801,1)/(B78*1000000))</f>
        <v>0.0582546221879707</v>
      </c>
      <c r="L78" s="60" t="n">
        <f aca="false">SUM(L75:L77)</f>
        <v>-44901234.1</v>
      </c>
      <c r="M78" s="61"/>
      <c r="N78" s="61"/>
      <c r="O78" s="53" t="str">
        <f aca="false">IF(COUNT(O75:O77)=0,"",SUM(O75:O77))</f>
        <v/>
      </c>
      <c r="P78" s="62"/>
      <c r="Q78" s="60" t="n">
        <f aca="false">SUM(Q75:Q77)</f>
        <v>-10177025.3714211</v>
      </c>
      <c r="R78" s="53" t="n">
        <f aca="false">SUM(R75:R77)</f>
        <v>1</v>
      </c>
      <c r="S78" s="56" t="n">
        <f aca="false">IF(SUMIFS(보유분석!$BG$2:$BG$801,보유분석!$AC$2:$AC$801,1)=0,"",SUMIFS(보유분석!$BH$2:$BH$801,보유분석!$AC$2:$AC$801,1)/SUMIFS(보유분석!$BG$2:$BG$801,보유분석!$AC$2:$AC$801,1))</f>
        <v>6.4728237935996</v>
      </c>
      <c r="T78" s="63" t="n">
        <f aca="false">IF(SUMIFS(보유분석!$BI$2:$BI$801,보유분석!$AC$2:$AC$801,1)=0,"",SUMIFS(보유분석!$BD$2:$BD$801,보유분석!$AC$2:$AC$801,1)/SUMIFS(보유분석!$BI$2:$BI$801,보유분석!$AC$2:$AC$801,1))</f>
        <v>0.977967173185718</v>
      </c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customFormat="false" ht="15" hidden="false" customHeight="false" outlineLevel="0" collapsed="false">
      <c r="A81" s="24" t="s">
        <v>113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customFormat="false" ht="41" hidden="false" customHeight="false" outlineLevel="0" collapsed="false">
      <c r="A82" s="5" t="s">
        <v>51</v>
      </c>
      <c r="B82" s="5" t="s">
        <v>40</v>
      </c>
      <c r="C82" s="5" t="s">
        <v>52</v>
      </c>
      <c r="D82" s="25" t="s">
        <v>24</v>
      </c>
      <c r="E82" s="25" t="s">
        <v>53</v>
      </c>
      <c r="F82" s="5" t="s">
        <v>41</v>
      </c>
      <c r="G82" s="5" t="s">
        <v>54</v>
      </c>
      <c r="H82" s="5" t="s">
        <v>55</v>
      </c>
      <c r="I82" s="5" t="s">
        <v>43</v>
      </c>
      <c r="J82" s="5" t="s">
        <v>56</v>
      </c>
      <c r="K82" s="25" t="s">
        <v>44</v>
      </c>
      <c r="L82" s="5" t="s">
        <v>57</v>
      </c>
      <c r="M82" s="25" t="s">
        <v>58</v>
      </c>
      <c r="N82" s="25" t="s">
        <v>59</v>
      </c>
      <c r="O82" s="5" t="s">
        <v>60</v>
      </c>
      <c r="P82" s="5" t="s">
        <v>61</v>
      </c>
      <c r="Q82" s="5" t="s">
        <v>62</v>
      </c>
      <c r="R82" s="5" t="s">
        <v>63</v>
      </c>
      <c r="S82" s="5" t="s">
        <v>64</v>
      </c>
      <c r="T82" s="25" t="s">
        <v>65</v>
      </c>
    </row>
    <row r="83" customFormat="false" ht="15" hidden="false" customHeight="false" outlineLevel="0" collapsed="false">
      <c r="A83" s="43" t="s">
        <v>114</v>
      </c>
      <c r="B83" s="35" t="n">
        <f aca="false">SUMIFS(보유분석!$AA$2:$AA$801,보유분석!$W$2:$W$801,$A83,보유분석!$AC$2:$AC$801,1)</f>
        <v>1409.39864963</v>
      </c>
      <c r="C83" s="44" t="n">
        <f aca="false">IF(SUMIFS(보유분석!$AA$2:$AA$801,보유분석!$AC$2:$AC$801,1)=0,0,B83/SUMIFS(보유분석!$AA$2:$AA$801,보유분석!$AC$2:$AC$801,1))</f>
        <v>1</v>
      </c>
      <c r="D83" s="39" t="n">
        <f aca="false">SUMIFS(보유분석!$AM$2:$AM$801,보유분석!$W$2:$W$801,$A83,보유분석!$AC$2:$AC$801,1)</f>
        <v>379223.177517947</v>
      </c>
      <c r="E83" s="44" t="n">
        <f aca="false">IF(SUMIFS(보유분석!$AM$2:$AM$801,보유분석!$AC$2:$AC$801,1)=0,0,D83/SUMIFS(보유분석!$AM$2:$AM$801,보유분석!$AC$2:$AC$801,1))</f>
        <v>1</v>
      </c>
      <c r="F83" s="36" t="n">
        <f aca="false">IF(SUMIFS(보유분석!$BB$2:$BB$801,보유분석!$W$2:$W$801,$A83,보유분석!$AC$2:$AC$801,1)=0,"",SUMIFS(보유분석!$BA$2:$BA$801,보유분석!$W$2:$W$801,$A83,보유분석!$AC$2:$AC$801,1)/SUMIFS(보유분석!$BB$2:$BB$801,보유분석!$W$2:$W$801,$A83,보유분석!$AC$2:$AC$801,1))</f>
        <v>5.6600358249336</v>
      </c>
      <c r="G83" s="45" t="n">
        <f aca="false">IF(F83="","",(F83-(SUMIFS(보유분석!$BA$2:$BA$801,보유분석!$AC$2:$AC$801,1)/SUMIFS(보유분석!$BB$2:$BB$801,보유분석!$AC$2:$AC$801,1)))*100)</f>
        <v>0</v>
      </c>
      <c r="H83" s="37" t="n">
        <f aca="false">IF(SUMIFS(보유분석!$BD$2:$BD$801,보유분석!$W$2:$W$801,$A83,보유분석!$AC$2:$AC$801,1)=0,"",SUMIFS(보유분석!$BC$2:$BC$801,보유분석!$W$2:$W$801,$A83,보유분석!$AC$2:$AC$801,1)/SUMIFS(보유분석!$BD$2:$BD$801,보유분석!$W$2:$W$801,$A83,보유분석!$AC$2:$AC$801,1))</f>
        <v>66.114006085129</v>
      </c>
      <c r="I83" s="38" t="n">
        <f aca="false">IF(SUMIFS(보유분석!$BF$2:$BF$801,보유분석!$W$2:$W$801,$A83,보유분석!$AC$2:$AC$801,1)=0,"",SUMIFS(보유분석!$BE$2:$BE$801,보유분석!$W$2:$W$801,$A83,보유분석!$AC$2:$AC$801,1)/SUMIFS(보유분석!$BF$2:$BF$801,보유분석!$W$2:$W$801,$A83,보유분석!$AC$2:$AC$801,1))</f>
        <v>2.69067362607096</v>
      </c>
      <c r="J83" s="37" t="n">
        <f aca="false">IF(SUMIFS(보유분석!$BG$2:$BG$801,보유분석!$W$2:$W$801,$A83,보유분석!$AC$2:$AC$801,1)=0,"",(SUMIFS(보유분석!$BC$2:$BC$801,보유분석!$W$2:$W$801,$A83,보유분석!$AC$2:$AC$801,1)+SUMIFS(보유분석!$BH$2:$BH$801,보유분석!$W$2:$W$801,$A83,보유분석!$AC$2:$AC$801,1))/SUMIFS(보유분석!$BG$2:$BG$801,보유분석!$W$2:$W$801,$A83,보유분석!$AC$2:$AC$801,1))</f>
        <v>31.4685741331147</v>
      </c>
      <c r="K83" s="40" t="n">
        <f aca="false">IF(B83=0,"",SUMIFS(보유분석!$AV$2:$AV$801,보유분석!$W$2:$W$801,$A83,보유분석!$AC$2:$AC$801,1)/(B83*1000000))</f>
        <v>0.0582546221879707</v>
      </c>
      <c r="L83" s="46" t="n">
        <f aca="false">SUMIFS(보유분석!$AP$2:$AP$801,보유분석!$W$2:$W$801,$A83,보유분석!$AC$2:$AC$801,1)</f>
        <v>-44901234.1</v>
      </c>
      <c r="M83" s="9" t="n">
        <f aca="false">COUNTIFS(보유분석!$W$2:$W$801,$A83,보유분석!$AR$2:$AR$801,"Cheap",보유분석!$AC$2:$AC$801,1)</f>
        <v>36</v>
      </c>
      <c r="N83" s="9" t="n">
        <f aca="false">COUNTIFS(보유분석!$W$2:$W$801,$A83,보유분석!$AR$2:$AR$801,"Rich",보유분석!$AC$2:$AC$801,1)</f>
        <v>10</v>
      </c>
      <c r="O83" s="47"/>
      <c r="P83" s="48" t="str">
        <f aca="false">IF(O83="","",O83-C83)</f>
        <v/>
      </c>
      <c r="Q83" s="46" t="n">
        <f aca="false">-SUMIFS(보유분석!$AZ$2:$AZ$801,보유분석!$W$2:$W$801,$A83,보유분석!$AC$2:$AC$801,1)*설정!$C$10</f>
        <v>-10177025.3714211</v>
      </c>
      <c r="R83" s="44" t="n">
        <f aca="false">IF((-SUMIFS(보유분석!$AZ$2:$AZ$801,보유분석!$AC$2:$AC$801,1)*설정!$C$10)=0,0,Q83/(-SUMIFS(보유분석!$AZ$2:$AZ$801,보유분석!$AC$2:$AC$801,1)*설정!$C$10))</f>
        <v>1</v>
      </c>
      <c r="S83" s="45" t="n">
        <f aca="false">IF(SUMIFS(보유분석!$BG$2:$BG$801,보유분석!$W$2:$W$801,$A83,보유분석!$AC$2:$AC$801,1)=0,"",SUMIFS(보유분석!$BH$2:$BH$801,보유분석!$W$2:$W$801,$A83,보유분석!$AC$2:$AC$801,1)/SUMIFS(보유분석!$BG$2:$BG$801,보유분석!$W$2:$W$801,$A83,보유분석!$AC$2:$AC$801,1))</f>
        <v>6.4728237935996</v>
      </c>
      <c r="T83" s="49" t="n">
        <f aca="false">IF(SUMIFS(보유분석!$BI$2:$BI$801,보유분석!$W$2:$W$801,$A83,보유분석!$AC$2:$AC$801,1)=0,"",SUMIFS(보유분석!$BD$2:$BD$801,보유분석!$W$2:$W$801,$A83,보유분석!$AC$2:$AC$801,1)/SUMIFS(보유분석!$BI$2:$BI$801,보유분석!$W$2:$W$801,$A83,보유분석!$AC$2:$AC$801,1))</f>
        <v>0.977967173185718</v>
      </c>
    </row>
    <row r="84" customFormat="false" ht="15" hidden="false" customHeight="false" outlineLevel="0" collapsed="false">
      <c r="A84" s="43" t="s">
        <v>115</v>
      </c>
      <c r="B84" s="35" t="n">
        <f aca="false">SUMIFS(보유분석!$AA$2:$AA$801,보유분석!$W$2:$W$801,$A84,보유분석!$AC$2:$AC$801,1)</f>
        <v>0</v>
      </c>
      <c r="C84" s="44" t="n">
        <f aca="false">IF(SUMIFS(보유분석!$AA$2:$AA$801,보유분석!$AC$2:$AC$801,1)=0,0,B84/SUMIFS(보유분석!$AA$2:$AA$801,보유분석!$AC$2:$AC$801,1))</f>
        <v>0</v>
      </c>
      <c r="D84" s="39" t="n">
        <f aca="false">SUMIFS(보유분석!$AM$2:$AM$801,보유분석!$W$2:$W$801,$A84,보유분석!$AC$2:$AC$801,1)</f>
        <v>0</v>
      </c>
      <c r="E84" s="44" t="n">
        <f aca="false">IF(SUMIFS(보유분석!$AM$2:$AM$801,보유분석!$AC$2:$AC$801,1)=0,0,D84/SUMIFS(보유분석!$AM$2:$AM$801,보유분석!$AC$2:$AC$801,1))</f>
        <v>0</v>
      </c>
      <c r="F84" s="36" t="str">
        <f aca="false">IF(SUMIFS(보유분석!$BB$2:$BB$801,보유분석!$W$2:$W$801,$A84,보유분석!$AC$2:$AC$801,1)=0,"",SUMIFS(보유분석!$BA$2:$BA$801,보유분석!$W$2:$W$801,$A84,보유분석!$AC$2:$AC$801,1)/SUMIFS(보유분석!$BB$2:$BB$801,보유분석!$W$2:$W$801,$A84,보유분석!$AC$2:$AC$801,1))</f>
        <v/>
      </c>
      <c r="G84" s="45" t="str">
        <f aca="false">IF(F84="","",(F84-(SUMIFS(보유분석!$BA$2:$BA$801,보유분석!$AC$2:$AC$801,1)/SUMIFS(보유분석!$BB$2:$BB$801,보유분석!$AC$2:$AC$801,1)))*100)</f>
        <v/>
      </c>
      <c r="H84" s="37" t="str">
        <f aca="false">IF(SUMIFS(보유분석!$BD$2:$BD$801,보유분석!$W$2:$W$801,$A84,보유분석!$AC$2:$AC$801,1)=0,"",SUMIFS(보유분석!$BC$2:$BC$801,보유분석!$W$2:$W$801,$A84,보유분석!$AC$2:$AC$801,1)/SUMIFS(보유분석!$BD$2:$BD$801,보유분석!$W$2:$W$801,$A84,보유분석!$AC$2:$AC$801,1))</f>
        <v/>
      </c>
      <c r="I84" s="38" t="str">
        <f aca="false">IF(SUMIFS(보유분석!$BF$2:$BF$801,보유분석!$W$2:$W$801,$A84,보유분석!$AC$2:$AC$801,1)=0,"",SUMIFS(보유분석!$BE$2:$BE$801,보유분석!$W$2:$W$801,$A84,보유분석!$AC$2:$AC$801,1)/SUMIFS(보유분석!$BF$2:$BF$801,보유분석!$W$2:$W$801,$A84,보유분석!$AC$2:$AC$801,1))</f>
        <v/>
      </c>
      <c r="J84" s="37" t="str">
        <f aca="false">IF(SUMIFS(보유분석!$BG$2:$BG$801,보유분석!$W$2:$W$801,$A84,보유분석!$AC$2:$AC$801,1)=0,"",(SUMIFS(보유분석!$BC$2:$BC$801,보유분석!$W$2:$W$801,$A84,보유분석!$AC$2:$AC$801,1)+SUMIFS(보유분석!$BH$2:$BH$801,보유분석!$W$2:$W$801,$A84,보유분석!$AC$2:$AC$801,1))/SUMIFS(보유분석!$BG$2:$BG$801,보유분석!$W$2:$W$801,$A84,보유분석!$AC$2:$AC$801,1))</f>
        <v/>
      </c>
      <c r="K84" s="40" t="str">
        <f aca="false">IF(B84=0,"",SUMIFS(보유분석!$AV$2:$AV$801,보유분석!$W$2:$W$801,$A84,보유분석!$AC$2:$AC$801,1)/(B84*1000000))</f>
        <v/>
      </c>
      <c r="L84" s="46" t="n">
        <f aca="false">SUMIFS(보유분석!$AP$2:$AP$801,보유분석!$W$2:$W$801,$A84,보유분석!$AC$2:$AC$801,1)</f>
        <v>0</v>
      </c>
      <c r="M84" s="9" t="n">
        <f aca="false">COUNTIFS(보유분석!$W$2:$W$801,$A84,보유분석!$AR$2:$AR$801,"Cheap",보유분석!$AC$2:$AC$801,1)</f>
        <v>0</v>
      </c>
      <c r="N84" s="9" t="n">
        <f aca="false">COUNTIFS(보유분석!$W$2:$W$801,$A84,보유분석!$AR$2:$AR$801,"Rich",보유분석!$AC$2:$AC$801,1)</f>
        <v>0</v>
      </c>
      <c r="O84" s="47"/>
      <c r="P84" s="48" t="str">
        <f aca="false">IF(O84="","",O84-C84)</f>
        <v/>
      </c>
      <c r="Q84" s="46" t="n">
        <f aca="false">-SUMIFS(보유분석!$AZ$2:$AZ$801,보유분석!$W$2:$W$801,$A84,보유분석!$AC$2:$AC$801,1)*설정!$C$10</f>
        <v>-0</v>
      </c>
      <c r="R84" s="44" t="n">
        <f aca="false">IF((-SUMIFS(보유분석!$AZ$2:$AZ$801,보유분석!$AC$2:$AC$801,1)*설정!$C$10)=0,0,Q84/(-SUMIFS(보유분석!$AZ$2:$AZ$801,보유분석!$AC$2:$AC$801,1)*설정!$C$10))</f>
        <v>0</v>
      </c>
      <c r="S84" s="45" t="str">
        <f aca="false">IF(SUMIFS(보유분석!$BG$2:$BG$801,보유분석!$W$2:$W$801,$A84,보유분석!$AC$2:$AC$801,1)=0,"",SUMIFS(보유분석!$BH$2:$BH$801,보유분석!$W$2:$W$801,$A84,보유분석!$AC$2:$AC$801,1)/SUMIFS(보유분석!$BG$2:$BG$801,보유분석!$W$2:$W$801,$A84,보유분석!$AC$2:$AC$801,1))</f>
        <v/>
      </c>
      <c r="T84" s="49" t="str">
        <f aca="false">IF(SUMIFS(보유분석!$BI$2:$BI$801,보유분석!$W$2:$W$801,$A84,보유분석!$AC$2:$AC$801,1)=0,"",SUMIFS(보유분석!$BD$2:$BD$801,보유분석!$W$2:$W$801,$A84,보유분석!$AC$2:$AC$801,1)/SUMIFS(보유분석!$BI$2:$BI$801,보유분석!$W$2:$W$801,$A84,보유분석!$AC$2:$AC$801,1))</f>
        <v/>
      </c>
    </row>
    <row r="85" customFormat="false" ht="15" hidden="false" customHeight="false" outlineLevel="0" collapsed="false">
      <c r="A85" s="43" t="s">
        <v>116</v>
      </c>
      <c r="B85" s="35" t="n">
        <f aca="false">SUMIFS(보유분석!$AA$2:$AA$801,보유분석!$W$2:$W$801,$A85,보유분석!$AC$2:$AC$801,1)</f>
        <v>0</v>
      </c>
      <c r="C85" s="44" t="n">
        <f aca="false">IF(SUMIFS(보유분석!$AA$2:$AA$801,보유분석!$AC$2:$AC$801,1)=0,0,B85/SUMIFS(보유분석!$AA$2:$AA$801,보유분석!$AC$2:$AC$801,1))</f>
        <v>0</v>
      </c>
      <c r="D85" s="39" t="n">
        <f aca="false">SUMIFS(보유분석!$AM$2:$AM$801,보유분석!$W$2:$W$801,$A85,보유분석!$AC$2:$AC$801,1)</f>
        <v>0</v>
      </c>
      <c r="E85" s="44" t="n">
        <f aca="false">IF(SUMIFS(보유분석!$AM$2:$AM$801,보유분석!$AC$2:$AC$801,1)=0,0,D85/SUMIFS(보유분석!$AM$2:$AM$801,보유분석!$AC$2:$AC$801,1))</f>
        <v>0</v>
      </c>
      <c r="F85" s="36" t="str">
        <f aca="false">IF(SUMIFS(보유분석!$BB$2:$BB$801,보유분석!$W$2:$W$801,$A85,보유분석!$AC$2:$AC$801,1)=0,"",SUMIFS(보유분석!$BA$2:$BA$801,보유분석!$W$2:$W$801,$A85,보유분석!$AC$2:$AC$801,1)/SUMIFS(보유분석!$BB$2:$BB$801,보유분석!$W$2:$W$801,$A85,보유분석!$AC$2:$AC$801,1))</f>
        <v/>
      </c>
      <c r="G85" s="45" t="str">
        <f aca="false">IF(F85="","",(F85-(SUMIFS(보유분석!$BA$2:$BA$801,보유분석!$AC$2:$AC$801,1)/SUMIFS(보유분석!$BB$2:$BB$801,보유분석!$AC$2:$AC$801,1)))*100)</f>
        <v/>
      </c>
      <c r="H85" s="37" t="str">
        <f aca="false">IF(SUMIFS(보유분석!$BD$2:$BD$801,보유분석!$W$2:$W$801,$A85,보유분석!$AC$2:$AC$801,1)=0,"",SUMIFS(보유분석!$BC$2:$BC$801,보유분석!$W$2:$W$801,$A85,보유분석!$AC$2:$AC$801,1)/SUMIFS(보유분석!$BD$2:$BD$801,보유분석!$W$2:$W$801,$A85,보유분석!$AC$2:$AC$801,1))</f>
        <v/>
      </c>
      <c r="I85" s="38" t="str">
        <f aca="false">IF(SUMIFS(보유분석!$BF$2:$BF$801,보유분석!$W$2:$W$801,$A85,보유분석!$AC$2:$AC$801,1)=0,"",SUMIFS(보유분석!$BE$2:$BE$801,보유분석!$W$2:$W$801,$A85,보유분석!$AC$2:$AC$801,1)/SUMIFS(보유분석!$BF$2:$BF$801,보유분석!$W$2:$W$801,$A85,보유분석!$AC$2:$AC$801,1))</f>
        <v/>
      </c>
      <c r="J85" s="37" t="str">
        <f aca="false">IF(SUMIFS(보유분석!$BG$2:$BG$801,보유분석!$W$2:$W$801,$A85,보유분석!$AC$2:$AC$801,1)=0,"",(SUMIFS(보유분석!$BC$2:$BC$801,보유분석!$W$2:$W$801,$A85,보유분석!$AC$2:$AC$801,1)+SUMIFS(보유분석!$BH$2:$BH$801,보유분석!$W$2:$W$801,$A85,보유분석!$AC$2:$AC$801,1))/SUMIFS(보유분석!$BG$2:$BG$801,보유분석!$W$2:$W$801,$A85,보유분석!$AC$2:$AC$801,1))</f>
        <v/>
      </c>
      <c r="K85" s="40" t="str">
        <f aca="false">IF(B85=0,"",SUMIFS(보유분석!$AV$2:$AV$801,보유분석!$W$2:$W$801,$A85,보유분석!$AC$2:$AC$801,1)/(B85*1000000))</f>
        <v/>
      </c>
      <c r="L85" s="46" t="n">
        <f aca="false">SUMIFS(보유분석!$AP$2:$AP$801,보유분석!$W$2:$W$801,$A85,보유분석!$AC$2:$AC$801,1)</f>
        <v>0</v>
      </c>
      <c r="M85" s="9" t="n">
        <f aca="false">COUNTIFS(보유분석!$W$2:$W$801,$A85,보유분석!$AR$2:$AR$801,"Cheap",보유분석!$AC$2:$AC$801,1)</f>
        <v>0</v>
      </c>
      <c r="N85" s="9" t="n">
        <f aca="false">COUNTIFS(보유분석!$W$2:$W$801,$A85,보유분석!$AR$2:$AR$801,"Rich",보유분석!$AC$2:$AC$801,1)</f>
        <v>0</v>
      </c>
      <c r="O85" s="47"/>
      <c r="P85" s="48" t="str">
        <f aca="false">IF(O85="","",O85-C85)</f>
        <v/>
      </c>
      <c r="Q85" s="46" t="n">
        <f aca="false">-SUMIFS(보유분석!$AZ$2:$AZ$801,보유분석!$W$2:$W$801,$A85,보유분석!$AC$2:$AC$801,1)*설정!$C$10</f>
        <v>-0</v>
      </c>
      <c r="R85" s="44" t="n">
        <f aca="false">IF((-SUMIFS(보유분석!$AZ$2:$AZ$801,보유분석!$AC$2:$AC$801,1)*설정!$C$10)=0,0,Q85/(-SUMIFS(보유분석!$AZ$2:$AZ$801,보유분석!$AC$2:$AC$801,1)*설정!$C$10))</f>
        <v>0</v>
      </c>
      <c r="S85" s="45" t="str">
        <f aca="false">IF(SUMIFS(보유분석!$BG$2:$BG$801,보유분석!$W$2:$W$801,$A85,보유분석!$AC$2:$AC$801,1)=0,"",SUMIFS(보유분석!$BH$2:$BH$801,보유분석!$W$2:$W$801,$A85,보유분석!$AC$2:$AC$801,1)/SUMIFS(보유분석!$BG$2:$BG$801,보유분석!$W$2:$W$801,$A85,보유분석!$AC$2:$AC$801,1))</f>
        <v/>
      </c>
      <c r="T85" s="49" t="str">
        <f aca="false">IF(SUMIFS(보유분석!$BI$2:$BI$801,보유분석!$W$2:$W$801,$A85,보유분석!$AC$2:$AC$801,1)=0,"",SUMIFS(보유분석!$BD$2:$BD$801,보유분석!$W$2:$W$801,$A85,보유분석!$AC$2:$AC$801,1)/SUMIFS(보유분석!$BI$2:$BI$801,보유분석!$W$2:$W$801,$A85,보유분석!$AC$2:$AC$801,1))</f>
        <v/>
      </c>
    </row>
    <row r="86" customFormat="false" ht="15" hidden="false" customHeight="false" outlineLevel="0" collapsed="false">
      <c r="A86" s="50" t="s">
        <v>75</v>
      </c>
      <c r="B86" s="35" t="n">
        <f aca="false">SUMPRODUCT(ISNA(MATCH(보유분석!$W$2:$W$801,$A$83:$A$85,0))*(보유분석!$AC$2:$AC$801=1)*보유분석!$AA$2:$AA$801)</f>
        <v>0</v>
      </c>
      <c r="C86" s="44" t="n">
        <f aca="false">IF(SUMIFS(보유분석!$AA$2:$AA$801,보유분석!$AC$2:$AC$801,1)=0,0,B86/SUMIFS(보유분석!$AA$2:$AA$801,보유분석!$AC$2:$AC$801,1))</f>
        <v>0</v>
      </c>
      <c r="D86" s="39" t="n">
        <f aca="false">SUMPRODUCT(ISNA(MATCH(보유분석!$W$2:$W$801,$A$83:$A$85,0))*(보유분석!$AC$2:$AC$801=1)*보유분석!$AM$2:$AM$801)</f>
        <v>0</v>
      </c>
      <c r="E86" s="44" t="n">
        <f aca="false">IF(SUMIFS(보유분석!$AM$2:$AM$801,보유분석!$AC$2:$AC$801,1)=0,0,D86/SUMIFS(보유분석!$AM$2:$AM$801,보유분석!$AC$2:$AC$801,1))</f>
        <v>0</v>
      </c>
      <c r="F86" s="36" t="str">
        <f aca="false">IF(SUMPRODUCT(ISNA(MATCH(보유분석!$W$2:$W$801,$A$83:$A$85,0))*(보유분석!$AC$2:$AC$801=1)*보유분석!$BB$2:$BB$801)=0,"",SUMPRODUCT(ISNA(MATCH(보유분석!$W$2:$W$801,$A$83:$A$85,0))*(보유분석!$AC$2:$AC$801=1)*보유분석!$BA$2:$BA$801)/SUMPRODUCT(ISNA(MATCH(보유분석!$W$2:$W$801,$A$83:$A$85,0))*(보유분석!$AC$2:$AC$801=1)*보유분석!$BB$2:$BB$801))</f>
        <v/>
      </c>
      <c r="G86" s="45" t="str">
        <f aca="false">IF(F86="","",(F86-(SUMIFS(보유분석!$BA$2:$BA$801,보유분석!$AC$2:$AC$801,1)/SUMIFS(보유분석!$BB$2:$BB$801,보유분석!$AC$2:$AC$801,1)))*100)</f>
        <v/>
      </c>
      <c r="H86" s="37" t="str">
        <f aca="false">IF(SUMPRODUCT(ISNA(MATCH(보유분석!$W$2:$W$801,$A$83:$A$85,0))*(보유분석!$AC$2:$AC$801=1)*보유분석!$BD$2:$BD$801)=0,"",SUMPRODUCT(ISNA(MATCH(보유분석!$W$2:$W$801,$A$83:$A$85,0))*(보유분석!$AC$2:$AC$801=1)*보유분석!$BC$2:$BC$801)/SUMPRODUCT(ISNA(MATCH(보유분석!$W$2:$W$801,$A$83:$A$85,0))*(보유분석!$AC$2:$AC$801=1)*보유분석!$BD$2:$BD$801))</f>
        <v/>
      </c>
      <c r="I86" s="38" t="str">
        <f aca="false">IF(SUMPRODUCT(ISNA(MATCH(보유분석!$W$2:$W$801,$A$83:$A$85,0))*(보유분석!$AC$2:$AC$801=1)*보유분석!$BF$2:$BF$801)=0,"",SUMPRODUCT(ISNA(MATCH(보유분석!$W$2:$W$801,$A$83:$A$85,0))*(보유분석!$AC$2:$AC$801=1)*보유분석!$BE$2:$BE$801)/SUMPRODUCT(ISNA(MATCH(보유분석!$W$2:$W$801,$A$83:$A$85,0))*(보유분석!$AC$2:$AC$801=1)*보유분석!$BF$2:$BF$801))</f>
        <v/>
      </c>
      <c r="J86" s="37" t="str">
        <f aca="false">IF(SUMPRODUCT(ISNA(MATCH(보유분석!$W$2:$W$801,$A$83:$A$85,0))*(보유분석!$AC$2:$AC$801=1)*보유분석!$BG$2:$BG$801)=0,"",(SUMPRODUCT(ISNA(MATCH(보유분석!$W$2:$W$801,$A$83:$A$85,0))*(보유분석!$AC$2:$AC$801=1)*보유분석!$BC$2:$BC$801)+SUMPRODUCT(ISNA(MATCH(보유분석!$W$2:$W$801,$A$83:$A$85,0))*(보유분석!$AC$2:$AC$801=1)*보유분석!$BH$2:$BH$801))/SUMPRODUCT(ISNA(MATCH(보유분석!$W$2:$W$801,$A$83:$A$85,0))*(보유분석!$AC$2:$AC$801=1)*보유분석!$BG$2:$BG$801))</f>
        <v/>
      </c>
      <c r="K86" s="40" t="str">
        <f aca="false">IF(B86=0,"",SUMPRODUCT(ISNA(MATCH(보유분석!$W$2:$W$801,$A$83:$A$85,0))*(보유분석!$AC$2:$AC$801=1)*보유분석!$AV$2:$AV$801)/(B86*1000000))</f>
        <v/>
      </c>
      <c r="L86" s="46" t="n">
        <f aca="false">SUMPRODUCT(ISNA(MATCH(보유분석!$W$2:$W$801,$A$83:$A$85,0))*(보유분석!$AC$2:$AC$801=1)*보유분석!$AP$2:$AP$801)</f>
        <v>0</v>
      </c>
      <c r="M86" s="9" t="n">
        <f aca="false">SUMPRODUCT(ISNA(MATCH(보유분석!$W$2:$W$801,$A$83:$A$85,0))*(보유분석!$AC$2:$AC$801=1)*(보유분석!$AR$2:$AR$801="Cheap"))</f>
        <v>0</v>
      </c>
      <c r="N86" s="9" t="n">
        <f aca="false">SUMPRODUCT(ISNA(MATCH(보유분석!$W$2:$W$801,$A$83:$A$85,0))*(보유분석!$AC$2:$AC$801=1)*(보유분석!$AR$2:$AR$801="Rich"))</f>
        <v>0</v>
      </c>
      <c r="O86" s="47"/>
      <c r="P86" s="48" t="str">
        <f aca="false">IF(O86="","",O86-C86)</f>
        <v/>
      </c>
      <c r="Q86" s="46" t="n">
        <f aca="false">-SUMPRODUCT(ISNA(MATCH(보유분석!$W$2:$W$801,$A$83:$A$85,0))*(보유분석!$AC$2:$AC$801=1)*보유분석!$AZ$2:$AZ$801)*설정!$C$10</f>
        <v>-0</v>
      </c>
      <c r="R86" s="44" t="n">
        <f aca="false">IF((-SUMIFS(보유분석!$AZ$2:$AZ$801,보유분석!$AC$2:$AC$801,1)*설정!$C$10)=0,0,Q86/(-SUMIFS(보유분석!$AZ$2:$AZ$801,보유분석!$AC$2:$AC$801,1)*설정!$C$10))</f>
        <v>0</v>
      </c>
      <c r="S86" s="45" t="str">
        <f aca="false">IF(SUMPRODUCT(ISNA(MATCH(보유분석!$W$2:$W$801,$A$83:$A$85,0))*(보유분석!$AC$2:$AC$801=1)*보유분석!$BG$2:$BG$801)=0,"",SUMPRODUCT(ISNA(MATCH(보유분석!$W$2:$W$801,$A$83:$A$85,0))*(보유분석!$AC$2:$AC$801=1)*보유분석!$BH$2:$BH$801)/SUMPRODUCT(ISNA(MATCH(보유분석!$W$2:$W$801,$A$83:$A$85,0))*(보유분석!$AC$2:$AC$801=1)*보유분석!$BG$2:$BG$801))</f>
        <v/>
      </c>
      <c r="T86" s="49" t="str">
        <f aca="false">IF(SUMPRODUCT(ISNA(MATCH(보유분석!$W$2:$W$801,$A$83:$A$85,0))*(보유분석!$AC$2:$AC$801=1)*보유분석!$BI$2:$BI$801)=0,"",SUMPRODUCT(ISNA(MATCH(보유분석!$W$2:$W$801,$A$83:$A$85,0))*(보유분석!$AC$2:$AC$801=1)*보유분석!$BD$2:$BD$801)/SUMPRODUCT(ISNA(MATCH(보유분석!$W$2:$W$801,$A$83:$A$85,0))*(보유분석!$AC$2:$AC$801=1)*보유분석!$BI$2:$BI$801))</f>
        <v/>
      </c>
    </row>
    <row r="87" customFormat="false" ht="15" hidden="false" customHeight="false" outlineLevel="0" collapsed="false">
      <c r="A87" s="51" t="s">
        <v>76</v>
      </c>
      <c r="B87" s="52" t="n">
        <f aca="false">SUM(B83:B86)</f>
        <v>1409.39864963</v>
      </c>
      <c r="C87" s="53" t="n">
        <f aca="false">SUM(C83:C86)</f>
        <v>1</v>
      </c>
      <c r="D87" s="54" t="n">
        <f aca="false">SUM(D83:D86)</f>
        <v>379223.177517947</v>
      </c>
      <c r="E87" s="53" t="n">
        <f aca="false">SUM(E83:E86)</f>
        <v>1</v>
      </c>
      <c r="F87" s="55" t="n">
        <f aca="false">IF(SUMIFS(보유분석!$BB$2:$BB$801,보유분석!$AC$2:$AC$801,1)=0,"",SUMIFS(보유분석!$BA$2:$BA$801,보유분석!$AC$2:$AC$801,1)/SUMIFS(보유분석!$BB$2:$BB$801,보유분석!$AC$2:$AC$801,1))</f>
        <v>5.6600358249336</v>
      </c>
      <c r="G87" s="56"/>
      <c r="H87" s="57" t="n">
        <f aca="false">IF(SUMIFS(보유분석!$BD$2:$BD$801,보유분석!$AC$2:$AC$801,1)=0,"",SUMIFS(보유분석!$BC$2:$BC$801,보유분석!$AC$2:$AC$801,1)/SUMIFS(보유분석!$BD$2:$BD$801,보유분석!$AC$2:$AC$801,1))</f>
        <v>66.114006085129</v>
      </c>
      <c r="I87" s="58" t="n">
        <f aca="false">IF(SUMIFS(보유분석!$BF$2:$BF$801,보유분석!$AC$2:$AC$801,1)=0,"",SUMIFS(보유분석!$BE$2:$BE$801,보유분석!$AC$2:$AC$801,1)/SUMIFS(보유분석!$BF$2:$BF$801,보유분석!$AC$2:$AC$801,1))</f>
        <v>2.69067362607096</v>
      </c>
      <c r="J87" s="57" t="n">
        <f aca="false">IF(SUMIFS(보유분석!$BG$2:$BG$801,보유분석!$AC$2:$AC$801,1)=0,"",(SUMIFS(보유분석!$BC$2:$BC$801,보유분석!$AC$2:$AC$801,1)+SUMIFS(보유분석!$BH$2:$BH$801,보유분석!$AC$2:$AC$801,1))/SUMIFS(보유분석!$BG$2:$BG$801,보유분석!$AC$2:$AC$801,1))</f>
        <v>31.4685741331147</v>
      </c>
      <c r="K87" s="59" t="n">
        <f aca="false">IF(B87=0,"",SUMIFS(보유분석!$AV$2:$AV$801,보유분석!$AC$2:$AC$801,1)/(B87*1000000))</f>
        <v>0.0582546221879707</v>
      </c>
      <c r="L87" s="60" t="n">
        <f aca="false">SUM(L83:L86)</f>
        <v>-44901234.1</v>
      </c>
      <c r="M87" s="61"/>
      <c r="N87" s="61"/>
      <c r="O87" s="53" t="str">
        <f aca="false">IF(COUNT(O83:O86)=0,"",SUM(O83:O86))</f>
        <v/>
      </c>
      <c r="P87" s="62"/>
      <c r="Q87" s="60" t="n">
        <f aca="false">SUM(Q83:Q86)</f>
        <v>-10177025.3714211</v>
      </c>
      <c r="R87" s="53" t="n">
        <f aca="false">SUM(R83:R86)</f>
        <v>1</v>
      </c>
      <c r="S87" s="56" t="n">
        <f aca="false">IF(SUMIFS(보유분석!$BG$2:$BG$801,보유분석!$AC$2:$AC$801,1)=0,"",SUMIFS(보유분석!$BH$2:$BH$801,보유분석!$AC$2:$AC$801,1)/SUMIFS(보유분석!$BG$2:$BG$801,보유분석!$AC$2:$AC$801,1))</f>
        <v>6.4728237935996</v>
      </c>
      <c r="T87" s="63" t="n">
        <f aca="false">IF(SUMIFS(보유분석!$BI$2:$BI$801,보유분석!$AC$2:$AC$801,1)=0,"",SUMIFS(보유분석!$BD$2:$BD$801,보유분석!$AC$2:$AC$801,1)/SUMIFS(보유분석!$BI$2:$BI$801,보유분석!$AC$2:$AC$801,1))</f>
        <v>0.977967173185718</v>
      </c>
    </row>
  </sheetData>
  <conditionalFormatting sqref="G6:G15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6:J15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G21:G32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21:J32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G38:G42">
    <cfRule type="colorScale" priority="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38:J42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G48:G58">
    <cfRule type="colorScale" priority="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48:J58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G64:G69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64:J69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G75:G77">
    <cfRule type="colorScale" priority="1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75:J77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G83:G86">
    <cfRule type="colorScale" priority="1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83:J86">
    <cfRule type="colorScale" priority="1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11" min="7" style="0" width="8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6" min="16" style="0" width="8"/>
    <col collapsed="false" customWidth="true" hidden="false" outlineLevel="0" max="17" min="17" style="0" width="7"/>
  </cols>
  <sheetData>
    <row r="1" customFormat="false" ht="21.6" hidden="false" customHeight="false" outlineLevel="0" collapsed="false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7.15" hidden="false" customHeight="false" outlineLevel="0" collapsed="false">
      <c r="A4" s="24" t="s">
        <v>119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29.85" hidden="false" customHeight="false" outlineLevel="0" collapsed="false">
      <c r="A5" s="5" t="s">
        <v>120</v>
      </c>
      <c r="B5" s="5" t="s">
        <v>121</v>
      </c>
      <c r="C5" s="5" t="s">
        <v>122</v>
      </c>
      <c r="D5" s="5" t="s">
        <v>123</v>
      </c>
      <c r="E5" s="5" t="s">
        <v>124</v>
      </c>
      <c r="F5" s="5" t="s">
        <v>125</v>
      </c>
      <c r="G5" s="5" t="s">
        <v>126</v>
      </c>
      <c r="H5" s="25" t="s">
        <v>127</v>
      </c>
      <c r="I5" s="25" t="s">
        <v>128</v>
      </c>
      <c r="J5" s="5" t="s">
        <v>129</v>
      </c>
      <c r="K5" s="5" t="s">
        <v>130</v>
      </c>
      <c r="L5" s="25" t="s">
        <v>131</v>
      </c>
      <c r="M5" s="5" t="s">
        <v>132</v>
      </c>
      <c r="N5" s="5" t="s">
        <v>133</v>
      </c>
      <c r="O5" s="5" t="s">
        <v>134</v>
      </c>
      <c r="P5" s="2"/>
      <c r="Q5" s="2"/>
      <c r="R5" s="2"/>
    </row>
    <row r="6" customFormat="false" ht="15" hidden="false" customHeight="false" outlineLevel="0" collapsed="false">
      <c r="A6" s="2" t="n">
        <v>1</v>
      </c>
      <c r="B6" s="17" t="str">
        <f aca="false">IF($R6="","",IF(INDEX(시장분석!$A$2:$A$601,$R6)="","",INDEX(시장분석!$A$2:$A$601,$R6)))</f>
        <v>SPCX 5.35 07/15/31</v>
      </c>
      <c r="C6" s="17" t="str">
        <f aca="false">IF($R6="","",IF(INDEX(시장분석!$B$2:$B$601,$R6)="","",INDEX(시장분석!$B$2:$B$601,$R6)))</f>
        <v>SPACE EXPLORATION TECH</v>
      </c>
      <c r="D6" s="17" t="str">
        <f aca="false">IF($R6="","",IF(INDEX(시장분석!$W$2:$W$601,$R6)="","",INDEX(시장분석!$W$2:$W$601,$R6)))</f>
        <v>미국</v>
      </c>
      <c r="E6" s="17" t="str">
        <f aca="false">IF($R6="","",IF(INDEX(시장분석!$L$2:$L$601,$R6)="","",INDEX(시장분석!$L$2:$L$601,$R6)))</f>
        <v>통신</v>
      </c>
      <c r="F6" s="17" t="str">
        <f aca="false">IF($R6="","",IF(INDEX(시장분석!$M$2:$M$601,$R6)="","",INDEX(시장분석!$M$2:$M$601,$R6)))</f>
        <v>BBB</v>
      </c>
      <c r="G6" s="38" t="n">
        <f aca="false">IF($R6="","",IF(INDEX(시장분석!$K$2:$K$601,$R6)="","",INDEX(시장분석!$K$2:$K$601,$R6)))</f>
        <v>4.21</v>
      </c>
      <c r="H6" s="36" t="n">
        <f aca="false">IF($R6="","",IF(INDEX(시장분석!$D$2:$D$601,$R6)="","",INDEX(시장분석!$D$2:$D$601,$R6)))</f>
        <v>6.533</v>
      </c>
      <c r="I6" s="37" t="n">
        <f aca="false">IF($R6="","",IF(INDEX(시장분석!$E$2:$E$601,$R6)="","",INDEX(시장분석!$E$2:$E$601,$R6)))</f>
        <v>144.658</v>
      </c>
      <c r="J6" s="37" t="n">
        <f aca="false">IF($R6="","",IF(INDEX(시장분석!$AI$2:$AI$601,$R6)="","",INDEX(시장분석!$AI$2:$AI$601,$R6)))</f>
        <v>80.3519178346836</v>
      </c>
      <c r="K6" s="65" t="n">
        <f aca="false">IF($R6="","",IF(INDEX(시장분석!$AJ$2:$AJ$601,$R6)="","",INDEX(시장분석!$AJ$2:$AJ$601,$R6)))</f>
        <v>64.3060821653164</v>
      </c>
      <c r="L6" s="66" t="n">
        <f aca="false">IF($R6="","",IF(INDEX(시장분석!$AK$2:$AK$601,$R6)="","",INDEX(시장분석!$AK$2:$AK$601,$R6)))</f>
        <v>4.1422880721914</v>
      </c>
      <c r="M6" s="45" t="n">
        <f aca="false">IF($R6="","",IF(INDEX(시장분석!$AM$2:$AM$601,$R6)="","",INDEX(시장분석!$AM$2:$AM$601,$R6)))</f>
        <v>0</v>
      </c>
      <c r="N6" s="67" t="n">
        <f aca="false">IF($R6="","",IF(INDEX(시장분석!$AO$2:$AO$601,$R6)="","",INDEX(시장분석!$AO$2:$AO$601,$R6)))</f>
        <v>4.76132</v>
      </c>
      <c r="O6" s="17" t="str">
        <f aca="false">IF($R6="","",IF(INDEX(시장분석!$AP$2:$AP$601,$R6)="","",INDEX(시장분석!$AP$2:$AP$601,$R6)))</f>
        <v/>
      </c>
      <c r="P6" s="2"/>
      <c r="Q6" s="68" t="n">
        <f aca="false">LARGE(시장분석!$AQ$2:$AQ$601,A6)</f>
        <v>4.1422882231914</v>
      </c>
      <c r="R6" s="68" t="n">
        <f aca="false">IF(Q6&lt;-900,"",MATCH(Q6,시장분석!$AQ$2:$AQ$601,0))</f>
        <v>150</v>
      </c>
    </row>
    <row r="7" customFormat="false" ht="15" hidden="false" customHeight="false" outlineLevel="0" collapsed="false">
      <c r="A7" s="2" t="n">
        <v>2</v>
      </c>
      <c r="B7" s="17" t="str">
        <f aca="false">IF($R7="","",IF(INDEX(시장분석!$A$2:$A$601,$R7)="","",INDEX(시장분석!$A$2:$A$601,$R7)))</f>
        <v>SOCGEN 5.249 05/22/29</v>
      </c>
      <c r="C7" s="17" t="str">
        <f aca="false">IF($R7="","",IF(INDEX(시장분석!$B$2:$B$601,$R7)="","",INDEX(시장분석!$B$2:$B$601,$R7)))</f>
        <v>SOCIETE GENERALE</v>
      </c>
      <c r="D7" s="17" t="str">
        <f aca="false">IF($R7="","",IF(INDEX(시장분석!$W$2:$W$601,$R7)="","",INDEX(시장분석!$W$2:$W$601,$R7)))</f>
        <v>프랑스</v>
      </c>
      <c r="E7" s="17" t="str">
        <f aca="false">IF($R7="","",IF(INDEX(시장분석!$L$2:$L$601,$R7)="","",INDEX(시장분석!$L$2:$L$601,$R7)))</f>
        <v>금융기관</v>
      </c>
      <c r="F7" s="17" t="str">
        <f aca="false">IF($R7="","",IF(INDEX(시장분석!$M$2:$M$601,$R7)="","",INDEX(시장분석!$M$2:$M$601,$R7)))</f>
        <v>BBB</v>
      </c>
      <c r="G7" s="38" t="n">
        <f aca="false">IF($R7="","",IF(INDEX(시장분석!$K$2:$K$601,$R7)="","",INDEX(시장분석!$K$2:$K$601,$R7)))</f>
        <v>1.563</v>
      </c>
      <c r="H7" s="36" t="n">
        <f aca="false">IF($R7="","",IF(INDEX(시장분석!$D$2:$D$601,$R7)="","",INDEX(시장분석!$D$2:$D$601,$R7)))</f>
        <v>5.607</v>
      </c>
      <c r="I7" s="37" t="n">
        <f aca="false">IF($R7="","",IF(INDEX(시장분석!$E$2:$E$601,$R7)="","",INDEX(시장분석!$E$2:$E$601,$R7)))</f>
        <v>87.451</v>
      </c>
      <c r="J7" s="37" t="n">
        <f aca="false">IF($R7="","",IF(INDEX(시장분석!$AI$2:$AI$601,$R7)="","",INDEX(시장분석!$AI$2:$AI$601,$R7)))</f>
        <v>57.0246171972745</v>
      </c>
      <c r="K7" s="65" t="n">
        <f aca="false">IF($R7="","",IF(INDEX(시장분석!$AJ$2:$AJ$601,$R7)="","",INDEX(시장분석!$AJ$2:$AJ$601,$R7)))</f>
        <v>30.4263828027255</v>
      </c>
      <c r="L7" s="66" t="n">
        <f aca="false">IF($R7="","",IF(INDEX(시장분석!$AK$2:$AK$601,$R7)="","",INDEX(시장분석!$AK$2:$AK$601,$R7)))</f>
        <v>2.76898475217221</v>
      </c>
      <c r="M7" s="45" t="n">
        <f aca="false">IF($R7="","",IF(INDEX(시장분석!$AM$2:$AM$601,$R7)="","",INDEX(시장분석!$AM$2:$AM$601,$R7)))</f>
        <v>0</v>
      </c>
      <c r="N7" s="67" t="n">
        <f aca="false">IF($R7="","",IF(INDEX(시장분석!$AO$2:$AO$601,$R7)="","",INDEX(시장분석!$AO$2:$AO$601,$R7)))</f>
        <v>0.992107</v>
      </c>
      <c r="O7" s="17" t="str">
        <f aca="false">IF($R7="","",IF(INDEX(시장분석!$AP$2:$AP$601,$R7)="","",INDEX(시장분석!$AP$2:$AP$601,$R7)))</f>
        <v/>
      </c>
      <c r="P7" s="2"/>
      <c r="Q7" s="68" t="n">
        <f aca="false">LARGE(시장분석!$AQ$2:$AQ$601,A7)</f>
        <v>2.76898486717221</v>
      </c>
      <c r="R7" s="68" t="n">
        <f aca="false">IF(Q7&lt;-900,"",MATCH(Q7,시장분석!$AQ$2:$AQ$601,0))</f>
        <v>114</v>
      </c>
    </row>
    <row r="8" customFormat="false" ht="15" hidden="false" customHeight="false" outlineLevel="0" collapsed="false">
      <c r="A8" s="2" t="n">
        <v>3</v>
      </c>
      <c r="B8" s="17" t="str">
        <f aca="false">IF($R8="","",IF(INDEX(시장분석!$A$2:$A$601,$R8)="","",INDEX(시장분석!$A$2:$A$601,$R8)))</f>
        <v>KOMRMR 5 3/8 05/11/28</v>
      </c>
      <c r="C8" s="17" t="str">
        <f aca="false">IF($R8="","",IF(INDEX(시장분석!$B$2:$B$601,$R8)="","",INDEX(시장분석!$B$2:$B$601,$R8)))</f>
        <v>KOREAREHABNRESOURCE</v>
      </c>
      <c r="D8" s="17" t="str">
        <f aca="false">IF($R8="","",IF(INDEX(시장분석!$W$2:$W$601,$R8)="","",INDEX(시장분석!$W$2:$W$601,$R8)))</f>
        <v>한국</v>
      </c>
      <c r="E8" s="17" t="str">
        <f aca="false">IF($R8="","",IF(INDEX(시장분석!$L$2:$L$601,$R8)="","",INDEX(시장분석!$L$2:$L$601,$R8)))</f>
        <v>정부</v>
      </c>
      <c r="F8" s="17" t="str">
        <f aca="false">IF($R8="","",IF(INDEX(시장분석!$M$2:$M$601,$R8)="","",INDEX(시장분석!$M$2:$M$601,$R8)))</f>
        <v/>
      </c>
      <c r="G8" s="38" t="n">
        <f aca="false">IF($R8="","",IF(INDEX(시장분석!$K$2:$K$601,$R8)="","",INDEX(시장분석!$K$2:$K$601,$R8)))</f>
        <v>1.523</v>
      </c>
      <c r="H8" s="36" t="n">
        <f aca="false">IF($R8="","",IF(INDEX(시장분석!$D$2:$D$601,$R8)="","",INDEX(시장분석!$D$2:$D$601,$R8)))</f>
        <v>5.277</v>
      </c>
      <c r="I8" s="37" t="n">
        <f aca="false">IF($R8="","",IF(INDEX(시장분석!$E$2:$E$601,$R8)="","",INDEX(시장분석!$E$2:$E$601,$R8)))</f>
        <v>38.777</v>
      </c>
      <c r="J8" s="37" t="n">
        <f aca="false">IF($R8="","",IF(INDEX(시장분석!$AI$2:$AI$601,$R8)="","",INDEX(시장분석!$AI$2:$AI$601,$R8)))</f>
        <v>6.80929939528032</v>
      </c>
      <c r="K8" s="65" t="n">
        <f aca="false">IF($R8="","",IF(INDEX(시장분석!$AJ$2:$AJ$601,$R8)="","",INDEX(시장분석!$AJ$2:$AJ$601,$R8)))</f>
        <v>31.9677006047197</v>
      </c>
      <c r="L8" s="66" t="n">
        <f aca="false">IF($R8="","",IF(INDEX(시장분석!$AK$2:$AK$601,$R8)="","",INDEX(시장분석!$AK$2:$AK$601,$R8)))</f>
        <v>2.33459755398027</v>
      </c>
      <c r="M8" s="45" t="n">
        <f aca="false">IF($R8="","",IF(INDEX(시장분석!$AM$2:$AM$601,$R8)="","",INDEX(시장분석!$AM$2:$AM$601,$R8)))</f>
        <v>16.9011896832655</v>
      </c>
      <c r="N8" s="67" t="n">
        <f aca="false">IF($R8="","",IF(INDEX(시장분석!$AO$2:$AO$601,$R8)="","",INDEX(시장분석!$AO$2:$AO$601,$R8)))</f>
        <v>0</v>
      </c>
      <c r="O8" s="17" t="str">
        <f aca="false">IF($R8="","",IF(INDEX(시장분석!$AP$2:$AP$601,$R8)="","",INDEX(시장분석!$AP$2:$AP$601,$R8)))</f>
        <v>등급미입력</v>
      </c>
      <c r="P8" s="2"/>
      <c r="Q8" s="68" t="n">
        <f aca="false">LARGE(시장분석!$AQ$2:$AQ$601,A8)</f>
        <v>2.33459777398027</v>
      </c>
      <c r="R8" s="68" t="n">
        <f aca="false">IF(Q8&lt;-900,"",MATCH(Q8,시장분석!$AQ$2:$AQ$601,0))</f>
        <v>219</v>
      </c>
    </row>
    <row r="9" customFormat="false" ht="15" hidden="false" customHeight="false" outlineLevel="0" collapsed="false">
      <c r="A9" s="2" t="n">
        <v>4</v>
      </c>
      <c r="B9" s="17" t="str">
        <f aca="false">IF($R9="","",IF(INDEX(시장분석!$A$2:$A$601,$R9)="","",INDEX(시장분석!$A$2:$A$601,$R9)))</f>
        <v>HYNMTR 4 1/4 01/08/29</v>
      </c>
      <c r="C9" s="17" t="str">
        <f aca="false">IF($R9="","",IF(INDEX(시장분석!$B$2:$B$601,$R9)="","",INDEX(시장분석!$B$2:$B$601,$R9)))</f>
        <v>HYUNDAI CAPITAL AMERICA</v>
      </c>
      <c r="D9" s="17" t="str">
        <f aca="false">IF($R9="","",IF(INDEX(시장분석!$W$2:$W$601,$R9)="","",INDEX(시장분석!$W$2:$W$601,$R9)))</f>
        <v>미국</v>
      </c>
      <c r="E9" s="17" t="str">
        <f aca="false">IF($R9="","",IF(INDEX(시장분석!$L$2:$L$601,$R9)="","",INDEX(시장분석!$L$2:$L$601,$R9)))</f>
        <v>자유 소비재</v>
      </c>
      <c r="F9" s="17" t="str">
        <f aca="false">IF($R9="","",IF(INDEX(시장분석!$M$2:$M$601,$R9)="","",INDEX(시장분석!$M$2:$M$601,$R9)))</f>
        <v>A-</v>
      </c>
      <c r="G9" s="38" t="n">
        <f aca="false">IF($R9="","",IF(INDEX(시장분석!$K$2:$K$601,$R9)="","",INDEX(시장분석!$K$2:$K$601,$R9)))</f>
        <v>2.163</v>
      </c>
      <c r="H9" s="36" t="n">
        <f aca="false">IF($R9="","",IF(INDEX(시장분석!$D$2:$D$601,$R9)="","",INDEX(시장분석!$D$2:$D$601,$R9)))</f>
        <v>5.68</v>
      </c>
      <c r="I9" s="37" t="n">
        <f aca="false">IF($R9="","",IF(INDEX(시장분석!$E$2:$E$601,$R9)="","",INDEX(시장분석!$E$2:$E$601,$R9)))</f>
        <v>68.024</v>
      </c>
      <c r="J9" s="37" t="n">
        <f aca="false">IF($R9="","",IF(INDEX(시장분석!$AI$2:$AI$601,$R9)="","",INDEX(시장분석!$AI$2:$AI$601,$R9)))</f>
        <v>57.9131344468581</v>
      </c>
      <c r="K9" s="65" t="n">
        <f aca="false">IF($R9="","",IF(INDEX(시장분석!$AJ$2:$AJ$601,$R9)="","",INDEX(시장분석!$AJ$2:$AJ$601,$R9)))</f>
        <v>10.1108655531419</v>
      </c>
      <c r="L9" s="66" t="n">
        <f aca="false">IF($R9="","",IF(INDEX(시장분석!$AK$2:$AK$601,$R9)="","",INDEX(시장분석!$AK$2:$AK$601,$R9)))</f>
        <v>2.33116623362398</v>
      </c>
      <c r="M9" s="45" t="n">
        <f aca="false">IF($R9="","",IF(INDEX(시장분석!$AM$2:$AM$601,$R9)="","",INDEX(시장분석!$AM$2:$AM$601,$R9)))</f>
        <v>10.1108655531419</v>
      </c>
      <c r="N9" s="67" t="n">
        <f aca="false">IF($R9="","",IF(INDEX(시장분석!$AO$2:$AO$601,$R9)="","",INDEX(시장분석!$AO$2:$AO$601,$R9)))</f>
        <v>0.971293</v>
      </c>
      <c r="O9" s="17" t="str">
        <f aca="false">IF($R9="","",IF(INDEX(시장분석!$AP$2:$AP$601,$R9)="","",INDEX(시장분석!$AP$2:$AP$601,$R9)))</f>
        <v/>
      </c>
      <c r="P9" s="2"/>
      <c r="Q9" s="68" t="n">
        <f aca="false">LARGE(시장분석!$AQ$2:$AQ$601,A9)</f>
        <v>2.33116630462398</v>
      </c>
      <c r="R9" s="68" t="n">
        <f aca="false">IF(Q9&lt;-900,"",MATCH(Q9,시장분석!$AQ$2:$AQ$601,0))</f>
        <v>70</v>
      </c>
    </row>
    <row r="10" customFormat="false" ht="15" hidden="false" customHeight="false" outlineLevel="0" collapsed="false">
      <c r="A10" s="2" t="n">
        <v>5</v>
      </c>
      <c r="B10" s="17" t="str">
        <f aca="false">IF($R10="","",IF(INDEX(시장분석!$A$2:$A$601,$R10)="","",INDEX(시장분석!$A$2:$A$601,$R10)))</f>
        <v>KOMRMR 4 7/8 04/13/31</v>
      </c>
      <c r="C10" s="17" t="str">
        <f aca="false">IF($R10="","",IF(INDEX(시장분석!$B$2:$B$601,$R10)="","",INDEX(시장분석!$B$2:$B$601,$R10)))</f>
        <v>KOREA MINE REHAB MINERAL</v>
      </c>
      <c r="D10" s="17" t="str">
        <f aca="false">IF($R10="","",IF(INDEX(시장분석!$W$2:$W$601,$R10)="","",INDEX(시장분석!$W$2:$W$601,$R10)))</f>
        <v>한국</v>
      </c>
      <c r="E10" s="17" t="str">
        <f aca="false">IF($R10="","",IF(INDEX(시장분석!$L$2:$L$601,$R10)="","",INDEX(시장분석!$L$2:$L$601,$R10)))</f>
        <v>정부</v>
      </c>
      <c r="F10" s="17" t="str">
        <f aca="false">IF($R10="","",IF(INDEX(시장분석!$M$2:$M$601,$R10)="","",INDEX(시장분석!$M$2:$M$601,$R10)))</f>
        <v>A+</v>
      </c>
      <c r="G10" s="38" t="n">
        <f aca="false">IF($R10="","",IF(INDEX(시장분석!$K$2:$K$601,$R10)="","",INDEX(시장분석!$K$2:$K$601,$R10)))</f>
        <v>4.009</v>
      </c>
      <c r="H10" s="36" t="n">
        <f aca="false">IF($R10="","",IF(INDEX(시장분석!$D$2:$D$601,$R10)="","",INDEX(시장분석!$D$2:$D$601,$R10)))</f>
        <v>5.651</v>
      </c>
      <c r="I10" s="37" t="n">
        <f aca="false">IF($R10="","",IF(INDEX(시장분석!$E$2:$E$601,$R10)="","",INDEX(시장분석!$E$2:$E$601,$R10)))</f>
        <v>56.385</v>
      </c>
      <c r="J10" s="37" t="n">
        <f aca="false">IF($R10="","",IF(INDEX(시장분석!$AI$2:$AI$601,$R10)="","",INDEX(시장분석!$AI$2:$AI$601,$R10)))</f>
        <v>26.0382526310218</v>
      </c>
      <c r="K10" s="65" t="n">
        <f aca="false">IF($R10="","",IF(INDEX(시장분석!$AJ$2:$AJ$601,$R10)="","",INDEX(시장분석!$AJ$2:$AJ$601,$R10)))</f>
        <v>30.3467473689782</v>
      </c>
      <c r="L10" s="66" t="n">
        <f aca="false">IF($R10="","",IF(INDEX(시장분석!$AK$2:$AK$601,$R10)="","",INDEX(시장분석!$AK$2:$AK$601,$R10)))</f>
        <v>2.21621952278963</v>
      </c>
      <c r="M10" s="45" t="n">
        <f aca="false">IF($R10="","",IF(INDEX(시장분석!$AM$2:$AM$601,$R10)="","",INDEX(시장분석!$AM$2:$AM$601,$R10)))</f>
        <v>0</v>
      </c>
      <c r="N10" s="67" t="n">
        <f aca="false">IF($R10="","",IF(INDEX(시장분석!$AO$2:$AO$601,$R10)="","",INDEX(시장분석!$AO$2:$AO$601,$R10)))</f>
        <v>0</v>
      </c>
      <c r="O10" s="17" t="str">
        <f aca="false">IF($R10="","",IF(INDEX(시장분석!$AP$2:$AP$601,$R10)="","",INDEX(시장분석!$AP$2:$AP$601,$R10)))</f>
        <v/>
      </c>
      <c r="P10" s="2"/>
      <c r="Q10" s="68" t="n">
        <f aca="false">LARGE(시장분석!$AQ$2:$AQ$601,A10)</f>
        <v>2.21621977878963</v>
      </c>
      <c r="R10" s="68" t="n">
        <f aca="false">IF(Q10&lt;-900,"",MATCH(Q10,시장분석!$AQ$2:$AQ$601,0))</f>
        <v>255</v>
      </c>
    </row>
    <row r="11" customFormat="false" ht="15" hidden="false" customHeight="false" outlineLevel="0" collapsed="false">
      <c r="A11" s="2" t="n">
        <v>6</v>
      </c>
      <c r="B11" s="17" t="str">
        <f aca="false">IF($R11="","",IF(INDEX(시장분석!$A$2:$A$601,$R11)="","",INDEX(시장분석!$A$2:$A$601,$R11)))</f>
        <v>POINTL 5 1/8 06/29/31</v>
      </c>
      <c r="C11" s="17" t="str">
        <f aca="false">IF($R11="","",IF(INDEX(시장분석!$B$2:$B$601,$R11)="","",INDEX(시장분석!$B$2:$B$601,$R11)))</f>
        <v>POSCO INTERNATIONAL CORP</v>
      </c>
      <c r="D11" s="17" t="str">
        <f aca="false">IF($R11="","",IF(INDEX(시장분석!$W$2:$W$601,$R11)="","",INDEX(시장분석!$W$2:$W$601,$R11)))</f>
        <v>한국</v>
      </c>
      <c r="E11" s="17" t="str">
        <f aca="false">IF($R11="","",IF(INDEX(시장분석!$L$2:$L$601,$R11)="","",INDEX(시장분석!$L$2:$L$601,$R11)))</f>
        <v>원자재</v>
      </c>
      <c r="F11" s="17" t="str">
        <f aca="false">IF($R11="","",IF(INDEX(시장분석!$M$2:$M$601,$R11)="","",INDEX(시장분석!$M$2:$M$601,$R11)))</f>
        <v>BBB</v>
      </c>
      <c r="G11" s="38" t="n">
        <f aca="false">IF($R11="","",IF(INDEX(시장분석!$K$2:$K$601,$R11)="","",INDEX(시장분석!$K$2:$K$601,$R11)))</f>
        <v>4.202</v>
      </c>
      <c r="H11" s="36" t="n">
        <f aca="false">IF($R11="","",IF(INDEX(시장분석!$D$2:$D$601,$R11)="","",INDEX(시장분석!$D$2:$D$601,$R11)))</f>
        <v>6.111</v>
      </c>
      <c r="I11" s="37" t="n">
        <f aca="false">IF($R11="","",IF(INDEX(시장분석!$E$2:$E$601,$R11)="","",INDEX(시장분석!$E$2:$E$601,$R11)))</f>
        <v>102.421</v>
      </c>
      <c r="J11" s="37" t="n">
        <f aca="false">IF($R11="","",IF(INDEX(시장분석!$AI$2:$AI$601,$R11)="","",INDEX(시장분석!$AI$2:$AI$601,$R11)))</f>
        <v>83.6077553977262</v>
      </c>
      <c r="K11" s="65" t="n">
        <f aca="false">IF($R11="","",IF(INDEX(시장분석!$AJ$2:$AJ$601,$R11)="","",INDEX(시장분석!$AJ$2:$AJ$601,$R11)))</f>
        <v>18.8132446022738</v>
      </c>
      <c r="L11" s="66" t="n">
        <f aca="false">IF($R11="","",IF(INDEX(시장분석!$AK$2:$AK$601,$R11)="","",INDEX(시장분석!$AK$2:$AK$601,$R11)))</f>
        <v>1.69947378783185</v>
      </c>
      <c r="M11" s="45" t="n">
        <f aca="false">IF($R11="","",IF(INDEX(시장분석!$AM$2:$AM$601,$R11)="","",INDEX(시장분석!$AM$2:$AM$601,$R11)))</f>
        <v>0</v>
      </c>
      <c r="N11" s="67" t="n">
        <f aca="false">IF($R11="","",IF(INDEX(시장분석!$AO$2:$AO$601,$R11)="","",INDEX(시장분석!$AO$2:$AO$601,$R11)))</f>
        <v>14.446515</v>
      </c>
      <c r="O11" s="17" t="str">
        <f aca="false">IF($R11="","",IF(INDEX(시장분석!$AP$2:$AP$601,$R11)="","",INDEX(시장분석!$AP$2:$AP$601,$R11)))</f>
        <v/>
      </c>
      <c r="P11" s="2"/>
      <c r="Q11" s="68" t="n">
        <f aca="false">LARGE(시장분석!$AQ$2:$AQ$601,A11)</f>
        <v>1.69947398583185</v>
      </c>
      <c r="R11" s="68" t="n">
        <f aca="false">IF(Q11&lt;-900,"",MATCH(Q11,시장분석!$AQ$2:$AQ$601,0))</f>
        <v>197</v>
      </c>
    </row>
    <row r="12" customFormat="false" ht="15" hidden="false" customHeight="false" outlineLevel="0" collapsed="false">
      <c r="A12" s="2" t="n">
        <v>7</v>
      </c>
      <c r="B12" s="17" t="str">
        <f aca="false">IF($R12="","",IF(INDEX(시장분석!$A$2:$A$601,$R12)="","",INDEX(시장분석!$A$2:$A$601,$R12)))</f>
        <v>KOROIL 4 09/29/28</v>
      </c>
      <c r="C12" s="17" t="str">
        <f aca="false">IF($R12="","",IF(INDEX(시장분석!$B$2:$B$601,$R12)="","",INDEX(시장분석!$B$2:$B$601,$R12)))</f>
        <v>KOREA NATIONAL OIL CORP</v>
      </c>
      <c r="D12" s="17" t="str">
        <f aca="false">IF($R12="","",IF(INDEX(시장분석!$W$2:$W$601,$R12)="","",INDEX(시장분석!$W$2:$W$601,$R12)))</f>
        <v>한국</v>
      </c>
      <c r="E12" s="17" t="str">
        <f aca="false">IF($R12="","",IF(INDEX(시장분석!$L$2:$L$601,$R12)="","",INDEX(시장분석!$L$2:$L$601,$R12)))</f>
        <v>정부</v>
      </c>
      <c r="F12" s="17" t="str">
        <f aca="false">IF($R12="","",IF(INDEX(시장분석!$M$2:$M$601,$R12)="","",INDEX(시장분석!$M$2:$M$601,$R12)))</f>
        <v>AA</v>
      </c>
      <c r="G12" s="38" t="n">
        <f aca="false">IF($R12="","",IF(INDEX(시장분석!$K$2:$K$601,$R12)="","",INDEX(시장분석!$K$2:$K$601,$R12)))</f>
        <v>1.933</v>
      </c>
      <c r="H12" s="36" t="n">
        <f aca="false">IF($R12="","",IF(INDEX(시장분석!$D$2:$D$601,$R12)="","",INDEX(시장분석!$D$2:$D$601,$R12)))</f>
        <v>5.231</v>
      </c>
      <c r="I12" s="37" t="n">
        <f aca="false">IF($R12="","",IF(INDEX(시장분석!$E$2:$E$601,$R12)="","",INDEX(시장분석!$E$2:$E$601,$R12)))</f>
        <v>34.22</v>
      </c>
      <c r="J12" s="37" t="n">
        <f aca="false">IF($R12="","",IF(INDEX(시장분석!$AI$2:$AI$601,$R12)="","",INDEX(시장분석!$AI$2:$AI$601,$R12)))</f>
        <v>11.5455349640453</v>
      </c>
      <c r="K12" s="65" t="n">
        <f aca="false">IF($R12="","",IF(INDEX(시장분석!$AJ$2:$AJ$601,$R12)="","",INDEX(시장분석!$AJ$2:$AJ$601,$R12)))</f>
        <v>22.6744650359547</v>
      </c>
      <c r="L12" s="66" t="n">
        <f aca="false">IF($R12="","",IF(INDEX(시장분석!$AK$2:$AK$601,$R12)="","",INDEX(시장분석!$AK$2:$AK$601,$R12)))</f>
        <v>1.65591361309658</v>
      </c>
      <c r="M12" s="45" t="n">
        <f aca="false">IF($R12="","",IF(INDEX(시장분석!$AM$2:$AM$601,$R12)="","",INDEX(시장분석!$AM$2:$AM$601,$R12)))</f>
        <v>6.39731213370452</v>
      </c>
      <c r="N12" s="67" t="n">
        <f aca="false">IF($R12="","",IF(INDEX(시장분석!$AO$2:$AO$601,$R12)="","",INDEX(시장분석!$AO$2:$AO$601,$R12)))</f>
        <v>0</v>
      </c>
      <c r="O12" s="17" t="str">
        <f aca="false">IF($R12="","",IF(INDEX(시장분석!$AP$2:$AP$601,$R12)="","",INDEX(시장분석!$AP$2:$AP$601,$R12)))</f>
        <v/>
      </c>
      <c r="P12" s="2"/>
      <c r="Q12" s="68" t="n">
        <f aca="false">LARGE(시장분석!$AQ$2:$AQ$601,A12)</f>
        <v>1.65591378409658</v>
      </c>
      <c r="R12" s="68" t="n">
        <f aca="false">IF(Q12&lt;-900,"",MATCH(Q12,시장분석!$AQ$2:$AQ$601,0))</f>
        <v>170</v>
      </c>
    </row>
    <row r="13" customFormat="false" ht="15" hidden="false" customHeight="false" outlineLevel="0" collapsed="false">
      <c r="A13" s="2" t="n">
        <v>8</v>
      </c>
      <c r="B13" s="17" t="str">
        <f aca="false">IF($R13="","",IF(INDEX(시장분석!$A$2:$A$601,$R13)="","",INDEX(시장분석!$A$2:$A$601,$R13)))</f>
        <v>KOMRMR 5 1/8 05/08/29</v>
      </c>
      <c r="C13" s="17" t="str">
        <f aca="false">IF($R13="","",IF(INDEX(시장분석!$B$2:$B$601,$R13)="","",INDEX(시장분석!$B$2:$B$601,$R13)))</f>
        <v>KOREAREHABNRESOURCE</v>
      </c>
      <c r="D13" s="17" t="str">
        <f aca="false">IF($R13="","",IF(INDEX(시장분석!$W$2:$W$601,$R13)="","",INDEX(시장분석!$W$2:$W$601,$R13)))</f>
        <v>한국</v>
      </c>
      <c r="E13" s="17" t="str">
        <f aca="false">IF($R13="","",IF(INDEX(시장분석!$L$2:$L$601,$R13)="","",INDEX(시장분석!$L$2:$L$601,$R13)))</f>
        <v>정부</v>
      </c>
      <c r="F13" s="17" t="str">
        <f aca="false">IF($R13="","",IF(INDEX(시장분석!$M$2:$M$601,$R13)="","",INDEX(시장분석!$M$2:$M$601,$R13)))</f>
        <v>A+</v>
      </c>
      <c r="G13" s="38" t="n">
        <f aca="false">IF($R13="","",IF(INDEX(시장분석!$K$2:$K$601,$R13)="","",INDEX(시장분석!$K$2:$K$601,$R13)))</f>
        <v>2.41</v>
      </c>
      <c r="H13" s="36" t="n">
        <f aca="false">IF($R13="","",IF(INDEX(시장분석!$D$2:$D$601,$R13)="","",INDEX(시장분석!$D$2:$D$601,$R13)))</f>
        <v>5.38</v>
      </c>
      <c r="I13" s="37" t="n">
        <f aca="false">IF($R13="","",IF(INDEX(시장분석!$E$2:$E$601,$R13)="","",INDEX(시장분석!$E$2:$E$601,$R13)))</f>
        <v>37.939</v>
      </c>
      <c r="J13" s="37" t="n">
        <f aca="false">IF($R13="","",IF(INDEX(시장분석!$AI$2:$AI$601,$R13)="","",INDEX(시장분석!$AI$2:$AI$601,$R13)))</f>
        <v>15.9273824412679</v>
      </c>
      <c r="K13" s="65" t="n">
        <f aca="false">IF($R13="","",IF(INDEX(시장분석!$AJ$2:$AJ$601,$R13)="","",INDEX(시장분석!$AJ$2:$AJ$601,$R13)))</f>
        <v>22.0116175587321</v>
      </c>
      <c r="L13" s="66" t="n">
        <f aca="false">IF($R13="","",IF(INDEX(시장분석!$AK$2:$AK$601,$R13)="","",INDEX(시장분석!$AK$2:$AK$601,$R13)))</f>
        <v>1.60750593691991</v>
      </c>
      <c r="M13" s="45" t="n">
        <f aca="false">IF($R13="","",IF(INDEX(시장분석!$AM$2:$AM$601,$R13)="","",INDEX(시장분석!$AM$2:$AM$601,$R13)))</f>
        <v>6.94510663727794</v>
      </c>
      <c r="N13" s="67" t="n">
        <f aca="false">IF($R13="","",IF(INDEX(시장분석!$AO$2:$AO$601,$R13)="","",INDEX(시장분석!$AO$2:$AO$601,$R13)))</f>
        <v>0</v>
      </c>
      <c r="O13" s="17" t="str">
        <f aca="false">IF($R13="","",IF(INDEX(시장분석!$AP$2:$AP$601,$R13)="","",INDEX(시장분석!$AP$2:$AP$601,$R13)))</f>
        <v/>
      </c>
      <c r="P13" s="2"/>
      <c r="Q13" s="68" t="n">
        <f aca="false">LARGE(시장분석!$AQ$2:$AQ$601,A13)</f>
        <v>1.60750616491991</v>
      </c>
      <c r="R13" s="68" t="n">
        <f aca="false">IF(Q13&lt;-900,"",MATCH(Q13,시장분석!$AQ$2:$AQ$601,0))</f>
        <v>227</v>
      </c>
    </row>
    <row r="14" customFormat="false" ht="15" hidden="false" customHeight="false" outlineLevel="0" collapsed="false">
      <c r="A14" s="2" t="n">
        <v>9</v>
      </c>
      <c r="B14" s="17" t="str">
        <f aca="false">IF($R14="","",IF(INDEX(시장분석!$A$2:$A$601,$R14)="","",INDEX(시장분석!$A$2:$A$601,$R14)))</f>
        <v>DAESEC 5 1/4 07/06/31</v>
      </c>
      <c r="C14" s="17" t="str">
        <f aca="false">IF($R14="","",IF(INDEX(시장분석!$B$2:$B$601,$R14)="","",INDEX(시장분석!$B$2:$B$601,$R14)))</f>
        <v>MIRAE ASSET SECURITIES</v>
      </c>
      <c r="D14" s="17" t="str">
        <f aca="false">IF($R14="","",IF(INDEX(시장분석!$W$2:$W$601,$R14)="","",INDEX(시장분석!$W$2:$W$601,$R14)))</f>
        <v>한국</v>
      </c>
      <c r="E14" s="17" t="str">
        <f aca="false">IF($R14="","",IF(INDEX(시장분석!$L$2:$L$601,$R14)="","",INDEX(시장분석!$L$2:$L$601,$R14)))</f>
        <v>금융기관</v>
      </c>
      <c r="F14" s="17" t="str">
        <f aca="false">IF($R14="","",IF(INDEX(시장분석!$M$2:$M$601,$R14)="","",INDEX(시장분석!$M$2:$M$601,$R14)))</f>
        <v/>
      </c>
      <c r="G14" s="38" t="n">
        <f aca="false">IF($R14="","",IF(INDEX(시장분석!$K$2:$K$601,$R14)="","",INDEX(시장분석!$K$2:$K$601,$R14)))</f>
        <v>4.203</v>
      </c>
      <c r="H14" s="36" t="n">
        <f aca="false">IF($R14="","",IF(INDEX(시장분석!$D$2:$D$601,$R14)="","",INDEX(시장분석!$D$2:$D$601,$R14)))</f>
        <v>6.11</v>
      </c>
      <c r="I14" s="37" t="n">
        <f aca="false">IF($R14="","",IF(INDEX(시장분석!$E$2:$E$601,$R14)="","",INDEX(시장분석!$E$2:$E$601,$R14)))</f>
        <v>102.298</v>
      </c>
      <c r="J14" s="37" t="n">
        <f aca="false">IF($R14="","",IF(INDEX(시장분석!$AI$2:$AI$601,$R14)="","",INDEX(시장분석!$AI$2:$AI$601,$R14)))</f>
        <v>70.1013283542405</v>
      </c>
      <c r="K14" s="65" t="n">
        <f aca="false">IF($R14="","",IF(INDEX(시장분석!$AJ$2:$AJ$601,$R14)="","",INDEX(시장분석!$AJ$2:$AJ$601,$R14)))</f>
        <v>32.1966716457596</v>
      </c>
      <c r="L14" s="66" t="n">
        <f aca="false">IF($R14="","",IF(INDEX(시장분석!$AK$2:$AK$601,$R14)="","",INDEX(시장분석!$AK$2:$AK$601,$R14)))</f>
        <v>1.57259550005133</v>
      </c>
      <c r="M14" s="45" t="n">
        <f aca="false">IF($R14="","",IF(INDEX(시장분석!$AM$2:$AM$601,$R14)="","",INDEX(시장분석!$AM$2:$AM$601,$R14)))</f>
        <v>10.5489779608669</v>
      </c>
      <c r="N14" s="67" t="n">
        <f aca="false">IF($R14="","",IF(INDEX(시장분석!$AO$2:$AO$601,$R14)="","",INDEX(시장분석!$AO$2:$AO$601,$R14)))</f>
        <v>21.7531125</v>
      </c>
      <c r="O14" s="17" t="str">
        <f aca="false">IF($R14="","",IF(INDEX(시장분석!$AP$2:$AP$601,$R14)="","",INDEX(시장분석!$AP$2:$AP$601,$R14)))</f>
        <v>등급미입력</v>
      </c>
      <c r="P14" s="2"/>
      <c r="Q14" s="68" t="n">
        <f aca="false">LARGE(시장분석!$AQ$2:$AQ$601,A14)</f>
        <v>1.57259576005133</v>
      </c>
      <c r="R14" s="68" t="n">
        <f aca="false">IF(Q14&lt;-900,"",MATCH(Q14,시장분석!$AQ$2:$AQ$601,0))</f>
        <v>259</v>
      </c>
    </row>
    <row r="15" customFormat="false" ht="15" hidden="false" customHeight="false" outlineLevel="0" collapsed="false">
      <c r="A15" s="2" t="n">
        <v>10</v>
      </c>
      <c r="B15" s="17" t="str">
        <f aca="false">IF($R15="","",IF(INDEX(시장분석!$A$2:$A$601,$R15)="","",INDEX(시장분석!$A$2:$A$601,$R15)))</f>
        <v>DAESEC 4 3/8 03/11/31</v>
      </c>
      <c r="C15" s="17" t="str">
        <f aca="false">IF($R15="","",IF(INDEX(시장분석!$B$2:$B$601,$R15)="","",INDEX(시장분석!$B$2:$B$601,$R15)))</f>
        <v>MIRAE ASSET SECURITIES</v>
      </c>
      <c r="D15" s="17" t="str">
        <f aca="false">IF($R15="","",IF(INDEX(시장분석!$W$2:$W$601,$R15)="","",INDEX(시장분석!$W$2:$W$601,$R15)))</f>
        <v>한국</v>
      </c>
      <c r="E15" s="17" t="str">
        <f aca="false">IF($R15="","",IF(INDEX(시장분석!$L$2:$L$601,$R15)="","",INDEX(시장분석!$L$2:$L$601,$R15)))</f>
        <v>금융기관</v>
      </c>
      <c r="F15" s="17" t="str">
        <f aca="false">IF($R15="","",IF(INDEX(시장분석!$M$2:$M$601,$R15)="","",INDEX(시장분석!$M$2:$M$601,$R15)))</f>
        <v/>
      </c>
      <c r="G15" s="38" t="n">
        <f aca="false">IF($R15="","",IF(INDEX(시장분석!$K$2:$K$601,$R15)="","",INDEX(시장분석!$K$2:$K$601,$R15)))</f>
        <v>4.051</v>
      </c>
      <c r="H15" s="36" t="n">
        <f aca="false">IF($R15="","",IF(INDEX(시장분석!$D$2:$D$601,$R15)="","",INDEX(시장분석!$D$2:$D$601,$R15)))</f>
        <v>6.087</v>
      </c>
      <c r="I15" s="37" t="n">
        <f aca="false">IF($R15="","",IF(INDEX(시장분석!$E$2:$E$601,$R15)="","",INDEX(시장분석!$E$2:$E$601,$R15)))</f>
        <v>100.03</v>
      </c>
      <c r="J15" s="37" t="n">
        <f aca="false">IF($R15="","",IF(INDEX(시장분석!$AI$2:$AI$601,$R15)="","",INDEX(시장분석!$AI$2:$AI$601,$R15)))</f>
        <v>69.5886500809554</v>
      </c>
      <c r="K15" s="65" t="n">
        <f aca="false">IF($R15="","",IF(INDEX(시장분석!$AJ$2:$AJ$601,$R15)="","",INDEX(시장분석!$AJ$2:$AJ$601,$R15)))</f>
        <v>30.4413499190446</v>
      </c>
      <c r="L15" s="66" t="n">
        <f aca="false">IF($R15="","",IF(INDEX(시장분석!$AK$2:$AK$601,$R15)="","",INDEX(시장분석!$AK$2:$AK$601,$R15)))</f>
        <v>1.48685958675739</v>
      </c>
      <c r="M15" s="45" t="n">
        <f aca="false">IF($R15="","",IF(INDEX(시장분석!$AM$2:$AM$601,$R15)="","",INDEX(시장분석!$AM$2:$AM$601,$R15)))</f>
        <v>8.79365623415194</v>
      </c>
      <c r="N15" s="67" t="n">
        <f aca="false">IF($R15="","",IF(INDEX(시장분석!$AO$2:$AO$601,$R15)="","",INDEX(시장분석!$AO$2:$AO$601,$R15)))</f>
        <v>2.808048</v>
      </c>
      <c r="O15" s="17" t="str">
        <f aca="false">IF($R15="","",IF(INDEX(시장분석!$AP$2:$AP$601,$R15)="","",INDEX(시장분석!$AP$2:$AP$601,$R15)))</f>
        <v>등급미입력</v>
      </c>
      <c r="P15" s="2"/>
      <c r="Q15" s="68" t="n">
        <f aca="false">LARGE(시장분석!$AQ$2:$AQ$601,A15)</f>
        <v>1.48685984075739</v>
      </c>
      <c r="R15" s="68" t="n">
        <f aca="false">IF(Q15&lt;-900,"",MATCH(Q15,시장분석!$AQ$2:$AQ$601,0))</f>
        <v>253</v>
      </c>
    </row>
    <row r="16" customFormat="false" ht="15" hidden="false" customHeight="false" outlineLevel="0" collapsed="false">
      <c r="A16" s="2" t="n">
        <v>11</v>
      </c>
      <c r="B16" s="17" t="str">
        <f aca="false">IF($R16="","",IF(INDEX(시장분석!$A$2:$A$601,$R16)="","",INDEX(시장분석!$A$2:$A$601,$R16)))</f>
        <v>BNP 5.11 06/12/30</v>
      </c>
      <c r="C16" s="17" t="str">
        <f aca="false">IF($R16="","",IF(INDEX(시장분석!$B$2:$B$601,$R16)="","",INDEX(시장분석!$B$2:$B$601,$R16)))</f>
        <v>BNP PARIBAS</v>
      </c>
      <c r="D16" s="17" t="str">
        <f aca="false">IF($R16="","",IF(INDEX(시장분석!$W$2:$W$601,$R16)="","",INDEX(시장분석!$W$2:$W$601,$R16)))</f>
        <v>프랑스</v>
      </c>
      <c r="E16" s="17" t="str">
        <f aca="false">IF($R16="","",IF(INDEX(시장분석!$L$2:$L$601,$R16)="","",INDEX(시장분석!$L$2:$L$601,$R16)))</f>
        <v>금융기관</v>
      </c>
      <c r="F16" s="17" t="str">
        <f aca="false">IF($R16="","",IF(INDEX(시장분석!$M$2:$M$601,$R16)="","",INDEX(시장분석!$M$2:$M$601,$R16)))</f>
        <v>A-</v>
      </c>
      <c r="G16" s="38" t="n">
        <f aca="false">IF($R16="","",IF(INDEX(시장분석!$K$2:$K$601,$R16)="","",INDEX(시장분석!$K$2:$K$601,$R16)))</f>
        <v>3.398</v>
      </c>
      <c r="H16" s="36" t="n">
        <f aca="false">IF($R16="","",IF(INDEX(시장분석!$D$2:$D$601,$R16)="","",INDEX(시장분석!$D$2:$D$601,$R16)))</f>
        <v>6.148</v>
      </c>
      <c r="I16" s="37" t="n">
        <f aca="false">IF($R16="","",IF(INDEX(시장분석!$E$2:$E$601,$R16)="","",INDEX(시장분석!$E$2:$E$601,$R16)))</f>
        <v>96.954</v>
      </c>
      <c r="J16" s="37" t="n">
        <f aca="false">IF($R16="","",IF(INDEX(시장분석!$AI$2:$AI$601,$R16)="","",INDEX(시장분석!$AI$2:$AI$601,$R16)))</f>
        <v>80.7746528426673</v>
      </c>
      <c r="K16" s="65" t="n">
        <f aca="false">IF($R16="","",IF(INDEX(시장분석!$AJ$2:$AJ$601,$R16)="","",INDEX(시장분석!$AJ$2:$AJ$601,$R16)))</f>
        <v>16.1793471573327</v>
      </c>
      <c r="L16" s="66" t="n">
        <f aca="false">IF($R16="","",IF(INDEX(시장분석!$AK$2:$AK$601,$R16)="","",INDEX(시장분석!$AK$2:$AK$601,$R16)))</f>
        <v>1.47241838996195</v>
      </c>
      <c r="M16" s="45" t="n">
        <f aca="false">IF($R16="","",IF(INDEX(시장분석!$AM$2:$AM$601,$R16)="","",INDEX(시장분석!$AM$2:$AM$601,$R16)))</f>
        <v>3.19831256084241</v>
      </c>
      <c r="N16" s="67" t="n">
        <f aca="false">IF($R16="","",IF(INDEX(시장분석!$AO$2:$AO$601,$R16)="","",INDEX(시장분석!$AO$2:$AO$601,$R16)))</f>
        <v>19.50166</v>
      </c>
      <c r="O16" s="17" t="str">
        <f aca="false">IF($R16="","",IF(INDEX(시장분석!$AP$2:$AP$601,$R16)="","",INDEX(시장분석!$AP$2:$AP$601,$R16)))</f>
        <v/>
      </c>
      <c r="P16" s="2"/>
      <c r="Q16" s="68" t="n">
        <f aca="false">LARGE(시장분석!$AQ$2:$AQ$601,A16)</f>
        <v>1.47241839196195</v>
      </c>
      <c r="R16" s="68" t="n">
        <f aca="false">IF(Q16&lt;-900,"",MATCH(Q16,시장분석!$AQ$2:$AQ$601,0))</f>
        <v>1</v>
      </c>
    </row>
    <row r="17" customFormat="false" ht="15" hidden="false" customHeight="false" outlineLevel="0" collapsed="false">
      <c r="A17" s="2" t="n">
        <v>12</v>
      </c>
      <c r="B17" s="17" t="str">
        <f aca="false">IF($R17="","",IF(INDEX(시장분석!$A$2:$A$601,$R17)="","",INDEX(시장분석!$A$2:$A$601,$R17)))</f>
        <v>KOROIL 4 5/8 03/30/31</v>
      </c>
      <c r="C17" s="17" t="str">
        <f aca="false">IF($R17="","",IF(INDEX(시장분석!$B$2:$B$601,$R17)="","",INDEX(시장분석!$B$2:$B$601,$R17)))</f>
        <v>KOREA NATIONAL OIL CORP</v>
      </c>
      <c r="D17" s="17" t="str">
        <f aca="false">IF($R17="","",IF(INDEX(시장분석!$W$2:$W$601,$R17)="","",INDEX(시장분석!$W$2:$W$601,$R17)))</f>
        <v>한국</v>
      </c>
      <c r="E17" s="17" t="str">
        <f aca="false">IF($R17="","",IF(INDEX(시장분석!$L$2:$L$601,$R17)="","",INDEX(시장분석!$L$2:$L$601,$R17)))</f>
        <v>정부</v>
      </c>
      <c r="F17" s="17" t="str">
        <f aca="false">IF($R17="","",IF(INDEX(시장분석!$M$2:$M$601,$R17)="","",INDEX(시장분석!$M$2:$M$601,$R17)))</f>
        <v>AA</v>
      </c>
      <c r="G17" s="38" t="n">
        <f aca="false">IF($R17="","",IF(INDEX(시장분석!$K$2:$K$601,$R17)="","",INDEX(시장분석!$K$2:$K$601,$R17)))</f>
        <v>4.1</v>
      </c>
      <c r="H17" s="36" t="n">
        <f aca="false">IF($R17="","",IF(INDEX(시장분석!$D$2:$D$601,$R17)="","",INDEX(시장분석!$D$2:$D$601,$R17)))</f>
        <v>5.552</v>
      </c>
      <c r="I17" s="37" t="n">
        <f aca="false">IF($R17="","",IF(INDEX(시장분석!$E$2:$E$601,$R17)="","",INDEX(시장분석!$E$2:$E$601,$R17)))</f>
        <v>46.541</v>
      </c>
      <c r="J17" s="37" t="n">
        <f aca="false">IF($R17="","",IF(INDEX(시장분석!$AI$2:$AI$601,$R17)="","",INDEX(시장분석!$AI$2:$AI$601,$R17)))</f>
        <v>26.4841814384161</v>
      </c>
      <c r="K17" s="65" t="n">
        <f aca="false">IF($R17="","",IF(INDEX(시장분석!$AJ$2:$AJ$601,$R17)="","",INDEX(시장분석!$AJ$2:$AJ$601,$R17)))</f>
        <v>20.0568185615839</v>
      </c>
      <c r="L17" s="66" t="n">
        <f aca="false">IF($R17="","",IF(INDEX(시장분석!$AK$2:$AK$601,$R17)="","",INDEX(시장분석!$AK$2:$AK$601,$R17)))</f>
        <v>1.46474718759055</v>
      </c>
      <c r="M17" s="45" t="n">
        <f aca="false">IF($R17="","",IF(INDEX(시장분석!$AM$2:$AM$601,$R17)="","",INDEX(시장분석!$AM$2:$AM$601,$R17)))</f>
        <v>3.7796656593337</v>
      </c>
      <c r="N17" s="67" t="n">
        <f aca="false">IF($R17="","",IF(INDEX(시장분석!$AO$2:$AO$601,$R17)="","",INDEX(시장분석!$AO$2:$AO$601,$R17)))</f>
        <v>0</v>
      </c>
      <c r="O17" s="17" t="str">
        <f aca="false">IF($R17="","",IF(INDEX(시장분석!$AP$2:$AP$601,$R17)="","",INDEX(시장분석!$AP$2:$AP$601,$R17)))</f>
        <v/>
      </c>
      <c r="P17" s="2"/>
      <c r="Q17" s="68" t="n">
        <f aca="false">LARGE(시장분석!$AQ$2:$AQ$601,A17)</f>
        <v>1.46474736159055</v>
      </c>
      <c r="R17" s="68" t="n">
        <f aca="false">IF(Q17&lt;-900,"",MATCH(Q17,시장분석!$AQ$2:$AQ$601,0))</f>
        <v>173</v>
      </c>
    </row>
    <row r="18" customFormat="false" ht="15" hidden="false" customHeight="false" outlineLevel="0" collapsed="false">
      <c r="A18" s="2" t="n">
        <v>13</v>
      </c>
      <c r="B18" s="17" t="str">
        <f aca="false">IF($R18="","",IF(INDEX(시장분석!$A$2:$A$601,$R18)="","",INDEX(시장분석!$A$2:$A$601,$R18)))</f>
        <v>HYUELE 2 3/8 01/19/31</v>
      </c>
      <c r="C18" s="17" t="str">
        <f aca="false">IF($R18="","",IF(INDEX(시장분석!$B$2:$B$601,$R18)="","",INDEX(시장분석!$B$2:$B$601,$R18)))</f>
        <v>SK HYNIX INC</v>
      </c>
      <c r="D18" s="17" t="str">
        <f aca="false">IF($R18="","",IF(INDEX(시장분석!$W$2:$W$601,$R18)="","",INDEX(시장분석!$W$2:$W$601,$R18)))</f>
        <v>한국</v>
      </c>
      <c r="E18" s="17" t="str">
        <f aca="false">IF($R18="","",IF(INDEX(시장분석!$L$2:$L$601,$R18)="","",INDEX(시장분석!$L$2:$L$601,$R18)))</f>
        <v>기술</v>
      </c>
      <c r="F18" s="17" t="str">
        <f aca="false">IF($R18="","",IF(INDEX(시장분석!$M$2:$M$601,$R18)="","",INDEX(시장분석!$M$2:$M$601,$R18)))</f>
        <v>A-</v>
      </c>
      <c r="G18" s="38" t="n">
        <f aca="false">IF($R18="","",IF(INDEX(시장분석!$K$2:$K$601,$R18)="","",INDEX(시장분석!$K$2:$K$601,$R18)))</f>
        <v>4.073</v>
      </c>
      <c r="H18" s="36" t="n">
        <f aca="false">IF($R18="","",IF(INDEX(시장분석!$D$2:$D$601,$R18)="","",INDEX(시장분석!$D$2:$D$601,$R18)))</f>
        <v>5.735</v>
      </c>
      <c r="I18" s="37" t="n">
        <f aca="false">IF($R18="","",IF(INDEX(시장분석!$E$2:$E$601,$R18)="","",INDEX(시장분석!$E$2:$E$601,$R18)))</f>
        <v>64.862</v>
      </c>
      <c r="J18" s="37" t="n">
        <f aca="false">IF($R18="","",IF(INDEX(시장분석!$AI$2:$AI$601,$R18)="","",INDEX(시장분석!$AI$2:$AI$601,$R18)))</f>
        <v>60.9650150211313</v>
      </c>
      <c r="K18" s="65" t="n">
        <f aca="false">IF($R18="","",IF(INDEX(시장분석!$AJ$2:$AJ$601,$R18)="","",INDEX(시장분석!$AJ$2:$AJ$601,$R18)))</f>
        <v>3.89698497886872</v>
      </c>
      <c r="L18" s="66" t="n">
        <f aca="false">IF($R18="","",IF(INDEX(시장분석!$AK$2:$AK$601,$R18)="","",INDEX(시장분석!$AK$2:$AK$601,$R18)))</f>
        <v>1.44868167174335</v>
      </c>
      <c r="M18" s="45" t="n">
        <f aca="false">IF($R18="","",IF(INDEX(시장분석!$AM$2:$AM$601,$R18)="","",INDEX(시장분석!$AM$2:$AM$601,$R18)))</f>
        <v>3.81103509598988</v>
      </c>
      <c r="N18" s="67" t="n">
        <f aca="false">IF($R18="","",IF(INDEX(시장분석!$AO$2:$AO$601,$R18)="","",INDEX(시장분석!$AO$2:$AO$601,$R18)))</f>
        <v>29.768054</v>
      </c>
      <c r="O18" s="17" t="str">
        <f aca="false">IF($R18="","",IF(INDEX(시장분석!$AP$2:$AP$601,$R18)="","",INDEX(시장분석!$AP$2:$AP$601,$R18)))</f>
        <v/>
      </c>
      <c r="P18" s="2"/>
      <c r="Q18" s="68" t="n">
        <f aca="false">LARGE(시장분석!$AQ$2:$AQ$601,A18)</f>
        <v>1.44868187174335</v>
      </c>
      <c r="R18" s="68" t="n">
        <f aca="false">IF(Q18&lt;-900,"",MATCH(Q18,시장분석!$AQ$2:$AQ$601,0))</f>
        <v>199</v>
      </c>
    </row>
    <row r="19" customFormat="false" ht="15" hidden="false" customHeight="false" outlineLevel="0" collapsed="false">
      <c r="A19" s="2" t="n">
        <v>14</v>
      </c>
      <c r="B19" s="17" t="str">
        <f aca="false">IF($R19="","",IF(INDEX(시장분석!$A$2:$A$601,$R19)="","",INDEX(시장분석!$A$2:$A$601,$R19)))</f>
        <v>KORELE 4 3/4 07/21/31</v>
      </c>
      <c r="C19" s="17" t="str">
        <f aca="false">IF($R19="","",IF(INDEX(시장분석!$B$2:$B$601,$R19)="","",INDEX(시장분석!$B$2:$B$601,$R19)))</f>
        <v>KOREA ELECTRIC POWER CO</v>
      </c>
      <c r="D19" s="17" t="str">
        <f aca="false">IF($R19="","",IF(INDEX(시장분석!$W$2:$W$601,$R19)="","",INDEX(시장분석!$W$2:$W$601,$R19)))</f>
        <v>한국</v>
      </c>
      <c r="E19" s="17" t="str">
        <f aca="false">IF($R19="","",IF(INDEX(시장분석!$L$2:$L$601,$R19)="","",INDEX(시장분석!$L$2:$L$601,$R19)))</f>
        <v>정부</v>
      </c>
      <c r="F19" s="17" t="str">
        <f aca="false">IF($R19="","",IF(INDEX(시장분석!$M$2:$M$601,$R19)="","",INDEX(시장분석!$M$2:$M$601,$R19)))</f>
        <v>AA</v>
      </c>
      <c r="G19" s="38" t="n">
        <f aca="false">IF($R19="","",IF(INDEX(시장분석!$K$2:$K$601,$R19)="","",INDEX(시장분석!$K$2:$K$601,$R19)))</f>
        <v>4.301</v>
      </c>
      <c r="H19" s="36" t="n">
        <f aca="false">IF($R19="","",IF(INDEX(시장분석!$D$2:$D$601,$R19)="","",INDEX(시장분석!$D$2:$D$601,$R19)))</f>
        <v>5.557</v>
      </c>
      <c r="I19" s="37" t="n">
        <f aca="false">IF($R19="","",IF(INDEX(시장분석!$E$2:$E$601,$R19)="","",INDEX(시장분석!$E$2:$E$601,$R19)))</f>
        <v>47.011</v>
      </c>
      <c r="J19" s="37" t="n">
        <f aca="false">IF($R19="","",IF(INDEX(시장분석!$AI$2:$AI$601,$R19)="","",INDEX(시장분석!$AI$2:$AI$601,$R19)))</f>
        <v>27.4350514866264</v>
      </c>
      <c r="K19" s="65" t="n">
        <f aca="false">IF($R19="","",IF(INDEX(시장분석!$AJ$2:$AJ$601,$R19)="","",INDEX(시장분석!$AJ$2:$AJ$601,$R19)))</f>
        <v>19.5759485133736</v>
      </c>
      <c r="L19" s="66" t="n">
        <f aca="false">IF($R19="","",IF(INDEX(시장분석!$AK$2:$AK$601,$R19)="","",INDEX(시장분석!$AK$2:$AK$601,$R19)))</f>
        <v>1.42962930244092</v>
      </c>
      <c r="M19" s="45" t="n">
        <f aca="false">IF($R19="","",IF(INDEX(시장분석!$AM$2:$AM$601,$R19)="","",INDEX(시장분석!$AM$2:$AM$601,$R19)))</f>
        <v>6.50541508564547</v>
      </c>
      <c r="N19" s="67" t="n">
        <f aca="false">IF($R19="","",IF(INDEX(시장분석!$AO$2:$AO$601,$R19)="","",INDEX(시장분석!$AO$2:$AO$601,$R19)))</f>
        <v>0</v>
      </c>
      <c r="O19" s="17" t="str">
        <f aca="false">IF($R19="","",IF(INDEX(시장분석!$AP$2:$AP$601,$R19)="","",INDEX(시장분석!$AP$2:$AP$601,$R19)))</f>
        <v/>
      </c>
      <c r="P19" s="2"/>
      <c r="Q19" s="68" t="n">
        <f aca="false">LARGE(시장분석!$AQ$2:$AQ$601,A19)</f>
        <v>1.42962947144092</v>
      </c>
      <c r="R19" s="68" t="n">
        <f aca="false">IF(Q19&lt;-900,"",MATCH(Q19,시장분석!$AQ$2:$AQ$601,0))</f>
        <v>168</v>
      </c>
    </row>
    <row r="20" customFormat="false" ht="15" hidden="false" customHeight="false" outlineLevel="0" collapsed="false">
      <c r="A20" s="2" t="n">
        <v>15</v>
      </c>
      <c r="B20" s="17" t="str">
        <f aca="false">IF($R20="","",IF(INDEX(시장분석!$A$2:$A$601,$R20)="","",INDEX(시장분석!$A$2:$A$601,$R20)))</f>
        <v>BNP 5.283 11/19/30</v>
      </c>
      <c r="C20" s="17" t="str">
        <f aca="false">IF($R20="","",IF(INDEX(시장분석!$B$2:$B$601,$R20)="","",INDEX(시장분석!$B$2:$B$601,$R20)))</f>
        <v>BNP PARIBAS</v>
      </c>
      <c r="D20" s="17" t="str">
        <f aca="false">IF($R20="","",IF(INDEX(시장분석!$W$2:$W$601,$R20)="","",INDEX(시장분석!$W$2:$W$601,$R20)))</f>
        <v>프랑스</v>
      </c>
      <c r="E20" s="17" t="str">
        <f aca="false">IF($R20="","",IF(INDEX(시장분석!$L$2:$L$601,$R20)="","",INDEX(시장분석!$L$2:$L$601,$R20)))</f>
        <v>금융기관</v>
      </c>
      <c r="F20" s="17" t="str">
        <f aca="false">IF($R20="","",IF(INDEX(시장분석!$M$2:$M$601,$R20)="","",INDEX(시장분석!$M$2:$M$601,$R20)))</f>
        <v>A-</v>
      </c>
      <c r="G20" s="38" t="n">
        <f aca="false">IF($R20="","",IF(INDEX(시장분석!$K$2:$K$601,$R20)="","",INDEX(시장분석!$K$2:$K$601,$R20)))</f>
        <v>2.869</v>
      </c>
      <c r="H20" s="36" t="n">
        <f aca="false">IF($R20="","",IF(INDEX(시장분석!$D$2:$D$601,$R20)="","",INDEX(시장분석!$D$2:$D$601,$R20)))</f>
        <v>5.75</v>
      </c>
      <c r="I20" s="37" t="n">
        <f aca="false">IF($R20="","",IF(INDEX(시장분석!$E$2:$E$601,$R20)="","",INDEX(시장분석!$E$2:$E$601,$R20)))</f>
        <v>91.092</v>
      </c>
      <c r="J20" s="37" t="n">
        <f aca="false">IF($R20="","",IF(INDEX(시장분석!$AI$2:$AI$601,$R20)="","",INDEX(시장분석!$AI$2:$AI$601,$R20)))</f>
        <v>75.5993148525336</v>
      </c>
      <c r="K20" s="65" t="n">
        <f aca="false">IF($R20="","",IF(INDEX(시장분석!$AJ$2:$AJ$601,$R20)="","",INDEX(시장분석!$AJ$2:$AJ$601,$R20)))</f>
        <v>15.4926851474664</v>
      </c>
      <c r="L20" s="66" t="n">
        <f aca="false">IF($R20="","",IF(INDEX(시장분석!$AK$2:$AK$601,$R20)="","",INDEX(시장분석!$AK$2:$AK$601,$R20)))</f>
        <v>1.40992799642607</v>
      </c>
      <c r="M20" s="45" t="n">
        <f aca="false">IF($R20="","",IF(INDEX(시장분석!$AM$2:$AM$601,$R20)="","",INDEX(시장분석!$AM$2:$AM$601,$R20)))</f>
        <v>2.51165055097609</v>
      </c>
      <c r="N20" s="67" t="n">
        <f aca="false">IF($R20="","",IF(INDEX(시장분석!$AO$2:$AO$601,$R20)="","",INDEX(시장분석!$AO$2:$AO$601,$R20)))</f>
        <v>4.91324</v>
      </c>
      <c r="O20" s="17" t="str">
        <f aca="false">IF($R20="","",IF(INDEX(시장분석!$AP$2:$AP$601,$R20)="","",INDEX(시장분석!$AP$2:$AP$601,$R20)))</f>
        <v/>
      </c>
      <c r="P20" s="2"/>
      <c r="Q20" s="68" t="n">
        <f aca="false">LARGE(시장분석!$AQ$2:$AQ$601,A20)</f>
        <v>1.40992801842607</v>
      </c>
      <c r="R20" s="68" t="n">
        <f aca="false">IF(Q20&lt;-900,"",MATCH(Q20,시장분석!$AQ$2:$AQ$601,0))</f>
        <v>21</v>
      </c>
    </row>
    <row r="21" customFormat="false" ht="15" hidden="false" customHeight="false" outlineLevel="0" collapsed="false">
      <c r="A21" s="2" t="n">
        <v>16</v>
      </c>
      <c r="B21" s="17" t="str">
        <f aca="false">IF($R21="","",IF(INDEX(시장분석!$A$2:$A$601,$R21)="","",INDEX(시장분석!$A$2:$A$601,$R21)))</f>
        <v>HYNMTR 5.3 01/08/29</v>
      </c>
      <c r="C21" s="17" t="str">
        <f aca="false">IF($R21="","",IF(INDEX(시장분석!$B$2:$B$601,$R21)="","",INDEX(시장분석!$B$2:$B$601,$R21)))</f>
        <v>HYUNDAI CAPITAL AMERICA</v>
      </c>
      <c r="D21" s="17" t="str">
        <f aca="false">IF($R21="","",IF(INDEX(시장분석!$W$2:$W$601,$R21)="","",INDEX(시장분석!$W$2:$W$601,$R21)))</f>
        <v>미국</v>
      </c>
      <c r="E21" s="17" t="str">
        <f aca="false">IF($R21="","",IF(INDEX(시장분석!$L$2:$L$601,$R21)="","",INDEX(시장분석!$L$2:$L$601,$R21)))</f>
        <v>자유 소비재</v>
      </c>
      <c r="F21" s="17" t="str">
        <f aca="false">IF($R21="","",IF(INDEX(시장분석!$M$2:$M$601,$R21)="","",INDEX(시장분석!$M$2:$M$601,$R21)))</f>
        <v>A-</v>
      </c>
      <c r="G21" s="38" t="n">
        <f aca="false">IF($R21="","",IF(INDEX(시장분석!$K$2:$K$601,$R21)="","",INDEX(시장분석!$K$2:$K$601,$R21)))</f>
        <v>2.14</v>
      </c>
      <c r="H21" s="36" t="n">
        <f aca="false">IF($R21="","",IF(INDEX(시장분석!$D$2:$D$601,$R21)="","",INDEX(시장분석!$D$2:$D$601,$R21)))</f>
        <v>5.636</v>
      </c>
      <c r="I21" s="37" t="n">
        <f aca="false">IF($R21="","",IF(INDEX(시장분석!$E$2:$E$601,$R21)="","",INDEX(시장분석!$E$2:$E$601,$R21)))</f>
        <v>63.535</v>
      </c>
      <c r="J21" s="37" t="n">
        <f aca="false">IF($R21="","",IF(INDEX(시장분석!$AI$2:$AI$601,$R21)="","",INDEX(시장분석!$AI$2:$AI$601,$R21)))</f>
        <v>57.4828007113074</v>
      </c>
      <c r="K21" s="65" t="n">
        <f aca="false">IF($R21="","",IF(INDEX(시장분석!$AJ$2:$AJ$601,$R21)="","",INDEX(시장분석!$AJ$2:$AJ$601,$R21)))</f>
        <v>6.05219928869256</v>
      </c>
      <c r="L21" s="66" t="n">
        <f aca="false">IF($R21="","",IF(INDEX(시장분석!$AK$2:$AK$601,$R21)="","",INDEX(시장분석!$AK$2:$AK$601,$R21)))</f>
        <v>1.39539810383285</v>
      </c>
      <c r="M21" s="45" t="n">
        <f aca="false">IF($R21="","",IF(INDEX(시장분석!$AM$2:$AM$601,$R21)="","",INDEX(시장분석!$AM$2:$AM$601,$R21)))</f>
        <v>6.05219928869256</v>
      </c>
      <c r="N21" s="67" t="n">
        <f aca="false">IF($R21="","",IF(INDEX(시장분석!$AO$2:$AO$601,$R21)="","",INDEX(시장분석!$AO$2:$AO$601,$R21)))</f>
        <v>11.926428</v>
      </c>
      <c r="O21" s="17" t="str">
        <f aca="false">IF($R21="","",IF(INDEX(시장분석!$AP$2:$AP$601,$R21)="","",INDEX(시장분석!$AP$2:$AP$601,$R21)))</f>
        <v/>
      </c>
      <c r="P21" s="2"/>
      <c r="Q21" s="68" t="n">
        <f aca="false">LARGE(시장분석!$AQ$2:$AQ$601,A21)</f>
        <v>1.39539816383285</v>
      </c>
      <c r="R21" s="68" t="n">
        <f aca="false">IF(Q21&lt;-900,"",MATCH(Q21,시장분석!$AQ$2:$AQ$601,0))</f>
        <v>59</v>
      </c>
    </row>
    <row r="22" customFormat="false" ht="15" hidden="false" customHeight="false" outlineLevel="0" collapsed="false">
      <c r="A22" s="2" t="n">
        <v>17</v>
      </c>
      <c r="B22" s="17" t="str">
        <f aca="false">IF($R22="","",IF(INDEX(시장분석!$A$2:$A$601,$R22)="","",INDEX(시장분석!$A$2:$A$601,$R22)))</f>
        <v>NORBK 5.359 09/09/35</v>
      </c>
      <c r="C22" s="17" t="str">
        <f aca="false">IF($R22="","",IF(INDEX(시장분석!$B$2:$B$601,$R22)="","",INDEX(시장분석!$B$2:$B$601,$R22)))</f>
        <v>NORINCHUKIN BANK</v>
      </c>
      <c r="D22" s="17" t="str">
        <f aca="false">IF($R22="","",IF(INDEX(시장분석!$W$2:$W$601,$R22)="","",INDEX(시장분석!$W$2:$W$601,$R22)))</f>
        <v>일본</v>
      </c>
      <c r="E22" s="17" t="str">
        <f aca="false">IF($R22="","",IF(INDEX(시장분석!$L$2:$L$601,$R22)="","",INDEX(시장분석!$L$2:$L$601,$R22)))</f>
        <v>금융기관</v>
      </c>
      <c r="F22" s="17" t="str">
        <f aca="false">IF($R22="","",IF(INDEX(시장분석!$M$2:$M$601,$R22)="","",INDEX(시장분석!$M$2:$M$601,$R22)))</f>
        <v>A</v>
      </c>
      <c r="G22" s="38" t="n">
        <f aca="false">IF($R22="","",IF(INDEX(시장분석!$K$2:$K$601,$R22)="","",INDEX(시장분석!$K$2:$K$601,$R22)))</f>
        <v>7.121</v>
      </c>
      <c r="H22" s="36" t="n">
        <f aca="false">IF($R22="","",IF(INDEX(시장분석!$D$2:$D$601,$R22)="","",INDEX(시장분석!$D$2:$D$601,$R22)))</f>
        <v>6.327</v>
      </c>
      <c r="I22" s="37" t="n">
        <f aca="false">IF($R22="","",IF(INDEX(시장분석!$E$2:$E$601,$R22)="","",INDEX(시장분석!$E$2:$E$601,$R22)))</f>
        <v>103.987</v>
      </c>
      <c r="J22" s="37" t="n">
        <f aca="false">IF($R22="","",IF(INDEX(시장분석!$AI$2:$AI$601,$R22)="","",INDEX(시장분석!$AI$2:$AI$601,$R22)))</f>
        <v>77.4397550398162</v>
      </c>
      <c r="K22" s="65" t="n">
        <f aca="false">IF($R22="","",IF(INDEX(시장분석!$AJ$2:$AJ$601,$R22)="","",INDEX(시장분석!$AJ$2:$AJ$601,$R22)))</f>
        <v>26.5472449601838</v>
      </c>
      <c r="L22" s="66" t="n">
        <f aca="false">IF($R22="","",IF(INDEX(시장분석!$AK$2:$AK$601,$R22)="","",INDEX(시장분석!$AK$2:$AK$601,$R22)))</f>
        <v>1.29665818946984</v>
      </c>
      <c r="M22" s="45" t="n">
        <f aca="false">IF($R22="","",IF(INDEX(시장분석!$AM$2:$AM$601,$R22)="","",INDEX(시장분석!$AM$2:$AM$601,$R22)))</f>
        <v>9.37973877656398</v>
      </c>
      <c r="N22" s="67" t="n">
        <f aca="false">IF($R22="","",IF(INDEX(시장분석!$AO$2:$AO$601,$R22)="","",INDEX(시장분석!$AO$2:$AO$601,$R22)))</f>
        <v>0.187696</v>
      </c>
      <c r="O22" s="17" t="str">
        <f aca="false">IF($R22="","",IF(INDEX(시장분석!$AP$2:$AP$601,$R22)="","",INDEX(시장분석!$AP$2:$AP$601,$R22)))</f>
        <v/>
      </c>
      <c r="P22" s="2"/>
      <c r="Q22" s="68" t="n">
        <f aca="false">LARGE(시장분석!$AQ$2:$AQ$601,A22)</f>
        <v>1.29665833346984</v>
      </c>
      <c r="R22" s="68" t="n">
        <f aca="false">IF(Q22&lt;-900,"",MATCH(Q22,시장분석!$AQ$2:$AQ$601,0))</f>
        <v>143</v>
      </c>
    </row>
    <row r="23" customFormat="false" ht="15" hidden="false" customHeight="false" outlineLevel="0" collapsed="false">
      <c r="A23" s="2" t="n">
        <v>18</v>
      </c>
      <c r="B23" s="17" t="str">
        <f aca="false">IF($R23="","",IF(INDEX(시장분석!$A$2:$A$601,$R23)="","",INDEX(시장분석!$A$2:$A$601,$R23)))</f>
        <v>HYNMTR 5 01/07/28</v>
      </c>
      <c r="C23" s="17" t="str">
        <f aca="false">IF($R23="","",IF(INDEX(시장분석!$B$2:$B$601,$R23)="","",INDEX(시장분석!$B$2:$B$601,$R23)))</f>
        <v>HYUNDAI CAPITAL AMERICA</v>
      </c>
      <c r="D23" s="17" t="str">
        <f aca="false">IF($R23="","",IF(INDEX(시장분석!$W$2:$W$601,$R23)="","",INDEX(시장분석!$W$2:$W$601,$R23)))</f>
        <v>미국</v>
      </c>
      <c r="E23" s="17" t="str">
        <f aca="false">IF($R23="","",IF(INDEX(시장분석!$L$2:$L$601,$R23)="","",INDEX(시장분석!$L$2:$L$601,$R23)))</f>
        <v>자유 소비재</v>
      </c>
      <c r="F23" s="17" t="str">
        <f aca="false">IF($R23="","",IF(INDEX(시장분석!$M$2:$M$601,$R23)="","",INDEX(시장분석!$M$2:$M$601,$R23)))</f>
        <v>A-</v>
      </c>
      <c r="G23" s="38" t="n">
        <f aca="false">IF($R23="","",IF(INDEX(시장분석!$K$2:$K$601,$R23)="","",INDEX(시장분석!$K$2:$K$601,$R23)))</f>
        <v>1.228</v>
      </c>
      <c r="H23" s="36" t="n">
        <f aca="false">IF($R23="","",IF(INDEX(시장분석!$D$2:$D$601,$R23)="","",INDEX(시장분석!$D$2:$D$601,$R23)))</f>
        <v>5.295</v>
      </c>
      <c r="I23" s="37" t="n">
        <f aca="false">IF($R23="","",IF(INDEX(시장분석!$E$2:$E$601,$R23)="","",INDEX(시장분석!$E$2:$E$601,$R23)))</f>
        <v>40.564</v>
      </c>
      <c r="J23" s="37" t="n">
        <f aca="false">IF($R23="","",IF(INDEX(시장분석!$AI$2:$AI$601,$R23)="","",INDEX(시장분석!$AI$2:$AI$601,$R23)))</f>
        <v>35.1246693467119</v>
      </c>
      <c r="K23" s="65" t="n">
        <f aca="false">IF($R23="","",IF(INDEX(시장분석!$AJ$2:$AJ$601,$R23)="","",INDEX(시장분석!$AJ$2:$AJ$601,$R23)))</f>
        <v>5.43933065328814</v>
      </c>
      <c r="L23" s="66" t="n">
        <f aca="false">IF($R23="","",IF(INDEX(시장분석!$AK$2:$AK$601,$R23)="","",INDEX(시장분석!$AK$2:$AK$601,$R23)))</f>
        <v>1.25409480383417</v>
      </c>
      <c r="M23" s="45" t="n">
        <f aca="false">IF($R23="","",IF(INDEX(시장분석!$AM$2:$AM$601,$R23)="","",INDEX(시장분석!$AM$2:$AM$601,$R23)))</f>
        <v>5.43933065328814</v>
      </c>
      <c r="N23" s="67" t="n">
        <f aca="false">IF($R23="","",IF(INDEX(시장분석!$AO$2:$AO$601,$R23)="","",INDEX(시장분석!$AO$2:$AO$601,$R23)))</f>
        <v>9.96459</v>
      </c>
      <c r="O23" s="17" t="str">
        <f aca="false">IF($R23="","",IF(INDEX(시장분석!$AP$2:$AP$601,$R23)="","",INDEX(시장분석!$AP$2:$AP$601,$R23)))</f>
        <v/>
      </c>
      <c r="P23" s="2"/>
      <c r="Q23" s="68" t="n">
        <f aca="false">LARGE(시장분석!$AQ$2:$AQ$601,A23)</f>
        <v>1.25409486983417</v>
      </c>
      <c r="R23" s="68" t="n">
        <f aca="false">IF(Q23&lt;-900,"",MATCH(Q23,시장분석!$AQ$2:$AQ$601,0))</f>
        <v>65</v>
      </c>
    </row>
    <row r="24" customFormat="false" ht="15" hidden="false" customHeight="false" outlineLevel="0" collapsed="false">
      <c r="A24" s="2" t="n">
        <v>19</v>
      </c>
      <c r="B24" s="17" t="str">
        <f aca="false">IF($R24="","",IF(INDEX(시장분석!$A$2:$A$601,$R24)="","",INDEX(시장분석!$A$2:$A$601,$R24)))</f>
        <v>KOBCOP 5 1/4 05/02/29</v>
      </c>
      <c r="C24" s="17" t="str">
        <f aca="false">IF($R24="","",IF(INDEX(시장분석!$B$2:$B$601,$R24)="","",INDEX(시장분석!$B$2:$B$601,$R24)))</f>
        <v>KOREA OCEAN BUSINESS CO</v>
      </c>
      <c r="D24" s="17" t="str">
        <f aca="false">IF($R24="","",IF(INDEX(시장분석!$W$2:$W$601,$R24)="","",INDEX(시장분석!$W$2:$W$601,$R24)))</f>
        <v>한국</v>
      </c>
      <c r="E24" s="17" t="str">
        <f aca="false">IF($R24="","",IF(INDEX(시장분석!$L$2:$L$601,$R24)="","",INDEX(시장분석!$L$2:$L$601,$R24)))</f>
        <v>정부</v>
      </c>
      <c r="F24" s="17" t="str">
        <f aca="false">IF($R24="","",IF(INDEX(시장분석!$M$2:$M$601,$R24)="","",INDEX(시장분석!$M$2:$M$601,$R24)))</f>
        <v/>
      </c>
      <c r="G24" s="38" t="n">
        <f aca="false">IF($R24="","",IF(INDEX(시장분석!$K$2:$K$601,$R24)="","",INDEX(시장분석!$K$2:$K$601,$R24)))</f>
        <v>2.389</v>
      </c>
      <c r="H24" s="36" t="n">
        <f aca="false">IF($R24="","",IF(INDEX(시장분석!$D$2:$D$601,$R24)="","",INDEX(시장분석!$D$2:$D$601,$R24)))</f>
        <v>5.319</v>
      </c>
      <c r="I24" s="37" t="n">
        <f aca="false">IF($R24="","",IF(INDEX(시장분석!$E$2:$E$601,$R24)="","",INDEX(시장분석!$E$2:$E$601,$R24)))</f>
        <v>31.857</v>
      </c>
      <c r="J24" s="37" t="n">
        <f aca="false">IF($R24="","",IF(INDEX(시장분석!$AI$2:$AI$601,$R24)="","",INDEX(시장분석!$AI$2:$AI$601,$R24)))</f>
        <v>15.753504486971</v>
      </c>
      <c r="K24" s="65" t="n">
        <f aca="false">IF($R24="","",IF(INDEX(시장분석!$AJ$2:$AJ$601,$R24)="","",INDEX(시장분석!$AJ$2:$AJ$601,$R24)))</f>
        <v>16.103495513029</v>
      </c>
      <c r="L24" s="66" t="n">
        <f aca="false">IF($R24="","",IF(INDEX(시장분석!$AK$2:$AK$601,$R24)="","",INDEX(시장분석!$AK$2:$AK$601,$R24)))</f>
        <v>1.17603645317234</v>
      </c>
      <c r="M24" s="45" t="n">
        <f aca="false">IF($R24="","",IF(INDEX(시장분석!$AM$2:$AM$601,$R24)="","",INDEX(시장분석!$AM$2:$AM$601,$R24)))</f>
        <v>2.87828723896528</v>
      </c>
      <c r="N24" s="67" t="n">
        <f aca="false">IF($R24="","",IF(INDEX(시장분석!$AO$2:$AO$601,$R24)="","",INDEX(시장분석!$AO$2:$AO$601,$R24)))</f>
        <v>0</v>
      </c>
      <c r="O24" s="17" t="str">
        <f aca="false">IF($R24="","",IF(INDEX(시장분석!$AP$2:$AP$601,$R24)="","",INDEX(시장분석!$AP$2:$AP$601,$R24)))</f>
        <v>등급미입력</v>
      </c>
      <c r="P24" s="2"/>
      <c r="Q24" s="68" t="n">
        <f aca="false">LARGE(시장분석!$AQ$2:$AQ$601,A24)</f>
        <v>1.17603668417234</v>
      </c>
      <c r="R24" s="68" t="n">
        <f aca="false">IF(Q24&lt;-900,"",MATCH(Q24,시장분석!$AQ$2:$AQ$601,0))</f>
        <v>230</v>
      </c>
    </row>
    <row r="25" customFormat="false" ht="15" hidden="false" customHeight="false" outlineLevel="0" collapsed="false">
      <c r="A25" s="2" t="n">
        <v>20</v>
      </c>
      <c r="B25" s="17" t="str">
        <f aca="false">IF($R25="","",IF(INDEX(시장분석!$A$2:$A$601,$R25)="","",INDEX(시장분석!$A$2:$A$601,$R25)))</f>
        <v>GS 4.972 06/03/32</v>
      </c>
      <c r="C25" s="17" t="str">
        <f aca="false">IF($R25="","",IF(INDEX(시장분석!$B$2:$B$601,$R25)="","",INDEX(시장분석!$B$2:$B$601,$R25)))</f>
        <v>GOLDMAN SACHS GROUP INC</v>
      </c>
      <c r="D25" s="17" t="str">
        <f aca="false">IF($R25="","",IF(INDEX(시장분석!$W$2:$W$601,$R25)="","",INDEX(시장분석!$W$2:$W$601,$R25)))</f>
        <v>미국</v>
      </c>
      <c r="E25" s="17" t="str">
        <f aca="false">IF($R25="","",IF(INDEX(시장분석!$L$2:$L$601,$R25)="","",INDEX(시장분석!$L$2:$L$601,$R25)))</f>
        <v>금융기관</v>
      </c>
      <c r="F25" s="17" t="str">
        <f aca="false">IF($R25="","",IF(INDEX(시장분석!$M$2:$M$601,$R25)="","",INDEX(시장분석!$M$2:$M$601,$R25)))</f>
        <v>BBB+</v>
      </c>
      <c r="G25" s="38" t="n">
        <f aca="false">IF($R25="","",IF(INDEX(시장분석!$K$2:$K$601,$R25)="","",INDEX(시장분석!$K$2:$K$601,$R25)))</f>
        <v>4.143</v>
      </c>
      <c r="H25" s="36" t="n">
        <f aca="false">IF($R25="","",IF(INDEX(시장분석!$D$2:$D$601,$R25)="","",INDEX(시장분석!$D$2:$D$601,$R25)))</f>
        <v>5.847</v>
      </c>
      <c r="I25" s="37" t="n">
        <f aca="false">IF($R25="","",IF(INDEX(시장분석!$E$2:$E$601,$R25)="","",INDEX(시장분석!$E$2:$E$601,$R25)))</f>
        <v>93.025</v>
      </c>
      <c r="J25" s="37" t="n">
        <f aca="false">IF($R25="","",IF(INDEX(시장분석!$AI$2:$AI$601,$R25)="","",INDEX(시장분석!$AI$2:$AI$601,$R25)))</f>
        <v>77.0144338458875</v>
      </c>
      <c r="K25" s="65" t="n">
        <f aca="false">IF($R25="","",IF(INDEX(시장분석!$AJ$2:$AJ$601,$R25)="","",INDEX(시장분석!$AJ$2:$AJ$601,$R25)))</f>
        <v>16.0105661541126</v>
      </c>
      <c r="L25" s="66" t="n">
        <f aca="false">IF($R25="","",IF(INDEX(시장분석!$AK$2:$AK$601,$R25)="","",INDEX(시장분석!$AK$2:$AK$601,$R25)))</f>
        <v>1.17060424379001</v>
      </c>
      <c r="M25" s="45" t="n">
        <f aca="false">IF($R25="","",IF(INDEX(시장분석!$AM$2:$AM$601,$R25)="","",INDEX(시장분석!$AM$2:$AM$601,$R25)))</f>
        <v>5.08666837089523</v>
      </c>
      <c r="N25" s="67" t="n">
        <f aca="false">IF($R25="","",IF(INDEX(시장분석!$AO$2:$AO$601,$R25)="","",INDEX(시장분석!$AO$2:$AO$601,$R25)))</f>
        <v>19.18604</v>
      </c>
      <c r="O25" s="17" t="str">
        <f aca="false">IF($R25="","",IF(INDEX(시장분석!$AP$2:$AP$601,$R25)="","",INDEX(시장분석!$AP$2:$AP$601,$R25)))</f>
        <v/>
      </c>
      <c r="P25" s="2"/>
      <c r="Q25" s="68" t="n">
        <f aca="false">LARGE(시장분석!$AQ$2:$AQ$601,A25)</f>
        <v>1.17060428679001</v>
      </c>
      <c r="R25" s="68" t="n">
        <f aca="false">IF(Q25&lt;-900,"",MATCH(Q25,시장분석!$AQ$2:$AQ$601,0))</f>
        <v>42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7.15" hidden="false" customHeight="false" outlineLevel="0" collapsed="false">
      <c r="A28" s="24" t="s">
        <v>135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29.85" hidden="false" customHeight="false" outlineLevel="0" collapsed="false">
      <c r="A29" s="5" t="s">
        <v>120</v>
      </c>
      <c r="B29" s="5" t="s">
        <v>121</v>
      </c>
      <c r="C29" s="5" t="s">
        <v>122</v>
      </c>
      <c r="D29" s="5" t="s">
        <v>123</v>
      </c>
      <c r="E29" s="5" t="s">
        <v>124</v>
      </c>
      <c r="F29" s="5" t="s">
        <v>125</v>
      </c>
      <c r="G29" s="5" t="s">
        <v>126</v>
      </c>
      <c r="H29" s="25" t="s">
        <v>127</v>
      </c>
      <c r="I29" s="25" t="s">
        <v>128</v>
      </c>
      <c r="J29" s="5" t="s">
        <v>129</v>
      </c>
      <c r="K29" s="5" t="s">
        <v>130</v>
      </c>
      <c r="L29" s="25" t="s">
        <v>131</v>
      </c>
      <c r="M29" s="5" t="s">
        <v>132</v>
      </c>
      <c r="N29" s="5" t="s">
        <v>133</v>
      </c>
      <c r="O29" s="5" t="s">
        <v>134</v>
      </c>
      <c r="P29" s="2"/>
      <c r="Q29" s="2"/>
      <c r="R29" s="2"/>
    </row>
    <row r="30" customFormat="false" ht="15" hidden="false" customHeight="false" outlineLevel="0" collapsed="false">
      <c r="A30" s="2" t="n">
        <v>1</v>
      </c>
      <c r="B30" s="17" t="str">
        <f aca="false">IF($R30="","",IF(INDEX(시장분석!$A$2:$A$601,$R30)="","",INDEX(시장분석!$A$2:$A$601,$R30)))</f>
        <v>WFC 5.2 03/20/30</v>
      </c>
      <c r="C30" s="17" t="str">
        <f aca="false">IF($R30="","",IF(INDEX(시장분석!$B$2:$B$601,$R30)="","",INDEX(시장분석!$B$2:$B$601,$R30)))</f>
        <v>WELLS FARGO &amp; COMPANY</v>
      </c>
      <c r="D30" s="17" t="str">
        <f aca="false">IF($R30="","",IF(INDEX(시장분석!$W$2:$W$601,$R30)="","",INDEX(시장분석!$W$2:$W$601,$R30)))</f>
        <v>미국</v>
      </c>
      <c r="E30" s="17" t="str">
        <f aca="false">IF($R30="","",IF(INDEX(시장분석!$L$2:$L$601,$R30)="","",INDEX(시장분석!$L$2:$L$601,$R30)))</f>
        <v>금융기관</v>
      </c>
      <c r="F30" s="17" t="str">
        <f aca="false">IF($R30="","",IF(INDEX(시장분석!$M$2:$M$601,$R30)="","",INDEX(시장분석!$M$2:$M$601,$R30)))</f>
        <v/>
      </c>
      <c r="G30" s="38" t="n">
        <f aca="false">IF($R30="","",IF(INDEX(시장분석!$K$2:$K$601,$R30)="","",INDEX(시장분석!$K$2:$K$601,$R30)))</f>
        <v>3.171</v>
      </c>
      <c r="H30" s="36" t="n">
        <f aca="false">IF($R30="","",IF(INDEX(시장분석!$D$2:$D$601,$R30)="","",INDEX(시장분석!$D$2:$D$601,$R30)))</f>
        <v>5.276</v>
      </c>
      <c r="I30" s="37" t="n">
        <f aca="false">IF($R30="","",IF(INDEX(시장분석!$E$2:$E$601,$R30)="","",INDEX(시장분석!$E$2:$E$601,$R30)))</f>
        <v>12.128</v>
      </c>
      <c r="J30" s="37" t="n">
        <f aca="false">IF($R30="","",IF(INDEX(시장분석!$AI$2:$AI$601,$R30)="","",INDEX(시장분석!$AI$2:$AI$601,$R30)))</f>
        <v>71.4699796665643</v>
      </c>
      <c r="K30" s="65" t="n">
        <f aca="false">IF($R30="","",IF(INDEX(시장분석!$AJ$2:$AJ$601,$R30)="","",INDEX(시장분석!$AJ$2:$AJ$601,$R30)))</f>
        <v>-59.3419796665643</v>
      </c>
      <c r="L30" s="66" t="n">
        <f aca="false">IF($R30="","",IF(INDEX(시장분석!$AK$2:$AK$601,$R30)="","",INDEX(시장분석!$AK$2:$AK$601,$R30)))</f>
        <v>-4.33875807787955</v>
      </c>
      <c r="M30" s="45" t="n">
        <f aca="false">IF($R30="","",IF(INDEX(시장분석!$AM$2:$AM$601,$R30)="","",INDEX(시장분석!$AM$2:$AM$601,$R30)))</f>
        <v>-48.4510434983038</v>
      </c>
      <c r="N30" s="67" t="n">
        <f aca="false">IF($R30="","",IF(INDEX(시장분석!$AO$2:$AO$601,$R30)="","",INDEX(시장분석!$AO$2:$AO$601,$R30)))</f>
        <v>19.70452</v>
      </c>
      <c r="O30" s="17" t="str">
        <f aca="false">IF($R30="","",IF(INDEX(시장분석!$AP$2:$AP$601,$R30)="","",INDEX(시장분석!$AP$2:$AP$601,$R30)))</f>
        <v>등급미입력</v>
      </c>
      <c r="P30" s="2"/>
      <c r="Q30" s="68" t="n">
        <f aca="false">LARGE(시장분석!$AU$2:$AU$601,A30)</f>
        <v>4.33875831587955</v>
      </c>
      <c r="R30" s="68" t="n">
        <f aca="false">IF(Q30&lt;-900,"",MATCH(Q30,시장분석!$AU$2:$AU$601,0))</f>
        <v>237</v>
      </c>
    </row>
    <row r="31" customFormat="false" ht="15" hidden="false" customHeight="false" outlineLevel="0" collapsed="false">
      <c r="A31" s="2" t="n">
        <v>2</v>
      </c>
      <c r="B31" s="17" t="str">
        <f aca="false">IF($R31="","",IF(INDEX(시장분석!$A$2:$A$601,$R31)="","",INDEX(시장분석!$A$2:$A$601,$R31)))</f>
        <v>HSBC 4.95 03/31/30</v>
      </c>
      <c r="C31" s="17" t="str">
        <f aca="false">IF($R31="","",IF(INDEX(시장분석!$B$2:$B$601,$R31)="","",INDEX(시장분석!$B$2:$B$601,$R31)))</f>
        <v>HSBC HOLDINGS PLC</v>
      </c>
      <c r="D31" s="17" t="str">
        <f aca="false">IF($R31="","",IF(INDEX(시장분석!$W$2:$W$601,$R31)="","",INDEX(시장분석!$W$2:$W$601,$R31)))</f>
        <v>영국</v>
      </c>
      <c r="E31" s="17" t="str">
        <f aca="false">IF($R31="","",IF(INDEX(시장분석!$L$2:$L$601,$R31)="","",INDEX(시장분석!$L$2:$L$601,$R31)))</f>
        <v>금융기관</v>
      </c>
      <c r="F31" s="17" t="str">
        <f aca="false">IF($R31="","",IF(INDEX(시장분석!$M$2:$M$601,$R31)="","",INDEX(시장분석!$M$2:$M$601,$R31)))</f>
        <v>A-</v>
      </c>
      <c r="G31" s="38" t="n">
        <f aca="false">IF($R31="","",IF(INDEX(시장분석!$K$2:$K$601,$R31)="","",INDEX(시장분석!$K$2:$K$601,$R31)))</f>
        <v>3.248</v>
      </c>
      <c r="H31" s="36" t="n">
        <f aca="false">IF($R31="","",IF(INDEX(시장분석!$D$2:$D$601,$R31)="","",INDEX(시장분석!$D$2:$D$601,$R31)))</f>
        <v>5.572</v>
      </c>
      <c r="I31" s="37" t="n">
        <f aca="false">IF($R31="","",IF(INDEX(시장분석!$E$2:$E$601,$R31)="","",INDEX(시장분석!$E$2:$E$601,$R31)))</f>
        <v>48.492</v>
      </c>
      <c r="J31" s="37" t="n">
        <f aca="false">IF($R31="","",IF(INDEX(시장분석!$AI$2:$AI$601,$R31)="","",INDEX(시장분석!$AI$2:$AI$601,$R31)))</f>
        <v>79.3939101364472</v>
      </c>
      <c r="K31" s="65" t="n">
        <f aca="false">IF($R31="","",IF(INDEX(시장분석!$AJ$2:$AJ$601,$R31)="","",INDEX(시장분석!$AJ$2:$AJ$601,$R31)))</f>
        <v>-30.9019101364472</v>
      </c>
      <c r="L31" s="66" t="n">
        <f aca="false">IF($R31="","",IF(INDEX(시장분석!$AK$2:$AK$601,$R31)="","",INDEX(시장분석!$AK$2:$AK$601,$R31)))</f>
        <v>-2.81226061394171</v>
      </c>
      <c r="M31" s="45" t="n">
        <f aca="false">IF($R31="","",IF(INDEX(시장분석!$AM$2:$AM$601,$R31)="","",INDEX(시장분석!$AM$2:$AM$601,$R31)))</f>
        <v>-26.7306487275542</v>
      </c>
      <c r="N31" s="67" t="n">
        <f aca="false">IF($R31="","",IF(INDEX(시장분석!$AO$2:$AO$601,$R31)="","",INDEX(시장분석!$AO$2:$AO$601,$R31)))</f>
        <v>9.80794</v>
      </c>
      <c r="O31" s="17" t="str">
        <f aca="false">IF($R31="","",IF(INDEX(시장분석!$AP$2:$AP$601,$R31)="","",INDEX(시장분석!$AP$2:$AP$601,$R31)))</f>
        <v/>
      </c>
      <c r="P31" s="2"/>
      <c r="Q31" s="68" t="n">
        <f aca="false">LARGE(시장분석!$AU$2:$AU$601,A31)</f>
        <v>2.81226066194171</v>
      </c>
      <c r="R31" s="68" t="n">
        <f aca="false">IF(Q31&lt;-900,"",MATCH(Q31,시장분석!$AU$2:$AU$601,0))</f>
        <v>47</v>
      </c>
    </row>
    <row r="32" customFormat="false" ht="15" hidden="false" customHeight="false" outlineLevel="0" collapsed="false">
      <c r="A32" s="2" t="n">
        <v>3</v>
      </c>
      <c r="B32" s="17" t="str">
        <f aca="false">IF($R32="","",IF(INDEX(시장분석!$A$2:$A$601,$R32)="","",INDEX(시장분석!$A$2:$A$601,$R32)))</f>
        <v>GOOGL 4.8 02/15/36</v>
      </c>
      <c r="C32" s="17" t="str">
        <f aca="false">IF($R32="","",IF(INDEX(시장분석!$B$2:$B$601,$R32)="","",INDEX(시장분석!$B$2:$B$601,$R32)))</f>
        <v>ALPHABET INC</v>
      </c>
      <c r="D32" s="17" t="str">
        <f aca="false">IF($R32="","",IF(INDEX(시장분석!$W$2:$W$601,$R32)="","",INDEX(시장분석!$W$2:$W$601,$R32)))</f>
        <v>미국</v>
      </c>
      <c r="E32" s="17" t="str">
        <f aca="false">IF($R32="","",IF(INDEX(시장분석!$L$2:$L$601,$R32)="","",INDEX(시장분석!$L$2:$L$601,$R32)))</f>
        <v>통신</v>
      </c>
      <c r="F32" s="17" t="str">
        <f aca="false">IF($R32="","",IF(INDEX(시장분석!$M$2:$M$601,$R32)="","",INDEX(시장분석!$M$2:$M$601,$R32)))</f>
        <v>AA+</v>
      </c>
      <c r="G32" s="38" t="n">
        <f aca="false">IF($R32="","",IF(INDEX(시장분석!$K$2:$K$601,$R32)="","",INDEX(시장분석!$K$2:$K$601,$R32)))</f>
        <v>7.515</v>
      </c>
      <c r="H32" s="36" t="n">
        <f aca="false">IF($R32="","",IF(INDEX(시장분석!$D$2:$D$601,$R32)="","",INDEX(시장분석!$D$2:$D$601,$R32)))</f>
        <v>5.95</v>
      </c>
      <c r="I32" s="37" t="n">
        <f aca="false">IF($R32="","",IF(INDEX(시장분석!$E$2:$E$601,$R32)="","",INDEX(시장분석!$E$2:$E$601,$R32)))</f>
        <v>66.291</v>
      </c>
      <c r="J32" s="37" t="n">
        <f aca="false">IF($R32="","",IF(INDEX(시장분석!$AI$2:$AI$601,$R32)="","",INDEX(시장분석!$AI$2:$AI$601,$R32)))</f>
        <v>97.0671169606041</v>
      </c>
      <c r="K32" s="65" t="n">
        <f aca="false">IF($R32="","",IF(INDEX(시장분석!$AJ$2:$AJ$601,$R32)="","",INDEX(시장분석!$AJ$2:$AJ$601,$R32)))</f>
        <v>-30.7761169606041</v>
      </c>
      <c r="L32" s="66" t="n">
        <f aca="false">IF($R32="","",IF(INDEX(시장분석!$AK$2:$AK$601,$R32)="","",INDEX(시장분석!$AK$2:$AK$601,$R32)))</f>
        <v>-1.98244921633613</v>
      </c>
      <c r="M32" s="45" t="n">
        <f aca="false">IF($R32="","",IF(INDEX(시장분석!$AM$2:$AM$601,$R32)="","",INDEX(시장분석!$AM$2:$AM$601,$R32)))</f>
        <v>0</v>
      </c>
      <c r="N32" s="67" t="n">
        <f aca="false">IF($R32="","",IF(INDEX(시장분석!$AO$2:$AO$601,$R32)="","",INDEX(시장분석!$AO$2:$AO$601,$R32)))</f>
        <v>0.459981</v>
      </c>
      <c r="O32" s="17" t="str">
        <f aca="false">IF($R32="","",IF(INDEX(시장분석!$AP$2:$AP$601,$R32)="","",INDEX(시장분석!$AP$2:$AP$601,$R32)))</f>
        <v/>
      </c>
      <c r="P32" s="2"/>
      <c r="Q32" s="68" t="n">
        <f aca="false">LARGE(시장분석!$AU$2:$AU$601,A32)</f>
        <v>1.98244922733613</v>
      </c>
      <c r="R32" s="68" t="n">
        <f aca="false">IF(Q32&lt;-900,"",MATCH(Q32,시장분석!$AU$2:$AU$601,0))</f>
        <v>10</v>
      </c>
    </row>
    <row r="33" customFormat="false" ht="15" hidden="false" customHeight="false" outlineLevel="0" collapsed="false">
      <c r="A33" s="2" t="n">
        <v>4</v>
      </c>
      <c r="B33" s="17" t="str">
        <f aca="false">IF($R33="","",IF(INDEX(시장분석!$A$2:$A$601,$R33)="","",INDEX(시장분석!$A$2:$A$601,$R33)))</f>
        <v>KOREA 3 5/8 10/29/30</v>
      </c>
      <c r="C33" s="17" t="str">
        <f aca="false">IF($R33="","",IF(INDEX(시장분석!$B$2:$B$601,$R33)="","",INDEX(시장분석!$B$2:$B$601,$R33)))</f>
        <v>REPUBLIC OF KOREA</v>
      </c>
      <c r="D33" s="17" t="str">
        <f aca="false">IF($R33="","",IF(INDEX(시장분석!$W$2:$W$601,$R33)="","",INDEX(시장분석!$W$2:$W$601,$R33)))</f>
        <v>한국</v>
      </c>
      <c r="E33" s="17" t="str">
        <f aca="false">IF($R33="","",IF(INDEX(시장분석!$L$2:$L$601,$R33)="","",INDEX(시장분석!$L$2:$L$601,$R33)))</f>
        <v>정부</v>
      </c>
      <c r="F33" s="17" t="str">
        <f aca="false">IF($R33="","",IF(INDEX(시장분석!$M$2:$M$601,$R33)="","",INDEX(시장분석!$M$2:$M$601,$R33)))</f>
        <v>AA</v>
      </c>
      <c r="G33" s="38" t="n">
        <f aca="false">IF($R33="","",IF(INDEX(시장분석!$K$2:$K$601,$R33)="","",INDEX(시장분석!$K$2:$K$601,$R33)))</f>
        <v>3.756</v>
      </c>
      <c r="H33" s="36" t="n">
        <f aca="false">IF($R33="","",IF(INDEX(시장분석!$D$2:$D$601,$R33)="","",INDEX(시장분석!$D$2:$D$601,$R33)))</f>
        <v>5.127</v>
      </c>
      <c r="I33" s="37" t="n">
        <f aca="false">IF($R33="","",IF(INDEX(시장분석!$E$2:$E$601,$R33)="","",INDEX(시장분석!$E$2:$E$601,$R33)))</f>
        <v>4.069</v>
      </c>
      <c r="J33" s="37" t="n">
        <f aca="false">IF($R33="","",IF(INDEX(시장분석!$AI$2:$AI$601,$R33)="","",INDEX(시장분석!$AI$2:$AI$601,$R33)))</f>
        <v>24.7431445347564</v>
      </c>
      <c r="K33" s="65" t="n">
        <f aca="false">IF($R33="","",IF(INDEX(시장분석!$AJ$2:$AJ$601,$R33)="","",INDEX(시장분석!$AJ$2:$AJ$601,$R33)))</f>
        <v>-20.6741445347564</v>
      </c>
      <c r="L33" s="66" t="n">
        <f aca="false">IF($R33="","",IF(INDEX(시장분석!$AK$2:$AK$601,$R33)="","",INDEX(시장분석!$AK$2:$AK$601,$R33)))</f>
        <v>-1.50983043348295</v>
      </c>
      <c r="M33" s="45" t="n">
        <f aca="false">IF($R33="","",IF(INDEX(시장분석!$AM$2:$AM$601,$R33)="","",INDEX(시장분석!$AM$2:$AM$601,$R33)))</f>
        <v>-0.959316311197973</v>
      </c>
      <c r="N33" s="67" t="n">
        <f aca="false">IF($R33="","",IF(INDEX(시장분석!$AO$2:$AO$601,$R33)="","",INDEX(시장분석!$AO$2:$AO$601,$R33)))</f>
        <v>0.473181</v>
      </c>
      <c r="O33" s="17" t="str">
        <f aca="false">IF($R33="","",IF(INDEX(시장분석!$AP$2:$AP$601,$R33)="","",INDEX(시장분석!$AP$2:$AP$601,$R33)))</f>
        <v/>
      </c>
      <c r="P33" s="2"/>
      <c r="Q33" s="68" t="n">
        <f aca="false">LARGE(시장분석!$AU$2:$AU$601,A33)</f>
        <v>1.50983052648295</v>
      </c>
      <c r="R33" s="68" t="n">
        <f aca="false">IF(Q33&lt;-900,"",MATCH(Q33,시장분석!$AU$2:$AU$601,0))</f>
        <v>92</v>
      </c>
    </row>
    <row r="34" customFormat="false" ht="15" hidden="false" customHeight="false" outlineLevel="0" collapsed="false">
      <c r="A34" s="2" t="n">
        <v>5</v>
      </c>
      <c r="B34" s="17" t="str">
        <f aca="false">IF($R34="","",IF(INDEX(시장분석!$A$2:$A$601,$R34)="","",INDEX(시장분석!$A$2:$A$601,$R34)))</f>
        <v>HYUELE 6 1/2 01/17/33</v>
      </c>
      <c r="C34" s="17" t="str">
        <f aca="false">IF($R34="","",IF(INDEX(시장분석!$B$2:$B$601,$R34)="","",INDEX(시장분석!$B$2:$B$601,$R34)))</f>
        <v>SK HYNIX INC</v>
      </c>
      <c r="D34" s="17" t="str">
        <f aca="false">IF($R34="","",IF(INDEX(시장분석!$W$2:$W$601,$R34)="","",INDEX(시장분석!$W$2:$W$601,$R34)))</f>
        <v>한국</v>
      </c>
      <c r="E34" s="17" t="str">
        <f aca="false">IF($R34="","",IF(INDEX(시장분석!$L$2:$L$601,$R34)="","",INDEX(시장분석!$L$2:$L$601,$R34)))</f>
        <v>기술</v>
      </c>
      <c r="F34" s="17" t="str">
        <f aca="false">IF($R34="","",IF(INDEX(시장분석!$M$2:$M$601,$R34)="","",INDEX(시장분석!$M$2:$M$601,$R34)))</f>
        <v>A-</v>
      </c>
      <c r="G34" s="38" t="n">
        <f aca="false">IF($R34="","",IF(INDEX(시장분석!$K$2:$K$601,$R34)="","",INDEX(시장분석!$K$2:$K$601,$R34)))</f>
        <v>5.215</v>
      </c>
      <c r="H34" s="36" t="n">
        <f aca="false">IF($R34="","",IF(INDEX(시장분석!$D$2:$D$601,$R34)="","",INDEX(시장분석!$D$2:$D$601,$R34)))</f>
        <v>5.909</v>
      </c>
      <c r="I34" s="37" t="n">
        <f aca="false">IF($R34="","",IF(INDEX(시장분석!$E$2:$E$601,$R34)="","",INDEX(시장분석!$E$2:$E$601,$R34)))</f>
        <v>62.161</v>
      </c>
      <c r="J34" s="37" t="n">
        <f aca="false">IF($R34="","",IF(INDEX(시장분석!$AI$2:$AI$601,$R34)="","",INDEX(시장분석!$AI$2:$AI$601,$R34)))</f>
        <v>65.8626873362689</v>
      </c>
      <c r="K34" s="65" t="n">
        <f aca="false">IF($R34="","",IF(INDEX(시장분석!$AJ$2:$AJ$601,$R34)="","",INDEX(시장분석!$AJ$2:$AJ$601,$R34)))</f>
        <v>-3.70168733626893</v>
      </c>
      <c r="L34" s="66" t="n">
        <f aca="false">IF($R34="","",IF(INDEX(시장분석!$AK$2:$AK$601,$R34)="","",INDEX(시장분석!$AK$2:$AK$601,$R34)))</f>
        <v>-1.37608090040265</v>
      </c>
      <c r="M34" s="45" t="n">
        <f aca="false">IF($R34="","",IF(INDEX(시장분석!$AM$2:$AM$601,$R34)="","",INDEX(시장분석!$AM$2:$AM$601,$R34)))</f>
        <v>-3.78763721914776</v>
      </c>
      <c r="N34" s="67" t="n">
        <f aca="false">IF($R34="","",IF(INDEX(시장분석!$AO$2:$AO$601,$R34)="","",INDEX(시장분석!$AO$2:$AO$601,$R34)))</f>
        <v>13.449943</v>
      </c>
      <c r="O34" s="17" t="str">
        <f aca="false">IF($R34="","",IF(INDEX(시장분석!$AP$2:$AP$601,$R34)="","",INDEX(시장분석!$AP$2:$AP$601,$R34)))</f>
        <v/>
      </c>
      <c r="P34" s="2"/>
      <c r="Q34" s="68" t="n">
        <f aca="false">LARGE(시장분석!$AU$2:$AU$601,A34)</f>
        <v>1.37608110240265</v>
      </c>
      <c r="R34" s="68" t="n">
        <f aca="false">IF(Q34&lt;-900,"",MATCH(Q34,시장분석!$AU$2:$AU$601,0))</f>
        <v>201</v>
      </c>
    </row>
    <row r="35" customFormat="false" ht="15" hidden="false" customHeight="false" outlineLevel="0" collapsed="false">
      <c r="A35" s="2" t="n">
        <v>6</v>
      </c>
      <c r="B35" s="17" t="str">
        <f aca="false">IF($R35="","",IF(INDEX(시장분석!$A$2:$A$601,$R35)="","",INDEX(시장분석!$A$2:$A$601,$R35)))</f>
        <v>KOREA 3 7/8 02/12/31</v>
      </c>
      <c r="C35" s="17" t="str">
        <f aca="false">IF($R35="","",IF(INDEX(시장분석!$B$2:$B$601,$R35)="","",INDEX(시장분석!$B$2:$B$601,$R35)))</f>
        <v>REPUBLIC OF KOREA</v>
      </c>
      <c r="D35" s="17" t="str">
        <f aca="false">IF($R35="","",IF(INDEX(시장분석!$W$2:$W$601,$R35)="","",INDEX(시장분석!$W$2:$W$601,$R35)))</f>
        <v>한국</v>
      </c>
      <c r="E35" s="17" t="str">
        <f aca="false">IF($R35="","",IF(INDEX(시장분석!$L$2:$L$601,$R35)="","",INDEX(시장분석!$L$2:$L$601,$R35)))</f>
        <v>정부</v>
      </c>
      <c r="F35" s="17" t="str">
        <f aca="false">IF($R35="","",IF(INDEX(시장분석!$M$2:$M$601,$R35)="","",INDEX(시장분석!$M$2:$M$601,$R35)))</f>
        <v>AA</v>
      </c>
      <c r="G35" s="38" t="n">
        <f aca="false">IF($R35="","",IF(INDEX(시장분석!$K$2:$K$601,$R35)="","",INDEX(시장분석!$K$2:$K$601,$R35)))</f>
        <v>4.023</v>
      </c>
      <c r="H35" s="36" t="n">
        <f aca="false">IF($R35="","",IF(INDEX(시장분석!$D$2:$D$601,$R35)="","",INDEX(시장분석!$D$2:$D$601,$R35)))</f>
        <v>5.16</v>
      </c>
      <c r="I35" s="37" t="n">
        <f aca="false">IF($R35="","",IF(INDEX(시장분석!$E$2:$E$601,$R35)="","",INDEX(시장분석!$E$2:$E$601,$R35)))</f>
        <v>7.352</v>
      </c>
      <c r="J35" s="37" t="n">
        <f aca="false">IF($R35="","",IF(INDEX(시장분석!$AI$2:$AI$601,$R35)="","",INDEX(시장분석!$AI$2:$AI$601,$R35)))</f>
        <v>26.1075119123605</v>
      </c>
      <c r="K35" s="65" t="n">
        <f aca="false">IF($R35="","",IF(INDEX(시장분석!$AJ$2:$AJ$601,$R35)="","",INDEX(시장분석!$AJ$2:$AJ$601,$R35)))</f>
        <v>-18.7555119123605</v>
      </c>
      <c r="L35" s="66" t="n">
        <f aca="false">IF($R35="","",IF(INDEX(시장분석!$AK$2:$AK$601,$R35)="","",INDEX(시장분석!$AK$2:$AK$601,$R35)))</f>
        <v>-1.36971291040495</v>
      </c>
      <c r="M35" s="45" t="n">
        <f aca="false">IF($R35="","",IF(INDEX(시장분석!$AM$2:$AM$601,$R35)="","",INDEX(시장분석!$AM$2:$AM$601,$R35)))</f>
        <v>0.959316311197973</v>
      </c>
      <c r="N35" s="67" t="n">
        <f aca="false">IF($R35="","",IF(INDEX(시장분석!$AO$2:$AO$601,$R35)="","",INDEX(시장분석!$AO$2:$AO$601,$R35)))</f>
        <v>0.476007</v>
      </c>
      <c r="O35" s="17" t="str">
        <f aca="false">IF($R35="","",IF(INDEX(시장분석!$AP$2:$AP$601,$R35)="","",INDEX(시장분석!$AP$2:$AP$601,$R35)))</f>
        <v/>
      </c>
      <c r="P35" s="2"/>
      <c r="Q35" s="68" t="n">
        <f aca="false">LARGE(시장분석!$AU$2:$AU$601,A35)</f>
        <v>1.36971300440495</v>
      </c>
      <c r="R35" s="68" t="n">
        <f aca="false">IF(Q35&lt;-900,"",MATCH(Q35,시장분석!$AU$2:$AU$601,0))</f>
        <v>93</v>
      </c>
    </row>
    <row r="36" customFormat="false" ht="15" hidden="false" customHeight="false" outlineLevel="0" collapsed="false">
      <c r="A36" s="2" t="n">
        <v>7</v>
      </c>
      <c r="B36" s="17" t="str">
        <f aca="false">IF($R36="","",IF(INDEX(시장분석!$A$2:$A$601,$R36)="","",INDEX(시장분석!$A$2:$A$601,$R36)))</f>
        <v>HYNMTR 5.275 06/24/27</v>
      </c>
      <c r="C36" s="17" t="str">
        <f aca="false">IF($R36="","",IF(INDEX(시장분석!$B$2:$B$601,$R36)="","",INDEX(시장분석!$B$2:$B$601,$R36)))</f>
        <v>HYUNDAI CAPITAL AMERICA</v>
      </c>
      <c r="D36" s="17" t="str">
        <f aca="false">IF($R36="","",IF(INDEX(시장분석!$W$2:$W$601,$R36)="","",INDEX(시장분석!$W$2:$W$601,$R36)))</f>
        <v>미국</v>
      </c>
      <c r="E36" s="17" t="str">
        <f aca="false">IF($R36="","",IF(INDEX(시장분석!$L$2:$L$601,$R36)="","",INDEX(시장분석!$L$2:$L$601,$R36)))</f>
        <v>자유 소비재</v>
      </c>
      <c r="F36" s="17" t="str">
        <f aca="false">IF($R36="","",IF(INDEX(시장분석!$M$2:$M$601,$R36)="","",INDEX(시장분석!$M$2:$M$601,$R36)))</f>
        <v>A-</v>
      </c>
      <c r="G36" s="38" t="n">
        <f aca="false">IF($R36="","",IF(INDEX(시장분석!$K$2:$K$601,$R36)="","",INDEX(시장분석!$K$2:$K$601,$R36)))</f>
        <v>0.715</v>
      </c>
      <c r="H36" s="36" t="n">
        <f aca="false">IF($R36="","",IF(INDEX(시장분석!$D$2:$D$601,$R36)="","",INDEX(시장분석!$D$2:$D$601,$R36)))</f>
        <v>4.975</v>
      </c>
      <c r="I36" s="37" t="n">
        <f aca="false">IF($R36="","",IF(INDEX(시장분석!$E$2:$E$601,$R36)="","",INDEX(시장분석!$E$2:$E$601,$R36)))</f>
        <v>8.629</v>
      </c>
      <c r="J36" s="37" t="n">
        <f aca="false">IF($R36="","",IF(INDEX(시장분석!$AI$2:$AI$601,$R36)="","",INDEX(시장분석!$AI$2:$AI$601,$R36)))</f>
        <v>13.3526211420821</v>
      </c>
      <c r="K36" s="65" t="n">
        <f aca="false">IF($R36="","",IF(INDEX(시장분석!$AJ$2:$AJ$601,$R36)="","",INDEX(시장분석!$AJ$2:$AJ$601,$R36)))</f>
        <v>-4.72362114208215</v>
      </c>
      <c r="L36" s="66" t="n">
        <f aca="false">IF($R36="","",IF(INDEX(시장분석!$AK$2:$AK$601,$R36)="","",INDEX(시장분석!$AK$2:$AK$601,$R36)))</f>
        <v>-1.08908045992486</v>
      </c>
      <c r="M36" s="45" t="n">
        <f aca="false">IF($R36="","",IF(INDEX(시장분석!$AM$2:$AM$601,$R36)="","",INDEX(시장분석!$AM$2:$AM$601,$R36)))</f>
        <v>-4.72362114208215</v>
      </c>
      <c r="N36" s="67" t="n">
        <f aca="false">IF($R36="","",IF(INDEX(시장분석!$AO$2:$AO$601,$R36)="","",INDEX(시장분석!$AO$2:$AO$601,$R36)))</f>
        <v>10.01376</v>
      </c>
      <c r="O36" s="17" t="str">
        <f aca="false">IF($R36="","",IF(INDEX(시장분석!$AP$2:$AP$601,$R36)="","",INDEX(시장분석!$AP$2:$AP$601,$R36)))</f>
        <v/>
      </c>
      <c r="P36" s="2"/>
      <c r="Q36" s="68" t="n">
        <f aca="false">LARGE(시장분석!$AU$2:$AU$601,A36)</f>
        <v>1.08908052092486</v>
      </c>
      <c r="R36" s="68" t="n">
        <f aca="false">IF(Q36&lt;-900,"",MATCH(Q36,시장분석!$AU$2:$AU$601,0))</f>
        <v>60</v>
      </c>
    </row>
    <row r="37" customFormat="false" ht="15" hidden="false" customHeight="false" outlineLevel="0" collapsed="false">
      <c r="A37" s="2" t="n">
        <v>8</v>
      </c>
      <c r="B37" s="17" t="str">
        <f aca="false">IF($R37="","",IF(INDEX(시장분석!$A$2:$A$601,$R37)="","",INDEX(시장분석!$A$2:$A$601,$R37)))</f>
        <v/>
      </c>
      <c r="C37" s="17" t="str">
        <f aca="false">IF($R37="","",IF(INDEX(시장분석!$B$2:$B$601,$R37)="","",INDEX(시장분석!$B$2:$B$601,$R37)))</f>
        <v/>
      </c>
      <c r="D37" s="17" t="str">
        <f aca="false">IF($R37="","",IF(INDEX(시장분석!$W$2:$W$601,$R37)="","",INDEX(시장분석!$W$2:$W$601,$R37)))</f>
        <v/>
      </c>
      <c r="E37" s="17" t="str">
        <f aca="false">IF($R37="","",IF(INDEX(시장분석!$L$2:$L$601,$R37)="","",INDEX(시장분석!$L$2:$L$601,$R37)))</f>
        <v/>
      </c>
      <c r="F37" s="17" t="str">
        <f aca="false">IF($R37="","",IF(INDEX(시장분석!$M$2:$M$601,$R37)="","",INDEX(시장분석!$M$2:$M$601,$R37)))</f>
        <v/>
      </c>
      <c r="G37" s="38" t="str">
        <f aca="false">IF($R37="","",IF(INDEX(시장분석!$K$2:$K$601,$R37)="","",INDEX(시장분석!$K$2:$K$601,$R37)))</f>
        <v/>
      </c>
      <c r="H37" s="36" t="str">
        <f aca="false">IF($R37="","",IF(INDEX(시장분석!$D$2:$D$601,$R37)="","",INDEX(시장분석!$D$2:$D$601,$R37)))</f>
        <v/>
      </c>
      <c r="I37" s="37" t="str">
        <f aca="false">IF($R37="","",IF(INDEX(시장분석!$E$2:$E$601,$R37)="","",INDEX(시장분석!$E$2:$E$601,$R37)))</f>
        <v/>
      </c>
      <c r="J37" s="37" t="str">
        <f aca="false">IF($R37="","",IF(INDEX(시장분석!$AI$2:$AI$601,$R37)="","",INDEX(시장분석!$AI$2:$AI$601,$R37)))</f>
        <v/>
      </c>
      <c r="K37" s="65" t="str">
        <f aca="false">IF($R37="","",IF(INDEX(시장분석!$AJ$2:$AJ$601,$R37)="","",INDEX(시장분석!$AJ$2:$AJ$601,$R37)))</f>
        <v/>
      </c>
      <c r="L37" s="66" t="str">
        <f aca="false">IF($R37="","",IF(INDEX(시장분석!$AK$2:$AK$601,$R37)="","",INDEX(시장분석!$AK$2:$AK$601,$R37)))</f>
        <v/>
      </c>
      <c r="M37" s="45" t="str">
        <f aca="false">IF($R37="","",IF(INDEX(시장분석!$AM$2:$AM$601,$R37)="","",INDEX(시장분석!$AM$2:$AM$601,$R37)))</f>
        <v/>
      </c>
      <c r="N37" s="67" t="str">
        <f aca="false">IF($R37="","",IF(INDEX(시장분석!$AO$2:$AO$601,$R37)="","",INDEX(시장분석!$AO$2:$AO$601,$R37)))</f>
        <v/>
      </c>
      <c r="O37" s="17" t="str">
        <f aca="false">IF($R37="","",IF(INDEX(시장분석!$AP$2:$AP$601,$R37)="","",INDEX(시장분석!$AP$2:$AP$601,$R37)))</f>
        <v/>
      </c>
      <c r="P37" s="2"/>
      <c r="Q37" s="68" t="n">
        <f aca="false">LARGE(시장분석!$AU$2:$AU$601,A37)</f>
        <v>-999</v>
      </c>
      <c r="R37" s="68" t="str">
        <f aca="false">IF(Q37&lt;-900,"",MATCH(Q37,시장분석!$AU$2:$AU$601,0))</f>
        <v/>
      </c>
    </row>
    <row r="38" customFormat="false" ht="15" hidden="false" customHeight="false" outlineLevel="0" collapsed="false">
      <c r="A38" s="2" t="n">
        <v>9</v>
      </c>
      <c r="B38" s="17" t="str">
        <f aca="false">IF($R38="","",IF(INDEX(시장분석!$A$2:$A$601,$R38)="","",INDEX(시장분석!$A$2:$A$601,$R38)))</f>
        <v/>
      </c>
      <c r="C38" s="17" t="str">
        <f aca="false">IF($R38="","",IF(INDEX(시장분석!$B$2:$B$601,$R38)="","",INDEX(시장분석!$B$2:$B$601,$R38)))</f>
        <v/>
      </c>
      <c r="D38" s="17" t="str">
        <f aca="false">IF($R38="","",IF(INDEX(시장분석!$W$2:$W$601,$R38)="","",INDEX(시장분석!$W$2:$W$601,$R38)))</f>
        <v/>
      </c>
      <c r="E38" s="17" t="str">
        <f aca="false">IF($R38="","",IF(INDEX(시장분석!$L$2:$L$601,$R38)="","",INDEX(시장분석!$L$2:$L$601,$R38)))</f>
        <v/>
      </c>
      <c r="F38" s="17" t="str">
        <f aca="false">IF($R38="","",IF(INDEX(시장분석!$M$2:$M$601,$R38)="","",INDEX(시장분석!$M$2:$M$601,$R38)))</f>
        <v/>
      </c>
      <c r="G38" s="38" t="str">
        <f aca="false">IF($R38="","",IF(INDEX(시장분석!$K$2:$K$601,$R38)="","",INDEX(시장분석!$K$2:$K$601,$R38)))</f>
        <v/>
      </c>
      <c r="H38" s="36" t="str">
        <f aca="false">IF($R38="","",IF(INDEX(시장분석!$D$2:$D$601,$R38)="","",INDEX(시장분석!$D$2:$D$601,$R38)))</f>
        <v/>
      </c>
      <c r="I38" s="37" t="str">
        <f aca="false">IF($R38="","",IF(INDEX(시장분석!$E$2:$E$601,$R38)="","",INDEX(시장분석!$E$2:$E$601,$R38)))</f>
        <v/>
      </c>
      <c r="J38" s="37" t="str">
        <f aca="false">IF($R38="","",IF(INDEX(시장분석!$AI$2:$AI$601,$R38)="","",INDEX(시장분석!$AI$2:$AI$601,$R38)))</f>
        <v/>
      </c>
      <c r="K38" s="65" t="str">
        <f aca="false">IF($R38="","",IF(INDEX(시장분석!$AJ$2:$AJ$601,$R38)="","",INDEX(시장분석!$AJ$2:$AJ$601,$R38)))</f>
        <v/>
      </c>
      <c r="L38" s="66" t="str">
        <f aca="false">IF($R38="","",IF(INDEX(시장분석!$AK$2:$AK$601,$R38)="","",INDEX(시장분석!$AK$2:$AK$601,$R38)))</f>
        <v/>
      </c>
      <c r="M38" s="45" t="str">
        <f aca="false">IF($R38="","",IF(INDEX(시장분석!$AM$2:$AM$601,$R38)="","",INDEX(시장분석!$AM$2:$AM$601,$R38)))</f>
        <v/>
      </c>
      <c r="N38" s="67" t="str">
        <f aca="false">IF($R38="","",IF(INDEX(시장분석!$AO$2:$AO$601,$R38)="","",INDEX(시장분석!$AO$2:$AO$601,$R38)))</f>
        <v/>
      </c>
      <c r="O38" s="17" t="str">
        <f aca="false">IF($R38="","",IF(INDEX(시장분석!$AP$2:$AP$601,$R38)="","",INDEX(시장분석!$AP$2:$AP$601,$R38)))</f>
        <v/>
      </c>
      <c r="P38" s="2"/>
      <c r="Q38" s="68" t="n">
        <f aca="false">LARGE(시장분석!$AU$2:$AU$601,A38)</f>
        <v>-999</v>
      </c>
      <c r="R38" s="68" t="str">
        <f aca="false">IF(Q38&lt;-900,"",MATCH(Q38,시장분석!$AU$2:$AU$601,0))</f>
        <v/>
      </c>
    </row>
    <row r="39" customFormat="false" ht="15" hidden="false" customHeight="false" outlineLevel="0" collapsed="false">
      <c r="A39" s="2" t="n">
        <v>10</v>
      </c>
      <c r="B39" s="17" t="str">
        <f aca="false">IF($R39="","",IF(INDEX(시장분석!$A$2:$A$601,$R39)="","",INDEX(시장분석!$A$2:$A$601,$R39)))</f>
        <v/>
      </c>
      <c r="C39" s="17" t="str">
        <f aca="false">IF($R39="","",IF(INDEX(시장분석!$B$2:$B$601,$R39)="","",INDEX(시장분석!$B$2:$B$601,$R39)))</f>
        <v/>
      </c>
      <c r="D39" s="17" t="str">
        <f aca="false">IF($R39="","",IF(INDEX(시장분석!$W$2:$W$601,$R39)="","",INDEX(시장분석!$W$2:$W$601,$R39)))</f>
        <v/>
      </c>
      <c r="E39" s="17" t="str">
        <f aca="false">IF($R39="","",IF(INDEX(시장분석!$L$2:$L$601,$R39)="","",INDEX(시장분석!$L$2:$L$601,$R39)))</f>
        <v/>
      </c>
      <c r="F39" s="17" t="str">
        <f aca="false">IF($R39="","",IF(INDEX(시장분석!$M$2:$M$601,$R39)="","",INDEX(시장분석!$M$2:$M$601,$R39)))</f>
        <v/>
      </c>
      <c r="G39" s="38" t="str">
        <f aca="false">IF($R39="","",IF(INDEX(시장분석!$K$2:$K$601,$R39)="","",INDEX(시장분석!$K$2:$K$601,$R39)))</f>
        <v/>
      </c>
      <c r="H39" s="36" t="str">
        <f aca="false">IF($R39="","",IF(INDEX(시장분석!$D$2:$D$601,$R39)="","",INDEX(시장분석!$D$2:$D$601,$R39)))</f>
        <v/>
      </c>
      <c r="I39" s="37" t="str">
        <f aca="false">IF($R39="","",IF(INDEX(시장분석!$E$2:$E$601,$R39)="","",INDEX(시장분석!$E$2:$E$601,$R39)))</f>
        <v/>
      </c>
      <c r="J39" s="37" t="str">
        <f aca="false">IF($R39="","",IF(INDEX(시장분석!$AI$2:$AI$601,$R39)="","",INDEX(시장분석!$AI$2:$AI$601,$R39)))</f>
        <v/>
      </c>
      <c r="K39" s="65" t="str">
        <f aca="false">IF($R39="","",IF(INDEX(시장분석!$AJ$2:$AJ$601,$R39)="","",INDEX(시장분석!$AJ$2:$AJ$601,$R39)))</f>
        <v/>
      </c>
      <c r="L39" s="66" t="str">
        <f aca="false">IF($R39="","",IF(INDEX(시장분석!$AK$2:$AK$601,$R39)="","",INDEX(시장분석!$AK$2:$AK$601,$R39)))</f>
        <v/>
      </c>
      <c r="M39" s="45" t="str">
        <f aca="false">IF($R39="","",IF(INDEX(시장분석!$AM$2:$AM$601,$R39)="","",INDEX(시장분석!$AM$2:$AM$601,$R39)))</f>
        <v/>
      </c>
      <c r="N39" s="67" t="str">
        <f aca="false">IF($R39="","",IF(INDEX(시장분석!$AO$2:$AO$601,$R39)="","",INDEX(시장분석!$AO$2:$AO$601,$R39)))</f>
        <v/>
      </c>
      <c r="O39" s="17" t="str">
        <f aca="false">IF($R39="","",IF(INDEX(시장분석!$AP$2:$AP$601,$R39)="","",INDEX(시장분석!$AP$2:$AP$601,$R39)))</f>
        <v/>
      </c>
      <c r="P39" s="2"/>
      <c r="Q39" s="68" t="n">
        <f aca="false">LARGE(시장분석!$AU$2:$AU$601,A39)</f>
        <v>-999</v>
      </c>
      <c r="R39" s="68" t="str">
        <f aca="false">IF(Q39&lt;-900,"",MATCH(Q39,시장분석!$AU$2:$AU$601,0))</f>
        <v/>
      </c>
    </row>
    <row r="40" customFormat="false" ht="15" hidden="false" customHeight="false" outlineLevel="0" collapsed="false">
      <c r="A40" s="2" t="n">
        <v>11</v>
      </c>
      <c r="B40" s="17" t="str">
        <f aca="false">IF($R40="","",IF(INDEX(시장분석!$A$2:$A$601,$R40)="","",INDEX(시장분석!$A$2:$A$601,$R40)))</f>
        <v/>
      </c>
      <c r="C40" s="17" t="str">
        <f aca="false">IF($R40="","",IF(INDEX(시장분석!$B$2:$B$601,$R40)="","",INDEX(시장분석!$B$2:$B$601,$R40)))</f>
        <v/>
      </c>
      <c r="D40" s="17" t="str">
        <f aca="false">IF($R40="","",IF(INDEX(시장분석!$W$2:$W$601,$R40)="","",INDEX(시장분석!$W$2:$W$601,$R40)))</f>
        <v/>
      </c>
      <c r="E40" s="17" t="str">
        <f aca="false">IF($R40="","",IF(INDEX(시장분석!$L$2:$L$601,$R40)="","",INDEX(시장분석!$L$2:$L$601,$R40)))</f>
        <v/>
      </c>
      <c r="F40" s="17" t="str">
        <f aca="false">IF($R40="","",IF(INDEX(시장분석!$M$2:$M$601,$R40)="","",INDEX(시장분석!$M$2:$M$601,$R40)))</f>
        <v/>
      </c>
      <c r="G40" s="38" t="str">
        <f aca="false">IF($R40="","",IF(INDEX(시장분석!$K$2:$K$601,$R40)="","",INDEX(시장분석!$K$2:$K$601,$R40)))</f>
        <v/>
      </c>
      <c r="H40" s="36" t="str">
        <f aca="false">IF($R40="","",IF(INDEX(시장분석!$D$2:$D$601,$R40)="","",INDEX(시장분석!$D$2:$D$601,$R40)))</f>
        <v/>
      </c>
      <c r="I40" s="37" t="str">
        <f aca="false">IF($R40="","",IF(INDEX(시장분석!$E$2:$E$601,$R40)="","",INDEX(시장분석!$E$2:$E$601,$R40)))</f>
        <v/>
      </c>
      <c r="J40" s="37" t="str">
        <f aca="false">IF($R40="","",IF(INDEX(시장분석!$AI$2:$AI$601,$R40)="","",INDEX(시장분석!$AI$2:$AI$601,$R40)))</f>
        <v/>
      </c>
      <c r="K40" s="65" t="str">
        <f aca="false">IF($R40="","",IF(INDEX(시장분석!$AJ$2:$AJ$601,$R40)="","",INDEX(시장분석!$AJ$2:$AJ$601,$R40)))</f>
        <v/>
      </c>
      <c r="L40" s="66" t="str">
        <f aca="false">IF($R40="","",IF(INDEX(시장분석!$AK$2:$AK$601,$R40)="","",INDEX(시장분석!$AK$2:$AK$601,$R40)))</f>
        <v/>
      </c>
      <c r="M40" s="45" t="str">
        <f aca="false">IF($R40="","",IF(INDEX(시장분석!$AM$2:$AM$601,$R40)="","",INDEX(시장분석!$AM$2:$AM$601,$R40)))</f>
        <v/>
      </c>
      <c r="N40" s="67" t="str">
        <f aca="false">IF($R40="","",IF(INDEX(시장분석!$AO$2:$AO$601,$R40)="","",INDEX(시장분석!$AO$2:$AO$601,$R40)))</f>
        <v/>
      </c>
      <c r="O40" s="17" t="str">
        <f aca="false">IF($R40="","",IF(INDEX(시장분석!$AP$2:$AP$601,$R40)="","",INDEX(시장분석!$AP$2:$AP$601,$R40)))</f>
        <v/>
      </c>
      <c r="P40" s="2"/>
      <c r="Q40" s="68" t="n">
        <f aca="false">LARGE(시장분석!$AU$2:$AU$601,A40)</f>
        <v>-999</v>
      </c>
      <c r="R40" s="68" t="str">
        <f aca="false">IF(Q40&lt;-900,"",MATCH(Q40,시장분석!$AU$2:$AU$601,0))</f>
        <v/>
      </c>
    </row>
    <row r="41" customFormat="false" ht="15" hidden="false" customHeight="false" outlineLevel="0" collapsed="false">
      <c r="A41" s="2" t="n">
        <v>12</v>
      </c>
      <c r="B41" s="17" t="str">
        <f aca="false">IF($R41="","",IF(INDEX(시장분석!$A$2:$A$601,$R41)="","",INDEX(시장분석!$A$2:$A$601,$R41)))</f>
        <v/>
      </c>
      <c r="C41" s="17" t="str">
        <f aca="false">IF($R41="","",IF(INDEX(시장분석!$B$2:$B$601,$R41)="","",INDEX(시장분석!$B$2:$B$601,$R41)))</f>
        <v/>
      </c>
      <c r="D41" s="17" t="str">
        <f aca="false">IF($R41="","",IF(INDEX(시장분석!$W$2:$W$601,$R41)="","",INDEX(시장분석!$W$2:$W$601,$R41)))</f>
        <v/>
      </c>
      <c r="E41" s="17" t="str">
        <f aca="false">IF($R41="","",IF(INDEX(시장분석!$L$2:$L$601,$R41)="","",INDEX(시장분석!$L$2:$L$601,$R41)))</f>
        <v/>
      </c>
      <c r="F41" s="17" t="str">
        <f aca="false">IF($R41="","",IF(INDEX(시장분석!$M$2:$M$601,$R41)="","",INDEX(시장분석!$M$2:$M$601,$R41)))</f>
        <v/>
      </c>
      <c r="G41" s="38" t="str">
        <f aca="false">IF($R41="","",IF(INDEX(시장분석!$K$2:$K$601,$R41)="","",INDEX(시장분석!$K$2:$K$601,$R41)))</f>
        <v/>
      </c>
      <c r="H41" s="36" t="str">
        <f aca="false">IF($R41="","",IF(INDEX(시장분석!$D$2:$D$601,$R41)="","",INDEX(시장분석!$D$2:$D$601,$R41)))</f>
        <v/>
      </c>
      <c r="I41" s="37" t="str">
        <f aca="false">IF($R41="","",IF(INDEX(시장분석!$E$2:$E$601,$R41)="","",INDEX(시장분석!$E$2:$E$601,$R41)))</f>
        <v/>
      </c>
      <c r="J41" s="37" t="str">
        <f aca="false">IF($R41="","",IF(INDEX(시장분석!$AI$2:$AI$601,$R41)="","",INDEX(시장분석!$AI$2:$AI$601,$R41)))</f>
        <v/>
      </c>
      <c r="K41" s="65" t="str">
        <f aca="false">IF($R41="","",IF(INDEX(시장분석!$AJ$2:$AJ$601,$R41)="","",INDEX(시장분석!$AJ$2:$AJ$601,$R41)))</f>
        <v/>
      </c>
      <c r="L41" s="66" t="str">
        <f aca="false">IF($R41="","",IF(INDEX(시장분석!$AK$2:$AK$601,$R41)="","",INDEX(시장분석!$AK$2:$AK$601,$R41)))</f>
        <v/>
      </c>
      <c r="M41" s="45" t="str">
        <f aca="false">IF($R41="","",IF(INDEX(시장분석!$AM$2:$AM$601,$R41)="","",INDEX(시장분석!$AM$2:$AM$601,$R41)))</f>
        <v/>
      </c>
      <c r="N41" s="67" t="str">
        <f aca="false">IF($R41="","",IF(INDEX(시장분석!$AO$2:$AO$601,$R41)="","",INDEX(시장분석!$AO$2:$AO$601,$R41)))</f>
        <v/>
      </c>
      <c r="O41" s="17" t="str">
        <f aca="false">IF($R41="","",IF(INDEX(시장분석!$AP$2:$AP$601,$R41)="","",INDEX(시장분석!$AP$2:$AP$601,$R41)))</f>
        <v/>
      </c>
      <c r="P41" s="2"/>
      <c r="Q41" s="68" t="n">
        <f aca="false">LARGE(시장분석!$AU$2:$AU$601,A41)</f>
        <v>-999</v>
      </c>
      <c r="R41" s="68" t="str">
        <f aca="false">IF(Q41&lt;-900,"",MATCH(Q41,시장분석!$AU$2:$AU$601,0))</f>
        <v/>
      </c>
    </row>
    <row r="42" customFormat="false" ht="15" hidden="false" customHeight="false" outlineLevel="0" collapsed="false">
      <c r="A42" s="2" t="n">
        <v>13</v>
      </c>
      <c r="B42" s="17" t="str">
        <f aca="false">IF($R42="","",IF(INDEX(시장분석!$A$2:$A$601,$R42)="","",INDEX(시장분석!$A$2:$A$601,$R42)))</f>
        <v/>
      </c>
      <c r="C42" s="17" t="str">
        <f aca="false">IF($R42="","",IF(INDEX(시장분석!$B$2:$B$601,$R42)="","",INDEX(시장분석!$B$2:$B$601,$R42)))</f>
        <v/>
      </c>
      <c r="D42" s="17" t="str">
        <f aca="false">IF($R42="","",IF(INDEX(시장분석!$W$2:$W$601,$R42)="","",INDEX(시장분석!$W$2:$W$601,$R42)))</f>
        <v/>
      </c>
      <c r="E42" s="17" t="str">
        <f aca="false">IF($R42="","",IF(INDEX(시장분석!$L$2:$L$601,$R42)="","",INDEX(시장분석!$L$2:$L$601,$R42)))</f>
        <v/>
      </c>
      <c r="F42" s="17" t="str">
        <f aca="false">IF($R42="","",IF(INDEX(시장분석!$M$2:$M$601,$R42)="","",INDEX(시장분석!$M$2:$M$601,$R42)))</f>
        <v/>
      </c>
      <c r="G42" s="38" t="str">
        <f aca="false">IF($R42="","",IF(INDEX(시장분석!$K$2:$K$601,$R42)="","",INDEX(시장분석!$K$2:$K$601,$R42)))</f>
        <v/>
      </c>
      <c r="H42" s="36" t="str">
        <f aca="false">IF($R42="","",IF(INDEX(시장분석!$D$2:$D$601,$R42)="","",INDEX(시장분석!$D$2:$D$601,$R42)))</f>
        <v/>
      </c>
      <c r="I42" s="37" t="str">
        <f aca="false">IF($R42="","",IF(INDEX(시장분석!$E$2:$E$601,$R42)="","",INDEX(시장분석!$E$2:$E$601,$R42)))</f>
        <v/>
      </c>
      <c r="J42" s="37" t="str">
        <f aca="false">IF($R42="","",IF(INDEX(시장분석!$AI$2:$AI$601,$R42)="","",INDEX(시장분석!$AI$2:$AI$601,$R42)))</f>
        <v/>
      </c>
      <c r="K42" s="65" t="str">
        <f aca="false">IF($R42="","",IF(INDEX(시장분석!$AJ$2:$AJ$601,$R42)="","",INDEX(시장분석!$AJ$2:$AJ$601,$R42)))</f>
        <v/>
      </c>
      <c r="L42" s="66" t="str">
        <f aca="false">IF($R42="","",IF(INDEX(시장분석!$AK$2:$AK$601,$R42)="","",INDEX(시장분석!$AK$2:$AK$601,$R42)))</f>
        <v/>
      </c>
      <c r="M42" s="45" t="str">
        <f aca="false">IF($R42="","",IF(INDEX(시장분석!$AM$2:$AM$601,$R42)="","",INDEX(시장분석!$AM$2:$AM$601,$R42)))</f>
        <v/>
      </c>
      <c r="N42" s="67" t="str">
        <f aca="false">IF($R42="","",IF(INDEX(시장분석!$AO$2:$AO$601,$R42)="","",INDEX(시장분석!$AO$2:$AO$601,$R42)))</f>
        <v/>
      </c>
      <c r="O42" s="17" t="str">
        <f aca="false">IF($R42="","",IF(INDEX(시장분석!$AP$2:$AP$601,$R42)="","",INDEX(시장분석!$AP$2:$AP$601,$R42)))</f>
        <v/>
      </c>
      <c r="P42" s="2"/>
      <c r="Q42" s="68" t="n">
        <f aca="false">LARGE(시장분석!$AU$2:$AU$601,A42)</f>
        <v>-999</v>
      </c>
      <c r="R42" s="68" t="str">
        <f aca="false">IF(Q42&lt;-900,"",MATCH(Q42,시장분석!$AU$2:$AU$601,0))</f>
        <v/>
      </c>
    </row>
    <row r="43" customFormat="false" ht="15" hidden="false" customHeight="false" outlineLevel="0" collapsed="false">
      <c r="A43" s="2" t="n">
        <v>14</v>
      </c>
      <c r="B43" s="17" t="str">
        <f aca="false">IF($R43="","",IF(INDEX(시장분석!$A$2:$A$601,$R43)="","",INDEX(시장분석!$A$2:$A$601,$R43)))</f>
        <v/>
      </c>
      <c r="C43" s="17" t="str">
        <f aca="false">IF($R43="","",IF(INDEX(시장분석!$B$2:$B$601,$R43)="","",INDEX(시장분석!$B$2:$B$601,$R43)))</f>
        <v/>
      </c>
      <c r="D43" s="17" t="str">
        <f aca="false">IF($R43="","",IF(INDEX(시장분석!$W$2:$W$601,$R43)="","",INDEX(시장분석!$W$2:$W$601,$R43)))</f>
        <v/>
      </c>
      <c r="E43" s="17" t="str">
        <f aca="false">IF($R43="","",IF(INDEX(시장분석!$L$2:$L$601,$R43)="","",INDEX(시장분석!$L$2:$L$601,$R43)))</f>
        <v/>
      </c>
      <c r="F43" s="17" t="str">
        <f aca="false">IF($R43="","",IF(INDEX(시장분석!$M$2:$M$601,$R43)="","",INDEX(시장분석!$M$2:$M$601,$R43)))</f>
        <v/>
      </c>
      <c r="G43" s="38" t="str">
        <f aca="false">IF($R43="","",IF(INDEX(시장분석!$K$2:$K$601,$R43)="","",INDEX(시장분석!$K$2:$K$601,$R43)))</f>
        <v/>
      </c>
      <c r="H43" s="36" t="str">
        <f aca="false">IF($R43="","",IF(INDEX(시장분석!$D$2:$D$601,$R43)="","",INDEX(시장분석!$D$2:$D$601,$R43)))</f>
        <v/>
      </c>
      <c r="I43" s="37" t="str">
        <f aca="false">IF($R43="","",IF(INDEX(시장분석!$E$2:$E$601,$R43)="","",INDEX(시장분석!$E$2:$E$601,$R43)))</f>
        <v/>
      </c>
      <c r="J43" s="37" t="str">
        <f aca="false">IF($R43="","",IF(INDEX(시장분석!$AI$2:$AI$601,$R43)="","",INDEX(시장분석!$AI$2:$AI$601,$R43)))</f>
        <v/>
      </c>
      <c r="K43" s="65" t="str">
        <f aca="false">IF($R43="","",IF(INDEX(시장분석!$AJ$2:$AJ$601,$R43)="","",INDEX(시장분석!$AJ$2:$AJ$601,$R43)))</f>
        <v/>
      </c>
      <c r="L43" s="66" t="str">
        <f aca="false">IF($R43="","",IF(INDEX(시장분석!$AK$2:$AK$601,$R43)="","",INDEX(시장분석!$AK$2:$AK$601,$R43)))</f>
        <v/>
      </c>
      <c r="M43" s="45" t="str">
        <f aca="false">IF($R43="","",IF(INDEX(시장분석!$AM$2:$AM$601,$R43)="","",INDEX(시장분석!$AM$2:$AM$601,$R43)))</f>
        <v/>
      </c>
      <c r="N43" s="67" t="str">
        <f aca="false">IF($R43="","",IF(INDEX(시장분석!$AO$2:$AO$601,$R43)="","",INDEX(시장분석!$AO$2:$AO$601,$R43)))</f>
        <v/>
      </c>
      <c r="O43" s="17" t="str">
        <f aca="false">IF($R43="","",IF(INDEX(시장분석!$AP$2:$AP$601,$R43)="","",INDEX(시장분석!$AP$2:$AP$601,$R43)))</f>
        <v/>
      </c>
      <c r="P43" s="2"/>
      <c r="Q43" s="68" t="n">
        <f aca="false">LARGE(시장분석!$AU$2:$AU$601,A43)</f>
        <v>-999</v>
      </c>
      <c r="R43" s="68" t="str">
        <f aca="false">IF(Q43&lt;-900,"",MATCH(Q43,시장분석!$AU$2:$AU$601,0))</f>
        <v/>
      </c>
    </row>
    <row r="44" customFormat="false" ht="15" hidden="false" customHeight="false" outlineLevel="0" collapsed="false">
      <c r="A44" s="2" t="n">
        <v>15</v>
      </c>
      <c r="B44" s="17" t="str">
        <f aca="false">IF($R44="","",IF(INDEX(시장분석!$A$2:$A$601,$R44)="","",INDEX(시장분석!$A$2:$A$601,$R44)))</f>
        <v/>
      </c>
      <c r="C44" s="17" t="str">
        <f aca="false">IF($R44="","",IF(INDEX(시장분석!$B$2:$B$601,$R44)="","",INDEX(시장분석!$B$2:$B$601,$R44)))</f>
        <v/>
      </c>
      <c r="D44" s="17" t="str">
        <f aca="false">IF($R44="","",IF(INDEX(시장분석!$W$2:$W$601,$R44)="","",INDEX(시장분석!$W$2:$W$601,$R44)))</f>
        <v/>
      </c>
      <c r="E44" s="17" t="str">
        <f aca="false">IF($R44="","",IF(INDEX(시장분석!$L$2:$L$601,$R44)="","",INDEX(시장분석!$L$2:$L$601,$R44)))</f>
        <v/>
      </c>
      <c r="F44" s="17" t="str">
        <f aca="false">IF($R44="","",IF(INDEX(시장분석!$M$2:$M$601,$R44)="","",INDEX(시장분석!$M$2:$M$601,$R44)))</f>
        <v/>
      </c>
      <c r="G44" s="38" t="str">
        <f aca="false">IF($R44="","",IF(INDEX(시장분석!$K$2:$K$601,$R44)="","",INDEX(시장분석!$K$2:$K$601,$R44)))</f>
        <v/>
      </c>
      <c r="H44" s="36" t="str">
        <f aca="false">IF($R44="","",IF(INDEX(시장분석!$D$2:$D$601,$R44)="","",INDEX(시장분석!$D$2:$D$601,$R44)))</f>
        <v/>
      </c>
      <c r="I44" s="37" t="str">
        <f aca="false">IF($R44="","",IF(INDEX(시장분석!$E$2:$E$601,$R44)="","",INDEX(시장분석!$E$2:$E$601,$R44)))</f>
        <v/>
      </c>
      <c r="J44" s="37" t="str">
        <f aca="false">IF($R44="","",IF(INDEX(시장분석!$AI$2:$AI$601,$R44)="","",INDEX(시장분석!$AI$2:$AI$601,$R44)))</f>
        <v/>
      </c>
      <c r="K44" s="65" t="str">
        <f aca="false">IF($R44="","",IF(INDEX(시장분석!$AJ$2:$AJ$601,$R44)="","",INDEX(시장분석!$AJ$2:$AJ$601,$R44)))</f>
        <v/>
      </c>
      <c r="L44" s="66" t="str">
        <f aca="false">IF($R44="","",IF(INDEX(시장분석!$AK$2:$AK$601,$R44)="","",INDEX(시장분석!$AK$2:$AK$601,$R44)))</f>
        <v/>
      </c>
      <c r="M44" s="45" t="str">
        <f aca="false">IF($R44="","",IF(INDEX(시장분석!$AM$2:$AM$601,$R44)="","",INDEX(시장분석!$AM$2:$AM$601,$R44)))</f>
        <v/>
      </c>
      <c r="N44" s="67" t="str">
        <f aca="false">IF($R44="","",IF(INDEX(시장분석!$AO$2:$AO$601,$R44)="","",INDEX(시장분석!$AO$2:$AO$601,$R44)))</f>
        <v/>
      </c>
      <c r="O44" s="17" t="str">
        <f aca="false">IF($R44="","",IF(INDEX(시장분석!$AP$2:$AP$601,$R44)="","",INDEX(시장분석!$AP$2:$AP$601,$R44)))</f>
        <v/>
      </c>
      <c r="P44" s="2"/>
      <c r="Q44" s="68" t="n">
        <f aca="false">LARGE(시장분석!$AU$2:$AU$601,A44)</f>
        <v>-999</v>
      </c>
      <c r="R44" s="68" t="str">
        <f aca="false">IF(Q44&lt;-900,"",MATCH(Q44,시장분석!$AU$2:$AU$601,0))</f>
        <v/>
      </c>
    </row>
    <row r="45" customFormat="false" ht="15" hidden="false" customHeight="false" outlineLevel="0" collapsed="false">
      <c r="A45" s="2" t="n">
        <v>16</v>
      </c>
      <c r="B45" s="17" t="str">
        <f aca="false">IF($R45="","",IF(INDEX(시장분석!$A$2:$A$601,$R45)="","",INDEX(시장분석!$A$2:$A$601,$R45)))</f>
        <v/>
      </c>
      <c r="C45" s="17" t="str">
        <f aca="false">IF($R45="","",IF(INDEX(시장분석!$B$2:$B$601,$R45)="","",INDEX(시장분석!$B$2:$B$601,$R45)))</f>
        <v/>
      </c>
      <c r="D45" s="17" t="str">
        <f aca="false">IF($R45="","",IF(INDEX(시장분석!$W$2:$W$601,$R45)="","",INDEX(시장분석!$W$2:$W$601,$R45)))</f>
        <v/>
      </c>
      <c r="E45" s="17" t="str">
        <f aca="false">IF($R45="","",IF(INDEX(시장분석!$L$2:$L$601,$R45)="","",INDEX(시장분석!$L$2:$L$601,$R45)))</f>
        <v/>
      </c>
      <c r="F45" s="17" t="str">
        <f aca="false">IF($R45="","",IF(INDEX(시장분석!$M$2:$M$601,$R45)="","",INDEX(시장분석!$M$2:$M$601,$R45)))</f>
        <v/>
      </c>
      <c r="G45" s="38" t="str">
        <f aca="false">IF($R45="","",IF(INDEX(시장분석!$K$2:$K$601,$R45)="","",INDEX(시장분석!$K$2:$K$601,$R45)))</f>
        <v/>
      </c>
      <c r="H45" s="36" t="str">
        <f aca="false">IF($R45="","",IF(INDEX(시장분석!$D$2:$D$601,$R45)="","",INDEX(시장분석!$D$2:$D$601,$R45)))</f>
        <v/>
      </c>
      <c r="I45" s="37" t="str">
        <f aca="false">IF($R45="","",IF(INDEX(시장분석!$E$2:$E$601,$R45)="","",INDEX(시장분석!$E$2:$E$601,$R45)))</f>
        <v/>
      </c>
      <c r="J45" s="37" t="str">
        <f aca="false">IF($R45="","",IF(INDEX(시장분석!$AI$2:$AI$601,$R45)="","",INDEX(시장분석!$AI$2:$AI$601,$R45)))</f>
        <v/>
      </c>
      <c r="K45" s="65" t="str">
        <f aca="false">IF($R45="","",IF(INDEX(시장분석!$AJ$2:$AJ$601,$R45)="","",INDEX(시장분석!$AJ$2:$AJ$601,$R45)))</f>
        <v/>
      </c>
      <c r="L45" s="66" t="str">
        <f aca="false">IF($R45="","",IF(INDEX(시장분석!$AK$2:$AK$601,$R45)="","",INDEX(시장분석!$AK$2:$AK$601,$R45)))</f>
        <v/>
      </c>
      <c r="M45" s="45" t="str">
        <f aca="false">IF($R45="","",IF(INDEX(시장분석!$AM$2:$AM$601,$R45)="","",INDEX(시장분석!$AM$2:$AM$601,$R45)))</f>
        <v/>
      </c>
      <c r="N45" s="67" t="str">
        <f aca="false">IF($R45="","",IF(INDEX(시장분석!$AO$2:$AO$601,$R45)="","",INDEX(시장분석!$AO$2:$AO$601,$R45)))</f>
        <v/>
      </c>
      <c r="O45" s="17" t="str">
        <f aca="false">IF($R45="","",IF(INDEX(시장분석!$AP$2:$AP$601,$R45)="","",INDEX(시장분석!$AP$2:$AP$601,$R45)))</f>
        <v/>
      </c>
      <c r="P45" s="2"/>
      <c r="Q45" s="68" t="n">
        <f aca="false">LARGE(시장분석!$AU$2:$AU$601,A45)</f>
        <v>-999</v>
      </c>
      <c r="R45" s="68" t="str">
        <f aca="false">IF(Q45&lt;-900,"",MATCH(Q45,시장분석!$AU$2:$AU$601,0))</f>
        <v/>
      </c>
    </row>
    <row r="46" customFormat="false" ht="15" hidden="false" customHeight="false" outlineLevel="0" collapsed="false">
      <c r="A46" s="2" t="n">
        <v>17</v>
      </c>
      <c r="B46" s="17" t="str">
        <f aca="false">IF($R46="","",IF(INDEX(시장분석!$A$2:$A$601,$R46)="","",INDEX(시장분석!$A$2:$A$601,$R46)))</f>
        <v/>
      </c>
      <c r="C46" s="17" t="str">
        <f aca="false">IF($R46="","",IF(INDEX(시장분석!$B$2:$B$601,$R46)="","",INDEX(시장분석!$B$2:$B$601,$R46)))</f>
        <v/>
      </c>
      <c r="D46" s="17" t="str">
        <f aca="false">IF($R46="","",IF(INDEX(시장분석!$W$2:$W$601,$R46)="","",INDEX(시장분석!$W$2:$W$601,$R46)))</f>
        <v/>
      </c>
      <c r="E46" s="17" t="str">
        <f aca="false">IF($R46="","",IF(INDEX(시장분석!$L$2:$L$601,$R46)="","",INDEX(시장분석!$L$2:$L$601,$R46)))</f>
        <v/>
      </c>
      <c r="F46" s="17" t="str">
        <f aca="false">IF($R46="","",IF(INDEX(시장분석!$M$2:$M$601,$R46)="","",INDEX(시장분석!$M$2:$M$601,$R46)))</f>
        <v/>
      </c>
      <c r="G46" s="38" t="str">
        <f aca="false">IF($R46="","",IF(INDEX(시장분석!$K$2:$K$601,$R46)="","",INDEX(시장분석!$K$2:$K$601,$R46)))</f>
        <v/>
      </c>
      <c r="H46" s="36" t="str">
        <f aca="false">IF($R46="","",IF(INDEX(시장분석!$D$2:$D$601,$R46)="","",INDEX(시장분석!$D$2:$D$601,$R46)))</f>
        <v/>
      </c>
      <c r="I46" s="37" t="str">
        <f aca="false">IF($R46="","",IF(INDEX(시장분석!$E$2:$E$601,$R46)="","",INDEX(시장분석!$E$2:$E$601,$R46)))</f>
        <v/>
      </c>
      <c r="J46" s="37" t="str">
        <f aca="false">IF($R46="","",IF(INDEX(시장분석!$AI$2:$AI$601,$R46)="","",INDEX(시장분석!$AI$2:$AI$601,$R46)))</f>
        <v/>
      </c>
      <c r="K46" s="65" t="str">
        <f aca="false">IF($R46="","",IF(INDEX(시장분석!$AJ$2:$AJ$601,$R46)="","",INDEX(시장분석!$AJ$2:$AJ$601,$R46)))</f>
        <v/>
      </c>
      <c r="L46" s="66" t="str">
        <f aca="false">IF($R46="","",IF(INDEX(시장분석!$AK$2:$AK$601,$R46)="","",INDEX(시장분석!$AK$2:$AK$601,$R46)))</f>
        <v/>
      </c>
      <c r="M46" s="45" t="str">
        <f aca="false">IF($R46="","",IF(INDEX(시장분석!$AM$2:$AM$601,$R46)="","",INDEX(시장분석!$AM$2:$AM$601,$R46)))</f>
        <v/>
      </c>
      <c r="N46" s="67" t="str">
        <f aca="false">IF($R46="","",IF(INDEX(시장분석!$AO$2:$AO$601,$R46)="","",INDEX(시장분석!$AO$2:$AO$601,$R46)))</f>
        <v/>
      </c>
      <c r="O46" s="17" t="str">
        <f aca="false">IF($R46="","",IF(INDEX(시장분석!$AP$2:$AP$601,$R46)="","",INDEX(시장분석!$AP$2:$AP$601,$R46)))</f>
        <v/>
      </c>
      <c r="P46" s="2"/>
      <c r="Q46" s="68" t="n">
        <f aca="false">LARGE(시장분석!$AU$2:$AU$601,A46)</f>
        <v>-999</v>
      </c>
      <c r="R46" s="68" t="str">
        <f aca="false">IF(Q46&lt;-900,"",MATCH(Q46,시장분석!$AU$2:$AU$601,0))</f>
        <v/>
      </c>
    </row>
    <row r="47" customFormat="false" ht="15" hidden="false" customHeight="false" outlineLevel="0" collapsed="false">
      <c r="A47" s="2" t="n">
        <v>18</v>
      </c>
      <c r="B47" s="17" t="str">
        <f aca="false">IF($R47="","",IF(INDEX(시장분석!$A$2:$A$601,$R47)="","",INDEX(시장분석!$A$2:$A$601,$R47)))</f>
        <v/>
      </c>
      <c r="C47" s="17" t="str">
        <f aca="false">IF($R47="","",IF(INDEX(시장분석!$B$2:$B$601,$R47)="","",INDEX(시장분석!$B$2:$B$601,$R47)))</f>
        <v/>
      </c>
      <c r="D47" s="17" t="str">
        <f aca="false">IF($R47="","",IF(INDEX(시장분석!$W$2:$W$601,$R47)="","",INDEX(시장분석!$W$2:$W$601,$R47)))</f>
        <v/>
      </c>
      <c r="E47" s="17" t="str">
        <f aca="false">IF($R47="","",IF(INDEX(시장분석!$L$2:$L$601,$R47)="","",INDEX(시장분석!$L$2:$L$601,$R47)))</f>
        <v/>
      </c>
      <c r="F47" s="17" t="str">
        <f aca="false">IF($R47="","",IF(INDEX(시장분석!$M$2:$M$601,$R47)="","",INDEX(시장분석!$M$2:$M$601,$R47)))</f>
        <v/>
      </c>
      <c r="G47" s="38" t="str">
        <f aca="false">IF($R47="","",IF(INDEX(시장분석!$K$2:$K$601,$R47)="","",INDEX(시장분석!$K$2:$K$601,$R47)))</f>
        <v/>
      </c>
      <c r="H47" s="36" t="str">
        <f aca="false">IF($R47="","",IF(INDEX(시장분석!$D$2:$D$601,$R47)="","",INDEX(시장분석!$D$2:$D$601,$R47)))</f>
        <v/>
      </c>
      <c r="I47" s="37" t="str">
        <f aca="false">IF($R47="","",IF(INDEX(시장분석!$E$2:$E$601,$R47)="","",INDEX(시장분석!$E$2:$E$601,$R47)))</f>
        <v/>
      </c>
      <c r="J47" s="37" t="str">
        <f aca="false">IF($R47="","",IF(INDEX(시장분석!$AI$2:$AI$601,$R47)="","",INDEX(시장분석!$AI$2:$AI$601,$R47)))</f>
        <v/>
      </c>
      <c r="K47" s="65" t="str">
        <f aca="false">IF($R47="","",IF(INDEX(시장분석!$AJ$2:$AJ$601,$R47)="","",INDEX(시장분석!$AJ$2:$AJ$601,$R47)))</f>
        <v/>
      </c>
      <c r="L47" s="66" t="str">
        <f aca="false">IF($R47="","",IF(INDEX(시장분석!$AK$2:$AK$601,$R47)="","",INDEX(시장분석!$AK$2:$AK$601,$R47)))</f>
        <v/>
      </c>
      <c r="M47" s="45" t="str">
        <f aca="false">IF($R47="","",IF(INDEX(시장분석!$AM$2:$AM$601,$R47)="","",INDEX(시장분석!$AM$2:$AM$601,$R47)))</f>
        <v/>
      </c>
      <c r="N47" s="67" t="str">
        <f aca="false">IF($R47="","",IF(INDEX(시장분석!$AO$2:$AO$601,$R47)="","",INDEX(시장분석!$AO$2:$AO$601,$R47)))</f>
        <v/>
      </c>
      <c r="O47" s="17" t="str">
        <f aca="false">IF($R47="","",IF(INDEX(시장분석!$AP$2:$AP$601,$R47)="","",INDEX(시장분석!$AP$2:$AP$601,$R47)))</f>
        <v/>
      </c>
      <c r="P47" s="2"/>
      <c r="Q47" s="68" t="n">
        <f aca="false">LARGE(시장분석!$AU$2:$AU$601,A47)</f>
        <v>-999</v>
      </c>
      <c r="R47" s="68" t="str">
        <f aca="false">IF(Q47&lt;-900,"",MATCH(Q47,시장분석!$AU$2:$AU$601,0))</f>
        <v/>
      </c>
    </row>
    <row r="48" customFormat="false" ht="15" hidden="false" customHeight="false" outlineLevel="0" collapsed="false">
      <c r="A48" s="2" t="n">
        <v>19</v>
      </c>
      <c r="B48" s="17" t="str">
        <f aca="false">IF($R48="","",IF(INDEX(시장분석!$A$2:$A$601,$R48)="","",INDEX(시장분석!$A$2:$A$601,$R48)))</f>
        <v/>
      </c>
      <c r="C48" s="17" t="str">
        <f aca="false">IF($R48="","",IF(INDEX(시장분석!$B$2:$B$601,$R48)="","",INDEX(시장분석!$B$2:$B$601,$R48)))</f>
        <v/>
      </c>
      <c r="D48" s="17" t="str">
        <f aca="false">IF($R48="","",IF(INDEX(시장분석!$W$2:$W$601,$R48)="","",INDEX(시장분석!$W$2:$W$601,$R48)))</f>
        <v/>
      </c>
      <c r="E48" s="17" t="str">
        <f aca="false">IF($R48="","",IF(INDEX(시장분석!$L$2:$L$601,$R48)="","",INDEX(시장분석!$L$2:$L$601,$R48)))</f>
        <v/>
      </c>
      <c r="F48" s="17" t="str">
        <f aca="false">IF($R48="","",IF(INDEX(시장분석!$M$2:$M$601,$R48)="","",INDEX(시장분석!$M$2:$M$601,$R48)))</f>
        <v/>
      </c>
      <c r="G48" s="38" t="str">
        <f aca="false">IF($R48="","",IF(INDEX(시장분석!$K$2:$K$601,$R48)="","",INDEX(시장분석!$K$2:$K$601,$R48)))</f>
        <v/>
      </c>
      <c r="H48" s="36" t="str">
        <f aca="false">IF($R48="","",IF(INDEX(시장분석!$D$2:$D$601,$R48)="","",INDEX(시장분석!$D$2:$D$601,$R48)))</f>
        <v/>
      </c>
      <c r="I48" s="37" t="str">
        <f aca="false">IF($R48="","",IF(INDEX(시장분석!$E$2:$E$601,$R48)="","",INDEX(시장분석!$E$2:$E$601,$R48)))</f>
        <v/>
      </c>
      <c r="J48" s="37" t="str">
        <f aca="false">IF($R48="","",IF(INDEX(시장분석!$AI$2:$AI$601,$R48)="","",INDEX(시장분석!$AI$2:$AI$601,$R48)))</f>
        <v/>
      </c>
      <c r="K48" s="65" t="str">
        <f aca="false">IF($R48="","",IF(INDEX(시장분석!$AJ$2:$AJ$601,$R48)="","",INDEX(시장분석!$AJ$2:$AJ$601,$R48)))</f>
        <v/>
      </c>
      <c r="L48" s="66" t="str">
        <f aca="false">IF($R48="","",IF(INDEX(시장분석!$AK$2:$AK$601,$R48)="","",INDEX(시장분석!$AK$2:$AK$601,$R48)))</f>
        <v/>
      </c>
      <c r="M48" s="45" t="str">
        <f aca="false">IF($R48="","",IF(INDEX(시장분석!$AM$2:$AM$601,$R48)="","",INDEX(시장분석!$AM$2:$AM$601,$R48)))</f>
        <v/>
      </c>
      <c r="N48" s="67" t="str">
        <f aca="false">IF($R48="","",IF(INDEX(시장분석!$AO$2:$AO$601,$R48)="","",INDEX(시장분석!$AO$2:$AO$601,$R48)))</f>
        <v/>
      </c>
      <c r="O48" s="17" t="str">
        <f aca="false">IF($R48="","",IF(INDEX(시장분석!$AP$2:$AP$601,$R48)="","",INDEX(시장분석!$AP$2:$AP$601,$R48)))</f>
        <v/>
      </c>
      <c r="P48" s="2"/>
      <c r="Q48" s="68" t="n">
        <f aca="false">LARGE(시장분석!$AU$2:$AU$601,A48)</f>
        <v>-999</v>
      </c>
      <c r="R48" s="68" t="str">
        <f aca="false">IF(Q48&lt;-900,"",MATCH(Q48,시장분석!$AU$2:$AU$601,0))</f>
        <v/>
      </c>
    </row>
    <row r="49" customFormat="false" ht="15" hidden="false" customHeight="false" outlineLevel="0" collapsed="false">
      <c r="A49" s="2" t="n">
        <v>20</v>
      </c>
      <c r="B49" s="17" t="str">
        <f aca="false">IF($R49="","",IF(INDEX(시장분석!$A$2:$A$601,$R49)="","",INDEX(시장분석!$A$2:$A$601,$R49)))</f>
        <v/>
      </c>
      <c r="C49" s="17" t="str">
        <f aca="false">IF($R49="","",IF(INDEX(시장분석!$B$2:$B$601,$R49)="","",INDEX(시장분석!$B$2:$B$601,$R49)))</f>
        <v/>
      </c>
      <c r="D49" s="17" t="str">
        <f aca="false">IF($R49="","",IF(INDEX(시장분석!$W$2:$W$601,$R49)="","",INDEX(시장분석!$W$2:$W$601,$R49)))</f>
        <v/>
      </c>
      <c r="E49" s="17" t="str">
        <f aca="false">IF($R49="","",IF(INDEX(시장분석!$L$2:$L$601,$R49)="","",INDEX(시장분석!$L$2:$L$601,$R49)))</f>
        <v/>
      </c>
      <c r="F49" s="17" t="str">
        <f aca="false">IF($R49="","",IF(INDEX(시장분석!$M$2:$M$601,$R49)="","",INDEX(시장분석!$M$2:$M$601,$R49)))</f>
        <v/>
      </c>
      <c r="G49" s="38" t="str">
        <f aca="false">IF($R49="","",IF(INDEX(시장분석!$K$2:$K$601,$R49)="","",INDEX(시장분석!$K$2:$K$601,$R49)))</f>
        <v/>
      </c>
      <c r="H49" s="36" t="str">
        <f aca="false">IF($R49="","",IF(INDEX(시장분석!$D$2:$D$601,$R49)="","",INDEX(시장분석!$D$2:$D$601,$R49)))</f>
        <v/>
      </c>
      <c r="I49" s="37" t="str">
        <f aca="false">IF($R49="","",IF(INDEX(시장분석!$E$2:$E$601,$R49)="","",INDEX(시장분석!$E$2:$E$601,$R49)))</f>
        <v/>
      </c>
      <c r="J49" s="37" t="str">
        <f aca="false">IF($R49="","",IF(INDEX(시장분석!$AI$2:$AI$601,$R49)="","",INDEX(시장분석!$AI$2:$AI$601,$R49)))</f>
        <v/>
      </c>
      <c r="K49" s="65" t="str">
        <f aca="false">IF($R49="","",IF(INDEX(시장분석!$AJ$2:$AJ$601,$R49)="","",INDEX(시장분석!$AJ$2:$AJ$601,$R49)))</f>
        <v/>
      </c>
      <c r="L49" s="66" t="str">
        <f aca="false">IF($R49="","",IF(INDEX(시장분석!$AK$2:$AK$601,$R49)="","",INDEX(시장분석!$AK$2:$AK$601,$R49)))</f>
        <v/>
      </c>
      <c r="M49" s="45" t="str">
        <f aca="false">IF($R49="","",IF(INDEX(시장분석!$AM$2:$AM$601,$R49)="","",INDEX(시장분석!$AM$2:$AM$601,$R49)))</f>
        <v/>
      </c>
      <c r="N49" s="67" t="str">
        <f aca="false">IF($R49="","",IF(INDEX(시장분석!$AO$2:$AO$601,$R49)="","",INDEX(시장분석!$AO$2:$AO$601,$R49)))</f>
        <v/>
      </c>
      <c r="O49" s="17" t="str">
        <f aca="false">IF($R49="","",IF(INDEX(시장분석!$AP$2:$AP$601,$R49)="","",INDEX(시장분석!$AP$2:$AP$601,$R49)))</f>
        <v/>
      </c>
      <c r="P49" s="2"/>
      <c r="Q49" s="68" t="n">
        <f aca="false">LARGE(시장분석!$AU$2:$AU$601,A49)</f>
        <v>-999</v>
      </c>
      <c r="R49" s="68" t="str">
        <f aca="false">IF(Q49&lt;-900,"",MATCH(Q49,시장분석!$AU$2:$AU$601,0))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4"/>
    <col collapsed="false" customWidth="true" hidden="false" outlineLevel="0" max="5" min="4" style="0" width="10"/>
    <col collapsed="false" customWidth="true" hidden="false" outlineLevel="0" max="6" min="6" style="0" width="6"/>
    <col collapsed="false" customWidth="true" hidden="false" outlineLevel="0" max="9" min="7" style="0" width="8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14"/>
  </cols>
  <sheetData>
    <row r="1" customFormat="false" ht="17.35" hidden="false" customHeight="false" outlineLevel="0" collapsed="false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3" t="s">
        <v>137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19" t="s">
        <v>138</v>
      </c>
      <c r="B4" s="2"/>
      <c r="C4" s="69" t="s">
        <v>139</v>
      </c>
      <c r="D4" s="70" t="s">
        <v>140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19" t="s">
        <v>141</v>
      </c>
      <c r="B5" s="2"/>
      <c r="C5" s="71" t="n">
        <v>1</v>
      </c>
      <c r="D5" s="70" t="s">
        <v>142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19" t="s">
        <v>143</v>
      </c>
      <c r="B6" s="2"/>
      <c r="C6" s="69" t="s">
        <v>144</v>
      </c>
      <c r="D6" s="72" t="s">
        <v>145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19" t="s">
        <v>146</v>
      </c>
      <c r="B7" s="2"/>
      <c r="C7" s="69" t="s">
        <v>144</v>
      </c>
      <c r="D7" s="72" t="s">
        <v>147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19" t="s">
        <v>148</v>
      </c>
      <c r="B8" s="2"/>
      <c r="C8" s="69" t="s">
        <v>144</v>
      </c>
      <c r="D8" s="72" t="s">
        <v>149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19" t="s">
        <v>150</v>
      </c>
      <c r="B9" s="2"/>
      <c r="C9" s="41" t="n">
        <v>0</v>
      </c>
      <c r="D9" s="70" t="s">
        <v>151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19" t="s">
        <v>152</v>
      </c>
      <c r="B10" s="2"/>
      <c r="C10" s="73"/>
      <c r="D10" s="70" t="s">
        <v>153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68" t="s">
        <v>154</v>
      </c>
      <c r="B12" s="2"/>
      <c r="C12" s="68" t="n">
        <f aca="false">IFERROR(MATCH(C4,시장분석!$A$2:$A$601,0),"")</f>
        <v>47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19" t="s">
        <v>155</v>
      </c>
      <c r="B13" s="2"/>
      <c r="C13" s="74" t="n">
        <f aca="false">IF(ISNUMBER(C10),C10,IF(C12="","",IF(INDEX(시장분석!$AO$2:$AO$601,C12)&gt;0,INDEX(시장분석!$AO$2:$AO$601,C12),10)))</f>
        <v>9.80794</v>
      </c>
      <c r="D13" s="70" t="s">
        <v>156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24" t="s">
        <v>157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41" hidden="false" customHeight="false" outlineLevel="0" collapsed="false">
      <c r="A16" s="5" t="s">
        <v>121</v>
      </c>
      <c r="B16" s="5" t="s">
        <v>122</v>
      </c>
      <c r="C16" s="5" t="s">
        <v>124</v>
      </c>
      <c r="D16" s="5" t="s">
        <v>158</v>
      </c>
      <c r="E16" s="5" t="s">
        <v>125</v>
      </c>
      <c r="F16" s="5" t="s">
        <v>126</v>
      </c>
      <c r="G16" s="25" t="s">
        <v>127</v>
      </c>
      <c r="H16" s="25" t="s">
        <v>128</v>
      </c>
      <c r="I16" s="25" t="s">
        <v>44</v>
      </c>
      <c r="J16" s="5" t="s">
        <v>159</v>
      </c>
      <c r="K16" s="5" t="s">
        <v>130</v>
      </c>
      <c r="L16" s="25" t="s">
        <v>131</v>
      </c>
      <c r="M16" s="5" t="s">
        <v>160</v>
      </c>
      <c r="N16" s="5" t="s">
        <v>133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75" t="str">
        <f aca="false">IF($C$12="","",IF(INDEX(시장분석!$A$2:$A$601,$C$12)="","",INDEX(시장분석!$A$2:$A$601,$C$12)))</f>
        <v>HSBC 4.95 03/31/30</v>
      </c>
      <c r="B17" s="75" t="str">
        <f aca="false">IF($C$12="","",IF(INDEX(시장분석!$B$2:$B$601,$C$12)="","",INDEX(시장분석!$B$2:$B$601,$C$12)))</f>
        <v>HSBC HOLDINGS PLC</v>
      </c>
      <c r="C17" s="75" t="str">
        <f aca="false">IF($C$12="","",IF(INDEX(시장분석!$L$2:$L$601,$C$12)="","",INDEX(시장분석!$L$2:$L$601,$C$12)))</f>
        <v>금융기관</v>
      </c>
      <c r="D17" s="75" t="str">
        <f aca="false">IF($C$12="","",IF(INDEX(시장분석!$N$2:$N$601,$C$12)="","",INDEX(시장분석!$N$2:$N$601,$C$12)))</f>
        <v>유럽</v>
      </c>
      <c r="E17" s="75" t="str">
        <f aca="false">IF($C$12="","",IF(INDEX(시장분석!$M$2:$M$601,$C$12)="","",INDEX(시장분석!$M$2:$M$601,$C$12)))</f>
        <v>A-</v>
      </c>
      <c r="F17" s="58" t="n">
        <f aca="false">IF($C$12="","",IF(INDEX(시장분석!$K$2:$K$601,$C$12)="","",INDEX(시장분석!$K$2:$K$601,$C$12)))</f>
        <v>3.248</v>
      </c>
      <c r="G17" s="55" t="n">
        <f aca="false">IF($C$12="","",IF(INDEX(시장분석!$D$2:$D$601,$C$12)="","",INDEX(시장분석!$D$2:$D$601,$C$12)))</f>
        <v>5.572</v>
      </c>
      <c r="H17" s="57" t="n">
        <f aca="false">IF($C$12="","",IF(INDEX(시장분석!$E$2:$E$601,$C$12)="","",INDEX(시장분석!$E$2:$E$601,$C$12)))</f>
        <v>48.492</v>
      </c>
      <c r="I17" s="55" t="n">
        <f aca="false">IF($C$12="","",IF(INDEX(시장분석!$AR$2:$AR$601,$C$12)="","",INDEX(시장분석!$AR$2:$AR$601,$C$12)))</f>
        <v>5.82499994329797</v>
      </c>
      <c r="J17" s="57" t="n">
        <f aca="false">IF($C$12="","",IF(INDEX(시장분석!$AS$2:$AS$601,$C$12)="","",INDEX(시장분석!$AS$2:$AS$601,$C$12)))</f>
        <v>22.719210076908</v>
      </c>
      <c r="K17" s="56" t="n">
        <f aca="false">IF($C$12="","",IF(INDEX(시장분석!$AJ$2:$AJ$601,$C$12)="","",INDEX(시장분석!$AJ$2:$AJ$601,$C$12)))</f>
        <v>-30.9019101364472</v>
      </c>
      <c r="L17" s="76" t="n">
        <f aca="false">IF($C$12="","",IF(INDEX(시장분석!$AK$2:$AK$601,$C$12)="","",INDEX(시장분석!$AK$2:$AK$601,$C$12)))</f>
        <v>-2.81226061394171</v>
      </c>
      <c r="M17" s="75" t="str">
        <f aca="false">IF($C$12="","",IF(INDEX(시장분석!$AE$2:$AE$601,$C$12)="","",INDEX(시장분석!$AE$2:$AE$601,$C$12)))</f>
        <v>유럽|금융기관</v>
      </c>
      <c r="N17" s="77" t="n">
        <f aca="false">IF($C$12="","",IF(INDEX(시장분석!$AO$2:$AO$601,$C$12)="","",INDEX(시장분석!$AO$2:$AO$601,$C$12)))</f>
        <v>9.80794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7.15" hidden="false" customHeight="false" outlineLevel="0" collapsed="false">
      <c r="A19" s="24" t="s">
        <v>161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41" hidden="false" customHeight="false" outlineLevel="0" collapsed="false">
      <c r="A20" s="5" t="s">
        <v>120</v>
      </c>
      <c r="B20" s="5" t="s">
        <v>121</v>
      </c>
      <c r="C20" s="5" t="s">
        <v>122</v>
      </c>
      <c r="D20" s="5" t="s">
        <v>124</v>
      </c>
      <c r="E20" s="5" t="s">
        <v>158</v>
      </c>
      <c r="F20" s="5" t="s">
        <v>125</v>
      </c>
      <c r="G20" s="5" t="s">
        <v>126</v>
      </c>
      <c r="H20" s="25" t="s">
        <v>127</v>
      </c>
      <c r="I20" s="25" t="s">
        <v>128</v>
      </c>
      <c r="J20" s="25" t="s">
        <v>162</v>
      </c>
      <c r="K20" s="25" t="s">
        <v>163</v>
      </c>
      <c r="L20" s="5" t="s">
        <v>164</v>
      </c>
      <c r="M20" s="5" t="s">
        <v>159</v>
      </c>
      <c r="N20" s="5" t="s">
        <v>165</v>
      </c>
      <c r="O20" s="5" t="s">
        <v>130</v>
      </c>
      <c r="P20" s="25" t="s">
        <v>131</v>
      </c>
      <c r="Q20" s="5" t="s">
        <v>166</v>
      </c>
      <c r="R20" s="25" t="s">
        <v>167</v>
      </c>
      <c r="S20" s="5" t="s">
        <v>168</v>
      </c>
      <c r="T20" s="25" t="s">
        <v>169</v>
      </c>
      <c r="U20" s="5" t="s">
        <v>133</v>
      </c>
      <c r="V20" s="5" t="s">
        <v>134</v>
      </c>
      <c r="W20" s="78" t="s">
        <v>170</v>
      </c>
      <c r="X20" s="78" t="s">
        <v>171</v>
      </c>
    </row>
    <row r="21" customFormat="false" ht="17.15" hidden="false" customHeight="false" outlineLevel="0" collapsed="false">
      <c r="A21" s="2" t="n">
        <v>1</v>
      </c>
      <c r="B21" s="17" t="str">
        <f aca="false">IF($X21="","",IF(INDEX(시장분석!$A$2:$A$601,$X21)="","",INDEX(시장분석!$A$2:$A$601,$X21)))</f>
        <v>SPCX 5.35 07/15/31</v>
      </c>
      <c r="C21" s="17" t="str">
        <f aca="false">IF($X21="","",IF(INDEX(시장분석!$B$2:$B$601,$X21)="","",INDEX(시장분석!$B$2:$B$601,$X21)))</f>
        <v>SPACE EXPLORATION TECH</v>
      </c>
      <c r="D21" s="17" t="str">
        <f aca="false">IF($X21="","",IF(INDEX(시장분석!$L$2:$L$601,$X21)="","",INDEX(시장분석!$L$2:$L$601,$X21)))</f>
        <v>통신</v>
      </c>
      <c r="E21" s="17" t="str">
        <f aca="false">IF($X21="","",IF(INDEX(시장분석!$N$2:$N$601,$X21)="","",INDEX(시장분석!$N$2:$N$601,$X21)))</f>
        <v>미국</v>
      </c>
      <c r="F21" s="17" t="str">
        <f aca="false">IF($X21="","",IF(INDEX(시장분석!$M$2:$M$601,$X21)="","",INDEX(시장분석!$M$2:$M$601,$X21)))</f>
        <v>BBB</v>
      </c>
      <c r="G21" s="38" t="n">
        <f aca="false">IF($X21="","",IF(INDEX(시장분석!$K$2:$K$601,$X21)="","",INDEX(시장분석!$K$2:$K$601,$X21)))</f>
        <v>4.21</v>
      </c>
      <c r="H21" s="36" t="n">
        <f aca="false">IF($X21="","",IF(INDEX(시장분석!$D$2:$D$601,$X21)="","",INDEX(시장분석!$D$2:$D$601,$X21)))</f>
        <v>6.533</v>
      </c>
      <c r="I21" s="37" t="n">
        <f aca="false">IF($X21="","",IF(INDEX(시장분석!$E$2:$E$601,$X21)="","",INDEX(시장분석!$E$2:$E$601,$X21)))</f>
        <v>144.658</v>
      </c>
      <c r="J21" s="45" t="n">
        <f aca="false">IF($X21="","",I21-$H$17)</f>
        <v>96.166</v>
      </c>
      <c r="K21" s="45" t="n">
        <f aca="false">IF($X21="","",(H21-$G$17)*100)</f>
        <v>96.1</v>
      </c>
      <c r="L21" s="45" t="n">
        <f aca="false">IF($X21="","",(INDEX(시장분석!$AR$2:$AR$601,$X21)-$I$17)*100)</f>
        <v>95.9122624132776</v>
      </c>
      <c r="M21" s="37" t="n">
        <f aca="false">IF($X21="","",IF(INDEX(시장분석!$AS$2:$AS$601,$X21)="","",INDEX(시장분석!$AS$2:$AS$601,$X21)))</f>
        <v>40.3254766610629</v>
      </c>
      <c r="N21" s="45" t="n">
        <f aca="false">IF(OR($X21="",M21="",$J$17=""),"",M21-$J$17)</f>
        <v>17.6062665841549</v>
      </c>
      <c r="O21" s="45" t="n">
        <f aca="false">IF($X21="","",IF(INDEX(시장분석!$AJ$2:$AJ$601,$X21)="","",INDEX(시장분석!$AJ$2:$AJ$601,$X21)))</f>
        <v>64.3060821653164</v>
      </c>
      <c r="P21" s="79" t="n">
        <f aca="false">IF($X21="","",IF(INDEX(시장분석!$AK$2:$AK$601,$X21)="","",INDEX(시장분석!$AK$2:$AK$601,$X21)))</f>
        <v>4.1422880721914</v>
      </c>
      <c r="Q21" s="7" t="str">
        <f aca="false">IF($X21="","",IF(INDEX(시장분석!$AE$2:$AE$601,$X21)=$M$17,"동일 피어","다른 피어"))</f>
        <v>다른 피어</v>
      </c>
      <c r="R21" s="80" t="n">
        <f aca="false">IF(OR($X21="",$C$13=""),"",$C$13*$F$17/G21)</f>
        <v>7.56679076484561</v>
      </c>
      <c r="S21" s="10" t="n">
        <f aca="false">IF(OR($X21="",$C$13=""),"",$C$13*L21/10000*1000000)</f>
        <v>94070.1715013682</v>
      </c>
      <c r="T21" s="10" t="n">
        <f aca="false">IF(OR($X21="",$C$13=""),"",$C$13*1000000*(G21-$F$17)/10000)</f>
        <v>943.523828</v>
      </c>
      <c r="U21" s="67" t="n">
        <f aca="false">IF($X21="","",IF(INDEX(시장분석!$AO$2:$AO$601,$X21)="","",INDEX(시장분석!$AO$2:$AO$601,$X21)))</f>
        <v>4.76132</v>
      </c>
      <c r="V21" s="17" t="str">
        <f aca="false">IF($X21="","",IF(INDEX(시장분석!$AP$2:$AP$601,$X21)="","",INDEX(시장분석!$AP$2:$AP$601,$X21)))</f>
        <v/>
      </c>
      <c r="W21" s="78" t="n">
        <f aca="false">LARGE(시장분석!$AT$2:$AT$601,A21)</f>
        <v>96.166000151</v>
      </c>
      <c r="X21" s="78" t="n">
        <f aca="false">IF(W21&lt;-900,"",MATCH(W21,시장분석!$AT$2:$AT$601,0))</f>
        <v>150</v>
      </c>
    </row>
    <row r="22" customFormat="false" ht="17.15" hidden="false" customHeight="false" outlineLevel="0" collapsed="false">
      <c r="A22" s="2" t="n">
        <v>2</v>
      </c>
      <c r="B22" s="17" t="str">
        <f aca="false">IF($X22="","",IF(INDEX(시장분석!$A$2:$A$601,$X22)="","",INDEX(시장분석!$A$2:$A$601,$X22)))</f>
        <v>POINTL 5 1/8 06/29/31</v>
      </c>
      <c r="C22" s="17" t="str">
        <f aca="false">IF($X22="","",IF(INDEX(시장분석!$B$2:$B$601,$X22)="","",INDEX(시장분석!$B$2:$B$601,$X22)))</f>
        <v>POSCO INTERNATIONAL CORP</v>
      </c>
      <c r="D22" s="17" t="str">
        <f aca="false">IF($X22="","",IF(INDEX(시장분석!$L$2:$L$601,$X22)="","",INDEX(시장분석!$L$2:$L$601,$X22)))</f>
        <v>원자재</v>
      </c>
      <c r="E22" s="17" t="str">
        <f aca="false">IF($X22="","",IF(INDEX(시장분석!$N$2:$N$601,$X22)="","",INDEX(시장분석!$N$2:$N$601,$X22)))</f>
        <v>아시아/기타</v>
      </c>
      <c r="F22" s="17" t="str">
        <f aca="false">IF($X22="","",IF(INDEX(시장분석!$M$2:$M$601,$X22)="","",INDEX(시장분석!$M$2:$M$601,$X22)))</f>
        <v>BBB</v>
      </c>
      <c r="G22" s="38" t="n">
        <f aca="false">IF($X22="","",IF(INDEX(시장분석!$K$2:$K$601,$X22)="","",INDEX(시장분석!$K$2:$K$601,$X22)))</f>
        <v>4.202</v>
      </c>
      <c r="H22" s="36" t="n">
        <f aca="false">IF($X22="","",IF(INDEX(시장분석!$D$2:$D$601,$X22)="","",INDEX(시장분석!$D$2:$D$601,$X22)))</f>
        <v>6.111</v>
      </c>
      <c r="I22" s="37" t="n">
        <f aca="false">IF($X22="","",IF(INDEX(시장분석!$E$2:$E$601,$X22)="","",INDEX(시장분석!$E$2:$E$601,$X22)))</f>
        <v>102.421</v>
      </c>
      <c r="J22" s="45" t="n">
        <f aca="false">IF($X22="","",I22-$H$17)</f>
        <v>53.929</v>
      </c>
      <c r="K22" s="45" t="n">
        <f aca="false">IF($X22="","",(H22-$G$17)*100)</f>
        <v>53.9</v>
      </c>
      <c r="L22" s="45" t="n">
        <f aca="false">IF($X22="","",(INDEX(시장분석!$AR$2:$AR$601,$X22)-$I$17)*100)</f>
        <v>53.1007902272501</v>
      </c>
      <c r="M22" s="37" t="n">
        <f aca="false">IF($X22="","",IF(INDEX(시장분석!$AS$2:$AS$601,$X22)="","",INDEX(시장분석!$AS$2:$AS$601,$X22)))</f>
        <v>30.2050891378028</v>
      </c>
      <c r="N22" s="45" t="n">
        <f aca="false">IF(OR($X22="",M22="",$J$17=""),"",M22-$J$17)</f>
        <v>7.4858790608948</v>
      </c>
      <c r="O22" s="45" t="n">
        <f aca="false">IF($X22="","",IF(INDEX(시장분석!$AJ$2:$AJ$601,$X22)="","",INDEX(시장분석!$AJ$2:$AJ$601,$X22)))</f>
        <v>18.8132446022738</v>
      </c>
      <c r="P22" s="79" t="n">
        <f aca="false">IF($X22="","",IF(INDEX(시장분석!$AK$2:$AK$601,$X22)="","",INDEX(시장분석!$AK$2:$AK$601,$X22)))</f>
        <v>1.69947378783185</v>
      </c>
      <c r="Q22" s="7" t="str">
        <f aca="false">IF($X22="","",IF(INDEX(시장분석!$AE$2:$AE$601,$X22)=$M$17,"동일 피어","다른 피어"))</f>
        <v>다른 피어</v>
      </c>
      <c r="R22" s="80" t="n">
        <f aca="false">IF(OR($X22="",$C$13=""),"",$C$13*$F$17/G22)</f>
        <v>7.58119683960019</v>
      </c>
      <c r="S22" s="10" t="n">
        <f aca="false">IF(OR($X22="",$C$13=""),"",$C$13*L22/10000*1000000)</f>
        <v>52080.9364501455</v>
      </c>
      <c r="T22" s="10" t="n">
        <f aca="false">IF(OR($X22="",$C$13=""),"",$C$13*1000000*(G22-$F$17)/10000)</f>
        <v>935.677476</v>
      </c>
      <c r="U22" s="67" t="n">
        <f aca="false">IF($X22="","",IF(INDEX(시장분석!$AO$2:$AO$601,$X22)="","",INDEX(시장분석!$AO$2:$AO$601,$X22)))</f>
        <v>14.446515</v>
      </c>
      <c r="V22" s="17" t="str">
        <f aca="false">IF($X22="","",IF(INDEX(시장분석!$AP$2:$AP$601,$X22)="","",INDEX(시장분석!$AP$2:$AP$601,$X22)))</f>
        <v/>
      </c>
      <c r="W22" s="78" t="n">
        <f aca="false">LARGE(시장분석!$AT$2:$AT$601,A22)</f>
        <v>53.929000198</v>
      </c>
      <c r="X22" s="78" t="n">
        <f aca="false">IF(W22&lt;-900,"",MATCH(W22,시장분석!$AT$2:$AT$601,0))</f>
        <v>197</v>
      </c>
    </row>
    <row r="23" customFormat="false" ht="17.15" hidden="false" customHeight="false" outlineLevel="0" collapsed="false">
      <c r="A23" s="2" t="n">
        <v>3</v>
      </c>
      <c r="B23" s="17" t="str">
        <f aca="false">IF($X23="","",IF(INDEX(시장분석!$A$2:$A$601,$X23)="","",INDEX(시장분석!$A$2:$A$601,$X23)))</f>
        <v>DAESEC 5 1/4 07/06/31</v>
      </c>
      <c r="C23" s="17" t="str">
        <f aca="false">IF($X23="","",IF(INDEX(시장분석!$B$2:$B$601,$X23)="","",INDEX(시장분석!$B$2:$B$601,$X23)))</f>
        <v>MIRAE ASSET SECURITIES</v>
      </c>
      <c r="D23" s="17" t="str">
        <f aca="false">IF($X23="","",IF(INDEX(시장분석!$L$2:$L$601,$X23)="","",INDEX(시장분석!$L$2:$L$601,$X23)))</f>
        <v>금융기관</v>
      </c>
      <c r="E23" s="17" t="str">
        <f aca="false">IF($X23="","",IF(INDEX(시장분석!$N$2:$N$601,$X23)="","",INDEX(시장분석!$N$2:$N$601,$X23)))</f>
        <v>아시아/기타</v>
      </c>
      <c r="F23" s="17" t="str">
        <f aca="false">IF($X23="","",IF(INDEX(시장분석!$M$2:$M$601,$X23)="","",INDEX(시장분석!$M$2:$M$601,$X23)))</f>
        <v/>
      </c>
      <c r="G23" s="38" t="n">
        <f aca="false">IF($X23="","",IF(INDEX(시장분석!$K$2:$K$601,$X23)="","",INDEX(시장분석!$K$2:$K$601,$X23)))</f>
        <v>4.203</v>
      </c>
      <c r="H23" s="36" t="n">
        <f aca="false">IF($X23="","",IF(INDEX(시장분석!$D$2:$D$601,$X23)="","",INDEX(시장분석!$D$2:$D$601,$X23)))</f>
        <v>6.11</v>
      </c>
      <c r="I23" s="37" t="n">
        <f aca="false">IF($X23="","",IF(INDEX(시장분석!$E$2:$E$601,$X23)="","",INDEX(시장분석!$E$2:$E$601,$X23)))</f>
        <v>102.298</v>
      </c>
      <c r="J23" s="45" t="n">
        <f aca="false">IF($X23="","",I23-$H$17)</f>
        <v>53.806</v>
      </c>
      <c r="K23" s="45" t="n">
        <f aca="false">IF($X23="","",(H23-$G$17)*100)</f>
        <v>53.8</v>
      </c>
      <c r="L23" s="45" t="n">
        <f aca="false">IF($X23="","",(INDEX(시장분석!$AR$2:$AR$601,$X23)-$I$17)*100)</f>
        <v>40.612967539469</v>
      </c>
      <c r="M23" s="37" t="n">
        <f aca="false">IF($X23="","",IF(INDEX(시장분석!$AS$2:$AS$601,$X23)="","",INDEX(시장분석!$AS$2:$AS$601,$X23)))</f>
        <v>27.2212614487904</v>
      </c>
      <c r="N23" s="45" t="n">
        <f aca="false">IF(OR($X23="",M23="",$J$17=""),"",M23-$J$17)</f>
        <v>4.50205137188242</v>
      </c>
      <c r="O23" s="45" t="n">
        <f aca="false">IF($X23="","",IF(INDEX(시장분석!$AJ$2:$AJ$601,$X23)="","",INDEX(시장분석!$AJ$2:$AJ$601,$X23)))</f>
        <v>32.1966716457596</v>
      </c>
      <c r="P23" s="79" t="n">
        <f aca="false">IF($X23="","",IF(INDEX(시장분석!$AK$2:$AK$601,$X23)="","",INDEX(시장분석!$AK$2:$AK$601,$X23)))</f>
        <v>1.57259550005133</v>
      </c>
      <c r="Q23" s="7" t="str">
        <f aca="false">IF($X23="","",IF(INDEX(시장분석!$AE$2:$AE$601,$X23)=$M$17,"동일 피어","다른 피어"))</f>
        <v>다른 피어</v>
      </c>
      <c r="R23" s="80" t="n">
        <f aca="false">IF(OR($X23="",$C$13=""),"",$C$13*$F$17/G23)</f>
        <v>7.57939308113252</v>
      </c>
      <c r="S23" s="10" t="n">
        <f aca="false">IF(OR($X23="",$C$13=""),"",$C$13*L23/10000*1000000)</f>
        <v>39832.9548849059</v>
      </c>
      <c r="T23" s="10" t="n">
        <f aca="false">IF(OR($X23="",$C$13=""),"",$C$13*1000000*(G23-$F$17)/10000)</f>
        <v>936.65827</v>
      </c>
      <c r="U23" s="67" t="n">
        <f aca="false">IF($X23="","",IF(INDEX(시장분석!$AO$2:$AO$601,$X23)="","",INDEX(시장분석!$AO$2:$AO$601,$X23)))</f>
        <v>21.7531125</v>
      </c>
      <c r="V23" s="17" t="str">
        <f aca="false">IF($X23="","",IF(INDEX(시장분석!$AP$2:$AP$601,$X23)="","",INDEX(시장분석!$AP$2:$AP$601,$X23)))</f>
        <v>등급미입력</v>
      </c>
      <c r="W23" s="78" t="n">
        <f aca="false">LARGE(시장분석!$AT$2:$AT$601,A23)</f>
        <v>53.80600026</v>
      </c>
      <c r="X23" s="78" t="n">
        <f aca="false">IF(W23&lt;-900,"",MATCH(W23,시장분석!$AT$2:$AT$601,0))</f>
        <v>259</v>
      </c>
    </row>
    <row r="24" customFormat="false" ht="17.15" hidden="false" customHeight="false" outlineLevel="0" collapsed="false">
      <c r="A24" s="2" t="n">
        <v>4</v>
      </c>
      <c r="B24" s="17" t="str">
        <f aca="false">IF($X24="","",IF(INDEX(시장분석!$A$2:$A$601,$X24)="","",INDEX(시장분석!$A$2:$A$601,$X24)))</f>
        <v>DAESEC 4 3/8 03/11/31</v>
      </c>
      <c r="C24" s="17" t="str">
        <f aca="false">IF($X24="","",IF(INDEX(시장분석!$B$2:$B$601,$X24)="","",INDEX(시장분석!$B$2:$B$601,$X24)))</f>
        <v>MIRAE ASSET SECURITIES</v>
      </c>
      <c r="D24" s="17" t="str">
        <f aca="false">IF($X24="","",IF(INDEX(시장분석!$L$2:$L$601,$X24)="","",INDEX(시장분석!$L$2:$L$601,$X24)))</f>
        <v>금융기관</v>
      </c>
      <c r="E24" s="17" t="str">
        <f aca="false">IF($X24="","",IF(INDEX(시장분석!$N$2:$N$601,$X24)="","",INDEX(시장분석!$N$2:$N$601,$X24)))</f>
        <v>아시아/기타</v>
      </c>
      <c r="F24" s="17" t="str">
        <f aca="false">IF($X24="","",IF(INDEX(시장분석!$M$2:$M$601,$X24)="","",INDEX(시장분석!$M$2:$M$601,$X24)))</f>
        <v/>
      </c>
      <c r="G24" s="38" t="n">
        <f aca="false">IF($X24="","",IF(INDEX(시장분석!$K$2:$K$601,$X24)="","",INDEX(시장분석!$K$2:$K$601,$X24)))</f>
        <v>4.051</v>
      </c>
      <c r="H24" s="36" t="n">
        <f aca="false">IF($X24="","",IF(INDEX(시장분석!$D$2:$D$601,$X24)="","",INDEX(시장분석!$D$2:$D$601,$X24)))</f>
        <v>6.087</v>
      </c>
      <c r="I24" s="37" t="n">
        <f aca="false">IF($X24="","",IF(INDEX(시장분석!$E$2:$E$601,$X24)="","",INDEX(시장분석!$E$2:$E$601,$X24)))</f>
        <v>100.03</v>
      </c>
      <c r="J24" s="45" t="n">
        <f aca="false">IF($X24="","",I24-$H$17)</f>
        <v>51.538</v>
      </c>
      <c r="K24" s="45" t="n">
        <f aca="false">IF($X24="","",(H24-$G$17)*100)</f>
        <v>51.5</v>
      </c>
      <c r="L24" s="45" t="n">
        <f aca="false">IF($X24="","",(INDEX(시장분석!$AR$2:$AR$601,$X24)-$I$17)*100)</f>
        <v>38.238531862245</v>
      </c>
      <c r="M24" s="37" t="n">
        <f aca="false">IF($X24="","",IF(INDEX(시장분석!$AS$2:$AS$601,$X24)="","",INDEX(시장분석!$AS$2:$AS$601,$X24)))</f>
        <v>27.6644103164755</v>
      </c>
      <c r="N24" s="45" t="n">
        <f aca="false">IF(OR($X24="",M24="",$J$17=""),"",M24-$J$17)</f>
        <v>4.94520023956753</v>
      </c>
      <c r="O24" s="45" t="n">
        <f aca="false">IF($X24="","",IF(INDEX(시장분석!$AJ$2:$AJ$601,$X24)="","",INDEX(시장분석!$AJ$2:$AJ$601,$X24)))</f>
        <v>30.4413499190446</v>
      </c>
      <c r="P24" s="79" t="n">
        <f aca="false">IF($X24="","",IF(INDEX(시장분석!$AK$2:$AK$601,$X24)="","",INDEX(시장분석!$AK$2:$AK$601,$X24)))</f>
        <v>1.48685958675739</v>
      </c>
      <c r="Q24" s="7" t="str">
        <f aca="false">IF($X24="","",IF(INDEX(시장분석!$AE$2:$AE$601,$X24)=$M$17,"동일 피어","다른 피어"))</f>
        <v>다른 피어</v>
      </c>
      <c r="R24" s="80" t="n">
        <f aca="false">IF(OR($X24="",$C$13=""),"",$C$13*$F$17/G24)</f>
        <v>7.86378403357196</v>
      </c>
      <c r="S24" s="10" t="n">
        <f aca="false">IF(OR($X24="",$C$13=""),"",$C$13*L24/10000*1000000)</f>
        <v>37504.1226192988</v>
      </c>
      <c r="T24" s="10" t="n">
        <f aca="false">IF(OR($X24="",$C$13=""),"",$C$13*1000000*(G24-$F$17)/10000)</f>
        <v>787.577582</v>
      </c>
      <c r="U24" s="67" t="n">
        <f aca="false">IF($X24="","",IF(INDEX(시장분석!$AO$2:$AO$601,$X24)="","",INDEX(시장분석!$AO$2:$AO$601,$X24)))</f>
        <v>2.808048</v>
      </c>
      <c r="V24" s="17" t="str">
        <f aca="false">IF($X24="","",IF(INDEX(시장분석!$AP$2:$AP$601,$X24)="","",INDEX(시장분석!$AP$2:$AP$601,$X24)))</f>
        <v>등급미입력</v>
      </c>
      <c r="W24" s="78" t="n">
        <f aca="false">LARGE(시장분석!$AT$2:$AT$601,A24)</f>
        <v>51.538000254</v>
      </c>
      <c r="X24" s="78" t="n">
        <f aca="false">IF(W24&lt;-900,"",MATCH(W24,시장분석!$AT$2:$AT$601,0))</f>
        <v>253</v>
      </c>
    </row>
    <row r="25" customFormat="false" ht="17.15" hidden="false" customHeight="false" outlineLevel="0" collapsed="false">
      <c r="A25" s="2" t="n">
        <v>5</v>
      </c>
      <c r="B25" s="17" t="str">
        <f aca="false">IF($X25="","",IF(INDEX(시장분석!$A$2:$A$601,$X25)="","",INDEX(시장분석!$A$2:$A$601,$X25)))</f>
        <v>BACR 5.102 06/26/32</v>
      </c>
      <c r="C25" s="17" t="str">
        <f aca="false">IF($X25="","",IF(INDEX(시장분석!$B$2:$B$601,$X25)="","",INDEX(시장분석!$B$2:$B$601,$X25)))</f>
        <v>BARCLAYS PLC</v>
      </c>
      <c r="D25" s="17" t="str">
        <f aca="false">IF($X25="","",IF(INDEX(시장분석!$L$2:$L$601,$X25)="","",INDEX(시장분석!$L$2:$L$601,$X25)))</f>
        <v>금융기관</v>
      </c>
      <c r="E25" s="17" t="str">
        <f aca="false">IF($X25="","",IF(INDEX(시장분석!$N$2:$N$601,$X25)="","",INDEX(시장분석!$N$2:$N$601,$X25)))</f>
        <v>유럽</v>
      </c>
      <c r="F25" s="17" t="str">
        <f aca="false">IF($X25="","",IF(INDEX(시장분석!$M$2:$M$601,$X25)="","",INDEX(시장분석!$M$2:$M$601,$X25)))</f>
        <v>BBB+</v>
      </c>
      <c r="G25" s="38" t="n">
        <f aca="false">IF($X25="","",IF(INDEX(시장분석!$K$2:$K$601,$X25)="","",INDEX(시장분석!$K$2:$K$601,$X25)))</f>
        <v>4.195</v>
      </c>
      <c r="H25" s="36" t="n">
        <f aca="false">IF($X25="","",IF(INDEX(시장분석!$D$2:$D$601,$X25)="","",INDEX(시장분석!$D$2:$D$601,$X25)))</f>
        <v>5.922</v>
      </c>
      <c r="I25" s="37" t="n">
        <f aca="false">IF($X25="","",IF(INDEX(시장분석!$E$2:$E$601,$X25)="","",INDEX(시장분석!$E$2:$E$601,$X25)))</f>
        <v>99.679</v>
      </c>
      <c r="J25" s="45" t="n">
        <f aca="false">IF($X25="","",I25-$H$17)</f>
        <v>51.187</v>
      </c>
      <c r="K25" s="45" t="n">
        <f aca="false">IF($X25="","",(H25-$G$17)*100)</f>
        <v>35</v>
      </c>
      <c r="L25" s="45" t="n">
        <f aca="false">IF($X25="","",(INDEX(시장분석!$AR$2:$AR$601,$X25)-$I$17)*100)</f>
        <v>36.3076578806496</v>
      </c>
      <c r="M25" s="37" t="n">
        <f aca="false">IF($X25="","",IF(INDEX(시장분석!$AS$2:$AS$601,$X25)="","",INDEX(시장분석!$AS$2:$AS$601,$X25)))</f>
        <v>30.1040887271625</v>
      </c>
      <c r="N25" s="45" t="n">
        <f aca="false">IF(OR($X25="",M25="",$J$17=""),"",M25-$J$17)</f>
        <v>7.38487865025456</v>
      </c>
      <c r="O25" s="45" t="n">
        <f aca="false">IF($X25="","",IF(INDEX(시장분석!$AJ$2:$AJ$601,$X25)="","",INDEX(시장분석!$AJ$2:$AJ$601,$X25)))</f>
        <v>12.4603456207721</v>
      </c>
      <c r="P25" s="79" t="n">
        <f aca="false">IF($X25="","",IF(INDEX(시장분석!$AK$2:$AK$601,$X25)="","",INDEX(시장분석!$AK$2:$AK$601,$X25)))</f>
        <v>1.13396677003693</v>
      </c>
      <c r="Q25" s="7" t="str">
        <f aca="false">IF($X25="","",IF(INDEX(시장분석!$AE$2:$AE$601,$X25)=$M$17,"동일 피어","다른 피어"))</f>
        <v>동일 피어</v>
      </c>
      <c r="R25" s="80" t="n">
        <f aca="false">IF(OR($X25="",$C$13=""),"",$C$13*$F$17/G25)</f>
        <v>7.59384722765197</v>
      </c>
      <c r="S25" s="10" t="n">
        <f aca="false">IF(OR($X25="",$C$13=""),"",$C$13*L25/10000*1000000)</f>
        <v>35610.3330033939</v>
      </c>
      <c r="T25" s="10" t="n">
        <f aca="false">IF(OR($X25="",$C$13=""),"",$C$13*1000000*(G25-$F$17)/10000)</f>
        <v>928.811918</v>
      </c>
      <c r="U25" s="67" t="n">
        <f aca="false">IF($X25="","",IF(INDEX(시장분석!$AO$2:$AO$601,$X25)="","",INDEX(시장분석!$AO$2:$AO$601,$X25)))</f>
        <v>4.805865</v>
      </c>
      <c r="V25" s="17" t="str">
        <f aca="false">IF($X25="","",IF(INDEX(시장분석!$AP$2:$AP$601,$X25)="","",INDEX(시장분석!$AP$2:$AP$601,$X25)))</f>
        <v/>
      </c>
      <c r="W25" s="78" t="n">
        <f aca="false">LARGE(시장분석!$AT$2:$AT$601,A25)</f>
        <v>51.187000021</v>
      </c>
      <c r="X25" s="78" t="n">
        <f aca="false">IF(W25&lt;-900,"",MATCH(W25,시장분석!$AT$2:$AT$601,0))</f>
        <v>20</v>
      </c>
    </row>
    <row r="26" customFormat="false" ht="17.15" hidden="false" customHeight="false" outlineLevel="0" collapsed="false">
      <c r="A26" s="2" t="n">
        <v>6</v>
      </c>
      <c r="B26" s="17" t="str">
        <f aca="false">IF($X26="","",IF(INDEX(시장분석!$A$2:$A$601,$X26)="","",INDEX(시장분석!$A$2:$A$601,$X26)))</f>
        <v>BNP 5.11 06/12/30</v>
      </c>
      <c r="C26" s="17" t="str">
        <f aca="false">IF($X26="","",IF(INDEX(시장분석!$B$2:$B$601,$X26)="","",INDEX(시장분석!$B$2:$B$601,$X26)))</f>
        <v>BNP PARIBAS</v>
      </c>
      <c r="D26" s="17" t="str">
        <f aca="false">IF($X26="","",IF(INDEX(시장분석!$L$2:$L$601,$X26)="","",INDEX(시장분석!$L$2:$L$601,$X26)))</f>
        <v>금융기관</v>
      </c>
      <c r="E26" s="17" t="str">
        <f aca="false">IF($X26="","",IF(INDEX(시장분석!$N$2:$N$601,$X26)="","",INDEX(시장분석!$N$2:$N$601,$X26)))</f>
        <v>유럽</v>
      </c>
      <c r="F26" s="17" t="str">
        <f aca="false">IF($X26="","",IF(INDEX(시장분석!$M$2:$M$601,$X26)="","",INDEX(시장분석!$M$2:$M$601,$X26)))</f>
        <v>A-</v>
      </c>
      <c r="G26" s="38" t="n">
        <f aca="false">IF($X26="","",IF(INDEX(시장분석!$K$2:$K$601,$X26)="","",INDEX(시장분석!$K$2:$K$601,$X26)))</f>
        <v>3.398</v>
      </c>
      <c r="H26" s="36" t="n">
        <f aca="false">IF($X26="","",IF(INDEX(시장분석!$D$2:$D$601,$X26)="","",INDEX(시장분석!$D$2:$D$601,$X26)))</f>
        <v>6.148</v>
      </c>
      <c r="I26" s="37" t="n">
        <f aca="false">IF($X26="","",IF(INDEX(시장분석!$E$2:$E$601,$X26)="","",INDEX(시장분석!$E$2:$E$601,$X26)))</f>
        <v>96.954</v>
      </c>
      <c r="J26" s="45" t="n">
        <f aca="false">IF($X26="","",I26-$H$17)</f>
        <v>48.462</v>
      </c>
      <c r="K26" s="45" t="n">
        <f aca="false">IF($X26="","",(H26-$G$17)*100)</f>
        <v>57.6</v>
      </c>
      <c r="L26" s="45" t="n">
        <f aca="false">IF($X26="","",(INDEX(시장분석!$AR$2:$AR$601,$X26)-$I$17)*100)</f>
        <v>57.8620036540583</v>
      </c>
      <c r="M26" s="37" t="n">
        <f aca="false">IF($X26="","",IF(INDEX(시장분석!$AS$2:$AS$601,$X26)="","",INDEX(시장분석!$AS$2:$AS$601,$X26)))</f>
        <v>36.05532606941</v>
      </c>
      <c r="N26" s="45" t="n">
        <f aca="false">IF(OR($X26="",M26="",$J$17=""),"",M26-$J$17)</f>
        <v>13.3361159925021</v>
      </c>
      <c r="O26" s="45" t="n">
        <f aca="false">IF($X26="","",IF(INDEX(시장분석!$AJ$2:$AJ$601,$X26)="","",INDEX(시장분석!$AJ$2:$AJ$601,$X26)))</f>
        <v>16.1793471573327</v>
      </c>
      <c r="P26" s="79" t="n">
        <f aca="false">IF($X26="","",IF(INDEX(시장분석!$AK$2:$AK$601,$X26)="","",INDEX(시장분석!$AK$2:$AK$601,$X26)))</f>
        <v>1.47241838996195</v>
      </c>
      <c r="Q26" s="7" t="str">
        <f aca="false">IF($X26="","",IF(INDEX(시장분석!$AE$2:$AE$601,$X26)=$M$17,"동일 피어","다른 피어"))</f>
        <v>동일 피어</v>
      </c>
      <c r="R26" s="80" t="n">
        <f aca="false">IF(OR($X26="",$C$13=""),"",$C$13*$F$17/G26)</f>
        <v>9.37498208357858</v>
      </c>
      <c r="S26" s="10" t="n">
        <f aca="false">IF(OR($X26="",$C$13=""),"",$C$13*L26/10000*1000000)</f>
        <v>56750.7060118785</v>
      </c>
      <c r="T26" s="10" t="n">
        <f aca="false">IF(OR($X26="",$C$13=""),"",$C$13*1000000*(G26-$F$17)/10000)</f>
        <v>147.1191</v>
      </c>
      <c r="U26" s="67" t="n">
        <f aca="false">IF($X26="","",IF(INDEX(시장분석!$AO$2:$AO$601,$X26)="","",INDEX(시장분석!$AO$2:$AO$601,$X26)))</f>
        <v>19.50166</v>
      </c>
      <c r="V26" s="17" t="str">
        <f aca="false">IF($X26="","",IF(INDEX(시장분석!$AP$2:$AP$601,$X26)="","",INDEX(시장분석!$AP$2:$AP$601,$X26)))</f>
        <v/>
      </c>
      <c r="W26" s="78" t="n">
        <f aca="false">LARGE(시장분석!$AT$2:$AT$601,A26)</f>
        <v>48.462000002</v>
      </c>
      <c r="X26" s="78" t="n">
        <f aca="false">IF(W26&lt;-900,"",MATCH(W26,시장분석!$AT$2:$AT$601,0))</f>
        <v>1</v>
      </c>
    </row>
    <row r="27" customFormat="false" ht="17.15" hidden="false" customHeight="false" outlineLevel="0" collapsed="false">
      <c r="A27" s="2" t="n">
        <v>7</v>
      </c>
      <c r="B27" s="17" t="str">
        <f aca="false">IF($X27="","",IF(INDEX(시장분석!$A$2:$A$601,$X27)="","",INDEX(시장분석!$A$2:$A$601,$X27)))</f>
        <v>BACR 4.521 02/24/32</v>
      </c>
      <c r="C27" s="17" t="str">
        <f aca="false">IF($X27="","",IF(INDEX(시장분석!$B$2:$B$601,$X27)="","",INDEX(시장분석!$B$2:$B$601,$X27)))</f>
        <v>BARCLAYS PLC</v>
      </c>
      <c r="D27" s="17" t="str">
        <f aca="false">IF($X27="","",IF(INDEX(시장분석!$L$2:$L$601,$X27)="","",INDEX(시장분석!$L$2:$L$601,$X27)))</f>
        <v>금융기관</v>
      </c>
      <c r="E27" s="17" t="str">
        <f aca="false">IF($X27="","",IF(INDEX(시장분석!$N$2:$N$601,$X27)="","",INDEX(시장분석!$N$2:$N$601,$X27)))</f>
        <v>유럽</v>
      </c>
      <c r="F27" s="17" t="str">
        <f aca="false">IF($X27="","",IF(INDEX(시장분석!$M$2:$M$601,$X27)="","",INDEX(시장분석!$M$2:$M$601,$X27)))</f>
        <v>BBB+</v>
      </c>
      <c r="G27" s="38" t="n">
        <f aca="false">IF($X27="","",IF(INDEX(시장분석!$K$2:$K$601,$X27)="","",INDEX(시장분석!$K$2:$K$601,$X27)))</f>
        <v>4.002</v>
      </c>
      <c r="H27" s="36" t="n">
        <f aca="false">IF($X27="","",IF(INDEX(시장분석!$D$2:$D$601,$X27)="","",INDEX(시장분석!$D$2:$D$601,$X27)))</f>
        <v>5.857</v>
      </c>
      <c r="I27" s="37" t="n">
        <f aca="false">IF($X27="","",IF(INDEX(시장분석!$E$2:$E$601,$X27)="","",INDEX(시장분석!$E$2:$E$601,$X27)))</f>
        <v>93.504</v>
      </c>
      <c r="J27" s="45" t="n">
        <f aca="false">IF($X27="","",I27-$H$17)</f>
        <v>45.012</v>
      </c>
      <c r="K27" s="45" t="n">
        <f aca="false">IF($X27="","",(H27-$G$17)*100)</f>
        <v>28.5</v>
      </c>
      <c r="L27" s="45" t="n">
        <f aca="false">IF($X27="","",(INDEX(시장분석!$AR$2:$AR$601,$X27)-$I$17)*100)</f>
        <v>29.5967298737833</v>
      </c>
      <c r="M27" s="37" t="n">
        <f aca="false">IF($X27="","",IF(INDEX(시장분석!$AS$2:$AS$601,$X27)="","",INDEX(시장분석!$AS$2:$AS$601,$X27)))</f>
        <v>29.9602009504199</v>
      </c>
      <c r="N27" s="45" t="n">
        <f aca="false">IF(OR($X27="",M27="",$J$17=""),"",M27-$J$17)</f>
        <v>7.24099087351192</v>
      </c>
      <c r="O27" s="45" t="n">
        <f aca="false">IF($X27="","",IF(INDEX(시장분석!$AJ$2:$AJ$601,$X27)="","",INDEX(시장분석!$AJ$2:$AJ$601,$X27)))</f>
        <v>7.72577086184806</v>
      </c>
      <c r="P27" s="79" t="n">
        <f aca="false">IF($X27="","",IF(INDEX(시장분석!$AK$2:$AK$601,$X27)="","",INDEX(시장분석!$AK$2:$AK$601,$X27)))</f>
        <v>0.703091848082493</v>
      </c>
      <c r="Q27" s="7" t="str">
        <f aca="false">IF($X27="","",IF(INDEX(시장분석!$AE$2:$AE$601,$X27)=$M$17,"동일 피어","다른 피어"))</f>
        <v>동일 피어</v>
      </c>
      <c r="R27" s="80" t="n">
        <f aca="false">IF(OR($X27="",$C$13=""),"",$C$13*$F$17/G27)</f>
        <v>7.96006724637681</v>
      </c>
      <c r="S27" s="10" t="n">
        <f aca="false">IF(OR($X27="",$C$13=""),"",$C$13*L27/10000*1000000)</f>
        <v>29028.2950798274</v>
      </c>
      <c r="T27" s="10" t="n">
        <f aca="false">IF(OR($X27="",$C$13=""),"",$C$13*1000000*(G27-$F$17)/10000)</f>
        <v>739.518676</v>
      </c>
      <c r="U27" s="67" t="n">
        <f aca="false">IF($X27="","",IF(INDEX(시장분석!$AO$2:$AO$601,$X27)="","",INDEX(시장분석!$AO$2:$AO$601,$X27)))</f>
        <v>9.43566</v>
      </c>
      <c r="V27" s="17" t="str">
        <f aca="false">IF($X27="","",IF(INDEX(시장분석!$AP$2:$AP$601,$X27)="","",INDEX(시장분석!$AP$2:$AP$601,$X27)))</f>
        <v/>
      </c>
      <c r="W27" s="78" t="n">
        <f aca="false">LARGE(시장분석!$AT$2:$AT$601,A27)</f>
        <v>45.01200002</v>
      </c>
      <c r="X27" s="78" t="n">
        <f aca="false">IF(W27&lt;-900,"",MATCH(W27,시장분석!$AT$2:$AT$601,0))</f>
        <v>19</v>
      </c>
    </row>
    <row r="28" customFormat="false" ht="17.15" hidden="false" customHeight="false" outlineLevel="0" collapsed="false">
      <c r="A28" s="2" t="n">
        <v>8</v>
      </c>
      <c r="B28" s="17" t="str">
        <f aca="false">IF($X28="","",IF(INDEX(시장분석!$A$2:$A$601,$X28)="","",INDEX(시장분석!$A$2:$A$601,$X28)))</f>
        <v>GS 4.972 06/03/32</v>
      </c>
      <c r="C28" s="17" t="str">
        <f aca="false">IF($X28="","",IF(INDEX(시장분석!$B$2:$B$601,$X28)="","",INDEX(시장분석!$B$2:$B$601,$X28)))</f>
        <v>GOLDMAN SACHS GROUP INC</v>
      </c>
      <c r="D28" s="17" t="str">
        <f aca="false">IF($X28="","",IF(INDEX(시장분석!$L$2:$L$601,$X28)="","",INDEX(시장분석!$L$2:$L$601,$X28)))</f>
        <v>금융기관</v>
      </c>
      <c r="E28" s="17" t="str">
        <f aca="false">IF($X28="","",IF(INDEX(시장분석!$N$2:$N$601,$X28)="","",INDEX(시장분석!$N$2:$N$601,$X28)))</f>
        <v>미국</v>
      </c>
      <c r="F28" s="17" t="str">
        <f aca="false">IF($X28="","",IF(INDEX(시장분석!$M$2:$M$601,$X28)="","",INDEX(시장분석!$M$2:$M$601,$X28)))</f>
        <v>BBB+</v>
      </c>
      <c r="G28" s="38" t="n">
        <f aca="false">IF($X28="","",IF(INDEX(시장분석!$K$2:$K$601,$X28)="","",INDEX(시장분석!$K$2:$K$601,$X28)))</f>
        <v>4.143</v>
      </c>
      <c r="H28" s="36" t="n">
        <f aca="false">IF($X28="","",IF(INDEX(시장분석!$D$2:$D$601,$X28)="","",INDEX(시장분석!$D$2:$D$601,$X28)))</f>
        <v>5.847</v>
      </c>
      <c r="I28" s="37" t="n">
        <f aca="false">IF($X28="","",IF(INDEX(시장분석!$E$2:$E$601,$X28)="","",INDEX(시장분석!$E$2:$E$601,$X28)))</f>
        <v>93.025</v>
      </c>
      <c r="J28" s="45" t="n">
        <f aca="false">IF($X28="","",I28-$H$17)</f>
        <v>44.533</v>
      </c>
      <c r="K28" s="45" t="n">
        <f aca="false">IF($X28="","",(H28-$G$17)*100)</f>
        <v>27.5</v>
      </c>
      <c r="L28" s="45" t="n">
        <f aca="false">IF($X28="","",(INDEX(시장분석!$AR$2:$AR$601,$X28)-$I$17)*100)</f>
        <v>20.2042834739465</v>
      </c>
      <c r="M28" s="37" t="n">
        <f aca="false">IF($X28="","",IF(INDEX(시장분석!$AS$2:$AS$601,$X28)="","",INDEX(시장분석!$AS$2:$AS$601,$X28)))</f>
        <v>26.7992463924073</v>
      </c>
      <c r="N28" s="45" t="n">
        <f aca="false">IF(OR($X28="",M28="",$J$17=""),"",M28-$J$17)</f>
        <v>4.08003631549937</v>
      </c>
      <c r="O28" s="45" t="n">
        <f aca="false">IF($X28="","",IF(INDEX(시장분석!$AJ$2:$AJ$601,$X28)="","",INDEX(시장분석!$AJ$2:$AJ$601,$X28)))</f>
        <v>16.0105661541126</v>
      </c>
      <c r="P28" s="79" t="n">
        <f aca="false">IF($X28="","",IF(INDEX(시장분석!$AK$2:$AK$601,$X28)="","",INDEX(시장분석!$AK$2:$AK$601,$X28)))</f>
        <v>1.17060424379001</v>
      </c>
      <c r="Q28" s="7" t="str">
        <f aca="false">IF($X28="","",IF(INDEX(시장분석!$AE$2:$AE$601,$X28)=$M$17,"동일 피어","다른 피어"))</f>
        <v>다른 피어</v>
      </c>
      <c r="R28" s="80" t="n">
        <f aca="false">IF(OR($X28="",$C$13=""),"",$C$13*$F$17/G28)</f>
        <v>7.68915981655805</v>
      </c>
      <c r="S28" s="10" t="n">
        <f aca="false">IF(OR($X28="",$C$13=""),"",$C$13*L28/10000*1000000)</f>
        <v>19816.2400055459</v>
      </c>
      <c r="T28" s="10" t="n">
        <f aca="false">IF(OR($X28="",$C$13=""),"",$C$13*1000000*(G28-$F$17)/10000)</f>
        <v>877.81063</v>
      </c>
      <c r="U28" s="67" t="n">
        <f aca="false">IF($X28="","",IF(INDEX(시장분석!$AO$2:$AO$601,$X28)="","",INDEX(시장분석!$AO$2:$AO$601,$X28)))</f>
        <v>19.18604</v>
      </c>
      <c r="V28" s="17" t="str">
        <f aca="false">IF($X28="","",IF(INDEX(시장분석!$AP$2:$AP$601,$X28)="","",INDEX(시장분석!$AP$2:$AP$601,$X28)))</f>
        <v/>
      </c>
      <c r="W28" s="78" t="n">
        <f aca="false">LARGE(시장분석!$AT$2:$AT$601,A28)</f>
        <v>44.533000043</v>
      </c>
      <c r="X28" s="78" t="n">
        <f aca="false">IF(W28&lt;-900,"",MATCH(W28,시장분석!$AT$2:$AT$601,0))</f>
        <v>42</v>
      </c>
    </row>
    <row r="29" customFormat="false" ht="17.15" hidden="false" customHeight="false" outlineLevel="0" collapsed="false">
      <c r="A29" s="2" t="n">
        <v>9</v>
      </c>
      <c r="B29" s="17" t="str">
        <f aca="false">IF($X29="","",IF(INDEX(시장분석!$A$2:$A$601,$X29)="","",INDEX(시장분석!$A$2:$A$601,$X29)))</f>
        <v>NOMURA 5.166 07/14/31</v>
      </c>
      <c r="C29" s="17" t="str">
        <f aca="false">IF($X29="","",IF(INDEX(시장분석!$B$2:$B$601,$X29)="","",INDEX(시장분석!$B$2:$B$601,$X29)))</f>
        <v>NOMURA HOLDINGS INC</v>
      </c>
      <c r="D29" s="17" t="str">
        <f aca="false">IF($X29="","",IF(INDEX(시장분석!$L$2:$L$601,$X29)="","",INDEX(시장분석!$L$2:$L$601,$X29)))</f>
        <v>금융기관</v>
      </c>
      <c r="E29" s="17" t="str">
        <f aca="false">IF($X29="","",IF(INDEX(시장분석!$N$2:$N$601,$X29)="","",INDEX(시장분석!$N$2:$N$601,$X29)))</f>
        <v>아시아/기타</v>
      </c>
      <c r="F29" s="17" t="str">
        <f aca="false">IF($X29="","",IF(INDEX(시장분석!$M$2:$M$601,$X29)="","",INDEX(시장분석!$M$2:$M$601,$X29)))</f>
        <v>BBB+</v>
      </c>
      <c r="G29" s="38" t="n">
        <f aca="false">IF($X29="","",IF(INDEX(시장분석!$K$2:$K$601,$X29)="","",INDEX(시장분석!$K$2:$K$601,$X29)))</f>
        <v>4.233</v>
      </c>
      <c r="H29" s="36" t="n">
        <f aca="false">IF($X29="","",IF(INDEX(시장분석!$D$2:$D$601,$X29)="","",INDEX(시장분석!$D$2:$D$601,$X29)))</f>
        <v>6.006</v>
      </c>
      <c r="I29" s="37" t="n">
        <f aca="false">IF($X29="","",IF(INDEX(시장분석!$E$2:$E$601,$X29)="","",INDEX(시장분석!$E$2:$E$601,$X29)))</f>
        <v>91.944</v>
      </c>
      <c r="J29" s="45" t="n">
        <f aca="false">IF($X29="","",I29-$H$17)</f>
        <v>43.452</v>
      </c>
      <c r="K29" s="45" t="n">
        <f aca="false">IF($X29="","",(H29-$G$17)*100)</f>
        <v>43.4</v>
      </c>
      <c r="L29" s="45" t="n">
        <f aca="false">IF($X29="","",(INDEX(시장분석!$AR$2:$AR$601,$X29)-$I$17)*100)</f>
        <v>30.2269647848038</v>
      </c>
      <c r="M29" s="37" t="n">
        <f aca="false">IF($X29="","",IF(INDEX(시장분석!$AS$2:$AS$601,$X29)="","",INDEX(시장분석!$AS$2:$AS$601,$X29)))</f>
        <v>24.5856270055755</v>
      </c>
      <c r="N29" s="45" t="n">
        <f aca="false">IF(OR($X29="",M29="",$J$17=""),"",M29-$J$17)</f>
        <v>1.8664169286675</v>
      </c>
      <c r="O29" s="45" t="n">
        <f aca="false">IF($X29="","",IF(INDEX(시장분석!$AJ$2:$AJ$601,$X29)="","",INDEX(시장분석!$AJ$2:$AJ$601,$X29)))</f>
        <v>21.7436789380417</v>
      </c>
      <c r="P29" s="79" t="n">
        <f aca="false">IF($X29="","",IF(INDEX(시장분석!$AK$2:$AK$601,$X29)="","",INDEX(시장분석!$AK$2:$AK$601,$X29)))</f>
        <v>1.06203560506941</v>
      </c>
      <c r="Q29" s="7" t="str">
        <f aca="false">IF($X29="","",IF(INDEX(시장분석!$AE$2:$AE$601,$X29)=$M$17,"동일 피어","다른 피어"))</f>
        <v>다른 피어</v>
      </c>
      <c r="R29" s="80" t="n">
        <f aca="false">IF(OR($X29="",$C$13=""),"",$C$13*$F$17/G29)</f>
        <v>7.52567661705646</v>
      </c>
      <c r="S29" s="10" t="n">
        <f aca="false">IF(OR($X29="",$C$13=""),"",$C$13*L29/10000*1000000)</f>
        <v>29646.4256991469</v>
      </c>
      <c r="T29" s="10" t="n">
        <f aca="false">IF(OR($X29="",$C$13=""),"",$C$13*1000000*(G29-$F$17)/10000)</f>
        <v>966.082089999999</v>
      </c>
      <c r="U29" s="67" t="n">
        <f aca="false">IF($X29="","",IF(INDEX(시장분석!$AO$2:$AO$601,$X29)="","",INDEX(시장분석!$AO$2:$AO$601,$X29)))</f>
        <v>4.83547</v>
      </c>
      <c r="V29" s="17" t="str">
        <f aca="false">IF($X29="","",IF(INDEX(시장분석!$AP$2:$AP$601,$X29)="","",INDEX(시장분석!$AP$2:$AP$601,$X29)))</f>
        <v/>
      </c>
      <c r="W29" s="78" t="n">
        <f aca="false">LARGE(시장분석!$AT$2:$AT$601,A29)</f>
        <v>43.452000109</v>
      </c>
      <c r="X29" s="78" t="n">
        <f aca="false">IF(W29&lt;-900,"",MATCH(W29,시장분석!$AT$2:$AT$601,0))</f>
        <v>108</v>
      </c>
    </row>
    <row r="30" customFormat="false" ht="17.15" hidden="false" customHeight="false" outlineLevel="0" collapsed="false">
      <c r="A30" s="2" t="n">
        <v>10</v>
      </c>
      <c r="B30" s="17" t="str">
        <f aca="false">IF($X30="","",IF(INDEX(시장분석!$A$2:$A$601,$X30)="","",INDEX(시장분석!$A$2:$A$601,$X30)))</f>
        <v>STANLN 4.529 06/05/32</v>
      </c>
      <c r="C30" s="17" t="str">
        <f aca="false">IF($X30="","",IF(INDEX(시장분석!$B$2:$B$601,$X30)="","",INDEX(시장분석!$B$2:$B$601,$X30)))</f>
        <v>STANDARD CHARTERED PLC</v>
      </c>
      <c r="D30" s="17" t="str">
        <f aca="false">IF($X30="","",IF(INDEX(시장분석!$L$2:$L$601,$X30)="","",INDEX(시장분석!$L$2:$L$601,$X30)))</f>
        <v>금융기관</v>
      </c>
      <c r="E30" s="17" t="str">
        <f aca="false">IF($X30="","",IF(INDEX(시장분석!$N$2:$N$601,$X30)="","",INDEX(시장분석!$N$2:$N$601,$X30)))</f>
        <v>유럽</v>
      </c>
      <c r="F30" s="17" t="str">
        <f aca="false">IF($X30="","",IF(INDEX(시장분석!$M$2:$M$601,$X30)="","",INDEX(시장분석!$M$2:$M$601,$X30)))</f>
        <v>BBB+</v>
      </c>
      <c r="G30" s="38" t="n">
        <f aca="false">IF($X30="","",IF(INDEX(시장분석!$K$2:$K$601,$X30)="","",INDEX(시장분석!$K$2:$K$601,$X30)))</f>
        <v>4.178</v>
      </c>
      <c r="H30" s="36" t="n">
        <f aca="false">IF($X30="","",IF(INDEX(시장분석!$D$2:$D$601,$X30)="","",INDEX(시장분석!$D$2:$D$601,$X30)))</f>
        <v>5.923</v>
      </c>
      <c r="I30" s="37" t="n">
        <f aca="false">IF($X30="","",IF(INDEX(시장분석!$E$2:$E$601,$X30)="","",INDEX(시장분석!$E$2:$E$601,$X30)))</f>
        <v>91.699</v>
      </c>
      <c r="J30" s="45" t="n">
        <f aca="false">IF($X30="","",I30-$H$17)</f>
        <v>43.207</v>
      </c>
      <c r="K30" s="45" t="n">
        <f aca="false">IF($X30="","",(H30-$G$17)*100)</f>
        <v>35.1</v>
      </c>
      <c r="L30" s="45" t="n">
        <f aca="false">IF($X30="","",(INDEX(시장분석!$AR$2:$AR$601,$X30)-$I$17)*100)</f>
        <v>36.3899398710189</v>
      </c>
      <c r="M30" s="37" t="n">
        <f aca="false">IF($X30="","",IF(INDEX(시장분석!$AS$2:$AS$601,$X30)="","",INDEX(시장분석!$AS$2:$AS$601,$X30)))</f>
        <v>28.3123346579263</v>
      </c>
      <c r="N30" s="45" t="n">
        <f aca="false">IF(OR($X30="",M30="",$J$17=""),"",M30-$J$17)</f>
        <v>5.59312458101832</v>
      </c>
      <c r="O30" s="45" t="n">
        <f aca="false">IF($X30="","",IF(INDEX(시장분석!$AJ$2:$AJ$601,$X30)="","",INDEX(시장분석!$AJ$2:$AJ$601,$X30)))</f>
        <v>4.60453272562172</v>
      </c>
      <c r="P30" s="79" t="n">
        <f aca="false">IF($X30="","",IF(INDEX(시장분석!$AK$2:$AK$601,$X30)="","",INDEX(시장분석!$AK$2:$AK$601,$X30)))</f>
        <v>0.41904031086411</v>
      </c>
      <c r="Q30" s="7" t="str">
        <f aca="false">IF($X30="","",IF(INDEX(시장분석!$AE$2:$AE$601,$X30)=$M$17,"동일 피어","다른 피어"))</f>
        <v>동일 피어</v>
      </c>
      <c r="R30" s="80" t="n">
        <f aca="false">IF(OR($X30="",$C$13=""),"",$C$13*$F$17/G30)</f>
        <v>7.62474607946386</v>
      </c>
      <c r="S30" s="10" t="n">
        <f aca="false">IF(OR($X30="",$C$13=""),"",$C$13*L30/10000*1000000)</f>
        <v>35691.0346858561</v>
      </c>
      <c r="T30" s="10" t="n">
        <f aca="false">IF(OR($X30="",$C$13=""),"",$C$13*1000000*(G30-$F$17)/10000)</f>
        <v>912.13842</v>
      </c>
      <c r="U30" s="67" t="n">
        <f aca="false">IF($X30="","",IF(INDEX(시장분석!$AO$2:$AO$601,$X30)="","",INDEX(시장분석!$AO$2:$AO$601,$X30)))</f>
        <v>9.41618</v>
      </c>
      <c r="V30" s="17" t="str">
        <f aca="false">IF($X30="","",IF(INDEX(시장분석!$AP$2:$AP$601,$X30)="","",INDEX(시장분석!$AP$2:$AP$601,$X30)))</f>
        <v/>
      </c>
      <c r="W30" s="78" t="n">
        <f aca="false">LARGE(시장분석!$AT$2:$AT$601,A30)</f>
        <v>43.207000255</v>
      </c>
      <c r="X30" s="78" t="n">
        <f aca="false">IF(W30&lt;-900,"",MATCH(W30,시장분석!$AT$2:$AT$601,0))</f>
        <v>254</v>
      </c>
    </row>
    <row r="31" customFormat="false" ht="17.15" hidden="false" customHeight="false" outlineLevel="0" collapsed="false">
      <c r="A31" s="2" t="n">
        <v>11</v>
      </c>
      <c r="B31" s="17" t="str">
        <f aca="false">IF($X31="","",IF(INDEX(시장분석!$A$2:$A$601,$X31)="","",INDEX(시장분석!$A$2:$A$601,$X31)))</f>
        <v>BNP 5.283 11/19/30</v>
      </c>
      <c r="C31" s="17" t="str">
        <f aca="false">IF($X31="","",IF(INDEX(시장분석!$B$2:$B$601,$X31)="","",INDEX(시장분석!$B$2:$B$601,$X31)))</f>
        <v>BNP PARIBAS</v>
      </c>
      <c r="D31" s="17" t="str">
        <f aca="false">IF($X31="","",IF(INDEX(시장분석!$L$2:$L$601,$X31)="","",INDEX(시장분석!$L$2:$L$601,$X31)))</f>
        <v>금융기관</v>
      </c>
      <c r="E31" s="17" t="str">
        <f aca="false">IF($X31="","",IF(INDEX(시장분석!$N$2:$N$601,$X31)="","",INDEX(시장분석!$N$2:$N$601,$X31)))</f>
        <v>유럽</v>
      </c>
      <c r="F31" s="17" t="str">
        <f aca="false">IF($X31="","",IF(INDEX(시장분석!$M$2:$M$601,$X31)="","",INDEX(시장분석!$M$2:$M$601,$X31)))</f>
        <v>A-</v>
      </c>
      <c r="G31" s="38" t="n">
        <f aca="false">IF($X31="","",IF(INDEX(시장분석!$K$2:$K$601,$X31)="","",INDEX(시장분석!$K$2:$K$601,$X31)))</f>
        <v>2.869</v>
      </c>
      <c r="H31" s="36" t="n">
        <f aca="false">IF($X31="","",IF(INDEX(시장분석!$D$2:$D$601,$X31)="","",INDEX(시장분석!$D$2:$D$601,$X31)))</f>
        <v>5.75</v>
      </c>
      <c r="I31" s="37" t="n">
        <f aca="false">IF($X31="","",IF(INDEX(시장분석!$E$2:$E$601,$X31)="","",INDEX(시장분석!$E$2:$E$601,$X31)))</f>
        <v>91.092</v>
      </c>
      <c r="J31" s="45" t="n">
        <f aca="false">IF($X31="","",I31-$H$17)</f>
        <v>42.6</v>
      </c>
      <c r="K31" s="45" t="n">
        <f aca="false">IF($X31="","",(H31-$G$17)*100)</f>
        <v>17.8</v>
      </c>
      <c r="L31" s="45" t="n">
        <f aca="false">IF($X31="","",(INDEX(시장분석!$AR$2:$AR$601,$X31)-$I$17)*100)</f>
        <v>16.9962228277232</v>
      </c>
      <c r="M31" s="37" t="n">
        <f aca="false">IF($X31="","",IF(INDEX(시장분석!$AS$2:$AS$601,$X31)="","",INDEX(시장분석!$AS$2:$AS$601,$X31)))</f>
        <v>40.2886779914675</v>
      </c>
      <c r="N31" s="45" t="n">
        <f aca="false">IF(OR($X31="",M31="",$J$17=""),"",M31-$J$17)</f>
        <v>17.5694679145595</v>
      </c>
      <c r="O31" s="45" t="n">
        <f aca="false">IF($X31="","",IF(INDEX(시장분석!$AJ$2:$AJ$601,$X31)="","",INDEX(시장분석!$AJ$2:$AJ$601,$X31)))</f>
        <v>15.4926851474664</v>
      </c>
      <c r="P31" s="79" t="n">
        <f aca="false">IF($X31="","",IF(INDEX(시장분석!$AK$2:$AK$601,$X31)="","",INDEX(시장분석!$AK$2:$AK$601,$X31)))</f>
        <v>1.40992799642607</v>
      </c>
      <c r="Q31" s="7" t="str">
        <f aca="false">IF($X31="","",IF(INDEX(시장분석!$AE$2:$AE$601,$X31)=$M$17,"동일 피어","다른 피어"))</f>
        <v>동일 피어</v>
      </c>
      <c r="R31" s="80" t="n">
        <f aca="false">IF(OR($X31="",$C$13=""),"",$C$13*$F$17/G31)</f>
        <v>11.1035863088184</v>
      </c>
      <c r="S31" s="10" t="n">
        <f aca="false">IF(OR($X31="",$C$13=""),"",$C$13*L31/10000*1000000)</f>
        <v>16669.7933720939</v>
      </c>
      <c r="T31" s="10" t="n">
        <f aca="false">IF(OR($X31="",$C$13=""),"",$C$13*1000000*(G31-$F$17)/10000)</f>
        <v>-371.720926</v>
      </c>
      <c r="U31" s="67" t="n">
        <f aca="false">IF($X31="","",IF(INDEX(시장분석!$AO$2:$AO$601,$X31)="","",INDEX(시장분석!$AO$2:$AO$601,$X31)))</f>
        <v>4.91324</v>
      </c>
      <c r="V31" s="17" t="str">
        <f aca="false">IF($X31="","",IF(INDEX(시장분석!$AP$2:$AP$601,$X31)="","",INDEX(시장분석!$AP$2:$AP$601,$X31)))</f>
        <v/>
      </c>
      <c r="W31" s="78" t="n">
        <f aca="false">LARGE(시장분석!$AT$2:$AT$601,A31)</f>
        <v>42.600000022</v>
      </c>
      <c r="X31" s="78" t="n">
        <f aca="false">IF(W31&lt;-900,"",MATCH(W31,시장분석!$AT$2:$AT$601,0))</f>
        <v>21</v>
      </c>
    </row>
    <row r="32" customFormat="false" ht="17.15" hidden="false" customHeight="false" outlineLevel="0" collapsed="false">
      <c r="A32" s="2" t="n">
        <v>12</v>
      </c>
      <c r="B32" s="17" t="str">
        <f aca="false">IF($X32="","",IF(INDEX(시장분석!$A$2:$A$601,$X32)="","",INDEX(시장분석!$A$2:$A$601,$X32)))</f>
        <v>GS 4.516 01/21/32</v>
      </c>
      <c r="C32" s="17" t="str">
        <f aca="false">IF($X32="","",IF(INDEX(시장분석!$B$2:$B$601,$X32)="","",INDEX(시장분석!$B$2:$B$601,$X32)))</f>
        <v>GOLDMAN SACHS GROUP INC</v>
      </c>
      <c r="D32" s="17" t="str">
        <f aca="false">IF($X32="","",IF(INDEX(시장분석!$L$2:$L$601,$X32)="","",INDEX(시장분석!$L$2:$L$601,$X32)))</f>
        <v>금융기관</v>
      </c>
      <c r="E32" s="17" t="str">
        <f aca="false">IF($X32="","",IF(INDEX(시장분석!$N$2:$N$601,$X32)="","",INDEX(시장분석!$N$2:$N$601,$X32)))</f>
        <v>미국</v>
      </c>
      <c r="F32" s="17" t="str">
        <f aca="false">IF($X32="","",IF(INDEX(시장분석!$M$2:$M$601,$X32)="","",INDEX(시장분석!$M$2:$M$601,$X32)))</f>
        <v>BBB+</v>
      </c>
      <c r="G32" s="38" t="n">
        <f aca="false">IF($X32="","",IF(INDEX(시장분석!$K$2:$K$601,$X32)="","",INDEX(시장분석!$K$2:$K$601,$X32)))</f>
        <v>3.911</v>
      </c>
      <c r="H32" s="36" t="n">
        <f aca="false">IF($X32="","",IF(INDEX(시장분석!$D$2:$D$601,$X32)="","",INDEX(시장분석!$D$2:$D$601,$X32)))</f>
        <v>5.798</v>
      </c>
      <c r="I32" s="37" t="n">
        <f aca="false">IF($X32="","",IF(INDEX(시장분석!$E$2:$E$601,$X32)="","",INDEX(시장분석!$E$2:$E$601,$X32)))</f>
        <v>90.411</v>
      </c>
      <c r="J32" s="45" t="n">
        <f aca="false">IF($X32="","",I32-$H$17)</f>
        <v>41.919</v>
      </c>
      <c r="K32" s="45" t="n">
        <f aca="false">IF($X32="","",(H32-$G$17)*100)</f>
        <v>22.6</v>
      </c>
      <c r="L32" s="45" t="n">
        <f aca="false">IF($X32="","",(INDEX(시장분석!$AR$2:$AR$601,$X32)-$I$17)*100)</f>
        <v>15.1254917380832</v>
      </c>
      <c r="M32" s="37" t="n">
        <f aca="false">IF($X32="","",IF(INDEX(시장분석!$AS$2:$AS$601,$X32)="","",INDEX(시장분석!$AS$2:$AS$601,$X32)))</f>
        <v>27.6748877698492</v>
      </c>
      <c r="N32" s="45" t="n">
        <f aca="false">IF(OR($X32="",M32="",$J$17=""),"",M32-$J$17)</f>
        <v>4.95567769294124</v>
      </c>
      <c r="O32" s="45" t="n">
        <f aca="false">IF($X32="","",IF(INDEX(시장분석!$AJ$2:$AJ$601,$X32)="","",INDEX(시장분석!$AJ$2:$AJ$601,$X32)))</f>
        <v>14.5915650285165</v>
      </c>
      <c r="P32" s="79" t="n">
        <f aca="false">IF($X32="","",IF(INDEX(시장분석!$AK$2:$AK$601,$X32)="","",INDEX(시장분석!$AK$2:$AK$601,$X32)))</f>
        <v>1.06685471216343</v>
      </c>
      <c r="Q32" s="7" t="str">
        <f aca="false">IF($X32="","",IF(INDEX(시장분석!$AE$2:$AE$601,$X32)=$M$17,"동일 피어","다른 피어"))</f>
        <v>다른 피어</v>
      </c>
      <c r="R32" s="80" t="n">
        <f aca="false">IF(OR($X32="",$C$13=""),"",$C$13*$F$17/G32)</f>
        <v>8.14527975453848</v>
      </c>
      <c r="S32" s="10" t="n">
        <f aca="false">IF(OR($X32="",$C$13=""),"",$C$13*L32/10000*1000000)</f>
        <v>14834.9915437615</v>
      </c>
      <c r="T32" s="10" t="n">
        <f aca="false">IF(OR($X32="",$C$13=""),"",$C$13*1000000*(G32-$F$17)/10000)</f>
        <v>650.266422</v>
      </c>
      <c r="U32" s="67" t="n">
        <f aca="false">IF($X32="","",IF(INDEX(시장분석!$AO$2:$AO$601,$X32)="","",INDEX(시장분석!$AO$2:$AO$601,$X32)))</f>
        <v>0</v>
      </c>
      <c r="V32" s="17" t="str">
        <f aca="false">IF($X32="","",IF(INDEX(시장분석!$AP$2:$AP$601,$X32)="","",INDEX(시장분석!$AP$2:$AP$601,$X32)))</f>
        <v/>
      </c>
      <c r="W32" s="78" t="n">
        <f aca="false">LARGE(시장분석!$AT$2:$AT$601,A32)</f>
        <v>41.919000045</v>
      </c>
      <c r="X32" s="78" t="n">
        <f aca="false">IF(W32&lt;-900,"",MATCH(W32,시장분석!$AT$2:$AT$601,0))</f>
        <v>44</v>
      </c>
    </row>
    <row r="33" customFormat="false" ht="17.15" hidden="false" customHeight="false" outlineLevel="0" collapsed="false">
      <c r="A33" s="2" t="n">
        <v>13</v>
      </c>
      <c r="B33" s="17" t="str">
        <f aca="false">IF($X33="","",IF(INDEX(시장분석!$A$2:$A$601,$X33)="","",INDEX(시장분석!$A$2:$A$601,$X33)))</f>
        <v>HANFGI 4 7/8 06/02/31</v>
      </c>
      <c r="C33" s="17" t="str">
        <f aca="false">IF($X33="","",IF(INDEX(시장분석!$B$2:$B$601,$X33)="","",INDEX(시장분석!$B$2:$B$601,$X33)))</f>
        <v>HANA SECURITIES CO LTD</v>
      </c>
      <c r="D33" s="17" t="str">
        <f aca="false">IF($X33="","",IF(INDEX(시장분석!$L$2:$L$601,$X33)="","",INDEX(시장분석!$L$2:$L$601,$X33)))</f>
        <v>금융기관</v>
      </c>
      <c r="E33" s="17" t="str">
        <f aca="false">IF($X33="","",IF(INDEX(시장분석!$N$2:$N$601,$X33)="","",INDEX(시장분석!$N$2:$N$601,$X33)))</f>
        <v>아시아/기타</v>
      </c>
      <c r="F33" s="17" t="str">
        <f aca="false">IF($X33="","",IF(INDEX(시장분석!$M$2:$M$601,$X33)="","",INDEX(시장분석!$M$2:$M$601,$X33)))</f>
        <v>A-</v>
      </c>
      <c r="G33" s="38" t="n">
        <f aca="false">IF($X33="","",IF(INDEX(시장분석!$K$2:$K$601,$X33)="","",INDEX(시장분석!$K$2:$K$601,$X33)))</f>
        <v>4.141</v>
      </c>
      <c r="H33" s="36" t="n">
        <f aca="false">IF($X33="","",IF(INDEX(시장분석!$D$2:$D$601,$X33)="","",INDEX(시장분석!$D$2:$D$601,$X33)))</f>
        <v>5.987</v>
      </c>
      <c r="I33" s="37" t="n">
        <f aca="false">IF($X33="","",IF(INDEX(시장분석!$E$2:$E$601,$X33)="","",INDEX(시장분석!$E$2:$E$601,$X33)))</f>
        <v>90.057</v>
      </c>
      <c r="J33" s="45" t="n">
        <f aca="false">IF($X33="","",I33-$H$17)</f>
        <v>41.565</v>
      </c>
      <c r="K33" s="45" t="n">
        <f aca="false">IF($X33="","",(H33-$G$17)*100)</f>
        <v>41.5</v>
      </c>
      <c r="L33" s="45" t="n">
        <f aca="false">IF($X33="","",(INDEX(시장분석!$AR$2:$AR$601,$X33)-$I$17)*100)</f>
        <v>28.2833323066475</v>
      </c>
      <c r="M33" s="37" t="n">
        <f aca="false">IF($X33="","",IF(INDEX(시장분석!$AS$2:$AS$601,$X33)="","",INDEX(시장분석!$AS$2:$AS$601,$X33)))</f>
        <v>24.6656186033433</v>
      </c>
      <c r="N33" s="45" t="n">
        <f aca="false">IF(OR($X33="",M33="",$J$17=""),"",M33-$J$17)</f>
        <v>1.94640852643532</v>
      </c>
      <c r="O33" s="45" t="n">
        <f aca="false">IF($X33="","",IF(INDEX(시장분석!$AJ$2:$AJ$601,$X33)="","",INDEX(시장분석!$AJ$2:$AJ$601,$X33)))</f>
        <v>20.162515240207</v>
      </c>
      <c r="P33" s="79" t="n">
        <f aca="false">IF($X33="","",IF(INDEX(시장분석!$AK$2:$AK$601,$X33)="","",INDEX(시장분석!$AK$2:$AK$601,$X33)))</f>
        <v>0.984806165224905</v>
      </c>
      <c r="Q33" s="7" t="str">
        <f aca="false">IF($X33="","",IF(INDEX(시장분석!$AE$2:$AE$601,$X33)=$M$17,"동일 피어","다른 피어"))</f>
        <v>다른 피어</v>
      </c>
      <c r="R33" s="80" t="n">
        <f aca="false">IF(OR($X33="",$C$13=""),"",$C$13*$F$17/G33)</f>
        <v>7.69287348949529</v>
      </c>
      <c r="S33" s="10" t="n">
        <f aca="false">IF(OR($X33="",$C$13=""),"",$C$13*L33/10000*1000000)</f>
        <v>27740.122626366</v>
      </c>
      <c r="T33" s="10" t="n">
        <f aca="false">IF(OR($X33="",$C$13=""),"",$C$13*1000000*(G33-$F$17)/10000)</f>
        <v>875.849042</v>
      </c>
      <c r="U33" s="67" t="n">
        <f aca="false">IF($X33="","",IF(INDEX(시장분석!$AO$2:$AO$601,$X33)="","",INDEX(시장분석!$AO$2:$AO$601,$X33)))</f>
        <v>0</v>
      </c>
      <c r="V33" s="17" t="str">
        <f aca="false">IF($X33="","",IF(INDEX(시장분석!$AP$2:$AP$601,$X33)="","",INDEX(시장분석!$AP$2:$AP$601,$X33)))</f>
        <v/>
      </c>
      <c r="W33" s="78" t="n">
        <f aca="false">LARGE(시장분석!$AT$2:$AT$601,A33)</f>
        <v>41.565000258</v>
      </c>
      <c r="X33" s="78" t="n">
        <f aca="false">IF(W33&lt;-900,"",MATCH(W33,시장분석!$AT$2:$AT$601,0))</f>
        <v>257</v>
      </c>
    </row>
    <row r="34" customFormat="false" ht="17.15" hidden="false" customHeight="false" outlineLevel="0" collapsed="false">
      <c r="A34" s="2" t="n">
        <v>14</v>
      </c>
      <c r="B34" s="17" t="str">
        <f aca="false">IF($X34="","",IF(INDEX(시장분석!$A$2:$A$601,$X34)="","",INDEX(시장분석!$A$2:$A$601,$X34)))</f>
        <v>LGENSO 5 3/8 04/02/30</v>
      </c>
      <c r="C34" s="17" t="str">
        <f aca="false">IF($X34="","",IF(INDEX(시장분석!$B$2:$B$601,$X34)="","",INDEX(시장분석!$B$2:$B$601,$X34)))</f>
        <v>LGENERGYSOLUTION</v>
      </c>
      <c r="D34" s="17" t="str">
        <f aca="false">IF($X34="","",IF(INDEX(시장분석!$L$2:$L$601,$X34)="","",INDEX(시장분석!$L$2:$L$601,$X34)))</f>
        <v>자유 소비재</v>
      </c>
      <c r="E34" s="17" t="str">
        <f aca="false">IF($X34="","",IF(INDEX(시장분석!$N$2:$N$601,$X34)="","",INDEX(시장분석!$N$2:$N$601,$X34)))</f>
        <v>아시아/기타</v>
      </c>
      <c r="F34" s="17" t="str">
        <f aca="false">IF($X34="","",IF(INDEX(시장분석!$M$2:$M$601,$X34)="","",INDEX(시장분석!$M$2:$M$601,$X34)))</f>
        <v>BBB</v>
      </c>
      <c r="G34" s="38" t="n">
        <f aca="false">IF($X34="","",IF(INDEX(시장분석!$K$2:$K$601,$X34)="","",INDEX(시장분석!$K$2:$K$601,$X34)))</f>
        <v>3.234</v>
      </c>
      <c r="H34" s="36" t="n">
        <f aca="false">IF($X34="","",IF(INDEX(시장분석!$D$2:$D$601,$X34)="","",INDEX(시장분석!$D$2:$D$601,$X34)))</f>
        <v>5.984</v>
      </c>
      <c r="I34" s="37" t="n">
        <f aca="false">IF($X34="","",IF(INDEX(시장분석!$E$2:$E$601,$X34)="","",INDEX(시장분석!$E$2:$E$601,$X34)))</f>
        <v>89.683</v>
      </c>
      <c r="J34" s="45" t="n">
        <f aca="false">IF($X34="","",I34-$H$17)</f>
        <v>41.191</v>
      </c>
      <c r="K34" s="45" t="n">
        <f aca="false">IF($X34="","",(H34-$G$17)*100)</f>
        <v>41.2</v>
      </c>
      <c r="L34" s="45" t="n">
        <f aca="false">IF($X34="","",(INDEX(시장분석!$AR$2:$AR$601,$X34)-$I$17)*100)</f>
        <v>49.0387059676814</v>
      </c>
      <c r="M34" s="37" t="n">
        <f aca="false">IF($X34="","",IF(INDEX(시장분석!$AS$2:$AS$601,$X34)="","",INDEX(시장분석!$AS$2:$AS$601,$X34)))</f>
        <v>37.9782623059612</v>
      </c>
      <c r="N34" s="45" t="n">
        <f aca="false">IF(OR($X34="",M34="",$J$17=""),"",M34-$J$17)</f>
        <v>15.2590522290532</v>
      </c>
      <c r="O34" s="45" t="n">
        <f aca="false">IF($X34="","",IF(INDEX(시장분석!$AJ$2:$AJ$601,$X34)="","",INDEX(시장분석!$AJ$2:$AJ$601,$X34)))</f>
        <v>7.63200591971481</v>
      </c>
      <c r="P34" s="79" t="n">
        <f aca="false">IF($X34="","",IF(INDEX(시장분석!$AK$2:$AK$601,$X34)="","",INDEX(시장분석!$AK$2:$AK$601,$X34)))</f>
        <v>0.368430010839974</v>
      </c>
      <c r="Q34" s="7" t="str">
        <f aca="false">IF($X34="","",IF(INDEX(시장분석!$AE$2:$AE$601,$X34)=$M$17,"동일 피어","다른 피어"))</f>
        <v>다른 피어</v>
      </c>
      <c r="R34" s="80" t="n">
        <f aca="false">IF(OR($X34="",$C$13=""),"",$C$13*$F$17/G34)</f>
        <v>9.85039861471862</v>
      </c>
      <c r="S34" s="10" t="n">
        <f aca="false">IF(OR($X34="",$C$13=""),"",$C$13*L34/10000*1000000)</f>
        <v>48096.8685808661</v>
      </c>
      <c r="T34" s="10" t="n">
        <f aca="false">IF(OR($X34="",$C$13=""),"",$C$13*1000000*(G34-$F$17)/10000)</f>
        <v>-13.7311160000002</v>
      </c>
      <c r="U34" s="67" t="n">
        <f aca="false">IF($X34="","",IF(INDEX(시장분석!$AO$2:$AO$601,$X34)="","",INDEX(시장분석!$AO$2:$AO$601,$X34)))</f>
        <v>16.1991555</v>
      </c>
      <c r="V34" s="17" t="str">
        <f aca="false">IF($X34="","",IF(INDEX(시장분석!$AP$2:$AP$601,$X34)="","",INDEX(시장분석!$AP$2:$AP$601,$X34)))</f>
        <v/>
      </c>
      <c r="W34" s="78" t="n">
        <f aca="false">LARGE(시장분석!$AT$2:$AT$601,A34)</f>
        <v>41.191000181</v>
      </c>
      <c r="X34" s="78" t="n">
        <f aca="false">IF(W34&lt;-900,"",MATCH(W34,시장분석!$AT$2:$AT$601,0))</f>
        <v>180</v>
      </c>
    </row>
    <row r="35" customFormat="false" ht="17.15" hidden="false" customHeight="false" outlineLevel="0" collapsed="false">
      <c r="A35" s="2" t="n">
        <v>15</v>
      </c>
      <c r="B35" s="17" t="str">
        <f aca="false">IF($X35="","",IF(INDEX(시장분석!$A$2:$A$601,$X35)="","",INDEX(시장분석!$A$2:$A$601,$X35)))</f>
        <v>HSBC 5.733 05/17/32</v>
      </c>
      <c r="C35" s="17" t="str">
        <f aca="false">IF($X35="","",IF(INDEX(시장분석!$B$2:$B$601,$X35)="","",INDEX(시장분석!$B$2:$B$601,$X35)))</f>
        <v>HSBC HOLDINGS PLC</v>
      </c>
      <c r="D35" s="17" t="str">
        <f aca="false">IF($X35="","",IF(INDEX(시장분석!$L$2:$L$601,$X35)="","",INDEX(시장분석!$L$2:$L$601,$X35)))</f>
        <v>금융기관</v>
      </c>
      <c r="E35" s="17" t="str">
        <f aca="false">IF($X35="","",IF(INDEX(시장분석!$N$2:$N$601,$X35)="","",INDEX(시장분석!$N$2:$N$601,$X35)))</f>
        <v>유럽</v>
      </c>
      <c r="F35" s="17" t="str">
        <f aca="false">IF($X35="","",IF(INDEX(시장분석!$M$2:$M$601,$X35)="","",INDEX(시장분석!$M$2:$M$601,$X35)))</f>
        <v>A-</v>
      </c>
      <c r="G35" s="38" t="n">
        <f aca="false">IF($X35="","",IF(INDEX(시장분석!$K$2:$K$601,$X35)="","",INDEX(시장분석!$K$2:$K$601,$X35)))</f>
        <v>4.039</v>
      </c>
      <c r="H35" s="36" t="n">
        <f aca="false">IF($X35="","",IF(INDEX(시장분석!$D$2:$D$601,$X35)="","",INDEX(시장분석!$D$2:$D$601,$X35)))</f>
        <v>5.894</v>
      </c>
      <c r="I35" s="37" t="n">
        <f aca="false">IF($X35="","",IF(INDEX(시장분석!$E$2:$E$601,$X35)="","",INDEX(시장분석!$E$2:$E$601,$X35)))</f>
        <v>89.19</v>
      </c>
      <c r="J35" s="45" t="n">
        <f aca="false">IF($X35="","",I35-$H$17)</f>
        <v>40.698</v>
      </c>
      <c r="K35" s="45" t="n">
        <f aca="false">IF($X35="","",(H35-$G$17)*100)</f>
        <v>32.2</v>
      </c>
      <c r="L35" s="45" t="n">
        <f aca="false">IF($X35="","",(INDEX(시장분석!$AR$2:$AR$601,$X35)-$I$17)*100)</f>
        <v>33.3388915364973</v>
      </c>
      <c r="M35" s="37" t="n">
        <f aca="false">IF($X35="","",IF(INDEX(시장분석!$AS$2:$AS$601,$X35)="","",INDEX(시장분석!$AS$2:$AS$601,$X35)))</f>
        <v>28.6280975157946</v>
      </c>
      <c r="N35" s="45" t="n">
        <f aca="false">IF(OR($X35="",M35="",$J$17=""),"",M35-$J$17)</f>
        <v>5.90888743888666</v>
      </c>
      <c r="O35" s="45" t="n">
        <f aca="false">IF($X35="","",IF(INDEX(시장분석!$AJ$2:$AJ$601,$X35)="","",INDEX(시장분석!$AJ$2:$AJ$601,$X35)))</f>
        <v>3.13031985751664</v>
      </c>
      <c r="P35" s="79" t="n">
        <f aca="false">IF($X35="","",IF(INDEX(시장분석!$AK$2:$AK$601,$X35)="","",INDEX(시장분석!$AK$2:$AK$601,$X35)))</f>
        <v>0.284878028751713</v>
      </c>
      <c r="Q35" s="7" t="str">
        <f aca="false">IF($X35="","",IF(INDEX(시장분석!$AE$2:$AE$601,$X35)=$M$17,"동일 피어","다른 피어"))</f>
        <v>동일 피어</v>
      </c>
      <c r="R35" s="80" t="n">
        <f aca="false">IF(OR($X35="",$C$13=""),"",$C$13*$F$17/G35)</f>
        <v>7.88714759098787</v>
      </c>
      <c r="S35" s="10" t="n">
        <f aca="false">IF(OR($X35="",$C$13=""),"",$C$13*L35/10000*1000000)</f>
        <v>32698.5847856474</v>
      </c>
      <c r="T35" s="10" t="n">
        <f aca="false">IF(OR($X35="",$C$13=""),"",$C$13*1000000*(G35-$F$17)/10000)</f>
        <v>775.808053999999</v>
      </c>
      <c r="U35" s="67" t="n">
        <f aca="false">IF($X35="","",IF(INDEX(시장분석!$AO$2:$AO$601,$X35)="","",INDEX(시장분석!$AO$2:$AO$601,$X35)))</f>
        <v>11.89956</v>
      </c>
      <c r="V35" s="17" t="str">
        <f aca="false">IF($X35="","",IF(INDEX(시장분석!$AP$2:$AP$601,$X35)="","",INDEX(시장분석!$AP$2:$AP$601,$X35)))</f>
        <v/>
      </c>
      <c r="W35" s="78" t="n">
        <f aca="false">LARGE(시장분석!$AT$2:$AT$601,A35)</f>
        <v>40.69800005</v>
      </c>
      <c r="X35" s="78" t="n">
        <f aca="false">IF(W35&lt;-900,"",MATCH(W35,시장분석!$AT$2:$AT$601,0))</f>
        <v>49</v>
      </c>
    </row>
    <row r="36" customFormat="false" ht="17.15" hidden="false" customHeight="false" outlineLevel="0" collapsed="false">
      <c r="A36" s="2" t="n">
        <v>16</v>
      </c>
      <c r="B36" s="17" t="str">
        <f aca="false">IF($X36="","",IF(INDEX(시장분석!$A$2:$A$601,$X36)="","",INDEX(시장분석!$A$2:$A$601,$X36)))</f>
        <v>MS 4.493 01/16/32</v>
      </c>
      <c r="C36" s="17" t="str">
        <f aca="false">IF($X36="","",IF(INDEX(시장분석!$B$2:$B$601,$X36)="","",INDEX(시장분석!$B$2:$B$601,$X36)))</f>
        <v>MORGAN STANLEY</v>
      </c>
      <c r="D36" s="17" t="str">
        <f aca="false">IF($X36="","",IF(INDEX(시장분석!$L$2:$L$601,$X36)="","",INDEX(시장분석!$L$2:$L$601,$X36)))</f>
        <v>금융기관</v>
      </c>
      <c r="E36" s="17" t="str">
        <f aca="false">IF($X36="","",IF(INDEX(시장분석!$N$2:$N$601,$X36)="","",INDEX(시장분석!$N$2:$N$601,$X36)))</f>
        <v>미국</v>
      </c>
      <c r="F36" s="17" t="str">
        <f aca="false">IF($X36="","",IF(INDEX(시장분석!$M$2:$M$601,$X36)="","",INDEX(시장분석!$M$2:$M$601,$X36)))</f>
        <v>A-</v>
      </c>
      <c r="G36" s="38" t="n">
        <f aca="false">IF($X36="","",IF(INDEX(시장분석!$K$2:$K$601,$X36)="","",INDEX(시장분석!$K$2:$K$601,$X36)))</f>
        <v>3.899</v>
      </c>
      <c r="H36" s="36" t="n">
        <f aca="false">IF($X36="","",IF(INDEX(시장분석!$D$2:$D$601,$X36)="","",INDEX(시장분석!$D$2:$D$601,$X36)))</f>
        <v>5.778</v>
      </c>
      <c r="I36" s="37" t="n">
        <f aca="false">IF($X36="","",IF(INDEX(시장분석!$E$2:$E$601,$X36)="","",INDEX(시장분석!$E$2:$E$601,$X36)))</f>
        <v>88.048</v>
      </c>
      <c r="J36" s="45" t="n">
        <f aca="false">IF($X36="","",I36-$H$17)</f>
        <v>39.556</v>
      </c>
      <c r="K36" s="45" t="n">
        <f aca="false">IF($X36="","",(H36-$G$17)*100)</f>
        <v>20.6</v>
      </c>
      <c r="L36" s="45" t="n">
        <f aca="false">IF($X36="","",(INDEX(시장분석!$AR$2:$AR$601,$X36)-$I$17)*100)</f>
        <v>13.1156021525175</v>
      </c>
      <c r="M36" s="37" t="n">
        <f aca="false">IF($X36="","",IF(INDEX(시장분석!$AS$2:$AS$601,$X36)="","",INDEX(시장분석!$AS$2:$AS$601,$X36)))</f>
        <v>27.1514738349101</v>
      </c>
      <c r="N36" s="45" t="n">
        <f aca="false">IF(OR($X36="",M36="",$J$17=""),"",M36-$J$17)</f>
        <v>4.43226375800219</v>
      </c>
      <c r="O36" s="45" t="n">
        <f aca="false">IF($X36="","",IF(INDEX(시장분석!$AJ$2:$AJ$601,$X36)="","",INDEX(시장분석!$AJ$2:$AJ$601,$X36)))</f>
        <v>12.292288808163</v>
      </c>
      <c r="P36" s="79" t="n">
        <f aca="false">IF($X36="","",IF(INDEX(시장분석!$AK$2:$AK$601,$X36)="","",INDEX(시장분석!$AK$2:$AK$601,$X36)))</f>
        <v>0.89874432335623</v>
      </c>
      <c r="Q36" s="7" t="str">
        <f aca="false">IF($X36="","",IF(INDEX(시장분석!$AE$2:$AE$601,$X36)=$M$17,"동일 피어","다른 피어"))</f>
        <v>다른 피어</v>
      </c>
      <c r="R36" s="80" t="n">
        <f aca="false">IF(OR($X36="",$C$13=""),"",$C$13*$F$17/G36)</f>
        <v>8.17034858168761</v>
      </c>
      <c r="S36" s="10" t="n">
        <f aca="false">IF(OR($X36="",$C$13=""),"",$C$13*L36/10000*1000000)</f>
        <v>12863.7038975763</v>
      </c>
      <c r="T36" s="10" t="n">
        <f aca="false">IF(OR($X36="",$C$13=""),"",$C$13*1000000*(G36-$F$17)/10000)</f>
        <v>638.496894</v>
      </c>
      <c r="U36" s="67" t="n">
        <f aca="false">IF($X36="","",IF(INDEX(시장분석!$AO$2:$AO$601,$X36)="","",INDEX(시장분석!$AO$2:$AO$601,$X36)))</f>
        <v>0</v>
      </c>
      <c r="V36" s="17" t="str">
        <f aca="false">IF($X36="","",IF(INDEX(시장분석!$AP$2:$AP$601,$X36)="","",INDEX(시장분석!$AP$2:$AP$601,$X36)))</f>
        <v/>
      </c>
      <c r="W36" s="78" t="n">
        <f aca="false">LARGE(시장분석!$AT$2:$AT$601,A36)</f>
        <v>39.556000101</v>
      </c>
      <c r="X36" s="78" t="n">
        <f aca="false">IF(W36&lt;-900,"",MATCH(W36,시장분석!$AT$2:$AT$601,0))</f>
        <v>100</v>
      </c>
    </row>
    <row r="37" customFormat="false" ht="17.15" hidden="false" customHeight="false" outlineLevel="0" collapsed="false">
      <c r="A37" s="2" t="n">
        <v>17</v>
      </c>
      <c r="B37" s="17" t="str">
        <f aca="false">IF($X37="","",IF(INDEX(시장분석!$A$2:$A$601,$X37)="","",INDEX(시장분석!$A$2:$A$601,$X37)))</f>
        <v>NHSECS 5 06/29/31</v>
      </c>
      <c r="C37" s="17" t="str">
        <f aca="false">IF($X37="","",IF(INDEX(시장분석!$B$2:$B$601,$X37)="","",INDEX(시장분석!$B$2:$B$601,$X37)))</f>
        <v>NH INVESTMENT &amp; SECS</v>
      </c>
      <c r="D37" s="17" t="str">
        <f aca="false">IF($X37="","",IF(INDEX(시장분석!$L$2:$L$601,$X37)="","",INDEX(시장분석!$L$2:$L$601,$X37)))</f>
        <v>금융기관</v>
      </c>
      <c r="E37" s="17" t="str">
        <f aca="false">IF($X37="","",IF(INDEX(시장분석!$N$2:$N$601,$X37)="","",INDEX(시장분석!$N$2:$N$601,$X37)))</f>
        <v>아시아/기타</v>
      </c>
      <c r="F37" s="17" t="str">
        <f aca="false">IF($X37="","",IF(INDEX(시장분석!$M$2:$M$601,$X37)="","",INDEX(시장분석!$M$2:$M$601,$X37)))</f>
        <v>A-</v>
      </c>
      <c r="G37" s="38" t="n">
        <f aca="false">IF($X37="","",IF(INDEX(시장분석!$K$2:$K$601,$X37)="","",INDEX(시장분석!$K$2:$K$601,$X37)))</f>
        <v>4.206</v>
      </c>
      <c r="H37" s="36" t="n">
        <f aca="false">IF($X37="","",IF(INDEX(시장분석!$D$2:$D$601,$X37)="","",INDEX(시장분석!$D$2:$D$601,$X37)))</f>
        <v>5.96</v>
      </c>
      <c r="I37" s="37" t="n">
        <f aca="false">IF($X37="","",IF(INDEX(시장분석!$E$2:$E$601,$X37)="","",INDEX(시장분석!$E$2:$E$601,$X37)))</f>
        <v>87.277</v>
      </c>
      <c r="J37" s="45" t="n">
        <f aca="false">IF($X37="","",I37-$H$17)</f>
        <v>38.785</v>
      </c>
      <c r="K37" s="45" t="n">
        <f aca="false">IF($X37="","",(H37-$G$17)*100)</f>
        <v>38.8</v>
      </c>
      <c r="L37" s="45" t="n">
        <f aca="false">IF($X37="","",(INDEX(시장분석!$AR$2:$AR$601,$X37)-$I$17)*100)</f>
        <v>25.6143771407723</v>
      </c>
      <c r="M37" s="37" t="n">
        <f aca="false">IF($X37="","",IF(INDEX(시장분석!$AS$2:$AS$601,$X37)="","",INDEX(시장분석!$AS$2:$AS$601,$X37)))</f>
        <v>23.6308538921943</v>
      </c>
      <c r="N37" s="45" t="n">
        <f aca="false">IF(OR($X37="",M37="",$J$17=""),"",M37-$J$17)</f>
        <v>0.911643815286386</v>
      </c>
      <c r="O37" s="45" t="n">
        <f aca="false">IF($X37="","",IF(INDEX(시장분석!$AJ$2:$AJ$601,$X37)="","",INDEX(시장분석!$AJ$2:$AJ$601,$X37)))</f>
        <v>17.1657406314016</v>
      </c>
      <c r="P37" s="79" t="n">
        <f aca="false">IF($X37="","",IF(INDEX(시장분석!$AK$2:$AK$601,$X37)="","",INDEX(시장분석!$AK$2:$AK$601,$X37)))</f>
        <v>0.838433449550237</v>
      </c>
      <c r="Q37" s="7" t="str">
        <f aca="false">IF($X37="","",IF(INDEX(시장분석!$AE$2:$AE$601,$X37)=$M$17,"동일 피어","다른 피어"))</f>
        <v>다른 피어</v>
      </c>
      <c r="R37" s="80" t="n">
        <f aca="false">IF(OR($X37="",$C$13=""),"",$C$13*$F$17/G37)</f>
        <v>7.57398695197337</v>
      </c>
      <c r="S37" s="10" t="n">
        <f aca="false">IF(OR($X37="",$C$13=""),"",$C$13*L37/10000*1000000)</f>
        <v>25122.4274134067</v>
      </c>
      <c r="T37" s="10" t="n">
        <f aca="false">IF(OR($X37="",$C$13=""),"",$C$13*1000000*(G37-$F$17)/10000)</f>
        <v>939.600652</v>
      </c>
      <c r="U37" s="67" t="n">
        <f aca="false">IF($X37="","",IF(INDEX(시장분석!$AO$2:$AO$601,$X37)="","",INDEX(시장분석!$AO$2:$AO$601,$X37)))</f>
        <v>6.746768</v>
      </c>
      <c r="V37" s="17" t="str">
        <f aca="false">IF($X37="","",IF(INDEX(시장분석!$AP$2:$AP$601,$X37)="","",INDEX(시장분석!$AP$2:$AP$601,$X37)))</f>
        <v/>
      </c>
      <c r="W37" s="78" t="n">
        <f aca="false">LARGE(시장분석!$AT$2:$AT$601,A37)</f>
        <v>38.785000261</v>
      </c>
      <c r="X37" s="78" t="n">
        <f aca="false">IF(W37&lt;-900,"",MATCH(W37,시장분석!$AT$2:$AT$601,0))</f>
        <v>260</v>
      </c>
    </row>
    <row r="38" customFormat="false" ht="17.15" hidden="false" customHeight="false" outlineLevel="0" collapsed="false">
      <c r="A38" s="2" t="n">
        <v>18</v>
      </c>
      <c r="B38" s="17" t="str">
        <f aca="false">IF($X38="","",IF(INDEX(시장분석!$A$2:$A$601,$X38)="","",INDEX(시장분석!$A$2:$A$601,$X38)))</f>
        <v>HYNMTR 5.4 06/24/31</v>
      </c>
      <c r="C38" s="17" t="str">
        <f aca="false">IF($X38="","",IF(INDEX(시장분석!$B$2:$B$601,$X38)="","",INDEX(시장분석!$B$2:$B$601,$X38)))</f>
        <v>HYUNDAI CAPITAL AMERICA</v>
      </c>
      <c r="D38" s="17" t="str">
        <f aca="false">IF($X38="","",IF(INDEX(시장분석!$L$2:$L$601,$X38)="","",INDEX(시장분석!$L$2:$L$601,$X38)))</f>
        <v>자유 소비재</v>
      </c>
      <c r="E38" s="17" t="str">
        <f aca="false">IF($X38="","",IF(INDEX(시장분석!$N$2:$N$601,$X38)="","",INDEX(시장분석!$N$2:$N$601,$X38)))</f>
        <v>미국</v>
      </c>
      <c r="F38" s="17" t="str">
        <f aca="false">IF($X38="","",IF(INDEX(시장분석!$M$2:$M$601,$X38)="","",INDEX(시장분석!$M$2:$M$601,$X38)))</f>
        <v>A-</v>
      </c>
      <c r="G38" s="38" t="n">
        <f aca="false">IF($X38="","",IF(INDEX(시장분석!$K$2:$K$601,$X38)="","",INDEX(시장분석!$K$2:$K$601,$X38)))</f>
        <v>4.168</v>
      </c>
      <c r="H38" s="36" t="n">
        <f aca="false">IF($X38="","",IF(INDEX(시장분석!$D$2:$D$601,$X38)="","",INDEX(시장분석!$D$2:$D$601,$X38)))</f>
        <v>5.958</v>
      </c>
      <c r="I38" s="37" t="n">
        <f aca="false">IF($X38="","",IF(INDEX(시장분석!$E$2:$E$601,$X38)="","",INDEX(시장분석!$E$2:$E$601,$X38)))</f>
        <v>87.089</v>
      </c>
      <c r="J38" s="45" t="n">
        <f aca="false">IF($X38="","",I38-$H$17)</f>
        <v>38.597</v>
      </c>
      <c r="K38" s="45" t="n">
        <f aca="false">IF($X38="","",(H38-$G$17)*100)</f>
        <v>38.6</v>
      </c>
      <c r="L38" s="45" t="n">
        <f aca="false">IF($X38="","",(INDEX(시장분석!$AR$2:$AR$601,$X38)-$I$17)*100)</f>
        <v>48.285054023266</v>
      </c>
      <c r="M38" s="37" t="n">
        <f aca="false">IF($X38="","",IF(INDEX(시장분석!$AS$2:$AS$601,$X38)="","",INDEX(시장분석!$AS$2:$AS$601,$X38)))</f>
        <v>29.2883993169537</v>
      </c>
      <c r="N38" s="45" t="n">
        <f aca="false">IF(OR($X38="",M38="",$J$17=""),"",M38-$J$17)</f>
        <v>6.56918924004575</v>
      </c>
      <c r="O38" s="45" t="n">
        <f aca="false">IF($X38="","",IF(INDEX(시장분석!$AJ$2:$AJ$601,$X38)="","",INDEX(시장분석!$AJ$2:$AJ$601,$X38)))</f>
        <v>2.77130210373679</v>
      </c>
      <c r="P38" s="79" t="n">
        <f aca="false">IF($X38="","",IF(INDEX(시장분석!$AK$2:$AK$601,$X38)="","",INDEX(시장분석!$AK$2:$AK$601,$X38)))</f>
        <v>0.638952803145003</v>
      </c>
      <c r="Q38" s="7" t="str">
        <f aca="false">IF($X38="","",IF(INDEX(시장분석!$AE$2:$AE$601,$X38)=$M$17,"동일 피어","다른 피어"))</f>
        <v>다른 피어</v>
      </c>
      <c r="R38" s="80" t="n">
        <f aca="false">IF(OR($X38="",$C$13=""),"",$C$13*$F$17/G38)</f>
        <v>7.64303961612284</v>
      </c>
      <c r="S38" s="10" t="n">
        <f aca="false">IF(OR($X38="",$C$13=""),"",$C$13*L38/10000*1000000)</f>
        <v>47357.6912756952</v>
      </c>
      <c r="T38" s="10" t="n">
        <f aca="false">IF(OR($X38="",$C$13=""),"",$C$13*1000000*(G38-$F$17)/10000)</f>
        <v>902.33048</v>
      </c>
      <c r="U38" s="67" t="n">
        <f aca="false">IF($X38="","",IF(INDEX(시장분석!$AO$2:$AO$601,$X38)="","",INDEX(시장분석!$AO$2:$AO$601,$X38)))</f>
        <v>12.735554</v>
      </c>
      <c r="V38" s="17" t="str">
        <f aca="false">IF($X38="","",IF(INDEX(시장분석!$AP$2:$AP$601,$X38)="","",INDEX(시장분석!$AP$2:$AP$601,$X38)))</f>
        <v/>
      </c>
      <c r="W38" s="78" t="n">
        <f aca="false">LARGE(시장분석!$AT$2:$AT$601,A38)</f>
        <v>38.597000062</v>
      </c>
      <c r="X38" s="78" t="n">
        <f aca="false">IF(W38&lt;-900,"",MATCH(W38,시장분석!$AT$2:$AT$601,0))</f>
        <v>61</v>
      </c>
    </row>
    <row r="39" customFormat="false" ht="17.15" hidden="false" customHeight="false" outlineLevel="0" collapsed="false">
      <c r="A39" s="2" t="n">
        <v>19</v>
      </c>
      <c r="B39" s="17" t="str">
        <f aca="false">IF($X39="","",IF(INDEX(시장분석!$A$2:$A$601,$X39)="","",INDEX(시장분석!$A$2:$A$601,$X39)))</f>
        <v>HSBC 4.675 03/10/32</v>
      </c>
      <c r="C39" s="17" t="str">
        <f aca="false">IF($X39="","",IF(INDEX(시장분석!$B$2:$B$601,$X39)="","",INDEX(시장분석!$B$2:$B$601,$X39)))</f>
        <v>HSBC HOLDINGS PLC</v>
      </c>
      <c r="D39" s="17" t="str">
        <f aca="false">IF($X39="","",IF(INDEX(시장분석!$L$2:$L$601,$X39)="","",INDEX(시장분석!$L$2:$L$601,$X39)))</f>
        <v>금융기관</v>
      </c>
      <c r="E39" s="17" t="str">
        <f aca="false">IF($X39="","",IF(INDEX(시장분석!$N$2:$N$601,$X39)="","",INDEX(시장분석!$N$2:$N$601,$X39)))</f>
        <v>유럽</v>
      </c>
      <c r="F39" s="17" t="str">
        <f aca="false">IF($X39="","",IF(INDEX(시장분석!$M$2:$M$601,$X39)="","",INDEX(시장분석!$M$2:$M$601,$X39)))</f>
        <v>A-</v>
      </c>
      <c r="G39" s="38" t="n">
        <f aca="false">IF($X39="","",IF(INDEX(시장분석!$K$2:$K$601,$X39)="","",INDEX(시장분석!$K$2:$K$601,$X39)))</f>
        <v>4.037</v>
      </c>
      <c r="H39" s="36" t="n">
        <f aca="false">IF($X39="","",IF(INDEX(시장분석!$D$2:$D$601,$X39)="","",INDEX(시장분석!$D$2:$D$601,$X39)))</f>
        <v>5.818</v>
      </c>
      <c r="I39" s="37" t="n">
        <f aca="false">IF($X39="","",IF(INDEX(시장분석!$E$2:$E$601,$X39)="","",INDEX(시장분석!$E$2:$E$601,$X39)))</f>
        <v>87.03</v>
      </c>
      <c r="J39" s="45" t="n">
        <f aca="false">IF($X39="","",I39-$H$17)</f>
        <v>38.538</v>
      </c>
      <c r="K39" s="45" t="n">
        <f aca="false">IF($X39="","",(H39-$G$17)*100)</f>
        <v>24.6</v>
      </c>
      <c r="L39" s="45" t="n">
        <f aca="false">IF($X39="","",(INDEX(시장분석!$AR$2:$AR$601,$X39)-$I$17)*100)</f>
        <v>25.7366343521898</v>
      </c>
      <c r="M39" s="37" t="n">
        <f aca="false">IF($X39="","",IF(INDEX(시장분석!$AS$2:$AS$601,$X39)="","",INDEX(시장분석!$AS$2:$AS$601,$X39)))</f>
        <v>28.1066704686616</v>
      </c>
      <c r="N39" s="45" t="n">
        <f aca="false">IF(OR($X39="",M39="",$J$17=""),"",M39-$J$17)</f>
        <v>5.38746039175366</v>
      </c>
      <c r="O39" s="45" t="n">
        <f aca="false">IF($X39="","",IF(INDEX(시장분석!$AJ$2:$AJ$601,$X39)="","",INDEX(시장분석!$AJ$2:$AJ$601,$X39)))</f>
        <v>0.985467385724547</v>
      </c>
      <c r="P39" s="79" t="n">
        <f aca="false">IF($X39="","",IF(INDEX(시장분석!$AK$2:$AK$601,$X39)="","",INDEX(시장분석!$AK$2:$AK$601,$X39)))</f>
        <v>0.0896834889157397</v>
      </c>
      <c r="Q39" s="7" t="str">
        <f aca="false">IF($X39="","",IF(INDEX(시장분석!$AE$2:$AE$601,$X39)=$M$17,"동일 피어","다른 피어"))</f>
        <v>동일 피어</v>
      </c>
      <c r="R39" s="80" t="n">
        <f aca="false">IF(OR($X39="",$C$13=""),"",$C$13*$F$17/G39)</f>
        <v>7.89105502105524</v>
      </c>
      <c r="S39" s="10" t="n">
        <f aca="false">IF(OR($X39="",$C$13=""),"",$C$13*L39/10000*1000000)</f>
        <v>25242.3365528217</v>
      </c>
      <c r="T39" s="10" t="n">
        <f aca="false">IF(OR($X39="",$C$13=""),"",$C$13*1000000*(G39-$F$17)/10000)</f>
        <v>773.846466</v>
      </c>
      <c r="U39" s="67" t="n">
        <f aca="false">IF($X39="","",IF(INDEX(시장분석!$AO$2:$AO$601,$X39)="","",INDEX(시장분석!$AO$2:$AO$601,$X39)))</f>
        <v>9.51209</v>
      </c>
      <c r="V39" s="17" t="str">
        <f aca="false">IF($X39="","",IF(INDEX(시장분석!$AP$2:$AP$601,$X39)="","",INDEX(시장분석!$AP$2:$AP$601,$X39)))</f>
        <v/>
      </c>
      <c r="W39" s="78" t="n">
        <f aca="false">LARGE(시장분석!$AT$2:$AT$601,A39)</f>
        <v>38.538000055</v>
      </c>
      <c r="X39" s="78" t="n">
        <f aca="false">IF(W39&lt;-900,"",MATCH(W39,시장분석!$AT$2:$AT$601,0))</f>
        <v>54</v>
      </c>
    </row>
    <row r="40" customFormat="false" ht="17.15" hidden="false" customHeight="false" outlineLevel="0" collapsed="false">
      <c r="A40" s="2" t="n">
        <v>20</v>
      </c>
      <c r="B40" s="17" t="str">
        <f aca="false">IF($X40="","",IF(INDEX(시장분석!$A$2:$A$601,$X40)="","",INDEX(시장분석!$A$2:$A$601,$X40)))</f>
        <v>BNP 5.085 05/09/31</v>
      </c>
      <c r="C40" s="17" t="str">
        <f aca="false">IF($X40="","",IF(INDEX(시장분석!$B$2:$B$601,$X40)="","",INDEX(시장분석!$B$2:$B$601,$X40)))</f>
        <v>BNP PARIBAS</v>
      </c>
      <c r="D40" s="17" t="str">
        <f aca="false">IF($X40="","",IF(INDEX(시장분석!$L$2:$L$601,$X40)="","",INDEX(시장분석!$L$2:$L$601,$X40)))</f>
        <v>금융기관</v>
      </c>
      <c r="E40" s="17" t="str">
        <f aca="false">IF($X40="","",IF(INDEX(시장분석!$N$2:$N$601,$X40)="","",INDEX(시장분석!$N$2:$N$601,$X40)))</f>
        <v>유럽</v>
      </c>
      <c r="F40" s="17" t="str">
        <f aca="false">IF($X40="","",IF(INDEX(시장분석!$M$2:$M$601,$X40)="","",INDEX(시장분석!$M$2:$M$601,$X40)))</f>
        <v>A-</v>
      </c>
      <c r="G40" s="38" t="n">
        <f aca="false">IF($X40="","",IF(INDEX(시장분석!$K$2:$K$601,$X40)="","",INDEX(시장분석!$K$2:$K$601,$X40)))</f>
        <v>3.266</v>
      </c>
      <c r="H40" s="36" t="n">
        <f aca="false">IF($X40="","",IF(INDEX(시장분석!$D$2:$D$601,$X40)="","",INDEX(시장분석!$D$2:$D$601,$X40)))</f>
        <v>5.884</v>
      </c>
      <c r="I40" s="37" t="n">
        <f aca="false">IF($X40="","",IF(INDEX(시장분석!$E$2:$E$601,$X40)="","",INDEX(시장분석!$E$2:$E$601,$X40)))</f>
        <v>86.834</v>
      </c>
      <c r="J40" s="45" t="n">
        <f aca="false">IF($X40="","",I40-$H$17)</f>
        <v>38.342</v>
      </c>
      <c r="K40" s="45" t="n">
        <f aca="false">IF($X40="","",(H40-$G$17)*100)</f>
        <v>31.2</v>
      </c>
      <c r="L40" s="45" t="n">
        <f aca="false">IF($X40="","",(INDEX(시장분석!$AR$2:$AR$601,$X40)-$I$17)*100)</f>
        <v>31.2328861474832</v>
      </c>
      <c r="M40" s="37" t="n">
        <f aca="false">IF($X40="","",IF(INDEX(시장분석!$AS$2:$AS$601,$X40)="","",INDEX(시장분석!$AS$2:$AS$601,$X40)))</f>
        <v>34.3438090867361</v>
      </c>
      <c r="N40" s="45" t="n">
        <f aca="false">IF(OR($X40="",M40="",$J$17=""),"",M40-$J$17)</f>
        <v>11.6245990098282</v>
      </c>
      <c r="O40" s="45" t="n">
        <f aca="false">IF($X40="","",IF(INDEX(시장분석!$AJ$2:$AJ$601,$X40)="","",INDEX(시장분석!$AJ$2:$AJ$601,$X40)))</f>
        <v>7.27107148467178</v>
      </c>
      <c r="P40" s="79" t="n">
        <f aca="false">IF($X40="","",IF(INDEX(시장분석!$AK$2:$AK$601,$X40)="","",INDEX(시장분석!$AK$2:$AK$601,$X40)))</f>
        <v>0.661711456256537</v>
      </c>
      <c r="Q40" s="7" t="str">
        <f aca="false">IF($X40="","",IF(INDEX(시장분석!$AE$2:$AE$601,$X40)=$M$17,"동일 피어","다른 피어"))</f>
        <v>동일 피어</v>
      </c>
      <c r="R40" s="80" t="n">
        <f aca="false">IF(OR($X40="",$C$13=""),"",$C$13*$F$17/G40)</f>
        <v>9.75388521739131</v>
      </c>
      <c r="S40" s="10" t="n">
        <f aca="false">IF(OR($X40="",$C$13=""),"",$C$13*L40/10000*1000000)</f>
        <v>30633.0273361346</v>
      </c>
      <c r="T40" s="10" t="n">
        <f aca="false">IF(OR($X40="",$C$13=""),"",$C$13*1000000*(G40-$F$17)/10000)</f>
        <v>17.6542919999998</v>
      </c>
      <c r="U40" s="67" t="n">
        <f aca="false">IF($X40="","",IF(INDEX(시장분석!$AO$2:$AO$601,$X40)="","",INDEX(시장분석!$AO$2:$AO$601,$X40)))</f>
        <v>0</v>
      </c>
      <c r="V40" s="17" t="str">
        <f aca="false">IF($X40="","",IF(INDEX(시장분석!$AP$2:$AP$601,$X40)="","",INDEX(시장분석!$AP$2:$AP$601,$X40)))</f>
        <v/>
      </c>
      <c r="W40" s="78" t="n">
        <f aca="false">LARGE(시장분석!$AT$2:$AT$601,A40)</f>
        <v>38.342000023</v>
      </c>
      <c r="X40" s="78" t="n">
        <f aca="false">IF(W40&lt;-900,"",MATCH(W40,시장분석!$AT$2:$AT$601,0))</f>
        <v>22</v>
      </c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" hidden="false" customHeight="false" outlineLevel="0" collapsed="false">
      <c r="A42" s="19" t="s">
        <v>172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" hidden="false" customHeight="false" outlineLevel="0" collapsed="false">
      <c r="A43" s="72" t="s">
        <v>173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" hidden="false" customHeight="false" outlineLevel="0" collapsed="false">
      <c r="A44" s="72" t="s">
        <v>174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" hidden="false" customHeight="false" outlineLevel="0" collapsed="false">
      <c r="A45" s="72" t="s">
        <v>175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" hidden="false" customHeight="false" outlineLevel="0" collapsed="false">
      <c r="A46" s="72" t="s">
        <v>176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" hidden="false" customHeight="false" outlineLevel="0" collapsed="false">
      <c r="A47" s="72" t="s">
        <v>177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</sheetData>
  <conditionalFormatting sqref="Q21:Q40">
    <cfRule type="cellIs" priority="2" operator="equal" aboveAverage="0" equalAverage="0" bottom="0" percent="0" rank="0" text="" dxfId="0">
      <formula>"다른 피어"</formula>
    </cfRule>
  </conditionalFormatting>
  <conditionalFormatting sqref="O21:P40">
    <cfRule type="expression" priority="3" aboveAverage="0" equalAverage="0" bottom="0" percent="0" rank="0" text="" dxfId="0">
      <formula>$Q21="다른 피어"</formula>
    </cfRule>
  </conditionalFormatting>
  <conditionalFormatting sqref="L21:L40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dataValidations count="2">
    <dataValidation allowBlank="false" errorStyle="stop" operator="between" showDropDown="false" showErrorMessage="false" showInputMessage="false" sqref="C4" type="list">
      <formula1>시장분석!$A$2:$A$601</formula1>
      <formula2>0</formula2>
    </dataValidation>
    <dataValidation allowBlank="false" errorStyle="stop" operator="between" showDropDown="false" showErrorMessage="false" showInputMessage="false" sqref="C6:C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1"/>
  </cols>
  <sheetData>
    <row r="1" customFormat="false" ht="21.6" hidden="false" customHeight="false" outlineLevel="0" collapsed="false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9" t="s">
        <v>180</v>
      </c>
      <c r="B4" s="2"/>
      <c r="C4" s="69" t="s">
        <v>181</v>
      </c>
      <c r="D4" s="72" t="s">
        <v>182</v>
      </c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19" t="s">
        <v>183</v>
      </c>
      <c r="B5" s="2"/>
      <c r="C5" s="69" t="s">
        <v>181</v>
      </c>
      <c r="D5" s="72" t="s">
        <v>184</v>
      </c>
      <c r="E5" s="2"/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19" t="s">
        <v>185</v>
      </c>
      <c r="B6" s="2"/>
      <c r="C6" s="81" t="n">
        <v>0.25</v>
      </c>
      <c r="D6" s="70" t="s">
        <v>186</v>
      </c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19" t="s">
        <v>187</v>
      </c>
      <c r="B7" s="2"/>
      <c r="C7" s="81" t="n">
        <v>3</v>
      </c>
      <c r="D7" s="70" t="s">
        <v>188</v>
      </c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19" t="s">
        <v>189</v>
      </c>
      <c r="B8" s="2"/>
      <c r="C8" s="82" t="n">
        <f aca="false">IF(SUMIFS(보유분석!$BD$2:$BD$801,보유분석!$AC$2:$AC$801,1)=0,1,SUMIFS(보유분석!$BC$2:$BC$801,보유분석!$AC$2:$AC$801,1)/SUMIFS(보유분석!$BD$2:$BD$801,보유분석!$AC$2:$AC$801,1))</f>
        <v>66.114006085129</v>
      </c>
      <c r="D8" s="70" t="s">
        <v>190</v>
      </c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7.15" hidden="false" customHeight="false" outlineLevel="0" collapsed="false">
      <c r="A10" s="24" t="s">
        <v>191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5" t="s">
        <v>192</v>
      </c>
      <c r="B11" s="5" t="s">
        <v>94</v>
      </c>
      <c r="C11" s="5" t="s">
        <v>95</v>
      </c>
      <c r="D11" s="5" t="s">
        <v>96</v>
      </c>
      <c r="E11" s="5" t="s">
        <v>97</v>
      </c>
      <c r="F11" s="5" t="s">
        <v>98</v>
      </c>
      <c r="G11" s="5" t="s">
        <v>99</v>
      </c>
      <c r="H11" s="5" t="s">
        <v>100</v>
      </c>
      <c r="I11" s="5" t="s">
        <v>101</v>
      </c>
      <c r="J11" s="5" t="s">
        <v>102</v>
      </c>
      <c r="K11" s="5" t="s">
        <v>103</v>
      </c>
      <c r="L11" s="5" t="s">
        <v>193</v>
      </c>
    </row>
    <row r="12" customFormat="false" ht="15" hidden="false" customHeight="false" outlineLevel="0" collapsed="false">
      <c r="A12" s="19" t="s">
        <v>79</v>
      </c>
      <c r="B12" s="81" t="n">
        <v>1</v>
      </c>
      <c r="C12" s="81" t="n">
        <v>1</v>
      </c>
      <c r="D12" s="81" t="n">
        <v>1</v>
      </c>
      <c r="E12" s="81" t="n">
        <v>1</v>
      </c>
      <c r="F12" s="81" t="n">
        <v>1</v>
      </c>
      <c r="G12" s="81" t="n">
        <v>1</v>
      </c>
      <c r="H12" s="81" t="n">
        <v>1</v>
      </c>
      <c r="I12" s="81" t="n">
        <v>1</v>
      </c>
      <c r="J12" s="81" t="n">
        <v>1</v>
      </c>
      <c r="K12" s="81" t="n">
        <v>1</v>
      </c>
      <c r="L12" s="81" t="n">
        <v>1</v>
      </c>
    </row>
    <row r="13" customFormat="false" ht="15" hidden="false" customHeight="false" outlineLevel="0" collapsed="false">
      <c r="A13" s="19" t="s">
        <v>90</v>
      </c>
      <c r="B13" s="81" t="n">
        <v>1</v>
      </c>
      <c r="C13" s="81" t="n">
        <v>1</v>
      </c>
      <c r="D13" s="81" t="n">
        <v>1</v>
      </c>
      <c r="E13" s="81" t="n">
        <v>1</v>
      </c>
      <c r="F13" s="81" t="n">
        <v>1</v>
      </c>
      <c r="G13" s="81" t="n">
        <v>1</v>
      </c>
      <c r="H13" s="81" t="n">
        <v>1</v>
      </c>
      <c r="I13" s="81" t="n">
        <v>1</v>
      </c>
      <c r="J13" s="81" t="n">
        <v>1</v>
      </c>
      <c r="K13" s="81" t="n">
        <v>1</v>
      </c>
      <c r="L13" s="81" t="n">
        <v>1</v>
      </c>
    </row>
    <row r="14" customFormat="false" ht="15" hidden="false" customHeight="false" outlineLevel="0" collapsed="false">
      <c r="A14" s="19" t="s">
        <v>194</v>
      </c>
      <c r="B14" s="81" t="n">
        <v>1</v>
      </c>
      <c r="C14" s="81" t="n">
        <v>1</v>
      </c>
      <c r="D14" s="81" t="n">
        <v>1</v>
      </c>
      <c r="E14" s="81" t="n">
        <v>1</v>
      </c>
      <c r="F14" s="81" t="n">
        <v>1</v>
      </c>
      <c r="G14" s="81" t="n">
        <v>1</v>
      </c>
      <c r="H14" s="81" t="n">
        <v>1</v>
      </c>
      <c r="I14" s="81" t="n">
        <v>1</v>
      </c>
      <c r="J14" s="81" t="n">
        <v>1</v>
      </c>
      <c r="K14" s="81" t="n">
        <v>1</v>
      </c>
      <c r="L14" s="81" t="n">
        <v>1</v>
      </c>
    </row>
    <row r="15" customFormat="false" ht="15" hidden="false" customHeight="false" outlineLevel="0" collapsed="false">
      <c r="A15" s="19" t="s">
        <v>92</v>
      </c>
      <c r="B15" s="81" t="n">
        <v>1</v>
      </c>
      <c r="C15" s="81" t="n">
        <v>1</v>
      </c>
      <c r="D15" s="81" t="n">
        <v>1</v>
      </c>
      <c r="E15" s="81" t="n">
        <v>1</v>
      </c>
      <c r="F15" s="81" t="n">
        <v>1</v>
      </c>
      <c r="G15" s="81" t="n">
        <v>1</v>
      </c>
      <c r="H15" s="81" t="n">
        <v>1</v>
      </c>
      <c r="I15" s="81" t="n">
        <v>1</v>
      </c>
      <c r="J15" s="81" t="n">
        <v>1</v>
      </c>
      <c r="K15" s="81" t="n">
        <v>1</v>
      </c>
      <c r="L15" s="81" t="n">
        <v>1</v>
      </c>
    </row>
    <row r="16" customFormat="false" ht="15" hidden="false" customHeight="false" outlineLevel="0" collapsed="false">
      <c r="A16" s="19" t="s">
        <v>193</v>
      </c>
      <c r="B16" s="81" t="n">
        <v>1</v>
      </c>
      <c r="C16" s="81" t="n">
        <v>1</v>
      </c>
      <c r="D16" s="81" t="n">
        <v>1</v>
      </c>
      <c r="E16" s="81" t="n">
        <v>1</v>
      </c>
      <c r="F16" s="81" t="n">
        <v>1</v>
      </c>
      <c r="G16" s="81" t="n">
        <v>1</v>
      </c>
      <c r="H16" s="81" t="n">
        <v>1</v>
      </c>
      <c r="I16" s="81" t="n">
        <v>1</v>
      </c>
      <c r="J16" s="81" t="n">
        <v>1</v>
      </c>
      <c r="K16" s="81" t="n">
        <v>1</v>
      </c>
      <c r="L16" s="81" t="n">
        <v>1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7.15" hidden="false" customHeight="false" outlineLevel="0" collapsed="false">
      <c r="A19" s="24" t="s">
        <v>195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5" t="s">
        <v>192</v>
      </c>
      <c r="B20" s="5" t="s">
        <v>94</v>
      </c>
      <c r="C20" s="5" t="s">
        <v>95</v>
      </c>
      <c r="D20" s="5" t="s">
        <v>96</v>
      </c>
      <c r="E20" s="5" t="s">
        <v>97</v>
      </c>
      <c r="F20" s="5" t="s">
        <v>98</v>
      </c>
      <c r="G20" s="5" t="s">
        <v>99</v>
      </c>
      <c r="H20" s="5" t="s">
        <v>100</v>
      </c>
      <c r="I20" s="5" t="s">
        <v>101</v>
      </c>
      <c r="J20" s="5" t="s">
        <v>102</v>
      </c>
      <c r="K20" s="5" t="s">
        <v>103</v>
      </c>
      <c r="L20" s="5" t="s">
        <v>76</v>
      </c>
    </row>
    <row r="21" customFormat="false" ht="15" hidden="false" customHeight="false" outlineLevel="0" collapsed="false">
      <c r="A21" s="19" t="s">
        <v>79</v>
      </c>
      <c r="B21" s="37" t="n">
        <f aca="false">IF(SUMIFS(보유분석!$AN$2:$AN$801,보유분석!$AH$2:$AH$801,$A21,보유분석!$AG$2:$AG$801,B$20,보유분석!$AC$2:$AC$801,1)=0,"",SUMIFS(보유분석!$AZ$2:$AZ$801,보유분석!$AH$2:$AH$801,$A21,보유분석!$AG$2:$AG$801,B$20,보유분석!$AC$2:$AC$801,1)/SUMIFS(보유분석!$AN$2:$AN$801,보유분석!$AH$2:$AH$801,$A21,보유분석!$AG$2:$AG$801,B$20,보유분석!$AC$2:$AC$801,1)*설정!$C$10)</f>
        <v>25.403513892271</v>
      </c>
      <c r="C21" s="37" t="str">
        <f aca="false">IF(SUMIFS(보유분석!$AN$2:$AN$801,보유분석!$AH$2:$AH$801,$A21,보유분석!$AG$2:$AG$801,C$20,보유분석!$AC$2:$AC$801,1)=0,"",SUMIFS(보유분석!$AZ$2:$AZ$801,보유분석!$AH$2:$AH$801,$A21,보유분석!$AG$2:$AG$801,C$20,보유분석!$AC$2:$AC$801,1)/SUMIFS(보유분석!$AN$2:$AN$801,보유분석!$AH$2:$AH$801,$A21,보유분석!$AG$2:$AG$801,C$20,보유분석!$AC$2:$AC$801,1)*설정!$C$10)</f>
        <v/>
      </c>
      <c r="D21" s="37" t="n">
        <f aca="false">IF(SUMIFS(보유분석!$AN$2:$AN$801,보유분석!$AH$2:$AH$801,$A21,보유분석!$AG$2:$AG$801,D$20,보유분석!$AC$2:$AC$801,1)=0,"",SUMIFS(보유분석!$AZ$2:$AZ$801,보유분석!$AH$2:$AH$801,$A21,보유분석!$AG$2:$AG$801,D$20,보유분석!$AC$2:$AC$801,1)/SUMIFS(보유분석!$AN$2:$AN$801,보유분석!$AH$2:$AH$801,$A21,보유분석!$AG$2:$AG$801,D$20,보유분석!$AC$2:$AC$801,1)*설정!$C$10)</f>
        <v>27.2325049805895</v>
      </c>
      <c r="E21" s="37" t="str">
        <f aca="false">IF(SUMIFS(보유분석!$AN$2:$AN$801,보유분석!$AH$2:$AH$801,$A21,보유분석!$AG$2:$AG$801,E$20,보유분석!$AC$2:$AC$801,1)=0,"",SUMIFS(보유분석!$AZ$2:$AZ$801,보유분석!$AH$2:$AH$801,$A21,보유분석!$AG$2:$AG$801,E$20,보유분석!$AC$2:$AC$801,1)/SUMIFS(보유분석!$AN$2:$AN$801,보유분석!$AH$2:$AH$801,$A21,보유분석!$AG$2:$AG$801,E$20,보유분석!$AC$2:$AC$801,1)*설정!$C$10)</f>
        <v/>
      </c>
      <c r="F21" s="37" t="str">
        <f aca="false">IF(SUMIFS(보유분석!$AN$2:$AN$801,보유분석!$AH$2:$AH$801,$A21,보유분석!$AG$2:$AG$801,F$20,보유분석!$AC$2:$AC$801,1)=0,"",SUMIFS(보유분석!$AZ$2:$AZ$801,보유분석!$AH$2:$AH$801,$A21,보유분석!$AG$2:$AG$801,F$20,보유분석!$AC$2:$AC$801,1)/SUMIFS(보유분석!$AN$2:$AN$801,보유분석!$AH$2:$AH$801,$A21,보유분석!$AG$2:$AG$801,F$20,보유분석!$AC$2:$AC$801,1)*설정!$C$10)</f>
        <v/>
      </c>
      <c r="G21" s="37" t="str">
        <f aca="false">IF(SUMIFS(보유분석!$AN$2:$AN$801,보유분석!$AH$2:$AH$801,$A21,보유분석!$AG$2:$AG$801,G$20,보유분석!$AC$2:$AC$801,1)=0,"",SUMIFS(보유분석!$AZ$2:$AZ$801,보유분석!$AH$2:$AH$801,$A21,보유분석!$AG$2:$AG$801,G$20,보유분석!$AC$2:$AC$801,1)/SUMIFS(보유분석!$AN$2:$AN$801,보유분석!$AH$2:$AH$801,$A21,보유분석!$AG$2:$AG$801,G$20,보유분석!$AC$2:$AC$801,1)*설정!$C$10)</f>
        <v/>
      </c>
      <c r="H21" s="37" t="str">
        <f aca="false">IF(SUMIFS(보유분석!$AN$2:$AN$801,보유분석!$AH$2:$AH$801,$A21,보유분석!$AG$2:$AG$801,H$20,보유분석!$AC$2:$AC$801,1)=0,"",SUMIFS(보유분석!$AZ$2:$AZ$801,보유분석!$AH$2:$AH$801,$A21,보유분석!$AG$2:$AG$801,H$20,보유분석!$AC$2:$AC$801,1)/SUMIFS(보유분석!$AN$2:$AN$801,보유분석!$AH$2:$AH$801,$A21,보유분석!$AG$2:$AG$801,H$20,보유분석!$AC$2:$AC$801,1)*설정!$C$10)</f>
        <v/>
      </c>
      <c r="I21" s="37" t="n">
        <f aca="false">IF(SUMIFS(보유분석!$AN$2:$AN$801,보유분석!$AH$2:$AH$801,$A21,보유분석!$AG$2:$AG$801,I$20,보유분석!$AC$2:$AC$801,1)=0,"",SUMIFS(보유분석!$AZ$2:$AZ$801,보유분석!$AH$2:$AH$801,$A21,보유분석!$AG$2:$AG$801,I$20,보유분석!$AC$2:$AC$801,1)/SUMIFS(보유분석!$AN$2:$AN$801,보유분석!$AH$2:$AH$801,$A21,보유분석!$AG$2:$AG$801,I$20,보유분석!$AC$2:$AC$801,1)*설정!$C$10)</f>
        <v>27.3887914797271</v>
      </c>
      <c r="J21" s="37" t="str">
        <f aca="false">IF(SUMIFS(보유분석!$AN$2:$AN$801,보유분석!$AH$2:$AH$801,$A21,보유분석!$AG$2:$AG$801,J$20,보유분석!$AC$2:$AC$801,1)=0,"",SUMIFS(보유분석!$AZ$2:$AZ$801,보유분석!$AH$2:$AH$801,$A21,보유분석!$AG$2:$AG$801,J$20,보유분석!$AC$2:$AC$801,1)/SUMIFS(보유분석!$AN$2:$AN$801,보유분석!$AH$2:$AH$801,$A21,보유분석!$AG$2:$AG$801,J$20,보유분석!$AC$2:$AC$801,1)*설정!$C$10)</f>
        <v/>
      </c>
      <c r="K21" s="37" t="n">
        <f aca="false">IF(SUMIFS(보유분석!$AN$2:$AN$801,보유분석!$AH$2:$AH$801,$A21,보유분석!$AG$2:$AG$801,K$20,보유분석!$AC$2:$AC$801,1)=0,"",SUMIFS(보유분석!$AZ$2:$AZ$801,보유분석!$AH$2:$AH$801,$A21,보유분석!$AG$2:$AG$801,K$20,보유분석!$AC$2:$AC$801,1)/SUMIFS(보유분석!$AN$2:$AN$801,보유분석!$AH$2:$AH$801,$A21,보유분석!$AG$2:$AG$801,K$20,보유분석!$AC$2:$AC$801,1)*설정!$C$10)</f>
        <v>50.3335889115458</v>
      </c>
      <c r="L21" s="15" t="n">
        <f aca="false">IF(SUMIFS(보유분석!$AN$2:$AN$801,보유분석!$AH$2:$AH$801,$A21,보유분석!$AC$2:$AC$801,1)=0,"",SUMIFS(보유분석!$AZ$2:$AZ$801,보유분석!$AH$2:$AH$801,$A21,보유분석!$AC$2:$AC$801,1)/SUMIFS(보유분석!$AN$2:$AN$801,보유분석!$AH$2:$AH$801,$A21,보유분석!$AC$2:$AC$801,1)*설정!$C$10)</f>
        <v>27.0839423593778</v>
      </c>
    </row>
    <row r="22" customFormat="false" ht="15" hidden="false" customHeight="false" outlineLevel="0" collapsed="false">
      <c r="A22" s="19" t="s">
        <v>90</v>
      </c>
      <c r="B22" s="37" t="n">
        <f aca="false">IF(SUMIFS(보유분석!$AN$2:$AN$801,보유분석!$AH$2:$AH$801,$A22,보유분석!$AG$2:$AG$801,B$20,보유분석!$AC$2:$AC$801,1)=0,"",SUMIFS(보유분석!$AZ$2:$AZ$801,보유분석!$AH$2:$AH$801,$A22,보유분석!$AG$2:$AG$801,B$20,보유분석!$AC$2:$AC$801,1)/SUMIFS(보유분석!$AN$2:$AN$801,보유분석!$AH$2:$AH$801,$A22,보유분석!$AG$2:$AG$801,B$20,보유분석!$AC$2:$AC$801,1)*설정!$C$10)</f>
        <v>29.940131642253</v>
      </c>
      <c r="C22" s="37" t="str">
        <f aca="false">IF(SUMIFS(보유분석!$AN$2:$AN$801,보유분석!$AH$2:$AH$801,$A22,보유분석!$AG$2:$AG$801,C$20,보유분석!$AC$2:$AC$801,1)=0,"",SUMIFS(보유분석!$AZ$2:$AZ$801,보유분석!$AH$2:$AH$801,$A22,보유분석!$AG$2:$AG$801,C$20,보유분석!$AC$2:$AC$801,1)/SUMIFS(보유분석!$AN$2:$AN$801,보유분석!$AH$2:$AH$801,$A22,보유분석!$AG$2:$AG$801,C$20,보유분석!$AC$2:$AC$801,1)*설정!$C$10)</f>
        <v/>
      </c>
      <c r="D22" s="37" t="str">
        <f aca="false">IF(SUMIFS(보유분석!$AN$2:$AN$801,보유분석!$AH$2:$AH$801,$A22,보유분석!$AG$2:$AG$801,D$20,보유분석!$AC$2:$AC$801,1)=0,"",SUMIFS(보유분석!$AZ$2:$AZ$801,보유분석!$AH$2:$AH$801,$A22,보유분석!$AG$2:$AG$801,D$20,보유분석!$AC$2:$AC$801,1)/SUMIFS(보유분석!$AN$2:$AN$801,보유분석!$AH$2:$AH$801,$A22,보유분석!$AG$2:$AG$801,D$20,보유분석!$AC$2:$AC$801,1)*설정!$C$10)</f>
        <v/>
      </c>
      <c r="E22" s="37" t="str">
        <f aca="false">IF(SUMIFS(보유분석!$AN$2:$AN$801,보유분석!$AH$2:$AH$801,$A22,보유분석!$AG$2:$AG$801,E$20,보유분석!$AC$2:$AC$801,1)=0,"",SUMIFS(보유분석!$AZ$2:$AZ$801,보유분석!$AH$2:$AH$801,$A22,보유분석!$AG$2:$AG$801,E$20,보유분석!$AC$2:$AC$801,1)/SUMIFS(보유분석!$AN$2:$AN$801,보유분석!$AH$2:$AH$801,$A22,보유분석!$AG$2:$AG$801,E$20,보유분석!$AC$2:$AC$801,1)*설정!$C$10)</f>
        <v/>
      </c>
      <c r="F22" s="37" t="str">
        <f aca="false">IF(SUMIFS(보유분석!$AN$2:$AN$801,보유분석!$AH$2:$AH$801,$A22,보유분석!$AG$2:$AG$801,F$20,보유분석!$AC$2:$AC$801,1)=0,"",SUMIFS(보유분석!$AZ$2:$AZ$801,보유분석!$AH$2:$AH$801,$A22,보유분석!$AG$2:$AG$801,F$20,보유분석!$AC$2:$AC$801,1)/SUMIFS(보유분석!$AN$2:$AN$801,보유분석!$AH$2:$AH$801,$A22,보유분석!$AG$2:$AG$801,F$20,보유분석!$AC$2:$AC$801,1)*설정!$C$10)</f>
        <v/>
      </c>
      <c r="G22" s="37" t="str">
        <f aca="false">IF(SUMIFS(보유분석!$AN$2:$AN$801,보유분석!$AH$2:$AH$801,$A22,보유분석!$AG$2:$AG$801,G$20,보유분석!$AC$2:$AC$801,1)=0,"",SUMIFS(보유분석!$AZ$2:$AZ$801,보유분석!$AH$2:$AH$801,$A22,보유분석!$AG$2:$AG$801,G$20,보유분석!$AC$2:$AC$801,1)/SUMIFS(보유분석!$AN$2:$AN$801,보유분석!$AH$2:$AH$801,$A22,보유분석!$AG$2:$AG$801,G$20,보유분석!$AC$2:$AC$801,1)*설정!$C$10)</f>
        <v/>
      </c>
      <c r="H22" s="37" t="str">
        <f aca="false">IF(SUMIFS(보유분석!$AN$2:$AN$801,보유분석!$AH$2:$AH$801,$A22,보유분석!$AG$2:$AG$801,H$20,보유분석!$AC$2:$AC$801,1)=0,"",SUMIFS(보유분석!$AZ$2:$AZ$801,보유분석!$AH$2:$AH$801,$A22,보유분석!$AG$2:$AG$801,H$20,보유분석!$AC$2:$AC$801,1)/SUMIFS(보유분석!$AN$2:$AN$801,보유분석!$AH$2:$AH$801,$A22,보유분석!$AG$2:$AG$801,H$20,보유분석!$AC$2:$AC$801,1)*설정!$C$10)</f>
        <v/>
      </c>
      <c r="I22" s="37" t="str">
        <f aca="false">IF(SUMIFS(보유분석!$AN$2:$AN$801,보유분석!$AH$2:$AH$801,$A22,보유분석!$AG$2:$AG$801,I$20,보유분석!$AC$2:$AC$801,1)=0,"",SUMIFS(보유분석!$AZ$2:$AZ$801,보유분석!$AH$2:$AH$801,$A22,보유분석!$AG$2:$AG$801,I$20,보유분석!$AC$2:$AC$801,1)/SUMIFS(보유분석!$AN$2:$AN$801,보유분석!$AH$2:$AH$801,$A22,보유분석!$AG$2:$AG$801,I$20,보유분석!$AC$2:$AC$801,1)*설정!$C$10)</f>
        <v/>
      </c>
      <c r="J22" s="37" t="str">
        <f aca="false">IF(SUMIFS(보유분석!$AN$2:$AN$801,보유분석!$AH$2:$AH$801,$A22,보유분석!$AG$2:$AG$801,J$20,보유분석!$AC$2:$AC$801,1)=0,"",SUMIFS(보유분석!$AZ$2:$AZ$801,보유분석!$AH$2:$AH$801,$A22,보유분석!$AG$2:$AG$801,J$20,보유분석!$AC$2:$AC$801,1)/SUMIFS(보유분석!$AN$2:$AN$801,보유분석!$AH$2:$AH$801,$A22,보유분석!$AG$2:$AG$801,J$20,보유분석!$AC$2:$AC$801,1)*설정!$C$10)</f>
        <v/>
      </c>
      <c r="K22" s="37" t="str">
        <f aca="false">IF(SUMIFS(보유분석!$AN$2:$AN$801,보유분석!$AH$2:$AH$801,$A22,보유분석!$AG$2:$AG$801,K$20,보유분석!$AC$2:$AC$801,1)=0,"",SUMIFS(보유분석!$AZ$2:$AZ$801,보유분석!$AH$2:$AH$801,$A22,보유분석!$AG$2:$AG$801,K$20,보유분석!$AC$2:$AC$801,1)/SUMIFS(보유분석!$AN$2:$AN$801,보유분석!$AH$2:$AH$801,$A22,보유분석!$AG$2:$AG$801,K$20,보유분석!$AC$2:$AC$801,1)*설정!$C$10)</f>
        <v/>
      </c>
      <c r="L22" s="15" t="n">
        <f aca="false">IF(SUMIFS(보유분석!$AN$2:$AN$801,보유분석!$AH$2:$AH$801,$A22,보유분석!$AC$2:$AC$801,1)=0,"",SUMIFS(보유분석!$AZ$2:$AZ$801,보유분석!$AH$2:$AH$801,$A22,보유분석!$AC$2:$AC$801,1)/SUMIFS(보유분석!$AN$2:$AN$801,보유분석!$AH$2:$AH$801,$A22,보유분석!$AC$2:$AC$801,1)*설정!$C$10)</f>
        <v>29.940131642253</v>
      </c>
    </row>
    <row r="23" customFormat="false" ht="15" hidden="false" customHeight="false" outlineLevel="0" collapsed="false">
      <c r="A23" s="19" t="s">
        <v>194</v>
      </c>
      <c r="B23" s="37" t="n">
        <f aca="false">IF(SUMIFS(보유분석!$AN$2:$AN$801,보유분석!$AH$2:$AH$801,$A23,보유분석!$AG$2:$AG$801,B$20,보유분석!$AC$2:$AC$801,1)=0,"",SUMIFS(보유분석!$AZ$2:$AZ$801,보유분석!$AH$2:$AH$801,$A23,보유분석!$AG$2:$AG$801,B$20,보유분석!$AC$2:$AC$801,1)/SUMIFS(보유분석!$AN$2:$AN$801,보유분석!$AH$2:$AH$801,$A23,보유분석!$AG$2:$AG$801,B$20,보유분석!$AC$2:$AC$801,1)*설정!$C$10)</f>
        <v>27.5531212303093</v>
      </c>
      <c r="C23" s="37" t="str">
        <f aca="false">IF(SUMIFS(보유분석!$AN$2:$AN$801,보유분석!$AH$2:$AH$801,$A23,보유분석!$AG$2:$AG$801,C$20,보유분석!$AC$2:$AC$801,1)=0,"",SUMIFS(보유분석!$AZ$2:$AZ$801,보유분석!$AH$2:$AH$801,$A23,보유분석!$AG$2:$AG$801,C$20,보유분석!$AC$2:$AC$801,1)/SUMIFS(보유분석!$AN$2:$AN$801,보유분석!$AH$2:$AH$801,$A23,보유분석!$AG$2:$AG$801,C$20,보유분석!$AC$2:$AC$801,1)*설정!$C$10)</f>
        <v/>
      </c>
      <c r="D23" s="37" t="n">
        <f aca="false">IF(SUMIFS(보유분석!$AN$2:$AN$801,보유분석!$AH$2:$AH$801,$A23,보유분석!$AG$2:$AG$801,D$20,보유분석!$AC$2:$AC$801,1)=0,"",SUMIFS(보유분석!$AZ$2:$AZ$801,보유분석!$AH$2:$AH$801,$A23,보유분석!$AG$2:$AG$801,D$20,보유분석!$AC$2:$AC$801,1)/SUMIFS(보유분석!$AN$2:$AN$801,보유분석!$AH$2:$AH$801,$A23,보유분석!$AG$2:$AG$801,D$20,보유분석!$AC$2:$AC$801,1)*설정!$C$10)</f>
        <v>22.2641176609176</v>
      </c>
      <c r="E23" s="37" t="n">
        <f aca="false">IF(SUMIFS(보유분석!$AN$2:$AN$801,보유분석!$AH$2:$AH$801,$A23,보유분석!$AG$2:$AG$801,E$20,보유분석!$AC$2:$AC$801,1)=0,"",SUMIFS(보유분석!$AZ$2:$AZ$801,보유분석!$AH$2:$AH$801,$A23,보유분석!$AG$2:$AG$801,E$20,보유분석!$AC$2:$AC$801,1)/SUMIFS(보유분석!$AN$2:$AN$801,보유분석!$AH$2:$AH$801,$A23,보유분석!$AG$2:$AG$801,E$20,보유분석!$AC$2:$AC$801,1)*설정!$C$10)</f>
        <v>19.9026170801582</v>
      </c>
      <c r="F23" s="37" t="n">
        <f aca="false">IF(SUMIFS(보유분석!$AN$2:$AN$801,보유분석!$AH$2:$AH$801,$A23,보유분석!$AG$2:$AG$801,F$20,보유분석!$AC$2:$AC$801,1)=0,"",SUMIFS(보유분석!$AZ$2:$AZ$801,보유분석!$AH$2:$AH$801,$A23,보유분석!$AG$2:$AG$801,F$20,보유분석!$AC$2:$AC$801,1)/SUMIFS(보유분석!$AN$2:$AN$801,보유분석!$AH$2:$AH$801,$A23,보유분석!$AG$2:$AG$801,F$20,보유분석!$AC$2:$AC$801,1)*설정!$C$10)</f>
        <v>22.3673432512297</v>
      </c>
      <c r="G23" s="37" t="n">
        <f aca="false">IF(SUMIFS(보유분석!$AN$2:$AN$801,보유분석!$AH$2:$AH$801,$A23,보유분석!$AG$2:$AG$801,G$20,보유분석!$AC$2:$AC$801,1)=0,"",SUMIFS(보유분석!$AZ$2:$AZ$801,보유분석!$AH$2:$AH$801,$A23,보유분석!$AG$2:$AG$801,G$20,보유분석!$AC$2:$AC$801,1)/SUMIFS(보유분석!$AN$2:$AN$801,보유분석!$AH$2:$AH$801,$A23,보유분석!$AG$2:$AG$801,G$20,보유분석!$AC$2:$AC$801,1)*설정!$C$10)</f>
        <v>33.4167318055382</v>
      </c>
      <c r="H23" s="37" t="n">
        <f aca="false">IF(SUMIFS(보유분석!$AN$2:$AN$801,보유분석!$AH$2:$AH$801,$A23,보유분석!$AG$2:$AG$801,H$20,보유분석!$AC$2:$AC$801,1)=0,"",SUMIFS(보유분석!$AZ$2:$AZ$801,보유분석!$AH$2:$AH$801,$A23,보유분석!$AG$2:$AG$801,H$20,보유분석!$AC$2:$AC$801,1)/SUMIFS(보유분석!$AN$2:$AN$801,보유분석!$AH$2:$AH$801,$A23,보유분석!$AG$2:$AG$801,H$20,보유분석!$AC$2:$AC$801,1)*설정!$C$10)</f>
        <v>14.2239967279215</v>
      </c>
      <c r="I23" s="37" t="n">
        <f aca="false">IF(SUMIFS(보유분석!$AN$2:$AN$801,보유분석!$AH$2:$AH$801,$A23,보유분석!$AG$2:$AG$801,I$20,보유분석!$AC$2:$AC$801,1)=0,"",SUMIFS(보유분석!$AZ$2:$AZ$801,보유분석!$AH$2:$AH$801,$A23,보유분석!$AG$2:$AG$801,I$20,보유분석!$AC$2:$AC$801,1)/SUMIFS(보유분석!$AN$2:$AN$801,보유분석!$AH$2:$AH$801,$A23,보유분석!$AG$2:$AG$801,I$20,보유분석!$AC$2:$AC$801,1)*설정!$C$10)</f>
        <v>31.3592251859737</v>
      </c>
      <c r="J23" s="37" t="n">
        <f aca="false">IF(SUMIFS(보유분석!$AN$2:$AN$801,보유분석!$AH$2:$AH$801,$A23,보유분석!$AG$2:$AG$801,J$20,보유분석!$AC$2:$AC$801,1)=0,"",SUMIFS(보유분석!$AZ$2:$AZ$801,보유분석!$AH$2:$AH$801,$A23,보유분석!$AG$2:$AG$801,J$20,보유분석!$AC$2:$AC$801,1)/SUMIFS(보유분석!$AN$2:$AN$801,보유분석!$AH$2:$AH$801,$A23,보유분석!$AG$2:$AG$801,J$20,보유분석!$AC$2:$AC$801,1)*설정!$C$10)</f>
        <v>21.6932062118917</v>
      </c>
      <c r="K23" s="37" t="n">
        <f aca="false">IF(SUMIFS(보유분석!$AN$2:$AN$801,보유분석!$AH$2:$AH$801,$A23,보유분석!$AG$2:$AG$801,K$20,보유분석!$AC$2:$AC$801,1)=0,"",SUMIFS(보유분석!$AZ$2:$AZ$801,보유분석!$AH$2:$AH$801,$A23,보유분석!$AG$2:$AG$801,K$20,보유분석!$AC$2:$AC$801,1)/SUMIFS(보유분석!$AN$2:$AN$801,보유분석!$AH$2:$AH$801,$A23,보유분석!$AG$2:$AG$801,K$20,보유분석!$AC$2:$AC$801,1)*설정!$C$10)</f>
        <v>23.9612616721516</v>
      </c>
      <c r="L23" s="15" t="n">
        <f aca="false">IF(SUMIFS(보유분석!$AN$2:$AN$801,보유분석!$AH$2:$AH$801,$A23,보유분석!$AC$2:$AC$801,1)=0,"",SUMIFS(보유분석!$AZ$2:$AZ$801,보유분석!$AH$2:$AH$801,$A23,보유분석!$AC$2:$AC$801,1)/SUMIFS(보유분석!$AN$2:$AN$801,보유분석!$AH$2:$AH$801,$A23,보유분석!$AC$2:$AC$801,1)*설정!$C$10)</f>
        <v>27.3487852970558</v>
      </c>
    </row>
    <row r="24" customFormat="false" ht="15" hidden="false" customHeight="false" outlineLevel="0" collapsed="false">
      <c r="A24" s="19" t="s">
        <v>92</v>
      </c>
      <c r="B24" s="37" t="n">
        <f aca="false">IF(SUMIFS(보유분석!$AN$2:$AN$801,보유분석!$AH$2:$AH$801,$A24,보유분석!$AG$2:$AG$801,B$20,보유분석!$AC$2:$AC$801,1)=0,"",SUMIFS(보유분석!$AZ$2:$AZ$801,보유분석!$AH$2:$AH$801,$A24,보유분석!$AG$2:$AG$801,B$20,보유분석!$AC$2:$AC$801,1)/SUMIFS(보유분석!$AN$2:$AN$801,보유분석!$AH$2:$AH$801,$A24,보유분석!$AG$2:$AG$801,B$20,보유분석!$AC$2:$AC$801,1)*설정!$C$10)</f>
        <v>20.3292778578474</v>
      </c>
      <c r="C24" s="37" t="str">
        <f aca="false">IF(SUMIFS(보유분석!$AN$2:$AN$801,보유분석!$AH$2:$AH$801,$A24,보유분석!$AG$2:$AG$801,C$20,보유분석!$AC$2:$AC$801,1)=0,"",SUMIFS(보유분석!$AZ$2:$AZ$801,보유분석!$AH$2:$AH$801,$A24,보유분석!$AG$2:$AG$801,C$20,보유분석!$AC$2:$AC$801,1)/SUMIFS(보유분석!$AN$2:$AN$801,보유분석!$AH$2:$AH$801,$A24,보유분석!$AG$2:$AG$801,C$20,보유분석!$AC$2:$AC$801,1)*설정!$C$10)</f>
        <v/>
      </c>
      <c r="D24" s="37" t="str">
        <f aca="false">IF(SUMIFS(보유분석!$AN$2:$AN$801,보유분석!$AH$2:$AH$801,$A24,보유분석!$AG$2:$AG$801,D$20,보유분석!$AC$2:$AC$801,1)=0,"",SUMIFS(보유분석!$AZ$2:$AZ$801,보유분석!$AH$2:$AH$801,$A24,보유분석!$AG$2:$AG$801,D$20,보유분석!$AC$2:$AC$801,1)/SUMIFS(보유분석!$AN$2:$AN$801,보유분석!$AH$2:$AH$801,$A24,보유분석!$AG$2:$AG$801,D$20,보유분석!$AC$2:$AC$801,1)*설정!$C$10)</f>
        <v/>
      </c>
      <c r="E24" s="37" t="str">
        <f aca="false">IF(SUMIFS(보유분석!$AN$2:$AN$801,보유분석!$AH$2:$AH$801,$A24,보유분석!$AG$2:$AG$801,E$20,보유분석!$AC$2:$AC$801,1)=0,"",SUMIFS(보유분석!$AZ$2:$AZ$801,보유분석!$AH$2:$AH$801,$A24,보유분석!$AG$2:$AG$801,E$20,보유분석!$AC$2:$AC$801,1)/SUMIFS(보유분석!$AN$2:$AN$801,보유분석!$AH$2:$AH$801,$A24,보유분석!$AG$2:$AG$801,E$20,보유분석!$AC$2:$AC$801,1)*설정!$C$10)</f>
        <v/>
      </c>
      <c r="F24" s="37" t="str">
        <f aca="false">IF(SUMIFS(보유분석!$AN$2:$AN$801,보유분석!$AH$2:$AH$801,$A24,보유분석!$AG$2:$AG$801,F$20,보유분석!$AC$2:$AC$801,1)=0,"",SUMIFS(보유분석!$AZ$2:$AZ$801,보유분석!$AH$2:$AH$801,$A24,보유분석!$AG$2:$AG$801,F$20,보유분석!$AC$2:$AC$801,1)/SUMIFS(보유분석!$AN$2:$AN$801,보유분석!$AH$2:$AH$801,$A24,보유분석!$AG$2:$AG$801,F$20,보유분석!$AC$2:$AC$801,1)*설정!$C$10)</f>
        <v/>
      </c>
      <c r="G24" s="37" t="str">
        <f aca="false">IF(SUMIFS(보유분석!$AN$2:$AN$801,보유분석!$AH$2:$AH$801,$A24,보유분석!$AG$2:$AG$801,G$20,보유분석!$AC$2:$AC$801,1)=0,"",SUMIFS(보유분석!$AZ$2:$AZ$801,보유분석!$AH$2:$AH$801,$A24,보유분석!$AG$2:$AG$801,G$20,보유분석!$AC$2:$AC$801,1)/SUMIFS(보유분석!$AN$2:$AN$801,보유분석!$AH$2:$AH$801,$A24,보유분석!$AG$2:$AG$801,G$20,보유분석!$AC$2:$AC$801,1)*설정!$C$10)</f>
        <v/>
      </c>
      <c r="H24" s="37" t="str">
        <f aca="false">IF(SUMIFS(보유분석!$AN$2:$AN$801,보유분석!$AH$2:$AH$801,$A24,보유분석!$AG$2:$AG$801,H$20,보유분석!$AC$2:$AC$801,1)=0,"",SUMIFS(보유분석!$AZ$2:$AZ$801,보유분석!$AH$2:$AH$801,$A24,보유분석!$AG$2:$AG$801,H$20,보유분석!$AC$2:$AC$801,1)/SUMIFS(보유분석!$AN$2:$AN$801,보유분석!$AH$2:$AH$801,$A24,보유분석!$AG$2:$AG$801,H$20,보유분석!$AC$2:$AC$801,1)*설정!$C$10)</f>
        <v/>
      </c>
      <c r="I24" s="37" t="str">
        <f aca="false">IF(SUMIFS(보유분석!$AN$2:$AN$801,보유분석!$AH$2:$AH$801,$A24,보유분석!$AG$2:$AG$801,I$20,보유분석!$AC$2:$AC$801,1)=0,"",SUMIFS(보유분석!$AZ$2:$AZ$801,보유분석!$AH$2:$AH$801,$A24,보유분석!$AG$2:$AG$801,I$20,보유분석!$AC$2:$AC$801,1)/SUMIFS(보유분석!$AN$2:$AN$801,보유분석!$AH$2:$AH$801,$A24,보유분석!$AG$2:$AG$801,I$20,보유분석!$AC$2:$AC$801,1)*설정!$C$10)</f>
        <v/>
      </c>
      <c r="J24" s="37" t="str">
        <f aca="false">IF(SUMIFS(보유분석!$AN$2:$AN$801,보유분석!$AH$2:$AH$801,$A24,보유분석!$AG$2:$AG$801,J$20,보유분석!$AC$2:$AC$801,1)=0,"",SUMIFS(보유분석!$AZ$2:$AZ$801,보유분석!$AH$2:$AH$801,$A24,보유분석!$AG$2:$AG$801,J$20,보유분석!$AC$2:$AC$801,1)/SUMIFS(보유분석!$AN$2:$AN$801,보유분석!$AH$2:$AH$801,$A24,보유분석!$AG$2:$AG$801,J$20,보유분석!$AC$2:$AC$801,1)*설정!$C$10)</f>
        <v/>
      </c>
      <c r="K24" s="37" t="str">
        <f aca="false">IF(SUMIFS(보유분석!$AN$2:$AN$801,보유분석!$AH$2:$AH$801,$A24,보유분석!$AG$2:$AG$801,K$20,보유분석!$AC$2:$AC$801,1)=0,"",SUMIFS(보유분석!$AZ$2:$AZ$801,보유분석!$AH$2:$AH$801,$A24,보유분석!$AG$2:$AG$801,K$20,보유분석!$AC$2:$AC$801,1)/SUMIFS(보유분석!$AN$2:$AN$801,보유분석!$AH$2:$AH$801,$A24,보유분석!$AG$2:$AG$801,K$20,보유분석!$AC$2:$AC$801,1)*설정!$C$10)</f>
        <v/>
      </c>
      <c r="L24" s="15" t="n">
        <f aca="false">IF(SUMIFS(보유분석!$AN$2:$AN$801,보유분석!$AH$2:$AH$801,$A24,보유분석!$AC$2:$AC$801,1)=0,"",SUMIFS(보유분석!$AZ$2:$AZ$801,보유분석!$AH$2:$AH$801,$A24,보유분석!$AC$2:$AC$801,1)/SUMIFS(보유분석!$AN$2:$AN$801,보유분석!$AH$2:$AH$801,$A24,보유분석!$AC$2:$AC$801,1)*설정!$C$10)</f>
        <v>20.3292778578474</v>
      </c>
    </row>
    <row r="25" customFormat="false" ht="15" hidden="false" customHeight="false" outlineLevel="0" collapsed="false">
      <c r="A25" s="19" t="s">
        <v>196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15" t="n">
        <f aca="false">IF(SUMIFS(보유분석!$AN$2:$AN$801,보유분석!$AC$2:$AC$801,1)=0,"",SUMIFS(보유분석!$AZ$2:$AZ$801,보유분석!$AC$2:$AC$801,1)/SUMIFS(보유분석!$AN$2:$AN$801,보유분석!$AC$2:$AC$801,1)*설정!$C$10)</f>
        <v>27.5953720020092</v>
      </c>
    </row>
  </sheetData>
  <conditionalFormatting sqref="B21:L25">
    <cfRule type="colorScale" priority="2">
      <colorScale>
        <cfvo type="min" val="0"/>
        <cfvo type="max" val="0"/>
        <color rgb="FFFFFFFF"/>
        <color rgb="FFF8696B"/>
      </colorScale>
    </cfRule>
  </conditionalFormatting>
  <dataValidations count="1">
    <dataValidation allowBlank="false" errorStyle="stop" operator="between" showDropDown="false" showErrorMessage="false" showInputMessage="false" sqref="C4:C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6" min="14" style="0" width="6"/>
    <col collapsed="false" customWidth="true" hidden="false" outlineLevel="0" max="17" min="17" style="0" width="5"/>
    <col collapsed="false" customWidth="true" hidden="false" outlineLevel="0" max="18" min="18" style="0" width="9"/>
    <col collapsed="false" customWidth="true" hidden="false" outlineLevel="0" max="19" min="19" style="0" width="5"/>
    <col collapsed="false" customWidth="true" hidden="false" outlineLevel="1" max="20" min="20" style="0" width="16"/>
    <col collapsed="false" customWidth="true" hidden="false" outlineLevel="0" max="21" min="21" style="0" width="7"/>
    <col collapsed="false" customWidth="true" hidden="false" outlineLevel="0" max="22" min="22" style="0" width="9"/>
    <col collapsed="false" customWidth="true" hidden="false" outlineLevel="0" max="23" min="23" style="0" width="6"/>
    <col collapsed="false" customWidth="true" hidden="false" outlineLevel="0" max="24" min="24" style="0" width="9"/>
    <col collapsed="false" customWidth="true" hidden="false" outlineLevel="0" max="25" min="25" style="0" width="5"/>
    <col collapsed="false" customWidth="true" hidden="false" outlineLevel="0" max="26" min="26" style="0" width="8"/>
    <col collapsed="false" customWidth="true" hidden="false" outlineLevel="0" max="27" min="27" style="0" width="10"/>
    <col collapsed="false" customWidth="true" hidden="false" outlineLevel="0" max="28" min="28" style="0" width="6"/>
    <col collapsed="false" customWidth="true" hidden="false" outlineLevel="0" max="29" min="29" style="0" width="5"/>
    <col collapsed="false" customWidth="true" hidden="false" outlineLevel="0" max="30" min="30" style="0" width="6"/>
    <col collapsed="false" customWidth="true" hidden="false" outlineLevel="0" max="31" min="31" style="0" width="22"/>
    <col collapsed="false" customWidth="true" hidden="false" outlineLevel="0" max="32" min="32" style="0" width="8"/>
    <col collapsed="false" customWidth="true" hidden="false" outlineLevel="0" max="34" min="33" style="0" width="10"/>
    <col collapsed="false" customWidth="true" hidden="false" outlineLevel="0" max="35" min="35" style="0" width="8"/>
    <col collapsed="false" customWidth="true" hidden="false" outlineLevel="0" max="37" min="36" style="0" width="7"/>
    <col collapsed="false" customWidth="true" hidden="false" outlineLevel="1" max="38" min="38" style="0" width="5"/>
    <col collapsed="false" customWidth="true" hidden="false" outlineLevel="0" max="40" min="39" style="0" width="10"/>
    <col collapsed="false" customWidth="true" hidden="false" outlineLevel="0" max="42" min="41" style="0" width="11"/>
    <col collapsed="false" customWidth="true" hidden="false" outlineLevel="0" max="44" min="43" style="0" width="7"/>
    <col collapsed="false" customWidth="true" hidden="false" outlineLevel="0" max="45" min="45" style="0" width="8"/>
    <col collapsed="false" customWidth="true" hidden="false" outlineLevel="0" max="46" min="46" style="0" width="7"/>
    <col collapsed="false" customWidth="true" hidden="false" outlineLevel="0" max="47" min="47" style="0" width="10"/>
    <col collapsed="false" customWidth="true" hidden="false" outlineLevel="0" max="48" min="48" style="0" width="11"/>
    <col collapsed="false" customWidth="true" hidden="false" outlineLevel="0" max="49" min="49" style="0" width="18"/>
    <col collapsed="false" customWidth="true" hidden="false" outlineLevel="1" max="51" min="50" style="0" width="7"/>
    <col collapsed="false" customWidth="true" hidden="false" outlineLevel="0" max="52" min="52" style="0" width="10"/>
    <col collapsed="false" customWidth="true" hidden="false" outlineLevel="1" max="61" min="53" style="0" width="7"/>
  </cols>
  <sheetData>
    <row r="1" customFormat="false" ht="42" hidden="false" customHeight="true" outlineLevel="0" collapsed="false">
      <c r="A1" s="5" t="s">
        <v>197</v>
      </c>
      <c r="B1" s="25" t="s">
        <v>198</v>
      </c>
      <c r="C1" s="5" t="s">
        <v>39</v>
      </c>
      <c r="D1" s="5" t="s">
        <v>199</v>
      </c>
      <c r="E1" s="5" t="s">
        <v>200</v>
      </c>
      <c r="F1" s="5" t="s">
        <v>201</v>
      </c>
      <c r="G1" s="5" t="s">
        <v>202</v>
      </c>
      <c r="H1" s="5" t="s">
        <v>203</v>
      </c>
      <c r="I1" s="5" t="s">
        <v>204</v>
      </c>
      <c r="J1" s="5" t="s">
        <v>205</v>
      </c>
      <c r="K1" s="25" t="s">
        <v>206</v>
      </c>
      <c r="L1" s="5" t="s">
        <v>207</v>
      </c>
      <c r="M1" s="5" t="s">
        <v>208</v>
      </c>
      <c r="N1" s="25" t="s">
        <v>209</v>
      </c>
      <c r="O1" s="25" t="s">
        <v>210</v>
      </c>
      <c r="P1" s="25" t="s">
        <v>211</v>
      </c>
      <c r="Q1" s="5" t="s">
        <v>212</v>
      </c>
      <c r="R1" s="5" t="s">
        <v>213</v>
      </c>
      <c r="S1" s="25" t="s">
        <v>214</v>
      </c>
      <c r="T1" s="5" t="s">
        <v>215</v>
      </c>
      <c r="U1" s="5" t="s">
        <v>216</v>
      </c>
      <c r="V1" s="5" t="s">
        <v>217</v>
      </c>
      <c r="W1" s="5" t="s">
        <v>218</v>
      </c>
      <c r="X1" s="5" t="s">
        <v>219</v>
      </c>
      <c r="Y1" s="5" t="s">
        <v>220</v>
      </c>
      <c r="Z1" s="5" t="s">
        <v>221</v>
      </c>
      <c r="AA1" s="5" t="s">
        <v>40</v>
      </c>
      <c r="AB1" s="5" t="s">
        <v>222</v>
      </c>
      <c r="AC1" s="5" t="s">
        <v>223</v>
      </c>
      <c r="AD1" s="25" t="s">
        <v>224</v>
      </c>
      <c r="AE1" s="5" t="s">
        <v>225</v>
      </c>
      <c r="AF1" s="25" t="s">
        <v>128</v>
      </c>
      <c r="AG1" s="5" t="s">
        <v>124</v>
      </c>
      <c r="AH1" s="5" t="s">
        <v>158</v>
      </c>
      <c r="AI1" s="5" t="s">
        <v>123</v>
      </c>
      <c r="AJ1" s="5" t="s">
        <v>226</v>
      </c>
      <c r="AK1" s="5" t="s">
        <v>227</v>
      </c>
      <c r="AL1" s="5" t="s">
        <v>228</v>
      </c>
      <c r="AM1" s="25" t="s">
        <v>24</v>
      </c>
      <c r="AN1" s="25" t="s">
        <v>229</v>
      </c>
      <c r="AO1" s="25" t="s">
        <v>230</v>
      </c>
      <c r="AP1" s="5" t="s">
        <v>57</v>
      </c>
      <c r="AQ1" s="25" t="s">
        <v>131</v>
      </c>
      <c r="AR1" s="5" t="s">
        <v>231</v>
      </c>
      <c r="AS1" s="5" t="s">
        <v>130</v>
      </c>
      <c r="AT1" s="5" t="s">
        <v>232</v>
      </c>
      <c r="AU1" s="5" t="s">
        <v>233</v>
      </c>
      <c r="AV1" s="25" t="s">
        <v>234</v>
      </c>
      <c r="AW1" s="5" t="s">
        <v>235</v>
      </c>
      <c r="AX1" s="5" t="s">
        <v>236</v>
      </c>
      <c r="AY1" s="5" t="s">
        <v>237</v>
      </c>
      <c r="AZ1" s="5" t="s">
        <v>238</v>
      </c>
      <c r="BA1" s="25" t="s">
        <v>239</v>
      </c>
      <c r="BB1" s="25" t="s">
        <v>240</v>
      </c>
      <c r="BC1" s="25" t="s">
        <v>241</v>
      </c>
      <c r="BD1" s="25" t="s">
        <v>242</v>
      </c>
      <c r="BE1" s="25" t="s">
        <v>243</v>
      </c>
      <c r="BF1" s="25" t="s">
        <v>244</v>
      </c>
      <c r="BG1" s="25" t="s">
        <v>245</v>
      </c>
      <c r="BH1" s="25" t="s">
        <v>246</v>
      </c>
      <c r="BI1" s="25" t="s">
        <v>247</v>
      </c>
    </row>
    <row r="2" customFormat="false" ht="15" hidden="false" customHeight="false" outlineLevel="0" collapsed="false">
      <c r="A2" s="83" t="str">
        <f aca="false">IFERROR(IF(INDEX(원자료_잔고!$A$1:$EZ$1500,설정!$L$5+ROW()-1,설정!$L$8)&amp;""="0","",INDEX(원자료_잔고!$A$1:$EZ$1500,설정!$L$5+ROW()-1,설정!$L$8)&amp;""),"")</f>
        <v>EIBKOR 1.625 01/18/27</v>
      </c>
      <c r="B2" s="83" t="str">
        <f aca="false">IFERROR(IF(INDEX(원자료_잔고!$A$1:$EZ$1500,설정!$L$5+ROW()-1,설정!$L$7)&amp;""="0","",INDEX(원자료_잔고!$A$1:$EZ$1500,설정!$L$5+ROW()-1,설정!$L$7)&amp;""),"")</f>
        <v>US302154DM88</v>
      </c>
      <c r="C2" s="83" t="str">
        <f aca="false">IFERROR(IF(INDEX(원자료_잔고!$A$1:$EZ$1500,설정!$L$5+ROW()-1,설정!$L$9)&amp;""="0","",INDEX(원자료_잔고!$A$1:$EZ$1500,설정!$L$5+ROW()-1,설정!$L$9)&amp;""),"")</f>
        <v>10227</v>
      </c>
      <c r="D2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" s="84" t="n">
        <f aca="false">IFERROR(IF(ISNUMBER(INDEX(원자료_잔고!$A$1:$EZ$1500,설정!$L$5+ROW()-1,설정!$L$11)),INDEX(원자료_잔고!$A$1:$EZ$1500,설정!$L$5+ROW()-1,설정!$L$11),""),"")</f>
        <v>1000000</v>
      </c>
      <c r="F2" s="85" t="n">
        <f aca="false">IFERROR(IF(ISNUMBER(INDEX(원자료_잔고!$A$1:$EZ$1500,설정!$L$5+ROW()-1,설정!$L$12)),INDEX(원자료_잔고!$A$1:$EZ$1500,설정!$L$5+ROW()-1,설정!$L$12),""),"")</f>
        <v>99.0859</v>
      </c>
      <c r="G2" s="85" t="n">
        <f aca="false">IFERROR(IF(ISNUMBER(INDEX(원자료_잔고!$A$1:$EZ$1500,설정!$L$5+ROW()-1,설정!$L$13)),INDEX(원자료_잔고!$A$1:$EZ$1500,설정!$L$5+ROW()-1,설정!$L$13),""),"")</f>
        <v>4.7117</v>
      </c>
      <c r="H2" s="85" t="n">
        <f aca="false">IFERROR(IF(ISNUMBER(INDEX(원자료_잔고!$A$1:$EZ$1500,설정!$L$5+ROW()-1,설정!$L$14)),INDEX(원자료_잔고!$A$1:$EZ$1500,설정!$L$5+ROW()-1,설정!$L$14),""),"")</f>
        <v>0.2901</v>
      </c>
      <c r="I2" s="86" t="n">
        <f aca="false">IFERROR(IF(ISNUMBER(INDEX(원자료_잔고!$A$1:$EZ$1500,설정!$L$5+ROW()-1,설정!$L$15)),INDEX(원자료_잔고!$A$1:$EZ$1500,설정!$L$5+ROW()-1,설정!$L$15),""),"")</f>
        <v>46405</v>
      </c>
      <c r="J2" s="85" t="n">
        <f aca="false">IFERROR(IF(ISNUMBER(INDEX(원자료_잔고!$A$1:$EZ$1500,설정!$L$5+ROW()-1,설정!$L$16)),INDEX(원자료_잔고!$A$1:$EZ$1500,설정!$L$5+ROW()-1,설정!$L$16),""),"")</f>
        <v>1.625</v>
      </c>
      <c r="K2" s="87" t="n">
        <f aca="false">IFERROR(IF(ISNUMBER(INDEX(원자료_잔고!$A$1:$EZ$1500,설정!$L$5+ROW()-1,설정!$L$17)),INDEX(원자료_잔고!$A$1:$EZ$1500,설정!$L$5+ROW()-1,설정!$L$17),""),"")</f>
        <v>1</v>
      </c>
      <c r="L2" s="84" t="n">
        <f aca="false">IFERROR(IF(ISNUMBER(INDEX(원자료_잔고!$A$1:$EZ$1500,설정!$L$5+ROW()-1,설정!$L$18)),INDEX(원자료_잔고!$A$1:$EZ$1500,설정!$L$5+ROW()-1,설정!$L$18),""),"")</f>
        <v>990859</v>
      </c>
      <c r="M2" s="88" t="n">
        <f aca="false">IFERROR(IF(ISNUMBER(INDEX(원자료_잔고!$A$1:$EZ$1500,설정!$L$5+ROW()-1,설정!$L$19)),INDEX(원자료_잔고!$A$1:$EZ$1500,설정!$L$5+ROW()-1,설정!$L$19),""),"")</f>
        <v>11741.31</v>
      </c>
      <c r="N2" s="83" t="str">
        <f aca="false">IFERROR(IF(INDEX(원자료_잔고!$A$1:$EZ$1500,설정!$L$5+ROW()-1,설정!$L$21)&amp;""="0","",INDEX(원자료_잔고!$A$1:$EZ$1500,설정!$L$5+ROW()-1,설정!$L$21)&amp;""),"")</f>
        <v>AA</v>
      </c>
      <c r="O2" s="83" t="str">
        <f aca="false">IFERROR(IF(INDEX(원자료_잔고!$A$1:$EZ$1500,설정!$L$5+ROW()-1,설정!$L$22)&amp;""="0","",INDEX(원자료_잔고!$A$1:$EZ$1500,설정!$L$5+ROW()-1,설정!$L$22)&amp;""),"")</f>
        <v/>
      </c>
      <c r="P2" s="83" t="str">
        <f aca="false">IFERROR(IF(INDEX(원자료_잔고!$A$1:$EZ$1500,설정!$L$5+ROW()-1,설정!$L$23)&amp;""="0","",INDEX(원자료_잔고!$A$1:$EZ$1500,설정!$L$5+ROW()-1,설정!$L$23)&amp;""),"")</f>
        <v>AA-</v>
      </c>
      <c r="Q2" s="89" t="n">
        <f aca="false">IF(AND($A2&lt;&gt;"",ISNUMBER(E2)),IF(E2&gt;0,1,0),0)</f>
        <v>1</v>
      </c>
      <c r="R2" s="43" t="str">
        <f aca="false">IF(Q2=1,UPPER(LEFT($A2,FIND(" ",$A2&amp;" ")-1)),"")</f>
        <v>EIBKOR</v>
      </c>
      <c r="S2" s="89" t="n">
        <f aca="false">IF(Q2=1,IF(OR(ISNUMBER(SEARCH("Float",$A2)),ISNUMBER(SEARCH("FRN",$A2))),1,0),0)</f>
        <v>0</v>
      </c>
      <c r="T2" s="43" t="str">
        <f aca="false">IF(AND(Q2=1,ISNUMBER(I2)),TEXT(I2,"yyyymmdd")&amp;"|"&amp;IF(S2=1,"F",TEXT(J2,"0.000")),"")</f>
        <v>20270118|1.625</v>
      </c>
      <c r="U2" s="90" t="n">
        <f aca="false">IF(AND(Q2=1,ISNUMBER(I2)),(I2-설정!$C$4)/365.25,"")</f>
        <v>0.298425735797399</v>
      </c>
      <c r="V2" s="43" t="str">
        <f aca="false">IF(Q2&lt;&gt;1,"",IF(ISNUMBER(U2),IF(U2&lt;=1,"1년 이하",IF(U2&lt;=2,"1-2년",IF(U2&lt;=3,"2-3년",IF(U2&lt;=4,"3-4년",IF(U2&lt;=5,"4-5년",IF(U2&lt;=7,"5-7년",IF(U2&lt;=10,"7-10년",IF(U2&lt;=20,"10-20년","20년 이상")))))))),"미분류"))</f>
        <v>1년 이하</v>
      </c>
      <c r="W2" s="43" t="str">
        <f aca="false">IF(Q2&lt;&gt;1,"",IF(AB2&lt;&gt;"",INDEX(시장분석!$C:$C,AB2),IF(K2=1,"USD","비USD")))</f>
        <v>USD</v>
      </c>
      <c r="X2" s="91" t="n">
        <f aca="false">IF(Q2=1,E2*K2/1000000,0)</f>
        <v>1</v>
      </c>
      <c r="Y2" s="89" t="n">
        <f aca="false">IF(R2="T",1,0)</f>
        <v>0</v>
      </c>
      <c r="Z2" s="92" t="n">
        <f aca="false">IF(Q2&lt;&gt;1,"",IF(AD2=1,IF(ISNUMBER(U2),MAX(U2,0),H2),H2))</f>
        <v>0.2901</v>
      </c>
      <c r="AA2" s="91" t="n">
        <f aca="false">IF(Q2=1,IF(ISNUMBER(L2),L2,0)*K2/1000000,0)</f>
        <v>0.990859</v>
      </c>
      <c r="AB2" s="89" t="n">
        <f aca="false">IF(Q2&lt;&gt;1,"",IFERROR(MATCH(VLOOKUP(B2,매핑!$H$4:$I$15,2,0),시장분석!$A$2:$A$601,0)+1,IFERROR(MATCH(R2&amp;"|"&amp;T2,시장분석!$V$2:$V$601,0)+1,IF(COUNTIF(시장분석!$U$2:$U$601,T2)=1,MATCH(T2,시장분석!$U$2:$U$601,0)+1,""))))</f>
        <v>27</v>
      </c>
      <c r="AC2" s="89" t="n">
        <f aca="false">IF(Q2&lt;&gt;1,0,IF(OR(설정!$C$5="전체",AND(설정!$C$5="선택펀드",IFERROR(COUNTIFS(설정!$F$16:$F$36,C2,설정!$G$16:$G$36,"Y")+COUNTIFS(설정!$F$16:$F$36,VALUE(C2),설정!$G$16:$G$36,"Y"),0)&gt;0),C2&amp;""=설정!$C$5&amp;""),1,0))</f>
        <v>0</v>
      </c>
      <c r="AD2" s="89" t="n">
        <f aca="false">IF(Q2&lt;&gt;1,0,IF(OR(S2=1,IF(AB2="",FALSE(),INDEX(시장분석!$R:$R,AB2)=1)),1,0))</f>
        <v>0</v>
      </c>
      <c r="AE2" s="43" t="str">
        <f aca="false">IF(AB2="","",INDEX(시장분석!$A:$A,AB2))</f>
        <v>EIBKOR 1 5/8 01/18/27</v>
      </c>
      <c r="AF2" s="93" t="n">
        <f aca="false">IF(AB2="","",IF(ISNUMBER(IF(AB2="","",INDEX(시장분석!$E:$E,AB2))),IF(AB2="","",INDEX(시장분석!$E:$E,AB2)),""))</f>
        <v>-40.584</v>
      </c>
      <c r="AG2" s="43" t="str">
        <f aca="false">IF(Q2&lt;&gt;1,"",IF(AB2&lt;&gt;"",IF(AB2="","",INDEX(시장분석!$L:$L,AB2)),IFERROR(IF(VLOOKUP(R2,매핑!$A$4:$E$92,5,0)="","미분류",VLOOKUP(R2,매핑!$A$4:$E$92,5,0)),"미분류")))</f>
        <v>정부</v>
      </c>
      <c r="AH2" s="43" t="str">
        <f aca="false">IF(Q2&lt;&gt;1,"",IF(AB2&lt;&gt;"",IF(AB2="","",INDEX(시장분석!$N:$N,AB2)),IFERROR(IF(VLOOKUP(R2,매핑!$A$4:$E$92,4,0)="","미분류",VLOOKUP(R2,매핑!$A$4:$E$92,4,0)),"미분류")))</f>
        <v>아시아/기타</v>
      </c>
      <c r="AI2" s="43" t="str">
        <f aca="false">IF(Q2&lt;&gt;1,"",IFERROR(IF(VLOOKUP(R2,매핑!$A$4:$E$92,3,0)="","미분류",VLOOKUP(R2,매핑!$A$4:$E$92,3,0)),IF(AB2&lt;&gt;"",IF(AB2="","",INDEX(시장분석!$W:$W,AB2)),"미분류")))</f>
        <v>한국</v>
      </c>
      <c r="AJ2" s="43" t="str">
        <f aca="false">IF(Q2&lt;&gt;1,"",IFERROR(VLOOKUP(IF(N2&lt;&gt;"",N2,IF(P2&lt;&gt;"",P2,O2)),설정!$A$15:$D$47,2,0),""))</f>
        <v>AA</v>
      </c>
      <c r="AK2" s="43" t="str">
        <f aca="false">IF(Q2&lt;&gt;1,"",IF(AJ2="","무등급",IFERROR(VLOOKUP(AJ2,설정!$A$15:$D$47,3,0),"무등급")))</f>
        <v>AA이상</v>
      </c>
      <c r="AL2" s="89" t="n">
        <f aca="false">IF(AJ2="",99,IFERROR(VLOOKUP(AJ2,설정!$A$15:$D$47,4,0),99))</f>
        <v>3</v>
      </c>
      <c r="AM2" s="94" t="n">
        <f aca="false">IF(ISNUMBER(H2),AA2*1000000*H2/10000,0)</f>
        <v>28.74481959</v>
      </c>
      <c r="AN2" s="94" t="n">
        <f aca="false">IF(OR(Y2=1,NOT(ISNUMBER(Z2))),0,AA2*1000000*Z2/10000)</f>
        <v>28.74481959</v>
      </c>
      <c r="AO2" s="94" t="n">
        <f aca="false">IF(ISNUMBER(G2),AA2*1000000*G2/100,0)</f>
        <v>46686.303503</v>
      </c>
      <c r="AP2" s="94" t="n">
        <f aca="false">IF(ISNUMBER(M2),M2*K2,0)</f>
        <v>11741.31</v>
      </c>
      <c r="AQ2" s="95" t="str">
        <f aca="false">IF(AB2="","",INDEX(시장분석!$AK:$AK,AB2))</f>
        <v/>
      </c>
      <c r="AR2" s="43" t="str">
        <f aca="false">IF(AB2="","-",IF(AB2="","",INDEX(시장분석!$AL:$AL,AB2)))</f>
        <v>-</v>
      </c>
      <c r="AS2" s="96" t="str">
        <f aca="false">IF(AB2="","",INDEX(시장분석!$AJ:$AJ,AB2))</f>
        <v/>
      </c>
      <c r="AT2" s="93" t="n">
        <f aca="false">IF(AB2="",0,IF(AB2="","",INDEX(시장분석!$AN:$AN,AB2)))</f>
        <v>0</v>
      </c>
      <c r="AU2" s="94" t="n">
        <f aca="false">IF(ISNUMBER(Z2),AT2/10000*MAX(Z2-1,0)*AA2*1000000,0)</f>
        <v>0</v>
      </c>
      <c r="AV2" s="94" t="n">
        <f aca="false">AO2+AU2</f>
        <v>46686.303503</v>
      </c>
      <c r="AW2" s="43" t="str">
        <f aca="false">IF(Q2&lt;&gt;1,"",TRIM(IF(AD2=1,"FRN ","")&amp;IF(AND(AL2&gt;=10,AL2&lt;99),"BBB0미만 ","")&amp;IF(AJ2="","등급없음 ","")&amp;IF(K2&lt;&gt;1,"비USD ","")&amp;IF(AND(AB2="",Y2=0),"시장데이터없음 ","")&amp;IF(AND(ISNUMBER(U2),U2&lt;0),"만기경과 ","")))</f>
        <v/>
      </c>
      <c r="AX2" s="90" t="n">
        <f aca="false">IF(Q2&lt;&gt;1,1,IF(스프레드쇼크!$C$4="Y",INDEX(스프레드쇼크!$B$12:$L$16,IFERROR(MATCH(AH2,스프레드쇼크!$A$12:$A$16,0),MATCH("목록외",스프레드쇼크!$A$12:$A$16,0)),IFERROR(MATCH(AG2,스프레드쇼크!$B$11:$L$11,0),MATCH("목록외",스프레드쇼크!$B$11:$L$11,0))),1))</f>
        <v>1</v>
      </c>
      <c r="AY2" s="90" t="n">
        <f aca="false">IF(스프레드쇼크!$C$5="Y",IF(ISNUMBER(AF2),MIN(스프레드쇼크!$C$7,MAX(스프레드쇼크!$C$6,AF2/스프레드쇼크!$C$8)),1),1)</f>
        <v>0.25</v>
      </c>
      <c r="AZ2" s="94" t="n">
        <f aca="false">AN2*AX2*AY2</f>
        <v>7.1862048975</v>
      </c>
      <c r="BA2" s="90" t="n">
        <f aca="false">IF(ISNUMBER(G2),AA2*G2,0)</f>
        <v>4.6686303503</v>
      </c>
      <c r="BB2" s="90" t="n">
        <f aca="false">IF(ISNUMBER(G2),AA2,0)</f>
        <v>0.990859</v>
      </c>
      <c r="BC2" s="90" t="n">
        <f aca="false">IF(AND(Y2=0,ISNUMBER(AF2)),AA2*AF2,0)</f>
        <v>-40.213021656</v>
      </c>
      <c r="BD2" s="90" t="n">
        <f aca="false">IF(AND(Y2=0,ISNUMBER(AF2)),AA2,0)</f>
        <v>0.990859</v>
      </c>
      <c r="BE2" s="90" t="n">
        <f aca="false">IF(ISNUMBER(H2),AA2*H2,0)</f>
        <v>0.2874481959</v>
      </c>
      <c r="BF2" s="90" t="n">
        <f aca="false">IF(ISNUMBER(H2),AA2,0)</f>
        <v>0.990859</v>
      </c>
      <c r="BG2" s="90" t="n">
        <f aca="false">IF(AND(Y2=0,ISNUMBER(AF2),ISNUMBER(Z2)),AA2*Z2,0)</f>
        <v>0.2874481959</v>
      </c>
      <c r="BH2" s="90" t="n">
        <f aca="false">IF(AND(Y2=0,ISNUMBER(AF2),ISNUMBER(Z2)),AA2*AT2*MAX(Z2-1,0),0)</f>
        <v>0</v>
      </c>
      <c r="BI2" s="90" t="n">
        <f aca="false">IF(Y2=0,AA2,0)</f>
        <v>0.990859</v>
      </c>
    </row>
    <row r="3" customFormat="false" ht="15" hidden="false" customHeight="false" outlineLevel="0" collapsed="false">
      <c r="A3" s="83" t="str">
        <f aca="false">IFERROR(IF(INDEX(원자료_잔고!$A$1:$EZ$1500,설정!$L$5+ROW()-1,설정!$L$8)&amp;""="0","",INDEX(원자료_잔고!$A$1:$EZ$1500,설정!$L$5+ROW()-1,설정!$L$8)&amp;""),"")</f>
        <v>NACF 4.875 07/03/28</v>
      </c>
      <c r="B3" s="83" t="str">
        <f aca="false">IFERROR(IF(INDEX(원자료_잔고!$A$1:$EZ$1500,설정!$L$5+ROW()-1,설정!$L$7)&amp;""="0","",INDEX(원자료_잔고!$A$1:$EZ$1500,설정!$L$5+ROW()-1,설정!$L$7)&amp;""),"")</f>
        <v>US65540KAK16</v>
      </c>
      <c r="C3" s="83" t="str">
        <f aca="false">IFERROR(IF(INDEX(원자료_잔고!$A$1:$EZ$1500,설정!$L$5+ROW()-1,설정!$L$9)&amp;""="0","",INDEX(원자료_잔고!$A$1:$EZ$1500,설정!$L$5+ROW()-1,설정!$L$9)&amp;""),"")</f>
        <v>10227</v>
      </c>
      <c r="D3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" s="84" t="n">
        <f aca="false">IFERROR(IF(ISNUMBER(INDEX(원자료_잔고!$A$1:$EZ$1500,설정!$L$5+ROW()-1,설정!$L$11)),INDEX(원자료_잔고!$A$1:$EZ$1500,설정!$L$5+ROW()-1,설정!$L$11),""),"")</f>
        <v>1000000</v>
      </c>
      <c r="F3" s="85" t="n">
        <f aca="false">IFERROR(IF(ISNUMBER(INDEX(원자료_잔고!$A$1:$EZ$1500,설정!$L$5+ROW()-1,설정!$L$12)),INDEX(원자료_잔고!$A$1:$EZ$1500,설정!$L$5+ROW()-1,설정!$L$12),""),"")</f>
        <v>99.3824</v>
      </c>
      <c r="G3" s="85" t="n">
        <f aca="false">IFERROR(IF(ISNUMBER(INDEX(원자료_잔고!$A$1:$EZ$1500,설정!$L$5+ROW()-1,설정!$L$13)),INDEX(원자료_잔고!$A$1:$EZ$1500,설정!$L$5+ROW()-1,설정!$L$13),""),"")</f>
        <v>5.2408</v>
      </c>
      <c r="H3" s="85" t="n">
        <f aca="false">IFERROR(IF(ISNUMBER(INDEX(원자료_잔고!$A$1:$EZ$1500,설정!$L$5+ROW()-1,설정!$L$14)),INDEX(원자료_잔고!$A$1:$EZ$1500,설정!$L$5+ROW()-1,설정!$L$14),""),"")</f>
        <v>1.6118</v>
      </c>
      <c r="I3" s="86" t="n">
        <f aca="false">IFERROR(IF(ISNUMBER(INDEX(원자료_잔고!$A$1:$EZ$1500,설정!$L$5+ROW()-1,설정!$L$15)),INDEX(원자료_잔고!$A$1:$EZ$1500,설정!$L$5+ROW()-1,설정!$L$15),""),"")</f>
        <v>46937</v>
      </c>
      <c r="J3" s="85" t="n">
        <f aca="false">IFERROR(IF(ISNUMBER(INDEX(원자료_잔고!$A$1:$EZ$1500,설정!$L$5+ROW()-1,설정!$L$16)),INDEX(원자료_잔고!$A$1:$EZ$1500,설정!$L$5+ROW()-1,설정!$L$16),""),"")</f>
        <v>4.875</v>
      </c>
      <c r="K3" s="87" t="n">
        <f aca="false">IFERROR(IF(ISNUMBER(INDEX(원자료_잔고!$A$1:$EZ$1500,설정!$L$5+ROW()-1,설정!$L$17)),INDEX(원자료_잔고!$A$1:$EZ$1500,설정!$L$5+ROW()-1,설정!$L$17),""),"")</f>
        <v>1</v>
      </c>
      <c r="L3" s="84" t="n">
        <f aca="false">IFERROR(IF(ISNUMBER(INDEX(원자료_잔고!$A$1:$EZ$1500,설정!$L$5+ROW()-1,설정!$L$18)),INDEX(원자료_잔고!$A$1:$EZ$1500,설정!$L$5+ROW()-1,설정!$L$18),""),"")</f>
        <v>993824</v>
      </c>
      <c r="M3" s="88" t="n">
        <f aca="false">IFERROR(IF(ISNUMBER(INDEX(원자료_잔고!$A$1:$EZ$1500,설정!$L$5+ROW()-1,설정!$L$19)),INDEX(원자료_잔고!$A$1:$EZ$1500,설정!$L$5+ROW()-1,설정!$L$19),""),"")</f>
        <v>-27438.37</v>
      </c>
      <c r="N3" s="83" t="str">
        <f aca="false">IFERROR(IF(INDEX(원자료_잔고!$A$1:$EZ$1500,설정!$L$5+ROW()-1,설정!$L$21)&amp;""="0","",INDEX(원자료_잔고!$A$1:$EZ$1500,설정!$L$5+ROW()-1,설정!$L$21)&amp;""),"")</f>
        <v>A+</v>
      </c>
      <c r="O3" s="83" t="str">
        <f aca="false">IFERROR(IF(INDEX(원자료_잔고!$A$1:$EZ$1500,설정!$L$5+ROW()-1,설정!$L$22)&amp;""="0","",INDEX(원자료_잔고!$A$1:$EZ$1500,설정!$L$5+ROW()-1,설정!$L$22)&amp;""),"")</f>
        <v/>
      </c>
      <c r="P3" s="83" t="str">
        <f aca="false">IFERROR(IF(INDEX(원자료_잔고!$A$1:$EZ$1500,설정!$L$5+ROW()-1,설정!$L$23)&amp;""="0","",INDEX(원자료_잔고!$A$1:$EZ$1500,설정!$L$5+ROW()-1,설정!$L$23)&amp;""),"")</f>
        <v>N/A</v>
      </c>
      <c r="Q3" s="89" t="n">
        <f aca="false">IF(AND($A3&lt;&gt;"",ISNUMBER(E3)),IF(E3&gt;0,1,0),0)</f>
        <v>1</v>
      </c>
      <c r="R3" s="43" t="str">
        <f aca="false">IF(Q3=1,UPPER(LEFT($A3,FIND(" ",$A3&amp;" ")-1)),"")</f>
        <v>NACF</v>
      </c>
      <c r="S3" s="89" t="n">
        <f aca="false">IF(Q3=1,IF(OR(ISNUMBER(SEARCH("Float",$A3)),ISNUMBER(SEARCH("FRN",$A3))),1,0),0)</f>
        <v>0</v>
      </c>
      <c r="T3" s="43" t="str">
        <f aca="false">IF(AND(Q3=1,ISNUMBER(I3)),TEXT(I3,"yyyymmdd")&amp;"|"&amp;IF(S3=1,"F",TEXT(J3,"0.000")),"")</f>
        <v>20280703|4.875</v>
      </c>
      <c r="U3" s="90" t="n">
        <f aca="false">IF(AND(Q3=1,ISNUMBER(I3)),(I3-설정!$C$4)/365.25,"")</f>
        <v>1.75496235455168</v>
      </c>
      <c r="V3" s="43" t="str">
        <f aca="false">IF(Q3&lt;&gt;1,"",IF(ISNUMBER(U3),IF(U3&lt;=1,"1년 이하",IF(U3&lt;=2,"1-2년",IF(U3&lt;=3,"2-3년",IF(U3&lt;=4,"3-4년",IF(U3&lt;=5,"4-5년",IF(U3&lt;=7,"5-7년",IF(U3&lt;=10,"7-10년",IF(U3&lt;=20,"10-20년","20년 이상")))))))),"미분류"))</f>
        <v>1-2년</v>
      </c>
      <c r="W3" s="43" t="str">
        <f aca="false">IF(Q3&lt;&gt;1,"",IF(AB3&lt;&gt;"",INDEX(시장분석!$C:$C,AB3),IF(K3=1,"USD","비USD")))</f>
        <v>USD</v>
      </c>
      <c r="X3" s="91" t="n">
        <f aca="false">IF(Q3=1,E3*K3/1000000,0)</f>
        <v>1</v>
      </c>
      <c r="Y3" s="89" t="n">
        <f aca="false">IF(R3="T",1,0)</f>
        <v>0</v>
      </c>
      <c r="Z3" s="92" t="n">
        <f aca="false">IF(Q3&lt;&gt;1,"",IF(AD3=1,IF(ISNUMBER(U3),MAX(U3,0),H3),H3))</f>
        <v>1.6118</v>
      </c>
      <c r="AA3" s="91" t="n">
        <f aca="false">IF(Q3=1,IF(ISNUMBER(L3),L3,0)*K3/1000000,0)</f>
        <v>0.993824</v>
      </c>
      <c r="AB3" s="89" t="n">
        <f aca="false">IF(Q3&lt;&gt;1,"",IFERROR(MATCH(VLOOKUP(B3,매핑!$H$4:$I$15,2,0),시장분석!$A$2:$A$601,0)+1,IFERROR(MATCH(R3&amp;"|"&amp;T3,시장분석!$V$2:$V$601,0)+1,IF(COUNTIF(시장분석!$U$2:$U$601,T3)=1,MATCH(T3,시장분석!$U$2:$U$601,0)+1,""))))</f>
        <v>111</v>
      </c>
      <c r="AC3" s="89" t="n">
        <f aca="false">IF(Q3&lt;&gt;1,0,IF(OR(설정!$C$5="전체",AND(설정!$C$5="선택펀드",IFERROR(COUNTIFS(설정!$F$16:$F$36,C3,설정!$G$16:$G$36,"Y")+COUNTIFS(설정!$F$16:$F$36,VALUE(C3),설정!$G$16:$G$36,"Y"),0)&gt;0),C3&amp;""=설정!$C$5&amp;""),1,0))</f>
        <v>0</v>
      </c>
      <c r="AD3" s="89" t="n">
        <f aca="false">IF(Q3&lt;&gt;1,0,IF(OR(S3=1,IF(AB3="",FALSE(),INDEX(시장분석!$R:$R,AB3)=1)),1,0))</f>
        <v>0</v>
      </c>
      <c r="AE3" s="43" t="str">
        <f aca="false">IF(AB3="","",INDEX(시장분석!$A:$A,AB3))</f>
        <v>NACF 4 7/8 07/03/28</v>
      </c>
      <c r="AF3" s="93" t="n">
        <f aca="false">IF(AB3="","",IF(ISNUMBER(IF(AB3="","",INDEX(시장분석!$E:$E,AB3))),IF(AB3="","",INDEX(시장분석!$E:$E,AB3)),""))</f>
        <v>36.624</v>
      </c>
      <c r="AG3" s="43" t="str">
        <f aca="false">IF(Q3&lt;&gt;1,"",IF(AB3&lt;&gt;"",IF(AB3="","",INDEX(시장분석!$L:$L,AB3)),IFERROR(IF(VLOOKUP(R3,매핑!$A$4:$E$92,5,0)="","미분류",VLOOKUP(R3,매핑!$A$4:$E$92,5,0)),"미분류")))</f>
        <v>금융기관</v>
      </c>
      <c r="AH3" s="43" t="str">
        <f aca="false">IF(Q3&lt;&gt;1,"",IF(AB3&lt;&gt;"",IF(AB3="","",INDEX(시장분석!$N:$N,AB3)),IFERROR(IF(VLOOKUP(R3,매핑!$A$4:$E$92,4,0)="","미분류",VLOOKUP(R3,매핑!$A$4:$E$92,4,0)),"미분류")))</f>
        <v>아시아/기타</v>
      </c>
      <c r="AI3" s="43" t="str">
        <f aca="false">IF(Q3&lt;&gt;1,"",IFERROR(IF(VLOOKUP(R3,매핑!$A$4:$E$92,3,0)="","미분류",VLOOKUP(R3,매핑!$A$4:$E$92,3,0)),IF(AB3&lt;&gt;"",IF(AB3="","",INDEX(시장분석!$W:$W,AB3)),"미분류")))</f>
        <v>한국</v>
      </c>
      <c r="AJ3" s="43" t="str">
        <f aca="false">IF(Q3&lt;&gt;1,"",IFERROR(VLOOKUP(IF(N3&lt;&gt;"",N3,IF(P3&lt;&gt;"",P3,O3)),설정!$A$15:$D$47,2,0),""))</f>
        <v>A+</v>
      </c>
      <c r="AK3" s="43" t="str">
        <f aca="false">IF(Q3&lt;&gt;1,"",IF(AJ3="","무등급",IFERROR(VLOOKUP(AJ3,설정!$A$15:$D$47,3,0),"무등급")))</f>
        <v>A</v>
      </c>
      <c r="AL3" s="89" t="n">
        <f aca="false">IF(AJ3="",99,IFERROR(VLOOKUP(AJ3,설정!$A$15:$D$47,4,0),99))</f>
        <v>5</v>
      </c>
      <c r="AM3" s="94" t="n">
        <f aca="false">IF(ISNUMBER(H3),AA3*1000000*H3/10000,0)</f>
        <v>160.18455232</v>
      </c>
      <c r="AN3" s="94" t="n">
        <f aca="false">IF(OR(Y3=1,NOT(ISNUMBER(Z3))),0,AA3*1000000*Z3/10000)</f>
        <v>160.18455232</v>
      </c>
      <c r="AO3" s="94" t="n">
        <f aca="false">IF(ISNUMBER(G3),AA3*1000000*G3/100,0)</f>
        <v>52084.328192</v>
      </c>
      <c r="AP3" s="94" t="n">
        <f aca="false">IF(ISNUMBER(M3),M3*K3,0)</f>
        <v>-27438.37</v>
      </c>
      <c r="AQ3" s="95" t="n">
        <f aca="false">IF(AB3="","",INDEX(시장분석!$AK:$AK,AB3))</f>
        <v>-1.01255951293116</v>
      </c>
      <c r="AR3" s="43" t="str">
        <f aca="false">IF(AB3="","-",IF(AB3="","",INDEX(시장분석!$AL:$AL,AB3)))</f>
        <v>Rich</v>
      </c>
      <c r="AS3" s="96" t="n">
        <f aca="false">IF(AB3="","",INDEX(시장분석!$AJ:$AJ,AB3))</f>
        <v>-20.7307258341835</v>
      </c>
      <c r="AT3" s="93" t="n">
        <f aca="false">IF(AB3="",0,IF(AB3="","",INDEX(시장분석!$AN:$AN,AB3)))</f>
        <v>12.564191689806</v>
      </c>
      <c r="AU3" s="94" t="n">
        <f aca="false">IF(ISNUMBER(Z3),AT3/10000*MAX(Z3-1,0)*AA3*1000000,0)</f>
        <v>763.929896901263</v>
      </c>
      <c r="AV3" s="94" t="n">
        <f aca="false">AO3+AU3</f>
        <v>52848.2580889013</v>
      </c>
      <c r="AW3" s="43" t="str">
        <f aca="false">IF(Q3&lt;&gt;1,"",TRIM(IF(AD3=1,"FRN ","")&amp;IF(AND(AL3&gt;=10,AL3&lt;99),"BBB0미만 ","")&amp;IF(AJ3="","등급없음 ","")&amp;IF(K3&lt;&gt;1,"비USD ","")&amp;IF(AND(AB3="",Y3=0),"시장데이터없음 ","")&amp;IF(AND(ISNUMBER(U3),U3&lt;0),"만기경과 ","")))</f>
        <v/>
      </c>
      <c r="AX3" s="90" t="n">
        <f aca="false">IF(Q3&lt;&gt;1,1,IF(스프레드쇼크!$C$4="Y",INDEX(스프레드쇼크!$B$12:$L$16,IFERROR(MATCH(AH3,스프레드쇼크!$A$12:$A$16,0),MATCH("목록외",스프레드쇼크!$A$12:$A$16,0)),IFERROR(MATCH(AG3,스프레드쇼크!$B$11:$L$11,0),MATCH("목록외",스프레드쇼크!$B$11:$L$11,0))),1))</f>
        <v>1</v>
      </c>
      <c r="AY3" s="90" t="n">
        <f aca="false">IF(스프레드쇼크!$C$5="Y",IF(ISNUMBER(AF3),MIN(스프레드쇼크!$C$7,MAX(스프레드쇼크!$C$6,AF3/스프레드쇼크!$C$8)),1),1)</f>
        <v>0.553952213285073</v>
      </c>
      <c r="AZ3" s="94" t="n">
        <f aca="false">AN3*AX3*AY3</f>
        <v>88.7345872917426</v>
      </c>
      <c r="BA3" s="90" t="n">
        <f aca="false">IF(ISNUMBER(G3),AA3*G3,0)</f>
        <v>5.2084328192</v>
      </c>
      <c r="BB3" s="90" t="n">
        <f aca="false">IF(ISNUMBER(G3),AA3,0)</f>
        <v>0.993824</v>
      </c>
      <c r="BC3" s="90" t="n">
        <f aca="false">IF(AND(Y3=0,ISNUMBER(AF3)),AA3*AF3,0)</f>
        <v>36.397810176</v>
      </c>
      <c r="BD3" s="90" t="n">
        <f aca="false">IF(AND(Y3=0,ISNUMBER(AF3)),AA3,0)</f>
        <v>0.993824</v>
      </c>
      <c r="BE3" s="90" t="n">
        <f aca="false">IF(ISNUMBER(H3),AA3*H3,0)</f>
        <v>1.6018455232</v>
      </c>
      <c r="BF3" s="90" t="n">
        <f aca="false">IF(ISNUMBER(H3),AA3,0)</f>
        <v>0.993824</v>
      </c>
      <c r="BG3" s="90" t="n">
        <f aca="false">IF(AND(Y3=0,ISNUMBER(AF3),ISNUMBER(Z3)),AA3*Z3,0)</f>
        <v>1.6018455232</v>
      </c>
      <c r="BH3" s="90" t="n">
        <f aca="false">IF(AND(Y3=0,ISNUMBER(AF3),ISNUMBER(Z3)),AA3*AT3*MAX(Z3-1,0),0)</f>
        <v>7.63929896901262</v>
      </c>
      <c r="BI3" s="90" t="n">
        <f aca="false">IF(Y3=0,AA3,0)</f>
        <v>0.993824</v>
      </c>
    </row>
    <row r="4" customFormat="false" ht="15" hidden="false" customHeight="false" outlineLevel="0" collapsed="false">
      <c r="A4" s="83" t="str">
        <f aca="false">IFERROR(IF(INDEX(원자료_잔고!$A$1:$EZ$1500,설정!$L$5+ROW()-1,설정!$L$8)&amp;""="0","",INDEX(원자료_잔고!$A$1:$EZ$1500,설정!$L$5+ROW()-1,설정!$L$8)&amp;""),"")</f>
        <v>SANTAN 4.867 04/15/31</v>
      </c>
      <c r="B4" s="83" t="str">
        <f aca="false">IFERROR(IF(INDEX(원자료_잔고!$A$1:$EZ$1500,설정!$L$5+ROW()-1,설정!$L$7)&amp;""="0","",INDEX(원자료_잔고!$A$1:$EZ$1500,설정!$L$5+ROW()-1,설정!$L$7)&amp;""),"")</f>
        <v>US05971KAV17</v>
      </c>
      <c r="C4" s="83" t="str">
        <f aca="false">IFERROR(IF(INDEX(원자료_잔고!$A$1:$EZ$1500,설정!$L$5+ROW()-1,설정!$L$9)&amp;""="0","",INDEX(원자료_잔고!$A$1:$EZ$1500,설정!$L$5+ROW()-1,설정!$L$9)&amp;""),"")</f>
        <v>28096</v>
      </c>
      <c r="D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" s="84" t="n">
        <f aca="false">IFERROR(IF(ISNUMBER(INDEX(원자료_잔고!$A$1:$EZ$1500,설정!$L$5+ROW()-1,설정!$L$11)),INDEX(원자료_잔고!$A$1:$EZ$1500,설정!$L$5+ROW()-1,설정!$L$11),""),"")</f>
        <v>10000000</v>
      </c>
      <c r="F4" s="85" t="n">
        <f aca="false">IFERROR(IF(ISNUMBER(INDEX(원자료_잔고!$A$1:$EZ$1500,설정!$L$5+ROW()-1,설정!$L$12)),INDEX(원자료_잔고!$A$1:$EZ$1500,설정!$L$5+ROW()-1,설정!$L$12),""),"")</f>
        <v>95.8941</v>
      </c>
      <c r="G4" s="85" t="n">
        <f aca="false">IFERROR(IF(ISNUMBER(INDEX(원자료_잔고!$A$1:$EZ$1500,설정!$L$5+ROW()-1,설정!$L$13)),INDEX(원자료_잔고!$A$1:$EZ$1500,설정!$L$5+ROW()-1,설정!$L$13),""),"")</f>
        <v>5.9103</v>
      </c>
      <c r="H4" s="85" t="n">
        <f aca="false">IFERROR(IF(ISNUMBER(INDEX(원자료_잔고!$A$1:$EZ$1500,설정!$L$5+ROW()-1,설정!$L$14)),INDEX(원자료_잔고!$A$1:$EZ$1500,설정!$L$5+ROW()-1,설정!$L$14),""),"")</f>
        <v>3.8721</v>
      </c>
      <c r="I4" s="86" t="n">
        <f aca="false">IFERROR(IF(ISNUMBER(INDEX(원자료_잔고!$A$1:$EZ$1500,설정!$L$5+ROW()-1,설정!$L$15)),INDEX(원자료_잔고!$A$1:$EZ$1500,설정!$L$5+ROW()-1,설정!$L$15),""),"")</f>
        <v>47953</v>
      </c>
      <c r="J4" s="85" t="n">
        <f aca="false">IFERROR(IF(ISNUMBER(INDEX(원자료_잔고!$A$1:$EZ$1500,설정!$L$5+ROW()-1,설정!$L$16)),INDEX(원자료_잔고!$A$1:$EZ$1500,설정!$L$5+ROW()-1,설정!$L$16),""),"")</f>
        <v>4.867</v>
      </c>
      <c r="K4" s="87" t="n">
        <f aca="false">IFERROR(IF(ISNUMBER(INDEX(원자료_잔고!$A$1:$EZ$1500,설정!$L$5+ROW()-1,설정!$L$17)),INDEX(원자료_잔고!$A$1:$EZ$1500,설정!$L$5+ROW()-1,설정!$L$17),""),"")</f>
        <v>1</v>
      </c>
      <c r="L4" s="84" t="n">
        <f aca="false">IFERROR(IF(ISNUMBER(INDEX(원자료_잔고!$A$1:$EZ$1500,설정!$L$5+ROW()-1,설정!$L$18)),INDEX(원자료_잔고!$A$1:$EZ$1500,설정!$L$5+ROW()-1,설정!$L$18),""),"")</f>
        <v>9589410</v>
      </c>
      <c r="M4" s="88" t="n">
        <f aca="false">IFERROR(IF(ISNUMBER(INDEX(원자료_잔고!$A$1:$EZ$1500,설정!$L$5+ROW()-1,설정!$L$19)),INDEX(원자료_잔고!$A$1:$EZ$1500,설정!$L$5+ROW()-1,설정!$L$19),""),"")</f>
        <v>-360590</v>
      </c>
      <c r="N4" s="83" t="str">
        <f aca="false">IFERROR(IF(INDEX(원자료_잔고!$A$1:$EZ$1500,설정!$L$5+ROW()-1,설정!$L$21)&amp;""="0","",INDEX(원자료_잔고!$A$1:$EZ$1500,설정!$L$5+ROW()-1,설정!$L$21)&amp;""),"")</f>
        <v>A-</v>
      </c>
      <c r="O4" s="83" t="str">
        <f aca="false">IFERROR(IF(INDEX(원자료_잔고!$A$1:$EZ$1500,설정!$L$5+ROW()-1,설정!$L$22)&amp;""="0","",INDEX(원자료_잔고!$A$1:$EZ$1500,설정!$L$5+ROW()-1,설정!$L$22)&amp;""),"")</f>
        <v/>
      </c>
      <c r="P4" s="83" t="str">
        <f aca="false">IFERROR(IF(INDEX(원자료_잔고!$A$1:$EZ$1500,설정!$L$5+ROW()-1,설정!$L$23)&amp;""="0","",INDEX(원자료_잔고!$A$1:$EZ$1500,설정!$L$5+ROW()-1,설정!$L$23)&amp;""),"")</f>
        <v>A</v>
      </c>
      <c r="Q4" s="89" t="n">
        <f aca="false">IF(AND($A4&lt;&gt;"",ISNUMBER(E4)),IF(E4&gt;0,1,0),0)</f>
        <v>1</v>
      </c>
      <c r="R4" s="43" t="str">
        <f aca="false">IF(Q4=1,UPPER(LEFT($A4,FIND(" ",$A4&amp;" ")-1)),"")</f>
        <v>SANTAN</v>
      </c>
      <c r="S4" s="89" t="n">
        <f aca="false">IF(Q4=1,IF(OR(ISNUMBER(SEARCH("Float",$A4)),ISNUMBER(SEARCH("FRN",$A4))),1,0),0)</f>
        <v>0</v>
      </c>
      <c r="T4" s="43" t="str">
        <f aca="false">IF(AND(Q4=1,ISNUMBER(I4)),TEXT(I4,"yyyymmdd")&amp;"|"&amp;IF(S4=1,"F",TEXT(J4,"0.000")),"")</f>
        <v>20310415|4.867</v>
      </c>
      <c r="U4" s="90" t="n">
        <f aca="false">IF(AND(Q4=1,ISNUMBER(I4)),(I4-설정!$C$4)/365.25,"")</f>
        <v>4.53661875427789</v>
      </c>
      <c r="V4" s="43" t="str">
        <f aca="false">IF(Q4&lt;&gt;1,"",IF(ISNUMBER(U4),IF(U4&lt;=1,"1년 이하",IF(U4&lt;=2,"1-2년",IF(U4&lt;=3,"2-3년",IF(U4&lt;=4,"3-4년",IF(U4&lt;=5,"4-5년",IF(U4&lt;=7,"5-7년",IF(U4&lt;=10,"7-10년",IF(U4&lt;=20,"10-20년","20년 이상")))))))),"미분류"))</f>
        <v>4-5년</v>
      </c>
      <c r="W4" s="43" t="str">
        <f aca="false">IF(Q4&lt;&gt;1,"",IF(AB4&lt;&gt;"",INDEX(시장분석!$C:$C,AB4),IF(K4=1,"USD","비USD")))</f>
        <v>USD</v>
      </c>
      <c r="X4" s="91" t="n">
        <f aca="false">IF(Q4=1,E4*K4/1000000,0)</f>
        <v>10</v>
      </c>
      <c r="Y4" s="89" t="n">
        <f aca="false">IF(R4="T",1,0)</f>
        <v>0</v>
      </c>
      <c r="Z4" s="92" t="n">
        <f aca="false">IF(Q4&lt;&gt;1,"",IF(AD4=1,IF(ISNUMBER(U4),MAX(U4,0),H4),H4))</f>
        <v>3.8721</v>
      </c>
      <c r="AA4" s="91" t="n">
        <f aca="false">IF(Q4=1,IF(ISNUMBER(L4),L4,0)*K4/1000000,0)</f>
        <v>9.58941</v>
      </c>
      <c r="AB4" s="89" t="n">
        <f aca="false">IF(Q4&lt;&gt;1,"",IFERROR(MATCH(VLOOKUP(B4,매핑!$H$4:$I$15,2,0),시장분석!$A$2:$A$601,0)+1,IFERROR(MATCH(R4&amp;"|"&amp;T4,시장분석!$V$2:$V$601,0)+1,IF(COUNTIF(시장분석!$U$2:$U$601,T4)=1,MATCH(T4,시장분석!$U$2:$U$601,0)+1,""))))</f>
        <v>14</v>
      </c>
      <c r="AC4" s="89" t="n">
        <f aca="false">IF(Q4&lt;&gt;1,0,IF(OR(설정!$C$5="전체",AND(설정!$C$5="선택펀드",IFERROR(COUNTIFS(설정!$F$16:$F$36,C4,설정!$G$16:$G$36,"Y")+COUNTIFS(설정!$F$16:$F$36,VALUE(C4),설정!$G$16:$G$36,"Y"),0)&gt;0),C4&amp;""=설정!$C$5&amp;""),1,0))</f>
        <v>1</v>
      </c>
      <c r="AD4" s="89" t="n">
        <f aca="false">IF(Q4&lt;&gt;1,0,IF(OR(S4=1,IF(AB4="",FALSE(),INDEX(시장분석!$R:$R,AB4)=1)),1,0))</f>
        <v>0</v>
      </c>
      <c r="AE4" s="43" t="str">
        <f aca="false">IF(AB4="","",INDEX(시장분석!$A:$A,AB4))</f>
        <v>SANTAN 4.867 04/15/31</v>
      </c>
      <c r="AF4" s="93" t="n">
        <f aca="false">IF(AB4="","",IF(ISNUMBER(IF(AB4="","",INDEX(시장분석!$E:$E,AB4))),IF(AB4="","",INDEX(시장분석!$E:$E,AB4)),""))</f>
        <v>85.718</v>
      </c>
      <c r="AG4" s="43" t="str">
        <f aca="false">IF(Q4&lt;&gt;1,"",IF(AB4&lt;&gt;"",IF(AB4="","",INDEX(시장분석!$L:$L,AB4)),IFERROR(IF(VLOOKUP(R4,매핑!$A$4:$E$92,5,0)="","미분류",VLOOKUP(R4,매핑!$A$4:$E$92,5,0)),"미분류")))</f>
        <v>금융기관</v>
      </c>
      <c r="AH4" s="43" t="str">
        <f aca="false">IF(Q4&lt;&gt;1,"",IF(AB4&lt;&gt;"",IF(AB4="","",INDEX(시장분석!$N:$N,AB4)),IFERROR(IF(VLOOKUP(R4,매핑!$A$4:$E$92,4,0)="","미분류",VLOOKUP(R4,매핑!$A$4:$E$92,4,0)),"미분류")))</f>
        <v>유럽</v>
      </c>
      <c r="AI4" s="43" t="str">
        <f aca="false">IF(Q4&lt;&gt;1,"",IFERROR(IF(VLOOKUP(R4,매핑!$A$4:$E$92,3,0)="","미분류",VLOOKUP(R4,매핑!$A$4:$E$92,3,0)),IF(AB4&lt;&gt;"",IF(AB4="","",INDEX(시장분석!$W:$W,AB4)),"미분류")))</f>
        <v>스페인</v>
      </c>
      <c r="AJ4" s="43" t="str">
        <f aca="false">IF(Q4&lt;&gt;1,"",IFERROR(VLOOKUP(IF(N4&lt;&gt;"",N4,IF(P4&lt;&gt;"",P4,O4)),설정!$A$15:$D$47,2,0),""))</f>
        <v>A-</v>
      </c>
      <c r="AK4" s="43" t="str">
        <f aca="false">IF(Q4&lt;&gt;1,"",IF(AJ4="","무등급",IFERROR(VLOOKUP(AJ4,설정!$A$15:$D$47,3,0),"무등급")))</f>
        <v>A</v>
      </c>
      <c r="AL4" s="89" t="n">
        <f aca="false">IF(AJ4="",99,IFERROR(VLOOKUP(AJ4,설정!$A$15:$D$47,4,0),99))</f>
        <v>7</v>
      </c>
      <c r="AM4" s="94" t="n">
        <f aca="false">IF(ISNUMBER(H4),AA4*1000000*H4/10000,0)</f>
        <v>3713.1154461</v>
      </c>
      <c r="AN4" s="94" t="n">
        <f aca="false">IF(OR(Y4=1,NOT(ISNUMBER(Z4))),0,AA4*1000000*Z4/10000)</f>
        <v>3713.1154461</v>
      </c>
      <c r="AO4" s="94" t="n">
        <f aca="false">IF(ISNUMBER(G4),AA4*1000000*G4/100,0)</f>
        <v>566762.89923</v>
      </c>
      <c r="AP4" s="94" t="n">
        <f aca="false">IF(ISNUMBER(M4),M4*K4,0)</f>
        <v>-360590</v>
      </c>
      <c r="AQ4" s="95" t="n">
        <f aca="false">IF(AB4="","",INDEX(시장분석!$AK:$AK,AB4))</f>
        <v>-0.017971401218347</v>
      </c>
      <c r="AR4" s="43" t="str">
        <f aca="false">IF(AB4="","-",IF(AB4="","",INDEX(시장분석!$AL:$AL,AB4)))</f>
        <v>Fair</v>
      </c>
      <c r="AS4" s="96" t="n">
        <f aca="false">IF(AB4="","",INDEX(시장분석!$AJ:$AJ,AB4))</f>
        <v>-0.197474808245815</v>
      </c>
      <c r="AT4" s="93" t="n">
        <f aca="false">IF(AB4="",0,IF(AB4="","",INDEX(시장분석!$AN:$AN,AB4)))</f>
        <v>8.74746437470979</v>
      </c>
      <c r="AU4" s="94" t="n">
        <f aca="false">IF(ISNUMBER(Z4),AT4/10000*MAX(Z4-1,0)*AA4*1000000,0)</f>
        <v>24092.0428489958</v>
      </c>
      <c r="AV4" s="94" t="n">
        <f aca="false">AO4+AU4</f>
        <v>590854.942078996</v>
      </c>
      <c r="AW4" s="43" t="str">
        <f aca="false">IF(Q4&lt;&gt;1,"",TRIM(IF(AD4=1,"FRN ","")&amp;IF(AND(AL4&gt;=10,AL4&lt;99),"BBB0미만 ","")&amp;IF(AJ4="","등급없음 ","")&amp;IF(K4&lt;&gt;1,"비USD ","")&amp;IF(AND(AB4="",Y4=0),"시장데이터없음 ","")&amp;IF(AND(ISNUMBER(U4),U4&lt;0),"만기경과 ","")))</f>
        <v/>
      </c>
      <c r="AX4" s="90" t="n">
        <f aca="false">IF(Q4&lt;&gt;1,1,IF(스프레드쇼크!$C$4="Y",INDEX(스프레드쇼크!$B$12:$L$16,IFERROR(MATCH(AH4,스프레드쇼크!$A$12:$A$16,0),MATCH("목록외",스프레드쇼크!$A$12:$A$16,0)),IFERROR(MATCH(AG4,스프레드쇼크!$B$11:$L$11,0),MATCH("목록외",스프레드쇼크!$B$11:$L$11,0))),1))</f>
        <v>1</v>
      </c>
      <c r="AY4" s="90" t="n">
        <f aca="false">IF(스프레드쇼크!$C$5="Y",IF(ISNUMBER(AF4),MIN(스프레드쇼크!$C$7,MAX(스프레드쇼크!$C$6,AF4/스프레드쇼크!$C$8)),1),1)</f>
        <v>1.29651801601054</v>
      </c>
      <c r="AZ4" s="94" t="n">
        <f aca="false">AN4*AX4*AY4</f>
        <v>4814.12107139565</v>
      </c>
      <c r="BA4" s="90" t="n">
        <f aca="false">IF(ISNUMBER(G4),AA4*G4,0)</f>
        <v>56.676289923</v>
      </c>
      <c r="BB4" s="90" t="n">
        <f aca="false">IF(ISNUMBER(G4),AA4,0)</f>
        <v>9.58941</v>
      </c>
      <c r="BC4" s="90" t="n">
        <f aca="false">IF(AND(Y4=0,ISNUMBER(AF4)),AA4*AF4,0)</f>
        <v>821.98504638</v>
      </c>
      <c r="BD4" s="90" t="n">
        <f aca="false">IF(AND(Y4=0,ISNUMBER(AF4)),AA4,0)</f>
        <v>9.58941</v>
      </c>
      <c r="BE4" s="90" t="n">
        <f aca="false">IF(ISNUMBER(H4),AA4*H4,0)</f>
        <v>37.131154461</v>
      </c>
      <c r="BF4" s="90" t="n">
        <f aca="false">IF(ISNUMBER(H4),AA4,0)</f>
        <v>9.58941</v>
      </c>
      <c r="BG4" s="90" t="n">
        <f aca="false">IF(AND(Y4=0,ISNUMBER(AF4),ISNUMBER(Z4)),AA4*Z4,0)</f>
        <v>37.131154461</v>
      </c>
      <c r="BH4" s="90" t="n">
        <f aca="false">IF(AND(Y4=0,ISNUMBER(AF4),ISNUMBER(Z4)),AA4*AT4*MAX(Z4-1,0),0)</f>
        <v>240.920428489958</v>
      </c>
      <c r="BI4" s="90" t="n">
        <f aca="false">IF(Y4=0,AA4,0)</f>
        <v>9.58941</v>
      </c>
    </row>
    <row r="5" customFormat="false" ht="15" hidden="false" customHeight="false" outlineLevel="0" collapsed="false">
      <c r="A5" s="83" t="str">
        <f aca="false">IFERROR(IF(INDEX(원자료_잔고!$A$1:$EZ$1500,설정!$L$5+ROW()-1,설정!$L$8)&amp;""="0","",INDEX(원자료_잔고!$A$1:$EZ$1500,설정!$L$5+ROW()-1,설정!$L$8)&amp;""),"")</f>
        <v>BACR 5.086 02/25/29</v>
      </c>
      <c r="B5" s="83" t="str">
        <f aca="false">IFERROR(IF(INDEX(원자료_잔고!$A$1:$EZ$1500,설정!$L$5+ROW()-1,설정!$L$7)&amp;""="0","",INDEX(원자료_잔고!$A$1:$EZ$1500,설정!$L$5+ROW()-1,설정!$L$7)&amp;""),"")</f>
        <v>US06738ECX13</v>
      </c>
      <c r="C5" s="83" t="str">
        <f aca="false">IFERROR(IF(INDEX(원자료_잔고!$A$1:$EZ$1500,설정!$L$5+ROW()-1,설정!$L$9)&amp;""="0","",INDEX(원자료_잔고!$A$1:$EZ$1500,설정!$L$5+ROW()-1,설정!$L$9)&amp;""),"")</f>
        <v>28096</v>
      </c>
      <c r="D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" s="84" t="n">
        <f aca="false">IFERROR(IF(ISNUMBER(INDEX(원자료_잔고!$A$1:$EZ$1500,설정!$L$5+ROW()-1,설정!$L$11)),INDEX(원자료_잔고!$A$1:$EZ$1500,설정!$L$5+ROW()-1,설정!$L$11),""),"")</f>
        <v>10000000</v>
      </c>
      <c r="F5" s="85" t="n">
        <f aca="false">IFERROR(IF(ISNUMBER(INDEX(원자료_잔고!$A$1:$EZ$1500,설정!$L$5+ROW()-1,설정!$L$12)),INDEX(원자료_잔고!$A$1:$EZ$1500,설정!$L$5+ROW()-1,설정!$L$12),""),"")</f>
        <v>99.5579</v>
      </c>
      <c r="G5" s="85" t="n">
        <f aca="false">IFERROR(IF(ISNUMBER(INDEX(원자료_잔고!$A$1:$EZ$1500,설정!$L$5+ROW()-1,설정!$L$13)),INDEX(원자료_잔고!$A$1:$EZ$1500,설정!$L$5+ROW()-1,설정!$L$13),""),"")</f>
        <v>5.3771</v>
      </c>
      <c r="H5" s="85" t="n">
        <f aca="false">IFERROR(IF(ISNUMBER(INDEX(원자료_잔고!$A$1:$EZ$1500,설정!$L$5+ROW()-1,설정!$L$14)),INDEX(원자료_잔고!$A$1:$EZ$1500,설정!$L$5+ROW()-1,설정!$L$14),""),"")</f>
        <v>1.3175</v>
      </c>
      <c r="I5" s="86" t="n">
        <f aca="false">IFERROR(IF(ISNUMBER(INDEX(원자료_잔고!$A$1:$EZ$1500,설정!$L$5+ROW()-1,설정!$L$15)),INDEX(원자료_잔고!$A$1:$EZ$1500,설정!$L$5+ROW()-1,설정!$L$15),""),"")</f>
        <v>47174</v>
      </c>
      <c r="J5" s="85" t="n">
        <f aca="false">IFERROR(IF(ISNUMBER(INDEX(원자료_잔고!$A$1:$EZ$1500,설정!$L$5+ROW()-1,설정!$L$16)),INDEX(원자료_잔고!$A$1:$EZ$1500,설정!$L$5+ROW()-1,설정!$L$16),""),"")</f>
        <v>5.086</v>
      </c>
      <c r="K5" s="87" t="n">
        <f aca="false">IFERROR(IF(ISNUMBER(INDEX(원자료_잔고!$A$1:$EZ$1500,설정!$L$5+ROW()-1,설정!$L$17)),INDEX(원자료_잔고!$A$1:$EZ$1500,설정!$L$5+ROW()-1,설정!$L$17),""),"")</f>
        <v>1</v>
      </c>
      <c r="L5" s="84" t="n">
        <f aca="false">IFERROR(IF(ISNUMBER(INDEX(원자료_잔고!$A$1:$EZ$1500,설정!$L$5+ROW()-1,설정!$L$18)),INDEX(원자료_잔고!$A$1:$EZ$1500,설정!$L$5+ROW()-1,설정!$L$18),""),"")</f>
        <v>9955790</v>
      </c>
      <c r="M5" s="88" t="n">
        <f aca="false">IFERROR(IF(ISNUMBER(INDEX(원자료_잔고!$A$1:$EZ$1500,설정!$L$5+ROW()-1,설정!$L$19)),INDEX(원자료_잔고!$A$1:$EZ$1500,설정!$L$5+ROW()-1,설정!$L$19),""),"")</f>
        <v>-243800</v>
      </c>
      <c r="N5" s="83" t="str">
        <f aca="false">IFERROR(IF(INDEX(원자료_잔고!$A$1:$EZ$1500,설정!$L$5+ROW()-1,설정!$L$21)&amp;""="0","",INDEX(원자료_잔고!$A$1:$EZ$1500,설정!$L$5+ROW()-1,설정!$L$21)&amp;""),"")</f>
        <v>BBB+</v>
      </c>
      <c r="O5" s="83" t="str">
        <f aca="false">IFERROR(IF(INDEX(원자료_잔고!$A$1:$EZ$1500,설정!$L$5+ROW()-1,설정!$L$22)&amp;""="0","",INDEX(원자료_잔고!$A$1:$EZ$1500,설정!$L$5+ROW()-1,설정!$L$22)&amp;""),"")</f>
        <v/>
      </c>
      <c r="P5" s="83" t="str">
        <f aca="false">IFERROR(IF(INDEX(원자료_잔고!$A$1:$EZ$1500,설정!$L$5+ROW()-1,설정!$L$23)&amp;""="0","",INDEX(원자료_잔고!$A$1:$EZ$1500,설정!$L$5+ROW()-1,설정!$L$23)&amp;""),"")</f>
        <v>A</v>
      </c>
      <c r="Q5" s="89" t="n">
        <f aca="false">IF(AND($A5&lt;&gt;"",ISNUMBER(E5)),IF(E5&gt;0,1,0),0)</f>
        <v>1</v>
      </c>
      <c r="R5" s="43" t="str">
        <f aca="false">IF(Q5=1,UPPER(LEFT($A5,FIND(" ",$A5&amp;" ")-1)),"")</f>
        <v>BACR</v>
      </c>
      <c r="S5" s="89" t="n">
        <f aca="false">IF(Q5=1,IF(OR(ISNUMBER(SEARCH("Float",$A5)),ISNUMBER(SEARCH("FRN",$A5))),1,0),0)</f>
        <v>0</v>
      </c>
      <c r="T5" s="43" t="str">
        <f aca="false">IF(AND(Q5=1,ISNUMBER(I5)),TEXT(I5,"yyyymmdd")&amp;"|"&amp;IF(S5=1,"F",TEXT(J5,"0.000")),"")</f>
        <v>20290225|5.086</v>
      </c>
      <c r="U5" s="90" t="n">
        <f aca="false">IF(AND(Q5=1,ISNUMBER(I5)),(I5-설정!$C$4)/365.25,"")</f>
        <v>2.40383299110199</v>
      </c>
      <c r="V5" s="43" t="str">
        <f aca="false">IF(Q5&lt;&gt;1,"",IF(ISNUMBER(U5),IF(U5&lt;=1,"1년 이하",IF(U5&lt;=2,"1-2년",IF(U5&lt;=3,"2-3년",IF(U5&lt;=4,"3-4년",IF(U5&lt;=5,"4-5년",IF(U5&lt;=7,"5-7년",IF(U5&lt;=10,"7-10년",IF(U5&lt;=20,"10-20년","20년 이상")))))))),"미분류"))</f>
        <v>2-3년</v>
      </c>
      <c r="W5" s="43" t="str">
        <f aca="false">IF(Q5&lt;&gt;1,"",IF(AB5&lt;&gt;"",INDEX(시장분석!$C:$C,AB5),IF(K5=1,"USD","비USD")))</f>
        <v>USD</v>
      </c>
      <c r="X5" s="91" t="n">
        <f aca="false">IF(Q5=1,E5*K5/1000000,0)</f>
        <v>10</v>
      </c>
      <c r="Y5" s="89" t="n">
        <f aca="false">IF(R5="T",1,0)</f>
        <v>0</v>
      </c>
      <c r="Z5" s="92" t="n">
        <f aca="false">IF(Q5&lt;&gt;1,"",IF(AD5=1,IF(ISNUMBER(U5),MAX(U5,0),H5),H5))</f>
        <v>1.3175</v>
      </c>
      <c r="AA5" s="91" t="n">
        <f aca="false">IF(Q5=1,IF(ISNUMBER(L5),L5,0)*K5/1000000,0)</f>
        <v>9.95579</v>
      </c>
      <c r="AB5" s="89" t="n">
        <f aca="false">IF(Q5&lt;&gt;1,"",IFERROR(MATCH(VLOOKUP(B5,매핑!$H$4:$I$15,2,0),시장분석!$A$2:$A$601,0)+1,IFERROR(MATCH(R5&amp;"|"&amp;T5,시장분석!$V$2:$V$601,0)+1,IF(COUNTIF(시장분석!$U$2:$U$601,T5)=1,MATCH(T5,시장분석!$U$2:$U$601,0)+1,""))))</f>
        <v>18</v>
      </c>
      <c r="AC5" s="89" t="n">
        <f aca="false">IF(Q5&lt;&gt;1,0,IF(OR(설정!$C$5="전체",AND(설정!$C$5="선택펀드",IFERROR(COUNTIFS(설정!$F$16:$F$36,C5,설정!$G$16:$G$36,"Y")+COUNTIFS(설정!$F$16:$F$36,VALUE(C5),설정!$G$16:$G$36,"Y"),0)&gt;0),C5&amp;""=설정!$C$5&amp;""),1,0))</f>
        <v>1</v>
      </c>
      <c r="AD5" s="89" t="n">
        <f aca="false">IF(Q5&lt;&gt;1,0,IF(OR(S5=1,IF(AB5="",FALSE(),INDEX(시장분석!$R:$R,AB5)=1)),1,0))</f>
        <v>0</v>
      </c>
      <c r="AE5" s="43" t="str">
        <f aca="false">IF(AB5="","",INDEX(시장분석!$A:$A,AB5))</f>
        <v>BACR 5.086 02/25/29</v>
      </c>
      <c r="AF5" s="93" t="n">
        <f aca="false">IF(AB5="","",IF(ISNUMBER(IF(AB5="","",INDEX(시장분석!$E:$E,AB5))),IF(AB5="","",INDEX(시장분석!$E:$E,AB5)),""))</f>
        <v>54.993</v>
      </c>
      <c r="AG5" s="43" t="str">
        <f aca="false">IF(Q5&lt;&gt;1,"",IF(AB5&lt;&gt;"",IF(AB5="","",INDEX(시장분석!$L:$L,AB5)),IFERROR(IF(VLOOKUP(R5,매핑!$A$4:$E$92,5,0)="","미분류",VLOOKUP(R5,매핑!$A$4:$E$92,5,0)),"미분류")))</f>
        <v>금융기관</v>
      </c>
      <c r="AH5" s="43" t="str">
        <f aca="false">IF(Q5&lt;&gt;1,"",IF(AB5&lt;&gt;"",IF(AB5="","",INDEX(시장분석!$N:$N,AB5)),IFERROR(IF(VLOOKUP(R5,매핑!$A$4:$E$92,4,0)="","미분류",VLOOKUP(R5,매핑!$A$4:$E$92,4,0)),"미분류")))</f>
        <v>유럽</v>
      </c>
      <c r="AI5" s="43" t="str">
        <f aca="false">IF(Q5&lt;&gt;1,"",IFERROR(IF(VLOOKUP(R5,매핑!$A$4:$E$92,3,0)="","미분류",VLOOKUP(R5,매핑!$A$4:$E$92,3,0)),IF(AB5&lt;&gt;"",IF(AB5="","",INDEX(시장분석!$W:$W,AB5)),"미분류")))</f>
        <v>영국</v>
      </c>
      <c r="AJ5" s="43" t="str">
        <f aca="false">IF(Q5&lt;&gt;1,"",IFERROR(VLOOKUP(IF(N5&lt;&gt;"",N5,IF(P5&lt;&gt;"",P5,O5)),설정!$A$15:$D$47,2,0),""))</f>
        <v>BBB+</v>
      </c>
      <c r="AK5" s="43" t="str">
        <f aca="false">IF(Q5&lt;&gt;1,"",IF(AJ5="","무등급",IFERROR(VLOOKUP(AJ5,설정!$A$15:$D$47,3,0),"무등급")))</f>
        <v>BBB</v>
      </c>
      <c r="AL5" s="89" t="n">
        <f aca="false">IF(AJ5="",99,IFERROR(VLOOKUP(AJ5,설정!$A$15:$D$47,4,0),99))</f>
        <v>8</v>
      </c>
      <c r="AM5" s="94" t="n">
        <f aca="false">IF(ISNUMBER(H5),AA5*1000000*H5/10000,0)</f>
        <v>1311.6753325</v>
      </c>
      <c r="AN5" s="94" t="n">
        <f aca="false">IF(OR(Y5=1,NOT(ISNUMBER(Z5))),0,AA5*1000000*Z5/10000)</f>
        <v>1311.6753325</v>
      </c>
      <c r="AO5" s="94" t="n">
        <f aca="false">IF(ISNUMBER(G5),AA5*1000000*G5/100,0)</f>
        <v>535332.78409</v>
      </c>
      <c r="AP5" s="94" t="n">
        <f aca="false">IF(ISNUMBER(M5),M5*K5,0)</f>
        <v>-243800</v>
      </c>
      <c r="AQ5" s="95" t="n">
        <f aca="false">IF(AB5="","",INDEX(시장분석!$AK:$AK,AB5))</f>
        <v>0.202319364151497</v>
      </c>
      <c r="AR5" s="43" t="str">
        <f aca="false">IF(AB5="","-",IF(AB5="","",INDEX(시장분석!$AL:$AL,AB5)))</f>
        <v>Fair</v>
      </c>
      <c r="AS5" s="96" t="n">
        <f aca="false">IF(AB5="","",INDEX(시장분석!$AJ:$AJ,AB5))</f>
        <v>2.22314204411863</v>
      </c>
      <c r="AT5" s="93" t="n">
        <f aca="false">IF(AB5="",0,IF(AB5="","",INDEX(시장분석!$AN:$AN,AB5)))</f>
        <v>0</v>
      </c>
      <c r="AU5" s="94" t="n">
        <f aca="false">IF(ISNUMBER(Z5),AT5/10000*MAX(Z5-1,0)*AA5*1000000,0)</f>
        <v>0</v>
      </c>
      <c r="AV5" s="94" t="n">
        <f aca="false">AO5+AU5</f>
        <v>535332.78409</v>
      </c>
      <c r="AW5" s="43" t="str">
        <f aca="false">IF(Q5&lt;&gt;1,"",TRIM(IF(AD5=1,"FRN ","")&amp;IF(AND(AL5&gt;=10,AL5&lt;99),"BBB0미만 ","")&amp;IF(AJ5="","등급없음 ","")&amp;IF(K5&lt;&gt;1,"비USD ","")&amp;IF(AND(AB5="",Y5=0),"시장데이터없음 ","")&amp;IF(AND(ISNUMBER(U5),U5&lt;0),"만기경과 ","")))</f>
        <v/>
      </c>
      <c r="AX5" s="90" t="n">
        <f aca="false">IF(Q5&lt;&gt;1,1,IF(스프레드쇼크!$C$4="Y",INDEX(스프레드쇼크!$B$12:$L$16,IFERROR(MATCH(AH5,스프레드쇼크!$A$12:$A$16,0),MATCH("목록외",스프레드쇼크!$A$12:$A$16,0)),IFERROR(MATCH(AG5,스프레드쇼크!$B$11:$L$11,0),MATCH("목록외",스프레드쇼크!$B$11:$L$11,0))),1))</f>
        <v>1</v>
      </c>
      <c r="AY5" s="90" t="n">
        <f aca="false">IF(스프레드쇼크!$C$5="Y",IF(ISNUMBER(AF5),MIN(스프레드쇼크!$C$7,MAX(스프레드쇼크!$C$6,AF5/스프레드쇼크!$C$8)),1),1)</f>
        <v>0.831790467048548</v>
      </c>
      <c r="AZ5" s="94" t="n">
        <f aca="false">AN5*AX5*AY5</f>
        <v>1091.03903743623</v>
      </c>
      <c r="BA5" s="90" t="n">
        <f aca="false">IF(ISNUMBER(G5),AA5*G5,0)</f>
        <v>53.533278409</v>
      </c>
      <c r="BB5" s="90" t="n">
        <f aca="false">IF(ISNUMBER(G5),AA5,0)</f>
        <v>9.95579</v>
      </c>
      <c r="BC5" s="90" t="n">
        <f aca="false">IF(AND(Y5=0,ISNUMBER(AF5)),AA5*AF5,0)</f>
        <v>547.49875947</v>
      </c>
      <c r="BD5" s="90" t="n">
        <f aca="false">IF(AND(Y5=0,ISNUMBER(AF5)),AA5,0)</f>
        <v>9.95579</v>
      </c>
      <c r="BE5" s="90" t="n">
        <f aca="false">IF(ISNUMBER(H5),AA5*H5,0)</f>
        <v>13.116753325</v>
      </c>
      <c r="BF5" s="90" t="n">
        <f aca="false">IF(ISNUMBER(H5),AA5,0)</f>
        <v>9.95579</v>
      </c>
      <c r="BG5" s="90" t="n">
        <f aca="false">IF(AND(Y5=0,ISNUMBER(AF5),ISNUMBER(Z5)),AA5*Z5,0)</f>
        <v>13.116753325</v>
      </c>
      <c r="BH5" s="90" t="n">
        <f aca="false">IF(AND(Y5=0,ISNUMBER(AF5),ISNUMBER(Z5)),AA5*AT5*MAX(Z5-1,0),0)</f>
        <v>0</v>
      </c>
      <c r="BI5" s="90" t="n">
        <f aca="false">IF(Y5=0,AA5,0)</f>
        <v>9.95579</v>
      </c>
    </row>
    <row r="6" customFormat="false" ht="15" hidden="false" customHeight="false" outlineLevel="0" collapsed="false">
      <c r="A6" s="83" t="str">
        <f aca="false">IFERROR(IF(INDEX(원자료_잔고!$A$1:$EZ$1500,설정!$L$5+ROW()-1,설정!$L$8)&amp;""="0","",INDEX(원자료_잔고!$A$1:$EZ$1500,설정!$L$5+ROW()-1,설정!$L$8)&amp;""),"")</f>
        <v>BACR 4.521 02/24/32</v>
      </c>
      <c r="B6" s="83" t="str">
        <f aca="false">IFERROR(IF(INDEX(원자료_잔고!$A$1:$EZ$1500,설정!$L$5+ROW()-1,설정!$L$7)&amp;""="0","",INDEX(원자료_잔고!$A$1:$EZ$1500,설정!$L$5+ROW()-1,설정!$L$7)&amp;""),"")</f>
        <v>US06738EDJ10</v>
      </c>
      <c r="C6" s="83" t="str">
        <f aca="false">IFERROR(IF(INDEX(원자료_잔고!$A$1:$EZ$1500,설정!$L$5+ROW()-1,설정!$L$9)&amp;""="0","",INDEX(원자료_잔고!$A$1:$EZ$1500,설정!$L$5+ROW()-1,설정!$L$9)&amp;""),"")</f>
        <v>28096</v>
      </c>
      <c r="D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" s="84" t="n">
        <f aca="false">IFERROR(IF(ISNUMBER(INDEX(원자료_잔고!$A$1:$EZ$1500,설정!$L$5+ROW()-1,설정!$L$11)),INDEX(원자료_잔고!$A$1:$EZ$1500,설정!$L$5+ROW()-1,설정!$L$11),""),"")</f>
        <v>10000000</v>
      </c>
      <c r="F6" s="85" t="n">
        <f aca="false">IFERROR(IF(ISNUMBER(INDEX(원자료_잔고!$A$1:$EZ$1500,설정!$L$5+ROW()-1,설정!$L$12)),INDEX(원자료_잔고!$A$1:$EZ$1500,설정!$L$5+ROW()-1,설정!$L$12),""),"")</f>
        <v>94.3566</v>
      </c>
      <c r="G6" s="85" t="n">
        <f aca="false">IFERROR(IF(ISNUMBER(INDEX(원자료_잔고!$A$1:$EZ$1500,설정!$L$5+ROW()-1,설정!$L$13)),INDEX(원자료_잔고!$A$1:$EZ$1500,설정!$L$5+ROW()-1,설정!$L$13),""),"")</f>
        <v>5.9159</v>
      </c>
      <c r="H6" s="85" t="n">
        <f aca="false">IFERROR(IF(ISNUMBER(INDEX(원자료_잔고!$A$1:$EZ$1500,설정!$L$5+ROW()-1,설정!$L$14)),INDEX(원자료_잔고!$A$1:$EZ$1500,설정!$L$5+ROW()-1,설정!$L$14),""),"")</f>
        <v>3.8597</v>
      </c>
      <c r="I6" s="86" t="n">
        <f aca="false">IFERROR(IF(ISNUMBER(INDEX(원자료_잔고!$A$1:$EZ$1500,설정!$L$5+ROW()-1,설정!$L$15)),INDEX(원자료_잔고!$A$1:$EZ$1500,설정!$L$5+ROW()-1,설정!$L$15),""),"")</f>
        <v>48268</v>
      </c>
      <c r="J6" s="85" t="n">
        <f aca="false">IFERROR(IF(ISNUMBER(INDEX(원자료_잔고!$A$1:$EZ$1500,설정!$L$5+ROW()-1,설정!$L$16)),INDEX(원자료_잔고!$A$1:$EZ$1500,설정!$L$5+ROW()-1,설정!$L$16),""),"")</f>
        <v>4.521</v>
      </c>
      <c r="K6" s="87" t="n">
        <f aca="false">IFERROR(IF(ISNUMBER(INDEX(원자료_잔고!$A$1:$EZ$1500,설정!$L$5+ROW()-1,설정!$L$17)),INDEX(원자료_잔고!$A$1:$EZ$1500,설정!$L$5+ROW()-1,설정!$L$17),""),"")</f>
        <v>1</v>
      </c>
      <c r="L6" s="84" t="n">
        <f aca="false">IFERROR(IF(ISNUMBER(INDEX(원자료_잔고!$A$1:$EZ$1500,설정!$L$5+ROW()-1,설정!$L$18)),INDEX(원자료_잔고!$A$1:$EZ$1500,설정!$L$5+ROW()-1,설정!$L$18),""),"")</f>
        <v>9435660</v>
      </c>
      <c r="M6" s="88" t="n">
        <f aca="false">IFERROR(IF(ISNUMBER(INDEX(원자료_잔고!$A$1:$EZ$1500,설정!$L$5+ROW()-1,설정!$L$19)),INDEX(원자료_잔고!$A$1:$EZ$1500,설정!$L$5+ROW()-1,설정!$L$19),""),"")</f>
        <v>-370340</v>
      </c>
      <c r="N6" s="83" t="str">
        <f aca="false">IFERROR(IF(INDEX(원자료_잔고!$A$1:$EZ$1500,설정!$L$5+ROW()-1,설정!$L$21)&amp;""="0","",INDEX(원자료_잔고!$A$1:$EZ$1500,설정!$L$5+ROW()-1,설정!$L$21)&amp;""),"")</f>
        <v>BBB+</v>
      </c>
      <c r="O6" s="83" t="str">
        <f aca="false">IFERROR(IF(INDEX(원자료_잔고!$A$1:$EZ$1500,설정!$L$5+ROW()-1,설정!$L$22)&amp;""="0","",INDEX(원자료_잔고!$A$1:$EZ$1500,설정!$L$5+ROW()-1,설정!$L$22)&amp;""),"")</f>
        <v/>
      </c>
      <c r="P6" s="83" t="str">
        <f aca="false">IFERROR(IF(INDEX(원자료_잔고!$A$1:$EZ$1500,설정!$L$5+ROW()-1,설정!$L$23)&amp;""="0","",INDEX(원자료_잔고!$A$1:$EZ$1500,설정!$L$5+ROW()-1,설정!$L$23)&amp;""),"")</f>
        <v>A</v>
      </c>
      <c r="Q6" s="89" t="n">
        <f aca="false">IF(AND($A6&lt;&gt;"",ISNUMBER(E6)),IF(E6&gt;0,1,0),0)</f>
        <v>1</v>
      </c>
      <c r="R6" s="43" t="str">
        <f aca="false">IF(Q6=1,UPPER(LEFT($A6,FIND(" ",$A6&amp;" ")-1)),"")</f>
        <v>BACR</v>
      </c>
      <c r="S6" s="89" t="n">
        <f aca="false">IF(Q6=1,IF(OR(ISNUMBER(SEARCH("Float",$A6)),ISNUMBER(SEARCH("FRN",$A6))),1,0),0)</f>
        <v>0</v>
      </c>
      <c r="T6" s="43" t="str">
        <f aca="false">IF(AND(Q6=1,ISNUMBER(I6)),TEXT(I6,"yyyymmdd")&amp;"|"&amp;IF(S6=1,"F",TEXT(J6,"0.000")),"")</f>
        <v>20320224|4.521</v>
      </c>
      <c r="U6" s="90" t="n">
        <f aca="false">IF(AND(Q6=1,ISNUMBER(I6)),(I6-설정!$C$4)/365.25,"")</f>
        <v>5.3990417522245</v>
      </c>
      <c r="V6" s="43" t="str">
        <f aca="false">IF(Q6&lt;&gt;1,"",IF(ISNUMBER(U6),IF(U6&lt;=1,"1년 이하",IF(U6&lt;=2,"1-2년",IF(U6&lt;=3,"2-3년",IF(U6&lt;=4,"3-4년",IF(U6&lt;=5,"4-5년",IF(U6&lt;=7,"5-7년",IF(U6&lt;=10,"7-10년",IF(U6&lt;=20,"10-20년","20년 이상")))))))),"미분류"))</f>
        <v>5-7년</v>
      </c>
      <c r="W6" s="43" t="str">
        <f aca="false">IF(Q6&lt;&gt;1,"",IF(AB6&lt;&gt;"",INDEX(시장분석!$C:$C,AB6),IF(K6=1,"USD","비USD")))</f>
        <v>USD</v>
      </c>
      <c r="X6" s="91" t="n">
        <f aca="false">IF(Q6=1,E6*K6/1000000,0)</f>
        <v>10</v>
      </c>
      <c r="Y6" s="89" t="n">
        <f aca="false">IF(R6="T",1,0)</f>
        <v>0</v>
      </c>
      <c r="Z6" s="92" t="n">
        <f aca="false">IF(Q6&lt;&gt;1,"",IF(AD6=1,IF(ISNUMBER(U6),MAX(U6,0),H6),H6))</f>
        <v>3.8597</v>
      </c>
      <c r="AA6" s="91" t="n">
        <f aca="false">IF(Q6=1,IF(ISNUMBER(L6),L6,0)*K6/1000000,0)</f>
        <v>9.43566</v>
      </c>
      <c r="AB6" s="89" t="n">
        <f aca="false">IF(Q6&lt;&gt;1,"",IFERROR(MATCH(VLOOKUP(B6,매핑!$H$4:$I$15,2,0),시장분석!$A$2:$A$601,0)+1,IFERROR(MATCH(R6&amp;"|"&amp;T6,시장분석!$V$2:$V$601,0)+1,IF(COUNTIF(시장분석!$U$2:$U$601,T6)=1,MATCH(T6,시장분석!$U$2:$U$601,0)+1,""))))</f>
        <v>20</v>
      </c>
      <c r="AC6" s="89" t="n">
        <f aca="false">IF(Q6&lt;&gt;1,0,IF(OR(설정!$C$5="전체",AND(설정!$C$5="선택펀드",IFERROR(COUNTIFS(설정!$F$16:$F$36,C6,설정!$G$16:$G$36,"Y")+COUNTIFS(설정!$F$16:$F$36,VALUE(C6),설정!$G$16:$G$36,"Y"),0)&gt;0),C6&amp;""=설정!$C$5&amp;""),1,0))</f>
        <v>1</v>
      </c>
      <c r="AD6" s="89" t="n">
        <f aca="false">IF(Q6&lt;&gt;1,0,IF(OR(S6=1,IF(AB6="",FALSE(),INDEX(시장분석!$R:$R,AB6)=1)),1,0))</f>
        <v>0</v>
      </c>
      <c r="AE6" s="43" t="str">
        <f aca="false">IF(AB6="","",INDEX(시장분석!$A:$A,AB6))</f>
        <v>BACR 4.521 02/24/32</v>
      </c>
      <c r="AF6" s="93" t="n">
        <f aca="false">IF(AB6="","",IF(ISNUMBER(IF(AB6="","",INDEX(시장분석!$E:$E,AB6))),IF(AB6="","",INDEX(시장분석!$E:$E,AB6)),""))</f>
        <v>93.504</v>
      </c>
      <c r="AG6" s="43" t="str">
        <f aca="false">IF(Q6&lt;&gt;1,"",IF(AB6&lt;&gt;"",IF(AB6="","",INDEX(시장분석!$L:$L,AB6)),IFERROR(IF(VLOOKUP(R6,매핑!$A$4:$E$92,5,0)="","미분류",VLOOKUP(R6,매핑!$A$4:$E$92,5,0)),"미분류")))</f>
        <v>금융기관</v>
      </c>
      <c r="AH6" s="43" t="str">
        <f aca="false">IF(Q6&lt;&gt;1,"",IF(AB6&lt;&gt;"",IF(AB6="","",INDEX(시장분석!$N:$N,AB6)),IFERROR(IF(VLOOKUP(R6,매핑!$A$4:$E$92,4,0)="","미분류",VLOOKUP(R6,매핑!$A$4:$E$92,4,0)),"미분류")))</f>
        <v>유럽</v>
      </c>
      <c r="AI6" s="43" t="str">
        <f aca="false">IF(Q6&lt;&gt;1,"",IFERROR(IF(VLOOKUP(R6,매핑!$A$4:$E$92,3,0)="","미분류",VLOOKUP(R6,매핑!$A$4:$E$92,3,0)),IF(AB6&lt;&gt;"",IF(AB6="","",INDEX(시장분석!$W:$W,AB6)),"미분류")))</f>
        <v>영국</v>
      </c>
      <c r="AJ6" s="43" t="str">
        <f aca="false">IF(Q6&lt;&gt;1,"",IFERROR(VLOOKUP(IF(N6&lt;&gt;"",N6,IF(P6&lt;&gt;"",P6,O6)),설정!$A$15:$D$47,2,0),""))</f>
        <v>BBB+</v>
      </c>
      <c r="AK6" s="43" t="str">
        <f aca="false">IF(Q6&lt;&gt;1,"",IF(AJ6="","무등급",IFERROR(VLOOKUP(AJ6,설정!$A$15:$D$47,3,0),"무등급")))</f>
        <v>BBB</v>
      </c>
      <c r="AL6" s="89" t="n">
        <f aca="false">IF(AJ6="",99,IFERROR(VLOOKUP(AJ6,설정!$A$15:$D$47,4,0),99))</f>
        <v>8</v>
      </c>
      <c r="AM6" s="94" t="n">
        <f aca="false">IF(ISNUMBER(H6),AA6*1000000*H6/10000,0)</f>
        <v>3641.8816902</v>
      </c>
      <c r="AN6" s="94" t="n">
        <f aca="false">IF(OR(Y6=1,NOT(ISNUMBER(Z6))),0,AA6*1000000*Z6/10000)</f>
        <v>3641.8816902</v>
      </c>
      <c r="AO6" s="94" t="n">
        <f aca="false">IF(ISNUMBER(G6),AA6*1000000*G6/100,0)</f>
        <v>558204.20994</v>
      </c>
      <c r="AP6" s="94" t="n">
        <f aca="false">IF(ISNUMBER(M6),M6*K6,0)</f>
        <v>-370340</v>
      </c>
      <c r="AQ6" s="95" t="n">
        <f aca="false">IF(AB6="","",INDEX(시장분석!$AK:$AK,AB6))</f>
        <v>0.703091848082493</v>
      </c>
      <c r="AR6" s="43" t="str">
        <f aca="false">IF(AB6="","-",IF(AB6="","",INDEX(시장분석!$AL:$AL,AB6)))</f>
        <v>Fair</v>
      </c>
      <c r="AS6" s="96" t="n">
        <f aca="false">IF(AB6="","",INDEX(시장분석!$AJ:$AJ,AB6))</f>
        <v>7.72577086184806</v>
      </c>
      <c r="AT6" s="93" t="n">
        <f aca="false">IF(AB6="",0,IF(AB6="","",INDEX(시장분석!$AN:$AN,AB6)))</f>
        <v>8.79304603716865</v>
      </c>
      <c r="AU6" s="94" t="n">
        <f aca="false">IF(ISNUMBER(Z6),AT6/10000*MAX(Z6-1,0)*AA6*1000000,0)</f>
        <v>23726.4140867431</v>
      </c>
      <c r="AV6" s="94" t="n">
        <f aca="false">AO6+AU6</f>
        <v>581930.624026743</v>
      </c>
      <c r="AW6" s="43" t="str">
        <f aca="false">IF(Q6&lt;&gt;1,"",TRIM(IF(AD6=1,"FRN ","")&amp;IF(AND(AL6&gt;=10,AL6&lt;99),"BBB0미만 ","")&amp;IF(AJ6="","등급없음 ","")&amp;IF(K6&lt;&gt;1,"비USD ","")&amp;IF(AND(AB6="",Y6=0),"시장데이터없음 ","")&amp;IF(AND(ISNUMBER(U6),U6&lt;0),"만기경과 ","")))</f>
        <v/>
      </c>
      <c r="AX6" s="90" t="n">
        <f aca="false">IF(Q6&lt;&gt;1,1,IF(스프레드쇼크!$C$4="Y",INDEX(스프레드쇼크!$B$12:$L$16,IFERROR(MATCH(AH6,스프레드쇼크!$A$12:$A$16,0),MATCH("목록외",스프레드쇼크!$A$12:$A$16,0)),IFERROR(MATCH(AG6,스프레드쇼크!$B$11:$L$11,0),MATCH("목록외",스프레드쇼크!$B$11:$L$11,0))),1))</f>
        <v>1</v>
      </c>
      <c r="AY6" s="90" t="n">
        <f aca="false">IF(스프레드쇼크!$C$5="Y",IF(ISNUMBER(AF6),MIN(스프레드쇼크!$C$7,MAX(스프레드쇼크!$C$6,AF6/스프레드쇼크!$C$8)),1),1)</f>
        <v>1.41428428765311</v>
      </c>
      <c r="AZ6" s="94" t="n">
        <f aca="false">AN6*AX6*AY6</f>
        <v>5150.65605194141</v>
      </c>
      <c r="BA6" s="90" t="n">
        <f aca="false">IF(ISNUMBER(G6),AA6*G6,0)</f>
        <v>55.820420994</v>
      </c>
      <c r="BB6" s="90" t="n">
        <f aca="false">IF(ISNUMBER(G6),AA6,0)</f>
        <v>9.43566</v>
      </c>
      <c r="BC6" s="90" t="n">
        <f aca="false">IF(AND(Y6=0,ISNUMBER(AF6)),AA6*AF6,0)</f>
        <v>882.27195264</v>
      </c>
      <c r="BD6" s="90" t="n">
        <f aca="false">IF(AND(Y6=0,ISNUMBER(AF6)),AA6,0)</f>
        <v>9.43566</v>
      </c>
      <c r="BE6" s="90" t="n">
        <f aca="false">IF(ISNUMBER(H6),AA6*H6,0)</f>
        <v>36.418816902</v>
      </c>
      <c r="BF6" s="90" t="n">
        <f aca="false">IF(ISNUMBER(H6),AA6,0)</f>
        <v>9.43566</v>
      </c>
      <c r="BG6" s="90" t="n">
        <f aca="false">IF(AND(Y6=0,ISNUMBER(AF6),ISNUMBER(Z6)),AA6*Z6,0)</f>
        <v>36.418816902</v>
      </c>
      <c r="BH6" s="90" t="n">
        <f aca="false">IF(AND(Y6=0,ISNUMBER(AF6),ISNUMBER(Z6)),AA6*AT6*MAX(Z6-1,0),0)</f>
        <v>237.264140867431</v>
      </c>
      <c r="BI6" s="90" t="n">
        <f aca="false">IF(Y6=0,AA6,0)</f>
        <v>9.43566</v>
      </c>
    </row>
    <row r="7" customFormat="false" ht="15" hidden="false" customHeight="false" outlineLevel="0" collapsed="false">
      <c r="A7" s="83" t="str">
        <f aca="false">IFERROR(IF(INDEX(원자료_잔고!$A$1:$EZ$1500,설정!$L$5+ROW()-1,설정!$L$8)&amp;""="0","",INDEX(원자료_잔고!$A$1:$EZ$1500,설정!$L$5+ROW()-1,설정!$L$8)&amp;""),"")</f>
        <v>BACR 5.102 06/26/32</v>
      </c>
      <c r="B7" s="83" t="str">
        <f aca="false">IFERROR(IF(INDEX(원자료_잔고!$A$1:$EZ$1500,설정!$L$5+ROW()-1,설정!$L$7)&amp;""="0","",INDEX(원자료_잔고!$A$1:$EZ$1500,설정!$L$5+ROW()-1,설정!$L$7)&amp;""),"")</f>
        <v>US06738EDM49</v>
      </c>
      <c r="C7" s="83" t="str">
        <f aca="false">IFERROR(IF(INDEX(원자료_잔고!$A$1:$EZ$1500,설정!$L$5+ROW()-1,설정!$L$9)&amp;""="0","",INDEX(원자료_잔고!$A$1:$EZ$1500,설정!$L$5+ROW()-1,설정!$L$9)&amp;""),"")</f>
        <v>28096</v>
      </c>
      <c r="D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" s="84" t="n">
        <f aca="false">IFERROR(IF(ISNUMBER(INDEX(원자료_잔고!$A$1:$EZ$1500,설정!$L$5+ROW()-1,설정!$L$11)),INDEX(원자료_잔고!$A$1:$EZ$1500,설정!$L$5+ROW()-1,설정!$L$11),""),"")</f>
        <v>5000000</v>
      </c>
      <c r="F7" s="85" t="n">
        <f aca="false">IFERROR(IF(ISNUMBER(INDEX(원자료_잔고!$A$1:$EZ$1500,설정!$L$5+ROW()-1,설정!$L$12)),INDEX(원자료_잔고!$A$1:$EZ$1500,설정!$L$5+ROW()-1,설정!$L$12),""),"")</f>
        <v>96.1173</v>
      </c>
      <c r="G7" s="85" t="n">
        <f aca="false">IFERROR(IF(ISNUMBER(INDEX(원자료_잔고!$A$1:$EZ$1500,설정!$L$5+ROW()-1,설정!$L$13)),INDEX(원자료_잔고!$A$1:$EZ$1500,설정!$L$5+ROW()-1,설정!$L$13),""),"")</f>
        <v>6.0067</v>
      </c>
      <c r="H7" s="85" t="n">
        <f aca="false">IFERROR(IF(ISNUMBER(INDEX(원자료_잔고!$A$1:$EZ$1500,설정!$L$5+ROW()-1,설정!$L$14)),INDEX(원자료_잔고!$A$1:$EZ$1500,설정!$L$5+ROW()-1,설정!$L$14),""),"")</f>
        <v>4.0475</v>
      </c>
      <c r="I7" s="86" t="n">
        <f aca="false">IFERROR(IF(ISNUMBER(INDEX(원자료_잔고!$A$1:$EZ$1500,설정!$L$5+ROW()-1,설정!$L$15)),INDEX(원자료_잔고!$A$1:$EZ$1500,설정!$L$5+ROW()-1,설정!$L$15),""),"")</f>
        <v>48391</v>
      </c>
      <c r="J7" s="85" t="n">
        <f aca="false">IFERROR(IF(ISNUMBER(INDEX(원자료_잔고!$A$1:$EZ$1500,설정!$L$5+ROW()-1,설정!$L$16)),INDEX(원자료_잔고!$A$1:$EZ$1500,설정!$L$5+ROW()-1,설정!$L$16),""),"")</f>
        <v>5.102</v>
      </c>
      <c r="K7" s="87" t="n">
        <f aca="false">IFERROR(IF(ISNUMBER(INDEX(원자료_잔고!$A$1:$EZ$1500,설정!$L$5+ROW()-1,설정!$L$17)),INDEX(원자료_잔고!$A$1:$EZ$1500,설정!$L$5+ROW()-1,설정!$L$17),""),"")</f>
        <v>1</v>
      </c>
      <c r="L7" s="84" t="n">
        <f aca="false">IFERROR(IF(ISNUMBER(INDEX(원자료_잔고!$A$1:$EZ$1500,설정!$L$5+ROW()-1,설정!$L$18)),INDEX(원자료_잔고!$A$1:$EZ$1500,설정!$L$5+ROW()-1,설정!$L$18),""),"")</f>
        <v>4805865</v>
      </c>
      <c r="M7" s="88" t="n">
        <f aca="false">IFERROR(IF(ISNUMBER(INDEX(원자료_잔고!$A$1:$EZ$1500,설정!$L$5+ROW()-1,설정!$L$19)),INDEX(원자료_잔고!$A$1:$EZ$1500,설정!$L$5+ROW()-1,설정!$L$19),""),"")</f>
        <v>-149335</v>
      </c>
      <c r="N7" s="83" t="str">
        <f aca="false">IFERROR(IF(INDEX(원자료_잔고!$A$1:$EZ$1500,설정!$L$5+ROW()-1,설정!$L$21)&amp;""="0","",INDEX(원자료_잔고!$A$1:$EZ$1500,설정!$L$5+ROW()-1,설정!$L$21)&amp;""),"")</f>
        <v>BBB+</v>
      </c>
      <c r="O7" s="83" t="str">
        <f aca="false">IFERROR(IF(INDEX(원자료_잔고!$A$1:$EZ$1500,설정!$L$5+ROW()-1,설정!$L$22)&amp;""="0","",INDEX(원자료_잔고!$A$1:$EZ$1500,설정!$L$5+ROW()-1,설정!$L$22)&amp;""),"")</f>
        <v/>
      </c>
      <c r="P7" s="83" t="str">
        <f aca="false">IFERROR(IF(INDEX(원자료_잔고!$A$1:$EZ$1500,설정!$L$5+ROW()-1,설정!$L$23)&amp;""="0","",INDEX(원자료_잔고!$A$1:$EZ$1500,설정!$L$5+ROW()-1,설정!$L$23)&amp;""),"")</f>
        <v>A</v>
      </c>
      <c r="Q7" s="89" t="n">
        <f aca="false">IF(AND($A7&lt;&gt;"",ISNUMBER(E7)),IF(E7&gt;0,1,0),0)</f>
        <v>1</v>
      </c>
      <c r="R7" s="43" t="str">
        <f aca="false">IF(Q7=1,UPPER(LEFT($A7,FIND(" ",$A7&amp;" ")-1)),"")</f>
        <v>BACR</v>
      </c>
      <c r="S7" s="89" t="n">
        <f aca="false">IF(Q7=1,IF(OR(ISNUMBER(SEARCH("Float",$A7)),ISNUMBER(SEARCH("FRN",$A7))),1,0),0)</f>
        <v>0</v>
      </c>
      <c r="T7" s="43" t="str">
        <f aca="false">IF(AND(Q7=1,ISNUMBER(I7)),TEXT(I7,"yyyymmdd")&amp;"|"&amp;IF(S7=1,"F",TEXT(J7,"0.000")),"")</f>
        <v>20320626|5.102</v>
      </c>
      <c r="U7" s="90" t="n">
        <f aca="false">IF(AND(Q7=1,ISNUMBER(I7)),(I7-설정!$C$4)/365.25,"")</f>
        <v>5.73579739904175</v>
      </c>
      <c r="V7" s="43" t="str">
        <f aca="false">IF(Q7&lt;&gt;1,"",IF(ISNUMBER(U7),IF(U7&lt;=1,"1년 이하",IF(U7&lt;=2,"1-2년",IF(U7&lt;=3,"2-3년",IF(U7&lt;=4,"3-4년",IF(U7&lt;=5,"4-5년",IF(U7&lt;=7,"5-7년",IF(U7&lt;=10,"7-10년",IF(U7&lt;=20,"10-20년","20년 이상")))))))),"미분류"))</f>
        <v>5-7년</v>
      </c>
      <c r="W7" s="43" t="str">
        <f aca="false">IF(Q7&lt;&gt;1,"",IF(AB7&lt;&gt;"",INDEX(시장분석!$C:$C,AB7),IF(K7=1,"USD","비USD")))</f>
        <v>USD</v>
      </c>
      <c r="X7" s="91" t="n">
        <f aca="false">IF(Q7=1,E7*K7/1000000,0)</f>
        <v>5</v>
      </c>
      <c r="Y7" s="89" t="n">
        <f aca="false">IF(R7="T",1,0)</f>
        <v>0</v>
      </c>
      <c r="Z7" s="92" t="n">
        <f aca="false">IF(Q7&lt;&gt;1,"",IF(AD7=1,IF(ISNUMBER(U7),MAX(U7,0),H7),H7))</f>
        <v>4.0475</v>
      </c>
      <c r="AA7" s="91" t="n">
        <f aca="false">IF(Q7=1,IF(ISNUMBER(L7),L7,0)*K7/1000000,0)</f>
        <v>4.805865</v>
      </c>
      <c r="AB7" s="89" t="n">
        <f aca="false">IF(Q7&lt;&gt;1,"",IFERROR(MATCH(VLOOKUP(B7,매핑!$H$4:$I$15,2,0),시장분석!$A$2:$A$601,0)+1,IFERROR(MATCH(R7&amp;"|"&amp;T7,시장분석!$V$2:$V$601,0)+1,IF(COUNTIF(시장분석!$U$2:$U$601,T7)=1,MATCH(T7,시장분석!$U$2:$U$601,0)+1,""))))</f>
        <v>21</v>
      </c>
      <c r="AC7" s="89" t="n">
        <f aca="false">IF(Q7&lt;&gt;1,0,IF(OR(설정!$C$5="전체",AND(설정!$C$5="선택펀드",IFERROR(COUNTIFS(설정!$F$16:$F$36,C7,설정!$G$16:$G$36,"Y")+COUNTIFS(설정!$F$16:$F$36,VALUE(C7),설정!$G$16:$G$36,"Y"),0)&gt;0),C7&amp;""=설정!$C$5&amp;""),1,0))</f>
        <v>1</v>
      </c>
      <c r="AD7" s="89" t="n">
        <f aca="false">IF(Q7&lt;&gt;1,0,IF(OR(S7=1,IF(AB7="",FALSE(),INDEX(시장분석!$R:$R,AB7)=1)),1,0))</f>
        <v>0</v>
      </c>
      <c r="AE7" s="43" t="str">
        <f aca="false">IF(AB7="","",INDEX(시장분석!$A:$A,AB7))</f>
        <v>BACR 5.102 06/26/32</v>
      </c>
      <c r="AF7" s="93" t="n">
        <f aca="false">IF(AB7="","",IF(ISNUMBER(IF(AB7="","",INDEX(시장분석!$E:$E,AB7))),IF(AB7="","",INDEX(시장분석!$E:$E,AB7)),""))</f>
        <v>99.679</v>
      </c>
      <c r="AG7" s="43" t="str">
        <f aca="false">IF(Q7&lt;&gt;1,"",IF(AB7&lt;&gt;"",IF(AB7="","",INDEX(시장분석!$L:$L,AB7)),IFERROR(IF(VLOOKUP(R7,매핑!$A$4:$E$92,5,0)="","미분류",VLOOKUP(R7,매핑!$A$4:$E$92,5,0)),"미분류")))</f>
        <v>금융기관</v>
      </c>
      <c r="AH7" s="43" t="str">
        <f aca="false">IF(Q7&lt;&gt;1,"",IF(AB7&lt;&gt;"",IF(AB7="","",INDEX(시장분석!$N:$N,AB7)),IFERROR(IF(VLOOKUP(R7,매핑!$A$4:$E$92,4,0)="","미분류",VLOOKUP(R7,매핑!$A$4:$E$92,4,0)),"미분류")))</f>
        <v>유럽</v>
      </c>
      <c r="AI7" s="43" t="str">
        <f aca="false">IF(Q7&lt;&gt;1,"",IFERROR(IF(VLOOKUP(R7,매핑!$A$4:$E$92,3,0)="","미분류",VLOOKUP(R7,매핑!$A$4:$E$92,3,0)),IF(AB7&lt;&gt;"",IF(AB7="","",INDEX(시장분석!$W:$W,AB7)),"미분류")))</f>
        <v>영국</v>
      </c>
      <c r="AJ7" s="43" t="str">
        <f aca="false">IF(Q7&lt;&gt;1,"",IFERROR(VLOOKUP(IF(N7&lt;&gt;"",N7,IF(P7&lt;&gt;"",P7,O7)),설정!$A$15:$D$47,2,0),""))</f>
        <v>BBB+</v>
      </c>
      <c r="AK7" s="43" t="str">
        <f aca="false">IF(Q7&lt;&gt;1,"",IF(AJ7="","무등급",IFERROR(VLOOKUP(AJ7,설정!$A$15:$D$47,3,0),"무등급")))</f>
        <v>BBB</v>
      </c>
      <c r="AL7" s="89" t="n">
        <f aca="false">IF(AJ7="",99,IFERROR(VLOOKUP(AJ7,설정!$A$15:$D$47,4,0),99))</f>
        <v>8</v>
      </c>
      <c r="AM7" s="94" t="n">
        <f aca="false">IF(ISNUMBER(H7),AA7*1000000*H7/10000,0)</f>
        <v>1945.17385875</v>
      </c>
      <c r="AN7" s="94" t="n">
        <f aca="false">IF(OR(Y7=1,NOT(ISNUMBER(Z7))),0,AA7*1000000*Z7/10000)</f>
        <v>1945.17385875</v>
      </c>
      <c r="AO7" s="94" t="n">
        <f aca="false">IF(ISNUMBER(G7),AA7*1000000*G7/100,0)</f>
        <v>288673.892955</v>
      </c>
      <c r="AP7" s="94" t="n">
        <f aca="false">IF(ISNUMBER(M7),M7*K7,0)</f>
        <v>-149335</v>
      </c>
      <c r="AQ7" s="95" t="n">
        <f aca="false">IF(AB7="","",INDEX(시장분석!$AK:$AK,AB7))</f>
        <v>1.13396677003693</v>
      </c>
      <c r="AR7" s="43" t="str">
        <f aca="false">IF(AB7="","-",IF(AB7="","",INDEX(시장분석!$AL:$AL,AB7)))</f>
        <v>Cheap</v>
      </c>
      <c r="AS7" s="96" t="n">
        <f aca="false">IF(AB7="","",INDEX(시장분석!$AJ:$AJ,AB7))</f>
        <v>12.4603456207721</v>
      </c>
      <c r="AT7" s="93" t="n">
        <f aca="false">IF(AB7="",0,IF(AB7="","",INDEX(시장분석!$AN:$AN,AB7)))</f>
        <v>8.32790366524155</v>
      </c>
      <c r="AU7" s="94" t="n">
        <f aca="false">IF(ISNUMBER(Z7),AT7/10000*MAX(Z7-1,0)*AA7*1000000,0)</f>
        <v>12196.9424330006</v>
      </c>
      <c r="AV7" s="94" t="n">
        <f aca="false">AO7+AU7</f>
        <v>300870.835388001</v>
      </c>
      <c r="AW7" s="43" t="str">
        <f aca="false">IF(Q7&lt;&gt;1,"",TRIM(IF(AD7=1,"FRN ","")&amp;IF(AND(AL7&gt;=10,AL7&lt;99),"BBB0미만 ","")&amp;IF(AJ7="","등급없음 ","")&amp;IF(K7&lt;&gt;1,"비USD ","")&amp;IF(AND(AB7="",Y7=0),"시장데이터없음 ","")&amp;IF(AND(ISNUMBER(U7),U7&lt;0),"만기경과 ","")))</f>
        <v/>
      </c>
      <c r="AX7" s="90" t="n">
        <f aca="false">IF(Q7&lt;&gt;1,1,IF(스프레드쇼크!$C$4="Y",INDEX(스프레드쇼크!$B$12:$L$16,IFERROR(MATCH(AH7,스프레드쇼크!$A$12:$A$16,0),MATCH("목록외",스프레드쇼크!$A$12:$A$16,0)),IFERROR(MATCH(AG7,스프레드쇼크!$B$11:$L$11,0),MATCH("목록외",스프레드쇼크!$B$11:$L$11,0))),1))</f>
        <v>1</v>
      </c>
      <c r="AY7" s="90" t="n">
        <f aca="false">IF(스프레드쇼크!$C$5="Y",IF(ISNUMBER(AF7),MIN(스프레드쇼크!$C$7,MAX(스프레드쇼크!$C$6,AF7/스프레드쇼크!$C$8)),1),1)</f>
        <v>1.50768355908811</v>
      </c>
      <c r="AZ7" s="94" t="n">
        <f aca="false">AN7*AX7*AY7</f>
        <v>2932.70664640535</v>
      </c>
      <c r="BA7" s="90" t="n">
        <f aca="false">IF(ISNUMBER(G7),AA7*G7,0)</f>
        <v>28.8673892955</v>
      </c>
      <c r="BB7" s="90" t="n">
        <f aca="false">IF(ISNUMBER(G7),AA7,0)</f>
        <v>4.805865</v>
      </c>
      <c r="BC7" s="90" t="n">
        <f aca="false">IF(AND(Y7=0,ISNUMBER(AF7)),AA7*AF7,0)</f>
        <v>479.043817335</v>
      </c>
      <c r="BD7" s="90" t="n">
        <f aca="false">IF(AND(Y7=0,ISNUMBER(AF7)),AA7,0)</f>
        <v>4.805865</v>
      </c>
      <c r="BE7" s="90" t="n">
        <f aca="false">IF(ISNUMBER(H7),AA7*H7,0)</f>
        <v>19.4517385875</v>
      </c>
      <c r="BF7" s="90" t="n">
        <f aca="false">IF(ISNUMBER(H7),AA7,0)</f>
        <v>4.805865</v>
      </c>
      <c r="BG7" s="90" t="n">
        <f aca="false">IF(AND(Y7=0,ISNUMBER(AF7),ISNUMBER(Z7)),AA7*Z7,0)</f>
        <v>19.4517385875</v>
      </c>
      <c r="BH7" s="90" t="n">
        <f aca="false">IF(AND(Y7=0,ISNUMBER(AF7),ISNUMBER(Z7)),AA7*AT7*MAX(Z7-1,0),0)</f>
        <v>121.969424330006</v>
      </c>
      <c r="BI7" s="90" t="n">
        <f aca="false">IF(Y7=0,AA7,0)</f>
        <v>4.805865</v>
      </c>
    </row>
    <row r="8" customFormat="false" ht="15" hidden="false" customHeight="false" outlineLevel="0" collapsed="false">
      <c r="A8" s="83" t="str">
        <f aca="false">IFERROR(IF(INDEX(원자료_잔고!$A$1:$EZ$1500,설정!$L$5+ROW()-1,설정!$L$8)&amp;""="0","",INDEX(원자료_잔고!$A$1:$EZ$1500,설정!$L$5+ROW()-1,설정!$L$8)&amp;""),"")</f>
        <v>AVGO 5.15 11/15/31</v>
      </c>
      <c r="B8" s="83" t="str">
        <f aca="false">IFERROR(IF(INDEX(원자료_잔고!$A$1:$EZ$1500,설정!$L$5+ROW()-1,설정!$L$7)&amp;""="0","",INDEX(원자료_잔고!$A$1:$EZ$1500,설정!$L$5+ROW()-1,설정!$L$7)&amp;""),"")</f>
        <v>US11135FBY60</v>
      </c>
      <c r="C8" s="83" t="str">
        <f aca="false">IFERROR(IF(INDEX(원자료_잔고!$A$1:$EZ$1500,설정!$L$5+ROW()-1,설정!$L$9)&amp;""="0","",INDEX(원자료_잔고!$A$1:$EZ$1500,설정!$L$5+ROW()-1,설정!$L$9)&amp;""),"")</f>
        <v>28096</v>
      </c>
      <c r="D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" s="84" t="n">
        <f aca="false">IFERROR(IF(ISNUMBER(INDEX(원자료_잔고!$A$1:$EZ$1500,설정!$L$5+ROW()-1,설정!$L$11)),INDEX(원자료_잔고!$A$1:$EZ$1500,설정!$L$5+ROW()-1,설정!$L$11),""),"")</f>
        <v>5000000</v>
      </c>
      <c r="F8" s="85" t="n">
        <f aca="false">IFERROR(IF(ISNUMBER(INDEX(원자료_잔고!$A$1:$EZ$1500,설정!$L$5+ROW()-1,설정!$L$12)),INDEX(원자료_잔고!$A$1:$EZ$1500,설정!$L$5+ROW()-1,설정!$L$12),""),"")</f>
        <v>97.195</v>
      </c>
      <c r="G8" s="85" t="n">
        <f aca="false">IFERROR(IF(ISNUMBER(INDEX(원자료_잔고!$A$1:$EZ$1500,설정!$L$5+ROW()-1,설정!$L$13)),INDEX(원자료_잔고!$A$1:$EZ$1500,설정!$L$5+ROW()-1,설정!$L$13),""),"")</f>
        <v>5.7879</v>
      </c>
      <c r="H8" s="85" t="n">
        <f aca="false">IFERROR(IF(ISNUMBER(INDEX(원자료_잔고!$A$1:$EZ$1500,설정!$L$5+ROW()-1,설정!$L$14)),INDEX(원자료_잔고!$A$1:$EZ$1500,설정!$L$5+ROW()-1,설정!$L$14),""),"")</f>
        <v>4.3073</v>
      </c>
      <c r="I8" s="86" t="n">
        <f aca="false">IFERROR(IF(ISNUMBER(INDEX(원자료_잔고!$A$1:$EZ$1500,설정!$L$5+ROW()-1,설정!$L$15)),INDEX(원자료_잔고!$A$1:$EZ$1500,설정!$L$5+ROW()-1,설정!$L$15),""),"")</f>
        <v>48167</v>
      </c>
      <c r="J8" s="85" t="n">
        <f aca="false">IFERROR(IF(ISNUMBER(INDEX(원자료_잔고!$A$1:$EZ$1500,설정!$L$5+ROW()-1,설정!$L$16)),INDEX(원자료_잔고!$A$1:$EZ$1500,설정!$L$5+ROW()-1,설정!$L$16),""),"")</f>
        <v>5.15</v>
      </c>
      <c r="K8" s="87" t="n">
        <f aca="false">IFERROR(IF(ISNUMBER(INDEX(원자료_잔고!$A$1:$EZ$1500,설정!$L$5+ROW()-1,설정!$L$17)),INDEX(원자료_잔고!$A$1:$EZ$1500,설정!$L$5+ROW()-1,설정!$L$17),""),"")</f>
        <v>1</v>
      </c>
      <c r="L8" s="84" t="n">
        <f aca="false">IFERROR(IF(ISNUMBER(INDEX(원자료_잔고!$A$1:$EZ$1500,설정!$L$5+ROW()-1,설정!$L$18)),INDEX(원자료_잔고!$A$1:$EZ$1500,설정!$L$5+ROW()-1,설정!$L$18),""),"")</f>
        <v>4859750</v>
      </c>
      <c r="M8" s="88" t="n">
        <f aca="false">IFERROR(IF(ISNUMBER(INDEX(원자료_잔고!$A$1:$EZ$1500,설정!$L$5+ROW()-1,설정!$L$19)),INDEX(원자료_잔고!$A$1:$EZ$1500,설정!$L$5+ROW()-1,설정!$L$19),""),"")</f>
        <v>-228991.95</v>
      </c>
      <c r="N8" s="83" t="str">
        <f aca="false">IFERROR(IF(INDEX(원자료_잔고!$A$1:$EZ$1500,설정!$L$5+ROW()-1,설정!$L$21)&amp;""="0","",INDEX(원자료_잔고!$A$1:$EZ$1500,설정!$L$5+ROW()-1,설정!$L$21)&amp;""),"")</f>
        <v>A-</v>
      </c>
      <c r="O8" s="83" t="str">
        <f aca="false">IFERROR(IF(INDEX(원자료_잔고!$A$1:$EZ$1500,설정!$L$5+ROW()-1,설정!$L$22)&amp;""="0","",INDEX(원자료_잔고!$A$1:$EZ$1500,설정!$L$5+ROW()-1,설정!$L$22)&amp;""),"")</f>
        <v/>
      </c>
      <c r="P8" s="83" t="str">
        <f aca="false">IFERROR(IF(INDEX(원자료_잔고!$A$1:$EZ$1500,설정!$L$5+ROW()-1,설정!$L$23)&amp;""="0","",INDEX(원자료_잔고!$A$1:$EZ$1500,설정!$L$5+ROW()-1,설정!$L$23)&amp;""),"")</f>
        <v>A-</v>
      </c>
      <c r="Q8" s="89" t="n">
        <f aca="false">IF(AND($A8&lt;&gt;"",ISNUMBER(E8)),IF(E8&gt;0,1,0),0)</f>
        <v>1</v>
      </c>
      <c r="R8" s="43" t="str">
        <f aca="false">IF(Q8=1,UPPER(LEFT($A8,FIND(" ",$A8&amp;" ")-1)),"")</f>
        <v>AVGO</v>
      </c>
      <c r="S8" s="89" t="n">
        <f aca="false">IF(Q8=1,IF(OR(ISNUMBER(SEARCH("Float",$A8)),ISNUMBER(SEARCH("FRN",$A8))),1,0),0)</f>
        <v>0</v>
      </c>
      <c r="T8" s="43" t="str">
        <f aca="false">IF(AND(Q8=1,ISNUMBER(I8)),TEXT(I8,"yyyymmdd")&amp;"|"&amp;IF(S8=1,"F",TEXT(J8,"0.000")),"")</f>
        <v>20311115|5.150</v>
      </c>
      <c r="U8" s="90" t="n">
        <f aca="false">IF(AND(Q8=1,ISNUMBER(I8)),(I8-설정!$C$4)/365.25,"")</f>
        <v>5.12251882272416</v>
      </c>
      <c r="V8" s="43" t="str">
        <f aca="false">IF(Q8&lt;&gt;1,"",IF(ISNUMBER(U8),IF(U8&lt;=1,"1년 이하",IF(U8&lt;=2,"1-2년",IF(U8&lt;=3,"2-3년",IF(U8&lt;=4,"3-4년",IF(U8&lt;=5,"4-5년",IF(U8&lt;=7,"5-7년",IF(U8&lt;=10,"7-10년",IF(U8&lt;=20,"10-20년","20년 이상")))))))),"미분류"))</f>
        <v>5-7년</v>
      </c>
      <c r="W8" s="43" t="str">
        <f aca="false">IF(Q8&lt;&gt;1,"",IF(AB8&lt;&gt;"",INDEX(시장분석!$C:$C,AB8),IF(K8=1,"USD","비USD")))</f>
        <v>USD</v>
      </c>
      <c r="X8" s="91" t="n">
        <f aca="false">IF(Q8=1,E8*K8/1000000,0)</f>
        <v>5</v>
      </c>
      <c r="Y8" s="89" t="n">
        <f aca="false">IF(R8="T",1,0)</f>
        <v>0</v>
      </c>
      <c r="Z8" s="92" t="n">
        <f aca="false">IF(Q8&lt;&gt;1,"",IF(AD8=1,IF(ISNUMBER(U8),MAX(U8,0),H8),H8))</f>
        <v>4.3073</v>
      </c>
      <c r="AA8" s="91" t="n">
        <f aca="false">IF(Q8=1,IF(ISNUMBER(L8),L8,0)*K8/1000000,0)</f>
        <v>4.85975</v>
      </c>
      <c r="AB8" s="89" t="n">
        <f aca="false">IF(Q8&lt;&gt;1,"",IFERROR(MATCH(VLOOKUP(B8,매핑!$H$4:$I$15,2,0),시장분석!$A$2:$A$601,0)+1,IFERROR(MATCH(R8&amp;"|"&amp;T8,시장분석!$V$2:$V$601,0)+1,IF(COUNTIF(시장분석!$U$2:$U$601,T8)=1,MATCH(T8,시장분석!$U$2:$U$601,0)+1,""))))</f>
        <v>24</v>
      </c>
      <c r="AC8" s="89" t="n">
        <f aca="false">IF(Q8&lt;&gt;1,0,IF(OR(설정!$C$5="전체",AND(설정!$C$5="선택펀드",IFERROR(COUNTIFS(설정!$F$16:$F$36,C8,설정!$G$16:$G$36,"Y")+COUNTIFS(설정!$F$16:$F$36,VALUE(C8),설정!$G$16:$G$36,"Y"),0)&gt;0),C8&amp;""=설정!$C$5&amp;""),1,0))</f>
        <v>1</v>
      </c>
      <c r="AD8" s="89" t="n">
        <f aca="false">IF(Q8&lt;&gt;1,0,IF(OR(S8=1,IF(AB8="",FALSE(),INDEX(시장분석!$R:$R,AB8)=1)),1,0))</f>
        <v>0</v>
      </c>
      <c r="AE8" s="43" t="str">
        <f aca="false">IF(AB8="","",INDEX(시장분석!$A:$A,AB8))</f>
        <v>AVGO 5.15 11/15/31</v>
      </c>
      <c r="AF8" s="93" t="n">
        <f aca="false">IF(AB8="","",IF(ISNUMBER(IF(AB8="","",INDEX(시장분석!$E:$E,AB8))),IF(AB8="","",INDEX(시장분석!$E:$E,AB8)),""))</f>
        <v>72.018</v>
      </c>
      <c r="AG8" s="43" t="str">
        <f aca="false">IF(Q8&lt;&gt;1,"",IF(AB8&lt;&gt;"",IF(AB8="","",INDEX(시장분석!$L:$L,AB8)),IFERROR(IF(VLOOKUP(R8,매핑!$A$4:$E$92,5,0)="","미분류",VLOOKUP(R8,매핑!$A$4:$E$92,5,0)),"미분류")))</f>
        <v>기술</v>
      </c>
      <c r="AH8" s="43" t="str">
        <f aca="false">IF(Q8&lt;&gt;1,"",IF(AB8&lt;&gt;"",IF(AB8="","",INDEX(시장분석!$N:$N,AB8)),IFERROR(IF(VLOOKUP(R8,매핑!$A$4:$E$92,4,0)="","미분류",VLOOKUP(R8,매핑!$A$4:$E$92,4,0)),"미분류")))</f>
        <v>미국</v>
      </c>
      <c r="AI8" s="43" t="str">
        <f aca="false">IF(Q8&lt;&gt;1,"",IFERROR(IF(VLOOKUP(R8,매핑!$A$4:$E$92,3,0)="","미분류",VLOOKUP(R8,매핑!$A$4:$E$92,3,0)),IF(AB8&lt;&gt;"",IF(AB8="","",INDEX(시장분석!$W:$W,AB8)),"미분류")))</f>
        <v>미국</v>
      </c>
      <c r="AJ8" s="43" t="str">
        <f aca="false">IF(Q8&lt;&gt;1,"",IFERROR(VLOOKUP(IF(N8&lt;&gt;"",N8,IF(P8&lt;&gt;"",P8,O8)),설정!$A$15:$D$47,2,0),""))</f>
        <v>A-</v>
      </c>
      <c r="AK8" s="43" t="str">
        <f aca="false">IF(Q8&lt;&gt;1,"",IF(AJ8="","무등급",IFERROR(VLOOKUP(AJ8,설정!$A$15:$D$47,3,0),"무등급")))</f>
        <v>A</v>
      </c>
      <c r="AL8" s="89" t="n">
        <f aca="false">IF(AJ8="",99,IFERROR(VLOOKUP(AJ8,설정!$A$15:$D$47,4,0),99))</f>
        <v>7</v>
      </c>
      <c r="AM8" s="94" t="n">
        <f aca="false">IF(ISNUMBER(H8),AA8*1000000*H8/10000,0)</f>
        <v>2093.2401175</v>
      </c>
      <c r="AN8" s="94" t="n">
        <f aca="false">IF(OR(Y8=1,NOT(ISNUMBER(Z8))),0,AA8*1000000*Z8/10000)</f>
        <v>2093.2401175</v>
      </c>
      <c r="AO8" s="94" t="n">
        <f aca="false">IF(ISNUMBER(G8),AA8*1000000*G8/100,0)</f>
        <v>281277.47025</v>
      </c>
      <c r="AP8" s="94" t="n">
        <f aca="false">IF(ISNUMBER(M8),M8*K8,0)</f>
        <v>-228991.95</v>
      </c>
      <c r="AQ8" s="95" t="n">
        <f aca="false">IF(AB8="","",INDEX(시장분석!$AK:$AK,AB8))</f>
        <v>-0.646521354054666</v>
      </c>
      <c r="AR8" s="43" t="str">
        <f aca="false">IF(AB8="","-",IF(AB8="","",INDEX(시장분석!$AL:$AL,AB8)))</f>
        <v>Fair</v>
      </c>
      <c r="AS8" s="96" t="n">
        <f aca="false">IF(AB8="","",INDEX(시장분석!$AJ:$AJ,AB8))</f>
        <v>-10.0367851271812</v>
      </c>
      <c r="AT8" s="93" t="n">
        <f aca="false">IF(AB8="",0,IF(AB8="","",INDEX(시장분석!$AN:$AN,AB8)))</f>
        <v>7.3125440129816</v>
      </c>
      <c r="AU8" s="94" t="n">
        <f aca="false">IF(ISNUMBER(Z8),AT8/10000*MAX(Z8-1,0)*AA8*1000000,0)</f>
        <v>11753.1969122488</v>
      </c>
      <c r="AV8" s="94" t="n">
        <f aca="false">AO8+AU8</f>
        <v>293030.667162249</v>
      </c>
      <c r="AW8" s="43" t="str">
        <f aca="false">IF(Q8&lt;&gt;1,"",TRIM(IF(AD8=1,"FRN ","")&amp;IF(AND(AL8&gt;=10,AL8&lt;99),"BBB0미만 ","")&amp;IF(AJ8="","등급없음 ","")&amp;IF(K8&lt;&gt;1,"비USD ","")&amp;IF(AND(AB8="",Y8=0),"시장데이터없음 ","")&amp;IF(AND(ISNUMBER(U8),U8&lt;0),"만기경과 ","")))</f>
        <v/>
      </c>
      <c r="AX8" s="90" t="n">
        <f aca="false">IF(Q8&lt;&gt;1,1,IF(스프레드쇼크!$C$4="Y",INDEX(스프레드쇼크!$B$12:$L$16,IFERROR(MATCH(AH8,스프레드쇼크!$A$12:$A$16,0),MATCH("목록외",스프레드쇼크!$A$12:$A$16,0)),IFERROR(MATCH(AG8,스프레드쇼크!$B$11:$L$11,0),MATCH("목록외",스프레드쇼크!$B$11:$L$11,0))),1))</f>
        <v>1</v>
      </c>
      <c r="AY8" s="90" t="n">
        <f aca="false">IF(스프레드쇼크!$C$5="Y",IF(ISNUMBER(AF8),MIN(스프레드쇼크!$C$7,MAX(스프레드쇼크!$C$6,AF8/스프레드쇼크!$C$8)),1),1)</f>
        <v>1.08930019922358</v>
      </c>
      <c r="AZ8" s="94" t="n">
        <f aca="false">AN8*AX8*AY8</f>
        <v>2280.16687701554</v>
      </c>
      <c r="BA8" s="90" t="n">
        <f aca="false">IF(ISNUMBER(G8),AA8*G8,0)</f>
        <v>28.127747025</v>
      </c>
      <c r="BB8" s="90" t="n">
        <f aca="false">IF(ISNUMBER(G8),AA8,0)</f>
        <v>4.85975</v>
      </c>
      <c r="BC8" s="90" t="n">
        <f aca="false">IF(AND(Y8=0,ISNUMBER(AF8)),AA8*AF8,0)</f>
        <v>349.9894755</v>
      </c>
      <c r="BD8" s="90" t="n">
        <f aca="false">IF(AND(Y8=0,ISNUMBER(AF8)),AA8,0)</f>
        <v>4.85975</v>
      </c>
      <c r="BE8" s="90" t="n">
        <f aca="false">IF(ISNUMBER(H8),AA8*H8,0)</f>
        <v>20.932401175</v>
      </c>
      <c r="BF8" s="90" t="n">
        <f aca="false">IF(ISNUMBER(H8),AA8,0)</f>
        <v>4.85975</v>
      </c>
      <c r="BG8" s="90" t="n">
        <f aca="false">IF(AND(Y8=0,ISNUMBER(AF8),ISNUMBER(Z8)),AA8*Z8,0)</f>
        <v>20.932401175</v>
      </c>
      <c r="BH8" s="90" t="n">
        <f aca="false">IF(AND(Y8=0,ISNUMBER(AF8),ISNUMBER(Z8)),AA8*AT8*MAX(Z8-1,0),0)</f>
        <v>117.531969122488</v>
      </c>
      <c r="BI8" s="90" t="n">
        <f aca="false">IF(Y8=0,AA8,0)</f>
        <v>4.85975</v>
      </c>
    </row>
    <row r="9" customFormat="false" ht="15" hidden="false" customHeight="false" outlineLevel="0" collapsed="false">
      <c r="A9" s="83" t="str">
        <f aca="false">IFERROR(IF(INDEX(원자료_잔고!$A$1:$EZ$1500,설정!$L$5+ROW()-1,설정!$L$8)&amp;""="0","",INDEX(원자료_잔고!$A$1:$EZ$1500,설정!$L$5+ROW()-1,설정!$L$8)&amp;""),"")</f>
        <v>AVGO 5.15 11/15/31</v>
      </c>
      <c r="B9" s="83" t="str">
        <f aca="false">IFERROR(IF(INDEX(원자료_잔고!$A$1:$EZ$1500,설정!$L$5+ROW()-1,설정!$L$7)&amp;""="0","",INDEX(원자료_잔고!$A$1:$EZ$1500,설정!$L$5+ROW()-1,설정!$L$7)&amp;""),"")</f>
        <v>US11135FBY60</v>
      </c>
      <c r="C9" s="83" t="str">
        <f aca="false">IFERROR(IF(INDEX(원자료_잔고!$A$1:$EZ$1500,설정!$L$5+ROW()-1,설정!$L$9)&amp;""="0","",INDEX(원자료_잔고!$A$1:$EZ$1500,설정!$L$5+ROW()-1,설정!$L$9)&amp;""),"")</f>
        <v>28096</v>
      </c>
      <c r="D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" s="84" t="n">
        <f aca="false">IFERROR(IF(ISNUMBER(INDEX(원자료_잔고!$A$1:$EZ$1500,설정!$L$5+ROW()-1,설정!$L$11)),INDEX(원자료_잔고!$A$1:$EZ$1500,설정!$L$5+ROW()-1,설정!$L$11),""),"")</f>
        <v>3000000</v>
      </c>
      <c r="F9" s="85" t="n">
        <f aca="false">IFERROR(IF(ISNUMBER(INDEX(원자료_잔고!$A$1:$EZ$1500,설정!$L$5+ROW()-1,설정!$L$12)),INDEX(원자료_잔고!$A$1:$EZ$1500,설정!$L$5+ROW()-1,설정!$L$12),""),"")</f>
        <v>97.195</v>
      </c>
      <c r="G9" s="85" t="n">
        <f aca="false">IFERROR(IF(ISNUMBER(INDEX(원자료_잔고!$A$1:$EZ$1500,설정!$L$5+ROW()-1,설정!$L$13)),INDEX(원자료_잔고!$A$1:$EZ$1500,설정!$L$5+ROW()-1,설정!$L$13),""),"")</f>
        <v>5.7879</v>
      </c>
      <c r="H9" s="85" t="n">
        <f aca="false">IFERROR(IF(ISNUMBER(INDEX(원자료_잔고!$A$1:$EZ$1500,설정!$L$5+ROW()-1,설정!$L$14)),INDEX(원자료_잔고!$A$1:$EZ$1500,설정!$L$5+ROW()-1,설정!$L$14),""),"")</f>
        <v>4.3073</v>
      </c>
      <c r="I9" s="86" t="n">
        <f aca="false">IFERROR(IF(ISNUMBER(INDEX(원자료_잔고!$A$1:$EZ$1500,설정!$L$5+ROW()-1,설정!$L$15)),INDEX(원자료_잔고!$A$1:$EZ$1500,설정!$L$5+ROW()-1,설정!$L$15),""),"")</f>
        <v>48167</v>
      </c>
      <c r="J9" s="85" t="n">
        <f aca="false">IFERROR(IF(ISNUMBER(INDEX(원자료_잔고!$A$1:$EZ$1500,설정!$L$5+ROW()-1,설정!$L$16)),INDEX(원자료_잔고!$A$1:$EZ$1500,설정!$L$5+ROW()-1,설정!$L$16),""),"")</f>
        <v>5.15</v>
      </c>
      <c r="K9" s="87" t="n">
        <f aca="false">IFERROR(IF(ISNUMBER(INDEX(원자료_잔고!$A$1:$EZ$1500,설정!$L$5+ROW()-1,설정!$L$17)),INDEX(원자료_잔고!$A$1:$EZ$1500,설정!$L$5+ROW()-1,설정!$L$17),""),"")</f>
        <v>1</v>
      </c>
      <c r="L9" s="84" t="n">
        <f aca="false">IFERROR(IF(ISNUMBER(INDEX(원자료_잔고!$A$1:$EZ$1500,설정!$L$5+ROW()-1,설정!$L$18)),INDEX(원자료_잔고!$A$1:$EZ$1500,설정!$L$5+ROW()-1,설정!$L$18),""),"")</f>
        <v>2915850</v>
      </c>
      <c r="M9" s="88" t="n">
        <f aca="false">IFERROR(IF(ISNUMBER(INDEX(원자료_잔고!$A$1:$EZ$1500,설정!$L$5+ROW()-1,설정!$L$19)),INDEX(원자료_잔고!$A$1:$EZ$1500,설정!$L$5+ROW()-1,설정!$L$19),""),"")</f>
        <v>-138985.17</v>
      </c>
      <c r="N9" s="83" t="str">
        <f aca="false">IFERROR(IF(INDEX(원자료_잔고!$A$1:$EZ$1500,설정!$L$5+ROW()-1,설정!$L$21)&amp;""="0","",INDEX(원자료_잔고!$A$1:$EZ$1500,설정!$L$5+ROW()-1,설정!$L$21)&amp;""),"")</f>
        <v>A-</v>
      </c>
      <c r="O9" s="83" t="str">
        <f aca="false">IFERROR(IF(INDEX(원자료_잔고!$A$1:$EZ$1500,설정!$L$5+ROW()-1,설정!$L$22)&amp;""="0","",INDEX(원자료_잔고!$A$1:$EZ$1500,설정!$L$5+ROW()-1,설정!$L$22)&amp;""),"")</f>
        <v/>
      </c>
      <c r="P9" s="83" t="str">
        <f aca="false">IFERROR(IF(INDEX(원자료_잔고!$A$1:$EZ$1500,설정!$L$5+ROW()-1,설정!$L$23)&amp;""="0","",INDEX(원자료_잔고!$A$1:$EZ$1500,설정!$L$5+ROW()-1,설정!$L$23)&amp;""),"")</f>
        <v>A-</v>
      </c>
      <c r="Q9" s="89" t="n">
        <f aca="false">IF(AND($A9&lt;&gt;"",ISNUMBER(E9)),IF(E9&gt;0,1,0),0)</f>
        <v>1</v>
      </c>
      <c r="R9" s="43" t="str">
        <f aca="false">IF(Q9=1,UPPER(LEFT($A9,FIND(" ",$A9&amp;" ")-1)),"")</f>
        <v>AVGO</v>
      </c>
      <c r="S9" s="89" t="n">
        <f aca="false">IF(Q9=1,IF(OR(ISNUMBER(SEARCH("Float",$A9)),ISNUMBER(SEARCH("FRN",$A9))),1,0),0)</f>
        <v>0</v>
      </c>
      <c r="T9" s="43" t="str">
        <f aca="false">IF(AND(Q9=1,ISNUMBER(I9)),TEXT(I9,"yyyymmdd")&amp;"|"&amp;IF(S9=1,"F",TEXT(J9,"0.000")),"")</f>
        <v>20311115|5.150</v>
      </c>
      <c r="U9" s="90" t="n">
        <f aca="false">IF(AND(Q9=1,ISNUMBER(I9)),(I9-설정!$C$4)/365.25,"")</f>
        <v>5.12251882272416</v>
      </c>
      <c r="V9" s="43" t="str">
        <f aca="false">IF(Q9&lt;&gt;1,"",IF(ISNUMBER(U9),IF(U9&lt;=1,"1년 이하",IF(U9&lt;=2,"1-2년",IF(U9&lt;=3,"2-3년",IF(U9&lt;=4,"3-4년",IF(U9&lt;=5,"4-5년",IF(U9&lt;=7,"5-7년",IF(U9&lt;=10,"7-10년",IF(U9&lt;=20,"10-20년","20년 이상")))))))),"미분류"))</f>
        <v>5-7년</v>
      </c>
      <c r="W9" s="43" t="str">
        <f aca="false">IF(Q9&lt;&gt;1,"",IF(AB9&lt;&gt;"",INDEX(시장분석!$C:$C,AB9),IF(K9=1,"USD","비USD")))</f>
        <v>USD</v>
      </c>
      <c r="X9" s="91" t="n">
        <f aca="false">IF(Q9=1,E9*K9/1000000,0)</f>
        <v>3</v>
      </c>
      <c r="Y9" s="89" t="n">
        <f aca="false">IF(R9="T",1,0)</f>
        <v>0</v>
      </c>
      <c r="Z9" s="92" t="n">
        <f aca="false">IF(Q9&lt;&gt;1,"",IF(AD9=1,IF(ISNUMBER(U9),MAX(U9,0),H9),H9))</f>
        <v>4.3073</v>
      </c>
      <c r="AA9" s="91" t="n">
        <f aca="false">IF(Q9=1,IF(ISNUMBER(L9),L9,0)*K9/1000000,0)</f>
        <v>2.91585</v>
      </c>
      <c r="AB9" s="89" t="n">
        <f aca="false">IF(Q9&lt;&gt;1,"",IFERROR(MATCH(VLOOKUP(B9,매핑!$H$4:$I$15,2,0),시장분석!$A$2:$A$601,0)+1,IFERROR(MATCH(R9&amp;"|"&amp;T9,시장분석!$V$2:$V$601,0)+1,IF(COUNTIF(시장분석!$U$2:$U$601,T9)=1,MATCH(T9,시장분석!$U$2:$U$601,0)+1,""))))</f>
        <v>24</v>
      </c>
      <c r="AC9" s="89" t="n">
        <f aca="false">IF(Q9&lt;&gt;1,0,IF(OR(설정!$C$5="전체",AND(설정!$C$5="선택펀드",IFERROR(COUNTIFS(설정!$F$16:$F$36,C9,설정!$G$16:$G$36,"Y")+COUNTIFS(설정!$F$16:$F$36,VALUE(C9),설정!$G$16:$G$36,"Y"),0)&gt;0),C9&amp;""=설정!$C$5&amp;""),1,0))</f>
        <v>1</v>
      </c>
      <c r="AD9" s="89" t="n">
        <f aca="false">IF(Q9&lt;&gt;1,0,IF(OR(S9=1,IF(AB9="",FALSE(),INDEX(시장분석!$R:$R,AB9)=1)),1,0))</f>
        <v>0</v>
      </c>
      <c r="AE9" s="43" t="str">
        <f aca="false">IF(AB9="","",INDEX(시장분석!$A:$A,AB9))</f>
        <v>AVGO 5.15 11/15/31</v>
      </c>
      <c r="AF9" s="93" t="n">
        <f aca="false">IF(AB9="","",IF(ISNUMBER(IF(AB9="","",INDEX(시장분석!$E:$E,AB9))),IF(AB9="","",INDEX(시장분석!$E:$E,AB9)),""))</f>
        <v>72.018</v>
      </c>
      <c r="AG9" s="43" t="str">
        <f aca="false">IF(Q9&lt;&gt;1,"",IF(AB9&lt;&gt;"",IF(AB9="","",INDEX(시장분석!$L:$L,AB9)),IFERROR(IF(VLOOKUP(R9,매핑!$A$4:$E$92,5,0)="","미분류",VLOOKUP(R9,매핑!$A$4:$E$92,5,0)),"미분류")))</f>
        <v>기술</v>
      </c>
      <c r="AH9" s="43" t="str">
        <f aca="false">IF(Q9&lt;&gt;1,"",IF(AB9&lt;&gt;"",IF(AB9="","",INDEX(시장분석!$N:$N,AB9)),IFERROR(IF(VLOOKUP(R9,매핑!$A$4:$E$92,4,0)="","미분류",VLOOKUP(R9,매핑!$A$4:$E$92,4,0)),"미분류")))</f>
        <v>미국</v>
      </c>
      <c r="AI9" s="43" t="str">
        <f aca="false">IF(Q9&lt;&gt;1,"",IFERROR(IF(VLOOKUP(R9,매핑!$A$4:$E$92,3,0)="","미분류",VLOOKUP(R9,매핑!$A$4:$E$92,3,0)),IF(AB9&lt;&gt;"",IF(AB9="","",INDEX(시장분석!$W:$W,AB9)),"미분류")))</f>
        <v>미국</v>
      </c>
      <c r="AJ9" s="43" t="str">
        <f aca="false">IF(Q9&lt;&gt;1,"",IFERROR(VLOOKUP(IF(N9&lt;&gt;"",N9,IF(P9&lt;&gt;"",P9,O9)),설정!$A$15:$D$47,2,0),""))</f>
        <v>A-</v>
      </c>
      <c r="AK9" s="43" t="str">
        <f aca="false">IF(Q9&lt;&gt;1,"",IF(AJ9="","무등급",IFERROR(VLOOKUP(AJ9,설정!$A$15:$D$47,3,0),"무등급")))</f>
        <v>A</v>
      </c>
      <c r="AL9" s="89" t="n">
        <f aca="false">IF(AJ9="",99,IFERROR(VLOOKUP(AJ9,설정!$A$15:$D$47,4,0),99))</f>
        <v>7</v>
      </c>
      <c r="AM9" s="94" t="n">
        <f aca="false">IF(ISNUMBER(H9),AA9*1000000*H9/10000,0)</f>
        <v>1255.9440705</v>
      </c>
      <c r="AN9" s="94" t="n">
        <f aca="false">IF(OR(Y9=1,NOT(ISNUMBER(Z9))),0,AA9*1000000*Z9/10000)</f>
        <v>1255.9440705</v>
      </c>
      <c r="AO9" s="94" t="n">
        <f aca="false">IF(ISNUMBER(G9),AA9*1000000*G9/100,0)</f>
        <v>168766.48215</v>
      </c>
      <c r="AP9" s="94" t="n">
        <f aca="false">IF(ISNUMBER(M9),M9*K9,0)</f>
        <v>-138985.17</v>
      </c>
      <c r="AQ9" s="95" t="n">
        <f aca="false">IF(AB9="","",INDEX(시장분석!$AK:$AK,AB9))</f>
        <v>-0.646521354054666</v>
      </c>
      <c r="AR9" s="43" t="str">
        <f aca="false">IF(AB9="","-",IF(AB9="","",INDEX(시장분석!$AL:$AL,AB9)))</f>
        <v>Fair</v>
      </c>
      <c r="AS9" s="96" t="n">
        <f aca="false">IF(AB9="","",INDEX(시장분석!$AJ:$AJ,AB9))</f>
        <v>-10.0367851271812</v>
      </c>
      <c r="AT9" s="93" t="n">
        <f aca="false">IF(AB9="",0,IF(AB9="","",INDEX(시장분석!$AN:$AN,AB9)))</f>
        <v>7.3125440129816</v>
      </c>
      <c r="AU9" s="94" t="n">
        <f aca="false">IF(ISNUMBER(Z9),AT9/10000*MAX(Z9-1,0)*AA9*1000000,0)</f>
        <v>7051.91814734927</v>
      </c>
      <c r="AV9" s="94" t="n">
        <f aca="false">AO9+AU9</f>
        <v>175818.400297349</v>
      </c>
      <c r="AW9" s="43" t="str">
        <f aca="false">IF(Q9&lt;&gt;1,"",TRIM(IF(AD9=1,"FRN ","")&amp;IF(AND(AL9&gt;=10,AL9&lt;99),"BBB0미만 ","")&amp;IF(AJ9="","등급없음 ","")&amp;IF(K9&lt;&gt;1,"비USD ","")&amp;IF(AND(AB9="",Y9=0),"시장데이터없음 ","")&amp;IF(AND(ISNUMBER(U9),U9&lt;0),"만기경과 ","")))</f>
        <v/>
      </c>
      <c r="AX9" s="90" t="n">
        <f aca="false">IF(Q9&lt;&gt;1,1,IF(스프레드쇼크!$C$4="Y",INDEX(스프레드쇼크!$B$12:$L$16,IFERROR(MATCH(AH9,스프레드쇼크!$A$12:$A$16,0),MATCH("목록외",스프레드쇼크!$A$12:$A$16,0)),IFERROR(MATCH(AG9,스프레드쇼크!$B$11:$L$11,0),MATCH("목록외",스프레드쇼크!$B$11:$L$11,0))),1))</f>
        <v>1</v>
      </c>
      <c r="AY9" s="90" t="n">
        <f aca="false">IF(스프레드쇼크!$C$5="Y",IF(ISNUMBER(AF9),MIN(스프레드쇼크!$C$7,MAX(스프레드쇼크!$C$6,AF9/스프레드쇼크!$C$8)),1),1)</f>
        <v>1.08930019922358</v>
      </c>
      <c r="AZ9" s="94" t="n">
        <f aca="false">AN9*AX9*AY9</f>
        <v>1368.10012620932</v>
      </c>
      <c r="BA9" s="90" t="n">
        <f aca="false">IF(ISNUMBER(G9),AA9*G9,0)</f>
        <v>16.876648215</v>
      </c>
      <c r="BB9" s="90" t="n">
        <f aca="false">IF(ISNUMBER(G9),AA9,0)</f>
        <v>2.91585</v>
      </c>
      <c r="BC9" s="90" t="n">
        <f aca="false">IF(AND(Y9=0,ISNUMBER(AF9)),AA9*AF9,0)</f>
        <v>209.9936853</v>
      </c>
      <c r="BD9" s="90" t="n">
        <f aca="false">IF(AND(Y9=0,ISNUMBER(AF9)),AA9,0)</f>
        <v>2.91585</v>
      </c>
      <c r="BE9" s="90" t="n">
        <f aca="false">IF(ISNUMBER(H9),AA9*H9,0)</f>
        <v>12.559440705</v>
      </c>
      <c r="BF9" s="90" t="n">
        <f aca="false">IF(ISNUMBER(H9),AA9,0)</f>
        <v>2.91585</v>
      </c>
      <c r="BG9" s="90" t="n">
        <f aca="false">IF(AND(Y9=0,ISNUMBER(AF9),ISNUMBER(Z9)),AA9*Z9,0)</f>
        <v>12.559440705</v>
      </c>
      <c r="BH9" s="90" t="n">
        <f aca="false">IF(AND(Y9=0,ISNUMBER(AF9),ISNUMBER(Z9)),AA9*AT9*MAX(Z9-1,0),0)</f>
        <v>70.5191814734927</v>
      </c>
      <c r="BI9" s="90" t="n">
        <f aca="false">IF(Y9=0,AA9,0)</f>
        <v>2.91585</v>
      </c>
    </row>
    <row r="10" customFormat="false" ht="15" hidden="false" customHeight="false" outlineLevel="0" collapsed="false">
      <c r="A10" s="83" t="str">
        <f aca="false">IFERROR(IF(INDEX(원자료_잔고!$A$1:$EZ$1500,설정!$L$5+ROW()-1,설정!$L$8)&amp;""="0","",INDEX(원자료_잔고!$A$1:$EZ$1500,설정!$L$5+ROW()-1,설정!$L$8)&amp;""),"")</f>
        <v>AVGO 5.15 11/15/31</v>
      </c>
      <c r="B10" s="83" t="str">
        <f aca="false">IFERROR(IF(INDEX(원자료_잔고!$A$1:$EZ$1500,설정!$L$5+ROW()-1,설정!$L$7)&amp;""="0","",INDEX(원자료_잔고!$A$1:$EZ$1500,설정!$L$5+ROW()-1,설정!$L$7)&amp;""),"")</f>
        <v>US11135FBY60</v>
      </c>
      <c r="C10" s="83" t="str">
        <f aca="false">IFERROR(IF(INDEX(원자료_잔고!$A$1:$EZ$1500,설정!$L$5+ROW()-1,설정!$L$9)&amp;""="0","",INDEX(원자료_잔고!$A$1:$EZ$1500,설정!$L$5+ROW()-1,설정!$L$9)&amp;""),"")</f>
        <v>28096</v>
      </c>
      <c r="D1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" s="84" t="n">
        <f aca="false">IFERROR(IF(ISNUMBER(INDEX(원자료_잔고!$A$1:$EZ$1500,설정!$L$5+ROW()-1,설정!$L$11)),INDEX(원자료_잔고!$A$1:$EZ$1500,설정!$L$5+ROW()-1,설정!$L$11),""),"")</f>
        <v>2000000</v>
      </c>
      <c r="F10" s="85" t="n">
        <f aca="false">IFERROR(IF(ISNUMBER(INDEX(원자료_잔고!$A$1:$EZ$1500,설정!$L$5+ROW()-1,설정!$L$12)),INDEX(원자료_잔고!$A$1:$EZ$1500,설정!$L$5+ROW()-1,설정!$L$12),""),"")</f>
        <v>97.195</v>
      </c>
      <c r="G10" s="85" t="n">
        <f aca="false">IFERROR(IF(ISNUMBER(INDEX(원자료_잔고!$A$1:$EZ$1500,설정!$L$5+ROW()-1,설정!$L$13)),INDEX(원자료_잔고!$A$1:$EZ$1500,설정!$L$5+ROW()-1,설정!$L$13),""),"")</f>
        <v>5.7879</v>
      </c>
      <c r="H10" s="85" t="n">
        <f aca="false">IFERROR(IF(ISNUMBER(INDEX(원자료_잔고!$A$1:$EZ$1500,설정!$L$5+ROW()-1,설정!$L$14)),INDEX(원자료_잔고!$A$1:$EZ$1500,설정!$L$5+ROW()-1,설정!$L$14),""),"")</f>
        <v>4.3073</v>
      </c>
      <c r="I10" s="86" t="n">
        <f aca="false">IFERROR(IF(ISNUMBER(INDEX(원자료_잔고!$A$1:$EZ$1500,설정!$L$5+ROW()-1,설정!$L$15)),INDEX(원자료_잔고!$A$1:$EZ$1500,설정!$L$5+ROW()-1,설정!$L$15),""),"")</f>
        <v>48167</v>
      </c>
      <c r="J10" s="85" t="n">
        <f aca="false">IFERROR(IF(ISNUMBER(INDEX(원자료_잔고!$A$1:$EZ$1500,설정!$L$5+ROW()-1,설정!$L$16)),INDEX(원자료_잔고!$A$1:$EZ$1500,설정!$L$5+ROW()-1,설정!$L$16),""),"")</f>
        <v>5.15</v>
      </c>
      <c r="K10" s="87" t="n">
        <f aca="false">IFERROR(IF(ISNUMBER(INDEX(원자료_잔고!$A$1:$EZ$1500,설정!$L$5+ROW()-1,설정!$L$17)),INDEX(원자료_잔고!$A$1:$EZ$1500,설정!$L$5+ROW()-1,설정!$L$17),""),"")</f>
        <v>1</v>
      </c>
      <c r="L10" s="84" t="n">
        <f aca="false">IFERROR(IF(ISNUMBER(INDEX(원자료_잔고!$A$1:$EZ$1500,설정!$L$5+ROW()-1,설정!$L$18)),INDEX(원자료_잔고!$A$1:$EZ$1500,설정!$L$5+ROW()-1,설정!$L$18),""),"")</f>
        <v>1943900</v>
      </c>
      <c r="M10" s="88" t="n">
        <f aca="false">IFERROR(IF(ISNUMBER(INDEX(원자료_잔고!$A$1:$EZ$1500,설정!$L$5+ROW()-1,설정!$L$19)),INDEX(원자료_잔고!$A$1:$EZ$1500,설정!$L$5+ROW()-1,설정!$L$19),""),"")</f>
        <v>-54409.13</v>
      </c>
      <c r="N10" s="83" t="str">
        <f aca="false">IFERROR(IF(INDEX(원자료_잔고!$A$1:$EZ$1500,설정!$L$5+ROW()-1,설정!$L$21)&amp;""="0","",INDEX(원자료_잔고!$A$1:$EZ$1500,설정!$L$5+ROW()-1,설정!$L$21)&amp;""),"")</f>
        <v>A-</v>
      </c>
      <c r="O10" s="83" t="str">
        <f aca="false">IFERROR(IF(INDEX(원자료_잔고!$A$1:$EZ$1500,설정!$L$5+ROW()-1,설정!$L$22)&amp;""="0","",INDEX(원자료_잔고!$A$1:$EZ$1500,설정!$L$5+ROW()-1,설정!$L$22)&amp;""),"")</f>
        <v/>
      </c>
      <c r="P10" s="83" t="str">
        <f aca="false">IFERROR(IF(INDEX(원자료_잔고!$A$1:$EZ$1500,설정!$L$5+ROW()-1,설정!$L$23)&amp;""="0","",INDEX(원자료_잔고!$A$1:$EZ$1500,설정!$L$5+ROW()-1,설정!$L$23)&amp;""),"")</f>
        <v>A-</v>
      </c>
      <c r="Q10" s="89" t="n">
        <f aca="false">IF(AND($A10&lt;&gt;"",ISNUMBER(E10)),IF(E10&gt;0,1,0),0)</f>
        <v>1</v>
      </c>
      <c r="R10" s="43" t="str">
        <f aca="false">IF(Q10=1,UPPER(LEFT($A10,FIND(" ",$A10&amp;" ")-1)),"")</f>
        <v>AVGO</v>
      </c>
      <c r="S10" s="89" t="n">
        <f aca="false">IF(Q10=1,IF(OR(ISNUMBER(SEARCH("Float",$A10)),ISNUMBER(SEARCH("FRN",$A10))),1,0),0)</f>
        <v>0</v>
      </c>
      <c r="T10" s="43" t="str">
        <f aca="false">IF(AND(Q10=1,ISNUMBER(I10)),TEXT(I10,"yyyymmdd")&amp;"|"&amp;IF(S10=1,"F",TEXT(J10,"0.000")),"")</f>
        <v>20311115|5.150</v>
      </c>
      <c r="U10" s="90" t="n">
        <f aca="false">IF(AND(Q10=1,ISNUMBER(I10)),(I10-설정!$C$4)/365.25,"")</f>
        <v>5.12251882272416</v>
      </c>
      <c r="V10" s="43" t="str">
        <f aca="false">IF(Q10&lt;&gt;1,"",IF(ISNUMBER(U10),IF(U10&lt;=1,"1년 이하",IF(U10&lt;=2,"1-2년",IF(U10&lt;=3,"2-3년",IF(U10&lt;=4,"3-4년",IF(U10&lt;=5,"4-5년",IF(U10&lt;=7,"5-7년",IF(U10&lt;=10,"7-10년",IF(U10&lt;=20,"10-20년","20년 이상")))))))),"미분류"))</f>
        <v>5-7년</v>
      </c>
      <c r="W10" s="43" t="str">
        <f aca="false">IF(Q10&lt;&gt;1,"",IF(AB10&lt;&gt;"",INDEX(시장분석!$C:$C,AB10),IF(K10=1,"USD","비USD")))</f>
        <v>USD</v>
      </c>
      <c r="X10" s="91" t="n">
        <f aca="false">IF(Q10=1,E10*K10/1000000,0)</f>
        <v>2</v>
      </c>
      <c r="Y10" s="89" t="n">
        <f aca="false">IF(R10="T",1,0)</f>
        <v>0</v>
      </c>
      <c r="Z10" s="92" t="n">
        <f aca="false">IF(Q10&lt;&gt;1,"",IF(AD10=1,IF(ISNUMBER(U10),MAX(U10,0),H10),H10))</f>
        <v>4.3073</v>
      </c>
      <c r="AA10" s="91" t="n">
        <f aca="false">IF(Q10=1,IF(ISNUMBER(L10),L10,0)*K10/1000000,0)</f>
        <v>1.9439</v>
      </c>
      <c r="AB10" s="89" t="n">
        <f aca="false">IF(Q10&lt;&gt;1,"",IFERROR(MATCH(VLOOKUP(B10,매핑!$H$4:$I$15,2,0),시장분석!$A$2:$A$601,0)+1,IFERROR(MATCH(R10&amp;"|"&amp;T10,시장분석!$V$2:$V$601,0)+1,IF(COUNTIF(시장분석!$U$2:$U$601,T10)=1,MATCH(T10,시장분석!$U$2:$U$601,0)+1,""))))</f>
        <v>24</v>
      </c>
      <c r="AC10" s="89" t="n">
        <f aca="false">IF(Q10&lt;&gt;1,0,IF(OR(설정!$C$5="전체",AND(설정!$C$5="선택펀드",IFERROR(COUNTIFS(설정!$F$16:$F$36,C10,설정!$G$16:$G$36,"Y")+COUNTIFS(설정!$F$16:$F$36,VALUE(C10),설정!$G$16:$G$36,"Y"),0)&gt;0),C10&amp;""=설정!$C$5&amp;""),1,0))</f>
        <v>1</v>
      </c>
      <c r="AD10" s="89" t="n">
        <f aca="false">IF(Q10&lt;&gt;1,0,IF(OR(S10=1,IF(AB10="",FALSE(),INDEX(시장분석!$R:$R,AB10)=1)),1,0))</f>
        <v>0</v>
      </c>
      <c r="AE10" s="43" t="str">
        <f aca="false">IF(AB10="","",INDEX(시장분석!$A:$A,AB10))</f>
        <v>AVGO 5.15 11/15/31</v>
      </c>
      <c r="AF10" s="93" t="n">
        <f aca="false">IF(AB10="","",IF(ISNUMBER(IF(AB10="","",INDEX(시장분석!$E:$E,AB10))),IF(AB10="","",INDEX(시장분석!$E:$E,AB10)),""))</f>
        <v>72.018</v>
      </c>
      <c r="AG10" s="43" t="str">
        <f aca="false">IF(Q10&lt;&gt;1,"",IF(AB10&lt;&gt;"",IF(AB10="","",INDEX(시장분석!$L:$L,AB10)),IFERROR(IF(VLOOKUP(R10,매핑!$A$4:$E$92,5,0)="","미분류",VLOOKUP(R10,매핑!$A$4:$E$92,5,0)),"미분류")))</f>
        <v>기술</v>
      </c>
      <c r="AH10" s="43" t="str">
        <f aca="false">IF(Q10&lt;&gt;1,"",IF(AB10&lt;&gt;"",IF(AB10="","",INDEX(시장분석!$N:$N,AB10)),IFERROR(IF(VLOOKUP(R10,매핑!$A$4:$E$92,4,0)="","미분류",VLOOKUP(R10,매핑!$A$4:$E$92,4,0)),"미분류")))</f>
        <v>미국</v>
      </c>
      <c r="AI10" s="43" t="str">
        <f aca="false">IF(Q10&lt;&gt;1,"",IFERROR(IF(VLOOKUP(R10,매핑!$A$4:$E$92,3,0)="","미분류",VLOOKUP(R10,매핑!$A$4:$E$92,3,0)),IF(AB10&lt;&gt;"",IF(AB10="","",INDEX(시장분석!$W:$W,AB10)),"미분류")))</f>
        <v>미국</v>
      </c>
      <c r="AJ10" s="43" t="str">
        <f aca="false">IF(Q10&lt;&gt;1,"",IFERROR(VLOOKUP(IF(N10&lt;&gt;"",N10,IF(P10&lt;&gt;"",P10,O10)),설정!$A$15:$D$47,2,0),""))</f>
        <v>A-</v>
      </c>
      <c r="AK10" s="43" t="str">
        <f aca="false">IF(Q10&lt;&gt;1,"",IF(AJ10="","무등급",IFERROR(VLOOKUP(AJ10,설정!$A$15:$D$47,3,0),"무등급")))</f>
        <v>A</v>
      </c>
      <c r="AL10" s="89" t="n">
        <f aca="false">IF(AJ10="",99,IFERROR(VLOOKUP(AJ10,설정!$A$15:$D$47,4,0),99))</f>
        <v>7</v>
      </c>
      <c r="AM10" s="94" t="n">
        <f aca="false">IF(ISNUMBER(H10),AA10*1000000*H10/10000,0)</f>
        <v>837.296047</v>
      </c>
      <c r="AN10" s="94" t="n">
        <f aca="false">IF(OR(Y10=1,NOT(ISNUMBER(Z10))),0,AA10*1000000*Z10/10000)</f>
        <v>837.296047</v>
      </c>
      <c r="AO10" s="94" t="n">
        <f aca="false">IF(ISNUMBER(G10),AA10*1000000*G10/100,0)</f>
        <v>112510.9881</v>
      </c>
      <c r="AP10" s="94" t="n">
        <f aca="false">IF(ISNUMBER(M10),M10*K10,0)</f>
        <v>-54409.13</v>
      </c>
      <c r="AQ10" s="95" t="n">
        <f aca="false">IF(AB10="","",INDEX(시장분석!$AK:$AK,AB10))</f>
        <v>-0.646521354054666</v>
      </c>
      <c r="AR10" s="43" t="str">
        <f aca="false">IF(AB10="","-",IF(AB10="","",INDEX(시장분석!$AL:$AL,AB10)))</f>
        <v>Fair</v>
      </c>
      <c r="AS10" s="96" t="n">
        <f aca="false">IF(AB10="","",INDEX(시장분석!$AJ:$AJ,AB10))</f>
        <v>-10.0367851271812</v>
      </c>
      <c r="AT10" s="93" t="n">
        <f aca="false">IF(AB10="",0,IF(AB10="","",INDEX(시장분석!$AN:$AN,AB10)))</f>
        <v>7.3125440129816</v>
      </c>
      <c r="AU10" s="94" t="n">
        <f aca="false">IF(ISNUMBER(Z10),AT10/10000*MAX(Z10-1,0)*AA10*1000000,0)</f>
        <v>4701.27876489951</v>
      </c>
      <c r="AV10" s="94" t="n">
        <f aca="false">AO10+AU10</f>
        <v>117212.2668649</v>
      </c>
      <c r="AW10" s="43" t="str">
        <f aca="false">IF(Q10&lt;&gt;1,"",TRIM(IF(AD10=1,"FRN ","")&amp;IF(AND(AL10&gt;=10,AL10&lt;99),"BBB0미만 ","")&amp;IF(AJ10="","등급없음 ","")&amp;IF(K10&lt;&gt;1,"비USD ","")&amp;IF(AND(AB10="",Y10=0),"시장데이터없음 ","")&amp;IF(AND(ISNUMBER(U10),U10&lt;0),"만기경과 ","")))</f>
        <v/>
      </c>
      <c r="AX10" s="90" t="n">
        <f aca="false">IF(Q10&lt;&gt;1,1,IF(스프레드쇼크!$C$4="Y",INDEX(스프레드쇼크!$B$12:$L$16,IFERROR(MATCH(AH10,스프레드쇼크!$A$12:$A$16,0),MATCH("목록외",스프레드쇼크!$A$12:$A$16,0)),IFERROR(MATCH(AG10,스프레드쇼크!$B$11:$L$11,0),MATCH("목록외",스프레드쇼크!$B$11:$L$11,0))),1))</f>
        <v>1</v>
      </c>
      <c r="AY10" s="90" t="n">
        <f aca="false">IF(스프레드쇼크!$C$5="Y",IF(ISNUMBER(AF10),MIN(스프레드쇼크!$C$7,MAX(스프레드쇼크!$C$6,AF10/스프레드쇼크!$C$8)),1),1)</f>
        <v>1.08930019922358</v>
      </c>
      <c r="AZ10" s="94" t="n">
        <f aca="false">AN10*AX10*AY10</f>
        <v>912.066750806216</v>
      </c>
      <c r="BA10" s="90" t="n">
        <f aca="false">IF(ISNUMBER(G10),AA10*G10,0)</f>
        <v>11.25109881</v>
      </c>
      <c r="BB10" s="90" t="n">
        <f aca="false">IF(ISNUMBER(G10),AA10,0)</f>
        <v>1.9439</v>
      </c>
      <c r="BC10" s="90" t="n">
        <f aca="false">IF(AND(Y10=0,ISNUMBER(AF10)),AA10*AF10,0)</f>
        <v>139.9957902</v>
      </c>
      <c r="BD10" s="90" t="n">
        <f aca="false">IF(AND(Y10=0,ISNUMBER(AF10)),AA10,0)</f>
        <v>1.9439</v>
      </c>
      <c r="BE10" s="90" t="n">
        <f aca="false">IF(ISNUMBER(H10),AA10*H10,0)</f>
        <v>8.37296047</v>
      </c>
      <c r="BF10" s="90" t="n">
        <f aca="false">IF(ISNUMBER(H10),AA10,0)</f>
        <v>1.9439</v>
      </c>
      <c r="BG10" s="90" t="n">
        <f aca="false">IF(AND(Y10=0,ISNUMBER(AF10),ISNUMBER(Z10)),AA10*Z10,0)</f>
        <v>8.37296047</v>
      </c>
      <c r="BH10" s="90" t="n">
        <f aca="false">IF(AND(Y10=0,ISNUMBER(AF10),ISNUMBER(Z10)),AA10*AT10*MAX(Z10-1,0),0)</f>
        <v>47.0127876489951</v>
      </c>
      <c r="BI10" s="90" t="n">
        <f aca="false">IF(Y10=0,AA10,0)</f>
        <v>1.9439</v>
      </c>
    </row>
    <row r="11" customFormat="false" ht="15" hidden="false" customHeight="false" outlineLevel="0" collapsed="false">
      <c r="A11" s="83" t="str">
        <f aca="false">IFERROR(IF(INDEX(원자료_잔고!$A$1:$EZ$1500,설정!$L$5+ROW()-1,설정!$L$8)&amp;""="0","",INDEX(원자료_잔고!$A$1:$EZ$1500,설정!$L$5+ROW()-1,설정!$L$8)&amp;""),"")</f>
        <v>GS 4.972 06/03/32</v>
      </c>
      <c r="B11" s="83" t="str">
        <f aca="false">IFERROR(IF(INDEX(원자료_잔고!$A$1:$EZ$1500,설정!$L$5+ROW()-1,설정!$L$7)&amp;""="0","",INDEX(원자료_잔고!$A$1:$EZ$1500,설정!$L$5+ROW()-1,설정!$L$7)&amp;""),"")</f>
        <v>US38141GF335</v>
      </c>
      <c r="C11" s="83" t="str">
        <f aca="false">IFERROR(IF(INDEX(원자료_잔고!$A$1:$EZ$1500,설정!$L$5+ROW()-1,설정!$L$9)&amp;""="0","",INDEX(원자료_잔고!$A$1:$EZ$1500,설정!$L$5+ROW()-1,설정!$L$9)&amp;""),"")</f>
        <v>28096</v>
      </c>
      <c r="D1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" s="84" t="n">
        <f aca="false">IFERROR(IF(ISNUMBER(INDEX(원자료_잔고!$A$1:$EZ$1500,설정!$L$5+ROW()-1,설정!$L$11)),INDEX(원자료_잔고!$A$1:$EZ$1500,설정!$L$5+ROW()-1,설정!$L$11),""),"")</f>
        <v>10000000</v>
      </c>
      <c r="F11" s="85" t="n">
        <f aca="false">IFERROR(IF(ISNUMBER(INDEX(원자료_잔고!$A$1:$EZ$1500,설정!$L$5+ROW()-1,설정!$L$12)),INDEX(원자료_잔고!$A$1:$EZ$1500,설정!$L$5+ROW()-1,설정!$L$12),""),"")</f>
        <v>95.9302</v>
      </c>
      <c r="G11" s="85" t="n">
        <f aca="false">IFERROR(IF(ISNUMBER(INDEX(원자료_잔고!$A$1:$EZ$1500,설정!$L$5+ROW()-1,설정!$L$13)),INDEX(원자료_잔고!$A$1:$EZ$1500,설정!$L$5+ROW()-1,설정!$L$13),""),"")</f>
        <v>5.9297</v>
      </c>
      <c r="H11" s="85" t="n">
        <f aca="false">IFERROR(IF(ISNUMBER(INDEX(원자료_잔고!$A$1:$EZ$1500,설정!$L$5+ROW()-1,설정!$L$14)),INDEX(원자료_잔고!$A$1:$EZ$1500,설정!$L$5+ROW()-1,설정!$L$14),""),"")</f>
        <v>4.0037</v>
      </c>
      <c r="I11" s="86" t="n">
        <f aca="false">IFERROR(IF(ISNUMBER(INDEX(원자료_잔고!$A$1:$EZ$1500,설정!$L$5+ROW()-1,설정!$L$15)),INDEX(원자료_잔고!$A$1:$EZ$1500,설정!$L$5+ROW()-1,설정!$L$15),""),"")</f>
        <v>48368</v>
      </c>
      <c r="J11" s="85" t="n">
        <f aca="false">IFERROR(IF(ISNUMBER(INDEX(원자료_잔고!$A$1:$EZ$1500,설정!$L$5+ROW()-1,설정!$L$16)),INDEX(원자료_잔고!$A$1:$EZ$1500,설정!$L$5+ROW()-1,설정!$L$16),""),"")</f>
        <v>4.972</v>
      </c>
      <c r="K11" s="87" t="n">
        <f aca="false">IFERROR(IF(ISNUMBER(INDEX(원자료_잔고!$A$1:$EZ$1500,설정!$L$5+ROW()-1,설정!$L$17)),INDEX(원자료_잔고!$A$1:$EZ$1500,설정!$L$5+ROW()-1,설정!$L$17),""),"")</f>
        <v>1</v>
      </c>
      <c r="L11" s="84" t="n">
        <f aca="false">IFERROR(IF(ISNUMBER(INDEX(원자료_잔고!$A$1:$EZ$1500,설정!$L$5+ROW()-1,설정!$L$18)),INDEX(원자료_잔고!$A$1:$EZ$1500,설정!$L$5+ROW()-1,설정!$L$18),""),"")</f>
        <v>9593020</v>
      </c>
      <c r="M11" s="88" t="n">
        <f aca="false">IFERROR(IF(ISNUMBER(INDEX(원자료_잔고!$A$1:$EZ$1500,설정!$L$5+ROW()-1,설정!$L$19)),INDEX(원자료_잔고!$A$1:$EZ$1500,설정!$L$5+ROW()-1,설정!$L$19),""),"")</f>
        <v>-392880</v>
      </c>
      <c r="N11" s="83" t="str">
        <f aca="false">IFERROR(IF(INDEX(원자료_잔고!$A$1:$EZ$1500,설정!$L$5+ROW()-1,설정!$L$21)&amp;""="0","",INDEX(원자료_잔고!$A$1:$EZ$1500,설정!$L$5+ROW()-1,설정!$L$21)&amp;""),"")</f>
        <v>BBB+</v>
      </c>
      <c r="O11" s="83" t="str">
        <f aca="false">IFERROR(IF(INDEX(원자료_잔고!$A$1:$EZ$1500,설정!$L$5+ROW()-1,설정!$L$22)&amp;""="0","",INDEX(원자료_잔고!$A$1:$EZ$1500,설정!$L$5+ROW()-1,설정!$L$22)&amp;""),"")</f>
        <v/>
      </c>
      <c r="P11" s="83" t="str">
        <f aca="false">IFERROR(IF(INDEX(원자료_잔고!$A$1:$EZ$1500,설정!$L$5+ROW()-1,설정!$L$23)&amp;""="0","",INDEX(원자료_잔고!$A$1:$EZ$1500,설정!$L$5+ROW()-1,설정!$L$23)&amp;""),"")</f>
        <v>A</v>
      </c>
      <c r="Q11" s="89" t="n">
        <f aca="false">IF(AND($A11&lt;&gt;"",ISNUMBER(E11)),IF(E11&gt;0,1,0),0)</f>
        <v>1</v>
      </c>
      <c r="R11" s="43" t="str">
        <f aca="false">IF(Q11=1,UPPER(LEFT($A11,FIND(" ",$A11&amp;" ")-1)),"")</f>
        <v>GS</v>
      </c>
      <c r="S11" s="89" t="n">
        <f aca="false">IF(Q11=1,IF(OR(ISNUMBER(SEARCH("Float",$A11)),ISNUMBER(SEARCH("FRN",$A11))),1,0),0)</f>
        <v>0</v>
      </c>
      <c r="T11" s="43" t="str">
        <f aca="false">IF(AND(Q11=1,ISNUMBER(I11)),TEXT(I11,"yyyymmdd")&amp;"|"&amp;IF(S11=1,"F",TEXT(J11,"0.000")),"")</f>
        <v>20320603|4.972</v>
      </c>
      <c r="U11" s="90" t="n">
        <f aca="false">IF(AND(Q11=1,ISNUMBER(I11)),(I11-설정!$C$4)/365.25,"")</f>
        <v>5.67282683093771</v>
      </c>
      <c r="V11" s="43" t="str">
        <f aca="false">IF(Q11&lt;&gt;1,"",IF(ISNUMBER(U11),IF(U11&lt;=1,"1년 이하",IF(U11&lt;=2,"1-2년",IF(U11&lt;=3,"2-3년",IF(U11&lt;=4,"3-4년",IF(U11&lt;=5,"4-5년",IF(U11&lt;=7,"5-7년",IF(U11&lt;=10,"7-10년",IF(U11&lt;=20,"10-20년","20년 이상")))))))),"미분류"))</f>
        <v>5-7년</v>
      </c>
      <c r="W11" s="43" t="str">
        <f aca="false">IF(Q11&lt;&gt;1,"",IF(AB11&lt;&gt;"",INDEX(시장분석!$C:$C,AB11),IF(K11=1,"USD","비USD")))</f>
        <v>USD</v>
      </c>
      <c r="X11" s="91" t="n">
        <f aca="false">IF(Q11=1,E11*K11/1000000,0)</f>
        <v>10</v>
      </c>
      <c r="Y11" s="89" t="n">
        <f aca="false">IF(R11="T",1,0)</f>
        <v>0</v>
      </c>
      <c r="Z11" s="92" t="n">
        <f aca="false">IF(Q11&lt;&gt;1,"",IF(AD11=1,IF(ISNUMBER(U11),MAX(U11,0),H11),H11))</f>
        <v>4.0037</v>
      </c>
      <c r="AA11" s="91" t="n">
        <f aca="false">IF(Q11=1,IF(ISNUMBER(L11),L11,0)*K11/1000000,0)</f>
        <v>9.59302</v>
      </c>
      <c r="AB11" s="89" t="n">
        <f aca="false">IF(Q11&lt;&gt;1,"",IFERROR(MATCH(VLOOKUP(B11,매핑!$H$4:$I$15,2,0),시장분석!$A$2:$A$601,0)+1,IFERROR(MATCH(R11&amp;"|"&amp;T11,시장분석!$V$2:$V$601,0)+1,IF(COUNTIF(시장분석!$U$2:$U$601,T11)=1,MATCH(T11,시장분석!$U$2:$U$601,0)+1,""))))</f>
        <v>43</v>
      </c>
      <c r="AC11" s="89" t="n">
        <f aca="false">IF(Q11&lt;&gt;1,0,IF(OR(설정!$C$5="전체",AND(설정!$C$5="선택펀드",IFERROR(COUNTIFS(설정!$F$16:$F$36,C11,설정!$G$16:$G$36,"Y")+COUNTIFS(설정!$F$16:$F$36,VALUE(C11),설정!$G$16:$G$36,"Y"),0)&gt;0),C11&amp;""=설정!$C$5&amp;""),1,0))</f>
        <v>1</v>
      </c>
      <c r="AD11" s="89" t="n">
        <f aca="false">IF(Q11&lt;&gt;1,0,IF(OR(S11=1,IF(AB11="",FALSE(),INDEX(시장분석!$R:$R,AB11)=1)),1,0))</f>
        <v>0</v>
      </c>
      <c r="AE11" s="43" t="str">
        <f aca="false">IF(AB11="","",INDEX(시장분석!$A:$A,AB11))</f>
        <v>GS 4.972 06/03/32</v>
      </c>
      <c r="AF11" s="93" t="n">
        <f aca="false">IF(AB11="","",IF(ISNUMBER(IF(AB11="","",INDEX(시장분석!$E:$E,AB11))),IF(AB11="","",INDEX(시장분석!$E:$E,AB11)),""))</f>
        <v>93.025</v>
      </c>
      <c r="AG11" s="43" t="str">
        <f aca="false">IF(Q11&lt;&gt;1,"",IF(AB11&lt;&gt;"",IF(AB11="","",INDEX(시장분석!$L:$L,AB11)),IFERROR(IF(VLOOKUP(R11,매핑!$A$4:$E$92,5,0)="","미분류",VLOOKUP(R11,매핑!$A$4:$E$92,5,0)),"미분류")))</f>
        <v>금융기관</v>
      </c>
      <c r="AH11" s="43" t="str">
        <f aca="false">IF(Q11&lt;&gt;1,"",IF(AB11&lt;&gt;"",IF(AB11="","",INDEX(시장분석!$N:$N,AB11)),IFERROR(IF(VLOOKUP(R11,매핑!$A$4:$E$92,4,0)="","미분류",VLOOKUP(R11,매핑!$A$4:$E$92,4,0)),"미분류")))</f>
        <v>미국</v>
      </c>
      <c r="AI11" s="43" t="str">
        <f aca="false">IF(Q11&lt;&gt;1,"",IFERROR(IF(VLOOKUP(R11,매핑!$A$4:$E$92,3,0)="","미분류",VLOOKUP(R11,매핑!$A$4:$E$92,3,0)),IF(AB11&lt;&gt;"",IF(AB11="","",INDEX(시장분석!$W:$W,AB11)),"미분류")))</f>
        <v>미국</v>
      </c>
      <c r="AJ11" s="43" t="str">
        <f aca="false">IF(Q11&lt;&gt;1,"",IFERROR(VLOOKUP(IF(N11&lt;&gt;"",N11,IF(P11&lt;&gt;"",P11,O11)),설정!$A$15:$D$47,2,0),""))</f>
        <v>BBB+</v>
      </c>
      <c r="AK11" s="43" t="str">
        <f aca="false">IF(Q11&lt;&gt;1,"",IF(AJ11="","무등급",IFERROR(VLOOKUP(AJ11,설정!$A$15:$D$47,3,0),"무등급")))</f>
        <v>BBB</v>
      </c>
      <c r="AL11" s="89" t="n">
        <f aca="false">IF(AJ11="",99,IFERROR(VLOOKUP(AJ11,설정!$A$15:$D$47,4,0),99))</f>
        <v>8</v>
      </c>
      <c r="AM11" s="94" t="n">
        <f aca="false">IF(ISNUMBER(H11),AA11*1000000*H11/10000,0)</f>
        <v>3840.7574174</v>
      </c>
      <c r="AN11" s="94" t="n">
        <f aca="false">IF(OR(Y11=1,NOT(ISNUMBER(Z11))),0,AA11*1000000*Z11/10000)</f>
        <v>3840.7574174</v>
      </c>
      <c r="AO11" s="94" t="n">
        <f aca="false">IF(ISNUMBER(G11),AA11*1000000*G11/100,0)</f>
        <v>568837.30694</v>
      </c>
      <c r="AP11" s="94" t="n">
        <f aca="false">IF(ISNUMBER(M11),M11*K11,0)</f>
        <v>-392880</v>
      </c>
      <c r="AQ11" s="95" t="n">
        <f aca="false">IF(AB11="","",INDEX(시장분석!$AK:$AK,AB11))</f>
        <v>1.17060424379001</v>
      </c>
      <c r="AR11" s="43" t="str">
        <f aca="false">IF(AB11="","-",IF(AB11="","",INDEX(시장분석!$AL:$AL,AB11)))</f>
        <v>Cheap</v>
      </c>
      <c r="AS11" s="96" t="n">
        <f aca="false">IF(AB11="","",INDEX(시장분석!$AJ:$AJ,AB11))</f>
        <v>16.0105661541126</v>
      </c>
      <c r="AT11" s="93" t="n">
        <f aca="false">IF(AB11="",0,IF(AB11="","",INDEX(시장분석!$AN:$AN,AB11)))</f>
        <v>5.72837346603357</v>
      </c>
      <c r="AU11" s="94" t="n">
        <f aca="false">IF(ISNUMBER(Z11),AT11/10000*MAX(Z11-1,0)*AA11*1000000,0)</f>
        <v>16506.0527565928</v>
      </c>
      <c r="AV11" s="94" t="n">
        <f aca="false">AO11+AU11</f>
        <v>585343.359696593</v>
      </c>
      <c r="AW11" s="43" t="str">
        <f aca="false">IF(Q11&lt;&gt;1,"",TRIM(IF(AD11=1,"FRN ","")&amp;IF(AND(AL11&gt;=10,AL11&lt;99),"BBB0미만 ","")&amp;IF(AJ11="","등급없음 ","")&amp;IF(K11&lt;&gt;1,"비USD ","")&amp;IF(AND(AB11="",Y11=0),"시장데이터없음 ","")&amp;IF(AND(ISNUMBER(U11),U11&lt;0),"만기경과 ","")))</f>
        <v/>
      </c>
      <c r="AX11" s="90" t="n">
        <f aca="false">IF(Q11&lt;&gt;1,1,IF(스프레드쇼크!$C$4="Y",INDEX(스프레드쇼크!$B$12:$L$16,IFERROR(MATCH(AH11,스프레드쇼크!$A$12:$A$16,0),MATCH("목록외",스프레드쇼크!$A$12:$A$16,0)),IFERROR(MATCH(AG11,스프레드쇼크!$B$11:$L$11,0),MATCH("목록외",스프레드쇼크!$B$11:$L$11,0))),1))</f>
        <v>1</v>
      </c>
      <c r="AY11" s="90" t="n">
        <f aca="false">IF(스프레드쇼크!$C$5="Y",IF(ISNUMBER(AF11),MIN(스프레드쇼크!$C$7,MAX(스프레드쇼크!$C$6,AF11/스프레드쇼크!$C$8)),1),1)</f>
        <v>1.40703922675961</v>
      </c>
      <c r="AZ11" s="94" t="n">
        <f aca="false">AN11*AX11*AY11</f>
        <v>5404.09634674973</v>
      </c>
      <c r="BA11" s="90" t="n">
        <f aca="false">IF(ISNUMBER(G11),AA11*G11,0)</f>
        <v>56.883730694</v>
      </c>
      <c r="BB11" s="90" t="n">
        <f aca="false">IF(ISNUMBER(G11),AA11,0)</f>
        <v>9.59302</v>
      </c>
      <c r="BC11" s="90" t="n">
        <f aca="false">IF(AND(Y11=0,ISNUMBER(AF11)),AA11*AF11,0)</f>
        <v>892.3906855</v>
      </c>
      <c r="BD11" s="90" t="n">
        <f aca="false">IF(AND(Y11=0,ISNUMBER(AF11)),AA11,0)</f>
        <v>9.59302</v>
      </c>
      <c r="BE11" s="90" t="n">
        <f aca="false">IF(ISNUMBER(H11),AA11*H11,0)</f>
        <v>38.407574174</v>
      </c>
      <c r="BF11" s="90" t="n">
        <f aca="false">IF(ISNUMBER(H11),AA11,0)</f>
        <v>9.59302</v>
      </c>
      <c r="BG11" s="90" t="n">
        <f aca="false">IF(AND(Y11=0,ISNUMBER(AF11),ISNUMBER(Z11)),AA11*Z11,0)</f>
        <v>38.407574174</v>
      </c>
      <c r="BH11" s="90" t="n">
        <f aca="false">IF(AND(Y11=0,ISNUMBER(AF11),ISNUMBER(Z11)),AA11*AT11*MAX(Z11-1,0),0)</f>
        <v>165.060527565928</v>
      </c>
      <c r="BI11" s="90" t="n">
        <f aca="false">IF(Y11=0,AA11,0)</f>
        <v>9.59302</v>
      </c>
    </row>
    <row r="12" customFormat="false" ht="15" hidden="false" customHeight="false" outlineLevel="0" collapsed="false">
      <c r="A12" s="83" t="str">
        <f aca="false">IFERROR(IF(INDEX(원자료_잔고!$A$1:$EZ$1500,설정!$L$5+ROW()-1,설정!$L$8)&amp;""="0","",INDEX(원자료_잔고!$A$1:$EZ$1500,설정!$L$5+ROW()-1,설정!$L$8)&amp;""),"")</f>
        <v>GS 4.972 06/03/32</v>
      </c>
      <c r="B12" s="83" t="str">
        <f aca="false">IFERROR(IF(INDEX(원자료_잔고!$A$1:$EZ$1500,설정!$L$5+ROW()-1,설정!$L$7)&amp;""="0","",INDEX(원자료_잔고!$A$1:$EZ$1500,설정!$L$5+ROW()-1,설정!$L$7)&amp;""),"")</f>
        <v>US38141GF335</v>
      </c>
      <c r="C12" s="83" t="str">
        <f aca="false">IFERROR(IF(INDEX(원자료_잔고!$A$1:$EZ$1500,설정!$L$5+ROW()-1,설정!$L$9)&amp;""="0","",INDEX(원자료_잔고!$A$1:$EZ$1500,설정!$L$5+ROW()-1,설정!$L$9)&amp;""),"")</f>
        <v>28096</v>
      </c>
      <c r="D1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" s="84" t="n">
        <f aca="false">IFERROR(IF(ISNUMBER(INDEX(원자료_잔고!$A$1:$EZ$1500,설정!$L$5+ROW()-1,설정!$L$11)),INDEX(원자료_잔고!$A$1:$EZ$1500,설정!$L$5+ROW()-1,설정!$L$11),""),"")</f>
        <v>10000000</v>
      </c>
      <c r="F12" s="85" t="n">
        <f aca="false">IFERROR(IF(ISNUMBER(INDEX(원자료_잔고!$A$1:$EZ$1500,설정!$L$5+ROW()-1,설정!$L$12)),INDEX(원자료_잔고!$A$1:$EZ$1500,설정!$L$5+ROW()-1,설정!$L$12),""),"")</f>
        <v>95.9302</v>
      </c>
      <c r="G12" s="85" t="n">
        <f aca="false">IFERROR(IF(ISNUMBER(INDEX(원자료_잔고!$A$1:$EZ$1500,설정!$L$5+ROW()-1,설정!$L$13)),INDEX(원자료_잔고!$A$1:$EZ$1500,설정!$L$5+ROW()-1,설정!$L$13),""),"")</f>
        <v>5.9297</v>
      </c>
      <c r="H12" s="85" t="n">
        <f aca="false">IFERROR(IF(ISNUMBER(INDEX(원자료_잔고!$A$1:$EZ$1500,설정!$L$5+ROW()-1,설정!$L$14)),INDEX(원자료_잔고!$A$1:$EZ$1500,설정!$L$5+ROW()-1,설정!$L$14),""),"")</f>
        <v>4.0037</v>
      </c>
      <c r="I12" s="86" t="n">
        <f aca="false">IFERROR(IF(ISNUMBER(INDEX(원자료_잔고!$A$1:$EZ$1500,설정!$L$5+ROW()-1,설정!$L$15)),INDEX(원자료_잔고!$A$1:$EZ$1500,설정!$L$5+ROW()-1,설정!$L$15),""),"")</f>
        <v>48368</v>
      </c>
      <c r="J12" s="85" t="n">
        <f aca="false">IFERROR(IF(ISNUMBER(INDEX(원자료_잔고!$A$1:$EZ$1500,설정!$L$5+ROW()-1,설정!$L$16)),INDEX(원자료_잔고!$A$1:$EZ$1500,설정!$L$5+ROW()-1,설정!$L$16),""),"")</f>
        <v>4.972</v>
      </c>
      <c r="K12" s="87" t="n">
        <f aca="false">IFERROR(IF(ISNUMBER(INDEX(원자료_잔고!$A$1:$EZ$1500,설정!$L$5+ROW()-1,설정!$L$17)),INDEX(원자료_잔고!$A$1:$EZ$1500,설정!$L$5+ROW()-1,설정!$L$17),""),"")</f>
        <v>1</v>
      </c>
      <c r="L12" s="84" t="n">
        <f aca="false">IFERROR(IF(ISNUMBER(INDEX(원자료_잔고!$A$1:$EZ$1500,설정!$L$5+ROW()-1,설정!$L$18)),INDEX(원자료_잔고!$A$1:$EZ$1500,설정!$L$5+ROW()-1,설정!$L$18),""),"")</f>
        <v>9593020</v>
      </c>
      <c r="M12" s="88" t="n">
        <f aca="false">IFERROR(IF(ISNUMBER(INDEX(원자료_잔고!$A$1:$EZ$1500,설정!$L$5+ROW()-1,설정!$L$19)),INDEX(원자료_잔고!$A$1:$EZ$1500,설정!$L$5+ROW()-1,설정!$L$19),""),"")</f>
        <v>-398280</v>
      </c>
      <c r="N12" s="83" t="str">
        <f aca="false">IFERROR(IF(INDEX(원자료_잔고!$A$1:$EZ$1500,설정!$L$5+ROW()-1,설정!$L$21)&amp;""="0","",INDEX(원자료_잔고!$A$1:$EZ$1500,설정!$L$5+ROW()-1,설정!$L$21)&amp;""),"")</f>
        <v>BBB+</v>
      </c>
      <c r="O12" s="83" t="str">
        <f aca="false">IFERROR(IF(INDEX(원자료_잔고!$A$1:$EZ$1500,설정!$L$5+ROW()-1,설정!$L$22)&amp;""="0","",INDEX(원자료_잔고!$A$1:$EZ$1500,설정!$L$5+ROW()-1,설정!$L$22)&amp;""),"")</f>
        <v/>
      </c>
      <c r="P12" s="83" t="str">
        <f aca="false">IFERROR(IF(INDEX(원자료_잔고!$A$1:$EZ$1500,설정!$L$5+ROW()-1,설정!$L$23)&amp;""="0","",INDEX(원자료_잔고!$A$1:$EZ$1500,설정!$L$5+ROW()-1,설정!$L$23)&amp;""),"")</f>
        <v>A</v>
      </c>
      <c r="Q12" s="89" t="n">
        <f aca="false">IF(AND($A12&lt;&gt;"",ISNUMBER(E12)),IF(E12&gt;0,1,0),0)</f>
        <v>1</v>
      </c>
      <c r="R12" s="43" t="str">
        <f aca="false">IF(Q12=1,UPPER(LEFT($A12,FIND(" ",$A12&amp;" ")-1)),"")</f>
        <v>GS</v>
      </c>
      <c r="S12" s="89" t="n">
        <f aca="false">IF(Q12=1,IF(OR(ISNUMBER(SEARCH("Float",$A12)),ISNUMBER(SEARCH("FRN",$A12))),1,0),0)</f>
        <v>0</v>
      </c>
      <c r="T12" s="43" t="str">
        <f aca="false">IF(AND(Q12=1,ISNUMBER(I12)),TEXT(I12,"yyyymmdd")&amp;"|"&amp;IF(S12=1,"F",TEXT(J12,"0.000")),"")</f>
        <v>20320603|4.972</v>
      </c>
      <c r="U12" s="90" t="n">
        <f aca="false">IF(AND(Q12=1,ISNUMBER(I12)),(I12-설정!$C$4)/365.25,"")</f>
        <v>5.67282683093771</v>
      </c>
      <c r="V12" s="43" t="str">
        <f aca="false">IF(Q12&lt;&gt;1,"",IF(ISNUMBER(U12),IF(U12&lt;=1,"1년 이하",IF(U12&lt;=2,"1-2년",IF(U12&lt;=3,"2-3년",IF(U12&lt;=4,"3-4년",IF(U12&lt;=5,"4-5년",IF(U12&lt;=7,"5-7년",IF(U12&lt;=10,"7-10년",IF(U12&lt;=20,"10-20년","20년 이상")))))))),"미분류"))</f>
        <v>5-7년</v>
      </c>
      <c r="W12" s="43" t="str">
        <f aca="false">IF(Q12&lt;&gt;1,"",IF(AB12&lt;&gt;"",INDEX(시장분석!$C:$C,AB12),IF(K12=1,"USD","비USD")))</f>
        <v>USD</v>
      </c>
      <c r="X12" s="91" t="n">
        <f aca="false">IF(Q12=1,E12*K12/1000000,0)</f>
        <v>10</v>
      </c>
      <c r="Y12" s="89" t="n">
        <f aca="false">IF(R12="T",1,0)</f>
        <v>0</v>
      </c>
      <c r="Z12" s="92" t="n">
        <f aca="false">IF(Q12&lt;&gt;1,"",IF(AD12=1,IF(ISNUMBER(U12),MAX(U12,0),H12),H12))</f>
        <v>4.0037</v>
      </c>
      <c r="AA12" s="91" t="n">
        <f aca="false">IF(Q12=1,IF(ISNUMBER(L12),L12,0)*K12/1000000,0)</f>
        <v>9.59302</v>
      </c>
      <c r="AB12" s="89" t="n">
        <f aca="false">IF(Q12&lt;&gt;1,"",IFERROR(MATCH(VLOOKUP(B12,매핑!$H$4:$I$15,2,0),시장분석!$A$2:$A$601,0)+1,IFERROR(MATCH(R12&amp;"|"&amp;T12,시장분석!$V$2:$V$601,0)+1,IF(COUNTIF(시장분석!$U$2:$U$601,T12)=1,MATCH(T12,시장분석!$U$2:$U$601,0)+1,""))))</f>
        <v>43</v>
      </c>
      <c r="AC12" s="89" t="n">
        <f aca="false">IF(Q12&lt;&gt;1,0,IF(OR(설정!$C$5="전체",AND(설정!$C$5="선택펀드",IFERROR(COUNTIFS(설정!$F$16:$F$36,C12,설정!$G$16:$G$36,"Y")+COUNTIFS(설정!$F$16:$F$36,VALUE(C12),설정!$G$16:$G$36,"Y"),0)&gt;0),C12&amp;""=설정!$C$5&amp;""),1,0))</f>
        <v>1</v>
      </c>
      <c r="AD12" s="89" t="n">
        <f aca="false">IF(Q12&lt;&gt;1,0,IF(OR(S12=1,IF(AB12="",FALSE(),INDEX(시장분석!$R:$R,AB12)=1)),1,0))</f>
        <v>0</v>
      </c>
      <c r="AE12" s="43" t="str">
        <f aca="false">IF(AB12="","",INDEX(시장분석!$A:$A,AB12))</f>
        <v>GS 4.972 06/03/32</v>
      </c>
      <c r="AF12" s="93" t="n">
        <f aca="false">IF(AB12="","",IF(ISNUMBER(IF(AB12="","",INDEX(시장분석!$E:$E,AB12))),IF(AB12="","",INDEX(시장분석!$E:$E,AB12)),""))</f>
        <v>93.025</v>
      </c>
      <c r="AG12" s="43" t="str">
        <f aca="false">IF(Q12&lt;&gt;1,"",IF(AB12&lt;&gt;"",IF(AB12="","",INDEX(시장분석!$L:$L,AB12)),IFERROR(IF(VLOOKUP(R12,매핑!$A$4:$E$92,5,0)="","미분류",VLOOKUP(R12,매핑!$A$4:$E$92,5,0)),"미분류")))</f>
        <v>금융기관</v>
      </c>
      <c r="AH12" s="43" t="str">
        <f aca="false">IF(Q12&lt;&gt;1,"",IF(AB12&lt;&gt;"",IF(AB12="","",INDEX(시장분석!$N:$N,AB12)),IFERROR(IF(VLOOKUP(R12,매핑!$A$4:$E$92,4,0)="","미분류",VLOOKUP(R12,매핑!$A$4:$E$92,4,0)),"미분류")))</f>
        <v>미국</v>
      </c>
      <c r="AI12" s="43" t="str">
        <f aca="false">IF(Q12&lt;&gt;1,"",IFERROR(IF(VLOOKUP(R12,매핑!$A$4:$E$92,3,0)="","미분류",VLOOKUP(R12,매핑!$A$4:$E$92,3,0)),IF(AB12&lt;&gt;"",IF(AB12="","",INDEX(시장분석!$W:$W,AB12)),"미분류")))</f>
        <v>미국</v>
      </c>
      <c r="AJ12" s="43" t="str">
        <f aca="false">IF(Q12&lt;&gt;1,"",IFERROR(VLOOKUP(IF(N12&lt;&gt;"",N12,IF(P12&lt;&gt;"",P12,O12)),설정!$A$15:$D$47,2,0),""))</f>
        <v>BBB+</v>
      </c>
      <c r="AK12" s="43" t="str">
        <f aca="false">IF(Q12&lt;&gt;1,"",IF(AJ12="","무등급",IFERROR(VLOOKUP(AJ12,설정!$A$15:$D$47,3,0),"무등급")))</f>
        <v>BBB</v>
      </c>
      <c r="AL12" s="89" t="n">
        <f aca="false">IF(AJ12="",99,IFERROR(VLOOKUP(AJ12,설정!$A$15:$D$47,4,0),99))</f>
        <v>8</v>
      </c>
      <c r="AM12" s="94" t="n">
        <f aca="false">IF(ISNUMBER(H12),AA12*1000000*H12/10000,0)</f>
        <v>3840.7574174</v>
      </c>
      <c r="AN12" s="94" t="n">
        <f aca="false">IF(OR(Y12=1,NOT(ISNUMBER(Z12))),0,AA12*1000000*Z12/10000)</f>
        <v>3840.7574174</v>
      </c>
      <c r="AO12" s="94" t="n">
        <f aca="false">IF(ISNUMBER(G12),AA12*1000000*G12/100,0)</f>
        <v>568837.30694</v>
      </c>
      <c r="AP12" s="94" t="n">
        <f aca="false">IF(ISNUMBER(M12),M12*K12,0)</f>
        <v>-398280</v>
      </c>
      <c r="AQ12" s="95" t="n">
        <f aca="false">IF(AB12="","",INDEX(시장분석!$AK:$AK,AB12))</f>
        <v>1.17060424379001</v>
      </c>
      <c r="AR12" s="43" t="str">
        <f aca="false">IF(AB12="","-",IF(AB12="","",INDEX(시장분석!$AL:$AL,AB12)))</f>
        <v>Cheap</v>
      </c>
      <c r="AS12" s="96" t="n">
        <f aca="false">IF(AB12="","",INDEX(시장분석!$AJ:$AJ,AB12))</f>
        <v>16.0105661541126</v>
      </c>
      <c r="AT12" s="93" t="n">
        <f aca="false">IF(AB12="",0,IF(AB12="","",INDEX(시장분석!$AN:$AN,AB12)))</f>
        <v>5.72837346603357</v>
      </c>
      <c r="AU12" s="94" t="n">
        <f aca="false">IF(ISNUMBER(Z12),AT12/10000*MAX(Z12-1,0)*AA12*1000000,0)</f>
        <v>16506.0527565928</v>
      </c>
      <c r="AV12" s="94" t="n">
        <f aca="false">AO12+AU12</f>
        <v>585343.359696593</v>
      </c>
      <c r="AW12" s="43" t="str">
        <f aca="false">IF(Q12&lt;&gt;1,"",TRIM(IF(AD12=1,"FRN ","")&amp;IF(AND(AL12&gt;=10,AL12&lt;99),"BBB0미만 ","")&amp;IF(AJ12="","등급없음 ","")&amp;IF(K12&lt;&gt;1,"비USD ","")&amp;IF(AND(AB12="",Y12=0),"시장데이터없음 ","")&amp;IF(AND(ISNUMBER(U12),U12&lt;0),"만기경과 ","")))</f>
        <v/>
      </c>
      <c r="AX12" s="90" t="n">
        <f aca="false">IF(Q12&lt;&gt;1,1,IF(스프레드쇼크!$C$4="Y",INDEX(스프레드쇼크!$B$12:$L$16,IFERROR(MATCH(AH12,스프레드쇼크!$A$12:$A$16,0),MATCH("목록외",스프레드쇼크!$A$12:$A$16,0)),IFERROR(MATCH(AG12,스프레드쇼크!$B$11:$L$11,0),MATCH("목록외",스프레드쇼크!$B$11:$L$11,0))),1))</f>
        <v>1</v>
      </c>
      <c r="AY12" s="90" t="n">
        <f aca="false">IF(스프레드쇼크!$C$5="Y",IF(ISNUMBER(AF12),MIN(스프레드쇼크!$C$7,MAX(스프레드쇼크!$C$6,AF12/스프레드쇼크!$C$8)),1),1)</f>
        <v>1.40703922675961</v>
      </c>
      <c r="AZ12" s="94" t="n">
        <f aca="false">AN12*AX12*AY12</f>
        <v>5404.09634674973</v>
      </c>
      <c r="BA12" s="90" t="n">
        <f aca="false">IF(ISNUMBER(G12),AA12*G12,0)</f>
        <v>56.883730694</v>
      </c>
      <c r="BB12" s="90" t="n">
        <f aca="false">IF(ISNUMBER(G12),AA12,0)</f>
        <v>9.59302</v>
      </c>
      <c r="BC12" s="90" t="n">
        <f aca="false">IF(AND(Y12=0,ISNUMBER(AF12)),AA12*AF12,0)</f>
        <v>892.3906855</v>
      </c>
      <c r="BD12" s="90" t="n">
        <f aca="false">IF(AND(Y12=0,ISNUMBER(AF12)),AA12,0)</f>
        <v>9.59302</v>
      </c>
      <c r="BE12" s="90" t="n">
        <f aca="false">IF(ISNUMBER(H12),AA12*H12,0)</f>
        <v>38.407574174</v>
      </c>
      <c r="BF12" s="90" t="n">
        <f aca="false">IF(ISNUMBER(H12),AA12,0)</f>
        <v>9.59302</v>
      </c>
      <c r="BG12" s="90" t="n">
        <f aca="false">IF(AND(Y12=0,ISNUMBER(AF12),ISNUMBER(Z12)),AA12*Z12,0)</f>
        <v>38.407574174</v>
      </c>
      <c r="BH12" s="90" t="n">
        <f aca="false">IF(AND(Y12=0,ISNUMBER(AF12),ISNUMBER(Z12)),AA12*AT12*MAX(Z12-1,0),0)</f>
        <v>165.060527565928</v>
      </c>
      <c r="BI12" s="90" t="n">
        <f aca="false">IF(Y12=0,AA12,0)</f>
        <v>9.59302</v>
      </c>
    </row>
    <row r="13" customFormat="false" ht="15" hidden="false" customHeight="false" outlineLevel="0" collapsed="false">
      <c r="A13" s="83" t="str">
        <f aca="false">IFERROR(IF(INDEX(원자료_잔고!$A$1:$EZ$1500,설정!$L$5+ROW()-1,설정!$L$8)&amp;""="0","",INDEX(원자료_잔고!$A$1:$EZ$1500,설정!$L$5+ROW()-1,설정!$L$8)&amp;""),"")</f>
        <v>GS 3.814 04/23/29</v>
      </c>
      <c r="B13" s="83" t="str">
        <f aca="false">IFERROR(IF(INDEX(원자료_잔고!$A$1:$EZ$1500,설정!$L$5+ROW()-1,설정!$L$7)&amp;""="0","",INDEX(원자료_잔고!$A$1:$EZ$1500,설정!$L$5+ROW()-1,설정!$L$7)&amp;""),"")</f>
        <v>US38141GWV21</v>
      </c>
      <c r="C13" s="83" t="str">
        <f aca="false">IFERROR(IF(INDEX(원자료_잔고!$A$1:$EZ$1500,설정!$L$5+ROW()-1,설정!$L$9)&amp;""="0","",INDEX(원자료_잔고!$A$1:$EZ$1500,설정!$L$5+ROW()-1,설정!$L$9)&amp;""),"")</f>
        <v>28096</v>
      </c>
      <c r="D1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" s="84" t="n">
        <f aca="false">IFERROR(IF(ISNUMBER(INDEX(원자료_잔고!$A$1:$EZ$1500,설정!$L$5+ROW()-1,설정!$L$11)),INDEX(원자료_잔고!$A$1:$EZ$1500,설정!$L$5+ROW()-1,설정!$L$11),""),"")</f>
        <v>1500000</v>
      </c>
      <c r="F13" s="85" t="n">
        <f aca="false">IFERROR(IF(ISNUMBER(INDEX(원자료_잔고!$A$1:$EZ$1500,설정!$L$5+ROW()-1,설정!$L$12)),INDEX(원자료_잔고!$A$1:$EZ$1500,설정!$L$5+ROW()-1,설정!$L$12),""),"")</f>
        <v>97.5701</v>
      </c>
      <c r="G13" s="85" t="n">
        <f aca="false">IFERROR(IF(ISNUMBER(INDEX(원자료_잔고!$A$1:$EZ$1500,설정!$L$5+ROW()-1,설정!$L$13)),INDEX(원자료_잔고!$A$1:$EZ$1500,설정!$L$5+ROW()-1,설정!$L$13),""),"")</f>
        <v>5.2478</v>
      </c>
      <c r="H13" s="85" t="n">
        <f aca="false">IFERROR(IF(ISNUMBER(INDEX(원자료_잔고!$A$1:$EZ$1500,설정!$L$5+ROW()-1,설정!$L$14)),INDEX(원자료_잔고!$A$1:$EZ$1500,설정!$L$5+ROW()-1,설정!$L$14),""),"")</f>
        <v>1.4529</v>
      </c>
      <c r="I13" s="86" t="n">
        <f aca="false">IFERROR(IF(ISNUMBER(INDEX(원자료_잔고!$A$1:$EZ$1500,설정!$L$5+ROW()-1,설정!$L$15)),INDEX(원자료_잔고!$A$1:$EZ$1500,설정!$L$5+ROW()-1,설정!$L$15),""),"")</f>
        <v>47231</v>
      </c>
      <c r="J13" s="85" t="n">
        <f aca="false">IFERROR(IF(ISNUMBER(INDEX(원자료_잔고!$A$1:$EZ$1500,설정!$L$5+ROW()-1,설정!$L$16)),INDEX(원자료_잔고!$A$1:$EZ$1500,설정!$L$5+ROW()-1,설정!$L$16),""),"")</f>
        <v>3.814</v>
      </c>
      <c r="K13" s="87" t="n">
        <f aca="false">IFERROR(IF(ISNUMBER(INDEX(원자료_잔고!$A$1:$EZ$1500,설정!$L$5+ROW()-1,설정!$L$17)),INDEX(원자료_잔고!$A$1:$EZ$1500,설정!$L$5+ROW()-1,설정!$L$17),""),"")</f>
        <v>1</v>
      </c>
      <c r="L13" s="84" t="n">
        <f aca="false">IFERROR(IF(ISNUMBER(INDEX(원자료_잔고!$A$1:$EZ$1500,설정!$L$5+ROW()-1,설정!$L$18)),INDEX(원자료_잔고!$A$1:$EZ$1500,설정!$L$5+ROW()-1,설정!$L$18),""),"")</f>
        <v>1463551.5</v>
      </c>
      <c r="M13" s="88" t="n">
        <f aca="false">IFERROR(IF(ISNUMBER(INDEX(원자료_잔고!$A$1:$EZ$1500,설정!$L$5+ROW()-1,설정!$L$19)),INDEX(원자료_잔고!$A$1:$EZ$1500,설정!$L$5+ROW()-1,설정!$L$19),""),"")</f>
        <v>-15553.5</v>
      </c>
      <c r="N13" s="83" t="str">
        <f aca="false">IFERROR(IF(INDEX(원자료_잔고!$A$1:$EZ$1500,설정!$L$5+ROW()-1,설정!$L$21)&amp;""="0","",INDEX(원자료_잔고!$A$1:$EZ$1500,설정!$L$5+ROW()-1,설정!$L$21)&amp;""),"")</f>
        <v>BBB+</v>
      </c>
      <c r="O13" s="83" t="str">
        <f aca="false">IFERROR(IF(INDEX(원자료_잔고!$A$1:$EZ$1500,설정!$L$5+ROW()-1,설정!$L$22)&amp;""="0","",INDEX(원자료_잔고!$A$1:$EZ$1500,설정!$L$5+ROW()-1,설정!$L$22)&amp;""),"")</f>
        <v/>
      </c>
      <c r="P13" s="83" t="str">
        <f aca="false">IFERROR(IF(INDEX(원자료_잔고!$A$1:$EZ$1500,설정!$L$5+ROW()-1,설정!$L$23)&amp;""="0","",INDEX(원자료_잔고!$A$1:$EZ$1500,설정!$L$5+ROW()-1,설정!$L$23)&amp;""),"")</f>
        <v>A</v>
      </c>
      <c r="Q13" s="89" t="n">
        <f aca="false">IF(AND($A13&lt;&gt;"",ISNUMBER(E13)),IF(E13&gt;0,1,0),0)</f>
        <v>1</v>
      </c>
      <c r="R13" s="43" t="str">
        <f aca="false">IF(Q13=1,UPPER(LEFT($A13,FIND(" ",$A13&amp;" ")-1)),"")</f>
        <v>GS</v>
      </c>
      <c r="S13" s="89" t="n">
        <f aca="false">IF(Q13=1,IF(OR(ISNUMBER(SEARCH("Float",$A13)),ISNUMBER(SEARCH("FRN",$A13))),1,0),0)</f>
        <v>0</v>
      </c>
      <c r="T13" s="43" t="str">
        <f aca="false">IF(AND(Q13=1,ISNUMBER(I13)),TEXT(I13,"yyyymmdd")&amp;"|"&amp;IF(S13=1,"F",TEXT(J13,"0.000")),"")</f>
        <v>20290423|3.814</v>
      </c>
      <c r="U13" s="90" t="n">
        <f aca="false">IF(AND(Q13=1,ISNUMBER(I13)),(I13-설정!$C$4)/365.25,"")</f>
        <v>2.55989048596851</v>
      </c>
      <c r="V13" s="43" t="str">
        <f aca="false">IF(Q13&lt;&gt;1,"",IF(ISNUMBER(U13),IF(U13&lt;=1,"1년 이하",IF(U13&lt;=2,"1-2년",IF(U13&lt;=3,"2-3년",IF(U13&lt;=4,"3-4년",IF(U13&lt;=5,"4-5년",IF(U13&lt;=7,"5-7년",IF(U13&lt;=10,"7-10년",IF(U13&lt;=20,"10-20년","20년 이상")))))))),"미분류"))</f>
        <v>2-3년</v>
      </c>
      <c r="W13" s="43" t="str">
        <f aca="false">IF(Q13&lt;&gt;1,"",IF(AB13&lt;&gt;"",INDEX(시장분석!$C:$C,AB13),IF(K13=1,"USD","비USD")))</f>
        <v>USD</v>
      </c>
      <c r="X13" s="91" t="n">
        <f aca="false">IF(Q13=1,E13*K13/1000000,0)</f>
        <v>1.5</v>
      </c>
      <c r="Y13" s="89" t="n">
        <f aca="false">IF(R13="T",1,0)</f>
        <v>0</v>
      </c>
      <c r="Z13" s="92" t="n">
        <f aca="false">IF(Q13&lt;&gt;1,"",IF(AD13=1,IF(ISNUMBER(U13),MAX(U13,0),H13),H13))</f>
        <v>1.4529</v>
      </c>
      <c r="AA13" s="91" t="n">
        <f aca="false">IF(Q13=1,IF(ISNUMBER(L13),L13,0)*K13/1000000,0)</f>
        <v>1.4635515</v>
      </c>
      <c r="AB13" s="89" t="n">
        <f aca="false">IF(Q13&lt;&gt;1,"",IFERROR(MATCH(VLOOKUP(B13,매핑!$H$4:$I$15,2,0),시장분석!$A$2:$A$601,0)+1,IFERROR(MATCH(R13&amp;"|"&amp;T13,시장분석!$V$2:$V$601,0)+1,IF(COUNTIF(시장분석!$U$2:$U$601,T13)=1,MATCH(T13,시장분석!$U$2:$U$601,0)+1,""))))</f>
        <v>44</v>
      </c>
      <c r="AC13" s="89" t="n">
        <f aca="false">IF(Q13&lt;&gt;1,0,IF(OR(설정!$C$5="전체",AND(설정!$C$5="선택펀드",IFERROR(COUNTIFS(설정!$F$16:$F$36,C13,설정!$G$16:$G$36,"Y")+COUNTIFS(설정!$F$16:$F$36,VALUE(C13),설정!$G$16:$G$36,"Y"),0)&gt;0),C13&amp;""=설정!$C$5&amp;""),1,0))</f>
        <v>1</v>
      </c>
      <c r="AD13" s="89" t="n">
        <f aca="false">IF(Q13&lt;&gt;1,0,IF(OR(S13=1,IF(AB13="",FALSE(),INDEX(시장분석!$R:$R,AB13)=1)),1,0))</f>
        <v>0</v>
      </c>
      <c r="AE13" s="43" t="str">
        <f aca="false">IF(AB13="","",INDEX(시장분석!$A:$A,AB13))</f>
        <v>GS 3.814 04/23/29</v>
      </c>
      <c r="AF13" s="93" t="n">
        <f aca="false">IF(AB13="","",IF(ISNUMBER(IF(AB13="","",INDEX(시장분석!$E:$E,AB13))),IF(AB13="","",INDEX(시장분석!$E:$E,AB13)),""))</f>
        <v>59.085</v>
      </c>
      <c r="AG13" s="43" t="str">
        <f aca="false">IF(Q13&lt;&gt;1,"",IF(AB13&lt;&gt;"",IF(AB13="","",INDEX(시장분석!$L:$L,AB13)),IFERROR(IF(VLOOKUP(R13,매핑!$A$4:$E$92,5,0)="","미분류",VLOOKUP(R13,매핑!$A$4:$E$92,5,0)),"미분류")))</f>
        <v>금융기관</v>
      </c>
      <c r="AH13" s="43" t="str">
        <f aca="false">IF(Q13&lt;&gt;1,"",IF(AB13&lt;&gt;"",IF(AB13="","",INDEX(시장분석!$N:$N,AB13)),IFERROR(IF(VLOOKUP(R13,매핑!$A$4:$E$92,4,0)="","미분류",VLOOKUP(R13,매핑!$A$4:$E$92,4,0)),"미분류")))</f>
        <v>미국</v>
      </c>
      <c r="AI13" s="43" t="str">
        <f aca="false">IF(Q13&lt;&gt;1,"",IFERROR(IF(VLOOKUP(R13,매핑!$A$4:$E$92,3,0)="","미분류",VLOOKUP(R13,매핑!$A$4:$E$92,3,0)),IF(AB13&lt;&gt;"",IF(AB13="","",INDEX(시장분석!$W:$W,AB13)),"미분류")))</f>
        <v>미국</v>
      </c>
      <c r="AJ13" s="43" t="str">
        <f aca="false">IF(Q13&lt;&gt;1,"",IFERROR(VLOOKUP(IF(N13&lt;&gt;"",N13,IF(P13&lt;&gt;"",P13,O13)),설정!$A$15:$D$47,2,0),""))</f>
        <v>BBB+</v>
      </c>
      <c r="AK13" s="43" t="str">
        <f aca="false">IF(Q13&lt;&gt;1,"",IF(AJ13="","무등급",IFERROR(VLOOKUP(AJ13,설정!$A$15:$D$47,3,0),"무등급")))</f>
        <v>BBB</v>
      </c>
      <c r="AL13" s="89" t="n">
        <f aca="false">IF(AJ13="",99,IFERROR(VLOOKUP(AJ13,설정!$A$15:$D$47,4,0),99))</f>
        <v>8</v>
      </c>
      <c r="AM13" s="94" t="n">
        <f aca="false">IF(ISNUMBER(H13),AA13*1000000*H13/10000,0)</f>
        <v>212.639397435</v>
      </c>
      <c r="AN13" s="94" t="n">
        <f aca="false">IF(OR(Y13=1,NOT(ISNUMBER(Z13))),0,AA13*1000000*Z13/10000)</f>
        <v>212.639397435</v>
      </c>
      <c r="AO13" s="94" t="n">
        <f aca="false">IF(ISNUMBER(G13),AA13*1000000*G13/100,0)</f>
        <v>76804.255617</v>
      </c>
      <c r="AP13" s="94" t="n">
        <f aca="false">IF(ISNUMBER(M13),M13*K13,0)</f>
        <v>-15553.5</v>
      </c>
      <c r="AQ13" s="95" t="n">
        <f aca="false">IF(AB13="","",INDEX(시장분석!$AK:$AK,AB13))</f>
        <v>0.227426645266896</v>
      </c>
      <c r="AR13" s="43" t="str">
        <f aca="false">IF(AB13="","-",IF(AB13="","",INDEX(시장분석!$AL:$AL,AB13)))</f>
        <v>Fair</v>
      </c>
      <c r="AS13" s="96" t="n">
        <f aca="false">IF(AB13="","",INDEX(시장분석!$AJ:$AJ,AB13))</f>
        <v>3.11055539783837</v>
      </c>
      <c r="AT13" s="93" t="n">
        <f aca="false">IF(AB13="",0,IF(AB13="","",INDEX(시장분석!$AN:$AN,AB13)))</f>
        <v>22.7265123640631</v>
      </c>
      <c r="AU13" s="94" t="n">
        <f aca="false">IF(ISNUMBER(Z13),AT13/10000*MAX(Z13-1,0)*AA13*1000000,0)</f>
        <v>1506.40976887414</v>
      </c>
      <c r="AV13" s="94" t="n">
        <f aca="false">AO13+AU13</f>
        <v>78310.6653858741</v>
      </c>
      <c r="AW13" s="43" t="str">
        <f aca="false">IF(Q13&lt;&gt;1,"",TRIM(IF(AD13=1,"FRN ","")&amp;IF(AND(AL13&gt;=10,AL13&lt;99),"BBB0미만 ","")&amp;IF(AJ13="","등급없음 ","")&amp;IF(K13&lt;&gt;1,"비USD ","")&amp;IF(AND(AB13="",Y13=0),"시장데이터없음 ","")&amp;IF(AND(ISNUMBER(U13),U13&lt;0),"만기경과 ","")))</f>
        <v/>
      </c>
      <c r="AX13" s="90" t="n">
        <f aca="false">IF(Q13&lt;&gt;1,1,IF(스프레드쇼크!$C$4="Y",INDEX(스프레드쇼크!$B$12:$L$16,IFERROR(MATCH(AH13,스프레드쇼크!$A$12:$A$16,0),MATCH("목록외",스프레드쇼크!$A$12:$A$16,0)),IFERROR(MATCH(AG13,스프레드쇼크!$B$11:$L$11,0),MATCH("목록외",스프레드쇼크!$B$11:$L$11,0))),1))</f>
        <v>1</v>
      </c>
      <c r="AY13" s="90" t="n">
        <f aca="false">IF(스프레드쇼크!$C$5="Y",IF(ISNUMBER(AF13),MIN(스프레드쇼크!$C$7,MAX(스프레드쇼크!$C$6,AF13/스프레드쇼크!$C$8)),1),1)</f>
        <v>0.893683555099076</v>
      </c>
      <c r="AZ13" s="94" t="n">
        <f aca="false">AN13*AX13*AY13</f>
        <v>190.032332653836</v>
      </c>
      <c r="BA13" s="90" t="n">
        <f aca="false">IF(ISNUMBER(G13),AA13*G13,0)</f>
        <v>7.6804255617</v>
      </c>
      <c r="BB13" s="90" t="n">
        <f aca="false">IF(ISNUMBER(G13),AA13,0)</f>
        <v>1.4635515</v>
      </c>
      <c r="BC13" s="90" t="n">
        <f aca="false">IF(AND(Y13=0,ISNUMBER(AF13)),AA13*AF13,0)</f>
        <v>86.4739403775</v>
      </c>
      <c r="BD13" s="90" t="n">
        <f aca="false">IF(AND(Y13=0,ISNUMBER(AF13)),AA13,0)</f>
        <v>1.4635515</v>
      </c>
      <c r="BE13" s="90" t="n">
        <f aca="false">IF(ISNUMBER(H13),AA13*H13,0)</f>
        <v>2.12639397435</v>
      </c>
      <c r="BF13" s="90" t="n">
        <f aca="false">IF(ISNUMBER(H13),AA13,0)</f>
        <v>1.4635515</v>
      </c>
      <c r="BG13" s="90" t="n">
        <f aca="false">IF(AND(Y13=0,ISNUMBER(AF13),ISNUMBER(Z13)),AA13*Z13,0)</f>
        <v>2.12639397435</v>
      </c>
      <c r="BH13" s="90" t="n">
        <f aca="false">IF(AND(Y13=0,ISNUMBER(AF13),ISNUMBER(Z13)),AA13*AT13*MAX(Z13-1,0),0)</f>
        <v>15.0640976887414</v>
      </c>
      <c r="BI13" s="90" t="n">
        <f aca="false">IF(Y13=0,AA13,0)</f>
        <v>1.4635515</v>
      </c>
    </row>
    <row r="14" customFormat="false" ht="15" hidden="false" customHeight="false" outlineLevel="0" collapsed="false">
      <c r="A14" s="83" t="str">
        <f aca="false">IFERROR(IF(INDEX(원자료_잔고!$A$1:$EZ$1500,설정!$L$5+ROW()-1,설정!$L$8)&amp;""="0","",INDEX(원자료_잔고!$A$1:$EZ$1500,설정!$L$5+ROW()-1,설정!$L$8)&amp;""),"")</f>
        <v>HSBC 2.206 08/17/29</v>
      </c>
      <c r="B14" s="83" t="str">
        <f aca="false">IFERROR(IF(INDEX(원자료_잔고!$A$1:$EZ$1500,설정!$L$5+ROW()-1,설정!$L$7)&amp;""="0","",INDEX(원자료_잔고!$A$1:$EZ$1500,설정!$L$5+ROW()-1,설정!$L$7)&amp;""),"")</f>
        <v>US404280CV97</v>
      </c>
      <c r="C14" s="83" t="str">
        <f aca="false">IFERROR(IF(INDEX(원자료_잔고!$A$1:$EZ$1500,설정!$L$5+ROW()-1,설정!$L$9)&amp;""="0","",INDEX(원자료_잔고!$A$1:$EZ$1500,설정!$L$5+ROW()-1,설정!$L$9)&amp;""),"")</f>
        <v>28096</v>
      </c>
      <c r="D1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" s="84" t="n">
        <f aca="false">IFERROR(IF(ISNUMBER(INDEX(원자료_잔고!$A$1:$EZ$1500,설정!$L$5+ROW()-1,설정!$L$11)),INDEX(원자료_잔고!$A$1:$EZ$1500,설정!$L$5+ROW()-1,설정!$L$11),""),"")</f>
        <v>5000000</v>
      </c>
      <c r="F14" s="85" t="n">
        <f aca="false">IFERROR(IF(ISNUMBER(INDEX(원자료_잔고!$A$1:$EZ$1500,설정!$L$5+ROW()-1,설정!$L$12)),INDEX(원자료_잔고!$A$1:$EZ$1500,설정!$L$5+ROW()-1,설정!$L$12),""),"")</f>
        <v>94.1771</v>
      </c>
      <c r="G14" s="85" t="n">
        <f aca="false">IFERROR(IF(ISNUMBER(INDEX(원자료_잔고!$A$1:$EZ$1500,설정!$L$5+ROW()-1,설정!$L$13)),INDEX(원자료_잔고!$A$1:$EZ$1500,설정!$L$5+ROW()-1,설정!$L$13),""),"")</f>
        <v>5.1281</v>
      </c>
      <c r="H14" s="85" t="n">
        <f aca="false">IFERROR(IF(ISNUMBER(INDEX(원자료_잔고!$A$1:$EZ$1500,설정!$L$5+ROW()-1,설정!$L$14)),INDEX(원자료_잔고!$A$1:$EZ$1500,설정!$L$5+ROW()-1,설정!$L$14),""),"")</f>
        <v>1.7821</v>
      </c>
      <c r="I14" s="86" t="n">
        <f aca="false">IFERROR(IF(ISNUMBER(INDEX(원자료_잔고!$A$1:$EZ$1500,설정!$L$5+ROW()-1,설정!$L$15)),INDEX(원자료_잔고!$A$1:$EZ$1500,설정!$L$5+ROW()-1,설정!$L$15),""),"")</f>
        <v>47347</v>
      </c>
      <c r="J14" s="85" t="n">
        <f aca="false">IFERROR(IF(ISNUMBER(INDEX(원자료_잔고!$A$1:$EZ$1500,설정!$L$5+ROW()-1,설정!$L$16)),INDEX(원자료_잔고!$A$1:$EZ$1500,설정!$L$5+ROW()-1,설정!$L$16),""),"")</f>
        <v>2.206</v>
      </c>
      <c r="K14" s="87" t="n">
        <f aca="false">IFERROR(IF(ISNUMBER(INDEX(원자료_잔고!$A$1:$EZ$1500,설정!$L$5+ROW()-1,설정!$L$17)),INDEX(원자료_잔고!$A$1:$EZ$1500,설정!$L$5+ROW()-1,설정!$L$17),""),"")</f>
        <v>1</v>
      </c>
      <c r="L14" s="84" t="n">
        <f aca="false">IFERROR(IF(ISNUMBER(INDEX(원자료_잔고!$A$1:$EZ$1500,설정!$L$5+ROW()-1,설정!$L$18)),INDEX(원자료_잔고!$A$1:$EZ$1500,설정!$L$5+ROW()-1,설정!$L$18),""),"")</f>
        <v>4708855</v>
      </c>
      <c r="M14" s="88" t="n">
        <f aca="false">IFERROR(IF(ISNUMBER(INDEX(원자료_잔고!$A$1:$EZ$1500,설정!$L$5+ROW()-1,설정!$L$19)),INDEX(원자료_잔고!$A$1:$EZ$1500,설정!$L$5+ROW()-1,설정!$L$19),""),"")</f>
        <v>-41495</v>
      </c>
      <c r="N14" s="83" t="str">
        <f aca="false">IFERROR(IF(INDEX(원자료_잔고!$A$1:$EZ$1500,설정!$L$5+ROW()-1,설정!$L$21)&amp;""="0","",INDEX(원자료_잔고!$A$1:$EZ$1500,설정!$L$5+ROW()-1,설정!$L$21)&amp;""),"")</f>
        <v>A-</v>
      </c>
      <c r="O14" s="83" t="str">
        <f aca="false">IFERROR(IF(INDEX(원자료_잔고!$A$1:$EZ$1500,설정!$L$5+ROW()-1,설정!$L$22)&amp;""="0","",INDEX(원자료_잔고!$A$1:$EZ$1500,설정!$L$5+ROW()-1,설정!$L$22)&amp;""),"")</f>
        <v/>
      </c>
      <c r="P14" s="83" t="str">
        <f aca="false">IFERROR(IF(INDEX(원자료_잔고!$A$1:$EZ$1500,설정!$L$5+ROW()-1,설정!$L$23)&amp;""="0","",INDEX(원자료_잔고!$A$1:$EZ$1500,설정!$L$5+ROW()-1,설정!$L$23)&amp;""),"")</f>
        <v>A+</v>
      </c>
      <c r="Q14" s="89" t="n">
        <f aca="false">IF(AND($A14&lt;&gt;"",ISNUMBER(E14)),IF(E14&gt;0,1,0),0)</f>
        <v>1</v>
      </c>
      <c r="R14" s="43" t="str">
        <f aca="false">IF(Q14=1,UPPER(LEFT($A14,FIND(" ",$A14&amp;" ")-1)),"")</f>
        <v>HSBC</v>
      </c>
      <c r="S14" s="89" t="n">
        <f aca="false">IF(Q14=1,IF(OR(ISNUMBER(SEARCH("Float",$A14)),ISNUMBER(SEARCH("FRN",$A14))),1,0),0)</f>
        <v>0</v>
      </c>
      <c r="T14" s="43" t="str">
        <f aca="false">IF(AND(Q14=1,ISNUMBER(I14)),TEXT(I14,"yyyymmdd")&amp;"|"&amp;IF(S14=1,"F",TEXT(J14,"0.000")),"")</f>
        <v>20290817|2.206</v>
      </c>
      <c r="U14" s="90" t="n">
        <f aca="false">IF(AND(Q14=1,ISNUMBER(I14)),(I14-설정!$C$4)/365.25,"")</f>
        <v>2.87748117727584</v>
      </c>
      <c r="V14" s="43" t="str">
        <f aca="false">IF(Q14&lt;&gt;1,"",IF(ISNUMBER(U14),IF(U14&lt;=1,"1년 이하",IF(U14&lt;=2,"1-2년",IF(U14&lt;=3,"2-3년",IF(U14&lt;=4,"3-4년",IF(U14&lt;=5,"4-5년",IF(U14&lt;=7,"5-7년",IF(U14&lt;=10,"7-10년",IF(U14&lt;=20,"10-20년","20년 이상")))))))),"미분류"))</f>
        <v>2-3년</v>
      </c>
      <c r="W14" s="43" t="str">
        <f aca="false">IF(Q14&lt;&gt;1,"",IF(AB14&lt;&gt;"",INDEX(시장분석!$C:$C,AB14),IF(K14=1,"USD","비USD")))</f>
        <v>USD</v>
      </c>
      <c r="X14" s="91" t="n">
        <f aca="false">IF(Q14=1,E14*K14/1000000,0)</f>
        <v>5</v>
      </c>
      <c r="Y14" s="89" t="n">
        <f aca="false">IF(R14="T",1,0)</f>
        <v>0</v>
      </c>
      <c r="Z14" s="92" t="n">
        <f aca="false">IF(Q14&lt;&gt;1,"",IF(AD14=1,IF(ISNUMBER(U14),MAX(U14,0),H14),H14))</f>
        <v>1.7821</v>
      </c>
      <c r="AA14" s="91" t="n">
        <f aca="false">IF(Q14=1,IF(ISNUMBER(L14),L14,0)*K14/1000000,0)</f>
        <v>4.708855</v>
      </c>
      <c r="AB14" s="89" t="n">
        <f aca="false">IF(Q14&lt;&gt;1,"",IFERROR(MATCH(VLOOKUP(B14,매핑!$H$4:$I$15,2,0),시장분석!$A$2:$A$601,0)+1,IFERROR(MATCH(R14&amp;"|"&amp;T14,시장분석!$V$2:$V$601,0)+1,IF(COUNTIF(시장분석!$U$2:$U$601,T14)=1,MATCH(T14,시장분석!$U$2:$U$601,0)+1,""))))</f>
        <v>49</v>
      </c>
      <c r="AC14" s="89" t="n">
        <f aca="false">IF(Q14&lt;&gt;1,0,IF(OR(설정!$C$5="전체",AND(설정!$C$5="선택펀드",IFERROR(COUNTIFS(설정!$F$16:$F$36,C14,설정!$G$16:$G$36,"Y")+COUNTIFS(설정!$F$16:$F$36,VALUE(C14),설정!$G$16:$G$36,"Y"),0)&gt;0),C14&amp;""=설정!$C$5&amp;""),1,0))</f>
        <v>1</v>
      </c>
      <c r="AD14" s="89" t="n">
        <f aca="false">IF(Q14&lt;&gt;1,0,IF(OR(S14=1,IF(AB14="",FALSE(),INDEX(시장분석!$R:$R,AB14)=1)),1,0))</f>
        <v>0</v>
      </c>
      <c r="AE14" s="43" t="str">
        <f aca="false">IF(AB14="","",INDEX(시장분석!$A:$A,AB14))</f>
        <v>HSBC 2.206 08/17/29</v>
      </c>
      <c r="AF14" s="93" t="n">
        <f aca="false">IF(AB14="","",IF(ISNUMBER(IF(AB14="","",INDEX(시장분석!$E:$E,AB14))),IF(AB14="","",INDEX(시장분석!$E:$E,AB14)),""))</f>
        <v>62.799</v>
      </c>
      <c r="AG14" s="43" t="str">
        <f aca="false">IF(Q14&lt;&gt;1,"",IF(AB14&lt;&gt;"",IF(AB14="","",INDEX(시장분석!$L:$L,AB14)),IFERROR(IF(VLOOKUP(R14,매핑!$A$4:$E$92,5,0)="","미분류",VLOOKUP(R14,매핑!$A$4:$E$92,5,0)),"미분류")))</f>
        <v>금융기관</v>
      </c>
      <c r="AH14" s="43" t="str">
        <f aca="false">IF(Q14&lt;&gt;1,"",IF(AB14&lt;&gt;"",IF(AB14="","",INDEX(시장분석!$N:$N,AB14)),IFERROR(IF(VLOOKUP(R14,매핑!$A$4:$E$92,4,0)="","미분류",VLOOKUP(R14,매핑!$A$4:$E$92,4,0)),"미분류")))</f>
        <v>유럽</v>
      </c>
      <c r="AI14" s="43" t="str">
        <f aca="false">IF(Q14&lt;&gt;1,"",IFERROR(IF(VLOOKUP(R14,매핑!$A$4:$E$92,3,0)="","미분류",VLOOKUP(R14,매핑!$A$4:$E$92,3,0)),IF(AB14&lt;&gt;"",IF(AB14="","",INDEX(시장분석!$W:$W,AB14)),"미분류")))</f>
        <v>영국</v>
      </c>
      <c r="AJ14" s="43" t="str">
        <f aca="false">IF(Q14&lt;&gt;1,"",IFERROR(VLOOKUP(IF(N14&lt;&gt;"",N14,IF(P14&lt;&gt;"",P14,O14)),설정!$A$15:$D$47,2,0),""))</f>
        <v>A-</v>
      </c>
      <c r="AK14" s="43" t="str">
        <f aca="false">IF(Q14&lt;&gt;1,"",IF(AJ14="","무등급",IFERROR(VLOOKUP(AJ14,설정!$A$15:$D$47,3,0),"무등급")))</f>
        <v>A</v>
      </c>
      <c r="AL14" s="89" t="n">
        <f aca="false">IF(AJ14="",99,IFERROR(VLOOKUP(AJ14,설정!$A$15:$D$47,4,0),99))</f>
        <v>7</v>
      </c>
      <c r="AM14" s="94" t="n">
        <f aca="false">IF(ISNUMBER(H14),AA14*1000000*H14/10000,0)</f>
        <v>839.16504955</v>
      </c>
      <c r="AN14" s="94" t="n">
        <f aca="false">IF(OR(Y14=1,NOT(ISNUMBER(Z14))),0,AA14*1000000*Z14/10000)</f>
        <v>839.16504955</v>
      </c>
      <c r="AO14" s="94" t="n">
        <f aca="false">IF(ISNUMBER(G14),AA14*1000000*G14/100,0)</f>
        <v>241474.793255</v>
      </c>
      <c r="AP14" s="94" t="n">
        <f aca="false">IF(ISNUMBER(M14),M14*K14,0)</f>
        <v>-41495</v>
      </c>
      <c r="AQ14" s="95" t="n">
        <f aca="false">IF(AB14="","",INDEX(시장분석!$AK:$AK,AB14))</f>
        <v>0.0698846528516006</v>
      </c>
      <c r="AR14" s="43" t="str">
        <f aca="false">IF(AB14="","-",IF(AB14="","",INDEX(시장분석!$AL:$AL,AB14)))</f>
        <v>Fair</v>
      </c>
      <c r="AS14" s="96" t="n">
        <f aca="false">IF(AB14="","",INDEX(시장분석!$AJ:$AJ,AB14))</f>
        <v>0.767912209711632</v>
      </c>
      <c r="AT14" s="93" t="n">
        <f aca="false">IF(AB14="",0,IF(AB14="","",INDEX(시장분석!$AN:$AN,AB14)))</f>
        <v>23.9608295121688</v>
      </c>
      <c r="AU14" s="94" t="n">
        <f aca="false">IF(ISNUMBER(Z14),AT14/10000*MAX(Z14-1,0)*AA14*1000000,0)</f>
        <v>8824.28349958587</v>
      </c>
      <c r="AV14" s="94" t="n">
        <f aca="false">AO14+AU14</f>
        <v>250299.076754586</v>
      </c>
      <c r="AW14" s="43" t="str">
        <f aca="false">IF(Q14&lt;&gt;1,"",TRIM(IF(AD14=1,"FRN ","")&amp;IF(AND(AL14&gt;=10,AL14&lt;99),"BBB0미만 ","")&amp;IF(AJ14="","등급없음 ","")&amp;IF(K14&lt;&gt;1,"비USD ","")&amp;IF(AND(AB14="",Y14=0),"시장데이터없음 ","")&amp;IF(AND(ISNUMBER(U14),U14&lt;0),"만기경과 ","")))</f>
        <v/>
      </c>
      <c r="AX14" s="90" t="n">
        <f aca="false">IF(Q14&lt;&gt;1,1,IF(스프레드쇼크!$C$4="Y",INDEX(스프레드쇼크!$B$12:$L$16,IFERROR(MATCH(AH14,스프레드쇼크!$A$12:$A$16,0),MATCH("목록외",스프레드쇼크!$A$12:$A$16,0)),IFERROR(MATCH(AG14,스프레드쇼크!$B$11:$L$11,0),MATCH("목록외",스프레드쇼크!$B$11:$L$11,0))),1))</f>
        <v>1</v>
      </c>
      <c r="AY14" s="90" t="n">
        <f aca="false">IF(스프레드쇼크!$C$5="Y",IF(ISNUMBER(AF14),MIN(스프레드쇼크!$C$7,MAX(스프레드쇼크!$C$6,AF14/스프레드쇼크!$C$8)),1),1)</f>
        <v>0.949859246452854</v>
      </c>
      <c r="AZ14" s="94" t="n">
        <f aca="false">AN14*AX14*AY14</f>
        <v>797.088681615135</v>
      </c>
      <c r="BA14" s="90" t="n">
        <f aca="false">IF(ISNUMBER(G14),AA14*G14,0)</f>
        <v>24.1474793255</v>
      </c>
      <c r="BB14" s="90" t="n">
        <f aca="false">IF(ISNUMBER(G14),AA14,0)</f>
        <v>4.708855</v>
      </c>
      <c r="BC14" s="90" t="n">
        <f aca="false">IF(AND(Y14=0,ISNUMBER(AF14)),AA14*AF14,0)</f>
        <v>295.711385145</v>
      </c>
      <c r="BD14" s="90" t="n">
        <f aca="false">IF(AND(Y14=0,ISNUMBER(AF14)),AA14,0)</f>
        <v>4.708855</v>
      </c>
      <c r="BE14" s="90" t="n">
        <f aca="false">IF(ISNUMBER(H14),AA14*H14,0)</f>
        <v>8.3916504955</v>
      </c>
      <c r="BF14" s="90" t="n">
        <f aca="false">IF(ISNUMBER(H14),AA14,0)</f>
        <v>4.708855</v>
      </c>
      <c r="BG14" s="90" t="n">
        <f aca="false">IF(AND(Y14=0,ISNUMBER(AF14),ISNUMBER(Z14)),AA14*Z14,0)</f>
        <v>8.3916504955</v>
      </c>
      <c r="BH14" s="90" t="n">
        <f aca="false">IF(AND(Y14=0,ISNUMBER(AF14),ISNUMBER(Z14)),AA14*AT14*MAX(Z14-1,0),0)</f>
        <v>88.2428349958587</v>
      </c>
      <c r="BI14" s="90" t="n">
        <f aca="false">IF(Y14=0,AA14,0)</f>
        <v>4.708855</v>
      </c>
    </row>
    <row r="15" customFormat="false" ht="15" hidden="false" customHeight="false" outlineLevel="0" collapsed="false">
      <c r="A15" s="83" t="str">
        <f aca="false">IFERROR(IF(INDEX(원자료_잔고!$A$1:$EZ$1500,설정!$L$5+ROW()-1,설정!$L$8)&amp;""="0","",INDEX(원자료_잔고!$A$1:$EZ$1500,설정!$L$5+ROW()-1,설정!$L$8)&amp;""),"")</f>
        <v>HSBC 4.675 03/10/32</v>
      </c>
      <c r="B15" s="83" t="str">
        <f aca="false">IFERROR(IF(INDEX(원자료_잔고!$A$1:$EZ$1500,설정!$L$5+ROW()-1,설정!$L$7)&amp;""="0","",INDEX(원자료_잔고!$A$1:$EZ$1500,설정!$L$5+ROW()-1,설정!$L$7)&amp;""),"")</f>
        <v>US404280FL88</v>
      </c>
      <c r="C15" s="83" t="str">
        <f aca="false">IFERROR(IF(INDEX(원자료_잔고!$A$1:$EZ$1500,설정!$L$5+ROW()-1,설정!$L$9)&amp;""="0","",INDEX(원자료_잔고!$A$1:$EZ$1500,설정!$L$5+ROW()-1,설정!$L$9)&amp;""),"")</f>
        <v>28096</v>
      </c>
      <c r="D1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" s="84" t="n">
        <f aca="false">IFERROR(IF(ISNUMBER(INDEX(원자료_잔고!$A$1:$EZ$1500,설정!$L$5+ROW()-1,설정!$L$11)),INDEX(원자료_잔고!$A$1:$EZ$1500,설정!$L$5+ROW()-1,설정!$L$11),""),"")</f>
        <v>10000000</v>
      </c>
      <c r="F15" s="85" t="n">
        <f aca="false">IFERROR(IF(ISNUMBER(INDEX(원자료_잔고!$A$1:$EZ$1500,설정!$L$5+ROW()-1,설정!$L$12)),INDEX(원자료_잔고!$A$1:$EZ$1500,설정!$L$5+ROW()-1,설정!$L$12),""),"")</f>
        <v>95.1209</v>
      </c>
      <c r="G15" s="85" t="n">
        <f aca="false">IFERROR(IF(ISNUMBER(INDEX(원자료_잔고!$A$1:$EZ$1500,설정!$L$5+ROW()-1,설정!$L$13)),INDEX(원자료_잔고!$A$1:$EZ$1500,설정!$L$5+ROW()-1,설정!$L$13),""),"")</f>
        <v>5.8725</v>
      </c>
      <c r="H15" s="85" t="n">
        <f aca="false">IFERROR(IF(ISNUMBER(INDEX(원자료_잔고!$A$1:$EZ$1500,설정!$L$5+ROW()-1,설정!$L$14)),INDEX(원자료_잔고!$A$1:$EZ$1500,설정!$L$5+ROW()-1,설정!$L$14),""),"")</f>
        <v>3.8846</v>
      </c>
      <c r="I15" s="86" t="n">
        <f aca="false">IFERROR(IF(ISNUMBER(INDEX(원자료_잔고!$A$1:$EZ$1500,설정!$L$5+ROW()-1,설정!$L$15)),INDEX(원자료_잔고!$A$1:$EZ$1500,설정!$L$5+ROW()-1,설정!$L$15),""),"")</f>
        <v>48283</v>
      </c>
      <c r="J15" s="85" t="n">
        <f aca="false">IFERROR(IF(ISNUMBER(INDEX(원자료_잔고!$A$1:$EZ$1500,설정!$L$5+ROW()-1,설정!$L$16)),INDEX(원자료_잔고!$A$1:$EZ$1500,설정!$L$5+ROW()-1,설정!$L$16),""),"")</f>
        <v>4.675</v>
      </c>
      <c r="K15" s="87" t="n">
        <f aca="false">IFERROR(IF(ISNUMBER(INDEX(원자료_잔고!$A$1:$EZ$1500,설정!$L$5+ROW()-1,설정!$L$17)),INDEX(원자료_잔고!$A$1:$EZ$1500,설정!$L$5+ROW()-1,설정!$L$17),""),"")</f>
        <v>1</v>
      </c>
      <c r="L15" s="84" t="n">
        <f aca="false">IFERROR(IF(ISNUMBER(INDEX(원자료_잔고!$A$1:$EZ$1500,설정!$L$5+ROW()-1,설정!$L$18)),INDEX(원자료_잔고!$A$1:$EZ$1500,설정!$L$5+ROW()-1,설정!$L$18),""),"")</f>
        <v>9512090</v>
      </c>
      <c r="M15" s="88" t="n">
        <f aca="false">IFERROR(IF(ISNUMBER(INDEX(원자료_잔고!$A$1:$EZ$1500,설정!$L$5+ROW()-1,설정!$L$19)),INDEX(원자료_잔고!$A$1:$EZ$1500,설정!$L$5+ROW()-1,설정!$L$19),""),"")</f>
        <v>-351910</v>
      </c>
      <c r="N15" s="83" t="str">
        <f aca="false">IFERROR(IF(INDEX(원자료_잔고!$A$1:$EZ$1500,설정!$L$5+ROW()-1,설정!$L$21)&amp;""="0","",INDEX(원자료_잔고!$A$1:$EZ$1500,설정!$L$5+ROW()-1,설정!$L$21)&amp;""),"")</f>
        <v>A-</v>
      </c>
      <c r="O15" s="83" t="str">
        <f aca="false">IFERROR(IF(INDEX(원자료_잔고!$A$1:$EZ$1500,설정!$L$5+ROW()-1,설정!$L$22)&amp;""="0","",INDEX(원자료_잔고!$A$1:$EZ$1500,설정!$L$5+ROW()-1,설정!$L$22)&amp;""),"")</f>
        <v/>
      </c>
      <c r="P15" s="83" t="str">
        <f aca="false">IFERROR(IF(INDEX(원자료_잔고!$A$1:$EZ$1500,설정!$L$5+ROW()-1,설정!$L$23)&amp;""="0","",INDEX(원자료_잔고!$A$1:$EZ$1500,설정!$L$5+ROW()-1,설정!$L$23)&amp;""),"")</f>
        <v>A+</v>
      </c>
      <c r="Q15" s="89" t="n">
        <f aca="false">IF(AND($A15&lt;&gt;"",ISNUMBER(E15)),IF(E15&gt;0,1,0),0)</f>
        <v>1</v>
      </c>
      <c r="R15" s="43" t="str">
        <f aca="false">IF(Q15=1,UPPER(LEFT($A15,FIND(" ",$A15&amp;" ")-1)),"")</f>
        <v>HSBC</v>
      </c>
      <c r="S15" s="89" t="n">
        <f aca="false">IF(Q15=1,IF(OR(ISNUMBER(SEARCH("Float",$A15)),ISNUMBER(SEARCH("FRN",$A15))),1,0),0)</f>
        <v>0</v>
      </c>
      <c r="T15" s="43" t="str">
        <f aca="false">IF(AND(Q15=1,ISNUMBER(I15)),TEXT(I15,"yyyymmdd")&amp;"|"&amp;IF(S15=1,"F",TEXT(J15,"0.000")),"")</f>
        <v>20320310|4.675</v>
      </c>
      <c r="U15" s="90" t="n">
        <f aca="false">IF(AND(Q15=1,ISNUMBER(I15)),(I15-설정!$C$4)/365.25,"")</f>
        <v>5.44010951403149</v>
      </c>
      <c r="V15" s="43" t="str">
        <f aca="false">IF(Q15&lt;&gt;1,"",IF(ISNUMBER(U15),IF(U15&lt;=1,"1년 이하",IF(U15&lt;=2,"1-2년",IF(U15&lt;=3,"2-3년",IF(U15&lt;=4,"3-4년",IF(U15&lt;=5,"4-5년",IF(U15&lt;=7,"5-7년",IF(U15&lt;=10,"7-10년",IF(U15&lt;=20,"10-20년","20년 이상")))))))),"미분류"))</f>
        <v>5-7년</v>
      </c>
      <c r="W15" s="43" t="str">
        <f aca="false">IF(Q15&lt;&gt;1,"",IF(AB15&lt;&gt;"",INDEX(시장분석!$C:$C,AB15),IF(K15=1,"USD","비USD")))</f>
        <v>USD</v>
      </c>
      <c r="X15" s="91" t="n">
        <f aca="false">IF(Q15=1,E15*K15/1000000,0)</f>
        <v>10</v>
      </c>
      <c r="Y15" s="89" t="n">
        <f aca="false">IF(R15="T",1,0)</f>
        <v>0</v>
      </c>
      <c r="Z15" s="92" t="n">
        <f aca="false">IF(Q15&lt;&gt;1,"",IF(AD15=1,IF(ISNUMBER(U15),MAX(U15,0),H15),H15))</f>
        <v>3.8846</v>
      </c>
      <c r="AA15" s="91" t="n">
        <f aca="false">IF(Q15=1,IF(ISNUMBER(L15),L15,0)*K15/1000000,0)</f>
        <v>9.51209</v>
      </c>
      <c r="AB15" s="89" t="n">
        <f aca="false">IF(Q15&lt;&gt;1,"",IFERROR(MATCH(VLOOKUP(B15,매핑!$H$4:$I$15,2,0),시장분석!$A$2:$A$601,0)+1,IFERROR(MATCH(R15&amp;"|"&amp;T15,시장분석!$V$2:$V$601,0)+1,IF(COUNTIF(시장분석!$U$2:$U$601,T15)=1,MATCH(T15,시장분석!$U$2:$U$601,0)+1,""))))</f>
        <v>55</v>
      </c>
      <c r="AC15" s="89" t="n">
        <f aca="false">IF(Q15&lt;&gt;1,0,IF(OR(설정!$C$5="전체",AND(설정!$C$5="선택펀드",IFERROR(COUNTIFS(설정!$F$16:$F$36,C15,설정!$G$16:$G$36,"Y")+COUNTIFS(설정!$F$16:$F$36,VALUE(C15),설정!$G$16:$G$36,"Y"),0)&gt;0),C15&amp;""=설정!$C$5&amp;""),1,0))</f>
        <v>1</v>
      </c>
      <c r="AD15" s="89" t="n">
        <f aca="false">IF(Q15&lt;&gt;1,0,IF(OR(S15=1,IF(AB15="",FALSE(),INDEX(시장분석!$R:$R,AB15)=1)),1,0))</f>
        <v>0</v>
      </c>
      <c r="AE15" s="43" t="str">
        <f aca="false">IF(AB15="","",INDEX(시장분석!$A:$A,AB15))</f>
        <v>HSBC 4.675 03/10/32</v>
      </c>
      <c r="AF15" s="93" t="n">
        <f aca="false">IF(AB15="","",IF(ISNUMBER(IF(AB15="","",INDEX(시장분석!$E:$E,AB15))),IF(AB15="","",INDEX(시장분석!$E:$E,AB15)),""))</f>
        <v>87.03</v>
      </c>
      <c r="AG15" s="43" t="str">
        <f aca="false">IF(Q15&lt;&gt;1,"",IF(AB15&lt;&gt;"",IF(AB15="","",INDEX(시장분석!$L:$L,AB15)),IFERROR(IF(VLOOKUP(R15,매핑!$A$4:$E$92,5,0)="","미분류",VLOOKUP(R15,매핑!$A$4:$E$92,5,0)),"미분류")))</f>
        <v>금융기관</v>
      </c>
      <c r="AH15" s="43" t="str">
        <f aca="false">IF(Q15&lt;&gt;1,"",IF(AB15&lt;&gt;"",IF(AB15="","",INDEX(시장분석!$N:$N,AB15)),IFERROR(IF(VLOOKUP(R15,매핑!$A$4:$E$92,4,0)="","미분류",VLOOKUP(R15,매핑!$A$4:$E$92,4,0)),"미분류")))</f>
        <v>유럽</v>
      </c>
      <c r="AI15" s="43" t="str">
        <f aca="false">IF(Q15&lt;&gt;1,"",IFERROR(IF(VLOOKUP(R15,매핑!$A$4:$E$92,3,0)="","미분류",VLOOKUP(R15,매핑!$A$4:$E$92,3,0)),IF(AB15&lt;&gt;"",IF(AB15="","",INDEX(시장분석!$W:$W,AB15)),"미분류")))</f>
        <v>영국</v>
      </c>
      <c r="AJ15" s="43" t="str">
        <f aca="false">IF(Q15&lt;&gt;1,"",IFERROR(VLOOKUP(IF(N15&lt;&gt;"",N15,IF(P15&lt;&gt;"",P15,O15)),설정!$A$15:$D$47,2,0),""))</f>
        <v>A-</v>
      </c>
      <c r="AK15" s="43" t="str">
        <f aca="false">IF(Q15&lt;&gt;1,"",IF(AJ15="","무등급",IFERROR(VLOOKUP(AJ15,설정!$A$15:$D$47,3,0),"무등급")))</f>
        <v>A</v>
      </c>
      <c r="AL15" s="89" t="n">
        <f aca="false">IF(AJ15="",99,IFERROR(VLOOKUP(AJ15,설정!$A$15:$D$47,4,0),99))</f>
        <v>7</v>
      </c>
      <c r="AM15" s="94" t="n">
        <f aca="false">IF(ISNUMBER(H15),AA15*1000000*H15/10000,0)</f>
        <v>3695.0664814</v>
      </c>
      <c r="AN15" s="94" t="n">
        <f aca="false">IF(OR(Y15=1,NOT(ISNUMBER(Z15))),0,AA15*1000000*Z15/10000)</f>
        <v>3695.0664814</v>
      </c>
      <c r="AO15" s="94" t="n">
        <f aca="false">IF(ISNUMBER(G15),AA15*1000000*G15/100,0)</f>
        <v>558597.48525</v>
      </c>
      <c r="AP15" s="94" t="n">
        <f aca="false">IF(ISNUMBER(M15),M15*K15,0)</f>
        <v>-351910</v>
      </c>
      <c r="AQ15" s="95" t="n">
        <f aca="false">IF(AB15="","",INDEX(시장분석!$AK:$AK,AB15))</f>
        <v>0.0896834889157397</v>
      </c>
      <c r="AR15" s="43" t="str">
        <f aca="false">IF(AB15="","-",IF(AB15="","",INDEX(시장분석!$AL:$AL,AB15)))</f>
        <v>Fair</v>
      </c>
      <c r="AS15" s="96" t="n">
        <f aca="false">IF(AB15="","",INDEX(시장분석!$AJ:$AJ,AB15))</f>
        <v>0.985467385724547</v>
      </c>
      <c r="AT15" s="93" t="n">
        <f aca="false">IF(AB15="",0,IF(AB15="","",INDEX(시장분석!$AN:$AN,AB15)))</f>
        <v>8.70484974711455</v>
      </c>
      <c r="AU15" s="94" t="n">
        <f aca="false">IF(ISNUMBER(Z15),AT15/10000*MAX(Z15-1,0)*AA15*1000000,0)</f>
        <v>23884.8671030832</v>
      </c>
      <c r="AV15" s="94" t="n">
        <f aca="false">AO15+AU15</f>
        <v>582482.352353083</v>
      </c>
      <c r="AW15" s="43" t="str">
        <f aca="false">IF(Q15&lt;&gt;1,"",TRIM(IF(AD15=1,"FRN ","")&amp;IF(AND(AL15&gt;=10,AL15&lt;99),"BBB0미만 ","")&amp;IF(AJ15="","등급없음 ","")&amp;IF(K15&lt;&gt;1,"비USD ","")&amp;IF(AND(AB15="",Y15=0),"시장데이터없음 ","")&amp;IF(AND(ISNUMBER(U15),U15&lt;0),"만기경과 ","")))</f>
        <v/>
      </c>
      <c r="AX15" s="90" t="n">
        <f aca="false">IF(Q15&lt;&gt;1,1,IF(스프레드쇼크!$C$4="Y",INDEX(스프레드쇼크!$B$12:$L$16,IFERROR(MATCH(AH15,스프레드쇼크!$A$12:$A$16,0),MATCH("목록외",스프레드쇼크!$A$12:$A$16,0)),IFERROR(MATCH(AG15,스프레드쇼크!$B$11:$L$11,0),MATCH("목록외",스프레드쇼크!$B$11:$L$11,0))),1))</f>
        <v>1</v>
      </c>
      <c r="AY15" s="90" t="n">
        <f aca="false">IF(스프레드쇼크!$C$5="Y",IF(ISNUMBER(AF15),MIN(스프레드쇼크!$C$7,MAX(스프레드쇼크!$C$6,AF15/스프레드쇼크!$C$8)),1),1)</f>
        <v>1.31636252518021</v>
      </c>
      <c r="AZ15" s="94" t="n">
        <f aca="false">AN15*AX15*AY15</f>
        <v>4864.04704416445</v>
      </c>
      <c r="BA15" s="90" t="n">
        <f aca="false">IF(ISNUMBER(G15),AA15*G15,0)</f>
        <v>55.859748525</v>
      </c>
      <c r="BB15" s="90" t="n">
        <f aca="false">IF(ISNUMBER(G15),AA15,0)</f>
        <v>9.51209</v>
      </c>
      <c r="BC15" s="90" t="n">
        <f aca="false">IF(AND(Y15=0,ISNUMBER(AF15)),AA15*AF15,0)</f>
        <v>827.8371927</v>
      </c>
      <c r="BD15" s="90" t="n">
        <f aca="false">IF(AND(Y15=0,ISNUMBER(AF15)),AA15,0)</f>
        <v>9.51209</v>
      </c>
      <c r="BE15" s="90" t="n">
        <f aca="false">IF(ISNUMBER(H15),AA15*H15,0)</f>
        <v>36.950664814</v>
      </c>
      <c r="BF15" s="90" t="n">
        <f aca="false">IF(ISNUMBER(H15),AA15,0)</f>
        <v>9.51209</v>
      </c>
      <c r="BG15" s="90" t="n">
        <f aca="false">IF(AND(Y15=0,ISNUMBER(AF15),ISNUMBER(Z15)),AA15*Z15,0)</f>
        <v>36.950664814</v>
      </c>
      <c r="BH15" s="90" t="n">
        <f aca="false">IF(AND(Y15=0,ISNUMBER(AF15),ISNUMBER(Z15)),AA15*AT15*MAX(Z15-1,0),0)</f>
        <v>238.848671030832</v>
      </c>
      <c r="BI15" s="90" t="n">
        <f aca="false">IF(Y15=0,AA15,0)</f>
        <v>9.51209</v>
      </c>
    </row>
    <row r="16" customFormat="false" ht="15" hidden="false" customHeight="false" outlineLevel="0" collapsed="false">
      <c r="A16" s="83" t="str">
        <f aca="false">IFERROR(IF(INDEX(원자료_잔고!$A$1:$EZ$1500,설정!$L$5+ROW()-1,설정!$L$8)&amp;""="0","",INDEX(원자료_잔고!$A$1:$EZ$1500,설정!$L$5+ROW()-1,설정!$L$8)&amp;""),"")</f>
        <v>HYNMTR 5.3 01/08/29</v>
      </c>
      <c r="B16" s="83" t="str">
        <f aca="false">IFERROR(IF(INDEX(원자료_잔고!$A$1:$EZ$1500,설정!$L$5+ROW()-1,설정!$L$7)&amp;""="0","",INDEX(원자료_잔고!$A$1:$EZ$1500,설정!$L$5+ROW()-1,설정!$L$7)&amp;""),"")</f>
        <v>US44891CCU53</v>
      </c>
      <c r="C16" s="83" t="str">
        <f aca="false">IFERROR(IF(INDEX(원자료_잔고!$A$1:$EZ$1500,설정!$L$5+ROW()-1,설정!$L$9)&amp;""="0","",INDEX(원자료_잔고!$A$1:$EZ$1500,설정!$L$5+ROW()-1,설정!$L$9)&amp;""),"")</f>
        <v>28096</v>
      </c>
      <c r="D1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" s="84" t="n">
        <f aca="false">IFERROR(IF(ISNUMBER(INDEX(원자료_잔고!$A$1:$EZ$1500,설정!$L$5+ROW()-1,설정!$L$11)),INDEX(원자료_잔고!$A$1:$EZ$1500,설정!$L$5+ROW()-1,설정!$L$11),""),"")</f>
        <v>12000000</v>
      </c>
      <c r="F16" s="85" t="n">
        <f aca="false">IFERROR(IF(ISNUMBER(INDEX(원자료_잔고!$A$1:$EZ$1500,설정!$L$5+ROW()-1,설정!$L$12)),INDEX(원자료_잔고!$A$1:$EZ$1500,설정!$L$5+ROW()-1,설정!$L$12),""),"")</f>
        <v>99.3869</v>
      </c>
      <c r="G16" s="85" t="n">
        <f aca="false">IFERROR(IF(ISNUMBER(INDEX(원자료_잔고!$A$1:$EZ$1500,설정!$L$5+ROW()-1,설정!$L$13)),INDEX(원자료_잔고!$A$1:$EZ$1500,설정!$L$5+ROW()-1,설정!$L$13),""),"")</f>
        <v>5.5856</v>
      </c>
      <c r="H16" s="85" t="n">
        <f aca="false">IFERROR(IF(ISNUMBER(INDEX(원자료_잔고!$A$1:$EZ$1500,설정!$L$5+ROW()-1,설정!$L$14)),INDEX(원자료_잔고!$A$1:$EZ$1500,설정!$L$5+ROW()-1,설정!$L$14),""),"")</f>
        <v>2.0443</v>
      </c>
      <c r="I16" s="86" t="n">
        <f aca="false">IFERROR(IF(ISNUMBER(INDEX(원자료_잔고!$A$1:$EZ$1500,설정!$L$5+ROW()-1,설정!$L$15)),INDEX(원자료_잔고!$A$1:$EZ$1500,설정!$L$5+ROW()-1,설정!$L$15),""),"")</f>
        <v>47126</v>
      </c>
      <c r="J16" s="85" t="n">
        <f aca="false">IFERROR(IF(ISNUMBER(INDEX(원자료_잔고!$A$1:$EZ$1500,설정!$L$5+ROW()-1,설정!$L$16)),INDEX(원자료_잔고!$A$1:$EZ$1500,설정!$L$5+ROW()-1,설정!$L$16),""),"")</f>
        <v>5.3</v>
      </c>
      <c r="K16" s="87" t="n">
        <f aca="false">IFERROR(IF(ISNUMBER(INDEX(원자료_잔고!$A$1:$EZ$1500,설정!$L$5+ROW()-1,설정!$L$17)),INDEX(원자료_잔고!$A$1:$EZ$1500,설정!$L$5+ROW()-1,설정!$L$17),""),"")</f>
        <v>1</v>
      </c>
      <c r="L16" s="84" t="n">
        <f aca="false">IFERROR(IF(ISNUMBER(INDEX(원자료_잔고!$A$1:$EZ$1500,설정!$L$5+ROW()-1,설정!$L$18)),INDEX(원자료_잔고!$A$1:$EZ$1500,설정!$L$5+ROW()-1,설정!$L$18),""),"")</f>
        <v>11926428</v>
      </c>
      <c r="M16" s="88" t="n">
        <f aca="false">IFERROR(IF(ISNUMBER(INDEX(원자료_잔고!$A$1:$EZ$1500,설정!$L$5+ROW()-1,설정!$L$19)),INDEX(원자료_잔고!$A$1:$EZ$1500,설정!$L$5+ROW()-1,설정!$L$19),""),"")</f>
        <v>-255972</v>
      </c>
      <c r="N16" s="83" t="str">
        <f aca="false">IFERROR(IF(INDEX(원자료_잔고!$A$1:$EZ$1500,설정!$L$5+ROW()-1,설정!$L$21)&amp;""="0","",INDEX(원자료_잔고!$A$1:$EZ$1500,설정!$L$5+ROW()-1,설정!$L$21)&amp;""),"")</f>
        <v>A-</v>
      </c>
      <c r="O16" s="83" t="str">
        <f aca="false">IFERROR(IF(INDEX(원자료_잔고!$A$1:$EZ$1500,설정!$L$5+ROW()-1,설정!$L$22)&amp;""="0","",INDEX(원자료_잔고!$A$1:$EZ$1500,설정!$L$5+ROW()-1,설정!$L$22)&amp;""),"")</f>
        <v/>
      </c>
      <c r="P16" s="83" t="str">
        <f aca="false">IFERROR(IF(INDEX(원자료_잔고!$A$1:$EZ$1500,설정!$L$5+ROW()-1,설정!$L$23)&amp;""="0","",INDEX(원자료_잔고!$A$1:$EZ$1500,설정!$L$5+ROW()-1,설정!$L$23)&amp;""),"")</f>
        <v>A-</v>
      </c>
      <c r="Q16" s="89" t="n">
        <f aca="false">IF(AND($A16&lt;&gt;"",ISNUMBER(E16)),IF(E16&gt;0,1,0),0)</f>
        <v>1</v>
      </c>
      <c r="R16" s="43" t="str">
        <f aca="false">IF(Q16=1,UPPER(LEFT($A16,FIND(" ",$A16&amp;" ")-1)),"")</f>
        <v>HYNMTR</v>
      </c>
      <c r="S16" s="89" t="n">
        <f aca="false">IF(Q16=1,IF(OR(ISNUMBER(SEARCH("Float",$A16)),ISNUMBER(SEARCH("FRN",$A16))),1,0),0)</f>
        <v>0</v>
      </c>
      <c r="T16" s="43" t="str">
        <f aca="false">IF(AND(Q16=1,ISNUMBER(I16)),TEXT(I16,"yyyymmdd")&amp;"|"&amp;IF(S16=1,"F",TEXT(J16,"0.000")),"")</f>
        <v>20290108|5.300</v>
      </c>
      <c r="U16" s="90" t="n">
        <f aca="false">IF(AND(Q16=1,ISNUMBER(I16)),(I16-설정!$C$4)/365.25,"")</f>
        <v>2.27241615331964</v>
      </c>
      <c r="V16" s="43" t="str">
        <f aca="false">IF(Q16&lt;&gt;1,"",IF(ISNUMBER(U16),IF(U16&lt;=1,"1년 이하",IF(U16&lt;=2,"1-2년",IF(U16&lt;=3,"2-3년",IF(U16&lt;=4,"3-4년",IF(U16&lt;=5,"4-5년",IF(U16&lt;=7,"5-7년",IF(U16&lt;=10,"7-10년",IF(U16&lt;=20,"10-20년","20년 이상")))))))),"미분류"))</f>
        <v>2-3년</v>
      </c>
      <c r="W16" s="43" t="str">
        <f aca="false">IF(Q16&lt;&gt;1,"",IF(AB16&lt;&gt;"",INDEX(시장분석!$C:$C,AB16),IF(K16=1,"USD","비USD")))</f>
        <v>USD</v>
      </c>
      <c r="X16" s="91" t="n">
        <f aca="false">IF(Q16=1,E16*K16/1000000,0)</f>
        <v>12</v>
      </c>
      <c r="Y16" s="89" t="n">
        <f aca="false">IF(R16="T",1,0)</f>
        <v>0</v>
      </c>
      <c r="Z16" s="92" t="n">
        <f aca="false">IF(Q16&lt;&gt;1,"",IF(AD16=1,IF(ISNUMBER(U16),MAX(U16,0),H16),H16))</f>
        <v>2.0443</v>
      </c>
      <c r="AA16" s="91" t="n">
        <f aca="false">IF(Q16=1,IF(ISNUMBER(L16),L16,0)*K16/1000000,0)</f>
        <v>11.926428</v>
      </c>
      <c r="AB16" s="89" t="n">
        <f aca="false">IF(Q16&lt;&gt;1,"",IFERROR(MATCH(VLOOKUP(B16,매핑!$H$4:$I$15,2,0),시장분석!$A$2:$A$601,0)+1,IFERROR(MATCH(R16&amp;"|"&amp;T16,시장분석!$V$2:$V$601,0)+1,IF(COUNTIF(시장분석!$U$2:$U$601,T16)=1,MATCH(T16,시장분석!$U$2:$U$601,0)+1,""))))</f>
        <v>60</v>
      </c>
      <c r="AC16" s="89" t="n">
        <f aca="false">IF(Q16&lt;&gt;1,0,IF(OR(설정!$C$5="전체",AND(설정!$C$5="선택펀드",IFERROR(COUNTIFS(설정!$F$16:$F$36,C16,설정!$G$16:$G$36,"Y")+COUNTIFS(설정!$F$16:$F$36,VALUE(C16),설정!$G$16:$G$36,"Y"),0)&gt;0),C16&amp;""=설정!$C$5&amp;""),1,0))</f>
        <v>1</v>
      </c>
      <c r="AD16" s="89" t="n">
        <f aca="false">IF(Q16&lt;&gt;1,0,IF(OR(S16=1,IF(AB16="",FALSE(),INDEX(시장분석!$R:$R,AB16)=1)),1,0))</f>
        <v>0</v>
      </c>
      <c r="AE16" s="43" t="str">
        <f aca="false">IF(AB16="","",INDEX(시장분석!$A:$A,AB16))</f>
        <v>HYNMTR 5.3 01/08/29</v>
      </c>
      <c r="AF16" s="93" t="n">
        <f aca="false">IF(AB16="","",IF(ISNUMBER(IF(AB16="","",INDEX(시장분석!$E:$E,AB16))),IF(AB16="","",INDEX(시장분석!$E:$E,AB16)),""))</f>
        <v>63.535</v>
      </c>
      <c r="AG16" s="43" t="str">
        <f aca="false">IF(Q16&lt;&gt;1,"",IF(AB16&lt;&gt;"",IF(AB16="","",INDEX(시장분석!$L:$L,AB16)),IFERROR(IF(VLOOKUP(R16,매핑!$A$4:$E$92,5,0)="","미분류",VLOOKUP(R16,매핑!$A$4:$E$92,5,0)),"미분류")))</f>
        <v>자유 소비재</v>
      </c>
      <c r="AH16" s="43" t="str">
        <f aca="false">IF(Q16&lt;&gt;1,"",IF(AB16&lt;&gt;"",IF(AB16="","",INDEX(시장분석!$N:$N,AB16)),IFERROR(IF(VLOOKUP(R16,매핑!$A$4:$E$92,4,0)="","미분류",VLOOKUP(R16,매핑!$A$4:$E$92,4,0)),"미분류")))</f>
        <v>미국</v>
      </c>
      <c r="AI16" s="43" t="str">
        <f aca="false">IF(Q16&lt;&gt;1,"",IFERROR(IF(VLOOKUP(R16,매핑!$A$4:$E$92,3,0)="","미분류",VLOOKUP(R16,매핑!$A$4:$E$92,3,0)),IF(AB16&lt;&gt;"",IF(AB16="","",INDEX(시장분석!$W:$W,AB16)),"미분류")))</f>
        <v>미국</v>
      </c>
      <c r="AJ16" s="43" t="str">
        <f aca="false">IF(Q16&lt;&gt;1,"",IFERROR(VLOOKUP(IF(N16&lt;&gt;"",N16,IF(P16&lt;&gt;"",P16,O16)),설정!$A$15:$D$47,2,0),""))</f>
        <v>A-</v>
      </c>
      <c r="AK16" s="43" t="str">
        <f aca="false">IF(Q16&lt;&gt;1,"",IF(AJ16="","무등급",IFERROR(VLOOKUP(AJ16,설정!$A$15:$D$47,3,0),"무등급")))</f>
        <v>A</v>
      </c>
      <c r="AL16" s="89" t="n">
        <f aca="false">IF(AJ16="",99,IFERROR(VLOOKUP(AJ16,설정!$A$15:$D$47,4,0),99))</f>
        <v>7</v>
      </c>
      <c r="AM16" s="94" t="n">
        <f aca="false">IF(ISNUMBER(H16),AA16*1000000*H16/10000,0)</f>
        <v>2438.11967604</v>
      </c>
      <c r="AN16" s="94" t="n">
        <f aca="false">IF(OR(Y16=1,NOT(ISNUMBER(Z16))),0,AA16*1000000*Z16/10000)</f>
        <v>2438.11967604</v>
      </c>
      <c r="AO16" s="94" t="n">
        <f aca="false">IF(ISNUMBER(G16),AA16*1000000*G16/100,0)</f>
        <v>666162.562368</v>
      </c>
      <c r="AP16" s="94" t="n">
        <f aca="false">IF(ISNUMBER(M16),M16*K16,0)</f>
        <v>-255972</v>
      </c>
      <c r="AQ16" s="95" t="n">
        <f aca="false">IF(AB16="","",INDEX(시장분석!$AK:$AK,AB16))</f>
        <v>1.39539810383285</v>
      </c>
      <c r="AR16" s="43" t="str">
        <f aca="false">IF(AB16="","-",IF(AB16="","",INDEX(시장분석!$AL:$AL,AB16)))</f>
        <v>Cheap</v>
      </c>
      <c r="AS16" s="96" t="n">
        <f aca="false">IF(AB16="","",INDEX(시장분석!$AJ:$AJ,AB16))</f>
        <v>6.05219928869256</v>
      </c>
      <c r="AT16" s="93" t="n">
        <f aca="false">IF(AB16="",0,IF(AB16="","",INDEX(시장분석!$AN:$AN,AB16)))</f>
        <v>25.3514006230475</v>
      </c>
      <c r="AU16" s="94" t="n">
        <f aca="false">IF(ISNUMBER(Z16),AT16/10000*MAX(Z16-1,0)*AA16*1000000,0)</f>
        <v>31574.5832512317</v>
      </c>
      <c r="AV16" s="94" t="n">
        <f aca="false">AO16+AU16</f>
        <v>697737.145619232</v>
      </c>
      <c r="AW16" s="43" t="str">
        <f aca="false">IF(Q16&lt;&gt;1,"",TRIM(IF(AD16=1,"FRN ","")&amp;IF(AND(AL16&gt;=10,AL16&lt;99),"BBB0미만 ","")&amp;IF(AJ16="","등급없음 ","")&amp;IF(K16&lt;&gt;1,"비USD ","")&amp;IF(AND(AB16="",Y16=0),"시장데이터없음 ","")&amp;IF(AND(ISNUMBER(U16),U16&lt;0),"만기경과 ","")))</f>
        <v/>
      </c>
      <c r="AX16" s="90" t="n">
        <f aca="false">IF(Q16&lt;&gt;1,1,IF(스프레드쇼크!$C$4="Y",INDEX(스프레드쇼크!$B$12:$L$16,IFERROR(MATCH(AH16,스프레드쇼크!$A$12:$A$16,0),MATCH("목록외",스프레드쇼크!$A$12:$A$16,0)),IFERROR(MATCH(AG16,스프레드쇼크!$B$11:$L$11,0),MATCH("목록외",스프레드쇼크!$B$11:$L$11,0))),1))</f>
        <v>1</v>
      </c>
      <c r="AY16" s="90" t="n">
        <f aca="false">IF(스프레드쇼크!$C$5="Y",IF(ISNUMBER(AF16),MIN(스프레드쇼크!$C$7,MAX(스프레드쇼크!$C$6,AF16/스프레드쇼크!$C$8)),1),1)</f>
        <v>0.96099153208462</v>
      </c>
      <c r="AZ16" s="94" t="n">
        <f aca="false">AN16*AX16*AY16</f>
        <v>2343.01236288334</v>
      </c>
      <c r="BA16" s="90" t="n">
        <f aca="false">IF(ISNUMBER(G16),AA16*G16,0)</f>
        <v>66.6162562368</v>
      </c>
      <c r="BB16" s="90" t="n">
        <f aca="false">IF(ISNUMBER(G16),AA16,0)</f>
        <v>11.926428</v>
      </c>
      <c r="BC16" s="90" t="n">
        <f aca="false">IF(AND(Y16=0,ISNUMBER(AF16)),AA16*AF16,0)</f>
        <v>757.74560298</v>
      </c>
      <c r="BD16" s="90" t="n">
        <f aca="false">IF(AND(Y16=0,ISNUMBER(AF16)),AA16,0)</f>
        <v>11.926428</v>
      </c>
      <c r="BE16" s="90" t="n">
        <f aca="false">IF(ISNUMBER(H16),AA16*H16,0)</f>
        <v>24.3811967604</v>
      </c>
      <c r="BF16" s="90" t="n">
        <f aca="false">IF(ISNUMBER(H16),AA16,0)</f>
        <v>11.926428</v>
      </c>
      <c r="BG16" s="90" t="n">
        <f aca="false">IF(AND(Y16=0,ISNUMBER(AF16),ISNUMBER(Z16)),AA16*Z16,0)</f>
        <v>24.3811967604</v>
      </c>
      <c r="BH16" s="90" t="n">
        <f aca="false">IF(AND(Y16=0,ISNUMBER(AF16),ISNUMBER(Z16)),AA16*AT16*MAX(Z16-1,0),0)</f>
        <v>315.745832512317</v>
      </c>
      <c r="BI16" s="90" t="n">
        <f aca="false">IF(Y16=0,AA16,0)</f>
        <v>11.926428</v>
      </c>
    </row>
    <row r="17" customFormat="false" ht="15" hidden="false" customHeight="false" outlineLevel="0" collapsed="false">
      <c r="A17" s="83" t="str">
        <f aca="false">IFERROR(IF(INDEX(원자료_잔고!$A$1:$EZ$1500,설정!$L$5+ROW()-1,설정!$L$8)&amp;""="0","",INDEX(원자료_잔고!$A$1:$EZ$1500,설정!$L$5+ROW()-1,설정!$L$8)&amp;""),"")</f>
        <v>HYNMTR 5.4 06/24/31</v>
      </c>
      <c r="B17" s="83" t="str">
        <f aca="false">IFERROR(IF(INDEX(원자료_잔고!$A$1:$EZ$1500,설정!$L$5+ROW()-1,설정!$L$7)&amp;""="0","",INDEX(원자료_잔고!$A$1:$EZ$1500,설정!$L$5+ROW()-1,설정!$L$7)&amp;""),"")</f>
        <v>US44891CDD20</v>
      </c>
      <c r="C17" s="83" t="str">
        <f aca="false">IFERROR(IF(INDEX(원자료_잔고!$A$1:$EZ$1500,설정!$L$5+ROW()-1,설정!$L$9)&amp;""="0","",INDEX(원자료_잔고!$A$1:$EZ$1500,설정!$L$5+ROW()-1,설정!$L$9)&amp;""),"")</f>
        <v>28096</v>
      </c>
      <c r="D1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" s="84" t="n">
        <f aca="false">IFERROR(IF(ISNUMBER(INDEX(원자료_잔고!$A$1:$EZ$1500,설정!$L$5+ROW()-1,설정!$L$11)),INDEX(원자료_잔고!$A$1:$EZ$1500,설정!$L$5+ROW()-1,설정!$L$11),""),"")</f>
        <v>8000000</v>
      </c>
      <c r="F17" s="85" t="n">
        <f aca="false">IFERROR(IF(ISNUMBER(INDEX(원자료_잔고!$A$1:$EZ$1500,설정!$L$5+ROW()-1,설정!$L$12)),INDEX(원자료_잔고!$A$1:$EZ$1500,설정!$L$5+ROW()-1,설정!$L$12),""),"")</f>
        <v>97.9658</v>
      </c>
      <c r="G17" s="85" t="n">
        <f aca="false">IFERROR(IF(ISNUMBER(INDEX(원자료_잔고!$A$1:$EZ$1500,설정!$L$5+ROW()-1,설정!$L$13)),INDEX(원자료_잔고!$A$1:$EZ$1500,설정!$L$5+ROW()-1,설정!$L$13),""),"")</f>
        <v>5.896</v>
      </c>
      <c r="H17" s="85" t="n">
        <f aca="false">IFERROR(IF(ISNUMBER(INDEX(원자료_잔고!$A$1:$EZ$1500,설정!$L$5+ROW()-1,설정!$L$14)),INDEX(원자료_잔고!$A$1:$EZ$1500,설정!$L$5+ROW()-1,설정!$L$14),""),"")</f>
        <v>3.9588</v>
      </c>
      <c r="I17" s="86" t="n">
        <f aca="false">IFERROR(IF(ISNUMBER(INDEX(원자료_잔고!$A$1:$EZ$1500,설정!$L$5+ROW()-1,설정!$L$15)),INDEX(원자료_잔고!$A$1:$EZ$1500,설정!$L$5+ROW()-1,설정!$L$15),""),"")</f>
        <v>48023</v>
      </c>
      <c r="J17" s="85" t="n">
        <f aca="false">IFERROR(IF(ISNUMBER(INDEX(원자료_잔고!$A$1:$EZ$1500,설정!$L$5+ROW()-1,설정!$L$16)),INDEX(원자료_잔고!$A$1:$EZ$1500,설정!$L$5+ROW()-1,설정!$L$16),""),"")</f>
        <v>5.4</v>
      </c>
      <c r="K17" s="87" t="n">
        <f aca="false">IFERROR(IF(ISNUMBER(INDEX(원자료_잔고!$A$1:$EZ$1500,설정!$L$5+ROW()-1,설정!$L$17)),INDEX(원자료_잔고!$A$1:$EZ$1500,설정!$L$5+ROW()-1,설정!$L$17),""),"")</f>
        <v>1</v>
      </c>
      <c r="L17" s="84" t="n">
        <f aca="false">IFERROR(IF(ISNUMBER(INDEX(원자료_잔고!$A$1:$EZ$1500,설정!$L$5+ROW()-1,설정!$L$18)),INDEX(원자료_잔고!$A$1:$EZ$1500,설정!$L$5+ROW()-1,설정!$L$18),""),"")</f>
        <v>7837264</v>
      </c>
      <c r="M17" s="88" t="n">
        <f aca="false">IFERROR(IF(ISNUMBER(INDEX(원자료_잔고!$A$1:$EZ$1500,설정!$L$5+ROW()-1,설정!$L$19)),INDEX(원자료_잔고!$A$1:$EZ$1500,설정!$L$5+ROW()-1,설정!$L$19),""),"")</f>
        <v>-287536</v>
      </c>
      <c r="N17" s="83" t="str">
        <f aca="false">IFERROR(IF(INDEX(원자료_잔고!$A$1:$EZ$1500,설정!$L$5+ROW()-1,설정!$L$21)&amp;""="0","",INDEX(원자료_잔고!$A$1:$EZ$1500,설정!$L$5+ROW()-1,설정!$L$21)&amp;""),"")</f>
        <v>A-</v>
      </c>
      <c r="O17" s="83" t="str">
        <f aca="false">IFERROR(IF(INDEX(원자료_잔고!$A$1:$EZ$1500,설정!$L$5+ROW()-1,설정!$L$22)&amp;""="0","",INDEX(원자료_잔고!$A$1:$EZ$1500,설정!$L$5+ROW()-1,설정!$L$22)&amp;""),"")</f>
        <v/>
      </c>
      <c r="P17" s="83" t="str">
        <f aca="false">IFERROR(IF(INDEX(원자료_잔고!$A$1:$EZ$1500,설정!$L$5+ROW()-1,설정!$L$23)&amp;""="0","",INDEX(원자료_잔고!$A$1:$EZ$1500,설정!$L$5+ROW()-1,설정!$L$23)&amp;""),"")</f>
        <v>A-</v>
      </c>
      <c r="Q17" s="89" t="n">
        <f aca="false">IF(AND($A17&lt;&gt;"",ISNUMBER(E17)),IF(E17&gt;0,1,0),0)</f>
        <v>1</v>
      </c>
      <c r="R17" s="43" t="str">
        <f aca="false">IF(Q17=1,UPPER(LEFT($A17,FIND(" ",$A17&amp;" ")-1)),"")</f>
        <v>HYNMTR</v>
      </c>
      <c r="S17" s="89" t="n">
        <f aca="false">IF(Q17=1,IF(OR(ISNUMBER(SEARCH("Float",$A17)),ISNUMBER(SEARCH("FRN",$A17))),1,0),0)</f>
        <v>0</v>
      </c>
      <c r="T17" s="43" t="str">
        <f aca="false">IF(AND(Q17=1,ISNUMBER(I17)),TEXT(I17,"yyyymmdd")&amp;"|"&amp;IF(S17=1,"F",TEXT(J17,"0.000")),"")</f>
        <v>20310624|5.400</v>
      </c>
      <c r="U17" s="90" t="n">
        <f aca="false">IF(AND(Q17=1,ISNUMBER(I17)),(I17-설정!$C$4)/365.25,"")</f>
        <v>4.72826830937714</v>
      </c>
      <c r="V17" s="43" t="str">
        <f aca="false">IF(Q17&lt;&gt;1,"",IF(ISNUMBER(U17),IF(U17&lt;=1,"1년 이하",IF(U17&lt;=2,"1-2년",IF(U17&lt;=3,"2-3년",IF(U17&lt;=4,"3-4년",IF(U17&lt;=5,"4-5년",IF(U17&lt;=7,"5-7년",IF(U17&lt;=10,"7-10년",IF(U17&lt;=20,"10-20년","20년 이상")))))))),"미분류"))</f>
        <v>4-5년</v>
      </c>
      <c r="W17" s="43" t="str">
        <f aca="false">IF(Q17&lt;&gt;1,"",IF(AB17&lt;&gt;"",INDEX(시장분석!$C:$C,AB17),IF(K17=1,"USD","비USD")))</f>
        <v>USD</v>
      </c>
      <c r="X17" s="91" t="n">
        <f aca="false">IF(Q17=1,E17*K17/1000000,0)</f>
        <v>8</v>
      </c>
      <c r="Y17" s="89" t="n">
        <f aca="false">IF(R17="T",1,0)</f>
        <v>0</v>
      </c>
      <c r="Z17" s="92" t="n">
        <f aca="false">IF(Q17&lt;&gt;1,"",IF(AD17=1,IF(ISNUMBER(U17),MAX(U17,0),H17),H17))</f>
        <v>3.9588</v>
      </c>
      <c r="AA17" s="91" t="n">
        <f aca="false">IF(Q17=1,IF(ISNUMBER(L17),L17,0)*K17/1000000,0)</f>
        <v>7.837264</v>
      </c>
      <c r="AB17" s="89" t="n">
        <f aca="false">IF(Q17&lt;&gt;1,"",IFERROR(MATCH(VLOOKUP(B17,매핑!$H$4:$I$15,2,0),시장분석!$A$2:$A$601,0)+1,IFERROR(MATCH(R17&amp;"|"&amp;T17,시장분석!$V$2:$V$601,0)+1,IF(COUNTIF(시장분석!$U$2:$U$601,T17)=1,MATCH(T17,시장분석!$U$2:$U$601,0)+1,""))))</f>
        <v>62</v>
      </c>
      <c r="AC17" s="89" t="n">
        <f aca="false">IF(Q17&lt;&gt;1,0,IF(OR(설정!$C$5="전체",AND(설정!$C$5="선택펀드",IFERROR(COUNTIFS(설정!$F$16:$F$36,C17,설정!$G$16:$G$36,"Y")+COUNTIFS(설정!$F$16:$F$36,VALUE(C17),설정!$G$16:$G$36,"Y"),0)&gt;0),C17&amp;""=설정!$C$5&amp;""),1,0))</f>
        <v>1</v>
      </c>
      <c r="AD17" s="89" t="n">
        <f aca="false">IF(Q17&lt;&gt;1,0,IF(OR(S17=1,IF(AB17="",FALSE(),INDEX(시장분석!$R:$R,AB17)=1)),1,0))</f>
        <v>0</v>
      </c>
      <c r="AE17" s="43" t="str">
        <f aca="false">IF(AB17="","",INDEX(시장분석!$A:$A,AB17))</f>
        <v>HYNMTR 5.4 06/24/31</v>
      </c>
      <c r="AF17" s="93" t="n">
        <f aca="false">IF(AB17="","",IF(ISNUMBER(IF(AB17="","",INDEX(시장분석!$E:$E,AB17))),IF(AB17="","",INDEX(시장분석!$E:$E,AB17)),""))</f>
        <v>87.089</v>
      </c>
      <c r="AG17" s="43" t="str">
        <f aca="false">IF(Q17&lt;&gt;1,"",IF(AB17&lt;&gt;"",IF(AB17="","",INDEX(시장분석!$L:$L,AB17)),IFERROR(IF(VLOOKUP(R17,매핑!$A$4:$E$92,5,0)="","미분류",VLOOKUP(R17,매핑!$A$4:$E$92,5,0)),"미분류")))</f>
        <v>자유 소비재</v>
      </c>
      <c r="AH17" s="43" t="str">
        <f aca="false">IF(Q17&lt;&gt;1,"",IF(AB17&lt;&gt;"",IF(AB17="","",INDEX(시장분석!$N:$N,AB17)),IFERROR(IF(VLOOKUP(R17,매핑!$A$4:$E$92,4,0)="","미분류",VLOOKUP(R17,매핑!$A$4:$E$92,4,0)),"미분류")))</f>
        <v>미국</v>
      </c>
      <c r="AI17" s="43" t="str">
        <f aca="false">IF(Q17&lt;&gt;1,"",IFERROR(IF(VLOOKUP(R17,매핑!$A$4:$E$92,3,0)="","미분류",VLOOKUP(R17,매핑!$A$4:$E$92,3,0)),IF(AB17&lt;&gt;"",IF(AB17="","",INDEX(시장분석!$W:$W,AB17)),"미분류")))</f>
        <v>미국</v>
      </c>
      <c r="AJ17" s="43" t="str">
        <f aca="false">IF(Q17&lt;&gt;1,"",IFERROR(VLOOKUP(IF(N17&lt;&gt;"",N17,IF(P17&lt;&gt;"",P17,O17)),설정!$A$15:$D$47,2,0),""))</f>
        <v>A-</v>
      </c>
      <c r="AK17" s="43" t="str">
        <f aca="false">IF(Q17&lt;&gt;1,"",IF(AJ17="","무등급",IFERROR(VLOOKUP(AJ17,설정!$A$15:$D$47,3,0),"무등급")))</f>
        <v>A</v>
      </c>
      <c r="AL17" s="89" t="n">
        <f aca="false">IF(AJ17="",99,IFERROR(VLOOKUP(AJ17,설정!$A$15:$D$47,4,0),99))</f>
        <v>7</v>
      </c>
      <c r="AM17" s="94" t="n">
        <f aca="false">IF(ISNUMBER(H17),AA17*1000000*H17/10000,0)</f>
        <v>3102.61607232</v>
      </c>
      <c r="AN17" s="94" t="n">
        <f aca="false">IF(OR(Y17=1,NOT(ISNUMBER(Z17))),0,AA17*1000000*Z17/10000)</f>
        <v>3102.61607232</v>
      </c>
      <c r="AO17" s="94" t="n">
        <f aca="false">IF(ISNUMBER(G17),AA17*1000000*G17/100,0)</f>
        <v>462085.08544</v>
      </c>
      <c r="AP17" s="94" t="n">
        <f aca="false">IF(ISNUMBER(M17),M17*K17,0)</f>
        <v>-287536</v>
      </c>
      <c r="AQ17" s="95" t="n">
        <f aca="false">IF(AB17="","",INDEX(시장분석!$AK:$AK,AB17))</f>
        <v>0.638952803145003</v>
      </c>
      <c r="AR17" s="43" t="str">
        <f aca="false">IF(AB17="","-",IF(AB17="","",INDEX(시장분석!$AL:$AL,AB17)))</f>
        <v>Fair</v>
      </c>
      <c r="AS17" s="96" t="n">
        <f aca="false">IF(AB17="","",INDEX(시장분석!$AJ:$AJ,AB17))</f>
        <v>2.77130210373679</v>
      </c>
      <c r="AT17" s="93" t="n">
        <f aca="false">IF(AB17="",0,IF(AB17="","",INDEX(시장분석!$AN:$AN,AB17)))</f>
        <v>11.0432602124568</v>
      </c>
      <c r="AU17" s="94" t="n">
        <f aca="false">IF(ISNUMBER(Z17),AT17/10000*MAX(Z17-1,0)*AA17*1000000,0)</f>
        <v>25608.1020554084</v>
      </c>
      <c r="AV17" s="94" t="n">
        <f aca="false">AO17+AU17</f>
        <v>487693.187495408</v>
      </c>
      <c r="AW17" s="43" t="str">
        <f aca="false">IF(Q17&lt;&gt;1,"",TRIM(IF(AD17=1,"FRN ","")&amp;IF(AND(AL17&gt;=10,AL17&lt;99),"BBB0미만 ","")&amp;IF(AJ17="","등급없음 ","")&amp;IF(K17&lt;&gt;1,"비USD ","")&amp;IF(AND(AB17="",Y17=0),"시장데이터없음 ","")&amp;IF(AND(ISNUMBER(U17),U17&lt;0),"만기경과 ","")))</f>
        <v/>
      </c>
      <c r="AX17" s="90" t="n">
        <f aca="false">IF(Q17&lt;&gt;1,1,IF(스프레드쇼크!$C$4="Y",INDEX(스프레드쇼크!$B$12:$L$16,IFERROR(MATCH(AH17,스프레드쇼크!$A$12:$A$16,0),MATCH("목록외",스프레드쇼크!$A$12:$A$16,0)),IFERROR(MATCH(AG17,스프레드쇼크!$B$11:$L$11,0),MATCH("목록외",스프레드쇼크!$B$11:$L$11,0))),1))</f>
        <v>1</v>
      </c>
      <c r="AY17" s="90" t="n">
        <f aca="false">IF(스프레드쇼크!$C$5="Y",IF(ISNUMBER(AF17),MIN(스프레드쇼크!$C$7,MAX(스프레드쇼크!$C$6,AF17/스프레드쇼크!$C$8)),1),1)</f>
        <v>1.31725492307732</v>
      </c>
      <c r="AZ17" s="94" t="n">
        <f aca="false">AN17*AX17*AY17</f>
        <v>4086.93629568234</v>
      </c>
      <c r="BA17" s="90" t="n">
        <f aca="false">IF(ISNUMBER(G17),AA17*G17,0)</f>
        <v>46.208508544</v>
      </c>
      <c r="BB17" s="90" t="n">
        <f aca="false">IF(ISNUMBER(G17),AA17,0)</f>
        <v>7.837264</v>
      </c>
      <c r="BC17" s="90" t="n">
        <f aca="false">IF(AND(Y17=0,ISNUMBER(AF17)),AA17*AF17,0)</f>
        <v>682.539484496</v>
      </c>
      <c r="BD17" s="90" t="n">
        <f aca="false">IF(AND(Y17=0,ISNUMBER(AF17)),AA17,0)</f>
        <v>7.837264</v>
      </c>
      <c r="BE17" s="90" t="n">
        <f aca="false">IF(ISNUMBER(H17),AA17*H17,0)</f>
        <v>31.0261607232</v>
      </c>
      <c r="BF17" s="90" t="n">
        <f aca="false">IF(ISNUMBER(H17),AA17,0)</f>
        <v>7.837264</v>
      </c>
      <c r="BG17" s="90" t="n">
        <f aca="false">IF(AND(Y17=0,ISNUMBER(AF17),ISNUMBER(Z17)),AA17*Z17,0)</f>
        <v>31.0261607232</v>
      </c>
      <c r="BH17" s="90" t="n">
        <f aca="false">IF(AND(Y17=0,ISNUMBER(AF17),ISNUMBER(Z17)),AA17*AT17*MAX(Z17-1,0),0)</f>
        <v>256.081020554084</v>
      </c>
      <c r="BI17" s="90" t="n">
        <f aca="false">IF(Y17=0,AA17,0)</f>
        <v>7.837264</v>
      </c>
    </row>
    <row r="18" customFormat="false" ht="15" hidden="false" customHeight="false" outlineLevel="0" collapsed="false">
      <c r="A18" s="83" t="str">
        <f aca="false">IFERROR(IF(INDEX(원자료_잔고!$A$1:$EZ$1500,설정!$L$5+ROW()-1,설정!$L$8)&amp;""="0","",INDEX(원자료_잔고!$A$1:$EZ$1500,설정!$L$5+ROW()-1,설정!$L$8)&amp;""),"")</f>
        <v>HYNMTR 5.4 06/24/31</v>
      </c>
      <c r="B18" s="83" t="str">
        <f aca="false">IFERROR(IF(INDEX(원자료_잔고!$A$1:$EZ$1500,설정!$L$5+ROW()-1,설정!$L$7)&amp;""="0","",INDEX(원자료_잔고!$A$1:$EZ$1500,설정!$L$5+ROW()-1,설정!$L$7)&amp;""),"")</f>
        <v>US44891CDD20</v>
      </c>
      <c r="C18" s="83" t="str">
        <f aca="false">IFERROR(IF(INDEX(원자료_잔고!$A$1:$EZ$1500,설정!$L$5+ROW()-1,설정!$L$9)&amp;""="0","",INDEX(원자료_잔고!$A$1:$EZ$1500,설정!$L$5+ROW()-1,설정!$L$9)&amp;""),"")</f>
        <v>28096</v>
      </c>
      <c r="D1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" s="84" t="n">
        <f aca="false">IFERROR(IF(ISNUMBER(INDEX(원자료_잔고!$A$1:$EZ$1500,설정!$L$5+ROW()-1,설정!$L$11)),INDEX(원자료_잔고!$A$1:$EZ$1500,설정!$L$5+ROW()-1,설정!$L$11),""),"")</f>
        <v>5000000</v>
      </c>
      <c r="F18" s="85" t="n">
        <f aca="false">IFERROR(IF(ISNUMBER(INDEX(원자료_잔고!$A$1:$EZ$1500,설정!$L$5+ROW()-1,설정!$L$12)),INDEX(원자료_잔고!$A$1:$EZ$1500,설정!$L$5+ROW()-1,설정!$L$12),""),"")</f>
        <v>97.9658</v>
      </c>
      <c r="G18" s="85" t="n">
        <f aca="false">IFERROR(IF(ISNUMBER(INDEX(원자료_잔고!$A$1:$EZ$1500,설정!$L$5+ROW()-1,설정!$L$13)),INDEX(원자료_잔고!$A$1:$EZ$1500,설정!$L$5+ROW()-1,설정!$L$13),""),"")</f>
        <v>5.896</v>
      </c>
      <c r="H18" s="85" t="n">
        <f aca="false">IFERROR(IF(ISNUMBER(INDEX(원자료_잔고!$A$1:$EZ$1500,설정!$L$5+ROW()-1,설정!$L$14)),INDEX(원자료_잔고!$A$1:$EZ$1500,설정!$L$5+ROW()-1,설정!$L$14),""),"")</f>
        <v>3.9588</v>
      </c>
      <c r="I18" s="86" t="n">
        <f aca="false">IFERROR(IF(ISNUMBER(INDEX(원자료_잔고!$A$1:$EZ$1500,설정!$L$5+ROW()-1,설정!$L$15)),INDEX(원자료_잔고!$A$1:$EZ$1500,설정!$L$5+ROW()-1,설정!$L$15),""),"")</f>
        <v>48023</v>
      </c>
      <c r="J18" s="85" t="n">
        <f aca="false">IFERROR(IF(ISNUMBER(INDEX(원자료_잔고!$A$1:$EZ$1500,설정!$L$5+ROW()-1,설정!$L$16)),INDEX(원자료_잔고!$A$1:$EZ$1500,설정!$L$5+ROW()-1,설정!$L$16),""),"")</f>
        <v>5.4</v>
      </c>
      <c r="K18" s="87" t="n">
        <f aca="false">IFERROR(IF(ISNUMBER(INDEX(원자료_잔고!$A$1:$EZ$1500,설정!$L$5+ROW()-1,설정!$L$17)),INDEX(원자료_잔고!$A$1:$EZ$1500,설정!$L$5+ROW()-1,설정!$L$17),""),"")</f>
        <v>1</v>
      </c>
      <c r="L18" s="84" t="n">
        <f aca="false">IFERROR(IF(ISNUMBER(INDEX(원자료_잔고!$A$1:$EZ$1500,설정!$L$5+ROW()-1,설정!$L$18)),INDEX(원자료_잔고!$A$1:$EZ$1500,설정!$L$5+ROW()-1,설정!$L$18),""),"")</f>
        <v>4898290</v>
      </c>
      <c r="M18" s="88" t="n">
        <f aca="false">IFERROR(IF(ISNUMBER(INDEX(원자료_잔고!$A$1:$EZ$1500,설정!$L$5+ROW()-1,설정!$L$19)),INDEX(원자료_잔고!$A$1:$EZ$1500,설정!$L$5+ROW()-1,설정!$L$19),""),"")</f>
        <v>-45210</v>
      </c>
      <c r="N18" s="83" t="str">
        <f aca="false">IFERROR(IF(INDEX(원자료_잔고!$A$1:$EZ$1500,설정!$L$5+ROW()-1,설정!$L$21)&amp;""="0","",INDEX(원자료_잔고!$A$1:$EZ$1500,설정!$L$5+ROW()-1,설정!$L$21)&amp;""),"")</f>
        <v>A-</v>
      </c>
      <c r="O18" s="83" t="str">
        <f aca="false">IFERROR(IF(INDEX(원자료_잔고!$A$1:$EZ$1500,설정!$L$5+ROW()-1,설정!$L$22)&amp;""="0","",INDEX(원자료_잔고!$A$1:$EZ$1500,설정!$L$5+ROW()-1,설정!$L$22)&amp;""),"")</f>
        <v/>
      </c>
      <c r="P18" s="83" t="str">
        <f aca="false">IFERROR(IF(INDEX(원자료_잔고!$A$1:$EZ$1500,설정!$L$5+ROW()-1,설정!$L$23)&amp;""="0","",INDEX(원자료_잔고!$A$1:$EZ$1500,설정!$L$5+ROW()-1,설정!$L$23)&amp;""),"")</f>
        <v>A-</v>
      </c>
      <c r="Q18" s="89" t="n">
        <f aca="false">IF(AND($A18&lt;&gt;"",ISNUMBER(E18)),IF(E18&gt;0,1,0),0)</f>
        <v>1</v>
      </c>
      <c r="R18" s="43" t="str">
        <f aca="false">IF(Q18=1,UPPER(LEFT($A18,FIND(" ",$A18&amp;" ")-1)),"")</f>
        <v>HYNMTR</v>
      </c>
      <c r="S18" s="89" t="n">
        <f aca="false">IF(Q18=1,IF(OR(ISNUMBER(SEARCH("Float",$A18)),ISNUMBER(SEARCH("FRN",$A18))),1,0),0)</f>
        <v>0</v>
      </c>
      <c r="T18" s="43" t="str">
        <f aca="false">IF(AND(Q18=1,ISNUMBER(I18)),TEXT(I18,"yyyymmdd")&amp;"|"&amp;IF(S18=1,"F",TEXT(J18,"0.000")),"")</f>
        <v>20310624|5.400</v>
      </c>
      <c r="U18" s="90" t="n">
        <f aca="false">IF(AND(Q18=1,ISNUMBER(I18)),(I18-설정!$C$4)/365.25,"")</f>
        <v>4.72826830937714</v>
      </c>
      <c r="V18" s="43" t="str">
        <f aca="false">IF(Q18&lt;&gt;1,"",IF(ISNUMBER(U18),IF(U18&lt;=1,"1년 이하",IF(U18&lt;=2,"1-2년",IF(U18&lt;=3,"2-3년",IF(U18&lt;=4,"3-4년",IF(U18&lt;=5,"4-5년",IF(U18&lt;=7,"5-7년",IF(U18&lt;=10,"7-10년",IF(U18&lt;=20,"10-20년","20년 이상")))))))),"미분류"))</f>
        <v>4-5년</v>
      </c>
      <c r="W18" s="43" t="str">
        <f aca="false">IF(Q18&lt;&gt;1,"",IF(AB18&lt;&gt;"",INDEX(시장분석!$C:$C,AB18),IF(K18=1,"USD","비USD")))</f>
        <v>USD</v>
      </c>
      <c r="X18" s="91" t="n">
        <f aca="false">IF(Q18=1,E18*K18/1000000,0)</f>
        <v>5</v>
      </c>
      <c r="Y18" s="89" t="n">
        <f aca="false">IF(R18="T",1,0)</f>
        <v>0</v>
      </c>
      <c r="Z18" s="92" t="n">
        <f aca="false">IF(Q18&lt;&gt;1,"",IF(AD18=1,IF(ISNUMBER(U18),MAX(U18,0),H18),H18))</f>
        <v>3.9588</v>
      </c>
      <c r="AA18" s="91" t="n">
        <f aca="false">IF(Q18=1,IF(ISNUMBER(L18),L18,0)*K18/1000000,0)</f>
        <v>4.89829</v>
      </c>
      <c r="AB18" s="89" t="n">
        <f aca="false">IF(Q18&lt;&gt;1,"",IFERROR(MATCH(VLOOKUP(B18,매핑!$H$4:$I$15,2,0),시장분석!$A$2:$A$601,0)+1,IFERROR(MATCH(R18&amp;"|"&amp;T18,시장분석!$V$2:$V$601,0)+1,IF(COUNTIF(시장분석!$U$2:$U$601,T18)=1,MATCH(T18,시장분석!$U$2:$U$601,0)+1,""))))</f>
        <v>62</v>
      </c>
      <c r="AC18" s="89" t="n">
        <f aca="false">IF(Q18&lt;&gt;1,0,IF(OR(설정!$C$5="전체",AND(설정!$C$5="선택펀드",IFERROR(COUNTIFS(설정!$F$16:$F$36,C18,설정!$G$16:$G$36,"Y")+COUNTIFS(설정!$F$16:$F$36,VALUE(C18),설정!$G$16:$G$36,"Y"),0)&gt;0),C18&amp;""=설정!$C$5&amp;""),1,0))</f>
        <v>1</v>
      </c>
      <c r="AD18" s="89" t="n">
        <f aca="false">IF(Q18&lt;&gt;1,0,IF(OR(S18=1,IF(AB18="",FALSE(),INDEX(시장분석!$R:$R,AB18)=1)),1,0))</f>
        <v>0</v>
      </c>
      <c r="AE18" s="43" t="str">
        <f aca="false">IF(AB18="","",INDEX(시장분석!$A:$A,AB18))</f>
        <v>HYNMTR 5.4 06/24/31</v>
      </c>
      <c r="AF18" s="93" t="n">
        <f aca="false">IF(AB18="","",IF(ISNUMBER(IF(AB18="","",INDEX(시장분석!$E:$E,AB18))),IF(AB18="","",INDEX(시장분석!$E:$E,AB18)),""))</f>
        <v>87.089</v>
      </c>
      <c r="AG18" s="43" t="str">
        <f aca="false">IF(Q18&lt;&gt;1,"",IF(AB18&lt;&gt;"",IF(AB18="","",INDEX(시장분석!$L:$L,AB18)),IFERROR(IF(VLOOKUP(R18,매핑!$A$4:$E$92,5,0)="","미분류",VLOOKUP(R18,매핑!$A$4:$E$92,5,0)),"미분류")))</f>
        <v>자유 소비재</v>
      </c>
      <c r="AH18" s="43" t="str">
        <f aca="false">IF(Q18&lt;&gt;1,"",IF(AB18&lt;&gt;"",IF(AB18="","",INDEX(시장분석!$N:$N,AB18)),IFERROR(IF(VLOOKUP(R18,매핑!$A$4:$E$92,4,0)="","미분류",VLOOKUP(R18,매핑!$A$4:$E$92,4,0)),"미분류")))</f>
        <v>미국</v>
      </c>
      <c r="AI18" s="43" t="str">
        <f aca="false">IF(Q18&lt;&gt;1,"",IFERROR(IF(VLOOKUP(R18,매핑!$A$4:$E$92,3,0)="","미분류",VLOOKUP(R18,매핑!$A$4:$E$92,3,0)),IF(AB18&lt;&gt;"",IF(AB18="","",INDEX(시장분석!$W:$W,AB18)),"미분류")))</f>
        <v>미국</v>
      </c>
      <c r="AJ18" s="43" t="str">
        <f aca="false">IF(Q18&lt;&gt;1,"",IFERROR(VLOOKUP(IF(N18&lt;&gt;"",N18,IF(P18&lt;&gt;"",P18,O18)),설정!$A$15:$D$47,2,0),""))</f>
        <v>A-</v>
      </c>
      <c r="AK18" s="43" t="str">
        <f aca="false">IF(Q18&lt;&gt;1,"",IF(AJ18="","무등급",IFERROR(VLOOKUP(AJ18,설정!$A$15:$D$47,3,0),"무등급")))</f>
        <v>A</v>
      </c>
      <c r="AL18" s="89" t="n">
        <f aca="false">IF(AJ18="",99,IFERROR(VLOOKUP(AJ18,설정!$A$15:$D$47,4,0),99))</f>
        <v>7</v>
      </c>
      <c r="AM18" s="94" t="n">
        <f aca="false">IF(ISNUMBER(H18),AA18*1000000*H18/10000,0)</f>
        <v>1939.1350452</v>
      </c>
      <c r="AN18" s="94" t="n">
        <f aca="false">IF(OR(Y18=1,NOT(ISNUMBER(Z18))),0,AA18*1000000*Z18/10000)</f>
        <v>1939.1350452</v>
      </c>
      <c r="AO18" s="94" t="n">
        <f aca="false">IF(ISNUMBER(G18),AA18*1000000*G18/100,0)</f>
        <v>288803.1784</v>
      </c>
      <c r="AP18" s="94" t="n">
        <f aca="false">IF(ISNUMBER(M18),M18*K18,0)</f>
        <v>-45210</v>
      </c>
      <c r="AQ18" s="95" t="n">
        <f aca="false">IF(AB18="","",INDEX(시장분석!$AK:$AK,AB18))</f>
        <v>0.638952803145003</v>
      </c>
      <c r="AR18" s="43" t="str">
        <f aca="false">IF(AB18="","-",IF(AB18="","",INDEX(시장분석!$AL:$AL,AB18)))</f>
        <v>Fair</v>
      </c>
      <c r="AS18" s="96" t="n">
        <f aca="false">IF(AB18="","",INDEX(시장분석!$AJ:$AJ,AB18))</f>
        <v>2.77130210373679</v>
      </c>
      <c r="AT18" s="93" t="n">
        <f aca="false">IF(AB18="",0,IF(AB18="","",INDEX(시장분석!$AN:$AN,AB18)))</f>
        <v>11.0432602124568</v>
      </c>
      <c r="AU18" s="94" t="n">
        <f aca="false">IF(ISNUMBER(Z18),AT18/10000*MAX(Z18-1,0)*AA18*1000000,0)</f>
        <v>16005.0637846302</v>
      </c>
      <c r="AV18" s="94" t="n">
        <f aca="false">AO18+AU18</f>
        <v>304808.24218463</v>
      </c>
      <c r="AW18" s="43" t="str">
        <f aca="false">IF(Q18&lt;&gt;1,"",TRIM(IF(AD18=1,"FRN ","")&amp;IF(AND(AL18&gt;=10,AL18&lt;99),"BBB0미만 ","")&amp;IF(AJ18="","등급없음 ","")&amp;IF(K18&lt;&gt;1,"비USD ","")&amp;IF(AND(AB18="",Y18=0),"시장데이터없음 ","")&amp;IF(AND(ISNUMBER(U18),U18&lt;0),"만기경과 ","")))</f>
        <v/>
      </c>
      <c r="AX18" s="90" t="n">
        <f aca="false">IF(Q18&lt;&gt;1,1,IF(스프레드쇼크!$C$4="Y",INDEX(스프레드쇼크!$B$12:$L$16,IFERROR(MATCH(AH18,스프레드쇼크!$A$12:$A$16,0),MATCH("목록외",스프레드쇼크!$A$12:$A$16,0)),IFERROR(MATCH(AG18,스프레드쇼크!$B$11:$L$11,0),MATCH("목록외",스프레드쇼크!$B$11:$L$11,0))),1))</f>
        <v>1</v>
      </c>
      <c r="AY18" s="90" t="n">
        <f aca="false">IF(스프레드쇼크!$C$5="Y",IF(ISNUMBER(AF18),MIN(스프레드쇼크!$C$7,MAX(스프레드쇼크!$C$6,AF18/스프레드쇼크!$C$8)),1),1)</f>
        <v>1.31725492307732</v>
      </c>
      <c r="AZ18" s="94" t="n">
        <f aca="false">AN18*AX18*AY18</f>
        <v>2554.33518480146</v>
      </c>
      <c r="BA18" s="90" t="n">
        <f aca="false">IF(ISNUMBER(G18),AA18*G18,0)</f>
        <v>28.88031784</v>
      </c>
      <c r="BB18" s="90" t="n">
        <f aca="false">IF(ISNUMBER(G18),AA18,0)</f>
        <v>4.89829</v>
      </c>
      <c r="BC18" s="90" t="n">
        <f aca="false">IF(AND(Y18=0,ISNUMBER(AF18)),AA18*AF18,0)</f>
        <v>426.58717781</v>
      </c>
      <c r="BD18" s="90" t="n">
        <f aca="false">IF(AND(Y18=0,ISNUMBER(AF18)),AA18,0)</f>
        <v>4.89829</v>
      </c>
      <c r="BE18" s="90" t="n">
        <f aca="false">IF(ISNUMBER(H18),AA18*H18,0)</f>
        <v>19.391350452</v>
      </c>
      <c r="BF18" s="90" t="n">
        <f aca="false">IF(ISNUMBER(H18),AA18,0)</f>
        <v>4.89829</v>
      </c>
      <c r="BG18" s="90" t="n">
        <f aca="false">IF(AND(Y18=0,ISNUMBER(AF18),ISNUMBER(Z18)),AA18*Z18,0)</f>
        <v>19.391350452</v>
      </c>
      <c r="BH18" s="90" t="n">
        <f aca="false">IF(AND(Y18=0,ISNUMBER(AF18),ISNUMBER(Z18)),AA18*AT18*MAX(Z18-1,0),0)</f>
        <v>160.050637846302</v>
      </c>
      <c r="BI18" s="90" t="n">
        <f aca="false">IF(Y18=0,AA18,0)</f>
        <v>4.89829</v>
      </c>
    </row>
    <row r="19" customFormat="false" ht="15" hidden="false" customHeight="false" outlineLevel="0" collapsed="false">
      <c r="A19" s="83" t="str">
        <f aca="false">IFERROR(IF(INDEX(원자료_잔고!$A$1:$EZ$1500,설정!$L$5+ROW()-1,설정!$L$8)&amp;""="0","",INDEX(원자료_잔고!$A$1:$EZ$1500,설정!$L$5+ROW()-1,설정!$L$8)&amp;""),"")</f>
        <v>HYNMTR 4.75 09/26/31</v>
      </c>
      <c r="B19" s="83" t="str">
        <f aca="false">IFERROR(IF(INDEX(원자료_잔고!$A$1:$EZ$1500,설정!$L$5+ROW()-1,설정!$L$7)&amp;""="0","",INDEX(원자료_잔고!$A$1:$EZ$1500,설정!$L$5+ROW()-1,설정!$L$7)&amp;""),"")</f>
        <v>US44891CDH34</v>
      </c>
      <c r="C19" s="83" t="str">
        <f aca="false">IFERROR(IF(INDEX(원자료_잔고!$A$1:$EZ$1500,설정!$L$5+ROW()-1,설정!$L$9)&amp;""="0","",INDEX(원자료_잔고!$A$1:$EZ$1500,설정!$L$5+ROW()-1,설정!$L$9)&amp;""),"")</f>
        <v>28096</v>
      </c>
      <c r="D1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" s="84" t="n">
        <f aca="false">IFERROR(IF(ISNUMBER(INDEX(원자료_잔고!$A$1:$EZ$1500,설정!$L$5+ROW()-1,설정!$L$11)),INDEX(원자료_잔고!$A$1:$EZ$1500,설정!$L$5+ROW()-1,설정!$L$11),""),"")</f>
        <v>5500000</v>
      </c>
      <c r="F19" s="85" t="n">
        <f aca="false">IFERROR(IF(ISNUMBER(INDEX(원자료_잔고!$A$1:$EZ$1500,설정!$L$5+ROW()-1,설정!$L$12)),INDEX(원자료_잔고!$A$1:$EZ$1500,설정!$L$5+ROW()-1,설정!$L$12),""),"")</f>
        <v>95.1966</v>
      </c>
      <c r="G19" s="85" t="n">
        <f aca="false">IFERROR(IF(ISNUMBER(INDEX(원자료_잔고!$A$1:$EZ$1500,설정!$L$5+ROW()-1,설정!$L$13)),INDEX(원자료_잔고!$A$1:$EZ$1500,설정!$L$5+ROW()-1,설정!$L$13),""),"")</f>
        <v>5.8745</v>
      </c>
      <c r="H19" s="85" t="n">
        <f aca="false">IFERROR(IF(ISNUMBER(INDEX(원자료_잔고!$A$1:$EZ$1500,설정!$L$5+ROW()-1,설정!$L$14)),INDEX(원자료_잔고!$A$1:$EZ$1500,설정!$L$5+ROW()-1,설정!$L$14),""),"")</f>
        <v>4.2708</v>
      </c>
      <c r="I19" s="86" t="n">
        <f aca="false">IFERROR(IF(ISNUMBER(INDEX(원자료_잔고!$A$1:$EZ$1500,설정!$L$5+ROW()-1,설정!$L$15)),INDEX(원자료_잔고!$A$1:$EZ$1500,설정!$L$5+ROW()-1,설정!$L$15),""),"")</f>
        <v>48117</v>
      </c>
      <c r="J19" s="85" t="n">
        <f aca="false">IFERROR(IF(ISNUMBER(INDEX(원자료_잔고!$A$1:$EZ$1500,설정!$L$5+ROW()-1,설정!$L$16)),INDEX(원자료_잔고!$A$1:$EZ$1500,설정!$L$5+ROW()-1,설정!$L$16),""),"")</f>
        <v>4.75</v>
      </c>
      <c r="K19" s="87" t="n">
        <f aca="false">IFERROR(IF(ISNUMBER(INDEX(원자료_잔고!$A$1:$EZ$1500,설정!$L$5+ROW()-1,설정!$L$17)),INDEX(원자료_잔고!$A$1:$EZ$1500,설정!$L$5+ROW()-1,설정!$L$17),""),"")</f>
        <v>1</v>
      </c>
      <c r="L19" s="84" t="n">
        <f aca="false">IFERROR(IF(ISNUMBER(INDEX(원자료_잔고!$A$1:$EZ$1500,설정!$L$5+ROW()-1,설정!$L$18)),INDEX(원자료_잔고!$A$1:$EZ$1500,설정!$L$5+ROW()-1,설정!$L$18),""),"")</f>
        <v>5235813</v>
      </c>
      <c r="M19" s="88" t="n">
        <f aca="false">IFERROR(IF(ISNUMBER(INDEX(원자료_잔고!$A$1:$EZ$1500,설정!$L$5+ROW()-1,설정!$L$19)),INDEX(원자료_잔고!$A$1:$EZ$1500,설정!$L$5+ROW()-1,설정!$L$19),""),"")</f>
        <v>-44297</v>
      </c>
      <c r="N19" s="83" t="str">
        <f aca="false">IFERROR(IF(INDEX(원자료_잔고!$A$1:$EZ$1500,설정!$L$5+ROW()-1,설정!$L$21)&amp;""="0","",INDEX(원자료_잔고!$A$1:$EZ$1500,설정!$L$5+ROW()-1,설정!$L$21)&amp;""),"")</f>
        <v>A-</v>
      </c>
      <c r="O19" s="83" t="str">
        <f aca="false">IFERROR(IF(INDEX(원자료_잔고!$A$1:$EZ$1500,설정!$L$5+ROW()-1,설정!$L$22)&amp;""="0","",INDEX(원자료_잔고!$A$1:$EZ$1500,설정!$L$5+ROW()-1,설정!$L$22)&amp;""),"")</f>
        <v/>
      </c>
      <c r="P19" s="83" t="str">
        <f aca="false">IFERROR(IF(INDEX(원자료_잔고!$A$1:$EZ$1500,설정!$L$5+ROW()-1,설정!$L$23)&amp;""="0","",INDEX(원자료_잔고!$A$1:$EZ$1500,설정!$L$5+ROW()-1,설정!$L$23)&amp;""),"")</f>
        <v>A-</v>
      </c>
      <c r="Q19" s="89" t="n">
        <f aca="false">IF(AND($A19&lt;&gt;"",ISNUMBER(E19)),IF(E19&gt;0,1,0),0)</f>
        <v>1</v>
      </c>
      <c r="R19" s="43" t="str">
        <f aca="false">IF(Q19=1,UPPER(LEFT($A19,FIND(" ",$A19&amp;" ")-1)),"")</f>
        <v>HYNMTR</v>
      </c>
      <c r="S19" s="89" t="n">
        <f aca="false">IF(Q19=1,IF(OR(ISNUMBER(SEARCH("Float",$A19)),ISNUMBER(SEARCH("FRN",$A19))),1,0),0)</f>
        <v>0</v>
      </c>
      <c r="T19" s="43" t="str">
        <f aca="false">IF(AND(Q19=1,ISNUMBER(I19)),TEXT(I19,"yyyymmdd")&amp;"|"&amp;IF(S19=1,"F",TEXT(J19,"0.000")),"")</f>
        <v>20310926|4.750</v>
      </c>
      <c r="U19" s="90" t="n">
        <f aca="false">IF(AND(Q19=1,ISNUMBER(I19)),(I19-설정!$C$4)/365.25,"")</f>
        <v>4.98562628336756</v>
      </c>
      <c r="V19" s="43" t="str">
        <f aca="false">IF(Q19&lt;&gt;1,"",IF(ISNUMBER(U19),IF(U19&lt;=1,"1년 이하",IF(U19&lt;=2,"1-2년",IF(U19&lt;=3,"2-3년",IF(U19&lt;=4,"3-4년",IF(U19&lt;=5,"4-5년",IF(U19&lt;=7,"5-7년",IF(U19&lt;=10,"7-10년",IF(U19&lt;=20,"10-20년","20년 이상")))))))),"미분류"))</f>
        <v>4-5년</v>
      </c>
      <c r="W19" s="43" t="str">
        <f aca="false">IF(Q19&lt;&gt;1,"",IF(AB19&lt;&gt;"",INDEX(시장분석!$C:$C,AB19),IF(K19=1,"USD","비USD")))</f>
        <v>USD</v>
      </c>
      <c r="X19" s="91" t="n">
        <f aca="false">IF(Q19=1,E19*K19/1000000,0)</f>
        <v>5.5</v>
      </c>
      <c r="Y19" s="89" t="n">
        <f aca="false">IF(R19="T",1,0)</f>
        <v>0</v>
      </c>
      <c r="Z19" s="92" t="n">
        <f aca="false">IF(Q19&lt;&gt;1,"",IF(AD19=1,IF(ISNUMBER(U19),MAX(U19,0),H19),H19))</f>
        <v>4.2708</v>
      </c>
      <c r="AA19" s="91" t="n">
        <f aca="false">IF(Q19=1,IF(ISNUMBER(L19),L19,0)*K19/1000000,0)</f>
        <v>5.235813</v>
      </c>
      <c r="AB19" s="89" t="n">
        <f aca="false">IF(Q19&lt;&gt;1,"",IFERROR(MATCH(VLOOKUP(B19,매핑!$H$4:$I$15,2,0),시장분석!$A$2:$A$601,0)+1,IFERROR(MATCH(R19&amp;"|"&amp;T19,시장분석!$V$2:$V$601,0)+1,IF(COUNTIF(시장분석!$U$2:$U$601,T19)=1,MATCH(T19,시장분석!$U$2:$U$601,0)+1,""))))</f>
        <v>65</v>
      </c>
      <c r="AC19" s="89" t="n">
        <f aca="false">IF(Q19&lt;&gt;1,0,IF(OR(설정!$C$5="전체",AND(설정!$C$5="선택펀드",IFERROR(COUNTIFS(설정!$F$16:$F$36,C19,설정!$G$16:$G$36,"Y")+COUNTIFS(설정!$F$16:$F$36,VALUE(C19),설정!$G$16:$G$36,"Y"),0)&gt;0),C19&amp;""=설정!$C$5&amp;""),1,0))</f>
        <v>1</v>
      </c>
      <c r="AD19" s="89" t="n">
        <f aca="false">IF(Q19&lt;&gt;1,0,IF(OR(S19=1,IF(AB19="",FALSE(),INDEX(시장분석!$R:$R,AB19)=1)),1,0))</f>
        <v>0</v>
      </c>
      <c r="AE19" s="43" t="str">
        <f aca="false">IF(AB19="","",INDEX(시장분석!$A:$A,AB19))</f>
        <v>HYNMTR 4 3/4 09/26/31</v>
      </c>
      <c r="AF19" s="93" t="n">
        <f aca="false">IF(AB19="","",IF(ISNUMBER(IF(AB19="","",INDEX(시장분석!$E:$E,AB19))),IF(AB19="","",INDEX(시장분석!$E:$E,AB19)),""))</f>
        <v>84.819</v>
      </c>
      <c r="AG19" s="43" t="str">
        <f aca="false">IF(Q19&lt;&gt;1,"",IF(AB19&lt;&gt;"",IF(AB19="","",INDEX(시장분석!$L:$L,AB19)),IFERROR(IF(VLOOKUP(R19,매핑!$A$4:$E$92,5,0)="","미분류",VLOOKUP(R19,매핑!$A$4:$E$92,5,0)),"미분류")))</f>
        <v>자유 소비재</v>
      </c>
      <c r="AH19" s="43" t="str">
        <f aca="false">IF(Q19&lt;&gt;1,"",IF(AB19&lt;&gt;"",IF(AB19="","",INDEX(시장분석!$N:$N,AB19)),IFERROR(IF(VLOOKUP(R19,매핑!$A$4:$E$92,4,0)="","미분류",VLOOKUP(R19,매핑!$A$4:$E$92,4,0)),"미분류")))</f>
        <v>미국</v>
      </c>
      <c r="AI19" s="43" t="str">
        <f aca="false">IF(Q19&lt;&gt;1,"",IFERROR(IF(VLOOKUP(R19,매핑!$A$4:$E$92,3,0)="","미분류",VLOOKUP(R19,매핑!$A$4:$E$92,3,0)),IF(AB19&lt;&gt;"",IF(AB19="","",INDEX(시장분석!$W:$W,AB19)),"미분류")))</f>
        <v>미국</v>
      </c>
      <c r="AJ19" s="43" t="str">
        <f aca="false">IF(Q19&lt;&gt;1,"",IFERROR(VLOOKUP(IF(N19&lt;&gt;"",N19,IF(P19&lt;&gt;"",P19,O19)),설정!$A$15:$D$47,2,0),""))</f>
        <v>A-</v>
      </c>
      <c r="AK19" s="43" t="str">
        <f aca="false">IF(Q19&lt;&gt;1,"",IF(AJ19="","무등급",IFERROR(VLOOKUP(AJ19,설정!$A$15:$D$47,3,0),"무등급")))</f>
        <v>A</v>
      </c>
      <c r="AL19" s="89" t="n">
        <f aca="false">IF(AJ19="",99,IFERROR(VLOOKUP(AJ19,설정!$A$15:$D$47,4,0),99))</f>
        <v>7</v>
      </c>
      <c r="AM19" s="94" t="n">
        <f aca="false">IF(ISNUMBER(H19),AA19*1000000*H19/10000,0)</f>
        <v>2236.11101604</v>
      </c>
      <c r="AN19" s="94" t="n">
        <f aca="false">IF(OR(Y19=1,NOT(ISNUMBER(Z19))),0,AA19*1000000*Z19/10000)</f>
        <v>2236.11101604</v>
      </c>
      <c r="AO19" s="94" t="n">
        <f aca="false">IF(ISNUMBER(G19),AA19*1000000*G19/100,0)</f>
        <v>307577.834685</v>
      </c>
      <c r="AP19" s="94" t="n">
        <f aca="false">IF(ISNUMBER(M19),M19*K19,0)</f>
        <v>-44297</v>
      </c>
      <c r="AQ19" s="95" t="n">
        <f aca="false">IF(AB19="","",INDEX(시장분석!$AK:$AK,AB19))</f>
        <v>-0.548175150965354</v>
      </c>
      <c r="AR19" s="43" t="str">
        <f aca="false">IF(AB19="","-",IF(AB19="","",INDEX(시장분석!$AL:$AL,AB19)))</f>
        <v>Fair</v>
      </c>
      <c r="AS19" s="96" t="n">
        <f aca="false">IF(AB19="","",INDEX(시장분석!$AJ:$AJ,AB19))</f>
        <v>-2.37757615524814</v>
      </c>
      <c r="AT19" s="93" t="n">
        <f aca="false">IF(AB19="",0,IF(AB19="","",INDEX(시장분석!$AN:$AN,AB19)))</f>
        <v>10.1756742598516</v>
      </c>
      <c r="AU19" s="94" t="n">
        <f aca="false">IF(ISNUMBER(Z19),AT19/10000*MAX(Z19-1,0)*AA19*1000000,0)</f>
        <v>17426.1445507391</v>
      </c>
      <c r="AV19" s="94" t="n">
        <f aca="false">AO19+AU19</f>
        <v>325003.979235739</v>
      </c>
      <c r="AW19" s="43" t="str">
        <f aca="false">IF(Q19&lt;&gt;1,"",TRIM(IF(AD19=1,"FRN ","")&amp;IF(AND(AL19&gt;=10,AL19&lt;99),"BBB0미만 ","")&amp;IF(AJ19="","등급없음 ","")&amp;IF(K19&lt;&gt;1,"비USD ","")&amp;IF(AND(AB19="",Y19=0),"시장데이터없음 ","")&amp;IF(AND(ISNUMBER(U19),U19&lt;0),"만기경과 ","")))</f>
        <v/>
      </c>
      <c r="AX19" s="90" t="n">
        <f aca="false">IF(Q19&lt;&gt;1,1,IF(스프레드쇼크!$C$4="Y",INDEX(스프레드쇼크!$B$12:$L$16,IFERROR(MATCH(AH19,스프레드쇼크!$A$12:$A$16,0),MATCH("목록외",스프레드쇼크!$A$12:$A$16,0)),IFERROR(MATCH(AG19,스프레드쇼크!$B$11:$L$11,0),MATCH("목록외",스프레드쇼크!$B$11:$L$11,0))),1))</f>
        <v>1</v>
      </c>
      <c r="AY19" s="90" t="n">
        <f aca="false">IF(스프레드쇼크!$C$5="Y",IF(ISNUMBER(AF19),MIN(스프레드쇼크!$C$7,MAX(스프레드쇼크!$C$6,AF19/스프레드쇼크!$C$8)),1),1)</f>
        <v>1.28292029212065</v>
      </c>
      <c r="AZ19" s="94" t="n">
        <f aca="false">AN19*AX19*AY19</f>
        <v>2868.75219791224</v>
      </c>
      <c r="BA19" s="90" t="n">
        <f aca="false">IF(ISNUMBER(G19),AA19*G19,0)</f>
        <v>30.7577834685</v>
      </c>
      <c r="BB19" s="90" t="n">
        <f aca="false">IF(ISNUMBER(G19),AA19,0)</f>
        <v>5.235813</v>
      </c>
      <c r="BC19" s="90" t="n">
        <f aca="false">IF(AND(Y19=0,ISNUMBER(AF19)),AA19*AF19,0)</f>
        <v>444.096422847</v>
      </c>
      <c r="BD19" s="90" t="n">
        <f aca="false">IF(AND(Y19=0,ISNUMBER(AF19)),AA19,0)</f>
        <v>5.235813</v>
      </c>
      <c r="BE19" s="90" t="n">
        <f aca="false">IF(ISNUMBER(H19),AA19*H19,0)</f>
        <v>22.3611101604</v>
      </c>
      <c r="BF19" s="90" t="n">
        <f aca="false">IF(ISNUMBER(H19),AA19,0)</f>
        <v>5.235813</v>
      </c>
      <c r="BG19" s="90" t="n">
        <f aca="false">IF(AND(Y19=0,ISNUMBER(AF19),ISNUMBER(Z19)),AA19*Z19,0)</f>
        <v>22.3611101604</v>
      </c>
      <c r="BH19" s="90" t="n">
        <f aca="false">IF(AND(Y19=0,ISNUMBER(AF19),ISNUMBER(Z19)),AA19*AT19*MAX(Z19-1,0),0)</f>
        <v>174.261445507391</v>
      </c>
      <c r="BI19" s="90" t="n">
        <f aca="false">IF(Y19=0,AA19,0)</f>
        <v>5.235813</v>
      </c>
    </row>
    <row r="20" customFormat="false" ht="15" hidden="false" customHeight="false" outlineLevel="0" collapsed="false">
      <c r="A20" s="83" t="str">
        <f aca="false">IFERROR(IF(INDEX(원자료_잔고!$A$1:$EZ$1500,설정!$L$5+ROW()-1,설정!$L$8)&amp;""="0","",INDEX(원자료_잔고!$A$1:$EZ$1500,설정!$L$5+ROW()-1,설정!$L$8)&amp;""),"")</f>
        <v>HYNMTR 4.25 01/08/29</v>
      </c>
      <c r="B20" s="83" t="str">
        <f aca="false">IFERROR(IF(INDEX(원자료_잔고!$A$1:$EZ$1500,설정!$L$5+ROW()-1,설정!$L$7)&amp;""="0","",INDEX(원자료_잔고!$A$1:$EZ$1500,설정!$L$5+ROW()-1,설정!$L$7)&amp;""),"")</f>
        <v>US44891CED11</v>
      </c>
      <c r="C20" s="83" t="str">
        <f aca="false">IFERROR(IF(INDEX(원자료_잔고!$A$1:$EZ$1500,설정!$L$5+ROW()-1,설정!$L$9)&amp;""="0","",INDEX(원자료_잔고!$A$1:$EZ$1500,설정!$L$5+ROW()-1,설정!$L$9)&amp;""),"")</f>
        <v>28096</v>
      </c>
      <c r="D2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" s="84" t="n">
        <f aca="false">IFERROR(IF(ISNUMBER(INDEX(원자료_잔고!$A$1:$EZ$1500,설정!$L$5+ROW()-1,설정!$L$11)),INDEX(원자료_잔고!$A$1:$EZ$1500,설정!$L$5+ROW()-1,설정!$L$11),""),"")</f>
        <v>1000000</v>
      </c>
      <c r="F20" s="85" t="n">
        <f aca="false">IFERROR(IF(ISNUMBER(INDEX(원자료_잔고!$A$1:$EZ$1500,설정!$L$5+ROW()-1,설정!$L$12)),INDEX(원자료_잔고!$A$1:$EZ$1500,설정!$L$5+ROW()-1,설정!$L$12),""),"")</f>
        <v>97.1293</v>
      </c>
      <c r="G20" s="85" t="n">
        <f aca="false">IFERROR(IF(ISNUMBER(INDEX(원자료_잔고!$A$1:$EZ$1500,설정!$L$5+ROW()-1,설정!$L$13)),INDEX(원자료_잔고!$A$1:$EZ$1500,설정!$L$5+ROW()-1,설정!$L$13),""),"")</f>
        <v>5.6086</v>
      </c>
      <c r="H20" s="85" t="n">
        <f aca="false">IFERROR(IF(ISNUMBER(INDEX(원자료_잔고!$A$1:$EZ$1500,설정!$L$5+ROW()-1,설정!$L$14)),INDEX(원자료_잔고!$A$1:$EZ$1500,설정!$L$5+ROW()-1,설정!$L$14),""),"")</f>
        <v>2.0668</v>
      </c>
      <c r="I20" s="86" t="n">
        <f aca="false">IFERROR(IF(ISNUMBER(INDEX(원자료_잔고!$A$1:$EZ$1500,설정!$L$5+ROW()-1,설정!$L$15)),INDEX(원자료_잔고!$A$1:$EZ$1500,설정!$L$5+ROW()-1,설정!$L$15),""),"")</f>
        <v>47126</v>
      </c>
      <c r="J20" s="85" t="n">
        <f aca="false">IFERROR(IF(ISNUMBER(INDEX(원자료_잔고!$A$1:$EZ$1500,설정!$L$5+ROW()-1,설정!$L$16)),INDEX(원자료_잔고!$A$1:$EZ$1500,설정!$L$5+ROW()-1,설정!$L$16),""),"")</f>
        <v>4.25</v>
      </c>
      <c r="K20" s="87" t="n">
        <f aca="false">IFERROR(IF(ISNUMBER(INDEX(원자료_잔고!$A$1:$EZ$1500,설정!$L$5+ROW()-1,설정!$L$17)),INDEX(원자료_잔고!$A$1:$EZ$1500,설정!$L$5+ROW()-1,설정!$L$17),""),"")</f>
        <v>1</v>
      </c>
      <c r="L20" s="84" t="n">
        <f aca="false">IFERROR(IF(ISNUMBER(INDEX(원자료_잔고!$A$1:$EZ$1500,설정!$L$5+ROW()-1,설정!$L$18)),INDEX(원자료_잔고!$A$1:$EZ$1500,설정!$L$5+ROW()-1,설정!$L$18),""),"")</f>
        <v>971293</v>
      </c>
      <c r="M20" s="88" t="n">
        <f aca="false">IFERROR(IF(ISNUMBER(INDEX(원자료_잔고!$A$1:$EZ$1500,설정!$L$5+ROW()-1,설정!$L$19)),INDEX(원자료_잔고!$A$1:$EZ$1500,설정!$L$5+ROW()-1,설정!$L$19),""),"")</f>
        <v>-18707</v>
      </c>
      <c r="N20" s="83" t="str">
        <f aca="false">IFERROR(IF(INDEX(원자료_잔고!$A$1:$EZ$1500,설정!$L$5+ROW()-1,설정!$L$21)&amp;""="0","",INDEX(원자료_잔고!$A$1:$EZ$1500,설정!$L$5+ROW()-1,설정!$L$21)&amp;""),"")</f>
        <v>A-</v>
      </c>
      <c r="O20" s="83" t="str">
        <f aca="false">IFERROR(IF(INDEX(원자료_잔고!$A$1:$EZ$1500,설정!$L$5+ROW()-1,설정!$L$22)&amp;""="0","",INDEX(원자료_잔고!$A$1:$EZ$1500,설정!$L$5+ROW()-1,설정!$L$22)&amp;""),"")</f>
        <v/>
      </c>
      <c r="P20" s="83" t="str">
        <f aca="false">IFERROR(IF(INDEX(원자료_잔고!$A$1:$EZ$1500,설정!$L$5+ROW()-1,설정!$L$23)&amp;""="0","",INDEX(원자료_잔고!$A$1:$EZ$1500,설정!$L$5+ROW()-1,설정!$L$23)&amp;""),"")</f>
        <v>A-</v>
      </c>
      <c r="Q20" s="89" t="n">
        <f aca="false">IF(AND($A20&lt;&gt;"",ISNUMBER(E20)),IF(E20&gt;0,1,0),0)</f>
        <v>1</v>
      </c>
      <c r="R20" s="43" t="str">
        <f aca="false">IF(Q20=1,UPPER(LEFT($A20,FIND(" ",$A20&amp;" ")-1)),"")</f>
        <v>HYNMTR</v>
      </c>
      <c r="S20" s="89" t="n">
        <f aca="false">IF(Q20=1,IF(OR(ISNUMBER(SEARCH("Float",$A20)),ISNUMBER(SEARCH("FRN",$A20))),1,0),0)</f>
        <v>0</v>
      </c>
      <c r="T20" s="43" t="str">
        <f aca="false">IF(AND(Q20=1,ISNUMBER(I20)),TEXT(I20,"yyyymmdd")&amp;"|"&amp;IF(S20=1,"F",TEXT(J20,"0.000")),"")</f>
        <v>20290108|4.250</v>
      </c>
      <c r="U20" s="90" t="n">
        <f aca="false">IF(AND(Q20=1,ISNUMBER(I20)),(I20-설정!$C$4)/365.25,"")</f>
        <v>2.27241615331964</v>
      </c>
      <c r="V20" s="43" t="str">
        <f aca="false">IF(Q20&lt;&gt;1,"",IF(ISNUMBER(U20),IF(U20&lt;=1,"1년 이하",IF(U20&lt;=2,"1-2년",IF(U20&lt;=3,"2-3년",IF(U20&lt;=4,"3-4년",IF(U20&lt;=5,"4-5년",IF(U20&lt;=7,"5-7년",IF(U20&lt;=10,"7-10년",IF(U20&lt;=20,"10-20년","20년 이상")))))))),"미분류"))</f>
        <v>2-3년</v>
      </c>
      <c r="W20" s="43" t="str">
        <f aca="false">IF(Q20&lt;&gt;1,"",IF(AB20&lt;&gt;"",INDEX(시장분석!$C:$C,AB20),IF(K20=1,"USD","비USD")))</f>
        <v>USD</v>
      </c>
      <c r="X20" s="91" t="n">
        <f aca="false">IF(Q20=1,E20*K20/1000000,0)</f>
        <v>1</v>
      </c>
      <c r="Y20" s="89" t="n">
        <f aca="false">IF(R20="T",1,0)</f>
        <v>0</v>
      </c>
      <c r="Z20" s="92" t="n">
        <f aca="false">IF(Q20&lt;&gt;1,"",IF(AD20=1,IF(ISNUMBER(U20),MAX(U20,0),H20),H20))</f>
        <v>2.0668</v>
      </c>
      <c r="AA20" s="91" t="n">
        <f aca="false">IF(Q20=1,IF(ISNUMBER(L20),L20,0)*K20/1000000,0)</f>
        <v>0.971293</v>
      </c>
      <c r="AB20" s="89" t="n">
        <f aca="false">IF(Q20&lt;&gt;1,"",IFERROR(MATCH(VLOOKUP(B20,매핑!$H$4:$I$15,2,0),시장분석!$A$2:$A$601,0)+1,IFERROR(MATCH(R20&amp;"|"&amp;T20,시장분석!$V$2:$V$601,0)+1,IF(COUNTIF(시장분석!$U$2:$U$601,T20)=1,MATCH(T20,시장분석!$U$2:$U$601,0)+1,""))))</f>
        <v>71</v>
      </c>
      <c r="AC20" s="89" t="n">
        <f aca="false">IF(Q20&lt;&gt;1,0,IF(OR(설정!$C$5="전체",AND(설정!$C$5="선택펀드",IFERROR(COUNTIFS(설정!$F$16:$F$36,C20,설정!$G$16:$G$36,"Y")+COUNTIFS(설정!$F$16:$F$36,VALUE(C20),설정!$G$16:$G$36,"Y"),0)&gt;0),C20&amp;""=설정!$C$5&amp;""),1,0))</f>
        <v>1</v>
      </c>
      <c r="AD20" s="89" t="n">
        <f aca="false">IF(Q20&lt;&gt;1,0,IF(OR(S20=1,IF(AB20="",FALSE(),INDEX(시장분석!$R:$R,AB20)=1)),1,0))</f>
        <v>0</v>
      </c>
      <c r="AE20" s="43" t="str">
        <f aca="false">IF(AB20="","",INDEX(시장분석!$A:$A,AB20))</f>
        <v>HYNMTR 4 1/4 01/08/29</v>
      </c>
      <c r="AF20" s="93" t="n">
        <f aca="false">IF(AB20="","",IF(ISNUMBER(IF(AB20="","",INDEX(시장분석!$E:$E,AB20))),IF(AB20="","",INDEX(시장분석!$E:$E,AB20)),""))</f>
        <v>68.024</v>
      </c>
      <c r="AG20" s="43" t="str">
        <f aca="false">IF(Q20&lt;&gt;1,"",IF(AB20&lt;&gt;"",IF(AB20="","",INDEX(시장분석!$L:$L,AB20)),IFERROR(IF(VLOOKUP(R20,매핑!$A$4:$E$92,5,0)="","미분류",VLOOKUP(R20,매핑!$A$4:$E$92,5,0)),"미분류")))</f>
        <v>자유 소비재</v>
      </c>
      <c r="AH20" s="43" t="str">
        <f aca="false">IF(Q20&lt;&gt;1,"",IF(AB20&lt;&gt;"",IF(AB20="","",INDEX(시장분석!$N:$N,AB20)),IFERROR(IF(VLOOKUP(R20,매핑!$A$4:$E$92,4,0)="","미분류",VLOOKUP(R20,매핑!$A$4:$E$92,4,0)),"미분류")))</f>
        <v>미국</v>
      </c>
      <c r="AI20" s="43" t="str">
        <f aca="false">IF(Q20&lt;&gt;1,"",IFERROR(IF(VLOOKUP(R20,매핑!$A$4:$E$92,3,0)="","미분류",VLOOKUP(R20,매핑!$A$4:$E$92,3,0)),IF(AB20&lt;&gt;"",IF(AB20="","",INDEX(시장분석!$W:$W,AB20)),"미분류")))</f>
        <v>미국</v>
      </c>
      <c r="AJ20" s="43" t="str">
        <f aca="false">IF(Q20&lt;&gt;1,"",IFERROR(VLOOKUP(IF(N20&lt;&gt;"",N20,IF(P20&lt;&gt;"",P20,O20)),설정!$A$15:$D$47,2,0),""))</f>
        <v>A-</v>
      </c>
      <c r="AK20" s="43" t="str">
        <f aca="false">IF(Q20&lt;&gt;1,"",IF(AJ20="","무등급",IFERROR(VLOOKUP(AJ20,설정!$A$15:$D$47,3,0),"무등급")))</f>
        <v>A</v>
      </c>
      <c r="AL20" s="89" t="n">
        <f aca="false">IF(AJ20="",99,IFERROR(VLOOKUP(AJ20,설정!$A$15:$D$47,4,0),99))</f>
        <v>7</v>
      </c>
      <c r="AM20" s="94" t="n">
        <f aca="false">IF(ISNUMBER(H20),AA20*1000000*H20/10000,0)</f>
        <v>200.74683724</v>
      </c>
      <c r="AN20" s="94" t="n">
        <f aca="false">IF(OR(Y20=1,NOT(ISNUMBER(Z20))),0,AA20*1000000*Z20/10000)</f>
        <v>200.74683724</v>
      </c>
      <c r="AO20" s="94" t="n">
        <f aca="false">IF(ISNUMBER(G20),AA20*1000000*G20/100,0)</f>
        <v>54475.939198</v>
      </c>
      <c r="AP20" s="94" t="n">
        <f aca="false">IF(ISNUMBER(M20),M20*K20,0)</f>
        <v>-18707</v>
      </c>
      <c r="AQ20" s="95" t="n">
        <f aca="false">IF(AB20="","",INDEX(시장분석!$AK:$AK,AB20))</f>
        <v>2.33116623362398</v>
      </c>
      <c r="AR20" s="43" t="str">
        <f aca="false">IF(AB20="","-",IF(AB20="","",INDEX(시장분석!$AL:$AL,AB20)))</f>
        <v>Cheap</v>
      </c>
      <c r="AS20" s="96" t="n">
        <f aca="false">IF(AB20="","",INDEX(시장분석!$AJ:$AJ,AB20))</f>
        <v>10.1108655531419</v>
      </c>
      <c r="AT20" s="93" t="n">
        <f aca="false">IF(AB20="",0,IF(AB20="","",INDEX(시장분석!$AN:$AN,AB20)))</f>
        <v>24.9776657542476</v>
      </c>
      <c r="AU20" s="94" t="n">
        <f aca="false">IF(ISNUMBER(Z20),AT20/10000*MAX(Z20-1,0)*AA20*1000000,0)</f>
        <v>2588.12421145902</v>
      </c>
      <c r="AV20" s="94" t="n">
        <f aca="false">AO20+AU20</f>
        <v>57064.063409459</v>
      </c>
      <c r="AW20" s="43" t="str">
        <f aca="false">IF(Q20&lt;&gt;1,"",TRIM(IF(AD20=1,"FRN ","")&amp;IF(AND(AL20&gt;=10,AL20&lt;99),"BBB0미만 ","")&amp;IF(AJ20="","등급없음 ","")&amp;IF(K20&lt;&gt;1,"비USD ","")&amp;IF(AND(AB20="",Y20=0),"시장데이터없음 ","")&amp;IF(AND(ISNUMBER(U20),U20&lt;0),"만기경과 ","")))</f>
        <v/>
      </c>
      <c r="AX20" s="90" t="n">
        <f aca="false">IF(Q20&lt;&gt;1,1,IF(스프레드쇼크!$C$4="Y",INDEX(스프레드쇼크!$B$12:$L$16,IFERROR(MATCH(AH20,스프레드쇼크!$A$12:$A$16,0),MATCH("목록외",스프레드쇼크!$A$12:$A$16,0)),IFERROR(MATCH(AG20,스프레드쇼크!$B$11:$L$11,0),MATCH("목록외",스프레드쇼크!$B$11:$L$11,0))),1))</f>
        <v>1</v>
      </c>
      <c r="AY20" s="90" t="n">
        <f aca="false">IF(스프레드쇼크!$C$5="Y",IF(ISNUMBER(AF20),MIN(스프레드쇼크!$C$7,MAX(스프레드쇼크!$C$6,AF20/스프레드쇼크!$C$8)),1),1)</f>
        <v>1.02888939920554</v>
      </c>
      <c r="AZ20" s="94" t="n">
        <f aca="false">AN20*AX20*AY20</f>
        <v>206.546292760277</v>
      </c>
      <c r="BA20" s="90" t="n">
        <f aca="false">IF(ISNUMBER(G20),AA20*G20,0)</f>
        <v>5.4475939198</v>
      </c>
      <c r="BB20" s="90" t="n">
        <f aca="false">IF(ISNUMBER(G20),AA20,0)</f>
        <v>0.971293</v>
      </c>
      <c r="BC20" s="90" t="n">
        <f aca="false">IF(AND(Y20=0,ISNUMBER(AF20)),AA20*AF20,0)</f>
        <v>66.071235032</v>
      </c>
      <c r="BD20" s="90" t="n">
        <f aca="false">IF(AND(Y20=0,ISNUMBER(AF20)),AA20,0)</f>
        <v>0.971293</v>
      </c>
      <c r="BE20" s="90" t="n">
        <f aca="false">IF(ISNUMBER(H20),AA20*H20,0)</f>
        <v>2.0074683724</v>
      </c>
      <c r="BF20" s="90" t="n">
        <f aca="false">IF(ISNUMBER(H20),AA20,0)</f>
        <v>0.971293</v>
      </c>
      <c r="BG20" s="90" t="n">
        <f aca="false">IF(AND(Y20=0,ISNUMBER(AF20),ISNUMBER(Z20)),AA20*Z20,0)</f>
        <v>2.0074683724</v>
      </c>
      <c r="BH20" s="90" t="n">
        <f aca="false">IF(AND(Y20=0,ISNUMBER(AF20),ISNUMBER(Z20)),AA20*AT20*MAX(Z20-1,0),0)</f>
        <v>25.8812421145902</v>
      </c>
      <c r="BI20" s="90" t="n">
        <f aca="false">IF(Y20=0,AA20,0)</f>
        <v>0.971293</v>
      </c>
    </row>
    <row r="21" customFormat="false" ht="15" hidden="false" customHeight="false" outlineLevel="0" collapsed="false">
      <c r="A21" s="83" t="str">
        <f aca="false">IFERROR(IF(INDEX(원자료_잔고!$A$1:$EZ$1500,설정!$L$5+ROW()-1,설정!$L$8)&amp;""="0","",INDEX(원자료_잔고!$A$1:$EZ$1500,설정!$L$5+ROW()-1,설정!$L$8)&amp;""),"")</f>
        <v>HYNMTR 5 06/18/31</v>
      </c>
      <c r="B21" s="83" t="str">
        <f aca="false">IFERROR(IF(INDEX(원자료_잔고!$A$1:$EZ$1500,설정!$L$5+ROW()-1,설정!$L$7)&amp;""="0","",INDEX(원자료_잔고!$A$1:$EZ$1500,설정!$L$5+ROW()-1,설정!$L$7)&amp;""),"")</f>
        <v>US44891CEP41</v>
      </c>
      <c r="C21" s="83" t="str">
        <f aca="false">IFERROR(IF(INDEX(원자료_잔고!$A$1:$EZ$1500,설정!$L$5+ROW()-1,설정!$L$9)&amp;""="0","",INDEX(원자료_잔고!$A$1:$EZ$1500,설정!$L$5+ROW()-1,설정!$L$9)&amp;""),"")</f>
        <v>28096</v>
      </c>
      <c r="D2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" s="84" t="n">
        <f aca="false">IFERROR(IF(ISNUMBER(INDEX(원자료_잔고!$A$1:$EZ$1500,설정!$L$5+ROW()-1,설정!$L$11)),INDEX(원자료_잔고!$A$1:$EZ$1500,설정!$L$5+ROW()-1,설정!$L$11),""),"")</f>
        <v>1000000</v>
      </c>
      <c r="F21" s="85" t="n">
        <f aca="false">IFERROR(IF(ISNUMBER(INDEX(원자료_잔고!$A$1:$EZ$1500,설정!$L$5+ROW()-1,설정!$L$12)),INDEX(원자료_잔고!$A$1:$EZ$1500,설정!$L$5+ROW()-1,설정!$L$12),""),"")</f>
        <v>96.4765</v>
      </c>
      <c r="G21" s="85" t="n">
        <f aca="false">IFERROR(IF(ISNUMBER(INDEX(원자료_잔고!$A$1:$EZ$1500,설정!$L$5+ROW()-1,설정!$L$13)),INDEX(원자료_잔고!$A$1:$EZ$1500,설정!$L$5+ROW()-1,설정!$L$13),""),"")</f>
        <v>5.863</v>
      </c>
      <c r="H21" s="85" t="n">
        <f aca="false">IFERROR(IF(ISNUMBER(INDEX(원자료_잔고!$A$1:$EZ$1500,설정!$L$5+ROW()-1,설정!$L$14)),INDEX(원자료_잔고!$A$1:$EZ$1500,설정!$L$5+ROW()-1,설정!$L$14),""),"")</f>
        <v>3.9753</v>
      </c>
      <c r="I21" s="86" t="n">
        <f aca="false">IFERROR(IF(ISNUMBER(INDEX(원자료_잔고!$A$1:$EZ$1500,설정!$L$5+ROW()-1,설정!$L$15)),INDEX(원자료_잔고!$A$1:$EZ$1500,설정!$L$5+ROW()-1,설정!$L$15),""),"")</f>
        <v>48017</v>
      </c>
      <c r="J21" s="85" t="n">
        <f aca="false">IFERROR(IF(ISNUMBER(INDEX(원자료_잔고!$A$1:$EZ$1500,설정!$L$5+ROW()-1,설정!$L$16)),INDEX(원자료_잔고!$A$1:$EZ$1500,설정!$L$5+ROW()-1,설정!$L$16),""),"")</f>
        <v>5</v>
      </c>
      <c r="K21" s="87" t="n">
        <f aca="false">IFERROR(IF(ISNUMBER(INDEX(원자료_잔고!$A$1:$EZ$1500,설정!$L$5+ROW()-1,설정!$L$17)),INDEX(원자료_잔고!$A$1:$EZ$1500,설정!$L$5+ROW()-1,설정!$L$17),""),"")</f>
        <v>1</v>
      </c>
      <c r="L21" s="84" t="n">
        <f aca="false">IFERROR(IF(ISNUMBER(INDEX(원자료_잔고!$A$1:$EZ$1500,설정!$L$5+ROW()-1,설정!$L$18)),INDEX(원자료_잔고!$A$1:$EZ$1500,설정!$L$5+ROW()-1,설정!$L$18),""),"")</f>
        <v>964765</v>
      </c>
      <c r="M21" s="88" t="n">
        <f aca="false">IFERROR(IF(ISNUMBER(INDEX(원자료_잔고!$A$1:$EZ$1500,설정!$L$5+ROW()-1,설정!$L$19)),INDEX(원자료_잔고!$A$1:$EZ$1500,설정!$L$5+ROW()-1,설정!$L$19),""),"")</f>
        <v>-35865</v>
      </c>
      <c r="N21" s="83" t="str">
        <f aca="false">IFERROR(IF(INDEX(원자료_잔고!$A$1:$EZ$1500,설정!$L$5+ROW()-1,설정!$L$21)&amp;""="0","",INDEX(원자료_잔고!$A$1:$EZ$1500,설정!$L$5+ROW()-1,설정!$L$21)&amp;""),"")</f>
        <v>A-</v>
      </c>
      <c r="O21" s="83" t="str">
        <f aca="false">IFERROR(IF(INDEX(원자료_잔고!$A$1:$EZ$1500,설정!$L$5+ROW()-1,설정!$L$22)&amp;""="0","",INDEX(원자료_잔고!$A$1:$EZ$1500,설정!$L$5+ROW()-1,설정!$L$22)&amp;""),"")</f>
        <v/>
      </c>
      <c r="P21" s="83" t="str">
        <f aca="false">IFERROR(IF(INDEX(원자료_잔고!$A$1:$EZ$1500,설정!$L$5+ROW()-1,설정!$L$23)&amp;""="0","",INDEX(원자료_잔고!$A$1:$EZ$1500,설정!$L$5+ROW()-1,설정!$L$23)&amp;""),"")</f>
        <v>A-</v>
      </c>
      <c r="Q21" s="89" t="n">
        <f aca="false">IF(AND($A21&lt;&gt;"",ISNUMBER(E21)),IF(E21&gt;0,1,0),0)</f>
        <v>1</v>
      </c>
      <c r="R21" s="43" t="str">
        <f aca="false">IF(Q21=1,UPPER(LEFT($A21,FIND(" ",$A21&amp;" ")-1)),"")</f>
        <v>HYNMTR</v>
      </c>
      <c r="S21" s="89" t="n">
        <f aca="false">IF(Q21=1,IF(OR(ISNUMBER(SEARCH("Float",$A21)),ISNUMBER(SEARCH("FRN",$A21))),1,0),0)</f>
        <v>0</v>
      </c>
      <c r="T21" s="43" t="str">
        <f aca="false">IF(AND(Q21=1,ISNUMBER(I21)),TEXT(I21,"yyyymmdd")&amp;"|"&amp;IF(S21=1,"F",TEXT(J21,"0.000")),"")</f>
        <v>20310618|5.000</v>
      </c>
      <c r="U21" s="90" t="n">
        <f aca="false">IF(AND(Q21=1,ISNUMBER(I21)),(I21-설정!$C$4)/365.25,"")</f>
        <v>4.71184120465435</v>
      </c>
      <c r="V21" s="43" t="str">
        <f aca="false">IF(Q21&lt;&gt;1,"",IF(ISNUMBER(U21),IF(U21&lt;=1,"1년 이하",IF(U21&lt;=2,"1-2년",IF(U21&lt;=3,"2-3년",IF(U21&lt;=4,"3-4년",IF(U21&lt;=5,"4-5년",IF(U21&lt;=7,"5-7년",IF(U21&lt;=10,"7-10년",IF(U21&lt;=20,"10-20년","20년 이상")))))))),"미분류"))</f>
        <v>4-5년</v>
      </c>
      <c r="W21" s="43" t="str">
        <f aca="false">IF(Q21&lt;&gt;1,"",IF(AB21&lt;&gt;"",INDEX(시장분석!$C:$C,AB21),IF(K21=1,"USD","비USD")))</f>
        <v>USD</v>
      </c>
      <c r="X21" s="91" t="n">
        <f aca="false">IF(Q21=1,E21*K21/1000000,0)</f>
        <v>1</v>
      </c>
      <c r="Y21" s="89" t="n">
        <f aca="false">IF(R21="T",1,0)</f>
        <v>0</v>
      </c>
      <c r="Z21" s="92" t="n">
        <f aca="false">IF(Q21&lt;&gt;1,"",IF(AD21=1,IF(ISNUMBER(U21),MAX(U21,0),H21),H21))</f>
        <v>3.9753</v>
      </c>
      <c r="AA21" s="91" t="n">
        <f aca="false">IF(Q21=1,IF(ISNUMBER(L21),L21,0)*K21/1000000,0)</f>
        <v>0.964765</v>
      </c>
      <c r="AB21" s="89" t="n">
        <f aca="false">IF(Q21&lt;&gt;1,"",IFERROR(MATCH(VLOOKUP(B21,매핑!$H$4:$I$15,2,0),시장분석!$A$2:$A$601,0)+1,IFERROR(MATCH(R21&amp;"|"&amp;T21,시장분석!$V$2:$V$601,0)+1,IF(COUNTIF(시장분석!$U$2:$U$601,T21)=1,MATCH(T21,시장분석!$U$2:$U$601,0)+1,""))))</f>
        <v>73</v>
      </c>
      <c r="AC21" s="89" t="n">
        <f aca="false">IF(Q21&lt;&gt;1,0,IF(OR(설정!$C$5="전체",AND(설정!$C$5="선택펀드",IFERROR(COUNTIFS(설정!$F$16:$F$36,C21,설정!$G$16:$G$36,"Y")+COUNTIFS(설정!$F$16:$F$36,VALUE(C21),설정!$G$16:$G$36,"Y"),0)&gt;0),C21&amp;""=설정!$C$5&amp;""),1,0))</f>
        <v>1</v>
      </c>
      <c r="AD21" s="89" t="n">
        <f aca="false">IF(Q21&lt;&gt;1,0,IF(OR(S21=1,IF(AB21="",FALSE(),INDEX(시장분석!$R:$R,AB21)=1)),1,0))</f>
        <v>0</v>
      </c>
      <c r="AE21" s="43" t="str">
        <f aca="false">IF(AB21="","",INDEX(시장분석!$A:$A,AB21))</f>
        <v>HYNMTR 5 06/18/31</v>
      </c>
      <c r="AF21" s="93" t="n">
        <f aca="false">IF(AB21="","",IF(ISNUMBER(IF(AB21="","",INDEX(시장분석!$E:$E,AB21))),IF(AB21="","",INDEX(시장분석!$E:$E,AB21)),""))</f>
        <v>83.863</v>
      </c>
      <c r="AG21" s="43" t="str">
        <f aca="false">IF(Q21&lt;&gt;1,"",IF(AB21&lt;&gt;"",IF(AB21="","",INDEX(시장분석!$L:$L,AB21)),IFERROR(IF(VLOOKUP(R21,매핑!$A$4:$E$92,5,0)="","미분류",VLOOKUP(R21,매핑!$A$4:$E$92,5,0)),"미분류")))</f>
        <v>자유 소비재</v>
      </c>
      <c r="AH21" s="43" t="str">
        <f aca="false">IF(Q21&lt;&gt;1,"",IF(AB21&lt;&gt;"",IF(AB21="","",INDEX(시장분석!$N:$N,AB21)),IFERROR(IF(VLOOKUP(R21,매핑!$A$4:$E$92,4,0)="","미분류",VLOOKUP(R21,매핑!$A$4:$E$92,4,0)),"미분류")))</f>
        <v>미국</v>
      </c>
      <c r="AI21" s="43" t="str">
        <f aca="false">IF(Q21&lt;&gt;1,"",IFERROR(IF(VLOOKUP(R21,매핑!$A$4:$E$92,3,0)="","미분류",VLOOKUP(R21,매핑!$A$4:$E$92,3,0)),IF(AB21&lt;&gt;"",IF(AB21="","",INDEX(시장분석!$W:$W,AB21)),"미분류")))</f>
        <v>미국</v>
      </c>
      <c r="AJ21" s="43" t="str">
        <f aca="false">IF(Q21&lt;&gt;1,"",IFERROR(VLOOKUP(IF(N21&lt;&gt;"",N21,IF(P21&lt;&gt;"",P21,O21)),설정!$A$15:$D$47,2,0),""))</f>
        <v>A-</v>
      </c>
      <c r="AK21" s="43" t="str">
        <f aca="false">IF(Q21&lt;&gt;1,"",IF(AJ21="","무등급",IFERROR(VLOOKUP(AJ21,설정!$A$15:$D$47,3,0),"무등급")))</f>
        <v>A</v>
      </c>
      <c r="AL21" s="89" t="n">
        <f aca="false">IF(AJ21="",99,IFERROR(VLOOKUP(AJ21,설정!$A$15:$D$47,4,0),99))</f>
        <v>7</v>
      </c>
      <c r="AM21" s="94" t="n">
        <f aca="false">IF(ISNUMBER(H21),AA21*1000000*H21/10000,0)</f>
        <v>383.52303045</v>
      </c>
      <c r="AN21" s="94" t="n">
        <f aca="false">IF(OR(Y21=1,NOT(ISNUMBER(Z21))),0,AA21*1000000*Z21/10000)</f>
        <v>383.52303045</v>
      </c>
      <c r="AO21" s="94" t="n">
        <f aca="false">IF(ISNUMBER(G21),AA21*1000000*G21/100,0)</f>
        <v>56564.17195</v>
      </c>
      <c r="AP21" s="94" t="n">
        <f aca="false">IF(ISNUMBER(M21),M21*K21,0)</f>
        <v>-35865</v>
      </c>
      <c r="AQ21" s="95" t="n">
        <f aca="false">IF(AB21="","",INDEX(시장분석!$AK:$AK,AB21))</f>
        <v>-0.14039520733852</v>
      </c>
      <c r="AR21" s="43" t="str">
        <f aca="false">IF(AB21="","-",IF(AB21="","",INDEX(시장분석!$AL:$AL,AB21)))</f>
        <v>Fair</v>
      </c>
      <c r="AS21" s="96" t="n">
        <f aca="false">IF(AB21="","",INDEX(시장분석!$AJ:$AJ,AB21))</f>
        <v>-0.608930004746384</v>
      </c>
      <c r="AT21" s="93" t="n">
        <f aca="false">IF(AB21="",0,IF(AB21="","",INDEX(시장분석!$AN:$AN,AB21)))</f>
        <v>10.9946982846363</v>
      </c>
      <c r="AU21" s="94" t="n">
        <f aca="false">IF(ISNUMBER(Z21),AT21/10000*MAX(Z21-1,0)*AA21*1000000,0)</f>
        <v>3155.98999594942</v>
      </c>
      <c r="AV21" s="94" t="n">
        <f aca="false">AO21+AU21</f>
        <v>59720.1619459494</v>
      </c>
      <c r="AW21" s="43" t="str">
        <f aca="false">IF(Q21&lt;&gt;1,"",TRIM(IF(AD21=1,"FRN ","")&amp;IF(AND(AL21&gt;=10,AL21&lt;99),"BBB0미만 ","")&amp;IF(AJ21="","등급없음 ","")&amp;IF(K21&lt;&gt;1,"비USD ","")&amp;IF(AND(AB21="",Y21=0),"시장데이터없음 ","")&amp;IF(AND(ISNUMBER(U21),U21&lt;0),"만기경과 ","")))</f>
        <v/>
      </c>
      <c r="AX21" s="90" t="n">
        <f aca="false">IF(Q21&lt;&gt;1,1,IF(스프레드쇼크!$C$4="Y",INDEX(스프레드쇼크!$B$12:$L$16,IFERROR(MATCH(AH21,스프레드쇼크!$A$12:$A$16,0),MATCH("목록외",스프레드쇼크!$A$12:$A$16,0)),IFERROR(MATCH(AG21,스프레드쇼크!$B$11:$L$11,0),MATCH("목록외",스프레드쇼크!$B$11:$L$11,0))),1))</f>
        <v>1</v>
      </c>
      <c r="AY21" s="90" t="n">
        <f aca="false">IF(스프레드쇼크!$C$5="Y",IF(ISNUMBER(AF21),MIN(스프레드쇼크!$C$7,MAX(스프레드쇼크!$C$6,AF21/스프레드쇼크!$C$8)),1),1)</f>
        <v>1.26846042110982</v>
      </c>
      <c r="AZ21" s="94" t="n">
        <f aca="false">AN21*AX21*AY21</f>
        <v>486.483784709922</v>
      </c>
      <c r="BA21" s="90" t="n">
        <f aca="false">IF(ISNUMBER(G21),AA21*G21,0)</f>
        <v>5.656417195</v>
      </c>
      <c r="BB21" s="90" t="n">
        <f aca="false">IF(ISNUMBER(G21),AA21,0)</f>
        <v>0.964765</v>
      </c>
      <c r="BC21" s="90" t="n">
        <f aca="false">IF(AND(Y21=0,ISNUMBER(AF21)),AA21*AF21,0)</f>
        <v>80.908087195</v>
      </c>
      <c r="BD21" s="90" t="n">
        <f aca="false">IF(AND(Y21=0,ISNUMBER(AF21)),AA21,0)</f>
        <v>0.964765</v>
      </c>
      <c r="BE21" s="90" t="n">
        <f aca="false">IF(ISNUMBER(H21),AA21*H21,0)</f>
        <v>3.8352303045</v>
      </c>
      <c r="BF21" s="90" t="n">
        <f aca="false">IF(ISNUMBER(H21),AA21,0)</f>
        <v>0.964765</v>
      </c>
      <c r="BG21" s="90" t="n">
        <f aca="false">IF(AND(Y21=0,ISNUMBER(AF21),ISNUMBER(Z21)),AA21*Z21,0)</f>
        <v>3.8352303045</v>
      </c>
      <c r="BH21" s="90" t="n">
        <f aca="false">IF(AND(Y21=0,ISNUMBER(AF21),ISNUMBER(Z21)),AA21*AT21*MAX(Z21-1,0),0)</f>
        <v>31.5598999594942</v>
      </c>
      <c r="BI21" s="90" t="n">
        <f aca="false">IF(Y21=0,AA21,0)</f>
        <v>0.964765</v>
      </c>
    </row>
    <row r="22" customFormat="false" ht="15" hidden="false" customHeight="false" outlineLevel="0" collapsed="false">
      <c r="A22" s="83" t="str">
        <f aca="false">IFERROR(IF(INDEX(원자료_잔고!$A$1:$EZ$1500,설정!$L$5+ROW()-1,설정!$L$8)&amp;""="0","",INDEX(원자료_잔고!$A$1:$EZ$1500,설정!$L$5+ROW()-1,설정!$L$8)&amp;""),"")</f>
        <v>INTNED 4.803 03/23/32</v>
      </c>
      <c r="B22" s="83" t="str">
        <f aca="false">IFERROR(IF(INDEX(원자료_잔고!$A$1:$EZ$1500,설정!$L$5+ROW()-1,설정!$L$7)&amp;""="0","",INDEX(원자료_잔고!$A$1:$EZ$1500,설정!$L$5+ROW()-1,설정!$L$7)&amp;""),"")</f>
        <v>US456837BU63</v>
      </c>
      <c r="C22" s="83" t="str">
        <f aca="false">IFERROR(IF(INDEX(원자료_잔고!$A$1:$EZ$1500,설정!$L$5+ROW()-1,설정!$L$9)&amp;""="0","",INDEX(원자료_잔고!$A$1:$EZ$1500,설정!$L$5+ROW()-1,설정!$L$9)&amp;""),"")</f>
        <v>28096</v>
      </c>
      <c r="D2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" s="84" t="n">
        <f aca="false">IFERROR(IF(ISNUMBER(INDEX(원자료_잔고!$A$1:$EZ$1500,설정!$L$5+ROW()-1,설정!$L$11)),INDEX(원자료_잔고!$A$1:$EZ$1500,설정!$L$5+ROW()-1,설정!$L$11),""),"")</f>
        <v>10000000</v>
      </c>
      <c r="F22" s="85" t="n">
        <f aca="false">IFERROR(IF(ISNUMBER(INDEX(원자료_잔고!$A$1:$EZ$1500,설정!$L$5+ROW()-1,설정!$L$12)),INDEX(원자료_잔고!$A$1:$EZ$1500,설정!$L$5+ROW()-1,설정!$L$12),""),"")</f>
        <v>95.834</v>
      </c>
      <c r="G22" s="85" t="n">
        <f aca="false">IFERROR(IF(ISNUMBER(INDEX(원자료_잔고!$A$1:$EZ$1500,설정!$L$5+ROW()-1,설정!$L$13)),INDEX(원자료_잔고!$A$1:$EZ$1500,설정!$L$5+ROW()-1,설정!$L$13),""),"")</f>
        <v>5.8188</v>
      </c>
      <c r="H22" s="85" t="n">
        <f aca="false">IFERROR(IF(ISNUMBER(INDEX(원자료_잔고!$A$1:$EZ$1500,설정!$L$5+ROW()-1,설정!$L$14)),INDEX(원자료_잔고!$A$1:$EZ$1500,설정!$L$5+ROW()-1,설정!$L$14),""),"")</f>
        <v>3.922</v>
      </c>
      <c r="I22" s="86" t="n">
        <f aca="false">IFERROR(IF(ISNUMBER(INDEX(원자료_잔고!$A$1:$EZ$1500,설정!$L$5+ROW()-1,설정!$L$15)),INDEX(원자료_잔고!$A$1:$EZ$1500,설정!$L$5+ROW()-1,설정!$L$15),""),"")</f>
        <v>48296</v>
      </c>
      <c r="J22" s="85" t="n">
        <f aca="false">IFERROR(IF(ISNUMBER(INDEX(원자료_잔고!$A$1:$EZ$1500,설정!$L$5+ROW()-1,설정!$L$16)),INDEX(원자료_잔고!$A$1:$EZ$1500,설정!$L$5+ROW()-1,설정!$L$16),""),"")</f>
        <v>4.803</v>
      </c>
      <c r="K22" s="87" t="n">
        <f aca="false">IFERROR(IF(ISNUMBER(INDEX(원자료_잔고!$A$1:$EZ$1500,설정!$L$5+ROW()-1,설정!$L$17)),INDEX(원자료_잔고!$A$1:$EZ$1500,설정!$L$5+ROW()-1,설정!$L$17),""),"")</f>
        <v>1</v>
      </c>
      <c r="L22" s="84" t="n">
        <f aca="false">IFERROR(IF(ISNUMBER(INDEX(원자료_잔고!$A$1:$EZ$1500,설정!$L$5+ROW()-1,설정!$L$18)),INDEX(원자료_잔고!$A$1:$EZ$1500,설정!$L$5+ROW()-1,설정!$L$18),""),"")</f>
        <v>9583400</v>
      </c>
      <c r="M22" s="88" t="n">
        <f aca="false">IFERROR(IF(ISNUMBER(INDEX(원자료_잔고!$A$1:$EZ$1500,설정!$L$5+ROW()-1,설정!$L$19)),INDEX(원자료_잔고!$A$1:$EZ$1500,설정!$L$5+ROW()-1,설정!$L$19),""),"")</f>
        <v>-373100</v>
      </c>
      <c r="N22" s="83" t="str">
        <f aca="false">IFERROR(IF(INDEX(원자료_잔고!$A$1:$EZ$1500,설정!$L$5+ROW()-1,설정!$L$21)&amp;""="0","",INDEX(원자료_잔고!$A$1:$EZ$1500,설정!$L$5+ROW()-1,설정!$L$21)&amp;""),"")</f>
        <v>A-</v>
      </c>
      <c r="O22" s="83" t="str">
        <f aca="false">IFERROR(IF(INDEX(원자료_잔고!$A$1:$EZ$1500,설정!$L$5+ROW()-1,설정!$L$22)&amp;""="0","",INDEX(원자료_잔고!$A$1:$EZ$1500,설정!$L$5+ROW()-1,설정!$L$22)&amp;""),"")</f>
        <v/>
      </c>
      <c r="P22" s="83" t="str">
        <f aca="false">IFERROR(IF(INDEX(원자료_잔고!$A$1:$EZ$1500,설정!$L$5+ROW()-1,설정!$L$23)&amp;""="0","",INDEX(원자료_잔고!$A$1:$EZ$1500,설정!$L$5+ROW()-1,설정!$L$23)&amp;""),"")</f>
        <v>A+</v>
      </c>
      <c r="Q22" s="89" t="n">
        <f aca="false">IF(AND($A22&lt;&gt;"",ISNUMBER(E22)),IF(E22&gt;0,1,0),0)</f>
        <v>1</v>
      </c>
      <c r="R22" s="43" t="str">
        <f aca="false">IF(Q22=1,UPPER(LEFT($A22,FIND(" ",$A22&amp;" ")-1)),"")</f>
        <v>INTNED</v>
      </c>
      <c r="S22" s="89" t="n">
        <f aca="false">IF(Q22=1,IF(OR(ISNUMBER(SEARCH("Float",$A22)),ISNUMBER(SEARCH("FRN",$A22))),1,0),0)</f>
        <v>0</v>
      </c>
      <c r="T22" s="43" t="str">
        <f aca="false">IF(AND(Q22=1,ISNUMBER(I22)),TEXT(I22,"yyyymmdd")&amp;"|"&amp;IF(S22=1,"F",TEXT(J22,"0.000")),"")</f>
        <v>20320323|4.803</v>
      </c>
      <c r="U22" s="90" t="n">
        <f aca="false">IF(AND(Q22=1,ISNUMBER(I22)),(I22-설정!$C$4)/365.25,"")</f>
        <v>5.4757015742642</v>
      </c>
      <c r="V22" s="43" t="str">
        <f aca="false">IF(Q22&lt;&gt;1,"",IF(ISNUMBER(U22),IF(U22&lt;=1,"1년 이하",IF(U22&lt;=2,"1-2년",IF(U22&lt;=3,"2-3년",IF(U22&lt;=4,"3-4년",IF(U22&lt;=5,"4-5년",IF(U22&lt;=7,"5-7년",IF(U22&lt;=10,"7-10년",IF(U22&lt;=20,"10-20년","20년 이상")))))))),"미분류"))</f>
        <v>5-7년</v>
      </c>
      <c r="W22" s="43" t="str">
        <f aca="false">IF(Q22&lt;&gt;1,"",IF(AB22&lt;&gt;"",INDEX(시장분석!$C:$C,AB22),IF(K22=1,"USD","비USD")))</f>
        <v>USD</v>
      </c>
      <c r="X22" s="91" t="n">
        <f aca="false">IF(Q22=1,E22*K22/1000000,0)</f>
        <v>10</v>
      </c>
      <c r="Y22" s="89" t="n">
        <f aca="false">IF(R22="T",1,0)</f>
        <v>0</v>
      </c>
      <c r="Z22" s="92" t="n">
        <f aca="false">IF(Q22&lt;&gt;1,"",IF(AD22=1,IF(ISNUMBER(U22),MAX(U22,0),H22),H22))</f>
        <v>3.922</v>
      </c>
      <c r="AA22" s="91" t="n">
        <f aca="false">IF(Q22=1,IF(ISNUMBER(L22),L22,0)*K22/1000000,0)</f>
        <v>9.5834</v>
      </c>
      <c r="AB22" s="89" t="n">
        <f aca="false">IF(Q22&lt;&gt;1,"",IFERROR(MATCH(VLOOKUP(B22,매핑!$H$4:$I$15,2,0),시장분석!$A$2:$A$601,0)+1,IFERROR(MATCH(R22&amp;"|"&amp;T22,시장분석!$V$2:$V$601,0)+1,IF(COUNTIF(시장분석!$U$2:$U$601,T22)=1,MATCH(T22,시장분석!$U$2:$U$601,0)+1,""))))</f>
        <v>77</v>
      </c>
      <c r="AC22" s="89" t="n">
        <f aca="false">IF(Q22&lt;&gt;1,0,IF(OR(설정!$C$5="전체",AND(설정!$C$5="선택펀드",IFERROR(COUNTIFS(설정!$F$16:$F$36,C22,설정!$G$16:$G$36,"Y")+COUNTIFS(설정!$F$16:$F$36,VALUE(C22),설정!$G$16:$G$36,"Y"),0)&gt;0),C22&amp;""=설정!$C$5&amp;""),1,0))</f>
        <v>1</v>
      </c>
      <c r="AD22" s="89" t="n">
        <f aca="false">IF(Q22&lt;&gt;1,0,IF(OR(S22=1,IF(AB22="",FALSE(),INDEX(시장분석!$R:$R,AB22)=1)),1,0))</f>
        <v>0</v>
      </c>
      <c r="AE22" s="43" t="str">
        <f aca="false">IF(AB22="","",INDEX(시장분석!$A:$A,AB22))</f>
        <v>INTNED 4.803 03/23/32</v>
      </c>
      <c r="AF22" s="93" t="n">
        <f aca="false">IF(AB22="","",IF(ISNUMBER(IF(AB22="","",INDEX(시장분석!$E:$E,AB22))),IF(AB22="","",INDEX(시장분석!$E:$E,AB22)),""))</f>
        <v>83.476</v>
      </c>
      <c r="AG22" s="43" t="str">
        <f aca="false">IF(Q22&lt;&gt;1,"",IF(AB22&lt;&gt;"",IF(AB22="","",INDEX(시장분석!$L:$L,AB22)),IFERROR(IF(VLOOKUP(R22,매핑!$A$4:$E$92,5,0)="","미분류",VLOOKUP(R22,매핑!$A$4:$E$92,5,0)),"미분류")))</f>
        <v>금융기관</v>
      </c>
      <c r="AH22" s="43" t="str">
        <f aca="false">IF(Q22&lt;&gt;1,"",IF(AB22&lt;&gt;"",IF(AB22="","",INDEX(시장분석!$N:$N,AB22)),IFERROR(IF(VLOOKUP(R22,매핑!$A$4:$E$92,4,0)="","미분류",VLOOKUP(R22,매핑!$A$4:$E$92,4,0)),"미분류")))</f>
        <v>유럽</v>
      </c>
      <c r="AI22" s="43" t="str">
        <f aca="false">IF(Q22&lt;&gt;1,"",IFERROR(IF(VLOOKUP(R22,매핑!$A$4:$E$92,3,0)="","미분류",VLOOKUP(R22,매핑!$A$4:$E$92,3,0)),IF(AB22&lt;&gt;"",IF(AB22="","",INDEX(시장분석!$W:$W,AB22)),"미분류")))</f>
        <v>네덜란드</v>
      </c>
      <c r="AJ22" s="43" t="str">
        <f aca="false">IF(Q22&lt;&gt;1,"",IFERROR(VLOOKUP(IF(N22&lt;&gt;"",N22,IF(P22&lt;&gt;"",P22,O22)),설정!$A$15:$D$47,2,0),""))</f>
        <v>A-</v>
      </c>
      <c r="AK22" s="43" t="str">
        <f aca="false">IF(Q22&lt;&gt;1,"",IF(AJ22="","무등급",IFERROR(VLOOKUP(AJ22,설정!$A$15:$D$47,3,0),"무등급")))</f>
        <v>A</v>
      </c>
      <c r="AL22" s="89" t="n">
        <f aca="false">IF(AJ22="",99,IFERROR(VLOOKUP(AJ22,설정!$A$15:$D$47,4,0),99))</f>
        <v>7</v>
      </c>
      <c r="AM22" s="94" t="n">
        <f aca="false">IF(ISNUMBER(H22),AA22*1000000*H22/10000,0)</f>
        <v>3758.60948</v>
      </c>
      <c r="AN22" s="94" t="n">
        <f aca="false">IF(OR(Y22=1,NOT(ISNUMBER(Z22))),0,AA22*1000000*Z22/10000)</f>
        <v>3758.60948</v>
      </c>
      <c r="AO22" s="94" t="n">
        <f aca="false">IF(ISNUMBER(G22),AA22*1000000*G22/100,0)</f>
        <v>557638.8792</v>
      </c>
      <c r="AP22" s="94" t="n">
        <f aca="false">IF(ISNUMBER(M22),M22*K22,0)</f>
        <v>-373100</v>
      </c>
      <c r="AQ22" s="95" t="n">
        <f aca="false">IF(AB22="","",INDEX(시장분석!$AK:$AK,AB22))</f>
        <v>-0.252304605504594</v>
      </c>
      <c r="AR22" s="43" t="str">
        <f aca="false">IF(AB22="","-",IF(AB22="","",INDEX(시장분석!$AL:$AL,AB22)))</f>
        <v>Fair</v>
      </c>
      <c r="AS22" s="96" t="n">
        <f aca="false">IF(AB22="","",INDEX(시장분석!$AJ:$AJ,AB22))</f>
        <v>-2.77239392667337</v>
      </c>
      <c r="AT22" s="93" t="n">
        <f aca="false">IF(AB22="",0,IF(AB22="","",INDEX(시장분석!$AN:$AN,AB22)))</f>
        <v>8.63802016323609</v>
      </c>
      <c r="AU22" s="94" t="n">
        <f aca="false">IF(ISNUMBER(Z22),AT22/10000*MAX(Z22-1,0)*AA22*1000000,0)</f>
        <v>24188.7842307347</v>
      </c>
      <c r="AV22" s="94" t="n">
        <f aca="false">AO22+AU22</f>
        <v>581827.663430735</v>
      </c>
      <c r="AW22" s="43" t="str">
        <f aca="false">IF(Q22&lt;&gt;1,"",TRIM(IF(AD22=1,"FRN ","")&amp;IF(AND(AL22&gt;=10,AL22&lt;99),"BBB0미만 ","")&amp;IF(AJ22="","등급없음 ","")&amp;IF(K22&lt;&gt;1,"비USD ","")&amp;IF(AND(AB22="",Y22=0),"시장데이터없음 ","")&amp;IF(AND(ISNUMBER(U22),U22&lt;0),"만기경과 ","")))</f>
        <v/>
      </c>
      <c r="AX22" s="90" t="n">
        <f aca="false">IF(Q22&lt;&gt;1,1,IF(스프레드쇼크!$C$4="Y",INDEX(스프레드쇼크!$B$12:$L$16,IFERROR(MATCH(AH22,스프레드쇼크!$A$12:$A$16,0),MATCH("목록외",스프레드쇼크!$A$12:$A$16,0)),IFERROR(MATCH(AG22,스프레드쇼크!$B$11:$L$11,0),MATCH("목록외",스프레드쇼크!$B$11:$L$11,0))),1))</f>
        <v>1</v>
      </c>
      <c r="AY22" s="90" t="n">
        <f aca="false">IF(스프레드쇼크!$C$5="Y",IF(ISNUMBER(AF22),MIN(스프레드쇼크!$C$7,MAX(스프레드쇼크!$C$6,AF22/스프레드쇼크!$C$8)),1),1)</f>
        <v>1.26260689592029</v>
      </c>
      <c r="AZ22" s="94" t="n">
        <f aca="false">AN22*AX22*AY22</f>
        <v>4745.64624851938</v>
      </c>
      <c r="BA22" s="90" t="n">
        <f aca="false">IF(ISNUMBER(G22),AA22*G22,0)</f>
        <v>55.76388792</v>
      </c>
      <c r="BB22" s="90" t="n">
        <f aca="false">IF(ISNUMBER(G22),AA22,0)</f>
        <v>9.5834</v>
      </c>
      <c r="BC22" s="90" t="n">
        <f aca="false">IF(AND(Y22=0,ISNUMBER(AF22)),AA22*AF22,0)</f>
        <v>799.9838984</v>
      </c>
      <c r="BD22" s="90" t="n">
        <f aca="false">IF(AND(Y22=0,ISNUMBER(AF22)),AA22,0)</f>
        <v>9.5834</v>
      </c>
      <c r="BE22" s="90" t="n">
        <f aca="false">IF(ISNUMBER(H22),AA22*H22,0)</f>
        <v>37.5860948</v>
      </c>
      <c r="BF22" s="90" t="n">
        <f aca="false">IF(ISNUMBER(H22),AA22,0)</f>
        <v>9.5834</v>
      </c>
      <c r="BG22" s="90" t="n">
        <f aca="false">IF(AND(Y22=0,ISNUMBER(AF22),ISNUMBER(Z22)),AA22*Z22,0)</f>
        <v>37.5860948</v>
      </c>
      <c r="BH22" s="90" t="n">
        <f aca="false">IF(AND(Y22=0,ISNUMBER(AF22),ISNUMBER(Z22)),AA22*AT22*MAX(Z22-1,0),0)</f>
        <v>241.887842307347</v>
      </c>
      <c r="BI22" s="90" t="n">
        <f aca="false">IF(Y22=0,AA22,0)</f>
        <v>9.5834</v>
      </c>
    </row>
    <row r="23" customFormat="false" ht="15" hidden="false" customHeight="false" outlineLevel="0" collapsed="false">
      <c r="A23" s="83" t="str">
        <f aca="false">IFERROR(IF(INDEX(원자료_잔고!$A$1:$EZ$1500,설정!$L$5+ROW()-1,설정!$L$8)&amp;""="0","",INDEX(원자료_잔고!$A$1:$EZ$1500,설정!$L$5+ROW()-1,설정!$L$8)&amp;""),"")</f>
        <v>JPM 5.041 07/23/32</v>
      </c>
      <c r="B23" s="83" t="str">
        <f aca="false">IFERROR(IF(INDEX(원자료_잔고!$A$1:$EZ$1500,설정!$L$5+ROW()-1,설정!$L$7)&amp;""="0","",INDEX(원자료_잔고!$A$1:$EZ$1500,설정!$L$5+ROW()-1,설정!$L$7)&amp;""),"")</f>
        <v>US48128BAU52</v>
      </c>
      <c r="C23" s="83" t="str">
        <f aca="false">IFERROR(IF(INDEX(원자료_잔고!$A$1:$EZ$1500,설정!$L$5+ROW()-1,설정!$L$9)&amp;""="0","",INDEX(원자료_잔고!$A$1:$EZ$1500,설정!$L$5+ROW()-1,설정!$L$9)&amp;""),"")</f>
        <v>28096</v>
      </c>
      <c r="D2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" s="84" t="n">
        <f aca="false">IFERROR(IF(ISNUMBER(INDEX(원자료_잔고!$A$1:$EZ$1500,설정!$L$5+ROW()-1,설정!$L$11)),INDEX(원자료_잔고!$A$1:$EZ$1500,설정!$L$5+ROW()-1,설정!$L$11),""),"")</f>
        <v>10000000</v>
      </c>
      <c r="F23" s="85" t="n">
        <f aca="false">IFERROR(IF(ISNUMBER(INDEX(원자료_잔고!$A$1:$EZ$1500,설정!$L$5+ROW()-1,설정!$L$12)),INDEX(원자료_잔고!$A$1:$EZ$1500,설정!$L$5+ROW()-1,설정!$L$12),""),"")</f>
        <v>96.8843</v>
      </c>
      <c r="G23" s="85" t="n">
        <f aca="false">IFERROR(IF(ISNUMBER(INDEX(원자료_잔고!$A$1:$EZ$1500,설정!$L$5+ROW()-1,설정!$L$13)),INDEX(원자료_잔고!$A$1:$EZ$1500,설정!$L$5+ROW()-1,설정!$L$13),""),"")</f>
        <v>5.7546</v>
      </c>
      <c r="H23" s="85" t="n">
        <f aca="false">IFERROR(IF(ISNUMBER(INDEX(원자료_잔고!$A$1:$EZ$1500,설정!$L$5+ROW()-1,설정!$L$14)),INDEX(원자료_잔고!$A$1:$EZ$1500,설정!$L$5+ROW()-1,설정!$L$14),""),"")</f>
        <v>4.1285</v>
      </c>
      <c r="I23" s="86" t="n">
        <f aca="false">IFERROR(IF(ISNUMBER(INDEX(원자료_잔고!$A$1:$EZ$1500,설정!$L$5+ROW()-1,설정!$L$15)),INDEX(원자료_잔고!$A$1:$EZ$1500,설정!$L$5+ROW()-1,설정!$L$15),""),"")</f>
        <v>48418</v>
      </c>
      <c r="J23" s="85" t="n">
        <f aca="false">IFERROR(IF(ISNUMBER(INDEX(원자료_잔고!$A$1:$EZ$1500,설정!$L$5+ROW()-1,설정!$L$16)),INDEX(원자료_잔고!$A$1:$EZ$1500,설정!$L$5+ROW()-1,설정!$L$16),""),"")</f>
        <v>5.041</v>
      </c>
      <c r="K23" s="87" t="n">
        <f aca="false">IFERROR(IF(ISNUMBER(INDEX(원자료_잔고!$A$1:$EZ$1500,설정!$L$5+ROW()-1,설정!$L$17)),INDEX(원자료_잔고!$A$1:$EZ$1500,설정!$L$5+ROW()-1,설정!$L$17),""),"")</f>
        <v>1</v>
      </c>
      <c r="L23" s="84" t="n">
        <f aca="false">IFERROR(IF(ISNUMBER(INDEX(원자료_잔고!$A$1:$EZ$1500,설정!$L$5+ROW()-1,설정!$L$18)),INDEX(원자료_잔고!$A$1:$EZ$1500,설정!$L$5+ROW()-1,설정!$L$18),""),"")</f>
        <v>9688430</v>
      </c>
      <c r="M23" s="88" t="n">
        <f aca="false">IFERROR(IF(ISNUMBER(INDEX(원자료_잔고!$A$1:$EZ$1500,설정!$L$5+ROW()-1,설정!$L$19)),INDEX(원자료_잔고!$A$1:$EZ$1500,설정!$L$5+ROW()-1,설정!$L$19),""),"")</f>
        <v>-287570</v>
      </c>
      <c r="N23" s="83" t="str">
        <f aca="false">IFERROR(IF(INDEX(원자료_잔고!$A$1:$EZ$1500,설정!$L$5+ROW()-1,설정!$L$21)&amp;""="0","",INDEX(원자료_잔고!$A$1:$EZ$1500,설정!$L$5+ROW()-1,설정!$L$21)&amp;""),"")</f>
        <v>A</v>
      </c>
      <c r="O23" s="83" t="str">
        <f aca="false">IFERROR(IF(INDEX(원자료_잔고!$A$1:$EZ$1500,설정!$L$5+ROW()-1,설정!$L$22)&amp;""="0","",INDEX(원자료_잔고!$A$1:$EZ$1500,설정!$L$5+ROW()-1,설정!$L$22)&amp;""),"")</f>
        <v/>
      </c>
      <c r="P23" s="83" t="str">
        <f aca="false">IFERROR(IF(INDEX(원자료_잔고!$A$1:$EZ$1500,설정!$L$5+ROW()-1,설정!$L$23)&amp;""="0","",INDEX(원자료_잔고!$A$1:$EZ$1500,설정!$L$5+ROW()-1,설정!$L$23)&amp;""),"")</f>
        <v>AA-</v>
      </c>
      <c r="Q23" s="89" t="n">
        <f aca="false">IF(AND($A23&lt;&gt;"",ISNUMBER(E23)),IF(E23&gt;0,1,0),0)</f>
        <v>1</v>
      </c>
      <c r="R23" s="43" t="str">
        <f aca="false">IF(Q23=1,UPPER(LEFT($A23,FIND(" ",$A23&amp;" ")-1)),"")</f>
        <v>JPM</v>
      </c>
      <c r="S23" s="89" t="n">
        <f aca="false">IF(Q23=1,IF(OR(ISNUMBER(SEARCH("Float",$A23)),ISNUMBER(SEARCH("FRN",$A23))),1,0),0)</f>
        <v>0</v>
      </c>
      <c r="T23" s="43" t="str">
        <f aca="false">IF(AND(Q23=1,ISNUMBER(I23)),TEXT(I23,"yyyymmdd")&amp;"|"&amp;IF(S23=1,"F",TEXT(J23,"0.000")),"")</f>
        <v>20320723|5.041</v>
      </c>
      <c r="U23" s="90" t="n">
        <f aca="false">IF(AND(Q23=1,ISNUMBER(I23)),(I23-설정!$C$4)/365.25,"")</f>
        <v>5.80971937029432</v>
      </c>
      <c r="V23" s="43" t="str">
        <f aca="false">IF(Q23&lt;&gt;1,"",IF(ISNUMBER(U23),IF(U23&lt;=1,"1년 이하",IF(U23&lt;=2,"1-2년",IF(U23&lt;=3,"2-3년",IF(U23&lt;=4,"3-4년",IF(U23&lt;=5,"4-5년",IF(U23&lt;=7,"5-7년",IF(U23&lt;=10,"7-10년",IF(U23&lt;=20,"10-20년","20년 이상")))))))),"미분류"))</f>
        <v>5-7년</v>
      </c>
      <c r="W23" s="43" t="str">
        <f aca="false">IF(Q23&lt;&gt;1,"",IF(AB23&lt;&gt;"",INDEX(시장분석!$C:$C,AB23),IF(K23=1,"USD","비USD")))</f>
        <v>USD</v>
      </c>
      <c r="X23" s="91" t="n">
        <f aca="false">IF(Q23=1,E23*K23/1000000,0)</f>
        <v>10</v>
      </c>
      <c r="Y23" s="89" t="n">
        <f aca="false">IF(R23="T",1,0)</f>
        <v>0</v>
      </c>
      <c r="Z23" s="92" t="n">
        <f aca="false">IF(Q23&lt;&gt;1,"",IF(AD23=1,IF(ISNUMBER(U23),MAX(U23,0),H23),H23))</f>
        <v>4.1285</v>
      </c>
      <c r="AA23" s="91" t="n">
        <f aca="false">IF(Q23=1,IF(ISNUMBER(L23),L23,0)*K23/1000000,0)</f>
        <v>9.68843</v>
      </c>
      <c r="AB23" s="89" t="str">
        <f aca="false">IF(Q23&lt;&gt;1,"",IFERROR(MATCH(VLOOKUP(B23,매핑!$H$4:$I$15,2,0),시장분석!$A$2:$A$601,0)+1,IFERROR(MATCH(R23&amp;"|"&amp;T23,시장분석!$V$2:$V$601,0)+1,IF(COUNTIF(시장분석!$U$2:$U$601,T23)=1,MATCH(T23,시장분석!$U$2:$U$601,0)+1,""))))</f>
        <v/>
      </c>
      <c r="AC23" s="89" t="n">
        <f aca="false">IF(Q23&lt;&gt;1,0,IF(OR(설정!$C$5="전체",AND(설정!$C$5="선택펀드",IFERROR(COUNTIFS(설정!$F$16:$F$36,C23,설정!$G$16:$G$36,"Y")+COUNTIFS(설정!$F$16:$F$36,VALUE(C23),설정!$G$16:$G$36,"Y"),0)&gt;0),C23&amp;""=설정!$C$5&amp;""),1,0))</f>
        <v>1</v>
      </c>
      <c r="AD23" s="89" t="n">
        <f aca="false">IF(Q23&lt;&gt;1,0,IF(OR(S23=1,IF(AB23="",FALSE(),INDEX(시장분석!$R:$R,AB23)=1)),1,0))</f>
        <v>0</v>
      </c>
      <c r="AE23" s="43" t="str">
        <f aca="false">IF(AB23="","",INDEX(시장분석!$A:$A,AB23))</f>
        <v/>
      </c>
      <c r="AF23" s="93" t="str">
        <f aca="false">IF(AB23="","",IF(ISNUMBER(IF(AB23="","",INDEX(시장분석!$E:$E,AB23))),IF(AB23="","",INDEX(시장분석!$E:$E,AB23)),""))</f>
        <v/>
      </c>
      <c r="AG23" s="43" t="str">
        <f aca="false">IF(Q23&lt;&gt;1,"",IF(AB23&lt;&gt;"",IF(AB23="","",INDEX(시장분석!$L:$L,AB23)),IFERROR(IF(VLOOKUP(R23,매핑!$A$4:$E$92,5,0)="","미분류",VLOOKUP(R23,매핑!$A$4:$E$92,5,0)),"미분류")))</f>
        <v>금융기관</v>
      </c>
      <c r="AH23" s="43" t="str">
        <f aca="false">IF(Q23&lt;&gt;1,"",IF(AB23&lt;&gt;"",IF(AB23="","",INDEX(시장분석!$N:$N,AB23)),IFERROR(IF(VLOOKUP(R23,매핑!$A$4:$E$92,4,0)="","미분류",VLOOKUP(R23,매핑!$A$4:$E$92,4,0)),"미분류")))</f>
        <v>미국</v>
      </c>
      <c r="AI23" s="43" t="str">
        <f aca="false">IF(Q23&lt;&gt;1,"",IFERROR(IF(VLOOKUP(R23,매핑!$A$4:$E$92,3,0)="","미분류",VLOOKUP(R23,매핑!$A$4:$E$92,3,0)),IF(AB23&lt;&gt;"",IF(AB23="","",INDEX(시장분석!$W:$W,AB23)),"미분류")))</f>
        <v>미국</v>
      </c>
      <c r="AJ23" s="43" t="str">
        <f aca="false">IF(Q23&lt;&gt;1,"",IFERROR(VLOOKUP(IF(N23&lt;&gt;"",N23,IF(P23&lt;&gt;"",P23,O23)),설정!$A$15:$D$47,2,0),""))</f>
        <v>A</v>
      </c>
      <c r="AK23" s="43" t="str">
        <f aca="false">IF(Q23&lt;&gt;1,"",IF(AJ23="","무등급",IFERROR(VLOOKUP(AJ23,설정!$A$15:$D$47,3,0),"무등급")))</f>
        <v>A</v>
      </c>
      <c r="AL23" s="89" t="n">
        <f aca="false">IF(AJ23="",99,IFERROR(VLOOKUP(AJ23,설정!$A$15:$D$47,4,0),99))</f>
        <v>6</v>
      </c>
      <c r="AM23" s="94" t="n">
        <f aca="false">IF(ISNUMBER(H23),AA23*1000000*H23/10000,0)</f>
        <v>3999.8683255</v>
      </c>
      <c r="AN23" s="94" t="n">
        <f aca="false">IF(OR(Y23=1,NOT(ISNUMBER(Z23))),0,AA23*1000000*Z23/10000)</f>
        <v>3999.8683255</v>
      </c>
      <c r="AO23" s="94" t="n">
        <f aca="false">IF(ISNUMBER(G23),AA23*1000000*G23/100,0)</f>
        <v>557530.39278</v>
      </c>
      <c r="AP23" s="94" t="n">
        <f aca="false">IF(ISNUMBER(M23),M23*K23,0)</f>
        <v>-287570</v>
      </c>
      <c r="AQ23" s="95" t="str">
        <f aca="false">IF(AB23="","",INDEX(시장분석!$AK:$AK,AB23))</f>
        <v/>
      </c>
      <c r="AR23" s="43" t="str">
        <f aca="false">IF(AB23="","-",IF(AB23="","",INDEX(시장분석!$AL:$AL,AB23)))</f>
        <v>-</v>
      </c>
      <c r="AS23" s="96" t="str">
        <f aca="false">IF(AB23="","",INDEX(시장분석!$AJ:$AJ,AB23))</f>
        <v/>
      </c>
      <c r="AT23" s="93" t="n">
        <f aca="false">IF(AB23="",0,IF(AB23="","",INDEX(시장분석!$AN:$AN,AB23)))</f>
        <v>0</v>
      </c>
      <c r="AU23" s="94" t="n">
        <f aca="false">IF(ISNUMBER(Z23),AT23/10000*MAX(Z23-1,0)*AA23*1000000,0)</f>
        <v>0</v>
      </c>
      <c r="AV23" s="94" t="n">
        <f aca="false">AO23+AU23</f>
        <v>557530.39278</v>
      </c>
      <c r="AW23" s="43" t="str">
        <f aca="false">IF(Q23&lt;&gt;1,"",TRIM(IF(AD23=1,"FRN ","")&amp;IF(AND(AL23&gt;=10,AL23&lt;99),"BBB0미만 ","")&amp;IF(AJ23="","등급없음 ","")&amp;IF(K23&lt;&gt;1,"비USD ","")&amp;IF(AND(AB23="",Y23=0),"시장데이터없음 ","")&amp;IF(AND(ISNUMBER(U23),U23&lt;0),"만기경과 ","")))</f>
        <v>시장데이터없음</v>
      </c>
      <c r="AX23" s="90" t="n">
        <f aca="false">IF(Q23&lt;&gt;1,1,IF(스프레드쇼크!$C$4="Y",INDEX(스프레드쇼크!$B$12:$L$16,IFERROR(MATCH(AH23,스프레드쇼크!$A$12:$A$16,0),MATCH("목록외",스프레드쇼크!$A$12:$A$16,0)),IFERROR(MATCH(AG23,스프레드쇼크!$B$11:$L$11,0),MATCH("목록외",스프레드쇼크!$B$11:$L$11,0))),1))</f>
        <v>1</v>
      </c>
      <c r="AY23" s="90" t="n">
        <f aca="false">IF(스프레드쇼크!$C$5="Y",IF(ISNUMBER(AF23),MIN(스프레드쇼크!$C$7,MAX(스프레드쇼크!$C$6,AF23/스프레드쇼크!$C$8)),1),1)</f>
        <v>1</v>
      </c>
      <c r="AZ23" s="94" t="n">
        <f aca="false">AN23*AX23*AY23</f>
        <v>3999.8683255</v>
      </c>
      <c r="BA23" s="90" t="n">
        <f aca="false">IF(ISNUMBER(G23),AA23*G23,0)</f>
        <v>55.753039278</v>
      </c>
      <c r="BB23" s="90" t="n">
        <f aca="false">IF(ISNUMBER(G23),AA23,0)</f>
        <v>9.68843</v>
      </c>
      <c r="BC23" s="90" t="n">
        <f aca="false">IF(AND(Y23=0,ISNUMBER(AF23)),AA23*AF23,0)</f>
        <v>0</v>
      </c>
      <c r="BD23" s="90" t="n">
        <f aca="false">IF(AND(Y23=0,ISNUMBER(AF23)),AA23,0)</f>
        <v>0</v>
      </c>
      <c r="BE23" s="90" t="n">
        <f aca="false">IF(ISNUMBER(H23),AA23*H23,0)</f>
        <v>39.998683255</v>
      </c>
      <c r="BF23" s="90" t="n">
        <f aca="false">IF(ISNUMBER(H23),AA23,0)</f>
        <v>9.68843</v>
      </c>
      <c r="BG23" s="90" t="n">
        <f aca="false">IF(AND(Y23=0,ISNUMBER(AF23),ISNUMBER(Z23)),AA23*Z23,0)</f>
        <v>0</v>
      </c>
      <c r="BH23" s="90" t="n">
        <f aca="false">IF(AND(Y23=0,ISNUMBER(AF23),ISNUMBER(Z23)),AA23*AT23*MAX(Z23-1,0),0)</f>
        <v>0</v>
      </c>
      <c r="BI23" s="90" t="n">
        <f aca="false">IF(Y23=0,AA23,0)</f>
        <v>9.68843</v>
      </c>
    </row>
    <row r="24" customFormat="false" ht="15" hidden="false" customHeight="false" outlineLevel="0" collapsed="false">
      <c r="A24" s="83" t="str">
        <f aca="false">IFERROR(IF(INDEX(원자료_잔고!$A$1:$EZ$1500,설정!$L$5+ROW()-1,설정!$L$8)&amp;""="0","",INDEX(원자료_잔고!$A$1:$EZ$1500,설정!$L$5+ROW()-1,설정!$L$8)&amp;""),"")</f>
        <v>MUFG 4.505 01/14/32</v>
      </c>
      <c r="B24" s="83" t="str">
        <f aca="false">IFERROR(IF(INDEX(원자료_잔고!$A$1:$EZ$1500,설정!$L$5+ROW()-1,설정!$L$7)&amp;""="0","",INDEX(원자료_잔고!$A$1:$EZ$1500,설정!$L$5+ROW()-1,설정!$L$7)&amp;""),"")</f>
        <v>US606822DS05</v>
      </c>
      <c r="C24" s="83" t="str">
        <f aca="false">IFERROR(IF(INDEX(원자료_잔고!$A$1:$EZ$1500,설정!$L$5+ROW()-1,설정!$L$9)&amp;""="0","",INDEX(원자료_잔고!$A$1:$EZ$1500,설정!$L$5+ROW()-1,설정!$L$9)&amp;""),"")</f>
        <v>28096</v>
      </c>
      <c r="D2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" s="84" t="n">
        <f aca="false">IFERROR(IF(ISNUMBER(INDEX(원자료_잔고!$A$1:$EZ$1500,설정!$L$5+ROW()-1,설정!$L$11)),INDEX(원자료_잔고!$A$1:$EZ$1500,설정!$L$5+ROW()-1,설정!$L$11),""),"")</f>
        <v>5000000</v>
      </c>
      <c r="F24" s="85" t="n">
        <f aca="false">IFERROR(IF(ISNUMBER(INDEX(원자료_잔고!$A$1:$EZ$1500,설정!$L$5+ROW()-1,설정!$L$12)),INDEX(원자료_잔고!$A$1:$EZ$1500,설정!$L$5+ROW()-1,설정!$L$12),""),"")</f>
        <v>95.0151</v>
      </c>
      <c r="G24" s="85" t="n">
        <f aca="false">IFERROR(IF(ISNUMBER(INDEX(원자료_잔고!$A$1:$EZ$1500,설정!$L$5+ROW()-1,설정!$L$13)),INDEX(원자료_잔고!$A$1:$EZ$1500,설정!$L$5+ROW()-1,설정!$L$13),""),"")</f>
        <v>5.7549</v>
      </c>
      <c r="H24" s="85" t="n">
        <f aca="false">IFERROR(IF(ISNUMBER(INDEX(원자료_잔고!$A$1:$EZ$1500,설정!$L$5+ROW()-1,설정!$L$14)),INDEX(원자료_잔고!$A$1:$EZ$1500,설정!$L$5+ROW()-1,설정!$L$14),""),"")</f>
        <v>3.7587</v>
      </c>
      <c r="I24" s="86" t="n">
        <f aca="false">IFERROR(IF(ISNUMBER(INDEX(원자료_잔고!$A$1:$EZ$1500,설정!$L$5+ROW()-1,설정!$L$15)),INDEX(원자료_잔고!$A$1:$EZ$1500,설정!$L$5+ROW()-1,설정!$L$15),""),"")</f>
        <v>48227</v>
      </c>
      <c r="J24" s="85" t="n">
        <f aca="false">IFERROR(IF(ISNUMBER(INDEX(원자료_잔고!$A$1:$EZ$1500,설정!$L$5+ROW()-1,설정!$L$16)),INDEX(원자료_잔고!$A$1:$EZ$1500,설정!$L$5+ROW()-1,설정!$L$16),""),"")</f>
        <v>4.505</v>
      </c>
      <c r="K24" s="87" t="n">
        <f aca="false">IFERROR(IF(ISNUMBER(INDEX(원자료_잔고!$A$1:$EZ$1500,설정!$L$5+ROW()-1,설정!$L$17)),INDEX(원자료_잔고!$A$1:$EZ$1500,설정!$L$5+ROW()-1,설정!$L$17),""),"")</f>
        <v>1</v>
      </c>
      <c r="L24" s="84" t="n">
        <f aca="false">IFERROR(IF(ISNUMBER(INDEX(원자료_잔고!$A$1:$EZ$1500,설정!$L$5+ROW()-1,설정!$L$18)),INDEX(원자료_잔고!$A$1:$EZ$1500,설정!$L$5+ROW()-1,설정!$L$18),""),"")</f>
        <v>4750755</v>
      </c>
      <c r="M24" s="88" t="n">
        <f aca="false">IFERROR(IF(ISNUMBER(INDEX(원자료_잔고!$A$1:$EZ$1500,설정!$L$5+ROW()-1,설정!$L$19)),INDEX(원자료_잔고!$A$1:$EZ$1500,설정!$L$5+ROW()-1,설정!$L$19),""),"")</f>
        <v>-175745</v>
      </c>
      <c r="N24" s="83" t="str">
        <f aca="false">IFERROR(IF(INDEX(원자료_잔고!$A$1:$EZ$1500,설정!$L$5+ROW()-1,설정!$L$21)&amp;""="0","",INDEX(원자료_잔고!$A$1:$EZ$1500,설정!$L$5+ROW()-1,설정!$L$21)&amp;""),"")</f>
        <v>A-</v>
      </c>
      <c r="O24" s="83" t="str">
        <f aca="false">IFERROR(IF(INDEX(원자료_잔고!$A$1:$EZ$1500,설정!$L$5+ROW()-1,설정!$L$22)&amp;""="0","",INDEX(원자료_잔고!$A$1:$EZ$1500,설정!$L$5+ROW()-1,설정!$L$22)&amp;""),"")</f>
        <v>A1</v>
      </c>
      <c r="P24" s="83" t="str">
        <f aca="false">IFERROR(IF(INDEX(원자료_잔고!$A$1:$EZ$1500,설정!$L$5+ROW()-1,설정!$L$23)&amp;""="0","",INDEX(원자료_잔고!$A$1:$EZ$1500,설정!$L$5+ROW()-1,설정!$L$23)&amp;""),"")</f>
        <v>A-</v>
      </c>
      <c r="Q24" s="89" t="n">
        <f aca="false">IF(AND($A24&lt;&gt;"",ISNUMBER(E24)),IF(E24&gt;0,1,0),0)</f>
        <v>1</v>
      </c>
      <c r="R24" s="43" t="str">
        <f aca="false">IF(Q24=1,UPPER(LEFT($A24,FIND(" ",$A24&amp;" ")-1)),"")</f>
        <v>MUFG</v>
      </c>
      <c r="S24" s="89" t="n">
        <f aca="false">IF(Q24=1,IF(OR(ISNUMBER(SEARCH("Float",$A24)),ISNUMBER(SEARCH("FRN",$A24))),1,0),0)</f>
        <v>0</v>
      </c>
      <c r="T24" s="43" t="str">
        <f aca="false">IF(AND(Q24=1,ISNUMBER(I24)),TEXT(I24,"yyyymmdd")&amp;"|"&amp;IF(S24=1,"F",TEXT(J24,"0.000")),"")</f>
        <v>20320114|4.505</v>
      </c>
      <c r="U24" s="90" t="n">
        <f aca="false">IF(AND(Q24=1,ISNUMBER(I24)),(I24-설정!$C$4)/365.25,"")</f>
        <v>5.28678986995209</v>
      </c>
      <c r="V24" s="43" t="str">
        <f aca="false">IF(Q24&lt;&gt;1,"",IF(ISNUMBER(U24),IF(U24&lt;=1,"1년 이하",IF(U24&lt;=2,"1-2년",IF(U24&lt;=3,"2-3년",IF(U24&lt;=4,"3-4년",IF(U24&lt;=5,"4-5년",IF(U24&lt;=7,"5-7년",IF(U24&lt;=10,"7-10년",IF(U24&lt;=20,"10-20년","20년 이상")))))))),"미분류"))</f>
        <v>5-7년</v>
      </c>
      <c r="W24" s="43" t="str">
        <f aca="false">IF(Q24&lt;&gt;1,"",IF(AB24&lt;&gt;"",INDEX(시장분석!$C:$C,AB24),IF(K24=1,"USD","비USD")))</f>
        <v>USD</v>
      </c>
      <c r="X24" s="91" t="n">
        <f aca="false">IF(Q24=1,E24*K24/1000000,0)</f>
        <v>5</v>
      </c>
      <c r="Y24" s="89" t="n">
        <f aca="false">IF(R24="T",1,0)</f>
        <v>0</v>
      </c>
      <c r="Z24" s="92" t="n">
        <f aca="false">IF(Q24&lt;&gt;1,"",IF(AD24=1,IF(ISNUMBER(U24),MAX(U24,0),H24),H24))</f>
        <v>3.7587</v>
      </c>
      <c r="AA24" s="91" t="n">
        <f aca="false">IF(Q24=1,IF(ISNUMBER(L24),L24,0)*K24/1000000,0)</f>
        <v>4.750755</v>
      </c>
      <c r="AB24" s="89" t="n">
        <f aca="false">IF(Q24&lt;&gt;1,"",IFERROR(MATCH(VLOOKUP(B24,매핑!$H$4:$I$15,2,0),시장분석!$A$2:$A$601,0)+1,IFERROR(MATCH(R24&amp;"|"&amp;T24,시장분석!$V$2:$V$601,0)+1,IF(COUNTIF(시장분석!$U$2:$U$601,T24)=1,MATCH(T24,시장분석!$U$2:$U$601,0)+1,""))))</f>
        <v>96</v>
      </c>
      <c r="AC24" s="89" t="n">
        <f aca="false">IF(Q24&lt;&gt;1,0,IF(OR(설정!$C$5="전체",AND(설정!$C$5="선택펀드",IFERROR(COUNTIFS(설정!$F$16:$F$36,C24,설정!$G$16:$G$36,"Y")+COUNTIFS(설정!$F$16:$F$36,VALUE(C24),설정!$G$16:$G$36,"Y"),0)&gt;0),C24&amp;""=설정!$C$5&amp;""),1,0))</f>
        <v>1</v>
      </c>
      <c r="AD24" s="89" t="n">
        <f aca="false">IF(Q24&lt;&gt;1,0,IF(OR(S24=1,IF(AB24="",FALSE(),INDEX(시장분석!$R:$R,AB24)=1)),1,0))</f>
        <v>0</v>
      </c>
      <c r="AE24" s="43" t="str">
        <f aca="false">IF(AB24="","",INDEX(시장분석!$A:$A,AB24))</f>
        <v>MUFG 4.505 01/14/32</v>
      </c>
      <c r="AF24" s="93" t="n">
        <f aca="false">IF(AB24="","",IF(ISNUMBER(IF(AB24="","",INDEX(시장분석!$E:$E,AB24))),IF(AB24="","",INDEX(시장분석!$E:$E,AB24)),""))</f>
        <v>78.554</v>
      </c>
      <c r="AG24" s="43" t="str">
        <f aca="false">IF(Q24&lt;&gt;1,"",IF(AB24&lt;&gt;"",IF(AB24="","",INDEX(시장분석!$L:$L,AB24)),IFERROR(IF(VLOOKUP(R24,매핑!$A$4:$E$92,5,0)="","미분류",VLOOKUP(R24,매핑!$A$4:$E$92,5,0)),"미분류")))</f>
        <v>금융기관</v>
      </c>
      <c r="AH24" s="43" t="str">
        <f aca="false">IF(Q24&lt;&gt;1,"",IF(AB24&lt;&gt;"",IF(AB24="","",INDEX(시장분석!$N:$N,AB24)),IFERROR(IF(VLOOKUP(R24,매핑!$A$4:$E$92,4,0)="","미분류",VLOOKUP(R24,매핑!$A$4:$E$92,4,0)),"미분류")))</f>
        <v>아시아/기타</v>
      </c>
      <c r="AI24" s="43" t="str">
        <f aca="false">IF(Q24&lt;&gt;1,"",IFERROR(IF(VLOOKUP(R24,매핑!$A$4:$E$92,3,0)="","미분류",VLOOKUP(R24,매핑!$A$4:$E$92,3,0)),IF(AB24&lt;&gt;"",IF(AB24="","",INDEX(시장분석!$W:$W,AB24)),"미분류")))</f>
        <v>일본</v>
      </c>
      <c r="AJ24" s="43" t="str">
        <f aca="false">IF(Q24&lt;&gt;1,"",IFERROR(VLOOKUP(IF(N24&lt;&gt;"",N24,IF(P24&lt;&gt;"",P24,O24)),설정!$A$15:$D$47,2,0),""))</f>
        <v>A-</v>
      </c>
      <c r="AK24" s="43" t="str">
        <f aca="false">IF(Q24&lt;&gt;1,"",IF(AJ24="","무등급",IFERROR(VLOOKUP(AJ24,설정!$A$15:$D$47,3,0),"무등급")))</f>
        <v>A</v>
      </c>
      <c r="AL24" s="89" t="n">
        <f aca="false">IF(AJ24="",99,IFERROR(VLOOKUP(AJ24,설정!$A$15:$D$47,4,0),99))</f>
        <v>7</v>
      </c>
      <c r="AM24" s="94" t="n">
        <f aca="false">IF(ISNUMBER(H24),AA24*1000000*H24/10000,0)</f>
        <v>1785.66628185</v>
      </c>
      <c r="AN24" s="94" t="n">
        <f aca="false">IF(OR(Y24=1,NOT(ISNUMBER(Z24))),0,AA24*1000000*Z24/10000)</f>
        <v>1785.66628185</v>
      </c>
      <c r="AO24" s="94" t="n">
        <f aca="false">IF(ISNUMBER(G24),AA24*1000000*G24/100,0)</f>
        <v>273401.199495</v>
      </c>
      <c r="AP24" s="94" t="n">
        <f aca="false">IF(ISNUMBER(M24),M24*K24,0)</f>
        <v>-175745</v>
      </c>
      <c r="AQ24" s="95" t="n">
        <f aca="false">IF(AB24="","",INDEX(시장분석!$AK:$AK,AB24))</f>
        <v>0.46476941027631</v>
      </c>
      <c r="AR24" s="43" t="str">
        <f aca="false">IF(AB24="","-",IF(AB24="","",INDEX(시장분석!$AL:$AL,AB24)))</f>
        <v>Fair</v>
      </c>
      <c r="AS24" s="96" t="n">
        <f aca="false">IF(AB24="","",INDEX(시장분석!$AJ:$AJ,AB24))</f>
        <v>9.51549721029421</v>
      </c>
      <c r="AT24" s="93" t="n">
        <f aca="false">IF(AB24="",0,IF(AB24="","",INDEX(시장분석!$AN:$AN,AB24)))</f>
        <v>4.1309183229989</v>
      </c>
      <c r="AU24" s="94" t="n">
        <f aca="false">IF(ISNUMBER(Z24),AT24/10000*MAX(Z24-1,0)*AA24*1000000,0)</f>
        <v>5413.94347469762</v>
      </c>
      <c r="AV24" s="94" t="n">
        <f aca="false">AO24+AU24</f>
        <v>278815.142969698</v>
      </c>
      <c r="AW24" s="43" t="str">
        <f aca="false">IF(Q24&lt;&gt;1,"",TRIM(IF(AD24=1,"FRN ","")&amp;IF(AND(AL24&gt;=10,AL24&lt;99),"BBB0미만 ","")&amp;IF(AJ24="","등급없음 ","")&amp;IF(K24&lt;&gt;1,"비USD ","")&amp;IF(AND(AB24="",Y24=0),"시장데이터없음 ","")&amp;IF(AND(ISNUMBER(U24),U24&lt;0),"만기경과 ","")))</f>
        <v/>
      </c>
      <c r="AX24" s="90" t="n">
        <f aca="false">IF(Q24&lt;&gt;1,1,IF(스프레드쇼크!$C$4="Y",INDEX(스프레드쇼크!$B$12:$L$16,IFERROR(MATCH(AH24,스프레드쇼크!$A$12:$A$16,0),MATCH("목록외",스프레드쇼크!$A$12:$A$16,0)),IFERROR(MATCH(AG24,스프레드쇼크!$B$11:$L$11,0),MATCH("목록외",스프레드쇼크!$B$11:$L$11,0))),1))</f>
        <v>1</v>
      </c>
      <c r="AY24" s="90" t="n">
        <f aca="false">IF(스프레드쇼크!$C$5="Y",IF(ISNUMBER(AF24),MIN(스프레드쇼크!$C$7,MAX(스프레드쇼크!$C$6,AF24/스프레드쇼크!$C$8)),1),1)</f>
        <v>1.18815973575785</v>
      </c>
      <c r="AZ24" s="94" t="n">
        <f aca="false">AN24*AX24*AY24</f>
        <v>2121.65677759461</v>
      </c>
      <c r="BA24" s="90" t="n">
        <f aca="false">IF(ISNUMBER(G24),AA24*G24,0)</f>
        <v>27.3401199495</v>
      </c>
      <c r="BB24" s="90" t="n">
        <f aca="false">IF(ISNUMBER(G24),AA24,0)</f>
        <v>4.750755</v>
      </c>
      <c r="BC24" s="90" t="n">
        <f aca="false">IF(AND(Y24=0,ISNUMBER(AF24)),AA24*AF24,0)</f>
        <v>373.19080827</v>
      </c>
      <c r="BD24" s="90" t="n">
        <f aca="false">IF(AND(Y24=0,ISNUMBER(AF24)),AA24,0)</f>
        <v>4.750755</v>
      </c>
      <c r="BE24" s="90" t="n">
        <f aca="false">IF(ISNUMBER(H24),AA24*H24,0)</f>
        <v>17.8566628185</v>
      </c>
      <c r="BF24" s="90" t="n">
        <f aca="false">IF(ISNUMBER(H24),AA24,0)</f>
        <v>4.750755</v>
      </c>
      <c r="BG24" s="90" t="n">
        <f aca="false">IF(AND(Y24=0,ISNUMBER(AF24),ISNUMBER(Z24)),AA24*Z24,0)</f>
        <v>17.8566628185</v>
      </c>
      <c r="BH24" s="90" t="n">
        <f aca="false">IF(AND(Y24=0,ISNUMBER(AF24),ISNUMBER(Z24)),AA24*AT24*MAX(Z24-1,0),0)</f>
        <v>54.1394347469762</v>
      </c>
      <c r="BI24" s="90" t="n">
        <f aca="false">IF(Y24=0,AA24,0)</f>
        <v>4.750755</v>
      </c>
    </row>
    <row r="25" customFormat="false" ht="15" hidden="false" customHeight="false" outlineLevel="0" collapsed="false">
      <c r="A25" s="83" t="str">
        <f aca="false">IFERROR(IF(INDEX(원자료_잔고!$A$1:$EZ$1500,설정!$L$5+ROW()-1,설정!$L$8)&amp;""="0","",INDEX(원자료_잔고!$A$1:$EZ$1500,설정!$L$5+ROW()-1,설정!$L$8)&amp;""),"")</f>
        <v>MIZUHO 4.711 07/08/31</v>
      </c>
      <c r="B25" s="83" t="str">
        <f aca="false">IFERROR(IF(INDEX(원자료_잔고!$A$1:$EZ$1500,설정!$L$5+ROW()-1,설정!$L$7)&amp;""="0","",INDEX(원자료_잔고!$A$1:$EZ$1500,설정!$L$5+ROW()-1,설정!$L$7)&amp;""),"")</f>
        <v>US60687YDL02</v>
      </c>
      <c r="C25" s="83" t="str">
        <f aca="false">IFERROR(IF(INDEX(원자료_잔고!$A$1:$EZ$1500,설정!$L$5+ROW()-1,설정!$L$9)&amp;""="0","",INDEX(원자료_잔고!$A$1:$EZ$1500,설정!$L$5+ROW()-1,설정!$L$9)&amp;""),"")</f>
        <v>28096</v>
      </c>
      <c r="D2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" s="84" t="n">
        <f aca="false">IFERROR(IF(ISNUMBER(INDEX(원자료_잔고!$A$1:$EZ$1500,설정!$L$5+ROW()-1,설정!$L$11)),INDEX(원자료_잔고!$A$1:$EZ$1500,설정!$L$5+ROW()-1,설정!$L$11),""),"")</f>
        <v>1000000</v>
      </c>
      <c r="F25" s="85" t="n">
        <f aca="false">IFERROR(IF(ISNUMBER(INDEX(원자료_잔고!$A$1:$EZ$1500,설정!$L$5+ROW()-1,설정!$L$12)),INDEX(원자료_잔고!$A$1:$EZ$1500,설정!$L$5+ROW()-1,설정!$L$12),""),"")</f>
        <v>96.6183</v>
      </c>
      <c r="G25" s="85" t="n">
        <f aca="false">IFERROR(IF(ISNUMBER(INDEX(원자료_잔고!$A$1:$EZ$1500,설정!$L$5+ROW()-1,설정!$L$13)),INDEX(원자료_잔고!$A$1:$EZ$1500,설정!$L$5+ROW()-1,설정!$L$13),""),"")</f>
        <v>5.6518</v>
      </c>
      <c r="H25" s="85" t="n">
        <f aca="false">IFERROR(IF(ISNUMBER(INDEX(원자료_잔고!$A$1:$EZ$1500,설정!$L$5+ROW()-1,설정!$L$14)),INDEX(원자료_잔고!$A$1:$EZ$1500,설정!$L$5+ROW()-1,설정!$L$14),""),"")</f>
        <v>3.3272</v>
      </c>
      <c r="I25" s="86" t="n">
        <f aca="false">IFERROR(IF(ISNUMBER(INDEX(원자료_잔고!$A$1:$EZ$1500,설정!$L$5+ROW()-1,설정!$L$15)),INDEX(원자료_잔고!$A$1:$EZ$1500,설정!$L$5+ROW()-1,설정!$L$15),""),"")</f>
        <v>48037</v>
      </c>
      <c r="J25" s="85" t="n">
        <f aca="false">IFERROR(IF(ISNUMBER(INDEX(원자료_잔고!$A$1:$EZ$1500,설정!$L$5+ROW()-1,설정!$L$16)),INDEX(원자료_잔고!$A$1:$EZ$1500,설정!$L$5+ROW()-1,설정!$L$16),""),"")</f>
        <v>4.711</v>
      </c>
      <c r="K25" s="87" t="n">
        <f aca="false">IFERROR(IF(ISNUMBER(INDEX(원자료_잔고!$A$1:$EZ$1500,설정!$L$5+ROW()-1,설정!$L$17)),INDEX(원자료_잔고!$A$1:$EZ$1500,설정!$L$5+ROW()-1,설정!$L$17),""),"")</f>
        <v>1</v>
      </c>
      <c r="L25" s="84" t="n">
        <f aca="false">IFERROR(IF(ISNUMBER(INDEX(원자료_잔고!$A$1:$EZ$1500,설정!$L$5+ROW()-1,설정!$L$18)),INDEX(원자료_잔고!$A$1:$EZ$1500,설정!$L$5+ROW()-1,설정!$L$18),""),"")</f>
        <v>966183</v>
      </c>
      <c r="M25" s="88" t="n">
        <f aca="false">IFERROR(IF(ISNUMBER(INDEX(원자료_잔고!$A$1:$EZ$1500,설정!$L$5+ROW()-1,설정!$L$19)),INDEX(원자료_잔고!$A$1:$EZ$1500,설정!$L$5+ROW()-1,설정!$L$19),""),"")</f>
        <v>-31077</v>
      </c>
      <c r="N25" s="83" t="str">
        <f aca="false">IFERROR(IF(INDEX(원자료_잔고!$A$1:$EZ$1500,설정!$L$5+ROW()-1,설정!$L$21)&amp;""="0","",INDEX(원자료_잔고!$A$1:$EZ$1500,설정!$L$5+ROW()-1,설정!$L$21)&amp;""),"")</f>
        <v>A-</v>
      </c>
      <c r="O25" s="83" t="str">
        <f aca="false">IFERROR(IF(INDEX(원자료_잔고!$A$1:$EZ$1500,설정!$L$5+ROW()-1,설정!$L$22)&amp;""="0","",INDEX(원자료_잔고!$A$1:$EZ$1500,설정!$L$5+ROW()-1,설정!$L$22)&amp;""),"")</f>
        <v/>
      </c>
      <c r="P25" s="83" t="str">
        <f aca="false">IFERROR(IF(INDEX(원자료_잔고!$A$1:$EZ$1500,설정!$L$5+ROW()-1,설정!$L$23)&amp;""="0","",INDEX(원자료_잔고!$A$1:$EZ$1500,설정!$L$5+ROW()-1,설정!$L$23)&amp;""),"")</f>
        <v>A-</v>
      </c>
      <c r="Q25" s="89" t="n">
        <f aca="false">IF(AND($A25&lt;&gt;"",ISNUMBER(E25)),IF(E25&gt;0,1,0),0)</f>
        <v>1</v>
      </c>
      <c r="R25" s="43" t="str">
        <f aca="false">IF(Q25=1,UPPER(LEFT($A25,FIND(" ",$A25&amp;" ")-1)),"")</f>
        <v>MIZUHO</v>
      </c>
      <c r="S25" s="89" t="n">
        <f aca="false">IF(Q25=1,IF(OR(ISNUMBER(SEARCH("Float",$A25)),ISNUMBER(SEARCH("FRN",$A25))),1,0),0)</f>
        <v>0</v>
      </c>
      <c r="T25" s="43" t="str">
        <f aca="false">IF(AND(Q25=1,ISNUMBER(I25)),TEXT(I25,"yyyymmdd")&amp;"|"&amp;IF(S25=1,"F",TEXT(J25,"0.000")),"")</f>
        <v>20310708|4.711</v>
      </c>
      <c r="U25" s="90" t="n">
        <f aca="false">IF(AND(Q25=1,ISNUMBER(I25)),(I25-설정!$C$4)/365.25,"")</f>
        <v>4.76659822039699</v>
      </c>
      <c r="V25" s="43" t="str">
        <f aca="false">IF(Q25&lt;&gt;1,"",IF(ISNUMBER(U25),IF(U25&lt;=1,"1년 이하",IF(U25&lt;=2,"1-2년",IF(U25&lt;=3,"2-3년",IF(U25&lt;=4,"3-4년",IF(U25&lt;=5,"4-5년",IF(U25&lt;=7,"5-7년",IF(U25&lt;=10,"7-10년",IF(U25&lt;=20,"10-20년","20년 이상")))))))),"미분류"))</f>
        <v>4-5년</v>
      </c>
      <c r="W25" s="43" t="str">
        <f aca="false">IF(Q25&lt;&gt;1,"",IF(AB25&lt;&gt;"",INDEX(시장분석!$C:$C,AB25),IF(K25=1,"USD","비USD")))</f>
        <v>USD</v>
      </c>
      <c r="X25" s="91" t="n">
        <f aca="false">IF(Q25=1,E25*K25/1000000,0)</f>
        <v>1</v>
      </c>
      <c r="Y25" s="89" t="n">
        <f aca="false">IF(R25="T",1,0)</f>
        <v>0</v>
      </c>
      <c r="Z25" s="92" t="n">
        <f aca="false">IF(Q25&lt;&gt;1,"",IF(AD25=1,IF(ISNUMBER(U25),MAX(U25,0),H25),H25))</f>
        <v>3.3272</v>
      </c>
      <c r="AA25" s="91" t="n">
        <f aca="false">IF(Q25=1,IF(ISNUMBER(L25),L25,0)*K25/1000000,0)</f>
        <v>0.966183</v>
      </c>
      <c r="AB25" s="89" t="n">
        <f aca="false">IF(Q25&lt;&gt;1,"",IFERROR(MATCH(VLOOKUP(B25,매핑!$H$4:$I$15,2,0),시장분석!$A$2:$A$601,0)+1,IFERROR(MATCH(R25&amp;"|"&amp;T25,시장분석!$V$2:$V$601,0)+1,IF(COUNTIF(시장분석!$U$2:$U$601,T25)=1,MATCH(T25,시장분석!$U$2:$U$601,0)+1,""))))</f>
        <v>98</v>
      </c>
      <c r="AC25" s="89" t="n">
        <f aca="false">IF(Q25&lt;&gt;1,0,IF(OR(설정!$C$5="전체",AND(설정!$C$5="선택펀드",IFERROR(COUNTIFS(설정!$F$16:$F$36,C25,설정!$G$16:$G$36,"Y")+COUNTIFS(설정!$F$16:$F$36,VALUE(C25),설정!$G$16:$G$36,"Y"),0)&gt;0),C25&amp;""=설정!$C$5&amp;""),1,0))</f>
        <v>1</v>
      </c>
      <c r="AD25" s="89" t="n">
        <f aca="false">IF(Q25&lt;&gt;1,0,IF(OR(S25=1,IF(AB25="",FALSE(),INDEX(시장분석!$R:$R,AB25)=1)),1,0))</f>
        <v>0</v>
      </c>
      <c r="AE25" s="43" t="str">
        <f aca="false">IF(AB25="","",INDEX(시장분석!$A:$A,AB25))</f>
        <v>MIZUHO 4.711 07/08/31</v>
      </c>
      <c r="AF25" s="93" t="n">
        <f aca="false">IF(AB25="","",IF(ISNUMBER(IF(AB25="","",INDEX(시장분석!$E:$E,AB25))),IF(AB25="","",INDEX(시장분석!$E:$E,AB25)),""))</f>
        <v>66.564</v>
      </c>
      <c r="AG25" s="43" t="str">
        <f aca="false">IF(Q25&lt;&gt;1,"",IF(AB25&lt;&gt;"",IF(AB25="","",INDEX(시장분석!$L:$L,AB25)),IFERROR(IF(VLOOKUP(R25,매핑!$A$4:$E$92,5,0)="","미분류",VLOOKUP(R25,매핑!$A$4:$E$92,5,0)),"미분류")))</f>
        <v>금융기관</v>
      </c>
      <c r="AH25" s="43" t="str">
        <f aca="false">IF(Q25&lt;&gt;1,"",IF(AB25&lt;&gt;"",IF(AB25="","",INDEX(시장분석!$N:$N,AB25)),IFERROR(IF(VLOOKUP(R25,매핑!$A$4:$E$92,4,0)="","미분류",VLOOKUP(R25,매핑!$A$4:$E$92,4,0)),"미분류")))</f>
        <v>아시아/기타</v>
      </c>
      <c r="AI25" s="43" t="str">
        <f aca="false">IF(Q25&lt;&gt;1,"",IFERROR(IF(VLOOKUP(R25,매핑!$A$4:$E$92,3,0)="","미분류",VLOOKUP(R25,매핑!$A$4:$E$92,3,0)),IF(AB25&lt;&gt;"",IF(AB25="","",INDEX(시장분석!$W:$W,AB25)),"미분류")))</f>
        <v>일본</v>
      </c>
      <c r="AJ25" s="43" t="str">
        <f aca="false">IF(Q25&lt;&gt;1,"",IFERROR(VLOOKUP(IF(N25&lt;&gt;"",N25,IF(P25&lt;&gt;"",P25,O25)),설정!$A$15:$D$47,2,0),""))</f>
        <v>A-</v>
      </c>
      <c r="AK25" s="43" t="str">
        <f aca="false">IF(Q25&lt;&gt;1,"",IF(AJ25="","무등급",IFERROR(VLOOKUP(AJ25,설정!$A$15:$D$47,3,0),"무등급")))</f>
        <v>A</v>
      </c>
      <c r="AL25" s="89" t="n">
        <f aca="false">IF(AJ25="",99,IFERROR(VLOOKUP(AJ25,설정!$A$15:$D$47,4,0),99))</f>
        <v>7</v>
      </c>
      <c r="AM25" s="94" t="n">
        <f aca="false">IF(ISNUMBER(H25),AA25*1000000*H25/10000,0)</f>
        <v>321.46840776</v>
      </c>
      <c r="AN25" s="94" t="n">
        <f aca="false">IF(OR(Y25=1,NOT(ISNUMBER(Z25))),0,AA25*1000000*Z25/10000)</f>
        <v>321.46840776</v>
      </c>
      <c r="AO25" s="94" t="n">
        <f aca="false">IF(ISNUMBER(G25),AA25*1000000*G25/100,0)</f>
        <v>54606.730794</v>
      </c>
      <c r="AP25" s="94" t="n">
        <f aca="false">IF(ISNUMBER(M25),M25*K25,0)</f>
        <v>-31077</v>
      </c>
      <c r="AQ25" s="95" t="n">
        <f aca="false">IF(AB25="","",INDEX(시장분석!$AK:$AK,AB25))</f>
        <v>-0.0389565559092016</v>
      </c>
      <c r="AR25" s="43" t="str">
        <f aca="false">IF(AB25="","-",IF(AB25="","",INDEX(시장분석!$AL:$AL,AB25)))</f>
        <v>Fair</v>
      </c>
      <c r="AS25" s="96" t="n">
        <f aca="false">IF(AB25="","",INDEX(시장분석!$AJ:$AJ,AB25))</f>
        <v>-0.797580457922777</v>
      </c>
      <c r="AT25" s="93" t="n">
        <f aca="false">IF(AB25="",0,IF(AB25="","",INDEX(시장분석!$AN:$AN,AB25)))</f>
        <v>4.76075659086253</v>
      </c>
      <c r="AU25" s="94" t="n">
        <f aca="false">IF(ISNUMBER(Z25),AT25/10000*MAX(Z25-1,0)*AA25*1000000,0)</f>
        <v>1070.45663247457</v>
      </c>
      <c r="AV25" s="94" t="n">
        <f aca="false">AO25+AU25</f>
        <v>55677.1874264746</v>
      </c>
      <c r="AW25" s="43" t="str">
        <f aca="false">IF(Q25&lt;&gt;1,"",TRIM(IF(AD25=1,"FRN ","")&amp;IF(AND(AL25&gt;=10,AL25&lt;99),"BBB0미만 ","")&amp;IF(AJ25="","등급없음 ","")&amp;IF(K25&lt;&gt;1,"비USD ","")&amp;IF(AND(AB25="",Y25=0),"시장데이터없음 ","")&amp;IF(AND(ISNUMBER(U25),U25&lt;0),"만기경과 ","")))</f>
        <v/>
      </c>
      <c r="AX25" s="90" t="n">
        <f aca="false">IF(Q25&lt;&gt;1,1,IF(스프레드쇼크!$C$4="Y",INDEX(스프레드쇼크!$B$12:$L$16,IFERROR(MATCH(AH25,스프레드쇼크!$A$12:$A$16,0),MATCH("목록외",스프레드쇼크!$A$12:$A$16,0)),IFERROR(MATCH(AG25,스프레드쇼크!$B$11:$L$11,0),MATCH("목록외",스프레드쇼크!$B$11:$L$11,0))),1))</f>
        <v>1</v>
      </c>
      <c r="AY25" s="90" t="n">
        <f aca="false">IF(스프레드쇼크!$C$5="Y",IF(ISNUMBER(AF25),MIN(스프레드쇼크!$C$7,MAX(스프레드쇼크!$C$6,AF25/스프레드쇼크!$C$8)),1),1)</f>
        <v>1.00680633259905</v>
      </c>
      <c r="AZ25" s="94" t="n">
        <f aca="false">AN25*AX25*AY25</f>
        <v>323.656428663302</v>
      </c>
      <c r="BA25" s="90" t="n">
        <f aca="false">IF(ISNUMBER(G25),AA25*G25,0)</f>
        <v>5.4606730794</v>
      </c>
      <c r="BB25" s="90" t="n">
        <f aca="false">IF(ISNUMBER(G25),AA25,0)</f>
        <v>0.966183</v>
      </c>
      <c r="BC25" s="90" t="n">
        <f aca="false">IF(AND(Y25=0,ISNUMBER(AF25)),AA25*AF25,0)</f>
        <v>64.313005212</v>
      </c>
      <c r="BD25" s="90" t="n">
        <f aca="false">IF(AND(Y25=0,ISNUMBER(AF25)),AA25,0)</f>
        <v>0.966183</v>
      </c>
      <c r="BE25" s="90" t="n">
        <f aca="false">IF(ISNUMBER(H25),AA25*H25,0)</f>
        <v>3.2146840776</v>
      </c>
      <c r="BF25" s="90" t="n">
        <f aca="false">IF(ISNUMBER(H25),AA25,0)</f>
        <v>0.966183</v>
      </c>
      <c r="BG25" s="90" t="n">
        <f aca="false">IF(AND(Y25=0,ISNUMBER(AF25),ISNUMBER(Z25)),AA25*Z25,0)</f>
        <v>3.2146840776</v>
      </c>
      <c r="BH25" s="90" t="n">
        <f aca="false">IF(AND(Y25=0,ISNUMBER(AF25),ISNUMBER(Z25)),AA25*AT25*MAX(Z25-1,0),0)</f>
        <v>10.7045663247457</v>
      </c>
      <c r="BI25" s="90" t="n">
        <f aca="false">IF(Y25=0,AA25,0)</f>
        <v>0.966183</v>
      </c>
    </row>
    <row r="26" customFormat="false" ht="15" hidden="false" customHeight="false" outlineLevel="0" collapsed="false">
      <c r="A26" s="83" t="str">
        <f aca="false">IFERROR(IF(INDEX(원자료_잔고!$A$1:$EZ$1500,설정!$L$5+ROW()-1,설정!$L$8)&amp;""="0","",INDEX(원자료_잔고!$A$1:$EZ$1500,설정!$L$5+ROW()-1,설정!$L$8)&amp;""),"")</f>
        <v>MS 4.994 04/12/29</v>
      </c>
      <c r="B26" s="83" t="str">
        <f aca="false">IFERROR(IF(INDEX(원자료_잔고!$A$1:$EZ$1500,설정!$L$5+ROW()-1,설정!$L$7)&amp;""="0","",INDEX(원자료_잔고!$A$1:$EZ$1500,설정!$L$5+ROW()-1,설정!$L$7)&amp;""),"")</f>
        <v>US61747YFY68</v>
      </c>
      <c r="C26" s="83" t="str">
        <f aca="false">IFERROR(IF(INDEX(원자료_잔고!$A$1:$EZ$1500,설정!$L$5+ROW()-1,설정!$L$9)&amp;""="0","",INDEX(원자료_잔고!$A$1:$EZ$1500,설정!$L$5+ROW()-1,설정!$L$9)&amp;""),"")</f>
        <v>28096</v>
      </c>
      <c r="D2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" s="84" t="n">
        <f aca="false">IFERROR(IF(ISNUMBER(INDEX(원자료_잔고!$A$1:$EZ$1500,설정!$L$5+ROW()-1,설정!$L$11)),INDEX(원자료_잔고!$A$1:$EZ$1500,설정!$L$5+ROW()-1,설정!$L$11),""),"")</f>
        <v>10000000</v>
      </c>
      <c r="F26" s="85" t="n">
        <f aca="false">IFERROR(IF(ISNUMBER(INDEX(원자료_잔고!$A$1:$EZ$1500,설정!$L$5+ROW()-1,설정!$L$12)),INDEX(원자료_잔고!$A$1:$EZ$1500,설정!$L$5+ROW()-1,설정!$L$12),""),"")</f>
        <v>99.4182</v>
      </c>
      <c r="G26" s="85" t="n">
        <f aca="false">IFERROR(IF(ISNUMBER(INDEX(원자료_잔고!$A$1:$EZ$1500,설정!$L$5+ROW()-1,설정!$L$13)),INDEX(원자료_잔고!$A$1:$EZ$1500,설정!$L$5+ROW()-1,설정!$L$13),""),"")</f>
        <v>5.3508</v>
      </c>
      <c r="H26" s="85" t="n">
        <f aca="false">IFERROR(IF(ISNUMBER(INDEX(원자료_잔고!$A$1:$EZ$1500,설정!$L$5+ROW()-1,설정!$L$14)),INDEX(원자료_잔고!$A$1:$EZ$1500,설정!$L$5+ROW()-1,설정!$L$14),""),"")</f>
        <v>1.4066</v>
      </c>
      <c r="I26" s="86" t="n">
        <f aca="false">IFERROR(IF(ISNUMBER(INDEX(원자료_잔고!$A$1:$EZ$1500,설정!$L$5+ROW()-1,설정!$L$15)),INDEX(원자료_잔고!$A$1:$EZ$1500,설정!$L$5+ROW()-1,설정!$L$15),""),"")</f>
        <v>47220</v>
      </c>
      <c r="J26" s="85" t="n">
        <f aca="false">IFERROR(IF(ISNUMBER(INDEX(원자료_잔고!$A$1:$EZ$1500,설정!$L$5+ROW()-1,설정!$L$16)),INDEX(원자료_잔고!$A$1:$EZ$1500,설정!$L$5+ROW()-1,설정!$L$16),""),"")</f>
        <v>4.994</v>
      </c>
      <c r="K26" s="87" t="n">
        <f aca="false">IFERROR(IF(ISNUMBER(INDEX(원자료_잔고!$A$1:$EZ$1500,설정!$L$5+ROW()-1,설정!$L$17)),INDEX(원자료_잔고!$A$1:$EZ$1500,설정!$L$5+ROW()-1,설정!$L$17),""),"")</f>
        <v>1</v>
      </c>
      <c r="L26" s="84" t="n">
        <f aca="false">IFERROR(IF(ISNUMBER(INDEX(원자료_잔고!$A$1:$EZ$1500,설정!$L$5+ROW()-1,설정!$L$18)),INDEX(원자료_잔고!$A$1:$EZ$1500,설정!$L$5+ROW()-1,설정!$L$18),""),"")</f>
        <v>9941820</v>
      </c>
      <c r="M26" s="88" t="n">
        <f aca="false">IFERROR(IF(ISNUMBER(INDEX(원자료_잔고!$A$1:$EZ$1500,설정!$L$5+ROW()-1,설정!$L$19)),INDEX(원자료_잔고!$A$1:$EZ$1500,설정!$L$5+ROW()-1,설정!$L$19),""),"")</f>
        <v>-265250</v>
      </c>
      <c r="N26" s="83" t="str">
        <f aca="false">IFERROR(IF(INDEX(원자료_잔고!$A$1:$EZ$1500,설정!$L$5+ROW()-1,설정!$L$21)&amp;""="0","",INDEX(원자료_잔고!$A$1:$EZ$1500,설정!$L$5+ROW()-1,설정!$L$21)&amp;""),"")</f>
        <v>A-</v>
      </c>
      <c r="O26" s="83" t="str">
        <f aca="false">IFERROR(IF(INDEX(원자료_잔고!$A$1:$EZ$1500,설정!$L$5+ROW()-1,설정!$L$22)&amp;""="0","",INDEX(원자료_잔고!$A$1:$EZ$1500,설정!$L$5+ROW()-1,설정!$L$22)&amp;""),"")</f>
        <v/>
      </c>
      <c r="P26" s="83" t="str">
        <f aca="false">IFERROR(IF(INDEX(원자료_잔고!$A$1:$EZ$1500,설정!$L$5+ROW()-1,설정!$L$23)&amp;""="0","",INDEX(원자료_잔고!$A$1:$EZ$1500,설정!$L$5+ROW()-1,설정!$L$23)&amp;""),"")</f>
        <v>A+</v>
      </c>
      <c r="Q26" s="89" t="n">
        <f aca="false">IF(AND($A26&lt;&gt;"",ISNUMBER(E26)),IF(E26&gt;0,1,0),0)</f>
        <v>1</v>
      </c>
      <c r="R26" s="43" t="str">
        <f aca="false">IF(Q26=1,UPPER(LEFT($A26,FIND(" ",$A26&amp;" ")-1)),"")</f>
        <v>MS</v>
      </c>
      <c r="S26" s="89" t="n">
        <f aca="false">IF(Q26=1,IF(OR(ISNUMBER(SEARCH("Float",$A26)),ISNUMBER(SEARCH("FRN",$A26))),1,0),0)</f>
        <v>0</v>
      </c>
      <c r="T26" s="43" t="str">
        <f aca="false">IF(AND(Q26=1,ISNUMBER(I26)),TEXT(I26,"yyyymmdd")&amp;"|"&amp;IF(S26=1,"F",TEXT(J26,"0.000")),"")</f>
        <v>20290412|4.994</v>
      </c>
      <c r="U26" s="90" t="n">
        <f aca="false">IF(AND(Q26=1,ISNUMBER(I26)),(I26-설정!$C$4)/365.25,"")</f>
        <v>2.52977412731006</v>
      </c>
      <c r="V26" s="43" t="str">
        <f aca="false">IF(Q26&lt;&gt;1,"",IF(ISNUMBER(U26),IF(U26&lt;=1,"1년 이하",IF(U26&lt;=2,"1-2년",IF(U26&lt;=3,"2-3년",IF(U26&lt;=4,"3-4년",IF(U26&lt;=5,"4-5년",IF(U26&lt;=7,"5-7년",IF(U26&lt;=10,"7-10년",IF(U26&lt;=20,"10-20년","20년 이상")))))))),"미분류"))</f>
        <v>2-3년</v>
      </c>
      <c r="W26" s="43" t="str">
        <f aca="false">IF(Q26&lt;&gt;1,"",IF(AB26&lt;&gt;"",INDEX(시장분석!$C:$C,AB26),IF(K26=1,"USD","비USD")))</f>
        <v>USD</v>
      </c>
      <c r="X26" s="91" t="n">
        <f aca="false">IF(Q26=1,E26*K26/1000000,0)</f>
        <v>10</v>
      </c>
      <c r="Y26" s="89" t="n">
        <f aca="false">IF(R26="T",1,0)</f>
        <v>0</v>
      </c>
      <c r="Z26" s="92" t="n">
        <f aca="false">IF(Q26&lt;&gt;1,"",IF(AD26=1,IF(ISNUMBER(U26),MAX(U26,0),H26),H26))</f>
        <v>1.4066</v>
      </c>
      <c r="AA26" s="91" t="n">
        <f aca="false">IF(Q26=1,IF(ISNUMBER(L26),L26,0)*K26/1000000,0)</f>
        <v>9.94182</v>
      </c>
      <c r="AB26" s="89" t="n">
        <f aca="false">IF(Q26&lt;&gt;1,"",IFERROR(MATCH(VLOOKUP(B26,매핑!$H$4:$I$15,2,0),시장분석!$A$2:$A$601,0)+1,IFERROR(MATCH(R26&amp;"|"&amp;T26,시장분석!$V$2:$V$601,0)+1,IF(COUNTIF(시장분석!$U$2:$U$601,T26)=1,MATCH(T26,시장분석!$U$2:$U$601,0)+1,""))))</f>
        <v>99</v>
      </c>
      <c r="AC26" s="89" t="n">
        <f aca="false">IF(Q26&lt;&gt;1,0,IF(OR(설정!$C$5="전체",AND(설정!$C$5="선택펀드",IFERROR(COUNTIFS(설정!$F$16:$F$36,C26,설정!$G$16:$G$36,"Y")+COUNTIFS(설정!$F$16:$F$36,VALUE(C26),설정!$G$16:$G$36,"Y"),0)&gt;0),C26&amp;""=설정!$C$5&amp;""),1,0))</f>
        <v>1</v>
      </c>
      <c r="AD26" s="89" t="n">
        <f aca="false">IF(Q26&lt;&gt;1,0,IF(OR(S26=1,IF(AB26="",FALSE(),INDEX(시장분석!$R:$R,AB26)=1)),1,0))</f>
        <v>0</v>
      </c>
      <c r="AE26" s="43" t="str">
        <f aca="false">IF(AB26="","",INDEX(시장분석!$A:$A,AB26))</f>
        <v>MS 4.994 04/12/29</v>
      </c>
      <c r="AF26" s="93" t="n">
        <f aca="false">IF(AB26="","",IF(ISNUMBER(IF(AB26="","",INDEX(시장분석!$E:$E,AB26))),IF(AB26="","",INDEX(시장분석!$E:$E,AB26)),""))</f>
        <v>51.913</v>
      </c>
      <c r="AG26" s="43" t="str">
        <f aca="false">IF(Q26&lt;&gt;1,"",IF(AB26&lt;&gt;"",IF(AB26="","",INDEX(시장분석!$L:$L,AB26)),IFERROR(IF(VLOOKUP(R26,매핑!$A$4:$E$92,5,0)="","미분류",VLOOKUP(R26,매핑!$A$4:$E$92,5,0)),"미분류")))</f>
        <v>금융기관</v>
      </c>
      <c r="AH26" s="43" t="str">
        <f aca="false">IF(Q26&lt;&gt;1,"",IF(AB26&lt;&gt;"",IF(AB26="","",INDEX(시장분석!$N:$N,AB26)),IFERROR(IF(VLOOKUP(R26,매핑!$A$4:$E$92,4,0)="","미분류",VLOOKUP(R26,매핑!$A$4:$E$92,4,0)),"미분류")))</f>
        <v>미국</v>
      </c>
      <c r="AI26" s="43" t="str">
        <f aca="false">IF(Q26&lt;&gt;1,"",IFERROR(IF(VLOOKUP(R26,매핑!$A$4:$E$92,3,0)="","미분류",VLOOKUP(R26,매핑!$A$4:$E$92,3,0)),IF(AB26&lt;&gt;"",IF(AB26="","",INDEX(시장분석!$W:$W,AB26)),"미분류")))</f>
        <v>미국</v>
      </c>
      <c r="AJ26" s="43" t="str">
        <f aca="false">IF(Q26&lt;&gt;1,"",IFERROR(VLOOKUP(IF(N26&lt;&gt;"",N26,IF(P26&lt;&gt;"",P26,O26)),설정!$A$15:$D$47,2,0),""))</f>
        <v>A-</v>
      </c>
      <c r="AK26" s="43" t="str">
        <f aca="false">IF(Q26&lt;&gt;1,"",IF(AJ26="","무등급",IFERROR(VLOOKUP(AJ26,설정!$A$15:$D$47,3,0),"무등급")))</f>
        <v>A</v>
      </c>
      <c r="AL26" s="89" t="n">
        <f aca="false">IF(AJ26="",99,IFERROR(VLOOKUP(AJ26,설정!$A$15:$D$47,4,0),99))</f>
        <v>7</v>
      </c>
      <c r="AM26" s="94" t="n">
        <f aca="false">IF(ISNUMBER(H26),AA26*1000000*H26/10000,0)</f>
        <v>1398.4164012</v>
      </c>
      <c r="AN26" s="94" t="n">
        <f aca="false">IF(OR(Y26=1,NOT(ISNUMBER(Z26))),0,AA26*1000000*Z26/10000)</f>
        <v>1398.4164012</v>
      </c>
      <c r="AO26" s="94" t="n">
        <f aca="false">IF(ISNUMBER(G26),AA26*1000000*G26/100,0)</f>
        <v>531966.90456</v>
      </c>
      <c r="AP26" s="94" t="n">
        <f aca="false">IF(ISNUMBER(M26),M26*K26,0)</f>
        <v>-265250</v>
      </c>
      <c r="AQ26" s="95" t="n">
        <f aca="false">IF(AB26="","",INDEX(시장분석!$AK:$AK,AB26))</f>
        <v>-0.249790931545226</v>
      </c>
      <c r="AR26" s="43" t="str">
        <f aca="false">IF(AB26="","-",IF(AB26="","",INDEX(시장분석!$AL:$AL,AB26)))</f>
        <v>Fair</v>
      </c>
      <c r="AS26" s="96" t="n">
        <f aca="false">IF(AB26="","",INDEX(시장분석!$AJ:$AJ,AB26))</f>
        <v>-3.41643578982245</v>
      </c>
      <c r="AT26" s="93" t="n">
        <f aca="false">IF(AB26="",0,IF(AB26="","",INDEX(시장분석!$AN:$AN,AB26)))</f>
        <v>0</v>
      </c>
      <c r="AU26" s="94" t="n">
        <f aca="false">IF(ISNUMBER(Z26),AT26/10000*MAX(Z26-1,0)*AA26*1000000,0)</f>
        <v>0</v>
      </c>
      <c r="AV26" s="94" t="n">
        <f aca="false">AO26+AU26</f>
        <v>531966.90456</v>
      </c>
      <c r="AW26" s="43" t="str">
        <f aca="false">IF(Q26&lt;&gt;1,"",TRIM(IF(AD26=1,"FRN ","")&amp;IF(AND(AL26&gt;=10,AL26&lt;99),"BBB0미만 ","")&amp;IF(AJ26="","등급없음 ","")&amp;IF(K26&lt;&gt;1,"비USD ","")&amp;IF(AND(AB26="",Y26=0),"시장데이터없음 ","")&amp;IF(AND(ISNUMBER(U26),U26&lt;0),"만기경과 ","")))</f>
        <v/>
      </c>
      <c r="AX26" s="90" t="n">
        <f aca="false">IF(Q26&lt;&gt;1,1,IF(스프레드쇼크!$C$4="Y",INDEX(스프레드쇼크!$B$12:$L$16,IFERROR(MATCH(AH26,스프레드쇼크!$A$12:$A$16,0),MATCH("목록외",스프레드쇼크!$A$12:$A$16,0)),IFERROR(MATCH(AG26,스프레드쇼크!$B$11:$L$11,0),MATCH("목록외",스프레드쇼크!$B$11:$L$11,0))),1))</f>
        <v>1</v>
      </c>
      <c r="AY26" s="90" t="n">
        <f aca="false">IF(스프레드쇼크!$C$5="Y",IF(ISNUMBER(AF26),MIN(스프레드쇼크!$C$7,MAX(스프레드쇼크!$C$6,AF26/스프레드쇼크!$C$8)),1),1)</f>
        <v>0.7852042717417</v>
      </c>
      <c r="AZ26" s="94" t="n">
        <f aca="false">AN26*AX26*AY26</f>
        <v>1098.04253189589</v>
      </c>
      <c r="BA26" s="90" t="n">
        <f aca="false">IF(ISNUMBER(G26),AA26*G26,0)</f>
        <v>53.196690456</v>
      </c>
      <c r="BB26" s="90" t="n">
        <f aca="false">IF(ISNUMBER(G26),AA26,0)</f>
        <v>9.94182</v>
      </c>
      <c r="BC26" s="90" t="n">
        <f aca="false">IF(AND(Y26=0,ISNUMBER(AF26)),AA26*AF26,0)</f>
        <v>516.10970166</v>
      </c>
      <c r="BD26" s="90" t="n">
        <f aca="false">IF(AND(Y26=0,ISNUMBER(AF26)),AA26,0)</f>
        <v>9.94182</v>
      </c>
      <c r="BE26" s="90" t="n">
        <f aca="false">IF(ISNUMBER(H26),AA26*H26,0)</f>
        <v>13.984164012</v>
      </c>
      <c r="BF26" s="90" t="n">
        <f aca="false">IF(ISNUMBER(H26),AA26,0)</f>
        <v>9.94182</v>
      </c>
      <c r="BG26" s="90" t="n">
        <f aca="false">IF(AND(Y26=0,ISNUMBER(AF26),ISNUMBER(Z26)),AA26*Z26,0)</f>
        <v>13.984164012</v>
      </c>
      <c r="BH26" s="90" t="n">
        <f aca="false">IF(AND(Y26=0,ISNUMBER(AF26),ISNUMBER(Z26)),AA26*AT26*MAX(Z26-1,0),0)</f>
        <v>0</v>
      </c>
      <c r="BI26" s="90" t="n">
        <f aca="false">IF(Y26=0,AA26,0)</f>
        <v>9.94182</v>
      </c>
    </row>
    <row r="27" customFormat="false" ht="15" hidden="false" customHeight="false" outlineLevel="0" collapsed="false">
      <c r="A27" s="83" t="str">
        <f aca="false">IFERROR(IF(INDEX(원자료_잔고!$A$1:$EZ$1500,설정!$L$5+ROW()-1,설정!$L$8)&amp;""="0","",INDEX(원자료_잔고!$A$1:$EZ$1500,설정!$L$5+ROW()-1,설정!$L$8)&amp;""),"")</f>
        <v>MS 4.868 07/12/29</v>
      </c>
      <c r="B27" s="83" t="str">
        <f aca="false">IFERROR(IF(INDEX(원자료_잔고!$A$1:$EZ$1500,설정!$L$5+ROW()-1,설정!$L$7)&amp;""="0","",INDEX(원자료_잔고!$A$1:$EZ$1500,설정!$L$5+ROW()-1,설정!$L$7)&amp;""),"")</f>
        <v>US61748UAY82</v>
      </c>
      <c r="C27" s="83" t="str">
        <f aca="false">IFERROR(IF(INDEX(원자료_잔고!$A$1:$EZ$1500,설정!$L$5+ROW()-1,설정!$L$9)&amp;""="0","",INDEX(원자료_잔고!$A$1:$EZ$1500,설정!$L$5+ROW()-1,설정!$L$9)&amp;""),"")</f>
        <v>28096</v>
      </c>
      <c r="D2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" s="84" t="n">
        <f aca="false">IFERROR(IF(ISNUMBER(INDEX(원자료_잔고!$A$1:$EZ$1500,설정!$L$5+ROW()-1,설정!$L$11)),INDEX(원자료_잔고!$A$1:$EZ$1500,설정!$L$5+ROW()-1,설정!$L$11),""),"")</f>
        <v>5000000</v>
      </c>
      <c r="F27" s="85" t="n">
        <f aca="false">IFERROR(IF(ISNUMBER(INDEX(원자료_잔고!$A$1:$EZ$1500,설정!$L$5+ROW()-1,설정!$L$12)),INDEX(원자료_잔고!$A$1:$EZ$1500,설정!$L$5+ROW()-1,설정!$L$12),""),"")</f>
        <v>98.9087</v>
      </c>
      <c r="G27" s="85" t="n">
        <f aca="false">IFERROR(IF(ISNUMBER(INDEX(원자료_잔고!$A$1:$EZ$1500,설정!$L$5+ROW()-1,설정!$L$13)),INDEX(원자료_잔고!$A$1:$EZ$1500,설정!$L$5+ROW()-1,설정!$L$13),""),"")</f>
        <v>5.4443</v>
      </c>
      <c r="H27" s="85" t="n">
        <f aca="false">IFERROR(IF(ISNUMBER(INDEX(원자료_잔고!$A$1:$EZ$1500,설정!$L$5+ROW()-1,설정!$L$14)),INDEX(원자료_잔고!$A$1:$EZ$1500,설정!$L$5+ROW()-1,설정!$L$14),""),"")</f>
        <v>1.6526</v>
      </c>
      <c r="I27" s="86" t="n">
        <f aca="false">IFERROR(IF(ISNUMBER(INDEX(원자료_잔고!$A$1:$EZ$1500,설정!$L$5+ROW()-1,설정!$L$15)),INDEX(원자료_잔고!$A$1:$EZ$1500,설정!$L$5+ROW()-1,설정!$L$15),""),"")</f>
        <v>47311</v>
      </c>
      <c r="J27" s="85" t="n">
        <f aca="false">IFERROR(IF(ISNUMBER(INDEX(원자료_잔고!$A$1:$EZ$1500,설정!$L$5+ROW()-1,설정!$L$16)),INDEX(원자료_잔고!$A$1:$EZ$1500,설정!$L$5+ROW()-1,설정!$L$16),""),"")</f>
        <v>4.868</v>
      </c>
      <c r="K27" s="87" t="n">
        <f aca="false">IFERROR(IF(ISNUMBER(INDEX(원자료_잔고!$A$1:$EZ$1500,설정!$L$5+ROW()-1,설정!$L$17)),INDEX(원자료_잔고!$A$1:$EZ$1500,설정!$L$5+ROW()-1,설정!$L$17),""),"")</f>
        <v>1</v>
      </c>
      <c r="L27" s="84" t="n">
        <f aca="false">IFERROR(IF(ISNUMBER(INDEX(원자료_잔고!$A$1:$EZ$1500,설정!$L$5+ROW()-1,설정!$L$18)),INDEX(원자료_잔고!$A$1:$EZ$1500,설정!$L$5+ROW()-1,설정!$L$18),""),"")</f>
        <v>4945435</v>
      </c>
      <c r="M27" s="88" t="n">
        <f aca="false">IFERROR(IF(ISNUMBER(INDEX(원자료_잔고!$A$1:$EZ$1500,설정!$L$5+ROW()-1,설정!$L$19)),INDEX(원자료_잔고!$A$1:$EZ$1500,설정!$L$5+ROW()-1,설정!$L$19),""),"")</f>
        <v>-59365</v>
      </c>
      <c r="N27" s="83" t="str">
        <f aca="false">IFERROR(IF(INDEX(원자료_잔고!$A$1:$EZ$1500,설정!$L$5+ROW()-1,설정!$L$21)&amp;""="0","",INDEX(원자료_잔고!$A$1:$EZ$1500,설정!$L$5+ROW()-1,설정!$L$21)&amp;""),"")</f>
        <v>A-</v>
      </c>
      <c r="O27" s="83" t="str">
        <f aca="false">IFERROR(IF(INDEX(원자료_잔고!$A$1:$EZ$1500,설정!$L$5+ROW()-1,설정!$L$22)&amp;""="0","",INDEX(원자료_잔고!$A$1:$EZ$1500,설정!$L$5+ROW()-1,설정!$L$22)&amp;""),"")</f>
        <v/>
      </c>
      <c r="P27" s="83" t="str">
        <f aca="false">IFERROR(IF(INDEX(원자료_잔고!$A$1:$EZ$1500,설정!$L$5+ROW()-1,설정!$L$23)&amp;""="0","",INDEX(원자료_잔고!$A$1:$EZ$1500,설정!$L$5+ROW()-1,설정!$L$23)&amp;""),"")</f>
        <v>A+</v>
      </c>
      <c r="Q27" s="89" t="n">
        <f aca="false">IF(AND($A27&lt;&gt;"",ISNUMBER(E27)),IF(E27&gt;0,1,0),0)</f>
        <v>1</v>
      </c>
      <c r="R27" s="43" t="str">
        <f aca="false">IF(Q27=1,UPPER(LEFT($A27,FIND(" ",$A27&amp;" ")-1)),"")</f>
        <v>MS</v>
      </c>
      <c r="S27" s="89" t="n">
        <f aca="false">IF(Q27=1,IF(OR(ISNUMBER(SEARCH("Float",$A27)),ISNUMBER(SEARCH("FRN",$A27))),1,0),0)</f>
        <v>0</v>
      </c>
      <c r="T27" s="43" t="str">
        <f aca="false">IF(AND(Q27=1,ISNUMBER(I27)),TEXT(I27,"yyyymmdd")&amp;"|"&amp;IF(S27=1,"F",TEXT(J27,"0.000")),"")</f>
        <v>20290712|4.868</v>
      </c>
      <c r="U27" s="90" t="n">
        <f aca="false">IF(AND(Q27=1,ISNUMBER(I27)),(I27-설정!$C$4)/365.25,"")</f>
        <v>2.77891854893908</v>
      </c>
      <c r="V27" s="43" t="str">
        <f aca="false">IF(Q27&lt;&gt;1,"",IF(ISNUMBER(U27),IF(U27&lt;=1,"1년 이하",IF(U27&lt;=2,"1-2년",IF(U27&lt;=3,"2-3년",IF(U27&lt;=4,"3-4년",IF(U27&lt;=5,"4-5년",IF(U27&lt;=7,"5-7년",IF(U27&lt;=10,"7-10년",IF(U27&lt;=20,"10-20년","20년 이상")))))))),"미분류"))</f>
        <v>2-3년</v>
      </c>
      <c r="W27" s="43" t="str">
        <f aca="false">IF(Q27&lt;&gt;1,"",IF(AB27&lt;&gt;"",INDEX(시장분석!$C:$C,AB27),IF(K27=1,"USD","비USD")))</f>
        <v>USD</v>
      </c>
      <c r="X27" s="91" t="n">
        <f aca="false">IF(Q27=1,E27*K27/1000000,0)</f>
        <v>5</v>
      </c>
      <c r="Y27" s="89" t="n">
        <f aca="false">IF(R27="T",1,0)</f>
        <v>0</v>
      </c>
      <c r="Z27" s="92" t="n">
        <f aca="false">IF(Q27&lt;&gt;1,"",IF(AD27=1,IF(ISNUMBER(U27),MAX(U27,0),H27),H27))</f>
        <v>1.6526</v>
      </c>
      <c r="AA27" s="91" t="n">
        <f aca="false">IF(Q27=1,IF(ISNUMBER(L27),L27,0)*K27/1000000,0)</f>
        <v>4.945435</v>
      </c>
      <c r="AB27" s="89" t="n">
        <f aca="false">IF(Q27&lt;&gt;1,"",IFERROR(MATCH(VLOOKUP(B27,매핑!$H$4:$I$15,2,0),시장분석!$A$2:$A$601,0)+1,IFERROR(MATCH(R27&amp;"|"&amp;T27,시장분석!$V$2:$V$601,0)+1,IF(COUNTIF(시장분석!$U$2:$U$601,T27)=1,MATCH(T27,시장분석!$U$2:$U$601,0)+1,""))))</f>
        <v>103</v>
      </c>
      <c r="AC27" s="89" t="n">
        <f aca="false">IF(Q27&lt;&gt;1,0,IF(OR(설정!$C$5="전체",AND(설정!$C$5="선택펀드",IFERROR(COUNTIFS(설정!$F$16:$F$36,C27,설정!$G$16:$G$36,"Y")+COUNTIFS(설정!$F$16:$F$36,VALUE(C27),설정!$G$16:$G$36,"Y"),0)&gt;0),C27&amp;""=설정!$C$5&amp;""),1,0))</f>
        <v>1</v>
      </c>
      <c r="AD27" s="89" t="n">
        <f aca="false">IF(Q27&lt;&gt;1,0,IF(OR(S27=1,IF(AB27="",FALSE(),INDEX(시장분석!$R:$R,AB27)=1)),1,0))</f>
        <v>0</v>
      </c>
      <c r="AE27" s="43" t="str">
        <f aca="false">IF(AB27="","",INDEX(시장분석!$A:$A,AB27))</f>
        <v>MS 4.868 07/12/29</v>
      </c>
      <c r="AF27" s="93" t="n">
        <f aca="false">IF(AB27="","",IF(ISNUMBER(IF(AB27="","",INDEX(시장분석!$E:$E,AB27))),IF(AB27="","",INDEX(시장분석!$E:$E,AB27)),""))</f>
        <v>63.087</v>
      </c>
      <c r="AG27" s="43" t="str">
        <f aca="false">IF(Q27&lt;&gt;1,"",IF(AB27&lt;&gt;"",IF(AB27="","",INDEX(시장분석!$L:$L,AB27)),IFERROR(IF(VLOOKUP(R27,매핑!$A$4:$E$92,5,0)="","미분류",VLOOKUP(R27,매핑!$A$4:$E$92,5,0)),"미분류")))</f>
        <v>금융기관</v>
      </c>
      <c r="AH27" s="43" t="str">
        <f aca="false">IF(Q27&lt;&gt;1,"",IF(AB27&lt;&gt;"",IF(AB27="","",INDEX(시장분석!$N:$N,AB27)),IFERROR(IF(VLOOKUP(R27,매핑!$A$4:$E$92,4,0)="","미분류",VLOOKUP(R27,매핑!$A$4:$E$92,4,0)),"미분류")))</f>
        <v>미국</v>
      </c>
      <c r="AI27" s="43" t="str">
        <f aca="false">IF(Q27&lt;&gt;1,"",IFERROR(IF(VLOOKUP(R27,매핑!$A$4:$E$92,3,0)="","미분류",VLOOKUP(R27,매핑!$A$4:$E$92,3,0)),IF(AB27&lt;&gt;"",IF(AB27="","",INDEX(시장분석!$W:$W,AB27)),"미분류")))</f>
        <v>미국</v>
      </c>
      <c r="AJ27" s="43" t="str">
        <f aca="false">IF(Q27&lt;&gt;1,"",IFERROR(VLOOKUP(IF(N27&lt;&gt;"",N27,IF(P27&lt;&gt;"",P27,O27)),설정!$A$15:$D$47,2,0),""))</f>
        <v>A-</v>
      </c>
      <c r="AK27" s="43" t="str">
        <f aca="false">IF(Q27&lt;&gt;1,"",IF(AJ27="","무등급",IFERROR(VLOOKUP(AJ27,설정!$A$15:$D$47,3,0),"무등급")))</f>
        <v>A</v>
      </c>
      <c r="AL27" s="89" t="n">
        <f aca="false">IF(AJ27="",99,IFERROR(VLOOKUP(AJ27,설정!$A$15:$D$47,4,0),99))</f>
        <v>7</v>
      </c>
      <c r="AM27" s="94" t="n">
        <f aca="false">IF(ISNUMBER(H27),AA27*1000000*H27/10000,0)</f>
        <v>817.2825881</v>
      </c>
      <c r="AN27" s="94" t="n">
        <f aca="false">IF(OR(Y27=1,NOT(ISNUMBER(Z27))),0,AA27*1000000*Z27/10000)</f>
        <v>817.2825881</v>
      </c>
      <c r="AO27" s="94" t="n">
        <f aca="false">IF(ISNUMBER(G27),AA27*1000000*G27/100,0)</f>
        <v>269244.317705</v>
      </c>
      <c r="AP27" s="94" t="n">
        <f aca="false">IF(ISNUMBER(M27),M27*K27,0)</f>
        <v>-59365</v>
      </c>
      <c r="AQ27" s="95" t="n">
        <f aca="false">IF(AB27="","",INDEX(시장분석!$AK:$AK,AB27))</f>
        <v>0.325165807338557</v>
      </c>
      <c r="AR27" s="43" t="str">
        <f aca="false">IF(AB27="","-",IF(AB27="","",INDEX(시장분석!$AL:$AL,AB27)))</f>
        <v>Fair</v>
      </c>
      <c r="AS27" s="96" t="n">
        <f aca="false">IF(AB27="","",INDEX(시장분석!$AJ:$AJ,AB27))</f>
        <v>4.44735161098841</v>
      </c>
      <c r="AT27" s="93" t="n">
        <f aca="false">IF(AB27="",0,IF(AB27="","",INDEX(시장분석!$AN:$AN,AB27)))</f>
        <v>18.2615049324969</v>
      </c>
      <c r="AU27" s="94" t="n">
        <f aca="false">IF(ISNUMBER(Z27),AT27/10000*MAX(Z27-1,0)*AA27*1000000,0)</f>
        <v>5893.70144924769</v>
      </c>
      <c r="AV27" s="94" t="n">
        <f aca="false">AO27+AU27</f>
        <v>275138.019154248</v>
      </c>
      <c r="AW27" s="43" t="str">
        <f aca="false">IF(Q27&lt;&gt;1,"",TRIM(IF(AD27=1,"FRN ","")&amp;IF(AND(AL27&gt;=10,AL27&lt;99),"BBB0미만 ","")&amp;IF(AJ27="","등급없음 ","")&amp;IF(K27&lt;&gt;1,"비USD ","")&amp;IF(AND(AB27="",Y27=0),"시장데이터없음 ","")&amp;IF(AND(ISNUMBER(U27),U27&lt;0),"만기경과 ","")))</f>
        <v/>
      </c>
      <c r="AX27" s="90" t="n">
        <f aca="false">IF(Q27&lt;&gt;1,1,IF(스프레드쇼크!$C$4="Y",INDEX(스프레드쇼크!$B$12:$L$16,IFERROR(MATCH(AH27,스프레드쇼크!$A$12:$A$16,0),MATCH("목록외",스프레드쇼크!$A$12:$A$16,0)),IFERROR(MATCH(AG27,스프레드쇼크!$B$11:$L$11,0),MATCH("목록외",스프레드쇼크!$B$11:$L$11,0))),1))</f>
        <v>1</v>
      </c>
      <c r="AY27" s="90" t="n">
        <f aca="false">IF(스프레드쇼크!$C$5="Y",IF(ISNUMBER(AF27),MIN(스프레드쇼크!$C$7,MAX(스프레드쇼크!$C$6,AF27/스프레드쇼크!$C$8)),1),1)</f>
        <v>0.954215358221806</v>
      </c>
      <c r="AZ27" s="94" t="n">
        <f aca="false">AN27*AX27*AY27</f>
        <v>779.863597572286</v>
      </c>
      <c r="BA27" s="90" t="n">
        <f aca="false">IF(ISNUMBER(G27),AA27*G27,0)</f>
        <v>26.9244317705</v>
      </c>
      <c r="BB27" s="90" t="n">
        <f aca="false">IF(ISNUMBER(G27),AA27,0)</f>
        <v>4.945435</v>
      </c>
      <c r="BC27" s="90" t="n">
        <f aca="false">IF(AND(Y27=0,ISNUMBER(AF27)),AA27*AF27,0)</f>
        <v>311.992657845</v>
      </c>
      <c r="BD27" s="90" t="n">
        <f aca="false">IF(AND(Y27=0,ISNUMBER(AF27)),AA27,0)</f>
        <v>4.945435</v>
      </c>
      <c r="BE27" s="90" t="n">
        <f aca="false">IF(ISNUMBER(H27),AA27*H27,0)</f>
        <v>8.172825881</v>
      </c>
      <c r="BF27" s="90" t="n">
        <f aca="false">IF(ISNUMBER(H27),AA27,0)</f>
        <v>4.945435</v>
      </c>
      <c r="BG27" s="90" t="n">
        <f aca="false">IF(AND(Y27=0,ISNUMBER(AF27),ISNUMBER(Z27)),AA27*Z27,0)</f>
        <v>8.172825881</v>
      </c>
      <c r="BH27" s="90" t="n">
        <f aca="false">IF(AND(Y27=0,ISNUMBER(AF27),ISNUMBER(Z27)),AA27*AT27*MAX(Z27-1,0),0)</f>
        <v>58.9370144924769</v>
      </c>
      <c r="BI27" s="90" t="n">
        <f aca="false">IF(Y27=0,AA27,0)</f>
        <v>4.945435</v>
      </c>
    </row>
    <row r="28" customFormat="false" ht="15" hidden="false" customHeight="false" outlineLevel="0" collapsed="false">
      <c r="A28" s="83" t="str">
        <f aca="false">IFERROR(IF(INDEX(원자료_잔고!$A$1:$EZ$1500,설정!$L$5+ROW()-1,설정!$L$8)&amp;""="0","",INDEX(원자료_잔고!$A$1:$EZ$1500,설정!$L$5+ROW()-1,설정!$L$8)&amp;""),"")</f>
        <v>MS 4.868 07/12/29</v>
      </c>
      <c r="B28" s="83" t="str">
        <f aca="false">IFERROR(IF(INDEX(원자료_잔고!$A$1:$EZ$1500,설정!$L$5+ROW()-1,설정!$L$7)&amp;""="0","",INDEX(원자료_잔고!$A$1:$EZ$1500,설정!$L$5+ROW()-1,설정!$L$7)&amp;""),"")</f>
        <v>US61748UAY82</v>
      </c>
      <c r="C28" s="83" t="str">
        <f aca="false">IFERROR(IF(INDEX(원자료_잔고!$A$1:$EZ$1500,설정!$L$5+ROW()-1,설정!$L$9)&amp;""="0","",INDEX(원자료_잔고!$A$1:$EZ$1500,설정!$L$5+ROW()-1,설정!$L$9)&amp;""),"")</f>
        <v>28096</v>
      </c>
      <c r="D2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8" s="84" t="n">
        <f aca="false">IFERROR(IF(ISNUMBER(INDEX(원자료_잔고!$A$1:$EZ$1500,설정!$L$5+ROW()-1,설정!$L$11)),INDEX(원자료_잔고!$A$1:$EZ$1500,설정!$L$5+ROW()-1,설정!$L$11),""),"")</f>
        <v>10000000</v>
      </c>
      <c r="F28" s="85" t="n">
        <f aca="false">IFERROR(IF(ISNUMBER(INDEX(원자료_잔고!$A$1:$EZ$1500,설정!$L$5+ROW()-1,설정!$L$12)),INDEX(원자료_잔고!$A$1:$EZ$1500,설정!$L$5+ROW()-1,설정!$L$12),""),"")</f>
        <v>98.9087</v>
      </c>
      <c r="G28" s="85" t="n">
        <f aca="false">IFERROR(IF(ISNUMBER(INDEX(원자료_잔고!$A$1:$EZ$1500,설정!$L$5+ROW()-1,설정!$L$13)),INDEX(원자료_잔고!$A$1:$EZ$1500,설정!$L$5+ROW()-1,설정!$L$13),""),"")</f>
        <v>5.4443</v>
      </c>
      <c r="H28" s="85" t="n">
        <f aca="false">IFERROR(IF(ISNUMBER(INDEX(원자료_잔고!$A$1:$EZ$1500,설정!$L$5+ROW()-1,설정!$L$14)),INDEX(원자료_잔고!$A$1:$EZ$1500,설정!$L$5+ROW()-1,설정!$L$14),""),"")</f>
        <v>1.6526</v>
      </c>
      <c r="I28" s="86" t="n">
        <f aca="false">IFERROR(IF(ISNUMBER(INDEX(원자료_잔고!$A$1:$EZ$1500,설정!$L$5+ROW()-1,설정!$L$15)),INDEX(원자료_잔고!$A$1:$EZ$1500,설정!$L$5+ROW()-1,설정!$L$15),""),"")</f>
        <v>47311</v>
      </c>
      <c r="J28" s="85" t="n">
        <f aca="false">IFERROR(IF(ISNUMBER(INDEX(원자료_잔고!$A$1:$EZ$1500,설정!$L$5+ROW()-1,설정!$L$16)),INDEX(원자료_잔고!$A$1:$EZ$1500,설정!$L$5+ROW()-1,설정!$L$16),""),"")</f>
        <v>4.868</v>
      </c>
      <c r="K28" s="87" t="n">
        <f aca="false">IFERROR(IF(ISNUMBER(INDEX(원자료_잔고!$A$1:$EZ$1500,설정!$L$5+ROW()-1,설정!$L$17)),INDEX(원자료_잔고!$A$1:$EZ$1500,설정!$L$5+ROW()-1,설정!$L$17),""),"")</f>
        <v>1</v>
      </c>
      <c r="L28" s="84" t="n">
        <f aca="false">IFERROR(IF(ISNUMBER(INDEX(원자료_잔고!$A$1:$EZ$1500,설정!$L$5+ROW()-1,설정!$L$18)),INDEX(원자료_잔고!$A$1:$EZ$1500,설정!$L$5+ROW()-1,설정!$L$18),""),"")</f>
        <v>9890870</v>
      </c>
      <c r="M28" s="88" t="n">
        <f aca="false">IFERROR(IF(ISNUMBER(INDEX(원자료_잔고!$A$1:$EZ$1500,설정!$L$5+ROW()-1,설정!$L$19)),INDEX(원자료_잔고!$A$1:$EZ$1500,설정!$L$5+ROW()-1,설정!$L$19),""),"")</f>
        <v>-118230</v>
      </c>
      <c r="N28" s="83" t="str">
        <f aca="false">IFERROR(IF(INDEX(원자료_잔고!$A$1:$EZ$1500,설정!$L$5+ROW()-1,설정!$L$21)&amp;""="0","",INDEX(원자료_잔고!$A$1:$EZ$1500,설정!$L$5+ROW()-1,설정!$L$21)&amp;""),"")</f>
        <v>A-</v>
      </c>
      <c r="O28" s="83" t="str">
        <f aca="false">IFERROR(IF(INDEX(원자료_잔고!$A$1:$EZ$1500,설정!$L$5+ROW()-1,설정!$L$22)&amp;""="0","",INDEX(원자료_잔고!$A$1:$EZ$1500,설정!$L$5+ROW()-1,설정!$L$22)&amp;""),"")</f>
        <v/>
      </c>
      <c r="P28" s="83" t="str">
        <f aca="false">IFERROR(IF(INDEX(원자료_잔고!$A$1:$EZ$1500,설정!$L$5+ROW()-1,설정!$L$23)&amp;""="0","",INDEX(원자료_잔고!$A$1:$EZ$1500,설정!$L$5+ROW()-1,설정!$L$23)&amp;""),"")</f>
        <v>A+</v>
      </c>
      <c r="Q28" s="89" t="n">
        <f aca="false">IF(AND($A28&lt;&gt;"",ISNUMBER(E28)),IF(E28&gt;0,1,0),0)</f>
        <v>1</v>
      </c>
      <c r="R28" s="43" t="str">
        <f aca="false">IF(Q28=1,UPPER(LEFT($A28,FIND(" ",$A28&amp;" ")-1)),"")</f>
        <v>MS</v>
      </c>
      <c r="S28" s="89" t="n">
        <f aca="false">IF(Q28=1,IF(OR(ISNUMBER(SEARCH("Float",$A28)),ISNUMBER(SEARCH("FRN",$A28))),1,0),0)</f>
        <v>0</v>
      </c>
      <c r="T28" s="43" t="str">
        <f aca="false">IF(AND(Q28=1,ISNUMBER(I28)),TEXT(I28,"yyyymmdd")&amp;"|"&amp;IF(S28=1,"F",TEXT(J28,"0.000")),"")</f>
        <v>20290712|4.868</v>
      </c>
      <c r="U28" s="90" t="n">
        <f aca="false">IF(AND(Q28=1,ISNUMBER(I28)),(I28-설정!$C$4)/365.25,"")</f>
        <v>2.77891854893908</v>
      </c>
      <c r="V28" s="43" t="str">
        <f aca="false">IF(Q28&lt;&gt;1,"",IF(ISNUMBER(U28),IF(U28&lt;=1,"1년 이하",IF(U28&lt;=2,"1-2년",IF(U28&lt;=3,"2-3년",IF(U28&lt;=4,"3-4년",IF(U28&lt;=5,"4-5년",IF(U28&lt;=7,"5-7년",IF(U28&lt;=10,"7-10년",IF(U28&lt;=20,"10-20년","20년 이상")))))))),"미분류"))</f>
        <v>2-3년</v>
      </c>
      <c r="W28" s="43" t="str">
        <f aca="false">IF(Q28&lt;&gt;1,"",IF(AB28&lt;&gt;"",INDEX(시장분석!$C:$C,AB28),IF(K28=1,"USD","비USD")))</f>
        <v>USD</v>
      </c>
      <c r="X28" s="91" t="n">
        <f aca="false">IF(Q28=1,E28*K28/1000000,0)</f>
        <v>10</v>
      </c>
      <c r="Y28" s="89" t="n">
        <f aca="false">IF(R28="T",1,0)</f>
        <v>0</v>
      </c>
      <c r="Z28" s="92" t="n">
        <f aca="false">IF(Q28&lt;&gt;1,"",IF(AD28=1,IF(ISNUMBER(U28),MAX(U28,0),H28),H28))</f>
        <v>1.6526</v>
      </c>
      <c r="AA28" s="91" t="n">
        <f aca="false">IF(Q28=1,IF(ISNUMBER(L28),L28,0)*K28/1000000,0)</f>
        <v>9.89087</v>
      </c>
      <c r="AB28" s="89" t="n">
        <f aca="false">IF(Q28&lt;&gt;1,"",IFERROR(MATCH(VLOOKUP(B28,매핑!$H$4:$I$15,2,0),시장분석!$A$2:$A$601,0)+1,IFERROR(MATCH(R28&amp;"|"&amp;T28,시장분석!$V$2:$V$601,0)+1,IF(COUNTIF(시장분석!$U$2:$U$601,T28)=1,MATCH(T28,시장분석!$U$2:$U$601,0)+1,""))))</f>
        <v>103</v>
      </c>
      <c r="AC28" s="89" t="n">
        <f aca="false">IF(Q28&lt;&gt;1,0,IF(OR(설정!$C$5="전체",AND(설정!$C$5="선택펀드",IFERROR(COUNTIFS(설정!$F$16:$F$36,C28,설정!$G$16:$G$36,"Y")+COUNTIFS(설정!$F$16:$F$36,VALUE(C28),설정!$G$16:$G$36,"Y"),0)&gt;0),C28&amp;""=설정!$C$5&amp;""),1,0))</f>
        <v>1</v>
      </c>
      <c r="AD28" s="89" t="n">
        <f aca="false">IF(Q28&lt;&gt;1,0,IF(OR(S28=1,IF(AB28="",FALSE(),INDEX(시장분석!$R:$R,AB28)=1)),1,0))</f>
        <v>0</v>
      </c>
      <c r="AE28" s="43" t="str">
        <f aca="false">IF(AB28="","",INDEX(시장분석!$A:$A,AB28))</f>
        <v>MS 4.868 07/12/29</v>
      </c>
      <c r="AF28" s="93" t="n">
        <f aca="false">IF(AB28="","",IF(ISNUMBER(IF(AB28="","",INDEX(시장분석!$E:$E,AB28))),IF(AB28="","",INDEX(시장분석!$E:$E,AB28)),""))</f>
        <v>63.087</v>
      </c>
      <c r="AG28" s="43" t="str">
        <f aca="false">IF(Q28&lt;&gt;1,"",IF(AB28&lt;&gt;"",IF(AB28="","",INDEX(시장분석!$L:$L,AB28)),IFERROR(IF(VLOOKUP(R28,매핑!$A$4:$E$92,5,0)="","미분류",VLOOKUP(R28,매핑!$A$4:$E$92,5,0)),"미분류")))</f>
        <v>금융기관</v>
      </c>
      <c r="AH28" s="43" t="str">
        <f aca="false">IF(Q28&lt;&gt;1,"",IF(AB28&lt;&gt;"",IF(AB28="","",INDEX(시장분석!$N:$N,AB28)),IFERROR(IF(VLOOKUP(R28,매핑!$A$4:$E$92,4,0)="","미분류",VLOOKUP(R28,매핑!$A$4:$E$92,4,0)),"미분류")))</f>
        <v>미국</v>
      </c>
      <c r="AI28" s="43" t="str">
        <f aca="false">IF(Q28&lt;&gt;1,"",IFERROR(IF(VLOOKUP(R28,매핑!$A$4:$E$92,3,0)="","미분류",VLOOKUP(R28,매핑!$A$4:$E$92,3,0)),IF(AB28&lt;&gt;"",IF(AB28="","",INDEX(시장분석!$W:$W,AB28)),"미분류")))</f>
        <v>미국</v>
      </c>
      <c r="AJ28" s="43" t="str">
        <f aca="false">IF(Q28&lt;&gt;1,"",IFERROR(VLOOKUP(IF(N28&lt;&gt;"",N28,IF(P28&lt;&gt;"",P28,O28)),설정!$A$15:$D$47,2,0),""))</f>
        <v>A-</v>
      </c>
      <c r="AK28" s="43" t="str">
        <f aca="false">IF(Q28&lt;&gt;1,"",IF(AJ28="","무등급",IFERROR(VLOOKUP(AJ28,설정!$A$15:$D$47,3,0),"무등급")))</f>
        <v>A</v>
      </c>
      <c r="AL28" s="89" t="n">
        <f aca="false">IF(AJ28="",99,IFERROR(VLOOKUP(AJ28,설정!$A$15:$D$47,4,0),99))</f>
        <v>7</v>
      </c>
      <c r="AM28" s="94" t="n">
        <f aca="false">IF(ISNUMBER(H28),AA28*1000000*H28/10000,0)</f>
        <v>1634.5651762</v>
      </c>
      <c r="AN28" s="94" t="n">
        <f aca="false">IF(OR(Y28=1,NOT(ISNUMBER(Z28))),0,AA28*1000000*Z28/10000)</f>
        <v>1634.5651762</v>
      </c>
      <c r="AO28" s="94" t="n">
        <f aca="false">IF(ISNUMBER(G28),AA28*1000000*G28/100,0)</f>
        <v>538488.63541</v>
      </c>
      <c r="AP28" s="94" t="n">
        <f aca="false">IF(ISNUMBER(M28),M28*K28,0)</f>
        <v>-118230</v>
      </c>
      <c r="AQ28" s="95" t="n">
        <f aca="false">IF(AB28="","",INDEX(시장분석!$AK:$AK,AB28))</f>
        <v>0.325165807338557</v>
      </c>
      <c r="AR28" s="43" t="str">
        <f aca="false">IF(AB28="","-",IF(AB28="","",INDEX(시장분석!$AL:$AL,AB28)))</f>
        <v>Fair</v>
      </c>
      <c r="AS28" s="96" t="n">
        <f aca="false">IF(AB28="","",INDEX(시장분석!$AJ:$AJ,AB28))</f>
        <v>4.44735161098841</v>
      </c>
      <c r="AT28" s="93" t="n">
        <f aca="false">IF(AB28="",0,IF(AB28="","",INDEX(시장분석!$AN:$AN,AB28)))</f>
        <v>18.2615049324969</v>
      </c>
      <c r="AU28" s="94" t="n">
        <f aca="false">IF(ISNUMBER(Z28),AT28/10000*MAX(Z28-1,0)*AA28*1000000,0)</f>
        <v>11787.4028984954</v>
      </c>
      <c r="AV28" s="94" t="n">
        <f aca="false">AO28+AU28</f>
        <v>550276.038308495</v>
      </c>
      <c r="AW28" s="43" t="str">
        <f aca="false">IF(Q28&lt;&gt;1,"",TRIM(IF(AD28=1,"FRN ","")&amp;IF(AND(AL28&gt;=10,AL28&lt;99),"BBB0미만 ","")&amp;IF(AJ28="","등급없음 ","")&amp;IF(K28&lt;&gt;1,"비USD ","")&amp;IF(AND(AB28="",Y28=0),"시장데이터없음 ","")&amp;IF(AND(ISNUMBER(U28),U28&lt;0),"만기경과 ","")))</f>
        <v/>
      </c>
      <c r="AX28" s="90" t="n">
        <f aca="false">IF(Q28&lt;&gt;1,1,IF(스프레드쇼크!$C$4="Y",INDEX(스프레드쇼크!$B$12:$L$16,IFERROR(MATCH(AH28,스프레드쇼크!$A$12:$A$16,0),MATCH("목록외",스프레드쇼크!$A$12:$A$16,0)),IFERROR(MATCH(AG28,스프레드쇼크!$B$11:$L$11,0),MATCH("목록외",스프레드쇼크!$B$11:$L$11,0))),1))</f>
        <v>1</v>
      </c>
      <c r="AY28" s="90" t="n">
        <f aca="false">IF(스프레드쇼크!$C$5="Y",IF(ISNUMBER(AF28),MIN(스프레드쇼크!$C$7,MAX(스프레드쇼크!$C$6,AF28/스프레드쇼크!$C$8)),1),1)</f>
        <v>0.954215358221806</v>
      </c>
      <c r="AZ28" s="94" t="n">
        <f aca="false">AN28*AX28*AY28</f>
        <v>1559.72719514457</v>
      </c>
      <c r="BA28" s="90" t="n">
        <f aca="false">IF(ISNUMBER(G28),AA28*G28,0)</f>
        <v>53.848863541</v>
      </c>
      <c r="BB28" s="90" t="n">
        <f aca="false">IF(ISNUMBER(G28),AA28,0)</f>
        <v>9.89087</v>
      </c>
      <c r="BC28" s="90" t="n">
        <f aca="false">IF(AND(Y28=0,ISNUMBER(AF28)),AA28*AF28,0)</f>
        <v>623.98531569</v>
      </c>
      <c r="BD28" s="90" t="n">
        <f aca="false">IF(AND(Y28=0,ISNUMBER(AF28)),AA28,0)</f>
        <v>9.89087</v>
      </c>
      <c r="BE28" s="90" t="n">
        <f aca="false">IF(ISNUMBER(H28),AA28*H28,0)</f>
        <v>16.345651762</v>
      </c>
      <c r="BF28" s="90" t="n">
        <f aca="false">IF(ISNUMBER(H28),AA28,0)</f>
        <v>9.89087</v>
      </c>
      <c r="BG28" s="90" t="n">
        <f aca="false">IF(AND(Y28=0,ISNUMBER(AF28),ISNUMBER(Z28)),AA28*Z28,0)</f>
        <v>16.345651762</v>
      </c>
      <c r="BH28" s="90" t="n">
        <f aca="false">IF(AND(Y28=0,ISNUMBER(AF28),ISNUMBER(Z28)),AA28*AT28*MAX(Z28-1,0),0)</f>
        <v>117.874028984954</v>
      </c>
      <c r="BI28" s="90" t="n">
        <f aca="false">IF(Y28=0,AA28,0)</f>
        <v>9.89087</v>
      </c>
    </row>
    <row r="29" customFormat="false" ht="15" hidden="false" customHeight="false" outlineLevel="0" collapsed="false">
      <c r="A29" s="83" t="str">
        <f aca="false">IFERROR(IF(INDEX(원자료_잔고!$A$1:$EZ$1500,설정!$L$5+ROW()-1,설정!$L$8)&amp;""="0","",INDEX(원자료_잔고!$A$1:$EZ$1500,설정!$L$5+ROW()-1,설정!$L$8)&amp;""),"")</f>
        <v>MS 4.868 07/12/29</v>
      </c>
      <c r="B29" s="83" t="str">
        <f aca="false">IFERROR(IF(INDEX(원자료_잔고!$A$1:$EZ$1500,설정!$L$5+ROW()-1,설정!$L$7)&amp;""="0","",INDEX(원자료_잔고!$A$1:$EZ$1500,설정!$L$5+ROW()-1,설정!$L$7)&amp;""),"")</f>
        <v>US61748UAY82</v>
      </c>
      <c r="C29" s="83" t="str">
        <f aca="false">IFERROR(IF(INDEX(원자료_잔고!$A$1:$EZ$1500,설정!$L$5+ROW()-1,설정!$L$9)&amp;""="0","",INDEX(원자료_잔고!$A$1:$EZ$1500,설정!$L$5+ROW()-1,설정!$L$9)&amp;""),"")</f>
        <v>28096</v>
      </c>
      <c r="D2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9" s="84" t="n">
        <f aca="false">IFERROR(IF(ISNUMBER(INDEX(원자료_잔고!$A$1:$EZ$1500,설정!$L$5+ROW()-1,설정!$L$11)),INDEX(원자료_잔고!$A$1:$EZ$1500,설정!$L$5+ROW()-1,설정!$L$11),""),"")</f>
        <v>5000000</v>
      </c>
      <c r="F29" s="85" t="n">
        <f aca="false">IFERROR(IF(ISNUMBER(INDEX(원자료_잔고!$A$1:$EZ$1500,설정!$L$5+ROW()-1,설정!$L$12)),INDEX(원자료_잔고!$A$1:$EZ$1500,설정!$L$5+ROW()-1,설정!$L$12),""),"")</f>
        <v>98.9087</v>
      </c>
      <c r="G29" s="85" t="n">
        <f aca="false">IFERROR(IF(ISNUMBER(INDEX(원자료_잔고!$A$1:$EZ$1500,설정!$L$5+ROW()-1,설정!$L$13)),INDEX(원자료_잔고!$A$1:$EZ$1500,설정!$L$5+ROW()-1,설정!$L$13),""),"")</f>
        <v>5.4443</v>
      </c>
      <c r="H29" s="85" t="n">
        <f aca="false">IFERROR(IF(ISNUMBER(INDEX(원자료_잔고!$A$1:$EZ$1500,설정!$L$5+ROW()-1,설정!$L$14)),INDEX(원자료_잔고!$A$1:$EZ$1500,설정!$L$5+ROW()-1,설정!$L$14),""),"")</f>
        <v>1.6526</v>
      </c>
      <c r="I29" s="86" t="n">
        <f aca="false">IFERROR(IF(ISNUMBER(INDEX(원자료_잔고!$A$1:$EZ$1500,설정!$L$5+ROW()-1,설정!$L$15)),INDEX(원자료_잔고!$A$1:$EZ$1500,설정!$L$5+ROW()-1,설정!$L$15),""),"")</f>
        <v>47311</v>
      </c>
      <c r="J29" s="85" t="n">
        <f aca="false">IFERROR(IF(ISNUMBER(INDEX(원자료_잔고!$A$1:$EZ$1500,설정!$L$5+ROW()-1,설정!$L$16)),INDEX(원자료_잔고!$A$1:$EZ$1500,설정!$L$5+ROW()-1,설정!$L$16),""),"")</f>
        <v>4.868</v>
      </c>
      <c r="K29" s="87" t="n">
        <f aca="false">IFERROR(IF(ISNUMBER(INDEX(원자료_잔고!$A$1:$EZ$1500,설정!$L$5+ROW()-1,설정!$L$17)),INDEX(원자료_잔고!$A$1:$EZ$1500,설정!$L$5+ROW()-1,설정!$L$17),""),"")</f>
        <v>1</v>
      </c>
      <c r="L29" s="84" t="n">
        <f aca="false">IFERROR(IF(ISNUMBER(INDEX(원자료_잔고!$A$1:$EZ$1500,설정!$L$5+ROW()-1,설정!$L$18)),INDEX(원자료_잔고!$A$1:$EZ$1500,설정!$L$5+ROW()-1,설정!$L$18),""),"")</f>
        <v>4945435</v>
      </c>
      <c r="M29" s="88" t="n">
        <f aca="false">IFERROR(IF(ISNUMBER(INDEX(원자료_잔고!$A$1:$EZ$1500,설정!$L$5+ROW()-1,설정!$L$19)),INDEX(원자료_잔고!$A$1:$EZ$1500,설정!$L$5+ROW()-1,설정!$L$19),""),"")</f>
        <v>-46765</v>
      </c>
      <c r="N29" s="83" t="str">
        <f aca="false">IFERROR(IF(INDEX(원자료_잔고!$A$1:$EZ$1500,설정!$L$5+ROW()-1,설정!$L$21)&amp;""="0","",INDEX(원자료_잔고!$A$1:$EZ$1500,설정!$L$5+ROW()-1,설정!$L$21)&amp;""),"")</f>
        <v>A-</v>
      </c>
      <c r="O29" s="83" t="str">
        <f aca="false">IFERROR(IF(INDEX(원자료_잔고!$A$1:$EZ$1500,설정!$L$5+ROW()-1,설정!$L$22)&amp;""="0","",INDEX(원자료_잔고!$A$1:$EZ$1500,설정!$L$5+ROW()-1,설정!$L$22)&amp;""),"")</f>
        <v/>
      </c>
      <c r="P29" s="83" t="str">
        <f aca="false">IFERROR(IF(INDEX(원자료_잔고!$A$1:$EZ$1500,설정!$L$5+ROW()-1,설정!$L$23)&amp;""="0","",INDEX(원자료_잔고!$A$1:$EZ$1500,설정!$L$5+ROW()-1,설정!$L$23)&amp;""),"")</f>
        <v>A+</v>
      </c>
      <c r="Q29" s="89" t="n">
        <f aca="false">IF(AND($A29&lt;&gt;"",ISNUMBER(E29)),IF(E29&gt;0,1,0),0)</f>
        <v>1</v>
      </c>
      <c r="R29" s="43" t="str">
        <f aca="false">IF(Q29=1,UPPER(LEFT($A29,FIND(" ",$A29&amp;" ")-1)),"")</f>
        <v>MS</v>
      </c>
      <c r="S29" s="89" t="n">
        <f aca="false">IF(Q29=1,IF(OR(ISNUMBER(SEARCH("Float",$A29)),ISNUMBER(SEARCH("FRN",$A29))),1,0),0)</f>
        <v>0</v>
      </c>
      <c r="T29" s="43" t="str">
        <f aca="false">IF(AND(Q29=1,ISNUMBER(I29)),TEXT(I29,"yyyymmdd")&amp;"|"&amp;IF(S29=1,"F",TEXT(J29,"0.000")),"")</f>
        <v>20290712|4.868</v>
      </c>
      <c r="U29" s="90" t="n">
        <f aca="false">IF(AND(Q29=1,ISNUMBER(I29)),(I29-설정!$C$4)/365.25,"")</f>
        <v>2.77891854893908</v>
      </c>
      <c r="V29" s="43" t="str">
        <f aca="false">IF(Q29&lt;&gt;1,"",IF(ISNUMBER(U29),IF(U29&lt;=1,"1년 이하",IF(U29&lt;=2,"1-2년",IF(U29&lt;=3,"2-3년",IF(U29&lt;=4,"3-4년",IF(U29&lt;=5,"4-5년",IF(U29&lt;=7,"5-7년",IF(U29&lt;=10,"7-10년",IF(U29&lt;=20,"10-20년","20년 이상")))))))),"미분류"))</f>
        <v>2-3년</v>
      </c>
      <c r="W29" s="43" t="str">
        <f aca="false">IF(Q29&lt;&gt;1,"",IF(AB29&lt;&gt;"",INDEX(시장분석!$C:$C,AB29),IF(K29=1,"USD","비USD")))</f>
        <v>USD</v>
      </c>
      <c r="X29" s="91" t="n">
        <f aca="false">IF(Q29=1,E29*K29/1000000,0)</f>
        <v>5</v>
      </c>
      <c r="Y29" s="89" t="n">
        <f aca="false">IF(R29="T",1,0)</f>
        <v>0</v>
      </c>
      <c r="Z29" s="92" t="n">
        <f aca="false">IF(Q29&lt;&gt;1,"",IF(AD29=1,IF(ISNUMBER(U29),MAX(U29,0),H29),H29))</f>
        <v>1.6526</v>
      </c>
      <c r="AA29" s="91" t="n">
        <f aca="false">IF(Q29=1,IF(ISNUMBER(L29),L29,0)*K29/1000000,0)</f>
        <v>4.945435</v>
      </c>
      <c r="AB29" s="89" t="n">
        <f aca="false">IF(Q29&lt;&gt;1,"",IFERROR(MATCH(VLOOKUP(B29,매핑!$H$4:$I$15,2,0),시장분석!$A$2:$A$601,0)+1,IFERROR(MATCH(R29&amp;"|"&amp;T29,시장분석!$V$2:$V$601,0)+1,IF(COUNTIF(시장분석!$U$2:$U$601,T29)=1,MATCH(T29,시장분석!$U$2:$U$601,0)+1,""))))</f>
        <v>103</v>
      </c>
      <c r="AC29" s="89" t="n">
        <f aca="false">IF(Q29&lt;&gt;1,0,IF(OR(설정!$C$5="전체",AND(설정!$C$5="선택펀드",IFERROR(COUNTIFS(설정!$F$16:$F$36,C29,설정!$G$16:$G$36,"Y")+COUNTIFS(설정!$F$16:$F$36,VALUE(C29),설정!$G$16:$G$36,"Y"),0)&gt;0),C29&amp;""=설정!$C$5&amp;""),1,0))</f>
        <v>1</v>
      </c>
      <c r="AD29" s="89" t="n">
        <f aca="false">IF(Q29&lt;&gt;1,0,IF(OR(S29=1,IF(AB29="",FALSE(),INDEX(시장분석!$R:$R,AB29)=1)),1,0))</f>
        <v>0</v>
      </c>
      <c r="AE29" s="43" t="str">
        <f aca="false">IF(AB29="","",INDEX(시장분석!$A:$A,AB29))</f>
        <v>MS 4.868 07/12/29</v>
      </c>
      <c r="AF29" s="93" t="n">
        <f aca="false">IF(AB29="","",IF(ISNUMBER(IF(AB29="","",INDEX(시장분석!$E:$E,AB29))),IF(AB29="","",INDEX(시장분석!$E:$E,AB29)),""))</f>
        <v>63.087</v>
      </c>
      <c r="AG29" s="43" t="str">
        <f aca="false">IF(Q29&lt;&gt;1,"",IF(AB29&lt;&gt;"",IF(AB29="","",INDEX(시장분석!$L:$L,AB29)),IFERROR(IF(VLOOKUP(R29,매핑!$A$4:$E$92,5,0)="","미분류",VLOOKUP(R29,매핑!$A$4:$E$92,5,0)),"미분류")))</f>
        <v>금융기관</v>
      </c>
      <c r="AH29" s="43" t="str">
        <f aca="false">IF(Q29&lt;&gt;1,"",IF(AB29&lt;&gt;"",IF(AB29="","",INDEX(시장분석!$N:$N,AB29)),IFERROR(IF(VLOOKUP(R29,매핑!$A$4:$E$92,4,0)="","미분류",VLOOKUP(R29,매핑!$A$4:$E$92,4,0)),"미분류")))</f>
        <v>미국</v>
      </c>
      <c r="AI29" s="43" t="str">
        <f aca="false">IF(Q29&lt;&gt;1,"",IFERROR(IF(VLOOKUP(R29,매핑!$A$4:$E$92,3,0)="","미분류",VLOOKUP(R29,매핑!$A$4:$E$92,3,0)),IF(AB29&lt;&gt;"",IF(AB29="","",INDEX(시장분석!$W:$W,AB29)),"미분류")))</f>
        <v>미국</v>
      </c>
      <c r="AJ29" s="43" t="str">
        <f aca="false">IF(Q29&lt;&gt;1,"",IFERROR(VLOOKUP(IF(N29&lt;&gt;"",N29,IF(P29&lt;&gt;"",P29,O29)),설정!$A$15:$D$47,2,0),""))</f>
        <v>A-</v>
      </c>
      <c r="AK29" s="43" t="str">
        <f aca="false">IF(Q29&lt;&gt;1,"",IF(AJ29="","무등급",IFERROR(VLOOKUP(AJ29,설정!$A$15:$D$47,3,0),"무등급")))</f>
        <v>A</v>
      </c>
      <c r="AL29" s="89" t="n">
        <f aca="false">IF(AJ29="",99,IFERROR(VLOOKUP(AJ29,설정!$A$15:$D$47,4,0),99))</f>
        <v>7</v>
      </c>
      <c r="AM29" s="94" t="n">
        <f aca="false">IF(ISNUMBER(H29),AA29*1000000*H29/10000,0)</f>
        <v>817.2825881</v>
      </c>
      <c r="AN29" s="94" t="n">
        <f aca="false">IF(OR(Y29=1,NOT(ISNUMBER(Z29))),0,AA29*1000000*Z29/10000)</f>
        <v>817.2825881</v>
      </c>
      <c r="AO29" s="94" t="n">
        <f aca="false">IF(ISNUMBER(G29),AA29*1000000*G29/100,0)</f>
        <v>269244.317705</v>
      </c>
      <c r="AP29" s="94" t="n">
        <f aca="false">IF(ISNUMBER(M29),M29*K29,0)</f>
        <v>-46765</v>
      </c>
      <c r="AQ29" s="95" t="n">
        <f aca="false">IF(AB29="","",INDEX(시장분석!$AK:$AK,AB29))</f>
        <v>0.325165807338557</v>
      </c>
      <c r="AR29" s="43" t="str">
        <f aca="false">IF(AB29="","-",IF(AB29="","",INDEX(시장분석!$AL:$AL,AB29)))</f>
        <v>Fair</v>
      </c>
      <c r="AS29" s="96" t="n">
        <f aca="false">IF(AB29="","",INDEX(시장분석!$AJ:$AJ,AB29))</f>
        <v>4.44735161098841</v>
      </c>
      <c r="AT29" s="93" t="n">
        <f aca="false">IF(AB29="",0,IF(AB29="","",INDEX(시장분석!$AN:$AN,AB29)))</f>
        <v>18.2615049324969</v>
      </c>
      <c r="AU29" s="94" t="n">
        <f aca="false">IF(ISNUMBER(Z29),AT29/10000*MAX(Z29-1,0)*AA29*1000000,0)</f>
        <v>5893.70144924769</v>
      </c>
      <c r="AV29" s="94" t="n">
        <f aca="false">AO29+AU29</f>
        <v>275138.019154248</v>
      </c>
      <c r="AW29" s="43" t="str">
        <f aca="false">IF(Q29&lt;&gt;1,"",TRIM(IF(AD29=1,"FRN ","")&amp;IF(AND(AL29&gt;=10,AL29&lt;99),"BBB0미만 ","")&amp;IF(AJ29="","등급없음 ","")&amp;IF(K29&lt;&gt;1,"비USD ","")&amp;IF(AND(AB29="",Y29=0),"시장데이터없음 ","")&amp;IF(AND(ISNUMBER(U29),U29&lt;0),"만기경과 ","")))</f>
        <v/>
      </c>
      <c r="AX29" s="90" t="n">
        <f aca="false">IF(Q29&lt;&gt;1,1,IF(스프레드쇼크!$C$4="Y",INDEX(스프레드쇼크!$B$12:$L$16,IFERROR(MATCH(AH29,스프레드쇼크!$A$12:$A$16,0),MATCH("목록외",스프레드쇼크!$A$12:$A$16,0)),IFERROR(MATCH(AG29,스프레드쇼크!$B$11:$L$11,0),MATCH("목록외",스프레드쇼크!$B$11:$L$11,0))),1))</f>
        <v>1</v>
      </c>
      <c r="AY29" s="90" t="n">
        <f aca="false">IF(스프레드쇼크!$C$5="Y",IF(ISNUMBER(AF29),MIN(스프레드쇼크!$C$7,MAX(스프레드쇼크!$C$6,AF29/스프레드쇼크!$C$8)),1),1)</f>
        <v>0.954215358221806</v>
      </c>
      <c r="AZ29" s="94" t="n">
        <f aca="false">AN29*AX29*AY29</f>
        <v>779.863597572286</v>
      </c>
      <c r="BA29" s="90" t="n">
        <f aca="false">IF(ISNUMBER(G29),AA29*G29,0)</f>
        <v>26.9244317705</v>
      </c>
      <c r="BB29" s="90" t="n">
        <f aca="false">IF(ISNUMBER(G29),AA29,0)</f>
        <v>4.945435</v>
      </c>
      <c r="BC29" s="90" t="n">
        <f aca="false">IF(AND(Y29=0,ISNUMBER(AF29)),AA29*AF29,0)</f>
        <v>311.992657845</v>
      </c>
      <c r="BD29" s="90" t="n">
        <f aca="false">IF(AND(Y29=0,ISNUMBER(AF29)),AA29,0)</f>
        <v>4.945435</v>
      </c>
      <c r="BE29" s="90" t="n">
        <f aca="false">IF(ISNUMBER(H29),AA29*H29,0)</f>
        <v>8.172825881</v>
      </c>
      <c r="BF29" s="90" t="n">
        <f aca="false">IF(ISNUMBER(H29),AA29,0)</f>
        <v>4.945435</v>
      </c>
      <c r="BG29" s="90" t="n">
        <f aca="false">IF(AND(Y29=0,ISNUMBER(AF29),ISNUMBER(Z29)),AA29*Z29,0)</f>
        <v>8.172825881</v>
      </c>
      <c r="BH29" s="90" t="n">
        <f aca="false">IF(AND(Y29=0,ISNUMBER(AF29),ISNUMBER(Z29)),AA29*AT29*MAX(Z29-1,0),0)</f>
        <v>58.9370144924769</v>
      </c>
      <c r="BI29" s="90" t="n">
        <f aca="false">IF(Y29=0,AA29,0)</f>
        <v>4.945435</v>
      </c>
    </row>
    <row r="30" customFormat="false" ht="15" hidden="false" customHeight="false" outlineLevel="0" collapsed="false">
      <c r="A30" s="83" t="str">
        <f aca="false">IFERROR(IF(INDEX(원자료_잔고!$A$1:$EZ$1500,설정!$L$5+ROW()-1,설정!$L$8)&amp;""="0","",INDEX(원자료_잔고!$A$1:$EZ$1500,설정!$L$5+ROW()-1,설정!$L$8)&amp;""),"")</f>
        <v>MS 5.17 07/14/32</v>
      </c>
      <c r="B30" s="83" t="str">
        <f aca="false">IFERROR(IF(INDEX(원자료_잔고!$A$1:$EZ$1500,설정!$L$5+ROW()-1,설정!$L$7)&amp;""="0","",INDEX(원자료_잔고!$A$1:$EZ$1500,설정!$L$5+ROW()-1,설정!$L$7)&amp;""),"")</f>
        <v>US61748UBA97</v>
      </c>
      <c r="C30" s="83" t="str">
        <f aca="false">IFERROR(IF(INDEX(원자료_잔고!$A$1:$EZ$1500,설정!$L$5+ROW()-1,설정!$L$9)&amp;""="0","",INDEX(원자료_잔고!$A$1:$EZ$1500,설정!$L$5+ROW()-1,설정!$L$9)&amp;""),"")</f>
        <v>28096</v>
      </c>
      <c r="D3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0" s="84" t="n">
        <f aca="false">IFERROR(IF(ISNUMBER(INDEX(원자료_잔고!$A$1:$EZ$1500,설정!$L$5+ROW()-1,설정!$L$11)),INDEX(원자료_잔고!$A$1:$EZ$1500,설정!$L$5+ROW()-1,설정!$L$11),""),"")</f>
        <v>5000000</v>
      </c>
      <c r="F30" s="85" t="n">
        <f aca="false">IFERROR(IF(ISNUMBER(INDEX(원자료_잔고!$A$1:$EZ$1500,설정!$L$5+ROW()-1,설정!$L$12)),INDEX(원자료_잔고!$A$1:$EZ$1500,설정!$L$5+ROW()-1,설정!$L$12),""),"")</f>
        <v>96.8567</v>
      </c>
      <c r="G30" s="85" t="n">
        <f aca="false">IFERROR(IF(ISNUMBER(INDEX(원자료_잔고!$A$1:$EZ$1500,설정!$L$5+ROW()-1,설정!$L$13)),INDEX(원자료_잔고!$A$1:$EZ$1500,설정!$L$5+ROW()-1,설정!$L$13),""),"")</f>
        <v>5.8957</v>
      </c>
      <c r="H30" s="85" t="n">
        <f aca="false">IFERROR(IF(ISNUMBER(INDEX(원자료_잔고!$A$1:$EZ$1500,설정!$L$5+ROW()-1,설정!$L$14)),INDEX(원자료_잔고!$A$1:$EZ$1500,설정!$L$5+ROW()-1,설정!$L$14),""),"")</f>
        <v>4.0895</v>
      </c>
      <c r="I30" s="86" t="n">
        <f aca="false">IFERROR(IF(ISNUMBER(INDEX(원자료_잔고!$A$1:$EZ$1500,설정!$L$5+ROW()-1,설정!$L$15)),INDEX(원자료_잔고!$A$1:$EZ$1500,설정!$L$5+ROW()-1,설정!$L$15),""),"")</f>
        <v>48409</v>
      </c>
      <c r="J30" s="85" t="n">
        <f aca="false">IFERROR(IF(ISNUMBER(INDEX(원자료_잔고!$A$1:$EZ$1500,설정!$L$5+ROW()-1,설정!$L$16)),INDEX(원자료_잔고!$A$1:$EZ$1500,설정!$L$5+ROW()-1,설정!$L$16),""),"")</f>
        <v>5.17</v>
      </c>
      <c r="K30" s="87" t="n">
        <f aca="false">IFERROR(IF(ISNUMBER(INDEX(원자료_잔고!$A$1:$EZ$1500,설정!$L$5+ROW()-1,설정!$L$17)),INDEX(원자료_잔고!$A$1:$EZ$1500,설정!$L$5+ROW()-1,설정!$L$17),""),"")</f>
        <v>1</v>
      </c>
      <c r="L30" s="84" t="n">
        <f aca="false">IFERROR(IF(ISNUMBER(INDEX(원자료_잔고!$A$1:$EZ$1500,설정!$L$5+ROW()-1,설정!$L$18)),INDEX(원자료_잔고!$A$1:$EZ$1500,설정!$L$5+ROW()-1,설정!$L$18),""),"")</f>
        <v>4842835</v>
      </c>
      <c r="M30" s="88" t="n">
        <f aca="false">IFERROR(IF(ISNUMBER(INDEX(원자료_잔고!$A$1:$EZ$1500,설정!$L$5+ROW()-1,설정!$L$19)),INDEX(원자료_잔고!$A$1:$EZ$1500,설정!$L$5+ROW()-1,설정!$L$19),""),"")</f>
        <v>-146215</v>
      </c>
      <c r="N30" s="83" t="str">
        <f aca="false">IFERROR(IF(INDEX(원자료_잔고!$A$1:$EZ$1500,설정!$L$5+ROW()-1,설정!$L$21)&amp;""="0","",INDEX(원자료_잔고!$A$1:$EZ$1500,설정!$L$5+ROW()-1,설정!$L$21)&amp;""),"")</f>
        <v>A-</v>
      </c>
      <c r="O30" s="83" t="str">
        <f aca="false">IFERROR(IF(INDEX(원자료_잔고!$A$1:$EZ$1500,설정!$L$5+ROW()-1,설정!$L$22)&amp;""="0","",INDEX(원자료_잔고!$A$1:$EZ$1500,설정!$L$5+ROW()-1,설정!$L$22)&amp;""),"")</f>
        <v/>
      </c>
      <c r="P30" s="83" t="str">
        <f aca="false">IFERROR(IF(INDEX(원자료_잔고!$A$1:$EZ$1500,설정!$L$5+ROW()-1,설정!$L$23)&amp;""="0","",INDEX(원자료_잔고!$A$1:$EZ$1500,설정!$L$5+ROW()-1,설정!$L$23)&amp;""),"")</f>
        <v>A+</v>
      </c>
      <c r="Q30" s="89" t="n">
        <f aca="false">IF(AND($A30&lt;&gt;"",ISNUMBER(E30)),IF(E30&gt;0,1,0),0)</f>
        <v>1</v>
      </c>
      <c r="R30" s="43" t="str">
        <f aca="false">IF(Q30=1,UPPER(LEFT($A30,FIND(" ",$A30&amp;" ")-1)),"")</f>
        <v>MS</v>
      </c>
      <c r="S30" s="89" t="n">
        <f aca="false">IF(Q30=1,IF(OR(ISNUMBER(SEARCH("Float",$A30)),ISNUMBER(SEARCH("FRN",$A30))),1,0),0)</f>
        <v>0</v>
      </c>
      <c r="T30" s="43" t="str">
        <f aca="false">IF(AND(Q30=1,ISNUMBER(I30)),TEXT(I30,"yyyymmdd")&amp;"|"&amp;IF(S30=1,"F",TEXT(J30,"0.000")),"")</f>
        <v>20320714|5.170</v>
      </c>
      <c r="U30" s="90" t="n">
        <f aca="false">IF(AND(Q30=1,ISNUMBER(I30)),(I30-설정!$C$4)/365.25,"")</f>
        <v>5.78507871321013</v>
      </c>
      <c r="V30" s="43" t="str">
        <f aca="false">IF(Q30&lt;&gt;1,"",IF(ISNUMBER(U30),IF(U30&lt;=1,"1년 이하",IF(U30&lt;=2,"1-2년",IF(U30&lt;=3,"2-3년",IF(U30&lt;=4,"3-4년",IF(U30&lt;=5,"4-5년",IF(U30&lt;=7,"5-7년",IF(U30&lt;=10,"7-10년",IF(U30&lt;=20,"10-20년","20년 이상")))))))),"미분류"))</f>
        <v>5-7년</v>
      </c>
      <c r="W30" s="43" t="str">
        <f aca="false">IF(Q30&lt;&gt;1,"",IF(AB30&lt;&gt;"",INDEX(시장분석!$C:$C,AB30),IF(K30=1,"USD","비USD")))</f>
        <v>USD</v>
      </c>
      <c r="X30" s="91" t="n">
        <f aca="false">IF(Q30=1,E30*K30/1000000,0)</f>
        <v>5</v>
      </c>
      <c r="Y30" s="89" t="n">
        <f aca="false">IF(R30="T",1,0)</f>
        <v>0</v>
      </c>
      <c r="Z30" s="92" t="n">
        <f aca="false">IF(Q30&lt;&gt;1,"",IF(AD30=1,IF(ISNUMBER(U30),MAX(U30,0),H30),H30))</f>
        <v>4.0895</v>
      </c>
      <c r="AA30" s="91" t="n">
        <f aca="false">IF(Q30=1,IF(ISNUMBER(L30),L30,0)*K30/1000000,0)</f>
        <v>4.842835</v>
      </c>
      <c r="AB30" s="89" t="str">
        <f aca="false">IF(Q30&lt;&gt;1,"",IFERROR(MATCH(VLOOKUP(B30,매핑!$H$4:$I$15,2,0),시장분석!$A$2:$A$601,0)+1,IFERROR(MATCH(R30&amp;"|"&amp;T30,시장분석!$V$2:$V$601,0)+1,IF(COUNTIF(시장분석!$U$2:$U$601,T30)=1,MATCH(T30,시장분석!$U$2:$U$601,0)+1,""))))</f>
        <v/>
      </c>
      <c r="AC30" s="89" t="n">
        <f aca="false">IF(Q30&lt;&gt;1,0,IF(OR(설정!$C$5="전체",AND(설정!$C$5="선택펀드",IFERROR(COUNTIFS(설정!$F$16:$F$36,C30,설정!$G$16:$G$36,"Y")+COUNTIFS(설정!$F$16:$F$36,VALUE(C30),설정!$G$16:$G$36,"Y"),0)&gt;0),C30&amp;""=설정!$C$5&amp;""),1,0))</f>
        <v>1</v>
      </c>
      <c r="AD30" s="89" t="n">
        <f aca="false">IF(Q30&lt;&gt;1,0,IF(OR(S30=1,IF(AB30="",FALSE(),INDEX(시장분석!$R:$R,AB30)=1)),1,0))</f>
        <v>0</v>
      </c>
      <c r="AE30" s="43" t="str">
        <f aca="false">IF(AB30="","",INDEX(시장분석!$A:$A,AB30))</f>
        <v/>
      </c>
      <c r="AF30" s="93" t="str">
        <f aca="false">IF(AB30="","",IF(ISNUMBER(IF(AB30="","",INDEX(시장분석!$E:$E,AB30))),IF(AB30="","",INDEX(시장분석!$E:$E,AB30)),""))</f>
        <v/>
      </c>
      <c r="AG30" s="43" t="str">
        <f aca="false">IF(Q30&lt;&gt;1,"",IF(AB30&lt;&gt;"",IF(AB30="","",INDEX(시장분석!$L:$L,AB30)),IFERROR(IF(VLOOKUP(R30,매핑!$A$4:$E$92,5,0)="","미분류",VLOOKUP(R30,매핑!$A$4:$E$92,5,0)),"미분류")))</f>
        <v>금융기관</v>
      </c>
      <c r="AH30" s="43" t="str">
        <f aca="false">IF(Q30&lt;&gt;1,"",IF(AB30&lt;&gt;"",IF(AB30="","",INDEX(시장분석!$N:$N,AB30)),IFERROR(IF(VLOOKUP(R30,매핑!$A$4:$E$92,4,0)="","미분류",VLOOKUP(R30,매핑!$A$4:$E$92,4,0)),"미분류")))</f>
        <v>미국</v>
      </c>
      <c r="AI30" s="43" t="str">
        <f aca="false">IF(Q30&lt;&gt;1,"",IFERROR(IF(VLOOKUP(R30,매핑!$A$4:$E$92,3,0)="","미분류",VLOOKUP(R30,매핑!$A$4:$E$92,3,0)),IF(AB30&lt;&gt;"",IF(AB30="","",INDEX(시장분석!$W:$W,AB30)),"미분류")))</f>
        <v>미국</v>
      </c>
      <c r="AJ30" s="43" t="str">
        <f aca="false">IF(Q30&lt;&gt;1,"",IFERROR(VLOOKUP(IF(N30&lt;&gt;"",N30,IF(P30&lt;&gt;"",P30,O30)),설정!$A$15:$D$47,2,0),""))</f>
        <v>A-</v>
      </c>
      <c r="AK30" s="43" t="str">
        <f aca="false">IF(Q30&lt;&gt;1,"",IF(AJ30="","무등급",IFERROR(VLOOKUP(AJ30,설정!$A$15:$D$47,3,0),"무등급")))</f>
        <v>A</v>
      </c>
      <c r="AL30" s="89" t="n">
        <f aca="false">IF(AJ30="",99,IFERROR(VLOOKUP(AJ30,설정!$A$15:$D$47,4,0),99))</f>
        <v>7</v>
      </c>
      <c r="AM30" s="94" t="n">
        <f aca="false">IF(ISNUMBER(H30),AA30*1000000*H30/10000,0)</f>
        <v>1980.47737325</v>
      </c>
      <c r="AN30" s="94" t="n">
        <f aca="false">IF(OR(Y30=1,NOT(ISNUMBER(Z30))),0,AA30*1000000*Z30/10000)</f>
        <v>1980.47737325</v>
      </c>
      <c r="AO30" s="94" t="n">
        <f aca="false">IF(ISNUMBER(G30),AA30*1000000*G30/100,0)</f>
        <v>285519.023095</v>
      </c>
      <c r="AP30" s="94" t="n">
        <f aca="false">IF(ISNUMBER(M30),M30*K30,0)</f>
        <v>-146215</v>
      </c>
      <c r="AQ30" s="95" t="str">
        <f aca="false">IF(AB30="","",INDEX(시장분석!$AK:$AK,AB30))</f>
        <v/>
      </c>
      <c r="AR30" s="43" t="str">
        <f aca="false">IF(AB30="","-",IF(AB30="","",INDEX(시장분석!$AL:$AL,AB30)))</f>
        <v>-</v>
      </c>
      <c r="AS30" s="96" t="str">
        <f aca="false">IF(AB30="","",INDEX(시장분석!$AJ:$AJ,AB30))</f>
        <v/>
      </c>
      <c r="AT30" s="93" t="n">
        <f aca="false">IF(AB30="",0,IF(AB30="","",INDEX(시장분석!$AN:$AN,AB30)))</f>
        <v>0</v>
      </c>
      <c r="AU30" s="94" t="n">
        <f aca="false">IF(ISNUMBER(Z30),AT30/10000*MAX(Z30-1,0)*AA30*1000000,0)</f>
        <v>0</v>
      </c>
      <c r="AV30" s="94" t="n">
        <f aca="false">AO30+AU30</f>
        <v>285519.023095</v>
      </c>
      <c r="AW30" s="43" t="str">
        <f aca="false">IF(Q30&lt;&gt;1,"",TRIM(IF(AD30=1,"FRN ","")&amp;IF(AND(AL30&gt;=10,AL30&lt;99),"BBB0미만 ","")&amp;IF(AJ30="","등급없음 ","")&amp;IF(K30&lt;&gt;1,"비USD ","")&amp;IF(AND(AB30="",Y30=0),"시장데이터없음 ","")&amp;IF(AND(ISNUMBER(U30),U30&lt;0),"만기경과 ","")))</f>
        <v>시장데이터없음</v>
      </c>
      <c r="AX30" s="90" t="n">
        <f aca="false">IF(Q30&lt;&gt;1,1,IF(스프레드쇼크!$C$4="Y",INDEX(스프레드쇼크!$B$12:$L$16,IFERROR(MATCH(AH30,스프레드쇼크!$A$12:$A$16,0),MATCH("목록외",스프레드쇼크!$A$12:$A$16,0)),IFERROR(MATCH(AG30,스프레드쇼크!$B$11:$L$11,0),MATCH("목록외",스프레드쇼크!$B$11:$L$11,0))),1))</f>
        <v>1</v>
      </c>
      <c r="AY30" s="90" t="n">
        <f aca="false">IF(스프레드쇼크!$C$5="Y",IF(ISNUMBER(AF30),MIN(스프레드쇼크!$C$7,MAX(스프레드쇼크!$C$6,AF30/스프레드쇼크!$C$8)),1),1)</f>
        <v>1</v>
      </c>
      <c r="AZ30" s="94" t="n">
        <f aca="false">AN30*AX30*AY30</f>
        <v>1980.47737325</v>
      </c>
      <c r="BA30" s="90" t="n">
        <f aca="false">IF(ISNUMBER(G30),AA30*G30,0)</f>
        <v>28.5519023095</v>
      </c>
      <c r="BB30" s="90" t="n">
        <f aca="false">IF(ISNUMBER(G30),AA30,0)</f>
        <v>4.842835</v>
      </c>
      <c r="BC30" s="90" t="n">
        <f aca="false">IF(AND(Y30=0,ISNUMBER(AF30)),AA30*AF30,0)</f>
        <v>0</v>
      </c>
      <c r="BD30" s="90" t="n">
        <f aca="false">IF(AND(Y30=0,ISNUMBER(AF30)),AA30,0)</f>
        <v>0</v>
      </c>
      <c r="BE30" s="90" t="n">
        <f aca="false">IF(ISNUMBER(H30),AA30*H30,0)</f>
        <v>19.8047737325</v>
      </c>
      <c r="BF30" s="90" t="n">
        <f aca="false">IF(ISNUMBER(H30),AA30,0)</f>
        <v>4.842835</v>
      </c>
      <c r="BG30" s="90" t="n">
        <f aca="false">IF(AND(Y30=0,ISNUMBER(AF30),ISNUMBER(Z30)),AA30*Z30,0)</f>
        <v>0</v>
      </c>
      <c r="BH30" s="90" t="n">
        <f aca="false">IF(AND(Y30=0,ISNUMBER(AF30),ISNUMBER(Z30)),AA30*AT30*MAX(Z30-1,0),0)</f>
        <v>0</v>
      </c>
      <c r="BI30" s="90" t="n">
        <f aca="false">IF(Y30=0,AA30,0)</f>
        <v>4.842835</v>
      </c>
    </row>
    <row r="31" customFormat="false" ht="15" hidden="false" customHeight="false" outlineLevel="0" collapsed="false">
      <c r="A31" s="83" t="str">
        <f aca="false">IFERROR(IF(INDEX(원자료_잔고!$A$1:$EZ$1500,설정!$L$5+ROW()-1,설정!$L$8)&amp;""="0","",INDEX(원자료_잔고!$A$1:$EZ$1500,설정!$L$5+ROW()-1,설정!$L$8)&amp;""),"")</f>
        <v>NOMURA 2.172 07/14/28</v>
      </c>
      <c r="B31" s="83" t="str">
        <f aca="false">IFERROR(IF(INDEX(원자료_잔고!$A$1:$EZ$1500,설정!$L$5+ROW()-1,설정!$L$7)&amp;""="0","",INDEX(원자료_잔고!$A$1:$EZ$1500,설정!$L$5+ROW()-1,설정!$L$7)&amp;""),"")</f>
        <v>US65535HAY53</v>
      </c>
      <c r="C31" s="83" t="str">
        <f aca="false">IFERROR(IF(INDEX(원자료_잔고!$A$1:$EZ$1500,설정!$L$5+ROW()-1,설정!$L$9)&amp;""="0","",INDEX(원자료_잔고!$A$1:$EZ$1500,설정!$L$5+ROW()-1,설정!$L$9)&amp;""),"")</f>
        <v>28096</v>
      </c>
      <c r="D3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1" s="84" t="n">
        <f aca="false">IFERROR(IF(ISNUMBER(INDEX(원자료_잔고!$A$1:$EZ$1500,설정!$L$5+ROW()-1,설정!$L$11)),INDEX(원자료_잔고!$A$1:$EZ$1500,설정!$L$5+ROW()-1,설정!$L$11),""),"")</f>
        <v>28090000</v>
      </c>
      <c r="F31" s="85" t="n">
        <f aca="false">IFERROR(IF(ISNUMBER(INDEX(원자료_잔고!$A$1:$EZ$1500,설정!$L$5+ROW()-1,설정!$L$12)),INDEX(원자료_잔고!$A$1:$EZ$1500,설정!$L$5+ROW()-1,설정!$L$12),""),"")</f>
        <v>94.4641</v>
      </c>
      <c r="G31" s="85" t="n">
        <f aca="false">IFERROR(IF(ISNUMBER(INDEX(원자료_잔고!$A$1:$EZ$1500,설정!$L$5+ROW()-1,설정!$L$13)),INDEX(원자료_잔고!$A$1:$EZ$1500,설정!$L$5+ROW()-1,설정!$L$13),""),"")</f>
        <v>5.459</v>
      </c>
      <c r="H31" s="85" t="n">
        <f aca="false">IFERROR(IF(ISNUMBER(INDEX(원자료_잔고!$A$1:$EZ$1500,설정!$L$5+ROW()-1,설정!$L$14)),INDEX(원자료_잔고!$A$1:$EZ$1500,설정!$L$5+ROW()-1,설정!$L$14),""),"")</f>
        <v>1.6941</v>
      </c>
      <c r="I31" s="86" t="n">
        <f aca="false">IFERROR(IF(ISNUMBER(INDEX(원자료_잔고!$A$1:$EZ$1500,설정!$L$5+ROW()-1,설정!$L$15)),INDEX(원자료_잔고!$A$1:$EZ$1500,설정!$L$5+ROW()-1,설정!$L$15),""),"")</f>
        <v>46948</v>
      </c>
      <c r="J31" s="85" t="n">
        <f aca="false">IFERROR(IF(ISNUMBER(INDEX(원자료_잔고!$A$1:$EZ$1500,설정!$L$5+ROW()-1,설정!$L$16)),INDEX(원자료_잔고!$A$1:$EZ$1500,설정!$L$5+ROW()-1,설정!$L$16),""),"")</f>
        <v>2.172</v>
      </c>
      <c r="K31" s="87" t="n">
        <f aca="false">IFERROR(IF(ISNUMBER(INDEX(원자료_잔고!$A$1:$EZ$1500,설정!$L$5+ROW()-1,설정!$L$17)),INDEX(원자료_잔고!$A$1:$EZ$1500,설정!$L$5+ROW()-1,설정!$L$17),""),"")</f>
        <v>1</v>
      </c>
      <c r="L31" s="84" t="n">
        <f aca="false">IFERROR(IF(ISNUMBER(INDEX(원자료_잔고!$A$1:$EZ$1500,설정!$L$5+ROW()-1,설정!$L$18)),INDEX(원자료_잔고!$A$1:$EZ$1500,설정!$L$5+ROW()-1,설정!$L$18),""),"")</f>
        <v>26534965.69</v>
      </c>
      <c r="M31" s="88" t="n">
        <f aca="false">IFERROR(IF(ISNUMBER(INDEX(원자료_잔고!$A$1:$EZ$1500,설정!$L$5+ROW()-1,설정!$L$19)),INDEX(원자료_잔고!$A$1:$EZ$1500,설정!$L$5+ROW()-1,설정!$L$19),""),"")</f>
        <v>-209130.05</v>
      </c>
      <c r="N31" s="83" t="str">
        <f aca="false">IFERROR(IF(INDEX(원자료_잔고!$A$1:$EZ$1500,설정!$L$5+ROW()-1,설정!$L$21)&amp;""="0","",INDEX(원자료_잔고!$A$1:$EZ$1500,설정!$L$5+ROW()-1,설정!$L$21)&amp;""),"")</f>
        <v>BBB+</v>
      </c>
      <c r="O31" s="83" t="str">
        <f aca="false">IFERROR(IF(INDEX(원자료_잔고!$A$1:$EZ$1500,설정!$L$5+ROW()-1,설정!$L$22)&amp;""="0","",INDEX(원자료_잔고!$A$1:$EZ$1500,설정!$L$5+ROW()-1,설정!$L$22)&amp;""),"")</f>
        <v/>
      </c>
      <c r="P31" s="83" t="str">
        <f aca="false">IFERROR(IF(INDEX(원자료_잔고!$A$1:$EZ$1500,설정!$L$5+ROW()-1,설정!$L$23)&amp;""="0","",INDEX(원자료_잔고!$A$1:$EZ$1500,설정!$L$5+ROW()-1,설정!$L$23)&amp;""),"")</f>
        <v>A-</v>
      </c>
      <c r="Q31" s="89" t="n">
        <f aca="false">IF(AND($A31&lt;&gt;"",ISNUMBER(E31)),IF(E31&gt;0,1,0),0)</f>
        <v>1</v>
      </c>
      <c r="R31" s="43" t="str">
        <f aca="false">IF(Q31=1,UPPER(LEFT($A31,FIND(" ",$A31&amp;" ")-1)),"")</f>
        <v>NOMURA</v>
      </c>
      <c r="S31" s="89" t="n">
        <f aca="false">IF(Q31=1,IF(OR(ISNUMBER(SEARCH("Float",$A31)),ISNUMBER(SEARCH("FRN",$A31))),1,0),0)</f>
        <v>0</v>
      </c>
      <c r="T31" s="43" t="str">
        <f aca="false">IF(AND(Q31=1,ISNUMBER(I31)),TEXT(I31,"yyyymmdd")&amp;"|"&amp;IF(S31=1,"F",TEXT(J31,"0.000")),"")</f>
        <v>20280714|2.172</v>
      </c>
      <c r="U31" s="90" t="n">
        <f aca="false">IF(AND(Q31=1,ISNUMBER(I31)),(I31-설정!$C$4)/365.25,"")</f>
        <v>1.78507871321013</v>
      </c>
      <c r="V31" s="43" t="str">
        <f aca="false">IF(Q31&lt;&gt;1,"",IF(ISNUMBER(U31),IF(U31&lt;=1,"1년 이하",IF(U31&lt;=2,"1-2년",IF(U31&lt;=3,"2-3년",IF(U31&lt;=4,"3-4년",IF(U31&lt;=5,"4-5년",IF(U31&lt;=7,"5-7년",IF(U31&lt;=10,"7-10년",IF(U31&lt;=20,"10-20년","20년 이상")))))))),"미분류"))</f>
        <v>1-2년</v>
      </c>
      <c r="W31" s="43" t="str">
        <f aca="false">IF(Q31&lt;&gt;1,"",IF(AB31&lt;&gt;"",INDEX(시장분석!$C:$C,AB31),IF(K31=1,"USD","비USD")))</f>
        <v>USD</v>
      </c>
      <c r="X31" s="91" t="n">
        <f aca="false">IF(Q31=1,E31*K31/1000000,0)</f>
        <v>28.09</v>
      </c>
      <c r="Y31" s="89" t="n">
        <f aca="false">IF(R31="T",1,0)</f>
        <v>0</v>
      </c>
      <c r="Z31" s="92" t="n">
        <f aca="false">IF(Q31&lt;&gt;1,"",IF(AD31=1,IF(ISNUMBER(U31),MAX(U31,0),H31),H31))</f>
        <v>1.6941</v>
      </c>
      <c r="AA31" s="91" t="n">
        <f aca="false">IF(Q31=1,IF(ISNUMBER(L31),L31,0)*K31/1000000,0)</f>
        <v>26.53496569</v>
      </c>
      <c r="AB31" s="89" t="n">
        <f aca="false">IF(Q31&lt;&gt;1,"",IFERROR(MATCH(VLOOKUP(B31,매핑!$H$4:$I$15,2,0),시장분석!$A$2:$A$601,0)+1,IFERROR(MATCH(R31&amp;"|"&amp;T31,시장분석!$V$2:$V$601,0)+1,IF(COUNTIF(시장분석!$U$2:$U$601,T31)=1,MATCH(T31,시장분석!$U$2:$U$601,0)+1,""))))</f>
        <v>105</v>
      </c>
      <c r="AC31" s="89" t="n">
        <f aca="false">IF(Q31&lt;&gt;1,0,IF(OR(설정!$C$5="전체",AND(설정!$C$5="선택펀드",IFERROR(COUNTIFS(설정!$F$16:$F$36,C31,설정!$G$16:$G$36,"Y")+COUNTIFS(설정!$F$16:$F$36,VALUE(C31),설정!$G$16:$G$36,"Y"),0)&gt;0),C31&amp;""=설정!$C$5&amp;""),1,0))</f>
        <v>1</v>
      </c>
      <c r="AD31" s="89" t="n">
        <f aca="false">IF(Q31&lt;&gt;1,0,IF(OR(S31=1,IF(AB31="",FALSE(),INDEX(시장분석!$R:$R,AB31)=1)),1,0))</f>
        <v>0</v>
      </c>
      <c r="AE31" s="43" t="str">
        <f aca="false">IF(AB31="","",INDEX(시장분석!$A:$A,AB31))</f>
        <v>NOMURA 2.172 07/14/28</v>
      </c>
      <c r="AF31" s="93" t="n">
        <f aca="false">IF(AB31="","",IF(ISNUMBER(IF(AB31="","",INDEX(시장분석!$E:$E,AB31))),IF(AB31="","",INDEX(시장분석!$E:$E,AB31)),""))</f>
        <v>56.009</v>
      </c>
      <c r="AG31" s="43" t="str">
        <f aca="false">IF(Q31&lt;&gt;1,"",IF(AB31&lt;&gt;"",IF(AB31="","",INDEX(시장분석!$L:$L,AB31)),IFERROR(IF(VLOOKUP(R31,매핑!$A$4:$E$92,5,0)="","미분류",VLOOKUP(R31,매핑!$A$4:$E$92,5,0)),"미분류")))</f>
        <v>금융기관</v>
      </c>
      <c r="AH31" s="43" t="str">
        <f aca="false">IF(Q31&lt;&gt;1,"",IF(AB31&lt;&gt;"",IF(AB31="","",INDEX(시장분석!$N:$N,AB31)),IFERROR(IF(VLOOKUP(R31,매핑!$A$4:$E$92,4,0)="","미분류",VLOOKUP(R31,매핑!$A$4:$E$92,4,0)),"미분류")))</f>
        <v>아시아/기타</v>
      </c>
      <c r="AI31" s="43" t="str">
        <f aca="false">IF(Q31&lt;&gt;1,"",IFERROR(IF(VLOOKUP(R31,매핑!$A$4:$E$92,3,0)="","미분류",VLOOKUP(R31,매핑!$A$4:$E$92,3,0)),IF(AB31&lt;&gt;"",IF(AB31="","",INDEX(시장분석!$W:$W,AB31)),"미분류")))</f>
        <v>일본</v>
      </c>
      <c r="AJ31" s="43" t="str">
        <f aca="false">IF(Q31&lt;&gt;1,"",IFERROR(VLOOKUP(IF(N31&lt;&gt;"",N31,IF(P31&lt;&gt;"",P31,O31)),설정!$A$15:$D$47,2,0),""))</f>
        <v>BBB+</v>
      </c>
      <c r="AK31" s="43" t="str">
        <f aca="false">IF(Q31&lt;&gt;1,"",IF(AJ31="","무등급",IFERROR(VLOOKUP(AJ31,설정!$A$15:$D$47,3,0),"무등급")))</f>
        <v>BBB</v>
      </c>
      <c r="AL31" s="89" t="n">
        <f aca="false">IF(AJ31="",99,IFERROR(VLOOKUP(AJ31,설정!$A$15:$D$47,4,0),99))</f>
        <v>8</v>
      </c>
      <c r="AM31" s="94" t="n">
        <f aca="false">IF(ISNUMBER(H31),AA31*1000000*H31/10000,0)</f>
        <v>4495.2885375429</v>
      </c>
      <c r="AN31" s="94" t="n">
        <f aca="false">IF(OR(Y31=1,NOT(ISNUMBER(Z31))),0,AA31*1000000*Z31/10000)</f>
        <v>4495.2885375429</v>
      </c>
      <c r="AO31" s="94" t="n">
        <f aca="false">IF(ISNUMBER(G31),AA31*1000000*G31/100,0)</f>
        <v>1448543.7770171</v>
      </c>
      <c r="AP31" s="94" t="n">
        <f aca="false">IF(ISNUMBER(M31),M31*K31,0)</f>
        <v>-209130.05</v>
      </c>
      <c r="AQ31" s="95" t="n">
        <f aca="false">IF(AB31="","",INDEX(시장분석!$AK:$AK,AB31))</f>
        <v>-0.0926725558840555</v>
      </c>
      <c r="AR31" s="43" t="str">
        <f aca="false">IF(AB31="","-",IF(AB31="","",INDEX(시장분석!$AL:$AL,AB31)))</f>
        <v>Fair</v>
      </c>
      <c r="AS31" s="96" t="n">
        <f aca="false">IF(AB31="","",INDEX(시장분석!$AJ:$AJ,AB31))</f>
        <v>-1.89733968606348</v>
      </c>
      <c r="AT31" s="93" t="n">
        <f aca="false">IF(AB31="",0,IF(AB31="","",INDEX(시장분석!$AN:$AN,AB31)))</f>
        <v>11.7929593942436</v>
      </c>
      <c r="AU31" s="94" t="n">
        <f aca="false">IF(ISNUMBER(Z31),AT31/10000*MAX(Z31-1,0)*AA31*1000000,0)</f>
        <v>21720.1778976704</v>
      </c>
      <c r="AV31" s="94" t="n">
        <f aca="false">AO31+AU31</f>
        <v>1470263.95491477</v>
      </c>
      <c r="AW31" s="43" t="str">
        <f aca="false">IF(Q31&lt;&gt;1,"",TRIM(IF(AD31=1,"FRN ","")&amp;IF(AND(AL31&gt;=10,AL31&lt;99),"BBB0미만 ","")&amp;IF(AJ31="","등급없음 ","")&amp;IF(K31&lt;&gt;1,"비USD ","")&amp;IF(AND(AB31="",Y31=0),"시장데이터없음 ","")&amp;IF(AND(ISNUMBER(U31),U31&lt;0),"만기경과 ","")))</f>
        <v/>
      </c>
      <c r="AX31" s="90" t="n">
        <f aca="false">IF(Q31&lt;&gt;1,1,IF(스프레드쇼크!$C$4="Y",INDEX(스프레드쇼크!$B$12:$L$16,IFERROR(MATCH(AH31,스프레드쇼크!$A$12:$A$16,0),MATCH("목록외",스프레드쇼크!$A$12:$A$16,0)),IFERROR(MATCH(AG31,스프레드쇼크!$B$11:$L$11,0),MATCH("목록외",스프레드쇼크!$B$11:$L$11,0))),1))</f>
        <v>1</v>
      </c>
      <c r="AY31" s="90" t="n">
        <f aca="false">IF(스프레드쇼크!$C$5="Y",IF(ISNUMBER(AF31),MIN(스프레드쇼크!$C$7,MAX(스프레드쇼크!$C$6,AF31/스프레드쇼크!$C$8)),1),1)</f>
        <v>0.847157861344574</v>
      </c>
      <c r="AZ31" s="94" t="n">
        <f aca="false">AN31*AX31*AY31</f>
        <v>3808.21902359162</v>
      </c>
      <c r="BA31" s="90" t="n">
        <f aca="false">IF(ISNUMBER(G31),AA31*G31,0)</f>
        <v>144.85437770171</v>
      </c>
      <c r="BB31" s="90" t="n">
        <f aca="false">IF(ISNUMBER(G31),AA31,0)</f>
        <v>26.53496569</v>
      </c>
      <c r="BC31" s="90" t="n">
        <f aca="false">IF(AND(Y31=0,ISNUMBER(AF31)),AA31*AF31,0)</f>
        <v>1486.19689333121</v>
      </c>
      <c r="BD31" s="90" t="n">
        <f aca="false">IF(AND(Y31=0,ISNUMBER(AF31)),AA31,0)</f>
        <v>26.53496569</v>
      </c>
      <c r="BE31" s="90" t="n">
        <f aca="false">IF(ISNUMBER(H31),AA31*H31,0)</f>
        <v>44.952885375429</v>
      </c>
      <c r="BF31" s="90" t="n">
        <f aca="false">IF(ISNUMBER(H31),AA31,0)</f>
        <v>26.53496569</v>
      </c>
      <c r="BG31" s="90" t="n">
        <f aca="false">IF(AND(Y31=0,ISNUMBER(AF31),ISNUMBER(Z31)),AA31*Z31,0)</f>
        <v>44.952885375429</v>
      </c>
      <c r="BH31" s="90" t="n">
        <f aca="false">IF(AND(Y31=0,ISNUMBER(AF31),ISNUMBER(Z31)),AA31*AT31*MAX(Z31-1,0),0)</f>
        <v>217.201778976704</v>
      </c>
      <c r="BI31" s="90" t="n">
        <f aca="false">IF(Y31=0,AA31,0)</f>
        <v>26.53496569</v>
      </c>
    </row>
    <row r="32" customFormat="false" ht="15" hidden="false" customHeight="false" outlineLevel="0" collapsed="false">
      <c r="A32" s="83" t="str">
        <f aca="false">IFERROR(IF(INDEX(원자료_잔고!$A$1:$EZ$1500,설정!$L$5+ROW()-1,설정!$L$8)&amp;""="0","",INDEX(원자료_잔고!$A$1:$EZ$1500,설정!$L$5+ROW()-1,설정!$L$8)&amp;""),"")</f>
        <v>NOMURA 5.166 07/14/31</v>
      </c>
      <c r="B32" s="83" t="str">
        <f aca="false">IFERROR(IF(INDEX(원자료_잔고!$A$1:$EZ$1500,설정!$L$5+ROW()-1,설정!$L$7)&amp;""="0","",INDEX(원자료_잔고!$A$1:$EZ$1500,설정!$L$5+ROW()-1,설정!$L$7)&amp;""),"")</f>
        <v>US65535HCL15</v>
      </c>
      <c r="C32" s="83" t="str">
        <f aca="false">IFERROR(IF(INDEX(원자료_잔고!$A$1:$EZ$1500,설정!$L$5+ROW()-1,설정!$L$9)&amp;""="0","",INDEX(원자료_잔고!$A$1:$EZ$1500,설정!$L$5+ROW()-1,설정!$L$9)&amp;""),"")</f>
        <v>28096</v>
      </c>
      <c r="D3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2" s="84" t="n">
        <f aca="false">IFERROR(IF(ISNUMBER(INDEX(원자료_잔고!$A$1:$EZ$1500,설정!$L$5+ROW()-1,설정!$L$11)),INDEX(원자료_잔고!$A$1:$EZ$1500,설정!$L$5+ROW()-1,설정!$L$11),""),"")</f>
        <v>1000000</v>
      </c>
      <c r="F32" s="85" t="n">
        <f aca="false">IFERROR(IF(ISNUMBER(INDEX(원자료_잔고!$A$1:$EZ$1500,설정!$L$5+ROW()-1,설정!$L$12)),INDEX(원자료_잔고!$A$1:$EZ$1500,설정!$L$5+ROW()-1,설정!$L$12),""),"")</f>
        <v>96.7094</v>
      </c>
      <c r="G32" s="85" t="n">
        <f aca="false">IFERROR(IF(ISNUMBER(INDEX(원자료_잔고!$A$1:$EZ$1500,설정!$L$5+ROW()-1,설정!$L$13)),INDEX(원자료_잔고!$A$1:$EZ$1500,설정!$L$5+ROW()-1,설정!$L$13),""),"")</f>
        <v>5.962</v>
      </c>
      <c r="H32" s="85" t="n">
        <f aca="false">IFERROR(IF(ISNUMBER(INDEX(원자료_잔고!$A$1:$EZ$1500,설정!$L$5+ROW()-1,설정!$L$14)),INDEX(원자료_잔고!$A$1:$EZ$1500,설정!$L$5+ROW()-1,설정!$L$14),""),"")</f>
        <v>4.0808</v>
      </c>
      <c r="I32" s="86" t="n">
        <f aca="false">IFERROR(IF(ISNUMBER(INDEX(원자료_잔고!$A$1:$EZ$1500,설정!$L$5+ROW()-1,설정!$L$15)),INDEX(원자료_잔고!$A$1:$EZ$1500,설정!$L$5+ROW()-1,설정!$L$15),""),"")</f>
        <v>48043</v>
      </c>
      <c r="J32" s="85" t="n">
        <f aca="false">IFERROR(IF(ISNUMBER(INDEX(원자료_잔고!$A$1:$EZ$1500,설정!$L$5+ROW()-1,설정!$L$16)),INDEX(원자료_잔고!$A$1:$EZ$1500,설정!$L$5+ROW()-1,설정!$L$16),""),"")</f>
        <v>5.166</v>
      </c>
      <c r="K32" s="87" t="n">
        <f aca="false">IFERROR(IF(ISNUMBER(INDEX(원자료_잔고!$A$1:$EZ$1500,설정!$L$5+ROW()-1,설정!$L$17)),INDEX(원자료_잔고!$A$1:$EZ$1500,설정!$L$5+ROW()-1,설정!$L$17),""),"")</f>
        <v>1</v>
      </c>
      <c r="L32" s="84" t="n">
        <f aca="false">IFERROR(IF(ISNUMBER(INDEX(원자료_잔고!$A$1:$EZ$1500,설정!$L$5+ROW()-1,설정!$L$18)),INDEX(원자료_잔고!$A$1:$EZ$1500,설정!$L$5+ROW()-1,설정!$L$18),""),"")</f>
        <v>967094</v>
      </c>
      <c r="M32" s="88" t="n">
        <f aca="false">IFERROR(IF(ISNUMBER(INDEX(원자료_잔고!$A$1:$EZ$1500,설정!$L$5+ROW()-1,설정!$L$19)),INDEX(원자료_잔고!$A$1:$EZ$1500,설정!$L$5+ROW()-1,설정!$L$19),""),"")</f>
        <v>-32906</v>
      </c>
      <c r="N32" s="83" t="str">
        <f aca="false">IFERROR(IF(INDEX(원자료_잔고!$A$1:$EZ$1500,설정!$L$5+ROW()-1,설정!$L$21)&amp;""="0","",INDEX(원자료_잔고!$A$1:$EZ$1500,설정!$L$5+ROW()-1,설정!$L$21)&amp;""),"")</f>
        <v>BBB+</v>
      </c>
      <c r="O32" s="83" t="str">
        <f aca="false">IFERROR(IF(INDEX(원자료_잔고!$A$1:$EZ$1500,설정!$L$5+ROW()-1,설정!$L$22)&amp;""="0","",INDEX(원자료_잔고!$A$1:$EZ$1500,설정!$L$5+ROW()-1,설정!$L$22)&amp;""),"")</f>
        <v/>
      </c>
      <c r="P32" s="83" t="str">
        <f aca="false">IFERROR(IF(INDEX(원자료_잔고!$A$1:$EZ$1500,설정!$L$5+ROW()-1,설정!$L$23)&amp;""="0","",INDEX(원자료_잔고!$A$1:$EZ$1500,설정!$L$5+ROW()-1,설정!$L$23)&amp;""),"")</f>
        <v>A-</v>
      </c>
      <c r="Q32" s="89" t="n">
        <f aca="false">IF(AND($A32&lt;&gt;"",ISNUMBER(E32)),IF(E32&gt;0,1,0),0)</f>
        <v>1</v>
      </c>
      <c r="R32" s="43" t="str">
        <f aca="false">IF(Q32=1,UPPER(LEFT($A32,FIND(" ",$A32&amp;" ")-1)),"")</f>
        <v>NOMURA</v>
      </c>
      <c r="S32" s="89" t="n">
        <f aca="false">IF(Q32=1,IF(OR(ISNUMBER(SEARCH("Float",$A32)),ISNUMBER(SEARCH("FRN",$A32))),1,0),0)</f>
        <v>0</v>
      </c>
      <c r="T32" s="43" t="str">
        <f aca="false">IF(AND(Q32=1,ISNUMBER(I32)),TEXT(I32,"yyyymmdd")&amp;"|"&amp;IF(S32=1,"F",TEXT(J32,"0.000")),"")</f>
        <v>20310714|5.166</v>
      </c>
      <c r="U32" s="90" t="n">
        <f aca="false">IF(AND(Q32=1,ISNUMBER(I32)),(I32-설정!$C$4)/365.25,"")</f>
        <v>4.78302532511978</v>
      </c>
      <c r="V32" s="43" t="str">
        <f aca="false">IF(Q32&lt;&gt;1,"",IF(ISNUMBER(U32),IF(U32&lt;=1,"1년 이하",IF(U32&lt;=2,"1-2년",IF(U32&lt;=3,"2-3년",IF(U32&lt;=4,"3-4년",IF(U32&lt;=5,"4-5년",IF(U32&lt;=7,"5-7년",IF(U32&lt;=10,"7-10년",IF(U32&lt;=20,"10-20년","20년 이상")))))))),"미분류"))</f>
        <v>4-5년</v>
      </c>
      <c r="W32" s="43" t="str">
        <f aca="false">IF(Q32&lt;&gt;1,"",IF(AB32&lt;&gt;"",INDEX(시장분석!$C:$C,AB32),IF(K32=1,"USD","비USD")))</f>
        <v>USD</v>
      </c>
      <c r="X32" s="91" t="n">
        <f aca="false">IF(Q32=1,E32*K32/1000000,0)</f>
        <v>1</v>
      </c>
      <c r="Y32" s="89" t="n">
        <f aca="false">IF(R32="T",1,0)</f>
        <v>0</v>
      </c>
      <c r="Z32" s="92" t="n">
        <f aca="false">IF(Q32&lt;&gt;1,"",IF(AD32=1,IF(ISNUMBER(U32),MAX(U32,0),H32),H32))</f>
        <v>4.0808</v>
      </c>
      <c r="AA32" s="91" t="n">
        <f aca="false">IF(Q32=1,IF(ISNUMBER(L32),L32,0)*K32/1000000,0)</f>
        <v>0.967094</v>
      </c>
      <c r="AB32" s="89" t="n">
        <f aca="false">IF(Q32&lt;&gt;1,"",IFERROR(MATCH(VLOOKUP(B32,매핑!$H$4:$I$15,2,0),시장분석!$A$2:$A$601,0)+1,IFERROR(MATCH(R32&amp;"|"&amp;T32,시장분석!$V$2:$V$601,0)+1,IF(COUNTIF(시장분석!$U$2:$U$601,T32)=1,MATCH(T32,시장분석!$U$2:$U$601,0)+1,""))))</f>
        <v>109</v>
      </c>
      <c r="AC32" s="89" t="n">
        <f aca="false">IF(Q32&lt;&gt;1,0,IF(OR(설정!$C$5="전체",AND(설정!$C$5="선택펀드",IFERROR(COUNTIFS(설정!$F$16:$F$36,C32,설정!$G$16:$G$36,"Y")+COUNTIFS(설정!$F$16:$F$36,VALUE(C32),설정!$G$16:$G$36,"Y"),0)&gt;0),C32&amp;""=설정!$C$5&amp;""),1,0))</f>
        <v>1</v>
      </c>
      <c r="AD32" s="89" t="n">
        <f aca="false">IF(Q32&lt;&gt;1,0,IF(OR(S32=1,IF(AB32="",FALSE(),INDEX(시장분석!$R:$R,AB32)=1)),1,0))</f>
        <v>0</v>
      </c>
      <c r="AE32" s="43" t="str">
        <f aca="false">IF(AB32="","",INDEX(시장분석!$A:$A,AB32))</f>
        <v>NOMURA 5.166 07/14/31</v>
      </c>
      <c r="AF32" s="93" t="n">
        <f aca="false">IF(AB32="","",IF(ISNUMBER(IF(AB32="","",INDEX(시장분석!$E:$E,AB32))),IF(AB32="","",INDEX(시장분석!$E:$E,AB32)),""))</f>
        <v>91.944</v>
      </c>
      <c r="AG32" s="43" t="str">
        <f aca="false">IF(Q32&lt;&gt;1,"",IF(AB32&lt;&gt;"",IF(AB32="","",INDEX(시장분석!$L:$L,AB32)),IFERROR(IF(VLOOKUP(R32,매핑!$A$4:$E$92,5,0)="","미분류",VLOOKUP(R32,매핑!$A$4:$E$92,5,0)),"미분류")))</f>
        <v>금융기관</v>
      </c>
      <c r="AH32" s="43" t="str">
        <f aca="false">IF(Q32&lt;&gt;1,"",IF(AB32&lt;&gt;"",IF(AB32="","",INDEX(시장분석!$N:$N,AB32)),IFERROR(IF(VLOOKUP(R32,매핑!$A$4:$E$92,4,0)="","미분류",VLOOKUP(R32,매핑!$A$4:$E$92,4,0)),"미분류")))</f>
        <v>아시아/기타</v>
      </c>
      <c r="AI32" s="43" t="str">
        <f aca="false">IF(Q32&lt;&gt;1,"",IFERROR(IF(VLOOKUP(R32,매핑!$A$4:$E$92,3,0)="","미분류",VLOOKUP(R32,매핑!$A$4:$E$92,3,0)),IF(AB32&lt;&gt;"",IF(AB32="","",INDEX(시장분석!$W:$W,AB32)),"미분류")))</f>
        <v>일본</v>
      </c>
      <c r="AJ32" s="43" t="str">
        <f aca="false">IF(Q32&lt;&gt;1,"",IFERROR(VLOOKUP(IF(N32&lt;&gt;"",N32,IF(P32&lt;&gt;"",P32,O32)),설정!$A$15:$D$47,2,0),""))</f>
        <v>BBB+</v>
      </c>
      <c r="AK32" s="43" t="str">
        <f aca="false">IF(Q32&lt;&gt;1,"",IF(AJ32="","무등급",IFERROR(VLOOKUP(AJ32,설정!$A$15:$D$47,3,0),"무등급")))</f>
        <v>BBB</v>
      </c>
      <c r="AL32" s="89" t="n">
        <f aca="false">IF(AJ32="",99,IFERROR(VLOOKUP(AJ32,설정!$A$15:$D$47,4,0),99))</f>
        <v>8</v>
      </c>
      <c r="AM32" s="94" t="n">
        <f aca="false">IF(ISNUMBER(H32),AA32*1000000*H32/10000,0)</f>
        <v>394.65171952</v>
      </c>
      <c r="AN32" s="94" t="n">
        <f aca="false">IF(OR(Y32=1,NOT(ISNUMBER(Z32))),0,AA32*1000000*Z32/10000)</f>
        <v>394.65171952</v>
      </c>
      <c r="AO32" s="94" t="n">
        <f aca="false">IF(ISNUMBER(G32),AA32*1000000*G32/100,0)</f>
        <v>57658.14428</v>
      </c>
      <c r="AP32" s="94" t="n">
        <f aca="false">IF(ISNUMBER(M32),M32*K32,0)</f>
        <v>-32906</v>
      </c>
      <c r="AQ32" s="95" t="n">
        <f aca="false">IF(AB32="","",INDEX(시장분석!$AK:$AK,AB32))</f>
        <v>1.06203560506941</v>
      </c>
      <c r="AR32" s="43" t="str">
        <f aca="false">IF(AB32="","-",IF(AB32="","",INDEX(시장분석!$AL:$AL,AB32)))</f>
        <v>Cheap</v>
      </c>
      <c r="AS32" s="96" t="n">
        <f aca="false">IF(AB32="","",INDEX(시장분석!$AJ:$AJ,AB32))</f>
        <v>21.7436789380417</v>
      </c>
      <c r="AT32" s="93" t="n">
        <f aca="false">IF(AB32="",0,IF(AB32="","",INDEX(시장분석!$AN:$AN,AB32)))</f>
        <v>3.75099261200151</v>
      </c>
      <c r="AU32" s="94" t="n">
        <f aca="false">IF(ISNUMBER(Z32),AT32/10000*MAX(Z32-1,0)*AA32*1000000,0)</f>
        <v>1117.57943932211</v>
      </c>
      <c r="AV32" s="94" t="n">
        <f aca="false">AO32+AU32</f>
        <v>58775.7237193221</v>
      </c>
      <c r="AW32" s="43" t="str">
        <f aca="false">IF(Q32&lt;&gt;1,"",TRIM(IF(AD32=1,"FRN ","")&amp;IF(AND(AL32&gt;=10,AL32&lt;99),"BBB0미만 ","")&amp;IF(AJ32="","등급없음 ","")&amp;IF(K32&lt;&gt;1,"비USD ","")&amp;IF(AND(AB32="",Y32=0),"시장데이터없음 ","")&amp;IF(AND(ISNUMBER(U32),U32&lt;0),"만기경과 ","")))</f>
        <v/>
      </c>
      <c r="AX32" s="90" t="n">
        <f aca="false">IF(Q32&lt;&gt;1,1,IF(스프레드쇼크!$C$4="Y",INDEX(스프레드쇼크!$B$12:$L$16,IFERROR(MATCH(AH32,스프레드쇼크!$A$12:$A$16,0),MATCH("목록외",스프레드쇼크!$A$12:$A$16,0)),IFERROR(MATCH(AG32,스프레드쇼크!$B$11:$L$11,0),MATCH("목록외",스프레드쇼크!$B$11:$L$11,0))),1))</f>
        <v>1</v>
      </c>
      <c r="AY32" s="90" t="n">
        <f aca="false">IF(스프레드쇼크!$C$5="Y",IF(ISNUMBER(AF32),MIN(스프레드쇼크!$C$7,MAX(스프레드쇼크!$C$6,AF32/스프레드쇼크!$C$8)),1),1)</f>
        <v>1.39068868223795</v>
      </c>
      <c r="AZ32" s="94" t="n">
        <f aca="false">AN32*AX32*AY32</f>
        <v>548.837679762211</v>
      </c>
      <c r="BA32" s="90" t="n">
        <f aca="false">IF(ISNUMBER(G32),AA32*G32,0)</f>
        <v>5.765814428</v>
      </c>
      <c r="BB32" s="90" t="n">
        <f aca="false">IF(ISNUMBER(G32),AA32,0)</f>
        <v>0.967094</v>
      </c>
      <c r="BC32" s="90" t="n">
        <f aca="false">IF(AND(Y32=0,ISNUMBER(AF32)),AA32*AF32,0)</f>
        <v>88.918490736</v>
      </c>
      <c r="BD32" s="90" t="n">
        <f aca="false">IF(AND(Y32=0,ISNUMBER(AF32)),AA32,0)</f>
        <v>0.967094</v>
      </c>
      <c r="BE32" s="90" t="n">
        <f aca="false">IF(ISNUMBER(H32),AA32*H32,0)</f>
        <v>3.9465171952</v>
      </c>
      <c r="BF32" s="90" t="n">
        <f aca="false">IF(ISNUMBER(H32),AA32,0)</f>
        <v>0.967094</v>
      </c>
      <c r="BG32" s="90" t="n">
        <f aca="false">IF(AND(Y32=0,ISNUMBER(AF32),ISNUMBER(Z32)),AA32*Z32,0)</f>
        <v>3.9465171952</v>
      </c>
      <c r="BH32" s="90" t="n">
        <f aca="false">IF(AND(Y32=0,ISNUMBER(AF32),ISNUMBER(Z32)),AA32*AT32*MAX(Z32-1,0),0)</f>
        <v>11.1757943932211</v>
      </c>
      <c r="BI32" s="90" t="n">
        <f aca="false">IF(Y32=0,AA32,0)</f>
        <v>0.967094</v>
      </c>
    </row>
    <row r="33" customFormat="false" ht="15" hidden="false" customHeight="false" outlineLevel="0" collapsed="false">
      <c r="A33" s="83" t="str">
        <f aca="false">IFERROR(IF(INDEX(원자료_잔고!$A$1:$EZ$1500,설정!$L$5+ROW()-1,설정!$L$8)&amp;""="0","",INDEX(원자료_잔고!$A$1:$EZ$1500,설정!$L$5+ROW()-1,설정!$L$8)&amp;""),"")</f>
        <v>NOMURA 5.166 07/14/31</v>
      </c>
      <c r="B33" s="83" t="str">
        <f aca="false">IFERROR(IF(INDEX(원자료_잔고!$A$1:$EZ$1500,설정!$L$5+ROW()-1,설정!$L$7)&amp;""="0","",INDEX(원자료_잔고!$A$1:$EZ$1500,설정!$L$5+ROW()-1,설정!$L$7)&amp;""),"")</f>
        <v>US65535HCL15</v>
      </c>
      <c r="C33" s="83" t="str">
        <f aca="false">IFERROR(IF(INDEX(원자료_잔고!$A$1:$EZ$1500,설정!$L$5+ROW()-1,설정!$L$9)&amp;""="0","",INDEX(원자료_잔고!$A$1:$EZ$1500,설정!$L$5+ROW()-1,설정!$L$9)&amp;""),"")</f>
        <v>28096</v>
      </c>
      <c r="D3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3" s="84" t="n">
        <f aca="false">IFERROR(IF(ISNUMBER(INDEX(원자료_잔고!$A$1:$EZ$1500,설정!$L$5+ROW()-1,설정!$L$11)),INDEX(원자료_잔고!$A$1:$EZ$1500,설정!$L$5+ROW()-1,설정!$L$11),""),"")</f>
        <v>4000000</v>
      </c>
      <c r="F33" s="85" t="n">
        <f aca="false">IFERROR(IF(ISNUMBER(INDEX(원자료_잔고!$A$1:$EZ$1500,설정!$L$5+ROW()-1,설정!$L$12)),INDEX(원자료_잔고!$A$1:$EZ$1500,설정!$L$5+ROW()-1,설정!$L$12),""),"")</f>
        <v>96.7094</v>
      </c>
      <c r="G33" s="85" t="n">
        <f aca="false">IFERROR(IF(ISNUMBER(INDEX(원자료_잔고!$A$1:$EZ$1500,설정!$L$5+ROW()-1,설정!$L$13)),INDEX(원자료_잔고!$A$1:$EZ$1500,설정!$L$5+ROW()-1,설정!$L$13),""),"")</f>
        <v>5.962</v>
      </c>
      <c r="H33" s="85" t="n">
        <f aca="false">IFERROR(IF(ISNUMBER(INDEX(원자료_잔고!$A$1:$EZ$1500,설정!$L$5+ROW()-1,설정!$L$14)),INDEX(원자료_잔고!$A$1:$EZ$1500,설정!$L$5+ROW()-1,설정!$L$14),""),"")</f>
        <v>4.0808</v>
      </c>
      <c r="I33" s="86" t="n">
        <f aca="false">IFERROR(IF(ISNUMBER(INDEX(원자료_잔고!$A$1:$EZ$1500,설정!$L$5+ROW()-1,설정!$L$15)),INDEX(원자료_잔고!$A$1:$EZ$1500,설정!$L$5+ROW()-1,설정!$L$15),""),"")</f>
        <v>48043</v>
      </c>
      <c r="J33" s="85" t="n">
        <f aca="false">IFERROR(IF(ISNUMBER(INDEX(원자료_잔고!$A$1:$EZ$1500,설정!$L$5+ROW()-1,설정!$L$16)),INDEX(원자료_잔고!$A$1:$EZ$1500,설정!$L$5+ROW()-1,설정!$L$16),""),"")</f>
        <v>5.166</v>
      </c>
      <c r="K33" s="87" t="n">
        <f aca="false">IFERROR(IF(ISNUMBER(INDEX(원자료_잔고!$A$1:$EZ$1500,설정!$L$5+ROW()-1,설정!$L$17)),INDEX(원자료_잔고!$A$1:$EZ$1500,설정!$L$5+ROW()-1,설정!$L$17),""),"")</f>
        <v>1</v>
      </c>
      <c r="L33" s="84" t="n">
        <f aca="false">IFERROR(IF(ISNUMBER(INDEX(원자료_잔고!$A$1:$EZ$1500,설정!$L$5+ROW()-1,설정!$L$18)),INDEX(원자료_잔고!$A$1:$EZ$1500,설정!$L$5+ROW()-1,설정!$L$18),""),"")</f>
        <v>3868376</v>
      </c>
      <c r="M33" s="88" t="n">
        <f aca="false">IFERROR(IF(ISNUMBER(INDEX(원자료_잔고!$A$1:$EZ$1500,설정!$L$5+ROW()-1,설정!$L$19)),INDEX(원자료_잔고!$A$1:$EZ$1500,설정!$L$5+ROW()-1,설정!$L$19),""),"")</f>
        <v>-110024</v>
      </c>
      <c r="N33" s="83" t="str">
        <f aca="false">IFERROR(IF(INDEX(원자료_잔고!$A$1:$EZ$1500,설정!$L$5+ROW()-1,설정!$L$21)&amp;""="0","",INDEX(원자료_잔고!$A$1:$EZ$1500,설정!$L$5+ROW()-1,설정!$L$21)&amp;""),"")</f>
        <v>BBB+</v>
      </c>
      <c r="O33" s="83" t="str">
        <f aca="false">IFERROR(IF(INDEX(원자료_잔고!$A$1:$EZ$1500,설정!$L$5+ROW()-1,설정!$L$22)&amp;""="0","",INDEX(원자료_잔고!$A$1:$EZ$1500,설정!$L$5+ROW()-1,설정!$L$22)&amp;""),"")</f>
        <v/>
      </c>
      <c r="P33" s="83" t="str">
        <f aca="false">IFERROR(IF(INDEX(원자료_잔고!$A$1:$EZ$1500,설정!$L$5+ROW()-1,설정!$L$23)&amp;""="0","",INDEX(원자료_잔고!$A$1:$EZ$1500,설정!$L$5+ROW()-1,설정!$L$23)&amp;""),"")</f>
        <v>A-</v>
      </c>
      <c r="Q33" s="89" t="n">
        <f aca="false">IF(AND($A33&lt;&gt;"",ISNUMBER(E33)),IF(E33&gt;0,1,0),0)</f>
        <v>1</v>
      </c>
      <c r="R33" s="43" t="str">
        <f aca="false">IF(Q33=1,UPPER(LEFT($A33,FIND(" ",$A33&amp;" ")-1)),"")</f>
        <v>NOMURA</v>
      </c>
      <c r="S33" s="89" t="n">
        <f aca="false">IF(Q33=1,IF(OR(ISNUMBER(SEARCH("Float",$A33)),ISNUMBER(SEARCH("FRN",$A33))),1,0),0)</f>
        <v>0</v>
      </c>
      <c r="T33" s="43" t="str">
        <f aca="false">IF(AND(Q33=1,ISNUMBER(I33)),TEXT(I33,"yyyymmdd")&amp;"|"&amp;IF(S33=1,"F",TEXT(J33,"0.000")),"")</f>
        <v>20310714|5.166</v>
      </c>
      <c r="U33" s="90" t="n">
        <f aca="false">IF(AND(Q33=1,ISNUMBER(I33)),(I33-설정!$C$4)/365.25,"")</f>
        <v>4.78302532511978</v>
      </c>
      <c r="V33" s="43" t="str">
        <f aca="false">IF(Q33&lt;&gt;1,"",IF(ISNUMBER(U33),IF(U33&lt;=1,"1년 이하",IF(U33&lt;=2,"1-2년",IF(U33&lt;=3,"2-3년",IF(U33&lt;=4,"3-4년",IF(U33&lt;=5,"4-5년",IF(U33&lt;=7,"5-7년",IF(U33&lt;=10,"7-10년",IF(U33&lt;=20,"10-20년","20년 이상")))))))),"미분류"))</f>
        <v>4-5년</v>
      </c>
      <c r="W33" s="43" t="str">
        <f aca="false">IF(Q33&lt;&gt;1,"",IF(AB33&lt;&gt;"",INDEX(시장분석!$C:$C,AB33),IF(K33=1,"USD","비USD")))</f>
        <v>USD</v>
      </c>
      <c r="X33" s="91" t="n">
        <f aca="false">IF(Q33=1,E33*K33/1000000,0)</f>
        <v>4</v>
      </c>
      <c r="Y33" s="89" t="n">
        <f aca="false">IF(R33="T",1,0)</f>
        <v>0</v>
      </c>
      <c r="Z33" s="92" t="n">
        <f aca="false">IF(Q33&lt;&gt;1,"",IF(AD33=1,IF(ISNUMBER(U33),MAX(U33,0),H33),H33))</f>
        <v>4.0808</v>
      </c>
      <c r="AA33" s="91" t="n">
        <f aca="false">IF(Q33=1,IF(ISNUMBER(L33),L33,0)*K33/1000000,0)</f>
        <v>3.868376</v>
      </c>
      <c r="AB33" s="89" t="n">
        <f aca="false">IF(Q33&lt;&gt;1,"",IFERROR(MATCH(VLOOKUP(B33,매핑!$H$4:$I$15,2,0),시장분석!$A$2:$A$601,0)+1,IFERROR(MATCH(R33&amp;"|"&amp;T33,시장분석!$V$2:$V$601,0)+1,IF(COUNTIF(시장분석!$U$2:$U$601,T33)=1,MATCH(T33,시장분석!$U$2:$U$601,0)+1,""))))</f>
        <v>109</v>
      </c>
      <c r="AC33" s="89" t="n">
        <f aca="false">IF(Q33&lt;&gt;1,0,IF(OR(설정!$C$5="전체",AND(설정!$C$5="선택펀드",IFERROR(COUNTIFS(설정!$F$16:$F$36,C33,설정!$G$16:$G$36,"Y")+COUNTIFS(설정!$F$16:$F$36,VALUE(C33),설정!$G$16:$G$36,"Y"),0)&gt;0),C33&amp;""=설정!$C$5&amp;""),1,0))</f>
        <v>1</v>
      </c>
      <c r="AD33" s="89" t="n">
        <f aca="false">IF(Q33&lt;&gt;1,0,IF(OR(S33=1,IF(AB33="",FALSE(),INDEX(시장분석!$R:$R,AB33)=1)),1,0))</f>
        <v>0</v>
      </c>
      <c r="AE33" s="43" t="str">
        <f aca="false">IF(AB33="","",INDEX(시장분석!$A:$A,AB33))</f>
        <v>NOMURA 5.166 07/14/31</v>
      </c>
      <c r="AF33" s="93" t="n">
        <f aca="false">IF(AB33="","",IF(ISNUMBER(IF(AB33="","",INDEX(시장분석!$E:$E,AB33))),IF(AB33="","",INDEX(시장분석!$E:$E,AB33)),""))</f>
        <v>91.944</v>
      </c>
      <c r="AG33" s="43" t="str">
        <f aca="false">IF(Q33&lt;&gt;1,"",IF(AB33&lt;&gt;"",IF(AB33="","",INDEX(시장분석!$L:$L,AB33)),IFERROR(IF(VLOOKUP(R33,매핑!$A$4:$E$92,5,0)="","미분류",VLOOKUP(R33,매핑!$A$4:$E$92,5,0)),"미분류")))</f>
        <v>금융기관</v>
      </c>
      <c r="AH33" s="43" t="str">
        <f aca="false">IF(Q33&lt;&gt;1,"",IF(AB33&lt;&gt;"",IF(AB33="","",INDEX(시장분석!$N:$N,AB33)),IFERROR(IF(VLOOKUP(R33,매핑!$A$4:$E$92,4,0)="","미분류",VLOOKUP(R33,매핑!$A$4:$E$92,4,0)),"미분류")))</f>
        <v>아시아/기타</v>
      </c>
      <c r="AI33" s="43" t="str">
        <f aca="false">IF(Q33&lt;&gt;1,"",IFERROR(IF(VLOOKUP(R33,매핑!$A$4:$E$92,3,0)="","미분류",VLOOKUP(R33,매핑!$A$4:$E$92,3,0)),IF(AB33&lt;&gt;"",IF(AB33="","",INDEX(시장분석!$W:$W,AB33)),"미분류")))</f>
        <v>일본</v>
      </c>
      <c r="AJ33" s="43" t="str">
        <f aca="false">IF(Q33&lt;&gt;1,"",IFERROR(VLOOKUP(IF(N33&lt;&gt;"",N33,IF(P33&lt;&gt;"",P33,O33)),설정!$A$15:$D$47,2,0),""))</f>
        <v>BBB+</v>
      </c>
      <c r="AK33" s="43" t="str">
        <f aca="false">IF(Q33&lt;&gt;1,"",IF(AJ33="","무등급",IFERROR(VLOOKUP(AJ33,설정!$A$15:$D$47,3,0),"무등급")))</f>
        <v>BBB</v>
      </c>
      <c r="AL33" s="89" t="n">
        <f aca="false">IF(AJ33="",99,IFERROR(VLOOKUP(AJ33,설정!$A$15:$D$47,4,0),99))</f>
        <v>8</v>
      </c>
      <c r="AM33" s="94" t="n">
        <f aca="false">IF(ISNUMBER(H33),AA33*1000000*H33/10000,0)</f>
        <v>1578.60687808</v>
      </c>
      <c r="AN33" s="94" t="n">
        <f aca="false">IF(OR(Y33=1,NOT(ISNUMBER(Z33))),0,AA33*1000000*Z33/10000)</f>
        <v>1578.60687808</v>
      </c>
      <c r="AO33" s="94" t="n">
        <f aca="false">IF(ISNUMBER(G33),AA33*1000000*G33/100,0)</f>
        <v>230632.57712</v>
      </c>
      <c r="AP33" s="94" t="n">
        <f aca="false">IF(ISNUMBER(M33),M33*K33,0)</f>
        <v>-110024</v>
      </c>
      <c r="AQ33" s="95" t="n">
        <f aca="false">IF(AB33="","",INDEX(시장분석!$AK:$AK,AB33))</f>
        <v>1.06203560506941</v>
      </c>
      <c r="AR33" s="43" t="str">
        <f aca="false">IF(AB33="","-",IF(AB33="","",INDEX(시장분석!$AL:$AL,AB33)))</f>
        <v>Cheap</v>
      </c>
      <c r="AS33" s="96" t="n">
        <f aca="false">IF(AB33="","",INDEX(시장분석!$AJ:$AJ,AB33))</f>
        <v>21.7436789380417</v>
      </c>
      <c r="AT33" s="93" t="n">
        <f aca="false">IF(AB33="",0,IF(AB33="","",INDEX(시장분석!$AN:$AN,AB33)))</f>
        <v>3.75099261200151</v>
      </c>
      <c r="AU33" s="94" t="n">
        <f aca="false">IF(ISNUMBER(Z33),AT33/10000*MAX(Z33-1,0)*AA33*1000000,0)</f>
        <v>4470.31775728845</v>
      </c>
      <c r="AV33" s="94" t="n">
        <f aca="false">AO33+AU33</f>
        <v>235102.894877288</v>
      </c>
      <c r="AW33" s="43" t="str">
        <f aca="false">IF(Q33&lt;&gt;1,"",TRIM(IF(AD33=1,"FRN ","")&amp;IF(AND(AL33&gt;=10,AL33&lt;99),"BBB0미만 ","")&amp;IF(AJ33="","등급없음 ","")&amp;IF(K33&lt;&gt;1,"비USD ","")&amp;IF(AND(AB33="",Y33=0),"시장데이터없음 ","")&amp;IF(AND(ISNUMBER(U33),U33&lt;0),"만기경과 ","")))</f>
        <v/>
      </c>
      <c r="AX33" s="90" t="n">
        <f aca="false">IF(Q33&lt;&gt;1,1,IF(스프레드쇼크!$C$4="Y",INDEX(스프레드쇼크!$B$12:$L$16,IFERROR(MATCH(AH33,스프레드쇼크!$A$12:$A$16,0),MATCH("목록외",스프레드쇼크!$A$12:$A$16,0)),IFERROR(MATCH(AG33,스프레드쇼크!$B$11:$L$11,0),MATCH("목록외",스프레드쇼크!$B$11:$L$11,0))),1))</f>
        <v>1</v>
      </c>
      <c r="AY33" s="90" t="n">
        <f aca="false">IF(스프레드쇼크!$C$5="Y",IF(ISNUMBER(AF33),MIN(스프레드쇼크!$C$7,MAX(스프레드쇼크!$C$6,AF33/스프레드쇼크!$C$8)),1),1)</f>
        <v>1.39068868223795</v>
      </c>
      <c r="AZ33" s="94" t="n">
        <f aca="false">AN33*AX33*AY33</f>
        <v>2195.35071904884</v>
      </c>
      <c r="BA33" s="90" t="n">
        <f aca="false">IF(ISNUMBER(G33),AA33*G33,0)</f>
        <v>23.063257712</v>
      </c>
      <c r="BB33" s="90" t="n">
        <f aca="false">IF(ISNUMBER(G33),AA33,0)</f>
        <v>3.868376</v>
      </c>
      <c r="BC33" s="90" t="n">
        <f aca="false">IF(AND(Y33=0,ISNUMBER(AF33)),AA33*AF33,0)</f>
        <v>355.673962944</v>
      </c>
      <c r="BD33" s="90" t="n">
        <f aca="false">IF(AND(Y33=0,ISNUMBER(AF33)),AA33,0)</f>
        <v>3.868376</v>
      </c>
      <c r="BE33" s="90" t="n">
        <f aca="false">IF(ISNUMBER(H33),AA33*H33,0)</f>
        <v>15.7860687808</v>
      </c>
      <c r="BF33" s="90" t="n">
        <f aca="false">IF(ISNUMBER(H33),AA33,0)</f>
        <v>3.868376</v>
      </c>
      <c r="BG33" s="90" t="n">
        <f aca="false">IF(AND(Y33=0,ISNUMBER(AF33),ISNUMBER(Z33)),AA33*Z33,0)</f>
        <v>15.7860687808</v>
      </c>
      <c r="BH33" s="90" t="n">
        <f aca="false">IF(AND(Y33=0,ISNUMBER(AF33),ISNUMBER(Z33)),AA33*AT33*MAX(Z33-1,0),0)</f>
        <v>44.7031775728845</v>
      </c>
      <c r="BI33" s="90" t="n">
        <f aca="false">IF(Y33=0,AA33,0)</f>
        <v>3.868376</v>
      </c>
    </row>
    <row r="34" customFormat="false" ht="15" hidden="false" customHeight="false" outlineLevel="0" collapsed="false">
      <c r="A34" s="83" t="str">
        <f aca="false">IFERROR(IF(INDEX(원자료_잔고!$A$1:$EZ$1500,설정!$L$5+ROW()-1,설정!$L$8)&amp;""="0","",INDEX(원자료_잔고!$A$1:$EZ$1500,설정!$L$5+ROW()-1,설정!$L$8)&amp;""),"")</f>
        <v>NWG 4.892 05/18/29</v>
      </c>
      <c r="B34" s="83" t="str">
        <f aca="false">IFERROR(IF(INDEX(원자료_잔고!$A$1:$EZ$1500,설정!$L$5+ROW()-1,설정!$L$7)&amp;""="0","",INDEX(원자료_잔고!$A$1:$EZ$1500,설정!$L$5+ROW()-1,설정!$L$7)&amp;""),"")</f>
        <v>US780097BG51</v>
      </c>
      <c r="C34" s="83" t="str">
        <f aca="false">IFERROR(IF(INDEX(원자료_잔고!$A$1:$EZ$1500,설정!$L$5+ROW()-1,설정!$L$9)&amp;""="0","",INDEX(원자료_잔고!$A$1:$EZ$1500,설정!$L$5+ROW()-1,설정!$L$9)&amp;""),"")</f>
        <v>28096</v>
      </c>
      <c r="D3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" s="84" t="n">
        <f aca="false">IFERROR(IF(ISNUMBER(INDEX(원자료_잔고!$A$1:$EZ$1500,설정!$L$5+ROW()-1,설정!$L$11)),INDEX(원자료_잔고!$A$1:$EZ$1500,설정!$L$5+ROW()-1,설정!$L$11),""),"")</f>
        <v>13000000</v>
      </c>
      <c r="F34" s="85" t="n">
        <f aca="false">IFERROR(IF(ISNUMBER(INDEX(원자료_잔고!$A$1:$EZ$1500,설정!$L$5+ROW()-1,설정!$L$12)),INDEX(원자료_잔고!$A$1:$EZ$1500,설정!$L$5+ROW()-1,설정!$L$12),""),"")</f>
        <v>99.2246</v>
      </c>
      <c r="G34" s="85" t="n">
        <f aca="false">IFERROR(IF(ISNUMBER(INDEX(원자료_잔고!$A$1:$EZ$1500,설정!$L$5+ROW()-1,설정!$L$13)),INDEX(원자료_잔고!$A$1:$EZ$1500,설정!$L$5+ROW()-1,설정!$L$13),""),"")</f>
        <v>5.3269</v>
      </c>
      <c r="H34" s="85" t="n">
        <f aca="false">IFERROR(IF(ISNUMBER(INDEX(원자료_잔고!$A$1:$EZ$1500,설정!$L$5+ROW()-1,설정!$L$14)),INDEX(원자료_잔고!$A$1:$EZ$1500,설정!$L$5+ROW()-1,설정!$L$14),""),"")</f>
        <v>1.5076</v>
      </c>
      <c r="I34" s="86" t="n">
        <f aca="false">IFERROR(IF(ISNUMBER(INDEX(원자료_잔고!$A$1:$EZ$1500,설정!$L$5+ROW()-1,설정!$L$15)),INDEX(원자료_잔고!$A$1:$EZ$1500,설정!$L$5+ROW()-1,설정!$L$15),""),"")</f>
        <v>47256</v>
      </c>
      <c r="J34" s="85" t="n">
        <f aca="false">IFERROR(IF(ISNUMBER(INDEX(원자료_잔고!$A$1:$EZ$1500,설정!$L$5+ROW()-1,설정!$L$16)),INDEX(원자료_잔고!$A$1:$EZ$1500,설정!$L$5+ROW()-1,설정!$L$16),""),"")</f>
        <v>4.892</v>
      </c>
      <c r="K34" s="87" t="n">
        <f aca="false">IFERROR(IF(ISNUMBER(INDEX(원자료_잔고!$A$1:$EZ$1500,설정!$L$5+ROW()-1,설정!$L$17)),INDEX(원자료_잔고!$A$1:$EZ$1500,설정!$L$5+ROW()-1,설정!$L$17),""),"")</f>
        <v>1</v>
      </c>
      <c r="L34" s="84" t="n">
        <f aca="false">IFERROR(IF(ISNUMBER(INDEX(원자료_잔고!$A$1:$EZ$1500,설정!$L$5+ROW()-1,설정!$L$18)),INDEX(원자료_잔고!$A$1:$EZ$1500,설정!$L$5+ROW()-1,설정!$L$18),""),"")</f>
        <v>12899198</v>
      </c>
      <c r="M34" s="88" t="n">
        <f aca="false">IFERROR(IF(ISNUMBER(INDEX(원자료_잔고!$A$1:$EZ$1500,설정!$L$5+ROW()-1,설정!$L$19)),INDEX(원자료_잔고!$A$1:$EZ$1500,설정!$L$5+ROW()-1,설정!$L$19),""),"")</f>
        <v>-339898</v>
      </c>
      <c r="N34" s="83" t="str">
        <f aca="false">IFERROR(IF(INDEX(원자료_잔고!$A$1:$EZ$1500,설정!$L$5+ROW()-1,설정!$L$21)&amp;""="0","",INDEX(원자료_잔고!$A$1:$EZ$1500,설정!$L$5+ROW()-1,설정!$L$21)&amp;""),"")</f>
        <v>A-</v>
      </c>
      <c r="O34" s="83" t="str">
        <f aca="false">IFERROR(IF(INDEX(원자료_잔고!$A$1:$EZ$1500,설정!$L$5+ROW()-1,설정!$L$22)&amp;""="0","",INDEX(원자료_잔고!$A$1:$EZ$1500,설정!$L$5+ROW()-1,설정!$L$22)&amp;""),"")</f>
        <v/>
      </c>
      <c r="P34" s="83" t="str">
        <f aca="false">IFERROR(IF(INDEX(원자료_잔고!$A$1:$EZ$1500,설정!$L$5+ROW()-1,설정!$L$23)&amp;""="0","",INDEX(원자료_잔고!$A$1:$EZ$1500,설정!$L$5+ROW()-1,설정!$L$23)&amp;""),"")</f>
        <v>A</v>
      </c>
      <c r="Q34" s="89" t="n">
        <f aca="false">IF(AND($A34&lt;&gt;"",ISNUMBER(E34)),IF(E34&gt;0,1,0),0)</f>
        <v>1</v>
      </c>
      <c r="R34" s="43" t="str">
        <f aca="false">IF(Q34=1,UPPER(LEFT($A34,FIND(" ",$A34&amp;" ")-1)),"")</f>
        <v>NWG</v>
      </c>
      <c r="S34" s="89" t="n">
        <f aca="false">IF(Q34=1,IF(OR(ISNUMBER(SEARCH("Float",$A34)),ISNUMBER(SEARCH("FRN",$A34))),1,0),0)</f>
        <v>0</v>
      </c>
      <c r="T34" s="43" t="str">
        <f aca="false">IF(AND(Q34=1,ISNUMBER(I34)),TEXT(I34,"yyyymmdd")&amp;"|"&amp;IF(S34=1,"F",TEXT(J34,"0.000")),"")</f>
        <v>20290518|4.892</v>
      </c>
      <c r="U34" s="90" t="n">
        <f aca="false">IF(AND(Q34=1,ISNUMBER(I34)),(I34-설정!$C$4)/365.25,"")</f>
        <v>2.62833675564682</v>
      </c>
      <c r="V34" s="43" t="str">
        <f aca="false">IF(Q34&lt;&gt;1,"",IF(ISNUMBER(U34),IF(U34&lt;=1,"1년 이하",IF(U34&lt;=2,"1-2년",IF(U34&lt;=3,"2-3년",IF(U34&lt;=4,"3-4년",IF(U34&lt;=5,"4-5년",IF(U34&lt;=7,"5-7년",IF(U34&lt;=10,"7-10년",IF(U34&lt;=20,"10-20년","20년 이상")))))))),"미분류"))</f>
        <v>2-3년</v>
      </c>
      <c r="W34" s="43" t="str">
        <f aca="false">IF(Q34&lt;&gt;1,"",IF(AB34&lt;&gt;"",INDEX(시장분석!$C:$C,AB34),IF(K34=1,"USD","비USD")))</f>
        <v>USD</v>
      </c>
      <c r="X34" s="91" t="n">
        <f aca="false">IF(Q34=1,E34*K34/1000000,0)</f>
        <v>13</v>
      </c>
      <c r="Y34" s="89" t="n">
        <f aca="false">IF(R34="T",1,0)</f>
        <v>0</v>
      </c>
      <c r="Z34" s="92" t="n">
        <f aca="false">IF(Q34&lt;&gt;1,"",IF(AD34=1,IF(ISNUMBER(U34),MAX(U34,0),H34),H34))</f>
        <v>1.5076</v>
      </c>
      <c r="AA34" s="91" t="n">
        <f aca="false">IF(Q34=1,IF(ISNUMBER(L34),L34,0)*K34/1000000,0)</f>
        <v>12.899198</v>
      </c>
      <c r="AB34" s="89" t="n">
        <f aca="false">IF(Q34&lt;&gt;1,"",IFERROR(MATCH(VLOOKUP(B34,매핑!$H$4:$I$15,2,0),시장분석!$A$2:$A$601,0)+1,IFERROR(MATCH(R34&amp;"|"&amp;T34,시장분석!$V$2:$V$601,0)+1,IF(COUNTIF(시장분석!$U$2:$U$601,T34)=1,MATCH(T34,시장분석!$U$2:$U$601,0)+1,""))))</f>
        <v>112</v>
      </c>
      <c r="AC34" s="89" t="n">
        <f aca="false">IF(Q34&lt;&gt;1,0,IF(OR(설정!$C$5="전체",AND(설정!$C$5="선택펀드",IFERROR(COUNTIFS(설정!$F$16:$F$36,C34,설정!$G$16:$G$36,"Y")+COUNTIFS(설정!$F$16:$F$36,VALUE(C34),설정!$G$16:$G$36,"Y"),0)&gt;0),C34&amp;""=설정!$C$5&amp;""),1,0))</f>
        <v>1</v>
      </c>
      <c r="AD34" s="89" t="n">
        <f aca="false">IF(Q34&lt;&gt;1,0,IF(OR(S34=1,IF(AB34="",FALSE(),INDEX(시장분석!$R:$R,AB34)=1)),1,0))</f>
        <v>0</v>
      </c>
      <c r="AE34" s="43" t="str">
        <f aca="false">IF(AB34="","",INDEX(시장분석!$A:$A,AB34))</f>
        <v>NWG 4.892 05/18/29</v>
      </c>
      <c r="AF34" s="93" t="n">
        <f aca="false">IF(AB34="","",IF(ISNUMBER(IF(AB34="","",INDEX(시장분석!$E:$E,AB34))),IF(AB34="","",INDEX(시장분석!$E:$E,AB34)),""))</f>
        <v>50.088</v>
      </c>
      <c r="AG34" s="43" t="str">
        <f aca="false">IF(Q34&lt;&gt;1,"",IF(AB34&lt;&gt;"",IF(AB34="","",INDEX(시장분석!$L:$L,AB34)),IFERROR(IF(VLOOKUP(R34,매핑!$A$4:$E$92,5,0)="","미분류",VLOOKUP(R34,매핑!$A$4:$E$92,5,0)),"미분류")))</f>
        <v>금융기관</v>
      </c>
      <c r="AH34" s="43" t="str">
        <f aca="false">IF(Q34&lt;&gt;1,"",IF(AB34&lt;&gt;"",IF(AB34="","",INDEX(시장분석!$N:$N,AB34)),IFERROR(IF(VLOOKUP(R34,매핑!$A$4:$E$92,4,0)="","미분류",VLOOKUP(R34,매핑!$A$4:$E$92,4,0)),"미분류")))</f>
        <v>유럽</v>
      </c>
      <c r="AI34" s="43" t="str">
        <f aca="false">IF(Q34&lt;&gt;1,"",IFERROR(IF(VLOOKUP(R34,매핑!$A$4:$E$92,3,0)="","미분류",VLOOKUP(R34,매핑!$A$4:$E$92,3,0)),IF(AB34&lt;&gt;"",IF(AB34="","",INDEX(시장분석!$W:$W,AB34)),"미분류")))</f>
        <v>영국</v>
      </c>
      <c r="AJ34" s="43" t="str">
        <f aca="false">IF(Q34&lt;&gt;1,"",IFERROR(VLOOKUP(IF(N34&lt;&gt;"",N34,IF(P34&lt;&gt;"",P34,O34)),설정!$A$15:$D$47,2,0),""))</f>
        <v>A-</v>
      </c>
      <c r="AK34" s="43" t="str">
        <f aca="false">IF(Q34&lt;&gt;1,"",IF(AJ34="","무등급",IFERROR(VLOOKUP(AJ34,설정!$A$15:$D$47,3,0),"무등급")))</f>
        <v>A</v>
      </c>
      <c r="AL34" s="89" t="n">
        <f aca="false">IF(AJ34="",99,IFERROR(VLOOKUP(AJ34,설정!$A$15:$D$47,4,0),99))</f>
        <v>7</v>
      </c>
      <c r="AM34" s="94" t="n">
        <f aca="false">IF(ISNUMBER(H34),AA34*1000000*H34/10000,0)</f>
        <v>1944.68309048</v>
      </c>
      <c r="AN34" s="94" t="n">
        <f aca="false">IF(OR(Y34=1,NOT(ISNUMBER(Z34))),0,AA34*1000000*Z34/10000)</f>
        <v>1944.68309048</v>
      </c>
      <c r="AO34" s="94" t="n">
        <f aca="false">IF(ISNUMBER(G34),AA34*1000000*G34/100,0)</f>
        <v>687127.378262</v>
      </c>
      <c r="AP34" s="94" t="n">
        <f aca="false">IF(ISNUMBER(M34),M34*K34,0)</f>
        <v>-339898</v>
      </c>
      <c r="AQ34" s="95" t="n">
        <f aca="false">IF(AB34="","",INDEX(시장분석!$AK:$AK,AB34))</f>
        <v>-0.620569369644218</v>
      </c>
      <c r="AR34" s="43" t="str">
        <f aca="false">IF(AB34="","-",IF(AB34="","",INDEX(시장분석!$AL:$AL,AB34)))</f>
        <v>Fair</v>
      </c>
      <c r="AS34" s="96" t="n">
        <f aca="false">IF(AB34="","",INDEX(시장분석!$AJ:$AJ,AB34))</f>
        <v>-6.81899067216919</v>
      </c>
      <c r="AT34" s="93" t="n">
        <f aca="false">IF(AB34="",0,IF(AB34="","",INDEX(시장분석!$AN:$AN,AB34)))</f>
        <v>31.4376782311092</v>
      </c>
      <c r="AU34" s="94" t="n">
        <f aca="false">IF(ISNUMBER(Z34),AT34/10000*MAX(Z34-1,0)*AA34*1000000,0)</f>
        <v>20584.2376436525</v>
      </c>
      <c r="AV34" s="94" t="n">
        <f aca="false">AO34+AU34</f>
        <v>707711.615905653</v>
      </c>
      <c r="AW34" s="43" t="str">
        <f aca="false">IF(Q34&lt;&gt;1,"",TRIM(IF(AD34=1,"FRN ","")&amp;IF(AND(AL34&gt;=10,AL34&lt;99),"BBB0미만 ","")&amp;IF(AJ34="","등급없음 ","")&amp;IF(K34&lt;&gt;1,"비USD ","")&amp;IF(AND(AB34="",Y34=0),"시장데이터없음 ","")&amp;IF(AND(ISNUMBER(U34),U34&lt;0),"만기경과 ","")))</f>
        <v/>
      </c>
      <c r="AX34" s="90" t="n">
        <f aca="false">IF(Q34&lt;&gt;1,1,IF(스프레드쇼크!$C$4="Y",INDEX(스프레드쇼크!$B$12:$L$16,IFERROR(MATCH(AH34,스프레드쇼크!$A$12:$A$16,0),MATCH("목록외",스프레드쇼크!$A$12:$A$16,0)),IFERROR(MATCH(AG34,스프레드쇼크!$B$11:$L$11,0),MATCH("목록외",스프레드쇼크!$B$11:$L$11,0))),1))</f>
        <v>1</v>
      </c>
      <c r="AY34" s="90" t="n">
        <f aca="false">IF(스프레드쇼크!$C$5="Y",IF(ISNUMBER(AF34),MIN(스프레드쇼크!$C$7,MAX(스프레드쇼크!$C$6,AF34/스프레드쇼크!$C$8)),1),1)</f>
        <v>0.757600438483583</v>
      </c>
      <c r="AZ34" s="94" t="n">
        <f aca="false">AN34*AX34*AY34</f>
        <v>1473.29276205926</v>
      </c>
      <c r="BA34" s="90" t="n">
        <f aca="false">IF(ISNUMBER(G34),AA34*G34,0)</f>
        <v>68.7127378262</v>
      </c>
      <c r="BB34" s="90" t="n">
        <f aca="false">IF(ISNUMBER(G34),AA34,0)</f>
        <v>12.899198</v>
      </c>
      <c r="BC34" s="90" t="n">
        <f aca="false">IF(AND(Y34=0,ISNUMBER(AF34)),AA34*AF34,0)</f>
        <v>646.095029424</v>
      </c>
      <c r="BD34" s="90" t="n">
        <f aca="false">IF(AND(Y34=0,ISNUMBER(AF34)),AA34,0)</f>
        <v>12.899198</v>
      </c>
      <c r="BE34" s="90" t="n">
        <f aca="false">IF(ISNUMBER(H34),AA34*H34,0)</f>
        <v>19.4468309048</v>
      </c>
      <c r="BF34" s="90" t="n">
        <f aca="false">IF(ISNUMBER(H34),AA34,0)</f>
        <v>12.899198</v>
      </c>
      <c r="BG34" s="90" t="n">
        <f aca="false">IF(AND(Y34=0,ISNUMBER(AF34),ISNUMBER(Z34)),AA34*Z34,0)</f>
        <v>19.4468309048</v>
      </c>
      <c r="BH34" s="90" t="n">
        <f aca="false">IF(AND(Y34=0,ISNUMBER(AF34),ISNUMBER(Z34)),AA34*AT34*MAX(Z34-1,0),0)</f>
        <v>205.842376436525</v>
      </c>
      <c r="BI34" s="90" t="n">
        <f aca="false">IF(Y34=0,AA34,0)</f>
        <v>12.899198</v>
      </c>
    </row>
    <row r="35" customFormat="false" ht="15" hidden="false" customHeight="false" outlineLevel="0" collapsed="false">
      <c r="A35" s="83" t="str">
        <f aca="false">IFERROR(IF(INDEX(원자료_잔고!$A$1:$EZ$1500,설정!$L$5+ROW()-1,설정!$L$8)&amp;""="0","",INDEX(원자료_잔고!$A$1:$EZ$1500,설정!$L$5+ROW()-1,설정!$L$8)&amp;""),"")</f>
        <v>SHNHAN 4 04/23/29</v>
      </c>
      <c r="B35" s="83" t="str">
        <f aca="false">IFERROR(IF(INDEX(원자료_잔고!$A$1:$EZ$1500,설정!$L$5+ROW()-1,설정!$L$7)&amp;""="0","",INDEX(원자료_잔고!$A$1:$EZ$1500,설정!$L$5+ROW()-1,설정!$L$7)&amp;""),"")</f>
        <v>US82460EAN04</v>
      </c>
      <c r="C35" s="83" t="str">
        <f aca="false">IFERROR(IF(INDEX(원자료_잔고!$A$1:$EZ$1500,설정!$L$5+ROW()-1,설정!$L$9)&amp;""="0","",INDEX(원자료_잔고!$A$1:$EZ$1500,설정!$L$5+ROW()-1,설정!$L$9)&amp;""),"")</f>
        <v>28096</v>
      </c>
      <c r="D3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" s="84" t="n">
        <f aca="false">IFERROR(IF(ISNUMBER(INDEX(원자료_잔고!$A$1:$EZ$1500,설정!$L$5+ROW()-1,설정!$L$11)),INDEX(원자료_잔고!$A$1:$EZ$1500,설정!$L$5+ROW()-1,설정!$L$11),""),"")</f>
        <v>5000000</v>
      </c>
      <c r="F35" s="85" t="n">
        <f aca="false">IFERROR(IF(ISNUMBER(INDEX(원자료_잔고!$A$1:$EZ$1500,설정!$L$5+ROW()-1,설정!$L$12)),INDEX(원자료_잔고!$A$1:$EZ$1500,설정!$L$5+ROW()-1,설정!$L$12),""),"")</f>
        <v>96.2269</v>
      </c>
      <c r="G35" s="85" t="n">
        <f aca="false">IFERROR(IF(ISNUMBER(INDEX(원자료_잔고!$A$1:$EZ$1500,설정!$L$5+ROW()-1,설정!$L$13)),INDEX(원자료_잔고!$A$1:$EZ$1500,설정!$L$5+ROW()-1,설정!$L$13),""),"")</f>
        <v>5.5989</v>
      </c>
      <c r="H35" s="85" t="n">
        <f aca="false">IFERROR(IF(ISNUMBER(INDEX(원자료_잔고!$A$1:$EZ$1500,설정!$L$5+ROW()-1,설정!$L$14)),INDEX(원자료_잔고!$A$1:$EZ$1500,설정!$L$5+ROW()-1,설정!$L$14),""),"")</f>
        <v>2.2945</v>
      </c>
      <c r="I35" s="86" t="n">
        <f aca="false">IFERROR(IF(ISNUMBER(INDEX(원자료_잔고!$A$1:$EZ$1500,설정!$L$5+ROW()-1,설정!$L$15)),INDEX(원자료_잔고!$A$1:$EZ$1500,설정!$L$5+ROW()-1,설정!$L$15),""),"")</f>
        <v>47231</v>
      </c>
      <c r="J35" s="85" t="n">
        <f aca="false">IFERROR(IF(ISNUMBER(INDEX(원자료_잔고!$A$1:$EZ$1500,설정!$L$5+ROW()-1,설정!$L$16)),INDEX(원자료_잔고!$A$1:$EZ$1500,설정!$L$5+ROW()-1,설정!$L$16),""),"")</f>
        <v>4</v>
      </c>
      <c r="K35" s="87" t="n">
        <f aca="false">IFERROR(IF(ISNUMBER(INDEX(원자료_잔고!$A$1:$EZ$1500,설정!$L$5+ROW()-1,설정!$L$17)),INDEX(원자료_잔고!$A$1:$EZ$1500,설정!$L$5+ROW()-1,설정!$L$17),""),"")</f>
        <v>1</v>
      </c>
      <c r="L35" s="84" t="n">
        <f aca="false">IFERROR(IF(ISNUMBER(INDEX(원자료_잔고!$A$1:$EZ$1500,설정!$L$5+ROW()-1,설정!$L$18)),INDEX(원자료_잔고!$A$1:$EZ$1500,설정!$L$5+ROW()-1,설정!$L$18),""),"")</f>
        <v>4811345</v>
      </c>
      <c r="M35" s="88" t="n">
        <f aca="false">IFERROR(IF(ISNUMBER(INDEX(원자료_잔고!$A$1:$EZ$1500,설정!$L$5+ROW()-1,설정!$L$19)),INDEX(원자료_잔고!$A$1:$EZ$1500,설정!$L$5+ROW()-1,설정!$L$19),""),"")</f>
        <v>-127320</v>
      </c>
      <c r="N35" s="83" t="str">
        <f aca="false">IFERROR(IF(INDEX(원자료_잔고!$A$1:$EZ$1500,설정!$L$5+ROW()-1,설정!$L$21)&amp;""="0","",INDEX(원자료_잔고!$A$1:$EZ$1500,설정!$L$5+ROW()-1,설정!$L$21)&amp;""),"")</f>
        <v>BBB+</v>
      </c>
      <c r="O35" s="83" t="str">
        <f aca="false">IFERROR(IF(INDEX(원자료_잔고!$A$1:$EZ$1500,설정!$L$5+ROW()-1,설정!$L$22)&amp;""="0","",INDEX(원자료_잔고!$A$1:$EZ$1500,설정!$L$5+ROW()-1,설정!$L$22)&amp;""),"")</f>
        <v/>
      </c>
      <c r="P35" s="83" t="str">
        <f aca="false">IFERROR(IF(INDEX(원자료_잔고!$A$1:$EZ$1500,설정!$L$5+ROW()-1,설정!$L$23)&amp;""="0","",INDEX(원자료_잔고!$A$1:$EZ$1500,설정!$L$5+ROW()-1,설정!$L$23)&amp;""),"")</f>
        <v>BBB+</v>
      </c>
      <c r="Q35" s="89" t="n">
        <f aca="false">IF(AND($A35&lt;&gt;"",ISNUMBER(E35)),IF(E35&gt;0,1,0),0)</f>
        <v>1</v>
      </c>
      <c r="R35" s="43" t="str">
        <f aca="false">IF(Q35=1,UPPER(LEFT($A35,FIND(" ",$A35&amp;" ")-1)),"")</f>
        <v>SHNHAN</v>
      </c>
      <c r="S35" s="89" t="n">
        <f aca="false">IF(Q35=1,IF(OR(ISNUMBER(SEARCH("Float",$A35)),ISNUMBER(SEARCH("FRN",$A35))),1,0),0)</f>
        <v>0</v>
      </c>
      <c r="T35" s="43" t="str">
        <f aca="false">IF(AND(Q35=1,ISNUMBER(I35)),TEXT(I35,"yyyymmdd")&amp;"|"&amp;IF(S35=1,"F",TEXT(J35,"0.000")),"")</f>
        <v>20290423|4.000</v>
      </c>
      <c r="U35" s="90" t="n">
        <f aca="false">IF(AND(Q35=1,ISNUMBER(I35)),(I35-설정!$C$4)/365.25,"")</f>
        <v>2.55989048596851</v>
      </c>
      <c r="V35" s="43" t="str">
        <f aca="false">IF(Q35&lt;&gt;1,"",IF(ISNUMBER(U35),IF(U35&lt;=1,"1년 이하",IF(U35&lt;=2,"1-2년",IF(U35&lt;=3,"2-3년",IF(U35&lt;=4,"3-4년",IF(U35&lt;=5,"4-5년",IF(U35&lt;=7,"5-7년",IF(U35&lt;=10,"7-10년",IF(U35&lt;=20,"10-20년","20년 이상")))))))),"미분류"))</f>
        <v>2-3년</v>
      </c>
      <c r="W35" s="43" t="str">
        <f aca="false">IF(Q35&lt;&gt;1,"",IF(AB35&lt;&gt;"",INDEX(시장분석!$C:$C,AB35),IF(K35=1,"USD","비USD")))</f>
        <v>USD</v>
      </c>
      <c r="X35" s="91" t="n">
        <f aca="false">IF(Q35=1,E35*K35/1000000,0)</f>
        <v>5</v>
      </c>
      <c r="Y35" s="89" t="n">
        <f aca="false">IF(R35="T",1,0)</f>
        <v>0</v>
      </c>
      <c r="Z35" s="92" t="n">
        <f aca="false">IF(Q35&lt;&gt;1,"",IF(AD35=1,IF(ISNUMBER(U35),MAX(U35,0),H35),H35))</f>
        <v>2.2945</v>
      </c>
      <c r="AA35" s="91" t="n">
        <f aca="false">IF(Q35=1,IF(ISNUMBER(L35),L35,0)*K35/1000000,0)</f>
        <v>4.811345</v>
      </c>
      <c r="AB35" s="89" t="n">
        <f aca="false">IF(Q35&lt;&gt;1,"",IFERROR(MATCH(VLOOKUP(B35,매핑!$H$4:$I$15,2,0),시장분석!$A$2:$A$601,0)+1,IFERROR(MATCH(R35&amp;"|"&amp;T35,시장분석!$V$2:$V$601,0)+1,IF(COUNTIF(시장분석!$U$2:$U$601,T35)=1,MATCH(T35,시장분석!$U$2:$U$601,0)+1,""))))</f>
        <v>114</v>
      </c>
      <c r="AC35" s="89" t="n">
        <f aca="false">IF(Q35&lt;&gt;1,0,IF(OR(설정!$C$5="전체",AND(설정!$C$5="선택펀드",IFERROR(COUNTIFS(설정!$F$16:$F$36,C35,설정!$G$16:$G$36,"Y")+COUNTIFS(설정!$F$16:$F$36,VALUE(C35),설정!$G$16:$G$36,"Y"),0)&gt;0),C35&amp;""=설정!$C$5&amp;""),1,0))</f>
        <v>1</v>
      </c>
      <c r="AD35" s="89" t="n">
        <f aca="false">IF(Q35&lt;&gt;1,0,IF(OR(S35=1,IF(AB35="",FALSE(),INDEX(시장분석!$R:$R,AB35)=1)),1,0))</f>
        <v>0</v>
      </c>
      <c r="AE35" s="43" t="str">
        <f aca="false">IF(AB35="","",INDEX(시장분석!$A:$A,AB35))</f>
        <v>SHNHAN 4 04/23/29</v>
      </c>
      <c r="AF35" s="93" t="n">
        <f aca="false">IF(AB35="","",IF(ISNUMBER(IF(AB35="","",INDEX(시장분석!$E:$E,AB35))),IF(AB35="","",INDEX(시장분석!$E:$E,AB35)),""))</f>
        <v>61.577</v>
      </c>
      <c r="AG35" s="43" t="str">
        <f aca="false">IF(Q35&lt;&gt;1,"",IF(AB35&lt;&gt;"",IF(AB35="","",INDEX(시장분석!$L:$L,AB35)),IFERROR(IF(VLOOKUP(R35,매핑!$A$4:$E$92,5,0)="","미분류",VLOOKUP(R35,매핑!$A$4:$E$92,5,0)),"미분류")))</f>
        <v>금융기관</v>
      </c>
      <c r="AH35" s="43" t="str">
        <f aca="false">IF(Q35&lt;&gt;1,"",IF(AB35&lt;&gt;"",IF(AB35="","",INDEX(시장분석!$N:$N,AB35)),IFERROR(IF(VLOOKUP(R35,매핑!$A$4:$E$92,4,0)="","미분류",VLOOKUP(R35,매핑!$A$4:$E$92,4,0)),"미분류")))</f>
        <v>아시아/기타</v>
      </c>
      <c r="AI35" s="43" t="str">
        <f aca="false">IF(Q35&lt;&gt;1,"",IFERROR(IF(VLOOKUP(R35,매핑!$A$4:$E$92,3,0)="","미분류",VLOOKUP(R35,매핑!$A$4:$E$92,3,0)),IF(AB35&lt;&gt;"",IF(AB35="","",INDEX(시장분석!$W:$W,AB35)),"미분류")))</f>
        <v>한국</v>
      </c>
      <c r="AJ35" s="43" t="str">
        <f aca="false">IF(Q35&lt;&gt;1,"",IFERROR(VLOOKUP(IF(N35&lt;&gt;"",N35,IF(P35&lt;&gt;"",P35,O35)),설정!$A$15:$D$47,2,0),""))</f>
        <v>BBB+</v>
      </c>
      <c r="AK35" s="43" t="str">
        <f aca="false">IF(Q35&lt;&gt;1,"",IF(AJ35="","무등급",IFERROR(VLOOKUP(AJ35,설정!$A$15:$D$47,3,0),"무등급")))</f>
        <v>BBB</v>
      </c>
      <c r="AL35" s="89" t="n">
        <f aca="false">IF(AJ35="",99,IFERROR(VLOOKUP(AJ35,설정!$A$15:$D$47,4,0),99))</f>
        <v>8</v>
      </c>
      <c r="AM35" s="94" t="n">
        <f aca="false">IF(ISNUMBER(H35),AA35*1000000*H35/10000,0)</f>
        <v>1103.96311025</v>
      </c>
      <c r="AN35" s="94" t="n">
        <f aca="false">IF(OR(Y35=1,NOT(ISNUMBER(Z35))),0,AA35*1000000*Z35/10000)</f>
        <v>1103.96311025</v>
      </c>
      <c r="AO35" s="94" t="n">
        <f aca="false">IF(ISNUMBER(G35),AA35*1000000*G35/100,0)</f>
        <v>269382.395205</v>
      </c>
      <c r="AP35" s="94" t="n">
        <f aca="false">IF(ISNUMBER(M35),M35*K35,0)</f>
        <v>-127320</v>
      </c>
      <c r="AQ35" s="95" t="n">
        <f aca="false">IF(AB35="","",INDEX(시장분석!$AK:$AK,AB35))</f>
        <v>-0.0385436792791896</v>
      </c>
      <c r="AR35" s="43" t="str">
        <f aca="false">IF(AB35="","-",IF(AB35="","",INDEX(시장분석!$AL:$AL,AB35)))</f>
        <v>Fair</v>
      </c>
      <c r="AS35" s="96" t="n">
        <f aca="false">IF(AB35="","",INDEX(시장분석!$AJ:$AJ,AB35))</f>
        <v>-0.789127392092262</v>
      </c>
      <c r="AT35" s="93" t="n">
        <f aca="false">IF(AB35="",0,IF(AB35="","",INDEX(시장분석!$AN:$AN,AB35)))</f>
        <v>7.45663936063326</v>
      </c>
      <c r="AU35" s="94" t="n">
        <f aca="false">IF(ISNUMBER(Z35),AT35/10000*MAX(Z35-1,0)*AA35*1000000,0)</f>
        <v>4644.20833011866</v>
      </c>
      <c r="AV35" s="94" t="n">
        <f aca="false">AO35+AU35</f>
        <v>274026.603535119</v>
      </c>
      <c r="AW35" s="43" t="str">
        <f aca="false">IF(Q35&lt;&gt;1,"",TRIM(IF(AD35=1,"FRN ","")&amp;IF(AND(AL35&gt;=10,AL35&lt;99),"BBB0미만 ","")&amp;IF(AJ35="","등급없음 ","")&amp;IF(K35&lt;&gt;1,"비USD ","")&amp;IF(AND(AB35="",Y35=0),"시장데이터없음 ","")&amp;IF(AND(ISNUMBER(U35),U35&lt;0),"만기경과 ","")))</f>
        <v/>
      </c>
      <c r="AX35" s="90" t="n">
        <f aca="false">IF(Q35&lt;&gt;1,1,IF(스프레드쇼크!$C$4="Y",INDEX(스프레드쇼크!$B$12:$L$16,IFERROR(MATCH(AH35,스프레드쇼크!$A$12:$A$16,0),MATCH("목록외",스프레드쇼크!$A$12:$A$16,0)),IFERROR(MATCH(AG35,스프레드쇼크!$B$11:$L$11,0),MATCH("목록외",스프레드쇼크!$B$11:$L$11,0))),1))</f>
        <v>1</v>
      </c>
      <c r="AY35" s="90" t="n">
        <f aca="false">IF(스프레드쇼크!$C$5="Y",IF(ISNUMBER(AF35),MIN(스프레드쇼크!$C$7,MAX(스프레드쇼크!$C$6,AF35/스프레드쇼크!$C$8)),1),1)</f>
        <v>0.931376022210981</v>
      </c>
      <c r="AZ35" s="94" t="n">
        <f aca="false">AN35*AX35*AY35</f>
        <v>1028.20477029231</v>
      </c>
      <c r="BA35" s="90" t="n">
        <f aca="false">IF(ISNUMBER(G35),AA35*G35,0)</f>
        <v>26.9382395205</v>
      </c>
      <c r="BB35" s="90" t="n">
        <f aca="false">IF(ISNUMBER(G35),AA35,0)</f>
        <v>4.811345</v>
      </c>
      <c r="BC35" s="90" t="n">
        <f aca="false">IF(AND(Y35=0,ISNUMBER(AF35)),AA35*AF35,0)</f>
        <v>296.268191065</v>
      </c>
      <c r="BD35" s="90" t="n">
        <f aca="false">IF(AND(Y35=0,ISNUMBER(AF35)),AA35,0)</f>
        <v>4.811345</v>
      </c>
      <c r="BE35" s="90" t="n">
        <f aca="false">IF(ISNUMBER(H35),AA35*H35,0)</f>
        <v>11.0396311025</v>
      </c>
      <c r="BF35" s="90" t="n">
        <f aca="false">IF(ISNUMBER(H35),AA35,0)</f>
        <v>4.811345</v>
      </c>
      <c r="BG35" s="90" t="n">
        <f aca="false">IF(AND(Y35=0,ISNUMBER(AF35),ISNUMBER(Z35)),AA35*Z35,0)</f>
        <v>11.0396311025</v>
      </c>
      <c r="BH35" s="90" t="n">
        <f aca="false">IF(AND(Y35=0,ISNUMBER(AF35),ISNUMBER(Z35)),AA35*AT35*MAX(Z35-1,0),0)</f>
        <v>46.4420833011866</v>
      </c>
      <c r="BI35" s="90" t="n">
        <f aca="false">IF(Y35=0,AA35,0)</f>
        <v>4.811345</v>
      </c>
    </row>
    <row r="36" customFormat="false" ht="15" hidden="false" customHeight="false" outlineLevel="0" collapsed="false">
      <c r="A36" s="83" t="str">
        <f aca="false">IFERROR(IF(INDEX(원자료_잔고!$A$1:$EZ$1500,설정!$L$5+ROW()-1,설정!$L$8)&amp;""="0","",INDEX(원자료_잔고!$A$1:$EZ$1500,설정!$L$5+ROW()-1,설정!$L$8)&amp;""),"")</f>
        <v>SOCGEN 5.249 05/22/29</v>
      </c>
      <c r="B36" s="83" t="str">
        <f aca="false">IFERROR(IF(INDEX(원자료_잔고!$A$1:$EZ$1500,설정!$L$5+ROW()-1,설정!$L$7)&amp;""="0","",INDEX(원자료_잔고!$A$1:$EZ$1500,설정!$L$5+ROW()-1,설정!$L$7)&amp;""),"")</f>
        <v>US83368TCJ51</v>
      </c>
      <c r="C36" s="83" t="str">
        <f aca="false">IFERROR(IF(INDEX(원자료_잔고!$A$1:$EZ$1500,설정!$L$5+ROW()-1,설정!$L$9)&amp;""="0","",INDEX(원자료_잔고!$A$1:$EZ$1500,설정!$L$5+ROW()-1,설정!$L$9)&amp;""),"")</f>
        <v>28096</v>
      </c>
      <c r="D3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" s="84" t="n">
        <f aca="false">IFERROR(IF(ISNUMBER(INDEX(원자료_잔고!$A$1:$EZ$1500,설정!$L$5+ROW()-1,설정!$L$11)),INDEX(원자료_잔고!$A$1:$EZ$1500,설정!$L$5+ROW()-1,설정!$L$11),""),"")</f>
        <v>1000000</v>
      </c>
      <c r="F36" s="85" t="n">
        <f aca="false">IFERROR(IF(ISNUMBER(INDEX(원자료_잔고!$A$1:$EZ$1500,설정!$L$5+ROW()-1,설정!$L$12)),INDEX(원자료_잔고!$A$1:$EZ$1500,설정!$L$5+ROW()-1,설정!$L$12),""),"")</f>
        <v>99.2107</v>
      </c>
      <c r="G36" s="85" t="n">
        <f aca="false">IFERROR(IF(ISNUMBER(INDEX(원자료_잔고!$A$1:$EZ$1500,설정!$L$5+ROW()-1,설정!$L$13)),INDEX(원자료_잔고!$A$1:$EZ$1500,설정!$L$5+ROW()-1,설정!$L$13),""),"")</f>
        <v>5.6983</v>
      </c>
      <c r="H36" s="85" t="n">
        <f aca="false">IFERROR(IF(ISNUMBER(INDEX(원자료_잔고!$A$1:$EZ$1500,설정!$L$5+ROW()-1,설정!$L$14)),INDEX(원자료_잔고!$A$1:$EZ$1500,설정!$L$5+ROW()-1,설정!$L$14),""),"")</f>
        <v>1.5088</v>
      </c>
      <c r="I36" s="86" t="n">
        <f aca="false">IFERROR(IF(ISNUMBER(INDEX(원자료_잔고!$A$1:$EZ$1500,설정!$L$5+ROW()-1,설정!$L$15)),INDEX(원자료_잔고!$A$1:$EZ$1500,설정!$L$5+ROW()-1,설정!$L$15),""),"")</f>
        <v>47260</v>
      </c>
      <c r="J36" s="85" t="n">
        <f aca="false">IFERROR(IF(ISNUMBER(INDEX(원자료_잔고!$A$1:$EZ$1500,설정!$L$5+ROW()-1,설정!$L$16)),INDEX(원자료_잔고!$A$1:$EZ$1500,설정!$L$5+ROW()-1,설정!$L$16),""),"")</f>
        <v>5.249</v>
      </c>
      <c r="K36" s="87" t="n">
        <f aca="false">IFERROR(IF(ISNUMBER(INDEX(원자료_잔고!$A$1:$EZ$1500,설정!$L$5+ROW()-1,설정!$L$17)),INDEX(원자료_잔고!$A$1:$EZ$1500,설정!$L$5+ROW()-1,설정!$L$17),""),"")</f>
        <v>1</v>
      </c>
      <c r="L36" s="84" t="n">
        <f aca="false">IFERROR(IF(ISNUMBER(INDEX(원자료_잔고!$A$1:$EZ$1500,설정!$L$5+ROW()-1,설정!$L$18)),INDEX(원자료_잔고!$A$1:$EZ$1500,설정!$L$5+ROW()-1,설정!$L$18),""),"")</f>
        <v>992107</v>
      </c>
      <c r="M36" s="88" t="n">
        <f aca="false">IFERROR(IF(ISNUMBER(INDEX(원자료_잔고!$A$1:$EZ$1500,설정!$L$5+ROW()-1,설정!$L$19)),INDEX(원자료_잔고!$A$1:$EZ$1500,설정!$L$5+ROW()-1,설정!$L$19),""),"")</f>
        <v>-28642</v>
      </c>
      <c r="N36" s="83" t="str">
        <f aca="false">IFERROR(IF(INDEX(원자료_잔고!$A$1:$EZ$1500,설정!$L$5+ROW()-1,설정!$L$21)&amp;""="0","",INDEX(원자료_잔고!$A$1:$EZ$1500,설정!$L$5+ROW()-1,설정!$L$21)&amp;""),"")</f>
        <v>BBB</v>
      </c>
      <c r="O36" s="83" t="str">
        <f aca="false">IFERROR(IF(INDEX(원자료_잔고!$A$1:$EZ$1500,설정!$L$5+ROW()-1,설정!$L$22)&amp;""="0","",INDEX(원자료_잔고!$A$1:$EZ$1500,설정!$L$5+ROW()-1,설정!$L$22)&amp;""),"")</f>
        <v/>
      </c>
      <c r="P36" s="83" t="str">
        <f aca="false">IFERROR(IF(INDEX(원자료_잔고!$A$1:$EZ$1500,설정!$L$5+ROW()-1,설정!$L$23)&amp;""="0","",INDEX(원자료_잔고!$A$1:$EZ$1500,설정!$L$5+ROW()-1,설정!$L$23)&amp;""),"")</f>
        <v>A-</v>
      </c>
      <c r="Q36" s="89" t="n">
        <f aca="false">IF(AND($A36&lt;&gt;"",ISNUMBER(E36)),IF(E36&gt;0,1,0),0)</f>
        <v>1</v>
      </c>
      <c r="R36" s="43" t="str">
        <f aca="false">IF(Q36=1,UPPER(LEFT($A36,FIND(" ",$A36&amp;" ")-1)),"")</f>
        <v>SOCGEN</v>
      </c>
      <c r="S36" s="89" t="n">
        <f aca="false">IF(Q36=1,IF(OR(ISNUMBER(SEARCH("Float",$A36)),ISNUMBER(SEARCH("FRN",$A36))),1,0),0)</f>
        <v>0</v>
      </c>
      <c r="T36" s="43" t="str">
        <f aca="false">IF(AND(Q36=1,ISNUMBER(I36)),TEXT(I36,"yyyymmdd")&amp;"|"&amp;IF(S36=1,"F",TEXT(J36,"0.000")),"")</f>
        <v>20290522|5.249</v>
      </c>
      <c r="U36" s="90" t="n">
        <f aca="false">IF(AND(Q36=1,ISNUMBER(I36)),(I36-설정!$C$4)/365.25,"")</f>
        <v>2.63928815879535</v>
      </c>
      <c r="V36" s="43" t="str">
        <f aca="false">IF(Q36&lt;&gt;1,"",IF(ISNUMBER(U36),IF(U36&lt;=1,"1년 이하",IF(U36&lt;=2,"1-2년",IF(U36&lt;=3,"2-3년",IF(U36&lt;=4,"3-4년",IF(U36&lt;=5,"4-5년",IF(U36&lt;=7,"5-7년",IF(U36&lt;=10,"7-10년",IF(U36&lt;=20,"10-20년","20년 이상")))))))),"미분류"))</f>
        <v>2-3년</v>
      </c>
      <c r="W36" s="43" t="str">
        <f aca="false">IF(Q36&lt;&gt;1,"",IF(AB36&lt;&gt;"",INDEX(시장분석!$C:$C,AB36),IF(K36=1,"USD","비USD")))</f>
        <v>USD</v>
      </c>
      <c r="X36" s="91" t="n">
        <f aca="false">IF(Q36=1,E36*K36/1000000,0)</f>
        <v>1</v>
      </c>
      <c r="Y36" s="89" t="n">
        <f aca="false">IF(R36="T",1,0)</f>
        <v>0</v>
      </c>
      <c r="Z36" s="92" t="n">
        <f aca="false">IF(Q36&lt;&gt;1,"",IF(AD36=1,IF(ISNUMBER(U36),MAX(U36,0),H36),H36))</f>
        <v>1.5088</v>
      </c>
      <c r="AA36" s="91" t="n">
        <f aca="false">IF(Q36=1,IF(ISNUMBER(L36),L36,0)*K36/1000000,0)</f>
        <v>0.992107</v>
      </c>
      <c r="AB36" s="89" t="n">
        <f aca="false">IF(Q36&lt;&gt;1,"",IFERROR(MATCH(VLOOKUP(B36,매핑!$H$4:$I$15,2,0),시장분석!$A$2:$A$601,0)+1,IFERROR(MATCH(R36&amp;"|"&amp;T36,시장분석!$V$2:$V$601,0)+1,IF(COUNTIF(시장분석!$U$2:$U$601,T36)=1,MATCH(T36,시장분석!$U$2:$U$601,0)+1,""))))</f>
        <v>115</v>
      </c>
      <c r="AC36" s="89" t="n">
        <f aca="false">IF(Q36&lt;&gt;1,0,IF(OR(설정!$C$5="전체",AND(설정!$C$5="선택펀드",IFERROR(COUNTIFS(설정!$F$16:$F$36,C36,설정!$G$16:$G$36,"Y")+COUNTIFS(설정!$F$16:$F$36,VALUE(C36),설정!$G$16:$G$36,"Y"),0)&gt;0),C36&amp;""=설정!$C$5&amp;""),1,0))</f>
        <v>1</v>
      </c>
      <c r="AD36" s="89" t="n">
        <f aca="false">IF(Q36&lt;&gt;1,0,IF(OR(S36=1,IF(AB36="",FALSE(),INDEX(시장분석!$R:$R,AB36)=1)),1,0))</f>
        <v>0</v>
      </c>
      <c r="AE36" s="43" t="str">
        <f aca="false">IF(AB36="","",INDEX(시장분석!$A:$A,AB36))</f>
        <v>SOCGEN 5.249 05/22/29</v>
      </c>
      <c r="AF36" s="93" t="n">
        <f aca="false">IF(AB36="","",IF(ISNUMBER(IF(AB36="","",INDEX(시장분석!$E:$E,AB36))),IF(AB36="","",INDEX(시장분석!$E:$E,AB36)),""))</f>
        <v>87.451</v>
      </c>
      <c r="AG36" s="43" t="str">
        <f aca="false">IF(Q36&lt;&gt;1,"",IF(AB36&lt;&gt;"",IF(AB36="","",INDEX(시장분석!$L:$L,AB36)),IFERROR(IF(VLOOKUP(R36,매핑!$A$4:$E$92,5,0)="","미분류",VLOOKUP(R36,매핑!$A$4:$E$92,5,0)),"미분류")))</f>
        <v>금융기관</v>
      </c>
      <c r="AH36" s="43" t="str">
        <f aca="false">IF(Q36&lt;&gt;1,"",IF(AB36&lt;&gt;"",IF(AB36="","",INDEX(시장분석!$N:$N,AB36)),IFERROR(IF(VLOOKUP(R36,매핑!$A$4:$E$92,4,0)="","미분류",VLOOKUP(R36,매핑!$A$4:$E$92,4,0)),"미분류")))</f>
        <v>유럽</v>
      </c>
      <c r="AI36" s="43" t="str">
        <f aca="false">IF(Q36&lt;&gt;1,"",IFERROR(IF(VLOOKUP(R36,매핑!$A$4:$E$92,3,0)="","미분류",VLOOKUP(R36,매핑!$A$4:$E$92,3,0)),IF(AB36&lt;&gt;"",IF(AB36="","",INDEX(시장분석!$W:$W,AB36)),"미분류")))</f>
        <v>프랑스</v>
      </c>
      <c r="AJ36" s="43" t="str">
        <f aca="false">IF(Q36&lt;&gt;1,"",IFERROR(VLOOKUP(IF(N36&lt;&gt;"",N36,IF(P36&lt;&gt;"",P36,O36)),설정!$A$15:$D$47,2,0),""))</f>
        <v>BBB</v>
      </c>
      <c r="AK36" s="43" t="str">
        <f aca="false">IF(Q36&lt;&gt;1,"",IF(AJ36="","무등급",IFERROR(VLOOKUP(AJ36,설정!$A$15:$D$47,3,0),"무등급")))</f>
        <v>BBB</v>
      </c>
      <c r="AL36" s="89" t="n">
        <f aca="false">IF(AJ36="",99,IFERROR(VLOOKUP(AJ36,설정!$A$15:$D$47,4,0),99))</f>
        <v>9</v>
      </c>
      <c r="AM36" s="94" t="n">
        <f aca="false">IF(ISNUMBER(H36),AA36*1000000*H36/10000,0)</f>
        <v>149.68910416</v>
      </c>
      <c r="AN36" s="94" t="n">
        <f aca="false">IF(OR(Y36=1,NOT(ISNUMBER(Z36))),0,AA36*1000000*Z36/10000)</f>
        <v>149.68910416</v>
      </c>
      <c r="AO36" s="94" t="n">
        <f aca="false">IF(ISNUMBER(G36),AA36*1000000*G36/100,0)</f>
        <v>56533.233181</v>
      </c>
      <c r="AP36" s="94" t="n">
        <f aca="false">IF(ISNUMBER(M36),M36*K36,0)</f>
        <v>-28642</v>
      </c>
      <c r="AQ36" s="95" t="n">
        <f aca="false">IF(AB36="","",INDEX(시장분석!$AK:$AK,AB36))</f>
        <v>2.76898475217221</v>
      </c>
      <c r="AR36" s="43" t="str">
        <f aca="false">IF(AB36="","-",IF(AB36="","",INDEX(시장분석!$AL:$AL,AB36)))</f>
        <v>Cheap</v>
      </c>
      <c r="AS36" s="96" t="n">
        <f aca="false">IF(AB36="","",INDEX(시장분석!$AJ:$AJ,AB36))</f>
        <v>30.4263828027255</v>
      </c>
      <c r="AT36" s="93" t="n">
        <f aca="false">IF(AB36="",0,IF(AB36="","",INDEX(시장분석!$AN:$AN,AB36)))</f>
        <v>31.2276281341018</v>
      </c>
      <c r="AU36" s="94" t="n">
        <f aca="false">IF(ISNUMBER(Z36),AT36/10000*MAX(Z36-1,0)*AA36*1000000,0)</f>
        <v>1576.32083391138</v>
      </c>
      <c r="AV36" s="94" t="n">
        <f aca="false">AO36+AU36</f>
        <v>58109.5540149114</v>
      </c>
      <c r="AW36" s="43" t="str">
        <f aca="false">IF(Q36&lt;&gt;1,"",TRIM(IF(AD36=1,"FRN ","")&amp;IF(AND(AL36&gt;=10,AL36&lt;99),"BBB0미만 ","")&amp;IF(AJ36="","등급없음 ","")&amp;IF(K36&lt;&gt;1,"비USD ","")&amp;IF(AND(AB36="",Y36=0),"시장데이터없음 ","")&amp;IF(AND(ISNUMBER(U36),U36&lt;0),"만기경과 ","")))</f>
        <v/>
      </c>
      <c r="AX36" s="90" t="n">
        <f aca="false">IF(Q36&lt;&gt;1,1,IF(스프레드쇼크!$C$4="Y",INDEX(스프레드쇼크!$B$12:$L$16,IFERROR(MATCH(AH36,스프레드쇼크!$A$12:$A$16,0),MATCH("목록외",스프레드쇼크!$A$12:$A$16,0)),IFERROR(MATCH(AG36,스프레드쇼크!$B$11:$L$11,0),MATCH("목록외",스프레드쇼크!$B$11:$L$11,0))),1))</f>
        <v>1</v>
      </c>
      <c r="AY36" s="90" t="n">
        <f aca="false">IF(스프레드쇼크!$C$5="Y",IF(ISNUMBER(AF36),MIN(스프레드쇼크!$C$7,MAX(스프레드쇼크!$C$6,AF36/스프레드쇼크!$C$8)),1),1)</f>
        <v>1.32273031356468</v>
      </c>
      <c r="AZ36" s="94" t="n">
        <f aca="false">AN36*AX36*AY36</f>
        <v>197.998315682773</v>
      </c>
      <c r="BA36" s="90" t="n">
        <f aca="false">IF(ISNUMBER(G36),AA36*G36,0)</f>
        <v>5.6533233181</v>
      </c>
      <c r="BB36" s="90" t="n">
        <f aca="false">IF(ISNUMBER(G36),AA36,0)</f>
        <v>0.992107</v>
      </c>
      <c r="BC36" s="90" t="n">
        <f aca="false">IF(AND(Y36=0,ISNUMBER(AF36)),AA36*AF36,0)</f>
        <v>86.760749257</v>
      </c>
      <c r="BD36" s="90" t="n">
        <f aca="false">IF(AND(Y36=0,ISNUMBER(AF36)),AA36,0)</f>
        <v>0.992107</v>
      </c>
      <c r="BE36" s="90" t="n">
        <f aca="false">IF(ISNUMBER(H36),AA36*H36,0)</f>
        <v>1.4968910416</v>
      </c>
      <c r="BF36" s="90" t="n">
        <f aca="false">IF(ISNUMBER(H36),AA36,0)</f>
        <v>0.992107</v>
      </c>
      <c r="BG36" s="90" t="n">
        <f aca="false">IF(AND(Y36=0,ISNUMBER(AF36),ISNUMBER(Z36)),AA36*Z36,0)</f>
        <v>1.4968910416</v>
      </c>
      <c r="BH36" s="90" t="n">
        <f aca="false">IF(AND(Y36=0,ISNUMBER(AF36),ISNUMBER(Z36)),AA36*AT36*MAX(Z36-1,0),0)</f>
        <v>15.7632083391138</v>
      </c>
      <c r="BI36" s="90" t="n">
        <f aca="false">IF(Y36=0,AA36,0)</f>
        <v>0.992107</v>
      </c>
    </row>
    <row r="37" customFormat="false" ht="15" hidden="false" customHeight="false" outlineLevel="0" collapsed="false">
      <c r="A37" s="83" t="str">
        <f aca="false">IFERROR(IF(INDEX(원자료_잔고!$A$1:$EZ$1500,설정!$L$5+ROW()-1,설정!$L$8)&amp;""="0","",INDEX(원자료_잔고!$A$1:$EZ$1500,설정!$L$5+ROW()-1,설정!$L$8)&amp;""),"")</f>
        <v>SUMIBK 4.494 01/15/32</v>
      </c>
      <c r="B37" s="83" t="str">
        <f aca="false">IFERROR(IF(INDEX(원자료_잔고!$A$1:$EZ$1500,설정!$L$5+ROW()-1,설정!$L$7)&amp;""="0","",INDEX(원자료_잔고!$A$1:$EZ$1500,설정!$L$5+ROW()-1,설정!$L$7)&amp;""),"")</f>
        <v>US86562MED83</v>
      </c>
      <c r="C37" s="83" t="str">
        <f aca="false">IFERROR(IF(INDEX(원자료_잔고!$A$1:$EZ$1500,설정!$L$5+ROW()-1,설정!$L$9)&amp;""="0","",INDEX(원자료_잔고!$A$1:$EZ$1500,설정!$L$5+ROW()-1,설정!$L$9)&amp;""),"")</f>
        <v>28096</v>
      </c>
      <c r="D3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" s="84" t="n">
        <f aca="false">IFERROR(IF(ISNUMBER(INDEX(원자료_잔고!$A$1:$EZ$1500,설정!$L$5+ROW()-1,설정!$L$11)),INDEX(원자료_잔고!$A$1:$EZ$1500,설정!$L$5+ROW()-1,설정!$L$11),""),"")</f>
        <v>5000000</v>
      </c>
      <c r="F37" s="85" t="n">
        <f aca="false">IFERROR(IF(ISNUMBER(INDEX(원자료_잔고!$A$1:$EZ$1500,설정!$L$5+ROW()-1,설정!$L$12)),INDEX(원자료_잔고!$A$1:$EZ$1500,설정!$L$5+ROW()-1,설정!$L$12),""),"")</f>
        <v>94.9975</v>
      </c>
      <c r="G37" s="85" t="n">
        <f aca="false">IFERROR(IF(ISNUMBER(INDEX(원자료_잔고!$A$1:$EZ$1500,설정!$L$5+ROW()-1,설정!$L$13)),INDEX(원자료_잔고!$A$1:$EZ$1500,설정!$L$5+ROW()-1,설정!$L$13),""),"")</f>
        <v>5.7502</v>
      </c>
      <c r="H37" s="85" t="n">
        <f aca="false">IFERROR(IF(ISNUMBER(INDEX(원자료_잔고!$A$1:$EZ$1500,설정!$L$5+ROW()-1,설정!$L$14)),INDEX(원자료_잔고!$A$1:$EZ$1500,설정!$L$5+ROW()-1,설정!$L$14),""),"")</f>
        <v>3.7633</v>
      </c>
      <c r="I37" s="86" t="n">
        <f aca="false">IFERROR(IF(ISNUMBER(INDEX(원자료_잔고!$A$1:$EZ$1500,설정!$L$5+ROW()-1,설정!$L$15)),INDEX(원자료_잔고!$A$1:$EZ$1500,설정!$L$5+ROW()-1,설정!$L$15),""),"")</f>
        <v>48228</v>
      </c>
      <c r="J37" s="85" t="n">
        <f aca="false">IFERROR(IF(ISNUMBER(INDEX(원자료_잔고!$A$1:$EZ$1500,설정!$L$5+ROW()-1,설정!$L$16)),INDEX(원자료_잔고!$A$1:$EZ$1500,설정!$L$5+ROW()-1,설정!$L$16),""),"")</f>
        <v>4.494</v>
      </c>
      <c r="K37" s="87" t="n">
        <f aca="false">IFERROR(IF(ISNUMBER(INDEX(원자료_잔고!$A$1:$EZ$1500,설정!$L$5+ROW()-1,설정!$L$17)),INDEX(원자료_잔고!$A$1:$EZ$1500,설정!$L$5+ROW()-1,설정!$L$17),""),"")</f>
        <v>1</v>
      </c>
      <c r="L37" s="84" t="n">
        <f aca="false">IFERROR(IF(ISNUMBER(INDEX(원자료_잔고!$A$1:$EZ$1500,설정!$L$5+ROW()-1,설정!$L$18)),INDEX(원자료_잔고!$A$1:$EZ$1500,설정!$L$5+ROW()-1,설정!$L$18),""),"")</f>
        <v>4749875</v>
      </c>
      <c r="M37" s="88" t="n">
        <f aca="false">IFERROR(IF(ISNUMBER(INDEX(원자료_잔고!$A$1:$EZ$1500,설정!$L$5+ROW()-1,설정!$L$19)),INDEX(원자료_잔고!$A$1:$EZ$1500,설정!$L$5+ROW()-1,설정!$L$19),""),"")</f>
        <v>-174125</v>
      </c>
      <c r="N37" s="83" t="str">
        <f aca="false">IFERROR(IF(INDEX(원자료_잔고!$A$1:$EZ$1500,설정!$L$5+ROW()-1,설정!$L$21)&amp;""="0","",INDEX(원자료_잔고!$A$1:$EZ$1500,설정!$L$5+ROW()-1,설정!$L$21)&amp;""),"")</f>
        <v>A-</v>
      </c>
      <c r="O37" s="83" t="str">
        <f aca="false">IFERROR(IF(INDEX(원자료_잔고!$A$1:$EZ$1500,설정!$L$5+ROW()-1,설정!$L$22)&amp;""="0","",INDEX(원자료_잔고!$A$1:$EZ$1500,설정!$L$5+ROW()-1,설정!$L$22)&amp;""),"")</f>
        <v>A1</v>
      </c>
      <c r="P37" s="83" t="str">
        <f aca="false">IFERROR(IF(INDEX(원자료_잔고!$A$1:$EZ$1500,설정!$L$5+ROW()-1,설정!$L$23)&amp;""="0","",INDEX(원자료_잔고!$A$1:$EZ$1500,설정!$L$5+ROW()-1,설정!$L$23)&amp;""),"")</f>
        <v>A-</v>
      </c>
      <c r="Q37" s="89" t="n">
        <f aca="false">IF(AND($A37&lt;&gt;"",ISNUMBER(E37)),IF(E37&gt;0,1,0),0)</f>
        <v>1</v>
      </c>
      <c r="R37" s="43" t="str">
        <f aca="false">IF(Q37=1,UPPER(LEFT($A37,FIND(" ",$A37&amp;" ")-1)),"")</f>
        <v>SUMIBK</v>
      </c>
      <c r="S37" s="89" t="n">
        <f aca="false">IF(Q37=1,IF(OR(ISNUMBER(SEARCH("Float",$A37)),ISNUMBER(SEARCH("FRN",$A37))),1,0),0)</f>
        <v>0</v>
      </c>
      <c r="T37" s="43" t="str">
        <f aca="false">IF(AND(Q37=1,ISNUMBER(I37)),TEXT(I37,"yyyymmdd")&amp;"|"&amp;IF(S37=1,"F",TEXT(J37,"0.000")),"")</f>
        <v>20320115|4.494</v>
      </c>
      <c r="U37" s="90" t="n">
        <f aca="false">IF(AND(Q37=1,ISNUMBER(I37)),(I37-설정!$C$4)/365.25,"")</f>
        <v>5.28952772073922</v>
      </c>
      <c r="V37" s="43" t="str">
        <f aca="false">IF(Q37&lt;&gt;1,"",IF(ISNUMBER(U37),IF(U37&lt;=1,"1년 이하",IF(U37&lt;=2,"1-2년",IF(U37&lt;=3,"2-3년",IF(U37&lt;=4,"3-4년",IF(U37&lt;=5,"4-5년",IF(U37&lt;=7,"5-7년",IF(U37&lt;=10,"7-10년",IF(U37&lt;=20,"10-20년","20년 이상")))))))),"미분류"))</f>
        <v>5-7년</v>
      </c>
      <c r="W37" s="43" t="str">
        <f aca="false">IF(Q37&lt;&gt;1,"",IF(AB37&lt;&gt;"",INDEX(시장분석!$C:$C,AB37),IF(K37=1,"USD","비USD")))</f>
        <v>USD</v>
      </c>
      <c r="X37" s="91" t="n">
        <f aca="false">IF(Q37=1,E37*K37/1000000,0)</f>
        <v>5</v>
      </c>
      <c r="Y37" s="89" t="n">
        <f aca="false">IF(R37="T",1,0)</f>
        <v>0</v>
      </c>
      <c r="Z37" s="92" t="n">
        <f aca="false">IF(Q37&lt;&gt;1,"",IF(AD37=1,IF(ISNUMBER(U37),MAX(U37,0),H37),H37))</f>
        <v>3.7633</v>
      </c>
      <c r="AA37" s="91" t="n">
        <f aca="false">IF(Q37=1,IF(ISNUMBER(L37),L37,0)*K37/1000000,0)</f>
        <v>4.749875</v>
      </c>
      <c r="AB37" s="89" t="n">
        <f aca="false">IF(Q37&lt;&gt;1,"",IFERROR(MATCH(VLOOKUP(B37,매핑!$H$4:$I$15,2,0),시장분석!$A$2:$A$601,0)+1,IFERROR(MATCH(R37&amp;"|"&amp;T37,시장분석!$V$2:$V$601,0)+1,IF(COUNTIF(시장분석!$U$2:$U$601,T37)=1,MATCH(T37,시장분석!$U$2:$U$601,0)+1,""))))</f>
        <v>116</v>
      </c>
      <c r="AC37" s="89" t="n">
        <f aca="false">IF(Q37&lt;&gt;1,0,IF(OR(설정!$C$5="전체",AND(설정!$C$5="선택펀드",IFERROR(COUNTIFS(설정!$F$16:$F$36,C37,설정!$G$16:$G$36,"Y")+COUNTIFS(설정!$F$16:$F$36,VALUE(C37),설정!$G$16:$G$36,"Y"),0)&gt;0),C37&amp;""=설정!$C$5&amp;""),1,0))</f>
        <v>1</v>
      </c>
      <c r="AD37" s="89" t="n">
        <f aca="false">IF(Q37&lt;&gt;1,0,IF(OR(S37=1,IF(AB37="",FALSE(),INDEX(시장분석!$R:$R,AB37)=1)),1,0))</f>
        <v>0</v>
      </c>
      <c r="AE37" s="43" t="str">
        <f aca="false">IF(AB37="","",INDEX(시장분석!$A:$A,AB37))</f>
        <v>SUMIBK 4.494 01/15/32</v>
      </c>
      <c r="AF37" s="93" t="n">
        <f aca="false">IF(AB37="","",IF(ISNUMBER(IF(AB37="","",INDEX(시장분석!$E:$E,AB37))),IF(AB37="","",INDEX(시장분석!$E:$E,AB37)),""))</f>
        <v>78.25</v>
      </c>
      <c r="AG37" s="43" t="str">
        <f aca="false">IF(Q37&lt;&gt;1,"",IF(AB37&lt;&gt;"",IF(AB37="","",INDEX(시장분석!$L:$L,AB37)),IFERROR(IF(VLOOKUP(R37,매핑!$A$4:$E$92,5,0)="","미분류",VLOOKUP(R37,매핑!$A$4:$E$92,5,0)),"미분류")))</f>
        <v>금융기관</v>
      </c>
      <c r="AH37" s="43" t="str">
        <f aca="false">IF(Q37&lt;&gt;1,"",IF(AB37&lt;&gt;"",IF(AB37="","",INDEX(시장분석!$N:$N,AB37)),IFERROR(IF(VLOOKUP(R37,매핑!$A$4:$E$92,4,0)="","미분류",VLOOKUP(R37,매핑!$A$4:$E$92,4,0)),"미분류")))</f>
        <v>아시아/기타</v>
      </c>
      <c r="AI37" s="43" t="str">
        <f aca="false">IF(Q37&lt;&gt;1,"",IFERROR(IF(VLOOKUP(R37,매핑!$A$4:$E$92,3,0)="","미분류",VLOOKUP(R37,매핑!$A$4:$E$92,3,0)),IF(AB37&lt;&gt;"",IF(AB37="","",INDEX(시장분석!$W:$W,AB37)),"미분류")))</f>
        <v>일본</v>
      </c>
      <c r="AJ37" s="43" t="str">
        <f aca="false">IF(Q37&lt;&gt;1,"",IFERROR(VLOOKUP(IF(N37&lt;&gt;"",N37,IF(P37&lt;&gt;"",P37,O37)),설정!$A$15:$D$47,2,0),""))</f>
        <v>A-</v>
      </c>
      <c r="AK37" s="43" t="str">
        <f aca="false">IF(Q37&lt;&gt;1,"",IF(AJ37="","무등급",IFERROR(VLOOKUP(AJ37,설정!$A$15:$D$47,3,0),"무등급")))</f>
        <v>A</v>
      </c>
      <c r="AL37" s="89" t="n">
        <f aca="false">IF(AJ37="",99,IFERROR(VLOOKUP(AJ37,설정!$A$15:$D$47,4,0),99))</f>
        <v>7</v>
      </c>
      <c r="AM37" s="94" t="n">
        <f aca="false">IF(ISNUMBER(H37),AA37*1000000*H37/10000,0)</f>
        <v>1787.52045875</v>
      </c>
      <c r="AN37" s="94" t="n">
        <f aca="false">IF(OR(Y37=1,NOT(ISNUMBER(Z37))),0,AA37*1000000*Z37/10000)</f>
        <v>1787.52045875</v>
      </c>
      <c r="AO37" s="94" t="n">
        <f aca="false">IF(ISNUMBER(G37),AA37*1000000*G37/100,0)</f>
        <v>273127.31225</v>
      </c>
      <c r="AP37" s="94" t="n">
        <f aca="false">IF(ISNUMBER(M37),M37*K37,0)</f>
        <v>-174125</v>
      </c>
      <c r="AQ37" s="95" t="n">
        <f aca="false">IF(AB37="","",INDEX(시장분석!$AK:$AK,AB37))</f>
        <v>0.449397469986605</v>
      </c>
      <c r="AR37" s="43" t="str">
        <f aca="false">IF(AB37="","-",IF(AB37="","",INDEX(시장분석!$AL:$AL,AB37)))</f>
        <v>Fair</v>
      </c>
      <c r="AS37" s="96" t="n">
        <f aca="false">IF(AB37="","",INDEX(시장분석!$AJ:$AJ,AB37))</f>
        <v>9.20077844501115</v>
      </c>
      <c r="AT37" s="93" t="n">
        <f aca="false">IF(AB37="",0,IF(AB37="","",INDEX(시장분석!$AN:$AN,AB37)))</f>
        <v>4.12721645218051</v>
      </c>
      <c r="AU37" s="94" t="n">
        <f aca="false">IF(ISNUMBER(Z37),AT37/10000*MAX(Z37-1,0)*AA37*1000000,0)</f>
        <v>5417.10762138217</v>
      </c>
      <c r="AV37" s="94" t="n">
        <f aca="false">AO37+AU37</f>
        <v>278544.419871382</v>
      </c>
      <c r="AW37" s="43" t="str">
        <f aca="false">IF(Q37&lt;&gt;1,"",TRIM(IF(AD37=1,"FRN ","")&amp;IF(AND(AL37&gt;=10,AL37&lt;99),"BBB0미만 ","")&amp;IF(AJ37="","등급없음 ","")&amp;IF(K37&lt;&gt;1,"비USD ","")&amp;IF(AND(AB37="",Y37=0),"시장데이터없음 ","")&amp;IF(AND(ISNUMBER(U37),U37&lt;0),"만기경과 ","")))</f>
        <v/>
      </c>
      <c r="AX37" s="90" t="n">
        <f aca="false">IF(Q37&lt;&gt;1,1,IF(스프레드쇼크!$C$4="Y",INDEX(스프레드쇼크!$B$12:$L$16,IFERROR(MATCH(AH37,스프레드쇼크!$A$12:$A$16,0),MATCH("목록외",스프레드쇼크!$A$12:$A$16,0)),IFERROR(MATCH(AG37,스프레드쇼크!$B$11:$L$11,0),MATCH("목록외",스프레드쇼크!$B$11:$L$11,0))),1))</f>
        <v>1</v>
      </c>
      <c r="AY37" s="90" t="n">
        <f aca="false">IF(스프레드쇼크!$C$5="Y",IF(ISNUMBER(AF37),MIN(스프레드쇼크!$C$7,MAX(스프레드쇼크!$C$6,AF37/스프레드쇼크!$C$8)),1),1)</f>
        <v>1.18356161777952</v>
      </c>
      <c r="AZ37" s="94" t="n">
        <f aca="false">AN37*AX37*AY37</f>
        <v>2115.64060597213</v>
      </c>
      <c r="BA37" s="90" t="n">
        <f aca="false">IF(ISNUMBER(G37),AA37*G37,0)</f>
        <v>27.312731225</v>
      </c>
      <c r="BB37" s="90" t="n">
        <f aca="false">IF(ISNUMBER(G37),AA37,0)</f>
        <v>4.749875</v>
      </c>
      <c r="BC37" s="90" t="n">
        <f aca="false">IF(AND(Y37=0,ISNUMBER(AF37)),AA37*AF37,0)</f>
        <v>371.67771875</v>
      </c>
      <c r="BD37" s="90" t="n">
        <f aca="false">IF(AND(Y37=0,ISNUMBER(AF37)),AA37,0)</f>
        <v>4.749875</v>
      </c>
      <c r="BE37" s="90" t="n">
        <f aca="false">IF(ISNUMBER(H37),AA37*H37,0)</f>
        <v>17.8752045875</v>
      </c>
      <c r="BF37" s="90" t="n">
        <f aca="false">IF(ISNUMBER(H37),AA37,0)</f>
        <v>4.749875</v>
      </c>
      <c r="BG37" s="90" t="n">
        <f aca="false">IF(AND(Y37=0,ISNUMBER(AF37),ISNUMBER(Z37)),AA37*Z37,0)</f>
        <v>17.8752045875</v>
      </c>
      <c r="BH37" s="90" t="n">
        <f aca="false">IF(AND(Y37=0,ISNUMBER(AF37),ISNUMBER(Z37)),AA37*AT37*MAX(Z37-1,0),0)</f>
        <v>54.1710762138217</v>
      </c>
      <c r="BI37" s="90" t="n">
        <f aca="false">IF(Y37=0,AA37,0)</f>
        <v>4.749875</v>
      </c>
    </row>
    <row r="38" customFormat="false" ht="15" hidden="false" customHeight="false" outlineLevel="0" collapsed="false">
      <c r="A38" s="83" t="str">
        <f aca="false">IFERROR(IF(INDEX(원자료_잔고!$A$1:$EZ$1500,설정!$L$5+ROW()-1,설정!$L$8)&amp;""="0","",INDEX(원자료_잔고!$A$1:$EZ$1500,설정!$L$5+ROW()-1,설정!$L$8)&amp;""),"")</f>
        <v>WFC 4.577 05/20/29</v>
      </c>
      <c r="B38" s="83" t="str">
        <f aca="false">IFERROR(IF(INDEX(원자료_잔고!$A$1:$EZ$1500,설정!$L$5+ROW()-1,설정!$L$7)&amp;""="0","",INDEX(원자료_잔고!$A$1:$EZ$1500,설정!$L$5+ROW()-1,설정!$L$7)&amp;""),"")</f>
        <v>US95000U4H36</v>
      </c>
      <c r="C38" s="83" t="str">
        <f aca="false">IFERROR(IF(INDEX(원자료_잔고!$A$1:$EZ$1500,설정!$L$5+ROW()-1,설정!$L$9)&amp;""="0","",INDEX(원자료_잔고!$A$1:$EZ$1500,설정!$L$5+ROW()-1,설정!$L$9)&amp;""),"")</f>
        <v>28096</v>
      </c>
      <c r="D3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" s="84" t="n">
        <f aca="false">IFERROR(IF(ISNUMBER(INDEX(원자료_잔고!$A$1:$EZ$1500,설정!$L$5+ROW()-1,설정!$L$11)),INDEX(원자료_잔고!$A$1:$EZ$1500,설정!$L$5+ROW()-1,설정!$L$11),""),"")</f>
        <v>5000000</v>
      </c>
      <c r="F38" s="85" t="n">
        <f aca="false">IFERROR(IF(ISNUMBER(INDEX(원자료_잔고!$A$1:$EZ$1500,설정!$L$5+ROW()-1,설정!$L$12)),INDEX(원자료_잔고!$A$1:$EZ$1500,설정!$L$5+ROW()-1,설정!$L$12),""),"")</f>
        <v>98.7279</v>
      </c>
      <c r="G38" s="85" t="n">
        <f aca="false">IFERROR(IF(ISNUMBER(INDEX(원자료_잔고!$A$1:$EZ$1500,설정!$L$5+ROW()-1,설정!$L$13)),INDEX(원자료_잔고!$A$1:$EZ$1500,설정!$L$5+ROW()-1,설정!$L$13),""),"")</f>
        <v>5.3051</v>
      </c>
      <c r="H38" s="85" t="n">
        <f aca="false">IFERROR(IF(ISNUMBER(INDEX(원자료_잔고!$A$1:$EZ$1500,설정!$L$5+ROW()-1,설정!$L$14)),INDEX(원자료_잔고!$A$1:$EZ$1500,설정!$L$5+ROW()-1,설정!$L$14),""),"")</f>
        <v>1.5189</v>
      </c>
      <c r="I38" s="86" t="n">
        <f aca="false">IFERROR(IF(ISNUMBER(INDEX(원자료_잔고!$A$1:$EZ$1500,설정!$L$5+ROW()-1,설정!$L$15)),INDEX(원자료_잔고!$A$1:$EZ$1500,설정!$L$5+ROW()-1,설정!$L$15),""),"")</f>
        <v>47258</v>
      </c>
      <c r="J38" s="85" t="n">
        <f aca="false">IFERROR(IF(ISNUMBER(INDEX(원자료_잔고!$A$1:$EZ$1500,설정!$L$5+ROW()-1,설정!$L$16)),INDEX(원자료_잔고!$A$1:$EZ$1500,설정!$L$5+ROW()-1,설정!$L$16),""),"")</f>
        <v>4.577</v>
      </c>
      <c r="K38" s="87" t="n">
        <f aca="false">IFERROR(IF(ISNUMBER(INDEX(원자료_잔고!$A$1:$EZ$1500,설정!$L$5+ROW()-1,설정!$L$17)),INDEX(원자료_잔고!$A$1:$EZ$1500,설정!$L$5+ROW()-1,설정!$L$17),""),"")</f>
        <v>1</v>
      </c>
      <c r="L38" s="84" t="n">
        <f aca="false">IFERROR(IF(ISNUMBER(INDEX(원자료_잔고!$A$1:$EZ$1500,설정!$L$5+ROW()-1,설정!$L$18)),INDEX(원자료_잔고!$A$1:$EZ$1500,설정!$L$5+ROW()-1,설정!$L$18),""),"")</f>
        <v>4936395</v>
      </c>
      <c r="M38" s="88" t="n">
        <f aca="false">IFERROR(IF(ISNUMBER(INDEX(원자료_잔고!$A$1:$EZ$1500,설정!$L$5+ROW()-1,설정!$L$19)),INDEX(원자료_잔고!$A$1:$EZ$1500,설정!$L$5+ROW()-1,설정!$L$19),""),"")</f>
        <v>-60455</v>
      </c>
      <c r="N38" s="83" t="str">
        <f aca="false">IFERROR(IF(INDEX(원자료_잔고!$A$1:$EZ$1500,설정!$L$5+ROW()-1,설정!$L$21)&amp;""="0","",INDEX(원자료_잔고!$A$1:$EZ$1500,설정!$L$5+ROW()-1,설정!$L$21)&amp;""),"")</f>
        <v>A-</v>
      </c>
      <c r="O38" s="83" t="str">
        <f aca="false">IFERROR(IF(INDEX(원자료_잔고!$A$1:$EZ$1500,설정!$L$5+ROW()-1,설정!$L$22)&amp;""="0","",INDEX(원자료_잔고!$A$1:$EZ$1500,설정!$L$5+ROW()-1,설정!$L$22)&amp;""),"")</f>
        <v/>
      </c>
      <c r="P38" s="83" t="str">
        <f aca="false">IFERROR(IF(INDEX(원자료_잔고!$A$1:$EZ$1500,설정!$L$5+ROW()-1,설정!$L$23)&amp;""="0","",INDEX(원자료_잔고!$A$1:$EZ$1500,설정!$L$5+ROW()-1,설정!$L$23)&amp;""),"")</f>
        <v>A+</v>
      </c>
      <c r="Q38" s="89" t="n">
        <f aca="false">IF(AND($A38&lt;&gt;"",ISNUMBER(E38)),IF(E38&gt;0,1,0),0)</f>
        <v>1</v>
      </c>
      <c r="R38" s="43" t="str">
        <f aca="false">IF(Q38=1,UPPER(LEFT($A38,FIND(" ",$A38&amp;" ")-1)),"")</f>
        <v>WFC</v>
      </c>
      <c r="S38" s="89" t="n">
        <f aca="false">IF(Q38=1,IF(OR(ISNUMBER(SEARCH("Float",$A38)),ISNUMBER(SEARCH("FRN",$A38))),1,0),0)</f>
        <v>0</v>
      </c>
      <c r="T38" s="43" t="str">
        <f aca="false">IF(AND(Q38=1,ISNUMBER(I38)),TEXT(I38,"yyyymmdd")&amp;"|"&amp;IF(S38=1,"F",TEXT(J38,"0.000")),"")</f>
        <v>20290520|4.577</v>
      </c>
      <c r="U38" s="90" t="n">
        <f aca="false">IF(AND(Q38=1,ISNUMBER(I38)),(I38-설정!$C$4)/365.25,"")</f>
        <v>2.63381245722108</v>
      </c>
      <c r="V38" s="43" t="str">
        <f aca="false">IF(Q38&lt;&gt;1,"",IF(ISNUMBER(U38),IF(U38&lt;=1,"1년 이하",IF(U38&lt;=2,"1-2년",IF(U38&lt;=3,"2-3년",IF(U38&lt;=4,"3-4년",IF(U38&lt;=5,"4-5년",IF(U38&lt;=7,"5-7년",IF(U38&lt;=10,"7-10년",IF(U38&lt;=20,"10-20년","20년 이상")))))))),"미분류"))</f>
        <v>2-3년</v>
      </c>
      <c r="W38" s="43" t="str">
        <f aca="false">IF(Q38&lt;&gt;1,"",IF(AB38&lt;&gt;"",INDEX(시장분석!$C:$C,AB38),IF(K38=1,"USD","비USD")))</f>
        <v>USD</v>
      </c>
      <c r="X38" s="91" t="n">
        <f aca="false">IF(Q38=1,E38*K38/1000000,0)</f>
        <v>5</v>
      </c>
      <c r="Y38" s="89" t="n">
        <f aca="false">IF(R38="T",1,0)</f>
        <v>0</v>
      </c>
      <c r="Z38" s="92" t="n">
        <f aca="false">IF(Q38&lt;&gt;1,"",IF(AD38=1,IF(ISNUMBER(U38),MAX(U38,0),H38),H38))</f>
        <v>1.5189</v>
      </c>
      <c r="AA38" s="91" t="n">
        <f aca="false">IF(Q38=1,IF(ISNUMBER(L38),L38,0)*K38/1000000,0)</f>
        <v>4.936395</v>
      </c>
      <c r="AB38" s="89" t="n">
        <f aca="false">IF(Q38&lt;&gt;1,"",IFERROR(MATCH(VLOOKUP(B38,매핑!$H$4:$I$15,2,0),시장분석!$A$2:$A$601,0)+1,IFERROR(MATCH(R38&amp;"|"&amp;T38,시장분석!$V$2:$V$601,0)+1,IF(COUNTIF(시장분석!$U$2:$U$601,T38)=1,MATCH(T38,시장분석!$U$2:$U$601,0)+1,""))))</f>
        <v>132</v>
      </c>
      <c r="AC38" s="89" t="n">
        <f aca="false">IF(Q38&lt;&gt;1,0,IF(OR(설정!$C$5="전체",AND(설정!$C$5="선택펀드",IFERROR(COUNTIFS(설정!$F$16:$F$36,C38,설정!$G$16:$G$36,"Y")+COUNTIFS(설정!$F$16:$F$36,VALUE(C38),설정!$G$16:$G$36,"Y"),0)&gt;0),C38&amp;""=설정!$C$5&amp;""),1,0))</f>
        <v>1</v>
      </c>
      <c r="AD38" s="89" t="n">
        <f aca="false">IF(Q38&lt;&gt;1,0,IF(OR(S38=1,IF(AB38="",FALSE(),INDEX(시장분석!$R:$R,AB38)=1)),1,0))</f>
        <v>0</v>
      </c>
      <c r="AE38" s="43" t="str">
        <f aca="false">IF(AB38="","",INDEX(시장분석!$A:$A,AB38))</f>
        <v>WFC 4.577 05/20/29</v>
      </c>
      <c r="AF38" s="93" t="n">
        <f aca="false">IF(AB38="","",IF(ISNUMBER(IF(AB38="","",INDEX(시장분석!$E:$E,AB38))),IF(AB38="","",INDEX(시장분석!$E:$E,AB38)),""))</f>
        <v>55.866</v>
      </c>
      <c r="AG38" s="43" t="str">
        <f aca="false">IF(Q38&lt;&gt;1,"",IF(AB38&lt;&gt;"",IF(AB38="","",INDEX(시장분석!$L:$L,AB38)),IFERROR(IF(VLOOKUP(R38,매핑!$A$4:$E$92,5,0)="","미분류",VLOOKUP(R38,매핑!$A$4:$E$92,5,0)),"미분류")))</f>
        <v>금융기관</v>
      </c>
      <c r="AH38" s="43" t="str">
        <f aca="false">IF(Q38&lt;&gt;1,"",IF(AB38&lt;&gt;"",IF(AB38="","",INDEX(시장분석!$N:$N,AB38)),IFERROR(IF(VLOOKUP(R38,매핑!$A$4:$E$92,4,0)="","미분류",VLOOKUP(R38,매핑!$A$4:$E$92,4,0)),"미분류")))</f>
        <v>미국</v>
      </c>
      <c r="AI38" s="43" t="str">
        <f aca="false">IF(Q38&lt;&gt;1,"",IFERROR(IF(VLOOKUP(R38,매핑!$A$4:$E$92,3,0)="","미분류",VLOOKUP(R38,매핑!$A$4:$E$92,3,0)),IF(AB38&lt;&gt;"",IF(AB38="","",INDEX(시장분석!$W:$W,AB38)),"미분류")))</f>
        <v>미국</v>
      </c>
      <c r="AJ38" s="43" t="str">
        <f aca="false">IF(Q38&lt;&gt;1,"",IFERROR(VLOOKUP(IF(N38&lt;&gt;"",N38,IF(P38&lt;&gt;"",P38,O38)),설정!$A$15:$D$47,2,0),""))</f>
        <v>A-</v>
      </c>
      <c r="AK38" s="43" t="str">
        <f aca="false">IF(Q38&lt;&gt;1,"",IF(AJ38="","무등급",IFERROR(VLOOKUP(AJ38,설정!$A$15:$D$47,3,0),"무등급")))</f>
        <v>A</v>
      </c>
      <c r="AL38" s="89" t="n">
        <f aca="false">IF(AJ38="",99,IFERROR(VLOOKUP(AJ38,설정!$A$15:$D$47,4,0),99))</f>
        <v>7</v>
      </c>
      <c r="AM38" s="94" t="n">
        <f aca="false">IF(ISNUMBER(H38),AA38*1000000*H38/10000,0)</f>
        <v>749.78903655</v>
      </c>
      <c r="AN38" s="94" t="n">
        <f aca="false">IF(OR(Y38=1,NOT(ISNUMBER(Z38))),0,AA38*1000000*Z38/10000)</f>
        <v>749.78903655</v>
      </c>
      <c r="AO38" s="94" t="n">
        <f aca="false">IF(ISNUMBER(G38),AA38*1000000*G38/100,0)</f>
        <v>261880.691145</v>
      </c>
      <c r="AP38" s="94" t="n">
        <f aca="false">IF(ISNUMBER(M38),M38*K38,0)</f>
        <v>-60455</v>
      </c>
      <c r="AQ38" s="95" t="n">
        <f aca="false">IF(AB38="","",INDEX(시장분석!$AK:$AK,AB38))</f>
        <v>-0.0721615144647177</v>
      </c>
      <c r="AR38" s="43" t="str">
        <f aca="false">IF(AB38="","-",IF(AB38="","",INDEX(시장분석!$AL:$AL,AB38)))</f>
        <v>Fair</v>
      </c>
      <c r="AS38" s="96" t="n">
        <f aca="false">IF(AB38="","",INDEX(시장분석!$AJ:$AJ,AB38))</f>
        <v>-0.986966096567102</v>
      </c>
      <c r="AT38" s="93" t="n">
        <f aca="false">IF(AB38="",0,IF(AB38="","",INDEX(시장분석!$AN:$AN,AB38)))</f>
        <v>21.0801424379377</v>
      </c>
      <c r="AU38" s="94" t="n">
        <f aca="false">IF(ISNUMBER(Z38),AT38/10000*MAX(Z38-1,0)*AA38*1000000,0)</f>
        <v>5399.66871588573</v>
      </c>
      <c r="AV38" s="94" t="n">
        <f aca="false">AO38+AU38</f>
        <v>267280.359860886</v>
      </c>
      <c r="AW38" s="43" t="str">
        <f aca="false">IF(Q38&lt;&gt;1,"",TRIM(IF(AD38=1,"FRN ","")&amp;IF(AND(AL38&gt;=10,AL38&lt;99),"BBB0미만 ","")&amp;IF(AJ38="","등급없음 ","")&amp;IF(K38&lt;&gt;1,"비USD ","")&amp;IF(AND(AB38="",Y38=0),"시장데이터없음 ","")&amp;IF(AND(ISNUMBER(U38),U38&lt;0),"만기경과 ","")))</f>
        <v/>
      </c>
      <c r="AX38" s="90" t="n">
        <f aca="false">IF(Q38&lt;&gt;1,1,IF(스프레드쇼크!$C$4="Y",INDEX(스프레드쇼크!$B$12:$L$16,IFERROR(MATCH(AH38,스프레드쇼크!$A$12:$A$16,0),MATCH("목록외",스프레드쇼크!$A$12:$A$16,0)),IFERROR(MATCH(AG38,스프레드쇼크!$B$11:$L$11,0),MATCH("목록외",스프레드쇼크!$B$11:$L$11,0))),1))</f>
        <v>1</v>
      </c>
      <c r="AY38" s="90" t="n">
        <f aca="false">IF(스프레드쇼크!$C$5="Y",IF(ISNUMBER(AF38),MIN(스프레드쇼크!$C$7,MAX(스프레드쇼크!$C$6,AF38/스프레드쇼크!$C$8)),1),1)</f>
        <v>0.844994930848184</v>
      </c>
      <c r="AZ38" s="94" t="n">
        <f aca="false">AN38*AX38*AY38</f>
        <v>633.567935090294</v>
      </c>
      <c r="BA38" s="90" t="n">
        <f aca="false">IF(ISNUMBER(G38),AA38*G38,0)</f>
        <v>26.1880691145</v>
      </c>
      <c r="BB38" s="90" t="n">
        <f aca="false">IF(ISNUMBER(G38),AA38,0)</f>
        <v>4.936395</v>
      </c>
      <c r="BC38" s="90" t="n">
        <f aca="false">IF(AND(Y38=0,ISNUMBER(AF38)),AA38*AF38,0)</f>
        <v>275.77664307</v>
      </c>
      <c r="BD38" s="90" t="n">
        <f aca="false">IF(AND(Y38=0,ISNUMBER(AF38)),AA38,0)</f>
        <v>4.936395</v>
      </c>
      <c r="BE38" s="90" t="n">
        <f aca="false">IF(ISNUMBER(H38),AA38*H38,0)</f>
        <v>7.4978903655</v>
      </c>
      <c r="BF38" s="90" t="n">
        <f aca="false">IF(ISNUMBER(H38),AA38,0)</f>
        <v>4.936395</v>
      </c>
      <c r="BG38" s="90" t="n">
        <f aca="false">IF(AND(Y38=0,ISNUMBER(AF38),ISNUMBER(Z38)),AA38*Z38,0)</f>
        <v>7.4978903655</v>
      </c>
      <c r="BH38" s="90" t="n">
        <f aca="false">IF(AND(Y38=0,ISNUMBER(AF38),ISNUMBER(Z38)),AA38*AT38*MAX(Z38-1,0),0)</f>
        <v>53.9966871588573</v>
      </c>
      <c r="BI38" s="90" t="n">
        <f aca="false">IF(Y38=0,AA38,0)</f>
        <v>4.936395</v>
      </c>
    </row>
    <row r="39" customFormat="false" ht="15" hidden="false" customHeight="false" outlineLevel="0" collapsed="false">
      <c r="A39" s="83" t="str">
        <f aca="false">IFERROR(IF(INDEX(원자료_잔고!$A$1:$EZ$1500,설정!$L$5+ROW()-1,설정!$L$8)&amp;""="0","",INDEX(원자료_잔고!$A$1:$EZ$1500,설정!$L$5+ROW()-1,설정!$L$8)&amp;""),"")</f>
        <v>WOORIB 5.125 08/06/28</v>
      </c>
      <c r="B39" s="83" t="str">
        <f aca="false">IFERROR(IF(INDEX(원자료_잔고!$A$1:$EZ$1500,설정!$L$5+ROW()-1,설정!$L$7)&amp;""="0","",INDEX(원자료_잔고!$A$1:$EZ$1500,설정!$L$5+ROW()-1,설정!$L$7)&amp;""),"")</f>
        <v>US98105HAG56</v>
      </c>
      <c r="C39" s="83" t="str">
        <f aca="false">IFERROR(IF(INDEX(원자료_잔고!$A$1:$EZ$1500,설정!$L$5+ROW()-1,설정!$L$9)&amp;""="0","",INDEX(원자료_잔고!$A$1:$EZ$1500,설정!$L$5+ROW()-1,설정!$L$9)&amp;""),"")</f>
        <v>28096</v>
      </c>
      <c r="D3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" s="84" t="n">
        <f aca="false">IFERROR(IF(ISNUMBER(INDEX(원자료_잔고!$A$1:$EZ$1500,설정!$L$5+ROW()-1,설정!$L$11)),INDEX(원자료_잔고!$A$1:$EZ$1500,설정!$L$5+ROW()-1,설정!$L$11),""),"")</f>
        <v>17300000</v>
      </c>
      <c r="F39" s="85" t="n">
        <f aca="false">IFERROR(IF(ISNUMBER(INDEX(원자료_잔고!$A$1:$EZ$1500,설정!$L$5+ROW()-1,설정!$L$12)),INDEX(원자료_잔고!$A$1:$EZ$1500,설정!$L$5+ROW()-1,설정!$L$12),""),"")</f>
        <v>99.3581</v>
      </c>
      <c r="G39" s="85" t="n">
        <f aca="false">IFERROR(IF(ISNUMBER(INDEX(원자료_잔고!$A$1:$EZ$1500,설정!$L$5+ROW()-1,설정!$L$13)),INDEX(원자료_잔고!$A$1:$EZ$1500,설정!$L$5+ROW()-1,설정!$L$13),""),"")</f>
        <v>5.4904</v>
      </c>
      <c r="H39" s="85" t="n">
        <f aca="false">IFERROR(IF(ISNUMBER(INDEX(원자료_잔고!$A$1:$EZ$1500,설정!$L$5+ROW()-1,설정!$L$14)),INDEX(원자료_잔고!$A$1:$EZ$1500,설정!$L$5+ROW()-1,설정!$L$14),""),"")</f>
        <v>1.7064</v>
      </c>
      <c r="I39" s="86" t="n">
        <f aca="false">IFERROR(IF(ISNUMBER(INDEX(원자료_잔고!$A$1:$EZ$1500,설정!$L$5+ROW()-1,설정!$L$15)),INDEX(원자료_잔고!$A$1:$EZ$1500,설정!$L$5+ROW()-1,설정!$L$15),""),"")</f>
        <v>46971</v>
      </c>
      <c r="J39" s="85" t="n">
        <f aca="false">IFERROR(IF(ISNUMBER(INDEX(원자료_잔고!$A$1:$EZ$1500,설정!$L$5+ROW()-1,설정!$L$16)),INDEX(원자료_잔고!$A$1:$EZ$1500,설정!$L$5+ROW()-1,설정!$L$16),""),"")</f>
        <v>5.125</v>
      </c>
      <c r="K39" s="87" t="n">
        <f aca="false">IFERROR(IF(ISNUMBER(INDEX(원자료_잔고!$A$1:$EZ$1500,설정!$L$5+ROW()-1,설정!$L$17)),INDEX(원자료_잔고!$A$1:$EZ$1500,설정!$L$5+ROW()-1,설정!$L$17),""),"")</f>
        <v>1</v>
      </c>
      <c r="L39" s="84" t="n">
        <f aca="false">IFERROR(IF(ISNUMBER(INDEX(원자료_잔고!$A$1:$EZ$1500,설정!$L$5+ROW()-1,설정!$L$18)),INDEX(원자료_잔고!$A$1:$EZ$1500,설정!$L$5+ROW()-1,설정!$L$18),""),"")</f>
        <v>17188951.3</v>
      </c>
      <c r="M39" s="88" t="n">
        <f aca="false">IFERROR(IF(ISNUMBER(INDEX(원자료_잔고!$A$1:$EZ$1500,설정!$L$5+ROW()-1,설정!$L$19)),INDEX(원자료_잔고!$A$1:$EZ$1500,설정!$L$5+ROW()-1,설정!$L$19),""),"")</f>
        <v>-543479.5</v>
      </c>
      <c r="N39" s="83" t="str">
        <f aca="false">IFERROR(IF(INDEX(원자료_잔고!$A$1:$EZ$1500,설정!$L$5+ROW()-1,설정!$L$21)&amp;""="0","",INDEX(원자료_잔고!$A$1:$EZ$1500,설정!$L$5+ROW()-1,설정!$L$21)&amp;""),"")</f>
        <v>BBB+</v>
      </c>
      <c r="O39" s="83" t="str">
        <f aca="false">IFERROR(IF(INDEX(원자료_잔고!$A$1:$EZ$1500,설정!$L$5+ROW()-1,설정!$L$22)&amp;""="0","",INDEX(원자료_잔고!$A$1:$EZ$1500,설정!$L$5+ROW()-1,설정!$L$22)&amp;""),"")</f>
        <v/>
      </c>
      <c r="P39" s="83" t="str">
        <f aca="false">IFERROR(IF(INDEX(원자료_잔고!$A$1:$EZ$1500,설정!$L$5+ROW()-1,설정!$L$23)&amp;""="0","",INDEX(원자료_잔고!$A$1:$EZ$1500,설정!$L$5+ROW()-1,설정!$L$23)&amp;""),"")</f>
        <v>N/A</v>
      </c>
      <c r="Q39" s="89" t="n">
        <f aca="false">IF(AND($A39&lt;&gt;"",ISNUMBER(E39)),IF(E39&gt;0,1,0),0)</f>
        <v>1</v>
      </c>
      <c r="R39" s="43" t="str">
        <f aca="false">IF(Q39=1,UPPER(LEFT($A39,FIND(" ",$A39&amp;" ")-1)),"")</f>
        <v>WOORIB</v>
      </c>
      <c r="S39" s="89" t="n">
        <f aca="false">IF(Q39=1,IF(OR(ISNUMBER(SEARCH("Float",$A39)),ISNUMBER(SEARCH("FRN",$A39))),1,0),0)</f>
        <v>0</v>
      </c>
      <c r="T39" s="43" t="str">
        <f aca="false">IF(AND(Q39=1,ISNUMBER(I39)),TEXT(I39,"yyyymmdd")&amp;"|"&amp;IF(S39=1,"F",TEXT(J39,"0.000")),"")</f>
        <v>20280806|5.125</v>
      </c>
      <c r="U39" s="90" t="n">
        <f aca="false">IF(AND(Q39=1,ISNUMBER(I39)),(I39-설정!$C$4)/365.25,"")</f>
        <v>1.84804928131417</v>
      </c>
      <c r="V39" s="43" t="str">
        <f aca="false">IF(Q39&lt;&gt;1,"",IF(ISNUMBER(U39),IF(U39&lt;=1,"1년 이하",IF(U39&lt;=2,"1-2년",IF(U39&lt;=3,"2-3년",IF(U39&lt;=4,"3-4년",IF(U39&lt;=5,"4-5년",IF(U39&lt;=7,"5-7년",IF(U39&lt;=10,"7-10년",IF(U39&lt;=20,"10-20년","20년 이상")))))))),"미분류"))</f>
        <v>1-2년</v>
      </c>
      <c r="W39" s="43" t="str">
        <f aca="false">IF(Q39&lt;&gt;1,"",IF(AB39&lt;&gt;"",INDEX(시장분석!$C:$C,AB39),IF(K39=1,"USD","비USD")))</f>
        <v>USD</v>
      </c>
      <c r="X39" s="91" t="n">
        <f aca="false">IF(Q39=1,E39*K39/1000000,0)</f>
        <v>17.3</v>
      </c>
      <c r="Y39" s="89" t="n">
        <f aca="false">IF(R39="T",1,0)</f>
        <v>0</v>
      </c>
      <c r="Z39" s="92" t="n">
        <f aca="false">IF(Q39&lt;&gt;1,"",IF(AD39=1,IF(ISNUMBER(U39),MAX(U39,0),H39),H39))</f>
        <v>1.7064</v>
      </c>
      <c r="AA39" s="91" t="n">
        <f aca="false">IF(Q39=1,IF(ISNUMBER(L39),L39,0)*K39/1000000,0)</f>
        <v>17.1889513</v>
      </c>
      <c r="AB39" s="89" t="n">
        <f aca="false">IF(Q39&lt;&gt;1,"",IFERROR(MATCH(VLOOKUP(B39,매핑!$H$4:$I$15,2,0),시장분석!$A$2:$A$601,0)+1,IFERROR(MATCH(R39&amp;"|"&amp;T39,시장분석!$V$2:$V$601,0)+1,IF(COUNTIF(시장분석!$U$2:$U$601,T39)=1,MATCH(T39,시장분석!$U$2:$U$601,0)+1,""))))</f>
        <v>135</v>
      </c>
      <c r="AC39" s="89" t="n">
        <f aca="false">IF(Q39&lt;&gt;1,0,IF(OR(설정!$C$5="전체",AND(설정!$C$5="선택펀드",IFERROR(COUNTIFS(설정!$F$16:$F$36,C39,설정!$G$16:$G$36,"Y")+COUNTIFS(설정!$F$16:$F$36,VALUE(C39),설정!$G$16:$G$36,"Y"),0)&gt;0),C39&amp;""=설정!$C$5&amp;""),1,0))</f>
        <v>1</v>
      </c>
      <c r="AD39" s="89" t="n">
        <f aca="false">IF(Q39&lt;&gt;1,0,IF(OR(S39=1,IF(AB39="",FALSE(),INDEX(시장분석!$R:$R,AB39)=1)),1,0))</f>
        <v>0</v>
      </c>
      <c r="AE39" s="43" t="str">
        <f aca="false">IF(AB39="","",INDEX(시장분석!$A:$A,AB39))</f>
        <v>WOORIB 5 1/8 08/06/28</v>
      </c>
      <c r="AF39" s="93" t="n">
        <f aca="false">IF(AB39="","",IF(ISNUMBER(IF(AB39="","",INDEX(시장분석!$E:$E,AB39))),IF(AB39="","",INDEX(시장분석!$E:$E,AB39)),""))</f>
        <v>66.29</v>
      </c>
      <c r="AG39" s="43" t="str">
        <f aca="false">IF(Q39&lt;&gt;1,"",IF(AB39&lt;&gt;"",IF(AB39="","",INDEX(시장분석!$L:$L,AB39)),IFERROR(IF(VLOOKUP(R39,매핑!$A$4:$E$92,5,0)="","미분류",VLOOKUP(R39,매핑!$A$4:$E$92,5,0)),"미분류")))</f>
        <v>금융기관</v>
      </c>
      <c r="AH39" s="43" t="str">
        <f aca="false">IF(Q39&lt;&gt;1,"",IF(AB39&lt;&gt;"",IF(AB39="","",INDEX(시장분석!$N:$N,AB39)),IFERROR(IF(VLOOKUP(R39,매핑!$A$4:$E$92,4,0)="","미분류",VLOOKUP(R39,매핑!$A$4:$E$92,4,0)),"미분류")))</f>
        <v>아시아/기타</v>
      </c>
      <c r="AI39" s="43" t="str">
        <f aca="false">IF(Q39&lt;&gt;1,"",IFERROR(IF(VLOOKUP(R39,매핑!$A$4:$E$92,3,0)="","미분류",VLOOKUP(R39,매핑!$A$4:$E$92,3,0)),IF(AB39&lt;&gt;"",IF(AB39="","",INDEX(시장분석!$W:$W,AB39)),"미분류")))</f>
        <v>한국</v>
      </c>
      <c r="AJ39" s="43" t="str">
        <f aca="false">IF(Q39&lt;&gt;1,"",IFERROR(VLOOKUP(IF(N39&lt;&gt;"",N39,IF(P39&lt;&gt;"",P39,O39)),설정!$A$15:$D$47,2,0),""))</f>
        <v>BBB+</v>
      </c>
      <c r="AK39" s="43" t="str">
        <f aca="false">IF(Q39&lt;&gt;1,"",IF(AJ39="","무등급",IFERROR(VLOOKUP(AJ39,설정!$A$15:$D$47,3,0),"무등급")))</f>
        <v>BBB</v>
      </c>
      <c r="AL39" s="89" t="n">
        <f aca="false">IF(AJ39="",99,IFERROR(VLOOKUP(AJ39,설정!$A$15:$D$47,4,0),99))</f>
        <v>8</v>
      </c>
      <c r="AM39" s="94" t="n">
        <f aca="false">IF(ISNUMBER(H39),AA39*1000000*H39/10000,0)</f>
        <v>2933.122649832</v>
      </c>
      <c r="AN39" s="94" t="n">
        <f aca="false">IF(OR(Y39=1,NOT(ISNUMBER(Z39))),0,AA39*1000000*Z39/10000)</f>
        <v>2933.122649832</v>
      </c>
      <c r="AO39" s="94" t="n">
        <f aca="false">IF(ISNUMBER(G39),AA39*1000000*G39/100,0)</f>
        <v>943742.1821752</v>
      </c>
      <c r="AP39" s="94" t="n">
        <f aca="false">IF(ISNUMBER(M39),M39*K39,0)</f>
        <v>-543479.5</v>
      </c>
      <c r="AQ39" s="95" t="n">
        <f aca="false">IF(AB39="","",INDEX(시장분석!$AK:$AK,AB39))</f>
        <v>0.401761338162567</v>
      </c>
      <c r="AR39" s="43" t="str">
        <f aca="false">IF(AB39="","-",IF(AB39="","",INDEX(시장분석!$AL:$AL,AB39)))</f>
        <v>Fair</v>
      </c>
      <c r="AS39" s="96" t="n">
        <f aca="false">IF(AB39="","",INDEX(시장분석!$AJ:$AJ,AB39))</f>
        <v>8.22549592972823</v>
      </c>
      <c r="AT39" s="93" t="n">
        <f aca="false">IF(AB39="",0,IF(AB39="","",INDEX(시장분석!$AN:$AN,AB39)))</f>
        <v>11.5848311641749</v>
      </c>
      <c r="AU39" s="94" t="n">
        <f aca="false">IF(ISNUMBER(Z39),AT39/10000*MAX(Z39-1,0)*AA39*1000000,0)</f>
        <v>14066.6208121485</v>
      </c>
      <c r="AV39" s="94" t="n">
        <f aca="false">AO39+AU39</f>
        <v>957808.802987349</v>
      </c>
      <c r="AW39" s="43" t="str">
        <f aca="false">IF(Q39&lt;&gt;1,"",TRIM(IF(AD39=1,"FRN ","")&amp;IF(AND(AL39&gt;=10,AL39&lt;99),"BBB0미만 ","")&amp;IF(AJ39="","등급없음 ","")&amp;IF(K39&lt;&gt;1,"비USD ","")&amp;IF(AND(AB39="",Y39=0),"시장데이터없음 ","")&amp;IF(AND(ISNUMBER(U39),U39&lt;0),"만기경과 ","")))</f>
        <v/>
      </c>
      <c r="AX39" s="90" t="n">
        <f aca="false">IF(Q39&lt;&gt;1,1,IF(스프레드쇼크!$C$4="Y",INDEX(스프레드쇼크!$B$12:$L$16,IFERROR(MATCH(AH39,스프레드쇼크!$A$12:$A$16,0),MATCH("목록외",스프레드쇼크!$A$12:$A$16,0)),IFERROR(MATCH(AG39,스프레드쇼크!$B$11:$L$11,0),MATCH("목록외",스프레드쇼크!$B$11:$L$11,0))),1))</f>
        <v>1</v>
      </c>
      <c r="AY39" s="90" t="n">
        <f aca="false">IF(스프레드쇼크!$C$5="Y",IF(ISNUMBER(AF39),MIN(스프레드쇼크!$C$7,MAX(스프레드쇼크!$C$6,AF39/스프레드쇼크!$C$8)),1),1)</f>
        <v>1.00266197626331</v>
      </c>
      <c r="AZ39" s="94" t="n">
        <f aca="false">AN39*AX39*AY39</f>
        <v>2940.93055270323</v>
      </c>
      <c r="BA39" s="90" t="n">
        <f aca="false">IF(ISNUMBER(G39),AA39*G39,0)</f>
        <v>94.37421821752</v>
      </c>
      <c r="BB39" s="90" t="n">
        <f aca="false">IF(ISNUMBER(G39),AA39,0)</f>
        <v>17.1889513</v>
      </c>
      <c r="BC39" s="90" t="n">
        <f aca="false">IF(AND(Y39=0,ISNUMBER(AF39)),AA39*AF39,0)</f>
        <v>1139.455581677</v>
      </c>
      <c r="BD39" s="90" t="n">
        <f aca="false">IF(AND(Y39=0,ISNUMBER(AF39)),AA39,0)</f>
        <v>17.1889513</v>
      </c>
      <c r="BE39" s="90" t="n">
        <f aca="false">IF(ISNUMBER(H39),AA39*H39,0)</f>
        <v>29.33122649832</v>
      </c>
      <c r="BF39" s="90" t="n">
        <f aca="false">IF(ISNUMBER(H39),AA39,0)</f>
        <v>17.1889513</v>
      </c>
      <c r="BG39" s="90" t="n">
        <f aca="false">IF(AND(Y39=0,ISNUMBER(AF39),ISNUMBER(Z39)),AA39*Z39,0)</f>
        <v>29.33122649832</v>
      </c>
      <c r="BH39" s="90" t="n">
        <f aca="false">IF(AND(Y39=0,ISNUMBER(AF39),ISNUMBER(Z39)),AA39*AT39*MAX(Z39-1,0),0)</f>
        <v>140.666208121485</v>
      </c>
      <c r="BI39" s="90" t="n">
        <f aca="false">IF(Y39=0,AA39,0)</f>
        <v>17.1889513</v>
      </c>
    </row>
    <row r="40" customFormat="false" ht="15" hidden="false" customHeight="false" outlineLevel="0" collapsed="false">
      <c r="A40" s="83" t="str">
        <f aca="false">IFERROR(IF(INDEX(원자료_잔고!$A$1:$EZ$1500,설정!$L$5+ROW()-1,설정!$L$8)&amp;""="0","",INDEX(원자료_잔고!$A$1:$EZ$1500,설정!$L$5+ROW()-1,설정!$L$8)&amp;""),"")</f>
        <v>STANLN 7.018 02/08/30</v>
      </c>
      <c r="B40" s="83" t="str">
        <f aca="false">IFERROR(IF(INDEX(원자료_잔고!$A$1:$EZ$1500,설정!$L$5+ROW()-1,설정!$L$7)&amp;""="0","",INDEX(원자료_잔고!$A$1:$EZ$1500,설정!$L$5+ROW()-1,설정!$L$7)&amp;""),"")</f>
        <v>USG84228FZ63</v>
      </c>
      <c r="C40" s="83" t="str">
        <f aca="false">IFERROR(IF(INDEX(원자료_잔고!$A$1:$EZ$1500,설정!$L$5+ROW()-1,설정!$L$9)&amp;""="0","",INDEX(원자료_잔고!$A$1:$EZ$1500,설정!$L$5+ROW()-1,설정!$L$9)&amp;""),"")</f>
        <v>28096</v>
      </c>
      <c r="D4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" s="84" t="n">
        <f aca="false">IFERROR(IF(ISNUMBER(INDEX(원자료_잔고!$A$1:$EZ$1500,설정!$L$5+ROW()-1,설정!$L$11)),INDEX(원자료_잔고!$A$1:$EZ$1500,설정!$L$5+ROW()-1,설정!$L$11),""),"")</f>
        <v>12000000</v>
      </c>
      <c r="F40" s="85" t="n">
        <f aca="false">IFERROR(IF(ISNUMBER(INDEX(원자료_잔고!$A$1:$EZ$1500,설정!$L$5+ROW()-1,설정!$L$12)),INDEX(원자료_잔고!$A$1:$EZ$1500,설정!$L$5+ROW()-1,설정!$L$12),""),"")</f>
        <v>102.8679</v>
      </c>
      <c r="G40" s="85" t="n">
        <f aca="false">IFERROR(IF(ISNUMBER(INDEX(원자료_잔고!$A$1:$EZ$1500,설정!$L$5+ROW()-1,설정!$L$13)),INDEX(원자료_잔고!$A$1:$EZ$1500,설정!$L$5+ROW()-1,설정!$L$13),""),"")</f>
        <v>5.8112</v>
      </c>
      <c r="H40" s="85" t="n">
        <f aca="false">IFERROR(IF(ISNUMBER(INDEX(원자료_잔고!$A$1:$EZ$1500,설정!$L$5+ROW()-1,설정!$L$14)),INDEX(원자료_잔고!$A$1:$EZ$1500,설정!$L$5+ROW()-1,설정!$L$14),""),"")</f>
        <v>2.0907</v>
      </c>
      <c r="I40" s="86" t="n">
        <f aca="false">IFERROR(IF(ISNUMBER(INDEX(원자료_잔고!$A$1:$EZ$1500,설정!$L$5+ROW()-1,설정!$L$15)),INDEX(원자료_잔고!$A$1:$EZ$1500,설정!$L$5+ROW()-1,설정!$L$15),""),"")</f>
        <v>47522</v>
      </c>
      <c r="J40" s="85" t="n">
        <f aca="false">IFERROR(IF(ISNUMBER(INDEX(원자료_잔고!$A$1:$EZ$1500,설정!$L$5+ROW()-1,설정!$L$16)),INDEX(원자료_잔고!$A$1:$EZ$1500,설정!$L$5+ROW()-1,설정!$L$16),""),"")</f>
        <v>7.018</v>
      </c>
      <c r="K40" s="87" t="n">
        <f aca="false">IFERROR(IF(ISNUMBER(INDEX(원자료_잔고!$A$1:$EZ$1500,설정!$L$5+ROW()-1,설정!$L$17)),INDEX(원자료_잔고!$A$1:$EZ$1500,설정!$L$5+ROW()-1,설정!$L$17),""),"")</f>
        <v>1</v>
      </c>
      <c r="L40" s="84" t="n">
        <f aca="false">IFERROR(IF(ISNUMBER(INDEX(원자료_잔고!$A$1:$EZ$1500,설정!$L$5+ROW()-1,설정!$L$18)),INDEX(원자료_잔고!$A$1:$EZ$1500,설정!$L$5+ROW()-1,설정!$L$18),""),"")</f>
        <v>12344148</v>
      </c>
      <c r="M40" s="88" t="n">
        <f aca="false">IFERROR(IF(ISNUMBER(INDEX(원자료_잔고!$A$1:$EZ$1500,설정!$L$5+ROW()-1,설정!$L$19)),INDEX(원자료_잔고!$A$1:$EZ$1500,설정!$L$5+ROW()-1,설정!$L$19),""),"")</f>
        <v>-586644</v>
      </c>
      <c r="N40" s="83" t="str">
        <f aca="false">IFERROR(IF(INDEX(원자료_잔고!$A$1:$EZ$1500,설정!$L$5+ROW()-1,설정!$L$21)&amp;""="0","",INDEX(원자료_잔고!$A$1:$EZ$1500,설정!$L$5+ROW()-1,설정!$L$21)&amp;""),"")</f>
        <v>BBB+</v>
      </c>
      <c r="O40" s="83" t="str">
        <f aca="false">IFERROR(IF(INDEX(원자료_잔고!$A$1:$EZ$1500,설정!$L$5+ROW()-1,설정!$L$22)&amp;""="0","",INDEX(원자료_잔고!$A$1:$EZ$1500,설정!$L$5+ROW()-1,설정!$L$22)&amp;""),"")</f>
        <v/>
      </c>
      <c r="P40" s="83" t="str">
        <f aca="false">IFERROR(IF(INDEX(원자료_잔고!$A$1:$EZ$1500,설정!$L$5+ROW()-1,설정!$L$23)&amp;""="0","",INDEX(원자료_잔고!$A$1:$EZ$1500,설정!$L$5+ROW()-1,설정!$L$23)&amp;""),"")</f>
        <v>A</v>
      </c>
      <c r="Q40" s="89" t="n">
        <f aca="false">IF(AND($A40&lt;&gt;"",ISNUMBER(E40)),IF(E40&gt;0,1,0),0)</f>
        <v>1</v>
      </c>
      <c r="R40" s="43" t="str">
        <f aca="false">IF(Q40=1,UPPER(LEFT($A40,FIND(" ",$A40&amp;" ")-1)),"")</f>
        <v>STANLN</v>
      </c>
      <c r="S40" s="89" t="n">
        <f aca="false">IF(Q40=1,IF(OR(ISNUMBER(SEARCH("Float",$A40)),ISNUMBER(SEARCH("FRN",$A40))),1,0),0)</f>
        <v>0</v>
      </c>
      <c r="T40" s="43" t="str">
        <f aca="false">IF(AND(Q40=1,ISNUMBER(I40)),TEXT(I40,"yyyymmdd")&amp;"|"&amp;IF(S40=1,"F",TEXT(J40,"0.000")),"")</f>
        <v>20300208|7.018</v>
      </c>
      <c r="U40" s="90" t="n">
        <f aca="false">IF(AND(Q40=1,ISNUMBER(I40)),(I40-설정!$C$4)/365.25,"")</f>
        <v>3.35660506502396</v>
      </c>
      <c r="V40" s="43" t="str">
        <f aca="false">IF(Q40&lt;&gt;1,"",IF(ISNUMBER(U40),IF(U40&lt;=1,"1년 이하",IF(U40&lt;=2,"1-2년",IF(U40&lt;=3,"2-3년",IF(U40&lt;=4,"3-4년",IF(U40&lt;=5,"4-5년",IF(U40&lt;=7,"5-7년",IF(U40&lt;=10,"7-10년",IF(U40&lt;=20,"10-20년","20년 이상")))))))),"미분류"))</f>
        <v>3-4년</v>
      </c>
      <c r="W40" s="43" t="str">
        <f aca="false">IF(Q40&lt;&gt;1,"",IF(AB40&lt;&gt;"",INDEX(시장분석!$C:$C,AB40),IF(K40=1,"USD","비USD")))</f>
        <v>USD</v>
      </c>
      <c r="X40" s="91" t="n">
        <f aca="false">IF(Q40=1,E40*K40/1000000,0)</f>
        <v>12</v>
      </c>
      <c r="Y40" s="89" t="n">
        <f aca="false">IF(R40="T",1,0)</f>
        <v>0</v>
      </c>
      <c r="Z40" s="92" t="n">
        <f aca="false">IF(Q40&lt;&gt;1,"",IF(AD40=1,IF(ISNUMBER(U40),MAX(U40,0),H40),H40))</f>
        <v>2.0907</v>
      </c>
      <c r="AA40" s="91" t="n">
        <f aca="false">IF(Q40=1,IF(ISNUMBER(L40),L40,0)*K40/1000000,0)</f>
        <v>12.344148</v>
      </c>
      <c r="AB40" s="89" t="n">
        <f aca="false">IF(Q40&lt;&gt;1,"",IFERROR(MATCH(VLOOKUP(B40,매핑!$H$4:$I$15,2,0),시장분석!$A$2:$A$601,0)+1,IFERROR(MATCH(R40&amp;"|"&amp;T40,시장분석!$V$2:$V$601,0)+1,IF(COUNTIF(시장분석!$U$2:$U$601,T40)=1,MATCH(T40,시장분석!$U$2:$U$601,0)+1,""))))</f>
        <v>138</v>
      </c>
      <c r="AC40" s="89" t="n">
        <f aca="false">IF(Q40&lt;&gt;1,0,IF(OR(설정!$C$5="전체",AND(설정!$C$5="선택펀드",IFERROR(COUNTIFS(설정!$F$16:$F$36,C40,설정!$G$16:$G$36,"Y")+COUNTIFS(설정!$F$16:$F$36,VALUE(C40),설정!$G$16:$G$36,"Y"),0)&gt;0),C40&amp;""=설정!$C$5&amp;""),1,0))</f>
        <v>1</v>
      </c>
      <c r="AD40" s="89" t="n">
        <f aca="false">IF(Q40&lt;&gt;1,0,IF(OR(S40=1,IF(AB40="",FALSE(),INDEX(시장분석!$R:$R,AB40)=1)),1,0))</f>
        <v>0</v>
      </c>
      <c r="AE40" s="43" t="str">
        <f aca="false">IF(AB40="","",INDEX(시장분석!$A:$A,AB40))</f>
        <v>STANLN 7.018 02/08/30</v>
      </c>
      <c r="AF40" s="93" t="n">
        <f aca="false">IF(AB40="","",IF(ISNUMBER(IF(AB40="","",INDEX(시장분석!$E:$E,AB40))),IF(AB40="","",INDEX(시장분석!$E:$E,AB40)),""))</f>
        <v>71.312</v>
      </c>
      <c r="AG40" s="43" t="str">
        <f aca="false">IF(Q40&lt;&gt;1,"",IF(AB40&lt;&gt;"",IF(AB40="","",INDEX(시장분석!$L:$L,AB40)),IFERROR(IF(VLOOKUP(R40,매핑!$A$4:$E$92,5,0)="","미분류",VLOOKUP(R40,매핑!$A$4:$E$92,5,0)),"미분류")))</f>
        <v>금융기관</v>
      </c>
      <c r="AH40" s="43" t="str">
        <f aca="false">IF(Q40&lt;&gt;1,"",IF(AB40&lt;&gt;"",IF(AB40="","",INDEX(시장분석!$N:$N,AB40)),IFERROR(IF(VLOOKUP(R40,매핑!$A$4:$E$92,4,0)="","미분류",VLOOKUP(R40,매핑!$A$4:$E$92,4,0)),"미분류")))</f>
        <v>유럽</v>
      </c>
      <c r="AI40" s="43" t="str">
        <f aca="false">IF(Q40&lt;&gt;1,"",IFERROR(IF(VLOOKUP(R40,매핑!$A$4:$E$92,3,0)="","미분류",VLOOKUP(R40,매핑!$A$4:$E$92,3,0)),IF(AB40&lt;&gt;"",IF(AB40="","",INDEX(시장분석!$W:$W,AB40)),"미분류")))</f>
        <v>영국</v>
      </c>
      <c r="AJ40" s="43" t="str">
        <f aca="false">IF(Q40&lt;&gt;1,"",IFERROR(VLOOKUP(IF(N40&lt;&gt;"",N40,IF(P40&lt;&gt;"",P40,O40)),설정!$A$15:$D$47,2,0),""))</f>
        <v>BBB+</v>
      </c>
      <c r="AK40" s="43" t="str">
        <f aca="false">IF(Q40&lt;&gt;1,"",IF(AJ40="","무등급",IFERROR(VLOOKUP(AJ40,설정!$A$15:$D$47,3,0),"무등급")))</f>
        <v>BBB</v>
      </c>
      <c r="AL40" s="89" t="n">
        <f aca="false">IF(AJ40="",99,IFERROR(VLOOKUP(AJ40,설정!$A$15:$D$47,4,0),99))</f>
        <v>8</v>
      </c>
      <c r="AM40" s="94" t="n">
        <f aca="false">IF(ISNUMBER(H40),AA40*1000000*H40/10000,0)</f>
        <v>2580.79102236</v>
      </c>
      <c r="AN40" s="94" t="n">
        <f aca="false">IF(OR(Y40=1,NOT(ISNUMBER(Z40))),0,AA40*1000000*Z40/10000)</f>
        <v>2580.79102236</v>
      </c>
      <c r="AO40" s="94" t="n">
        <f aca="false">IF(ISNUMBER(G40),AA40*1000000*G40/100,0)</f>
        <v>717343.128576</v>
      </c>
      <c r="AP40" s="94" t="n">
        <f aca="false">IF(ISNUMBER(M40),M40*K40,0)</f>
        <v>-586644</v>
      </c>
      <c r="AQ40" s="95" t="n">
        <f aca="false">IF(AB40="","",INDEX(시장분석!$AK:$AK,AB40))</f>
        <v>0.362742897620477</v>
      </c>
      <c r="AR40" s="43" t="str">
        <f aca="false">IF(AB40="","-",IF(AB40="","",INDEX(시장분석!$AL:$AL,AB40)))</f>
        <v>Fair</v>
      </c>
      <c r="AS40" s="96" t="n">
        <f aca="false">IF(AB40="","",INDEX(시장분석!$AJ:$AJ,AB40))</f>
        <v>3.98592092401817</v>
      </c>
      <c r="AT40" s="93" t="n">
        <f aca="false">IF(AB40="",0,IF(AB40="","",INDEX(시장분석!$AN:$AN,AB40)))</f>
        <v>18.6657035353366</v>
      </c>
      <c r="AU40" s="94" t="n">
        <f aca="false">IF(ISNUMBER(Z40),AT40/10000*MAX(Z40-1,0)*AA40*1000000,0)</f>
        <v>25131.0594135981</v>
      </c>
      <c r="AV40" s="94" t="n">
        <f aca="false">AO40+AU40</f>
        <v>742474.187989598</v>
      </c>
      <c r="AW40" s="43" t="str">
        <f aca="false">IF(Q40&lt;&gt;1,"",TRIM(IF(AD40=1,"FRN ","")&amp;IF(AND(AL40&gt;=10,AL40&lt;99),"BBB0미만 ","")&amp;IF(AJ40="","등급없음 ","")&amp;IF(K40&lt;&gt;1,"비USD ","")&amp;IF(AND(AB40="",Y40=0),"시장데이터없음 ","")&amp;IF(AND(ISNUMBER(U40),U40&lt;0),"만기경과 ","")))</f>
        <v/>
      </c>
      <c r="AX40" s="90" t="n">
        <f aca="false">IF(Q40&lt;&gt;1,1,IF(스프레드쇼크!$C$4="Y",INDEX(스프레드쇼크!$B$12:$L$16,IFERROR(MATCH(AH40,스프레드쇼크!$A$12:$A$16,0),MATCH("목록외",스프레드쇼크!$A$12:$A$16,0)),IFERROR(MATCH(AG40,스프레드쇼크!$B$11:$L$11,0),MATCH("목록외",스프레드쇼크!$B$11:$L$11,0))),1))</f>
        <v>1</v>
      </c>
      <c r="AY40" s="90" t="n">
        <f aca="false">IF(스프레드쇼크!$C$5="Y",IF(ISNUMBER(AF40),MIN(스프레드쇼크!$C$7,MAX(스프레드쇼크!$C$6,AF40/스프레드쇼크!$C$8)),1),1)</f>
        <v>1.07862167523441</v>
      </c>
      <c r="AZ40" s="94" t="n">
        <f aca="false">AN40*AX40*AY40</f>
        <v>2783.69713596788</v>
      </c>
      <c r="BA40" s="90" t="n">
        <f aca="false">IF(ISNUMBER(G40),AA40*G40,0)</f>
        <v>71.7343128576</v>
      </c>
      <c r="BB40" s="90" t="n">
        <f aca="false">IF(ISNUMBER(G40),AA40,0)</f>
        <v>12.344148</v>
      </c>
      <c r="BC40" s="90" t="n">
        <f aca="false">IF(AND(Y40=0,ISNUMBER(AF40)),AA40*AF40,0)</f>
        <v>880.285882176</v>
      </c>
      <c r="BD40" s="90" t="n">
        <f aca="false">IF(AND(Y40=0,ISNUMBER(AF40)),AA40,0)</f>
        <v>12.344148</v>
      </c>
      <c r="BE40" s="90" t="n">
        <f aca="false">IF(ISNUMBER(H40),AA40*H40,0)</f>
        <v>25.8079102236</v>
      </c>
      <c r="BF40" s="90" t="n">
        <f aca="false">IF(ISNUMBER(H40),AA40,0)</f>
        <v>12.344148</v>
      </c>
      <c r="BG40" s="90" t="n">
        <f aca="false">IF(AND(Y40=0,ISNUMBER(AF40),ISNUMBER(Z40)),AA40*Z40,0)</f>
        <v>25.8079102236</v>
      </c>
      <c r="BH40" s="90" t="n">
        <f aca="false">IF(AND(Y40=0,ISNUMBER(AF40),ISNUMBER(Z40)),AA40*AT40*MAX(Z40-1,0),0)</f>
        <v>251.310594135981</v>
      </c>
      <c r="BI40" s="90" t="n">
        <f aca="false">IF(Y40=0,AA40,0)</f>
        <v>12.344148</v>
      </c>
    </row>
    <row r="41" customFormat="false" ht="15" hidden="false" customHeight="false" outlineLevel="0" collapsed="false">
      <c r="A41" s="83" t="str">
        <f aca="false">IFERROR(IF(INDEX(원자료_잔고!$A$1:$EZ$1500,설정!$L$5+ROW()-1,설정!$L$8)&amp;""="0","",INDEX(원자료_잔고!$A$1:$EZ$1500,설정!$L$5+ROW()-1,설정!$L$8)&amp;""),"")</f>
        <v>UBS 4.588 08/10/32</v>
      </c>
      <c r="B41" s="83" t="str">
        <f aca="false">IFERROR(IF(INDEX(원자료_잔고!$A$1:$EZ$1500,설정!$L$5+ROW()-1,설정!$L$7)&amp;""="0","",INDEX(원자료_잔고!$A$1:$EZ$1500,설정!$L$5+ROW()-1,설정!$L$7)&amp;""),"")</f>
        <v>USH42097FT99</v>
      </c>
      <c r="C41" s="83" t="str">
        <f aca="false">IFERROR(IF(INDEX(원자료_잔고!$A$1:$EZ$1500,설정!$L$5+ROW()-1,설정!$L$9)&amp;""="0","",INDEX(원자료_잔고!$A$1:$EZ$1500,설정!$L$5+ROW()-1,설정!$L$9)&amp;""),"")</f>
        <v>28096</v>
      </c>
      <c r="D4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" s="84" t="n">
        <f aca="false">IFERROR(IF(ISNUMBER(INDEX(원자료_잔고!$A$1:$EZ$1500,설정!$L$5+ROW()-1,설정!$L$11)),INDEX(원자료_잔고!$A$1:$EZ$1500,설정!$L$5+ROW()-1,설정!$L$11),""),"")</f>
        <v>1000000</v>
      </c>
      <c r="F41" s="85" t="n">
        <f aca="false">IFERROR(IF(ISNUMBER(INDEX(원자료_잔고!$A$1:$EZ$1500,설정!$L$5+ROW()-1,설정!$L$12)),INDEX(원자료_잔고!$A$1:$EZ$1500,설정!$L$5+ROW()-1,설정!$L$12),""),"")</f>
        <v>94.3614</v>
      </c>
      <c r="G41" s="85" t="n">
        <f aca="false">IFERROR(IF(ISNUMBER(INDEX(원자료_잔고!$A$1:$EZ$1500,설정!$L$5+ROW()-1,설정!$L$13)),INDEX(원자료_잔고!$A$1:$EZ$1500,설정!$L$5+ROW()-1,설정!$L$13),""),"")</f>
        <v>5.8712</v>
      </c>
      <c r="H41" s="85" t="n">
        <f aca="false">IFERROR(IF(ISNUMBER(INDEX(원자료_잔고!$A$1:$EZ$1500,설정!$L$5+ROW()-1,설정!$L$14)),INDEX(원자료_잔고!$A$1:$EZ$1500,설정!$L$5+ROW()-1,설정!$L$14),""),"")</f>
        <v>4.2096</v>
      </c>
      <c r="I41" s="86" t="n">
        <f aca="false">IFERROR(IF(ISNUMBER(INDEX(원자료_잔고!$A$1:$EZ$1500,설정!$L$5+ROW()-1,설정!$L$15)),INDEX(원자료_잔고!$A$1:$EZ$1500,설정!$L$5+ROW()-1,설정!$L$15),""),"")</f>
        <v>48436</v>
      </c>
      <c r="J41" s="85" t="n">
        <f aca="false">IFERROR(IF(ISNUMBER(INDEX(원자료_잔고!$A$1:$EZ$1500,설정!$L$5+ROW()-1,설정!$L$16)),INDEX(원자료_잔고!$A$1:$EZ$1500,설정!$L$5+ROW()-1,설정!$L$16),""),"")</f>
        <v>4.588</v>
      </c>
      <c r="K41" s="87" t="n">
        <f aca="false">IFERROR(IF(ISNUMBER(INDEX(원자료_잔고!$A$1:$EZ$1500,설정!$L$5+ROW()-1,설정!$L$17)),INDEX(원자료_잔고!$A$1:$EZ$1500,설정!$L$5+ROW()-1,설정!$L$17),""),"")</f>
        <v>1</v>
      </c>
      <c r="L41" s="84" t="n">
        <f aca="false">IFERROR(IF(ISNUMBER(INDEX(원자료_잔고!$A$1:$EZ$1500,설정!$L$5+ROW()-1,설정!$L$18)),INDEX(원자료_잔고!$A$1:$EZ$1500,설정!$L$5+ROW()-1,설정!$L$18),""),"")</f>
        <v>943614</v>
      </c>
      <c r="M41" s="88" t="n">
        <f aca="false">IFERROR(IF(ISNUMBER(INDEX(원자료_잔고!$A$1:$EZ$1500,설정!$L$5+ROW()-1,설정!$L$19)),INDEX(원자료_잔고!$A$1:$EZ$1500,설정!$L$5+ROW()-1,설정!$L$19),""),"")</f>
        <v>-38836</v>
      </c>
      <c r="N41" s="83" t="str">
        <f aca="false">IFERROR(IF(INDEX(원자료_잔고!$A$1:$EZ$1500,설정!$L$5+ROW()-1,설정!$L$21)&amp;""="0","",INDEX(원자료_잔고!$A$1:$EZ$1500,설정!$L$5+ROW()-1,설정!$L$21)&amp;""),"")</f>
        <v>A-</v>
      </c>
      <c r="O41" s="83" t="str">
        <f aca="false">IFERROR(IF(INDEX(원자료_잔고!$A$1:$EZ$1500,설정!$L$5+ROW()-1,설정!$L$22)&amp;""="0","",INDEX(원자료_잔고!$A$1:$EZ$1500,설정!$L$5+ROW()-1,설정!$L$22)&amp;""),"")</f>
        <v/>
      </c>
      <c r="P41" s="83" t="str">
        <f aca="false">IFERROR(IF(INDEX(원자료_잔고!$A$1:$EZ$1500,설정!$L$5+ROW()-1,설정!$L$23)&amp;""="0","",INDEX(원자료_잔고!$A$1:$EZ$1500,설정!$L$5+ROW()-1,설정!$L$23)&amp;""),"")</f>
        <v>A</v>
      </c>
      <c r="Q41" s="89" t="n">
        <f aca="false">IF(AND($A41&lt;&gt;"",ISNUMBER(E41)),IF(E41&gt;0,1,0),0)</f>
        <v>1</v>
      </c>
      <c r="R41" s="43" t="str">
        <f aca="false">IF(Q41=1,UPPER(LEFT($A41,FIND(" ",$A41&amp;" ")-1)),"")</f>
        <v>UBS</v>
      </c>
      <c r="S41" s="89" t="n">
        <f aca="false">IF(Q41=1,IF(OR(ISNUMBER(SEARCH("Float",$A41)),ISNUMBER(SEARCH("FRN",$A41))),1,0),0)</f>
        <v>0</v>
      </c>
      <c r="T41" s="43" t="str">
        <f aca="false">IF(AND(Q41=1,ISNUMBER(I41)),TEXT(I41,"yyyymmdd")&amp;"|"&amp;IF(S41=1,"F",TEXT(J41,"0.000")),"")</f>
        <v>20320810|4.588</v>
      </c>
      <c r="U41" s="90" t="n">
        <f aca="false">IF(AND(Q41=1,ISNUMBER(I41)),(I41-설정!$C$4)/365.25,"")</f>
        <v>5.8590006844627</v>
      </c>
      <c r="V41" s="43" t="str">
        <f aca="false">IF(Q41&lt;&gt;1,"",IF(ISNUMBER(U41),IF(U41&lt;=1,"1년 이하",IF(U41&lt;=2,"1-2년",IF(U41&lt;=3,"2-3년",IF(U41&lt;=4,"3-4년",IF(U41&lt;=5,"4-5년",IF(U41&lt;=7,"5-7년",IF(U41&lt;=10,"7-10년",IF(U41&lt;=20,"10-20년","20년 이상")))))))),"미분류"))</f>
        <v>5-7년</v>
      </c>
      <c r="W41" s="43" t="str">
        <f aca="false">IF(Q41&lt;&gt;1,"",IF(AB41&lt;&gt;"",INDEX(시장분석!$C:$C,AB41),IF(K41=1,"USD","비USD")))</f>
        <v>USD</v>
      </c>
      <c r="X41" s="91" t="n">
        <f aca="false">IF(Q41=1,E41*K41/1000000,0)</f>
        <v>1</v>
      </c>
      <c r="Y41" s="89" t="n">
        <f aca="false">IF(R41="T",1,0)</f>
        <v>0</v>
      </c>
      <c r="Z41" s="92" t="n">
        <f aca="false">IF(Q41&lt;&gt;1,"",IF(AD41=1,IF(ISNUMBER(U41),MAX(U41,0),H41),H41))</f>
        <v>4.2096</v>
      </c>
      <c r="AA41" s="91" t="n">
        <f aca="false">IF(Q41=1,IF(ISNUMBER(L41),L41,0)*K41/1000000,0)</f>
        <v>0.943614</v>
      </c>
      <c r="AB41" s="89" t="n">
        <f aca="false">IF(Q41&lt;&gt;1,"",IFERROR(MATCH(VLOOKUP(B41,매핑!$H$4:$I$15,2,0),시장분석!$A$2:$A$601,0)+1,IFERROR(MATCH(R41&amp;"|"&amp;T41,시장분석!$V$2:$V$601,0)+1,IF(COUNTIF(시장분석!$U$2:$U$601,T41)=1,MATCH(T41,시장분석!$U$2:$U$601,0)+1,""))))</f>
        <v>143</v>
      </c>
      <c r="AC41" s="89" t="n">
        <f aca="false">IF(Q41&lt;&gt;1,0,IF(OR(설정!$C$5="전체",AND(설정!$C$5="선택펀드",IFERROR(COUNTIFS(설정!$F$16:$F$36,C41,설정!$G$16:$G$36,"Y")+COUNTIFS(설정!$F$16:$F$36,VALUE(C41),설정!$G$16:$G$36,"Y"),0)&gt;0),C41&amp;""=설정!$C$5&amp;""),1,0))</f>
        <v>1</v>
      </c>
      <c r="AD41" s="89" t="n">
        <f aca="false">IF(Q41&lt;&gt;1,0,IF(OR(S41=1,IF(AB41="",FALSE(),INDEX(시장분석!$R:$R,AB41)=1)),1,0))</f>
        <v>0</v>
      </c>
      <c r="AE41" s="43" t="str">
        <f aca="false">IF(AB41="","",INDEX(시장분석!$A:$A,AB41))</f>
        <v>UBS 4.588 08/10/32</v>
      </c>
      <c r="AF41" s="93" t="n">
        <f aca="false">IF(AB41="","",IF(ISNUMBER(IF(AB41="","",INDEX(시장분석!$E:$E,AB41))),IF(AB41="","",INDEX(시장분석!$E:$E,AB41)),""))</f>
        <v>87.734</v>
      </c>
      <c r="AG41" s="43" t="str">
        <f aca="false">IF(Q41&lt;&gt;1,"",IF(AB41&lt;&gt;"",IF(AB41="","",INDEX(시장분석!$L:$L,AB41)),IFERROR(IF(VLOOKUP(R41,매핑!$A$4:$E$92,5,0)="","미분류",VLOOKUP(R41,매핑!$A$4:$E$92,5,0)),"미분류")))</f>
        <v>금융기관</v>
      </c>
      <c r="AH41" s="43" t="str">
        <f aca="false">IF(Q41&lt;&gt;1,"",IF(AB41&lt;&gt;"",IF(AB41="","",INDEX(시장분석!$N:$N,AB41)),IFERROR(IF(VLOOKUP(R41,매핑!$A$4:$E$92,4,0)="","미분류",VLOOKUP(R41,매핑!$A$4:$E$92,4,0)),"미분류")))</f>
        <v>유럽</v>
      </c>
      <c r="AI41" s="43" t="str">
        <f aca="false">IF(Q41&lt;&gt;1,"",IFERROR(IF(VLOOKUP(R41,매핑!$A$4:$E$92,3,0)="","미분류",VLOOKUP(R41,매핑!$A$4:$E$92,3,0)),IF(AB41&lt;&gt;"",IF(AB41="","",INDEX(시장분석!$W:$W,AB41)),"미분류")))</f>
        <v>스위스</v>
      </c>
      <c r="AJ41" s="43" t="str">
        <f aca="false">IF(Q41&lt;&gt;1,"",IFERROR(VLOOKUP(IF(N41&lt;&gt;"",N41,IF(P41&lt;&gt;"",P41,O41)),설정!$A$15:$D$47,2,0),""))</f>
        <v>A-</v>
      </c>
      <c r="AK41" s="43" t="str">
        <f aca="false">IF(Q41&lt;&gt;1,"",IF(AJ41="","무등급",IFERROR(VLOOKUP(AJ41,설정!$A$15:$D$47,3,0),"무등급")))</f>
        <v>A</v>
      </c>
      <c r="AL41" s="89" t="n">
        <f aca="false">IF(AJ41="",99,IFERROR(VLOOKUP(AJ41,설정!$A$15:$D$47,4,0),99))</f>
        <v>7</v>
      </c>
      <c r="AM41" s="94" t="n">
        <f aca="false">IF(ISNUMBER(H41),AA41*1000000*H41/10000,0)</f>
        <v>397.22374944</v>
      </c>
      <c r="AN41" s="94" t="n">
        <f aca="false">IF(OR(Y41=1,NOT(ISNUMBER(Z41))),0,AA41*1000000*Z41/10000)</f>
        <v>397.22374944</v>
      </c>
      <c r="AO41" s="94" t="n">
        <f aca="false">IF(ISNUMBER(G41),AA41*1000000*G41/100,0)</f>
        <v>55401.465168</v>
      </c>
      <c r="AP41" s="94" t="n">
        <f aca="false">IF(ISNUMBER(M41),M41*K41,0)</f>
        <v>-38836</v>
      </c>
      <c r="AQ41" s="95" t="n">
        <f aca="false">IF(AB41="","",INDEX(시장분석!$AK:$AK,AB41))</f>
        <v>-0.0617501008865737</v>
      </c>
      <c r="AR41" s="43" t="str">
        <f aca="false">IF(AB41="","-",IF(AB41="","",INDEX(시장분석!$AL:$AL,AB41)))</f>
        <v>Fair</v>
      </c>
      <c r="AS41" s="96" t="n">
        <f aca="false">IF(AB41="","",INDEX(시장분석!$AJ:$AJ,AB41))</f>
        <v>-0.678527466143649</v>
      </c>
      <c r="AT41" s="93" t="n">
        <f aca="false">IF(AB41="",0,IF(AB41="","",INDEX(시장분석!$AN:$AN,AB41)))</f>
        <v>7.96361229389642</v>
      </c>
      <c r="AU41" s="94" t="n">
        <f aca="false">IF(ISNUMBER(Z41),AT41/10000*MAX(Z41-1,0)*AA41*1000000,0)</f>
        <v>2411.87832935874</v>
      </c>
      <c r="AV41" s="94" t="n">
        <f aca="false">AO41+AU41</f>
        <v>57813.3434973587</v>
      </c>
      <c r="AW41" s="43" t="str">
        <f aca="false">IF(Q41&lt;&gt;1,"",TRIM(IF(AD41=1,"FRN ","")&amp;IF(AND(AL41&gt;=10,AL41&lt;99),"BBB0미만 ","")&amp;IF(AJ41="","등급없음 ","")&amp;IF(K41&lt;&gt;1,"비USD ","")&amp;IF(AND(AB41="",Y41=0),"시장데이터없음 ","")&amp;IF(AND(ISNUMBER(U41),U41&lt;0),"만기경과 ","")))</f>
        <v/>
      </c>
      <c r="AX41" s="90" t="n">
        <f aca="false">IF(Q41&lt;&gt;1,1,IF(스프레드쇼크!$C$4="Y",INDEX(스프레드쇼크!$B$12:$L$16,IFERROR(MATCH(AH41,스프레드쇼크!$A$12:$A$16,0),MATCH("목록외",스프레드쇼크!$A$12:$A$16,0)),IFERROR(MATCH(AG41,스프레드쇼크!$B$11:$L$11,0),MATCH("목록외",스프레드쇼크!$B$11:$L$11,0))),1))</f>
        <v>1</v>
      </c>
      <c r="AY41" s="90" t="n">
        <f aca="false">IF(스프레드쇼크!$C$5="Y",IF(ISNUMBER(AF41),MIN(스프레드쇼크!$C$7,MAX(스프레드쇼크!$C$6,AF41/스프레드쇼크!$C$8)),1),1)</f>
        <v>1.3270107983932</v>
      </c>
      <c r="AZ41" s="94" t="n">
        <f aca="false">AN41*AX41*AY41</f>
        <v>527.120204885115</v>
      </c>
      <c r="BA41" s="90" t="n">
        <f aca="false">IF(ISNUMBER(G41),AA41*G41,0)</f>
        <v>5.5401465168</v>
      </c>
      <c r="BB41" s="90" t="n">
        <f aca="false">IF(ISNUMBER(G41),AA41,0)</f>
        <v>0.943614</v>
      </c>
      <c r="BC41" s="90" t="n">
        <f aca="false">IF(AND(Y41=0,ISNUMBER(AF41)),AA41*AF41,0)</f>
        <v>82.787030676</v>
      </c>
      <c r="BD41" s="90" t="n">
        <f aca="false">IF(AND(Y41=0,ISNUMBER(AF41)),AA41,0)</f>
        <v>0.943614</v>
      </c>
      <c r="BE41" s="90" t="n">
        <f aca="false">IF(ISNUMBER(H41),AA41*H41,0)</f>
        <v>3.9722374944</v>
      </c>
      <c r="BF41" s="90" t="n">
        <f aca="false">IF(ISNUMBER(H41),AA41,0)</f>
        <v>0.943614</v>
      </c>
      <c r="BG41" s="90" t="n">
        <f aca="false">IF(AND(Y41=0,ISNUMBER(AF41),ISNUMBER(Z41)),AA41*Z41,0)</f>
        <v>3.9722374944</v>
      </c>
      <c r="BH41" s="90" t="n">
        <f aca="false">IF(AND(Y41=0,ISNUMBER(AF41),ISNUMBER(Z41)),AA41*AT41*MAX(Z41-1,0),0)</f>
        <v>24.1187832935874</v>
      </c>
      <c r="BI41" s="90" t="n">
        <f aca="false">IF(Y41=0,AA41,0)</f>
        <v>0.943614</v>
      </c>
    </row>
    <row r="42" customFormat="false" ht="15" hidden="false" customHeight="false" outlineLevel="0" collapsed="false">
      <c r="A42" s="83" t="str">
        <f aca="false">IFERROR(IF(INDEX(원자료_잔고!$A$1:$EZ$1500,설정!$L$5+ROW()-1,설정!$L$8)&amp;""="0","",INDEX(원자료_잔고!$A$1:$EZ$1500,설정!$L$5+ROW()-1,설정!$L$8)&amp;""),"")</f>
        <v>NORBK 5.094 10/16/29</v>
      </c>
      <c r="B42" s="83" t="str">
        <f aca="false">IFERROR(IF(INDEX(원자료_잔고!$A$1:$EZ$1500,설정!$L$5+ROW()-1,설정!$L$7)&amp;""="0","",INDEX(원자료_잔고!$A$1:$EZ$1500,설정!$L$5+ROW()-1,설정!$L$7)&amp;""),"")</f>
        <v>USJ5903AAA28</v>
      </c>
      <c r="C42" s="83" t="str">
        <f aca="false">IFERROR(IF(INDEX(원자료_잔고!$A$1:$EZ$1500,설정!$L$5+ROW()-1,설정!$L$9)&amp;""="0","",INDEX(원자료_잔고!$A$1:$EZ$1500,설정!$L$5+ROW()-1,설정!$L$9)&amp;""),"")</f>
        <v>28096</v>
      </c>
      <c r="D4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" s="84" t="n">
        <f aca="false">IFERROR(IF(ISNUMBER(INDEX(원자료_잔고!$A$1:$EZ$1500,설정!$L$5+ROW()-1,설정!$L$11)),INDEX(원자료_잔고!$A$1:$EZ$1500,설정!$L$5+ROW()-1,설정!$L$11),""),"")</f>
        <v>1500000</v>
      </c>
      <c r="F42" s="85" t="n">
        <f aca="false">IFERROR(IF(ISNUMBER(INDEX(원자료_잔고!$A$1:$EZ$1500,설정!$L$5+ROW()-1,설정!$L$12)),INDEX(원자료_잔고!$A$1:$EZ$1500,설정!$L$5+ROW()-1,설정!$L$12),""),"")</f>
        <v>98.3276</v>
      </c>
      <c r="G42" s="85" t="n">
        <f aca="false">IFERROR(IF(ISNUMBER(INDEX(원자료_잔고!$A$1:$EZ$1500,설정!$L$5+ROW()-1,설정!$L$13)),INDEX(원자료_잔고!$A$1:$EZ$1500,설정!$L$5+ROW()-1,설정!$L$13),""),"")</f>
        <v>5.6988</v>
      </c>
      <c r="H42" s="85" t="n">
        <f aca="false">IFERROR(IF(ISNUMBER(INDEX(원자료_잔고!$A$1:$EZ$1500,설정!$L$5+ROW()-1,설정!$L$14)),INDEX(원자료_잔고!$A$1:$EZ$1500,설정!$L$5+ROW()-1,설정!$L$14),""),"")</f>
        <v>2.6895</v>
      </c>
      <c r="I42" s="86" t="n">
        <f aca="false">IFERROR(IF(ISNUMBER(INDEX(원자료_잔고!$A$1:$EZ$1500,설정!$L$5+ROW()-1,설정!$L$15)),INDEX(원자료_잔고!$A$1:$EZ$1500,설정!$L$5+ROW()-1,설정!$L$15),""),"")</f>
        <v>47407</v>
      </c>
      <c r="J42" s="85" t="n">
        <f aca="false">IFERROR(IF(ISNUMBER(INDEX(원자료_잔고!$A$1:$EZ$1500,설정!$L$5+ROW()-1,설정!$L$16)),INDEX(원자료_잔고!$A$1:$EZ$1500,설정!$L$5+ROW()-1,설정!$L$16),""),"")</f>
        <v>5.094</v>
      </c>
      <c r="K42" s="87" t="n">
        <f aca="false">IFERROR(IF(ISNUMBER(INDEX(원자료_잔고!$A$1:$EZ$1500,설정!$L$5+ROW()-1,설정!$L$17)),INDEX(원자료_잔고!$A$1:$EZ$1500,설정!$L$5+ROW()-1,설정!$L$17),""),"")</f>
        <v>1</v>
      </c>
      <c r="L42" s="84" t="n">
        <f aca="false">IFERROR(IF(ISNUMBER(INDEX(원자료_잔고!$A$1:$EZ$1500,설정!$L$5+ROW()-1,설정!$L$18)),INDEX(원자료_잔고!$A$1:$EZ$1500,설정!$L$5+ROW()-1,설정!$L$18),""),"")</f>
        <v>1474914</v>
      </c>
      <c r="M42" s="88" t="n">
        <f aca="false">IFERROR(IF(ISNUMBER(INDEX(원자료_잔고!$A$1:$EZ$1500,설정!$L$5+ROW()-1,설정!$L$19)),INDEX(원자료_잔고!$A$1:$EZ$1500,설정!$L$5+ROW()-1,설정!$L$19),""),"")</f>
        <v>-24828.33</v>
      </c>
      <c r="N42" s="83" t="str">
        <f aca="false">IFERROR(IF(INDEX(원자료_잔고!$A$1:$EZ$1500,설정!$L$5+ROW()-1,설정!$L$21)&amp;""="0","",INDEX(원자료_잔고!$A$1:$EZ$1500,설정!$L$5+ROW()-1,설정!$L$21)&amp;""),"")</f>
        <v>A</v>
      </c>
      <c r="O42" s="83" t="str">
        <f aca="false">IFERROR(IF(INDEX(원자료_잔고!$A$1:$EZ$1500,설정!$L$5+ROW()-1,설정!$L$22)&amp;""="0","",INDEX(원자료_잔고!$A$1:$EZ$1500,설정!$L$5+ROW()-1,설정!$L$22)&amp;""),"")</f>
        <v/>
      </c>
      <c r="P42" s="83" t="str">
        <f aca="false">IFERROR(IF(INDEX(원자료_잔고!$A$1:$EZ$1500,설정!$L$5+ROW()-1,설정!$L$23)&amp;""="0","",INDEX(원자료_잔고!$A$1:$EZ$1500,설정!$L$5+ROW()-1,설정!$L$23)&amp;""),"")</f>
        <v>N/A</v>
      </c>
      <c r="Q42" s="89" t="n">
        <f aca="false">IF(AND($A42&lt;&gt;"",ISNUMBER(E42)),IF(E42&gt;0,1,0),0)</f>
        <v>1</v>
      </c>
      <c r="R42" s="43" t="str">
        <f aca="false">IF(Q42=1,UPPER(LEFT($A42,FIND(" ",$A42&amp;" ")-1)),"")</f>
        <v>NORBK</v>
      </c>
      <c r="S42" s="89" t="n">
        <f aca="false">IF(Q42=1,IF(OR(ISNUMBER(SEARCH("Float",$A42)),ISNUMBER(SEARCH("FRN",$A42))),1,0),0)</f>
        <v>0</v>
      </c>
      <c r="T42" s="43" t="str">
        <f aca="false">IF(AND(Q42=1,ISNUMBER(I42)),TEXT(I42,"yyyymmdd")&amp;"|"&amp;IF(S42=1,"F",TEXT(J42,"0.000")),"")</f>
        <v>20291016|5.094</v>
      </c>
      <c r="U42" s="90" t="n">
        <f aca="false">IF(AND(Q42=1,ISNUMBER(I42)),(I42-설정!$C$4)/365.25,"")</f>
        <v>3.04175222450376</v>
      </c>
      <c r="V42" s="43" t="str">
        <f aca="false">IF(Q42&lt;&gt;1,"",IF(ISNUMBER(U42),IF(U42&lt;=1,"1년 이하",IF(U42&lt;=2,"1-2년",IF(U42&lt;=3,"2-3년",IF(U42&lt;=4,"3-4년",IF(U42&lt;=5,"4-5년",IF(U42&lt;=7,"5-7년",IF(U42&lt;=10,"7-10년",IF(U42&lt;=20,"10-20년","20년 이상")))))))),"미분류"))</f>
        <v>3-4년</v>
      </c>
      <c r="W42" s="43" t="str">
        <f aca="false">IF(Q42&lt;&gt;1,"",IF(AB42&lt;&gt;"",INDEX(시장분석!$C:$C,AB42),IF(K42=1,"USD","비USD")))</f>
        <v>USD</v>
      </c>
      <c r="X42" s="91" t="n">
        <f aca="false">IF(Q42=1,E42*K42/1000000,0)</f>
        <v>1.5</v>
      </c>
      <c r="Y42" s="89" t="n">
        <f aca="false">IF(R42="T",1,0)</f>
        <v>0</v>
      </c>
      <c r="Z42" s="92" t="n">
        <f aca="false">IF(Q42&lt;&gt;1,"",IF(AD42=1,IF(ISNUMBER(U42),MAX(U42,0),H42),H42))</f>
        <v>2.6895</v>
      </c>
      <c r="AA42" s="91" t="n">
        <f aca="false">IF(Q42=1,IF(ISNUMBER(L42),L42,0)*K42/1000000,0)</f>
        <v>1.474914</v>
      </c>
      <c r="AB42" s="89" t="n">
        <f aca="false">IF(Q42&lt;&gt;1,"",IFERROR(MATCH(VLOOKUP(B42,매핑!$H$4:$I$15,2,0),시장분석!$A$2:$A$601,0)+1,IFERROR(MATCH(R42&amp;"|"&amp;T42,시장분석!$V$2:$V$601,0)+1,IF(COUNTIF(시장분석!$U$2:$U$601,T42)=1,MATCH(T42,시장분석!$U$2:$U$601,0)+1,""))))</f>
        <v>145</v>
      </c>
      <c r="AC42" s="89" t="n">
        <f aca="false">IF(Q42&lt;&gt;1,0,IF(OR(설정!$C$5="전체",AND(설정!$C$5="선택펀드",IFERROR(COUNTIFS(설정!$F$16:$F$36,C42,설정!$G$16:$G$36,"Y")+COUNTIFS(설정!$F$16:$F$36,VALUE(C42),설정!$G$16:$G$36,"Y"),0)&gt;0),C42&amp;""=설정!$C$5&amp;""),1,0))</f>
        <v>1</v>
      </c>
      <c r="AD42" s="89" t="n">
        <f aca="false">IF(Q42&lt;&gt;1,0,IF(OR(S42=1,IF(AB42="",FALSE(),INDEX(시장분석!$R:$R,AB42)=1)),1,0))</f>
        <v>0</v>
      </c>
      <c r="AE42" s="43" t="str">
        <f aca="false">IF(AB42="","",INDEX(시장분석!$A:$A,AB42))</f>
        <v>NORBK 5.094 10/16/29</v>
      </c>
      <c r="AF42" s="93" t="n">
        <f aca="false">IF(AB42="","",IF(ISNUMBER(IF(AB42="","",INDEX(시장분석!$E:$E,AB42))),IF(AB42="","",INDEX(시장분석!$E:$E,AB42)),""))</f>
        <v>72.166</v>
      </c>
      <c r="AG42" s="43" t="str">
        <f aca="false">IF(Q42&lt;&gt;1,"",IF(AB42&lt;&gt;"",IF(AB42="","",INDEX(시장분석!$L:$L,AB42)),IFERROR(IF(VLOOKUP(R42,매핑!$A$4:$E$92,5,0)="","미분류",VLOOKUP(R42,매핑!$A$4:$E$92,5,0)),"미분류")))</f>
        <v>금융기관</v>
      </c>
      <c r="AH42" s="43" t="str">
        <f aca="false">IF(Q42&lt;&gt;1,"",IF(AB42&lt;&gt;"",IF(AB42="","",INDEX(시장분석!$N:$N,AB42)),IFERROR(IF(VLOOKUP(R42,매핑!$A$4:$E$92,4,0)="","미분류",VLOOKUP(R42,매핑!$A$4:$E$92,4,0)),"미분류")))</f>
        <v>아시아/기타</v>
      </c>
      <c r="AI42" s="43" t="str">
        <f aca="false">IF(Q42&lt;&gt;1,"",IFERROR(IF(VLOOKUP(R42,매핑!$A$4:$E$92,3,0)="","미분류",VLOOKUP(R42,매핑!$A$4:$E$92,3,0)),IF(AB42&lt;&gt;"",IF(AB42="","",INDEX(시장분석!$W:$W,AB42)),"미분류")))</f>
        <v>일본</v>
      </c>
      <c r="AJ42" s="43" t="str">
        <f aca="false">IF(Q42&lt;&gt;1,"",IFERROR(VLOOKUP(IF(N42&lt;&gt;"",N42,IF(P42&lt;&gt;"",P42,O42)),설정!$A$15:$D$47,2,0),""))</f>
        <v>A</v>
      </c>
      <c r="AK42" s="43" t="str">
        <f aca="false">IF(Q42&lt;&gt;1,"",IF(AJ42="","무등급",IFERROR(VLOOKUP(AJ42,설정!$A$15:$D$47,3,0),"무등급")))</f>
        <v>A</v>
      </c>
      <c r="AL42" s="89" t="n">
        <f aca="false">IF(AJ42="",99,IFERROR(VLOOKUP(AJ42,설정!$A$15:$D$47,4,0),99))</f>
        <v>6</v>
      </c>
      <c r="AM42" s="94" t="n">
        <f aca="false">IF(ISNUMBER(H42),AA42*1000000*H42/10000,0)</f>
        <v>396.6781203</v>
      </c>
      <c r="AN42" s="94" t="n">
        <f aca="false">IF(OR(Y42=1,NOT(ISNUMBER(Z42))),0,AA42*1000000*Z42/10000)</f>
        <v>396.6781203</v>
      </c>
      <c r="AO42" s="94" t="n">
        <f aca="false">IF(ISNUMBER(G42),AA42*1000000*G42/100,0)</f>
        <v>84052.399032</v>
      </c>
      <c r="AP42" s="94" t="n">
        <f aca="false">IF(ISNUMBER(M42),M42*K42,0)</f>
        <v>-24828.33</v>
      </c>
      <c r="AQ42" s="95" t="n">
        <f aca="false">IF(AB42="","",INDEX(시장분석!$AK:$AK,AB42))</f>
        <v>0.380381180841575</v>
      </c>
      <c r="AR42" s="43" t="str">
        <f aca="false">IF(AB42="","-",IF(AB42="","",INDEX(시장분석!$AL:$AL,AB42)))</f>
        <v>Fair</v>
      </c>
      <c r="AS42" s="96" t="n">
        <f aca="false">IF(AB42="","",INDEX(시장분석!$AJ:$AJ,AB42))</f>
        <v>7.78776740705587</v>
      </c>
      <c r="AT42" s="93" t="n">
        <f aca="false">IF(AB42="",0,IF(AB42="","",INDEX(시장분석!$AN:$AN,AB42)))</f>
        <v>6.18847848930044</v>
      </c>
      <c r="AU42" s="94" t="n">
        <f aca="false">IF(ISNUMBER(Z42),AT42/10000*MAX(Z42-1,0)*AA42*1000000,0)</f>
        <v>1542.08665839587</v>
      </c>
      <c r="AV42" s="94" t="n">
        <f aca="false">AO42+AU42</f>
        <v>85594.4856903959</v>
      </c>
      <c r="AW42" s="43" t="str">
        <f aca="false">IF(Q42&lt;&gt;1,"",TRIM(IF(AD42=1,"FRN ","")&amp;IF(AND(AL42&gt;=10,AL42&lt;99),"BBB0미만 ","")&amp;IF(AJ42="","등급없음 ","")&amp;IF(K42&lt;&gt;1,"비USD ","")&amp;IF(AND(AB42="",Y42=0),"시장데이터없음 ","")&amp;IF(AND(ISNUMBER(U42),U42&lt;0),"만기경과 ","")))</f>
        <v/>
      </c>
      <c r="AX42" s="90" t="n">
        <f aca="false">IF(Q42&lt;&gt;1,1,IF(스프레드쇼크!$C$4="Y",INDEX(스프레드쇼크!$B$12:$L$16,IFERROR(MATCH(AH42,스프레드쇼크!$A$12:$A$16,0),MATCH("목록외",스프레드쇼크!$A$12:$A$16,0)),IFERROR(MATCH(AG42,스프레드쇼크!$B$11:$L$11,0),MATCH("목록외",스프레드쇼크!$B$11:$L$11,0))),1))</f>
        <v>1</v>
      </c>
      <c r="AY42" s="90" t="n">
        <f aca="false">IF(스프레드쇼크!$C$5="Y",IF(ISNUMBER(AF42),MIN(스프레드쇼크!$C$7,MAX(스프레드쇼크!$C$6,AF42/스프레드쇼크!$C$8)),1),1)</f>
        <v>1.0915387566604</v>
      </c>
      <c r="AZ42" s="94" t="n">
        <f aca="false">AN42*AX42*AY42</f>
        <v>432.989542226648</v>
      </c>
      <c r="BA42" s="90" t="n">
        <f aca="false">IF(ISNUMBER(G42),AA42*G42,0)</f>
        <v>8.4052399032</v>
      </c>
      <c r="BB42" s="90" t="n">
        <f aca="false">IF(ISNUMBER(G42),AA42,0)</f>
        <v>1.474914</v>
      </c>
      <c r="BC42" s="90" t="n">
        <f aca="false">IF(AND(Y42=0,ISNUMBER(AF42)),AA42*AF42,0)</f>
        <v>106.438643724</v>
      </c>
      <c r="BD42" s="90" t="n">
        <f aca="false">IF(AND(Y42=0,ISNUMBER(AF42)),AA42,0)</f>
        <v>1.474914</v>
      </c>
      <c r="BE42" s="90" t="n">
        <f aca="false">IF(ISNUMBER(H42),AA42*H42,0)</f>
        <v>3.966781203</v>
      </c>
      <c r="BF42" s="90" t="n">
        <f aca="false">IF(ISNUMBER(H42),AA42,0)</f>
        <v>1.474914</v>
      </c>
      <c r="BG42" s="90" t="n">
        <f aca="false">IF(AND(Y42=0,ISNUMBER(AF42),ISNUMBER(Z42)),AA42*Z42,0)</f>
        <v>3.966781203</v>
      </c>
      <c r="BH42" s="90" t="n">
        <f aca="false">IF(AND(Y42=0,ISNUMBER(AF42),ISNUMBER(Z42)),AA42*AT42*MAX(Z42-1,0),0)</f>
        <v>15.4208665839587</v>
      </c>
      <c r="BI42" s="90" t="n">
        <f aca="false">IF(Y42=0,AA42,0)</f>
        <v>1.474914</v>
      </c>
    </row>
    <row r="43" customFormat="false" ht="15" hidden="false" customHeight="false" outlineLevel="0" collapsed="false">
      <c r="A43" s="83" t="str">
        <f aca="false">IFERROR(IF(INDEX(원자료_잔고!$A$1:$EZ$1500,설정!$L$5+ROW()-1,설정!$L$8)&amp;""="0","",INDEX(원자료_잔고!$A$1:$EZ$1500,설정!$L$5+ROW()-1,설정!$L$8)&amp;""),"")</f>
        <v>SPCX 5.35 07/15/31</v>
      </c>
      <c r="B43" s="83" t="str">
        <f aca="false">IFERROR(IF(INDEX(원자료_잔고!$A$1:$EZ$1500,설정!$L$5+ROW()-1,설정!$L$7)&amp;""="0","",INDEX(원자료_잔고!$A$1:$EZ$1500,설정!$L$5+ROW()-1,설정!$L$7)&amp;""),"")</f>
        <v>USU8531HAA87</v>
      </c>
      <c r="C43" s="83" t="str">
        <f aca="false">IFERROR(IF(INDEX(원자료_잔고!$A$1:$EZ$1500,설정!$L$5+ROW()-1,설정!$L$9)&amp;""="0","",INDEX(원자료_잔고!$A$1:$EZ$1500,설정!$L$5+ROW()-1,설정!$L$9)&amp;""),"")</f>
        <v>28096</v>
      </c>
      <c r="D4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" s="84" t="n">
        <f aca="false">IFERROR(IF(ISNUMBER(INDEX(원자료_잔고!$A$1:$EZ$1500,설정!$L$5+ROW()-1,설정!$L$11)),INDEX(원자료_잔고!$A$1:$EZ$1500,설정!$L$5+ROW()-1,설정!$L$11),""),"")</f>
        <v>5000000</v>
      </c>
      <c r="F43" s="85" t="n">
        <f aca="false">IFERROR(IF(ISNUMBER(INDEX(원자료_잔고!$A$1:$EZ$1500,설정!$L$5+ROW()-1,설정!$L$12)),INDEX(원자료_잔고!$A$1:$EZ$1500,설정!$L$5+ROW()-1,설정!$L$12),""),"")</f>
        <v>95.2264</v>
      </c>
      <c r="G43" s="85" t="n">
        <f aca="false">IFERROR(IF(ISNUMBER(INDEX(원자료_잔고!$A$1:$EZ$1500,설정!$L$5+ROW()-1,설정!$L$13)),INDEX(원자료_잔고!$A$1:$EZ$1500,설정!$L$5+ROW()-1,설정!$L$13),""),"")</f>
        <v>6.521</v>
      </c>
      <c r="H43" s="85" t="n">
        <f aca="false">IFERROR(IF(ISNUMBER(INDEX(원자료_잔고!$A$1:$EZ$1500,설정!$L$5+ROW()-1,설정!$L$14)),INDEX(원자료_잔고!$A$1:$EZ$1500,설정!$L$5+ROW()-1,설정!$L$14),""),"")</f>
        <v>4.0454</v>
      </c>
      <c r="I43" s="86" t="n">
        <f aca="false">IFERROR(IF(ISNUMBER(INDEX(원자료_잔고!$A$1:$EZ$1500,설정!$L$5+ROW()-1,설정!$L$15)),INDEX(원자료_잔고!$A$1:$EZ$1500,설정!$L$5+ROW()-1,설정!$L$15),""),"")</f>
        <v>48044</v>
      </c>
      <c r="J43" s="85" t="n">
        <f aca="false">IFERROR(IF(ISNUMBER(INDEX(원자료_잔고!$A$1:$EZ$1500,설정!$L$5+ROW()-1,설정!$L$16)),INDEX(원자료_잔고!$A$1:$EZ$1500,설정!$L$5+ROW()-1,설정!$L$16),""),"")</f>
        <v>5.35</v>
      </c>
      <c r="K43" s="87" t="n">
        <f aca="false">IFERROR(IF(ISNUMBER(INDEX(원자료_잔고!$A$1:$EZ$1500,설정!$L$5+ROW()-1,설정!$L$17)),INDEX(원자료_잔고!$A$1:$EZ$1500,설정!$L$5+ROW()-1,설정!$L$17),""),"")</f>
        <v>1</v>
      </c>
      <c r="L43" s="84" t="n">
        <f aca="false">IFERROR(IF(ISNUMBER(INDEX(원자료_잔고!$A$1:$EZ$1500,설정!$L$5+ROW()-1,설정!$L$18)),INDEX(원자료_잔고!$A$1:$EZ$1500,설정!$L$5+ROW()-1,설정!$L$18),""),"")</f>
        <v>4761320</v>
      </c>
      <c r="M43" s="88" t="n">
        <f aca="false">IFERROR(IF(ISNUMBER(INDEX(원자료_잔고!$A$1:$EZ$1500,설정!$L$5+ROW()-1,설정!$L$19)),INDEX(원자료_잔고!$A$1:$EZ$1500,설정!$L$5+ROW()-1,설정!$L$19),""),"")</f>
        <v>-246480</v>
      </c>
      <c r="N43" s="83" t="str">
        <f aca="false">IFERROR(IF(INDEX(원자료_잔고!$A$1:$EZ$1500,설정!$L$5+ROW()-1,설정!$L$21)&amp;""="0","",INDEX(원자료_잔고!$A$1:$EZ$1500,설정!$L$5+ROW()-1,설정!$L$21)&amp;""),"")</f>
        <v>BBB</v>
      </c>
      <c r="O43" s="83" t="str">
        <f aca="false">IFERROR(IF(INDEX(원자료_잔고!$A$1:$EZ$1500,설정!$L$5+ROW()-1,설정!$L$22)&amp;""="0","",INDEX(원자료_잔고!$A$1:$EZ$1500,설정!$L$5+ROW()-1,설정!$L$22)&amp;""),"")</f>
        <v/>
      </c>
      <c r="P43" s="83" t="str">
        <f aca="false">IFERROR(IF(INDEX(원자료_잔고!$A$1:$EZ$1500,설정!$L$5+ROW()-1,설정!$L$23)&amp;""="0","",INDEX(원자료_잔고!$A$1:$EZ$1500,설정!$L$5+ROW()-1,설정!$L$23)&amp;""),"")</f>
        <v>BBB+</v>
      </c>
      <c r="Q43" s="89" t="n">
        <f aca="false">IF(AND($A43&lt;&gt;"",ISNUMBER(E43)),IF(E43&gt;0,1,0),0)</f>
        <v>1</v>
      </c>
      <c r="R43" s="43" t="str">
        <f aca="false">IF(Q43=1,UPPER(LEFT($A43,FIND(" ",$A43&amp;" ")-1)),"")</f>
        <v>SPCX</v>
      </c>
      <c r="S43" s="89" t="n">
        <f aca="false">IF(Q43=1,IF(OR(ISNUMBER(SEARCH("Float",$A43)),ISNUMBER(SEARCH("FRN",$A43))),1,0),0)</f>
        <v>0</v>
      </c>
      <c r="T43" s="43" t="str">
        <f aca="false">IF(AND(Q43=1,ISNUMBER(I43)),TEXT(I43,"yyyymmdd")&amp;"|"&amp;IF(S43=1,"F",TEXT(J43,"0.000")),"")</f>
        <v>20310715|5.350</v>
      </c>
      <c r="U43" s="90" t="n">
        <f aca="false">IF(AND(Q43=1,ISNUMBER(I43)),(I43-설정!$C$4)/365.25,"")</f>
        <v>4.78576317590691</v>
      </c>
      <c r="V43" s="43" t="str">
        <f aca="false">IF(Q43&lt;&gt;1,"",IF(ISNUMBER(U43),IF(U43&lt;=1,"1년 이하",IF(U43&lt;=2,"1-2년",IF(U43&lt;=3,"2-3년",IF(U43&lt;=4,"3-4년",IF(U43&lt;=5,"4-5년",IF(U43&lt;=7,"5-7년",IF(U43&lt;=10,"7-10년",IF(U43&lt;=20,"10-20년","20년 이상")))))))),"미분류"))</f>
        <v>4-5년</v>
      </c>
      <c r="W43" s="43" t="str">
        <f aca="false">IF(Q43&lt;&gt;1,"",IF(AB43&lt;&gt;"",INDEX(시장분석!$C:$C,AB43),IF(K43=1,"USD","비USD")))</f>
        <v>USD</v>
      </c>
      <c r="X43" s="91" t="n">
        <f aca="false">IF(Q43=1,E43*K43/1000000,0)</f>
        <v>5</v>
      </c>
      <c r="Y43" s="89" t="n">
        <f aca="false">IF(R43="T",1,0)</f>
        <v>0</v>
      </c>
      <c r="Z43" s="92" t="n">
        <f aca="false">IF(Q43&lt;&gt;1,"",IF(AD43=1,IF(ISNUMBER(U43),MAX(U43,0),H43),H43))</f>
        <v>4.0454</v>
      </c>
      <c r="AA43" s="91" t="n">
        <f aca="false">IF(Q43=1,IF(ISNUMBER(L43),L43,0)*K43/1000000,0)</f>
        <v>4.76132</v>
      </c>
      <c r="AB43" s="89" t="n">
        <f aca="false">IF(Q43&lt;&gt;1,"",IFERROR(MATCH(VLOOKUP(B43,매핑!$H$4:$I$15,2,0),시장분석!$A$2:$A$601,0)+1,IFERROR(MATCH(R43&amp;"|"&amp;T43,시장분석!$V$2:$V$601,0)+1,IF(COUNTIF(시장분석!$U$2:$U$601,T43)=1,MATCH(T43,시장분석!$U$2:$U$601,0)+1,""))))</f>
        <v>151</v>
      </c>
      <c r="AC43" s="89" t="n">
        <f aca="false">IF(Q43&lt;&gt;1,0,IF(OR(설정!$C$5="전체",AND(설정!$C$5="선택펀드",IFERROR(COUNTIFS(설정!$F$16:$F$36,C43,설정!$G$16:$G$36,"Y")+COUNTIFS(설정!$F$16:$F$36,VALUE(C43),설정!$G$16:$G$36,"Y"),0)&gt;0),C43&amp;""=설정!$C$5&amp;""),1,0))</f>
        <v>1</v>
      </c>
      <c r="AD43" s="89" t="n">
        <f aca="false">IF(Q43&lt;&gt;1,0,IF(OR(S43=1,IF(AB43="",FALSE(),INDEX(시장분석!$R:$R,AB43)=1)),1,0))</f>
        <v>0</v>
      </c>
      <c r="AE43" s="43" t="str">
        <f aca="false">IF(AB43="","",INDEX(시장분석!$A:$A,AB43))</f>
        <v>SPCX 5.35 07/15/31</v>
      </c>
      <c r="AF43" s="93" t="n">
        <f aca="false">IF(AB43="","",IF(ISNUMBER(IF(AB43="","",INDEX(시장분석!$E:$E,AB43))),IF(AB43="","",INDEX(시장분석!$E:$E,AB43)),""))</f>
        <v>144.658</v>
      </c>
      <c r="AG43" s="43" t="str">
        <f aca="false">IF(Q43&lt;&gt;1,"",IF(AB43&lt;&gt;"",IF(AB43="","",INDEX(시장분석!$L:$L,AB43)),IFERROR(IF(VLOOKUP(R43,매핑!$A$4:$E$92,5,0)="","미분류",VLOOKUP(R43,매핑!$A$4:$E$92,5,0)),"미분류")))</f>
        <v>통신</v>
      </c>
      <c r="AH43" s="43" t="str">
        <f aca="false">IF(Q43&lt;&gt;1,"",IF(AB43&lt;&gt;"",IF(AB43="","",INDEX(시장분석!$N:$N,AB43)),IFERROR(IF(VLOOKUP(R43,매핑!$A$4:$E$92,4,0)="","미분류",VLOOKUP(R43,매핑!$A$4:$E$92,4,0)),"미분류")))</f>
        <v>미국</v>
      </c>
      <c r="AI43" s="43" t="str">
        <f aca="false">IF(Q43&lt;&gt;1,"",IFERROR(IF(VLOOKUP(R43,매핑!$A$4:$E$92,3,0)="","미분류",VLOOKUP(R43,매핑!$A$4:$E$92,3,0)),IF(AB43&lt;&gt;"",IF(AB43="","",INDEX(시장분석!$W:$W,AB43)),"미분류")))</f>
        <v>미국</v>
      </c>
      <c r="AJ43" s="43" t="str">
        <f aca="false">IF(Q43&lt;&gt;1,"",IFERROR(VLOOKUP(IF(N43&lt;&gt;"",N43,IF(P43&lt;&gt;"",P43,O43)),설정!$A$15:$D$47,2,0),""))</f>
        <v>BBB</v>
      </c>
      <c r="AK43" s="43" t="str">
        <f aca="false">IF(Q43&lt;&gt;1,"",IF(AJ43="","무등급",IFERROR(VLOOKUP(AJ43,설정!$A$15:$D$47,3,0),"무등급")))</f>
        <v>BBB</v>
      </c>
      <c r="AL43" s="89" t="n">
        <f aca="false">IF(AJ43="",99,IFERROR(VLOOKUP(AJ43,설정!$A$15:$D$47,4,0),99))</f>
        <v>9</v>
      </c>
      <c r="AM43" s="94" t="n">
        <f aca="false">IF(ISNUMBER(H43),AA43*1000000*H43/10000,0)</f>
        <v>1926.1443928</v>
      </c>
      <c r="AN43" s="94" t="n">
        <f aca="false">IF(OR(Y43=1,NOT(ISNUMBER(Z43))),0,AA43*1000000*Z43/10000)</f>
        <v>1926.1443928</v>
      </c>
      <c r="AO43" s="94" t="n">
        <f aca="false">IF(ISNUMBER(G43),AA43*1000000*G43/100,0)</f>
        <v>310485.6772</v>
      </c>
      <c r="AP43" s="94" t="n">
        <f aca="false">IF(ISNUMBER(M43),M43*K43,0)</f>
        <v>-246480</v>
      </c>
      <c r="AQ43" s="95" t="n">
        <f aca="false">IF(AB43="","",INDEX(시장분석!$AK:$AK,AB43))</f>
        <v>4.1422880721914</v>
      </c>
      <c r="AR43" s="43" t="str">
        <f aca="false">IF(AB43="","-",IF(AB43="","",INDEX(시장분석!$AL:$AL,AB43)))</f>
        <v>Cheap</v>
      </c>
      <c r="AS43" s="96" t="n">
        <f aca="false">IF(AB43="","",INDEX(시장분석!$AJ:$AJ,AB43))</f>
        <v>64.3060821653164</v>
      </c>
      <c r="AT43" s="93" t="n">
        <f aca="false">IF(AB43="",0,IF(AB43="","",INDEX(시장분석!$AN:$AN,AB43)))</f>
        <v>7.82313294176781</v>
      </c>
      <c r="AU43" s="94" t="n">
        <f aca="false">IF(ISNUMBER(Z43),AT43/10000*MAX(Z43-1,0)*AA43*1000000,0)</f>
        <v>11343.6397160852</v>
      </c>
      <c r="AV43" s="94" t="n">
        <f aca="false">AO43+AU43</f>
        <v>321829.316916085</v>
      </c>
      <c r="AW43" s="43" t="str">
        <f aca="false">IF(Q43&lt;&gt;1,"",TRIM(IF(AD43=1,"FRN ","")&amp;IF(AND(AL43&gt;=10,AL43&lt;99),"BBB0미만 ","")&amp;IF(AJ43="","등급없음 ","")&amp;IF(K43&lt;&gt;1,"비USD ","")&amp;IF(AND(AB43="",Y43=0),"시장데이터없음 ","")&amp;IF(AND(ISNUMBER(U43),U43&lt;0),"만기경과 ","")))</f>
        <v/>
      </c>
      <c r="AX43" s="90" t="n">
        <f aca="false">IF(Q43&lt;&gt;1,1,IF(스프레드쇼크!$C$4="Y",INDEX(스프레드쇼크!$B$12:$L$16,IFERROR(MATCH(AH43,스프레드쇼크!$A$12:$A$16,0),MATCH("목록외",스프레드쇼크!$A$12:$A$16,0)),IFERROR(MATCH(AG43,스프레드쇼크!$B$11:$L$11,0),MATCH("목록외",스프레드쇼크!$B$11:$L$11,0))),1))</f>
        <v>1</v>
      </c>
      <c r="AY43" s="90" t="n">
        <f aca="false">IF(스프레드쇼크!$C$5="Y",IF(ISNUMBER(AF43),MIN(스프레드쇼크!$C$7,MAX(스프레드쇼크!$C$6,AF43/스프레드쇼크!$C$8)),1),1)</f>
        <v>2.18800838983705</v>
      </c>
      <c r="AZ43" s="94" t="n">
        <f aca="false">AN43*AX43*AY43</f>
        <v>4214.42009148399</v>
      </c>
      <c r="BA43" s="90" t="n">
        <f aca="false">IF(ISNUMBER(G43),AA43*G43,0)</f>
        <v>31.04856772</v>
      </c>
      <c r="BB43" s="90" t="n">
        <f aca="false">IF(ISNUMBER(G43),AA43,0)</f>
        <v>4.76132</v>
      </c>
      <c r="BC43" s="90" t="n">
        <f aca="false">IF(AND(Y43=0,ISNUMBER(AF43)),AA43*AF43,0)</f>
        <v>688.76302856</v>
      </c>
      <c r="BD43" s="90" t="n">
        <f aca="false">IF(AND(Y43=0,ISNUMBER(AF43)),AA43,0)</f>
        <v>4.76132</v>
      </c>
      <c r="BE43" s="90" t="n">
        <f aca="false">IF(ISNUMBER(H43),AA43*H43,0)</f>
        <v>19.261443928</v>
      </c>
      <c r="BF43" s="90" t="n">
        <f aca="false">IF(ISNUMBER(H43),AA43,0)</f>
        <v>4.76132</v>
      </c>
      <c r="BG43" s="90" t="n">
        <f aca="false">IF(AND(Y43=0,ISNUMBER(AF43),ISNUMBER(Z43)),AA43*Z43,0)</f>
        <v>19.261443928</v>
      </c>
      <c r="BH43" s="90" t="n">
        <f aca="false">IF(AND(Y43=0,ISNUMBER(AF43),ISNUMBER(Z43)),AA43*AT43*MAX(Z43-1,0),0)</f>
        <v>113.436397160852</v>
      </c>
      <c r="BI43" s="90" t="n">
        <f aca="false">IF(Y43=0,AA43,0)</f>
        <v>4.76132</v>
      </c>
    </row>
    <row r="44" customFormat="false" ht="15" hidden="false" customHeight="false" outlineLevel="0" collapsed="false">
      <c r="A44" s="83" t="str">
        <f aca="false">IFERROR(IF(INDEX(원자료_잔고!$A$1:$EZ$1500,설정!$L$5+ROW()-1,설정!$L$8)&amp;""="0","",INDEX(원자료_잔고!$A$1:$EZ$1500,설정!$L$5+ROW()-1,설정!$L$8)&amp;""),"")</f>
        <v>GSCCOR 5.375 08/07/28</v>
      </c>
      <c r="B44" s="83" t="str">
        <f aca="false">IFERROR(IF(INDEX(원자료_잔고!$A$1:$EZ$1500,설정!$L$5+ROW()-1,설정!$L$7)&amp;""="0","",INDEX(원자료_잔고!$A$1:$EZ$1500,설정!$L$5+ROW()-1,설정!$L$7)&amp;""),"")</f>
        <v>USY29011DG83</v>
      </c>
      <c r="C44" s="83" t="str">
        <f aca="false">IFERROR(IF(INDEX(원자료_잔고!$A$1:$EZ$1500,설정!$L$5+ROW()-1,설정!$L$9)&amp;""="0","",INDEX(원자료_잔고!$A$1:$EZ$1500,설정!$L$5+ROW()-1,설정!$L$9)&amp;""),"")</f>
        <v>28096</v>
      </c>
      <c r="D4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" s="84" t="n">
        <f aca="false">IFERROR(IF(ISNUMBER(INDEX(원자료_잔고!$A$1:$EZ$1500,설정!$L$5+ROW()-1,설정!$L$11)),INDEX(원자료_잔고!$A$1:$EZ$1500,설정!$L$5+ROW()-1,설정!$L$11),""),"")</f>
        <v>5000000</v>
      </c>
      <c r="F44" s="85" t="n">
        <f aca="false">IFERROR(IF(ISNUMBER(INDEX(원자료_잔고!$A$1:$EZ$1500,설정!$L$5+ROW()-1,설정!$L$12)),INDEX(원자료_잔고!$A$1:$EZ$1500,설정!$L$5+ROW()-1,설정!$L$12),""),"")</f>
        <v>99.8783</v>
      </c>
      <c r="G44" s="85" t="n">
        <f aca="false">IFERROR(IF(ISNUMBER(INDEX(원자료_잔고!$A$1:$EZ$1500,설정!$L$5+ROW()-1,설정!$L$13)),INDEX(원자료_잔고!$A$1:$EZ$1500,설정!$L$5+ROW()-1,설정!$L$13),""),"")</f>
        <v>5.4386</v>
      </c>
      <c r="H44" s="85" t="n">
        <f aca="false">IFERROR(IF(ISNUMBER(INDEX(원자료_잔고!$A$1:$EZ$1500,설정!$L$5+ROW()-1,설정!$L$14)),INDEX(원자료_잔고!$A$1:$EZ$1500,설정!$L$5+ROW()-1,설정!$L$14),""),"")</f>
        <v>1.6954</v>
      </c>
      <c r="I44" s="86" t="n">
        <f aca="false">IFERROR(IF(ISNUMBER(INDEX(원자료_잔고!$A$1:$EZ$1500,설정!$L$5+ROW()-1,설정!$L$15)),INDEX(원자료_잔고!$A$1:$EZ$1500,설정!$L$5+ROW()-1,설정!$L$15),""),"")</f>
        <v>46972</v>
      </c>
      <c r="J44" s="85" t="n">
        <f aca="false">IFERROR(IF(ISNUMBER(INDEX(원자료_잔고!$A$1:$EZ$1500,설정!$L$5+ROW()-1,설정!$L$16)),INDEX(원자료_잔고!$A$1:$EZ$1500,설정!$L$5+ROW()-1,설정!$L$16),""),"")</f>
        <v>5.375</v>
      </c>
      <c r="K44" s="87" t="n">
        <f aca="false">IFERROR(IF(ISNUMBER(INDEX(원자료_잔고!$A$1:$EZ$1500,설정!$L$5+ROW()-1,설정!$L$17)),INDEX(원자료_잔고!$A$1:$EZ$1500,설정!$L$5+ROW()-1,설정!$L$17),""),"")</f>
        <v>1</v>
      </c>
      <c r="L44" s="84" t="n">
        <f aca="false">IFERROR(IF(ISNUMBER(INDEX(원자료_잔고!$A$1:$EZ$1500,설정!$L$5+ROW()-1,설정!$L$18)),INDEX(원자료_잔고!$A$1:$EZ$1500,설정!$L$5+ROW()-1,설정!$L$18),""),"")</f>
        <v>4993915</v>
      </c>
      <c r="M44" s="88" t="n">
        <f aca="false">IFERROR(IF(ISNUMBER(INDEX(원자료_잔고!$A$1:$EZ$1500,설정!$L$5+ROW()-1,설정!$L$19)),INDEX(원자료_잔고!$A$1:$EZ$1500,설정!$L$5+ROW()-1,설정!$L$19),""),"")</f>
        <v>-60085</v>
      </c>
      <c r="N44" s="83" t="str">
        <f aca="false">IFERROR(IF(INDEX(원자료_잔고!$A$1:$EZ$1500,설정!$L$5+ROW()-1,설정!$L$21)&amp;""="0","",INDEX(원자료_잔고!$A$1:$EZ$1500,설정!$L$5+ROW()-1,설정!$L$21)&amp;""),"")</f>
        <v>BBB+</v>
      </c>
      <c r="O44" s="83" t="str">
        <f aca="false">IFERROR(IF(INDEX(원자료_잔고!$A$1:$EZ$1500,설정!$L$5+ROW()-1,설정!$L$22)&amp;""="0","",INDEX(원자료_잔고!$A$1:$EZ$1500,설정!$L$5+ROW()-1,설정!$L$22)&amp;""),"")</f>
        <v/>
      </c>
      <c r="P44" s="83" t="str">
        <f aca="false">IFERROR(IF(INDEX(원자료_잔고!$A$1:$EZ$1500,설정!$L$5+ROW()-1,설정!$L$23)&amp;""="0","",INDEX(원자료_잔고!$A$1:$EZ$1500,설정!$L$5+ROW()-1,설정!$L$23)&amp;""),"")</f>
        <v>N/A</v>
      </c>
      <c r="Q44" s="89" t="n">
        <f aca="false">IF(AND($A44&lt;&gt;"",ISNUMBER(E44)),IF(E44&gt;0,1,0),0)</f>
        <v>1</v>
      </c>
      <c r="R44" s="43" t="str">
        <f aca="false">IF(Q44=1,UPPER(LEFT($A44,FIND(" ",$A44&amp;" ")-1)),"")</f>
        <v>GSCCOR</v>
      </c>
      <c r="S44" s="89" t="n">
        <f aca="false">IF(Q44=1,IF(OR(ISNUMBER(SEARCH("Float",$A44)),ISNUMBER(SEARCH("FRN",$A44))),1,0),0)</f>
        <v>0</v>
      </c>
      <c r="T44" s="43" t="str">
        <f aca="false">IF(AND(Q44=1,ISNUMBER(I44)),TEXT(I44,"yyyymmdd")&amp;"|"&amp;IF(S44=1,"F",TEXT(J44,"0.000")),"")</f>
        <v>20280807|5.375</v>
      </c>
      <c r="U44" s="90" t="n">
        <f aca="false">IF(AND(Q44=1,ISNUMBER(I44)),(I44-설정!$C$4)/365.25,"")</f>
        <v>1.8507871321013</v>
      </c>
      <c r="V44" s="43" t="str">
        <f aca="false">IF(Q44&lt;&gt;1,"",IF(ISNUMBER(U44),IF(U44&lt;=1,"1년 이하",IF(U44&lt;=2,"1-2년",IF(U44&lt;=3,"2-3년",IF(U44&lt;=4,"3-4년",IF(U44&lt;=5,"4-5년",IF(U44&lt;=7,"5-7년",IF(U44&lt;=10,"7-10년",IF(U44&lt;=20,"10-20년","20년 이상")))))))),"미분류"))</f>
        <v>1-2년</v>
      </c>
      <c r="W44" s="43" t="str">
        <f aca="false">IF(Q44&lt;&gt;1,"",IF(AB44&lt;&gt;"",INDEX(시장분석!$C:$C,AB44),IF(K44=1,"USD","비USD")))</f>
        <v>USD</v>
      </c>
      <c r="X44" s="91" t="n">
        <f aca="false">IF(Q44=1,E44*K44/1000000,0)</f>
        <v>5</v>
      </c>
      <c r="Y44" s="89" t="n">
        <f aca="false">IF(R44="T",1,0)</f>
        <v>0</v>
      </c>
      <c r="Z44" s="92" t="n">
        <f aca="false">IF(Q44&lt;&gt;1,"",IF(AD44=1,IF(ISNUMBER(U44),MAX(U44,0),H44),H44))</f>
        <v>1.6954</v>
      </c>
      <c r="AA44" s="91" t="n">
        <f aca="false">IF(Q44=1,IF(ISNUMBER(L44),L44,0)*K44/1000000,0)</f>
        <v>4.993915</v>
      </c>
      <c r="AB44" s="89" t="n">
        <f aca="false">IF(Q44&lt;&gt;1,"",IFERROR(MATCH(VLOOKUP(B44,매핑!$H$4:$I$15,2,0),시장분석!$A$2:$A$601,0)+1,IFERROR(MATCH(R44&amp;"|"&amp;T44,시장분석!$V$2:$V$601,0)+1,IF(COUNTIF(시장분석!$U$2:$U$601,T44)=1,MATCH(T44,시장분석!$U$2:$U$601,0)+1,""))))</f>
        <v>154</v>
      </c>
      <c r="AC44" s="89" t="n">
        <f aca="false">IF(Q44&lt;&gt;1,0,IF(OR(설정!$C$5="전체",AND(설정!$C$5="선택펀드",IFERROR(COUNTIFS(설정!$F$16:$F$36,C44,설정!$G$16:$G$36,"Y")+COUNTIFS(설정!$F$16:$F$36,VALUE(C44),설정!$G$16:$G$36,"Y"),0)&gt;0),C44&amp;""=설정!$C$5&amp;""),1,0))</f>
        <v>1</v>
      </c>
      <c r="AD44" s="89" t="n">
        <f aca="false">IF(Q44&lt;&gt;1,0,IF(OR(S44=1,IF(AB44="",FALSE(),INDEX(시장분석!$R:$R,AB44)=1)),1,0))</f>
        <v>0</v>
      </c>
      <c r="AE44" s="43" t="str">
        <f aca="false">IF(AB44="","",INDEX(시장분석!$A:$A,AB44))</f>
        <v>GSCCOR 5 3/8 08/07/28</v>
      </c>
      <c r="AF44" s="93" t="n">
        <f aca="false">IF(AB44="","",IF(ISNUMBER(IF(AB44="","",INDEX(시장분석!$E:$E,AB44))),IF(AB44="","",INDEX(시장분석!$E:$E,AB44)),""))</f>
        <v>57.597</v>
      </c>
      <c r="AG44" s="43" t="str">
        <f aca="false">IF(Q44&lt;&gt;1,"",IF(AB44&lt;&gt;"",IF(AB44="","",INDEX(시장분석!$L:$L,AB44)),IFERROR(IF(VLOOKUP(R44,매핑!$A$4:$E$92,5,0)="","미분류",VLOOKUP(R44,매핑!$A$4:$E$92,5,0)),"미분류")))</f>
        <v>에너지</v>
      </c>
      <c r="AH44" s="43" t="str">
        <f aca="false">IF(Q44&lt;&gt;1,"",IF(AB44&lt;&gt;"",IF(AB44="","",INDEX(시장분석!$N:$N,AB44)),IFERROR(IF(VLOOKUP(R44,매핑!$A$4:$E$92,4,0)="","미분류",VLOOKUP(R44,매핑!$A$4:$E$92,4,0)),"미분류")))</f>
        <v>아시아/기타</v>
      </c>
      <c r="AI44" s="43" t="str">
        <f aca="false">IF(Q44&lt;&gt;1,"",IFERROR(IF(VLOOKUP(R44,매핑!$A$4:$E$92,3,0)="","미분류",VLOOKUP(R44,매핑!$A$4:$E$92,3,0)),IF(AB44&lt;&gt;"",IF(AB44="","",INDEX(시장분석!$W:$W,AB44)),"미분류")))</f>
        <v>한국</v>
      </c>
      <c r="AJ44" s="43" t="str">
        <f aca="false">IF(Q44&lt;&gt;1,"",IFERROR(VLOOKUP(IF(N44&lt;&gt;"",N44,IF(P44&lt;&gt;"",P44,O44)),설정!$A$15:$D$47,2,0),""))</f>
        <v>BBB+</v>
      </c>
      <c r="AK44" s="43" t="str">
        <f aca="false">IF(Q44&lt;&gt;1,"",IF(AJ44="","무등급",IFERROR(VLOOKUP(AJ44,설정!$A$15:$D$47,3,0),"무등급")))</f>
        <v>BBB</v>
      </c>
      <c r="AL44" s="89" t="n">
        <f aca="false">IF(AJ44="",99,IFERROR(VLOOKUP(AJ44,설정!$A$15:$D$47,4,0),99))</f>
        <v>8</v>
      </c>
      <c r="AM44" s="94" t="n">
        <f aca="false">IF(ISNUMBER(H44),AA44*1000000*H44/10000,0)</f>
        <v>846.6683491</v>
      </c>
      <c r="AN44" s="94" t="n">
        <f aca="false">IF(OR(Y44=1,NOT(ISNUMBER(Z44))),0,AA44*1000000*Z44/10000)</f>
        <v>846.6683491</v>
      </c>
      <c r="AO44" s="94" t="n">
        <f aca="false">IF(ISNUMBER(G44),AA44*1000000*G44/100,0)</f>
        <v>271599.06119</v>
      </c>
      <c r="AP44" s="94" t="n">
        <f aca="false">IF(ISNUMBER(M44),M44*K44,0)</f>
        <v>-60085</v>
      </c>
      <c r="AQ44" s="95" t="n">
        <f aca="false">IF(AB44="","",INDEX(시장분석!$AK:$AK,AB44))</f>
        <v>0.842795770998795</v>
      </c>
      <c r="AR44" s="43" t="str">
        <f aca="false">IF(AB44="","-",IF(AB44="","",INDEX(시장분석!$AL:$AL,AB44)))</f>
        <v>Fair</v>
      </c>
      <c r="AS44" s="96" t="n">
        <f aca="false">IF(AB44="","",INDEX(시장분석!$AJ:$AJ,AB44))</f>
        <v>23.2424712288859</v>
      </c>
      <c r="AT44" s="93" t="n">
        <f aca="false">IF(AB44="",0,IF(AB44="","",INDEX(시장분석!$AN:$AN,AB44)))</f>
        <v>22.2223503296857</v>
      </c>
      <c r="AU44" s="94" t="n">
        <f aca="false">IF(ISNUMBER(Z44),AT44/10000*MAX(Z44-1,0)*AA44*1000000,0)</f>
        <v>7717.3078020896</v>
      </c>
      <c r="AV44" s="94" t="n">
        <f aca="false">AO44+AU44</f>
        <v>279316.36899209</v>
      </c>
      <c r="AW44" s="43" t="str">
        <f aca="false">IF(Q44&lt;&gt;1,"",TRIM(IF(AD44=1,"FRN ","")&amp;IF(AND(AL44&gt;=10,AL44&lt;99),"BBB0미만 ","")&amp;IF(AJ44="","등급없음 ","")&amp;IF(K44&lt;&gt;1,"비USD ","")&amp;IF(AND(AB44="",Y44=0),"시장데이터없음 ","")&amp;IF(AND(ISNUMBER(U44),U44&lt;0),"만기경과 ","")))</f>
        <v/>
      </c>
      <c r="AX44" s="90" t="n">
        <f aca="false">IF(Q44&lt;&gt;1,1,IF(스프레드쇼크!$C$4="Y",INDEX(스프레드쇼크!$B$12:$L$16,IFERROR(MATCH(AH44,스프레드쇼크!$A$12:$A$16,0),MATCH("목록외",스프레드쇼크!$A$12:$A$16,0)),IFERROR(MATCH(AG44,스프레드쇼크!$B$11:$L$11,0),MATCH("목록외",스프레드쇼크!$B$11:$L$11,0))),1))</f>
        <v>1</v>
      </c>
      <c r="AY44" s="90" t="n">
        <f aca="false">IF(스프레드쇼크!$C$5="Y",IF(ISNUMBER(AF44),MIN(스프레드쇼크!$C$7,MAX(스프레드쇼크!$C$6,AF44/스프레드쇼크!$C$8)),1),1)</f>
        <v>0.871176977626157</v>
      </c>
      <c r="AZ44" s="94" t="n">
        <f aca="false">AN44*AX44*AY44</f>
        <v>737.597973420666</v>
      </c>
      <c r="BA44" s="90" t="n">
        <f aca="false">IF(ISNUMBER(G44),AA44*G44,0)</f>
        <v>27.159906119</v>
      </c>
      <c r="BB44" s="90" t="n">
        <f aca="false">IF(ISNUMBER(G44),AA44,0)</f>
        <v>4.993915</v>
      </c>
      <c r="BC44" s="90" t="n">
        <f aca="false">IF(AND(Y44=0,ISNUMBER(AF44)),AA44*AF44,0)</f>
        <v>287.634522255</v>
      </c>
      <c r="BD44" s="90" t="n">
        <f aca="false">IF(AND(Y44=0,ISNUMBER(AF44)),AA44,0)</f>
        <v>4.993915</v>
      </c>
      <c r="BE44" s="90" t="n">
        <f aca="false">IF(ISNUMBER(H44),AA44*H44,0)</f>
        <v>8.466683491</v>
      </c>
      <c r="BF44" s="90" t="n">
        <f aca="false">IF(ISNUMBER(H44),AA44,0)</f>
        <v>4.993915</v>
      </c>
      <c r="BG44" s="90" t="n">
        <f aca="false">IF(AND(Y44=0,ISNUMBER(AF44),ISNUMBER(Z44)),AA44*Z44,0)</f>
        <v>8.466683491</v>
      </c>
      <c r="BH44" s="90" t="n">
        <f aca="false">IF(AND(Y44=0,ISNUMBER(AF44),ISNUMBER(Z44)),AA44*AT44*MAX(Z44-1,0),0)</f>
        <v>77.173078020896</v>
      </c>
      <c r="BI44" s="90" t="n">
        <f aca="false">IF(Y44=0,AA44,0)</f>
        <v>4.993915</v>
      </c>
    </row>
    <row r="45" customFormat="false" ht="15" hidden="false" customHeight="false" outlineLevel="0" collapsed="false">
      <c r="A45" s="83" t="str">
        <f aca="false">IFERROR(IF(INDEX(원자료_잔고!$A$1:$EZ$1500,설정!$L$5+ROW()-1,설정!$L$8)&amp;""="0","",INDEX(원자료_잔고!$A$1:$EZ$1500,설정!$L$5+ROW()-1,설정!$L$8)&amp;""),"")</f>
        <v>HYUCAP 5.25 01/22/28</v>
      </c>
      <c r="B45" s="83" t="str">
        <f aca="false">IFERROR(IF(INDEX(원자료_잔고!$A$1:$EZ$1500,설정!$L$5+ROW()-1,설정!$L$7)&amp;""="0","",INDEX(원자료_잔고!$A$1:$EZ$1500,설정!$L$5+ROW()-1,설정!$L$7)&amp;""),"")</f>
        <v>USY3815NBK64</v>
      </c>
      <c r="C45" s="83" t="str">
        <f aca="false">IFERROR(IF(INDEX(원자료_잔고!$A$1:$EZ$1500,설정!$L$5+ROW()-1,설정!$L$9)&amp;""="0","",INDEX(원자료_잔고!$A$1:$EZ$1500,설정!$L$5+ROW()-1,설정!$L$9)&amp;""),"")</f>
        <v>28096</v>
      </c>
      <c r="D4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5" s="84" t="n">
        <f aca="false">IFERROR(IF(ISNUMBER(INDEX(원자료_잔고!$A$1:$EZ$1500,설정!$L$5+ROW()-1,설정!$L$11)),INDEX(원자료_잔고!$A$1:$EZ$1500,설정!$L$5+ROW()-1,설정!$L$11),""),"")</f>
        <v>500000</v>
      </c>
      <c r="F45" s="85" t="n">
        <f aca="false">IFERROR(IF(ISNUMBER(INDEX(원자료_잔고!$A$1:$EZ$1500,설정!$L$5+ROW()-1,설정!$L$12)),INDEX(원자료_잔고!$A$1:$EZ$1500,설정!$L$5+ROW()-1,설정!$L$12),""),"")</f>
        <v>99.8852</v>
      </c>
      <c r="G45" s="85" t="n">
        <f aca="false">IFERROR(IF(ISNUMBER(INDEX(원자료_잔고!$A$1:$EZ$1500,설정!$L$5+ROW()-1,설정!$L$13)),INDEX(원자료_잔고!$A$1:$EZ$1500,설정!$L$5+ROW()-1,설정!$L$13),""),"")</f>
        <v>5.3348</v>
      </c>
      <c r="H45" s="85" t="n">
        <f aca="false">IFERROR(IF(ISNUMBER(INDEX(원자료_잔고!$A$1:$EZ$1500,설정!$L$5+ROW()-1,설정!$L$14)),INDEX(원자료_잔고!$A$1:$EZ$1500,설정!$L$5+ROW()-1,설정!$L$14),""),"")</f>
        <v>1.2168</v>
      </c>
      <c r="I45" s="86" t="n">
        <f aca="false">IFERROR(IF(ISNUMBER(INDEX(원자료_잔고!$A$1:$EZ$1500,설정!$L$5+ROW()-1,설정!$L$15)),INDEX(원자료_잔고!$A$1:$EZ$1500,설정!$L$5+ROW()-1,설정!$L$15),""),"")</f>
        <v>46774</v>
      </c>
      <c r="J45" s="85" t="n">
        <f aca="false">IFERROR(IF(ISNUMBER(INDEX(원자료_잔고!$A$1:$EZ$1500,설정!$L$5+ROW()-1,설정!$L$16)),INDEX(원자료_잔고!$A$1:$EZ$1500,설정!$L$5+ROW()-1,설정!$L$16),""),"")</f>
        <v>5.25</v>
      </c>
      <c r="K45" s="87" t="n">
        <f aca="false">IFERROR(IF(ISNUMBER(INDEX(원자료_잔고!$A$1:$EZ$1500,설정!$L$5+ROW()-1,설정!$L$17)),INDEX(원자료_잔고!$A$1:$EZ$1500,설정!$L$5+ROW()-1,설정!$L$17),""),"")</f>
        <v>1</v>
      </c>
      <c r="L45" s="84" t="n">
        <f aca="false">IFERROR(IF(ISNUMBER(INDEX(원자료_잔고!$A$1:$EZ$1500,설정!$L$5+ROW()-1,설정!$L$18)),INDEX(원자료_잔고!$A$1:$EZ$1500,설정!$L$5+ROW()-1,설정!$L$18),""),"")</f>
        <v>499426</v>
      </c>
      <c r="M45" s="88" t="n">
        <f aca="false">IFERROR(IF(ISNUMBER(INDEX(원자료_잔고!$A$1:$EZ$1500,설정!$L$5+ROW()-1,설정!$L$19)),INDEX(원자료_잔고!$A$1:$EZ$1500,설정!$L$5+ROW()-1,설정!$L$19),""),"")</f>
        <v>-6589</v>
      </c>
      <c r="N45" s="83" t="str">
        <f aca="false">IFERROR(IF(INDEX(원자료_잔고!$A$1:$EZ$1500,설정!$L$5+ROW()-1,설정!$L$21)&amp;""="0","",INDEX(원자료_잔고!$A$1:$EZ$1500,설정!$L$5+ROW()-1,설정!$L$21)&amp;""),"")</f>
        <v/>
      </c>
      <c r="O45" s="83" t="str">
        <f aca="false">IFERROR(IF(INDEX(원자료_잔고!$A$1:$EZ$1500,설정!$L$5+ROW()-1,설정!$L$22)&amp;""="0","",INDEX(원자료_잔고!$A$1:$EZ$1500,설정!$L$5+ROW()-1,설정!$L$22)&amp;""),"")</f>
        <v/>
      </c>
      <c r="P45" s="83" t="str">
        <f aca="false">IFERROR(IF(INDEX(원자료_잔고!$A$1:$EZ$1500,설정!$L$5+ROW()-1,설정!$L$23)&amp;""="0","",INDEX(원자료_잔고!$A$1:$EZ$1500,설정!$L$5+ROW()-1,설정!$L$23)&amp;""),"")</f>
        <v>A-</v>
      </c>
      <c r="Q45" s="89" t="n">
        <f aca="false">IF(AND($A45&lt;&gt;"",ISNUMBER(E45)),IF(E45&gt;0,1,0),0)</f>
        <v>1</v>
      </c>
      <c r="R45" s="43" t="str">
        <f aca="false">IF(Q45=1,UPPER(LEFT($A45,FIND(" ",$A45&amp;" ")-1)),"")</f>
        <v>HYUCAP</v>
      </c>
      <c r="S45" s="89" t="n">
        <f aca="false">IF(Q45=1,IF(OR(ISNUMBER(SEARCH("Float",$A45)),ISNUMBER(SEARCH("FRN",$A45))),1,0),0)</f>
        <v>0</v>
      </c>
      <c r="T45" s="43" t="str">
        <f aca="false">IF(AND(Q45=1,ISNUMBER(I45)),TEXT(I45,"yyyymmdd")&amp;"|"&amp;IF(S45=1,"F",TEXT(J45,"0.000")),"")</f>
        <v>20280122|5.250</v>
      </c>
      <c r="U45" s="90" t="n">
        <f aca="false">IF(AND(Q45=1,ISNUMBER(I45)),(I45-설정!$C$4)/365.25,"")</f>
        <v>1.30869267624914</v>
      </c>
      <c r="V45" s="43" t="str">
        <f aca="false">IF(Q45&lt;&gt;1,"",IF(ISNUMBER(U45),IF(U45&lt;=1,"1년 이하",IF(U45&lt;=2,"1-2년",IF(U45&lt;=3,"2-3년",IF(U45&lt;=4,"3-4년",IF(U45&lt;=5,"4-5년",IF(U45&lt;=7,"5-7년",IF(U45&lt;=10,"7-10년",IF(U45&lt;=20,"10-20년","20년 이상")))))))),"미분류"))</f>
        <v>1-2년</v>
      </c>
      <c r="W45" s="43" t="str">
        <f aca="false">IF(Q45&lt;&gt;1,"",IF(AB45&lt;&gt;"",INDEX(시장분석!$C:$C,AB45),IF(K45=1,"USD","비USD")))</f>
        <v>USD</v>
      </c>
      <c r="X45" s="91" t="n">
        <f aca="false">IF(Q45=1,E45*K45/1000000,0)</f>
        <v>0.5</v>
      </c>
      <c r="Y45" s="89" t="n">
        <f aca="false">IF(R45="T",1,0)</f>
        <v>0</v>
      </c>
      <c r="Z45" s="92" t="n">
        <f aca="false">IF(Q45&lt;&gt;1,"",IF(AD45=1,IF(ISNUMBER(U45),MAX(U45,0),H45),H45))</f>
        <v>1.2168</v>
      </c>
      <c r="AA45" s="91" t="n">
        <f aca="false">IF(Q45=1,IF(ISNUMBER(L45),L45,0)*K45/1000000,0)</f>
        <v>0.499426</v>
      </c>
      <c r="AB45" s="89" t="n">
        <f aca="false">IF(Q45&lt;&gt;1,"",IFERROR(MATCH(VLOOKUP(B45,매핑!$H$4:$I$15,2,0),시장분석!$A$2:$A$601,0)+1,IFERROR(MATCH(R45&amp;"|"&amp;T45,시장분석!$V$2:$V$601,0)+1,IF(COUNTIF(시장분석!$U$2:$U$601,T45)=1,MATCH(T45,시장분석!$U$2:$U$601,0)+1,""))))</f>
        <v>156</v>
      </c>
      <c r="AC45" s="89" t="n">
        <f aca="false">IF(Q45&lt;&gt;1,0,IF(OR(설정!$C$5="전체",AND(설정!$C$5="선택펀드",IFERROR(COUNTIFS(설정!$F$16:$F$36,C45,설정!$G$16:$G$36,"Y")+COUNTIFS(설정!$F$16:$F$36,VALUE(C45),설정!$G$16:$G$36,"Y"),0)&gt;0),C45&amp;""=설정!$C$5&amp;""),1,0))</f>
        <v>1</v>
      </c>
      <c r="AD45" s="89" t="n">
        <f aca="false">IF(Q45&lt;&gt;1,0,IF(OR(S45=1,IF(AB45="",FALSE(),INDEX(시장분석!$R:$R,AB45)=1)),1,0))</f>
        <v>0</v>
      </c>
      <c r="AE45" s="43" t="str">
        <f aca="false">IF(AB45="","",INDEX(시장분석!$A:$A,AB45))</f>
        <v>HYUCAP 5 1/4 01/22/28</v>
      </c>
      <c r="AF45" s="93" t="n">
        <f aca="false">IF(AB45="","",IF(ISNUMBER(IF(AB45="","",INDEX(시장분석!$E:$E,AB45))),IF(AB45="","",INDEX(시장분석!$E:$E,AB45)),""))</f>
        <v>43.538</v>
      </c>
      <c r="AG45" s="43" t="str">
        <f aca="false">IF(Q45&lt;&gt;1,"",IF(AB45&lt;&gt;"",IF(AB45="","",INDEX(시장분석!$L:$L,AB45)),IFERROR(IF(VLOOKUP(R45,매핑!$A$4:$E$92,5,0)="","미분류",VLOOKUP(R45,매핑!$A$4:$E$92,5,0)),"미분류")))</f>
        <v>자유 소비재</v>
      </c>
      <c r="AH45" s="43" t="str">
        <f aca="false">IF(Q45&lt;&gt;1,"",IF(AB45&lt;&gt;"",IF(AB45="","",INDEX(시장분석!$N:$N,AB45)),IFERROR(IF(VLOOKUP(R45,매핑!$A$4:$E$92,4,0)="","미분류",VLOOKUP(R45,매핑!$A$4:$E$92,4,0)),"미분류")))</f>
        <v>아시아/기타</v>
      </c>
      <c r="AI45" s="43" t="str">
        <f aca="false">IF(Q45&lt;&gt;1,"",IFERROR(IF(VLOOKUP(R45,매핑!$A$4:$E$92,3,0)="","미분류",VLOOKUP(R45,매핑!$A$4:$E$92,3,0)),IF(AB45&lt;&gt;"",IF(AB45="","",INDEX(시장분석!$W:$W,AB45)),"미분류")))</f>
        <v>한국</v>
      </c>
      <c r="AJ45" s="43" t="str">
        <f aca="false">IF(Q45&lt;&gt;1,"",IFERROR(VLOOKUP(IF(N45&lt;&gt;"",N45,IF(P45&lt;&gt;"",P45,O45)),설정!$A$15:$D$47,2,0),""))</f>
        <v>A-</v>
      </c>
      <c r="AK45" s="43" t="str">
        <f aca="false">IF(Q45&lt;&gt;1,"",IF(AJ45="","무등급",IFERROR(VLOOKUP(AJ45,설정!$A$15:$D$47,3,0),"무등급")))</f>
        <v>A</v>
      </c>
      <c r="AL45" s="89" t="n">
        <f aca="false">IF(AJ45="",99,IFERROR(VLOOKUP(AJ45,설정!$A$15:$D$47,4,0),99))</f>
        <v>7</v>
      </c>
      <c r="AM45" s="94" t="n">
        <f aca="false">IF(ISNUMBER(H45),AA45*1000000*H45/10000,0)</f>
        <v>60.77015568</v>
      </c>
      <c r="AN45" s="94" t="n">
        <f aca="false">IF(OR(Y45=1,NOT(ISNUMBER(Z45))),0,AA45*1000000*Z45/10000)</f>
        <v>60.77015568</v>
      </c>
      <c r="AO45" s="94" t="n">
        <f aca="false">IF(ISNUMBER(G45),AA45*1000000*G45/100,0)</f>
        <v>26643.378248</v>
      </c>
      <c r="AP45" s="94" t="n">
        <f aca="false">IF(ISNUMBER(M45),M45*K45,0)</f>
        <v>-6589</v>
      </c>
      <c r="AQ45" s="95" t="n">
        <f aca="false">IF(AB45="","",INDEX(시장분석!$AK:$AK,AB45))</f>
        <v>-0.0452416615046535</v>
      </c>
      <c r="AR45" s="43" t="str">
        <f aca="false">IF(AB45="","-",IF(AB45="","",INDEX(시장분석!$AL:$AL,AB45)))</f>
        <v>Fair</v>
      </c>
      <c r="AS45" s="96" t="n">
        <f aca="false">IF(AB45="","",INDEX(시장분석!$AJ:$AJ,AB45))</f>
        <v>-0.937178346666286</v>
      </c>
      <c r="AT45" s="93" t="n">
        <f aca="false">IF(AB45="",0,IF(AB45="","",INDEX(시장분석!$AN:$AN,AB45)))</f>
        <v>0</v>
      </c>
      <c r="AU45" s="94" t="n">
        <f aca="false">IF(ISNUMBER(Z45),AT45/10000*MAX(Z45-1,0)*AA45*1000000,0)</f>
        <v>0</v>
      </c>
      <c r="AV45" s="94" t="n">
        <f aca="false">AO45+AU45</f>
        <v>26643.378248</v>
      </c>
      <c r="AW45" s="43" t="str">
        <f aca="false">IF(Q45&lt;&gt;1,"",TRIM(IF(AD45=1,"FRN ","")&amp;IF(AND(AL45&gt;=10,AL45&lt;99),"BBB0미만 ","")&amp;IF(AJ45="","등급없음 ","")&amp;IF(K45&lt;&gt;1,"비USD ","")&amp;IF(AND(AB45="",Y45=0),"시장데이터없음 ","")&amp;IF(AND(ISNUMBER(U45),U45&lt;0),"만기경과 ","")))</f>
        <v/>
      </c>
      <c r="AX45" s="90" t="n">
        <f aca="false">IF(Q45&lt;&gt;1,1,IF(스프레드쇼크!$C$4="Y",INDEX(스프레드쇼크!$B$12:$L$16,IFERROR(MATCH(AH45,스프레드쇼크!$A$12:$A$16,0),MATCH("목록외",스프레드쇼크!$A$12:$A$16,0)),IFERROR(MATCH(AG45,스프레드쇼크!$B$11:$L$11,0),MATCH("목록외",스프레드쇼크!$B$11:$L$11,0))),1))</f>
        <v>1</v>
      </c>
      <c r="AY45" s="90" t="n">
        <f aca="false">IF(스프레드쇼크!$C$5="Y",IF(ISNUMBER(AF45),MIN(스프레드쇼크!$C$7,MAX(스프레드쇼크!$C$6,AF45/스프레드쇼크!$C$8)),1),1)</f>
        <v>0.658529146516096</v>
      </c>
      <c r="AZ45" s="94" t="n">
        <f aca="false">AN45*AX45*AY45</f>
        <v>40.0189187536007</v>
      </c>
      <c r="BA45" s="90" t="n">
        <f aca="false">IF(ISNUMBER(G45),AA45*G45,0)</f>
        <v>2.6643378248</v>
      </c>
      <c r="BB45" s="90" t="n">
        <f aca="false">IF(ISNUMBER(G45),AA45,0)</f>
        <v>0.499426</v>
      </c>
      <c r="BC45" s="90" t="n">
        <f aca="false">IF(AND(Y45=0,ISNUMBER(AF45)),AA45*AF45,0)</f>
        <v>21.744009188</v>
      </c>
      <c r="BD45" s="90" t="n">
        <f aca="false">IF(AND(Y45=0,ISNUMBER(AF45)),AA45,0)</f>
        <v>0.499426</v>
      </c>
      <c r="BE45" s="90" t="n">
        <f aca="false">IF(ISNUMBER(H45),AA45*H45,0)</f>
        <v>0.6077015568</v>
      </c>
      <c r="BF45" s="90" t="n">
        <f aca="false">IF(ISNUMBER(H45),AA45,0)</f>
        <v>0.499426</v>
      </c>
      <c r="BG45" s="90" t="n">
        <f aca="false">IF(AND(Y45=0,ISNUMBER(AF45),ISNUMBER(Z45)),AA45*Z45,0)</f>
        <v>0.6077015568</v>
      </c>
      <c r="BH45" s="90" t="n">
        <f aca="false">IF(AND(Y45=0,ISNUMBER(AF45),ISNUMBER(Z45)),AA45*AT45*MAX(Z45-1,0),0)</f>
        <v>0</v>
      </c>
      <c r="BI45" s="90" t="n">
        <f aca="false">IF(Y45=0,AA45,0)</f>
        <v>0.499426</v>
      </c>
    </row>
    <row r="46" customFormat="false" ht="15" hidden="false" customHeight="false" outlineLevel="0" collapsed="false">
      <c r="A46" s="83" t="str">
        <f aca="false">IFERROR(IF(INDEX(원자료_잔고!$A$1:$EZ$1500,설정!$L$5+ROW()-1,설정!$L$8)&amp;""="0","",INDEX(원자료_잔고!$A$1:$EZ$1500,설정!$L$5+ROW()-1,설정!$L$8)&amp;""),"")</f>
        <v>LGENSO 5.75 09/25/28</v>
      </c>
      <c r="B46" s="83" t="str">
        <f aca="false">IFERROR(IF(INDEX(원자료_잔고!$A$1:$EZ$1500,설정!$L$5+ROW()-1,설정!$L$7)&amp;""="0","",INDEX(원자료_잔고!$A$1:$EZ$1500,설정!$L$5+ROW()-1,설정!$L$7)&amp;""),"")</f>
        <v>USY5S5CGAB83</v>
      </c>
      <c r="C46" s="83" t="str">
        <f aca="false">IFERROR(IF(INDEX(원자료_잔고!$A$1:$EZ$1500,설정!$L$5+ROW()-1,설정!$L$9)&amp;""="0","",INDEX(원자료_잔고!$A$1:$EZ$1500,설정!$L$5+ROW()-1,설정!$L$9)&amp;""),"")</f>
        <v>28096</v>
      </c>
      <c r="D4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6" s="84" t="n">
        <f aca="false">IFERROR(IF(ISNUMBER(INDEX(원자료_잔고!$A$1:$EZ$1500,설정!$L$5+ROW()-1,설정!$L$11)),INDEX(원자료_잔고!$A$1:$EZ$1500,설정!$L$5+ROW()-1,설정!$L$11),""),"")</f>
        <v>200000</v>
      </c>
      <c r="F46" s="85" t="n">
        <f aca="false">IFERROR(IF(ISNUMBER(INDEX(원자료_잔고!$A$1:$EZ$1500,설정!$L$5+ROW()-1,설정!$L$12)),INDEX(원자료_잔고!$A$1:$EZ$1500,설정!$L$5+ROW()-1,설정!$L$12),""),"")</f>
        <v>100.177</v>
      </c>
      <c r="G46" s="85" t="n">
        <f aca="false">IFERROR(IF(ISNUMBER(INDEX(원자료_잔고!$A$1:$EZ$1500,설정!$L$5+ROW()-1,설정!$L$13)),INDEX(원자료_잔고!$A$1:$EZ$1500,설정!$L$5+ROW()-1,설정!$L$13),""),"")</f>
        <v>5.6533</v>
      </c>
      <c r="H46" s="85" t="n">
        <f aca="false">IFERROR(IF(ISNUMBER(INDEX(원자료_잔고!$A$1:$EZ$1500,설정!$L$5+ROW()-1,설정!$L$14)),INDEX(원자료_잔고!$A$1:$EZ$1500,설정!$L$5+ROW()-1,설정!$L$14),""),"")</f>
        <v>1.8169</v>
      </c>
      <c r="I46" s="86" t="n">
        <f aca="false">IFERROR(IF(ISNUMBER(INDEX(원자료_잔고!$A$1:$EZ$1500,설정!$L$5+ROW()-1,설정!$L$15)),INDEX(원자료_잔고!$A$1:$EZ$1500,설정!$L$5+ROW()-1,설정!$L$15),""),"")</f>
        <v>47021</v>
      </c>
      <c r="J46" s="85" t="n">
        <f aca="false">IFERROR(IF(ISNUMBER(INDEX(원자료_잔고!$A$1:$EZ$1500,설정!$L$5+ROW()-1,설정!$L$16)),INDEX(원자료_잔고!$A$1:$EZ$1500,설정!$L$5+ROW()-1,설정!$L$16),""),"")</f>
        <v>5.75</v>
      </c>
      <c r="K46" s="87" t="n">
        <f aca="false">IFERROR(IF(ISNUMBER(INDEX(원자료_잔고!$A$1:$EZ$1500,설정!$L$5+ROW()-1,설정!$L$17)),INDEX(원자료_잔고!$A$1:$EZ$1500,설정!$L$5+ROW()-1,설정!$L$17),""),"")</f>
        <v>1</v>
      </c>
      <c r="L46" s="84" t="n">
        <f aca="false">IFERROR(IF(ISNUMBER(INDEX(원자료_잔고!$A$1:$EZ$1500,설정!$L$5+ROW()-1,설정!$L$18)),INDEX(원자료_잔고!$A$1:$EZ$1500,설정!$L$5+ROW()-1,설정!$L$18),""),"")</f>
        <v>200354</v>
      </c>
      <c r="M46" s="88" t="n">
        <f aca="false">IFERROR(IF(ISNUMBER(INDEX(원자료_잔고!$A$1:$EZ$1500,설정!$L$5+ROW()-1,설정!$L$19)),INDEX(원자료_잔고!$A$1:$EZ$1500,설정!$L$5+ROW()-1,설정!$L$19),""),"")</f>
        <v>-3980.6</v>
      </c>
      <c r="N46" s="83" t="str">
        <f aca="false">IFERROR(IF(INDEX(원자료_잔고!$A$1:$EZ$1500,설정!$L$5+ROW()-1,설정!$L$21)&amp;""="0","",INDEX(원자료_잔고!$A$1:$EZ$1500,설정!$L$5+ROW()-1,설정!$L$21)&amp;""),"")</f>
        <v>BBB</v>
      </c>
      <c r="O46" s="83" t="str">
        <f aca="false">IFERROR(IF(INDEX(원자료_잔고!$A$1:$EZ$1500,설정!$L$5+ROW()-1,설정!$L$22)&amp;""="0","",INDEX(원자료_잔고!$A$1:$EZ$1500,설정!$L$5+ROW()-1,설정!$L$22)&amp;""),"")</f>
        <v/>
      </c>
      <c r="P46" s="83" t="str">
        <f aca="false">IFERROR(IF(INDEX(원자료_잔고!$A$1:$EZ$1500,설정!$L$5+ROW()-1,설정!$L$23)&amp;""="0","",INDEX(원자료_잔고!$A$1:$EZ$1500,설정!$L$5+ROW()-1,설정!$L$23)&amp;""),"")</f>
        <v>N/A</v>
      </c>
      <c r="Q46" s="89" t="n">
        <f aca="false">IF(AND($A46&lt;&gt;"",ISNUMBER(E46)),IF(E46&gt;0,1,0),0)</f>
        <v>1</v>
      </c>
      <c r="R46" s="43" t="str">
        <f aca="false">IF(Q46=1,UPPER(LEFT($A46,FIND(" ",$A46&amp;" ")-1)),"")</f>
        <v>LGENSO</v>
      </c>
      <c r="S46" s="89" t="n">
        <f aca="false">IF(Q46=1,IF(OR(ISNUMBER(SEARCH("Float",$A46)),ISNUMBER(SEARCH("FRN",$A46))),1,0),0)</f>
        <v>0</v>
      </c>
      <c r="T46" s="43" t="str">
        <f aca="false">IF(AND(Q46=1,ISNUMBER(I46)),TEXT(I46,"yyyymmdd")&amp;"|"&amp;IF(S46=1,"F",TEXT(J46,"0.000")),"")</f>
        <v>20280925|5.750</v>
      </c>
      <c r="U46" s="90" t="n">
        <f aca="false">IF(AND(Q46=1,ISNUMBER(I46)),(I46-설정!$C$4)/365.25,"")</f>
        <v>1.98494182067077</v>
      </c>
      <c r="V46" s="43" t="str">
        <f aca="false">IF(Q46&lt;&gt;1,"",IF(ISNUMBER(U46),IF(U46&lt;=1,"1년 이하",IF(U46&lt;=2,"1-2년",IF(U46&lt;=3,"2-3년",IF(U46&lt;=4,"3-4년",IF(U46&lt;=5,"4-5년",IF(U46&lt;=7,"5-7년",IF(U46&lt;=10,"7-10년",IF(U46&lt;=20,"10-20년","20년 이상")))))))),"미분류"))</f>
        <v>1-2년</v>
      </c>
      <c r="W46" s="43" t="str">
        <f aca="false">IF(Q46&lt;&gt;1,"",IF(AB46&lt;&gt;"",INDEX(시장분석!$C:$C,AB46),IF(K46=1,"USD","비USD")))</f>
        <v>USD</v>
      </c>
      <c r="X46" s="91" t="n">
        <f aca="false">IF(Q46=1,E46*K46/1000000,0)</f>
        <v>0.2</v>
      </c>
      <c r="Y46" s="89" t="n">
        <f aca="false">IF(R46="T",1,0)</f>
        <v>0</v>
      </c>
      <c r="Z46" s="92" t="n">
        <f aca="false">IF(Q46&lt;&gt;1,"",IF(AD46=1,IF(ISNUMBER(U46),MAX(U46,0),H46),H46))</f>
        <v>1.8169</v>
      </c>
      <c r="AA46" s="91" t="n">
        <f aca="false">IF(Q46=1,IF(ISNUMBER(L46),L46,0)*K46/1000000,0)</f>
        <v>0.200354</v>
      </c>
      <c r="AB46" s="89" t="n">
        <f aca="false">IF(Q46&lt;&gt;1,"",IFERROR(MATCH(VLOOKUP(B46,매핑!$H$4:$I$15,2,0),시장분석!$A$2:$A$601,0)+1,IFERROR(MATCH(R46&amp;"|"&amp;T46,시장분석!$V$2:$V$601,0)+1,IF(COUNTIF(시장분석!$U$2:$U$601,T46)=1,MATCH(T46,시장분석!$U$2:$U$601,0)+1,""))))</f>
        <v>177</v>
      </c>
      <c r="AC46" s="89" t="n">
        <f aca="false">IF(Q46&lt;&gt;1,0,IF(OR(설정!$C$5="전체",AND(설정!$C$5="선택펀드",IFERROR(COUNTIFS(설정!$F$16:$F$36,C46,설정!$G$16:$G$36,"Y")+COUNTIFS(설정!$F$16:$F$36,VALUE(C46),설정!$G$16:$G$36,"Y"),0)&gt;0),C46&amp;""=설정!$C$5&amp;""),1,0))</f>
        <v>1</v>
      </c>
      <c r="AD46" s="89" t="n">
        <f aca="false">IF(Q46&lt;&gt;1,0,IF(OR(S46=1,IF(AB46="",FALSE(),INDEX(시장분석!$R:$R,AB46)=1)),1,0))</f>
        <v>0</v>
      </c>
      <c r="AE46" s="43" t="str">
        <f aca="false">IF(AB46="","",INDEX(시장분석!$A:$A,AB46))</f>
        <v>LGENSO 5 3/4 09/25/28</v>
      </c>
      <c r="AF46" s="93" t="n">
        <f aca="false">IF(AB46="","",IF(ISNUMBER(IF(AB46="","",INDEX(시장분석!$E:$E,AB46))),IF(AB46="","",INDEX(시장분석!$E:$E,AB46)),""))</f>
        <v>76</v>
      </c>
      <c r="AG46" s="43" t="str">
        <f aca="false">IF(Q46&lt;&gt;1,"",IF(AB46&lt;&gt;"",IF(AB46="","",INDEX(시장분석!$L:$L,AB46)),IFERROR(IF(VLOOKUP(R46,매핑!$A$4:$E$92,5,0)="","미분류",VLOOKUP(R46,매핑!$A$4:$E$92,5,0)),"미분류")))</f>
        <v>자유 소비재</v>
      </c>
      <c r="AH46" s="43" t="str">
        <f aca="false">IF(Q46&lt;&gt;1,"",IF(AB46&lt;&gt;"",IF(AB46="","",INDEX(시장분석!$N:$N,AB46)),IFERROR(IF(VLOOKUP(R46,매핑!$A$4:$E$92,4,0)="","미분류",VLOOKUP(R46,매핑!$A$4:$E$92,4,0)),"미분류")))</f>
        <v>아시아/기타</v>
      </c>
      <c r="AI46" s="43" t="str">
        <f aca="false">IF(Q46&lt;&gt;1,"",IFERROR(IF(VLOOKUP(R46,매핑!$A$4:$E$92,3,0)="","미분류",VLOOKUP(R46,매핑!$A$4:$E$92,3,0)),IF(AB46&lt;&gt;"",IF(AB46="","",INDEX(시장분석!$W:$W,AB46)),"미분류")))</f>
        <v>한국</v>
      </c>
      <c r="AJ46" s="43" t="str">
        <f aca="false">IF(Q46&lt;&gt;1,"",IFERROR(VLOOKUP(IF(N46&lt;&gt;"",N46,IF(P46&lt;&gt;"",P46,O46)),설정!$A$15:$D$47,2,0),""))</f>
        <v>BBB</v>
      </c>
      <c r="AK46" s="43" t="str">
        <f aca="false">IF(Q46&lt;&gt;1,"",IF(AJ46="","무등급",IFERROR(VLOOKUP(AJ46,설정!$A$15:$D$47,3,0),"무등급")))</f>
        <v>BBB</v>
      </c>
      <c r="AL46" s="89" t="n">
        <f aca="false">IF(AJ46="",99,IFERROR(VLOOKUP(AJ46,설정!$A$15:$D$47,4,0),99))</f>
        <v>9</v>
      </c>
      <c r="AM46" s="94" t="n">
        <f aca="false">IF(ISNUMBER(H46),AA46*1000000*H46/10000,0)</f>
        <v>36.40231826</v>
      </c>
      <c r="AN46" s="94" t="n">
        <f aca="false">IF(OR(Y46=1,NOT(ISNUMBER(Z46))),0,AA46*1000000*Z46/10000)</f>
        <v>36.40231826</v>
      </c>
      <c r="AO46" s="94" t="n">
        <f aca="false">IF(ISNUMBER(G46),AA46*1000000*G46/100,0)</f>
        <v>11326.612682</v>
      </c>
      <c r="AP46" s="94" t="n">
        <f aca="false">IF(ISNUMBER(M46),M46*K46,0)</f>
        <v>-3980.6</v>
      </c>
      <c r="AQ46" s="95" t="n">
        <f aca="false">IF(AB46="","",INDEX(시장분석!$AK:$AK,AB46))</f>
        <v>0.739500825874692</v>
      </c>
      <c r="AR46" s="43" t="str">
        <f aca="false">IF(AB46="","-",IF(AB46="","",INDEX(시장분석!$AL:$AL,AB46)))</f>
        <v>Fair</v>
      </c>
      <c r="AS46" s="96" t="n">
        <f aca="false">IF(AB46="","",INDEX(시장분석!$AJ:$AJ,AB46))</f>
        <v>15.3187159423911</v>
      </c>
      <c r="AT46" s="93" t="n">
        <f aca="false">IF(AB46="",0,IF(AB46="","",INDEX(시장분석!$AN:$AN,AB46)))</f>
        <v>30.0097914893001</v>
      </c>
      <c r="AU46" s="94" t="n">
        <f aca="false">IF(ISNUMBER(Z46),AT46/10000*MAX(Z46-1,0)*AA46*1000000,0)</f>
        <v>491.167804305019</v>
      </c>
      <c r="AV46" s="94" t="n">
        <f aca="false">AO46+AU46</f>
        <v>11817.780486305</v>
      </c>
      <c r="AW46" s="43" t="str">
        <f aca="false">IF(Q46&lt;&gt;1,"",TRIM(IF(AD46=1,"FRN ","")&amp;IF(AND(AL46&gt;=10,AL46&lt;99),"BBB0미만 ","")&amp;IF(AJ46="","등급없음 ","")&amp;IF(K46&lt;&gt;1,"비USD ","")&amp;IF(AND(AB46="",Y46=0),"시장데이터없음 ","")&amp;IF(AND(ISNUMBER(U46),U46&lt;0),"만기경과 ","")))</f>
        <v/>
      </c>
      <c r="AX46" s="90" t="n">
        <f aca="false">IF(Q46&lt;&gt;1,1,IF(스프레드쇼크!$C$4="Y",INDEX(스프레드쇼크!$B$12:$L$16,IFERROR(MATCH(AH46,스프레드쇼크!$A$12:$A$16,0),MATCH("목록외",스프레드쇼크!$A$12:$A$16,0)),IFERROR(MATCH(AG46,스프레드쇼크!$B$11:$L$11,0),MATCH("목록외",스프레드쇼크!$B$11:$L$11,0))),1))</f>
        <v>1</v>
      </c>
      <c r="AY46" s="90" t="n">
        <f aca="false">IF(스프레드쇼크!$C$5="Y",IF(ISNUMBER(AF46),MIN(스프레드쇼크!$C$7,MAX(스프레드쇼크!$C$6,AF46/스프레드쇼크!$C$8)),1),1)</f>
        <v>1.14952949458458</v>
      </c>
      <c r="AZ46" s="94" t="n">
        <f aca="false">AN46*AX46*AY46</f>
        <v>41.8455385111247</v>
      </c>
      <c r="BA46" s="90" t="n">
        <f aca="false">IF(ISNUMBER(G46),AA46*G46,0)</f>
        <v>1.1326612682</v>
      </c>
      <c r="BB46" s="90" t="n">
        <f aca="false">IF(ISNUMBER(G46),AA46,0)</f>
        <v>0.200354</v>
      </c>
      <c r="BC46" s="90" t="n">
        <f aca="false">IF(AND(Y46=0,ISNUMBER(AF46)),AA46*AF46,0)</f>
        <v>15.226904</v>
      </c>
      <c r="BD46" s="90" t="n">
        <f aca="false">IF(AND(Y46=0,ISNUMBER(AF46)),AA46,0)</f>
        <v>0.200354</v>
      </c>
      <c r="BE46" s="90" t="n">
        <f aca="false">IF(ISNUMBER(H46),AA46*H46,0)</f>
        <v>0.3640231826</v>
      </c>
      <c r="BF46" s="90" t="n">
        <f aca="false">IF(ISNUMBER(H46),AA46,0)</f>
        <v>0.200354</v>
      </c>
      <c r="BG46" s="90" t="n">
        <f aca="false">IF(AND(Y46=0,ISNUMBER(AF46),ISNUMBER(Z46)),AA46*Z46,0)</f>
        <v>0.3640231826</v>
      </c>
      <c r="BH46" s="90" t="n">
        <f aca="false">IF(AND(Y46=0,ISNUMBER(AF46),ISNUMBER(Z46)),AA46*AT46*MAX(Z46-1,0),0)</f>
        <v>4.91167804305018</v>
      </c>
      <c r="BI46" s="90" t="n">
        <f aca="false">IF(Y46=0,AA46,0)</f>
        <v>0.200354</v>
      </c>
    </row>
    <row r="47" customFormat="false" ht="15" hidden="false" customHeight="false" outlineLevel="0" collapsed="false">
      <c r="A47" s="83" t="str">
        <f aca="false">IFERROR(IF(INDEX(원자료_잔고!$A$1:$EZ$1500,설정!$L$5+ROW()-1,설정!$L$8)&amp;""="0","",INDEX(원자료_잔고!$A$1:$EZ$1500,설정!$L$5+ROW()-1,설정!$L$8)&amp;""),"")</f>
        <v>LGENSO 5.75 09/25/28</v>
      </c>
      <c r="B47" s="83" t="str">
        <f aca="false">IFERROR(IF(INDEX(원자료_잔고!$A$1:$EZ$1500,설정!$L$5+ROW()-1,설정!$L$7)&amp;""="0","",INDEX(원자료_잔고!$A$1:$EZ$1500,설정!$L$5+ROW()-1,설정!$L$7)&amp;""),"")</f>
        <v>USY5S5CGAB83</v>
      </c>
      <c r="C47" s="83" t="str">
        <f aca="false">IFERROR(IF(INDEX(원자료_잔고!$A$1:$EZ$1500,설정!$L$5+ROW()-1,설정!$L$9)&amp;""="0","",INDEX(원자료_잔고!$A$1:$EZ$1500,설정!$L$5+ROW()-1,설정!$L$9)&amp;""),"")</f>
        <v>28096</v>
      </c>
      <c r="D4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7" s="84" t="n">
        <f aca="false">IFERROR(IF(ISNUMBER(INDEX(원자료_잔고!$A$1:$EZ$1500,설정!$L$5+ROW()-1,설정!$L$11)),INDEX(원자료_잔고!$A$1:$EZ$1500,설정!$L$5+ROW()-1,설정!$L$11),""),"")</f>
        <v>4000000</v>
      </c>
      <c r="F47" s="85" t="n">
        <f aca="false">IFERROR(IF(ISNUMBER(INDEX(원자료_잔고!$A$1:$EZ$1500,설정!$L$5+ROW()-1,설정!$L$12)),INDEX(원자료_잔고!$A$1:$EZ$1500,설정!$L$5+ROW()-1,설정!$L$12),""),"")</f>
        <v>100.177</v>
      </c>
      <c r="G47" s="85" t="n">
        <f aca="false">IFERROR(IF(ISNUMBER(INDEX(원자료_잔고!$A$1:$EZ$1500,설정!$L$5+ROW()-1,설정!$L$13)),INDEX(원자료_잔고!$A$1:$EZ$1500,설정!$L$5+ROW()-1,설정!$L$13),""),"")</f>
        <v>5.6533</v>
      </c>
      <c r="H47" s="85" t="n">
        <f aca="false">IFERROR(IF(ISNUMBER(INDEX(원자료_잔고!$A$1:$EZ$1500,설정!$L$5+ROW()-1,설정!$L$14)),INDEX(원자료_잔고!$A$1:$EZ$1500,설정!$L$5+ROW()-1,설정!$L$14),""),"")</f>
        <v>1.8169</v>
      </c>
      <c r="I47" s="86" t="n">
        <f aca="false">IFERROR(IF(ISNUMBER(INDEX(원자료_잔고!$A$1:$EZ$1500,설정!$L$5+ROW()-1,설정!$L$15)),INDEX(원자료_잔고!$A$1:$EZ$1500,설정!$L$5+ROW()-1,설정!$L$15),""),"")</f>
        <v>47021</v>
      </c>
      <c r="J47" s="85" t="n">
        <f aca="false">IFERROR(IF(ISNUMBER(INDEX(원자료_잔고!$A$1:$EZ$1500,설정!$L$5+ROW()-1,설정!$L$16)),INDEX(원자료_잔고!$A$1:$EZ$1500,설정!$L$5+ROW()-1,설정!$L$16),""),"")</f>
        <v>5.75</v>
      </c>
      <c r="K47" s="87" t="n">
        <f aca="false">IFERROR(IF(ISNUMBER(INDEX(원자료_잔고!$A$1:$EZ$1500,설정!$L$5+ROW()-1,설정!$L$17)),INDEX(원자료_잔고!$A$1:$EZ$1500,설정!$L$5+ROW()-1,설정!$L$17),""),"")</f>
        <v>1</v>
      </c>
      <c r="L47" s="84" t="n">
        <f aca="false">IFERROR(IF(ISNUMBER(INDEX(원자료_잔고!$A$1:$EZ$1500,설정!$L$5+ROW()-1,설정!$L$18)),INDEX(원자료_잔고!$A$1:$EZ$1500,설정!$L$5+ROW()-1,설정!$L$18),""),"")</f>
        <v>4007080</v>
      </c>
      <c r="M47" s="88" t="n">
        <f aca="false">IFERROR(IF(ISNUMBER(INDEX(원자료_잔고!$A$1:$EZ$1500,설정!$L$5+ROW()-1,설정!$L$19)),INDEX(원자료_잔고!$A$1:$EZ$1500,설정!$L$5+ROW()-1,설정!$L$19),""),"")</f>
        <v>-87720</v>
      </c>
      <c r="N47" s="83" t="str">
        <f aca="false">IFERROR(IF(INDEX(원자료_잔고!$A$1:$EZ$1500,설정!$L$5+ROW()-1,설정!$L$21)&amp;""="0","",INDEX(원자료_잔고!$A$1:$EZ$1500,설정!$L$5+ROW()-1,설정!$L$21)&amp;""),"")</f>
        <v>BBB</v>
      </c>
      <c r="O47" s="83" t="str">
        <f aca="false">IFERROR(IF(INDEX(원자료_잔고!$A$1:$EZ$1500,설정!$L$5+ROW()-1,설정!$L$22)&amp;""="0","",INDEX(원자료_잔고!$A$1:$EZ$1500,설정!$L$5+ROW()-1,설정!$L$22)&amp;""),"")</f>
        <v/>
      </c>
      <c r="P47" s="83" t="str">
        <f aca="false">IFERROR(IF(INDEX(원자료_잔고!$A$1:$EZ$1500,설정!$L$5+ROW()-1,설정!$L$23)&amp;""="0","",INDEX(원자료_잔고!$A$1:$EZ$1500,설정!$L$5+ROW()-1,설정!$L$23)&amp;""),"")</f>
        <v>N/A</v>
      </c>
      <c r="Q47" s="89" t="n">
        <f aca="false">IF(AND($A47&lt;&gt;"",ISNUMBER(E47)),IF(E47&gt;0,1,0),0)</f>
        <v>1</v>
      </c>
      <c r="R47" s="43" t="str">
        <f aca="false">IF(Q47=1,UPPER(LEFT($A47,FIND(" ",$A47&amp;" ")-1)),"")</f>
        <v>LGENSO</v>
      </c>
      <c r="S47" s="89" t="n">
        <f aca="false">IF(Q47=1,IF(OR(ISNUMBER(SEARCH("Float",$A47)),ISNUMBER(SEARCH("FRN",$A47))),1,0),0)</f>
        <v>0</v>
      </c>
      <c r="T47" s="43" t="str">
        <f aca="false">IF(AND(Q47=1,ISNUMBER(I47)),TEXT(I47,"yyyymmdd")&amp;"|"&amp;IF(S47=1,"F",TEXT(J47,"0.000")),"")</f>
        <v>20280925|5.750</v>
      </c>
      <c r="U47" s="90" t="n">
        <f aca="false">IF(AND(Q47=1,ISNUMBER(I47)),(I47-설정!$C$4)/365.25,"")</f>
        <v>1.98494182067077</v>
      </c>
      <c r="V47" s="43" t="str">
        <f aca="false">IF(Q47&lt;&gt;1,"",IF(ISNUMBER(U47),IF(U47&lt;=1,"1년 이하",IF(U47&lt;=2,"1-2년",IF(U47&lt;=3,"2-3년",IF(U47&lt;=4,"3-4년",IF(U47&lt;=5,"4-5년",IF(U47&lt;=7,"5-7년",IF(U47&lt;=10,"7-10년",IF(U47&lt;=20,"10-20년","20년 이상")))))))),"미분류"))</f>
        <v>1-2년</v>
      </c>
      <c r="W47" s="43" t="str">
        <f aca="false">IF(Q47&lt;&gt;1,"",IF(AB47&lt;&gt;"",INDEX(시장분석!$C:$C,AB47),IF(K47=1,"USD","비USD")))</f>
        <v>USD</v>
      </c>
      <c r="X47" s="91" t="n">
        <f aca="false">IF(Q47=1,E47*K47/1000000,0)</f>
        <v>4</v>
      </c>
      <c r="Y47" s="89" t="n">
        <f aca="false">IF(R47="T",1,0)</f>
        <v>0</v>
      </c>
      <c r="Z47" s="92" t="n">
        <f aca="false">IF(Q47&lt;&gt;1,"",IF(AD47=1,IF(ISNUMBER(U47),MAX(U47,0),H47),H47))</f>
        <v>1.8169</v>
      </c>
      <c r="AA47" s="91" t="n">
        <f aca="false">IF(Q47=1,IF(ISNUMBER(L47),L47,0)*K47/1000000,0)</f>
        <v>4.00708</v>
      </c>
      <c r="AB47" s="89" t="n">
        <f aca="false">IF(Q47&lt;&gt;1,"",IFERROR(MATCH(VLOOKUP(B47,매핑!$H$4:$I$15,2,0),시장분석!$A$2:$A$601,0)+1,IFERROR(MATCH(R47&amp;"|"&amp;T47,시장분석!$V$2:$V$601,0)+1,IF(COUNTIF(시장분석!$U$2:$U$601,T47)=1,MATCH(T47,시장분석!$U$2:$U$601,0)+1,""))))</f>
        <v>177</v>
      </c>
      <c r="AC47" s="89" t="n">
        <f aca="false">IF(Q47&lt;&gt;1,0,IF(OR(설정!$C$5="전체",AND(설정!$C$5="선택펀드",IFERROR(COUNTIFS(설정!$F$16:$F$36,C47,설정!$G$16:$G$36,"Y")+COUNTIFS(설정!$F$16:$F$36,VALUE(C47),설정!$G$16:$G$36,"Y"),0)&gt;0),C47&amp;""=설정!$C$5&amp;""),1,0))</f>
        <v>1</v>
      </c>
      <c r="AD47" s="89" t="n">
        <f aca="false">IF(Q47&lt;&gt;1,0,IF(OR(S47=1,IF(AB47="",FALSE(),INDEX(시장분석!$R:$R,AB47)=1)),1,0))</f>
        <v>0</v>
      </c>
      <c r="AE47" s="43" t="str">
        <f aca="false">IF(AB47="","",INDEX(시장분석!$A:$A,AB47))</f>
        <v>LGENSO 5 3/4 09/25/28</v>
      </c>
      <c r="AF47" s="93" t="n">
        <f aca="false">IF(AB47="","",IF(ISNUMBER(IF(AB47="","",INDEX(시장분석!$E:$E,AB47))),IF(AB47="","",INDEX(시장분석!$E:$E,AB47)),""))</f>
        <v>76</v>
      </c>
      <c r="AG47" s="43" t="str">
        <f aca="false">IF(Q47&lt;&gt;1,"",IF(AB47&lt;&gt;"",IF(AB47="","",INDEX(시장분석!$L:$L,AB47)),IFERROR(IF(VLOOKUP(R47,매핑!$A$4:$E$92,5,0)="","미분류",VLOOKUP(R47,매핑!$A$4:$E$92,5,0)),"미분류")))</f>
        <v>자유 소비재</v>
      </c>
      <c r="AH47" s="43" t="str">
        <f aca="false">IF(Q47&lt;&gt;1,"",IF(AB47&lt;&gt;"",IF(AB47="","",INDEX(시장분석!$N:$N,AB47)),IFERROR(IF(VLOOKUP(R47,매핑!$A$4:$E$92,4,0)="","미분류",VLOOKUP(R47,매핑!$A$4:$E$92,4,0)),"미분류")))</f>
        <v>아시아/기타</v>
      </c>
      <c r="AI47" s="43" t="str">
        <f aca="false">IF(Q47&lt;&gt;1,"",IFERROR(IF(VLOOKUP(R47,매핑!$A$4:$E$92,3,0)="","미분류",VLOOKUP(R47,매핑!$A$4:$E$92,3,0)),IF(AB47&lt;&gt;"",IF(AB47="","",INDEX(시장분석!$W:$W,AB47)),"미분류")))</f>
        <v>한국</v>
      </c>
      <c r="AJ47" s="43" t="str">
        <f aca="false">IF(Q47&lt;&gt;1,"",IFERROR(VLOOKUP(IF(N47&lt;&gt;"",N47,IF(P47&lt;&gt;"",P47,O47)),설정!$A$15:$D$47,2,0),""))</f>
        <v>BBB</v>
      </c>
      <c r="AK47" s="43" t="str">
        <f aca="false">IF(Q47&lt;&gt;1,"",IF(AJ47="","무등급",IFERROR(VLOOKUP(AJ47,설정!$A$15:$D$47,3,0),"무등급")))</f>
        <v>BBB</v>
      </c>
      <c r="AL47" s="89" t="n">
        <f aca="false">IF(AJ47="",99,IFERROR(VLOOKUP(AJ47,설정!$A$15:$D$47,4,0),99))</f>
        <v>9</v>
      </c>
      <c r="AM47" s="94" t="n">
        <f aca="false">IF(ISNUMBER(H47),AA47*1000000*H47/10000,0)</f>
        <v>728.0463652</v>
      </c>
      <c r="AN47" s="94" t="n">
        <f aca="false">IF(OR(Y47=1,NOT(ISNUMBER(Z47))),0,AA47*1000000*Z47/10000)</f>
        <v>728.0463652</v>
      </c>
      <c r="AO47" s="94" t="n">
        <f aca="false">IF(ISNUMBER(G47),AA47*1000000*G47/100,0)</f>
        <v>226532.25364</v>
      </c>
      <c r="AP47" s="94" t="n">
        <f aca="false">IF(ISNUMBER(M47),M47*K47,0)</f>
        <v>-87720</v>
      </c>
      <c r="AQ47" s="95" t="n">
        <f aca="false">IF(AB47="","",INDEX(시장분석!$AK:$AK,AB47))</f>
        <v>0.739500825874692</v>
      </c>
      <c r="AR47" s="43" t="str">
        <f aca="false">IF(AB47="","-",IF(AB47="","",INDEX(시장분석!$AL:$AL,AB47)))</f>
        <v>Fair</v>
      </c>
      <c r="AS47" s="96" t="n">
        <f aca="false">IF(AB47="","",INDEX(시장분석!$AJ:$AJ,AB47))</f>
        <v>15.3187159423911</v>
      </c>
      <c r="AT47" s="93" t="n">
        <f aca="false">IF(AB47="",0,IF(AB47="","",INDEX(시장분석!$AN:$AN,AB47)))</f>
        <v>30.0097914893001</v>
      </c>
      <c r="AU47" s="94" t="n">
        <f aca="false">IF(ISNUMBER(Z47),AT47/10000*MAX(Z47-1,0)*AA47*1000000,0)</f>
        <v>9823.35608610037</v>
      </c>
      <c r="AV47" s="94" t="n">
        <f aca="false">AO47+AU47</f>
        <v>236355.6097261</v>
      </c>
      <c r="AW47" s="43" t="str">
        <f aca="false">IF(Q47&lt;&gt;1,"",TRIM(IF(AD47=1,"FRN ","")&amp;IF(AND(AL47&gt;=10,AL47&lt;99),"BBB0미만 ","")&amp;IF(AJ47="","등급없음 ","")&amp;IF(K47&lt;&gt;1,"비USD ","")&amp;IF(AND(AB47="",Y47=0),"시장데이터없음 ","")&amp;IF(AND(ISNUMBER(U47),U47&lt;0),"만기경과 ","")))</f>
        <v/>
      </c>
      <c r="AX47" s="90" t="n">
        <f aca="false">IF(Q47&lt;&gt;1,1,IF(스프레드쇼크!$C$4="Y",INDEX(스프레드쇼크!$B$12:$L$16,IFERROR(MATCH(AH47,스프레드쇼크!$A$12:$A$16,0),MATCH("목록외",스프레드쇼크!$A$12:$A$16,0)),IFERROR(MATCH(AG47,스프레드쇼크!$B$11:$L$11,0),MATCH("목록외",스프레드쇼크!$B$11:$L$11,0))),1))</f>
        <v>1</v>
      </c>
      <c r="AY47" s="90" t="n">
        <f aca="false">IF(스프레드쇼크!$C$5="Y",IF(ISNUMBER(AF47),MIN(스프레드쇼크!$C$7,MAX(스프레드쇼크!$C$6,AF47/스프레드쇼크!$C$8)),1),1)</f>
        <v>1.14952949458458</v>
      </c>
      <c r="AZ47" s="94" t="n">
        <f aca="false">AN47*AX47*AY47</f>
        <v>836.910770222495</v>
      </c>
      <c r="BA47" s="90" t="n">
        <f aca="false">IF(ISNUMBER(G47),AA47*G47,0)</f>
        <v>22.653225364</v>
      </c>
      <c r="BB47" s="90" t="n">
        <f aca="false">IF(ISNUMBER(G47),AA47,0)</f>
        <v>4.00708</v>
      </c>
      <c r="BC47" s="90" t="n">
        <f aca="false">IF(AND(Y47=0,ISNUMBER(AF47)),AA47*AF47,0)</f>
        <v>304.53808</v>
      </c>
      <c r="BD47" s="90" t="n">
        <f aca="false">IF(AND(Y47=0,ISNUMBER(AF47)),AA47,0)</f>
        <v>4.00708</v>
      </c>
      <c r="BE47" s="90" t="n">
        <f aca="false">IF(ISNUMBER(H47),AA47*H47,0)</f>
        <v>7.280463652</v>
      </c>
      <c r="BF47" s="90" t="n">
        <f aca="false">IF(ISNUMBER(H47),AA47,0)</f>
        <v>4.00708</v>
      </c>
      <c r="BG47" s="90" t="n">
        <f aca="false">IF(AND(Y47=0,ISNUMBER(AF47),ISNUMBER(Z47)),AA47*Z47,0)</f>
        <v>7.280463652</v>
      </c>
      <c r="BH47" s="90" t="n">
        <f aca="false">IF(AND(Y47=0,ISNUMBER(AF47),ISNUMBER(Z47)),AA47*AT47*MAX(Z47-1,0),0)</f>
        <v>98.2335608610037</v>
      </c>
      <c r="BI47" s="90" t="n">
        <f aca="false">IF(Y47=0,AA47,0)</f>
        <v>4.00708</v>
      </c>
    </row>
    <row r="48" customFormat="false" ht="15" hidden="false" customHeight="false" outlineLevel="0" collapsed="false">
      <c r="A48" s="83" t="str">
        <f aca="false">IFERROR(IF(INDEX(원자료_잔고!$A$1:$EZ$1500,설정!$L$5+ROW()-1,설정!$L$8)&amp;""="0","",INDEX(원자료_잔고!$A$1:$EZ$1500,설정!$L$5+ROW()-1,설정!$L$8)&amp;""),"")</f>
        <v>LGENSO 5.75 09/25/28</v>
      </c>
      <c r="B48" s="83" t="str">
        <f aca="false">IFERROR(IF(INDEX(원자료_잔고!$A$1:$EZ$1500,설정!$L$5+ROW()-1,설정!$L$7)&amp;""="0","",INDEX(원자료_잔고!$A$1:$EZ$1500,설정!$L$5+ROW()-1,설정!$L$7)&amp;""),"")</f>
        <v>USY5S5CGAB83</v>
      </c>
      <c r="C48" s="83" t="str">
        <f aca="false">IFERROR(IF(INDEX(원자료_잔고!$A$1:$EZ$1500,설정!$L$5+ROW()-1,설정!$L$9)&amp;""="0","",INDEX(원자료_잔고!$A$1:$EZ$1500,설정!$L$5+ROW()-1,설정!$L$9)&amp;""),"")</f>
        <v>28096</v>
      </c>
      <c r="D4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8" s="84" t="n">
        <f aca="false">IFERROR(IF(ISNUMBER(INDEX(원자료_잔고!$A$1:$EZ$1500,설정!$L$5+ROW()-1,설정!$L$11)),INDEX(원자료_잔고!$A$1:$EZ$1500,설정!$L$5+ROW()-1,설정!$L$11),""),"")</f>
        <v>5000000</v>
      </c>
      <c r="F48" s="85" t="n">
        <f aca="false">IFERROR(IF(ISNUMBER(INDEX(원자료_잔고!$A$1:$EZ$1500,설정!$L$5+ROW()-1,설정!$L$12)),INDEX(원자료_잔고!$A$1:$EZ$1500,설정!$L$5+ROW()-1,설정!$L$12),""),"")</f>
        <v>100.177</v>
      </c>
      <c r="G48" s="85" t="n">
        <f aca="false">IFERROR(IF(ISNUMBER(INDEX(원자료_잔고!$A$1:$EZ$1500,설정!$L$5+ROW()-1,설정!$L$13)),INDEX(원자료_잔고!$A$1:$EZ$1500,설정!$L$5+ROW()-1,설정!$L$13),""),"")</f>
        <v>5.6533</v>
      </c>
      <c r="H48" s="85" t="n">
        <f aca="false">IFERROR(IF(ISNUMBER(INDEX(원자료_잔고!$A$1:$EZ$1500,설정!$L$5+ROW()-1,설정!$L$14)),INDEX(원자료_잔고!$A$1:$EZ$1500,설정!$L$5+ROW()-1,설정!$L$14),""),"")</f>
        <v>1.8169</v>
      </c>
      <c r="I48" s="86" t="n">
        <f aca="false">IFERROR(IF(ISNUMBER(INDEX(원자료_잔고!$A$1:$EZ$1500,설정!$L$5+ROW()-1,설정!$L$15)),INDEX(원자료_잔고!$A$1:$EZ$1500,설정!$L$5+ROW()-1,설정!$L$15),""),"")</f>
        <v>47021</v>
      </c>
      <c r="J48" s="85" t="n">
        <f aca="false">IFERROR(IF(ISNUMBER(INDEX(원자료_잔고!$A$1:$EZ$1500,설정!$L$5+ROW()-1,설정!$L$16)),INDEX(원자료_잔고!$A$1:$EZ$1500,설정!$L$5+ROW()-1,설정!$L$16),""),"")</f>
        <v>5.75</v>
      </c>
      <c r="K48" s="87" t="n">
        <f aca="false">IFERROR(IF(ISNUMBER(INDEX(원자료_잔고!$A$1:$EZ$1500,설정!$L$5+ROW()-1,설정!$L$17)),INDEX(원자료_잔고!$A$1:$EZ$1500,설정!$L$5+ROW()-1,설정!$L$17),""),"")</f>
        <v>1</v>
      </c>
      <c r="L48" s="84" t="n">
        <f aca="false">IFERROR(IF(ISNUMBER(INDEX(원자료_잔고!$A$1:$EZ$1500,설정!$L$5+ROW()-1,설정!$L$18)),INDEX(원자료_잔고!$A$1:$EZ$1500,설정!$L$5+ROW()-1,설정!$L$18),""),"")</f>
        <v>5008850</v>
      </c>
      <c r="M48" s="88" t="n">
        <f aca="false">IFERROR(IF(ISNUMBER(INDEX(원자료_잔고!$A$1:$EZ$1500,설정!$L$5+ROW()-1,설정!$L$19)),INDEX(원자료_잔고!$A$1:$EZ$1500,설정!$L$5+ROW()-1,설정!$L$19),""),"")</f>
        <v>-68650</v>
      </c>
      <c r="N48" s="83" t="str">
        <f aca="false">IFERROR(IF(INDEX(원자료_잔고!$A$1:$EZ$1500,설정!$L$5+ROW()-1,설정!$L$21)&amp;""="0","",INDEX(원자료_잔고!$A$1:$EZ$1500,설정!$L$5+ROW()-1,설정!$L$21)&amp;""),"")</f>
        <v>BBB</v>
      </c>
      <c r="O48" s="83" t="str">
        <f aca="false">IFERROR(IF(INDEX(원자료_잔고!$A$1:$EZ$1500,설정!$L$5+ROW()-1,설정!$L$22)&amp;""="0","",INDEX(원자료_잔고!$A$1:$EZ$1500,설정!$L$5+ROW()-1,설정!$L$22)&amp;""),"")</f>
        <v/>
      </c>
      <c r="P48" s="83" t="str">
        <f aca="false">IFERROR(IF(INDEX(원자료_잔고!$A$1:$EZ$1500,설정!$L$5+ROW()-1,설정!$L$23)&amp;""="0","",INDEX(원자료_잔고!$A$1:$EZ$1500,설정!$L$5+ROW()-1,설정!$L$23)&amp;""),"")</f>
        <v>N/A</v>
      </c>
      <c r="Q48" s="89" t="n">
        <f aca="false">IF(AND($A48&lt;&gt;"",ISNUMBER(E48)),IF(E48&gt;0,1,0),0)</f>
        <v>1</v>
      </c>
      <c r="R48" s="43" t="str">
        <f aca="false">IF(Q48=1,UPPER(LEFT($A48,FIND(" ",$A48&amp;" ")-1)),"")</f>
        <v>LGENSO</v>
      </c>
      <c r="S48" s="89" t="n">
        <f aca="false">IF(Q48=1,IF(OR(ISNUMBER(SEARCH("Float",$A48)),ISNUMBER(SEARCH("FRN",$A48))),1,0),0)</f>
        <v>0</v>
      </c>
      <c r="T48" s="43" t="str">
        <f aca="false">IF(AND(Q48=1,ISNUMBER(I48)),TEXT(I48,"yyyymmdd")&amp;"|"&amp;IF(S48=1,"F",TEXT(J48,"0.000")),"")</f>
        <v>20280925|5.750</v>
      </c>
      <c r="U48" s="90" t="n">
        <f aca="false">IF(AND(Q48=1,ISNUMBER(I48)),(I48-설정!$C$4)/365.25,"")</f>
        <v>1.98494182067077</v>
      </c>
      <c r="V48" s="43" t="str">
        <f aca="false">IF(Q48&lt;&gt;1,"",IF(ISNUMBER(U48),IF(U48&lt;=1,"1년 이하",IF(U48&lt;=2,"1-2년",IF(U48&lt;=3,"2-3년",IF(U48&lt;=4,"3-4년",IF(U48&lt;=5,"4-5년",IF(U48&lt;=7,"5-7년",IF(U48&lt;=10,"7-10년",IF(U48&lt;=20,"10-20년","20년 이상")))))))),"미분류"))</f>
        <v>1-2년</v>
      </c>
      <c r="W48" s="43" t="str">
        <f aca="false">IF(Q48&lt;&gt;1,"",IF(AB48&lt;&gt;"",INDEX(시장분석!$C:$C,AB48),IF(K48=1,"USD","비USD")))</f>
        <v>USD</v>
      </c>
      <c r="X48" s="91" t="n">
        <f aca="false">IF(Q48=1,E48*K48/1000000,0)</f>
        <v>5</v>
      </c>
      <c r="Y48" s="89" t="n">
        <f aca="false">IF(R48="T",1,0)</f>
        <v>0</v>
      </c>
      <c r="Z48" s="92" t="n">
        <f aca="false">IF(Q48&lt;&gt;1,"",IF(AD48=1,IF(ISNUMBER(U48),MAX(U48,0),H48),H48))</f>
        <v>1.8169</v>
      </c>
      <c r="AA48" s="91" t="n">
        <f aca="false">IF(Q48=1,IF(ISNUMBER(L48),L48,0)*K48/1000000,0)</f>
        <v>5.00885</v>
      </c>
      <c r="AB48" s="89" t="n">
        <f aca="false">IF(Q48&lt;&gt;1,"",IFERROR(MATCH(VLOOKUP(B48,매핑!$H$4:$I$15,2,0),시장분석!$A$2:$A$601,0)+1,IFERROR(MATCH(R48&amp;"|"&amp;T48,시장분석!$V$2:$V$601,0)+1,IF(COUNTIF(시장분석!$U$2:$U$601,T48)=1,MATCH(T48,시장분석!$U$2:$U$601,0)+1,""))))</f>
        <v>177</v>
      </c>
      <c r="AC48" s="89" t="n">
        <f aca="false">IF(Q48&lt;&gt;1,0,IF(OR(설정!$C$5="전체",AND(설정!$C$5="선택펀드",IFERROR(COUNTIFS(설정!$F$16:$F$36,C48,설정!$G$16:$G$36,"Y")+COUNTIFS(설정!$F$16:$F$36,VALUE(C48),설정!$G$16:$G$36,"Y"),0)&gt;0),C48&amp;""=설정!$C$5&amp;""),1,0))</f>
        <v>1</v>
      </c>
      <c r="AD48" s="89" t="n">
        <f aca="false">IF(Q48&lt;&gt;1,0,IF(OR(S48=1,IF(AB48="",FALSE(),INDEX(시장분석!$R:$R,AB48)=1)),1,0))</f>
        <v>0</v>
      </c>
      <c r="AE48" s="43" t="str">
        <f aca="false">IF(AB48="","",INDEX(시장분석!$A:$A,AB48))</f>
        <v>LGENSO 5 3/4 09/25/28</v>
      </c>
      <c r="AF48" s="93" t="n">
        <f aca="false">IF(AB48="","",IF(ISNUMBER(IF(AB48="","",INDEX(시장분석!$E:$E,AB48))),IF(AB48="","",INDEX(시장분석!$E:$E,AB48)),""))</f>
        <v>76</v>
      </c>
      <c r="AG48" s="43" t="str">
        <f aca="false">IF(Q48&lt;&gt;1,"",IF(AB48&lt;&gt;"",IF(AB48="","",INDEX(시장분석!$L:$L,AB48)),IFERROR(IF(VLOOKUP(R48,매핑!$A$4:$E$92,5,0)="","미분류",VLOOKUP(R48,매핑!$A$4:$E$92,5,0)),"미분류")))</f>
        <v>자유 소비재</v>
      </c>
      <c r="AH48" s="43" t="str">
        <f aca="false">IF(Q48&lt;&gt;1,"",IF(AB48&lt;&gt;"",IF(AB48="","",INDEX(시장분석!$N:$N,AB48)),IFERROR(IF(VLOOKUP(R48,매핑!$A$4:$E$92,4,0)="","미분류",VLOOKUP(R48,매핑!$A$4:$E$92,4,0)),"미분류")))</f>
        <v>아시아/기타</v>
      </c>
      <c r="AI48" s="43" t="str">
        <f aca="false">IF(Q48&lt;&gt;1,"",IFERROR(IF(VLOOKUP(R48,매핑!$A$4:$E$92,3,0)="","미분류",VLOOKUP(R48,매핑!$A$4:$E$92,3,0)),IF(AB48&lt;&gt;"",IF(AB48="","",INDEX(시장분석!$W:$W,AB48)),"미분류")))</f>
        <v>한국</v>
      </c>
      <c r="AJ48" s="43" t="str">
        <f aca="false">IF(Q48&lt;&gt;1,"",IFERROR(VLOOKUP(IF(N48&lt;&gt;"",N48,IF(P48&lt;&gt;"",P48,O48)),설정!$A$15:$D$47,2,0),""))</f>
        <v>BBB</v>
      </c>
      <c r="AK48" s="43" t="str">
        <f aca="false">IF(Q48&lt;&gt;1,"",IF(AJ48="","무등급",IFERROR(VLOOKUP(AJ48,설정!$A$15:$D$47,3,0),"무등급")))</f>
        <v>BBB</v>
      </c>
      <c r="AL48" s="89" t="n">
        <f aca="false">IF(AJ48="",99,IFERROR(VLOOKUP(AJ48,설정!$A$15:$D$47,4,0),99))</f>
        <v>9</v>
      </c>
      <c r="AM48" s="94" t="n">
        <f aca="false">IF(ISNUMBER(H48),AA48*1000000*H48/10000,0)</f>
        <v>910.0579565</v>
      </c>
      <c r="AN48" s="94" t="n">
        <f aca="false">IF(OR(Y48=1,NOT(ISNUMBER(Z48))),0,AA48*1000000*Z48/10000)</f>
        <v>910.0579565</v>
      </c>
      <c r="AO48" s="94" t="n">
        <f aca="false">IF(ISNUMBER(G48),AA48*1000000*G48/100,0)</f>
        <v>283165.31705</v>
      </c>
      <c r="AP48" s="94" t="n">
        <f aca="false">IF(ISNUMBER(M48),M48*K48,0)</f>
        <v>-68650</v>
      </c>
      <c r="AQ48" s="95" t="n">
        <f aca="false">IF(AB48="","",INDEX(시장분석!$AK:$AK,AB48))</f>
        <v>0.739500825874692</v>
      </c>
      <c r="AR48" s="43" t="str">
        <f aca="false">IF(AB48="","-",IF(AB48="","",INDEX(시장분석!$AL:$AL,AB48)))</f>
        <v>Fair</v>
      </c>
      <c r="AS48" s="96" t="n">
        <f aca="false">IF(AB48="","",INDEX(시장분석!$AJ:$AJ,AB48))</f>
        <v>15.3187159423911</v>
      </c>
      <c r="AT48" s="93" t="n">
        <f aca="false">IF(AB48="",0,IF(AB48="","",INDEX(시장분석!$AN:$AN,AB48)))</f>
        <v>30.0097914893001</v>
      </c>
      <c r="AU48" s="94" t="n">
        <f aca="false">IF(ISNUMBER(Z48),AT48/10000*MAX(Z48-1,0)*AA48*1000000,0)</f>
        <v>12279.1951076255</v>
      </c>
      <c r="AV48" s="94" t="n">
        <f aca="false">AO48+AU48</f>
        <v>295444.512157625</v>
      </c>
      <c r="AW48" s="43" t="str">
        <f aca="false">IF(Q48&lt;&gt;1,"",TRIM(IF(AD48=1,"FRN ","")&amp;IF(AND(AL48&gt;=10,AL48&lt;99),"BBB0미만 ","")&amp;IF(AJ48="","등급없음 ","")&amp;IF(K48&lt;&gt;1,"비USD ","")&amp;IF(AND(AB48="",Y48=0),"시장데이터없음 ","")&amp;IF(AND(ISNUMBER(U48),U48&lt;0),"만기경과 ","")))</f>
        <v/>
      </c>
      <c r="AX48" s="90" t="n">
        <f aca="false">IF(Q48&lt;&gt;1,1,IF(스프레드쇼크!$C$4="Y",INDEX(스프레드쇼크!$B$12:$L$16,IFERROR(MATCH(AH48,스프레드쇼크!$A$12:$A$16,0),MATCH("목록외",스프레드쇼크!$A$12:$A$16,0)),IFERROR(MATCH(AG48,스프레드쇼크!$B$11:$L$11,0),MATCH("목록외",스프레드쇼크!$B$11:$L$11,0))),1))</f>
        <v>1</v>
      </c>
      <c r="AY48" s="90" t="n">
        <f aca="false">IF(스프레드쇼크!$C$5="Y",IF(ISNUMBER(AF48),MIN(스프레드쇼크!$C$7,MAX(스프레드쇼크!$C$6,AF48/스프레드쇼크!$C$8)),1),1)</f>
        <v>1.14952949458458</v>
      </c>
      <c r="AZ48" s="94" t="n">
        <f aca="false">AN48*AX48*AY48</f>
        <v>1046.13846277812</v>
      </c>
      <c r="BA48" s="90" t="n">
        <f aca="false">IF(ISNUMBER(G48),AA48*G48,0)</f>
        <v>28.316531705</v>
      </c>
      <c r="BB48" s="90" t="n">
        <f aca="false">IF(ISNUMBER(G48),AA48,0)</f>
        <v>5.00885</v>
      </c>
      <c r="BC48" s="90" t="n">
        <f aca="false">IF(AND(Y48=0,ISNUMBER(AF48)),AA48*AF48,0)</f>
        <v>380.6726</v>
      </c>
      <c r="BD48" s="90" t="n">
        <f aca="false">IF(AND(Y48=0,ISNUMBER(AF48)),AA48,0)</f>
        <v>5.00885</v>
      </c>
      <c r="BE48" s="90" t="n">
        <f aca="false">IF(ISNUMBER(H48),AA48*H48,0)</f>
        <v>9.100579565</v>
      </c>
      <c r="BF48" s="90" t="n">
        <f aca="false">IF(ISNUMBER(H48),AA48,0)</f>
        <v>5.00885</v>
      </c>
      <c r="BG48" s="90" t="n">
        <f aca="false">IF(AND(Y48=0,ISNUMBER(AF48),ISNUMBER(Z48)),AA48*Z48,0)</f>
        <v>9.100579565</v>
      </c>
      <c r="BH48" s="90" t="n">
        <f aca="false">IF(AND(Y48=0,ISNUMBER(AF48),ISNUMBER(Z48)),AA48*AT48*MAX(Z48-1,0),0)</f>
        <v>122.791951076255</v>
      </c>
      <c r="BI48" s="90" t="n">
        <f aca="false">IF(Y48=0,AA48,0)</f>
        <v>5.00885</v>
      </c>
    </row>
    <row r="49" customFormat="false" ht="15" hidden="false" customHeight="false" outlineLevel="0" collapsed="false">
      <c r="A49" s="83" t="str">
        <f aca="false">IFERROR(IF(INDEX(원자료_잔고!$A$1:$EZ$1500,설정!$L$5+ROW()-1,설정!$L$8)&amp;""="0","",INDEX(원자료_잔고!$A$1:$EZ$1500,설정!$L$5+ROW()-1,설정!$L$8)&amp;""),"")</f>
        <v>LGENSO 5.75 09/25/28</v>
      </c>
      <c r="B49" s="83" t="str">
        <f aca="false">IFERROR(IF(INDEX(원자료_잔고!$A$1:$EZ$1500,설정!$L$5+ROW()-1,설정!$L$7)&amp;""="0","",INDEX(원자료_잔고!$A$1:$EZ$1500,설정!$L$5+ROW()-1,설정!$L$7)&amp;""),"")</f>
        <v>USY5S5CGAB83</v>
      </c>
      <c r="C49" s="83" t="str">
        <f aca="false">IFERROR(IF(INDEX(원자료_잔고!$A$1:$EZ$1500,설정!$L$5+ROW()-1,설정!$L$9)&amp;""="0","",INDEX(원자료_잔고!$A$1:$EZ$1500,설정!$L$5+ROW()-1,설정!$L$9)&amp;""),"")</f>
        <v>28096</v>
      </c>
      <c r="D4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9" s="84" t="n">
        <f aca="false">IFERROR(IF(ISNUMBER(INDEX(원자료_잔고!$A$1:$EZ$1500,설정!$L$5+ROW()-1,설정!$L$11)),INDEX(원자료_잔고!$A$1:$EZ$1500,설정!$L$5+ROW()-1,설정!$L$11),""),"")</f>
        <v>9000000</v>
      </c>
      <c r="F49" s="85" t="n">
        <f aca="false">IFERROR(IF(ISNUMBER(INDEX(원자료_잔고!$A$1:$EZ$1500,설정!$L$5+ROW()-1,설정!$L$12)),INDEX(원자료_잔고!$A$1:$EZ$1500,설정!$L$5+ROW()-1,설정!$L$12),""),"")</f>
        <v>100.177</v>
      </c>
      <c r="G49" s="85" t="n">
        <f aca="false">IFERROR(IF(ISNUMBER(INDEX(원자료_잔고!$A$1:$EZ$1500,설정!$L$5+ROW()-1,설정!$L$13)),INDEX(원자료_잔고!$A$1:$EZ$1500,설정!$L$5+ROW()-1,설정!$L$13),""),"")</f>
        <v>5.6533</v>
      </c>
      <c r="H49" s="85" t="n">
        <f aca="false">IFERROR(IF(ISNUMBER(INDEX(원자료_잔고!$A$1:$EZ$1500,설정!$L$5+ROW()-1,설정!$L$14)),INDEX(원자료_잔고!$A$1:$EZ$1500,설정!$L$5+ROW()-1,설정!$L$14),""),"")</f>
        <v>1.8169</v>
      </c>
      <c r="I49" s="86" t="n">
        <f aca="false">IFERROR(IF(ISNUMBER(INDEX(원자료_잔고!$A$1:$EZ$1500,설정!$L$5+ROW()-1,설정!$L$15)),INDEX(원자료_잔고!$A$1:$EZ$1500,설정!$L$5+ROW()-1,설정!$L$15),""),"")</f>
        <v>47021</v>
      </c>
      <c r="J49" s="85" t="n">
        <f aca="false">IFERROR(IF(ISNUMBER(INDEX(원자료_잔고!$A$1:$EZ$1500,설정!$L$5+ROW()-1,설정!$L$16)),INDEX(원자료_잔고!$A$1:$EZ$1500,설정!$L$5+ROW()-1,설정!$L$16),""),"")</f>
        <v>5.75</v>
      </c>
      <c r="K49" s="87" t="n">
        <f aca="false">IFERROR(IF(ISNUMBER(INDEX(원자료_잔고!$A$1:$EZ$1500,설정!$L$5+ROW()-1,설정!$L$17)),INDEX(원자료_잔고!$A$1:$EZ$1500,설정!$L$5+ROW()-1,설정!$L$17),""),"")</f>
        <v>1</v>
      </c>
      <c r="L49" s="84" t="n">
        <f aca="false">IFERROR(IF(ISNUMBER(INDEX(원자료_잔고!$A$1:$EZ$1500,설정!$L$5+ROW()-1,설정!$L$18)),INDEX(원자료_잔고!$A$1:$EZ$1500,설정!$L$5+ROW()-1,설정!$L$18),""),"")</f>
        <v>9015930</v>
      </c>
      <c r="M49" s="88" t="n">
        <f aca="false">IFERROR(IF(ISNUMBER(INDEX(원자료_잔고!$A$1:$EZ$1500,설정!$L$5+ROW()-1,설정!$L$19)),INDEX(원자료_잔고!$A$1:$EZ$1500,설정!$L$5+ROW()-1,설정!$L$19),""),"")</f>
        <v>-42750</v>
      </c>
      <c r="N49" s="83" t="str">
        <f aca="false">IFERROR(IF(INDEX(원자료_잔고!$A$1:$EZ$1500,설정!$L$5+ROW()-1,설정!$L$21)&amp;""="0","",INDEX(원자료_잔고!$A$1:$EZ$1500,설정!$L$5+ROW()-1,설정!$L$21)&amp;""),"")</f>
        <v>BBB</v>
      </c>
      <c r="O49" s="83" t="str">
        <f aca="false">IFERROR(IF(INDEX(원자료_잔고!$A$1:$EZ$1500,설정!$L$5+ROW()-1,설정!$L$22)&amp;""="0","",INDEX(원자료_잔고!$A$1:$EZ$1500,설정!$L$5+ROW()-1,설정!$L$22)&amp;""),"")</f>
        <v/>
      </c>
      <c r="P49" s="83" t="str">
        <f aca="false">IFERROR(IF(INDEX(원자료_잔고!$A$1:$EZ$1500,설정!$L$5+ROW()-1,설정!$L$23)&amp;""="0","",INDEX(원자료_잔고!$A$1:$EZ$1500,설정!$L$5+ROW()-1,설정!$L$23)&amp;""),"")</f>
        <v>N/A</v>
      </c>
      <c r="Q49" s="89" t="n">
        <f aca="false">IF(AND($A49&lt;&gt;"",ISNUMBER(E49)),IF(E49&gt;0,1,0),0)</f>
        <v>1</v>
      </c>
      <c r="R49" s="43" t="str">
        <f aca="false">IF(Q49=1,UPPER(LEFT($A49,FIND(" ",$A49&amp;" ")-1)),"")</f>
        <v>LGENSO</v>
      </c>
      <c r="S49" s="89" t="n">
        <f aca="false">IF(Q49=1,IF(OR(ISNUMBER(SEARCH("Float",$A49)),ISNUMBER(SEARCH("FRN",$A49))),1,0),0)</f>
        <v>0</v>
      </c>
      <c r="T49" s="43" t="str">
        <f aca="false">IF(AND(Q49=1,ISNUMBER(I49)),TEXT(I49,"yyyymmdd")&amp;"|"&amp;IF(S49=1,"F",TEXT(J49,"0.000")),"")</f>
        <v>20280925|5.750</v>
      </c>
      <c r="U49" s="90" t="n">
        <f aca="false">IF(AND(Q49=1,ISNUMBER(I49)),(I49-설정!$C$4)/365.25,"")</f>
        <v>1.98494182067077</v>
      </c>
      <c r="V49" s="43" t="str">
        <f aca="false">IF(Q49&lt;&gt;1,"",IF(ISNUMBER(U49),IF(U49&lt;=1,"1년 이하",IF(U49&lt;=2,"1-2년",IF(U49&lt;=3,"2-3년",IF(U49&lt;=4,"3-4년",IF(U49&lt;=5,"4-5년",IF(U49&lt;=7,"5-7년",IF(U49&lt;=10,"7-10년",IF(U49&lt;=20,"10-20년","20년 이상")))))))),"미분류"))</f>
        <v>1-2년</v>
      </c>
      <c r="W49" s="43" t="str">
        <f aca="false">IF(Q49&lt;&gt;1,"",IF(AB49&lt;&gt;"",INDEX(시장분석!$C:$C,AB49),IF(K49=1,"USD","비USD")))</f>
        <v>USD</v>
      </c>
      <c r="X49" s="91" t="n">
        <f aca="false">IF(Q49=1,E49*K49/1000000,0)</f>
        <v>9</v>
      </c>
      <c r="Y49" s="89" t="n">
        <f aca="false">IF(R49="T",1,0)</f>
        <v>0</v>
      </c>
      <c r="Z49" s="92" t="n">
        <f aca="false">IF(Q49&lt;&gt;1,"",IF(AD49=1,IF(ISNUMBER(U49),MAX(U49,0),H49),H49))</f>
        <v>1.8169</v>
      </c>
      <c r="AA49" s="91" t="n">
        <f aca="false">IF(Q49=1,IF(ISNUMBER(L49),L49,0)*K49/1000000,0)</f>
        <v>9.01593</v>
      </c>
      <c r="AB49" s="89" t="n">
        <f aca="false">IF(Q49&lt;&gt;1,"",IFERROR(MATCH(VLOOKUP(B49,매핑!$H$4:$I$15,2,0),시장분석!$A$2:$A$601,0)+1,IFERROR(MATCH(R49&amp;"|"&amp;T49,시장분석!$V$2:$V$601,0)+1,IF(COUNTIF(시장분석!$U$2:$U$601,T49)=1,MATCH(T49,시장분석!$U$2:$U$601,0)+1,""))))</f>
        <v>177</v>
      </c>
      <c r="AC49" s="89" t="n">
        <f aca="false">IF(Q49&lt;&gt;1,0,IF(OR(설정!$C$5="전체",AND(설정!$C$5="선택펀드",IFERROR(COUNTIFS(설정!$F$16:$F$36,C49,설정!$G$16:$G$36,"Y")+COUNTIFS(설정!$F$16:$F$36,VALUE(C49),설정!$G$16:$G$36,"Y"),0)&gt;0),C49&amp;""=설정!$C$5&amp;""),1,0))</f>
        <v>1</v>
      </c>
      <c r="AD49" s="89" t="n">
        <f aca="false">IF(Q49&lt;&gt;1,0,IF(OR(S49=1,IF(AB49="",FALSE(),INDEX(시장분석!$R:$R,AB49)=1)),1,0))</f>
        <v>0</v>
      </c>
      <c r="AE49" s="43" t="str">
        <f aca="false">IF(AB49="","",INDEX(시장분석!$A:$A,AB49))</f>
        <v>LGENSO 5 3/4 09/25/28</v>
      </c>
      <c r="AF49" s="93" t="n">
        <f aca="false">IF(AB49="","",IF(ISNUMBER(IF(AB49="","",INDEX(시장분석!$E:$E,AB49))),IF(AB49="","",INDEX(시장분석!$E:$E,AB49)),""))</f>
        <v>76</v>
      </c>
      <c r="AG49" s="43" t="str">
        <f aca="false">IF(Q49&lt;&gt;1,"",IF(AB49&lt;&gt;"",IF(AB49="","",INDEX(시장분석!$L:$L,AB49)),IFERROR(IF(VLOOKUP(R49,매핑!$A$4:$E$92,5,0)="","미분류",VLOOKUP(R49,매핑!$A$4:$E$92,5,0)),"미분류")))</f>
        <v>자유 소비재</v>
      </c>
      <c r="AH49" s="43" t="str">
        <f aca="false">IF(Q49&lt;&gt;1,"",IF(AB49&lt;&gt;"",IF(AB49="","",INDEX(시장분석!$N:$N,AB49)),IFERROR(IF(VLOOKUP(R49,매핑!$A$4:$E$92,4,0)="","미분류",VLOOKUP(R49,매핑!$A$4:$E$92,4,0)),"미분류")))</f>
        <v>아시아/기타</v>
      </c>
      <c r="AI49" s="43" t="str">
        <f aca="false">IF(Q49&lt;&gt;1,"",IFERROR(IF(VLOOKUP(R49,매핑!$A$4:$E$92,3,0)="","미분류",VLOOKUP(R49,매핑!$A$4:$E$92,3,0)),IF(AB49&lt;&gt;"",IF(AB49="","",INDEX(시장분석!$W:$W,AB49)),"미분류")))</f>
        <v>한국</v>
      </c>
      <c r="AJ49" s="43" t="str">
        <f aca="false">IF(Q49&lt;&gt;1,"",IFERROR(VLOOKUP(IF(N49&lt;&gt;"",N49,IF(P49&lt;&gt;"",P49,O49)),설정!$A$15:$D$47,2,0),""))</f>
        <v>BBB</v>
      </c>
      <c r="AK49" s="43" t="str">
        <f aca="false">IF(Q49&lt;&gt;1,"",IF(AJ49="","무등급",IFERROR(VLOOKUP(AJ49,설정!$A$15:$D$47,3,0),"무등급")))</f>
        <v>BBB</v>
      </c>
      <c r="AL49" s="89" t="n">
        <f aca="false">IF(AJ49="",99,IFERROR(VLOOKUP(AJ49,설정!$A$15:$D$47,4,0),99))</f>
        <v>9</v>
      </c>
      <c r="AM49" s="94" t="n">
        <f aca="false">IF(ISNUMBER(H49),AA49*1000000*H49/10000,0)</f>
        <v>1638.1043217</v>
      </c>
      <c r="AN49" s="94" t="n">
        <f aca="false">IF(OR(Y49=1,NOT(ISNUMBER(Z49))),0,AA49*1000000*Z49/10000)</f>
        <v>1638.1043217</v>
      </c>
      <c r="AO49" s="94" t="n">
        <f aca="false">IF(ISNUMBER(G49),AA49*1000000*G49/100,0)</f>
        <v>509697.57069</v>
      </c>
      <c r="AP49" s="94" t="n">
        <f aca="false">IF(ISNUMBER(M49),M49*K49,0)</f>
        <v>-42750</v>
      </c>
      <c r="AQ49" s="95" t="n">
        <f aca="false">IF(AB49="","",INDEX(시장분석!$AK:$AK,AB49))</f>
        <v>0.739500825874692</v>
      </c>
      <c r="AR49" s="43" t="str">
        <f aca="false">IF(AB49="","-",IF(AB49="","",INDEX(시장분석!$AL:$AL,AB49)))</f>
        <v>Fair</v>
      </c>
      <c r="AS49" s="96" t="n">
        <f aca="false">IF(AB49="","",INDEX(시장분석!$AJ:$AJ,AB49))</f>
        <v>15.3187159423911</v>
      </c>
      <c r="AT49" s="93" t="n">
        <f aca="false">IF(AB49="",0,IF(AB49="","",INDEX(시장분석!$AN:$AN,AB49)))</f>
        <v>30.0097914893001</v>
      </c>
      <c r="AU49" s="94" t="n">
        <f aca="false">IF(ISNUMBER(Z49),AT49/10000*MAX(Z49-1,0)*AA49*1000000,0)</f>
        <v>22102.5511937258</v>
      </c>
      <c r="AV49" s="94" t="n">
        <f aca="false">AO49+AU49</f>
        <v>531800.121883726</v>
      </c>
      <c r="AW49" s="43" t="str">
        <f aca="false">IF(Q49&lt;&gt;1,"",TRIM(IF(AD49=1,"FRN ","")&amp;IF(AND(AL49&gt;=10,AL49&lt;99),"BBB0미만 ","")&amp;IF(AJ49="","등급없음 ","")&amp;IF(K49&lt;&gt;1,"비USD ","")&amp;IF(AND(AB49="",Y49=0),"시장데이터없음 ","")&amp;IF(AND(ISNUMBER(U49),U49&lt;0),"만기경과 ","")))</f>
        <v/>
      </c>
      <c r="AX49" s="90" t="n">
        <f aca="false">IF(Q49&lt;&gt;1,1,IF(스프레드쇼크!$C$4="Y",INDEX(스프레드쇼크!$B$12:$L$16,IFERROR(MATCH(AH49,스프레드쇼크!$A$12:$A$16,0),MATCH("목록외",스프레드쇼크!$A$12:$A$16,0)),IFERROR(MATCH(AG49,스프레드쇼크!$B$11:$L$11,0),MATCH("목록외",스프레드쇼크!$B$11:$L$11,0))),1))</f>
        <v>1</v>
      </c>
      <c r="AY49" s="90" t="n">
        <f aca="false">IF(스프레드쇼크!$C$5="Y",IF(ISNUMBER(AF49),MIN(스프레드쇼크!$C$7,MAX(스프레드쇼크!$C$6,AF49/스프레드쇼크!$C$8)),1),1)</f>
        <v>1.14952949458458</v>
      </c>
      <c r="AZ49" s="94" t="n">
        <f aca="false">AN49*AX49*AY49</f>
        <v>1883.04923300061</v>
      </c>
      <c r="BA49" s="90" t="n">
        <f aca="false">IF(ISNUMBER(G49),AA49*G49,0)</f>
        <v>50.969757069</v>
      </c>
      <c r="BB49" s="90" t="n">
        <f aca="false">IF(ISNUMBER(G49),AA49,0)</f>
        <v>9.01593</v>
      </c>
      <c r="BC49" s="90" t="n">
        <f aca="false">IF(AND(Y49=0,ISNUMBER(AF49)),AA49*AF49,0)</f>
        <v>685.21068</v>
      </c>
      <c r="BD49" s="90" t="n">
        <f aca="false">IF(AND(Y49=0,ISNUMBER(AF49)),AA49,0)</f>
        <v>9.01593</v>
      </c>
      <c r="BE49" s="90" t="n">
        <f aca="false">IF(ISNUMBER(H49),AA49*H49,0)</f>
        <v>16.381043217</v>
      </c>
      <c r="BF49" s="90" t="n">
        <f aca="false">IF(ISNUMBER(H49),AA49,0)</f>
        <v>9.01593</v>
      </c>
      <c r="BG49" s="90" t="n">
        <f aca="false">IF(AND(Y49=0,ISNUMBER(AF49),ISNUMBER(Z49)),AA49*Z49,0)</f>
        <v>16.381043217</v>
      </c>
      <c r="BH49" s="90" t="n">
        <f aca="false">IF(AND(Y49=0,ISNUMBER(AF49),ISNUMBER(Z49)),AA49*AT49*MAX(Z49-1,0),0)</f>
        <v>221.025511937258</v>
      </c>
      <c r="BI49" s="90" t="n">
        <f aca="false">IF(Y49=0,AA49,0)</f>
        <v>9.01593</v>
      </c>
    </row>
    <row r="50" customFormat="false" ht="15" hidden="false" customHeight="false" outlineLevel="0" collapsed="false">
      <c r="A50" s="83" t="str">
        <f aca="false">IFERROR(IF(INDEX(원자료_잔고!$A$1:$EZ$1500,설정!$L$5+ROW()-1,설정!$L$8)&amp;""="0","",INDEX(원자료_잔고!$A$1:$EZ$1500,설정!$L$5+ROW()-1,설정!$L$8)&amp;""),"")</f>
        <v>LGENSO 5.375 07/02/27</v>
      </c>
      <c r="B50" s="83" t="str">
        <f aca="false">IFERROR(IF(INDEX(원자료_잔고!$A$1:$EZ$1500,설정!$L$5+ROW()-1,설정!$L$7)&amp;""="0","",INDEX(원자료_잔고!$A$1:$EZ$1500,설정!$L$5+ROW()-1,설정!$L$7)&amp;""),"")</f>
        <v>USY5S5CGAK82</v>
      </c>
      <c r="C50" s="83" t="str">
        <f aca="false">IFERROR(IF(INDEX(원자료_잔고!$A$1:$EZ$1500,설정!$L$5+ROW()-1,설정!$L$9)&amp;""="0","",INDEX(원자료_잔고!$A$1:$EZ$1500,설정!$L$5+ROW()-1,설정!$L$9)&amp;""),"")</f>
        <v>28096</v>
      </c>
      <c r="D5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0" s="84" t="n">
        <f aca="false">IFERROR(IF(ISNUMBER(INDEX(원자료_잔고!$A$1:$EZ$1500,설정!$L$5+ROW()-1,설정!$L$11)),INDEX(원자료_잔고!$A$1:$EZ$1500,설정!$L$5+ROW()-1,설정!$L$11),""),"")</f>
        <v>200000</v>
      </c>
      <c r="F50" s="85" t="n">
        <f aca="false">IFERROR(IF(ISNUMBER(INDEX(원자료_잔고!$A$1:$EZ$1500,설정!$L$5+ROW()-1,설정!$L$12)),INDEX(원자료_잔고!$A$1:$EZ$1500,설정!$L$5+ROW()-1,설정!$L$12),""),"")</f>
        <v>100.0852</v>
      </c>
      <c r="G50" s="85" t="n">
        <f aca="false">IFERROR(IF(ISNUMBER(INDEX(원자료_잔고!$A$1:$EZ$1500,설정!$L$5+ROW()-1,설정!$L$13)),INDEX(원자료_잔고!$A$1:$EZ$1500,설정!$L$5+ROW()-1,설정!$L$13),""),"")</f>
        <v>5.2427</v>
      </c>
      <c r="H50" s="85" t="n">
        <f aca="false">IFERROR(IF(ISNUMBER(INDEX(원자료_잔고!$A$1:$EZ$1500,설정!$L$5+ROW()-1,설정!$L$14)),INDEX(원자료_잔고!$A$1:$EZ$1500,설정!$L$5+ROW()-1,설정!$L$14),""),"")</f>
        <v>0.7085</v>
      </c>
      <c r="I50" s="86" t="n">
        <f aca="false">IFERROR(IF(ISNUMBER(INDEX(원자료_잔고!$A$1:$EZ$1500,설정!$L$5+ROW()-1,설정!$L$15)),INDEX(원자료_잔고!$A$1:$EZ$1500,설정!$L$5+ROW()-1,설정!$L$15),""),"")</f>
        <v>46570</v>
      </c>
      <c r="J50" s="85" t="n">
        <f aca="false">IFERROR(IF(ISNUMBER(INDEX(원자료_잔고!$A$1:$EZ$1500,설정!$L$5+ROW()-1,설정!$L$16)),INDEX(원자료_잔고!$A$1:$EZ$1500,설정!$L$5+ROW()-1,설정!$L$16),""),"")</f>
        <v>5.375</v>
      </c>
      <c r="K50" s="87" t="n">
        <f aca="false">IFERROR(IF(ISNUMBER(INDEX(원자료_잔고!$A$1:$EZ$1500,설정!$L$5+ROW()-1,설정!$L$17)),INDEX(원자료_잔고!$A$1:$EZ$1500,설정!$L$5+ROW()-1,설정!$L$17),""),"")</f>
        <v>1</v>
      </c>
      <c r="L50" s="84" t="n">
        <f aca="false">IFERROR(IF(ISNUMBER(INDEX(원자료_잔고!$A$1:$EZ$1500,설정!$L$5+ROW()-1,설정!$L$18)),INDEX(원자료_잔고!$A$1:$EZ$1500,설정!$L$5+ROW()-1,설정!$L$18),""),"")</f>
        <v>200170.4</v>
      </c>
      <c r="M50" s="88" t="n">
        <f aca="false">IFERROR(IF(ISNUMBER(INDEX(원자료_잔고!$A$1:$EZ$1500,설정!$L$5+ROW()-1,설정!$L$19)),INDEX(원자료_잔고!$A$1:$EZ$1500,설정!$L$5+ROW()-1,설정!$L$19),""),"")</f>
        <v>-1509.6</v>
      </c>
      <c r="N50" s="83" t="str">
        <f aca="false">IFERROR(IF(INDEX(원자료_잔고!$A$1:$EZ$1500,설정!$L$5+ROW()-1,설정!$L$21)&amp;""="0","",INDEX(원자료_잔고!$A$1:$EZ$1500,설정!$L$5+ROW()-1,설정!$L$21)&amp;""),"")</f>
        <v>BBB</v>
      </c>
      <c r="O50" s="83" t="str">
        <f aca="false">IFERROR(IF(INDEX(원자료_잔고!$A$1:$EZ$1500,설정!$L$5+ROW()-1,설정!$L$22)&amp;""="0","",INDEX(원자료_잔고!$A$1:$EZ$1500,설정!$L$5+ROW()-1,설정!$L$22)&amp;""),"")</f>
        <v/>
      </c>
      <c r="P50" s="83" t="str">
        <f aca="false">IFERROR(IF(INDEX(원자료_잔고!$A$1:$EZ$1500,설정!$L$5+ROW()-1,설정!$L$23)&amp;""="0","",INDEX(원자료_잔고!$A$1:$EZ$1500,설정!$L$5+ROW()-1,설정!$L$23)&amp;""),"")</f>
        <v>N/A</v>
      </c>
      <c r="Q50" s="89" t="n">
        <f aca="false">IF(AND($A50&lt;&gt;"",ISNUMBER(E50)),IF(E50&gt;0,1,0),0)</f>
        <v>1</v>
      </c>
      <c r="R50" s="43" t="str">
        <f aca="false">IF(Q50=1,UPPER(LEFT($A50,FIND(" ",$A50&amp;" ")-1)),"")</f>
        <v>LGENSO</v>
      </c>
      <c r="S50" s="89" t="n">
        <f aca="false">IF(Q50=1,IF(OR(ISNUMBER(SEARCH("Float",$A50)),ISNUMBER(SEARCH("FRN",$A50))),1,0),0)</f>
        <v>0</v>
      </c>
      <c r="T50" s="43" t="str">
        <f aca="false">IF(AND(Q50=1,ISNUMBER(I50)),TEXT(I50,"yyyymmdd")&amp;"|"&amp;IF(S50=1,"F",TEXT(J50,"0.000")),"")</f>
        <v>20270702|5.375</v>
      </c>
      <c r="U50" s="90" t="n">
        <f aca="false">IF(AND(Q50=1,ISNUMBER(I50)),(I50-설정!$C$4)/365.25,"")</f>
        <v>0.750171115674196</v>
      </c>
      <c r="V50" s="43" t="str">
        <f aca="false">IF(Q50&lt;&gt;1,"",IF(ISNUMBER(U50),IF(U50&lt;=1,"1년 이하",IF(U50&lt;=2,"1-2년",IF(U50&lt;=3,"2-3년",IF(U50&lt;=4,"3-4년",IF(U50&lt;=5,"4-5년",IF(U50&lt;=7,"5-7년",IF(U50&lt;=10,"7-10년",IF(U50&lt;=20,"10-20년","20년 이상")))))))),"미분류"))</f>
        <v>1년 이하</v>
      </c>
      <c r="W50" s="43" t="str">
        <f aca="false">IF(Q50&lt;&gt;1,"",IF(AB50&lt;&gt;"",INDEX(시장분석!$C:$C,AB50),IF(K50=1,"USD","비USD")))</f>
        <v>USD</v>
      </c>
      <c r="X50" s="91" t="n">
        <f aca="false">IF(Q50=1,E50*K50/1000000,0)</f>
        <v>0.2</v>
      </c>
      <c r="Y50" s="89" t="n">
        <f aca="false">IF(R50="T",1,0)</f>
        <v>0</v>
      </c>
      <c r="Z50" s="92" t="n">
        <f aca="false">IF(Q50&lt;&gt;1,"",IF(AD50=1,IF(ISNUMBER(U50),MAX(U50,0),H50),H50))</f>
        <v>0.7085</v>
      </c>
      <c r="AA50" s="91" t="n">
        <f aca="false">IF(Q50=1,IF(ISNUMBER(L50),L50,0)*K50/1000000,0)</f>
        <v>0.2001704</v>
      </c>
      <c r="AB50" s="89" t="n">
        <f aca="false">IF(Q50&lt;&gt;1,"",IFERROR(MATCH(VLOOKUP(B50,매핑!$H$4:$I$15,2,0),시장분석!$A$2:$A$601,0)+1,IFERROR(MATCH(R50&amp;"|"&amp;T50,시장분석!$V$2:$V$601,0)+1,IF(COUNTIF(시장분석!$U$2:$U$601,T50)=1,MATCH(T50,시장분석!$U$2:$U$601,0)+1,""))))</f>
        <v>178</v>
      </c>
      <c r="AC50" s="89" t="n">
        <f aca="false">IF(Q50&lt;&gt;1,0,IF(OR(설정!$C$5="전체",AND(설정!$C$5="선택펀드",IFERROR(COUNTIFS(설정!$F$16:$F$36,C50,설정!$G$16:$G$36,"Y")+COUNTIFS(설정!$F$16:$F$36,VALUE(C50),설정!$G$16:$G$36,"Y"),0)&gt;0),C50&amp;""=설정!$C$5&amp;""),1,0))</f>
        <v>1</v>
      </c>
      <c r="AD50" s="89" t="n">
        <f aca="false">IF(Q50&lt;&gt;1,0,IF(OR(S50=1,IF(AB50="",FALSE(),INDEX(시장분석!$R:$R,AB50)=1)),1,0))</f>
        <v>0</v>
      </c>
      <c r="AE50" s="43" t="str">
        <f aca="false">IF(AB50="","",INDEX(시장분석!$A:$A,AB50))</f>
        <v>LGENSO 5 3/8 07/02/27</v>
      </c>
      <c r="AF50" s="93" t="n">
        <f aca="false">IF(AB50="","",IF(ISNUMBER(IF(AB50="","",INDEX(시장분석!$E:$E,AB50))),IF(AB50="","",INDEX(시장분석!$E:$E,AB50)),""))</f>
        <v>23.608</v>
      </c>
      <c r="AG50" s="43" t="str">
        <f aca="false">IF(Q50&lt;&gt;1,"",IF(AB50&lt;&gt;"",IF(AB50="","",INDEX(시장분석!$L:$L,AB50)),IFERROR(IF(VLOOKUP(R50,매핑!$A$4:$E$92,5,0)="","미분류",VLOOKUP(R50,매핑!$A$4:$E$92,5,0)),"미분류")))</f>
        <v>자유 소비재</v>
      </c>
      <c r="AH50" s="43" t="str">
        <f aca="false">IF(Q50&lt;&gt;1,"",IF(AB50&lt;&gt;"",IF(AB50="","",INDEX(시장분석!$N:$N,AB50)),IFERROR(IF(VLOOKUP(R50,매핑!$A$4:$E$92,4,0)="","미분류",VLOOKUP(R50,매핑!$A$4:$E$92,4,0)),"미분류")))</f>
        <v>아시아/기타</v>
      </c>
      <c r="AI50" s="43" t="str">
        <f aca="false">IF(Q50&lt;&gt;1,"",IFERROR(IF(VLOOKUP(R50,매핑!$A$4:$E$92,3,0)="","미분류",VLOOKUP(R50,매핑!$A$4:$E$92,3,0)),IF(AB50&lt;&gt;"",IF(AB50="","",INDEX(시장분석!$W:$W,AB50)),"미분류")))</f>
        <v>한국</v>
      </c>
      <c r="AJ50" s="43" t="str">
        <f aca="false">IF(Q50&lt;&gt;1,"",IFERROR(VLOOKUP(IF(N50&lt;&gt;"",N50,IF(P50&lt;&gt;"",P50,O50)),설정!$A$15:$D$47,2,0),""))</f>
        <v>BBB</v>
      </c>
      <c r="AK50" s="43" t="str">
        <f aca="false">IF(Q50&lt;&gt;1,"",IF(AJ50="","무등급",IFERROR(VLOOKUP(AJ50,설정!$A$15:$D$47,3,0),"무등급")))</f>
        <v>BBB</v>
      </c>
      <c r="AL50" s="89" t="n">
        <f aca="false">IF(AJ50="",99,IFERROR(VLOOKUP(AJ50,설정!$A$15:$D$47,4,0),99))</f>
        <v>9</v>
      </c>
      <c r="AM50" s="94" t="n">
        <f aca="false">IF(ISNUMBER(H50),AA50*1000000*H50/10000,0)</f>
        <v>14.18207284</v>
      </c>
      <c r="AN50" s="94" t="n">
        <f aca="false">IF(OR(Y50=1,NOT(ISNUMBER(Z50))),0,AA50*1000000*Z50/10000)</f>
        <v>14.18207284</v>
      </c>
      <c r="AO50" s="94" t="n">
        <f aca="false">IF(ISNUMBER(G50),AA50*1000000*G50/100,0)</f>
        <v>10494.3335608</v>
      </c>
      <c r="AP50" s="94" t="n">
        <f aca="false">IF(ISNUMBER(M50),M50*K50,0)</f>
        <v>-1509.6</v>
      </c>
      <c r="AQ50" s="95" t="n">
        <f aca="false">IF(AB50="","",INDEX(시장분석!$AK:$AK,AB50))</f>
        <v>0.0414881720778006</v>
      </c>
      <c r="AR50" s="43" t="str">
        <f aca="false">IF(AB50="","-",IF(AB50="","",INDEX(시장분석!$AL:$AL,AB50)))</f>
        <v>Fair</v>
      </c>
      <c r="AS50" s="96" t="n">
        <f aca="false">IF(AB50="","",INDEX(시장분석!$AJ:$AJ,AB50))</f>
        <v>0.859425034822831</v>
      </c>
      <c r="AT50" s="93" t="n">
        <f aca="false">IF(AB50="",0,IF(AB50="","",INDEX(시장분석!$AN:$AN,AB50)))</f>
        <v>0</v>
      </c>
      <c r="AU50" s="94" t="n">
        <f aca="false">IF(ISNUMBER(Z50),AT50/10000*MAX(Z50-1,0)*AA50*1000000,0)</f>
        <v>0</v>
      </c>
      <c r="AV50" s="94" t="n">
        <f aca="false">AO50+AU50</f>
        <v>10494.3335608</v>
      </c>
      <c r="AW50" s="43" t="str">
        <f aca="false">IF(Q50&lt;&gt;1,"",TRIM(IF(AD50=1,"FRN ","")&amp;IF(AND(AL50&gt;=10,AL50&lt;99),"BBB0미만 ","")&amp;IF(AJ50="","등급없음 ","")&amp;IF(K50&lt;&gt;1,"비USD ","")&amp;IF(AND(AB50="",Y50=0),"시장데이터없음 ","")&amp;IF(AND(ISNUMBER(U50),U50&lt;0),"만기경과 ","")))</f>
        <v/>
      </c>
      <c r="AX50" s="90" t="n">
        <f aca="false">IF(Q50&lt;&gt;1,1,IF(스프레드쇼크!$C$4="Y",INDEX(스프레드쇼크!$B$12:$L$16,IFERROR(MATCH(AH50,스프레드쇼크!$A$12:$A$16,0),MATCH("목록외",스프레드쇼크!$A$12:$A$16,0)),IFERROR(MATCH(AG50,스프레드쇼크!$B$11:$L$11,0),MATCH("목록외",스프레드쇼크!$B$11:$L$11,0))),1))</f>
        <v>1</v>
      </c>
      <c r="AY50" s="90" t="n">
        <f aca="false">IF(스프레드쇼크!$C$5="Y",IF(ISNUMBER(AF50),MIN(스프레드쇼크!$C$7,MAX(스프레드쇼크!$C$6,AF50/스프레드쇼크!$C$8)),1),1)</f>
        <v>0.357080161949378</v>
      </c>
      <c r="AZ50" s="94" t="n">
        <f aca="false">AN50*AX50*AY50</f>
        <v>5.06413686648507</v>
      </c>
      <c r="BA50" s="90" t="n">
        <f aca="false">IF(ISNUMBER(G50),AA50*G50,0)</f>
        <v>1.04943335608</v>
      </c>
      <c r="BB50" s="90" t="n">
        <f aca="false">IF(ISNUMBER(G50),AA50,0)</f>
        <v>0.2001704</v>
      </c>
      <c r="BC50" s="90" t="n">
        <f aca="false">IF(AND(Y50=0,ISNUMBER(AF50)),AA50*AF50,0)</f>
        <v>4.7256228032</v>
      </c>
      <c r="BD50" s="90" t="n">
        <f aca="false">IF(AND(Y50=0,ISNUMBER(AF50)),AA50,0)</f>
        <v>0.2001704</v>
      </c>
      <c r="BE50" s="90" t="n">
        <f aca="false">IF(ISNUMBER(H50),AA50*H50,0)</f>
        <v>0.1418207284</v>
      </c>
      <c r="BF50" s="90" t="n">
        <f aca="false">IF(ISNUMBER(H50),AA50,0)</f>
        <v>0.2001704</v>
      </c>
      <c r="BG50" s="90" t="n">
        <f aca="false">IF(AND(Y50=0,ISNUMBER(AF50),ISNUMBER(Z50)),AA50*Z50,0)</f>
        <v>0.1418207284</v>
      </c>
      <c r="BH50" s="90" t="n">
        <f aca="false">IF(AND(Y50=0,ISNUMBER(AF50),ISNUMBER(Z50)),AA50*AT50*MAX(Z50-1,0),0)</f>
        <v>0</v>
      </c>
      <c r="BI50" s="90" t="n">
        <f aca="false">IF(Y50=0,AA50,0)</f>
        <v>0.2001704</v>
      </c>
    </row>
    <row r="51" customFormat="false" ht="15" hidden="false" customHeight="false" outlineLevel="0" collapsed="false">
      <c r="A51" s="83" t="str">
        <f aca="false">IFERROR(IF(INDEX(원자료_잔고!$A$1:$EZ$1500,설정!$L$5+ROW()-1,설정!$L$8)&amp;""="0","",INDEX(원자료_잔고!$A$1:$EZ$1500,설정!$L$5+ROW()-1,설정!$L$8)&amp;""),"")</f>
        <v>LGENSO 5.25 04/02/28</v>
      </c>
      <c r="B51" s="83" t="str">
        <f aca="false">IFERROR(IF(INDEX(원자료_잔고!$A$1:$EZ$1500,설정!$L$5+ROW()-1,설정!$L$7)&amp;""="0","",INDEX(원자료_잔고!$A$1:$EZ$1500,설정!$L$5+ROW()-1,설정!$L$7)&amp;""),"")</f>
        <v>USY5S5CGAN22</v>
      </c>
      <c r="C51" s="83" t="str">
        <f aca="false">IFERROR(IF(INDEX(원자료_잔고!$A$1:$EZ$1500,설정!$L$5+ROW()-1,설정!$L$9)&amp;""="0","",INDEX(원자료_잔고!$A$1:$EZ$1500,설정!$L$5+ROW()-1,설정!$L$9)&amp;""),"")</f>
        <v>28096</v>
      </c>
      <c r="D5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1" s="84" t="n">
        <f aca="false">IFERROR(IF(ISNUMBER(INDEX(원자료_잔고!$A$1:$EZ$1500,설정!$L$5+ROW()-1,설정!$L$11)),INDEX(원자료_잔고!$A$1:$EZ$1500,설정!$L$5+ROW()-1,설정!$L$11),""),"")</f>
        <v>5000000</v>
      </c>
      <c r="F51" s="85" t="n">
        <f aca="false">IFERROR(IF(ISNUMBER(INDEX(원자료_잔고!$A$1:$EZ$1500,설정!$L$5+ROW()-1,설정!$L$12)),INDEX(원자료_잔고!$A$1:$EZ$1500,설정!$L$5+ROW()-1,설정!$L$12),""),"")</f>
        <v>99.5484</v>
      </c>
      <c r="G51" s="85" t="n">
        <f aca="false">IFERROR(IF(ISNUMBER(INDEX(원자료_잔고!$A$1:$EZ$1500,설정!$L$5+ROW()-1,설정!$L$13)),INDEX(원자료_잔고!$A$1:$EZ$1500,설정!$L$5+ROW()-1,설정!$L$13),""),"")</f>
        <v>5.5664</v>
      </c>
      <c r="H51" s="85" t="n">
        <f aca="false">IFERROR(IF(ISNUMBER(INDEX(원자료_잔고!$A$1:$EZ$1500,설정!$L$5+ROW()-1,설정!$L$14)),INDEX(원자료_잔고!$A$1:$EZ$1500,설정!$L$5+ROW()-1,설정!$L$14),""),"")</f>
        <v>1.3553</v>
      </c>
      <c r="I51" s="86" t="n">
        <f aca="false">IFERROR(IF(ISNUMBER(INDEX(원자료_잔고!$A$1:$EZ$1500,설정!$L$5+ROW()-1,설정!$L$15)),INDEX(원자료_잔고!$A$1:$EZ$1500,설정!$L$5+ROW()-1,설정!$L$15),""),"")</f>
        <v>46845</v>
      </c>
      <c r="J51" s="85" t="n">
        <f aca="false">IFERROR(IF(ISNUMBER(INDEX(원자료_잔고!$A$1:$EZ$1500,설정!$L$5+ROW()-1,설정!$L$16)),INDEX(원자료_잔고!$A$1:$EZ$1500,설정!$L$5+ROW()-1,설정!$L$16),""),"")</f>
        <v>5.25</v>
      </c>
      <c r="K51" s="87" t="n">
        <f aca="false">IFERROR(IF(ISNUMBER(INDEX(원자료_잔고!$A$1:$EZ$1500,설정!$L$5+ROW()-1,설정!$L$17)),INDEX(원자료_잔고!$A$1:$EZ$1500,설정!$L$5+ROW()-1,설정!$L$17),""),"")</f>
        <v>1</v>
      </c>
      <c r="L51" s="84" t="n">
        <f aca="false">IFERROR(IF(ISNUMBER(INDEX(원자료_잔고!$A$1:$EZ$1500,설정!$L$5+ROW()-1,설정!$L$18)),INDEX(원자료_잔고!$A$1:$EZ$1500,설정!$L$5+ROW()-1,설정!$L$18),""),"")</f>
        <v>4977420</v>
      </c>
      <c r="M51" s="88" t="n">
        <f aca="false">IFERROR(IF(ISNUMBER(INDEX(원자료_잔고!$A$1:$EZ$1500,설정!$L$5+ROW()-1,설정!$L$19)),INDEX(원자료_잔고!$A$1:$EZ$1500,설정!$L$5+ROW()-1,설정!$L$19),""),"")</f>
        <v>-47580</v>
      </c>
      <c r="N51" s="83" t="str">
        <f aca="false">IFERROR(IF(INDEX(원자료_잔고!$A$1:$EZ$1500,설정!$L$5+ROW()-1,설정!$L$21)&amp;""="0","",INDEX(원자료_잔고!$A$1:$EZ$1500,설정!$L$5+ROW()-1,설정!$L$21)&amp;""),"")</f>
        <v>BBB</v>
      </c>
      <c r="O51" s="83" t="str">
        <f aca="false">IFERROR(IF(INDEX(원자료_잔고!$A$1:$EZ$1500,설정!$L$5+ROW()-1,설정!$L$22)&amp;""="0","",INDEX(원자료_잔고!$A$1:$EZ$1500,설정!$L$5+ROW()-1,설정!$L$22)&amp;""),"")</f>
        <v/>
      </c>
      <c r="P51" s="83" t="str">
        <f aca="false">IFERROR(IF(INDEX(원자료_잔고!$A$1:$EZ$1500,설정!$L$5+ROW()-1,설정!$L$23)&amp;""="0","",INDEX(원자료_잔고!$A$1:$EZ$1500,설정!$L$5+ROW()-1,설정!$L$23)&amp;""),"")</f>
        <v>N/A</v>
      </c>
      <c r="Q51" s="89" t="n">
        <f aca="false">IF(AND($A51&lt;&gt;"",ISNUMBER(E51)),IF(E51&gt;0,1,0),0)</f>
        <v>1</v>
      </c>
      <c r="R51" s="43" t="str">
        <f aca="false">IF(Q51=1,UPPER(LEFT($A51,FIND(" ",$A51&amp;" ")-1)),"")</f>
        <v>LGENSO</v>
      </c>
      <c r="S51" s="89" t="n">
        <f aca="false">IF(Q51=1,IF(OR(ISNUMBER(SEARCH("Float",$A51)),ISNUMBER(SEARCH("FRN",$A51))),1,0),0)</f>
        <v>0</v>
      </c>
      <c r="T51" s="43" t="str">
        <f aca="false">IF(AND(Q51=1,ISNUMBER(I51)),TEXT(I51,"yyyymmdd")&amp;"|"&amp;IF(S51=1,"F",TEXT(J51,"0.000")),"")</f>
        <v>20280402|5.250</v>
      </c>
      <c r="U51" s="90" t="n">
        <f aca="false">IF(AND(Q51=1,ISNUMBER(I51)),(I51-설정!$C$4)/365.25,"")</f>
        <v>1.50308008213552</v>
      </c>
      <c r="V51" s="43" t="str">
        <f aca="false">IF(Q51&lt;&gt;1,"",IF(ISNUMBER(U51),IF(U51&lt;=1,"1년 이하",IF(U51&lt;=2,"1-2년",IF(U51&lt;=3,"2-3년",IF(U51&lt;=4,"3-4년",IF(U51&lt;=5,"4-5년",IF(U51&lt;=7,"5-7년",IF(U51&lt;=10,"7-10년",IF(U51&lt;=20,"10-20년","20년 이상")))))))),"미분류"))</f>
        <v>1-2년</v>
      </c>
      <c r="W51" s="43" t="str">
        <f aca="false">IF(Q51&lt;&gt;1,"",IF(AB51&lt;&gt;"",INDEX(시장분석!$C:$C,AB51),IF(K51=1,"USD","비USD")))</f>
        <v>USD</v>
      </c>
      <c r="X51" s="91" t="n">
        <f aca="false">IF(Q51=1,E51*K51/1000000,0)</f>
        <v>5</v>
      </c>
      <c r="Y51" s="89" t="n">
        <f aca="false">IF(R51="T",1,0)</f>
        <v>0</v>
      </c>
      <c r="Z51" s="92" t="n">
        <f aca="false">IF(Q51&lt;&gt;1,"",IF(AD51=1,IF(ISNUMBER(U51),MAX(U51,0),H51),H51))</f>
        <v>1.3553</v>
      </c>
      <c r="AA51" s="91" t="n">
        <f aca="false">IF(Q51=1,IF(ISNUMBER(L51),L51,0)*K51/1000000,0)</f>
        <v>4.97742</v>
      </c>
      <c r="AB51" s="89" t="n">
        <f aca="false">IF(Q51&lt;&gt;1,"",IFERROR(MATCH(VLOOKUP(B51,매핑!$H$4:$I$15,2,0),시장분석!$A$2:$A$601,0)+1,IFERROR(MATCH(R51&amp;"|"&amp;T51,시장분석!$V$2:$V$601,0)+1,IF(COUNTIF(시장분석!$U$2:$U$601,T51)=1,MATCH(T51,시장분석!$U$2:$U$601,0)+1,""))))</f>
        <v>180</v>
      </c>
      <c r="AC51" s="89" t="n">
        <f aca="false">IF(Q51&lt;&gt;1,0,IF(OR(설정!$C$5="전체",AND(설정!$C$5="선택펀드",IFERROR(COUNTIFS(설정!$F$16:$F$36,C51,설정!$G$16:$G$36,"Y")+COUNTIFS(설정!$F$16:$F$36,VALUE(C51),설정!$G$16:$G$36,"Y"),0)&gt;0),C51&amp;""=설정!$C$5&amp;""),1,0))</f>
        <v>1</v>
      </c>
      <c r="AD51" s="89" t="n">
        <f aca="false">IF(Q51&lt;&gt;1,0,IF(OR(S51=1,IF(AB51="",FALSE(),INDEX(시장분석!$R:$R,AB51)=1)),1,0))</f>
        <v>0</v>
      </c>
      <c r="AE51" s="43" t="str">
        <f aca="false">IF(AB51="","",INDEX(시장분석!$A:$A,AB51))</f>
        <v>LGENSO 5 1/4 04/02/28</v>
      </c>
      <c r="AF51" s="93" t="n">
        <f aca="false">IF(AB51="","",IF(ISNUMBER(IF(AB51="","",INDEX(시장분석!$E:$E,AB51))),IF(AB51="","",INDEX(시장분석!$E:$E,AB51)),""))</f>
        <v>69.041</v>
      </c>
      <c r="AG51" s="43" t="str">
        <f aca="false">IF(Q51&lt;&gt;1,"",IF(AB51&lt;&gt;"",IF(AB51="","",INDEX(시장분석!$L:$L,AB51)),IFERROR(IF(VLOOKUP(R51,매핑!$A$4:$E$92,5,0)="","미분류",VLOOKUP(R51,매핑!$A$4:$E$92,5,0)),"미분류")))</f>
        <v>자유 소비재</v>
      </c>
      <c r="AH51" s="43" t="str">
        <f aca="false">IF(Q51&lt;&gt;1,"",IF(AB51&lt;&gt;"",IF(AB51="","",INDEX(시장분석!$N:$N,AB51)),IFERROR(IF(VLOOKUP(R51,매핑!$A$4:$E$92,4,0)="","미분류",VLOOKUP(R51,매핑!$A$4:$E$92,4,0)),"미분류")))</f>
        <v>아시아/기타</v>
      </c>
      <c r="AI51" s="43" t="str">
        <f aca="false">IF(Q51&lt;&gt;1,"",IFERROR(IF(VLOOKUP(R51,매핑!$A$4:$E$92,3,0)="","미분류",VLOOKUP(R51,매핑!$A$4:$E$92,3,0)),IF(AB51&lt;&gt;"",IF(AB51="","",INDEX(시장분석!$W:$W,AB51)),"미분류")))</f>
        <v>한국</v>
      </c>
      <c r="AJ51" s="43" t="str">
        <f aca="false">IF(Q51&lt;&gt;1,"",IFERROR(VLOOKUP(IF(N51&lt;&gt;"",N51,IF(P51&lt;&gt;"",P51,O51)),설정!$A$15:$D$47,2,0),""))</f>
        <v>BBB</v>
      </c>
      <c r="AK51" s="43" t="str">
        <f aca="false">IF(Q51&lt;&gt;1,"",IF(AJ51="","무등급",IFERROR(VLOOKUP(AJ51,설정!$A$15:$D$47,3,0),"무등급")))</f>
        <v>BBB</v>
      </c>
      <c r="AL51" s="89" t="n">
        <f aca="false">IF(AJ51="",99,IFERROR(VLOOKUP(AJ51,설정!$A$15:$D$47,4,0),99))</f>
        <v>9</v>
      </c>
      <c r="AM51" s="94" t="n">
        <f aca="false">IF(ISNUMBER(H51),AA51*1000000*H51/10000,0)</f>
        <v>674.5897326</v>
      </c>
      <c r="AN51" s="94" t="n">
        <f aca="false">IF(OR(Y51=1,NOT(ISNUMBER(Z51))),0,AA51*1000000*Z51/10000)</f>
        <v>674.5897326</v>
      </c>
      <c r="AO51" s="94" t="n">
        <f aca="false">IF(ISNUMBER(G51),AA51*1000000*G51/100,0)</f>
        <v>277063.10688</v>
      </c>
      <c r="AP51" s="94" t="n">
        <f aca="false">IF(ISNUMBER(M51),M51*K51,0)</f>
        <v>-47580</v>
      </c>
      <c r="AQ51" s="95" t="n">
        <f aca="false">IF(AB51="","",INDEX(시장분석!$AK:$AK,AB51))</f>
        <v>0.908786582745003</v>
      </c>
      <c r="AR51" s="43" t="str">
        <f aca="false">IF(AB51="","-",IF(AB51="","",INDEX(시장분석!$AL:$AL,AB51)))</f>
        <v>Fair</v>
      </c>
      <c r="AS51" s="96" t="n">
        <f aca="false">IF(AB51="","",INDEX(시장분석!$AJ:$AJ,AB51))</f>
        <v>18.8254604000753</v>
      </c>
      <c r="AT51" s="93" t="n">
        <f aca="false">IF(AB51="",0,IF(AB51="","",INDEX(시장분석!$AN:$AN,AB51)))</f>
        <v>0</v>
      </c>
      <c r="AU51" s="94" t="n">
        <f aca="false">IF(ISNUMBER(Z51),AT51/10000*MAX(Z51-1,0)*AA51*1000000,0)</f>
        <v>0</v>
      </c>
      <c r="AV51" s="94" t="n">
        <f aca="false">AO51+AU51</f>
        <v>277063.10688</v>
      </c>
      <c r="AW51" s="43" t="str">
        <f aca="false">IF(Q51&lt;&gt;1,"",TRIM(IF(AD51=1,"FRN ","")&amp;IF(AND(AL51&gt;=10,AL51&lt;99),"BBB0미만 ","")&amp;IF(AJ51="","등급없음 ","")&amp;IF(K51&lt;&gt;1,"비USD ","")&amp;IF(AND(AB51="",Y51=0),"시장데이터없음 ","")&amp;IF(AND(ISNUMBER(U51),U51&lt;0),"만기경과 ","")))</f>
        <v/>
      </c>
      <c r="AX51" s="90" t="n">
        <f aca="false">IF(Q51&lt;&gt;1,1,IF(스프레드쇼크!$C$4="Y",INDEX(스프레드쇼크!$B$12:$L$16,IFERROR(MATCH(AH51,스프레드쇼크!$A$12:$A$16,0),MATCH("목록외",스프레드쇼크!$A$12:$A$16,0)),IFERROR(MATCH(AG51,스프레드쇼크!$B$11:$L$11,0),MATCH("목록외",스프레드쇼크!$B$11:$L$11,0))),1))</f>
        <v>1</v>
      </c>
      <c r="AY51" s="90" t="n">
        <f aca="false">IF(스프레드쇼크!$C$5="Y",IF(ISNUMBER(AF51),MIN(스프레드쇼크!$C$7,MAX(스프레드쇼크!$C$6,AF51/스프레드쇼크!$C$8)),1),1)</f>
        <v>1.04427191888966</v>
      </c>
      <c r="AZ51" s="94" t="n">
        <f aca="false">AN51*AX51*AY51</f>
        <v>704.455114525461</v>
      </c>
      <c r="BA51" s="90" t="n">
        <f aca="false">IF(ISNUMBER(G51),AA51*G51,0)</f>
        <v>27.706310688</v>
      </c>
      <c r="BB51" s="90" t="n">
        <f aca="false">IF(ISNUMBER(G51),AA51,0)</f>
        <v>4.97742</v>
      </c>
      <c r="BC51" s="90" t="n">
        <f aca="false">IF(AND(Y51=0,ISNUMBER(AF51)),AA51*AF51,0)</f>
        <v>343.64605422</v>
      </c>
      <c r="BD51" s="90" t="n">
        <f aca="false">IF(AND(Y51=0,ISNUMBER(AF51)),AA51,0)</f>
        <v>4.97742</v>
      </c>
      <c r="BE51" s="90" t="n">
        <f aca="false">IF(ISNUMBER(H51),AA51*H51,0)</f>
        <v>6.745897326</v>
      </c>
      <c r="BF51" s="90" t="n">
        <f aca="false">IF(ISNUMBER(H51),AA51,0)</f>
        <v>4.97742</v>
      </c>
      <c r="BG51" s="90" t="n">
        <f aca="false">IF(AND(Y51=0,ISNUMBER(AF51),ISNUMBER(Z51)),AA51*Z51,0)</f>
        <v>6.745897326</v>
      </c>
      <c r="BH51" s="90" t="n">
        <f aca="false">IF(AND(Y51=0,ISNUMBER(AF51),ISNUMBER(Z51)),AA51*AT51*MAX(Z51-1,0),0)</f>
        <v>0</v>
      </c>
      <c r="BI51" s="90" t="n">
        <f aca="false">IF(Y51=0,AA51,0)</f>
        <v>4.97742</v>
      </c>
    </row>
    <row r="52" customFormat="false" ht="15" hidden="false" customHeight="false" outlineLevel="0" collapsed="false">
      <c r="A52" s="83" t="str">
        <f aca="false">IFERROR(IF(INDEX(원자료_잔고!$A$1:$EZ$1500,설정!$L$5+ROW()-1,설정!$L$8)&amp;""="0","",INDEX(원자료_잔고!$A$1:$EZ$1500,설정!$L$5+ROW()-1,설정!$L$8)&amp;""),"")</f>
        <v>LGELEC 5.625 04/24/29</v>
      </c>
      <c r="B52" s="83" t="str">
        <f aca="false">IFERROR(IF(INDEX(원자료_잔고!$A$1:$EZ$1500,설정!$L$5+ROW()-1,설정!$L$7)&amp;""="0","",INDEX(원자료_잔고!$A$1:$EZ$1500,설정!$L$5+ROW()-1,설정!$L$7)&amp;""),"")</f>
        <v>USY5S80VAB27</v>
      </c>
      <c r="C52" s="83" t="str">
        <f aca="false">IFERROR(IF(INDEX(원자료_잔고!$A$1:$EZ$1500,설정!$L$5+ROW()-1,설정!$L$9)&amp;""="0","",INDEX(원자료_잔고!$A$1:$EZ$1500,설정!$L$5+ROW()-1,설정!$L$9)&amp;""),"")</f>
        <v>28096</v>
      </c>
      <c r="D5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2" s="84" t="n">
        <f aca="false">IFERROR(IF(ISNUMBER(INDEX(원자료_잔고!$A$1:$EZ$1500,설정!$L$5+ROW()-1,설정!$L$11)),INDEX(원자료_잔고!$A$1:$EZ$1500,설정!$L$5+ROW()-1,설정!$L$11),""),"")</f>
        <v>13000000</v>
      </c>
      <c r="F52" s="85" t="n">
        <f aca="false">IFERROR(IF(ISNUMBER(INDEX(원자료_잔고!$A$1:$EZ$1500,설정!$L$5+ROW()-1,설정!$L$12)),INDEX(원자료_잔고!$A$1:$EZ$1500,설정!$L$5+ROW()-1,설정!$L$12),""),"")</f>
        <v>100.2439</v>
      </c>
      <c r="G52" s="85" t="n">
        <f aca="false">IFERROR(IF(ISNUMBER(INDEX(원자료_잔고!$A$1:$EZ$1500,설정!$L$5+ROW()-1,설정!$L$13)),INDEX(원자료_잔고!$A$1:$EZ$1500,설정!$L$5+ROW()-1,설정!$L$13),""),"")</f>
        <v>5.52</v>
      </c>
      <c r="H52" s="85" t="n">
        <f aca="false">IFERROR(IF(ISNUMBER(INDEX(원자료_잔고!$A$1:$EZ$1500,설정!$L$5+ROW()-1,설정!$L$14)),INDEX(원자료_잔고!$A$1:$EZ$1500,설정!$L$5+ROW()-1,설정!$L$14),""),"")</f>
        <v>2.2465</v>
      </c>
      <c r="I52" s="86" t="n">
        <f aca="false">IFERROR(IF(ISNUMBER(INDEX(원자료_잔고!$A$1:$EZ$1500,설정!$L$5+ROW()-1,설정!$L$15)),INDEX(원자료_잔고!$A$1:$EZ$1500,설정!$L$5+ROW()-1,설정!$L$15),""),"")</f>
        <v>47232</v>
      </c>
      <c r="J52" s="85" t="n">
        <f aca="false">IFERROR(IF(ISNUMBER(INDEX(원자료_잔고!$A$1:$EZ$1500,설정!$L$5+ROW()-1,설정!$L$16)),INDEX(원자료_잔고!$A$1:$EZ$1500,설정!$L$5+ROW()-1,설정!$L$16),""),"")</f>
        <v>5.625</v>
      </c>
      <c r="K52" s="87" t="n">
        <f aca="false">IFERROR(IF(ISNUMBER(INDEX(원자료_잔고!$A$1:$EZ$1500,설정!$L$5+ROW()-1,설정!$L$17)),INDEX(원자료_잔고!$A$1:$EZ$1500,설정!$L$5+ROW()-1,설정!$L$17),""),"")</f>
        <v>1</v>
      </c>
      <c r="L52" s="84" t="n">
        <f aca="false">IFERROR(IF(ISNUMBER(INDEX(원자료_잔고!$A$1:$EZ$1500,설정!$L$5+ROW()-1,설정!$L$18)),INDEX(원자료_잔고!$A$1:$EZ$1500,설정!$L$5+ROW()-1,설정!$L$18),""),"")</f>
        <v>13031707</v>
      </c>
      <c r="M52" s="88" t="n">
        <f aca="false">IFERROR(IF(ISNUMBER(INDEX(원자료_잔고!$A$1:$EZ$1500,설정!$L$5+ROW()-1,설정!$L$19)),INDEX(원자료_잔고!$A$1:$EZ$1500,설정!$L$5+ROW()-1,설정!$L$19),""),"")</f>
        <v>-496353</v>
      </c>
      <c r="N52" s="83" t="str">
        <f aca="false">IFERROR(IF(INDEX(원자료_잔고!$A$1:$EZ$1500,설정!$L$5+ROW()-1,설정!$L$21)&amp;""="0","",INDEX(원자료_잔고!$A$1:$EZ$1500,설정!$L$5+ROW()-1,설정!$L$21)&amp;""),"")</f>
        <v>BBB</v>
      </c>
      <c r="O52" s="83" t="str">
        <f aca="false">IFERROR(IF(INDEX(원자료_잔고!$A$1:$EZ$1500,설정!$L$5+ROW()-1,설정!$L$22)&amp;""="0","",INDEX(원자료_잔고!$A$1:$EZ$1500,설정!$L$5+ROW()-1,설정!$L$22)&amp;""),"")</f>
        <v>Baa2</v>
      </c>
      <c r="P52" s="83" t="str">
        <f aca="false">IFERROR(IF(INDEX(원자료_잔고!$A$1:$EZ$1500,설정!$L$5+ROW()-1,설정!$L$23)&amp;""="0","",INDEX(원자료_잔고!$A$1:$EZ$1500,설정!$L$5+ROW()-1,설정!$L$23)&amp;""),"")</f>
        <v>BBB</v>
      </c>
      <c r="Q52" s="89" t="n">
        <f aca="false">IF(AND($A52&lt;&gt;"",ISNUMBER(E52)),IF(E52&gt;0,1,0),0)</f>
        <v>1</v>
      </c>
      <c r="R52" s="43" t="str">
        <f aca="false">IF(Q52=1,UPPER(LEFT($A52,FIND(" ",$A52&amp;" ")-1)),"")</f>
        <v>LGELEC</v>
      </c>
      <c r="S52" s="89" t="n">
        <f aca="false">IF(Q52=1,IF(OR(ISNUMBER(SEARCH("Float",$A52)),ISNUMBER(SEARCH("FRN",$A52))),1,0),0)</f>
        <v>0</v>
      </c>
      <c r="T52" s="43" t="str">
        <f aca="false">IF(AND(Q52=1,ISNUMBER(I52)),TEXT(I52,"yyyymmdd")&amp;"|"&amp;IF(S52=1,"F",TEXT(J52,"0.000")),"")</f>
        <v>20290424|5.625</v>
      </c>
      <c r="U52" s="90" t="n">
        <f aca="false">IF(AND(Q52=1,ISNUMBER(I52)),(I52-설정!$C$4)/365.25,"")</f>
        <v>2.56262833675565</v>
      </c>
      <c r="V52" s="43" t="str">
        <f aca="false">IF(Q52&lt;&gt;1,"",IF(ISNUMBER(U52),IF(U52&lt;=1,"1년 이하",IF(U52&lt;=2,"1-2년",IF(U52&lt;=3,"2-3년",IF(U52&lt;=4,"3-4년",IF(U52&lt;=5,"4-5년",IF(U52&lt;=7,"5-7년",IF(U52&lt;=10,"7-10년",IF(U52&lt;=20,"10-20년","20년 이상")))))))),"미분류"))</f>
        <v>2-3년</v>
      </c>
      <c r="W52" s="43" t="str">
        <f aca="false">IF(Q52&lt;&gt;1,"",IF(AB52&lt;&gt;"",INDEX(시장분석!$C:$C,AB52),IF(K52=1,"USD","비USD")))</f>
        <v>USD</v>
      </c>
      <c r="X52" s="91" t="n">
        <f aca="false">IF(Q52=1,E52*K52/1000000,0)</f>
        <v>13</v>
      </c>
      <c r="Y52" s="89" t="n">
        <f aca="false">IF(R52="T",1,0)</f>
        <v>0</v>
      </c>
      <c r="Z52" s="92" t="n">
        <f aca="false">IF(Q52&lt;&gt;1,"",IF(AD52=1,IF(ISNUMBER(U52),MAX(U52,0),H52),H52))</f>
        <v>2.2465</v>
      </c>
      <c r="AA52" s="91" t="n">
        <f aca="false">IF(Q52=1,IF(ISNUMBER(L52),L52,0)*K52/1000000,0)</f>
        <v>13.031707</v>
      </c>
      <c r="AB52" s="89" t="n">
        <f aca="false">IF(Q52&lt;&gt;1,"",IFERROR(MATCH(VLOOKUP(B52,매핑!$H$4:$I$15,2,0),시장분석!$A$2:$A$601,0)+1,IFERROR(MATCH(R52&amp;"|"&amp;T52,시장분석!$V$2:$V$601,0)+1,IF(COUNTIF(시장분석!$U$2:$U$601,T52)=1,MATCH(T52,시장분석!$U$2:$U$601,0)+1,""))))</f>
        <v>185</v>
      </c>
      <c r="AC52" s="89" t="n">
        <f aca="false">IF(Q52&lt;&gt;1,0,IF(OR(설정!$C$5="전체",AND(설정!$C$5="선택펀드",IFERROR(COUNTIFS(설정!$F$16:$F$36,C52,설정!$G$16:$G$36,"Y")+COUNTIFS(설정!$F$16:$F$36,VALUE(C52),설정!$G$16:$G$36,"Y"),0)&gt;0),C52&amp;""=설정!$C$5&amp;""),1,0))</f>
        <v>1</v>
      </c>
      <c r="AD52" s="89" t="n">
        <f aca="false">IF(Q52&lt;&gt;1,0,IF(OR(S52=1,IF(AB52="",FALSE(),INDEX(시장분석!$R:$R,AB52)=1)),1,0))</f>
        <v>0</v>
      </c>
      <c r="AE52" s="43" t="str">
        <f aca="false">IF(AB52="","",INDEX(시장분석!$A:$A,AB52))</f>
        <v>LGELEC 5 5/8 04/24/29</v>
      </c>
      <c r="AF52" s="93" t="n">
        <f aca="false">IF(AB52="","",IF(ISNUMBER(IF(AB52="","",INDEX(시장분석!$E:$E,AB52))),IF(AB52="","",INDEX(시장분석!$E:$E,AB52)),""))</f>
        <v>49.669</v>
      </c>
      <c r="AG52" s="43" t="str">
        <f aca="false">IF(Q52&lt;&gt;1,"",IF(AB52&lt;&gt;"",IF(AB52="","",INDEX(시장분석!$L:$L,AB52)),IFERROR(IF(VLOOKUP(R52,매핑!$A$4:$E$92,5,0)="","미분류",VLOOKUP(R52,매핑!$A$4:$E$92,5,0)),"미분류")))</f>
        <v>기술</v>
      </c>
      <c r="AH52" s="43" t="str">
        <f aca="false">IF(Q52&lt;&gt;1,"",IF(AB52&lt;&gt;"",IF(AB52="","",INDEX(시장분석!$N:$N,AB52)),IFERROR(IF(VLOOKUP(R52,매핑!$A$4:$E$92,4,0)="","미분류",VLOOKUP(R52,매핑!$A$4:$E$92,4,0)),"미분류")))</f>
        <v>아시아/기타</v>
      </c>
      <c r="AI52" s="43" t="str">
        <f aca="false">IF(Q52&lt;&gt;1,"",IFERROR(IF(VLOOKUP(R52,매핑!$A$4:$E$92,3,0)="","미분류",VLOOKUP(R52,매핑!$A$4:$E$92,3,0)),IF(AB52&lt;&gt;"",IF(AB52="","",INDEX(시장분석!$W:$W,AB52)),"미분류")))</f>
        <v>한국</v>
      </c>
      <c r="AJ52" s="43" t="str">
        <f aca="false">IF(Q52&lt;&gt;1,"",IFERROR(VLOOKUP(IF(N52&lt;&gt;"",N52,IF(P52&lt;&gt;"",P52,O52)),설정!$A$15:$D$47,2,0),""))</f>
        <v>BBB</v>
      </c>
      <c r="AK52" s="43" t="str">
        <f aca="false">IF(Q52&lt;&gt;1,"",IF(AJ52="","무등급",IFERROR(VLOOKUP(AJ52,설정!$A$15:$D$47,3,0),"무등급")))</f>
        <v>BBB</v>
      </c>
      <c r="AL52" s="89" t="n">
        <f aca="false">IF(AJ52="",99,IFERROR(VLOOKUP(AJ52,설정!$A$15:$D$47,4,0),99))</f>
        <v>9</v>
      </c>
      <c r="AM52" s="94" t="n">
        <f aca="false">IF(ISNUMBER(H52),AA52*1000000*H52/10000,0)</f>
        <v>2927.57297755</v>
      </c>
      <c r="AN52" s="94" t="n">
        <f aca="false">IF(OR(Y52=1,NOT(ISNUMBER(Z52))),0,AA52*1000000*Z52/10000)</f>
        <v>2927.57297755</v>
      </c>
      <c r="AO52" s="94" t="n">
        <f aca="false">IF(ISNUMBER(G52),AA52*1000000*G52/100,0)</f>
        <v>719350.2264</v>
      </c>
      <c r="AP52" s="94" t="n">
        <f aca="false">IF(ISNUMBER(M52),M52*K52,0)</f>
        <v>-496353</v>
      </c>
      <c r="AQ52" s="95" t="n">
        <f aca="false">IF(AB52="","",INDEX(시장분석!$AK:$AK,AB52))</f>
        <v>-0.191708237045126</v>
      </c>
      <c r="AR52" s="43" t="str">
        <f aca="false">IF(AB52="","-",IF(AB52="","",INDEX(시장분석!$AL:$AL,AB52)))</f>
        <v>Fair</v>
      </c>
      <c r="AS52" s="96" t="n">
        <f aca="false">IF(AB52="","",INDEX(시장분석!$AJ:$AJ,AB52))</f>
        <v>-0.51569929727296</v>
      </c>
      <c r="AT52" s="93" t="n">
        <f aca="false">IF(AB52="",0,IF(AB52="","",INDEX(시장분석!$AN:$AN,AB52)))</f>
        <v>10.8974038721068</v>
      </c>
      <c r="AU52" s="94" t="n">
        <f aca="false">IF(ISNUMBER(Z52),AT52/10000*MAX(Z52-1,0)*AA52*1000000,0)</f>
        <v>17701.7676692324</v>
      </c>
      <c r="AV52" s="94" t="n">
        <f aca="false">AO52+AU52</f>
        <v>737051.994069233</v>
      </c>
      <c r="AW52" s="43" t="str">
        <f aca="false">IF(Q52&lt;&gt;1,"",TRIM(IF(AD52=1,"FRN ","")&amp;IF(AND(AL52&gt;=10,AL52&lt;99),"BBB0미만 ","")&amp;IF(AJ52="","등급없음 ","")&amp;IF(K52&lt;&gt;1,"비USD ","")&amp;IF(AND(AB52="",Y52=0),"시장데이터없음 ","")&amp;IF(AND(ISNUMBER(U52),U52&lt;0),"만기경과 ","")))</f>
        <v/>
      </c>
      <c r="AX52" s="90" t="n">
        <f aca="false">IF(Q52&lt;&gt;1,1,IF(스프레드쇼크!$C$4="Y",INDEX(스프레드쇼크!$B$12:$L$16,IFERROR(MATCH(AH52,스프레드쇼크!$A$12:$A$16,0),MATCH("목록외",스프레드쇼크!$A$12:$A$16,0)),IFERROR(MATCH(AG52,스프레드쇼크!$B$11:$L$11,0),MATCH("목록외",스프레드쇼크!$B$11:$L$11,0))),1))</f>
        <v>1</v>
      </c>
      <c r="AY52" s="90" t="n">
        <f aca="false">IF(스프레드쇼크!$C$5="Y",IF(ISNUMBER(AF52),MIN(스프레드쇼크!$C$7,MAX(스프레드쇼크!$C$6,AF52/스프레드쇼크!$C$8)),1),1)</f>
        <v>0.751262900875281</v>
      </c>
      <c r="AZ52" s="94" t="n">
        <f aca="false">AN52*AX52*AY52</f>
        <v>2199.3769676383</v>
      </c>
      <c r="BA52" s="90" t="n">
        <f aca="false">IF(ISNUMBER(G52),AA52*G52,0)</f>
        <v>71.93502264</v>
      </c>
      <c r="BB52" s="90" t="n">
        <f aca="false">IF(ISNUMBER(G52),AA52,0)</f>
        <v>13.031707</v>
      </c>
      <c r="BC52" s="90" t="n">
        <f aca="false">IF(AND(Y52=0,ISNUMBER(AF52)),AA52*AF52,0)</f>
        <v>647.271854983</v>
      </c>
      <c r="BD52" s="90" t="n">
        <f aca="false">IF(AND(Y52=0,ISNUMBER(AF52)),AA52,0)</f>
        <v>13.031707</v>
      </c>
      <c r="BE52" s="90" t="n">
        <f aca="false">IF(ISNUMBER(H52),AA52*H52,0)</f>
        <v>29.2757297755</v>
      </c>
      <c r="BF52" s="90" t="n">
        <f aca="false">IF(ISNUMBER(H52),AA52,0)</f>
        <v>13.031707</v>
      </c>
      <c r="BG52" s="90" t="n">
        <f aca="false">IF(AND(Y52=0,ISNUMBER(AF52),ISNUMBER(Z52)),AA52*Z52,0)</f>
        <v>29.2757297755</v>
      </c>
      <c r="BH52" s="90" t="n">
        <f aca="false">IF(AND(Y52=0,ISNUMBER(AF52),ISNUMBER(Z52)),AA52*AT52*MAX(Z52-1,0),0)</f>
        <v>177.017676692324</v>
      </c>
      <c r="BI52" s="90" t="n">
        <f aca="false">IF(Y52=0,AA52,0)</f>
        <v>13.031707</v>
      </c>
    </row>
    <row r="53" customFormat="false" ht="15" hidden="false" customHeight="false" outlineLevel="0" collapsed="false">
      <c r="A53" s="83" t="str">
        <f aca="false">IFERROR(IF(INDEX(원자료_잔고!$A$1:$EZ$1500,설정!$L$5+ROW()-1,설정!$L$8)&amp;""="0","",INDEX(원자료_잔고!$A$1:$EZ$1500,설정!$L$5+ROW()-1,설정!$L$8)&amp;""),"")</f>
        <v>pohang 5.75 01/17/28</v>
      </c>
      <c r="B53" s="83" t="str">
        <f aca="false">IFERROR(IF(INDEX(원자료_잔고!$A$1:$EZ$1500,설정!$L$5+ROW()-1,설정!$L$7)&amp;""="0","",INDEX(원자료_잔고!$A$1:$EZ$1500,설정!$L$5+ROW()-1,설정!$L$7)&amp;""),"")</f>
        <v>USY7S272AG74</v>
      </c>
      <c r="C53" s="83" t="str">
        <f aca="false">IFERROR(IF(INDEX(원자료_잔고!$A$1:$EZ$1500,설정!$L$5+ROW()-1,설정!$L$9)&amp;""="0","",INDEX(원자료_잔고!$A$1:$EZ$1500,설정!$L$5+ROW()-1,설정!$L$9)&amp;""),"")</f>
        <v>28096</v>
      </c>
      <c r="D5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3" s="84" t="n">
        <f aca="false">IFERROR(IF(ISNUMBER(INDEX(원자료_잔고!$A$1:$EZ$1500,설정!$L$5+ROW()-1,설정!$L$11)),INDEX(원자료_잔고!$A$1:$EZ$1500,설정!$L$5+ROW()-1,설정!$L$11),""),"")</f>
        <v>5000000</v>
      </c>
      <c r="F53" s="85" t="n">
        <f aca="false">IFERROR(IF(ISNUMBER(INDEX(원자료_잔고!$A$1:$EZ$1500,설정!$L$5+ROW()-1,설정!$L$12)),INDEX(원자료_잔고!$A$1:$EZ$1500,설정!$L$5+ROW()-1,설정!$L$12),""),"")</f>
        <v>100.4466</v>
      </c>
      <c r="G53" s="85" t="n">
        <f aca="false">IFERROR(IF(ISNUMBER(INDEX(원자료_잔고!$A$1:$EZ$1500,설정!$L$5+ROW()-1,설정!$L$13)),INDEX(원자료_잔고!$A$1:$EZ$1500,설정!$L$5+ROW()-1,설정!$L$13),""),"")</f>
        <v>5.3803</v>
      </c>
      <c r="H53" s="85" t="n">
        <f aca="false">IFERROR(IF(ISNUMBER(INDEX(원자료_잔고!$A$1:$EZ$1500,설정!$L$5+ROW()-1,설정!$L$14)),INDEX(원자료_잔고!$A$1:$EZ$1500,설정!$L$5+ROW()-1,설정!$L$14),""),"")</f>
        <v>1.1993</v>
      </c>
      <c r="I53" s="86" t="n">
        <f aca="false">IFERROR(IF(ISNUMBER(INDEX(원자료_잔고!$A$1:$EZ$1500,설정!$L$5+ROW()-1,설정!$L$15)),INDEX(원자료_잔고!$A$1:$EZ$1500,설정!$L$5+ROW()-1,설정!$L$15),""),"")</f>
        <v>46769</v>
      </c>
      <c r="J53" s="85" t="n">
        <f aca="false">IFERROR(IF(ISNUMBER(INDEX(원자료_잔고!$A$1:$EZ$1500,설정!$L$5+ROW()-1,설정!$L$16)),INDEX(원자료_잔고!$A$1:$EZ$1500,설정!$L$5+ROW()-1,설정!$L$16),""),"")</f>
        <v>5.75</v>
      </c>
      <c r="K53" s="87" t="n">
        <f aca="false">IFERROR(IF(ISNUMBER(INDEX(원자료_잔고!$A$1:$EZ$1500,설정!$L$5+ROW()-1,설정!$L$17)),INDEX(원자료_잔고!$A$1:$EZ$1500,설정!$L$5+ROW()-1,설정!$L$17),""),"")</f>
        <v>1</v>
      </c>
      <c r="L53" s="84" t="n">
        <f aca="false">IFERROR(IF(ISNUMBER(INDEX(원자료_잔고!$A$1:$EZ$1500,설정!$L$5+ROW()-1,설정!$L$18)),INDEX(원자료_잔고!$A$1:$EZ$1500,설정!$L$5+ROW()-1,설정!$L$18),""),"")</f>
        <v>5022330</v>
      </c>
      <c r="M53" s="88" t="n">
        <f aca="false">IFERROR(IF(ISNUMBER(INDEX(원자료_잔고!$A$1:$EZ$1500,설정!$L$5+ROW()-1,설정!$L$19)),INDEX(원자료_잔고!$A$1:$EZ$1500,설정!$L$5+ROW()-1,설정!$L$19),""),"")</f>
        <v>-133770</v>
      </c>
      <c r="N53" s="83" t="str">
        <f aca="false">IFERROR(IF(INDEX(원자료_잔고!$A$1:$EZ$1500,설정!$L$5+ROW()-1,설정!$L$21)&amp;""="0","",INDEX(원자료_잔고!$A$1:$EZ$1500,설정!$L$5+ROW()-1,설정!$L$21)&amp;""),"")</f>
        <v>BBB+</v>
      </c>
      <c r="O53" s="83" t="str">
        <f aca="false">IFERROR(IF(INDEX(원자료_잔고!$A$1:$EZ$1500,설정!$L$5+ROW()-1,설정!$L$22)&amp;""="0","",INDEX(원자료_잔고!$A$1:$EZ$1500,설정!$L$5+ROW()-1,설정!$L$22)&amp;""),"")</f>
        <v/>
      </c>
      <c r="P53" s="83" t="str">
        <f aca="false">IFERROR(IF(INDEX(원자료_잔고!$A$1:$EZ$1500,설정!$L$5+ROW()-1,설정!$L$23)&amp;""="0","",INDEX(원자료_잔고!$A$1:$EZ$1500,설정!$L$5+ROW()-1,설정!$L$23)&amp;""),"")</f>
        <v>N/A</v>
      </c>
      <c r="Q53" s="89" t="n">
        <f aca="false">IF(AND($A53&lt;&gt;"",ISNUMBER(E53)),IF(E53&gt;0,1,0),0)</f>
        <v>1</v>
      </c>
      <c r="R53" s="43" t="str">
        <f aca="false">IF(Q53=1,UPPER(LEFT($A53,FIND(" ",$A53&amp;" ")-1)),"")</f>
        <v>POHANG</v>
      </c>
      <c r="S53" s="89" t="n">
        <f aca="false">IF(Q53=1,IF(OR(ISNUMBER(SEARCH("Float",$A53)),ISNUMBER(SEARCH("FRN",$A53))),1,0),0)</f>
        <v>0</v>
      </c>
      <c r="T53" s="43" t="str">
        <f aca="false">IF(AND(Q53=1,ISNUMBER(I53)),TEXT(I53,"yyyymmdd")&amp;"|"&amp;IF(S53=1,"F",TEXT(J53,"0.000")),"")</f>
        <v>20280117|5.750</v>
      </c>
      <c r="U53" s="90" t="n">
        <f aca="false">IF(AND(Q53=1,ISNUMBER(I53)),(I53-설정!$C$4)/365.25,"")</f>
        <v>1.29500342231348</v>
      </c>
      <c r="V53" s="43" t="str">
        <f aca="false">IF(Q53&lt;&gt;1,"",IF(ISNUMBER(U53),IF(U53&lt;=1,"1년 이하",IF(U53&lt;=2,"1-2년",IF(U53&lt;=3,"2-3년",IF(U53&lt;=4,"3-4년",IF(U53&lt;=5,"4-5년",IF(U53&lt;=7,"5-7년",IF(U53&lt;=10,"7-10년",IF(U53&lt;=20,"10-20년","20년 이상")))))))),"미분류"))</f>
        <v>1-2년</v>
      </c>
      <c r="W53" s="43" t="str">
        <f aca="false">IF(Q53&lt;&gt;1,"",IF(AB53&lt;&gt;"",INDEX(시장분석!$C:$C,AB53),IF(K53=1,"USD","비USD")))</f>
        <v>USD</v>
      </c>
      <c r="X53" s="91" t="n">
        <f aca="false">IF(Q53=1,E53*K53/1000000,0)</f>
        <v>5</v>
      </c>
      <c r="Y53" s="89" t="n">
        <f aca="false">IF(R53="T",1,0)</f>
        <v>0</v>
      </c>
      <c r="Z53" s="92" t="n">
        <f aca="false">IF(Q53&lt;&gt;1,"",IF(AD53=1,IF(ISNUMBER(U53),MAX(U53,0),H53),H53))</f>
        <v>1.1993</v>
      </c>
      <c r="AA53" s="91" t="n">
        <f aca="false">IF(Q53=1,IF(ISNUMBER(L53),L53,0)*K53/1000000,0)</f>
        <v>5.02233</v>
      </c>
      <c r="AB53" s="89" t="n">
        <f aca="false">IF(Q53&lt;&gt;1,"",IFERROR(MATCH(VLOOKUP(B53,매핑!$H$4:$I$15,2,0),시장분석!$A$2:$A$601,0)+1,IFERROR(MATCH(R53&amp;"|"&amp;T53,시장분석!$V$2:$V$601,0)+1,IF(COUNTIF(시장분석!$U$2:$U$601,T53)=1,MATCH(T53,시장분석!$U$2:$U$601,0)+1,""))))</f>
        <v>194</v>
      </c>
      <c r="AC53" s="89" t="n">
        <f aca="false">IF(Q53&lt;&gt;1,0,IF(OR(설정!$C$5="전체",AND(설정!$C$5="선택펀드",IFERROR(COUNTIFS(설정!$F$16:$F$36,C53,설정!$G$16:$G$36,"Y")+COUNTIFS(설정!$F$16:$F$36,VALUE(C53),설정!$G$16:$G$36,"Y"),0)&gt;0),C53&amp;""=설정!$C$5&amp;""),1,0))</f>
        <v>1</v>
      </c>
      <c r="AD53" s="89" t="n">
        <f aca="false">IF(Q53&lt;&gt;1,0,IF(OR(S53=1,IF(AB53="",FALSE(),INDEX(시장분석!$R:$R,AB53)=1)),1,0))</f>
        <v>0</v>
      </c>
      <c r="AE53" s="43" t="str">
        <f aca="false">IF(AB53="","",INDEX(시장분석!$A:$A,AB53))</f>
        <v>POHANG 5 3/4 01/17/28</v>
      </c>
      <c r="AF53" s="93" t="n">
        <f aca="false">IF(AB53="","",IF(ISNUMBER(IF(AB53="","",INDEX(시장분석!$E:$E,AB53))),IF(AB53="","",INDEX(시장분석!$E:$E,AB53)),""))</f>
        <v>48.966</v>
      </c>
      <c r="AG53" s="43" t="str">
        <f aca="false">IF(Q53&lt;&gt;1,"",IF(AB53&lt;&gt;"",IF(AB53="","",INDEX(시장분석!$L:$L,AB53)),IFERROR(IF(VLOOKUP(R53,매핑!$A$4:$E$92,5,0)="","미분류",VLOOKUP(R53,매핑!$A$4:$E$92,5,0)),"미분류")))</f>
        <v>원자재</v>
      </c>
      <c r="AH53" s="43" t="str">
        <f aca="false">IF(Q53&lt;&gt;1,"",IF(AB53&lt;&gt;"",IF(AB53="","",INDEX(시장분석!$N:$N,AB53)),IFERROR(IF(VLOOKUP(R53,매핑!$A$4:$E$92,4,0)="","미분류",VLOOKUP(R53,매핑!$A$4:$E$92,4,0)),"미분류")))</f>
        <v>아시아/기타</v>
      </c>
      <c r="AI53" s="43" t="str">
        <f aca="false">IF(Q53&lt;&gt;1,"",IFERROR(IF(VLOOKUP(R53,매핑!$A$4:$E$92,3,0)="","미분류",VLOOKUP(R53,매핑!$A$4:$E$92,3,0)),IF(AB53&lt;&gt;"",IF(AB53="","",INDEX(시장분석!$W:$W,AB53)),"미분류")))</f>
        <v>한국</v>
      </c>
      <c r="AJ53" s="43" t="str">
        <f aca="false">IF(Q53&lt;&gt;1,"",IFERROR(VLOOKUP(IF(N53&lt;&gt;"",N53,IF(P53&lt;&gt;"",P53,O53)),설정!$A$15:$D$47,2,0),""))</f>
        <v>BBB+</v>
      </c>
      <c r="AK53" s="43" t="str">
        <f aca="false">IF(Q53&lt;&gt;1,"",IF(AJ53="","무등급",IFERROR(VLOOKUP(AJ53,설정!$A$15:$D$47,3,0),"무등급")))</f>
        <v>BBB</v>
      </c>
      <c r="AL53" s="89" t="n">
        <f aca="false">IF(AJ53="",99,IFERROR(VLOOKUP(AJ53,설정!$A$15:$D$47,4,0),99))</f>
        <v>8</v>
      </c>
      <c r="AM53" s="94" t="n">
        <f aca="false">IF(ISNUMBER(H53),AA53*1000000*H53/10000,0)</f>
        <v>602.3280369</v>
      </c>
      <c r="AN53" s="94" t="n">
        <f aca="false">IF(OR(Y53=1,NOT(ISNUMBER(Z53))),0,AA53*1000000*Z53/10000)</f>
        <v>602.3280369</v>
      </c>
      <c r="AO53" s="94" t="n">
        <f aca="false">IF(ISNUMBER(G53),AA53*1000000*G53/100,0)</f>
        <v>270216.42099</v>
      </c>
      <c r="AP53" s="94" t="n">
        <f aca="false">IF(ISNUMBER(M53),M53*K53,0)</f>
        <v>-133770</v>
      </c>
      <c r="AQ53" s="95" t="n">
        <f aca="false">IF(AB53="","",INDEX(시장분석!$AK:$AK,AB53))</f>
        <v>-0.0458813666261367</v>
      </c>
      <c r="AR53" s="43" t="str">
        <f aca="false">IF(AB53="","-",IF(AB53="","",INDEX(시장분석!$AL:$AL,AB53)))</f>
        <v>Fair</v>
      </c>
      <c r="AS53" s="96" t="n">
        <f aca="false">IF(AB53="","",INDEX(시장분석!$AJ:$AJ,AB53))</f>
        <v>-0.507908612185972</v>
      </c>
      <c r="AT53" s="93" t="n">
        <f aca="false">IF(AB53="",0,IF(AB53="","",INDEX(시장분석!$AN:$AN,AB53)))</f>
        <v>0</v>
      </c>
      <c r="AU53" s="94" t="n">
        <f aca="false">IF(ISNUMBER(Z53),AT53/10000*MAX(Z53-1,0)*AA53*1000000,0)</f>
        <v>0</v>
      </c>
      <c r="AV53" s="94" t="n">
        <f aca="false">AO53+AU53</f>
        <v>270216.42099</v>
      </c>
      <c r="AW53" s="43" t="str">
        <f aca="false">IF(Q53&lt;&gt;1,"",TRIM(IF(AD53=1,"FRN ","")&amp;IF(AND(AL53&gt;=10,AL53&lt;99),"BBB0미만 ","")&amp;IF(AJ53="","등급없음 ","")&amp;IF(K53&lt;&gt;1,"비USD ","")&amp;IF(AND(AB53="",Y53=0),"시장데이터없음 ","")&amp;IF(AND(ISNUMBER(U53),U53&lt;0),"만기경과 ","")))</f>
        <v/>
      </c>
      <c r="AX53" s="90" t="n">
        <f aca="false">IF(Q53&lt;&gt;1,1,IF(스프레드쇼크!$C$4="Y",INDEX(스프레드쇼크!$B$12:$L$16,IFERROR(MATCH(AH53,스프레드쇼크!$A$12:$A$16,0),MATCH("목록외",스프레드쇼크!$A$12:$A$16,0)),IFERROR(MATCH(AG53,스프레드쇼크!$B$11:$L$11,0),MATCH("목록외",스프레드쇼크!$B$11:$L$11,0))),1))</f>
        <v>1</v>
      </c>
      <c r="AY53" s="90" t="n">
        <f aca="false">IF(스프레드쇼크!$C$5="Y",IF(ISNUMBER(AF53),MIN(스프레드쇼크!$C$7,MAX(스프레드쇼크!$C$6,AF53/스프레드쇼크!$C$8)),1),1)</f>
        <v>0.740629753050374</v>
      </c>
      <c r="AZ53" s="94" t="n">
        <f aca="false">AN53*AX53*AY53</f>
        <v>446.102065224564</v>
      </c>
      <c r="BA53" s="90" t="n">
        <f aca="false">IF(ISNUMBER(G53),AA53*G53,0)</f>
        <v>27.021642099</v>
      </c>
      <c r="BB53" s="90" t="n">
        <f aca="false">IF(ISNUMBER(G53),AA53,0)</f>
        <v>5.02233</v>
      </c>
      <c r="BC53" s="90" t="n">
        <f aca="false">IF(AND(Y53=0,ISNUMBER(AF53)),AA53*AF53,0)</f>
        <v>245.92341078</v>
      </c>
      <c r="BD53" s="90" t="n">
        <f aca="false">IF(AND(Y53=0,ISNUMBER(AF53)),AA53,0)</f>
        <v>5.02233</v>
      </c>
      <c r="BE53" s="90" t="n">
        <f aca="false">IF(ISNUMBER(H53),AA53*H53,0)</f>
        <v>6.023280369</v>
      </c>
      <c r="BF53" s="90" t="n">
        <f aca="false">IF(ISNUMBER(H53),AA53,0)</f>
        <v>5.02233</v>
      </c>
      <c r="BG53" s="90" t="n">
        <f aca="false">IF(AND(Y53=0,ISNUMBER(AF53),ISNUMBER(Z53)),AA53*Z53,0)</f>
        <v>6.023280369</v>
      </c>
      <c r="BH53" s="90" t="n">
        <f aca="false">IF(AND(Y53=0,ISNUMBER(AF53),ISNUMBER(Z53)),AA53*AT53*MAX(Z53-1,0),0)</f>
        <v>0</v>
      </c>
      <c r="BI53" s="90" t="n">
        <f aca="false">IF(Y53=0,AA53,0)</f>
        <v>5.02233</v>
      </c>
    </row>
    <row r="54" customFormat="false" ht="15" hidden="false" customHeight="false" outlineLevel="0" collapsed="false">
      <c r="A54" s="83" t="str">
        <f aca="false">IFERROR(IF(INDEX(원자료_잔고!$A$1:$EZ$1500,설정!$L$5+ROW()-1,설정!$L$8)&amp;""="0","",INDEX(원자료_잔고!$A$1:$EZ$1500,설정!$L$5+ROW()-1,설정!$L$8)&amp;""),"")</f>
        <v>POINTL 5.125 06/29/31</v>
      </c>
      <c r="B54" s="83" t="str">
        <f aca="false">IFERROR(IF(INDEX(원자료_잔고!$A$1:$EZ$1500,설정!$L$5+ROW()-1,설정!$L$7)&amp;""="0","",INDEX(원자료_잔고!$A$1:$EZ$1500,설정!$L$5+ROW()-1,설정!$L$7)&amp;""),"")</f>
        <v>USY7S27KAX02</v>
      </c>
      <c r="C54" s="83" t="str">
        <f aca="false">IFERROR(IF(INDEX(원자료_잔고!$A$1:$EZ$1500,설정!$L$5+ROW()-1,설정!$L$9)&amp;""="0","",INDEX(원자료_잔고!$A$1:$EZ$1500,설정!$L$5+ROW()-1,설정!$L$9)&amp;""),"")</f>
        <v>28096</v>
      </c>
      <c r="D5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4" s="84" t="n">
        <f aca="false">IFERROR(IF(ISNUMBER(INDEX(원자료_잔고!$A$1:$EZ$1500,설정!$L$5+ROW()-1,설정!$L$11)),INDEX(원자료_잔고!$A$1:$EZ$1500,설정!$L$5+ROW()-1,설정!$L$11),""),"")</f>
        <v>200000</v>
      </c>
      <c r="F54" s="85" t="n">
        <f aca="false">IFERROR(IF(ISNUMBER(INDEX(원자료_잔고!$A$1:$EZ$1500,설정!$L$5+ROW()-1,설정!$L$12)),INDEX(원자료_잔고!$A$1:$EZ$1500,설정!$L$5+ROW()-1,설정!$L$12),""),"")</f>
        <v>96.3101</v>
      </c>
      <c r="G54" s="85" t="n">
        <f aca="false">IFERROR(IF(ISNUMBER(INDEX(원자료_잔고!$A$1:$EZ$1500,설정!$L$5+ROW()-1,설정!$L$13)),INDEX(원자료_잔고!$A$1:$EZ$1500,설정!$L$5+ROW()-1,설정!$L$13),""),"")</f>
        <v>6.0275</v>
      </c>
      <c r="H54" s="85" t="n">
        <f aca="false">IFERROR(IF(ISNUMBER(INDEX(원자료_잔고!$A$1:$EZ$1500,설정!$L$5+ROW()-1,설정!$L$14)),INDEX(원자료_잔고!$A$1:$EZ$1500,설정!$L$5+ROW()-1,설정!$L$14),""),"")</f>
        <v>4.0444</v>
      </c>
      <c r="I54" s="86" t="n">
        <f aca="false">IFERROR(IF(ISNUMBER(INDEX(원자료_잔고!$A$1:$EZ$1500,설정!$L$5+ROW()-1,설정!$L$15)),INDEX(원자료_잔고!$A$1:$EZ$1500,설정!$L$5+ROW()-1,설정!$L$15),""),"")</f>
        <v>48028</v>
      </c>
      <c r="J54" s="85" t="n">
        <f aca="false">IFERROR(IF(ISNUMBER(INDEX(원자료_잔고!$A$1:$EZ$1500,설정!$L$5+ROW()-1,설정!$L$16)),INDEX(원자료_잔고!$A$1:$EZ$1500,설정!$L$5+ROW()-1,설정!$L$16),""),"")</f>
        <v>5.125</v>
      </c>
      <c r="K54" s="87" t="n">
        <f aca="false">IFERROR(IF(ISNUMBER(INDEX(원자료_잔고!$A$1:$EZ$1500,설정!$L$5+ROW()-1,설정!$L$17)),INDEX(원자료_잔고!$A$1:$EZ$1500,설정!$L$5+ROW()-1,설정!$L$17),""),"")</f>
        <v>1</v>
      </c>
      <c r="L54" s="84" t="n">
        <f aca="false">IFERROR(IF(ISNUMBER(INDEX(원자료_잔고!$A$1:$EZ$1500,설정!$L$5+ROW()-1,설정!$L$18)),INDEX(원자료_잔고!$A$1:$EZ$1500,설정!$L$5+ROW()-1,설정!$L$18),""),"")</f>
        <v>192620.2</v>
      </c>
      <c r="M54" s="88" t="n">
        <f aca="false">IFERROR(IF(ISNUMBER(INDEX(원자료_잔고!$A$1:$EZ$1500,설정!$L$5+ROW()-1,설정!$L$19)),INDEX(원자료_잔고!$A$1:$EZ$1500,설정!$L$5+ROW()-1,설정!$L$19),""),"")</f>
        <v>-6961.8</v>
      </c>
      <c r="N54" s="83" t="str">
        <f aca="false">IFERROR(IF(INDEX(원자료_잔고!$A$1:$EZ$1500,설정!$L$5+ROW()-1,설정!$L$21)&amp;""="0","",INDEX(원자료_잔고!$A$1:$EZ$1500,설정!$L$5+ROW()-1,설정!$L$21)&amp;""),"")</f>
        <v>BBB</v>
      </c>
      <c r="O54" s="83" t="str">
        <f aca="false">IFERROR(IF(INDEX(원자료_잔고!$A$1:$EZ$1500,설정!$L$5+ROW()-1,설정!$L$22)&amp;""="0","",INDEX(원자료_잔고!$A$1:$EZ$1500,설정!$L$5+ROW()-1,설정!$L$22)&amp;""),"")</f>
        <v/>
      </c>
      <c r="P54" s="83" t="str">
        <f aca="false">IFERROR(IF(INDEX(원자료_잔고!$A$1:$EZ$1500,설정!$L$5+ROW()-1,설정!$L$23)&amp;""="0","",INDEX(원자료_잔고!$A$1:$EZ$1500,설정!$L$5+ROW()-1,설정!$L$23)&amp;""),"")</f>
        <v>N/A</v>
      </c>
      <c r="Q54" s="89" t="n">
        <f aca="false">IF(AND($A54&lt;&gt;"",ISNUMBER(E54)),IF(E54&gt;0,1,0),0)</f>
        <v>1</v>
      </c>
      <c r="R54" s="43" t="str">
        <f aca="false">IF(Q54=1,UPPER(LEFT($A54,FIND(" ",$A54&amp;" ")-1)),"")</f>
        <v>POINTL</v>
      </c>
      <c r="S54" s="89" t="n">
        <f aca="false">IF(Q54=1,IF(OR(ISNUMBER(SEARCH("Float",$A54)),ISNUMBER(SEARCH("FRN",$A54))),1,0),0)</f>
        <v>0</v>
      </c>
      <c r="T54" s="43" t="str">
        <f aca="false">IF(AND(Q54=1,ISNUMBER(I54)),TEXT(I54,"yyyymmdd")&amp;"|"&amp;IF(S54=1,"F",TEXT(J54,"0.000")),"")</f>
        <v>20310629|5.125</v>
      </c>
      <c r="U54" s="90" t="n">
        <f aca="false">IF(AND(Q54=1,ISNUMBER(I54)),(I54-설정!$C$4)/365.25,"")</f>
        <v>4.7419575633128</v>
      </c>
      <c r="V54" s="43" t="str">
        <f aca="false">IF(Q54&lt;&gt;1,"",IF(ISNUMBER(U54),IF(U54&lt;=1,"1년 이하",IF(U54&lt;=2,"1-2년",IF(U54&lt;=3,"2-3년",IF(U54&lt;=4,"3-4년",IF(U54&lt;=5,"4-5년",IF(U54&lt;=7,"5-7년",IF(U54&lt;=10,"7-10년",IF(U54&lt;=20,"10-20년","20년 이상")))))))),"미분류"))</f>
        <v>4-5년</v>
      </c>
      <c r="W54" s="43" t="str">
        <f aca="false">IF(Q54&lt;&gt;1,"",IF(AB54&lt;&gt;"",INDEX(시장분석!$C:$C,AB54),IF(K54=1,"USD","비USD")))</f>
        <v>USD</v>
      </c>
      <c r="X54" s="91" t="n">
        <f aca="false">IF(Q54=1,E54*K54/1000000,0)</f>
        <v>0.2</v>
      </c>
      <c r="Y54" s="89" t="n">
        <f aca="false">IF(R54="T",1,0)</f>
        <v>0</v>
      </c>
      <c r="Z54" s="92" t="n">
        <f aca="false">IF(Q54&lt;&gt;1,"",IF(AD54=1,IF(ISNUMBER(U54),MAX(U54,0),H54),H54))</f>
        <v>4.0444</v>
      </c>
      <c r="AA54" s="91" t="n">
        <f aca="false">IF(Q54=1,IF(ISNUMBER(L54),L54,0)*K54/1000000,0)</f>
        <v>0.1926202</v>
      </c>
      <c r="AB54" s="89" t="n">
        <f aca="false">IF(Q54&lt;&gt;1,"",IFERROR(MATCH(VLOOKUP(B54,매핑!$H$4:$I$15,2,0),시장분석!$A$2:$A$601,0)+1,IFERROR(MATCH(R54&amp;"|"&amp;T54,시장분석!$V$2:$V$601,0)+1,IF(COUNTIF(시장분석!$U$2:$U$601,T54)=1,MATCH(T54,시장분석!$U$2:$U$601,0)+1,""))))</f>
        <v>198</v>
      </c>
      <c r="AC54" s="89" t="n">
        <f aca="false">IF(Q54&lt;&gt;1,0,IF(OR(설정!$C$5="전체",AND(설정!$C$5="선택펀드",IFERROR(COUNTIFS(설정!$F$16:$F$36,C54,설정!$G$16:$G$36,"Y")+COUNTIFS(설정!$F$16:$F$36,VALUE(C54),설정!$G$16:$G$36,"Y"),0)&gt;0),C54&amp;""=설정!$C$5&amp;""),1,0))</f>
        <v>1</v>
      </c>
      <c r="AD54" s="89" t="n">
        <f aca="false">IF(Q54&lt;&gt;1,0,IF(OR(S54=1,IF(AB54="",FALSE(),INDEX(시장분석!$R:$R,AB54)=1)),1,0))</f>
        <v>0</v>
      </c>
      <c r="AE54" s="43" t="str">
        <f aca="false">IF(AB54="","",INDEX(시장분석!$A:$A,AB54))</f>
        <v>POINTL 5 1/8 06/29/31</v>
      </c>
      <c r="AF54" s="93" t="n">
        <f aca="false">IF(AB54="","",IF(ISNUMBER(IF(AB54="","",INDEX(시장분석!$E:$E,AB54))),IF(AB54="","",INDEX(시장분석!$E:$E,AB54)),""))</f>
        <v>102.421</v>
      </c>
      <c r="AG54" s="43" t="str">
        <f aca="false">IF(Q54&lt;&gt;1,"",IF(AB54&lt;&gt;"",IF(AB54="","",INDEX(시장분석!$L:$L,AB54)),IFERROR(IF(VLOOKUP(R54,매핑!$A$4:$E$92,5,0)="","미분류",VLOOKUP(R54,매핑!$A$4:$E$92,5,0)),"미분류")))</f>
        <v>원자재</v>
      </c>
      <c r="AH54" s="43" t="str">
        <f aca="false">IF(Q54&lt;&gt;1,"",IF(AB54&lt;&gt;"",IF(AB54="","",INDEX(시장분석!$N:$N,AB54)),IFERROR(IF(VLOOKUP(R54,매핑!$A$4:$E$92,4,0)="","미분류",VLOOKUP(R54,매핑!$A$4:$E$92,4,0)),"미분류")))</f>
        <v>아시아/기타</v>
      </c>
      <c r="AI54" s="43" t="str">
        <f aca="false">IF(Q54&lt;&gt;1,"",IFERROR(IF(VLOOKUP(R54,매핑!$A$4:$E$92,3,0)="","미분류",VLOOKUP(R54,매핑!$A$4:$E$92,3,0)),IF(AB54&lt;&gt;"",IF(AB54="","",INDEX(시장분석!$W:$W,AB54)),"미분류")))</f>
        <v>한국</v>
      </c>
      <c r="AJ54" s="43" t="str">
        <f aca="false">IF(Q54&lt;&gt;1,"",IFERROR(VLOOKUP(IF(N54&lt;&gt;"",N54,IF(P54&lt;&gt;"",P54,O54)),설정!$A$15:$D$47,2,0),""))</f>
        <v>BBB</v>
      </c>
      <c r="AK54" s="43" t="str">
        <f aca="false">IF(Q54&lt;&gt;1,"",IF(AJ54="","무등급",IFERROR(VLOOKUP(AJ54,설정!$A$15:$D$47,3,0),"무등급")))</f>
        <v>BBB</v>
      </c>
      <c r="AL54" s="89" t="n">
        <f aca="false">IF(AJ54="",99,IFERROR(VLOOKUP(AJ54,설정!$A$15:$D$47,4,0),99))</f>
        <v>9</v>
      </c>
      <c r="AM54" s="94" t="n">
        <f aca="false">IF(ISNUMBER(H54),AA54*1000000*H54/10000,0)</f>
        <v>77.903313688</v>
      </c>
      <c r="AN54" s="94" t="n">
        <f aca="false">IF(OR(Y54=1,NOT(ISNUMBER(Z54))),0,AA54*1000000*Z54/10000)</f>
        <v>77.903313688</v>
      </c>
      <c r="AO54" s="94" t="n">
        <f aca="false">IF(ISNUMBER(G54),AA54*1000000*G54/100,0)</f>
        <v>11610.182555</v>
      </c>
      <c r="AP54" s="94" t="n">
        <f aca="false">IF(ISNUMBER(M54),M54*K54,0)</f>
        <v>-6961.8</v>
      </c>
      <c r="AQ54" s="95" t="n">
        <f aca="false">IF(AB54="","",INDEX(시장분석!$AK:$AK,AB54))</f>
        <v>1.69947378783185</v>
      </c>
      <c r="AR54" s="43" t="str">
        <f aca="false">IF(AB54="","-",IF(AB54="","",INDEX(시장분석!$AL:$AL,AB54)))</f>
        <v>Cheap</v>
      </c>
      <c r="AS54" s="96" t="n">
        <f aca="false">IF(AB54="","",INDEX(시장분석!$AJ:$AJ,AB54))</f>
        <v>18.8132446022738</v>
      </c>
      <c r="AT54" s="93" t="n">
        <f aca="false">IF(AB54="",0,IF(AB54="","",INDEX(시장분석!$AN:$AN,AB54)))</f>
        <v>7.65171285354377</v>
      </c>
      <c r="AU54" s="94" t="n">
        <f aca="false">IF(ISNUMBER(Z54),AT54/10000*MAX(Z54-1,0)*AA54*1000000,0)</f>
        <v>448.706340660905</v>
      </c>
      <c r="AV54" s="94" t="n">
        <f aca="false">AO54+AU54</f>
        <v>12058.8888956609</v>
      </c>
      <c r="AW54" s="43" t="str">
        <f aca="false">IF(Q54&lt;&gt;1,"",TRIM(IF(AD54=1,"FRN ","")&amp;IF(AND(AL54&gt;=10,AL54&lt;99),"BBB0미만 ","")&amp;IF(AJ54="","등급없음 ","")&amp;IF(K54&lt;&gt;1,"비USD ","")&amp;IF(AND(AB54="",Y54=0),"시장데이터없음 ","")&amp;IF(AND(ISNUMBER(U54),U54&lt;0),"만기경과 ","")))</f>
        <v/>
      </c>
      <c r="AX54" s="90" t="n">
        <f aca="false">IF(Q54&lt;&gt;1,1,IF(스프레드쇼크!$C$4="Y",INDEX(스프레드쇼크!$B$12:$L$16,IFERROR(MATCH(AH54,스프레드쇼크!$A$12:$A$16,0),MATCH("목록외",스프레드쇼크!$A$12:$A$16,0)),IFERROR(MATCH(AG54,스프레드쇼크!$B$11:$L$11,0),MATCH("목록외",스프레드쇼크!$B$11:$L$11,0))),1))</f>
        <v>1</v>
      </c>
      <c r="AY54" s="90" t="n">
        <f aca="false">IF(스프레드쇼크!$C$5="Y",IF(ISNUMBER(AF54),MIN(스프레드쇼크!$C$7,MAX(스프레드쇼크!$C$6,AF54/스프레드쇼크!$C$8)),1),1)</f>
        <v>1.54915737322167</v>
      </c>
      <c r="AZ54" s="94" t="n">
        <f aca="false">AN54*AX54*AY54</f>
        <v>120.684492798166</v>
      </c>
      <c r="BA54" s="90" t="n">
        <f aca="false">IF(ISNUMBER(G54),AA54*G54,0)</f>
        <v>1.1610182555</v>
      </c>
      <c r="BB54" s="90" t="n">
        <f aca="false">IF(ISNUMBER(G54),AA54,0)</f>
        <v>0.1926202</v>
      </c>
      <c r="BC54" s="90" t="n">
        <f aca="false">IF(AND(Y54=0,ISNUMBER(AF54)),AA54*AF54,0)</f>
        <v>19.7283535042</v>
      </c>
      <c r="BD54" s="90" t="n">
        <f aca="false">IF(AND(Y54=0,ISNUMBER(AF54)),AA54,0)</f>
        <v>0.1926202</v>
      </c>
      <c r="BE54" s="90" t="n">
        <f aca="false">IF(ISNUMBER(H54),AA54*H54,0)</f>
        <v>0.77903313688</v>
      </c>
      <c r="BF54" s="90" t="n">
        <f aca="false">IF(ISNUMBER(H54),AA54,0)</f>
        <v>0.1926202</v>
      </c>
      <c r="BG54" s="90" t="n">
        <f aca="false">IF(AND(Y54=0,ISNUMBER(AF54),ISNUMBER(Z54)),AA54*Z54,0)</f>
        <v>0.77903313688</v>
      </c>
      <c r="BH54" s="90" t="n">
        <f aca="false">IF(AND(Y54=0,ISNUMBER(AF54),ISNUMBER(Z54)),AA54*AT54*MAX(Z54-1,0),0)</f>
        <v>4.48706340660905</v>
      </c>
      <c r="BI54" s="90" t="n">
        <f aca="false">IF(Y54=0,AA54,0)</f>
        <v>0.1926202</v>
      </c>
    </row>
    <row r="55" customFormat="false" ht="15" hidden="false" customHeight="false" outlineLevel="0" collapsed="false">
      <c r="A55" s="83" t="str">
        <f aca="false">IFERROR(IF(INDEX(원자료_잔고!$A$1:$EZ$1500,설정!$L$5+ROW()-1,설정!$L$8)&amp;""="0","",INDEX(원자료_잔고!$A$1:$EZ$1500,설정!$L$5+ROW()-1,설정!$L$8)&amp;""),"")</f>
        <v>POINTL 5.125 06/29/31</v>
      </c>
      <c r="B55" s="83" t="str">
        <f aca="false">IFERROR(IF(INDEX(원자료_잔고!$A$1:$EZ$1500,설정!$L$5+ROW()-1,설정!$L$7)&amp;""="0","",INDEX(원자료_잔고!$A$1:$EZ$1500,설정!$L$5+ROW()-1,설정!$L$7)&amp;""),"")</f>
        <v>USY7S27KAX02</v>
      </c>
      <c r="C55" s="83" t="str">
        <f aca="false">IFERROR(IF(INDEX(원자료_잔고!$A$1:$EZ$1500,설정!$L$5+ROW()-1,설정!$L$9)&amp;""="0","",INDEX(원자료_잔고!$A$1:$EZ$1500,설정!$L$5+ROW()-1,설정!$L$9)&amp;""),"")</f>
        <v>28096</v>
      </c>
      <c r="D5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5" s="84" t="n">
        <f aca="false">IFERROR(IF(ISNUMBER(INDEX(원자료_잔고!$A$1:$EZ$1500,설정!$L$5+ROW()-1,설정!$L$11)),INDEX(원자료_잔고!$A$1:$EZ$1500,설정!$L$5+ROW()-1,설정!$L$11),""),"")</f>
        <v>800000</v>
      </c>
      <c r="F55" s="85" t="n">
        <f aca="false">IFERROR(IF(ISNUMBER(INDEX(원자료_잔고!$A$1:$EZ$1500,설정!$L$5+ROW()-1,설정!$L$12)),INDEX(원자료_잔고!$A$1:$EZ$1500,설정!$L$5+ROW()-1,설정!$L$12),""),"")</f>
        <v>96.3101</v>
      </c>
      <c r="G55" s="85" t="n">
        <f aca="false">IFERROR(IF(ISNUMBER(INDEX(원자료_잔고!$A$1:$EZ$1500,설정!$L$5+ROW()-1,설정!$L$13)),INDEX(원자료_잔고!$A$1:$EZ$1500,설정!$L$5+ROW()-1,설정!$L$13),""),"")</f>
        <v>6.0275</v>
      </c>
      <c r="H55" s="85" t="n">
        <f aca="false">IFERROR(IF(ISNUMBER(INDEX(원자료_잔고!$A$1:$EZ$1500,설정!$L$5+ROW()-1,설정!$L$14)),INDEX(원자료_잔고!$A$1:$EZ$1500,설정!$L$5+ROW()-1,설정!$L$14),""),"")</f>
        <v>4.0444</v>
      </c>
      <c r="I55" s="86" t="n">
        <f aca="false">IFERROR(IF(ISNUMBER(INDEX(원자료_잔고!$A$1:$EZ$1500,설정!$L$5+ROW()-1,설정!$L$15)),INDEX(원자료_잔고!$A$1:$EZ$1500,설정!$L$5+ROW()-1,설정!$L$15),""),"")</f>
        <v>48028</v>
      </c>
      <c r="J55" s="85" t="n">
        <f aca="false">IFERROR(IF(ISNUMBER(INDEX(원자료_잔고!$A$1:$EZ$1500,설정!$L$5+ROW()-1,설정!$L$16)),INDEX(원자료_잔고!$A$1:$EZ$1500,설정!$L$5+ROW()-1,설정!$L$16),""),"")</f>
        <v>5.125</v>
      </c>
      <c r="K55" s="87" t="n">
        <f aca="false">IFERROR(IF(ISNUMBER(INDEX(원자료_잔고!$A$1:$EZ$1500,설정!$L$5+ROW()-1,설정!$L$17)),INDEX(원자료_잔고!$A$1:$EZ$1500,설정!$L$5+ROW()-1,설정!$L$17),""),"")</f>
        <v>1</v>
      </c>
      <c r="L55" s="84" t="n">
        <f aca="false">IFERROR(IF(ISNUMBER(INDEX(원자료_잔고!$A$1:$EZ$1500,설정!$L$5+ROW()-1,설정!$L$18)),INDEX(원자료_잔고!$A$1:$EZ$1500,설정!$L$5+ROW()-1,설정!$L$18),""),"")</f>
        <v>770480.8</v>
      </c>
      <c r="M55" s="88" t="n">
        <f aca="false">IFERROR(IF(ISNUMBER(INDEX(원자료_잔고!$A$1:$EZ$1500,설정!$L$5+ROW()-1,설정!$L$19)),INDEX(원자료_잔고!$A$1:$EZ$1500,설정!$L$5+ROW()-1,설정!$L$19),""),"")</f>
        <v>-26831.2</v>
      </c>
      <c r="N55" s="83" t="str">
        <f aca="false">IFERROR(IF(INDEX(원자료_잔고!$A$1:$EZ$1500,설정!$L$5+ROW()-1,설정!$L$21)&amp;""="0","",INDEX(원자료_잔고!$A$1:$EZ$1500,설정!$L$5+ROW()-1,설정!$L$21)&amp;""),"")</f>
        <v>BBB</v>
      </c>
      <c r="O55" s="83" t="str">
        <f aca="false">IFERROR(IF(INDEX(원자료_잔고!$A$1:$EZ$1500,설정!$L$5+ROW()-1,설정!$L$22)&amp;""="0","",INDEX(원자료_잔고!$A$1:$EZ$1500,설정!$L$5+ROW()-1,설정!$L$22)&amp;""),"")</f>
        <v/>
      </c>
      <c r="P55" s="83" t="str">
        <f aca="false">IFERROR(IF(INDEX(원자료_잔고!$A$1:$EZ$1500,설정!$L$5+ROW()-1,설정!$L$23)&amp;""="0","",INDEX(원자료_잔고!$A$1:$EZ$1500,설정!$L$5+ROW()-1,설정!$L$23)&amp;""),"")</f>
        <v>N/A</v>
      </c>
      <c r="Q55" s="89" t="n">
        <f aca="false">IF(AND($A55&lt;&gt;"",ISNUMBER(E55)),IF(E55&gt;0,1,0),0)</f>
        <v>1</v>
      </c>
      <c r="R55" s="43" t="str">
        <f aca="false">IF(Q55=1,UPPER(LEFT($A55,FIND(" ",$A55&amp;" ")-1)),"")</f>
        <v>POINTL</v>
      </c>
      <c r="S55" s="89" t="n">
        <f aca="false">IF(Q55=1,IF(OR(ISNUMBER(SEARCH("Float",$A55)),ISNUMBER(SEARCH("FRN",$A55))),1,0),0)</f>
        <v>0</v>
      </c>
      <c r="T55" s="43" t="str">
        <f aca="false">IF(AND(Q55=1,ISNUMBER(I55)),TEXT(I55,"yyyymmdd")&amp;"|"&amp;IF(S55=1,"F",TEXT(J55,"0.000")),"")</f>
        <v>20310629|5.125</v>
      </c>
      <c r="U55" s="90" t="n">
        <f aca="false">IF(AND(Q55=1,ISNUMBER(I55)),(I55-설정!$C$4)/365.25,"")</f>
        <v>4.7419575633128</v>
      </c>
      <c r="V55" s="43" t="str">
        <f aca="false">IF(Q55&lt;&gt;1,"",IF(ISNUMBER(U55),IF(U55&lt;=1,"1년 이하",IF(U55&lt;=2,"1-2년",IF(U55&lt;=3,"2-3년",IF(U55&lt;=4,"3-4년",IF(U55&lt;=5,"4-5년",IF(U55&lt;=7,"5-7년",IF(U55&lt;=10,"7-10년",IF(U55&lt;=20,"10-20년","20년 이상")))))))),"미분류"))</f>
        <v>4-5년</v>
      </c>
      <c r="W55" s="43" t="str">
        <f aca="false">IF(Q55&lt;&gt;1,"",IF(AB55&lt;&gt;"",INDEX(시장분석!$C:$C,AB55),IF(K55=1,"USD","비USD")))</f>
        <v>USD</v>
      </c>
      <c r="X55" s="91" t="n">
        <f aca="false">IF(Q55=1,E55*K55/1000000,0)</f>
        <v>0.8</v>
      </c>
      <c r="Y55" s="89" t="n">
        <f aca="false">IF(R55="T",1,0)</f>
        <v>0</v>
      </c>
      <c r="Z55" s="92" t="n">
        <f aca="false">IF(Q55&lt;&gt;1,"",IF(AD55=1,IF(ISNUMBER(U55),MAX(U55,0),H55),H55))</f>
        <v>4.0444</v>
      </c>
      <c r="AA55" s="91" t="n">
        <f aca="false">IF(Q55=1,IF(ISNUMBER(L55),L55,0)*K55/1000000,0)</f>
        <v>0.7704808</v>
      </c>
      <c r="AB55" s="89" t="n">
        <f aca="false">IF(Q55&lt;&gt;1,"",IFERROR(MATCH(VLOOKUP(B55,매핑!$H$4:$I$15,2,0),시장분석!$A$2:$A$601,0)+1,IFERROR(MATCH(R55&amp;"|"&amp;T55,시장분석!$V$2:$V$601,0)+1,IF(COUNTIF(시장분석!$U$2:$U$601,T55)=1,MATCH(T55,시장분석!$U$2:$U$601,0)+1,""))))</f>
        <v>198</v>
      </c>
      <c r="AC55" s="89" t="n">
        <f aca="false">IF(Q55&lt;&gt;1,0,IF(OR(설정!$C$5="전체",AND(설정!$C$5="선택펀드",IFERROR(COUNTIFS(설정!$F$16:$F$36,C55,설정!$G$16:$G$36,"Y")+COUNTIFS(설정!$F$16:$F$36,VALUE(C55),설정!$G$16:$G$36,"Y"),0)&gt;0),C55&amp;""=설정!$C$5&amp;""),1,0))</f>
        <v>1</v>
      </c>
      <c r="AD55" s="89" t="n">
        <f aca="false">IF(Q55&lt;&gt;1,0,IF(OR(S55=1,IF(AB55="",FALSE(),INDEX(시장분석!$R:$R,AB55)=1)),1,0))</f>
        <v>0</v>
      </c>
      <c r="AE55" s="43" t="str">
        <f aca="false">IF(AB55="","",INDEX(시장분석!$A:$A,AB55))</f>
        <v>POINTL 5 1/8 06/29/31</v>
      </c>
      <c r="AF55" s="93" t="n">
        <f aca="false">IF(AB55="","",IF(ISNUMBER(IF(AB55="","",INDEX(시장분석!$E:$E,AB55))),IF(AB55="","",INDEX(시장분석!$E:$E,AB55)),""))</f>
        <v>102.421</v>
      </c>
      <c r="AG55" s="43" t="str">
        <f aca="false">IF(Q55&lt;&gt;1,"",IF(AB55&lt;&gt;"",IF(AB55="","",INDEX(시장분석!$L:$L,AB55)),IFERROR(IF(VLOOKUP(R55,매핑!$A$4:$E$92,5,0)="","미분류",VLOOKUP(R55,매핑!$A$4:$E$92,5,0)),"미분류")))</f>
        <v>원자재</v>
      </c>
      <c r="AH55" s="43" t="str">
        <f aca="false">IF(Q55&lt;&gt;1,"",IF(AB55&lt;&gt;"",IF(AB55="","",INDEX(시장분석!$N:$N,AB55)),IFERROR(IF(VLOOKUP(R55,매핑!$A$4:$E$92,4,0)="","미분류",VLOOKUP(R55,매핑!$A$4:$E$92,4,0)),"미분류")))</f>
        <v>아시아/기타</v>
      </c>
      <c r="AI55" s="43" t="str">
        <f aca="false">IF(Q55&lt;&gt;1,"",IFERROR(IF(VLOOKUP(R55,매핑!$A$4:$E$92,3,0)="","미분류",VLOOKUP(R55,매핑!$A$4:$E$92,3,0)),IF(AB55&lt;&gt;"",IF(AB55="","",INDEX(시장분석!$W:$W,AB55)),"미분류")))</f>
        <v>한국</v>
      </c>
      <c r="AJ55" s="43" t="str">
        <f aca="false">IF(Q55&lt;&gt;1,"",IFERROR(VLOOKUP(IF(N55&lt;&gt;"",N55,IF(P55&lt;&gt;"",P55,O55)),설정!$A$15:$D$47,2,0),""))</f>
        <v>BBB</v>
      </c>
      <c r="AK55" s="43" t="str">
        <f aca="false">IF(Q55&lt;&gt;1,"",IF(AJ55="","무등급",IFERROR(VLOOKUP(AJ55,설정!$A$15:$D$47,3,0),"무등급")))</f>
        <v>BBB</v>
      </c>
      <c r="AL55" s="89" t="n">
        <f aca="false">IF(AJ55="",99,IFERROR(VLOOKUP(AJ55,설정!$A$15:$D$47,4,0),99))</f>
        <v>9</v>
      </c>
      <c r="AM55" s="94" t="n">
        <f aca="false">IF(ISNUMBER(H55),AA55*1000000*H55/10000,0)</f>
        <v>311.613254752</v>
      </c>
      <c r="AN55" s="94" t="n">
        <f aca="false">IF(OR(Y55=1,NOT(ISNUMBER(Z55))),0,AA55*1000000*Z55/10000)</f>
        <v>311.613254752</v>
      </c>
      <c r="AO55" s="94" t="n">
        <f aca="false">IF(ISNUMBER(G55),AA55*1000000*G55/100,0)</f>
        <v>46440.73022</v>
      </c>
      <c r="AP55" s="94" t="n">
        <f aca="false">IF(ISNUMBER(M55),M55*K55,0)</f>
        <v>-26831.2</v>
      </c>
      <c r="AQ55" s="95" t="n">
        <f aca="false">IF(AB55="","",INDEX(시장분석!$AK:$AK,AB55))</f>
        <v>1.69947378783185</v>
      </c>
      <c r="AR55" s="43" t="str">
        <f aca="false">IF(AB55="","-",IF(AB55="","",INDEX(시장분석!$AL:$AL,AB55)))</f>
        <v>Cheap</v>
      </c>
      <c r="AS55" s="96" t="n">
        <f aca="false">IF(AB55="","",INDEX(시장분석!$AJ:$AJ,AB55))</f>
        <v>18.8132446022738</v>
      </c>
      <c r="AT55" s="93" t="n">
        <f aca="false">IF(AB55="",0,IF(AB55="","",INDEX(시장분석!$AN:$AN,AB55)))</f>
        <v>7.65171285354377</v>
      </c>
      <c r="AU55" s="94" t="n">
        <f aca="false">IF(ISNUMBER(Z55),AT55/10000*MAX(Z55-1,0)*AA55*1000000,0)</f>
        <v>1794.82536264362</v>
      </c>
      <c r="AV55" s="94" t="n">
        <f aca="false">AO55+AU55</f>
        <v>48235.5555826436</v>
      </c>
      <c r="AW55" s="43" t="str">
        <f aca="false">IF(Q55&lt;&gt;1,"",TRIM(IF(AD55=1,"FRN ","")&amp;IF(AND(AL55&gt;=10,AL55&lt;99),"BBB0미만 ","")&amp;IF(AJ55="","등급없음 ","")&amp;IF(K55&lt;&gt;1,"비USD ","")&amp;IF(AND(AB55="",Y55=0),"시장데이터없음 ","")&amp;IF(AND(ISNUMBER(U55),U55&lt;0),"만기경과 ","")))</f>
        <v/>
      </c>
      <c r="AX55" s="90" t="n">
        <f aca="false">IF(Q55&lt;&gt;1,1,IF(스프레드쇼크!$C$4="Y",INDEX(스프레드쇼크!$B$12:$L$16,IFERROR(MATCH(AH55,스프레드쇼크!$A$12:$A$16,0),MATCH("목록외",스프레드쇼크!$A$12:$A$16,0)),IFERROR(MATCH(AG55,스프레드쇼크!$B$11:$L$11,0),MATCH("목록외",스프레드쇼크!$B$11:$L$11,0))),1))</f>
        <v>1</v>
      </c>
      <c r="AY55" s="90" t="n">
        <f aca="false">IF(스프레드쇼크!$C$5="Y",IF(ISNUMBER(AF55),MIN(스프레드쇼크!$C$7,MAX(스프레드쇼크!$C$6,AF55/스프레드쇼크!$C$8)),1),1)</f>
        <v>1.54915737322167</v>
      </c>
      <c r="AZ55" s="94" t="n">
        <f aca="false">AN55*AX55*AY55</f>
        <v>482.737971192664</v>
      </c>
      <c r="BA55" s="90" t="n">
        <f aca="false">IF(ISNUMBER(G55),AA55*G55,0)</f>
        <v>4.644073022</v>
      </c>
      <c r="BB55" s="90" t="n">
        <f aca="false">IF(ISNUMBER(G55),AA55,0)</f>
        <v>0.7704808</v>
      </c>
      <c r="BC55" s="90" t="n">
        <f aca="false">IF(AND(Y55=0,ISNUMBER(AF55)),AA55*AF55,0)</f>
        <v>78.9134140168</v>
      </c>
      <c r="BD55" s="90" t="n">
        <f aca="false">IF(AND(Y55=0,ISNUMBER(AF55)),AA55,0)</f>
        <v>0.7704808</v>
      </c>
      <c r="BE55" s="90" t="n">
        <f aca="false">IF(ISNUMBER(H55),AA55*H55,0)</f>
        <v>3.11613254752</v>
      </c>
      <c r="BF55" s="90" t="n">
        <f aca="false">IF(ISNUMBER(H55),AA55,0)</f>
        <v>0.7704808</v>
      </c>
      <c r="BG55" s="90" t="n">
        <f aca="false">IF(AND(Y55=0,ISNUMBER(AF55),ISNUMBER(Z55)),AA55*Z55,0)</f>
        <v>3.11613254752</v>
      </c>
      <c r="BH55" s="90" t="n">
        <f aca="false">IF(AND(Y55=0,ISNUMBER(AF55),ISNUMBER(Z55)),AA55*AT55*MAX(Z55-1,0),0)</f>
        <v>17.9482536264362</v>
      </c>
      <c r="BI55" s="90" t="n">
        <f aca="false">IF(Y55=0,AA55,0)</f>
        <v>0.7704808</v>
      </c>
    </row>
    <row r="56" customFormat="false" ht="15" hidden="false" customHeight="false" outlineLevel="0" collapsed="false">
      <c r="A56" s="83" t="str">
        <f aca="false">IFERROR(IF(INDEX(원자료_잔고!$A$1:$EZ$1500,설정!$L$5+ROW()-1,설정!$L$8)&amp;""="0","",INDEX(원자료_잔고!$A$1:$EZ$1500,설정!$L$5+ROW()-1,설정!$L$8)&amp;""),"")</f>
        <v>POINTL 5.125 06/29/31</v>
      </c>
      <c r="B56" s="83" t="str">
        <f aca="false">IFERROR(IF(INDEX(원자료_잔고!$A$1:$EZ$1500,설정!$L$5+ROW()-1,설정!$L$7)&amp;""="0","",INDEX(원자료_잔고!$A$1:$EZ$1500,설정!$L$5+ROW()-1,설정!$L$7)&amp;""),"")</f>
        <v>USY7S27KAX02</v>
      </c>
      <c r="C56" s="83" t="str">
        <f aca="false">IFERROR(IF(INDEX(원자료_잔고!$A$1:$EZ$1500,설정!$L$5+ROW()-1,설정!$L$9)&amp;""="0","",INDEX(원자료_잔고!$A$1:$EZ$1500,설정!$L$5+ROW()-1,설정!$L$9)&amp;""),"")</f>
        <v>28096</v>
      </c>
      <c r="D5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6" s="84" t="n">
        <f aca="false">IFERROR(IF(ISNUMBER(INDEX(원자료_잔고!$A$1:$EZ$1500,설정!$L$5+ROW()-1,설정!$L$11)),INDEX(원자료_잔고!$A$1:$EZ$1500,설정!$L$5+ROW()-1,설정!$L$11),""),"")</f>
        <v>3000000</v>
      </c>
      <c r="F56" s="85" t="n">
        <f aca="false">IFERROR(IF(ISNUMBER(INDEX(원자료_잔고!$A$1:$EZ$1500,설정!$L$5+ROW()-1,설정!$L$12)),INDEX(원자료_잔고!$A$1:$EZ$1500,설정!$L$5+ROW()-1,설정!$L$12),""),"")</f>
        <v>96.3101</v>
      </c>
      <c r="G56" s="85" t="n">
        <f aca="false">IFERROR(IF(ISNUMBER(INDEX(원자료_잔고!$A$1:$EZ$1500,설정!$L$5+ROW()-1,설정!$L$13)),INDEX(원자료_잔고!$A$1:$EZ$1500,설정!$L$5+ROW()-1,설정!$L$13),""),"")</f>
        <v>6.0275</v>
      </c>
      <c r="H56" s="85" t="n">
        <f aca="false">IFERROR(IF(ISNUMBER(INDEX(원자료_잔고!$A$1:$EZ$1500,설정!$L$5+ROW()-1,설정!$L$14)),INDEX(원자료_잔고!$A$1:$EZ$1500,설정!$L$5+ROW()-1,설정!$L$14),""),"")</f>
        <v>4.0444</v>
      </c>
      <c r="I56" s="86" t="n">
        <f aca="false">IFERROR(IF(ISNUMBER(INDEX(원자료_잔고!$A$1:$EZ$1500,설정!$L$5+ROW()-1,설정!$L$15)),INDEX(원자료_잔고!$A$1:$EZ$1500,설정!$L$5+ROW()-1,설정!$L$15),""),"")</f>
        <v>48028</v>
      </c>
      <c r="J56" s="85" t="n">
        <f aca="false">IFERROR(IF(ISNUMBER(INDEX(원자료_잔고!$A$1:$EZ$1500,설정!$L$5+ROW()-1,설정!$L$16)),INDEX(원자료_잔고!$A$1:$EZ$1500,설정!$L$5+ROW()-1,설정!$L$16),""),"")</f>
        <v>5.125</v>
      </c>
      <c r="K56" s="87" t="n">
        <f aca="false">IFERROR(IF(ISNUMBER(INDEX(원자료_잔고!$A$1:$EZ$1500,설정!$L$5+ROW()-1,설정!$L$17)),INDEX(원자료_잔고!$A$1:$EZ$1500,설정!$L$5+ROW()-1,설정!$L$17),""),"")</f>
        <v>1</v>
      </c>
      <c r="L56" s="84" t="n">
        <f aca="false">IFERROR(IF(ISNUMBER(INDEX(원자료_잔고!$A$1:$EZ$1500,설정!$L$5+ROW()-1,설정!$L$18)),INDEX(원자료_잔고!$A$1:$EZ$1500,설정!$L$5+ROW()-1,설정!$L$18),""),"")</f>
        <v>2889303</v>
      </c>
      <c r="M56" s="88" t="n">
        <f aca="false">IFERROR(IF(ISNUMBER(INDEX(원자료_잔고!$A$1:$EZ$1500,설정!$L$5+ROW()-1,설정!$L$19)),INDEX(원자료_잔고!$A$1:$EZ$1500,설정!$L$5+ROW()-1,설정!$L$19),""),"")</f>
        <v>-90619.23</v>
      </c>
      <c r="N56" s="83" t="str">
        <f aca="false">IFERROR(IF(INDEX(원자료_잔고!$A$1:$EZ$1500,설정!$L$5+ROW()-1,설정!$L$21)&amp;""="0","",INDEX(원자료_잔고!$A$1:$EZ$1500,설정!$L$5+ROW()-1,설정!$L$21)&amp;""),"")</f>
        <v>BBB</v>
      </c>
      <c r="O56" s="83" t="str">
        <f aca="false">IFERROR(IF(INDEX(원자료_잔고!$A$1:$EZ$1500,설정!$L$5+ROW()-1,설정!$L$22)&amp;""="0","",INDEX(원자료_잔고!$A$1:$EZ$1500,설정!$L$5+ROW()-1,설정!$L$22)&amp;""),"")</f>
        <v/>
      </c>
      <c r="P56" s="83" t="str">
        <f aca="false">IFERROR(IF(INDEX(원자료_잔고!$A$1:$EZ$1500,설정!$L$5+ROW()-1,설정!$L$23)&amp;""="0","",INDEX(원자료_잔고!$A$1:$EZ$1500,설정!$L$5+ROW()-1,설정!$L$23)&amp;""),"")</f>
        <v>N/A</v>
      </c>
      <c r="Q56" s="89" t="n">
        <f aca="false">IF(AND($A56&lt;&gt;"",ISNUMBER(E56)),IF(E56&gt;0,1,0),0)</f>
        <v>1</v>
      </c>
      <c r="R56" s="43" t="str">
        <f aca="false">IF(Q56=1,UPPER(LEFT($A56,FIND(" ",$A56&amp;" ")-1)),"")</f>
        <v>POINTL</v>
      </c>
      <c r="S56" s="89" t="n">
        <f aca="false">IF(Q56=1,IF(OR(ISNUMBER(SEARCH("Float",$A56)),ISNUMBER(SEARCH("FRN",$A56))),1,0),0)</f>
        <v>0</v>
      </c>
      <c r="T56" s="43" t="str">
        <f aca="false">IF(AND(Q56=1,ISNUMBER(I56)),TEXT(I56,"yyyymmdd")&amp;"|"&amp;IF(S56=1,"F",TEXT(J56,"0.000")),"")</f>
        <v>20310629|5.125</v>
      </c>
      <c r="U56" s="90" t="n">
        <f aca="false">IF(AND(Q56=1,ISNUMBER(I56)),(I56-설정!$C$4)/365.25,"")</f>
        <v>4.7419575633128</v>
      </c>
      <c r="V56" s="43" t="str">
        <f aca="false">IF(Q56&lt;&gt;1,"",IF(ISNUMBER(U56),IF(U56&lt;=1,"1년 이하",IF(U56&lt;=2,"1-2년",IF(U56&lt;=3,"2-3년",IF(U56&lt;=4,"3-4년",IF(U56&lt;=5,"4-5년",IF(U56&lt;=7,"5-7년",IF(U56&lt;=10,"7-10년",IF(U56&lt;=20,"10-20년","20년 이상")))))))),"미분류"))</f>
        <v>4-5년</v>
      </c>
      <c r="W56" s="43" t="str">
        <f aca="false">IF(Q56&lt;&gt;1,"",IF(AB56&lt;&gt;"",INDEX(시장분석!$C:$C,AB56),IF(K56=1,"USD","비USD")))</f>
        <v>USD</v>
      </c>
      <c r="X56" s="91" t="n">
        <f aca="false">IF(Q56=1,E56*K56/1000000,0)</f>
        <v>3</v>
      </c>
      <c r="Y56" s="89" t="n">
        <f aca="false">IF(R56="T",1,0)</f>
        <v>0</v>
      </c>
      <c r="Z56" s="92" t="n">
        <f aca="false">IF(Q56&lt;&gt;1,"",IF(AD56=1,IF(ISNUMBER(U56),MAX(U56,0),H56),H56))</f>
        <v>4.0444</v>
      </c>
      <c r="AA56" s="91" t="n">
        <f aca="false">IF(Q56=1,IF(ISNUMBER(L56),L56,0)*K56/1000000,0)</f>
        <v>2.889303</v>
      </c>
      <c r="AB56" s="89" t="n">
        <f aca="false">IF(Q56&lt;&gt;1,"",IFERROR(MATCH(VLOOKUP(B56,매핑!$H$4:$I$15,2,0),시장분석!$A$2:$A$601,0)+1,IFERROR(MATCH(R56&amp;"|"&amp;T56,시장분석!$V$2:$V$601,0)+1,IF(COUNTIF(시장분석!$U$2:$U$601,T56)=1,MATCH(T56,시장분석!$U$2:$U$601,0)+1,""))))</f>
        <v>198</v>
      </c>
      <c r="AC56" s="89" t="n">
        <f aca="false">IF(Q56&lt;&gt;1,0,IF(OR(설정!$C$5="전체",AND(설정!$C$5="선택펀드",IFERROR(COUNTIFS(설정!$F$16:$F$36,C56,설정!$G$16:$G$36,"Y")+COUNTIFS(설정!$F$16:$F$36,VALUE(C56),설정!$G$16:$G$36,"Y"),0)&gt;0),C56&amp;""=설정!$C$5&amp;""),1,0))</f>
        <v>1</v>
      </c>
      <c r="AD56" s="89" t="n">
        <f aca="false">IF(Q56&lt;&gt;1,0,IF(OR(S56=1,IF(AB56="",FALSE(),INDEX(시장분석!$R:$R,AB56)=1)),1,0))</f>
        <v>0</v>
      </c>
      <c r="AE56" s="43" t="str">
        <f aca="false">IF(AB56="","",INDEX(시장분석!$A:$A,AB56))</f>
        <v>POINTL 5 1/8 06/29/31</v>
      </c>
      <c r="AF56" s="93" t="n">
        <f aca="false">IF(AB56="","",IF(ISNUMBER(IF(AB56="","",INDEX(시장분석!$E:$E,AB56))),IF(AB56="","",INDEX(시장분석!$E:$E,AB56)),""))</f>
        <v>102.421</v>
      </c>
      <c r="AG56" s="43" t="str">
        <f aca="false">IF(Q56&lt;&gt;1,"",IF(AB56&lt;&gt;"",IF(AB56="","",INDEX(시장분석!$L:$L,AB56)),IFERROR(IF(VLOOKUP(R56,매핑!$A$4:$E$92,5,0)="","미분류",VLOOKUP(R56,매핑!$A$4:$E$92,5,0)),"미분류")))</f>
        <v>원자재</v>
      </c>
      <c r="AH56" s="43" t="str">
        <f aca="false">IF(Q56&lt;&gt;1,"",IF(AB56&lt;&gt;"",IF(AB56="","",INDEX(시장분석!$N:$N,AB56)),IFERROR(IF(VLOOKUP(R56,매핑!$A$4:$E$92,4,0)="","미분류",VLOOKUP(R56,매핑!$A$4:$E$92,4,0)),"미분류")))</f>
        <v>아시아/기타</v>
      </c>
      <c r="AI56" s="43" t="str">
        <f aca="false">IF(Q56&lt;&gt;1,"",IFERROR(IF(VLOOKUP(R56,매핑!$A$4:$E$92,3,0)="","미분류",VLOOKUP(R56,매핑!$A$4:$E$92,3,0)),IF(AB56&lt;&gt;"",IF(AB56="","",INDEX(시장분석!$W:$W,AB56)),"미분류")))</f>
        <v>한국</v>
      </c>
      <c r="AJ56" s="43" t="str">
        <f aca="false">IF(Q56&lt;&gt;1,"",IFERROR(VLOOKUP(IF(N56&lt;&gt;"",N56,IF(P56&lt;&gt;"",P56,O56)),설정!$A$15:$D$47,2,0),""))</f>
        <v>BBB</v>
      </c>
      <c r="AK56" s="43" t="str">
        <f aca="false">IF(Q56&lt;&gt;1,"",IF(AJ56="","무등급",IFERROR(VLOOKUP(AJ56,설정!$A$15:$D$47,3,0),"무등급")))</f>
        <v>BBB</v>
      </c>
      <c r="AL56" s="89" t="n">
        <f aca="false">IF(AJ56="",99,IFERROR(VLOOKUP(AJ56,설정!$A$15:$D$47,4,0),99))</f>
        <v>9</v>
      </c>
      <c r="AM56" s="94" t="n">
        <f aca="false">IF(ISNUMBER(H56),AA56*1000000*H56/10000,0)</f>
        <v>1168.54970532</v>
      </c>
      <c r="AN56" s="94" t="n">
        <f aca="false">IF(OR(Y56=1,NOT(ISNUMBER(Z56))),0,AA56*1000000*Z56/10000)</f>
        <v>1168.54970532</v>
      </c>
      <c r="AO56" s="94" t="n">
        <f aca="false">IF(ISNUMBER(G56),AA56*1000000*G56/100,0)</f>
        <v>174152.738325</v>
      </c>
      <c r="AP56" s="94" t="n">
        <f aca="false">IF(ISNUMBER(M56),M56*K56,0)</f>
        <v>-90619.23</v>
      </c>
      <c r="AQ56" s="95" t="n">
        <f aca="false">IF(AB56="","",INDEX(시장분석!$AK:$AK,AB56))</f>
        <v>1.69947378783185</v>
      </c>
      <c r="AR56" s="43" t="str">
        <f aca="false">IF(AB56="","-",IF(AB56="","",INDEX(시장분석!$AL:$AL,AB56)))</f>
        <v>Cheap</v>
      </c>
      <c r="AS56" s="96" t="n">
        <f aca="false">IF(AB56="","",INDEX(시장분석!$AJ:$AJ,AB56))</f>
        <v>18.8132446022738</v>
      </c>
      <c r="AT56" s="93" t="n">
        <f aca="false">IF(AB56="",0,IF(AB56="","",INDEX(시장분석!$AN:$AN,AB56)))</f>
        <v>7.65171285354377</v>
      </c>
      <c r="AU56" s="94" t="n">
        <f aca="false">IF(ISNUMBER(Z56),AT56/10000*MAX(Z56-1,0)*AA56*1000000,0)</f>
        <v>6730.59510991357</v>
      </c>
      <c r="AV56" s="94" t="n">
        <f aca="false">AO56+AU56</f>
        <v>180883.333434914</v>
      </c>
      <c r="AW56" s="43" t="str">
        <f aca="false">IF(Q56&lt;&gt;1,"",TRIM(IF(AD56=1,"FRN ","")&amp;IF(AND(AL56&gt;=10,AL56&lt;99),"BBB0미만 ","")&amp;IF(AJ56="","등급없음 ","")&amp;IF(K56&lt;&gt;1,"비USD ","")&amp;IF(AND(AB56="",Y56=0),"시장데이터없음 ","")&amp;IF(AND(ISNUMBER(U56),U56&lt;0),"만기경과 ","")))</f>
        <v/>
      </c>
      <c r="AX56" s="90" t="n">
        <f aca="false">IF(Q56&lt;&gt;1,1,IF(스프레드쇼크!$C$4="Y",INDEX(스프레드쇼크!$B$12:$L$16,IFERROR(MATCH(AH56,스프레드쇼크!$A$12:$A$16,0),MATCH("목록외",스프레드쇼크!$A$12:$A$16,0)),IFERROR(MATCH(AG56,스프레드쇼크!$B$11:$L$11,0),MATCH("목록외",스프레드쇼크!$B$11:$L$11,0))),1))</f>
        <v>1</v>
      </c>
      <c r="AY56" s="90" t="n">
        <f aca="false">IF(스프레드쇼크!$C$5="Y",IF(ISNUMBER(AF56),MIN(스프레드쇼크!$C$7,MAX(스프레드쇼크!$C$6,AF56/스프레드쇼크!$C$8)),1),1)</f>
        <v>1.54915737322167</v>
      </c>
      <c r="AZ56" s="94" t="n">
        <f aca="false">AN56*AX56*AY56</f>
        <v>1810.26739197249</v>
      </c>
      <c r="BA56" s="90" t="n">
        <f aca="false">IF(ISNUMBER(G56),AA56*G56,0)</f>
        <v>17.4152738325</v>
      </c>
      <c r="BB56" s="90" t="n">
        <f aca="false">IF(ISNUMBER(G56),AA56,0)</f>
        <v>2.889303</v>
      </c>
      <c r="BC56" s="90" t="n">
        <f aca="false">IF(AND(Y56=0,ISNUMBER(AF56)),AA56*AF56,0)</f>
        <v>295.925302563</v>
      </c>
      <c r="BD56" s="90" t="n">
        <f aca="false">IF(AND(Y56=0,ISNUMBER(AF56)),AA56,0)</f>
        <v>2.889303</v>
      </c>
      <c r="BE56" s="90" t="n">
        <f aca="false">IF(ISNUMBER(H56),AA56*H56,0)</f>
        <v>11.6854970532</v>
      </c>
      <c r="BF56" s="90" t="n">
        <f aca="false">IF(ISNUMBER(H56),AA56,0)</f>
        <v>2.889303</v>
      </c>
      <c r="BG56" s="90" t="n">
        <f aca="false">IF(AND(Y56=0,ISNUMBER(AF56),ISNUMBER(Z56)),AA56*Z56,0)</f>
        <v>11.6854970532</v>
      </c>
      <c r="BH56" s="90" t="n">
        <f aca="false">IF(AND(Y56=0,ISNUMBER(AF56),ISNUMBER(Z56)),AA56*AT56*MAX(Z56-1,0),0)</f>
        <v>67.3059510991357</v>
      </c>
      <c r="BI56" s="90" t="n">
        <f aca="false">IF(Y56=0,AA56,0)</f>
        <v>2.889303</v>
      </c>
    </row>
    <row r="57" customFormat="false" ht="15" hidden="false" customHeight="false" outlineLevel="0" collapsed="false">
      <c r="A57" s="83" t="str">
        <f aca="false">IFERROR(IF(INDEX(원자료_잔고!$A$1:$EZ$1500,설정!$L$5+ROW()-1,설정!$L$8)&amp;""="0","",INDEX(원자료_잔고!$A$1:$EZ$1500,설정!$L$5+ROW()-1,설정!$L$8)&amp;""),"")</f>
        <v>POINTL 5.125 06/29/31</v>
      </c>
      <c r="B57" s="83" t="str">
        <f aca="false">IFERROR(IF(INDEX(원자료_잔고!$A$1:$EZ$1500,설정!$L$5+ROW()-1,설정!$L$7)&amp;""="0","",INDEX(원자료_잔고!$A$1:$EZ$1500,설정!$L$5+ROW()-1,설정!$L$7)&amp;""),"")</f>
        <v>USY7S27KAX02</v>
      </c>
      <c r="C57" s="83" t="str">
        <f aca="false">IFERROR(IF(INDEX(원자료_잔고!$A$1:$EZ$1500,설정!$L$5+ROW()-1,설정!$L$9)&amp;""="0","",INDEX(원자료_잔고!$A$1:$EZ$1500,설정!$L$5+ROW()-1,설정!$L$9)&amp;""),"")</f>
        <v>28096</v>
      </c>
      <c r="D5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7" s="84" t="n">
        <f aca="false">IFERROR(IF(ISNUMBER(INDEX(원자료_잔고!$A$1:$EZ$1500,설정!$L$5+ROW()-1,설정!$L$11)),INDEX(원자료_잔고!$A$1:$EZ$1500,설정!$L$5+ROW()-1,설정!$L$11),""),"")</f>
        <v>1000000</v>
      </c>
      <c r="F57" s="85" t="n">
        <f aca="false">IFERROR(IF(ISNUMBER(INDEX(원자료_잔고!$A$1:$EZ$1500,설정!$L$5+ROW()-1,설정!$L$12)),INDEX(원자료_잔고!$A$1:$EZ$1500,설정!$L$5+ROW()-1,설정!$L$12),""),"")</f>
        <v>96.3101</v>
      </c>
      <c r="G57" s="85" t="n">
        <f aca="false">IFERROR(IF(ISNUMBER(INDEX(원자료_잔고!$A$1:$EZ$1500,설정!$L$5+ROW()-1,설정!$L$13)),INDEX(원자료_잔고!$A$1:$EZ$1500,설정!$L$5+ROW()-1,설정!$L$13),""),"")</f>
        <v>6.0275</v>
      </c>
      <c r="H57" s="85" t="n">
        <f aca="false">IFERROR(IF(ISNUMBER(INDEX(원자료_잔고!$A$1:$EZ$1500,설정!$L$5+ROW()-1,설정!$L$14)),INDEX(원자료_잔고!$A$1:$EZ$1500,설정!$L$5+ROW()-1,설정!$L$14),""),"")</f>
        <v>4.0444</v>
      </c>
      <c r="I57" s="86" t="n">
        <f aca="false">IFERROR(IF(ISNUMBER(INDEX(원자료_잔고!$A$1:$EZ$1500,설정!$L$5+ROW()-1,설정!$L$15)),INDEX(원자료_잔고!$A$1:$EZ$1500,설정!$L$5+ROW()-1,설정!$L$15),""),"")</f>
        <v>48028</v>
      </c>
      <c r="J57" s="85" t="n">
        <f aca="false">IFERROR(IF(ISNUMBER(INDEX(원자료_잔고!$A$1:$EZ$1500,설정!$L$5+ROW()-1,설정!$L$16)),INDEX(원자료_잔고!$A$1:$EZ$1500,설정!$L$5+ROW()-1,설정!$L$16),""),"")</f>
        <v>5.125</v>
      </c>
      <c r="K57" s="87" t="n">
        <f aca="false">IFERROR(IF(ISNUMBER(INDEX(원자료_잔고!$A$1:$EZ$1500,설정!$L$5+ROW()-1,설정!$L$17)),INDEX(원자료_잔고!$A$1:$EZ$1500,설정!$L$5+ROW()-1,설정!$L$17),""),"")</f>
        <v>1</v>
      </c>
      <c r="L57" s="84" t="n">
        <f aca="false">IFERROR(IF(ISNUMBER(INDEX(원자료_잔고!$A$1:$EZ$1500,설정!$L$5+ROW()-1,설정!$L$18)),INDEX(원자료_잔고!$A$1:$EZ$1500,설정!$L$5+ROW()-1,설정!$L$18),""),"")</f>
        <v>963101</v>
      </c>
      <c r="M57" s="88" t="n">
        <f aca="false">IFERROR(IF(ISNUMBER(INDEX(원자료_잔고!$A$1:$EZ$1500,설정!$L$5+ROW()-1,설정!$L$19)),INDEX(원자료_잔고!$A$1:$EZ$1500,설정!$L$5+ROW()-1,설정!$L$19),""),"")</f>
        <v>-30326.41</v>
      </c>
      <c r="N57" s="83" t="str">
        <f aca="false">IFERROR(IF(INDEX(원자료_잔고!$A$1:$EZ$1500,설정!$L$5+ROW()-1,설정!$L$21)&amp;""="0","",INDEX(원자료_잔고!$A$1:$EZ$1500,설정!$L$5+ROW()-1,설정!$L$21)&amp;""),"")</f>
        <v>BBB</v>
      </c>
      <c r="O57" s="83" t="str">
        <f aca="false">IFERROR(IF(INDEX(원자료_잔고!$A$1:$EZ$1500,설정!$L$5+ROW()-1,설정!$L$22)&amp;""="0","",INDEX(원자료_잔고!$A$1:$EZ$1500,설정!$L$5+ROW()-1,설정!$L$22)&amp;""),"")</f>
        <v/>
      </c>
      <c r="P57" s="83" t="str">
        <f aca="false">IFERROR(IF(INDEX(원자료_잔고!$A$1:$EZ$1500,설정!$L$5+ROW()-1,설정!$L$23)&amp;""="0","",INDEX(원자료_잔고!$A$1:$EZ$1500,설정!$L$5+ROW()-1,설정!$L$23)&amp;""),"")</f>
        <v>N/A</v>
      </c>
      <c r="Q57" s="89" t="n">
        <f aca="false">IF(AND($A57&lt;&gt;"",ISNUMBER(E57)),IF(E57&gt;0,1,0),0)</f>
        <v>1</v>
      </c>
      <c r="R57" s="43" t="str">
        <f aca="false">IF(Q57=1,UPPER(LEFT($A57,FIND(" ",$A57&amp;" ")-1)),"")</f>
        <v>POINTL</v>
      </c>
      <c r="S57" s="89" t="n">
        <f aca="false">IF(Q57=1,IF(OR(ISNUMBER(SEARCH("Float",$A57)),ISNUMBER(SEARCH("FRN",$A57))),1,0),0)</f>
        <v>0</v>
      </c>
      <c r="T57" s="43" t="str">
        <f aca="false">IF(AND(Q57=1,ISNUMBER(I57)),TEXT(I57,"yyyymmdd")&amp;"|"&amp;IF(S57=1,"F",TEXT(J57,"0.000")),"")</f>
        <v>20310629|5.125</v>
      </c>
      <c r="U57" s="90" t="n">
        <f aca="false">IF(AND(Q57=1,ISNUMBER(I57)),(I57-설정!$C$4)/365.25,"")</f>
        <v>4.7419575633128</v>
      </c>
      <c r="V57" s="43" t="str">
        <f aca="false">IF(Q57&lt;&gt;1,"",IF(ISNUMBER(U57),IF(U57&lt;=1,"1년 이하",IF(U57&lt;=2,"1-2년",IF(U57&lt;=3,"2-3년",IF(U57&lt;=4,"3-4년",IF(U57&lt;=5,"4-5년",IF(U57&lt;=7,"5-7년",IF(U57&lt;=10,"7-10년",IF(U57&lt;=20,"10-20년","20년 이상")))))))),"미분류"))</f>
        <v>4-5년</v>
      </c>
      <c r="W57" s="43" t="str">
        <f aca="false">IF(Q57&lt;&gt;1,"",IF(AB57&lt;&gt;"",INDEX(시장분석!$C:$C,AB57),IF(K57=1,"USD","비USD")))</f>
        <v>USD</v>
      </c>
      <c r="X57" s="91" t="n">
        <f aca="false">IF(Q57=1,E57*K57/1000000,0)</f>
        <v>1</v>
      </c>
      <c r="Y57" s="89" t="n">
        <f aca="false">IF(R57="T",1,0)</f>
        <v>0</v>
      </c>
      <c r="Z57" s="92" t="n">
        <f aca="false">IF(Q57&lt;&gt;1,"",IF(AD57=1,IF(ISNUMBER(U57),MAX(U57,0),H57),H57))</f>
        <v>4.0444</v>
      </c>
      <c r="AA57" s="91" t="n">
        <f aca="false">IF(Q57=1,IF(ISNUMBER(L57),L57,0)*K57/1000000,0)</f>
        <v>0.963101</v>
      </c>
      <c r="AB57" s="89" t="n">
        <f aca="false">IF(Q57&lt;&gt;1,"",IFERROR(MATCH(VLOOKUP(B57,매핑!$H$4:$I$15,2,0),시장분석!$A$2:$A$601,0)+1,IFERROR(MATCH(R57&amp;"|"&amp;T57,시장분석!$V$2:$V$601,0)+1,IF(COUNTIF(시장분석!$U$2:$U$601,T57)=1,MATCH(T57,시장분석!$U$2:$U$601,0)+1,""))))</f>
        <v>198</v>
      </c>
      <c r="AC57" s="89" t="n">
        <f aca="false">IF(Q57&lt;&gt;1,0,IF(OR(설정!$C$5="전체",AND(설정!$C$5="선택펀드",IFERROR(COUNTIFS(설정!$F$16:$F$36,C57,설정!$G$16:$G$36,"Y")+COUNTIFS(설정!$F$16:$F$36,VALUE(C57),설정!$G$16:$G$36,"Y"),0)&gt;0),C57&amp;""=설정!$C$5&amp;""),1,0))</f>
        <v>1</v>
      </c>
      <c r="AD57" s="89" t="n">
        <f aca="false">IF(Q57&lt;&gt;1,0,IF(OR(S57=1,IF(AB57="",FALSE(),INDEX(시장분석!$R:$R,AB57)=1)),1,0))</f>
        <v>0</v>
      </c>
      <c r="AE57" s="43" t="str">
        <f aca="false">IF(AB57="","",INDEX(시장분석!$A:$A,AB57))</f>
        <v>POINTL 5 1/8 06/29/31</v>
      </c>
      <c r="AF57" s="93" t="n">
        <f aca="false">IF(AB57="","",IF(ISNUMBER(IF(AB57="","",INDEX(시장분석!$E:$E,AB57))),IF(AB57="","",INDEX(시장분석!$E:$E,AB57)),""))</f>
        <v>102.421</v>
      </c>
      <c r="AG57" s="43" t="str">
        <f aca="false">IF(Q57&lt;&gt;1,"",IF(AB57&lt;&gt;"",IF(AB57="","",INDEX(시장분석!$L:$L,AB57)),IFERROR(IF(VLOOKUP(R57,매핑!$A$4:$E$92,5,0)="","미분류",VLOOKUP(R57,매핑!$A$4:$E$92,5,0)),"미분류")))</f>
        <v>원자재</v>
      </c>
      <c r="AH57" s="43" t="str">
        <f aca="false">IF(Q57&lt;&gt;1,"",IF(AB57&lt;&gt;"",IF(AB57="","",INDEX(시장분석!$N:$N,AB57)),IFERROR(IF(VLOOKUP(R57,매핑!$A$4:$E$92,4,0)="","미분류",VLOOKUP(R57,매핑!$A$4:$E$92,4,0)),"미분류")))</f>
        <v>아시아/기타</v>
      </c>
      <c r="AI57" s="43" t="str">
        <f aca="false">IF(Q57&lt;&gt;1,"",IFERROR(IF(VLOOKUP(R57,매핑!$A$4:$E$92,3,0)="","미분류",VLOOKUP(R57,매핑!$A$4:$E$92,3,0)),IF(AB57&lt;&gt;"",IF(AB57="","",INDEX(시장분석!$W:$W,AB57)),"미분류")))</f>
        <v>한국</v>
      </c>
      <c r="AJ57" s="43" t="str">
        <f aca="false">IF(Q57&lt;&gt;1,"",IFERROR(VLOOKUP(IF(N57&lt;&gt;"",N57,IF(P57&lt;&gt;"",P57,O57)),설정!$A$15:$D$47,2,0),""))</f>
        <v>BBB</v>
      </c>
      <c r="AK57" s="43" t="str">
        <f aca="false">IF(Q57&lt;&gt;1,"",IF(AJ57="","무등급",IFERROR(VLOOKUP(AJ57,설정!$A$15:$D$47,3,0),"무등급")))</f>
        <v>BBB</v>
      </c>
      <c r="AL57" s="89" t="n">
        <f aca="false">IF(AJ57="",99,IFERROR(VLOOKUP(AJ57,설정!$A$15:$D$47,4,0),99))</f>
        <v>9</v>
      </c>
      <c r="AM57" s="94" t="n">
        <f aca="false">IF(ISNUMBER(H57),AA57*1000000*H57/10000,0)</f>
        <v>389.51656844</v>
      </c>
      <c r="AN57" s="94" t="n">
        <f aca="false">IF(OR(Y57=1,NOT(ISNUMBER(Z57))),0,AA57*1000000*Z57/10000)</f>
        <v>389.51656844</v>
      </c>
      <c r="AO57" s="94" t="n">
        <f aca="false">IF(ISNUMBER(G57),AA57*1000000*G57/100,0)</f>
        <v>58050.912775</v>
      </c>
      <c r="AP57" s="94" t="n">
        <f aca="false">IF(ISNUMBER(M57),M57*K57,0)</f>
        <v>-30326.41</v>
      </c>
      <c r="AQ57" s="95" t="n">
        <f aca="false">IF(AB57="","",INDEX(시장분석!$AK:$AK,AB57))</f>
        <v>1.69947378783185</v>
      </c>
      <c r="AR57" s="43" t="str">
        <f aca="false">IF(AB57="","-",IF(AB57="","",INDEX(시장분석!$AL:$AL,AB57)))</f>
        <v>Cheap</v>
      </c>
      <c r="AS57" s="96" t="n">
        <f aca="false">IF(AB57="","",INDEX(시장분석!$AJ:$AJ,AB57))</f>
        <v>18.8132446022738</v>
      </c>
      <c r="AT57" s="93" t="n">
        <f aca="false">IF(AB57="",0,IF(AB57="","",INDEX(시장분석!$AN:$AN,AB57)))</f>
        <v>7.65171285354377</v>
      </c>
      <c r="AU57" s="94" t="n">
        <f aca="false">IF(ISNUMBER(Z57),AT57/10000*MAX(Z57-1,0)*AA57*1000000,0)</f>
        <v>2243.53170330452</v>
      </c>
      <c r="AV57" s="94" t="n">
        <f aca="false">AO57+AU57</f>
        <v>60294.4444783045</v>
      </c>
      <c r="AW57" s="43" t="str">
        <f aca="false">IF(Q57&lt;&gt;1,"",TRIM(IF(AD57=1,"FRN ","")&amp;IF(AND(AL57&gt;=10,AL57&lt;99),"BBB0미만 ","")&amp;IF(AJ57="","등급없음 ","")&amp;IF(K57&lt;&gt;1,"비USD ","")&amp;IF(AND(AB57="",Y57=0),"시장데이터없음 ","")&amp;IF(AND(ISNUMBER(U57),U57&lt;0),"만기경과 ","")))</f>
        <v/>
      </c>
      <c r="AX57" s="90" t="n">
        <f aca="false">IF(Q57&lt;&gt;1,1,IF(스프레드쇼크!$C$4="Y",INDEX(스프레드쇼크!$B$12:$L$16,IFERROR(MATCH(AH57,스프레드쇼크!$A$12:$A$16,0),MATCH("목록외",스프레드쇼크!$A$12:$A$16,0)),IFERROR(MATCH(AG57,스프레드쇼크!$B$11:$L$11,0),MATCH("목록외",스프레드쇼크!$B$11:$L$11,0))),1))</f>
        <v>1</v>
      </c>
      <c r="AY57" s="90" t="n">
        <f aca="false">IF(스프레드쇼크!$C$5="Y",IF(ISNUMBER(AF57),MIN(스프레드쇼크!$C$7,MAX(스프레드쇼크!$C$6,AF57/스프레드쇼크!$C$8)),1),1)</f>
        <v>1.54915737322167</v>
      </c>
      <c r="AZ57" s="94" t="n">
        <f aca="false">AN57*AX57*AY57</f>
        <v>603.42246399083</v>
      </c>
      <c r="BA57" s="90" t="n">
        <f aca="false">IF(ISNUMBER(G57),AA57*G57,0)</f>
        <v>5.8050912775</v>
      </c>
      <c r="BB57" s="90" t="n">
        <f aca="false">IF(ISNUMBER(G57),AA57,0)</f>
        <v>0.963101</v>
      </c>
      <c r="BC57" s="90" t="n">
        <f aca="false">IF(AND(Y57=0,ISNUMBER(AF57)),AA57*AF57,0)</f>
        <v>98.641767521</v>
      </c>
      <c r="BD57" s="90" t="n">
        <f aca="false">IF(AND(Y57=0,ISNUMBER(AF57)),AA57,0)</f>
        <v>0.963101</v>
      </c>
      <c r="BE57" s="90" t="n">
        <f aca="false">IF(ISNUMBER(H57),AA57*H57,0)</f>
        <v>3.8951656844</v>
      </c>
      <c r="BF57" s="90" t="n">
        <f aca="false">IF(ISNUMBER(H57),AA57,0)</f>
        <v>0.963101</v>
      </c>
      <c r="BG57" s="90" t="n">
        <f aca="false">IF(AND(Y57=0,ISNUMBER(AF57),ISNUMBER(Z57)),AA57*Z57,0)</f>
        <v>3.8951656844</v>
      </c>
      <c r="BH57" s="90" t="n">
        <f aca="false">IF(AND(Y57=0,ISNUMBER(AF57),ISNUMBER(Z57)),AA57*AT57*MAX(Z57-1,0),0)</f>
        <v>22.4353170330452</v>
      </c>
      <c r="BI57" s="90" t="n">
        <f aca="false">IF(Y57=0,AA57,0)</f>
        <v>0.963101</v>
      </c>
    </row>
    <row r="58" customFormat="false" ht="15" hidden="false" customHeight="false" outlineLevel="0" collapsed="false">
      <c r="A58" s="83" t="str">
        <f aca="false">IFERROR(IF(INDEX(원자료_잔고!$A$1:$EZ$1500,설정!$L$5+ROW()-1,설정!$L$8)&amp;""="0","",INDEX(원자료_잔고!$A$1:$EZ$1500,설정!$L$5+ROW()-1,설정!$L$8)&amp;""),"")</f>
        <v>POINTL 5.125 06/29/31</v>
      </c>
      <c r="B58" s="83" t="str">
        <f aca="false">IFERROR(IF(INDEX(원자료_잔고!$A$1:$EZ$1500,설정!$L$5+ROW()-1,설정!$L$7)&amp;""="0","",INDEX(원자료_잔고!$A$1:$EZ$1500,설정!$L$5+ROW()-1,설정!$L$7)&amp;""),"")</f>
        <v>USY7S27KAX02</v>
      </c>
      <c r="C58" s="83" t="str">
        <f aca="false">IFERROR(IF(INDEX(원자료_잔고!$A$1:$EZ$1500,설정!$L$5+ROW()-1,설정!$L$9)&amp;""="0","",INDEX(원자료_잔고!$A$1:$EZ$1500,설정!$L$5+ROW()-1,설정!$L$9)&amp;""),"")</f>
        <v>28096</v>
      </c>
      <c r="D5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8" s="84" t="n">
        <f aca="false">IFERROR(IF(ISNUMBER(INDEX(원자료_잔고!$A$1:$EZ$1500,설정!$L$5+ROW()-1,설정!$L$11)),INDEX(원자료_잔고!$A$1:$EZ$1500,설정!$L$5+ROW()-1,설정!$L$11),""),"")</f>
        <v>2000000</v>
      </c>
      <c r="F58" s="85" t="n">
        <f aca="false">IFERROR(IF(ISNUMBER(INDEX(원자료_잔고!$A$1:$EZ$1500,설정!$L$5+ROW()-1,설정!$L$12)),INDEX(원자료_잔고!$A$1:$EZ$1500,설정!$L$5+ROW()-1,설정!$L$12),""),"")</f>
        <v>96.3101</v>
      </c>
      <c r="G58" s="85" t="n">
        <f aca="false">IFERROR(IF(ISNUMBER(INDEX(원자료_잔고!$A$1:$EZ$1500,설정!$L$5+ROW()-1,설정!$L$13)),INDEX(원자료_잔고!$A$1:$EZ$1500,설정!$L$5+ROW()-1,설정!$L$13),""),"")</f>
        <v>6.0275</v>
      </c>
      <c r="H58" s="85" t="n">
        <f aca="false">IFERROR(IF(ISNUMBER(INDEX(원자료_잔고!$A$1:$EZ$1500,설정!$L$5+ROW()-1,설정!$L$14)),INDEX(원자료_잔고!$A$1:$EZ$1500,설정!$L$5+ROW()-1,설정!$L$14),""),"")</f>
        <v>4.0444</v>
      </c>
      <c r="I58" s="86" t="n">
        <f aca="false">IFERROR(IF(ISNUMBER(INDEX(원자료_잔고!$A$1:$EZ$1500,설정!$L$5+ROW()-1,설정!$L$15)),INDEX(원자료_잔고!$A$1:$EZ$1500,설정!$L$5+ROW()-1,설정!$L$15),""),"")</f>
        <v>48028</v>
      </c>
      <c r="J58" s="85" t="n">
        <f aca="false">IFERROR(IF(ISNUMBER(INDEX(원자료_잔고!$A$1:$EZ$1500,설정!$L$5+ROW()-1,설정!$L$16)),INDEX(원자료_잔고!$A$1:$EZ$1500,설정!$L$5+ROW()-1,설정!$L$16),""),"")</f>
        <v>5.125</v>
      </c>
      <c r="K58" s="87" t="n">
        <f aca="false">IFERROR(IF(ISNUMBER(INDEX(원자료_잔고!$A$1:$EZ$1500,설정!$L$5+ROW()-1,설정!$L$17)),INDEX(원자료_잔고!$A$1:$EZ$1500,설정!$L$5+ROW()-1,설정!$L$17),""),"")</f>
        <v>1</v>
      </c>
      <c r="L58" s="84" t="n">
        <f aca="false">IFERROR(IF(ISNUMBER(INDEX(원자료_잔고!$A$1:$EZ$1500,설정!$L$5+ROW()-1,설정!$L$18)),INDEX(원자료_잔고!$A$1:$EZ$1500,설정!$L$5+ROW()-1,설정!$L$18),""),"")</f>
        <v>1926202</v>
      </c>
      <c r="M58" s="88" t="n">
        <f aca="false">IFERROR(IF(ISNUMBER(INDEX(원자료_잔고!$A$1:$EZ$1500,설정!$L$5+ROW()-1,설정!$L$19)),INDEX(원자료_잔고!$A$1:$EZ$1500,설정!$L$5+ROW()-1,설정!$L$19),""),"")</f>
        <v>-56919.09</v>
      </c>
      <c r="N58" s="83" t="str">
        <f aca="false">IFERROR(IF(INDEX(원자료_잔고!$A$1:$EZ$1500,설정!$L$5+ROW()-1,설정!$L$21)&amp;""="0","",INDEX(원자료_잔고!$A$1:$EZ$1500,설정!$L$5+ROW()-1,설정!$L$21)&amp;""),"")</f>
        <v>BBB</v>
      </c>
      <c r="O58" s="83" t="str">
        <f aca="false">IFERROR(IF(INDEX(원자료_잔고!$A$1:$EZ$1500,설정!$L$5+ROW()-1,설정!$L$22)&amp;""="0","",INDEX(원자료_잔고!$A$1:$EZ$1500,설정!$L$5+ROW()-1,설정!$L$22)&amp;""),"")</f>
        <v/>
      </c>
      <c r="P58" s="83" t="str">
        <f aca="false">IFERROR(IF(INDEX(원자료_잔고!$A$1:$EZ$1500,설정!$L$5+ROW()-1,설정!$L$23)&amp;""="0","",INDEX(원자료_잔고!$A$1:$EZ$1500,설정!$L$5+ROW()-1,설정!$L$23)&amp;""),"")</f>
        <v>N/A</v>
      </c>
      <c r="Q58" s="89" t="n">
        <f aca="false">IF(AND($A58&lt;&gt;"",ISNUMBER(E58)),IF(E58&gt;0,1,0),0)</f>
        <v>1</v>
      </c>
      <c r="R58" s="43" t="str">
        <f aca="false">IF(Q58=1,UPPER(LEFT($A58,FIND(" ",$A58&amp;" ")-1)),"")</f>
        <v>POINTL</v>
      </c>
      <c r="S58" s="89" t="n">
        <f aca="false">IF(Q58=1,IF(OR(ISNUMBER(SEARCH("Float",$A58)),ISNUMBER(SEARCH("FRN",$A58))),1,0),0)</f>
        <v>0</v>
      </c>
      <c r="T58" s="43" t="str">
        <f aca="false">IF(AND(Q58=1,ISNUMBER(I58)),TEXT(I58,"yyyymmdd")&amp;"|"&amp;IF(S58=1,"F",TEXT(J58,"0.000")),"")</f>
        <v>20310629|5.125</v>
      </c>
      <c r="U58" s="90" t="n">
        <f aca="false">IF(AND(Q58=1,ISNUMBER(I58)),(I58-설정!$C$4)/365.25,"")</f>
        <v>4.7419575633128</v>
      </c>
      <c r="V58" s="43" t="str">
        <f aca="false">IF(Q58&lt;&gt;1,"",IF(ISNUMBER(U58),IF(U58&lt;=1,"1년 이하",IF(U58&lt;=2,"1-2년",IF(U58&lt;=3,"2-3년",IF(U58&lt;=4,"3-4년",IF(U58&lt;=5,"4-5년",IF(U58&lt;=7,"5-7년",IF(U58&lt;=10,"7-10년",IF(U58&lt;=20,"10-20년","20년 이상")))))))),"미분류"))</f>
        <v>4-5년</v>
      </c>
      <c r="W58" s="43" t="str">
        <f aca="false">IF(Q58&lt;&gt;1,"",IF(AB58&lt;&gt;"",INDEX(시장분석!$C:$C,AB58),IF(K58=1,"USD","비USD")))</f>
        <v>USD</v>
      </c>
      <c r="X58" s="91" t="n">
        <f aca="false">IF(Q58=1,E58*K58/1000000,0)</f>
        <v>2</v>
      </c>
      <c r="Y58" s="89" t="n">
        <f aca="false">IF(R58="T",1,0)</f>
        <v>0</v>
      </c>
      <c r="Z58" s="92" t="n">
        <f aca="false">IF(Q58&lt;&gt;1,"",IF(AD58=1,IF(ISNUMBER(U58),MAX(U58,0),H58),H58))</f>
        <v>4.0444</v>
      </c>
      <c r="AA58" s="91" t="n">
        <f aca="false">IF(Q58=1,IF(ISNUMBER(L58),L58,0)*K58/1000000,0)</f>
        <v>1.926202</v>
      </c>
      <c r="AB58" s="89" t="n">
        <f aca="false">IF(Q58&lt;&gt;1,"",IFERROR(MATCH(VLOOKUP(B58,매핑!$H$4:$I$15,2,0),시장분석!$A$2:$A$601,0)+1,IFERROR(MATCH(R58&amp;"|"&amp;T58,시장분석!$V$2:$V$601,0)+1,IF(COUNTIF(시장분석!$U$2:$U$601,T58)=1,MATCH(T58,시장분석!$U$2:$U$601,0)+1,""))))</f>
        <v>198</v>
      </c>
      <c r="AC58" s="89" t="n">
        <f aca="false">IF(Q58&lt;&gt;1,0,IF(OR(설정!$C$5="전체",AND(설정!$C$5="선택펀드",IFERROR(COUNTIFS(설정!$F$16:$F$36,C58,설정!$G$16:$G$36,"Y")+COUNTIFS(설정!$F$16:$F$36,VALUE(C58),설정!$G$16:$G$36,"Y"),0)&gt;0),C58&amp;""=설정!$C$5&amp;""),1,0))</f>
        <v>1</v>
      </c>
      <c r="AD58" s="89" t="n">
        <f aca="false">IF(Q58&lt;&gt;1,0,IF(OR(S58=1,IF(AB58="",FALSE(),INDEX(시장분석!$R:$R,AB58)=1)),1,0))</f>
        <v>0</v>
      </c>
      <c r="AE58" s="43" t="str">
        <f aca="false">IF(AB58="","",INDEX(시장분석!$A:$A,AB58))</f>
        <v>POINTL 5 1/8 06/29/31</v>
      </c>
      <c r="AF58" s="93" t="n">
        <f aca="false">IF(AB58="","",IF(ISNUMBER(IF(AB58="","",INDEX(시장분석!$E:$E,AB58))),IF(AB58="","",INDEX(시장분석!$E:$E,AB58)),""))</f>
        <v>102.421</v>
      </c>
      <c r="AG58" s="43" t="str">
        <f aca="false">IF(Q58&lt;&gt;1,"",IF(AB58&lt;&gt;"",IF(AB58="","",INDEX(시장분석!$L:$L,AB58)),IFERROR(IF(VLOOKUP(R58,매핑!$A$4:$E$92,5,0)="","미분류",VLOOKUP(R58,매핑!$A$4:$E$92,5,0)),"미분류")))</f>
        <v>원자재</v>
      </c>
      <c r="AH58" s="43" t="str">
        <f aca="false">IF(Q58&lt;&gt;1,"",IF(AB58&lt;&gt;"",IF(AB58="","",INDEX(시장분석!$N:$N,AB58)),IFERROR(IF(VLOOKUP(R58,매핑!$A$4:$E$92,4,0)="","미분류",VLOOKUP(R58,매핑!$A$4:$E$92,4,0)),"미분류")))</f>
        <v>아시아/기타</v>
      </c>
      <c r="AI58" s="43" t="str">
        <f aca="false">IF(Q58&lt;&gt;1,"",IFERROR(IF(VLOOKUP(R58,매핑!$A$4:$E$92,3,0)="","미분류",VLOOKUP(R58,매핑!$A$4:$E$92,3,0)),IF(AB58&lt;&gt;"",IF(AB58="","",INDEX(시장분석!$W:$W,AB58)),"미분류")))</f>
        <v>한국</v>
      </c>
      <c r="AJ58" s="43" t="str">
        <f aca="false">IF(Q58&lt;&gt;1,"",IFERROR(VLOOKUP(IF(N58&lt;&gt;"",N58,IF(P58&lt;&gt;"",P58,O58)),설정!$A$15:$D$47,2,0),""))</f>
        <v>BBB</v>
      </c>
      <c r="AK58" s="43" t="str">
        <f aca="false">IF(Q58&lt;&gt;1,"",IF(AJ58="","무등급",IFERROR(VLOOKUP(AJ58,설정!$A$15:$D$47,3,0),"무등급")))</f>
        <v>BBB</v>
      </c>
      <c r="AL58" s="89" t="n">
        <f aca="false">IF(AJ58="",99,IFERROR(VLOOKUP(AJ58,설정!$A$15:$D$47,4,0),99))</f>
        <v>9</v>
      </c>
      <c r="AM58" s="94" t="n">
        <f aca="false">IF(ISNUMBER(H58),AA58*1000000*H58/10000,0)</f>
        <v>779.03313688</v>
      </c>
      <c r="AN58" s="94" t="n">
        <f aca="false">IF(OR(Y58=1,NOT(ISNUMBER(Z58))),0,AA58*1000000*Z58/10000)</f>
        <v>779.03313688</v>
      </c>
      <c r="AO58" s="94" t="n">
        <f aca="false">IF(ISNUMBER(G58),AA58*1000000*G58/100,0)</f>
        <v>116101.82555</v>
      </c>
      <c r="AP58" s="94" t="n">
        <f aca="false">IF(ISNUMBER(M58),M58*K58,0)</f>
        <v>-56919.09</v>
      </c>
      <c r="AQ58" s="95" t="n">
        <f aca="false">IF(AB58="","",INDEX(시장분석!$AK:$AK,AB58))</f>
        <v>1.69947378783185</v>
      </c>
      <c r="AR58" s="43" t="str">
        <f aca="false">IF(AB58="","-",IF(AB58="","",INDEX(시장분석!$AL:$AL,AB58)))</f>
        <v>Cheap</v>
      </c>
      <c r="AS58" s="96" t="n">
        <f aca="false">IF(AB58="","",INDEX(시장분석!$AJ:$AJ,AB58))</f>
        <v>18.8132446022738</v>
      </c>
      <c r="AT58" s="93" t="n">
        <f aca="false">IF(AB58="",0,IF(AB58="","",INDEX(시장분석!$AN:$AN,AB58)))</f>
        <v>7.65171285354377</v>
      </c>
      <c r="AU58" s="94" t="n">
        <f aca="false">IF(ISNUMBER(Z58),AT58/10000*MAX(Z58-1,0)*AA58*1000000,0)</f>
        <v>4487.06340660905</v>
      </c>
      <c r="AV58" s="94" t="n">
        <f aca="false">AO58+AU58</f>
        <v>120588.888956609</v>
      </c>
      <c r="AW58" s="43" t="str">
        <f aca="false">IF(Q58&lt;&gt;1,"",TRIM(IF(AD58=1,"FRN ","")&amp;IF(AND(AL58&gt;=10,AL58&lt;99),"BBB0미만 ","")&amp;IF(AJ58="","등급없음 ","")&amp;IF(K58&lt;&gt;1,"비USD ","")&amp;IF(AND(AB58="",Y58=0),"시장데이터없음 ","")&amp;IF(AND(ISNUMBER(U58),U58&lt;0),"만기경과 ","")))</f>
        <v/>
      </c>
      <c r="AX58" s="90" t="n">
        <f aca="false">IF(Q58&lt;&gt;1,1,IF(스프레드쇼크!$C$4="Y",INDEX(스프레드쇼크!$B$12:$L$16,IFERROR(MATCH(AH58,스프레드쇼크!$A$12:$A$16,0),MATCH("목록외",스프레드쇼크!$A$12:$A$16,0)),IFERROR(MATCH(AG58,스프레드쇼크!$B$11:$L$11,0),MATCH("목록외",스프레드쇼크!$B$11:$L$11,0))),1))</f>
        <v>1</v>
      </c>
      <c r="AY58" s="90" t="n">
        <f aca="false">IF(스프레드쇼크!$C$5="Y",IF(ISNUMBER(AF58),MIN(스프레드쇼크!$C$7,MAX(스프레드쇼크!$C$6,AF58/스프레드쇼크!$C$8)),1),1)</f>
        <v>1.54915737322167</v>
      </c>
      <c r="AZ58" s="94" t="n">
        <f aca="false">AN58*AX58*AY58</f>
        <v>1206.84492798166</v>
      </c>
      <c r="BA58" s="90" t="n">
        <f aca="false">IF(ISNUMBER(G58),AA58*G58,0)</f>
        <v>11.610182555</v>
      </c>
      <c r="BB58" s="90" t="n">
        <f aca="false">IF(ISNUMBER(G58),AA58,0)</f>
        <v>1.926202</v>
      </c>
      <c r="BC58" s="90" t="n">
        <f aca="false">IF(AND(Y58=0,ISNUMBER(AF58)),AA58*AF58,0)</f>
        <v>197.283535042</v>
      </c>
      <c r="BD58" s="90" t="n">
        <f aca="false">IF(AND(Y58=0,ISNUMBER(AF58)),AA58,0)</f>
        <v>1.926202</v>
      </c>
      <c r="BE58" s="90" t="n">
        <f aca="false">IF(ISNUMBER(H58),AA58*H58,0)</f>
        <v>7.7903313688</v>
      </c>
      <c r="BF58" s="90" t="n">
        <f aca="false">IF(ISNUMBER(H58),AA58,0)</f>
        <v>1.926202</v>
      </c>
      <c r="BG58" s="90" t="n">
        <f aca="false">IF(AND(Y58=0,ISNUMBER(AF58),ISNUMBER(Z58)),AA58*Z58,0)</f>
        <v>7.7903313688</v>
      </c>
      <c r="BH58" s="90" t="n">
        <f aca="false">IF(AND(Y58=0,ISNUMBER(AF58),ISNUMBER(Z58)),AA58*AT58*MAX(Z58-1,0),0)</f>
        <v>44.8706340660905</v>
      </c>
      <c r="BI58" s="90" t="n">
        <f aca="false">IF(Y58=0,AA58,0)</f>
        <v>1.926202</v>
      </c>
    </row>
    <row r="59" customFormat="false" ht="15" hidden="false" customHeight="false" outlineLevel="0" collapsed="false">
      <c r="A59" s="83" t="str">
        <f aca="false">IFERROR(IF(INDEX(원자료_잔고!$A$1:$EZ$1500,설정!$L$5+ROW()-1,설정!$L$8)&amp;""="0","",INDEX(원자료_잔고!$A$1:$EZ$1500,설정!$L$5+ROW()-1,설정!$L$8)&amp;""),"")</f>
        <v>POINTL 5.125 06/29/31</v>
      </c>
      <c r="B59" s="83" t="str">
        <f aca="false">IFERROR(IF(INDEX(원자료_잔고!$A$1:$EZ$1500,설정!$L$5+ROW()-1,설정!$L$7)&amp;""="0","",INDEX(원자료_잔고!$A$1:$EZ$1500,설정!$L$5+ROW()-1,설정!$L$7)&amp;""),"")</f>
        <v>USY7S27KAX02</v>
      </c>
      <c r="C59" s="83" t="str">
        <f aca="false">IFERROR(IF(INDEX(원자료_잔고!$A$1:$EZ$1500,설정!$L$5+ROW()-1,설정!$L$9)&amp;""="0","",INDEX(원자료_잔고!$A$1:$EZ$1500,설정!$L$5+ROW()-1,설정!$L$9)&amp;""),"")</f>
        <v>28096</v>
      </c>
      <c r="D5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59" s="84" t="n">
        <f aca="false">IFERROR(IF(ISNUMBER(INDEX(원자료_잔고!$A$1:$EZ$1500,설정!$L$5+ROW()-1,설정!$L$11)),INDEX(원자료_잔고!$A$1:$EZ$1500,설정!$L$5+ROW()-1,설정!$L$11),""),"")</f>
        <v>2000000</v>
      </c>
      <c r="F59" s="85" t="n">
        <f aca="false">IFERROR(IF(ISNUMBER(INDEX(원자료_잔고!$A$1:$EZ$1500,설정!$L$5+ROW()-1,설정!$L$12)),INDEX(원자료_잔고!$A$1:$EZ$1500,설정!$L$5+ROW()-1,설정!$L$12),""),"")</f>
        <v>96.3101</v>
      </c>
      <c r="G59" s="85" t="n">
        <f aca="false">IFERROR(IF(ISNUMBER(INDEX(원자료_잔고!$A$1:$EZ$1500,설정!$L$5+ROW()-1,설정!$L$13)),INDEX(원자료_잔고!$A$1:$EZ$1500,설정!$L$5+ROW()-1,설정!$L$13),""),"")</f>
        <v>6.0275</v>
      </c>
      <c r="H59" s="85" t="n">
        <f aca="false">IFERROR(IF(ISNUMBER(INDEX(원자료_잔고!$A$1:$EZ$1500,설정!$L$5+ROW()-1,설정!$L$14)),INDEX(원자료_잔고!$A$1:$EZ$1500,설정!$L$5+ROW()-1,설정!$L$14),""),"")</f>
        <v>4.0444</v>
      </c>
      <c r="I59" s="86" t="n">
        <f aca="false">IFERROR(IF(ISNUMBER(INDEX(원자료_잔고!$A$1:$EZ$1500,설정!$L$5+ROW()-1,설정!$L$15)),INDEX(원자료_잔고!$A$1:$EZ$1500,설정!$L$5+ROW()-1,설정!$L$15),""),"")</f>
        <v>48028</v>
      </c>
      <c r="J59" s="85" t="n">
        <f aca="false">IFERROR(IF(ISNUMBER(INDEX(원자료_잔고!$A$1:$EZ$1500,설정!$L$5+ROW()-1,설정!$L$16)),INDEX(원자료_잔고!$A$1:$EZ$1500,설정!$L$5+ROW()-1,설정!$L$16),""),"")</f>
        <v>5.125</v>
      </c>
      <c r="K59" s="87" t="n">
        <f aca="false">IFERROR(IF(ISNUMBER(INDEX(원자료_잔고!$A$1:$EZ$1500,설정!$L$5+ROW()-1,설정!$L$17)),INDEX(원자료_잔고!$A$1:$EZ$1500,설정!$L$5+ROW()-1,설정!$L$17),""),"")</f>
        <v>1</v>
      </c>
      <c r="L59" s="84" t="n">
        <f aca="false">IFERROR(IF(ISNUMBER(INDEX(원자료_잔고!$A$1:$EZ$1500,설정!$L$5+ROW()-1,설정!$L$18)),INDEX(원자료_잔고!$A$1:$EZ$1500,설정!$L$5+ROW()-1,설정!$L$18),""),"")</f>
        <v>1926202</v>
      </c>
      <c r="M59" s="88" t="n">
        <f aca="false">IFERROR(IF(ISNUMBER(INDEX(원자료_잔고!$A$1:$EZ$1500,설정!$L$5+ROW()-1,설정!$L$19)),INDEX(원자료_잔고!$A$1:$EZ$1500,설정!$L$5+ROW()-1,설정!$L$19),""),"")</f>
        <v>-54711.02</v>
      </c>
      <c r="N59" s="83" t="str">
        <f aca="false">IFERROR(IF(INDEX(원자료_잔고!$A$1:$EZ$1500,설정!$L$5+ROW()-1,설정!$L$21)&amp;""="0","",INDEX(원자료_잔고!$A$1:$EZ$1500,설정!$L$5+ROW()-1,설정!$L$21)&amp;""),"")</f>
        <v>BBB</v>
      </c>
      <c r="O59" s="83" t="str">
        <f aca="false">IFERROR(IF(INDEX(원자료_잔고!$A$1:$EZ$1500,설정!$L$5+ROW()-1,설정!$L$22)&amp;""="0","",INDEX(원자료_잔고!$A$1:$EZ$1500,설정!$L$5+ROW()-1,설정!$L$22)&amp;""),"")</f>
        <v/>
      </c>
      <c r="P59" s="83" t="str">
        <f aca="false">IFERROR(IF(INDEX(원자료_잔고!$A$1:$EZ$1500,설정!$L$5+ROW()-1,설정!$L$23)&amp;""="0","",INDEX(원자료_잔고!$A$1:$EZ$1500,설정!$L$5+ROW()-1,설정!$L$23)&amp;""),"")</f>
        <v>N/A</v>
      </c>
      <c r="Q59" s="89" t="n">
        <f aca="false">IF(AND($A59&lt;&gt;"",ISNUMBER(E59)),IF(E59&gt;0,1,0),0)</f>
        <v>1</v>
      </c>
      <c r="R59" s="43" t="str">
        <f aca="false">IF(Q59=1,UPPER(LEFT($A59,FIND(" ",$A59&amp;" ")-1)),"")</f>
        <v>POINTL</v>
      </c>
      <c r="S59" s="89" t="n">
        <f aca="false">IF(Q59=1,IF(OR(ISNUMBER(SEARCH("Float",$A59)),ISNUMBER(SEARCH("FRN",$A59))),1,0),0)</f>
        <v>0</v>
      </c>
      <c r="T59" s="43" t="str">
        <f aca="false">IF(AND(Q59=1,ISNUMBER(I59)),TEXT(I59,"yyyymmdd")&amp;"|"&amp;IF(S59=1,"F",TEXT(J59,"0.000")),"")</f>
        <v>20310629|5.125</v>
      </c>
      <c r="U59" s="90" t="n">
        <f aca="false">IF(AND(Q59=1,ISNUMBER(I59)),(I59-설정!$C$4)/365.25,"")</f>
        <v>4.7419575633128</v>
      </c>
      <c r="V59" s="43" t="str">
        <f aca="false">IF(Q59&lt;&gt;1,"",IF(ISNUMBER(U59),IF(U59&lt;=1,"1년 이하",IF(U59&lt;=2,"1-2년",IF(U59&lt;=3,"2-3년",IF(U59&lt;=4,"3-4년",IF(U59&lt;=5,"4-5년",IF(U59&lt;=7,"5-7년",IF(U59&lt;=10,"7-10년",IF(U59&lt;=20,"10-20년","20년 이상")))))))),"미분류"))</f>
        <v>4-5년</v>
      </c>
      <c r="W59" s="43" t="str">
        <f aca="false">IF(Q59&lt;&gt;1,"",IF(AB59&lt;&gt;"",INDEX(시장분석!$C:$C,AB59),IF(K59=1,"USD","비USD")))</f>
        <v>USD</v>
      </c>
      <c r="X59" s="91" t="n">
        <f aca="false">IF(Q59=1,E59*K59/1000000,0)</f>
        <v>2</v>
      </c>
      <c r="Y59" s="89" t="n">
        <f aca="false">IF(R59="T",1,0)</f>
        <v>0</v>
      </c>
      <c r="Z59" s="92" t="n">
        <f aca="false">IF(Q59&lt;&gt;1,"",IF(AD59=1,IF(ISNUMBER(U59),MAX(U59,0),H59),H59))</f>
        <v>4.0444</v>
      </c>
      <c r="AA59" s="91" t="n">
        <f aca="false">IF(Q59=1,IF(ISNUMBER(L59),L59,0)*K59/1000000,0)</f>
        <v>1.926202</v>
      </c>
      <c r="AB59" s="89" t="n">
        <f aca="false">IF(Q59&lt;&gt;1,"",IFERROR(MATCH(VLOOKUP(B59,매핑!$H$4:$I$15,2,0),시장분석!$A$2:$A$601,0)+1,IFERROR(MATCH(R59&amp;"|"&amp;T59,시장분석!$V$2:$V$601,0)+1,IF(COUNTIF(시장분석!$U$2:$U$601,T59)=1,MATCH(T59,시장분석!$U$2:$U$601,0)+1,""))))</f>
        <v>198</v>
      </c>
      <c r="AC59" s="89" t="n">
        <f aca="false">IF(Q59&lt;&gt;1,0,IF(OR(설정!$C$5="전체",AND(설정!$C$5="선택펀드",IFERROR(COUNTIFS(설정!$F$16:$F$36,C59,설정!$G$16:$G$36,"Y")+COUNTIFS(설정!$F$16:$F$36,VALUE(C59),설정!$G$16:$G$36,"Y"),0)&gt;0),C59&amp;""=설정!$C$5&amp;""),1,0))</f>
        <v>1</v>
      </c>
      <c r="AD59" s="89" t="n">
        <f aca="false">IF(Q59&lt;&gt;1,0,IF(OR(S59=1,IF(AB59="",FALSE(),INDEX(시장분석!$R:$R,AB59)=1)),1,0))</f>
        <v>0</v>
      </c>
      <c r="AE59" s="43" t="str">
        <f aca="false">IF(AB59="","",INDEX(시장분석!$A:$A,AB59))</f>
        <v>POINTL 5 1/8 06/29/31</v>
      </c>
      <c r="AF59" s="93" t="n">
        <f aca="false">IF(AB59="","",IF(ISNUMBER(IF(AB59="","",INDEX(시장분석!$E:$E,AB59))),IF(AB59="","",INDEX(시장분석!$E:$E,AB59)),""))</f>
        <v>102.421</v>
      </c>
      <c r="AG59" s="43" t="str">
        <f aca="false">IF(Q59&lt;&gt;1,"",IF(AB59&lt;&gt;"",IF(AB59="","",INDEX(시장분석!$L:$L,AB59)),IFERROR(IF(VLOOKUP(R59,매핑!$A$4:$E$92,5,0)="","미분류",VLOOKUP(R59,매핑!$A$4:$E$92,5,0)),"미분류")))</f>
        <v>원자재</v>
      </c>
      <c r="AH59" s="43" t="str">
        <f aca="false">IF(Q59&lt;&gt;1,"",IF(AB59&lt;&gt;"",IF(AB59="","",INDEX(시장분석!$N:$N,AB59)),IFERROR(IF(VLOOKUP(R59,매핑!$A$4:$E$92,4,0)="","미분류",VLOOKUP(R59,매핑!$A$4:$E$92,4,0)),"미분류")))</f>
        <v>아시아/기타</v>
      </c>
      <c r="AI59" s="43" t="str">
        <f aca="false">IF(Q59&lt;&gt;1,"",IFERROR(IF(VLOOKUP(R59,매핑!$A$4:$E$92,3,0)="","미분류",VLOOKUP(R59,매핑!$A$4:$E$92,3,0)),IF(AB59&lt;&gt;"",IF(AB59="","",INDEX(시장분석!$W:$W,AB59)),"미분류")))</f>
        <v>한국</v>
      </c>
      <c r="AJ59" s="43" t="str">
        <f aca="false">IF(Q59&lt;&gt;1,"",IFERROR(VLOOKUP(IF(N59&lt;&gt;"",N59,IF(P59&lt;&gt;"",P59,O59)),설정!$A$15:$D$47,2,0),""))</f>
        <v>BBB</v>
      </c>
      <c r="AK59" s="43" t="str">
        <f aca="false">IF(Q59&lt;&gt;1,"",IF(AJ59="","무등급",IFERROR(VLOOKUP(AJ59,설정!$A$15:$D$47,3,0),"무등급")))</f>
        <v>BBB</v>
      </c>
      <c r="AL59" s="89" t="n">
        <f aca="false">IF(AJ59="",99,IFERROR(VLOOKUP(AJ59,설정!$A$15:$D$47,4,0),99))</f>
        <v>9</v>
      </c>
      <c r="AM59" s="94" t="n">
        <f aca="false">IF(ISNUMBER(H59),AA59*1000000*H59/10000,0)</f>
        <v>779.03313688</v>
      </c>
      <c r="AN59" s="94" t="n">
        <f aca="false">IF(OR(Y59=1,NOT(ISNUMBER(Z59))),0,AA59*1000000*Z59/10000)</f>
        <v>779.03313688</v>
      </c>
      <c r="AO59" s="94" t="n">
        <f aca="false">IF(ISNUMBER(G59),AA59*1000000*G59/100,0)</f>
        <v>116101.82555</v>
      </c>
      <c r="AP59" s="94" t="n">
        <f aca="false">IF(ISNUMBER(M59),M59*K59,0)</f>
        <v>-54711.02</v>
      </c>
      <c r="AQ59" s="95" t="n">
        <f aca="false">IF(AB59="","",INDEX(시장분석!$AK:$AK,AB59))</f>
        <v>1.69947378783185</v>
      </c>
      <c r="AR59" s="43" t="str">
        <f aca="false">IF(AB59="","-",IF(AB59="","",INDEX(시장분석!$AL:$AL,AB59)))</f>
        <v>Cheap</v>
      </c>
      <c r="AS59" s="96" t="n">
        <f aca="false">IF(AB59="","",INDEX(시장분석!$AJ:$AJ,AB59))</f>
        <v>18.8132446022738</v>
      </c>
      <c r="AT59" s="93" t="n">
        <f aca="false">IF(AB59="",0,IF(AB59="","",INDEX(시장분석!$AN:$AN,AB59)))</f>
        <v>7.65171285354377</v>
      </c>
      <c r="AU59" s="94" t="n">
        <f aca="false">IF(ISNUMBER(Z59),AT59/10000*MAX(Z59-1,0)*AA59*1000000,0)</f>
        <v>4487.06340660905</v>
      </c>
      <c r="AV59" s="94" t="n">
        <f aca="false">AO59+AU59</f>
        <v>120588.888956609</v>
      </c>
      <c r="AW59" s="43" t="str">
        <f aca="false">IF(Q59&lt;&gt;1,"",TRIM(IF(AD59=1,"FRN ","")&amp;IF(AND(AL59&gt;=10,AL59&lt;99),"BBB0미만 ","")&amp;IF(AJ59="","등급없음 ","")&amp;IF(K59&lt;&gt;1,"비USD ","")&amp;IF(AND(AB59="",Y59=0),"시장데이터없음 ","")&amp;IF(AND(ISNUMBER(U59),U59&lt;0),"만기경과 ","")))</f>
        <v/>
      </c>
      <c r="AX59" s="90" t="n">
        <f aca="false">IF(Q59&lt;&gt;1,1,IF(스프레드쇼크!$C$4="Y",INDEX(스프레드쇼크!$B$12:$L$16,IFERROR(MATCH(AH59,스프레드쇼크!$A$12:$A$16,0),MATCH("목록외",스프레드쇼크!$A$12:$A$16,0)),IFERROR(MATCH(AG59,스프레드쇼크!$B$11:$L$11,0),MATCH("목록외",스프레드쇼크!$B$11:$L$11,0))),1))</f>
        <v>1</v>
      </c>
      <c r="AY59" s="90" t="n">
        <f aca="false">IF(스프레드쇼크!$C$5="Y",IF(ISNUMBER(AF59),MIN(스프레드쇼크!$C$7,MAX(스프레드쇼크!$C$6,AF59/스프레드쇼크!$C$8)),1),1)</f>
        <v>1.54915737322167</v>
      </c>
      <c r="AZ59" s="94" t="n">
        <f aca="false">AN59*AX59*AY59</f>
        <v>1206.84492798166</v>
      </c>
      <c r="BA59" s="90" t="n">
        <f aca="false">IF(ISNUMBER(G59),AA59*G59,0)</f>
        <v>11.610182555</v>
      </c>
      <c r="BB59" s="90" t="n">
        <f aca="false">IF(ISNUMBER(G59),AA59,0)</f>
        <v>1.926202</v>
      </c>
      <c r="BC59" s="90" t="n">
        <f aca="false">IF(AND(Y59=0,ISNUMBER(AF59)),AA59*AF59,0)</f>
        <v>197.283535042</v>
      </c>
      <c r="BD59" s="90" t="n">
        <f aca="false">IF(AND(Y59=0,ISNUMBER(AF59)),AA59,0)</f>
        <v>1.926202</v>
      </c>
      <c r="BE59" s="90" t="n">
        <f aca="false">IF(ISNUMBER(H59),AA59*H59,0)</f>
        <v>7.7903313688</v>
      </c>
      <c r="BF59" s="90" t="n">
        <f aca="false">IF(ISNUMBER(H59),AA59,0)</f>
        <v>1.926202</v>
      </c>
      <c r="BG59" s="90" t="n">
        <f aca="false">IF(AND(Y59=0,ISNUMBER(AF59),ISNUMBER(Z59)),AA59*Z59,0)</f>
        <v>7.7903313688</v>
      </c>
      <c r="BH59" s="90" t="n">
        <f aca="false">IF(AND(Y59=0,ISNUMBER(AF59),ISNUMBER(Z59)),AA59*AT59*MAX(Z59-1,0),0)</f>
        <v>44.8706340660905</v>
      </c>
      <c r="BI59" s="90" t="n">
        <f aca="false">IF(Y59=0,AA59,0)</f>
        <v>1.926202</v>
      </c>
    </row>
    <row r="60" customFormat="false" ht="15" hidden="false" customHeight="false" outlineLevel="0" collapsed="false">
      <c r="A60" s="83" t="str">
        <f aca="false">IFERROR(IF(INDEX(원자료_잔고!$A$1:$EZ$1500,설정!$L$5+ROW()-1,설정!$L$8)&amp;""="0","",INDEX(원자료_잔고!$A$1:$EZ$1500,설정!$L$5+ROW()-1,설정!$L$8)&amp;""),"")</f>
        <v>POINTL 5.125 06/29/31</v>
      </c>
      <c r="B60" s="83" t="str">
        <f aca="false">IFERROR(IF(INDEX(원자료_잔고!$A$1:$EZ$1500,설정!$L$5+ROW()-1,설정!$L$7)&amp;""="0","",INDEX(원자료_잔고!$A$1:$EZ$1500,설정!$L$5+ROW()-1,설정!$L$7)&amp;""),"")</f>
        <v>USY7S27KAX02</v>
      </c>
      <c r="C60" s="83" t="str">
        <f aca="false">IFERROR(IF(INDEX(원자료_잔고!$A$1:$EZ$1500,설정!$L$5+ROW()-1,설정!$L$9)&amp;""="0","",INDEX(원자료_잔고!$A$1:$EZ$1500,설정!$L$5+ROW()-1,설정!$L$9)&amp;""),"")</f>
        <v>28096</v>
      </c>
      <c r="D6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0" s="84" t="n">
        <f aca="false">IFERROR(IF(ISNUMBER(INDEX(원자료_잔고!$A$1:$EZ$1500,설정!$L$5+ROW()-1,설정!$L$11)),INDEX(원자료_잔고!$A$1:$EZ$1500,설정!$L$5+ROW()-1,설정!$L$11),""),"")</f>
        <v>1000000</v>
      </c>
      <c r="F60" s="85" t="n">
        <f aca="false">IFERROR(IF(ISNUMBER(INDEX(원자료_잔고!$A$1:$EZ$1500,설정!$L$5+ROW()-1,설정!$L$12)),INDEX(원자료_잔고!$A$1:$EZ$1500,설정!$L$5+ROW()-1,설정!$L$12),""),"")</f>
        <v>96.3101</v>
      </c>
      <c r="G60" s="85" t="n">
        <f aca="false">IFERROR(IF(ISNUMBER(INDEX(원자료_잔고!$A$1:$EZ$1500,설정!$L$5+ROW()-1,설정!$L$13)),INDEX(원자료_잔고!$A$1:$EZ$1500,설정!$L$5+ROW()-1,설정!$L$13),""),"")</f>
        <v>6.0275</v>
      </c>
      <c r="H60" s="85" t="n">
        <f aca="false">IFERROR(IF(ISNUMBER(INDEX(원자료_잔고!$A$1:$EZ$1500,설정!$L$5+ROW()-1,설정!$L$14)),INDEX(원자료_잔고!$A$1:$EZ$1500,설정!$L$5+ROW()-1,설정!$L$14),""),"")</f>
        <v>4.0444</v>
      </c>
      <c r="I60" s="86" t="n">
        <f aca="false">IFERROR(IF(ISNUMBER(INDEX(원자료_잔고!$A$1:$EZ$1500,설정!$L$5+ROW()-1,설정!$L$15)),INDEX(원자료_잔고!$A$1:$EZ$1500,설정!$L$5+ROW()-1,설정!$L$15),""),"")</f>
        <v>48028</v>
      </c>
      <c r="J60" s="85" t="n">
        <f aca="false">IFERROR(IF(ISNUMBER(INDEX(원자료_잔고!$A$1:$EZ$1500,설정!$L$5+ROW()-1,설정!$L$16)),INDEX(원자료_잔고!$A$1:$EZ$1500,설정!$L$5+ROW()-1,설정!$L$16),""),"")</f>
        <v>5.125</v>
      </c>
      <c r="K60" s="87" t="n">
        <f aca="false">IFERROR(IF(ISNUMBER(INDEX(원자료_잔고!$A$1:$EZ$1500,설정!$L$5+ROW()-1,설정!$L$17)),INDEX(원자료_잔고!$A$1:$EZ$1500,설정!$L$5+ROW()-1,설정!$L$17),""),"")</f>
        <v>1</v>
      </c>
      <c r="L60" s="84" t="n">
        <f aca="false">IFERROR(IF(ISNUMBER(INDEX(원자료_잔고!$A$1:$EZ$1500,설정!$L$5+ROW()-1,설정!$L$18)),INDEX(원자료_잔고!$A$1:$EZ$1500,설정!$L$5+ROW()-1,설정!$L$18),""),"")</f>
        <v>963101</v>
      </c>
      <c r="M60" s="88" t="n">
        <f aca="false">IFERROR(IF(ISNUMBER(INDEX(원자료_잔고!$A$1:$EZ$1500,설정!$L$5+ROW()-1,설정!$L$19)),INDEX(원자료_잔고!$A$1:$EZ$1500,설정!$L$5+ROW()-1,설정!$L$19),""),"")</f>
        <v>-25799.79</v>
      </c>
      <c r="N60" s="83" t="str">
        <f aca="false">IFERROR(IF(INDEX(원자료_잔고!$A$1:$EZ$1500,설정!$L$5+ROW()-1,설정!$L$21)&amp;""="0","",INDEX(원자료_잔고!$A$1:$EZ$1500,설정!$L$5+ROW()-1,설정!$L$21)&amp;""),"")</f>
        <v>BBB</v>
      </c>
      <c r="O60" s="83" t="str">
        <f aca="false">IFERROR(IF(INDEX(원자료_잔고!$A$1:$EZ$1500,설정!$L$5+ROW()-1,설정!$L$22)&amp;""="0","",INDEX(원자료_잔고!$A$1:$EZ$1500,설정!$L$5+ROW()-1,설정!$L$22)&amp;""),"")</f>
        <v/>
      </c>
      <c r="P60" s="83" t="str">
        <f aca="false">IFERROR(IF(INDEX(원자료_잔고!$A$1:$EZ$1500,설정!$L$5+ROW()-1,설정!$L$23)&amp;""="0","",INDEX(원자료_잔고!$A$1:$EZ$1500,설정!$L$5+ROW()-1,설정!$L$23)&amp;""),"")</f>
        <v>N/A</v>
      </c>
      <c r="Q60" s="89" t="n">
        <f aca="false">IF(AND($A60&lt;&gt;"",ISNUMBER(E60)),IF(E60&gt;0,1,0),0)</f>
        <v>1</v>
      </c>
      <c r="R60" s="43" t="str">
        <f aca="false">IF(Q60=1,UPPER(LEFT($A60,FIND(" ",$A60&amp;" ")-1)),"")</f>
        <v>POINTL</v>
      </c>
      <c r="S60" s="89" t="n">
        <f aca="false">IF(Q60=1,IF(OR(ISNUMBER(SEARCH("Float",$A60)),ISNUMBER(SEARCH("FRN",$A60))),1,0),0)</f>
        <v>0</v>
      </c>
      <c r="T60" s="43" t="str">
        <f aca="false">IF(AND(Q60=1,ISNUMBER(I60)),TEXT(I60,"yyyymmdd")&amp;"|"&amp;IF(S60=1,"F",TEXT(J60,"0.000")),"")</f>
        <v>20310629|5.125</v>
      </c>
      <c r="U60" s="90" t="n">
        <f aca="false">IF(AND(Q60=1,ISNUMBER(I60)),(I60-설정!$C$4)/365.25,"")</f>
        <v>4.7419575633128</v>
      </c>
      <c r="V60" s="43" t="str">
        <f aca="false">IF(Q60&lt;&gt;1,"",IF(ISNUMBER(U60),IF(U60&lt;=1,"1년 이하",IF(U60&lt;=2,"1-2년",IF(U60&lt;=3,"2-3년",IF(U60&lt;=4,"3-4년",IF(U60&lt;=5,"4-5년",IF(U60&lt;=7,"5-7년",IF(U60&lt;=10,"7-10년",IF(U60&lt;=20,"10-20년","20년 이상")))))))),"미분류"))</f>
        <v>4-5년</v>
      </c>
      <c r="W60" s="43" t="str">
        <f aca="false">IF(Q60&lt;&gt;1,"",IF(AB60&lt;&gt;"",INDEX(시장분석!$C:$C,AB60),IF(K60=1,"USD","비USD")))</f>
        <v>USD</v>
      </c>
      <c r="X60" s="91" t="n">
        <f aca="false">IF(Q60=1,E60*K60/1000000,0)</f>
        <v>1</v>
      </c>
      <c r="Y60" s="89" t="n">
        <f aca="false">IF(R60="T",1,0)</f>
        <v>0</v>
      </c>
      <c r="Z60" s="92" t="n">
        <f aca="false">IF(Q60&lt;&gt;1,"",IF(AD60=1,IF(ISNUMBER(U60),MAX(U60,0),H60),H60))</f>
        <v>4.0444</v>
      </c>
      <c r="AA60" s="91" t="n">
        <f aca="false">IF(Q60=1,IF(ISNUMBER(L60),L60,0)*K60/1000000,0)</f>
        <v>0.963101</v>
      </c>
      <c r="AB60" s="89" t="n">
        <f aca="false">IF(Q60&lt;&gt;1,"",IFERROR(MATCH(VLOOKUP(B60,매핑!$H$4:$I$15,2,0),시장분석!$A$2:$A$601,0)+1,IFERROR(MATCH(R60&amp;"|"&amp;T60,시장분석!$V$2:$V$601,0)+1,IF(COUNTIF(시장분석!$U$2:$U$601,T60)=1,MATCH(T60,시장분석!$U$2:$U$601,0)+1,""))))</f>
        <v>198</v>
      </c>
      <c r="AC60" s="89" t="n">
        <f aca="false">IF(Q60&lt;&gt;1,0,IF(OR(설정!$C$5="전체",AND(설정!$C$5="선택펀드",IFERROR(COUNTIFS(설정!$F$16:$F$36,C60,설정!$G$16:$G$36,"Y")+COUNTIFS(설정!$F$16:$F$36,VALUE(C60),설정!$G$16:$G$36,"Y"),0)&gt;0),C60&amp;""=설정!$C$5&amp;""),1,0))</f>
        <v>1</v>
      </c>
      <c r="AD60" s="89" t="n">
        <f aca="false">IF(Q60&lt;&gt;1,0,IF(OR(S60=1,IF(AB60="",FALSE(),INDEX(시장분석!$R:$R,AB60)=1)),1,0))</f>
        <v>0</v>
      </c>
      <c r="AE60" s="43" t="str">
        <f aca="false">IF(AB60="","",INDEX(시장분석!$A:$A,AB60))</f>
        <v>POINTL 5 1/8 06/29/31</v>
      </c>
      <c r="AF60" s="93" t="n">
        <f aca="false">IF(AB60="","",IF(ISNUMBER(IF(AB60="","",INDEX(시장분석!$E:$E,AB60))),IF(AB60="","",INDEX(시장분석!$E:$E,AB60)),""))</f>
        <v>102.421</v>
      </c>
      <c r="AG60" s="43" t="str">
        <f aca="false">IF(Q60&lt;&gt;1,"",IF(AB60&lt;&gt;"",IF(AB60="","",INDEX(시장분석!$L:$L,AB60)),IFERROR(IF(VLOOKUP(R60,매핑!$A$4:$E$92,5,0)="","미분류",VLOOKUP(R60,매핑!$A$4:$E$92,5,0)),"미분류")))</f>
        <v>원자재</v>
      </c>
      <c r="AH60" s="43" t="str">
        <f aca="false">IF(Q60&lt;&gt;1,"",IF(AB60&lt;&gt;"",IF(AB60="","",INDEX(시장분석!$N:$N,AB60)),IFERROR(IF(VLOOKUP(R60,매핑!$A$4:$E$92,4,0)="","미분류",VLOOKUP(R60,매핑!$A$4:$E$92,4,0)),"미분류")))</f>
        <v>아시아/기타</v>
      </c>
      <c r="AI60" s="43" t="str">
        <f aca="false">IF(Q60&lt;&gt;1,"",IFERROR(IF(VLOOKUP(R60,매핑!$A$4:$E$92,3,0)="","미분류",VLOOKUP(R60,매핑!$A$4:$E$92,3,0)),IF(AB60&lt;&gt;"",IF(AB60="","",INDEX(시장분석!$W:$W,AB60)),"미분류")))</f>
        <v>한국</v>
      </c>
      <c r="AJ60" s="43" t="str">
        <f aca="false">IF(Q60&lt;&gt;1,"",IFERROR(VLOOKUP(IF(N60&lt;&gt;"",N60,IF(P60&lt;&gt;"",P60,O60)),설정!$A$15:$D$47,2,0),""))</f>
        <v>BBB</v>
      </c>
      <c r="AK60" s="43" t="str">
        <f aca="false">IF(Q60&lt;&gt;1,"",IF(AJ60="","무등급",IFERROR(VLOOKUP(AJ60,설정!$A$15:$D$47,3,0),"무등급")))</f>
        <v>BBB</v>
      </c>
      <c r="AL60" s="89" t="n">
        <f aca="false">IF(AJ60="",99,IFERROR(VLOOKUP(AJ60,설정!$A$15:$D$47,4,0),99))</f>
        <v>9</v>
      </c>
      <c r="AM60" s="94" t="n">
        <f aca="false">IF(ISNUMBER(H60),AA60*1000000*H60/10000,0)</f>
        <v>389.51656844</v>
      </c>
      <c r="AN60" s="94" t="n">
        <f aca="false">IF(OR(Y60=1,NOT(ISNUMBER(Z60))),0,AA60*1000000*Z60/10000)</f>
        <v>389.51656844</v>
      </c>
      <c r="AO60" s="94" t="n">
        <f aca="false">IF(ISNUMBER(G60),AA60*1000000*G60/100,0)</f>
        <v>58050.912775</v>
      </c>
      <c r="AP60" s="94" t="n">
        <f aca="false">IF(ISNUMBER(M60),M60*K60,0)</f>
        <v>-25799.79</v>
      </c>
      <c r="AQ60" s="95" t="n">
        <f aca="false">IF(AB60="","",INDEX(시장분석!$AK:$AK,AB60))</f>
        <v>1.69947378783185</v>
      </c>
      <c r="AR60" s="43" t="str">
        <f aca="false">IF(AB60="","-",IF(AB60="","",INDEX(시장분석!$AL:$AL,AB60)))</f>
        <v>Cheap</v>
      </c>
      <c r="AS60" s="96" t="n">
        <f aca="false">IF(AB60="","",INDEX(시장분석!$AJ:$AJ,AB60))</f>
        <v>18.8132446022738</v>
      </c>
      <c r="AT60" s="93" t="n">
        <f aca="false">IF(AB60="",0,IF(AB60="","",INDEX(시장분석!$AN:$AN,AB60)))</f>
        <v>7.65171285354377</v>
      </c>
      <c r="AU60" s="94" t="n">
        <f aca="false">IF(ISNUMBER(Z60),AT60/10000*MAX(Z60-1,0)*AA60*1000000,0)</f>
        <v>2243.53170330452</v>
      </c>
      <c r="AV60" s="94" t="n">
        <f aca="false">AO60+AU60</f>
        <v>60294.4444783045</v>
      </c>
      <c r="AW60" s="43" t="str">
        <f aca="false">IF(Q60&lt;&gt;1,"",TRIM(IF(AD60=1,"FRN ","")&amp;IF(AND(AL60&gt;=10,AL60&lt;99),"BBB0미만 ","")&amp;IF(AJ60="","등급없음 ","")&amp;IF(K60&lt;&gt;1,"비USD ","")&amp;IF(AND(AB60="",Y60=0),"시장데이터없음 ","")&amp;IF(AND(ISNUMBER(U60),U60&lt;0),"만기경과 ","")))</f>
        <v/>
      </c>
      <c r="AX60" s="90" t="n">
        <f aca="false">IF(Q60&lt;&gt;1,1,IF(스프레드쇼크!$C$4="Y",INDEX(스프레드쇼크!$B$12:$L$16,IFERROR(MATCH(AH60,스프레드쇼크!$A$12:$A$16,0),MATCH("목록외",스프레드쇼크!$A$12:$A$16,0)),IFERROR(MATCH(AG60,스프레드쇼크!$B$11:$L$11,0),MATCH("목록외",스프레드쇼크!$B$11:$L$11,0))),1))</f>
        <v>1</v>
      </c>
      <c r="AY60" s="90" t="n">
        <f aca="false">IF(스프레드쇼크!$C$5="Y",IF(ISNUMBER(AF60),MIN(스프레드쇼크!$C$7,MAX(스프레드쇼크!$C$6,AF60/스프레드쇼크!$C$8)),1),1)</f>
        <v>1.54915737322167</v>
      </c>
      <c r="AZ60" s="94" t="n">
        <f aca="false">AN60*AX60*AY60</f>
        <v>603.42246399083</v>
      </c>
      <c r="BA60" s="90" t="n">
        <f aca="false">IF(ISNUMBER(G60),AA60*G60,0)</f>
        <v>5.8050912775</v>
      </c>
      <c r="BB60" s="90" t="n">
        <f aca="false">IF(ISNUMBER(G60),AA60,0)</f>
        <v>0.963101</v>
      </c>
      <c r="BC60" s="90" t="n">
        <f aca="false">IF(AND(Y60=0,ISNUMBER(AF60)),AA60*AF60,0)</f>
        <v>98.641767521</v>
      </c>
      <c r="BD60" s="90" t="n">
        <f aca="false">IF(AND(Y60=0,ISNUMBER(AF60)),AA60,0)</f>
        <v>0.963101</v>
      </c>
      <c r="BE60" s="90" t="n">
        <f aca="false">IF(ISNUMBER(H60),AA60*H60,0)</f>
        <v>3.8951656844</v>
      </c>
      <c r="BF60" s="90" t="n">
        <f aca="false">IF(ISNUMBER(H60),AA60,0)</f>
        <v>0.963101</v>
      </c>
      <c r="BG60" s="90" t="n">
        <f aca="false">IF(AND(Y60=0,ISNUMBER(AF60),ISNUMBER(Z60)),AA60*Z60,0)</f>
        <v>3.8951656844</v>
      </c>
      <c r="BH60" s="90" t="n">
        <f aca="false">IF(AND(Y60=0,ISNUMBER(AF60),ISNUMBER(Z60)),AA60*AT60*MAX(Z60-1,0),0)</f>
        <v>22.4353170330452</v>
      </c>
      <c r="BI60" s="90" t="n">
        <f aca="false">IF(Y60=0,AA60,0)</f>
        <v>0.963101</v>
      </c>
    </row>
    <row r="61" customFormat="false" ht="15" hidden="false" customHeight="false" outlineLevel="0" collapsed="false">
      <c r="A61" s="83" t="str">
        <f aca="false">IFERROR(IF(INDEX(원자료_잔고!$A$1:$EZ$1500,설정!$L$5+ROW()-1,설정!$L$8)&amp;""="0","",INDEX(원자료_잔고!$A$1:$EZ$1500,설정!$L$5+ROW()-1,설정!$L$8)&amp;""),"")</f>
        <v>POINTL 5.125 06/29/31</v>
      </c>
      <c r="B61" s="83" t="str">
        <f aca="false">IFERROR(IF(INDEX(원자료_잔고!$A$1:$EZ$1500,설정!$L$5+ROW()-1,설정!$L$7)&amp;""="0","",INDEX(원자료_잔고!$A$1:$EZ$1500,설정!$L$5+ROW()-1,설정!$L$7)&amp;""),"")</f>
        <v>USY7S27KAX02</v>
      </c>
      <c r="C61" s="83" t="str">
        <f aca="false">IFERROR(IF(INDEX(원자료_잔고!$A$1:$EZ$1500,설정!$L$5+ROW()-1,설정!$L$9)&amp;""="0","",INDEX(원자료_잔고!$A$1:$EZ$1500,설정!$L$5+ROW()-1,설정!$L$9)&amp;""),"")</f>
        <v>28096</v>
      </c>
      <c r="D6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1" s="84" t="n">
        <f aca="false">IFERROR(IF(ISNUMBER(INDEX(원자료_잔고!$A$1:$EZ$1500,설정!$L$5+ROW()-1,설정!$L$11)),INDEX(원자료_잔고!$A$1:$EZ$1500,설정!$L$5+ROW()-1,설정!$L$11),""),"")</f>
        <v>2000000</v>
      </c>
      <c r="F61" s="85" t="n">
        <f aca="false">IFERROR(IF(ISNUMBER(INDEX(원자료_잔고!$A$1:$EZ$1500,설정!$L$5+ROW()-1,설정!$L$12)),INDEX(원자료_잔고!$A$1:$EZ$1500,설정!$L$5+ROW()-1,설정!$L$12),""),"")</f>
        <v>96.3101</v>
      </c>
      <c r="G61" s="85" t="n">
        <f aca="false">IFERROR(IF(ISNUMBER(INDEX(원자료_잔고!$A$1:$EZ$1500,설정!$L$5+ROW()-1,설정!$L$13)),INDEX(원자료_잔고!$A$1:$EZ$1500,설정!$L$5+ROW()-1,설정!$L$13),""),"")</f>
        <v>6.0275</v>
      </c>
      <c r="H61" s="85" t="n">
        <f aca="false">IFERROR(IF(ISNUMBER(INDEX(원자료_잔고!$A$1:$EZ$1500,설정!$L$5+ROW()-1,설정!$L$14)),INDEX(원자료_잔고!$A$1:$EZ$1500,설정!$L$5+ROW()-1,설정!$L$14),""),"")</f>
        <v>4.0444</v>
      </c>
      <c r="I61" s="86" t="n">
        <f aca="false">IFERROR(IF(ISNUMBER(INDEX(원자료_잔고!$A$1:$EZ$1500,설정!$L$5+ROW()-1,설정!$L$15)),INDEX(원자료_잔고!$A$1:$EZ$1500,설정!$L$5+ROW()-1,설정!$L$15),""),"")</f>
        <v>48028</v>
      </c>
      <c r="J61" s="85" t="n">
        <f aca="false">IFERROR(IF(ISNUMBER(INDEX(원자료_잔고!$A$1:$EZ$1500,설정!$L$5+ROW()-1,설정!$L$16)),INDEX(원자료_잔고!$A$1:$EZ$1500,설정!$L$5+ROW()-1,설정!$L$16),""),"")</f>
        <v>5.125</v>
      </c>
      <c r="K61" s="87" t="n">
        <f aca="false">IFERROR(IF(ISNUMBER(INDEX(원자료_잔고!$A$1:$EZ$1500,설정!$L$5+ROW()-1,설정!$L$17)),INDEX(원자료_잔고!$A$1:$EZ$1500,설정!$L$5+ROW()-1,설정!$L$17),""),"")</f>
        <v>1</v>
      </c>
      <c r="L61" s="84" t="n">
        <f aca="false">IFERROR(IF(ISNUMBER(INDEX(원자료_잔고!$A$1:$EZ$1500,설정!$L$5+ROW()-1,설정!$L$18)),INDEX(원자료_잔고!$A$1:$EZ$1500,설정!$L$5+ROW()-1,설정!$L$18),""),"")</f>
        <v>1926202</v>
      </c>
      <c r="M61" s="88" t="n">
        <f aca="false">IFERROR(IF(ISNUMBER(INDEX(원자료_잔고!$A$1:$EZ$1500,설정!$L$5+ROW()-1,설정!$L$19)),INDEX(원자료_잔고!$A$1:$EZ$1500,설정!$L$5+ROW()-1,설정!$L$19),""),"")</f>
        <v>-48514.99</v>
      </c>
      <c r="N61" s="83" t="str">
        <f aca="false">IFERROR(IF(INDEX(원자료_잔고!$A$1:$EZ$1500,설정!$L$5+ROW()-1,설정!$L$21)&amp;""="0","",INDEX(원자료_잔고!$A$1:$EZ$1500,설정!$L$5+ROW()-1,설정!$L$21)&amp;""),"")</f>
        <v>BBB</v>
      </c>
      <c r="O61" s="83" t="str">
        <f aca="false">IFERROR(IF(INDEX(원자료_잔고!$A$1:$EZ$1500,설정!$L$5+ROW()-1,설정!$L$22)&amp;""="0","",INDEX(원자료_잔고!$A$1:$EZ$1500,설정!$L$5+ROW()-1,설정!$L$22)&amp;""),"")</f>
        <v/>
      </c>
      <c r="P61" s="83" t="str">
        <f aca="false">IFERROR(IF(INDEX(원자료_잔고!$A$1:$EZ$1500,설정!$L$5+ROW()-1,설정!$L$23)&amp;""="0","",INDEX(원자료_잔고!$A$1:$EZ$1500,설정!$L$5+ROW()-1,설정!$L$23)&amp;""),"")</f>
        <v>N/A</v>
      </c>
      <c r="Q61" s="89" t="n">
        <f aca="false">IF(AND($A61&lt;&gt;"",ISNUMBER(E61)),IF(E61&gt;0,1,0),0)</f>
        <v>1</v>
      </c>
      <c r="R61" s="43" t="str">
        <f aca="false">IF(Q61=1,UPPER(LEFT($A61,FIND(" ",$A61&amp;" ")-1)),"")</f>
        <v>POINTL</v>
      </c>
      <c r="S61" s="89" t="n">
        <f aca="false">IF(Q61=1,IF(OR(ISNUMBER(SEARCH("Float",$A61)),ISNUMBER(SEARCH("FRN",$A61))),1,0),0)</f>
        <v>0</v>
      </c>
      <c r="T61" s="43" t="str">
        <f aca="false">IF(AND(Q61=1,ISNUMBER(I61)),TEXT(I61,"yyyymmdd")&amp;"|"&amp;IF(S61=1,"F",TEXT(J61,"0.000")),"")</f>
        <v>20310629|5.125</v>
      </c>
      <c r="U61" s="90" t="n">
        <f aca="false">IF(AND(Q61=1,ISNUMBER(I61)),(I61-설정!$C$4)/365.25,"")</f>
        <v>4.7419575633128</v>
      </c>
      <c r="V61" s="43" t="str">
        <f aca="false">IF(Q61&lt;&gt;1,"",IF(ISNUMBER(U61),IF(U61&lt;=1,"1년 이하",IF(U61&lt;=2,"1-2년",IF(U61&lt;=3,"2-3년",IF(U61&lt;=4,"3-4년",IF(U61&lt;=5,"4-5년",IF(U61&lt;=7,"5-7년",IF(U61&lt;=10,"7-10년",IF(U61&lt;=20,"10-20년","20년 이상")))))))),"미분류"))</f>
        <v>4-5년</v>
      </c>
      <c r="W61" s="43" t="str">
        <f aca="false">IF(Q61&lt;&gt;1,"",IF(AB61&lt;&gt;"",INDEX(시장분석!$C:$C,AB61),IF(K61=1,"USD","비USD")))</f>
        <v>USD</v>
      </c>
      <c r="X61" s="91" t="n">
        <f aca="false">IF(Q61=1,E61*K61/1000000,0)</f>
        <v>2</v>
      </c>
      <c r="Y61" s="89" t="n">
        <f aca="false">IF(R61="T",1,0)</f>
        <v>0</v>
      </c>
      <c r="Z61" s="92" t="n">
        <f aca="false">IF(Q61&lt;&gt;1,"",IF(AD61=1,IF(ISNUMBER(U61),MAX(U61,0),H61),H61))</f>
        <v>4.0444</v>
      </c>
      <c r="AA61" s="91" t="n">
        <f aca="false">IF(Q61=1,IF(ISNUMBER(L61),L61,0)*K61/1000000,0)</f>
        <v>1.926202</v>
      </c>
      <c r="AB61" s="89" t="n">
        <f aca="false">IF(Q61&lt;&gt;1,"",IFERROR(MATCH(VLOOKUP(B61,매핑!$H$4:$I$15,2,0),시장분석!$A$2:$A$601,0)+1,IFERROR(MATCH(R61&amp;"|"&amp;T61,시장분석!$V$2:$V$601,0)+1,IF(COUNTIF(시장분석!$U$2:$U$601,T61)=1,MATCH(T61,시장분석!$U$2:$U$601,0)+1,""))))</f>
        <v>198</v>
      </c>
      <c r="AC61" s="89" t="n">
        <f aca="false">IF(Q61&lt;&gt;1,0,IF(OR(설정!$C$5="전체",AND(설정!$C$5="선택펀드",IFERROR(COUNTIFS(설정!$F$16:$F$36,C61,설정!$G$16:$G$36,"Y")+COUNTIFS(설정!$F$16:$F$36,VALUE(C61),설정!$G$16:$G$36,"Y"),0)&gt;0),C61&amp;""=설정!$C$5&amp;""),1,0))</f>
        <v>1</v>
      </c>
      <c r="AD61" s="89" t="n">
        <f aca="false">IF(Q61&lt;&gt;1,0,IF(OR(S61=1,IF(AB61="",FALSE(),INDEX(시장분석!$R:$R,AB61)=1)),1,0))</f>
        <v>0</v>
      </c>
      <c r="AE61" s="43" t="str">
        <f aca="false">IF(AB61="","",INDEX(시장분석!$A:$A,AB61))</f>
        <v>POINTL 5 1/8 06/29/31</v>
      </c>
      <c r="AF61" s="93" t="n">
        <f aca="false">IF(AB61="","",IF(ISNUMBER(IF(AB61="","",INDEX(시장분석!$E:$E,AB61))),IF(AB61="","",INDEX(시장분석!$E:$E,AB61)),""))</f>
        <v>102.421</v>
      </c>
      <c r="AG61" s="43" t="str">
        <f aca="false">IF(Q61&lt;&gt;1,"",IF(AB61&lt;&gt;"",IF(AB61="","",INDEX(시장분석!$L:$L,AB61)),IFERROR(IF(VLOOKUP(R61,매핑!$A$4:$E$92,5,0)="","미분류",VLOOKUP(R61,매핑!$A$4:$E$92,5,0)),"미분류")))</f>
        <v>원자재</v>
      </c>
      <c r="AH61" s="43" t="str">
        <f aca="false">IF(Q61&lt;&gt;1,"",IF(AB61&lt;&gt;"",IF(AB61="","",INDEX(시장분석!$N:$N,AB61)),IFERROR(IF(VLOOKUP(R61,매핑!$A$4:$E$92,4,0)="","미분류",VLOOKUP(R61,매핑!$A$4:$E$92,4,0)),"미분류")))</f>
        <v>아시아/기타</v>
      </c>
      <c r="AI61" s="43" t="str">
        <f aca="false">IF(Q61&lt;&gt;1,"",IFERROR(IF(VLOOKUP(R61,매핑!$A$4:$E$92,3,0)="","미분류",VLOOKUP(R61,매핑!$A$4:$E$92,3,0)),IF(AB61&lt;&gt;"",IF(AB61="","",INDEX(시장분석!$W:$W,AB61)),"미분류")))</f>
        <v>한국</v>
      </c>
      <c r="AJ61" s="43" t="str">
        <f aca="false">IF(Q61&lt;&gt;1,"",IFERROR(VLOOKUP(IF(N61&lt;&gt;"",N61,IF(P61&lt;&gt;"",P61,O61)),설정!$A$15:$D$47,2,0),""))</f>
        <v>BBB</v>
      </c>
      <c r="AK61" s="43" t="str">
        <f aca="false">IF(Q61&lt;&gt;1,"",IF(AJ61="","무등급",IFERROR(VLOOKUP(AJ61,설정!$A$15:$D$47,3,0),"무등급")))</f>
        <v>BBB</v>
      </c>
      <c r="AL61" s="89" t="n">
        <f aca="false">IF(AJ61="",99,IFERROR(VLOOKUP(AJ61,설정!$A$15:$D$47,4,0),99))</f>
        <v>9</v>
      </c>
      <c r="AM61" s="94" t="n">
        <f aca="false">IF(ISNUMBER(H61),AA61*1000000*H61/10000,0)</f>
        <v>779.03313688</v>
      </c>
      <c r="AN61" s="94" t="n">
        <f aca="false">IF(OR(Y61=1,NOT(ISNUMBER(Z61))),0,AA61*1000000*Z61/10000)</f>
        <v>779.03313688</v>
      </c>
      <c r="AO61" s="94" t="n">
        <f aca="false">IF(ISNUMBER(G61),AA61*1000000*G61/100,0)</f>
        <v>116101.82555</v>
      </c>
      <c r="AP61" s="94" t="n">
        <f aca="false">IF(ISNUMBER(M61),M61*K61,0)</f>
        <v>-48514.99</v>
      </c>
      <c r="AQ61" s="95" t="n">
        <f aca="false">IF(AB61="","",INDEX(시장분석!$AK:$AK,AB61))</f>
        <v>1.69947378783185</v>
      </c>
      <c r="AR61" s="43" t="str">
        <f aca="false">IF(AB61="","-",IF(AB61="","",INDEX(시장분석!$AL:$AL,AB61)))</f>
        <v>Cheap</v>
      </c>
      <c r="AS61" s="96" t="n">
        <f aca="false">IF(AB61="","",INDEX(시장분석!$AJ:$AJ,AB61))</f>
        <v>18.8132446022738</v>
      </c>
      <c r="AT61" s="93" t="n">
        <f aca="false">IF(AB61="",0,IF(AB61="","",INDEX(시장분석!$AN:$AN,AB61)))</f>
        <v>7.65171285354377</v>
      </c>
      <c r="AU61" s="94" t="n">
        <f aca="false">IF(ISNUMBER(Z61),AT61/10000*MAX(Z61-1,0)*AA61*1000000,0)</f>
        <v>4487.06340660905</v>
      </c>
      <c r="AV61" s="94" t="n">
        <f aca="false">AO61+AU61</f>
        <v>120588.888956609</v>
      </c>
      <c r="AW61" s="43" t="str">
        <f aca="false">IF(Q61&lt;&gt;1,"",TRIM(IF(AD61=1,"FRN ","")&amp;IF(AND(AL61&gt;=10,AL61&lt;99),"BBB0미만 ","")&amp;IF(AJ61="","등급없음 ","")&amp;IF(K61&lt;&gt;1,"비USD ","")&amp;IF(AND(AB61="",Y61=0),"시장데이터없음 ","")&amp;IF(AND(ISNUMBER(U61),U61&lt;0),"만기경과 ","")))</f>
        <v/>
      </c>
      <c r="AX61" s="90" t="n">
        <f aca="false">IF(Q61&lt;&gt;1,1,IF(스프레드쇼크!$C$4="Y",INDEX(스프레드쇼크!$B$12:$L$16,IFERROR(MATCH(AH61,스프레드쇼크!$A$12:$A$16,0),MATCH("목록외",스프레드쇼크!$A$12:$A$16,0)),IFERROR(MATCH(AG61,스프레드쇼크!$B$11:$L$11,0),MATCH("목록외",스프레드쇼크!$B$11:$L$11,0))),1))</f>
        <v>1</v>
      </c>
      <c r="AY61" s="90" t="n">
        <f aca="false">IF(스프레드쇼크!$C$5="Y",IF(ISNUMBER(AF61),MIN(스프레드쇼크!$C$7,MAX(스프레드쇼크!$C$6,AF61/스프레드쇼크!$C$8)),1),1)</f>
        <v>1.54915737322167</v>
      </c>
      <c r="AZ61" s="94" t="n">
        <f aca="false">AN61*AX61*AY61</f>
        <v>1206.84492798166</v>
      </c>
      <c r="BA61" s="90" t="n">
        <f aca="false">IF(ISNUMBER(G61),AA61*G61,0)</f>
        <v>11.610182555</v>
      </c>
      <c r="BB61" s="90" t="n">
        <f aca="false">IF(ISNUMBER(G61),AA61,0)</f>
        <v>1.926202</v>
      </c>
      <c r="BC61" s="90" t="n">
        <f aca="false">IF(AND(Y61=0,ISNUMBER(AF61)),AA61*AF61,0)</f>
        <v>197.283535042</v>
      </c>
      <c r="BD61" s="90" t="n">
        <f aca="false">IF(AND(Y61=0,ISNUMBER(AF61)),AA61,0)</f>
        <v>1.926202</v>
      </c>
      <c r="BE61" s="90" t="n">
        <f aca="false">IF(ISNUMBER(H61),AA61*H61,0)</f>
        <v>7.7903313688</v>
      </c>
      <c r="BF61" s="90" t="n">
        <f aca="false">IF(ISNUMBER(H61),AA61,0)</f>
        <v>1.926202</v>
      </c>
      <c r="BG61" s="90" t="n">
        <f aca="false">IF(AND(Y61=0,ISNUMBER(AF61),ISNUMBER(Z61)),AA61*Z61,0)</f>
        <v>7.7903313688</v>
      </c>
      <c r="BH61" s="90" t="n">
        <f aca="false">IF(AND(Y61=0,ISNUMBER(AF61),ISNUMBER(Z61)),AA61*AT61*MAX(Z61-1,0),0)</f>
        <v>44.8706340660905</v>
      </c>
      <c r="BI61" s="90" t="n">
        <f aca="false">IF(Y61=0,AA61,0)</f>
        <v>1.926202</v>
      </c>
    </row>
    <row r="62" customFormat="false" ht="15" hidden="false" customHeight="false" outlineLevel="0" collapsed="false">
      <c r="A62" s="83" t="str">
        <f aca="false">IFERROR(IF(INDEX(원자료_잔고!$A$1:$EZ$1500,설정!$L$5+ROW()-1,설정!$L$8)&amp;""="0","",INDEX(원자료_잔고!$A$1:$EZ$1500,설정!$L$5+ROW()-1,설정!$L$8)&amp;""),"")</f>
        <v>POINTL 5.125 06/29/31</v>
      </c>
      <c r="B62" s="83" t="str">
        <f aca="false">IFERROR(IF(INDEX(원자료_잔고!$A$1:$EZ$1500,설정!$L$5+ROW()-1,설정!$L$7)&amp;""="0","",INDEX(원자료_잔고!$A$1:$EZ$1500,설정!$L$5+ROW()-1,설정!$L$7)&amp;""),"")</f>
        <v>USY7S27KAX02</v>
      </c>
      <c r="C62" s="83" t="str">
        <f aca="false">IFERROR(IF(INDEX(원자료_잔고!$A$1:$EZ$1500,설정!$L$5+ROW()-1,설정!$L$9)&amp;""="0","",INDEX(원자료_잔고!$A$1:$EZ$1500,설정!$L$5+ROW()-1,설정!$L$9)&amp;""),"")</f>
        <v>28096</v>
      </c>
      <c r="D6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2" s="84" t="n">
        <f aca="false">IFERROR(IF(ISNUMBER(INDEX(원자료_잔고!$A$1:$EZ$1500,설정!$L$5+ROW()-1,설정!$L$11)),INDEX(원자료_잔고!$A$1:$EZ$1500,설정!$L$5+ROW()-1,설정!$L$11),""),"")</f>
        <v>3000000</v>
      </c>
      <c r="F62" s="85" t="n">
        <f aca="false">IFERROR(IF(ISNUMBER(INDEX(원자료_잔고!$A$1:$EZ$1500,설정!$L$5+ROW()-1,설정!$L$12)),INDEX(원자료_잔고!$A$1:$EZ$1500,설정!$L$5+ROW()-1,설정!$L$12),""),"")</f>
        <v>96.3101</v>
      </c>
      <c r="G62" s="85" t="n">
        <f aca="false">IFERROR(IF(ISNUMBER(INDEX(원자료_잔고!$A$1:$EZ$1500,설정!$L$5+ROW()-1,설정!$L$13)),INDEX(원자료_잔고!$A$1:$EZ$1500,설정!$L$5+ROW()-1,설정!$L$13),""),"")</f>
        <v>6.0275</v>
      </c>
      <c r="H62" s="85" t="n">
        <f aca="false">IFERROR(IF(ISNUMBER(INDEX(원자료_잔고!$A$1:$EZ$1500,설정!$L$5+ROW()-1,설정!$L$14)),INDEX(원자료_잔고!$A$1:$EZ$1500,설정!$L$5+ROW()-1,설정!$L$14),""),"")</f>
        <v>4.0444</v>
      </c>
      <c r="I62" s="86" t="n">
        <f aca="false">IFERROR(IF(ISNUMBER(INDEX(원자료_잔고!$A$1:$EZ$1500,설정!$L$5+ROW()-1,설정!$L$15)),INDEX(원자료_잔고!$A$1:$EZ$1500,설정!$L$5+ROW()-1,설정!$L$15),""),"")</f>
        <v>48028</v>
      </c>
      <c r="J62" s="85" t="n">
        <f aca="false">IFERROR(IF(ISNUMBER(INDEX(원자료_잔고!$A$1:$EZ$1500,설정!$L$5+ROW()-1,설정!$L$16)),INDEX(원자료_잔고!$A$1:$EZ$1500,설정!$L$5+ROW()-1,설정!$L$16),""),"")</f>
        <v>5.125</v>
      </c>
      <c r="K62" s="87" t="n">
        <f aca="false">IFERROR(IF(ISNUMBER(INDEX(원자료_잔고!$A$1:$EZ$1500,설정!$L$5+ROW()-1,설정!$L$17)),INDEX(원자료_잔고!$A$1:$EZ$1500,설정!$L$5+ROW()-1,설정!$L$17),""),"")</f>
        <v>1</v>
      </c>
      <c r="L62" s="84" t="n">
        <f aca="false">IFERROR(IF(ISNUMBER(INDEX(원자료_잔고!$A$1:$EZ$1500,설정!$L$5+ROW()-1,설정!$L$18)),INDEX(원자료_잔고!$A$1:$EZ$1500,설정!$L$5+ROW()-1,설정!$L$18),""),"")</f>
        <v>2889303</v>
      </c>
      <c r="M62" s="88" t="n">
        <f aca="false">IFERROR(IF(ISNUMBER(INDEX(원자료_잔고!$A$1:$EZ$1500,설정!$L$5+ROW()-1,설정!$L$19)),INDEX(원자료_잔고!$A$1:$EZ$1500,설정!$L$5+ROW()-1,설정!$L$19),""),"")</f>
        <v>-73672.49</v>
      </c>
      <c r="N62" s="83" t="str">
        <f aca="false">IFERROR(IF(INDEX(원자료_잔고!$A$1:$EZ$1500,설정!$L$5+ROW()-1,설정!$L$21)&amp;""="0","",INDEX(원자료_잔고!$A$1:$EZ$1500,설정!$L$5+ROW()-1,설정!$L$21)&amp;""),"")</f>
        <v>BBB</v>
      </c>
      <c r="O62" s="83" t="str">
        <f aca="false">IFERROR(IF(INDEX(원자료_잔고!$A$1:$EZ$1500,설정!$L$5+ROW()-1,설정!$L$22)&amp;""="0","",INDEX(원자료_잔고!$A$1:$EZ$1500,설정!$L$5+ROW()-1,설정!$L$22)&amp;""),"")</f>
        <v/>
      </c>
      <c r="P62" s="83" t="str">
        <f aca="false">IFERROR(IF(INDEX(원자료_잔고!$A$1:$EZ$1500,설정!$L$5+ROW()-1,설정!$L$23)&amp;""="0","",INDEX(원자료_잔고!$A$1:$EZ$1500,설정!$L$5+ROW()-1,설정!$L$23)&amp;""),"")</f>
        <v>N/A</v>
      </c>
      <c r="Q62" s="89" t="n">
        <f aca="false">IF(AND($A62&lt;&gt;"",ISNUMBER(E62)),IF(E62&gt;0,1,0),0)</f>
        <v>1</v>
      </c>
      <c r="R62" s="43" t="str">
        <f aca="false">IF(Q62=1,UPPER(LEFT($A62,FIND(" ",$A62&amp;" ")-1)),"")</f>
        <v>POINTL</v>
      </c>
      <c r="S62" s="89" t="n">
        <f aca="false">IF(Q62=1,IF(OR(ISNUMBER(SEARCH("Float",$A62)),ISNUMBER(SEARCH("FRN",$A62))),1,0),0)</f>
        <v>0</v>
      </c>
      <c r="T62" s="43" t="str">
        <f aca="false">IF(AND(Q62=1,ISNUMBER(I62)),TEXT(I62,"yyyymmdd")&amp;"|"&amp;IF(S62=1,"F",TEXT(J62,"0.000")),"")</f>
        <v>20310629|5.125</v>
      </c>
      <c r="U62" s="90" t="n">
        <f aca="false">IF(AND(Q62=1,ISNUMBER(I62)),(I62-설정!$C$4)/365.25,"")</f>
        <v>4.7419575633128</v>
      </c>
      <c r="V62" s="43" t="str">
        <f aca="false">IF(Q62&lt;&gt;1,"",IF(ISNUMBER(U62),IF(U62&lt;=1,"1년 이하",IF(U62&lt;=2,"1-2년",IF(U62&lt;=3,"2-3년",IF(U62&lt;=4,"3-4년",IF(U62&lt;=5,"4-5년",IF(U62&lt;=7,"5-7년",IF(U62&lt;=10,"7-10년",IF(U62&lt;=20,"10-20년","20년 이상")))))))),"미분류"))</f>
        <v>4-5년</v>
      </c>
      <c r="W62" s="43" t="str">
        <f aca="false">IF(Q62&lt;&gt;1,"",IF(AB62&lt;&gt;"",INDEX(시장분석!$C:$C,AB62),IF(K62=1,"USD","비USD")))</f>
        <v>USD</v>
      </c>
      <c r="X62" s="91" t="n">
        <f aca="false">IF(Q62=1,E62*K62/1000000,0)</f>
        <v>3</v>
      </c>
      <c r="Y62" s="89" t="n">
        <f aca="false">IF(R62="T",1,0)</f>
        <v>0</v>
      </c>
      <c r="Z62" s="92" t="n">
        <f aca="false">IF(Q62&lt;&gt;1,"",IF(AD62=1,IF(ISNUMBER(U62),MAX(U62,0),H62),H62))</f>
        <v>4.0444</v>
      </c>
      <c r="AA62" s="91" t="n">
        <f aca="false">IF(Q62=1,IF(ISNUMBER(L62),L62,0)*K62/1000000,0)</f>
        <v>2.889303</v>
      </c>
      <c r="AB62" s="89" t="n">
        <f aca="false">IF(Q62&lt;&gt;1,"",IFERROR(MATCH(VLOOKUP(B62,매핑!$H$4:$I$15,2,0),시장분석!$A$2:$A$601,0)+1,IFERROR(MATCH(R62&amp;"|"&amp;T62,시장분석!$V$2:$V$601,0)+1,IF(COUNTIF(시장분석!$U$2:$U$601,T62)=1,MATCH(T62,시장분석!$U$2:$U$601,0)+1,""))))</f>
        <v>198</v>
      </c>
      <c r="AC62" s="89" t="n">
        <f aca="false">IF(Q62&lt;&gt;1,0,IF(OR(설정!$C$5="전체",AND(설정!$C$5="선택펀드",IFERROR(COUNTIFS(설정!$F$16:$F$36,C62,설정!$G$16:$G$36,"Y")+COUNTIFS(설정!$F$16:$F$36,VALUE(C62),설정!$G$16:$G$36,"Y"),0)&gt;0),C62&amp;""=설정!$C$5&amp;""),1,0))</f>
        <v>1</v>
      </c>
      <c r="AD62" s="89" t="n">
        <f aca="false">IF(Q62&lt;&gt;1,0,IF(OR(S62=1,IF(AB62="",FALSE(),INDEX(시장분석!$R:$R,AB62)=1)),1,0))</f>
        <v>0</v>
      </c>
      <c r="AE62" s="43" t="str">
        <f aca="false">IF(AB62="","",INDEX(시장분석!$A:$A,AB62))</f>
        <v>POINTL 5 1/8 06/29/31</v>
      </c>
      <c r="AF62" s="93" t="n">
        <f aca="false">IF(AB62="","",IF(ISNUMBER(IF(AB62="","",INDEX(시장분석!$E:$E,AB62))),IF(AB62="","",INDEX(시장분석!$E:$E,AB62)),""))</f>
        <v>102.421</v>
      </c>
      <c r="AG62" s="43" t="str">
        <f aca="false">IF(Q62&lt;&gt;1,"",IF(AB62&lt;&gt;"",IF(AB62="","",INDEX(시장분석!$L:$L,AB62)),IFERROR(IF(VLOOKUP(R62,매핑!$A$4:$E$92,5,0)="","미분류",VLOOKUP(R62,매핑!$A$4:$E$92,5,0)),"미분류")))</f>
        <v>원자재</v>
      </c>
      <c r="AH62" s="43" t="str">
        <f aca="false">IF(Q62&lt;&gt;1,"",IF(AB62&lt;&gt;"",IF(AB62="","",INDEX(시장분석!$N:$N,AB62)),IFERROR(IF(VLOOKUP(R62,매핑!$A$4:$E$92,4,0)="","미분류",VLOOKUP(R62,매핑!$A$4:$E$92,4,0)),"미분류")))</f>
        <v>아시아/기타</v>
      </c>
      <c r="AI62" s="43" t="str">
        <f aca="false">IF(Q62&lt;&gt;1,"",IFERROR(IF(VLOOKUP(R62,매핑!$A$4:$E$92,3,0)="","미분류",VLOOKUP(R62,매핑!$A$4:$E$92,3,0)),IF(AB62&lt;&gt;"",IF(AB62="","",INDEX(시장분석!$W:$W,AB62)),"미분류")))</f>
        <v>한국</v>
      </c>
      <c r="AJ62" s="43" t="str">
        <f aca="false">IF(Q62&lt;&gt;1,"",IFERROR(VLOOKUP(IF(N62&lt;&gt;"",N62,IF(P62&lt;&gt;"",P62,O62)),설정!$A$15:$D$47,2,0),""))</f>
        <v>BBB</v>
      </c>
      <c r="AK62" s="43" t="str">
        <f aca="false">IF(Q62&lt;&gt;1,"",IF(AJ62="","무등급",IFERROR(VLOOKUP(AJ62,설정!$A$15:$D$47,3,0),"무등급")))</f>
        <v>BBB</v>
      </c>
      <c r="AL62" s="89" t="n">
        <f aca="false">IF(AJ62="",99,IFERROR(VLOOKUP(AJ62,설정!$A$15:$D$47,4,0),99))</f>
        <v>9</v>
      </c>
      <c r="AM62" s="94" t="n">
        <f aca="false">IF(ISNUMBER(H62),AA62*1000000*H62/10000,0)</f>
        <v>1168.54970532</v>
      </c>
      <c r="AN62" s="94" t="n">
        <f aca="false">IF(OR(Y62=1,NOT(ISNUMBER(Z62))),0,AA62*1000000*Z62/10000)</f>
        <v>1168.54970532</v>
      </c>
      <c r="AO62" s="94" t="n">
        <f aca="false">IF(ISNUMBER(G62),AA62*1000000*G62/100,0)</f>
        <v>174152.738325</v>
      </c>
      <c r="AP62" s="94" t="n">
        <f aca="false">IF(ISNUMBER(M62),M62*K62,0)</f>
        <v>-73672.49</v>
      </c>
      <c r="AQ62" s="95" t="n">
        <f aca="false">IF(AB62="","",INDEX(시장분석!$AK:$AK,AB62))</f>
        <v>1.69947378783185</v>
      </c>
      <c r="AR62" s="43" t="str">
        <f aca="false">IF(AB62="","-",IF(AB62="","",INDEX(시장분석!$AL:$AL,AB62)))</f>
        <v>Cheap</v>
      </c>
      <c r="AS62" s="96" t="n">
        <f aca="false">IF(AB62="","",INDEX(시장분석!$AJ:$AJ,AB62))</f>
        <v>18.8132446022738</v>
      </c>
      <c r="AT62" s="93" t="n">
        <f aca="false">IF(AB62="",0,IF(AB62="","",INDEX(시장분석!$AN:$AN,AB62)))</f>
        <v>7.65171285354377</v>
      </c>
      <c r="AU62" s="94" t="n">
        <f aca="false">IF(ISNUMBER(Z62),AT62/10000*MAX(Z62-1,0)*AA62*1000000,0)</f>
        <v>6730.59510991357</v>
      </c>
      <c r="AV62" s="94" t="n">
        <f aca="false">AO62+AU62</f>
        <v>180883.333434914</v>
      </c>
      <c r="AW62" s="43" t="str">
        <f aca="false">IF(Q62&lt;&gt;1,"",TRIM(IF(AD62=1,"FRN ","")&amp;IF(AND(AL62&gt;=10,AL62&lt;99),"BBB0미만 ","")&amp;IF(AJ62="","등급없음 ","")&amp;IF(K62&lt;&gt;1,"비USD ","")&amp;IF(AND(AB62="",Y62=0),"시장데이터없음 ","")&amp;IF(AND(ISNUMBER(U62),U62&lt;0),"만기경과 ","")))</f>
        <v/>
      </c>
      <c r="AX62" s="90" t="n">
        <f aca="false">IF(Q62&lt;&gt;1,1,IF(스프레드쇼크!$C$4="Y",INDEX(스프레드쇼크!$B$12:$L$16,IFERROR(MATCH(AH62,스프레드쇼크!$A$12:$A$16,0),MATCH("목록외",스프레드쇼크!$A$12:$A$16,0)),IFERROR(MATCH(AG62,스프레드쇼크!$B$11:$L$11,0),MATCH("목록외",스프레드쇼크!$B$11:$L$11,0))),1))</f>
        <v>1</v>
      </c>
      <c r="AY62" s="90" t="n">
        <f aca="false">IF(스프레드쇼크!$C$5="Y",IF(ISNUMBER(AF62),MIN(스프레드쇼크!$C$7,MAX(스프레드쇼크!$C$6,AF62/스프레드쇼크!$C$8)),1),1)</f>
        <v>1.54915737322167</v>
      </c>
      <c r="AZ62" s="94" t="n">
        <f aca="false">AN62*AX62*AY62</f>
        <v>1810.26739197249</v>
      </c>
      <c r="BA62" s="90" t="n">
        <f aca="false">IF(ISNUMBER(G62),AA62*G62,0)</f>
        <v>17.4152738325</v>
      </c>
      <c r="BB62" s="90" t="n">
        <f aca="false">IF(ISNUMBER(G62),AA62,0)</f>
        <v>2.889303</v>
      </c>
      <c r="BC62" s="90" t="n">
        <f aca="false">IF(AND(Y62=0,ISNUMBER(AF62)),AA62*AF62,0)</f>
        <v>295.925302563</v>
      </c>
      <c r="BD62" s="90" t="n">
        <f aca="false">IF(AND(Y62=0,ISNUMBER(AF62)),AA62,0)</f>
        <v>2.889303</v>
      </c>
      <c r="BE62" s="90" t="n">
        <f aca="false">IF(ISNUMBER(H62),AA62*H62,0)</f>
        <v>11.6854970532</v>
      </c>
      <c r="BF62" s="90" t="n">
        <f aca="false">IF(ISNUMBER(H62),AA62,0)</f>
        <v>2.889303</v>
      </c>
      <c r="BG62" s="90" t="n">
        <f aca="false">IF(AND(Y62=0,ISNUMBER(AF62),ISNUMBER(Z62)),AA62*Z62,0)</f>
        <v>11.6854970532</v>
      </c>
      <c r="BH62" s="90" t="n">
        <f aca="false">IF(AND(Y62=0,ISNUMBER(AF62),ISNUMBER(Z62)),AA62*AT62*MAX(Z62-1,0),0)</f>
        <v>67.3059510991357</v>
      </c>
      <c r="BI62" s="90" t="n">
        <f aca="false">IF(Y62=0,AA62,0)</f>
        <v>2.889303</v>
      </c>
    </row>
    <row r="63" customFormat="false" ht="15" hidden="false" customHeight="false" outlineLevel="0" collapsed="false">
      <c r="A63" s="83" t="str">
        <f aca="false">IFERROR(IF(INDEX(원자료_잔고!$A$1:$EZ$1500,설정!$L$5+ROW()-1,설정!$L$8)&amp;""="0","",INDEX(원자료_잔고!$A$1:$EZ$1500,설정!$L$5+ROW()-1,설정!$L$8)&amp;""),"")</f>
        <v>HYUELE 2.375 01/19/31</v>
      </c>
      <c r="B63" s="83" t="str">
        <f aca="false">IFERROR(IF(INDEX(원자료_잔고!$A$1:$EZ$1500,설정!$L$5+ROW()-1,설정!$L$7)&amp;""="0","",INDEX(원자료_잔고!$A$1:$EZ$1500,설정!$L$5+ROW()-1,설정!$L$7)&amp;""),"")</f>
        <v>USY8085FBD16</v>
      </c>
      <c r="C63" s="83" t="str">
        <f aca="false">IFERROR(IF(INDEX(원자료_잔고!$A$1:$EZ$1500,설정!$L$5+ROW()-1,설정!$L$9)&amp;""="0","",INDEX(원자료_잔고!$A$1:$EZ$1500,설정!$L$5+ROW()-1,설정!$L$9)&amp;""),"")</f>
        <v>28096</v>
      </c>
      <c r="D6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3" s="84" t="n">
        <f aca="false">IFERROR(IF(ISNUMBER(INDEX(원자료_잔고!$A$1:$EZ$1500,설정!$L$5+ROW()-1,설정!$L$11)),INDEX(원자료_잔고!$A$1:$EZ$1500,설정!$L$5+ROW()-1,설정!$L$11),""),"")</f>
        <v>34000000</v>
      </c>
      <c r="F63" s="85" t="n">
        <f aca="false">IFERROR(IF(ISNUMBER(INDEX(원자료_잔고!$A$1:$EZ$1500,설정!$L$5+ROW()-1,설정!$L$12)),INDEX(원자료_잔고!$A$1:$EZ$1500,설정!$L$5+ROW()-1,설정!$L$12),""),"")</f>
        <v>87.5531</v>
      </c>
      <c r="G63" s="85" t="n">
        <f aca="false">IFERROR(IF(ISNUMBER(INDEX(원자료_잔고!$A$1:$EZ$1500,설정!$L$5+ROW()-1,설정!$L$13)),INDEX(원자료_잔고!$A$1:$EZ$1500,설정!$L$5+ROW()-1,설정!$L$13),""),"")</f>
        <v>5.6744</v>
      </c>
      <c r="H63" s="85" t="n">
        <f aca="false">IFERROR(IF(ISNUMBER(INDEX(원자료_잔고!$A$1:$EZ$1500,설정!$L$5+ROW()-1,설정!$L$14)),INDEX(원자료_잔고!$A$1:$EZ$1500,설정!$L$5+ROW()-1,설정!$L$14),""),"")</f>
        <v>3.8887</v>
      </c>
      <c r="I63" s="86" t="n">
        <f aca="false">IFERROR(IF(ISNUMBER(INDEX(원자료_잔고!$A$1:$EZ$1500,설정!$L$5+ROW()-1,설정!$L$15)),INDEX(원자료_잔고!$A$1:$EZ$1500,설정!$L$5+ROW()-1,설정!$L$15),""),"")</f>
        <v>47867</v>
      </c>
      <c r="J63" s="85" t="n">
        <f aca="false">IFERROR(IF(ISNUMBER(INDEX(원자료_잔고!$A$1:$EZ$1500,설정!$L$5+ROW()-1,설정!$L$16)),INDEX(원자료_잔고!$A$1:$EZ$1500,설정!$L$5+ROW()-1,설정!$L$16),""),"")</f>
        <v>2.375</v>
      </c>
      <c r="K63" s="87" t="n">
        <f aca="false">IFERROR(IF(ISNUMBER(INDEX(원자료_잔고!$A$1:$EZ$1500,설정!$L$5+ROW()-1,설정!$L$17)),INDEX(원자료_잔고!$A$1:$EZ$1500,설정!$L$5+ROW()-1,설정!$L$17),""),"")</f>
        <v>1</v>
      </c>
      <c r="L63" s="84" t="n">
        <f aca="false">IFERROR(IF(ISNUMBER(INDEX(원자료_잔고!$A$1:$EZ$1500,설정!$L$5+ROW()-1,설정!$L$18)),INDEX(원자료_잔고!$A$1:$EZ$1500,설정!$L$5+ROW()-1,설정!$L$18),""),"")</f>
        <v>29768054</v>
      </c>
      <c r="M63" s="88" t="n">
        <f aca="false">IFERROR(IF(ISNUMBER(INDEX(원자료_잔고!$A$1:$EZ$1500,설정!$L$5+ROW()-1,설정!$L$19)),INDEX(원자료_잔고!$A$1:$EZ$1500,설정!$L$5+ROW()-1,설정!$L$19),""),"")</f>
        <v>-1141346</v>
      </c>
      <c r="N63" s="83" t="str">
        <f aca="false">IFERROR(IF(INDEX(원자료_잔고!$A$1:$EZ$1500,설정!$L$5+ROW()-1,설정!$L$21)&amp;""="0","",INDEX(원자료_잔고!$A$1:$EZ$1500,설정!$L$5+ROW()-1,설정!$L$21)&amp;""),"")</f>
        <v>A-</v>
      </c>
      <c r="O63" s="83" t="str">
        <f aca="false">IFERROR(IF(INDEX(원자료_잔고!$A$1:$EZ$1500,설정!$L$5+ROW()-1,설정!$L$22)&amp;""="0","",INDEX(원자료_잔고!$A$1:$EZ$1500,설정!$L$5+ROW()-1,설정!$L$22)&amp;""),"")</f>
        <v/>
      </c>
      <c r="P63" s="83" t="str">
        <f aca="false">IFERROR(IF(INDEX(원자료_잔고!$A$1:$EZ$1500,설정!$L$5+ROW()-1,설정!$L$23)&amp;""="0","",INDEX(원자료_잔고!$A$1:$EZ$1500,설정!$L$5+ROW()-1,설정!$L$23)&amp;""),"")</f>
        <v>N/A</v>
      </c>
      <c r="Q63" s="89" t="n">
        <f aca="false">IF(AND($A63&lt;&gt;"",ISNUMBER(E63)),IF(E63&gt;0,1,0),0)</f>
        <v>1</v>
      </c>
      <c r="R63" s="43" t="str">
        <f aca="false">IF(Q63=1,UPPER(LEFT($A63,FIND(" ",$A63&amp;" ")-1)),"")</f>
        <v>HYUELE</v>
      </c>
      <c r="S63" s="89" t="n">
        <f aca="false">IF(Q63=1,IF(OR(ISNUMBER(SEARCH("Float",$A63)),ISNUMBER(SEARCH("FRN",$A63))),1,0),0)</f>
        <v>0</v>
      </c>
      <c r="T63" s="43" t="str">
        <f aca="false">IF(AND(Q63=1,ISNUMBER(I63)),TEXT(I63,"yyyymmdd")&amp;"|"&amp;IF(S63=1,"F",TEXT(J63,"0.000")),"")</f>
        <v>20310119|2.375</v>
      </c>
      <c r="U63" s="90" t="n">
        <f aca="false">IF(AND(Q63=1,ISNUMBER(I63)),(I63-설정!$C$4)/365.25,"")</f>
        <v>4.30116358658453</v>
      </c>
      <c r="V63" s="43" t="str">
        <f aca="false">IF(Q63&lt;&gt;1,"",IF(ISNUMBER(U63),IF(U63&lt;=1,"1년 이하",IF(U63&lt;=2,"1-2년",IF(U63&lt;=3,"2-3년",IF(U63&lt;=4,"3-4년",IF(U63&lt;=5,"4-5년",IF(U63&lt;=7,"5-7년",IF(U63&lt;=10,"7-10년",IF(U63&lt;=20,"10-20년","20년 이상")))))))),"미분류"))</f>
        <v>4-5년</v>
      </c>
      <c r="W63" s="43" t="str">
        <f aca="false">IF(Q63&lt;&gt;1,"",IF(AB63&lt;&gt;"",INDEX(시장분석!$C:$C,AB63),IF(K63=1,"USD","비USD")))</f>
        <v>USD</v>
      </c>
      <c r="X63" s="91" t="n">
        <f aca="false">IF(Q63=1,E63*K63/1000000,0)</f>
        <v>34</v>
      </c>
      <c r="Y63" s="89" t="n">
        <f aca="false">IF(R63="T",1,0)</f>
        <v>0</v>
      </c>
      <c r="Z63" s="92" t="n">
        <f aca="false">IF(Q63&lt;&gt;1,"",IF(AD63=1,IF(ISNUMBER(U63),MAX(U63,0),H63),H63))</f>
        <v>3.8887</v>
      </c>
      <c r="AA63" s="91" t="n">
        <f aca="false">IF(Q63=1,IF(ISNUMBER(L63),L63,0)*K63/1000000,0)</f>
        <v>29.768054</v>
      </c>
      <c r="AB63" s="89" t="n">
        <f aca="false">IF(Q63&lt;&gt;1,"",IFERROR(MATCH(VLOOKUP(B63,매핑!$H$4:$I$15,2,0),시장분석!$A$2:$A$601,0)+1,IFERROR(MATCH(R63&amp;"|"&amp;T63,시장분석!$V$2:$V$601,0)+1,IF(COUNTIF(시장분석!$U$2:$U$601,T63)=1,MATCH(T63,시장분석!$U$2:$U$601,0)+1,""))))</f>
        <v>200</v>
      </c>
      <c r="AC63" s="89" t="n">
        <f aca="false">IF(Q63&lt;&gt;1,0,IF(OR(설정!$C$5="전체",AND(설정!$C$5="선택펀드",IFERROR(COUNTIFS(설정!$F$16:$F$36,C63,설정!$G$16:$G$36,"Y")+COUNTIFS(설정!$F$16:$F$36,VALUE(C63),설정!$G$16:$G$36,"Y"),0)&gt;0),C63&amp;""=설정!$C$5&amp;""),1,0))</f>
        <v>1</v>
      </c>
      <c r="AD63" s="89" t="n">
        <f aca="false">IF(Q63&lt;&gt;1,0,IF(OR(S63=1,IF(AB63="",FALSE(),INDEX(시장분석!$R:$R,AB63)=1)),1,0))</f>
        <v>0</v>
      </c>
      <c r="AE63" s="43" t="str">
        <f aca="false">IF(AB63="","",INDEX(시장분석!$A:$A,AB63))</f>
        <v>HYUELE 2 3/8 01/19/31</v>
      </c>
      <c r="AF63" s="93" t="n">
        <f aca="false">IF(AB63="","",IF(ISNUMBER(IF(AB63="","",INDEX(시장분석!$E:$E,AB63))),IF(AB63="","",INDEX(시장분석!$E:$E,AB63)),""))</f>
        <v>64.862</v>
      </c>
      <c r="AG63" s="43" t="str">
        <f aca="false">IF(Q63&lt;&gt;1,"",IF(AB63&lt;&gt;"",IF(AB63="","",INDEX(시장분석!$L:$L,AB63)),IFERROR(IF(VLOOKUP(R63,매핑!$A$4:$E$92,5,0)="","미분류",VLOOKUP(R63,매핑!$A$4:$E$92,5,0)),"미분류")))</f>
        <v>기술</v>
      </c>
      <c r="AH63" s="43" t="str">
        <f aca="false">IF(Q63&lt;&gt;1,"",IF(AB63&lt;&gt;"",IF(AB63="","",INDEX(시장분석!$N:$N,AB63)),IFERROR(IF(VLOOKUP(R63,매핑!$A$4:$E$92,4,0)="","미분류",VLOOKUP(R63,매핑!$A$4:$E$92,4,0)),"미분류")))</f>
        <v>아시아/기타</v>
      </c>
      <c r="AI63" s="43" t="str">
        <f aca="false">IF(Q63&lt;&gt;1,"",IFERROR(IF(VLOOKUP(R63,매핑!$A$4:$E$92,3,0)="","미분류",VLOOKUP(R63,매핑!$A$4:$E$92,3,0)),IF(AB63&lt;&gt;"",IF(AB63="","",INDEX(시장분석!$W:$W,AB63)),"미분류")))</f>
        <v>한국</v>
      </c>
      <c r="AJ63" s="43" t="str">
        <f aca="false">IF(Q63&lt;&gt;1,"",IFERROR(VLOOKUP(IF(N63&lt;&gt;"",N63,IF(P63&lt;&gt;"",P63,O63)),설정!$A$15:$D$47,2,0),""))</f>
        <v>A-</v>
      </c>
      <c r="AK63" s="43" t="str">
        <f aca="false">IF(Q63&lt;&gt;1,"",IF(AJ63="","무등급",IFERROR(VLOOKUP(AJ63,설정!$A$15:$D$47,3,0),"무등급")))</f>
        <v>A</v>
      </c>
      <c r="AL63" s="89" t="n">
        <f aca="false">IF(AJ63="",99,IFERROR(VLOOKUP(AJ63,설정!$A$15:$D$47,4,0),99))</f>
        <v>7</v>
      </c>
      <c r="AM63" s="94" t="n">
        <f aca="false">IF(ISNUMBER(H63),AA63*1000000*H63/10000,0)</f>
        <v>11575.90315898</v>
      </c>
      <c r="AN63" s="94" t="n">
        <f aca="false">IF(OR(Y63=1,NOT(ISNUMBER(Z63))),0,AA63*1000000*Z63/10000)</f>
        <v>11575.90315898</v>
      </c>
      <c r="AO63" s="94" t="n">
        <f aca="false">IF(ISNUMBER(G63),AA63*1000000*G63/100,0)</f>
        <v>1689158.456176</v>
      </c>
      <c r="AP63" s="94" t="n">
        <f aca="false">IF(ISNUMBER(M63),M63*K63,0)</f>
        <v>-1141346</v>
      </c>
      <c r="AQ63" s="95" t="n">
        <f aca="false">IF(AB63="","",INDEX(시장분석!$AK:$AK,AB63))</f>
        <v>1.44868167174335</v>
      </c>
      <c r="AR63" s="43" t="str">
        <f aca="false">IF(AB63="","-",IF(AB63="","",INDEX(시장분석!$AL:$AL,AB63)))</f>
        <v>Cheap</v>
      </c>
      <c r="AS63" s="96" t="n">
        <f aca="false">IF(AB63="","",INDEX(시장분석!$AJ:$AJ,AB63))</f>
        <v>3.89698497886872</v>
      </c>
      <c r="AT63" s="93" t="n">
        <f aca="false">IF(AB63="",0,IF(AB63="","",INDEX(시장분석!$AN:$AN,AB63)))</f>
        <v>5.58263285762518</v>
      </c>
      <c r="AU63" s="94" t="n">
        <f aca="false">IF(ISNUMBER(Z63),AT63/10000*MAX(Z63-1,0)*AA63*1000000,0)</f>
        <v>48005.6056952128</v>
      </c>
      <c r="AV63" s="94" t="n">
        <f aca="false">AO63+AU63</f>
        <v>1737164.06187121</v>
      </c>
      <c r="AW63" s="43" t="str">
        <f aca="false">IF(Q63&lt;&gt;1,"",TRIM(IF(AD63=1,"FRN ","")&amp;IF(AND(AL63&gt;=10,AL63&lt;99),"BBB0미만 ","")&amp;IF(AJ63="","등급없음 ","")&amp;IF(K63&lt;&gt;1,"비USD ","")&amp;IF(AND(AB63="",Y63=0),"시장데이터없음 ","")&amp;IF(AND(ISNUMBER(U63),U63&lt;0),"만기경과 ","")))</f>
        <v/>
      </c>
      <c r="AX63" s="90" t="n">
        <f aca="false">IF(Q63&lt;&gt;1,1,IF(스프레드쇼크!$C$4="Y",INDEX(스프레드쇼크!$B$12:$L$16,IFERROR(MATCH(AH63,스프레드쇼크!$A$12:$A$16,0),MATCH("목록외",스프레드쇼크!$A$12:$A$16,0)),IFERROR(MATCH(AG63,스프레드쇼크!$B$11:$L$11,0),MATCH("목록외",스프레드쇼크!$B$11:$L$11,0))),1))</f>
        <v>1</v>
      </c>
      <c r="AY63" s="90" t="n">
        <f aca="false">IF(스프레드쇼크!$C$5="Y",IF(ISNUMBER(AF63),MIN(스프레드쇼크!$C$7,MAX(스프레드쇼크!$C$6,AF63/스프레드쇼크!$C$8)),1),1)</f>
        <v>0.98106292207559</v>
      </c>
      <c r="AZ63" s="94" t="n">
        <f aca="false">AN63*AX63*AY63</f>
        <v>11356.689378813</v>
      </c>
      <c r="BA63" s="90" t="n">
        <f aca="false">IF(ISNUMBER(G63),AA63*G63,0)</f>
        <v>168.9158456176</v>
      </c>
      <c r="BB63" s="90" t="n">
        <f aca="false">IF(ISNUMBER(G63),AA63,0)</f>
        <v>29.768054</v>
      </c>
      <c r="BC63" s="90" t="n">
        <f aca="false">IF(AND(Y63=0,ISNUMBER(AF63)),AA63*AF63,0)</f>
        <v>1930.815518548</v>
      </c>
      <c r="BD63" s="90" t="n">
        <f aca="false">IF(AND(Y63=0,ISNUMBER(AF63)),AA63,0)</f>
        <v>29.768054</v>
      </c>
      <c r="BE63" s="90" t="n">
        <f aca="false">IF(ISNUMBER(H63),AA63*H63,0)</f>
        <v>115.7590315898</v>
      </c>
      <c r="BF63" s="90" t="n">
        <f aca="false">IF(ISNUMBER(H63),AA63,0)</f>
        <v>29.768054</v>
      </c>
      <c r="BG63" s="90" t="n">
        <f aca="false">IF(AND(Y63=0,ISNUMBER(AF63),ISNUMBER(Z63)),AA63*Z63,0)</f>
        <v>115.7590315898</v>
      </c>
      <c r="BH63" s="90" t="n">
        <f aca="false">IF(AND(Y63=0,ISNUMBER(AF63),ISNUMBER(Z63)),AA63*AT63*MAX(Z63-1,0),0)</f>
        <v>480.056056952128</v>
      </c>
      <c r="BI63" s="90" t="n">
        <f aca="false">IF(Y63=0,AA63,0)</f>
        <v>29.768054</v>
      </c>
    </row>
    <row r="64" customFormat="false" ht="15" hidden="false" customHeight="false" outlineLevel="0" collapsed="false">
      <c r="A64" s="83" t="str">
        <f aca="false">IFERROR(IF(INDEX(원자료_잔고!$A$1:$EZ$1500,설정!$L$5+ROW()-1,설정!$L$8)&amp;""="0","",INDEX(원자료_잔고!$A$1:$EZ$1500,설정!$L$5+ROW()-1,설정!$L$8)&amp;""),"")</f>
        <v>HYUELE 6.375 01/17/28</v>
      </c>
      <c r="B64" s="83" t="str">
        <f aca="false">IFERROR(IF(INDEX(원자료_잔고!$A$1:$EZ$1500,설정!$L$5+ROW()-1,설정!$L$7)&amp;""="0","",INDEX(원자료_잔고!$A$1:$EZ$1500,설정!$L$5+ROW()-1,설정!$L$7)&amp;""),"")</f>
        <v>USY8085FBK58</v>
      </c>
      <c r="C64" s="83" t="str">
        <f aca="false">IFERROR(IF(INDEX(원자료_잔고!$A$1:$EZ$1500,설정!$L$5+ROW()-1,설정!$L$9)&amp;""="0","",INDEX(원자료_잔고!$A$1:$EZ$1500,설정!$L$5+ROW()-1,설정!$L$9)&amp;""),"")</f>
        <v>28096</v>
      </c>
      <c r="D6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4" s="84" t="n">
        <f aca="false">IFERROR(IF(ISNUMBER(INDEX(원자료_잔고!$A$1:$EZ$1500,설정!$L$5+ROW()-1,설정!$L$11)),INDEX(원자료_잔고!$A$1:$EZ$1500,설정!$L$5+ROW()-1,설정!$L$11),""),"")</f>
        <v>8000000</v>
      </c>
      <c r="F64" s="85" t="n">
        <f aca="false">IFERROR(IF(ISNUMBER(INDEX(원자료_잔고!$A$1:$EZ$1500,설정!$L$5+ROW()-1,설정!$L$12)),INDEX(원자료_잔고!$A$1:$EZ$1500,설정!$L$5+ROW()-1,설정!$L$12),""),"")</f>
        <v>101.4023</v>
      </c>
      <c r="G64" s="85" t="n">
        <f aca="false">IFERROR(IF(ISNUMBER(INDEX(원자료_잔고!$A$1:$EZ$1500,설정!$L$5+ROW()-1,설정!$L$13)),INDEX(원자료_잔고!$A$1:$EZ$1500,설정!$L$5+ROW()-1,설정!$L$13),""),"")</f>
        <v>5.2337</v>
      </c>
      <c r="H64" s="85" t="n">
        <f aca="false">IFERROR(IF(ISNUMBER(INDEX(원자료_잔고!$A$1:$EZ$1500,설정!$L$5+ROW()-1,설정!$L$14)),INDEX(원자료_잔고!$A$1:$EZ$1500,설정!$L$5+ROW()-1,설정!$L$14),""),"")</f>
        <v>1.1965</v>
      </c>
      <c r="I64" s="86" t="n">
        <f aca="false">IFERROR(IF(ISNUMBER(INDEX(원자료_잔고!$A$1:$EZ$1500,설정!$L$5+ROW()-1,설정!$L$15)),INDEX(원자료_잔고!$A$1:$EZ$1500,설정!$L$5+ROW()-1,설정!$L$15),""),"")</f>
        <v>46769</v>
      </c>
      <c r="J64" s="85" t="n">
        <f aca="false">IFERROR(IF(ISNUMBER(INDEX(원자료_잔고!$A$1:$EZ$1500,설정!$L$5+ROW()-1,설정!$L$16)),INDEX(원자료_잔고!$A$1:$EZ$1500,설정!$L$5+ROW()-1,설정!$L$16),""),"")</f>
        <v>6.375</v>
      </c>
      <c r="K64" s="87" t="n">
        <f aca="false">IFERROR(IF(ISNUMBER(INDEX(원자료_잔고!$A$1:$EZ$1500,설정!$L$5+ROW()-1,설정!$L$17)),INDEX(원자료_잔고!$A$1:$EZ$1500,설정!$L$5+ROW()-1,설정!$L$17),""),"")</f>
        <v>1</v>
      </c>
      <c r="L64" s="84" t="n">
        <f aca="false">IFERROR(IF(ISNUMBER(INDEX(원자료_잔고!$A$1:$EZ$1500,설정!$L$5+ROW()-1,설정!$L$18)),INDEX(원자료_잔고!$A$1:$EZ$1500,설정!$L$5+ROW()-1,설정!$L$18),""),"")</f>
        <v>8112184</v>
      </c>
      <c r="M64" s="88" t="n">
        <f aca="false">IFERROR(IF(ISNUMBER(INDEX(원자료_잔고!$A$1:$EZ$1500,설정!$L$5+ROW()-1,설정!$L$19)),INDEX(원자료_잔고!$A$1:$EZ$1500,설정!$L$5+ROW()-1,설정!$L$19),""),"")</f>
        <v>-243696</v>
      </c>
      <c r="N64" s="83" t="str">
        <f aca="false">IFERROR(IF(INDEX(원자료_잔고!$A$1:$EZ$1500,설정!$L$5+ROW()-1,설정!$L$21)&amp;""="0","",INDEX(원자료_잔고!$A$1:$EZ$1500,설정!$L$5+ROW()-1,설정!$L$21)&amp;""),"")</f>
        <v>A-</v>
      </c>
      <c r="O64" s="83" t="str">
        <f aca="false">IFERROR(IF(INDEX(원자료_잔고!$A$1:$EZ$1500,설정!$L$5+ROW()-1,설정!$L$22)&amp;""="0","",INDEX(원자료_잔고!$A$1:$EZ$1500,설정!$L$5+ROW()-1,설정!$L$22)&amp;""),"")</f>
        <v/>
      </c>
      <c r="P64" s="83" t="str">
        <f aca="false">IFERROR(IF(INDEX(원자료_잔고!$A$1:$EZ$1500,설정!$L$5+ROW()-1,설정!$L$23)&amp;""="0","",INDEX(원자료_잔고!$A$1:$EZ$1500,설정!$L$5+ROW()-1,설정!$L$23)&amp;""),"")</f>
        <v>BBB</v>
      </c>
      <c r="Q64" s="89" t="n">
        <f aca="false">IF(AND($A64&lt;&gt;"",ISNUMBER(E64)),IF(E64&gt;0,1,0),0)</f>
        <v>1</v>
      </c>
      <c r="R64" s="43" t="str">
        <f aca="false">IF(Q64=1,UPPER(LEFT($A64,FIND(" ",$A64&amp;" ")-1)),"")</f>
        <v>HYUELE</v>
      </c>
      <c r="S64" s="89" t="n">
        <f aca="false">IF(Q64=1,IF(OR(ISNUMBER(SEARCH("Float",$A64)),ISNUMBER(SEARCH("FRN",$A64))),1,0),0)</f>
        <v>0</v>
      </c>
      <c r="T64" s="43" t="str">
        <f aca="false">IF(AND(Q64=1,ISNUMBER(I64)),TEXT(I64,"yyyymmdd")&amp;"|"&amp;IF(S64=1,"F",TEXT(J64,"0.000")),"")</f>
        <v>20280117|6.375</v>
      </c>
      <c r="U64" s="90" t="n">
        <f aca="false">IF(AND(Q64=1,ISNUMBER(I64)),(I64-설정!$C$4)/365.25,"")</f>
        <v>1.29500342231348</v>
      </c>
      <c r="V64" s="43" t="str">
        <f aca="false">IF(Q64&lt;&gt;1,"",IF(ISNUMBER(U64),IF(U64&lt;=1,"1년 이하",IF(U64&lt;=2,"1-2년",IF(U64&lt;=3,"2-3년",IF(U64&lt;=4,"3-4년",IF(U64&lt;=5,"4-5년",IF(U64&lt;=7,"5-7년",IF(U64&lt;=10,"7-10년",IF(U64&lt;=20,"10-20년","20년 이상")))))))),"미분류"))</f>
        <v>1-2년</v>
      </c>
      <c r="W64" s="43" t="str">
        <f aca="false">IF(Q64&lt;&gt;1,"",IF(AB64&lt;&gt;"",INDEX(시장분석!$C:$C,AB64),IF(K64=1,"USD","비USD")))</f>
        <v>USD</v>
      </c>
      <c r="X64" s="91" t="n">
        <f aca="false">IF(Q64=1,E64*K64/1000000,0)</f>
        <v>8</v>
      </c>
      <c r="Y64" s="89" t="n">
        <f aca="false">IF(R64="T",1,0)</f>
        <v>0</v>
      </c>
      <c r="Z64" s="92" t="n">
        <f aca="false">IF(Q64&lt;&gt;1,"",IF(AD64=1,IF(ISNUMBER(U64),MAX(U64,0),H64),H64))</f>
        <v>1.1965</v>
      </c>
      <c r="AA64" s="91" t="n">
        <f aca="false">IF(Q64=1,IF(ISNUMBER(L64),L64,0)*K64/1000000,0)</f>
        <v>8.112184</v>
      </c>
      <c r="AB64" s="89" t="n">
        <f aca="false">IF(Q64&lt;&gt;1,"",IFERROR(MATCH(VLOOKUP(B64,매핑!$H$4:$I$15,2,0),시장분석!$A$2:$A$601,0)+1,IFERROR(MATCH(R64&amp;"|"&amp;T64,시장분석!$V$2:$V$601,0)+1,IF(COUNTIF(시장분석!$U$2:$U$601,T64)=1,MATCH(T64,시장분석!$U$2:$U$601,0)+1,""))))</f>
        <v>201</v>
      </c>
      <c r="AC64" s="89" t="n">
        <f aca="false">IF(Q64&lt;&gt;1,0,IF(OR(설정!$C$5="전체",AND(설정!$C$5="선택펀드",IFERROR(COUNTIFS(설정!$F$16:$F$36,C64,설정!$G$16:$G$36,"Y")+COUNTIFS(설정!$F$16:$F$36,VALUE(C64),설정!$G$16:$G$36,"Y"),0)&gt;0),C64&amp;""=설정!$C$5&amp;""),1,0))</f>
        <v>1</v>
      </c>
      <c r="AD64" s="89" t="n">
        <f aca="false">IF(Q64&lt;&gt;1,0,IF(OR(S64=1,IF(AB64="",FALSE(),INDEX(시장분석!$R:$R,AB64)=1)),1,0))</f>
        <v>0</v>
      </c>
      <c r="AE64" s="43" t="str">
        <f aca="false">IF(AB64="","",INDEX(시장분석!$A:$A,AB64))</f>
        <v>HYUELE 6 3/8 01/17/28</v>
      </c>
      <c r="AF64" s="93" t="n">
        <f aca="false">IF(AB64="","",IF(ISNUMBER(IF(AB64="","",INDEX(시장분석!$E:$E,AB64))),IF(AB64="","",INDEX(시장분석!$E:$E,AB64)),""))</f>
        <v>36.357</v>
      </c>
      <c r="AG64" s="43" t="str">
        <f aca="false">IF(Q64&lt;&gt;1,"",IF(AB64&lt;&gt;"",IF(AB64="","",INDEX(시장분석!$L:$L,AB64)),IFERROR(IF(VLOOKUP(R64,매핑!$A$4:$E$92,5,0)="","미분류",VLOOKUP(R64,매핑!$A$4:$E$92,5,0)),"미분류")))</f>
        <v>기술</v>
      </c>
      <c r="AH64" s="43" t="str">
        <f aca="false">IF(Q64&lt;&gt;1,"",IF(AB64&lt;&gt;"",IF(AB64="","",INDEX(시장분석!$N:$N,AB64)),IFERROR(IF(VLOOKUP(R64,매핑!$A$4:$E$92,4,0)="","미분류",VLOOKUP(R64,매핑!$A$4:$E$92,4,0)),"미분류")))</f>
        <v>아시아/기타</v>
      </c>
      <c r="AI64" s="43" t="str">
        <f aca="false">IF(Q64&lt;&gt;1,"",IFERROR(IF(VLOOKUP(R64,매핑!$A$4:$E$92,3,0)="","미분류",VLOOKUP(R64,매핑!$A$4:$E$92,3,0)),IF(AB64&lt;&gt;"",IF(AB64="","",INDEX(시장분석!$W:$W,AB64)),"미분류")))</f>
        <v>한국</v>
      </c>
      <c r="AJ64" s="43" t="str">
        <f aca="false">IF(Q64&lt;&gt;1,"",IFERROR(VLOOKUP(IF(N64&lt;&gt;"",N64,IF(P64&lt;&gt;"",P64,O64)),설정!$A$15:$D$47,2,0),""))</f>
        <v>A-</v>
      </c>
      <c r="AK64" s="43" t="str">
        <f aca="false">IF(Q64&lt;&gt;1,"",IF(AJ64="","무등급",IFERROR(VLOOKUP(AJ64,설정!$A$15:$D$47,3,0),"무등급")))</f>
        <v>A</v>
      </c>
      <c r="AL64" s="89" t="n">
        <f aca="false">IF(AJ64="",99,IFERROR(VLOOKUP(AJ64,설정!$A$15:$D$47,4,0),99))</f>
        <v>7</v>
      </c>
      <c r="AM64" s="94" t="n">
        <f aca="false">IF(ISNUMBER(H64),AA64*1000000*H64/10000,0)</f>
        <v>970.6228156</v>
      </c>
      <c r="AN64" s="94" t="n">
        <f aca="false">IF(OR(Y64=1,NOT(ISNUMBER(Z64))),0,AA64*1000000*Z64/10000)</f>
        <v>970.6228156</v>
      </c>
      <c r="AO64" s="94" t="n">
        <f aca="false">IF(ISNUMBER(G64),AA64*1000000*G64/100,0)</f>
        <v>424567.374008</v>
      </c>
      <c r="AP64" s="94" t="n">
        <f aca="false">IF(ISNUMBER(M64),M64*K64,0)</f>
        <v>-243696</v>
      </c>
      <c r="AQ64" s="95" t="n">
        <f aca="false">IF(AB64="","",INDEX(시장분석!$AK:$AK,AB64))</f>
        <v>-0.422782690236261</v>
      </c>
      <c r="AR64" s="43" t="str">
        <f aca="false">IF(AB64="","-",IF(AB64="","",INDEX(시장분석!$AL:$AL,AB64)))</f>
        <v>Fair</v>
      </c>
      <c r="AS64" s="96" t="n">
        <f aca="false">IF(AB64="","",INDEX(시장분석!$AJ:$AJ,AB64))</f>
        <v>-1.13729456602686</v>
      </c>
      <c r="AT64" s="93" t="n">
        <f aca="false">IF(AB64="",0,IF(AB64="","",INDEX(시장분석!$AN:$AN,AB64)))</f>
        <v>0</v>
      </c>
      <c r="AU64" s="94" t="n">
        <f aca="false">IF(ISNUMBER(Z64),AT64/10000*MAX(Z64-1,0)*AA64*1000000,0)</f>
        <v>0</v>
      </c>
      <c r="AV64" s="94" t="n">
        <f aca="false">AO64+AU64</f>
        <v>424567.374008</v>
      </c>
      <c r="AW64" s="43" t="str">
        <f aca="false">IF(Q64&lt;&gt;1,"",TRIM(IF(AD64=1,"FRN ","")&amp;IF(AND(AL64&gt;=10,AL64&lt;99),"BBB0미만 ","")&amp;IF(AJ64="","등급없음 ","")&amp;IF(K64&lt;&gt;1,"비USD ","")&amp;IF(AND(AB64="",Y64=0),"시장데이터없음 ","")&amp;IF(AND(ISNUMBER(U64),U64&lt;0),"만기경과 ","")))</f>
        <v/>
      </c>
      <c r="AX64" s="90" t="n">
        <f aca="false">IF(Q64&lt;&gt;1,1,IF(스프레드쇼크!$C$4="Y",INDEX(스프레드쇼크!$B$12:$L$16,IFERROR(MATCH(AH64,스프레드쇼크!$A$12:$A$16,0),MATCH("목록외",스프레드쇼크!$A$12:$A$16,0)),IFERROR(MATCH(AG64,스프레드쇼크!$B$11:$L$11,0),MATCH("목록외",스프레드쇼크!$B$11:$L$11,0))),1))</f>
        <v>1</v>
      </c>
      <c r="AY64" s="90" t="n">
        <f aca="false">IF(스프레드쇼크!$C$5="Y",IF(ISNUMBER(AF64),MIN(스프레드쇼크!$C$7,MAX(스프레드쇼크!$C$6,AF64/스프레드쇼크!$C$8)),1),1)</f>
        <v>0.549913734665941</v>
      </c>
      <c r="AZ64" s="94" t="n">
        <f aca="false">AN64*AX64*AY64</f>
        <v>533.758817478566</v>
      </c>
      <c r="BA64" s="90" t="n">
        <f aca="false">IF(ISNUMBER(G64),AA64*G64,0)</f>
        <v>42.4567374008</v>
      </c>
      <c r="BB64" s="90" t="n">
        <f aca="false">IF(ISNUMBER(G64),AA64,0)</f>
        <v>8.112184</v>
      </c>
      <c r="BC64" s="90" t="n">
        <f aca="false">IF(AND(Y64=0,ISNUMBER(AF64)),AA64*AF64,0)</f>
        <v>294.934673688</v>
      </c>
      <c r="BD64" s="90" t="n">
        <f aca="false">IF(AND(Y64=0,ISNUMBER(AF64)),AA64,0)</f>
        <v>8.112184</v>
      </c>
      <c r="BE64" s="90" t="n">
        <f aca="false">IF(ISNUMBER(H64),AA64*H64,0)</f>
        <v>9.706228156</v>
      </c>
      <c r="BF64" s="90" t="n">
        <f aca="false">IF(ISNUMBER(H64),AA64,0)</f>
        <v>8.112184</v>
      </c>
      <c r="BG64" s="90" t="n">
        <f aca="false">IF(AND(Y64=0,ISNUMBER(AF64),ISNUMBER(Z64)),AA64*Z64,0)</f>
        <v>9.706228156</v>
      </c>
      <c r="BH64" s="90" t="n">
        <f aca="false">IF(AND(Y64=0,ISNUMBER(AF64),ISNUMBER(Z64)),AA64*AT64*MAX(Z64-1,0),0)</f>
        <v>0</v>
      </c>
      <c r="BI64" s="90" t="n">
        <f aca="false">IF(Y64=0,AA64,0)</f>
        <v>8.112184</v>
      </c>
    </row>
    <row r="65" customFormat="false" ht="15" hidden="false" customHeight="false" outlineLevel="0" collapsed="false">
      <c r="A65" s="83" t="str">
        <f aca="false">IFERROR(IF(INDEX(원자료_잔고!$A$1:$EZ$1500,설정!$L$5+ROW()-1,설정!$L$8)&amp;""="0","",INDEX(원자료_잔고!$A$1:$EZ$1500,설정!$L$5+ROW()-1,설정!$L$8)&amp;""),"")</f>
        <v>HYUELE 6.375 01/17/28</v>
      </c>
      <c r="B65" s="83" t="str">
        <f aca="false">IFERROR(IF(INDEX(원자료_잔고!$A$1:$EZ$1500,설정!$L$5+ROW()-1,설정!$L$7)&amp;""="0","",INDEX(원자료_잔고!$A$1:$EZ$1500,설정!$L$5+ROW()-1,설정!$L$7)&amp;""),"")</f>
        <v>USY8085FBK58</v>
      </c>
      <c r="C65" s="83" t="str">
        <f aca="false">IFERROR(IF(INDEX(원자료_잔고!$A$1:$EZ$1500,설정!$L$5+ROW()-1,설정!$L$9)&amp;""="0","",INDEX(원자료_잔고!$A$1:$EZ$1500,설정!$L$5+ROW()-1,설정!$L$9)&amp;""),"")</f>
        <v>28096</v>
      </c>
      <c r="D6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5" s="84" t="n">
        <f aca="false">IFERROR(IF(ISNUMBER(INDEX(원자료_잔고!$A$1:$EZ$1500,설정!$L$5+ROW()-1,설정!$L$11)),INDEX(원자료_잔고!$A$1:$EZ$1500,설정!$L$5+ROW()-1,설정!$L$11),""),"")</f>
        <v>8800000</v>
      </c>
      <c r="F65" s="85" t="n">
        <f aca="false">IFERROR(IF(ISNUMBER(INDEX(원자료_잔고!$A$1:$EZ$1500,설정!$L$5+ROW()-1,설정!$L$12)),INDEX(원자료_잔고!$A$1:$EZ$1500,설정!$L$5+ROW()-1,설정!$L$12),""),"")</f>
        <v>101.4023</v>
      </c>
      <c r="G65" s="85" t="n">
        <f aca="false">IFERROR(IF(ISNUMBER(INDEX(원자료_잔고!$A$1:$EZ$1500,설정!$L$5+ROW()-1,설정!$L$13)),INDEX(원자료_잔고!$A$1:$EZ$1500,설정!$L$5+ROW()-1,설정!$L$13),""),"")</f>
        <v>5.2337</v>
      </c>
      <c r="H65" s="85" t="n">
        <f aca="false">IFERROR(IF(ISNUMBER(INDEX(원자료_잔고!$A$1:$EZ$1500,설정!$L$5+ROW()-1,설정!$L$14)),INDEX(원자료_잔고!$A$1:$EZ$1500,설정!$L$5+ROW()-1,설정!$L$14),""),"")</f>
        <v>1.1965</v>
      </c>
      <c r="I65" s="86" t="n">
        <f aca="false">IFERROR(IF(ISNUMBER(INDEX(원자료_잔고!$A$1:$EZ$1500,설정!$L$5+ROW()-1,설정!$L$15)),INDEX(원자료_잔고!$A$1:$EZ$1500,설정!$L$5+ROW()-1,설정!$L$15),""),"")</f>
        <v>46769</v>
      </c>
      <c r="J65" s="85" t="n">
        <f aca="false">IFERROR(IF(ISNUMBER(INDEX(원자료_잔고!$A$1:$EZ$1500,설정!$L$5+ROW()-1,설정!$L$16)),INDEX(원자료_잔고!$A$1:$EZ$1500,설정!$L$5+ROW()-1,설정!$L$16),""),"")</f>
        <v>6.375</v>
      </c>
      <c r="K65" s="87" t="n">
        <f aca="false">IFERROR(IF(ISNUMBER(INDEX(원자료_잔고!$A$1:$EZ$1500,설정!$L$5+ROW()-1,설정!$L$17)),INDEX(원자료_잔고!$A$1:$EZ$1500,설정!$L$5+ROW()-1,설정!$L$17),""),"")</f>
        <v>1</v>
      </c>
      <c r="L65" s="84" t="n">
        <f aca="false">IFERROR(IF(ISNUMBER(INDEX(원자료_잔고!$A$1:$EZ$1500,설정!$L$5+ROW()-1,설정!$L$18)),INDEX(원자료_잔고!$A$1:$EZ$1500,설정!$L$5+ROW()-1,설정!$L$18),""),"")</f>
        <v>8923402.4</v>
      </c>
      <c r="M65" s="88" t="n">
        <f aca="false">IFERROR(IF(ISNUMBER(INDEX(원자료_잔고!$A$1:$EZ$1500,설정!$L$5+ROW()-1,설정!$L$19)),INDEX(원자료_잔고!$A$1:$EZ$1500,설정!$L$5+ROW()-1,설정!$L$19),""),"")</f>
        <v>-268065.6</v>
      </c>
      <c r="N65" s="83" t="str">
        <f aca="false">IFERROR(IF(INDEX(원자료_잔고!$A$1:$EZ$1500,설정!$L$5+ROW()-1,설정!$L$21)&amp;""="0","",INDEX(원자료_잔고!$A$1:$EZ$1500,설정!$L$5+ROW()-1,설정!$L$21)&amp;""),"")</f>
        <v>A-</v>
      </c>
      <c r="O65" s="83" t="str">
        <f aca="false">IFERROR(IF(INDEX(원자료_잔고!$A$1:$EZ$1500,설정!$L$5+ROW()-1,설정!$L$22)&amp;""="0","",INDEX(원자료_잔고!$A$1:$EZ$1500,설정!$L$5+ROW()-1,설정!$L$22)&amp;""),"")</f>
        <v/>
      </c>
      <c r="P65" s="83" t="str">
        <f aca="false">IFERROR(IF(INDEX(원자료_잔고!$A$1:$EZ$1500,설정!$L$5+ROW()-1,설정!$L$23)&amp;""="0","",INDEX(원자료_잔고!$A$1:$EZ$1500,설정!$L$5+ROW()-1,설정!$L$23)&amp;""),"")</f>
        <v>BBB</v>
      </c>
      <c r="Q65" s="89" t="n">
        <f aca="false">IF(AND($A65&lt;&gt;"",ISNUMBER(E65)),IF(E65&gt;0,1,0),0)</f>
        <v>1</v>
      </c>
      <c r="R65" s="43" t="str">
        <f aca="false">IF(Q65=1,UPPER(LEFT($A65,FIND(" ",$A65&amp;" ")-1)),"")</f>
        <v>HYUELE</v>
      </c>
      <c r="S65" s="89" t="n">
        <f aca="false">IF(Q65=1,IF(OR(ISNUMBER(SEARCH("Float",$A65)),ISNUMBER(SEARCH("FRN",$A65))),1,0),0)</f>
        <v>0</v>
      </c>
      <c r="T65" s="43" t="str">
        <f aca="false">IF(AND(Q65=1,ISNUMBER(I65)),TEXT(I65,"yyyymmdd")&amp;"|"&amp;IF(S65=1,"F",TEXT(J65,"0.000")),"")</f>
        <v>20280117|6.375</v>
      </c>
      <c r="U65" s="90" t="n">
        <f aca="false">IF(AND(Q65=1,ISNUMBER(I65)),(I65-설정!$C$4)/365.25,"")</f>
        <v>1.29500342231348</v>
      </c>
      <c r="V65" s="43" t="str">
        <f aca="false">IF(Q65&lt;&gt;1,"",IF(ISNUMBER(U65),IF(U65&lt;=1,"1년 이하",IF(U65&lt;=2,"1-2년",IF(U65&lt;=3,"2-3년",IF(U65&lt;=4,"3-4년",IF(U65&lt;=5,"4-5년",IF(U65&lt;=7,"5-7년",IF(U65&lt;=10,"7-10년",IF(U65&lt;=20,"10-20년","20년 이상")))))))),"미분류"))</f>
        <v>1-2년</v>
      </c>
      <c r="W65" s="43" t="str">
        <f aca="false">IF(Q65&lt;&gt;1,"",IF(AB65&lt;&gt;"",INDEX(시장분석!$C:$C,AB65),IF(K65=1,"USD","비USD")))</f>
        <v>USD</v>
      </c>
      <c r="X65" s="91" t="n">
        <f aca="false">IF(Q65=1,E65*K65/1000000,0)</f>
        <v>8.8</v>
      </c>
      <c r="Y65" s="89" t="n">
        <f aca="false">IF(R65="T",1,0)</f>
        <v>0</v>
      </c>
      <c r="Z65" s="92" t="n">
        <f aca="false">IF(Q65&lt;&gt;1,"",IF(AD65=1,IF(ISNUMBER(U65),MAX(U65,0),H65),H65))</f>
        <v>1.1965</v>
      </c>
      <c r="AA65" s="91" t="n">
        <f aca="false">IF(Q65=1,IF(ISNUMBER(L65),L65,0)*K65/1000000,0)</f>
        <v>8.9234024</v>
      </c>
      <c r="AB65" s="89" t="n">
        <f aca="false">IF(Q65&lt;&gt;1,"",IFERROR(MATCH(VLOOKUP(B65,매핑!$H$4:$I$15,2,0),시장분석!$A$2:$A$601,0)+1,IFERROR(MATCH(R65&amp;"|"&amp;T65,시장분석!$V$2:$V$601,0)+1,IF(COUNTIF(시장분석!$U$2:$U$601,T65)=1,MATCH(T65,시장분석!$U$2:$U$601,0)+1,""))))</f>
        <v>201</v>
      </c>
      <c r="AC65" s="89" t="n">
        <f aca="false">IF(Q65&lt;&gt;1,0,IF(OR(설정!$C$5="전체",AND(설정!$C$5="선택펀드",IFERROR(COUNTIFS(설정!$F$16:$F$36,C65,설정!$G$16:$G$36,"Y")+COUNTIFS(설정!$F$16:$F$36,VALUE(C65),설정!$G$16:$G$36,"Y"),0)&gt;0),C65&amp;""=설정!$C$5&amp;""),1,0))</f>
        <v>1</v>
      </c>
      <c r="AD65" s="89" t="n">
        <f aca="false">IF(Q65&lt;&gt;1,0,IF(OR(S65=1,IF(AB65="",FALSE(),INDEX(시장분석!$R:$R,AB65)=1)),1,0))</f>
        <v>0</v>
      </c>
      <c r="AE65" s="43" t="str">
        <f aca="false">IF(AB65="","",INDEX(시장분석!$A:$A,AB65))</f>
        <v>HYUELE 6 3/8 01/17/28</v>
      </c>
      <c r="AF65" s="93" t="n">
        <f aca="false">IF(AB65="","",IF(ISNUMBER(IF(AB65="","",INDEX(시장분석!$E:$E,AB65))),IF(AB65="","",INDEX(시장분석!$E:$E,AB65)),""))</f>
        <v>36.357</v>
      </c>
      <c r="AG65" s="43" t="str">
        <f aca="false">IF(Q65&lt;&gt;1,"",IF(AB65&lt;&gt;"",IF(AB65="","",INDEX(시장분석!$L:$L,AB65)),IFERROR(IF(VLOOKUP(R65,매핑!$A$4:$E$92,5,0)="","미분류",VLOOKUP(R65,매핑!$A$4:$E$92,5,0)),"미분류")))</f>
        <v>기술</v>
      </c>
      <c r="AH65" s="43" t="str">
        <f aca="false">IF(Q65&lt;&gt;1,"",IF(AB65&lt;&gt;"",IF(AB65="","",INDEX(시장분석!$N:$N,AB65)),IFERROR(IF(VLOOKUP(R65,매핑!$A$4:$E$92,4,0)="","미분류",VLOOKUP(R65,매핑!$A$4:$E$92,4,0)),"미분류")))</f>
        <v>아시아/기타</v>
      </c>
      <c r="AI65" s="43" t="str">
        <f aca="false">IF(Q65&lt;&gt;1,"",IFERROR(IF(VLOOKUP(R65,매핑!$A$4:$E$92,3,0)="","미분류",VLOOKUP(R65,매핑!$A$4:$E$92,3,0)),IF(AB65&lt;&gt;"",IF(AB65="","",INDEX(시장분석!$W:$W,AB65)),"미분류")))</f>
        <v>한국</v>
      </c>
      <c r="AJ65" s="43" t="str">
        <f aca="false">IF(Q65&lt;&gt;1,"",IFERROR(VLOOKUP(IF(N65&lt;&gt;"",N65,IF(P65&lt;&gt;"",P65,O65)),설정!$A$15:$D$47,2,0),""))</f>
        <v>A-</v>
      </c>
      <c r="AK65" s="43" t="str">
        <f aca="false">IF(Q65&lt;&gt;1,"",IF(AJ65="","무등급",IFERROR(VLOOKUP(AJ65,설정!$A$15:$D$47,3,0),"무등급")))</f>
        <v>A</v>
      </c>
      <c r="AL65" s="89" t="n">
        <f aca="false">IF(AJ65="",99,IFERROR(VLOOKUP(AJ65,설정!$A$15:$D$47,4,0),99))</f>
        <v>7</v>
      </c>
      <c r="AM65" s="94" t="n">
        <f aca="false">IF(ISNUMBER(H65),AA65*1000000*H65/10000,0)</f>
        <v>1067.68509716</v>
      </c>
      <c r="AN65" s="94" t="n">
        <f aca="false">IF(OR(Y65=1,NOT(ISNUMBER(Z65))),0,AA65*1000000*Z65/10000)</f>
        <v>1067.68509716</v>
      </c>
      <c r="AO65" s="94" t="n">
        <f aca="false">IF(ISNUMBER(G65),AA65*1000000*G65/100,0)</f>
        <v>467024.1114088</v>
      </c>
      <c r="AP65" s="94" t="n">
        <f aca="false">IF(ISNUMBER(M65),M65*K65,0)</f>
        <v>-268065.6</v>
      </c>
      <c r="AQ65" s="95" t="n">
        <f aca="false">IF(AB65="","",INDEX(시장분석!$AK:$AK,AB65))</f>
        <v>-0.422782690236261</v>
      </c>
      <c r="AR65" s="43" t="str">
        <f aca="false">IF(AB65="","-",IF(AB65="","",INDEX(시장분석!$AL:$AL,AB65)))</f>
        <v>Fair</v>
      </c>
      <c r="AS65" s="96" t="n">
        <f aca="false">IF(AB65="","",INDEX(시장분석!$AJ:$AJ,AB65))</f>
        <v>-1.13729456602686</v>
      </c>
      <c r="AT65" s="93" t="n">
        <f aca="false">IF(AB65="",0,IF(AB65="","",INDEX(시장분석!$AN:$AN,AB65)))</f>
        <v>0</v>
      </c>
      <c r="AU65" s="94" t="n">
        <f aca="false">IF(ISNUMBER(Z65),AT65/10000*MAX(Z65-1,0)*AA65*1000000,0)</f>
        <v>0</v>
      </c>
      <c r="AV65" s="94" t="n">
        <f aca="false">AO65+AU65</f>
        <v>467024.1114088</v>
      </c>
      <c r="AW65" s="43" t="str">
        <f aca="false">IF(Q65&lt;&gt;1,"",TRIM(IF(AD65=1,"FRN ","")&amp;IF(AND(AL65&gt;=10,AL65&lt;99),"BBB0미만 ","")&amp;IF(AJ65="","등급없음 ","")&amp;IF(K65&lt;&gt;1,"비USD ","")&amp;IF(AND(AB65="",Y65=0),"시장데이터없음 ","")&amp;IF(AND(ISNUMBER(U65),U65&lt;0),"만기경과 ","")))</f>
        <v/>
      </c>
      <c r="AX65" s="90" t="n">
        <f aca="false">IF(Q65&lt;&gt;1,1,IF(스프레드쇼크!$C$4="Y",INDEX(스프레드쇼크!$B$12:$L$16,IFERROR(MATCH(AH65,스프레드쇼크!$A$12:$A$16,0),MATCH("목록외",스프레드쇼크!$A$12:$A$16,0)),IFERROR(MATCH(AG65,스프레드쇼크!$B$11:$L$11,0),MATCH("목록외",스프레드쇼크!$B$11:$L$11,0))),1))</f>
        <v>1</v>
      </c>
      <c r="AY65" s="90" t="n">
        <f aca="false">IF(스프레드쇼크!$C$5="Y",IF(ISNUMBER(AF65),MIN(스프레드쇼크!$C$7,MAX(스프레드쇼크!$C$6,AF65/스프레드쇼크!$C$8)),1),1)</f>
        <v>0.549913734665941</v>
      </c>
      <c r="AZ65" s="94" t="n">
        <f aca="false">AN65*AX65*AY65</f>
        <v>587.134699226423</v>
      </c>
      <c r="BA65" s="90" t="n">
        <f aca="false">IF(ISNUMBER(G65),AA65*G65,0)</f>
        <v>46.70241114088</v>
      </c>
      <c r="BB65" s="90" t="n">
        <f aca="false">IF(ISNUMBER(G65),AA65,0)</f>
        <v>8.9234024</v>
      </c>
      <c r="BC65" s="90" t="n">
        <f aca="false">IF(AND(Y65=0,ISNUMBER(AF65)),AA65*AF65,0)</f>
        <v>324.4281410568</v>
      </c>
      <c r="BD65" s="90" t="n">
        <f aca="false">IF(AND(Y65=0,ISNUMBER(AF65)),AA65,0)</f>
        <v>8.9234024</v>
      </c>
      <c r="BE65" s="90" t="n">
        <f aca="false">IF(ISNUMBER(H65),AA65*H65,0)</f>
        <v>10.6768509716</v>
      </c>
      <c r="BF65" s="90" t="n">
        <f aca="false">IF(ISNUMBER(H65),AA65,0)</f>
        <v>8.9234024</v>
      </c>
      <c r="BG65" s="90" t="n">
        <f aca="false">IF(AND(Y65=0,ISNUMBER(AF65),ISNUMBER(Z65)),AA65*Z65,0)</f>
        <v>10.6768509716</v>
      </c>
      <c r="BH65" s="90" t="n">
        <f aca="false">IF(AND(Y65=0,ISNUMBER(AF65),ISNUMBER(Z65)),AA65*AT65*MAX(Z65-1,0),0)</f>
        <v>0</v>
      </c>
      <c r="BI65" s="90" t="n">
        <f aca="false">IF(Y65=0,AA65,0)</f>
        <v>8.9234024</v>
      </c>
    </row>
    <row r="66" customFormat="false" ht="15" hidden="false" customHeight="false" outlineLevel="0" collapsed="false">
      <c r="A66" s="83" t="str">
        <f aca="false">IFERROR(IF(INDEX(원자료_잔고!$A$1:$EZ$1500,설정!$L$5+ROW()-1,설정!$L$8)&amp;""="0","",INDEX(원자료_잔고!$A$1:$EZ$1500,설정!$L$5+ROW()-1,설정!$L$8)&amp;""),"")</f>
        <v>SHNHAN 4.5 03/26/28</v>
      </c>
      <c r="B66" s="83" t="str">
        <f aca="false">IFERROR(IF(INDEX(원자료_잔고!$A$1:$EZ$1500,설정!$L$5+ROW()-1,설정!$L$7)&amp;""="0","",INDEX(원자료_잔고!$A$1:$EZ$1500,설정!$L$5+ROW()-1,설정!$L$7)&amp;""),"")</f>
        <v>XS1795263281</v>
      </c>
      <c r="C66" s="83" t="str">
        <f aca="false">IFERROR(IF(INDEX(원자료_잔고!$A$1:$EZ$1500,설정!$L$5+ROW()-1,설정!$L$9)&amp;""="0","",INDEX(원자료_잔고!$A$1:$EZ$1500,설정!$L$5+ROW()-1,설정!$L$9)&amp;""),"")</f>
        <v>28096</v>
      </c>
      <c r="D6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6" s="84" t="n">
        <f aca="false">IFERROR(IF(ISNUMBER(INDEX(원자료_잔고!$A$1:$EZ$1500,설정!$L$5+ROW()-1,설정!$L$11)),INDEX(원자료_잔고!$A$1:$EZ$1500,설정!$L$5+ROW()-1,설정!$L$11),""),"")</f>
        <v>3000000</v>
      </c>
      <c r="F66" s="85" t="n">
        <f aca="false">IFERROR(IF(ISNUMBER(INDEX(원자료_잔고!$A$1:$EZ$1500,설정!$L$5+ROW()-1,설정!$L$12)),INDEX(원자료_잔고!$A$1:$EZ$1500,설정!$L$5+ROW()-1,설정!$L$12),""),"")</f>
        <v>98.5748</v>
      </c>
      <c r="G66" s="85" t="n">
        <f aca="false">IFERROR(IF(ISNUMBER(INDEX(원자료_잔고!$A$1:$EZ$1500,설정!$L$5+ROW()-1,설정!$L$13)),INDEX(원자료_잔고!$A$1:$EZ$1500,설정!$L$5+ROW()-1,설정!$L$13),""),"")</f>
        <v>5.5091</v>
      </c>
      <c r="H66" s="85" t="n">
        <f aca="false">IFERROR(IF(ISNUMBER(INDEX(원자료_잔고!$A$1:$EZ$1500,설정!$L$5+ROW()-1,설정!$L$14)),INDEX(원자료_잔고!$A$1:$EZ$1500,설정!$L$5+ROW()-1,설정!$L$14),""),"")</f>
        <v>1.3895</v>
      </c>
      <c r="I66" s="86" t="n">
        <f aca="false">IFERROR(IF(ISNUMBER(INDEX(원자료_잔고!$A$1:$EZ$1500,설정!$L$5+ROW()-1,설정!$L$15)),INDEX(원자료_잔고!$A$1:$EZ$1500,설정!$L$5+ROW()-1,설정!$L$15),""),"")</f>
        <v>46838</v>
      </c>
      <c r="J66" s="85" t="n">
        <f aca="false">IFERROR(IF(ISNUMBER(INDEX(원자료_잔고!$A$1:$EZ$1500,설정!$L$5+ROW()-1,설정!$L$16)),INDEX(원자료_잔고!$A$1:$EZ$1500,설정!$L$5+ROW()-1,설정!$L$16),""),"")</f>
        <v>4.5</v>
      </c>
      <c r="K66" s="87" t="n">
        <f aca="false">IFERROR(IF(ISNUMBER(INDEX(원자료_잔고!$A$1:$EZ$1500,설정!$L$5+ROW()-1,설정!$L$17)),INDEX(원자료_잔고!$A$1:$EZ$1500,설정!$L$5+ROW()-1,설정!$L$17),""),"")</f>
        <v>1</v>
      </c>
      <c r="L66" s="84" t="n">
        <f aca="false">IFERROR(IF(ISNUMBER(INDEX(원자료_잔고!$A$1:$EZ$1500,설정!$L$5+ROW()-1,설정!$L$18)),INDEX(원자료_잔고!$A$1:$EZ$1500,설정!$L$5+ROW()-1,설정!$L$18),""),"")</f>
        <v>2957244</v>
      </c>
      <c r="M66" s="88" t="n">
        <f aca="false">IFERROR(IF(ISNUMBER(INDEX(원자료_잔고!$A$1:$EZ$1500,설정!$L$5+ROW()-1,설정!$L$19)),INDEX(원자료_잔고!$A$1:$EZ$1500,설정!$L$5+ROW()-1,설정!$L$19),""),"")</f>
        <v>-62871</v>
      </c>
      <c r="N66" s="83" t="str">
        <f aca="false">IFERROR(IF(INDEX(원자료_잔고!$A$1:$EZ$1500,설정!$L$5+ROW()-1,설정!$L$21)&amp;""="0","",INDEX(원자료_잔고!$A$1:$EZ$1500,설정!$L$5+ROW()-1,설정!$L$21)&amp;""),"")</f>
        <v>BBB+</v>
      </c>
      <c r="O66" s="83" t="str">
        <f aca="false">IFERROR(IF(INDEX(원자료_잔고!$A$1:$EZ$1500,설정!$L$5+ROW()-1,설정!$L$22)&amp;""="0","",INDEX(원자료_잔고!$A$1:$EZ$1500,설정!$L$5+ROW()-1,설정!$L$22)&amp;""),"")</f>
        <v/>
      </c>
      <c r="P66" s="83" t="str">
        <f aca="false">IFERROR(IF(INDEX(원자료_잔고!$A$1:$EZ$1500,설정!$L$5+ROW()-1,설정!$L$23)&amp;""="0","",INDEX(원자료_잔고!$A$1:$EZ$1500,설정!$L$5+ROW()-1,설정!$L$23)&amp;""),"")</f>
        <v>BBB+</v>
      </c>
      <c r="Q66" s="89" t="n">
        <f aca="false">IF(AND($A66&lt;&gt;"",ISNUMBER(E66)),IF(E66&gt;0,1,0),0)</f>
        <v>1</v>
      </c>
      <c r="R66" s="43" t="str">
        <f aca="false">IF(Q66=1,UPPER(LEFT($A66,FIND(" ",$A66&amp;" ")-1)),"")</f>
        <v>SHNHAN</v>
      </c>
      <c r="S66" s="89" t="n">
        <f aca="false">IF(Q66=1,IF(OR(ISNUMBER(SEARCH("Float",$A66)),ISNUMBER(SEARCH("FRN",$A66))),1,0),0)</f>
        <v>0</v>
      </c>
      <c r="T66" s="43" t="str">
        <f aca="false">IF(AND(Q66=1,ISNUMBER(I66)),TEXT(I66,"yyyymmdd")&amp;"|"&amp;IF(S66=1,"F",TEXT(J66,"0.000")),"")</f>
        <v>20280326|4.500</v>
      </c>
      <c r="U66" s="90" t="n">
        <f aca="false">IF(AND(Q66=1,ISNUMBER(I66)),(I66-설정!$C$4)/365.25,"")</f>
        <v>1.4839151266256</v>
      </c>
      <c r="V66" s="43" t="str">
        <f aca="false">IF(Q66&lt;&gt;1,"",IF(ISNUMBER(U66),IF(U66&lt;=1,"1년 이하",IF(U66&lt;=2,"1-2년",IF(U66&lt;=3,"2-3년",IF(U66&lt;=4,"3-4년",IF(U66&lt;=5,"4-5년",IF(U66&lt;=7,"5-7년",IF(U66&lt;=10,"7-10년",IF(U66&lt;=20,"10-20년","20년 이상")))))))),"미분류"))</f>
        <v>1-2년</v>
      </c>
      <c r="W66" s="43" t="str">
        <f aca="false">IF(Q66&lt;&gt;1,"",IF(AB66&lt;&gt;"",INDEX(시장분석!$C:$C,AB66),IF(K66=1,"USD","비USD")))</f>
        <v>USD</v>
      </c>
      <c r="X66" s="91" t="n">
        <f aca="false">IF(Q66=1,E66*K66/1000000,0)</f>
        <v>3</v>
      </c>
      <c r="Y66" s="89" t="n">
        <f aca="false">IF(R66="T",1,0)</f>
        <v>0</v>
      </c>
      <c r="Z66" s="92" t="n">
        <f aca="false">IF(Q66&lt;&gt;1,"",IF(AD66=1,IF(ISNUMBER(U66),MAX(U66,0),H66),H66))</f>
        <v>1.3895</v>
      </c>
      <c r="AA66" s="91" t="n">
        <f aca="false">IF(Q66=1,IF(ISNUMBER(L66),L66,0)*K66/1000000,0)</f>
        <v>2.957244</v>
      </c>
      <c r="AB66" s="89" t="n">
        <f aca="false">IF(Q66&lt;&gt;1,"",IFERROR(MATCH(VLOOKUP(B66,매핑!$H$4:$I$15,2,0),시장분석!$A$2:$A$601,0)+1,IFERROR(MATCH(R66&amp;"|"&amp;T66,시장분석!$V$2:$V$601,0)+1,IF(COUNTIF(시장분석!$U$2:$U$601,T66)=1,MATCH(T66,시장분석!$U$2:$U$601,0)+1,""))))</f>
        <v>209</v>
      </c>
      <c r="AC66" s="89" t="n">
        <f aca="false">IF(Q66&lt;&gt;1,0,IF(OR(설정!$C$5="전체",AND(설정!$C$5="선택펀드",IFERROR(COUNTIFS(설정!$F$16:$F$36,C66,설정!$G$16:$G$36,"Y")+COUNTIFS(설정!$F$16:$F$36,VALUE(C66),설정!$G$16:$G$36,"Y"),0)&gt;0),C66&amp;""=설정!$C$5&amp;""),1,0))</f>
        <v>1</v>
      </c>
      <c r="AD66" s="89" t="n">
        <f aca="false">IF(Q66&lt;&gt;1,0,IF(OR(S66=1,IF(AB66="",FALSE(),INDEX(시장분석!$R:$R,AB66)=1)),1,0))</f>
        <v>0</v>
      </c>
      <c r="AE66" s="43" t="str">
        <f aca="false">IF(AB66="","",INDEX(시장분석!$A:$A,AB66))</f>
        <v>SHNHAN 4 1/2 03/26/28</v>
      </c>
      <c r="AF66" s="93" t="n">
        <f aca="false">IF(AB66="","",IF(ISNUMBER(IF(AB66="","",INDEX(시장분석!$E:$E,AB66))),IF(AB66="","",INDEX(시장분석!$E:$E,AB66)),""))</f>
        <v>66.478</v>
      </c>
      <c r="AG66" s="43" t="str">
        <f aca="false">IF(Q66&lt;&gt;1,"",IF(AB66&lt;&gt;"",IF(AB66="","",INDEX(시장분석!$L:$L,AB66)),IFERROR(IF(VLOOKUP(R66,매핑!$A$4:$E$92,5,0)="","미분류",VLOOKUP(R66,매핑!$A$4:$E$92,5,0)),"미분류")))</f>
        <v>금융기관</v>
      </c>
      <c r="AH66" s="43" t="str">
        <f aca="false">IF(Q66&lt;&gt;1,"",IF(AB66&lt;&gt;"",IF(AB66="","",INDEX(시장분석!$N:$N,AB66)),IFERROR(IF(VLOOKUP(R66,매핑!$A$4:$E$92,4,0)="","미분류",VLOOKUP(R66,매핑!$A$4:$E$92,4,0)),"미분류")))</f>
        <v>아시아/기타</v>
      </c>
      <c r="AI66" s="43" t="str">
        <f aca="false">IF(Q66&lt;&gt;1,"",IFERROR(IF(VLOOKUP(R66,매핑!$A$4:$E$92,3,0)="","미분류",VLOOKUP(R66,매핑!$A$4:$E$92,3,0)),IF(AB66&lt;&gt;"",IF(AB66="","",INDEX(시장분석!$W:$W,AB66)),"미분류")))</f>
        <v>한국</v>
      </c>
      <c r="AJ66" s="43" t="str">
        <f aca="false">IF(Q66&lt;&gt;1,"",IFERROR(VLOOKUP(IF(N66&lt;&gt;"",N66,IF(P66&lt;&gt;"",P66,O66)),설정!$A$15:$D$47,2,0),""))</f>
        <v>BBB+</v>
      </c>
      <c r="AK66" s="43" t="str">
        <f aca="false">IF(Q66&lt;&gt;1,"",IF(AJ66="","무등급",IFERROR(VLOOKUP(AJ66,설정!$A$15:$D$47,3,0),"무등급")))</f>
        <v>BBB</v>
      </c>
      <c r="AL66" s="89" t="n">
        <f aca="false">IF(AJ66="",99,IFERROR(VLOOKUP(AJ66,설정!$A$15:$D$47,4,0),99))</f>
        <v>8</v>
      </c>
      <c r="AM66" s="94" t="n">
        <f aca="false">IF(ISNUMBER(H66),AA66*1000000*H66/10000,0)</f>
        <v>410.9090538</v>
      </c>
      <c r="AN66" s="94" t="n">
        <f aca="false">IF(OR(Y66=1,NOT(ISNUMBER(Z66))),0,AA66*1000000*Z66/10000)</f>
        <v>410.9090538</v>
      </c>
      <c r="AO66" s="94" t="n">
        <f aca="false">IF(ISNUMBER(G66),AA66*1000000*G66/100,0)</f>
        <v>162917.529204</v>
      </c>
      <c r="AP66" s="94" t="n">
        <f aca="false">IF(ISNUMBER(M66),M66*K66,0)</f>
        <v>-62871</v>
      </c>
      <c r="AQ66" s="95" t="n">
        <f aca="false">IF(AB66="","",INDEX(시장분석!$AK:$AK,AB66))</f>
        <v>0.550271612382034</v>
      </c>
      <c r="AR66" s="43" t="str">
        <f aca="false">IF(AB66="","-",IF(AB66="","",INDEX(시장분석!$AL:$AL,AB66)))</f>
        <v>Fair</v>
      </c>
      <c r="AS66" s="96" t="n">
        <f aca="false">IF(AB66="","",INDEX(시장분석!$AJ:$AJ,AB66))</f>
        <v>11.2660340305366</v>
      </c>
      <c r="AT66" s="93" t="n">
        <f aca="false">IF(AB66="",0,IF(AB66="","",INDEX(시장분석!$AN:$AN,AB66)))</f>
        <v>0</v>
      </c>
      <c r="AU66" s="94" t="n">
        <f aca="false">IF(ISNUMBER(Z66),AT66/10000*MAX(Z66-1,0)*AA66*1000000,0)</f>
        <v>0</v>
      </c>
      <c r="AV66" s="94" t="n">
        <f aca="false">AO66+AU66</f>
        <v>162917.529204</v>
      </c>
      <c r="AW66" s="43" t="str">
        <f aca="false">IF(Q66&lt;&gt;1,"",TRIM(IF(AD66=1,"FRN ","")&amp;IF(AND(AL66&gt;=10,AL66&lt;99),"BBB0미만 ","")&amp;IF(AJ66="","등급없음 ","")&amp;IF(K66&lt;&gt;1,"비USD ","")&amp;IF(AND(AB66="",Y66=0),"시장데이터없음 ","")&amp;IF(AND(ISNUMBER(U66),U66&lt;0),"만기경과 ","")))</f>
        <v/>
      </c>
      <c r="AX66" s="90" t="n">
        <f aca="false">IF(Q66&lt;&gt;1,1,IF(스프레드쇼크!$C$4="Y",INDEX(스프레드쇼크!$B$12:$L$16,IFERROR(MATCH(AH66,스프레드쇼크!$A$12:$A$16,0),MATCH("목록외",스프레드쇼크!$A$12:$A$16,0)),IFERROR(MATCH(AG66,스프레드쇼크!$B$11:$L$11,0),MATCH("목록외",스프레드쇼크!$B$11:$L$11,0))),1))</f>
        <v>1</v>
      </c>
      <c r="AY66" s="90" t="n">
        <f aca="false">IF(스프레드쇼크!$C$5="Y",IF(ISNUMBER(AF66),MIN(스프레드쇼크!$C$7,MAX(스프레드쇼크!$C$6,AF66/스프레드쇼크!$C$8)),1),1)</f>
        <v>1.0055055492236</v>
      </c>
      <c r="AZ66" s="94" t="n">
        <f aca="false">AN66*AX66*AY66</f>
        <v>413.171333822118</v>
      </c>
      <c r="BA66" s="90" t="n">
        <f aca="false">IF(ISNUMBER(G66),AA66*G66,0)</f>
        <v>16.2917529204</v>
      </c>
      <c r="BB66" s="90" t="n">
        <f aca="false">IF(ISNUMBER(G66),AA66,0)</f>
        <v>2.957244</v>
      </c>
      <c r="BC66" s="90" t="n">
        <f aca="false">IF(AND(Y66=0,ISNUMBER(AF66)),AA66*AF66,0)</f>
        <v>196.591666632</v>
      </c>
      <c r="BD66" s="90" t="n">
        <f aca="false">IF(AND(Y66=0,ISNUMBER(AF66)),AA66,0)</f>
        <v>2.957244</v>
      </c>
      <c r="BE66" s="90" t="n">
        <f aca="false">IF(ISNUMBER(H66),AA66*H66,0)</f>
        <v>4.109090538</v>
      </c>
      <c r="BF66" s="90" t="n">
        <f aca="false">IF(ISNUMBER(H66),AA66,0)</f>
        <v>2.957244</v>
      </c>
      <c r="BG66" s="90" t="n">
        <f aca="false">IF(AND(Y66=0,ISNUMBER(AF66),ISNUMBER(Z66)),AA66*Z66,0)</f>
        <v>4.109090538</v>
      </c>
      <c r="BH66" s="90" t="n">
        <f aca="false">IF(AND(Y66=0,ISNUMBER(AF66),ISNUMBER(Z66)),AA66*AT66*MAX(Z66-1,0),0)</f>
        <v>0</v>
      </c>
      <c r="BI66" s="90" t="n">
        <f aca="false">IF(Y66=0,AA66,0)</f>
        <v>2.957244</v>
      </c>
    </row>
    <row r="67" customFormat="false" ht="15" hidden="false" customHeight="false" outlineLevel="0" collapsed="false">
      <c r="A67" s="83" t="str">
        <f aca="false">IFERROR(IF(INDEX(원자료_잔고!$A$1:$EZ$1500,설정!$L$5+ROW()-1,설정!$L$8)&amp;""="0","",INDEX(원자료_잔고!$A$1:$EZ$1500,설정!$L$5+ROW()-1,설정!$L$8)&amp;""),"")</f>
        <v>SHNHAN 4.5 03/26/28</v>
      </c>
      <c r="B67" s="83" t="str">
        <f aca="false">IFERROR(IF(INDEX(원자료_잔고!$A$1:$EZ$1500,설정!$L$5+ROW()-1,설정!$L$7)&amp;""="0","",INDEX(원자료_잔고!$A$1:$EZ$1500,설정!$L$5+ROW()-1,설정!$L$7)&amp;""),"")</f>
        <v>XS1795263281</v>
      </c>
      <c r="C67" s="83" t="str">
        <f aca="false">IFERROR(IF(INDEX(원자료_잔고!$A$1:$EZ$1500,설정!$L$5+ROW()-1,설정!$L$9)&amp;""="0","",INDEX(원자료_잔고!$A$1:$EZ$1500,설정!$L$5+ROW()-1,설정!$L$9)&amp;""),"")</f>
        <v>28096</v>
      </c>
      <c r="D6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7" s="84" t="n">
        <f aca="false">IFERROR(IF(ISNUMBER(INDEX(원자료_잔고!$A$1:$EZ$1500,설정!$L$5+ROW()-1,설정!$L$11)),INDEX(원자료_잔고!$A$1:$EZ$1500,설정!$L$5+ROW()-1,설정!$L$11),""),"")</f>
        <v>2800000</v>
      </c>
      <c r="F67" s="85" t="n">
        <f aca="false">IFERROR(IF(ISNUMBER(INDEX(원자료_잔고!$A$1:$EZ$1500,설정!$L$5+ROW()-1,설정!$L$12)),INDEX(원자료_잔고!$A$1:$EZ$1500,설정!$L$5+ROW()-1,설정!$L$12),""),"")</f>
        <v>98.5748</v>
      </c>
      <c r="G67" s="85" t="n">
        <f aca="false">IFERROR(IF(ISNUMBER(INDEX(원자료_잔고!$A$1:$EZ$1500,설정!$L$5+ROW()-1,설정!$L$13)),INDEX(원자료_잔고!$A$1:$EZ$1500,설정!$L$5+ROW()-1,설정!$L$13),""),"")</f>
        <v>5.5091</v>
      </c>
      <c r="H67" s="85" t="n">
        <f aca="false">IFERROR(IF(ISNUMBER(INDEX(원자료_잔고!$A$1:$EZ$1500,설정!$L$5+ROW()-1,설정!$L$14)),INDEX(원자료_잔고!$A$1:$EZ$1500,설정!$L$5+ROW()-1,설정!$L$14),""),"")</f>
        <v>1.3895</v>
      </c>
      <c r="I67" s="86" t="n">
        <f aca="false">IFERROR(IF(ISNUMBER(INDEX(원자료_잔고!$A$1:$EZ$1500,설정!$L$5+ROW()-1,설정!$L$15)),INDEX(원자료_잔고!$A$1:$EZ$1500,설정!$L$5+ROW()-1,설정!$L$15),""),"")</f>
        <v>46838</v>
      </c>
      <c r="J67" s="85" t="n">
        <f aca="false">IFERROR(IF(ISNUMBER(INDEX(원자료_잔고!$A$1:$EZ$1500,설정!$L$5+ROW()-1,설정!$L$16)),INDEX(원자료_잔고!$A$1:$EZ$1500,설정!$L$5+ROW()-1,설정!$L$16),""),"")</f>
        <v>4.5</v>
      </c>
      <c r="K67" s="87" t="n">
        <f aca="false">IFERROR(IF(ISNUMBER(INDEX(원자료_잔고!$A$1:$EZ$1500,설정!$L$5+ROW()-1,설정!$L$17)),INDEX(원자료_잔고!$A$1:$EZ$1500,설정!$L$5+ROW()-1,설정!$L$17),""),"")</f>
        <v>1</v>
      </c>
      <c r="L67" s="84" t="n">
        <f aca="false">IFERROR(IF(ISNUMBER(INDEX(원자료_잔고!$A$1:$EZ$1500,설정!$L$5+ROW()-1,설정!$L$18)),INDEX(원자료_잔고!$A$1:$EZ$1500,설정!$L$5+ROW()-1,설정!$L$18),""),"")</f>
        <v>2760094.4</v>
      </c>
      <c r="M67" s="88" t="n">
        <f aca="false">IFERROR(IF(ISNUMBER(INDEX(원자료_잔고!$A$1:$EZ$1500,설정!$L$5+ROW()-1,설정!$L$19)),INDEX(원자료_잔고!$A$1:$EZ$1500,설정!$L$5+ROW()-1,설정!$L$19),""),"")</f>
        <v>-58679.6</v>
      </c>
      <c r="N67" s="83" t="str">
        <f aca="false">IFERROR(IF(INDEX(원자료_잔고!$A$1:$EZ$1500,설정!$L$5+ROW()-1,설정!$L$21)&amp;""="0","",INDEX(원자료_잔고!$A$1:$EZ$1500,설정!$L$5+ROW()-1,설정!$L$21)&amp;""),"")</f>
        <v>BBB+</v>
      </c>
      <c r="O67" s="83" t="str">
        <f aca="false">IFERROR(IF(INDEX(원자료_잔고!$A$1:$EZ$1500,설정!$L$5+ROW()-1,설정!$L$22)&amp;""="0","",INDEX(원자료_잔고!$A$1:$EZ$1500,설정!$L$5+ROW()-1,설정!$L$22)&amp;""),"")</f>
        <v/>
      </c>
      <c r="P67" s="83" t="str">
        <f aca="false">IFERROR(IF(INDEX(원자료_잔고!$A$1:$EZ$1500,설정!$L$5+ROW()-1,설정!$L$23)&amp;""="0","",INDEX(원자료_잔고!$A$1:$EZ$1500,설정!$L$5+ROW()-1,설정!$L$23)&amp;""),"")</f>
        <v>BBB+</v>
      </c>
      <c r="Q67" s="89" t="n">
        <f aca="false">IF(AND($A67&lt;&gt;"",ISNUMBER(E67)),IF(E67&gt;0,1,0),0)</f>
        <v>1</v>
      </c>
      <c r="R67" s="43" t="str">
        <f aca="false">IF(Q67=1,UPPER(LEFT($A67,FIND(" ",$A67&amp;" ")-1)),"")</f>
        <v>SHNHAN</v>
      </c>
      <c r="S67" s="89" t="n">
        <f aca="false">IF(Q67=1,IF(OR(ISNUMBER(SEARCH("Float",$A67)),ISNUMBER(SEARCH("FRN",$A67))),1,0),0)</f>
        <v>0</v>
      </c>
      <c r="T67" s="43" t="str">
        <f aca="false">IF(AND(Q67=1,ISNUMBER(I67)),TEXT(I67,"yyyymmdd")&amp;"|"&amp;IF(S67=1,"F",TEXT(J67,"0.000")),"")</f>
        <v>20280326|4.500</v>
      </c>
      <c r="U67" s="90" t="n">
        <f aca="false">IF(AND(Q67=1,ISNUMBER(I67)),(I67-설정!$C$4)/365.25,"")</f>
        <v>1.4839151266256</v>
      </c>
      <c r="V67" s="43" t="str">
        <f aca="false">IF(Q67&lt;&gt;1,"",IF(ISNUMBER(U67),IF(U67&lt;=1,"1년 이하",IF(U67&lt;=2,"1-2년",IF(U67&lt;=3,"2-3년",IF(U67&lt;=4,"3-4년",IF(U67&lt;=5,"4-5년",IF(U67&lt;=7,"5-7년",IF(U67&lt;=10,"7-10년",IF(U67&lt;=20,"10-20년","20년 이상")))))))),"미분류"))</f>
        <v>1-2년</v>
      </c>
      <c r="W67" s="43" t="str">
        <f aca="false">IF(Q67&lt;&gt;1,"",IF(AB67&lt;&gt;"",INDEX(시장분석!$C:$C,AB67),IF(K67=1,"USD","비USD")))</f>
        <v>USD</v>
      </c>
      <c r="X67" s="91" t="n">
        <f aca="false">IF(Q67=1,E67*K67/1000000,0)</f>
        <v>2.8</v>
      </c>
      <c r="Y67" s="89" t="n">
        <f aca="false">IF(R67="T",1,0)</f>
        <v>0</v>
      </c>
      <c r="Z67" s="92" t="n">
        <f aca="false">IF(Q67&lt;&gt;1,"",IF(AD67=1,IF(ISNUMBER(U67),MAX(U67,0),H67),H67))</f>
        <v>1.3895</v>
      </c>
      <c r="AA67" s="91" t="n">
        <f aca="false">IF(Q67=1,IF(ISNUMBER(L67),L67,0)*K67/1000000,0)</f>
        <v>2.7600944</v>
      </c>
      <c r="AB67" s="89" t="n">
        <f aca="false">IF(Q67&lt;&gt;1,"",IFERROR(MATCH(VLOOKUP(B67,매핑!$H$4:$I$15,2,0),시장분석!$A$2:$A$601,0)+1,IFERROR(MATCH(R67&amp;"|"&amp;T67,시장분석!$V$2:$V$601,0)+1,IF(COUNTIF(시장분석!$U$2:$U$601,T67)=1,MATCH(T67,시장분석!$U$2:$U$601,0)+1,""))))</f>
        <v>209</v>
      </c>
      <c r="AC67" s="89" t="n">
        <f aca="false">IF(Q67&lt;&gt;1,0,IF(OR(설정!$C$5="전체",AND(설정!$C$5="선택펀드",IFERROR(COUNTIFS(설정!$F$16:$F$36,C67,설정!$G$16:$G$36,"Y")+COUNTIFS(설정!$F$16:$F$36,VALUE(C67),설정!$G$16:$G$36,"Y"),0)&gt;0),C67&amp;""=설정!$C$5&amp;""),1,0))</f>
        <v>1</v>
      </c>
      <c r="AD67" s="89" t="n">
        <f aca="false">IF(Q67&lt;&gt;1,0,IF(OR(S67=1,IF(AB67="",FALSE(),INDEX(시장분석!$R:$R,AB67)=1)),1,0))</f>
        <v>0</v>
      </c>
      <c r="AE67" s="43" t="str">
        <f aca="false">IF(AB67="","",INDEX(시장분석!$A:$A,AB67))</f>
        <v>SHNHAN 4 1/2 03/26/28</v>
      </c>
      <c r="AF67" s="93" t="n">
        <f aca="false">IF(AB67="","",IF(ISNUMBER(IF(AB67="","",INDEX(시장분석!$E:$E,AB67))),IF(AB67="","",INDEX(시장분석!$E:$E,AB67)),""))</f>
        <v>66.478</v>
      </c>
      <c r="AG67" s="43" t="str">
        <f aca="false">IF(Q67&lt;&gt;1,"",IF(AB67&lt;&gt;"",IF(AB67="","",INDEX(시장분석!$L:$L,AB67)),IFERROR(IF(VLOOKUP(R67,매핑!$A$4:$E$92,5,0)="","미분류",VLOOKUP(R67,매핑!$A$4:$E$92,5,0)),"미분류")))</f>
        <v>금융기관</v>
      </c>
      <c r="AH67" s="43" t="str">
        <f aca="false">IF(Q67&lt;&gt;1,"",IF(AB67&lt;&gt;"",IF(AB67="","",INDEX(시장분석!$N:$N,AB67)),IFERROR(IF(VLOOKUP(R67,매핑!$A$4:$E$92,4,0)="","미분류",VLOOKUP(R67,매핑!$A$4:$E$92,4,0)),"미분류")))</f>
        <v>아시아/기타</v>
      </c>
      <c r="AI67" s="43" t="str">
        <f aca="false">IF(Q67&lt;&gt;1,"",IFERROR(IF(VLOOKUP(R67,매핑!$A$4:$E$92,3,0)="","미분류",VLOOKUP(R67,매핑!$A$4:$E$92,3,0)),IF(AB67&lt;&gt;"",IF(AB67="","",INDEX(시장분석!$W:$W,AB67)),"미분류")))</f>
        <v>한국</v>
      </c>
      <c r="AJ67" s="43" t="str">
        <f aca="false">IF(Q67&lt;&gt;1,"",IFERROR(VLOOKUP(IF(N67&lt;&gt;"",N67,IF(P67&lt;&gt;"",P67,O67)),설정!$A$15:$D$47,2,0),""))</f>
        <v>BBB+</v>
      </c>
      <c r="AK67" s="43" t="str">
        <f aca="false">IF(Q67&lt;&gt;1,"",IF(AJ67="","무등급",IFERROR(VLOOKUP(AJ67,설정!$A$15:$D$47,3,0),"무등급")))</f>
        <v>BBB</v>
      </c>
      <c r="AL67" s="89" t="n">
        <f aca="false">IF(AJ67="",99,IFERROR(VLOOKUP(AJ67,설정!$A$15:$D$47,4,0),99))</f>
        <v>8</v>
      </c>
      <c r="AM67" s="94" t="n">
        <f aca="false">IF(ISNUMBER(H67),AA67*1000000*H67/10000,0)</f>
        <v>383.51511688</v>
      </c>
      <c r="AN67" s="94" t="n">
        <f aca="false">IF(OR(Y67=1,NOT(ISNUMBER(Z67))),0,AA67*1000000*Z67/10000)</f>
        <v>383.51511688</v>
      </c>
      <c r="AO67" s="94" t="n">
        <f aca="false">IF(ISNUMBER(G67),AA67*1000000*G67/100,0)</f>
        <v>152056.3605904</v>
      </c>
      <c r="AP67" s="94" t="n">
        <f aca="false">IF(ISNUMBER(M67),M67*K67,0)</f>
        <v>-58679.6</v>
      </c>
      <c r="AQ67" s="95" t="n">
        <f aca="false">IF(AB67="","",INDEX(시장분석!$AK:$AK,AB67))</f>
        <v>0.550271612382034</v>
      </c>
      <c r="AR67" s="43" t="str">
        <f aca="false">IF(AB67="","-",IF(AB67="","",INDEX(시장분석!$AL:$AL,AB67)))</f>
        <v>Fair</v>
      </c>
      <c r="AS67" s="96" t="n">
        <f aca="false">IF(AB67="","",INDEX(시장분석!$AJ:$AJ,AB67))</f>
        <v>11.2660340305366</v>
      </c>
      <c r="AT67" s="93" t="n">
        <f aca="false">IF(AB67="",0,IF(AB67="","",INDEX(시장분석!$AN:$AN,AB67)))</f>
        <v>0</v>
      </c>
      <c r="AU67" s="94" t="n">
        <f aca="false">IF(ISNUMBER(Z67),AT67/10000*MAX(Z67-1,0)*AA67*1000000,0)</f>
        <v>0</v>
      </c>
      <c r="AV67" s="94" t="n">
        <f aca="false">AO67+AU67</f>
        <v>152056.3605904</v>
      </c>
      <c r="AW67" s="43" t="str">
        <f aca="false">IF(Q67&lt;&gt;1,"",TRIM(IF(AD67=1,"FRN ","")&amp;IF(AND(AL67&gt;=10,AL67&lt;99),"BBB0미만 ","")&amp;IF(AJ67="","등급없음 ","")&amp;IF(K67&lt;&gt;1,"비USD ","")&amp;IF(AND(AB67="",Y67=0),"시장데이터없음 ","")&amp;IF(AND(ISNUMBER(U67),U67&lt;0),"만기경과 ","")))</f>
        <v/>
      </c>
      <c r="AX67" s="90" t="n">
        <f aca="false">IF(Q67&lt;&gt;1,1,IF(스프레드쇼크!$C$4="Y",INDEX(스프레드쇼크!$B$12:$L$16,IFERROR(MATCH(AH67,스프레드쇼크!$A$12:$A$16,0),MATCH("목록외",스프레드쇼크!$A$12:$A$16,0)),IFERROR(MATCH(AG67,스프레드쇼크!$B$11:$L$11,0),MATCH("목록외",스프레드쇼크!$B$11:$L$11,0))),1))</f>
        <v>1</v>
      </c>
      <c r="AY67" s="90" t="n">
        <f aca="false">IF(스프레드쇼크!$C$5="Y",IF(ISNUMBER(AF67),MIN(스프레드쇼크!$C$7,MAX(스프레드쇼크!$C$6,AF67/스프레드쇼크!$C$8)),1),1)</f>
        <v>1.0055055492236</v>
      </c>
      <c r="AZ67" s="94" t="n">
        <f aca="false">AN67*AX67*AY67</f>
        <v>385.626578233977</v>
      </c>
      <c r="BA67" s="90" t="n">
        <f aca="false">IF(ISNUMBER(G67),AA67*G67,0)</f>
        <v>15.20563605904</v>
      </c>
      <c r="BB67" s="90" t="n">
        <f aca="false">IF(ISNUMBER(G67),AA67,0)</f>
        <v>2.7600944</v>
      </c>
      <c r="BC67" s="90" t="n">
        <f aca="false">IF(AND(Y67=0,ISNUMBER(AF67)),AA67*AF67,0)</f>
        <v>183.4855555232</v>
      </c>
      <c r="BD67" s="90" t="n">
        <f aca="false">IF(AND(Y67=0,ISNUMBER(AF67)),AA67,0)</f>
        <v>2.7600944</v>
      </c>
      <c r="BE67" s="90" t="n">
        <f aca="false">IF(ISNUMBER(H67),AA67*H67,0)</f>
        <v>3.8351511688</v>
      </c>
      <c r="BF67" s="90" t="n">
        <f aca="false">IF(ISNUMBER(H67),AA67,0)</f>
        <v>2.7600944</v>
      </c>
      <c r="BG67" s="90" t="n">
        <f aca="false">IF(AND(Y67=0,ISNUMBER(AF67),ISNUMBER(Z67)),AA67*Z67,0)</f>
        <v>3.8351511688</v>
      </c>
      <c r="BH67" s="90" t="n">
        <f aca="false">IF(AND(Y67=0,ISNUMBER(AF67),ISNUMBER(Z67)),AA67*AT67*MAX(Z67-1,0),0)</f>
        <v>0</v>
      </c>
      <c r="BI67" s="90" t="n">
        <f aca="false">IF(Y67=0,AA67,0)</f>
        <v>2.7600944</v>
      </c>
    </row>
    <row r="68" customFormat="false" ht="15" hidden="false" customHeight="false" outlineLevel="0" collapsed="false">
      <c r="A68" s="83" t="str">
        <f aca="false">IFERROR(IF(INDEX(원자료_잔고!$A$1:$EZ$1500,설정!$L$5+ROW()-1,설정!$L$8)&amp;""="0","",INDEX(원자료_잔고!$A$1:$EZ$1500,설정!$L$5+ROW()-1,설정!$L$8)&amp;""),"")</f>
        <v>SHNHAN 4.5 03/26/28</v>
      </c>
      <c r="B68" s="83" t="str">
        <f aca="false">IFERROR(IF(INDEX(원자료_잔고!$A$1:$EZ$1500,설정!$L$5+ROW()-1,설정!$L$7)&amp;""="0","",INDEX(원자료_잔고!$A$1:$EZ$1500,설정!$L$5+ROW()-1,설정!$L$7)&amp;""),"")</f>
        <v>XS1795263281</v>
      </c>
      <c r="C68" s="83" t="str">
        <f aca="false">IFERROR(IF(INDEX(원자료_잔고!$A$1:$EZ$1500,설정!$L$5+ROW()-1,설정!$L$9)&amp;""="0","",INDEX(원자료_잔고!$A$1:$EZ$1500,설정!$L$5+ROW()-1,설정!$L$9)&amp;""),"")</f>
        <v>28096</v>
      </c>
      <c r="D6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8" s="84" t="n">
        <f aca="false">IFERROR(IF(ISNUMBER(INDEX(원자료_잔고!$A$1:$EZ$1500,설정!$L$5+ROW()-1,설정!$L$11)),INDEX(원자료_잔고!$A$1:$EZ$1500,설정!$L$5+ROW()-1,설정!$L$11),""),"")</f>
        <v>3000000</v>
      </c>
      <c r="F68" s="85" t="n">
        <f aca="false">IFERROR(IF(ISNUMBER(INDEX(원자료_잔고!$A$1:$EZ$1500,설정!$L$5+ROW()-1,설정!$L$12)),INDEX(원자료_잔고!$A$1:$EZ$1500,설정!$L$5+ROW()-1,설정!$L$12),""),"")</f>
        <v>98.5748</v>
      </c>
      <c r="G68" s="85" t="n">
        <f aca="false">IFERROR(IF(ISNUMBER(INDEX(원자료_잔고!$A$1:$EZ$1500,설정!$L$5+ROW()-1,설정!$L$13)),INDEX(원자료_잔고!$A$1:$EZ$1500,설정!$L$5+ROW()-1,설정!$L$13),""),"")</f>
        <v>5.5091</v>
      </c>
      <c r="H68" s="85" t="n">
        <f aca="false">IFERROR(IF(ISNUMBER(INDEX(원자료_잔고!$A$1:$EZ$1500,설정!$L$5+ROW()-1,설정!$L$14)),INDEX(원자료_잔고!$A$1:$EZ$1500,설정!$L$5+ROW()-1,설정!$L$14),""),"")</f>
        <v>1.3895</v>
      </c>
      <c r="I68" s="86" t="n">
        <f aca="false">IFERROR(IF(ISNUMBER(INDEX(원자료_잔고!$A$1:$EZ$1500,설정!$L$5+ROW()-1,설정!$L$15)),INDEX(원자료_잔고!$A$1:$EZ$1500,설정!$L$5+ROW()-1,설정!$L$15),""),"")</f>
        <v>46838</v>
      </c>
      <c r="J68" s="85" t="n">
        <f aca="false">IFERROR(IF(ISNUMBER(INDEX(원자료_잔고!$A$1:$EZ$1500,설정!$L$5+ROW()-1,설정!$L$16)),INDEX(원자료_잔고!$A$1:$EZ$1500,설정!$L$5+ROW()-1,설정!$L$16),""),"")</f>
        <v>4.5</v>
      </c>
      <c r="K68" s="87" t="n">
        <f aca="false">IFERROR(IF(ISNUMBER(INDEX(원자료_잔고!$A$1:$EZ$1500,설정!$L$5+ROW()-1,설정!$L$17)),INDEX(원자료_잔고!$A$1:$EZ$1500,설정!$L$5+ROW()-1,설정!$L$17),""),"")</f>
        <v>1</v>
      </c>
      <c r="L68" s="84" t="n">
        <f aca="false">IFERROR(IF(ISNUMBER(INDEX(원자료_잔고!$A$1:$EZ$1500,설정!$L$5+ROW()-1,설정!$L$18)),INDEX(원자료_잔고!$A$1:$EZ$1500,설정!$L$5+ROW()-1,설정!$L$18),""),"")</f>
        <v>2957244</v>
      </c>
      <c r="M68" s="88" t="n">
        <f aca="false">IFERROR(IF(ISNUMBER(INDEX(원자료_잔고!$A$1:$EZ$1500,설정!$L$5+ROW()-1,설정!$L$19)),INDEX(원자료_잔고!$A$1:$EZ$1500,설정!$L$5+ROW()-1,설정!$L$19),""),"")</f>
        <v>-62871</v>
      </c>
      <c r="N68" s="83" t="str">
        <f aca="false">IFERROR(IF(INDEX(원자료_잔고!$A$1:$EZ$1500,설정!$L$5+ROW()-1,설정!$L$21)&amp;""="0","",INDEX(원자료_잔고!$A$1:$EZ$1500,설정!$L$5+ROW()-1,설정!$L$21)&amp;""),"")</f>
        <v>BBB+</v>
      </c>
      <c r="O68" s="83" t="str">
        <f aca="false">IFERROR(IF(INDEX(원자료_잔고!$A$1:$EZ$1500,설정!$L$5+ROW()-1,설정!$L$22)&amp;""="0","",INDEX(원자료_잔고!$A$1:$EZ$1500,설정!$L$5+ROW()-1,설정!$L$22)&amp;""),"")</f>
        <v/>
      </c>
      <c r="P68" s="83" t="str">
        <f aca="false">IFERROR(IF(INDEX(원자료_잔고!$A$1:$EZ$1500,설정!$L$5+ROW()-1,설정!$L$23)&amp;""="0","",INDEX(원자료_잔고!$A$1:$EZ$1500,설정!$L$5+ROW()-1,설정!$L$23)&amp;""),"")</f>
        <v>BBB+</v>
      </c>
      <c r="Q68" s="89" t="n">
        <f aca="false">IF(AND($A68&lt;&gt;"",ISNUMBER(E68)),IF(E68&gt;0,1,0),0)</f>
        <v>1</v>
      </c>
      <c r="R68" s="43" t="str">
        <f aca="false">IF(Q68=1,UPPER(LEFT($A68,FIND(" ",$A68&amp;" ")-1)),"")</f>
        <v>SHNHAN</v>
      </c>
      <c r="S68" s="89" t="n">
        <f aca="false">IF(Q68=1,IF(OR(ISNUMBER(SEARCH("Float",$A68)),ISNUMBER(SEARCH("FRN",$A68))),1,0),0)</f>
        <v>0</v>
      </c>
      <c r="T68" s="43" t="str">
        <f aca="false">IF(AND(Q68=1,ISNUMBER(I68)),TEXT(I68,"yyyymmdd")&amp;"|"&amp;IF(S68=1,"F",TEXT(J68,"0.000")),"")</f>
        <v>20280326|4.500</v>
      </c>
      <c r="U68" s="90" t="n">
        <f aca="false">IF(AND(Q68=1,ISNUMBER(I68)),(I68-설정!$C$4)/365.25,"")</f>
        <v>1.4839151266256</v>
      </c>
      <c r="V68" s="43" t="str">
        <f aca="false">IF(Q68&lt;&gt;1,"",IF(ISNUMBER(U68),IF(U68&lt;=1,"1년 이하",IF(U68&lt;=2,"1-2년",IF(U68&lt;=3,"2-3년",IF(U68&lt;=4,"3-4년",IF(U68&lt;=5,"4-5년",IF(U68&lt;=7,"5-7년",IF(U68&lt;=10,"7-10년",IF(U68&lt;=20,"10-20년","20년 이상")))))))),"미분류"))</f>
        <v>1-2년</v>
      </c>
      <c r="W68" s="43" t="str">
        <f aca="false">IF(Q68&lt;&gt;1,"",IF(AB68&lt;&gt;"",INDEX(시장분석!$C:$C,AB68),IF(K68=1,"USD","비USD")))</f>
        <v>USD</v>
      </c>
      <c r="X68" s="91" t="n">
        <f aca="false">IF(Q68=1,E68*K68/1000000,0)</f>
        <v>3</v>
      </c>
      <c r="Y68" s="89" t="n">
        <f aca="false">IF(R68="T",1,0)</f>
        <v>0</v>
      </c>
      <c r="Z68" s="92" t="n">
        <f aca="false">IF(Q68&lt;&gt;1,"",IF(AD68=1,IF(ISNUMBER(U68),MAX(U68,0),H68),H68))</f>
        <v>1.3895</v>
      </c>
      <c r="AA68" s="91" t="n">
        <f aca="false">IF(Q68=1,IF(ISNUMBER(L68),L68,0)*K68/1000000,0)</f>
        <v>2.957244</v>
      </c>
      <c r="AB68" s="89" t="n">
        <f aca="false">IF(Q68&lt;&gt;1,"",IFERROR(MATCH(VLOOKUP(B68,매핑!$H$4:$I$15,2,0),시장분석!$A$2:$A$601,0)+1,IFERROR(MATCH(R68&amp;"|"&amp;T68,시장분석!$V$2:$V$601,0)+1,IF(COUNTIF(시장분석!$U$2:$U$601,T68)=1,MATCH(T68,시장분석!$U$2:$U$601,0)+1,""))))</f>
        <v>209</v>
      </c>
      <c r="AC68" s="89" t="n">
        <f aca="false">IF(Q68&lt;&gt;1,0,IF(OR(설정!$C$5="전체",AND(설정!$C$5="선택펀드",IFERROR(COUNTIFS(설정!$F$16:$F$36,C68,설정!$G$16:$G$36,"Y")+COUNTIFS(설정!$F$16:$F$36,VALUE(C68),설정!$G$16:$G$36,"Y"),0)&gt;0),C68&amp;""=설정!$C$5&amp;""),1,0))</f>
        <v>1</v>
      </c>
      <c r="AD68" s="89" t="n">
        <f aca="false">IF(Q68&lt;&gt;1,0,IF(OR(S68=1,IF(AB68="",FALSE(),INDEX(시장분석!$R:$R,AB68)=1)),1,0))</f>
        <v>0</v>
      </c>
      <c r="AE68" s="43" t="str">
        <f aca="false">IF(AB68="","",INDEX(시장분석!$A:$A,AB68))</f>
        <v>SHNHAN 4 1/2 03/26/28</v>
      </c>
      <c r="AF68" s="93" t="n">
        <f aca="false">IF(AB68="","",IF(ISNUMBER(IF(AB68="","",INDEX(시장분석!$E:$E,AB68))),IF(AB68="","",INDEX(시장분석!$E:$E,AB68)),""))</f>
        <v>66.478</v>
      </c>
      <c r="AG68" s="43" t="str">
        <f aca="false">IF(Q68&lt;&gt;1,"",IF(AB68&lt;&gt;"",IF(AB68="","",INDEX(시장분석!$L:$L,AB68)),IFERROR(IF(VLOOKUP(R68,매핑!$A$4:$E$92,5,0)="","미분류",VLOOKUP(R68,매핑!$A$4:$E$92,5,0)),"미분류")))</f>
        <v>금융기관</v>
      </c>
      <c r="AH68" s="43" t="str">
        <f aca="false">IF(Q68&lt;&gt;1,"",IF(AB68&lt;&gt;"",IF(AB68="","",INDEX(시장분석!$N:$N,AB68)),IFERROR(IF(VLOOKUP(R68,매핑!$A$4:$E$92,4,0)="","미분류",VLOOKUP(R68,매핑!$A$4:$E$92,4,0)),"미분류")))</f>
        <v>아시아/기타</v>
      </c>
      <c r="AI68" s="43" t="str">
        <f aca="false">IF(Q68&lt;&gt;1,"",IFERROR(IF(VLOOKUP(R68,매핑!$A$4:$E$92,3,0)="","미분류",VLOOKUP(R68,매핑!$A$4:$E$92,3,0)),IF(AB68&lt;&gt;"",IF(AB68="","",INDEX(시장분석!$W:$W,AB68)),"미분류")))</f>
        <v>한국</v>
      </c>
      <c r="AJ68" s="43" t="str">
        <f aca="false">IF(Q68&lt;&gt;1,"",IFERROR(VLOOKUP(IF(N68&lt;&gt;"",N68,IF(P68&lt;&gt;"",P68,O68)),설정!$A$15:$D$47,2,0),""))</f>
        <v>BBB+</v>
      </c>
      <c r="AK68" s="43" t="str">
        <f aca="false">IF(Q68&lt;&gt;1,"",IF(AJ68="","무등급",IFERROR(VLOOKUP(AJ68,설정!$A$15:$D$47,3,0),"무등급")))</f>
        <v>BBB</v>
      </c>
      <c r="AL68" s="89" t="n">
        <f aca="false">IF(AJ68="",99,IFERROR(VLOOKUP(AJ68,설정!$A$15:$D$47,4,0),99))</f>
        <v>8</v>
      </c>
      <c r="AM68" s="94" t="n">
        <f aca="false">IF(ISNUMBER(H68),AA68*1000000*H68/10000,0)</f>
        <v>410.9090538</v>
      </c>
      <c r="AN68" s="94" t="n">
        <f aca="false">IF(OR(Y68=1,NOT(ISNUMBER(Z68))),0,AA68*1000000*Z68/10000)</f>
        <v>410.9090538</v>
      </c>
      <c r="AO68" s="94" t="n">
        <f aca="false">IF(ISNUMBER(G68),AA68*1000000*G68/100,0)</f>
        <v>162917.529204</v>
      </c>
      <c r="AP68" s="94" t="n">
        <f aca="false">IF(ISNUMBER(M68),M68*K68,0)</f>
        <v>-62871</v>
      </c>
      <c r="AQ68" s="95" t="n">
        <f aca="false">IF(AB68="","",INDEX(시장분석!$AK:$AK,AB68))</f>
        <v>0.550271612382034</v>
      </c>
      <c r="AR68" s="43" t="str">
        <f aca="false">IF(AB68="","-",IF(AB68="","",INDEX(시장분석!$AL:$AL,AB68)))</f>
        <v>Fair</v>
      </c>
      <c r="AS68" s="96" t="n">
        <f aca="false">IF(AB68="","",INDEX(시장분석!$AJ:$AJ,AB68))</f>
        <v>11.2660340305366</v>
      </c>
      <c r="AT68" s="93" t="n">
        <f aca="false">IF(AB68="",0,IF(AB68="","",INDEX(시장분석!$AN:$AN,AB68)))</f>
        <v>0</v>
      </c>
      <c r="AU68" s="94" t="n">
        <f aca="false">IF(ISNUMBER(Z68),AT68/10000*MAX(Z68-1,0)*AA68*1000000,0)</f>
        <v>0</v>
      </c>
      <c r="AV68" s="94" t="n">
        <f aca="false">AO68+AU68</f>
        <v>162917.529204</v>
      </c>
      <c r="AW68" s="43" t="str">
        <f aca="false">IF(Q68&lt;&gt;1,"",TRIM(IF(AD68=1,"FRN ","")&amp;IF(AND(AL68&gt;=10,AL68&lt;99),"BBB0미만 ","")&amp;IF(AJ68="","등급없음 ","")&amp;IF(K68&lt;&gt;1,"비USD ","")&amp;IF(AND(AB68="",Y68=0),"시장데이터없음 ","")&amp;IF(AND(ISNUMBER(U68),U68&lt;0),"만기경과 ","")))</f>
        <v/>
      </c>
      <c r="AX68" s="90" t="n">
        <f aca="false">IF(Q68&lt;&gt;1,1,IF(스프레드쇼크!$C$4="Y",INDEX(스프레드쇼크!$B$12:$L$16,IFERROR(MATCH(AH68,스프레드쇼크!$A$12:$A$16,0),MATCH("목록외",스프레드쇼크!$A$12:$A$16,0)),IFERROR(MATCH(AG68,스프레드쇼크!$B$11:$L$11,0),MATCH("목록외",스프레드쇼크!$B$11:$L$11,0))),1))</f>
        <v>1</v>
      </c>
      <c r="AY68" s="90" t="n">
        <f aca="false">IF(스프레드쇼크!$C$5="Y",IF(ISNUMBER(AF68),MIN(스프레드쇼크!$C$7,MAX(스프레드쇼크!$C$6,AF68/스프레드쇼크!$C$8)),1),1)</f>
        <v>1.0055055492236</v>
      </c>
      <c r="AZ68" s="94" t="n">
        <f aca="false">AN68*AX68*AY68</f>
        <v>413.171333822118</v>
      </c>
      <c r="BA68" s="90" t="n">
        <f aca="false">IF(ISNUMBER(G68),AA68*G68,0)</f>
        <v>16.2917529204</v>
      </c>
      <c r="BB68" s="90" t="n">
        <f aca="false">IF(ISNUMBER(G68),AA68,0)</f>
        <v>2.957244</v>
      </c>
      <c r="BC68" s="90" t="n">
        <f aca="false">IF(AND(Y68=0,ISNUMBER(AF68)),AA68*AF68,0)</f>
        <v>196.591666632</v>
      </c>
      <c r="BD68" s="90" t="n">
        <f aca="false">IF(AND(Y68=0,ISNUMBER(AF68)),AA68,0)</f>
        <v>2.957244</v>
      </c>
      <c r="BE68" s="90" t="n">
        <f aca="false">IF(ISNUMBER(H68),AA68*H68,0)</f>
        <v>4.109090538</v>
      </c>
      <c r="BF68" s="90" t="n">
        <f aca="false">IF(ISNUMBER(H68),AA68,0)</f>
        <v>2.957244</v>
      </c>
      <c r="BG68" s="90" t="n">
        <f aca="false">IF(AND(Y68=0,ISNUMBER(AF68),ISNUMBER(Z68)),AA68*Z68,0)</f>
        <v>4.109090538</v>
      </c>
      <c r="BH68" s="90" t="n">
        <f aca="false">IF(AND(Y68=0,ISNUMBER(AF68),ISNUMBER(Z68)),AA68*AT68*MAX(Z68-1,0),0)</f>
        <v>0</v>
      </c>
      <c r="BI68" s="90" t="n">
        <f aca="false">IF(Y68=0,AA68,0)</f>
        <v>2.957244</v>
      </c>
    </row>
    <row r="69" customFormat="false" ht="15" hidden="false" customHeight="false" outlineLevel="0" collapsed="false">
      <c r="A69" s="83" t="str">
        <f aca="false">IFERROR(IF(INDEX(원자료_잔고!$A$1:$EZ$1500,설정!$L$5+ROW()-1,설정!$L$8)&amp;""="0","",INDEX(원자료_잔고!$A$1:$EZ$1500,설정!$L$5+ROW()-1,설정!$L$8)&amp;""),"")</f>
        <v>CITNAT 4.5 02/01/29</v>
      </c>
      <c r="B69" s="83" t="str">
        <f aca="false">IFERROR(IF(INDEX(원자료_잔고!$A$1:$EZ$1500,설정!$L$5+ROW()-1,설정!$L$7)&amp;""="0","",INDEX(원자료_잔고!$A$1:$EZ$1500,설정!$L$5+ROW()-1,설정!$L$7)&amp;""),"")</f>
        <v>XS1932879130</v>
      </c>
      <c r="C69" s="83" t="str">
        <f aca="false">IFERROR(IF(INDEX(원자료_잔고!$A$1:$EZ$1500,설정!$L$5+ROW()-1,설정!$L$9)&amp;""="0","",INDEX(원자료_잔고!$A$1:$EZ$1500,설정!$L$5+ROW()-1,설정!$L$9)&amp;""),"")</f>
        <v>28096</v>
      </c>
      <c r="D6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69" s="84" t="n">
        <f aca="false">IFERROR(IF(ISNUMBER(INDEX(원자료_잔고!$A$1:$EZ$1500,설정!$L$5+ROW()-1,설정!$L$11)),INDEX(원자료_잔고!$A$1:$EZ$1500,설정!$L$5+ROW()-1,설정!$L$11),""),"")</f>
        <v>3000000</v>
      </c>
      <c r="F69" s="85" t="n">
        <f aca="false">IFERROR(IF(ISNUMBER(INDEX(원자료_잔고!$A$1:$EZ$1500,설정!$L$5+ROW()-1,설정!$L$12)),INDEX(원자료_잔고!$A$1:$EZ$1500,설정!$L$5+ROW()-1,설정!$L$12),""),"")</f>
        <v>97.6739</v>
      </c>
      <c r="G69" s="85" t="n">
        <f aca="false">IFERROR(IF(ISNUMBER(INDEX(원자료_잔고!$A$1:$EZ$1500,설정!$L$5+ROW()-1,설정!$L$13)),INDEX(원자료_잔고!$A$1:$EZ$1500,설정!$L$5+ROW()-1,설정!$L$13),""),"")</f>
        <v>5.5705</v>
      </c>
      <c r="H69" s="85" t="n">
        <f aca="false">IFERROR(IF(ISNUMBER(INDEX(원자료_잔고!$A$1:$EZ$1500,설정!$L$5+ROW()-1,설정!$L$14)),INDEX(원자료_잔고!$A$1:$EZ$1500,설정!$L$5+ROW()-1,설정!$L$14),""),"")</f>
        <v>2.1256</v>
      </c>
      <c r="I69" s="86" t="n">
        <f aca="false">IFERROR(IF(ISNUMBER(INDEX(원자료_잔고!$A$1:$EZ$1500,설정!$L$5+ROW()-1,설정!$L$15)),INDEX(원자료_잔고!$A$1:$EZ$1500,설정!$L$5+ROW()-1,설정!$L$15),""),"")</f>
        <v>47150</v>
      </c>
      <c r="J69" s="85" t="n">
        <f aca="false">IFERROR(IF(ISNUMBER(INDEX(원자료_잔고!$A$1:$EZ$1500,설정!$L$5+ROW()-1,설정!$L$16)),INDEX(원자료_잔고!$A$1:$EZ$1500,설정!$L$5+ROW()-1,설정!$L$16),""),"")</f>
        <v>4.5</v>
      </c>
      <c r="K69" s="87" t="n">
        <f aca="false">IFERROR(IF(ISNUMBER(INDEX(원자료_잔고!$A$1:$EZ$1500,설정!$L$5+ROW()-1,설정!$L$17)),INDEX(원자료_잔고!$A$1:$EZ$1500,설정!$L$5+ROW()-1,설정!$L$17),""),"")</f>
        <v>1</v>
      </c>
      <c r="L69" s="84" t="n">
        <f aca="false">IFERROR(IF(ISNUMBER(INDEX(원자료_잔고!$A$1:$EZ$1500,설정!$L$5+ROW()-1,설정!$L$18)),INDEX(원자료_잔고!$A$1:$EZ$1500,설정!$L$5+ROW()-1,설정!$L$18),""),"")</f>
        <v>2930217</v>
      </c>
      <c r="M69" s="88" t="n">
        <f aca="false">IFERROR(IF(ISNUMBER(INDEX(원자료_잔고!$A$1:$EZ$1500,설정!$L$5+ROW()-1,설정!$L$19)),INDEX(원자료_잔고!$A$1:$EZ$1500,설정!$L$5+ROW()-1,설정!$L$19),""),"")</f>
        <v>-83619</v>
      </c>
      <c r="N69" s="83" t="str">
        <f aca="false">IFERROR(IF(INDEX(원자료_잔고!$A$1:$EZ$1500,설정!$L$5+ROW()-1,설정!$L$21)&amp;""="0","",INDEX(원자료_잔고!$A$1:$EZ$1500,설정!$L$5+ROW()-1,설정!$L$21)&amp;""),"")</f>
        <v>BBB+</v>
      </c>
      <c r="O69" s="83" t="str">
        <f aca="false">IFERROR(IF(INDEX(원자료_잔고!$A$1:$EZ$1500,설정!$L$5+ROW()-1,설정!$L$22)&amp;""="0","",INDEX(원자료_잔고!$A$1:$EZ$1500,설정!$L$5+ROW()-1,설정!$L$22)&amp;""),"")</f>
        <v/>
      </c>
      <c r="P69" s="83" t="str">
        <f aca="false">IFERROR(IF(INDEX(원자료_잔고!$A$1:$EZ$1500,설정!$L$5+ROW()-1,설정!$L$23)&amp;""="0","",INDEX(원자료_잔고!$A$1:$EZ$1500,설정!$L$5+ROW()-1,설정!$L$23)&amp;""),"")</f>
        <v>N/A</v>
      </c>
      <c r="Q69" s="89" t="n">
        <f aca="false">IF(AND($A69&lt;&gt;"",ISNUMBER(E69)),IF(E69&gt;0,1,0),0)</f>
        <v>1</v>
      </c>
      <c r="R69" s="43" t="str">
        <f aca="false">IF(Q69=1,UPPER(LEFT($A69,FIND(" ",$A69&amp;" ")-1)),"")</f>
        <v>CITNAT</v>
      </c>
      <c r="S69" s="89" t="n">
        <f aca="false">IF(Q69=1,IF(OR(ISNUMBER(SEARCH("Float",$A69)),ISNUMBER(SEARCH("FRN",$A69))),1,0),0)</f>
        <v>0</v>
      </c>
      <c r="T69" s="43" t="str">
        <f aca="false">IF(AND(Q69=1,ISNUMBER(I69)),TEXT(I69,"yyyymmdd")&amp;"|"&amp;IF(S69=1,"F",TEXT(J69,"0.000")),"")</f>
        <v>20290201|4.500</v>
      </c>
      <c r="U69" s="90" t="n">
        <f aca="false">IF(AND(Q69=1,ISNUMBER(I69)),(I69-설정!$C$4)/365.25,"")</f>
        <v>2.33812457221081</v>
      </c>
      <c r="V69" s="43" t="str">
        <f aca="false">IF(Q69&lt;&gt;1,"",IF(ISNUMBER(U69),IF(U69&lt;=1,"1년 이하",IF(U69&lt;=2,"1-2년",IF(U69&lt;=3,"2-3년",IF(U69&lt;=4,"3-4년",IF(U69&lt;=5,"4-5년",IF(U69&lt;=7,"5-7년",IF(U69&lt;=10,"7-10년",IF(U69&lt;=20,"10-20년","20년 이상")))))))),"미분류"))</f>
        <v>2-3년</v>
      </c>
      <c r="W69" s="43" t="str">
        <f aca="false">IF(Q69&lt;&gt;1,"",IF(AB69&lt;&gt;"",INDEX(시장분석!$C:$C,AB69),IF(K69=1,"USD","비USD")))</f>
        <v>USD</v>
      </c>
      <c r="X69" s="91" t="n">
        <f aca="false">IF(Q69=1,E69*K69/1000000,0)</f>
        <v>3</v>
      </c>
      <c r="Y69" s="89" t="n">
        <f aca="false">IF(R69="T",1,0)</f>
        <v>0</v>
      </c>
      <c r="Z69" s="92" t="n">
        <f aca="false">IF(Q69&lt;&gt;1,"",IF(AD69=1,IF(ISNUMBER(U69),MAX(U69,0),H69),H69))</f>
        <v>2.1256</v>
      </c>
      <c r="AA69" s="91" t="n">
        <f aca="false">IF(Q69=1,IF(ISNUMBER(L69),L69,0)*K69/1000000,0)</f>
        <v>2.930217</v>
      </c>
      <c r="AB69" s="89" t="n">
        <f aca="false">IF(Q69&lt;&gt;1,"",IFERROR(MATCH(VLOOKUP(B69,매핑!$H$4:$I$15,2,0),시장분석!$A$2:$A$601,0)+1,IFERROR(MATCH(R69&amp;"|"&amp;T69,시장분석!$V$2:$V$601,0)+1,IF(COUNTIF(시장분석!$U$2:$U$601,T69)=1,MATCH(T69,시장분석!$U$2:$U$601,0)+1,""))))</f>
        <v>210</v>
      </c>
      <c r="AC69" s="89" t="n">
        <f aca="false">IF(Q69&lt;&gt;1,0,IF(OR(설정!$C$5="전체",AND(설정!$C$5="선택펀드",IFERROR(COUNTIFS(설정!$F$16:$F$36,C69,설정!$G$16:$G$36,"Y")+COUNTIFS(설정!$F$16:$F$36,VALUE(C69),설정!$G$16:$G$36,"Y"),0)&gt;0),C69&amp;""=설정!$C$5&amp;""),1,0))</f>
        <v>1</v>
      </c>
      <c r="AD69" s="89" t="n">
        <f aca="false">IF(Q69&lt;&gt;1,0,IF(OR(S69=1,IF(AB69="",FALSE(),INDEX(시장분석!$R:$R,AB69)=1)),1,0))</f>
        <v>0</v>
      </c>
      <c r="AE69" s="43" t="str">
        <f aca="false">IF(AB69="","",INDEX(시장분석!$A:$A,AB69))</f>
        <v>CITNAT 4 1/2 02/01/29</v>
      </c>
      <c r="AF69" s="93" t="n">
        <f aca="false">IF(AB69="","",IF(ISNUMBER(IF(AB69="","",INDEX(시장분석!$E:$E,AB69))),IF(AB69="","",INDEX(시장분석!$E:$E,AB69)),""))</f>
        <v>60.703</v>
      </c>
      <c r="AG69" s="43" t="str">
        <f aca="false">IF(Q69&lt;&gt;1,"",IF(AB69&lt;&gt;"",IF(AB69="","",INDEX(시장분석!$L:$L,AB69)),IFERROR(IF(VLOOKUP(R69,매핑!$A$4:$E$92,5,0)="","미분류",VLOOKUP(R69,매핑!$A$4:$E$92,5,0)),"미분류")))</f>
        <v>금융기관</v>
      </c>
      <c r="AH69" s="43" t="str">
        <f aca="false">IF(Q69&lt;&gt;1,"",IF(AB69&lt;&gt;"",IF(AB69="","",INDEX(시장분석!$N:$N,AB69)),IFERROR(IF(VLOOKUP(R69,매핑!$A$4:$E$92,4,0)="","미분류",VLOOKUP(R69,매핑!$A$4:$E$92,4,0)),"미분류")))</f>
        <v>아시아/기타</v>
      </c>
      <c r="AI69" s="43" t="str">
        <f aca="false">IF(Q69&lt;&gt;1,"",IFERROR(IF(VLOOKUP(R69,매핑!$A$4:$E$92,3,0)="","미분류",VLOOKUP(R69,매핑!$A$4:$E$92,3,0)),IF(AB69&lt;&gt;"",IF(AB69="","",INDEX(시장분석!$W:$W,AB69)),"미분류")))</f>
        <v>한국</v>
      </c>
      <c r="AJ69" s="43" t="str">
        <f aca="false">IF(Q69&lt;&gt;1,"",IFERROR(VLOOKUP(IF(N69&lt;&gt;"",N69,IF(P69&lt;&gt;"",P69,O69)),설정!$A$15:$D$47,2,0),""))</f>
        <v>BBB+</v>
      </c>
      <c r="AK69" s="43" t="str">
        <f aca="false">IF(Q69&lt;&gt;1,"",IF(AJ69="","무등급",IFERROR(VLOOKUP(AJ69,설정!$A$15:$D$47,3,0),"무등급")))</f>
        <v>BBB</v>
      </c>
      <c r="AL69" s="89" t="n">
        <f aca="false">IF(AJ69="",99,IFERROR(VLOOKUP(AJ69,설정!$A$15:$D$47,4,0),99))</f>
        <v>8</v>
      </c>
      <c r="AM69" s="94" t="n">
        <f aca="false">IF(ISNUMBER(H69),AA69*1000000*H69/10000,0)</f>
        <v>622.84692552</v>
      </c>
      <c r="AN69" s="94" t="n">
        <f aca="false">IF(OR(Y69=1,NOT(ISNUMBER(Z69))),0,AA69*1000000*Z69/10000)</f>
        <v>622.84692552</v>
      </c>
      <c r="AO69" s="94" t="n">
        <f aca="false">IF(ISNUMBER(G69),AA69*1000000*G69/100,0)</f>
        <v>163227.737985</v>
      </c>
      <c r="AP69" s="94" t="n">
        <f aca="false">IF(ISNUMBER(M69),M69*K69,0)</f>
        <v>-83619</v>
      </c>
      <c r="AQ69" s="95" t="n">
        <f aca="false">IF(AB69="","",INDEX(시장분석!$AK:$AK,AB69))</f>
        <v>-0.0229774856862474</v>
      </c>
      <c r="AR69" s="43" t="str">
        <f aca="false">IF(AB69="","-",IF(AB69="","",INDEX(시장분석!$AL:$AL,AB69)))</f>
        <v>Fair</v>
      </c>
      <c r="AS69" s="96" t="n">
        <f aca="false">IF(AB69="","",INDEX(시장분석!$AJ:$AJ,AB69))</f>
        <v>-0.470431564799149</v>
      </c>
      <c r="AT69" s="93" t="n">
        <f aca="false">IF(AB69="",0,IF(AB69="","",INDEX(시장분석!$AN:$AN,AB69)))</f>
        <v>8.36842135125282</v>
      </c>
      <c r="AU69" s="94" t="n">
        <f aca="false">IF(ISNUMBER(Z69),AT69/10000*MAX(Z69-1,0)*AA69*1000000,0)</f>
        <v>2760.11645942334</v>
      </c>
      <c r="AV69" s="94" t="n">
        <f aca="false">AO69+AU69</f>
        <v>165987.854444423</v>
      </c>
      <c r="AW69" s="43" t="str">
        <f aca="false">IF(Q69&lt;&gt;1,"",TRIM(IF(AD69=1,"FRN ","")&amp;IF(AND(AL69&gt;=10,AL69&lt;99),"BBB0미만 ","")&amp;IF(AJ69="","등급없음 ","")&amp;IF(K69&lt;&gt;1,"비USD ","")&amp;IF(AND(AB69="",Y69=0),"시장데이터없음 ","")&amp;IF(AND(ISNUMBER(U69),U69&lt;0),"만기경과 ","")))</f>
        <v/>
      </c>
      <c r="AX69" s="90" t="n">
        <f aca="false">IF(Q69&lt;&gt;1,1,IF(스프레드쇼크!$C$4="Y",INDEX(스프레드쇼크!$B$12:$L$16,IFERROR(MATCH(AH69,스프레드쇼크!$A$12:$A$16,0),MATCH("목록외",스프레드쇼크!$A$12:$A$16,0)),IFERROR(MATCH(AG69,스프레드쇼크!$B$11:$L$11,0),MATCH("목록외",스프레드쇼크!$B$11:$L$11,0))),1))</f>
        <v>1</v>
      </c>
      <c r="AY69" s="90" t="n">
        <f aca="false">IF(스프레드쇼크!$C$5="Y",IF(ISNUMBER(AF69),MIN(스프레드쇼크!$C$7,MAX(스프레드쇼크!$C$6,AF69/스프레드쇼크!$C$8)),1),1)</f>
        <v>0.918156433023258</v>
      </c>
      <c r="AZ69" s="94" t="n">
        <f aca="false">AN69*AX69*AY69</f>
        <v>571.870911454946</v>
      </c>
      <c r="BA69" s="90" t="n">
        <f aca="false">IF(ISNUMBER(G69),AA69*G69,0)</f>
        <v>16.3227737985</v>
      </c>
      <c r="BB69" s="90" t="n">
        <f aca="false">IF(ISNUMBER(G69),AA69,0)</f>
        <v>2.930217</v>
      </c>
      <c r="BC69" s="90" t="n">
        <f aca="false">IF(AND(Y69=0,ISNUMBER(AF69)),AA69*AF69,0)</f>
        <v>177.872962551</v>
      </c>
      <c r="BD69" s="90" t="n">
        <f aca="false">IF(AND(Y69=0,ISNUMBER(AF69)),AA69,0)</f>
        <v>2.930217</v>
      </c>
      <c r="BE69" s="90" t="n">
        <f aca="false">IF(ISNUMBER(H69),AA69*H69,0)</f>
        <v>6.2284692552</v>
      </c>
      <c r="BF69" s="90" t="n">
        <f aca="false">IF(ISNUMBER(H69),AA69,0)</f>
        <v>2.930217</v>
      </c>
      <c r="BG69" s="90" t="n">
        <f aca="false">IF(AND(Y69=0,ISNUMBER(AF69),ISNUMBER(Z69)),AA69*Z69,0)</f>
        <v>6.2284692552</v>
      </c>
      <c r="BH69" s="90" t="n">
        <f aca="false">IF(AND(Y69=0,ISNUMBER(AF69),ISNUMBER(Z69)),AA69*AT69*MAX(Z69-1,0),0)</f>
        <v>27.6011645942334</v>
      </c>
      <c r="BI69" s="90" t="n">
        <f aca="false">IF(Y69=0,AA69,0)</f>
        <v>2.930217</v>
      </c>
    </row>
    <row r="70" customFormat="false" ht="15" hidden="false" customHeight="false" outlineLevel="0" collapsed="false">
      <c r="A70" s="83" t="str">
        <f aca="false">IFERROR(IF(INDEX(원자료_잔고!$A$1:$EZ$1500,설정!$L$5+ROW()-1,설정!$L$8)&amp;""="0","",INDEX(원자료_잔고!$A$1:$EZ$1500,설정!$L$5+ROW()-1,설정!$L$8)&amp;""),"")</f>
        <v>CITNAT 4.5 02/01/29</v>
      </c>
      <c r="B70" s="83" t="str">
        <f aca="false">IFERROR(IF(INDEX(원자료_잔고!$A$1:$EZ$1500,설정!$L$5+ROW()-1,설정!$L$7)&amp;""="0","",INDEX(원자료_잔고!$A$1:$EZ$1500,설정!$L$5+ROW()-1,설정!$L$7)&amp;""),"")</f>
        <v>XS1932879130</v>
      </c>
      <c r="C70" s="83" t="str">
        <f aca="false">IFERROR(IF(INDEX(원자료_잔고!$A$1:$EZ$1500,설정!$L$5+ROW()-1,설정!$L$9)&amp;""="0","",INDEX(원자료_잔고!$A$1:$EZ$1500,설정!$L$5+ROW()-1,설정!$L$9)&amp;""),"")</f>
        <v>28096</v>
      </c>
      <c r="D7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0" s="84" t="n">
        <f aca="false">IFERROR(IF(ISNUMBER(INDEX(원자료_잔고!$A$1:$EZ$1500,설정!$L$5+ROW()-1,설정!$L$11)),INDEX(원자료_잔고!$A$1:$EZ$1500,설정!$L$5+ROW()-1,설정!$L$11),""),"")</f>
        <v>2000000</v>
      </c>
      <c r="F70" s="85" t="n">
        <f aca="false">IFERROR(IF(ISNUMBER(INDEX(원자료_잔고!$A$1:$EZ$1500,설정!$L$5+ROW()-1,설정!$L$12)),INDEX(원자료_잔고!$A$1:$EZ$1500,설정!$L$5+ROW()-1,설정!$L$12),""),"")</f>
        <v>97.6739</v>
      </c>
      <c r="G70" s="85" t="n">
        <f aca="false">IFERROR(IF(ISNUMBER(INDEX(원자료_잔고!$A$1:$EZ$1500,설정!$L$5+ROW()-1,설정!$L$13)),INDEX(원자료_잔고!$A$1:$EZ$1500,설정!$L$5+ROW()-1,설정!$L$13),""),"")</f>
        <v>5.5705</v>
      </c>
      <c r="H70" s="85" t="n">
        <f aca="false">IFERROR(IF(ISNUMBER(INDEX(원자료_잔고!$A$1:$EZ$1500,설정!$L$5+ROW()-1,설정!$L$14)),INDEX(원자료_잔고!$A$1:$EZ$1500,설정!$L$5+ROW()-1,설정!$L$14),""),"")</f>
        <v>2.1256</v>
      </c>
      <c r="I70" s="86" t="n">
        <f aca="false">IFERROR(IF(ISNUMBER(INDEX(원자료_잔고!$A$1:$EZ$1500,설정!$L$5+ROW()-1,설정!$L$15)),INDEX(원자료_잔고!$A$1:$EZ$1500,설정!$L$5+ROW()-1,설정!$L$15),""),"")</f>
        <v>47150</v>
      </c>
      <c r="J70" s="85" t="n">
        <f aca="false">IFERROR(IF(ISNUMBER(INDEX(원자료_잔고!$A$1:$EZ$1500,설정!$L$5+ROW()-1,설정!$L$16)),INDEX(원자료_잔고!$A$1:$EZ$1500,설정!$L$5+ROW()-1,설정!$L$16),""),"")</f>
        <v>4.5</v>
      </c>
      <c r="K70" s="87" t="n">
        <f aca="false">IFERROR(IF(ISNUMBER(INDEX(원자료_잔고!$A$1:$EZ$1500,설정!$L$5+ROW()-1,설정!$L$17)),INDEX(원자료_잔고!$A$1:$EZ$1500,설정!$L$5+ROW()-1,설정!$L$17),""),"")</f>
        <v>1</v>
      </c>
      <c r="L70" s="84" t="n">
        <f aca="false">IFERROR(IF(ISNUMBER(INDEX(원자료_잔고!$A$1:$EZ$1500,설정!$L$5+ROW()-1,설정!$L$18)),INDEX(원자료_잔고!$A$1:$EZ$1500,설정!$L$5+ROW()-1,설정!$L$18),""),"")</f>
        <v>1953478</v>
      </c>
      <c r="M70" s="88" t="n">
        <f aca="false">IFERROR(IF(ISNUMBER(INDEX(원자료_잔고!$A$1:$EZ$1500,설정!$L$5+ROW()-1,설정!$L$19)),INDEX(원자료_잔고!$A$1:$EZ$1500,설정!$L$5+ROW()-1,설정!$L$19),""),"")</f>
        <v>-55746</v>
      </c>
      <c r="N70" s="83" t="str">
        <f aca="false">IFERROR(IF(INDEX(원자료_잔고!$A$1:$EZ$1500,설정!$L$5+ROW()-1,설정!$L$21)&amp;""="0","",INDEX(원자료_잔고!$A$1:$EZ$1500,설정!$L$5+ROW()-1,설정!$L$21)&amp;""),"")</f>
        <v>BBB+</v>
      </c>
      <c r="O70" s="83" t="str">
        <f aca="false">IFERROR(IF(INDEX(원자료_잔고!$A$1:$EZ$1500,설정!$L$5+ROW()-1,설정!$L$22)&amp;""="0","",INDEX(원자료_잔고!$A$1:$EZ$1500,설정!$L$5+ROW()-1,설정!$L$22)&amp;""),"")</f>
        <v/>
      </c>
      <c r="P70" s="83" t="str">
        <f aca="false">IFERROR(IF(INDEX(원자료_잔고!$A$1:$EZ$1500,설정!$L$5+ROW()-1,설정!$L$23)&amp;""="0","",INDEX(원자료_잔고!$A$1:$EZ$1500,설정!$L$5+ROW()-1,설정!$L$23)&amp;""),"")</f>
        <v>N/A</v>
      </c>
      <c r="Q70" s="89" t="n">
        <f aca="false">IF(AND($A70&lt;&gt;"",ISNUMBER(E70)),IF(E70&gt;0,1,0),0)</f>
        <v>1</v>
      </c>
      <c r="R70" s="43" t="str">
        <f aca="false">IF(Q70=1,UPPER(LEFT($A70,FIND(" ",$A70&amp;" ")-1)),"")</f>
        <v>CITNAT</v>
      </c>
      <c r="S70" s="89" t="n">
        <f aca="false">IF(Q70=1,IF(OR(ISNUMBER(SEARCH("Float",$A70)),ISNUMBER(SEARCH("FRN",$A70))),1,0),0)</f>
        <v>0</v>
      </c>
      <c r="T70" s="43" t="str">
        <f aca="false">IF(AND(Q70=1,ISNUMBER(I70)),TEXT(I70,"yyyymmdd")&amp;"|"&amp;IF(S70=1,"F",TEXT(J70,"0.000")),"")</f>
        <v>20290201|4.500</v>
      </c>
      <c r="U70" s="90" t="n">
        <f aca="false">IF(AND(Q70=1,ISNUMBER(I70)),(I70-설정!$C$4)/365.25,"")</f>
        <v>2.33812457221081</v>
      </c>
      <c r="V70" s="43" t="str">
        <f aca="false">IF(Q70&lt;&gt;1,"",IF(ISNUMBER(U70),IF(U70&lt;=1,"1년 이하",IF(U70&lt;=2,"1-2년",IF(U70&lt;=3,"2-3년",IF(U70&lt;=4,"3-4년",IF(U70&lt;=5,"4-5년",IF(U70&lt;=7,"5-7년",IF(U70&lt;=10,"7-10년",IF(U70&lt;=20,"10-20년","20년 이상")))))))),"미분류"))</f>
        <v>2-3년</v>
      </c>
      <c r="W70" s="43" t="str">
        <f aca="false">IF(Q70&lt;&gt;1,"",IF(AB70&lt;&gt;"",INDEX(시장분석!$C:$C,AB70),IF(K70=1,"USD","비USD")))</f>
        <v>USD</v>
      </c>
      <c r="X70" s="91" t="n">
        <f aca="false">IF(Q70=1,E70*K70/1000000,0)</f>
        <v>2</v>
      </c>
      <c r="Y70" s="89" t="n">
        <f aca="false">IF(R70="T",1,0)</f>
        <v>0</v>
      </c>
      <c r="Z70" s="92" t="n">
        <f aca="false">IF(Q70&lt;&gt;1,"",IF(AD70=1,IF(ISNUMBER(U70),MAX(U70,0),H70),H70))</f>
        <v>2.1256</v>
      </c>
      <c r="AA70" s="91" t="n">
        <f aca="false">IF(Q70=1,IF(ISNUMBER(L70),L70,0)*K70/1000000,0)</f>
        <v>1.953478</v>
      </c>
      <c r="AB70" s="89" t="n">
        <f aca="false">IF(Q70&lt;&gt;1,"",IFERROR(MATCH(VLOOKUP(B70,매핑!$H$4:$I$15,2,0),시장분석!$A$2:$A$601,0)+1,IFERROR(MATCH(R70&amp;"|"&amp;T70,시장분석!$V$2:$V$601,0)+1,IF(COUNTIF(시장분석!$U$2:$U$601,T70)=1,MATCH(T70,시장분석!$U$2:$U$601,0)+1,""))))</f>
        <v>210</v>
      </c>
      <c r="AC70" s="89" t="n">
        <f aca="false">IF(Q70&lt;&gt;1,0,IF(OR(설정!$C$5="전체",AND(설정!$C$5="선택펀드",IFERROR(COUNTIFS(설정!$F$16:$F$36,C70,설정!$G$16:$G$36,"Y")+COUNTIFS(설정!$F$16:$F$36,VALUE(C70),설정!$G$16:$G$36,"Y"),0)&gt;0),C70&amp;""=설정!$C$5&amp;""),1,0))</f>
        <v>1</v>
      </c>
      <c r="AD70" s="89" t="n">
        <f aca="false">IF(Q70&lt;&gt;1,0,IF(OR(S70=1,IF(AB70="",FALSE(),INDEX(시장분석!$R:$R,AB70)=1)),1,0))</f>
        <v>0</v>
      </c>
      <c r="AE70" s="43" t="str">
        <f aca="false">IF(AB70="","",INDEX(시장분석!$A:$A,AB70))</f>
        <v>CITNAT 4 1/2 02/01/29</v>
      </c>
      <c r="AF70" s="93" t="n">
        <f aca="false">IF(AB70="","",IF(ISNUMBER(IF(AB70="","",INDEX(시장분석!$E:$E,AB70))),IF(AB70="","",INDEX(시장분석!$E:$E,AB70)),""))</f>
        <v>60.703</v>
      </c>
      <c r="AG70" s="43" t="str">
        <f aca="false">IF(Q70&lt;&gt;1,"",IF(AB70&lt;&gt;"",IF(AB70="","",INDEX(시장분석!$L:$L,AB70)),IFERROR(IF(VLOOKUP(R70,매핑!$A$4:$E$92,5,0)="","미분류",VLOOKUP(R70,매핑!$A$4:$E$92,5,0)),"미분류")))</f>
        <v>금융기관</v>
      </c>
      <c r="AH70" s="43" t="str">
        <f aca="false">IF(Q70&lt;&gt;1,"",IF(AB70&lt;&gt;"",IF(AB70="","",INDEX(시장분석!$N:$N,AB70)),IFERROR(IF(VLOOKUP(R70,매핑!$A$4:$E$92,4,0)="","미분류",VLOOKUP(R70,매핑!$A$4:$E$92,4,0)),"미분류")))</f>
        <v>아시아/기타</v>
      </c>
      <c r="AI70" s="43" t="str">
        <f aca="false">IF(Q70&lt;&gt;1,"",IFERROR(IF(VLOOKUP(R70,매핑!$A$4:$E$92,3,0)="","미분류",VLOOKUP(R70,매핑!$A$4:$E$92,3,0)),IF(AB70&lt;&gt;"",IF(AB70="","",INDEX(시장분석!$W:$W,AB70)),"미분류")))</f>
        <v>한국</v>
      </c>
      <c r="AJ70" s="43" t="str">
        <f aca="false">IF(Q70&lt;&gt;1,"",IFERROR(VLOOKUP(IF(N70&lt;&gt;"",N70,IF(P70&lt;&gt;"",P70,O70)),설정!$A$15:$D$47,2,0),""))</f>
        <v>BBB+</v>
      </c>
      <c r="AK70" s="43" t="str">
        <f aca="false">IF(Q70&lt;&gt;1,"",IF(AJ70="","무등급",IFERROR(VLOOKUP(AJ70,설정!$A$15:$D$47,3,0),"무등급")))</f>
        <v>BBB</v>
      </c>
      <c r="AL70" s="89" t="n">
        <f aca="false">IF(AJ70="",99,IFERROR(VLOOKUP(AJ70,설정!$A$15:$D$47,4,0),99))</f>
        <v>8</v>
      </c>
      <c r="AM70" s="94" t="n">
        <f aca="false">IF(ISNUMBER(H70),AA70*1000000*H70/10000,0)</f>
        <v>415.23128368</v>
      </c>
      <c r="AN70" s="94" t="n">
        <f aca="false">IF(OR(Y70=1,NOT(ISNUMBER(Z70))),0,AA70*1000000*Z70/10000)</f>
        <v>415.23128368</v>
      </c>
      <c r="AO70" s="94" t="n">
        <f aca="false">IF(ISNUMBER(G70),AA70*1000000*G70/100,0)</f>
        <v>108818.49199</v>
      </c>
      <c r="AP70" s="94" t="n">
        <f aca="false">IF(ISNUMBER(M70),M70*K70,0)</f>
        <v>-55746</v>
      </c>
      <c r="AQ70" s="95" t="n">
        <f aca="false">IF(AB70="","",INDEX(시장분석!$AK:$AK,AB70))</f>
        <v>-0.0229774856862474</v>
      </c>
      <c r="AR70" s="43" t="str">
        <f aca="false">IF(AB70="","-",IF(AB70="","",INDEX(시장분석!$AL:$AL,AB70)))</f>
        <v>Fair</v>
      </c>
      <c r="AS70" s="96" t="n">
        <f aca="false">IF(AB70="","",INDEX(시장분석!$AJ:$AJ,AB70))</f>
        <v>-0.470431564799149</v>
      </c>
      <c r="AT70" s="93" t="n">
        <f aca="false">IF(AB70="",0,IF(AB70="","",INDEX(시장분석!$AN:$AN,AB70)))</f>
        <v>8.36842135125282</v>
      </c>
      <c r="AU70" s="94" t="n">
        <f aca="false">IF(ISNUMBER(Z70),AT70/10000*MAX(Z70-1,0)*AA70*1000000,0)</f>
        <v>1840.07763961556</v>
      </c>
      <c r="AV70" s="94" t="n">
        <f aca="false">AO70+AU70</f>
        <v>110658.569629616</v>
      </c>
      <c r="AW70" s="43" t="str">
        <f aca="false">IF(Q70&lt;&gt;1,"",TRIM(IF(AD70=1,"FRN ","")&amp;IF(AND(AL70&gt;=10,AL70&lt;99),"BBB0미만 ","")&amp;IF(AJ70="","등급없음 ","")&amp;IF(K70&lt;&gt;1,"비USD ","")&amp;IF(AND(AB70="",Y70=0),"시장데이터없음 ","")&amp;IF(AND(ISNUMBER(U70),U70&lt;0),"만기경과 ","")))</f>
        <v/>
      </c>
      <c r="AX70" s="90" t="n">
        <f aca="false">IF(Q70&lt;&gt;1,1,IF(스프레드쇼크!$C$4="Y",INDEX(스프레드쇼크!$B$12:$L$16,IFERROR(MATCH(AH70,스프레드쇼크!$A$12:$A$16,0),MATCH("목록외",스프레드쇼크!$A$12:$A$16,0)),IFERROR(MATCH(AG70,스프레드쇼크!$B$11:$L$11,0),MATCH("목록외",스프레드쇼크!$B$11:$L$11,0))),1))</f>
        <v>1</v>
      </c>
      <c r="AY70" s="90" t="n">
        <f aca="false">IF(스프레드쇼크!$C$5="Y",IF(ISNUMBER(AF70),MIN(스프레드쇼크!$C$7,MAX(스프레드쇼크!$C$6,AF70/스프레드쇼크!$C$8)),1),1)</f>
        <v>0.918156433023258</v>
      </c>
      <c r="AZ70" s="94" t="n">
        <f aca="false">AN70*AX70*AY70</f>
        <v>381.247274303297</v>
      </c>
      <c r="BA70" s="90" t="n">
        <f aca="false">IF(ISNUMBER(G70),AA70*G70,0)</f>
        <v>10.881849199</v>
      </c>
      <c r="BB70" s="90" t="n">
        <f aca="false">IF(ISNUMBER(G70),AA70,0)</f>
        <v>1.953478</v>
      </c>
      <c r="BC70" s="90" t="n">
        <f aca="false">IF(AND(Y70=0,ISNUMBER(AF70)),AA70*AF70,0)</f>
        <v>118.581975034</v>
      </c>
      <c r="BD70" s="90" t="n">
        <f aca="false">IF(AND(Y70=0,ISNUMBER(AF70)),AA70,0)</f>
        <v>1.953478</v>
      </c>
      <c r="BE70" s="90" t="n">
        <f aca="false">IF(ISNUMBER(H70),AA70*H70,0)</f>
        <v>4.1523128368</v>
      </c>
      <c r="BF70" s="90" t="n">
        <f aca="false">IF(ISNUMBER(H70),AA70,0)</f>
        <v>1.953478</v>
      </c>
      <c r="BG70" s="90" t="n">
        <f aca="false">IF(AND(Y70=0,ISNUMBER(AF70),ISNUMBER(Z70)),AA70*Z70,0)</f>
        <v>4.1523128368</v>
      </c>
      <c r="BH70" s="90" t="n">
        <f aca="false">IF(AND(Y70=0,ISNUMBER(AF70),ISNUMBER(Z70)),AA70*AT70*MAX(Z70-1,0),0)</f>
        <v>18.4007763961556</v>
      </c>
      <c r="BI70" s="90" t="n">
        <f aca="false">IF(Y70=0,AA70,0)</f>
        <v>1.953478</v>
      </c>
    </row>
    <row r="71" customFormat="false" ht="15" hidden="false" customHeight="false" outlineLevel="0" collapsed="false">
      <c r="A71" s="83" t="str">
        <f aca="false">IFERROR(IF(INDEX(원자료_잔고!$A$1:$EZ$1500,설정!$L$5+ROW()-1,설정!$L$8)&amp;""="0","",INDEX(원자료_잔고!$A$1:$EZ$1500,설정!$L$5+ROW()-1,설정!$L$8)&amp;""),"")</f>
        <v>CITNAT 4.5 02/01/29</v>
      </c>
      <c r="B71" s="83" t="str">
        <f aca="false">IFERROR(IF(INDEX(원자료_잔고!$A$1:$EZ$1500,설정!$L$5+ROW()-1,설정!$L$7)&amp;""="0","",INDEX(원자료_잔고!$A$1:$EZ$1500,설정!$L$5+ROW()-1,설정!$L$7)&amp;""),"")</f>
        <v>XS1932879130</v>
      </c>
      <c r="C71" s="83" t="str">
        <f aca="false">IFERROR(IF(INDEX(원자료_잔고!$A$1:$EZ$1500,설정!$L$5+ROW()-1,설정!$L$9)&amp;""="0","",INDEX(원자료_잔고!$A$1:$EZ$1500,설정!$L$5+ROW()-1,설정!$L$9)&amp;""),"")</f>
        <v>28096</v>
      </c>
      <c r="D7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1" s="84" t="n">
        <f aca="false">IFERROR(IF(ISNUMBER(INDEX(원자료_잔고!$A$1:$EZ$1500,설정!$L$5+ROW()-1,설정!$L$11)),INDEX(원자료_잔고!$A$1:$EZ$1500,설정!$L$5+ROW()-1,설정!$L$11),""),"")</f>
        <v>4200000</v>
      </c>
      <c r="F71" s="85" t="n">
        <f aca="false">IFERROR(IF(ISNUMBER(INDEX(원자료_잔고!$A$1:$EZ$1500,설정!$L$5+ROW()-1,설정!$L$12)),INDEX(원자료_잔고!$A$1:$EZ$1500,설정!$L$5+ROW()-1,설정!$L$12),""),"")</f>
        <v>97.6739</v>
      </c>
      <c r="G71" s="85" t="n">
        <f aca="false">IFERROR(IF(ISNUMBER(INDEX(원자료_잔고!$A$1:$EZ$1500,설정!$L$5+ROW()-1,설정!$L$13)),INDEX(원자료_잔고!$A$1:$EZ$1500,설정!$L$5+ROW()-1,설정!$L$13),""),"")</f>
        <v>5.5705</v>
      </c>
      <c r="H71" s="85" t="n">
        <f aca="false">IFERROR(IF(ISNUMBER(INDEX(원자료_잔고!$A$1:$EZ$1500,설정!$L$5+ROW()-1,설정!$L$14)),INDEX(원자료_잔고!$A$1:$EZ$1500,설정!$L$5+ROW()-1,설정!$L$14),""),"")</f>
        <v>2.1256</v>
      </c>
      <c r="I71" s="86" t="n">
        <f aca="false">IFERROR(IF(ISNUMBER(INDEX(원자료_잔고!$A$1:$EZ$1500,설정!$L$5+ROW()-1,설정!$L$15)),INDEX(원자료_잔고!$A$1:$EZ$1500,설정!$L$5+ROW()-1,설정!$L$15),""),"")</f>
        <v>47150</v>
      </c>
      <c r="J71" s="85" t="n">
        <f aca="false">IFERROR(IF(ISNUMBER(INDEX(원자료_잔고!$A$1:$EZ$1500,설정!$L$5+ROW()-1,설정!$L$16)),INDEX(원자료_잔고!$A$1:$EZ$1500,설정!$L$5+ROW()-1,설정!$L$16),""),"")</f>
        <v>4.5</v>
      </c>
      <c r="K71" s="87" t="n">
        <f aca="false">IFERROR(IF(ISNUMBER(INDEX(원자료_잔고!$A$1:$EZ$1500,설정!$L$5+ROW()-1,설정!$L$17)),INDEX(원자료_잔고!$A$1:$EZ$1500,설정!$L$5+ROW()-1,설정!$L$17),""),"")</f>
        <v>1</v>
      </c>
      <c r="L71" s="84" t="n">
        <f aca="false">IFERROR(IF(ISNUMBER(INDEX(원자료_잔고!$A$1:$EZ$1500,설정!$L$5+ROW()-1,설정!$L$18)),INDEX(원자료_잔고!$A$1:$EZ$1500,설정!$L$5+ROW()-1,설정!$L$18),""),"")</f>
        <v>4102303.8</v>
      </c>
      <c r="M71" s="88" t="n">
        <f aca="false">IFERROR(IF(ISNUMBER(INDEX(원자료_잔고!$A$1:$EZ$1500,설정!$L$5+ROW()-1,설정!$L$19)),INDEX(원자료_잔고!$A$1:$EZ$1500,설정!$L$5+ROW()-1,설정!$L$19),""),"")</f>
        <v>-117066.6</v>
      </c>
      <c r="N71" s="83" t="str">
        <f aca="false">IFERROR(IF(INDEX(원자료_잔고!$A$1:$EZ$1500,설정!$L$5+ROW()-1,설정!$L$21)&amp;""="0","",INDEX(원자료_잔고!$A$1:$EZ$1500,설정!$L$5+ROW()-1,설정!$L$21)&amp;""),"")</f>
        <v>BBB+</v>
      </c>
      <c r="O71" s="83" t="str">
        <f aca="false">IFERROR(IF(INDEX(원자료_잔고!$A$1:$EZ$1500,설정!$L$5+ROW()-1,설정!$L$22)&amp;""="0","",INDEX(원자료_잔고!$A$1:$EZ$1500,설정!$L$5+ROW()-1,설정!$L$22)&amp;""),"")</f>
        <v/>
      </c>
      <c r="P71" s="83" t="str">
        <f aca="false">IFERROR(IF(INDEX(원자료_잔고!$A$1:$EZ$1500,설정!$L$5+ROW()-1,설정!$L$23)&amp;""="0","",INDEX(원자료_잔고!$A$1:$EZ$1500,설정!$L$5+ROW()-1,설정!$L$23)&amp;""),"")</f>
        <v>N/A</v>
      </c>
      <c r="Q71" s="89" t="n">
        <f aca="false">IF(AND($A71&lt;&gt;"",ISNUMBER(E71)),IF(E71&gt;0,1,0),0)</f>
        <v>1</v>
      </c>
      <c r="R71" s="43" t="str">
        <f aca="false">IF(Q71=1,UPPER(LEFT($A71,FIND(" ",$A71&amp;" ")-1)),"")</f>
        <v>CITNAT</v>
      </c>
      <c r="S71" s="89" t="n">
        <f aca="false">IF(Q71=1,IF(OR(ISNUMBER(SEARCH("Float",$A71)),ISNUMBER(SEARCH("FRN",$A71))),1,0),0)</f>
        <v>0</v>
      </c>
      <c r="T71" s="43" t="str">
        <f aca="false">IF(AND(Q71=1,ISNUMBER(I71)),TEXT(I71,"yyyymmdd")&amp;"|"&amp;IF(S71=1,"F",TEXT(J71,"0.000")),"")</f>
        <v>20290201|4.500</v>
      </c>
      <c r="U71" s="90" t="n">
        <f aca="false">IF(AND(Q71=1,ISNUMBER(I71)),(I71-설정!$C$4)/365.25,"")</f>
        <v>2.33812457221081</v>
      </c>
      <c r="V71" s="43" t="str">
        <f aca="false">IF(Q71&lt;&gt;1,"",IF(ISNUMBER(U71),IF(U71&lt;=1,"1년 이하",IF(U71&lt;=2,"1-2년",IF(U71&lt;=3,"2-3년",IF(U71&lt;=4,"3-4년",IF(U71&lt;=5,"4-5년",IF(U71&lt;=7,"5-7년",IF(U71&lt;=10,"7-10년",IF(U71&lt;=20,"10-20년","20년 이상")))))))),"미분류"))</f>
        <v>2-3년</v>
      </c>
      <c r="W71" s="43" t="str">
        <f aca="false">IF(Q71&lt;&gt;1,"",IF(AB71&lt;&gt;"",INDEX(시장분석!$C:$C,AB71),IF(K71=1,"USD","비USD")))</f>
        <v>USD</v>
      </c>
      <c r="X71" s="91" t="n">
        <f aca="false">IF(Q71=1,E71*K71/1000000,0)</f>
        <v>4.2</v>
      </c>
      <c r="Y71" s="89" t="n">
        <f aca="false">IF(R71="T",1,0)</f>
        <v>0</v>
      </c>
      <c r="Z71" s="92" t="n">
        <f aca="false">IF(Q71&lt;&gt;1,"",IF(AD71=1,IF(ISNUMBER(U71),MAX(U71,0),H71),H71))</f>
        <v>2.1256</v>
      </c>
      <c r="AA71" s="91" t="n">
        <f aca="false">IF(Q71=1,IF(ISNUMBER(L71),L71,0)*K71/1000000,0)</f>
        <v>4.1023038</v>
      </c>
      <c r="AB71" s="89" t="n">
        <f aca="false">IF(Q71&lt;&gt;1,"",IFERROR(MATCH(VLOOKUP(B71,매핑!$H$4:$I$15,2,0),시장분석!$A$2:$A$601,0)+1,IFERROR(MATCH(R71&amp;"|"&amp;T71,시장분석!$V$2:$V$601,0)+1,IF(COUNTIF(시장분석!$U$2:$U$601,T71)=1,MATCH(T71,시장분석!$U$2:$U$601,0)+1,""))))</f>
        <v>210</v>
      </c>
      <c r="AC71" s="89" t="n">
        <f aca="false">IF(Q71&lt;&gt;1,0,IF(OR(설정!$C$5="전체",AND(설정!$C$5="선택펀드",IFERROR(COUNTIFS(설정!$F$16:$F$36,C71,설정!$G$16:$G$36,"Y")+COUNTIFS(설정!$F$16:$F$36,VALUE(C71),설정!$G$16:$G$36,"Y"),0)&gt;0),C71&amp;""=설정!$C$5&amp;""),1,0))</f>
        <v>1</v>
      </c>
      <c r="AD71" s="89" t="n">
        <f aca="false">IF(Q71&lt;&gt;1,0,IF(OR(S71=1,IF(AB71="",FALSE(),INDEX(시장분석!$R:$R,AB71)=1)),1,0))</f>
        <v>0</v>
      </c>
      <c r="AE71" s="43" t="str">
        <f aca="false">IF(AB71="","",INDEX(시장분석!$A:$A,AB71))</f>
        <v>CITNAT 4 1/2 02/01/29</v>
      </c>
      <c r="AF71" s="93" t="n">
        <f aca="false">IF(AB71="","",IF(ISNUMBER(IF(AB71="","",INDEX(시장분석!$E:$E,AB71))),IF(AB71="","",INDEX(시장분석!$E:$E,AB71)),""))</f>
        <v>60.703</v>
      </c>
      <c r="AG71" s="43" t="str">
        <f aca="false">IF(Q71&lt;&gt;1,"",IF(AB71&lt;&gt;"",IF(AB71="","",INDEX(시장분석!$L:$L,AB71)),IFERROR(IF(VLOOKUP(R71,매핑!$A$4:$E$92,5,0)="","미분류",VLOOKUP(R71,매핑!$A$4:$E$92,5,0)),"미분류")))</f>
        <v>금융기관</v>
      </c>
      <c r="AH71" s="43" t="str">
        <f aca="false">IF(Q71&lt;&gt;1,"",IF(AB71&lt;&gt;"",IF(AB71="","",INDEX(시장분석!$N:$N,AB71)),IFERROR(IF(VLOOKUP(R71,매핑!$A$4:$E$92,4,0)="","미분류",VLOOKUP(R71,매핑!$A$4:$E$92,4,0)),"미분류")))</f>
        <v>아시아/기타</v>
      </c>
      <c r="AI71" s="43" t="str">
        <f aca="false">IF(Q71&lt;&gt;1,"",IFERROR(IF(VLOOKUP(R71,매핑!$A$4:$E$92,3,0)="","미분류",VLOOKUP(R71,매핑!$A$4:$E$92,3,0)),IF(AB71&lt;&gt;"",IF(AB71="","",INDEX(시장분석!$W:$W,AB71)),"미분류")))</f>
        <v>한국</v>
      </c>
      <c r="AJ71" s="43" t="str">
        <f aca="false">IF(Q71&lt;&gt;1,"",IFERROR(VLOOKUP(IF(N71&lt;&gt;"",N71,IF(P71&lt;&gt;"",P71,O71)),설정!$A$15:$D$47,2,0),""))</f>
        <v>BBB+</v>
      </c>
      <c r="AK71" s="43" t="str">
        <f aca="false">IF(Q71&lt;&gt;1,"",IF(AJ71="","무등급",IFERROR(VLOOKUP(AJ71,설정!$A$15:$D$47,3,0),"무등급")))</f>
        <v>BBB</v>
      </c>
      <c r="AL71" s="89" t="n">
        <f aca="false">IF(AJ71="",99,IFERROR(VLOOKUP(AJ71,설정!$A$15:$D$47,4,0),99))</f>
        <v>8</v>
      </c>
      <c r="AM71" s="94" t="n">
        <f aca="false">IF(ISNUMBER(H71),AA71*1000000*H71/10000,0)</f>
        <v>871.985695728</v>
      </c>
      <c r="AN71" s="94" t="n">
        <f aca="false">IF(OR(Y71=1,NOT(ISNUMBER(Z71))),0,AA71*1000000*Z71/10000)</f>
        <v>871.985695728</v>
      </c>
      <c r="AO71" s="94" t="n">
        <f aca="false">IF(ISNUMBER(G71),AA71*1000000*G71/100,0)</f>
        <v>228518.833179</v>
      </c>
      <c r="AP71" s="94" t="n">
        <f aca="false">IF(ISNUMBER(M71),M71*K71,0)</f>
        <v>-117066.6</v>
      </c>
      <c r="AQ71" s="95" t="n">
        <f aca="false">IF(AB71="","",INDEX(시장분석!$AK:$AK,AB71))</f>
        <v>-0.0229774856862474</v>
      </c>
      <c r="AR71" s="43" t="str">
        <f aca="false">IF(AB71="","-",IF(AB71="","",INDEX(시장분석!$AL:$AL,AB71)))</f>
        <v>Fair</v>
      </c>
      <c r="AS71" s="96" t="n">
        <f aca="false">IF(AB71="","",INDEX(시장분석!$AJ:$AJ,AB71))</f>
        <v>-0.470431564799149</v>
      </c>
      <c r="AT71" s="93" t="n">
        <f aca="false">IF(AB71="",0,IF(AB71="","",INDEX(시장분석!$AN:$AN,AB71)))</f>
        <v>8.36842135125282</v>
      </c>
      <c r="AU71" s="94" t="n">
        <f aca="false">IF(ISNUMBER(Z71),AT71/10000*MAX(Z71-1,0)*AA71*1000000,0)</f>
        <v>3864.16304319268</v>
      </c>
      <c r="AV71" s="94" t="n">
        <f aca="false">AO71+AU71</f>
        <v>232382.996222193</v>
      </c>
      <c r="AW71" s="43" t="str">
        <f aca="false">IF(Q71&lt;&gt;1,"",TRIM(IF(AD71=1,"FRN ","")&amp;IF(AND(AL71&gt;=10,AL71&lt;99),"BBB0미만 ","")&amp;IF(AJ71="","등급없음 ","")&amp;IF(K71&lt;&gt;1,"비USD ","")&amp;IF(AND(AB71="",Y71=0),"시장데이터없음 ","")&amp;IF(AND(ISNUMBER(U71),U71&lt;0),"만기경과 ","")))</f>
        <v/>
      </c>
      <c r="AX71" s="90" t="n">
        <f aca="false">IF(Q71&lt;&gt;1,1,IF(스프레드쇼크!$C$4="Y",INDEX(스프레드쇼크!$B$12:$L$16,IFERROR(MATCH(AH71,스프레드쇼크!$A$12:$A$16,0),MATCH("목록외",스프레드쇼크!$A$12:$A$16,0)),IFERROR(MATCH(AG71,스프레드쇼크!$B$11:$L$11,0),MATCH("목록외",스프레드쇼크!$B$11:$L$11,0))),1))</f>
        <v>1</v>
      </c>
      <c r="AY71" s="90" t="n">
        <f aca="false">IF(스프레드쇼크!$C$5="Y",IF(ISNUMBER(AF71),MIN(스프레드쇼크!$C$7,MAX(스프레드쇼크!$C$6,AF71/스프레드쇼크!$C$8)),1),1)</f>
        <v>0.918156433023258</v>
      </c>
      <c r="AZ71" s="94" t="n">
        <f aca="false">AN71*AX71*AY71</f>
        <v>800.619276036924</v>
      </c>
      <c r="BA71" s="90" t="n">
        <f aca="false">IF(ISNUMBER(G71),AA71*G71,0)</f>
        <v>22.8518833179</v>
      </c>
      <c r="BB71" s="90" t="n">
        <f aca="false">IF(ISNUMBER(G71),AA71,0)</f>
        <v>4.1023038</v>
      </c>
      <c r="BC71" s="90" t="n">
        <f aca="false">IF(AND(Y71=0,ISNUMBER(AF71)),AA71*AF71,0)</f>
        <v>249.0221475714</v>
      </c>
      <c r="BD71" s="90" t="n">
        <f aca="false">IF(AND(Y71=0,ISNUMBER(AF71)),AA71,0)</f>
        <v>4.1023038</v>
      </c>
      <c r="BE71" s="90" t="n">
        <f aca="false">IF(ISNUMBER(H71),AA71*H71,0)</f>
        <v>8.71985695728</v>
      </c>
      <c r="BF71" s="90" t="n">
        <f aca="false">IF(ISNUMBER(H71),AA71,0)</f>
        <v>4.1023038</v>
      </c>
      <c r="BG71" s="90" t="n">
        <f aca="false">IF(AND(Y71=0,ISNUMBER(AF71),ISNUMBER(Z71)),AA71*Z71,0)</f>
        <v>8.71985695728</v>
      </c>
      <c r="BH71" s="90" t="n">
        <f aca="false">IF(AND(Y71=0,ISNUMBER(AF71),ISNUMBER(Z71)),AA71*AT71*MAX(Z71-1,0),0)</f>
        <v>38.6416304319268</v>
      </c>
      <c r="BI71" s="90" t="n">
        <f aca="false">IF(Y71=0,AA71,0)</f>
        <v>4.1023038</v>
      </c>
    </row>
    <row r="72" customFormat="false" ht="15" hidden="false" customHeight="false" outlineLevel="0" collapsed="false">
      <c r="A72" s="83" t="str">
        <f aca="false">IFERROR(IF(INDEX(원자료_잔고!$A$1:$EZ$1500,설정!$L$5+ROW()-1,설정!$L$8)&amp;""="0","",INDEX(원자료_잔고!$A$1:$EZ$1500,설정!$L$5+ROW()-1,설정!$L$8)&amp;""),"")</f>
        <v>CITNAT 4.5 02/01/29</v>
      </c>
      <c r="B72" s="83" t="str">
        <f aca="false">IFERROR(IF(INDEX(원자료_잔고!$A$1:$EZ$1500,설정!$L$5+ROW()-1,설정!$L$7)&amp;""="0","",INDEX(원자료_잔고!$A$1:$EZ$1500,설정!$L$5+ROW()-1,설정!$L$7)&amp;""),"")</f>
        <v>XS1932879130</v>
      </c>
      <c r="C72" s="83" t="str">
        <f aca="false">IFERROR(IF(INDEX(원자료_잔고!$A$1:$EZ$1500,설정!$L$5+ROW()-1,설정!$L$9)&amp;""="0","",INDEX(원자료_잔고!$A$1:$EZ$1500,설정!$L$5+ROW()-1,설정!$L$9)&amp;""),"")</f>
        <v>28096</v>
      </c>
      <c r="D7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2" s="84" t="n">
        <f aca="false">IFERROR(IF(ISNUMBER(INDEX(원자료_잔고!$A$1:$EZ$1500,설정!$L$5+ROW()-1,설정!$L$11)),INDEX(원자료_잔고!$A$1:$EZ$1500,설정!$L$5+ROW()-1,설정!$L$11),""),"")</f>
        <v>9000000</v>
      </c>
      <c r="F72" s="85" t="n">
        <f aca="false">IFERROR(IF(ISNUMBER(INDEX(원자료_잔고!$A$1:$EZ$1500,설정!$L$5+ROW()-1,설정!$L$12)),INDEX(원자료_잔고!$A$1:$EZ$1500,설정!$L$5+ROW()-1,설정!$L$12),""),"")</f>
        <v>97.6739</v>
      </c>
      <c r="G72" s="85" t="n">
        <f aca="false">IFERROR(IF(ISNUMBER(INDEX(원자료_잔고!$A$1:$EZ$1500,설정!$L$5+ROW()-1,설정!$L$13)),INDEX(원자료_잔고!$A$1:$EZ$1500,설정!$L$5+ROW()-1,설정!$L$13),""),"")</f>
        <v>5.5705</v>
      </c>
      <c r="H72" s="85" t="n">
        <f aca="false">IFERROR(IF(ISNUMBER(INDEX(원자료_잔고!$A$1:$EZ$1500,설정!$L$5+ROW()-1,설정!$L$14)),INDEX(원자료_잔고!$A$1:$EZ$1500,설정!$L$5+ROW()-1,설정!$L$14),""),"")</f>
        <v>2.1256</v>
      </c>
      <c r="I72" s="86" t="n">
        <f aca="false">IFERROR(IF(ISNUMBER(INDEX(원자료_잔고!$A$1:$EZ$1500,설정!$L$5+ROW()-1,설정!$L$15)),INDEX(원자료_잔고!$A$1:$EZ$1500,설정!$L$5+ROW()-1,설정!$L$15),""),"")</f>
        <v>47150</v>
      </c>
      <c r="J72" s="85" t="n">
        <f aca="false">IFERROR(IF(ISNUMBER(INDEX(원자료_잔고!$A$1:$EZ$1500,설정!$L$5+ROW()-1,설정!$L$16)),INDEX(원자료_잔고!$A$1:$EZ$1500,설정!$L$5+ROW()-1,설정!$L$16),""),"")</f>
        <v>4.5</v>
      </c>
      <c r="K72" s="87" t="n">
        <f aca="false">IFERROR(IF(ISNUMBER(INDEX(원자료_잔고!$A$1:$EZ$1500,설정!$L$5+ROW()-1,설정!$L$17)),INDEX(원자료_잔고!$A$1:$EZ$1500,설정!$L$5+ROW()-1,설정!$L$17),""),"")</f>
        <v>1</v>
      </c>
      <c r="L72" s="84" t="n">
        <f aca="false">IFERROR(IF(ISNUMBER(INDEX(원자료_잔고!$A$1:$EZ$1500,설정!$L$5+ROW()-1,설정!$L$18)),INDEX(원자료_잔고!$A$1:$EZ$1500,설정!$L$5+ROW()-1,설정!$L$18),""),"")</f>
        <v>8790651</v>
      </c>
      <c r="M72" s="88" t="n">
        <f aca="false">IFERROR(IF(ISNUMBER(INDEX(원자료_잔고!$A$1:$EZ$1500,설정!$L$5+ROW()-1,설정!$L$19)),INDEX(원자료_잔고!$A$1:$EZ$1500,설정!$L$5+ROW()-1,설정!$L$19),""),"")</f>
        <v>-250857</v>
      </c>
      <c r="N72" s="83" t="str">
        <f aca="false">IFERROR(IF(INDEX(원자료_잔고!$A$1:$EZ$1500,설정!$L$5+ROW()-1,설정!$L$21)&amp;""="0","",INDEX(원자료_잔고!$A$1:$EZ$1500,설정!$L$5+ROW()-1,설정!$L$21)&amp;""),"")</f>
        <v>BBB+</v>
      </c>
      <c r="O72" s="83" t="str">
        <f aca="false">IFERROR(IF(INDEX(원자료_잔고!$A$1:$EZ$1500,설정!$L$5+ROW()-1,설정!$L$22)&amp;""="0","",INDEX(원자료_잔고!$A$1:$EZ$1500,설정!$L$5+ROW()-1,설정!$L$22)&amp;""),"")</f>
        <v/>
      </c>
      <c r="P72" s="83" t="str">
        <f aca="false">IFERROR(IF(INDEX(원자료_잔고!$A$1:$EZ$1500,설정!$L$5+ROW()-1,설정!$L$23)&amp;""="0","",INDEX(원자료_잔고!$A$1:$EZ$1500,설정!$L$5+ROW()-1,설정!$L$23)&amp;""),"")</f>
        <v>N/A</v>
      </c>
      <c r="Q72" s="89" t="n">
        <f aca="false">IF(AND($A72&lt;&gt;"",ISNUMBER(E72)),IF(E72&gt;0,1,0),0)</f>
        <v>1</v>
      </c>
      <c r="R72" s="43" t="str">
        <f aca="false">IF(Q72=1,UPPER(LEFT($A72,FIND(" ",$A72&amp;" ")-1)),"")</f>
        <v>CITNAT</v>
      </c>
      <c r="S72" s="89" t="n">
        <f aca="false">IF(Q72=1,IF(OR(ISNUMBER(SEARCH("Float",$A72)),ISNUMBER(SEARCH("FRN",$A72))),1,0),0)</f>
        <v>0</v>
      </c>
      <c r="T72" s="43" t="str">
        <f aca="false">IF(AND(Q72=1,ISNUMBER(I72)),TEXT(I72,"yyyymmdd")&amp;"|"&amp;IF(S72=1,"F",TEXT(J72,"0.000")),"")</f>
        <v>20290201|4.500</v>
      </c>
      <c r="U72" s="90" t="n">
        <f aca="false">IF(AND(Q72=1,ISNUMBER(I72)),(I72-설정!$C$4)/365.25,"")</f>
        <v>2.33812457221081</v>
      </c>
      <c r="V72" s="43" t="str">
        <f aca="false">IF(Q72&lt;&gt;1,"",IF(ISNUMBER(U72),IF(U72&lt;=1,"1년 이하",IF(U72&lt;=2,"1-2년",IF(U72&lt;=3,"2-3년",IF(U72&lt;=4,"3-4년",IF(U72&lt;=5,"4-5년",IF(U72&lt;=7,"5-7년",IF(U72&lt;=10,"7-10년",IF(U72&lt;=20,"10-20년","20년 이상")))))))),"미분류"))</f>
        <v>2-3년</v>
      </c>
      <c r="W72" s="43" t="str">
        <f aca="false">IF(Q72&lt;&gt;1,"",IF(AB72&lt;&gt;"",INDEX(시장분석!$C:$C,AB72),IF(K72=1,"USD","비USD")))</f>
        <v>USD</v>
      </c>
      <c r="X72" s="91" t="n">
        <f aca="false">IF(Q72=1,E72*K72/1000000,0)</f>
        <v>9</v>
      </c>
      <c r="Y72" s="89" t="n">
        <f aca="false">IF(R72="T",1,0)</f>
        <v>0</v>
      </c>
      <c r="Z72" s="92" t="n">
        <f aca="false">IF(Q72&lt;&gt;1,"",IF(AD72=1,IF(ISNUMBER(U72),MAX(U72,0),H72),H72))</f>
        <v>2.1256</v>
      </c>
      <c r="AA72" s="91" t="n">
        <f aca="false">IF(Q72=1,IF(ISNUMBER(L72),L72,0)*K72/1000000,0)</f>
        <v>8.790651</v>
      </c>
      <c r="AB72" s="89" t="n">
        <f aca="false">IF(Q72&lt;&gt;1,"",IFERROR(MATCH(VLOOKUP(B72,매핑!$H$4:$I$15,2,0),시장분석!$A$2:$A$601,0)+1,IFERROR(MATCH(R72&amp;"|"&amp;T72,시장분석!$V$2:$V$601,0)+1,IF(COUNTIF(시장분석!$U$2:$U$601,T72)=1,MATCH(T72,시장분석!$U$2:$U$601,0)+1,""))))</f>
        <v>210</v>
      </c>
      <c r="AC72" s="89" t="n">
        <f aca="false">IF(Q72&lt;&gt;1,0,IF(OR(설정!$C$5="전체",AND(설정!$C$5="선택펀드",IFERROR(COUNTIFS(설정!$F$16:$F$36,C72,설정!$G$16:$G$36,"Y")+COUNTIFS(설정!$F$16:$F$36,VALUE(C72),설정!$G$16:$G$36,"Y"),0)&gt;0),C72&amp;""=설정!$C$5&amp;""),1,0))</f>
        <v>1</v>
      </c>
      <c r="AD72" s="89" t="n">
        <f aca="false">IF(Q72&lt;&gt;1,0,IF(OR(S72=1,IF(AB72="",FALSE(),INDEX(시장분석!$R:$R,AB72)=1)),1,0))</f>
        <v>0</v>
      </c>
      <c r="AE72" s="43" t="str">
        <f aca="false">IF(AB72="","",INDEX(시장분석!$A:$A,AB72))</f>
        <v>CITNAT 4 1/2 02/01/29</v>
      </c>
      <c r="AF72" s="93" t="n">
        <f aca="false">IF(AB72="","",IF(ISNUMBER(IF(AB72="","",INDEX(시장분석!$E:$E,AB72))),IF(AB72="","",INDEX(시장분석!$E:$E,AB72)),""))</f>
        <v>60.703</v>
      </c>
      <c r="AG72" s="43" t="str">
        <f aca="false">IF(Q72&lt;&gt;1,"",IF(AB72&lt;&gt;"",IF(AB72="","",INDEX(시장분석!$L:$L,AB72)),IFERROR(IF(VLOOKUP(R72,매핑!$A$4:$E$92,5,0)="","미분류",VLOOKUP(R72,매핑!$A$4:$E$92,5,0)),"미분류")))</f>
        <v>금융기관</v>
      </c>
      <c r="AH72" s="43" t="str">
        <f aca="false">IF(Q72&lt;&gt;1,"",IF(AB72&lt;&gt;"",IF(AB72="","",INDEX(시장분석!$N:$N,AB72)),IFERROR(IF(VLOOKUP(R72,매핑!$A$4:$E$92,4,0)="","미분류",VLOOKUP(R72,매핑!$A$4:$E$92,4,0)),"미분류")))</f>
        <v>아시아/기타</v>
      </c>
      <c r="AI72" s="43" t="str">
        <f aca="false">IF(Q72&lt;&gt;1,"",IFERROR(IF(VLOOKUP(R72,매핑!$A$4:$E$92,3,0)="","미분류",VLOOKUP(R72,매핑!$A$4:$E$92,3,0)),IF(AB72&lt;&gt;"",IF(AB72="","",INDEX(시장분석!$W:$W,AB72)),"미분류")))</f>
        <v>한국</v>
      </c>
      <c r="AJ72" s="43" t="str">
        <f aca="false">IF(Q72&lt;&gt;1,"",IFERROR(VLOOKUP(IF(N72&lt;&gt;"",N72,IF(P72&lt;&gt;"",P72,O72)),설정!$A$15:$D$47,2,0),""))</f>
        <v>BBB+</v>
      </c>
      <c r="AK72" s="43" t="str">
        <f aca="false">IF(Q72&lt;&gt;1,"",IF(AJ72="","무등급",IFERROR(VLOOKUP(AJ72,설정!$A$15:$D$47,3,0),"무등급")))</f>
        <v>BBB</v>
      </c>
      <c r="AL72" s="89" t="n">
        <f aca="false">IF(AJ72="",99,IFERROR(VLOOKUP(AJ72,설정!$A$15:$D$47,4,0),99))</f>
        <v>8</v>
      </c>
      <c r="AM72" s="94" t="n">
        <f aca="false">IF(ISNUMBER(H72),AA72*1000000*H72/10000,0)</f>
        <v>1868.54077656</v>
      </c>
      <c r="AN72" s="94" t="n">
        <f aca="false">IF(OR(Y72=1,NOT(ISNUMBER(Z72))),0,AA72*1000000*Z72/10000)</f>
        <v>1868.54077656</v>
      </c>
      <c r="AO72" s="94" t="n">
        <f aca="false">IF(ISNUMBER(G72),AA72*1000000*G72/100,0)</f>
        <v>489683.213955</v>
      </c>
      <c r="AP72" s="94" t="n">
        <f aca="false">IF(ISNUMBER(M72),M72*K72,0)</f>
        <v>-250857</v>
      </c>
      <c r="AQ72" s="95" t="n">
        <f aca="false">IF(AB72="","",INDEX(시장분석!$AK:$AK,AB72))</f>
        <v>-0.0229774856862474</v>
      </c>
      <c r="AR72" s="43" t="str">
        <f aca="false">IF(AB72="","-",IF(AB72="","",INDEX(시장분석!$AL:$AL,AB72)))</f>
        <v>Fair</v>
      </c>
      <c r="AS72" s="96" t="n">
        <f aca="false">IF(AB72="","",INDEX(시장분석!$AJ:$AJ,AB72))</f>
        <v>-0.470431564799149</v>
      </c>
      <c r="AT72" s="93" t="n">
        <f aca="false">IF(AB72="",0,IF(AB72="","",INDEX(시장분석!$AN:$AN,AB72)))</f>
        <v>8.36842135125282</v>
      </c>
      <c r="AU72" s="94" t="n">
        <f aca="false">IF(ISNUMBER(Z72),AT72/10000*MAX(Z72-1,0)*AA72*1000000,0)</f>
        <v>8280.34937827003</v>
      </c>
      <c r="AV72" s="94" t="n">
        <f aca="false">AO72+AU72</f>
        <v>497963.56333327</v>
      </c>
      <c r="AW72" s="43" t="str">
        <f aca="false">IF(Q72&lt;&gt;1,"",TRIM(IF(AD72=1,"FRN ","")&amp;IF(AND(AL72&gt;=10,AL72&lt;99),"BBB0미만 ","")&amp;IF(AJ72="","등급없음 ","")&amp;IF(K72&lt;&gt;1,"비USD ","")&amp;IF(AND(AB72="",Y72=0),"시장데이터없음 ","")&amp;IF(AND(ISNUMBER(U72),U72&lt;0),"만기경과 ","")))</f>
        <v/>
      </c>
      <c r="AX72" s="90" t="n">
        <f aca="false">IF(Q72&lt;&gt;1,1,IF(스프레드쇼크!$C$4="Y",INDEX(스프레드쇼크!$B$12:$L$16,IFERROR(MATCH(AH72,스프레드쇼크!$A$12:$A$16,0),MATCH("목록외",스프레드쇼크!$A$12:$A$16,0)),IFERROR(MATCH(AG72,스프레드쇼크!$B$11:$L$11,0),MATCH("목록외",스프레드쇼크!$B$11:$L$11,0))),1))</f>
        <v>1</v>
      </c>
      <c r="AY72" s="90" t="n">
        <f aca="false">IF(스프레드쇼크!$C$5="Y",IF(ISNUMBER(AF72),MIN(스프레드쇼크!$C$7,MAX(스프레드쇼크!$C$6,AF72/스프레드쇼크!$C$8)),1),1)</f>
        <v>0.918156433023258</v>
      </c>
      <c r="AZ72" s="94" t="n">
        <f aca="false">AN72*AX72*AY72</f>
        <v>1715.61273436484</v>
      </c>
      <c r="BA72" s="90" t="n">
        <f aca="false">IF(ISNUMBER(G72),AA72*G72,0)</f>
        <v>48.9683213955</v>
      </c>
      <c r="BB72" s="90" t="n">
        <f aca="false">IF(ISNUMBER(G72),AA72,0)</f>
        <v>8.790651</v>
      </c>
      <c r="BC72" s="90" t="n">
        <f aca="false">IF(AND(Y72=0,ISNUMBER(AF72)),AA72*AF72,0)</f>
        <v>533.618887653</v>
      </c>
      <c r="BD72" s="90" t="n">
        <f aca="false">IF(AND(Y72=0,ISNUMBER(AF72)),AA72,0)</f>
        <v>8.790651</v>
      </c>
      <c r="BE72" s="90" t="n">
        <f aca="false">IF(ISNUMBER(H72),AA72*H72,0)</f>
        <v>18.6854077656</v>
      </c>
      <c r="BF72" s="90" t="n">
        <f aca="false">IF(ISNUMBER(H72),AA72,0)</f>
        <v>8.790651</v>
      </c>
      <c r="BG72" s="90" t="n">
        <f aca="false">IF(AND(Y72=0,ISNUMBER(AF72),ISNUMBER(Z72)),AA72*Z72,0)</f>
        <v>18.6854077656</v>
      </c>
      <c r="BH72" s="90" t="n">
        <f aca="false">IF(AND(Y72=0,ISNUMBER(AF72),ISNUMBER(Z72)),AA72*AT72*MAX(Z72-1,0),0)</f>
        <v>82.8034937827003</v>
      </c>
      <c r="BI72" s="90" t="n">
        <f aca="false">IF(Y72=0,AA72,0)</f>
        <v>8.790651</v>
      </c>
    </row>
    <row r="73" customFormat="false" ht="15" hidden="false" customHeight="false" outlineLevel="0" collapsed="false">
      <c r="A73" s="83" t="str">
        <f aca="false">IFERROR(IF(INDEX(원자료_잔고!$A$1:$EZ$1500,설정!$L$5+ROW()-1,설정!$L$8)&amp;""="0","",INDEX(원자료_잔고!$A$1:$EZ$1500,설정!$L$5+ROW()-1,설정!$L$8)&amp;""),"")</f>
        <v>CITNAT 4.5 02/01/29</v>
      </c>
      <c r="B73" s="83" t="str">
        <f aca="false">IFERROR(IF(INDEX(원자료_잔고!$A$1:$EZ$1500,설정!$L$5+ROW()-1,설정!$L$7)&amp;""="0","",INDEX(원자료_잔고!$A$1:$EZ$1500,설정!$L$5+ROW()-1,설정!$L$7)&amp;""),"")</f>
        <v>XS1932879130</v>
      </c>
      <c r="C73" s="83" t="str">
        <f aca="false">IFERROR(IF(INDEX(원자료_잔고!$A$1:$EZ$1500,설정!$L$5+ROW()-1,설정!$L$9)&amp;""="0","",INDEX(원자료_잔고!$A$1:$EZ$1500,설정!$L$5+ROW()-1,설정!$L$9)&amp;""),"")</f>
        <v>28096</v>
      </c>
      <c r="D7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3" s="84" t="n">
        <f aca="false">IFERROR(IF(ISNUMBER(INDEX(원자료_잔고!$A$1:$EZ$1500,설정!$L$5+ROW()-1,설정!$L$11)),INDEX(원자료_잔고!$A$1:$EZ$1500,설정!$L$5+ROW()-1,설정!$L$11),""),"")</f>
        <v>1300000</v>
      </c>
      <c r="F73" s="85" t="n">
        <f aca="false">IFERROR(IF(ISNUMBER(INDEX(원자료_잔고!$A$1:$EZ$1500,설정!$L$5+ROW()-1,설정!$L$12)),INDEX(원자료_잔고!$A$1:$EZ$1500,설정!$L$5+ROW()-1,설정!$L$12),""),"")</f>
        <v>97.6739</v>
      </c>
      <c r="G73" s="85" t="n">
        <f aca="false">IFERROR(IF(ISNUMBER(INDEX(원자료_잔고!$A$1:$EZ$1500,설정!$L$5+ROW()-1,설정!$L$13)),INDEX(원자료_잔고!$A$1:$EZ$1500,설정!$L$5+ROW()-1,설정!$L$13),""),"")</f>
        <v>5.5705</v>
      </c>
      <c r="H73" s="85" t="n">
        <f aca="false">IFERROR(IF(ISNUMBER(INDEX(원자료_잔고!$A$1:$EZ$1500,설정!$L$5+ROW()-1,설정!$L$14)),INDEX(원자료_잔고!$A$1:$EZ$1500,설정!$L$5+ROW()-1,설정!$L$14),""),"")</f>
        <v>2.1256</v>
      </c>
      <c r="I73" s="86" t="n">
        <f aca="false">IFERROR(IF(ISNUMBER(INDEX(원자료_잔고!$A$1:$EZ$1500,설정!$L$5+ROW()-1,설정!$L$15)),INDEX(원자료_잔고!$A$1:$EZ$1500,설정!$L$5+ROW()-1,설정!$L$15),""),"")</f>
        <v>47150</v>
      </c>
      <c r="J73" s="85" t="n">
        <f aca="false">IFERROR(IF(ISNUMBER(INDEX(원자료_잔고!$A$1:$EZ$1500,설정!$L$5+ROW()-1,설정!$L$16)),INDEX(원자료_잔고!$A$1:$EZ$1500,설정!$L$5+ROW()-1,설정!$L$16),""),"")</f>
        <v>4.5</v>
      </c>
      <c r="K73" s="87" t="n">
        <f aca="false">IFERROR(IF(ISNUMBER(INDEX(원자료_잔고!$A$1:$EZ$1500,설정!$L$5+ROW()-1,설정!$L$17)),INDEX(원자료_잔고!$A$1:$EZ$1500,설정!$L$5+ROW()-1,설정!$L$17),""),"")</f>
        <v>1</v>
      </c>
      <c r="L73" s="84" t="n">
        <f aca="false">IFERROR(IF(ISNUMBER(INDEX(원자료_잔고!$A$1:$EZ$1500,설정!$L$5+ROW()-1,설정!$L$18)),INDEX(원자료_잔고!$A$1:$EZ$1500,설정!$L$5+ROW()-1,설정!$L$18),""),"")</f>
        <v>1269760.7</v>
      </c>
      <c r="M73" s="88" t="n">
        <f aca="false">IFERROR(IF(ISNUMBER(INDEX(원자료_잔고!$A$1:$EZ$1500,설정!$L$5+ROW()-1,설정!$L$19)),INDEX(원자료_잔고!$A$1:$EZ$1500,설정!$L$5+ROW()-1,설정!$L$19),""),"")</f>
        <v>-21698.3</v>
      </c>
      <c r="N73" s="83" t="str">
        <f aca="false">IFERROR(IF(INDEX(원자료_잔고!$A$1:$EZ$1500,설정!$L$5+ROW()-1,설정!$L$21)&amp;""="0","",INDEX(원자료_잔고!$A$1:$EZ$1500,설정!$L$5+ROW()-1,설정!$L$21)&amp;""),"")</f>
        <v>BBB+</v>
      </c>
      <c r="O73" s="83" t="str">
        <f aca="false">IFERROR(IF(INDEX(원자료_잔고!$A$1:$EZ$1500,설정!$L$5+ROW()-1,설정!$L$22)&amp;""="0","",INDEX(원자료_잔고!$A$1:$EZ$1500,설정!$L$5+ROW()-1,설정!$L$22)&amp;""),"")</f>
        <v/>
      </c>
      <c r="P73" s="83" t="str">
        <f aca="false">IFERROR(IF(INDEX(원자료_잔고!$A$1:$EZ$1500,설정!$L$5+ROW()-1,설정!$L$23)&amp;""="0","",INDEX(원자료_잔고!$A$1:$EZ$1500,설정!$L$5+ROW()-1,설정!$L$23)&amp;""),"")</f>
        <v>N/A</v>
      </c>
      <c r="Q73" s="89" t="n">
        <f aca="false">IF(AND($A73&lt;&gt;"",ISNUMBER(E73)),IF(E73&gt;0,1,0),0)</f>
        <v>1</v>
      </c>
      <c r="R73" s="43" t="str">
        <f aca="false">IF(Q73=1,UPPER(LEFT($A73,FIND(" ",$A73&amp;" ")-1)),"")</f>
        <v>CITNAT</v>
      </c>
      <c r="S73" s="89" t="n">
        <f aca="false">IF(Q73=1,IF(OR(ISNUMBER(SEARCH("Float",$A73)),ISNUMBER(SEARCH("FRN",$A73))),1,0),0)</f>
        <v>0</v>
      </c>
      <c r="T73" s="43" t="str">
        <f aca="false">IF(AND(Q73=1,ISNUMBER(I73)),TEXT(I73,"yyyymmdd")&amp;"|"&amp;IF(S73=1,"F",TEXT(J73,"0.000")),"")</f>
        <v>20290201|4.500</v>
      </c>
      <c r="U73" s="90" t="n">
        <f aca="false">IF(AND(Q73=1,ISNUMBER(I73)),(I73-설정!$C$4)/365.25,"")</f>
        <v>2.33812457221081</v>
      </c>
      <c r="V73" s="43" t="str">
        <f aca="false">IF(Q73&lt;&gt;1,"",IF(ISNUMBER(U73),IF(U73&lt;=1,"1년 이하",IF(U73&lt;=2,"1-2년",IF(U73&lt;=3,"2-3년",IF(U73&lt;=4,"3-4년",IF(U73&lt;=5,"4-5년",IF(U73&lt;=7,"5-7년",IF(U73&lt;=10,"7-10년",IF(U73&lt;=20,"10-20년","20년 이상")))))))),"미분류"))</f>
        <v>2-3년</v>
      </c>
      <c r="W73" s="43" t="str">
        <f aca="false">IF(Q73&lt;&gt;1,"",IF(AB73&lt;&gt;"",INDEX(시장분석!$C:$C,AB73),IF(K73=1,"USD","비USD")))</f>
        <v>USD</v>
      </c>
      <c r="X73" s="91" t="n">
        <f aca="false">IF(Q73=1,E73*K73/1000000,0)</f>
        <v>1.3</v>
      </c>
      <c r="Y73" s="89" t="n">
        <f aca="false">IF(R73="T",1,0)</f>
        <v>0</v>
      </c>
      <c r="Z73" s="92" t="n">
        <f aca="false">IF(Q73&lt;&gt;1,"",IF(AD73=1,IF(ISNUMBER(U73),MAX(U73,0),H73),H73))</f>
        <v>2.1256</v>
      </c>
      <c r="AA73" s="91" t="n">
        <f aca="false">IF(Q73=1,IF(ISNUMBER(L73),L73,0)*K73/1000000,0)</f>
        <v>1.2697607</v>
      </c>
      <c r="AB73" s="89" t="n">
        <f aca="false">IF(Q73&lt;&gt;1,"",IFERROR(MATCH(VLOOKUP(B73,매핑!$H$4:$I$15,2,0),시장분석!$A$2:$A$601,0)+1,IFERROR(MATCH(R73&amp;"|"&amp;T73,시장분석!$V$2:$V$601,0)+1,IF(COUNTIF(시장분석!$U$2:$U$601,T73)=1,MATCH(T73,시장분석!$U$2:$U$601,0)+1,""))))</f>
        <v>210</v>
      </c>
      <c r="AC73" s="89" t="n">
        <f aca="false">IF(Q73&lt;&gt;1,0,IF(OR(설정!$C$5="전체",AND(설정!$C$5="선택펀드",IFERROR(COUNTIFS(설정!$F$16:$F$36,C73,설정!$G$16:$G$36,"Y")+COUNTIFS(설정!$F$16:$F$36,VALUE(C73),설정!$G$16:$G$36,"Y"),0)&gt;0),C73&amp;""=설정!$C$5&amp;""),1,0))</f>
        <v>1</v>
      </c>
      <c r="AD73" s="89" t="n">
        <f aca="false">IF(Q73&lt;&gt;1,0,IF(OR(S73=1,IF(AB73="",FALSE(),INDEX(시장분석!$R:$R,AB73)=1)),1,0))</f>
        <v>0</v>
      </c>
      <c r="AE73" s="43" t="str">
        <f aca="false">IF(AB73="","",INDEX(시장분석!$A:$A,AB73))</f>
        <v>CITNAT 4 1/2 02/01/29</v>
      </c>
      <c r="AF73" s="93" t="n">
        <f aca="false">IF(AB73="","",IF(ISNUMBER(IF(AB73="","",INDEX(시장분석!$E:$E,AB73))),IF(AB73="","",INDEX(시장분석!$E:$E,AB73)),""))</f>
        <v>60.703</v>
      </c>
      <c r="AG73" s="43" t="str">
        <f aca="false">IF(Q73&lt;&gt;1,"",IF(AB73&lt;&gt;"",IF(AB73="","",INDEX(시장분석!$L:$L,AB73)),IFERROR(IF(VLOOKUP(R73,매핑!$A$4:$E$92,5,0)="","미분류",VLOOKUP(R73,매핑!$A$4:$E$92,5,0)),"미분류")))</f>
        <v>금융기관</v>
      </c>
      <c r="AH73" s="43" t="str">
        <f aca="false">IF(Q73&lt;&gt;1,"",IF(AB73&lt;&gt;"",IF(AB73="","",INDEX(시장분석!$N:$N,AB73)),IFERROR(IF(VLOOKUP(R73,매핑!$A$4:$E$92,4,0)="","미분류",VLOOKUP(R73,매핑!$A$4:$E$92,4,0)),"미분류")))</f>
        <v>아시아/기타</v>
      </c>
      <c r="AI73" s="43" t="str">
        <f aca="false">IF(Q73&lt;&gt;1,"",IFERROR(IF(VLOOKUP(R73,매핑!$A$4:$E$92,3,0)="","미분류",VLOOKUP(R73,매핑!$A$4:$E$92,3,0)),IF(AB73&lt;&gt;"",IF(AB73="","",INDEX(시장분석!$W:$W,AB73)),"미분류")))</f>
        <v>한국</v>
      </c>
      <c r="AJ73" s="43" t="str">
        <f aca="false">IF(Q73&lt;&gt;1,"",IFERROR(VLOOKUP(IF(N73&lt;&gt;"",N73,IF(P73&lt;&gt;"",P73,O73)),설정!$A$15:$D$47,2,0),""))</f>
        <v>BBB+</v>
      </c>
      <c r="AK73" s="43" t="str">
        <f aca="false">IF(Q73&lt;&gt;1,"",IF(AJ73="","무등급",IFERROR(VLOOKUP(AJ73,설정!$A$15:$D$47,3,0),"무등급")))</f>
        <v>BBB</v>
      </c>
      <c r="AL73" s="89" t="n">
        <f aca="false">IF(AJ73="",99,IFERROR(VLOOKUP(AJ73,설정!$A$15:$D$47,4,0),99))</f>
        <v>8</v>
      </c>
      <c r="AM73" s="94" t="n">
        <f aca="false">IF(ISNUMBER(H73),AA73*1000000*H73/10000,0)</f>
        <v>269.900334392</v>
      </c>
      <c r="AN73" s="94" t="n">
        <f aca="false">IF(OR(Y73=1,NOT(ISNUMBER(Z73))),0,AA73*1000000*Z73/10000)</f>
        <v>269.900334392</v>
      </c>
      <c r="AO73" s="94" t="n">
        <f aca="false">IF(ISNUMBER(G73),AA73*1000000*G73/100,0)</f>
        <v>70732.0197935</v>
      </c>
      <c r="AP73" s="94" t="n">
        <f aca="false">IF(ISNUMBER(M73),M73*K73,0)</f>
        <v>-21698.3</v>
      </c>
      <c r="AQ73" s="95" t="n">
        <f aca="false">IF(AB73="","",INDEX(시장분석!$AK:$AK,AB73))</f>
        <v>-0.0229774856862474</v>
      </c>
      <c r="AR73" s="43" t="str">
        <f aca="false">IF(AB73="","-",IF(AB73="","",INDEX(시장분석!$AL:$AL,AB73)))</f>
        <v>Fair</v>
      </c>
      <c r="AS73" s="96" t="n">
        <f aca="false">IF(AB73="","",INDEX(시장분석!$AJ:$AJ,AB73))</f>
        <v>-0.470431564799149</v>
      </c>
      <c r="AT73" s="93" t="n">
        <f aca="false">IF(AB73="",0,IF(AB73="","",INDEX(시장분석!$AN:$AN,AB73)))</f>
        <v>8.36842135125282</v>
      </c>
      <c r="AU73" s="94" t="n">
        <f aca="false">IF(ISNUMBER(Z73),AT73/10000*MAX(Z73-1,0)*AA73*1000000,0)</f>
        <v>1196.05046575012</v>
      </c>
      <c r="AV73" s="94" t="n">
        <f aca="false">AO73+AU73</f>
        <v>71928.0702592501</v>
      </c>
      <c r="AW73" s="43" t="str">
        <f aca="false">IF(Q73&lt;&gt;1,"",TRIM(IF(AD73=1,"FRN ","")&amp;IF(AND(AL73&gt;=10,AL73&lt;99),"BBB0미만 ","")&amp;IF(AJ73="","등급없음 ","")&amp;IF(K73&lt;&gt;1,"비USD ","")&amp;IF(AND(AB73="",Y73=0),"시장데이터없음 ","")&amp;IF(AND(ISNUMBER(U73),U73&lt;0),"만기경과 ","")))</f>
        <v/>
      </c>
      <c r="AX73" s="90" t="n">
        <f aca="false">IF(Q73&lt;&gt;1,1,IF(스프레드쇼크!$C$4="Y",INDEX(스프레드쇼크!$B$12:$L$16,IFERROR(MATCH(AH73,스프레드쇼크!$A$12:$A$16,0),MATCH("목록외",스프레드쇼크!$A$12:$A$16,0)),IFERROR(MATCH(AG73,스프레드쇼크!$B$11:$L$11,0),MATCH("목록외",스프레드쇼크!$B$11:$L$11,0))),1))</f>
        <v>1</v>
      </c>
      <c r="AY73" s="90" t="n">
        <f aca="false">IF(스프레드쇼크!$C$5="Y",IF(ISNUMBER(AF73),MIN(스프레드쇼크!$C$7,MAX(스프레드쇼크!$C$6,AF73/스프레드쇼크!$C$8)),1),1)</f>
        <v>0.918156433023258</v>
      </c>
      <c r="AZ73" s="94" t="n">
        <f aca="false">AN73*AX73*AY73</f>
        <v>247.810728297143</v>
      </c>
      <c r="BA73" s="90" t="n">
        <f aca="false">IF(ISNUMBER(G73),AA73*G73,0)</f>
        <v>7.07320197935</v>
      </c>
      <c r="BB73" s="90" t="n">
        <f aca="false">IF(ISNUMBER(G73),AA73,0)</f>
        <v>1.2697607</v>
      </c>
      <c r="BC73" s="90" t="n">
        <f aca="false">IF(AND(Y73=0,ISNUMBER(AF73)),AA73*AF73,0)</f>
        <v>77.0782837721</v>
      </c>
      <c r="BD73" s="90" t="n">
        <f aca="false">IF(AND(Y73=0,ISNUMBER(AF73)),AA73,0)</f>
        <v>1.2697607</v>
      </c>
      <c r="BE73" s="90" t="n">
        <f aca="false">IF(ISNUMBER(H73),AA73*H73,0)</f>
        <v>2.69900334392</v>
      </c>
      <c r="BF73" s="90" t="n">
        <f aca="false">IF(ISNUMBER(H73),AA73,0)</f>
        <v>1.2697607</v>
      </c>
      <c r="BG73" s="90" t="n">
        <f aca="false">IF(AND(Y73=0,ISNUMBER(AF73),ISNUMBER(Z73)),AA73*Z73,0)</f>
        <v>2.69900334392</v>
      </c>
      <c r="BH73" s="90" t="n">
        <f aca="false">IF(AND(Y73=0,ISNUMBER(AF73),ISNUMBER(Z73)),AA73*AT73*MAX(Z73-1,0),0)</f>
        <v>11.9605046575012</v>
      </c>
      <c r="BI73" s="90" t="n">
        <f aca="false">IF(Y73=0,AA73,0)</f>
        <v>1.2697607</v>
      </c>
    </row>
    <row r="74" customFormat="false" ht="15" hidden="false" customHeight="false" outlineLevel="0" collapsed="false">
      <c r="A74" s="83" t="str">
        <f aca="false">IFERROR(IF(INDEX(원자료_잔고!$A$1:$EZ$1500,설정!$L$5+ROW()-1,설정!$L$8)&amp;""="0","",INDEX(원자료_잔고!$A$1:$EZ$1500,설정!$L$5+ROW()-1,설정!$L$8)&amp;""),"")</f>
        <v>DFHOLD 6.875 11/06/26</v>
      </c>
      <c r="B74" s="83" t="str">
        <f aca="false">IFERROR(IF(INDEX(원자료_잔고!$A$1:$EZ$1500,설정!$L$5+ROW()-1,설정!$L$7)&amp;""="0","",INDEX(원자료_잔고!$A$1:$EZ$1500,설정!$L$5+ROW()-1,설정!$L$7)&amp;""),"")</f>
        <v>XS2703610050</v>
      </c>
      <c r="C74" s="83" t="str">
        <f aca="false">IFERROR(IF(INDEX(원자료_잔고!$A$1:$EZ$1500,설정!$L$5+ROW()-1,설정!$L$9)&amp;""="0","",INDEX(원자료_잔고!$A$1:$EZ$1500,설정!$L$5+ROW()-1,설정!$L$9)&amp;""),"")</f>
        <v>28096</v>
      </c>
      <c r="D7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4" s="84" t="n">
        <f aca="false">IFERROR(IF(ISNUMBER(INDEX(원자료_잔고!$A$1:$EZ$1500,설정!$L$5+ROW()-1,설정!$L$11)),INDEX(원자료_잔고!$A$1:$EZ$1500,설정!$L$5+ROW()-1,설정!$L$11),""),"")</f>
        <v>5000000</v>
      </c>
      <c r="F74" s="85" t="n">
        <f aca="false">IFERROR(IF(ISNUMBER(INDEX(원자료_잔고!$A$1:$EZ$1500,설정!$L$5+ROW()-1,설정!$L$12)),INDEX(원자료_잔고!$A$1:$EZ$1500,설정!$L$5+ROW()-1,설정!$L$12),""),"")</f>
        <v>100.1449</v>
      </c>
      <c r="G74" s="85" t="n">
        <f aca="false">IFERROR(IF(ISNUMBER(INDEX(원자료_잔고!$A$1:$EZ$1500,설정!$L$5+ROW()-1,설정!$L$13)),INDEX(원자료_잔고!$A$1:$EZ$1500,설정!$L$5+ROW()-1,설정!$L$13),""),"")</f>
        <v>5.2818</v>
      </c>
      <c r="H74" s="85" t="n">
        <f aca="false">IFERROR(IF(ISNUMBER(INDEX(원자료_잔고!$A$1:$EZ$1500,설정!$L$5+ROW()-1,설정!$L$14)),INDEX(원자료_잔고!$A$1:$EZ$1500,설정!$L$5+ROW()-1,설정!$L$14),""),"")</f>
        <v>0.0968</v>
      </c>
      <c r="I74" s="86" t="n">
        <f aca="false">IFERROR(IF(ISNUMBER(INDEX(원자료_잔고!$A$1:$EZ$1500,설정!$L$5+ROW()-1,설정!$L$15)),INDEX(원자료_잔고!$A$1:$EZ$1500,설정!$L$5+ROW()-1,설정!$L$15),""),"")</f>
        <v>46332</v>
      </c>
      <c r="J74" s="85" t="n">
        <f aca="false">IFERROR(IF(ISNUMBER(INDEX(원자료_잔고!$A$1:$EZ$1500,설정!$L$5+ROW()-1,설정!$L$16)),INDEX(원자료_잔고!$A$1:$EZ$1500,설정!$L$5+ROW()-1,설정!$L$16),""),"")</f>
        <v>6.875</v>
      </c>
      <c r="K74" s="87" t="n">
        <f aca="false">IFERROR(IF(ISNUMBER(INDEX(원자료_잔고!$A$1:$EZ$1500,설정!$L$5+ROW()-1,설정!$L$17)),INDEX(원자료_잔고!$A$1:$EZ$1500,설정!$L$5+ROW()-1,설정!$L$17),""),"")</f>
        <v>1</v>
      </c>
      <c r="L74" s="84" t="n">
        <f aca="false">IFERROR(IF(ISNUMBER(INDEX(원자료_잔고!$A$1:$EZ$1500,설정!$L$5+ROW()-1,설정!$L$18)),INDEX(원자료_잔고!$A$1:$EZ$1500,설정!$L$5+ROW()-1,설정!$L$18),""),"")</f>
        <v>5007245</v>
      </c>
      <c r="M74" s="88" t="n">
        <f aca="false">IFERROR(IF(ISNUMBER(INDEX(원자료_잔고!$A$1:$EZ$1500,설정!$L$5+ROW()-1,설정!$L$19)),INDEX(원자료_잔고!$A$1:$EZ$1500,설정!$L$5+ROW()-1,설정!$L$19),""),"")</f>
        <v>-97010</v>
      </c>
      <c r="N74" s="83" t="str">
        <f aca="false">IFERROR(IF(INDEX(원자료_잔고!$A$1:$EZ$1500,설정!$L$5+ROW()-1,설정!$L$21)&amp;""="0","",INDEX(원자료_잔고!$A$1:$EZ$1500,설정!$L$5+ROW()-1,설정!$L$21)&amp;""),"")</f>
        <v>BBB</v>
      </c>
      <c r="O74" s="83" t="str">
        <f aca="false">IFERROR(IF(INDEX(원자료_잔고!$A$1:$EZ$1500,설정!$L$5+ROW()-1,설정!$L$22)&amp;""="0","",INDEX(원자료_잔고!$A$1:$EZ$1500,설정!$L$5+ROW()-1,설정!$L$22)&amp;""),"")</f>
        <v/>
      </c>
      <c r="P74" s="83" t="str">
        <f aca="false">IFERROR(IF(INDEX(원자료_잔고!$A$1:$EZ$1500,설정!$L$5+ROW()-1,설정!$L$23)&amp;""="0","",INDEX(원자료_잔고!$A$1:$EZ$1500,설정!$L$5+ROW()-1,설정!$L$23)&amp;""),"")</f>
        <v>N/A</v>
      </c>
      <c r="Q74" s="89" t="n">
        <f aca="false">IF(AND($A74&lt;&gt;"",ISNUMBER(E74)),IF(E74&gt;0,1,0),0)</f>
        <v>1</v>
      </c>
      <c r="R74" s="43" t="str">
        <f aca="false">IF(Q74=1,UPPER(LEFT($A74,FIND(" ",$A74&amp;" ")-1)),"")</f>
        <v>DFHOLD</v>
      </c>
      <c r="S74" s="89" t="n">
        <f aca="false">IF(Q74=1,IF(OR(ISNUMBER(SEARCH("Float",$A74)),ISNUMBER(SEARCH("FRN",$A74))),1,0),0)</f>
        <v>0</v>
      </c>
      <c r="T74" s="43" t="str">
        <f aca="false">IF(AND(Q74=1,ISNUMBER(I74)),TEXT(I74,"yyyymmdd")&amp;"|"&amp;IF(S74=1,"F",TEXT(J74,"0.000")),"")</f>
        <v>20261106|6.875</v>
      </c>
      <c r="U74" s="90" t="n">
        <f aca="false">IF(AND(Q74=1,ISNUMBER(I74)),(I74-설정!$C$4)/365.25,"")</f>
        <v>0.0985626283367557</v>
      </c>
      <c r="V74" s="43" t="str">
        <f aca="false">IF(Q74&lt;&gt;1,"",IF(ISNUMBER(U74),IF(U74&lt;=1,"1년 이하",IF(U74&lt;=2,"1-2년",IF(U74&lt;=3,"2-3년",IF(U74&lt;=4,"3-4년",IF(U74&lt;=5,"4-5년",IF(U74&lt;=7,"5-7년",IF(U74&lt;=10,"7-10년",IF(U74&lt;=20,"10-20년","20년 이상")))))))),"미분류"))</f>
        <v>1년 이하</v>
      </c>
      <c r="W74" s="43" t="str">
        <f aca="false">IF(Q74&lt;&gt;1,"",IF(AB74&lt;&gt;"",INDEX(시장분석!$C:$C,AB74),IF(K74=1,"USD","비USD")))</f>
        <v>USD</v>
      </c>
      <c r="X74" s="91" t="n">
        <f aca="false">IF(Q74=1,E74*K74/1000000,0)</f>
        <v>5</v>
      </c>
      <c r="Y74" s="89" t="n">
        <f aca="false">IF(R74="T",1,0)</f>
        <v>0</v>
      </c>
      <c r="Z74" s="92" t="n">
        <f aca="false">IF(Q74&lt;&gt;1,"",IF(AD74=1,IF(ISNUMBER(U74),MAX(U74,0),H74),H74))</f>
        <v>0.0968</v>
      </c>
      <c r="AA74" s="91" t="n">
        <f aca="false">IF(Q74=1,IF(ISNUMBER(L74),L74,0)*K74/1000000,0)</f>
        <v>5.007245</v>
      </c>
      <c r="AB74" s="89" t="n">
        <f aca="false">IF(Q74&lt;&gt;1,"",IFERROR(MATCH(VLOOKUP(B74,매핑!$H$4:$I$15,2,0),시장분석!$A$2:$A$601,0)+1,IFERROR(MATCH(R74&amp;"|"&amp;T74,시장분석!$V$2:$V$601,0)+1,IF(COUNTIF(시장분석!$U$2:$U$601,T74)=1,MATCH(T74,시장분석!$U$2:$U$601,0)+1,""))))</f>
        <v>224</v>
      </c>
      <c r="AC74" s="89" t="n">
        <f aca="false">IF(Q74&lt;&gt;1,0,IF(OR(설정!$C$5="전체",AND(설정!$C$5="선택펀드",IFERROR(COUNTIFS(설정!$F$16:$F$36,C74,설정!$G$16:$G$36,"Y")+COUNTIFS(설정!$F$16:$F$36,VALUE(C74),설정!$G$16:$G$36,"Y"),0)&gt;0),C74&amp;""=설정!$C$5&amp;""),1,0))</f>
        <v>1</v>
      </c>
      <c r="AD74" s="89" t="n">
        <f aca="false">IF(Q74&lt;&gt;1,0,IF(OR(S74=1,IF(AB74="",FALSE(),INDEX(시장분석!$R:$R,AB74)=1)),1,0))</f>
        <v>0</v>
      </c>
      <c r="AE74" s="43" t="str">
        <f aca="false">IF(AB74="","",INDEX(시장분석!$A:$A,AB74))</f>
        <v>DFHOLD 6 7/8 11/06/26</v>
      </c>
      <c r="AF74" s="93" t="n">
        <f aca="false">IF(AB74="","",IF(ISNUMBER(IF(AB74="","",INDEX(시장분석!$E:$E,AB74))),IF(AB74="","",INDEX(시장분석!$E:$E,AB74)),""))</f>
        <v>-6.955</v>
      </c>
      <c r="AG74" s="43" t="str">
        <f aca="false">IF(Q74&lt;&gt;1,"",IF(AB74&lt;&gt;"",IF(AB74="","",INDEX(시장분석!$L:$L,AB74)),IFERROR(IF(VLOOKUP(R74,매핑!$A$4:$E$92,5,0)="","미분류",VLOOKUP(R74,매핑!$A$4:$E$92,5,0)),"미분류")))</f>
        <v>금융기관</v>
      </c>
      <c r="AH74" s="43" t="str">
        <f aca="false">IF(Q74&lt;&gt;1,"",IF(AB74&lt;&gt;"",IF(AB74="","",INDEX(시장분석!$N:$N,AB74)),IFERROR(IF(VLOOKUP(R74,매핑!$A$4:$E$92,4,0)="","미분류",VLOOKUP(R74,매핑!$A$4:$E$92,4,0)),"미분류")))</f>
        <v>아시아/기타</v>
      </c>
      <c r="AI74" s="43" t="str">
        <f aca="false">IF(Q74&lt;&gt;1,"",IFERROR(IF(VLOOKUP(R74,매핑!$A$4:$E$92,3,0)="","미분류",VLOOKUP(R74,매핑!$A$4:$E$92,3,0)),IF(AB74&lt;&gt;"",IF(AB74="","",INDEX(시장분석!$W:$W,AB74)),"미분류")))</f>
        <v>한국</v>
      </c>
      <c r="AJ74" s="43" t="str">
        <f aca="false">IF(Q74&lt;&gt;1,"",IFERROR(VLOOKUP(IF(N74&lt;&gt;"",N74,IF(P74&lt;&gt;"",P74,O74)),설정!$A$15:$D$47,2,0),""))</f>
        <v>BBB</v>
      </c>
      <c r="AK74" s="43" t="str">
        <f aca="false">IF(Q74&lt;&gt;1,"",IF(AJ74="","무등급",IFERROR(VLOOKUP(AJ74,설정!$A$15:$D$47,3,0),"무등급")))</f>
        <v>BBB</v>
      </c>
      <c r="AL74" s="89" t="n">
        <f aca="false">IF(AJ74="",99,IFERROR(VLOOKUP(AJ74,설정!$A$15:$D$47,4,0),99))</f>
        <v>9</v>
      </c>
      <c r="AM74" s="94" t="n">
        <f aca="false">IF(ISNUMBER(H74),AA74*1000000*H74/10000,0)</f>
        <v>48.4701316</v>
      </c>
      <c r="AN74" s="94" t="n">
        <f aca="false">IF(OR(Y74=1,NOT(ISNUMBER(Z74))),0,AA74*1000000*Z74/10000)</f>
        <v>48.4701316</v>
      </c>
      <c r="AO74" s="94" t="n">
        <f aca="false">IF(ISNUMBER(G74),AA74*1000000*G74/100,0)</f>
        <v>264472.66641</v>
      </c>
      <c r="AP74" s="94" t="n">
        <f aca="false">IF(ISNUMBER(M74),M74*K74,0)</f>
        <v>-97010</v>
      </c>
      <c r="AQ74" s="95" t="str">
        <f aca="false">IF(AB74="","",INDEX(시장분석!$AK:$AK,AB74))</f>
        <v/>
      </c>
      <c r="AR74" s="43" t="str">
        <f aca="false">IF(AB74="","-",IF(AB74="","",INDEX(시장분석!$AL:$AL,AB74)))</f>
        <v>-</v>
      </c>
      <c r="AS74" s="96" t="str">
        <f aca="false">IF(AB74="","",INDEX(시장분석!$AJ:$AJ,AB74))</f>
        <v/>
      </c>
      <c r="AT74" s="93" t="n">
        <f aca="false">IF(AB74="",0,IF(AB74="","",INDEX(시장분석!$AN:$AN,AB74)))</f>
        <v>0</v>
      </c>
      <c r="AU74" s="94" t="n">
        <f aca="false">IF(ISNUMBER(Z74),AT74/10000*MAX(Z74-1,0)*AA74*1000000,0)</f>
        <v>0</v>
      </c>
      <c r="AV74" s="94" t="n">
        <f aca="false">AO74+AU74</f>
        <v>264472.66641</v>
      </c>
      <c r="AW74" s="43" t="str">
        <f aca="false">IF(Q74&lt;&gt;1,"",TRIM(IF(AD74=1,"FRN ","")&amp;IF(AND(AL74&gt;=10,AL74&lt;99),"BBB0미만 ","")&amp;IF(AJ74="","등급없음 ","")&amp;IF(K74&lt;&gt;1,"비USD ","")&amp;IF(AND(AB74="",Y74=0),"시장데이터없음 ","")&amp;IF(AND(ISNUMBER(U74),U74&lt;0),"만기경과 ","")))</f>
        <v/>
      </c>
      <c r="AX74" s="90" t="n">
        <f aca="false">IF(Q74&lt;&gt;1,1,IF(스프레드쇼크!$C$4="Y",INDEX(스프레드쇼크!$B$12:$L$16,IFERROR(MATCH(AH74,스프레드쇼크!$A$12:$A$16,0),MATCH("목록외",스프레드쇼크!$A$12:$A$16,0)),IFERROR(MATCH(AG74,스프레드쇼크!$B$11:$L$11,0),MATCH("목록외",스프레드쇼크!$B$11:$L$11,0))),1))</f>
        <v>1</v>
      </c>
      <c r="AY74" s="90" t="n">
        <f aca="false">IF(스프레드쇼크!$C$5="Y",IF(ISNUMBER(AF74),MIN(스프레드쇼크!$C$7,MAX(스프레드쇼크!$C$6,AF74/스프레드쇼크!$C$8)),1),1)</f>
        <v>0.25</v>
      </c>
      <c r="AZ74" s="94" t="n">
        <f aca="false">AN74*AX74*AY74</f>
        <v>12.1175329</v>
      </c>
      <c r="BA74" s="90" t="n">
        <f aca="false">IF(ISNUMBER(G74),AA74*G74,0)</f>
        <v>26.447266641</v>
      </c>
      <c r="BB74" s="90" t="n">
        <f aca="false">IF(ISNUMBER(G74),AA74,0)</f>
        <v>5.007245</v>
      </c>
      <c r="BC74" s="90" t="n">
        <f aca="false">IF(AND(Y74=0,ISNUMBER(AF74)),AA74*AF74,0)</f>
        <v>-34.825388975</v>
      </c>
      <c r="BD74" s="90" t="n">
        <f aca="false">IF(AND(Y74=0,ISNUMBER(AF74)),AA74,0)</f>
        <v>5.007245</v>
      </c>
      <c r="BE74" s="90" t="n">
        <f aca="false">IF(ISNUMBER(H74),AA74*H74,0)</f>
        <v>0.484701316</v>
      </c>
      <c r="BF74" s="90" t="n">
        <f aca="false">IF(ISNUMBER(H74),AA74,0)</f>
        <v>5.007245</v>
      </c>
      <c r="BG74" s="90" t="n">
        <f aca="false">IF(AND(Y74=0,ISNUMBER(AF74),ISNUMBER(Z74)),AA74*Z74,0)</f>
        <v>0.484701316</v>
      </c>
      <c r="BH74" s="90" t="n">
        <f aca="false">IF(AND(Y74=0,ISNUMBER(AF74),ISNUMBER(Z74)),AA74*AT74*MAX(Z74-1,0),0)</f>
        <v>0</v>
      </c>
      <c r="BI74" s="90" t="n">
        <f aca="false">IF(Y74=0,AA74,0)</f>
        <v>5.007245</v>
      </c>
    </row>
    <row r="75" customFormat="false" ht="15" hidden="false" customHeight="false" outlineLevel="0" collapsed="false">
      <c r="A75" s="83" t="str">
        <f aca="false">IFERROR(IF(INDEX(원자료_잔고!$A$1:$EZ$1500,설정!$L$5+ROW()-1,설정!$L$8)&amp;""="0","",INDEX(원자료_잔고!$A$1:$EZ$1500,설정!$L$5+ROW()-1,설정!$L$8)&amp;""),"")</f>
        <v>DAESEC 5.25 03/06/28</v>
      </c>
      <c r="B75" s="83" t="str">
        <f aca="false">IFERROR(IF(INDEX(원자료_잔고!$A$1:$EZ$1500,설정!$L$5+ROW()-1,설정!$L$7)&amp;""="0","",INDEX(원자료_잔고!$A$1:$EZ$1500,설정!$L$5+ROW()-1,설정!$L$7)&amp;""),"")</f>
        <v>XS2985211569</v>
      </c>
      <c r="C75" s="83" t="str">
        <f aca="false">IFERROR(IF(INDEX(원자료_잔고!$A$1:$EZ$1500,설정!$L$5+ROW()-1,설정!$L$9)&amp;""="0","",INDEX(원자료_잔고!$A$1:$EZ$1500,설정!$L$5+ROW()-1,설정!$L$9)&amp;""),"")</f>
        <v>28096</v>
      </c>
      <c r="D7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5" s="84" t="n">
        <f aca="false">IFERROR(IF(ISNUMBER(INDEX(원자료_잔고!$A$1:$EZ$1500,설정!$L$5+ROW()-1,설정!$L$11)),INDEX(원자료_잔고!$A$1:$EZ$1500,설정!$L$5+ROW()-1,설정!$L$11),""),"")</f>
        <v>2000000</v>
      </c>
      <c r="F75" s="85" t="n">
        <f aca="false">IFERROR(IF(ISNUMBER(INDEX(원자료_잔고!$A$1:$EZ$1500,설정!$L$5+ROW()-1,설정!$L$12)),INDEX(원자료_잔고!$A$1:$EZ$1500,설정!$L$5+ROW()-1,설정!$L$12),""),"")</f>
        <v>99.493</v>
      </c>
      <c r="G75" s="85" t="n">
        <f aca="false">IFERROR(IF(ISNUMBER(INDEX(원자료_잔고!$A$1:$EZ$1500,설정!$L$5+ROW()-1,설정!$L$13)),INDEX(원자료_잔고!$A$1:$EZ$1500,설정!$L$5+ROW()-1,설정!$L$13),""),"")</f>
        <v>5.6181</v>
      </c>
      <c r="H75" s="85" t="n">
        <f aca="false">IFERROR(IF(ISNUMBER(INDEX(원자료_잔고!$A$1:$EZ$1500,설정!$L$5+ROW()-1,설정!$L$14)),INDEX(원자료_잔고!$A$1:$EZ$1500,설정!$L$5+ROW()-1,설정!$L$14),""),"")</f>
        <v>1.3298</v>
      </c>
      <c r="I75" s="86" t="n">
        <f aca="false">IFERROR(IF(ISNUMBER(INDEX(원자료_잔고!$A$1:$EZ$1500,설정!$L$5+ROW()-1,설정!$L$15)),INDEX(원자료_잔고!$A$1:$EZ$1500,설정!$L$5+ROW()-1,설정!$L$15),""),"")</f>
        <v>46818</v>
      </c>
      <c r="J75" s="85" t="n">
        <f aca="false">IFERROR(IF(ISNUMBER(INDEX(원자료_잔고!$A$1:$EZ$1500,설정!$L$5+ROW()-1,설정!$L$16)),INDEX(원자료_잔고!$A$1:$EZ$1500,설정!$L$5+ROW()-1,설정!$L$16),""),"")</f>
        <v>5.25</v>
      </c>
      <c r="K75" s="87" t="n">
        <f aca="false">IFERROR(IF(ISNUMBER(INDEX(원자료_잔고!$A$1:$EZ$1500,설정!$L$5+ROW()-1,설정!$L$17)),INDEX(원자료_잔고!$A$1:$EZ$1500,설정!$L$5+ROW()-1,설정!$L$17),""),"")</f>
        <v>1</v>
      </c>
      <c r="L75" s="84" t="n">
        <f aca="false">IFERROR(IF(ISNUMBER(INDEX(원자료_잔고!$A$1:$EZ$1500,설정!$L$5+ROW()-1,설정!$L$18)),INDEX(원자료_잔고!$A$1:$EZ$1500,설정!$L$5+ROW()-1,설정!$L$18),""),"")</f>
        <v>1989860</v>
      </c>
      <c r="M75" s="88" t="n">
        <f aca="false">IFERROR(IF(ISNUMBER(INDEX(원자료_잔고!$A$1:$EZ$1500,설정!$L$5+ROW()-1,설정!$L$19)),INDEX(원자료_잔고!$A$1:$EZ$1500,설정!$L$5+ROW()-1,설정!$L$19),""),"")</f>
        <v>-48048</v>
      </c>
      <c r="N75" s="83" t="str">
        <f aca="false">IFERROR(IF(INDEX(원자료_잔고!$A$1:$EZ$1500,설정!$L$5+ROW()-1,설정!$L$21)&amp;""="0","",INDEX(원자료_잔고!$A$1:$EZ$1500,설정!$L$5+ROW()-1,설정!$L$21)&amp;""),"")</f>
        <v/>
      </c>
      <c r="O75" s="83" t="str">
        <f aca="false">IFERROR(IF(INDEX(원자료_잔고!$A$1:$EZ$1500,설정!$L$5+ROW()-1,설정!$L$22)&amp;""="0","",INDEX(원자료_잔고!$A$1:$EZ$1500,설정!$L$5+ROW()-1,설정!$L$22)&amp;""),"")</f>
        <v/>
      </c>
      <c r="P75" s="83" t="str">
        <f aca="false">IFERROR(IF(INDEX(원자료_잔고!$A$1:$EZ$1500,설정!$L$5+ROW()-1,설정!$L$23)&amp;""="0","",INDEX(원자료_잔고!$A$1:$EZ$1500,설정!$L$5+ROW()-1,설정!$L$23)&amp;""),"")</f>
        <v>N/A</v>
      </c>
      <c r="Q75" s="89" t="n">
        <f aca="false">IF(AND($A75&lt;&gt;"",ISNUMBER(E75)),IF(E75&gt;0,1,0),0)</f>
        <v>1</v>
      </c>
      <c r="R75" s="43" t="str">
        <f aca="false">IF(Q75=1,UPPER(LEFT($A75,FIND(" ",$A75&amp;" ")-1)),"")</f>
        <v>DAESEC</v>
      </c>
      <c r="S75" s="89" t="n">
        <f aca="false">IF(Q75=1,IF(OR(ISNUMBER(SEARCH("Float",$A75)),ISNUMBER(SEARCH("FRN",$A75))),1,0),0)</f>
        <v>0</v>
      </c>
      <c r="T75" s="43" t="str">
        <f aca="false">IF(AND(Q75=1,ISNUMBER(I75)),TEXT(I75,"yyyymmdd")&amp;"|"&amp;IF(S75=1,"F",TEXT(J75,"0.000")),"")</f>
        <v>20280306|5.250</v>
      </c>
      <c r="U75" s="90" t="n">
        <f aca="false">IF(AND(Q75=1,ISNUMBER(I75)),(I75-설정!$C$4)/365.25,"")</f>
        <v>1.42915811088296</v>
      </c>
      <c r="V75" s="43" t="str">
        <f aca="false">IF(Q75&lt;&gt;1,"",IF(ISNUMBER(U75),IF(U75&lt;=1,"1년 이하",IF(U75&lt;=2,"1-2년",IF(U75&lt;=3,"2-3년",IF(U75&lt;=4,"3-4년",IF(U75&lt;=5,"4-5년",IF(U75&lt;=7,"5-7년",IF(U75&lt;=10,"7-10년",IF(U75&lt;=20,"10-20년","20년 이상")))))))),"미분류"))</f>
        <v>1-2년</v>
      </c>
      <c r="W75" s="43" t="str">
        <f aca="false">IF(Q75&lt;&gt;1,"",IF(AB75&lt;&gt;"",INDEX(시장분석!$C:$C,AB75),IF(K75=1,"USD","비USD")))</f>
        <v>USD</v>
      </c>
      <c r="X75" s="91" t="n">
        <f aca="false">IF(Q75=1,E75*K75/1000000,0)</f>
        <v>2</v>
      </c>
      <c r="Y75" s="89" t="n">
        <f aca="false">IF(R75="T",1,0)</f>
        <v>0</v>
      </c>
      <c r="Z75" s="92" t="n">
        <f aca="false">IF(Q75&lt;&gt;1,"",IF(AD75=1,IF(ISNUMBER(U75),MAX(U75,0),H75),H75))</f>
        <v>1.3298</v>
      </c>
      <c r="AA75" s="91" t="n">
        <f aca="false">IF(Q75=1,IF(ISNUMBER(L75),L75,0)*K75/1000000,0)</f>
        <v>1.98986</v>
      </c>
      <c r="AB75" s="89" t="n">
        <f aca="false">IF(Q75&lt;&gt;1,"",IFERROR(MATCH(VLOOKUP(B75,매핑!$H$4:$I$15,2,0),시장분석!$A$2:$A$601,0)+1,IFERROR(MATCH(R75&amp;"|"&amp;T75,시장분석!$V$2:$V$601,0)+1,IF(COUNTIF(시장분석!$U$2:$U$601,T75)=1,MATCH(T75,시장분석!$U$2:$U$601,0)+1,""))))</f>
        <v>235</v>
      </c>
      <c r="AC75" s="89" t="n">
        <f aca="false">IF(Q75&lt;&gt;1,0,IF(OR(설정!$C$5="전체",AND(설정!$C$5="선택펀드",IFERROR(COUNTIFS(설정!$F$16:$F$36,C75,설정!$G$16:$G$36,"Y")+COUNTIFS(설정!$F$16:$F$36,VALUE(C75),설정!$G$16:$G$36,"Y"),0)&gt;0),C75&amp;""=설정!$C$5&amp;""),1,0))</f>
        <v>1</v>
      </c>
      <c r="AD75" s="89" t="n">
        <f aca="false">IF(Q75&lt;&gt;1,0,IF(OR(S75=1,IF(AB75="",FALSE(),INDEX(시장분석!$R:$R,AB75)=1)),1,0))</f>
        <v>0</v>
      </c>
      <c r="AE75" s="43" t="str">
        <f aca="false">IF(AB75="","",INDEX(시장분석!$A:$A,AB75))</f>
        <v>DAESEC 5 1/4 03/06/28</v>
      </c>
      <c r="AF75" s="93" t="n">
        <f aca="false">IF(AB75="","",IF(ISNUMBER(IF(AB75="","",INDEX(시장분석!$E:$E,AB75))),IF(AB75="","",INDEX(시장분석!$E:$E,AB75)),""))</f>
        <v>74.91</v>
      </c>
      <c r="AG75" s="43" t="str">
        <f aca="false">IF(Q75&lt;&gt;1,"",IF(AB75&lt;&gt;"",IF(AB75="","",INDEX(시장분석!$L:$L,AB75)),IFERROR(IF(VLOOKUP(R75,매핑!$A$4:$E$92,5,0)="","미분류",VLOOKUP(R75,매핑!$A$4:$E$92,5,0)),"미분류")))</f>
        <v>금융기관</v>
      </c>
      <c r="AH75" s="43" t="str">
        <f aca="false">IF(Q75&lt;&gt;1,"",IF(AB75&lt;&gt;"",IF(AB75="","",INDEX(시장분석!$N:$N,AB75)),IFERROR(IF(VLOOKUP(R75,매핑!$A$4:$E$92,4,0)="","미분류",VLOOKUP(R75,매핑!$A$4:$E$92,4,0)),"미분류")))</f>
        <v>아시아/기타</v>
      </c>
      <c r="AI75" s="43" t="str">
        <f aca="false">IF(Q75&lt;&gt;1,"",IFERROR(IF(VLOOKUP(R75,매핑!$A$4:$E$92,3,0)="","미분류",VLOOKUP(R75,매핑!$A$4:$E$92,3,0)),IF(AB75&lt;&gt;"",IF(AB75="","",INDEX(시장분석!$W:$W,AB75)),"미분류")))</f>
        <v>한국</v>
      </c>
      <c r="AJ75" s="43" t="str">
        <f aca="false">IF(Q75&lt;&gt;1,"",IFERROR(VLOOKUP(IF(N75&lt;&gt;"",N75,IF(P75&lt;&gt;"",P75,O75)),설정!$A$15:$D$47,2,0),""))</f>
        <v/>
      </c>
      <c r="AK75" s="43" t="str">
        <f aca="false">IF(Q75&lt;&gt;1,"",IF(AJ75="","무등급",IFERROR(VLOOKUP(AJ75,설정!$A$15:$D$47,3,0),"무등급")))</f>
        <v>무등급</v>
      </c>
      <c r="AL75" s="89" t="n">
        <f aca="false">IF(AJ75="",99,IFERROR(VLOOKUP(AJ75,설정!$A$15:$D$47,4,0),99))</f>
        <v>99</v>
      </c>
      <c r="AM75" s="94" t="n">
        <f aca="false">IF(ISNUMBER(H75),AA75*1000000*H75/10000,0)</f>
        <v>264.6115828</v>
      </c>
      <c r="AN75" s="94" t="n">
        <f aca="false">IF(OR(Y75=1,NOT(ISNUMBER(Z75))),0,AA75*1000000*Z75/10000)</f>
        <v>264.6115828</v>
      </c>
      <c r="AO75" s="94" t="n">
        <f aca="false">IF(ISNUMBER(G75),AA75*1000000*G75/100,0)</f>
        <v>111792.32466</v>
      </c>
      <c r="AP75" s="94" t="n">
        <f aca="false">IF(ISNUMBER(M75),M75*K75,0)</f>
        <v>-48048</v>
      </c>
      <c r="AQ75" s="95" t="n">
        <f aca="false">IF(AB75="","",INDEX(시장분석!$AK:$AK,AB75))</f>
        <v>0.991503206109511</v>
      </c>
      <c r="AR75" s="43" t="str">
        <f aca="false">IF(AB75="","-",IF(AB75="","",INDEX(시장분석!$AL:$AL,AB75)))</f>
        <v>Fair</v>
      </c>
      <c r="AS75" s="96" t="n">
        <f aca="false">IF(AB75="","",INDEX(시장분석!$AJ:$AJ,AB75))</f>
        <v>20.2996276930614</v>
      </c>
      <c r="AT75" s="93" t="n">
        <f aca="false">IF(AB75="",0,IF(AB75="","",INDEX(시장분석!$AN:$AN,AB75)))</f>
        <v>0</v>
      </c>
      <c r="AU75" s="94" t="n">
        <f aca="false">IF(ISNUMBER(Z75),AT75/10000*MAX(Z75-1,0)*AA75*1000000,0)</f>
        <v>0</v>
      </c>
      <c r="AV75" s="94" t="n">
        <f aca="false">AO75+AU75</f>
        <v>111792.32466</v>
      </c>
      <c r="AW75" s="43" t="str">
        <f aca="false">IF(Q75&lt;&gt;1,"",TRIM(IF(AD75=1,"FRN ","")&amp;IF(AND(AL75&gt;=10,AL75&lt;99),"BBB0미만 ","")&amp;IF(AJ75="","등급없음 ","")&amp;IF(K75&lt;&gt;1,"비USD ","")&amp;IF(AND(AB75="",Y75=0),"시장데이터없음 ","")&amp;IF(AND(ISNUMBER(U75),U75&lt;0),"만기경과 ","")))</f>
        <v>등급없음</v>
      </c>
      <c r="AX75" s="90" t="n">
        <f aca="false">IF(Q75&lt;&gt;1,1,IF(스프레드쇼크!$C$4="Y",INDEX(스프레드쇼크!$B$12:$L$16,IFERROR(MATCH(AH75,스프레드쇼크!$A$12:$A$16,0),MATCH("목록외",스프레드쇼크!$A$12:$A$16,0)),IFERROR(MATCH(AG75,스프레드쇼크!$B$11:$L$11,0),MATCH("목록외",스프레드쇼크!$B$11:$L$11,0))),1))</f>
        <v>1</v>
      </c>
      <c r="AY75" s="90" t="n">
        <f aca="false">IF(스프레드쇼크!$C$5="Y",IF(ISNUMBER(AF75),MIN(스프레드쇼크!$C$7,MAX(스프레드쇼크!$C$6,AF75/스프레드쇼크!$C$8)),1),1)</f>
        <v>1.13304282157014</v>
      </c>
      <c r="AZ75" s="94" t="n">
        <f aca="false">AN75*AX75*AY75</f>
        <v>299.816254395853</v>
      </c>
      <c r="BA75" s="90" t="n">
        <f aca="false">IF(ISNUMBER(G75),AA75*G75,0)</f>
        <v>11.179232466</v>
      </c>
      <c r="BB75" s="90" t="n">
        <f aca="false">IF(ISNUMBER(G75),AA75,0)</f>
        <v>1.98986</v>
      </c>
      <c r="BC75" s="90" t="n">
        <f aca="false">IF(AND(Y75=0,ISNUMBER(AF75)),AA75*AF75,0)</f>
        <v>149.0604126</v>
      </c>
      <c r="BD75" s="90" t="n">
        <f aca="false">IF(AND(Y75=0,ISNUMBER(AF75)),AA75,0)</f>
        <v>1.98986</v>
      </c>
      <c r="BE75" s="90" t="n">
        <f aca="false">IF(ISNUMBER(H75),AA75*H75,0)</f>
        <v>2.646115828</v>
      </c>
      <c r="BF75" s="90" t="n">
        <f aca="false">IF(ISNUMBER(H75),AA75,0)</f>
        <v>1.98986</v>
      </c>
      <c r="BG75" s="90" t="n">
        <f aca="false">IF(AND(Y75=0,ISNUMBER(AF75),ISNUMBER(Z75)),AA75*Z75,0)</f>
        <v>2.646115828</v>
      </c>
      <c r="BH75" s="90" t="n">
        <f aca="false">IF(AND(Y75=0,ISNUMBER(AF75),ISNUMBER(Z75)),AA75*AT75*MAX(Z75-1,0),0)</f>
        <v>0</v>
      </c>
      <c r="BI75" s="90" t="n">
        <f aca="false">IF(Y75=0,AA75,0)</f>
        <v>1.98986</v>
      </c>
    </row>
    <row r="76" customFormat="false" ht="15" hidden="false" customHeight="false" outlineLevel="0" collapsed="false">
      <c r="A76" s="83" t="str">
        <f aca="false">IFERROR(IF(INDEX(원자료_잔고!$A$1:$EZ$1500,설정!$L$5+ROW()-1,설정!$L$8)&amp;""="0","",INDEX(원자료_잔고!$A$1:$EZ$1500,설정!$L$5+ROW()-1,설정!$L$8)&amp;""),"")</f>
        <v>DAESEC 5.25 03/06/28</v>
      </c>
      <c r="B76" s="83" t="str">
        <f aca="false">IFERROR(IF(INDEX(원자료_잔고!$A$1:$EZ$1500,설정!$L$5+ROW()-1,설정!$L$7)&amp;""="0","",INDEX(원자료_잔고!$A$1:$EZ$1500,설정!$L$5+ROW()-1,설정!$L$7)&amp;""),"")</f>
        <v>XS2985211569</v>
      </c>
      <c r="C76" s="83" t="str">
        <f aca="false">IFERROR(IF(INDEX(원자료_잔고!$A$1:$EZ$1500,설정!$L$5+ROW()-1,설정!$L$9)&amp;""="0","",INDEX(원자료_잔고!$A$1:$EZ$1500,설정!$L$5+ROW()-1,설정!$L$9)&amp;""),"")</f>
        <v>28096</v>
      </c>
      <c r="D7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6" s="84" t="n">
        <f aca="false">IFERROR(IF(ISNUMBER(INDEX(원자료_잔고!$A$1:$EZ$1500,설정!$L$5+ROW()-1,설정!$L$11)),INDEX(원자료_잔고!$A$1:$EZ$1500,설정!$L$5+ROW()-1,설정!$L$11),""),"")</f>
        <v>5000000</v>
      </c>
      <c r="F76" s="85" t="n">
        <f aca="false">IFERROR(IF(ISNUMBER(INDEX(원자료_잔고!$A$1:$EZ$1500,설정!$L$5+ROW()-1,설정!$L$12)),INDEX(원자료_잔고!$A$1:$EZ$1500,설정!$L$5+ROW()-1,설정!$L$12),""),"")</f>
        <v>99.493</v>
      </c>
      <c r="G76" s="85" t="n">
        <f aca="false">IFERROR(IF(ISNUMBER(INDEX(원자료_잔고!$A$1:$EZ$1500,설정!$L$5+ROW()-1,설정!$L$13)),INDEX(원자료_잔고!$A$1:$EZ$1500,설정!$L$5+ROW()-1,설정!$L$13),""),"")</f>
        <v>5.6181</v>
      </c>
      <c r="H76" s="85" t="n">
        <f aca="false">IFERROR(IF(ISNUMBER(INDEX(원자료_잔고!$A$1:$EZ$1500,설정!$L$5+ROW()-1,설정!$L$14)),INDEX(원자료_잔고!$A$1:$EZ$1500,설정!$L$5+ROW()-1,설정!$L$14),""),"")</f>
        <v>1.3298</v>
      </c>
      <c r="I76" s="86" t="n">
        <f aca="false">IFERROR(IF(ISNUMBER(INDEX(원자료_잔고!$A$1:$EZ$1500,설정!$L$5+ROW()-1,설정!$L$15)),INDEX(원자료_잔고!$A$1:$EZ$1500,설정!$L$5+ROW()-1,설정!$L$15),""),"")</f>
        <v>46818</v>
      </c>
      <c r="J76" s="85" t="n">
        <f aca="false">IFERROR(IF(ISNUMBER(INDEX(원자료_잔고!$A$1:$EZ$1500,설정!$L$5+ROW()-1,설정!$L$16)),INDEX(원자료_잔고!$A$1:$EZ$1500,설정!$L$5+ROW()-1,설정!$L$16),""),"")</f>
        <v>5.25</v>
      </c>
      <c r="K76" s="87" t="n">
        <f aca="false">IFERROR(IF(ISNUMBER(INDEX(원자료_잔고!$A$1:$EZ$1500,설정!$L$5+ROW()-1,설정!$L$17)),INDEX(원자료_잔고!$A$1:$EZ$1500,설정!$L$5+ROW()-1,설정!$L$17),""),"")</f>
        <v>1</v>
      </c>
      <c r="L76" s="84" t="n">
        <f aca="false">IFERROR(IF(ISNUMBER(INDEX(원자료_잔고!$A$1:$EZ$1500,설정!$L$5+ROW()-1,설정!$L$18)),INDEX(원자료_잔고!$A$1:$EZ$1500,설정!$L$5+ROW()-1,설정!$L$18),""),"")</f>
        <v>4974650</v>
      </c>
      <c r="M76" s="88" t="n">
        <f aca="false">IFERROR(IF(ISNUMBER(INDEX(원자료_잔고!$A$1:$EZ$1500,설정!$L$5+ROW()-1,설정!$L$19)),INDEX(원자료_잔고!$A$1:$EZ$1500,설정!$L$5+ROW()-1,설정!$L$19),""),"")</f>
        <v>-120120</v>
      </c>
      <c r="N76" s="83" t="str">
        <f aca="false">IFERROR(IF(INDEX(원자료_잔고!$A$1:$EZ$1500,설정!$L$5+ROW()-1,설정!$L$21)&amp;""="0","",INDEX(원자료_잔고!$A$1:$EZ$1500,설정!$L$5+ROW()-1,설정!$L$21)&amp;""),"")</f>
        <v/>
      </c>
      <c r="O76" s="83" t="str">
        <f aca="false">IFERROR(IF(INDEX(원자료_잔고!$A$1:$EZ$1500,설정!$L$5+ROW()-1,설정!$L$22)&amp;""="0","",INDEX(원자료_잔고!$A$1:$EZ$1500,설정!$L$5+ROW()-1,설정!$L$22)&amp;""),"")</f>
        <v/>
      </c>
      <c r="P76" s="83" t="str">
        <f aca="false">IFERROR(IF(INDEX(원자료_잔고!$A$1:$EZ$1500,설정!$L$5+ROW()-1,설정!$L$23)&amp;""="0","",INDEX(원자료_잔고!$A$1:$EZ$1500,설정!$L$5+ROW()-1,설정!$L$23)&amp;""),"")</f>
        <v>N/A</v>
      </c>
      <c r="Q76" s="89" t="n">
        <f aca="false">IF(AND($A76&lt;&gt;"",ISNUMBER(E76)),IF(E76&gt;0,1,0),0)</f>
        <v>1</v>
      </c>
      <c r="R76" s="43" t="str">
        <f aca="false">IF(Q76=1,UPPER(LEFT($A76,FIND(" ",$A76&amp;" ")-1)),"")</f>
        <v>DAESEC</v>
      </c>
      <c r="S76" s="89" t="n">
        <f aca="false">IF(Q76=1,IF(OR(ISNUMBER(SEARCH("Float",$A76)),ISNUMBER(SEARCH("FRN",$A76))),1,0),0)</f>
        <v>0</v>
      </c>
      <c r="T76" s="43" t="str">
        <f aca="false">IF(AND(Q76=1,ISNUMBER(I76)),TEXT(I76,"yyyymmdd")&amp;"|"&amp;IF(S76=1,"F",TEXT(J76,"0.000")),"")</f>
        <v>20280306|5.250</v>
      </c>
      <c r="U76" s="90" t="n">
        <f aca="false">IF(AND(Q76=1,ISNUMBER(I76)),(I76-설정!$C$4)/365.25,"")</f>
        <v>1.42915811088296</v>
      </c>
      <c r="V76" s="43" t="str">
        <f aca="false">IF(Q76&lt;&gt;1,"",IF(ISNUMBER(U76),IF(U76&lt;=1,"1년 이하",IF(U76&lt;=2,"1-2년",IF(U76&lt;=3,"2-3년",IF(U76&lt;=4,"3-4년",IF(U76&lt;=5,"4-5년",IF(U76&lt;=7,"5-7년",IF(U76&lt;=10,"7-10년",IF(U76&lt;=20,"10-20년","20년 이상")))))))),"미분류"))</f>
        <v>1-2년</v>
      </c>
      <c r="W76" s="43" t="str">
        <f aca="false">IF(Q76&lt;&gt;1,"",IF(AB76&lt;&gt;"",INDEX(시장분석!$C:$C,AB76),IF(K76=1,"USD","비USD")))</f>
        <v>USD</v>
      </c>
      <c r="X76" s="91" t="n">
        <f aca="false">IF(Q76=1,E76*K76/1000000,0)</f>
        <v>5</v>
      </c>
      <c r="Y76" s="89" t="n">
        <f aca="false">IF(R76="T",1,0)</f>
        <v>0</v>
      </c>
      <c r="Z76" s="92" t="n">
        <f aca="false">IF(Q76&lt;&gt;1,"",IF(AD76=1,IF(ISNUMBER(U76),MAX(U76,0),H76),H76))</f>
        <v>1.3298</v>
      </c>
      <c r="AA76" s="91" t="n">
        <f aca="false">IF(Q76=1,IF(ISNUMBER(L76),L76,0)*K76/1000000,0)</f>
        <v>4.97465</v>
      </c>
      <c r="AB76" s="89" t="n">
        <f aca="false">IF(Q76&lt;&gt;1,"",IFERROR(MATCH(VLOOKUP(B76,매핑!$H$4:$I$15,2,0),시장분석!$A$2:$A$601,0)+1,IFERROR(MATCH(R76&amp;"|"&amp;T76,시장분석!$V$2:$V$601,0)+1,IF(COUNTIF(시장분석!$U$2:$U$601,T76)=1,MATCH(T76,시장분석!$U$2:$U$601,0)+1,""))))</f>
        <v>235</v>
      </c>
      <c r="AC76" s="89" t="n">
        <f aca="false">IF(Q76&lt;&gt;1,0,IF(OR(설정!$C$5="전체",AND(설정!$C$5="선택펀드",IFERROR(COUNTIFS(설정!$F$16:$F$36,C76,설정!$G$16:$G$36,"Y")+COUNTIFS(설정!$F$16:$F$36,VALUE(C76),설정!$G$16:$G$36,"Y"),0)&gt;0),C76&amp;""=설정!$C$5&amp;""),1,0))</f>
        <v>1</v>
      </c>
      <c r="AD76" s="89" t="n">
        <f aca="false">IF(Q76&lt;&gt;1,0,IF(OR(S76=1,IF(AB76="",FALSE(),INDEX(시장분석!$R:$R,AB76)=1)),1,0))</f>
        <v>0</v>
      </c>
      <c r="AE76" s="43" t="str">
        <f aca="false">IF(AB76="","",INDEX(시장분석!$A:$A,AB76))</f>
        <v>DAESEC 5 1/4 03/06/28</v>
      </c>
      <c r="AF76" s="93" t="n">
        <f aca="false">IF(AB76="","",IF(ISNUMBER(IF(AB76="","",INDEX(시장분석!$E:$E,AB76))),IF(AB76="","",INDEX(시장분석!$E:$E,AB76)),""))</f>
        <v>74.91</v>
      </c>
      <c r="AG76" s="43" t="str">
        <f aca="false">IF(Q76&lt;&gt;1,"",IF(AB76&lt;&gt;"",IF(AB76="","",INDEX(시장분석!$L:$L,AB76)),IFERROR(IF(VLOOKUP(R76,매핑!$A$4:$E$92,5,0)="","미분류",VLOOKUP(R76,매핑!$A$4:$E$92,5,0)),"미분류")))</f>
        <v>금융기관</v>
      </c>
      <c r="AH76" s="43" t="str">
        <f aca="false">IF(Q76&lt;&gt;1,"",IF(AB76&lt;&gt;"",IF(AB76="","",INDEX(시장분석!$N:$N,AB76)),IFERROR(IF(VLOOKUP(R76,매핑!$A$4:$E$92,4,0)="","미분류",VLOOKUP(R76,매핑!$A$4:$E$92,4,0)),"미분류")))</f>
        <v>아시아/기타</v>
      </c>
      <c r="AI76" s="43" t="str">
        <f aca="false">IF(Q76&lt;&gt;1,"",IFERROR(IF(VLOOKUP(R76,매핑!$A$4:$E$92,3,0)="","미분류",VLOOKUP(R76,매핑!$A$4:$E$92,3,0)),IF(AB76&lt;&gt;"",IF(AB76="","",INDEX(시장분석!$W:$W,AB76)),"미분류")))</f>
        <v>한국</v>
      </c>
      <c r="AJ76" s="43" t="str">
        <f aca="false">IF(Q76&lt;&gt;1,"",IFERROR(VLOOKUP(IF(N76&lt;&gt;"",N76,IF(P76&lt;&gt;"",P76,O76)),설정!$A$15:$D$47,2,0),""))</f>
        <v/>
      </c>
      <c r="AK76" s="43" t="str">
        <f aca="false">IF(Q76&lt;&gt;1,"",IF(AJ76="","무등급",IFERROR(VLOOKUP(AJ76,설정!$A$15:$D$47,3,0),"무등급")))</f>
        <v>무등급</v>
      </c>
      <c r="AL76" s="89" t="n">
        <f aca="false">IF(AJ76="",99,IFERROR(VLOOKUP(AJ76,설정!$A$15:$D$47,4,0),99))</f>
        <v>99</v>
      </c>
      <c r="AM76" s="94" t="n">
        <f aca="false">IF(ISNUMBER(H76),AA76*1000000*H76/10000,0)</f>
        <v>661.528957</v>
      </c>
      <c r="AN76" s="94" t="n">
        <f aca="false">IF(OR(Y76=1,NOT(ISNUMBER(Z76))),0,AA76*1000000*Z76/10000)</f>
        <v>661.528957</v>
      </c>
      <c r="AO76" s="94" t="n">
        <f aca="false">IF(ISNUMBER(G76),AA76*1000000*G76/100,0)</f>
        <v>279480.81165</v>
      </c>
      <c r="AP76" s="94" t="n">
        <f aca="false">IF(ISNUMBER(M76),M76*K76,0)</f>
        <v>-120120</v>
      </c>
      <c r="AQ76" s="95" t="n">
        <f aca="false">IF(AB76="","",INDEX(시장분석!$AK:$AK,AB76))</f>
        <v>0.991503206109511</v>
      </c>
      <c r="AR76" s="43" t="str">
        <f aca="false">IF(AB76="","-",IF(AB76="","",INDEX(시장분석!$AL:$AL,AB76)))</f>
        <v>Fair</v>
      </c>
      <c r="AS76" s="96" t="n">
        <f aca="false">IF(AB76="","",INDEX(시장분석!$AJ:$AJ,AB76))</f>
        <v>20.2996276930614</v>
      </c>
      <c r="AT76" s="93" t="n">
        <f aca="false">IF(AB76="",0,IF(AB76="","",INDEX(시장분석!$AN:$AN,AB76)))</f>
        <v>0</v>
      </c>
      <c r="AU76" s="94" t="n">
        <f aca="false">IF(ISNUMBER(Z76),AT76/10000*MAX(Z76-1,0)*AA76*1000000,0)</f>
        <v>0</v>
      </c>
      <c r="AV76" s="94" t="n">
        <f aca="false">AO76+AU76</f>
        <v>279480.81165</v>
      </c>
      <c r="AW76" s="43" t="str">
        <f aca="false">IF(Q76&lt;&gt;1,"",TRIM(IF(AD76=1,"FRN ","")&amp;IF(AND(AL76&gt;=10,AL76&lt;99),"BBB0미만 ","")&amp;IF(AJ76="","등급없음 ","")&amp;IF(K76&lt;&gt;1,"비USD ","")&amp;IF(AND(AB76="",Y76=0),"시장데이터없음 ","")&amp;IF(AND(ISNUMBER(U76),U76&lt;0),"만기경과 ","")))</f>
        <v>등급없음</v>
      </c>
      <c r="AX76" s="90" t="n">
        <f aca="false">IF(Q76&lt;&gt;1,1,IF(스프레드쇼크!$C$4="Y",INDEX(스프레드쇼크!$B$12:$L$16,IFERROR(MATCH(AH76,스프레드쇼크!$A$12:$A$16,0),MATCH("목록외",스프레드쇼크!$A$12:$A$16,0)),IFERROR(MATCH(AG76,스프레드쇼크!$B$11:$L$11,0),MATCH("목록외",스프레드쇼크!$B$11:$L$11,0))),1))</f>
        <v>1</v>
      </c>
      <c r="AY76" s="90" t="n">
        <f aca="false">IF(스프레드쇼크!$C$5="Y",IF(ISNUMBER(AF76),MIN(스프레드쇼크!$C$7,MAX(스프레드쇼크!$C$6,AF76/스프레드쇼크!$C$8)),1),1)</f>
        <v>1.13304282157014</v>
      </c>
      <c r="AZ76" s="94" t="n">
        <f aca="false">AN76*AX76*AY76</f>
        <v>749.540635989632</v>
      </c>
      <c r="BA76" s="90" t="n">
        <f aca="false">IF(ISNUMBER(G76),AA76*G76,0)</f>
        <v>27.948081165</v>
      </c>
      <c r="BB76" s="90" t="n">
        <f aca="false">IF(ISNUMBER(G76),AA76,0)</f>
        <v>4.97465</v>
      </c>
      <c r="BC76" s="90" t="n">
        <f aca="false">IF(AND(Y76=0,ISNUMBER(AF76)),AA76*AF76,0)</f>
        <v>372.6510315</v>
      </c>
      <c r="BD76" s="90" t="n">
        <f aca="false">IF(AND(Y76=0,ISNUMBER(AF76)),AA76,0)</f>
        <v>4.97465</v>
      </c>
      <c r="BE76" s="90" t="n">
        <f aca="false">IF(ISNUMBER(H76),AA76*H76,0)</f>
        <v>6.61528957</v>
      </c>
      <c r="BF76" s="90" t="n">
        <f aca="false">IF(ISNUMBER(H76),AA76,0)</f>
        <v>4.97465</v>
      </c>
      <c r="BG76" s="90" t="n">
        <f aca="false">IF(AND(Y76=0,ISNUMBER(AF76),ISNUMBER(Z76)),AA76*Z76,0)</f>
        <v>6.61528957</v>
      </c>
      <c r="BH76" s="90" t="n">
        <f aca="false">IF(AND(Y76=0,ISNUMBER(AF76),ISNUMBER(Z76)),AA76*AT76*MAX(Z76-1,0),0)</f>
        <v>0</v>
      </c>
      <c r="BI76" s="90" t="n">
        <f aca="false">IF(Y76=0,AA76,0)</f>
        <v>4.97465</v>
      </c>
    </row>
    <row r="77" customFormat="false" ht="15" hidden="false" customHeight="false" outlineLevel="0" collapsed="false">
      <c r="A77" s="83" t="str">
        <f aca="false">IFERROR(IF(INDEX(원자료_잔고!$A$1:$EZ$1500,설정!$L$5+ROW()-1,설정!$L$8)&amp;""="0","",INDEX(원자료_잔고!$A$1:$EZ$1500,설정!$L$5+ROW()-1,설정!$L$8)&amp;""),"")</f>
        <v>DAESEC 5.25 03/06/28</v>
      </c>
      <c r="B77" s="83" t="str">
        <f aca="false">IFERROR(IF(INDEX(원자료_잔고!$A$1:$EZ$1500,설정!$L$5+ROW()-1,설정!$L$7)&amp;""="0","",INDEX(원자료_잔고!$A$1:$EZ$1500,설정!$L$5+ROW()-1,설정!$L$7)&amp;""),"")</f>
        <v>XS2985211569</v>
      </c>
      <c r="C77" s="83" t="str">
        <f aca="false">IFERROR(IF(INDEX(원자료_잔고!$A$1:$EZ$1500,설정!$L$5+ROW()-1,설정!$L$9)&amp;""="0","",INDEX(원자료_잔고!$A$1:$EZ$1500,설정!$L$5+ROW()-1,설정!$L$9)&amp;""),"")</f>
        <v>28096</v>
      </c>
      <c r="D7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7" s="84" t="n">
        <f aca="false">IFERROR(IF(ISNUMBER(INDEX(원자료_잔고!$A$1:$EZ$1500,설정!$L$5+ROW()-1,설정!$L$11)),INDEX(원자료_잔고!$A$1:$EZ$1500,설정!$L$5+ROW()-1,설정!$L$11),""),"")</f>
        <v>4000000</v>
      </c>
      <c r="F77" s="85" t="n">
        <f aca="false">IFERROR(IF(ISNUMBER(INDEX(원자료_잔고!$A$1:$EZ$1500,설정!$L$5+ROW()-1,설정!$L$12)),INDEX(원자료_잔고!$A$1:$EZ$1500,설정!$L$5+ROW()-1,설정!$L$12),""),"")</f>
        <v>99.493</v>
      </c>
      <c r="G77" s="85" t="n">
        <f aca="false">IFERROR(IF(ISNUMBER(INDEX(원자료_잔고!$A$1:$EZ$1500,설정!$L$5+ROW()-1,설정!$L$13)),INDEX(원자료_잔고!$A$1:$EZ$1500,설정!$L$5+ROW()-1,설정!$L$13),""),"")</f>
        <v>5.6181</v>
      </c>
      <c r="H77" s="85" t="n">
        <f aca="false">IFERROR(IF(ISNUMBER(INDEX(원자료_잔고!$A$1:$EZ$1500,설정!$L$5+ROW()-1,설정!$L$14)),INDEX(원자료_잔고!$A$1:$EZ$1500,설정!$L$5+ROW()-1,설정!$L$14),""),"")</f>
        <v>1.3298</v>
      </c>
      <c r="I77" s="86" t="n">
        <f aca="false">IFERROR(IF(ISNUMBER(INDEX(원자료_잔고!$A$1:$EZ$1500,설정!$L$5+ROW()-1,설정!$L$15)),INDEX(원자료_잔고!$A$1:$EZ$1500,설정!$L$5+ROW()-1,설정!$L$15),""),"")</f>
        <v>46818</v>
      </c>
      <c r="J77" s="85" t="n">
        <f aca="false">IFERROR(IF(ISNUMBER(INDEX(원자료_잔고!$A$1:$EZ$1500,설정!$L$5+ROW()-1,설정!$L$16)),INDEX(원자료_잔고!$A$1:$EZ$1500,설정!$L$5+ROW()-1,설정!$L$16),""),"")</f>
        <v>5.25</v>
      </c>
      <c r="K77" s="87" t="n">
        <f aca="false">IFERROR(IF(ISNUMBER(INDEX(원자료_잔고!$A$1:$EZ$1500,설정!$L$5+ROW()-1,설정!$L$17)),INDEX(원자료_잔고!$A$1:$EZ$1500,설정!$L$5+ROW()-1,설정!$L$17),""),"")</f>
        <v>1</v>
      </c>
      <c r="L77" s="84" t="n">
        <f aca="false">IFERROR(IF(ISNUMBER(INDEX(원자료_잔고!$A$1:$EZ$1500,설정!$L$5+ROW()-1,설정!$L$18)),INDEX(원자료_잔고!$A$1:$EZ$1500,설정!$L$5+ROW()-1,설정!$L$18),""),"")</f>
        <v>3979720</v>
      </c>
      <c r="M77" s="88" t="n">
        <f aca="false">IFERROR(IF(ISNUMBER(INDEX(원자료_잔고!$A$1:$EZ$1500,설정!$L$5+ROW()-1,설정!$L$19)),INDEX(원자료_잔고!$A$1:$EZ$1500,설정!$L$5+ROW()-1,설정!$L$19),""),"")</f>
        <v>-96096</v>
      </c>
      <c r="N77" s="83" t="str">
        <f aca="false">IFERROR(IF(INDEX(원자료_잔고!$A$1:$EZ$1500,설정!$L$5+ROW()-1,설정!$L$21)&amp;""="0","",INDEX(원자료_잔고!$A$1:$EZ$1500,설정!$L$5+ROW()-1,설정!$L$21)&amp;""),"")</f>
        <v/>
      </c>
      <c r="O77" s="83" t="str">
        <f aca="false">IFERROR(IF(INDEX(원자료_잔고!$A$1:$EZ$1500,설정!$L$5+ROW()-1,설정!$L$22)&amp;""="0","",INDEX(원자료_잔고!$A$1:$EZ$1500,설정!$L$5+ROW()-1,설정!$L$22)&amp;""),"")</f>
        <v/>
      </c>
      <c r="P77" s="83" t="str">
        <f aca="false">IFERROR(IF(INDEX(원자료_잔고!$A$1:$EZ$1500,설정!$L$5+ROW()-1,설정!$L$23)&amp;""="0","",INDEX(원자료_잔고!$A$1:$EZ$1500,설정!$L$5+ROW()-1,설정!$L$23)&amp;""),"")</f>
        <v>N/A</v>
      </c>
      <c r="Q77" s="89" t="n">
        <f aca="false">IF(AND($A77&lt;&gt;"",ISNUMBER(E77)),IF(E77&gt;0,1,0),0)</f>
        <v>1</v>
      </c>
      <c r="R77" s="43" t="str">
        <f aca="false">IF(Q77=1,UPPER(LEFT($A77,FIND(" ",$A77&amp;" ")-1)),"")</f>
        <v>DAESEC</v>
      </c>
      <c r="S77" s="89" t="n">
        <f aca="false">IF(Q77=1,IF(OR(ISNUMBER(SEARCH("Float",$A77)),ISNUMBER(SEARCH("FRN",$A77))),1,0),0)</f>
        <v>0</v>
      </c>
      <c r="T77" s="43" t="str">
        <f aca="false">IF(AND(Q77=1,ISNUMBER(I77)),TEXT(I77,"yyyymmdd")&amp;"|"&amp;IF(S77=1,"F",TEXT(J77,"0.000")),"")</f>
        <v>20280306|5.250</v>
      </c>
      <c r="U77" s="90" t="n">
        <f aca="false">IF(AND(Q77=1,ISNUMBER(I77)),(I77-설정!$C$4)/365.25,"")</f>
        <v>1.42915811088296</v>
      </c>
      <c r="V77" s="43" t="str">
        <f aca="false">IF(Q77&lt;&gt;1,"",IF(ISNUMBER(U77),IF(U77&lt;=1,"1년 이하",IF(U77&lt;=2,"1-2년",IF(U77&lt;=3,"2-3년",IF(U77&lt;=4,"3-4년",IF(U77&lt;=5,"4-5년",IF(U77&lt;=7,"5-7년",IF(U77&lt;=10,"7-10년",IF(U77&lt;=20,"10-20년","20년 이상")))))))),"미분류"))</f>
        <v>1-2년</v>
      </c>
      <c r="W77" s="43" t="str">
        <f aca="false">IF(Q77&lt;&gt;1,"",IF(AB77&lt;&gt;"",INDEX(시장분석!$C:$C,AB77),IF(K77=1,"USD","비USD")))</f>
        <v>USD</v>
      </c>
      <c r="X77" s="91" t="n">
        <f aca="false">IF(Q77=1,E77*K77/1000000,0)</f>
        <v>4</v>
      </c>
      <c r="Y77" s="89" t="n">
        <f aca="false">IF(R77="T",1,0)</f>
        <v>0</v>
      </c>
      <c r="Z77" s="92" t="n">
        <f aca="false">IF(Q77&lt;&gt;1,"",IF(AD77=1,IF(ISNUMBER(U77),MAX(U77,0),H77),H77))</f>
        <v>1.3298</v>
      </c>
      <c r="AA77" s="91" t="n">
        <f aca="false">IF(Q77=1,IF(ISNUMBER(L77),L77,0)*K77/1000000,0)</f>
        <v>3.97972</v>
      </c>
      <c r="AB77" s="89" t="n">
        <f aca="false">IF(Q77&lt;&gt;1,"",IFERROR(MATCH(VLOOKUP(B77,매핑!$H$4:$I$15,2,0),시장분석!$A$2:$A$601,0)+1,IFERROR(MATCH(R77&amp;"|"&amp;T77,시장분석!$V$2:$V$601,0)+1,IF(COUNTIF(시장분석!$U$2:$U$601,T77)=1,MATCH(T77,시장분석!$U$2:$U$601,0)+1,""))))</f>
        <v>235</v>
      </c>
      <c r="AC77" s="89" t="n">
        <f aca="false">IF(Q77&lt;&gt;1,0,IF(OR(설정!$C$5="전체",AND(설정!$C$5="선택펀드",IFERROR(COUNTIFS(설정!$F$16:$F$36,C77,설정!$G$16:$G$36,"Y")+COUNTIFS(설정!$F$16:$F$36,VALUE(C77),설정!$G$16:$G$36,"Y"),0)&gt;0),C77&amp;""=설정!$C$5&amp;""),1,0))</f>
        <v>1</v>
      </c>
      <c r="AD77" s="89" t="n">
        <f aca="false">IF(Q77&lt;&gt;1,0,IF(OR(S77=1,IF(AB77="",FALSE(),INDEX(시장분석!$R:$R,AB77)=1)),1,0))</f>
        <v>0</v>
      </c>
      <c r="AE77" s="43" t="str">
        <f aca="false">IF(AB77="","",INDEX(시장분석!$A:$A,AB77))</f>
        <v>DAESEC 5 1/4 03/06/28</v>
      </c>
      <c r="AF77" s="93" t="n">
        <f aca="false">IF(AB77="","",IF(ISNUMBER(IF(AB77="","",INDEX(시장분석!$E:$E,AB77))),IF(AB77="","",INDEX(시장분석!$E:$E,AB77)),""))</f>
        <v>74.91</v>
      </c>
      <c r="AG77" s="43" t="str">
        <f aca="false">IF(Q77&lt;&gt;1,"",IF(AB77&lt;&gt;"",IF(AB77="","",INDEX(시장분석!$L:$L,AB77)),IFERROR(IF(VLOOKUP(R77,매핑!$A$4:$E$92,5,0)="","미분류",VLOOKUP(R77,매핑!$A$4:$E$92,5,0)),"미분류")))</f>
        <v>금융기관</v>
      </c>
      <c r="AH77" s="43" t="str">
        <f aca="false">IF(Q77&lt;&gt;1,"",IF(AB77&lt;&gt;"",IF(AB77="","",INDEX(시장분석!$N:$N,AB77)),IFERROR(IF(VLOOKUP(R77,매핑!$A$4:$E$92,4,0)="","미분류",VLOOKUP(R77,매핑!$A$4:$E$92,4,0)),"미분류")))</f>
        <v>아시아/기타</v>
      </c>
      <c r="AI77" s="43" t="str">
        <f aca="false">IF(Q77&lt;&gt;1,"",IFERROR(IF(VLOOKUP(R77,매핑!$A$4:$E$92,3,0)="","미분류",VLOOKUP(R77,매핑!$A$4:$E$92,3,0)),IF(AB77&lt;&gt;"",IF(AB77="","",INDEX(시장분석!$W:$W,AB77)),"미분류")))</f>
        <v>한국</v>
      </c>
      <c r="AJ77" s="43" t="str">
        <f aca="false">IF(Q77&lt;&gt;1,"",IFERROR(VLOOKUP(IF(N77&lt;&gt;"",N77,IF(P77&lt;&gt;"",P77,O77)),설정!$A$15:$D$47,2,0),""))</f>
        <v/>
      </c>
      <c r="AK77" s="43" t="str">
        <f aca="false">IF(Q77&lt;&gt;1,"",IF(AJ77="","무등급",IFERROR(VLOOKUP(AJ77,설정!$A$15:$D$47,3,0),"무등급")))</f>
        <v>무등급</v>
      </c>
      <c r="AL77" s="89" t="n">
        <f aca="false">IF(AJ77="",99,IFERROR(VLOOKUP(AJ77,설정!$A$15:$D$47,4,0),99))</f>
        <v>99</v>
      </c>
      <c r="AM77" s="94" t="n">
        <f aca="false">IF(ISNUMBER(H77),AA77*1000000*H77/10000,0)</f>
        <v>529.2231656</v>
      </c>
      <c r="AN77" s="94" t="n">
        <f aca="false">IF(OR(Y77=1,NOT(ISNUMBER(Z77))),0,AA77*1000000*Z77/10000)</f>
        <v>529.2231656</v>
      </c>
      <c r="AO77" s="94" t="n">
        <f aca="false">IF(ISNUMBER(G77),AA77*1000000*G77/100,0)</f>
        <v>223584.64932</v>
      </c>
      <c r="AP77" s="94" t="n">
        <f aca="false">IF(ISNUMBER(M77),M77*K77,0)</f>
        <v>-96096</v>
      </c>
      <c r="AQ77" s="95" t="n">
        <f aca="false">IF(AB77="","",INDEX(시장분석!$AK:$AK,AB77))</f>
        <v>0.991503206109511</v>
      </c>
      <c r="AR77" s="43" t="str">
        <f aca="false">IF(AB77="","-",IF(AB77="","",INDEX(시장분석!$AL:$AL,AB77)))</f>
        <v>Fair</v>
      </c>
      <c r="AS77" s="96" t="n">
        <f aca="false">IF(AB77="","",INDEX(시장분석!$AJ:$AJ,AB77))</f>
        <v>20.2996276930614</v>
      </c>
      <c r="AT77" s="93" t="n">
        <f aca="false">IF(AB77="",0,IF(AB77="","",INDEX(시장분석!$AN:$AN,AB77)))</f>
        <v>0</v>
      </c>
      <c r="AU77" s="94" t="n">
        <f aca="false">IF(ISNUMBER(Z77),AT77/10000*MAX(Z77-1,0)*AA77*1000000,0)</f>
        <v>0</v>
      </c>
      <c r="AV77" s="94" t="n">
        <f aca="false">AO77+AU77</f>
        <v>223584.64932</v>
      </c>
      <c r="AW77" s="43" t="str">
        <f aca="false">IF(Q77&lt;&gt;1,"",TRIM(IF(AD77=1,"FRN ","")&amp;IF(AND(AL77&gt;=10,AL77&lt;99),"BBB0미만 ","")&amp;IF(AJ77="","등급없음 ","")&amp;IF(K77&lt;&gt;1,"비USD ","")&amp;IF(AND(AB77="",Y77=0),"시장데이터없음 ","")&amp;IF(AND(ISNUMBER(U77),U77&lt;0),"만기경과 ","")))</f>
        <v>등급없음</v>
      </c>
      <c r="AX77" s="90" t="n">
        <f aca="false">IF(Q77&lt;&gt;1,1,IF(스프레드쇼크!$C$4="Y",INDEX(스프레드쇼크!$B$12:$L$16,IFERROR(MATCH(AH77,스프레드쇼크!$A$12:$A$16,0),MATCH("목록외",스프레드쇼크!$A$12:$A$16,0)),IFERROR(MATCH(AG77,스프레드쇼크!$B$11:$L$11,0),MATCH("목록외",스프레드쇼크!$B$11:$L$11,0))),1))</f>
        <v>1</v>
      </c>
      <c r="AY77" s="90" t="n">
        <f aca="false">IF(스프레드쇼크!$C$5="Y",IF(ISNUMBER(AF77),MIN(스프레드쇼크!$C$7,MAX(스프레드쇼크!$C$6,AF77/스프레드쇼크!$C$8)),1),1)</f>
        <v>1.13304282157014</v>
      </c>
      <c r="AZ77" s="94" t="n">
        <f aca="false">AN77*AX77*AY77</f>
        <v>599.632508791706</v>
      </c>
      <c r="BA77" s="90" t="n">
        <f aca="false">IF(ISNUMBER(G77),AA77*G77,0)</f>
        <v>22.358464932</v>
      </c>
      <c r="BB77" s="90" t="n">
        <f aca="false">IF(ISNUMBER(G77),AA77,0)</f>
        <v>3.97972</v>
      </c>
      <c r="BC77" s="90" t="n">
        <f aca="false">IF(AND(Y77=0,ISNUMBER(AF77)),AA77*AF77,0)</f>
        <v>298.1208252</v>
      </c>
      <c r="BD77" s="90" t="n">
        <f aca="false">IF(AND(Y77=0,ISNUMBER(AF77)),AA77,0)</f>
        <v>3.97972</v>
      </c>
      <c r="BE77" s="90" t="n">
        <f aca="false">IF(ISNUMBER(H77),AA77*H77,0)</f>
        <v>5.292231656</v>
      </c>
      <c r="BF77" s="90" t="n">
        <f aca="false">IF(ISNUMBER(H77),AA77,0)</f>
        <v>3.97972</v>
      </c>
      <c r="BG77" s="90" t="n">
        <f aca="false">IF(AND(Y77=0,ISNUMBER(AF77),ISNUMBER(Z77)),AA77*Z77,0)</f>
        <v>5.292231656</v>
      </c>
      <c r="BH77" s="90" t="n">
        <f aca="false">IF(AND(Y77=0,ISNUMBER(AF77),ISNUMBER(Z77)),AA77*AT77*MAX(Z77-1,0),0)</f>
        <v>0</v>
      </c>
      <c r="BI77" s="90" t="n">
        <f aca="false">IF(Y77=0,AA77,0)</f>
        <v>3.97972</v>
      </c>
    </row>
    <row r="78" customFormat="false" ht="15" hidden="false" customHeight="false" outlineLevel="0" collapsed="false">
      <c r="A78" s="83" t="str">
        <f aca="false">IFERROR(IF(INDEX(원자료_잔고!$A$1:$EZ$1500,설정!$L$5+ROW()-1,설정!$L$8)&amp;""="0","",INDEX(원자료_잔고!$A$1:$EZ$1500,설정!$L$5+ROW()-1,설정!$L$8)&amp;""),"")</f>
        <v>DAESEC 5.25 03/06/28</v>
      </c>
      <c r="B78" s="83" t="str">
        <f aca="false">IFERROR(IF(INDEX(원자료_잔고!$A$1:$EZ$1500,설정!$L$5+ROW()-1,설정!$L$7)&amp;""="0","",INDEX(원자료_잔고!$A$1:$EZ$1500,설정!$L$5+ROW()-1,설정!$L$7)&amp;""),"")</f>
        <v>XS2985211569</v>
      </c>
      <c r="C78" s="83" t="str">
        <f aca="false">IFERROR(IF(INDEX(원자료_잔고!$A$1:$EZ$1500,설정!$L$5+ROW()-1,설정!$L$9)&amp;""="0","",INDEX(원자료_잔고!$A$1:$EZ$1500,설정!$L$5+ROW()-1,설정!$L$9)&amp;""),"")</f>
        <v>28096</v>
      </c>
      <c r="D7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8" s="84" t="n">
        <f aca="false">IFERROR(IF(ISNUMBER(INDEX(원자료_잔고!$A$1:$EZ$1500,설정!$L$5+ROW()-1,설정!$L$11)),INDEX(원자료_잔고!$A$1:$EZ$1500,설정!$L$5+ROW()-1,설정!$L$11),""),"")</f>
        <v>10000000</v>
      </c>
      <c r="F78" s="85" t="n">
        <f aca="false">IFERROR(IF(ISNUMBER(INDEX(원자료_잔고!$A$1:$EZ$1500,설정!$L$5+ROW()-1,설정!$L$12)),INDEX(원자료_잔고!$A$1:$EZ$1500,설정!$L$5+ROW()-1,설정!$L$12),""),"")</f>
        <v>99.493</v>
      </c>
      <c r="G78" s="85" t="n">
        <f aca="false">IFERROR(IF(ISNUMBER(INDEX(원자료_잔고!$A$1:$EZ$1500,설정!$L$5+ROW()-1,설정!$L$13)),INDEX(원자료_잔고!$A$1:$EZ$1500,설정!$L$5+ROW()-1,설정!$L$13),""),"")</f>
        <v>5.6181</v>
      </c>
      <c r="H78" s="85" t="n">
        <f aca="false">IFERROR(IF(ISNUMBER(INDEX(원자료_잔고!$A$1:$EZ$1500,설정!$L$5+ROW()-1,설정!$L$14)),INDEX(원자료_잔고!$A$1:$EZ$1500,설정!$L$5+ROW()-1,설정!$L$14),""),"")</f>
        <v>1.3298</v>
      </c>
      <c r="I78" s="86" t="n">
        <f aca="false">IFERROR(IF(ISNUMBER(INDEX(원자료_잔고!$A$1:$EZ$1500,설정!$L$5+ROW()-1,설정!$L$15)),INDEX(원자료_잔고!$A$1:$EZ$1500,설정!$L$5+ROW()-1,설정!$L$15),""),"")</f>
        <v>46818</v>
      </c>
      <c r="J78" s="85" t="n">
        <f aca="false">IFERROR(IF(ISNUMBER(INDEX(원자료_잔고!$A$1:$EZ$1500,설정!$L$5+ROW()-1,설정!$L$16)),INDEX(원자료_잔고!$A$1:$EZ$1500,설정!$L$5+ROW()-1,설정!$L$16),""),"")</f>
        <v>5.25</v>
      </c>
      <c r="K78" s="87" t="n">
        <f aca="false">IFERROR(IF(ISNUMBER(INDEX(원자료_잔고!$A$1:$EZ$1500,설정!$L$5+ROW()-1,설정!$L$17)),INDEX(원자료_잔고!$A$1:$EZ$1500,설정!$L$5+ROW()-1,설정!$L$17),""),"")</f>
        <v>1</v>
      </c>
      <c r="L78" s="84" t="n">
        <f aca="false">IFERROR(IF(ISNUMBER(INDEX(원자료_잔고!$A$1:$EZ$1500,설정!$L$5+ROW()-1,설정!$L$18)),INDEX(원자료_잔고!$A$1:$EZ$1500,설정!$L$5+ROW()-1,설정!$L$18),""),"")</f>
        <v>9949300</v>
      </c>
      <c r="M78" s="88" t="n">
        <f aca="false">IFERROR(IF(ISNUMBER(INDEX(원자료_잔고!$A$1:$EZ$1500,설정!$L$5+ROW()-1,설정!$L$19)),INDEX(원자료_잔고!$A$1:$EZ$1500,설정!$L$5+ROW()-1,설정!$L$19),""),"")</f>
        <v>-240240</v>
      </c>
      <c r="N78" s="83" t="str">
        <f aca="false">IFERROR(IF(INDEX(원자료_잔고!$A$1:$EZ$1500,설정!$L$5+ROW()-1,설정!$L$21)&amp;""="0","",INDEX(원자료_잔고!$A$1:$EZ$1500,설정!$L$5+ROW()-1,설정!$L$21)&amp;""),"")</f>
        <v/>
      </c>
      <c r="O78" s="83" t="str">
        <f aca="false">IFERROR(IF(INDEX(원자료_잔고!$A$1:$EZ$1500,설정!$L$5+ROW()-1,설정!$L$22)&amp;""="0","",INDEX(원자료_잔고!$A$1:$EZ$1500,설정!$L$5+ROW()-1,설정!$L$22)&amp;""),"")</f>
        <v/>
      </c>
      <c r="P78" s="83" t="str">
        <f aca="false">IFERROR(IF(INDEX(원자료_잔고!$A$1:$EZ$1500,설정!$L$5+ROW()-1,설정!$L$23)&amp;""="0","",INDEX(원자료_잔고!$A$1:$EZ$1500,설정!$L$5+ROW()-1,설정!$L$23)&amp;""),"")</f>
        <v>N/A</v>
      </c>
      <c r="Q78" s="89" t="n">
        <f aca="false">IF(AND($A78&lt;&gt;"",ISNUMBER(E78)),IF(E78&gt;0,1,0),0)</f>
        <v>1</v>
      </c>
      <c r="R78" s="43" t="str">
        <f aca="false">IF(Q78=1,UPPER(LEFT($A78,FIND(" ",$A78&amp;" ")-1)),"")</f>
        <v>DAESEC</v>
      </c>
      <c r="S78" s="89" t="n">
        <f aca="false">IF(Q78=1,IF(OR(ISNUMBER(SEARCH("Float",$A78)),ISNUMBER(SEARCH("FRN",$A78))),1,0),0)</f>
        <v>0</v>
      </c>
      <c r="T78" s="43" t="str">
        <f aca="false">IF(AND(Q78=1,ISNUMBER(I78)),TEXT(I78,"yyyymmdd")&amp;"|"&amp;IF(S78=1,"F",TEXT(J78,"0.000")),"")</f>
        <v>20280306|5.250</v>
      </c>
      <c r="U78" s="90" t="n">
        <f aca="false">IF(AND(Q78=1,ISNUMBER(I78)),(I78-설정!$C$4)/365.25,"")</f>
        <v>1.42915811088296</v>
      </c>
      <c r="V78" s="43" t="str">
        <f aca="false">IF(Q78&lt;&gt;1,"",IF(ISNUMBER(U78),IF(U78&lt;=1,"1년 이하",IF(U78&lt;=2,"1-2년",IF(U78&lt;=3,"2-3년",IF(U78&lt;=4,"3-4년",IF(U78&lt;=5,"4-5년",IF(U78&lt;=7,"5-7년",IF(U78&lt;=10,"7-10년",IF(U78&lt;=20,"10-20년","20년 이상")))))))),"미분류"))</f>
        <v>1-2년</v>
      </c>
      <c r="W78" s="43" t="str">
        <f aca="false">IF(Q78&lt;&gt;1,"",IF(AB78&lt;&gt;"",INDEX(시장분석!$C:$C,AB78),IF(K78=1,"USD","비USD")))</f>
        <v>USD</v>
      </c>
      <c r="X78" s="91" t="n">
        <f aca="false">IF(Q78=1,E78*K78/1000000,0)</f>
        <v>10</v>
      </c>
      <c r="Y78" s="89" t="n">
        <f aca="false">IF(R78="T",1,0)</f>
        <v>0</v>
      </c>
      <c r="Z78" s="92" t="n">
        <f aca="false">IF(Q78&lt;&gt;1,"",IF(AD78=1,IF(ISNUMBER(U78),MAX(U78,0),H78),H78))</f>
        <v>1.3298</v>
      </c>
      <c r="AA78" s="91" t="n">
        <f aca="false">IF(Q78=1,IF(ISNUMBER(L78),L78,0)*K78/1000000,0)</f>
        <v>9.9493</v>
      </c>
      <c r="AB78" s="89" t="n">
        <f aca="false">IF(Q78&lt;&gt;1,"",IFERROR(MATCH(VLOOKUP(B78,매핑!$H$4:$I$15,2,0),시장분석!$A$2:$A$601,0)+1,IFERROR(MATCH(R78&amp;"|"&amp;T78,시장분석!$V$2:$V$601,0)+1,IF(COUNTIF(시장분석!$U$2:$U$601,T78)=1,MATCH(T78,시장분석!$U$2:$U$601,0)+1,""))))</f>
        <v>235</v>
      </c>
      <c r="AC78" s="89" t="n">
        <f aca="false">IF(Q78&lt;&gt;1,0,IF(OR(설정!$C$5="전체",AND(설정!$C$5="선택펀드",IFERROR(COUNTIFS(설정!$F$16:$F$36,C78,설정!$G$16:$G$36,"Y")+COUNTIFS(설정!$F$16:$F$36,VALUE(C78),설정!$G$16:$G$36,"Y"),0)&gt;0),C78&amp;""=설정!$C$5&amp;""),1,0))</f>
        <v>1</v>
      </c>
      <c r="AD78" s="89" t="n">
        <f aca="false">IF(Q78&lt;&gt;1,0,IF(OR(S78=1,IF(AB78="",FALSE(),INDEX(시장분석!$R:$R,AB78)=1)),1,0))</f>
        <v>0</v>
      </c>
      <c r="AE78" s="43" t="str">
        <f aca="false">IF(AB78="","",INDEX(시장분석!$A:$A,AB78))</f>
        <v>DAESEC 5 1/4 03/06/28</v>
      </c>
      <c r="AF78" s="93" t="n">
        <f aca="false">IF(AB78="","",IF(ISNUMBER(IF(AB78="","",INDEX(시장분석!$E:$E,AB78))),IF(AB78="","",INDEX(시장분석!$E:$E,AB78)),""))</f>
        <v>74.91</v>
      </c>
      <c r="AG78" s="43" t="str">
        <f aca="false">IF(Q78&lt;&gt;1,"",IF(AB78&lt;&gt;"",IF(AB78="","",INDEX(시장분석!$L:$L,AB78)),IFERROR(IF(VLOOKUP(R78,매핑!$A$4:$E$92,5,0)="","미분류",VLOOKUP(R78,매핑!$A$4:$E$92,5,0)),"미분류")))</f>
        <v>금융기관</v>
      </c>
      <c r="AH78" s="43" t="str">
        <f aca="false">IF(Q78&lt;&gt;1,"",IF(AB78&lt;&gt;"",IF(AB78="","",INDEX(시장분석!$N:$N,AB78)),IFERROR(IF(VLOOKUP(R78,매핑!$A$4:$E$92,4,0)="","미분류",VLOOKUP(R78,매핑!$A$4:$E$92,4,0)),"미분류")))</f>
        <v>아시아/기타</v>
      </c>
      <c r="AI78" s="43" t="str">
        <f aca="false">IF(Q78&lt;&gt;1,"",IFERROR(IF(VLOOKUP(R78,매핑!$A$4:$E$92,3,0)="","미분류",VLOOKUP(R78,매핑!$A$4:$E$92,3,0)),IF(AB78&lt;&gt;"",IF(AB78="","",INDEX(시장분석!$W:$W,AB78)),"미분류")))</f>
        <v>한국</v>
      </c>
      <c r="AJ78" s="43" t="str">
        <f aca="false">IF(Q78&lt;&gt;1,"",IFERROR(VLOOKUP(IF(N78&lt;&gt;"",N78,IF(P78&lt;&gt;"",P78,O78)),설정!$A$15:$D$47,2,0),""))</f>
        <v/>
      </c>
      <c r="AK78" s="43" t="str">
        <f aca="false">IF(Q78&lt;&gt;1,"",IF(AJ78="","무등급",IFERROR(VLOOKUP(AJ78,설정!$A$15:$D$47,3,0),"무등급")))</f>
        <v>무등급</v>
      </c>
      <c r="AL78" s="89" t="n">
        <f aca="false">IF(AJ78="",99,IFERROR(VLOOKUP(AJ78,설정!$A$15:$D$47,4,0),99))</f>
        <v>99</v>
      </c>
      <c r="AM78" s="94" t="n">
        <f aca="false">IF(ISNUMBER(H78),AA78*1000000*H78/10000,0)</f>
        <v>1323.057914</v>
      </c>
      <c r="AN78" s="94" t="n">
        <f aca="false">IF(OR(Y78=1,NOT(ISNUMBER(Z78))),0,AA78*1000000*Z78/10000)</f>
        <v>1323.057914</v>
      </c>
      <c r="AO78" s="94" t="n">
        <f aca="false">IF(ISNUMBER(G78),AA78*1000000*G78/100,0)</f>
        <v>558961.6233</v>
      </c>
      <c r="AP78" s="94" t="n">
        <f aca="false">IF(ISNUMBER(M78),M78*K78,0)</f>
        <v>-240240</v>
      </c>
      <c r="AQ78" s="95" t="n">
        <f aca="false">IF(AB78="","",INDEX(시장분석!$AK:$AK,AB78))</f>
        <v>0.991503206109511</v>
      </c>
      <c r="AR78" s="43" t="str">
        <f aca="false">IF(AB78="","-",IF(AB78="","",INDEX(시장분석!$AL:$AL,AB78)))</f>
        <v>Fair</v>
      </c>
      <c r="AS78" s="96" t="n">
        <f aca="false">IF(AB78="","",INDEX(시장분석!$AJ:$AJ,AB78))</f>
        <v>20.2996276930614</v>
      </c>
      <c r="AT78" s="93" t="n">
        <f aca="false">IF(AB78="",0,IF(AB78="","",INDEX(시장분석!$AN:$AN,AB78)))</f>
        <v>0</v>
      </c>
      <c r="AU78" s="94" t="n">
        <f aca="false">IF(ISNUMBER(Z78),AT78/10000*MAX(Z78-1,0)*AA78*1000000,0)</f>
        <v>0</v>
      </c>
      <c r="AV78" s="94" t="n">
        <f aca="false">AO78+AU78</f>
        <v>558961.6233</v>
      </c>
      <c r="AW78" s="43" t="str">
        <f aca="false">IF(Q78&lt;&gt;1,"",TRIM(IF(AD78=1,"FRN ","")&amp;IF(AND(AL78&gt;=10,AL78&lt;99),"BBB0미만 ","")&amp;IF(AJ78="","등급없음 ","")&amp;IF(K78&lt;&gt;1,"비USD ","")&amp;IF(AND(AB78="",Y78=0),"시장데이터없음 ","")&amp;IF(AND(ISNUMBER(U78),U78&lt;0),"만기경과 ","")))</f>
        <v>등급없음</v>
      </c>
      <c r="AX78" s="90" t="n">
        <f aca="false">IF(Q78&lt;&gt;1,1,IF(스프레드쇼크!$C$4="Y",INDEX(스프레드쇼크!$B$12:$L$16,IFERROR(MATCH(AH78,스프레드쇼크!$A$12:$A$16,0),MATCH("목록외",스프레드쇼크!$A$12:$A$16,0)),IFERROR(MATCH(AG78,스프레드쇼크!$B$11:$L$11,0),MATCH("목록외",스프레드쇼크!$B$11:$L$11,0))),1))</f>
        <v>1</v>
      </c>
      <c r="AY78" s="90" t="n">
        <f aca="false">IF(스프레드쇼크!$C$5="Y",IF(ISNUMBER(AF78),MIN(스프레드쇼크!$C$7,MAX(스프레드쇼크!$C$6,AF78/스프레드쇼크!$C$8)),1),1)</f>
        <v>1.13304282157014</v>
      </c>
      <c r="AZ78" s="94" t="n">
        <f aca="false">AN78*AX78*AY78</f>
        <v>1499.08127197926</v>
      </c>
      <c r="BA78" s="90" t="n">
        <f aca="false">IF(ISNUMBER(G78),AA78*G78,0)</f>
        <v>55.89616233</v>
      </c>
      <c r="BB78" s="90" t="n">
        <f aca="false">IF(ISNUMBER(G78),AA78,0)</f>
        <v>9.9493</v>
      </c>
      <c r="BC78" s="90" t="n">
        <f aca="false">IF(AND(Y78=0,ISNUMBER(AF78)),AA78*AF78,0)</f>
        <v>745.302063</v>
      </c>
      <c r="BD78" s="90" t="n">
        <f aca="false">IF(AND(Y78=0,ISNUMBER(AF78)),AA78,0)</f>
        <v>9.9493</v>
      </c>
      <c r="BE78" s="90" t="n">
        <f aca="false">IF(ISNUMBER(H78),AA78*H78,0)</f>
        <v>13.23057914</v>
      </c>
      <c r="BF78" s="90" t="n">
        <f aca="false">IF(ISNUMBER(H78),AA78,0)</f>
        <v>9.9493</v>
      </c>
      <c r="BG78" s="90" t="n">
        <f aca="false">IF(AND(Y78=0,ISNUMBER(AF78),ISNUMBER(Z78)),AA78*Z78,0)</f>
        <v>13.23057914</v>
      </c>
      <c r="BH78" s="90" t="n">
        <f aca="false">IF(AND(Y78=0,ISNUMBER(AF78),ISNUMBER(Z78)),AA78*AT78*MAX(Z78-1,0),0)</f>
        <v>0</v>
      </c>
      <c r="BI78" s="90" t="n">
        <f aca="false">IF(Y78=0,AA78,0)</f>
        <v>9.9493</v>
      </c>
    </row>
    <row r="79" customFormat="false" ht="15" hidden="false" customHeight="false" outlineLevel="0" collapsed="false">
      <c r="A79" s="83" t="str">
        <f aca="false">IFERROR(IF(INDEX(원자료_잔고!$A$1:$EZ$1500,설정!$L$5+ROW()-1,설정!$L$8)&amp;""="0","",INDEX(원자료_잔고!$A$1:$EZ$1500,설정!$L$5+ROW()-1,설정!$L$8)&amp;""),"")</f>
        <v>KUB 4.791 05/28/28</v>
      </c>
      <c r="B79" s="83" t="str">
        <f aca="false">IFERROR(IF(INDEX(원자료_잔고!$A$1:$EZ$1500,설정!$L$5+ROW()-1,설정!$L$7)&amp;""="0","",INDEX(원자료_잔고!$A$1:$EZ$1500,설정!$L$5+ROW()-1,설정!$L$7)&amp;""),"")</f>
        <v>XS3078370726</v>
      </c>
      <c r="C79" s="83" t="str">
        <f aca="false">IFERROR(IF(INDEX(원자료_잔고!$A$1:$EZ$1500,설정!$L$5+ROW()-1,설정!$L$9)&amp;""="0","",INDEX(원자료_잔고!$A$1:$EZ$1500,설정!$L$5+ROW()-1,설정!$L$9)&amp;""),"")</f>
        <v>28096</v>
      </c>
      <c r="D7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79" s="84" t="n">
        <f aca="false">IFERROR(IF(ISNUMBER(INDEX(원자료_잔고!$A$1:$EZ$1500,설정!$L$5+ROW()-1,설정!$L$11)),INDEX(원자료_잔고!$A$1:$EZ$1500,설정!$L$5+ROW()-1,설정!$L$11),""),"")</f>
        <v>500000</v>
      </c>
      <c r="F79" s="85" t="n">
        <f aca="false">IFERROR(IF(ISNUMBER(INDEX(원자료_잔고!$A$1:$EZ$1500,설정!$L$5+ROW()-1,설정!$L$12)),INDEX(원자료_잔고!$A$1:$EZ$1500,설정!$L$5+ROW()-1,설정!$L$12),""),"")</f>
        <v>99.0331</v>
      </c>
      <c r="G79" s="85" t="n">
        <f aca="false">IFERROR(IF(ISNUMBER(INDEX(원자료_잔고!$A$1:$EZ$1500,설정!$L$5+ROW()-1,설정!$L$13)),INDEX(원자료_잔고!$A$1:$EZ$1500,설정!$L$5+ROW()-1,설정!$L$13),""),"")</f>
        <v>5.4019</v>
      </c>
      <c r="H79" s="85" t="n">
        <f aca="false">IFERROR(IF(ISNUMBER(INDEX(원자료_잔고!$A$1:$EZ$1500,설정!$L$5+ROW()-1,설정!$L$14)),INDEX(원자료_잔고!$A$1:$EZ$1500,설정!$L$5+ROW()-1,설정!$L$14),""),"")</f>
        <v>1.5356</v>
      </c>
      <c r="I79" s="86" t="n">
        <f aca="false">IFERROR(IF(ISNUMBER(INDEX(원자료_잔고!$A$1:$EZ$1500,설정!$L$5+ROW()-1,설정!$L$15)),INDEX(원자료_잔고!$A$1:$EZ$1500,설정!$L$5+ROW()-1,설정!$L$15),""),"")</f>
        <v>46901</v>
      </c>
      <c r="J79" s="85" t="n">
        <f aca="false">IFERROR(IF(ISNUMBER(INDEX(원자료_잔고!$A$1:$EZ$1500,설정!$L$5+ROW()-1,설정!$L$16)),INDEX(원자료_잔고!$A$1:$EZ$1500,설정!$L$5+ROW()-1,설정!$L$16),""),"")</f>
        <v>4.791</v>
      </c>
      <c r="K79" s="87" t="n">
        <f aca="false">IFERROR(IF(ISNUMBER(INDEX(원자료_잔고!$A$1:$EZ$1500,설정!$L$5+ROW()-1,설정!$L$17)),INDEX(원자료_잔고!$A$1:$EZ$1500,설정!$L$5+ROW()-1,설정!$L$17),""),"")</f>
        <v>1</v>
      </c>
      <c r="L79" s="84" t="n">
        <f aca="false">IFERROR(IF(ISNUMBER(INDEX(원자료_잔고!$A$1:$EZ$1500,설정!$L$5+ROW()-1,설정!$L$18)),INDEX(원자료_잔고!$A$1:$EZ$1500,설정!$L$5+ROW()-1,설정!$L$18),""),"")</f>
        <v>495165.5</v>
      </c>
      <c r="M79" s="88" t="n">
        <f aca="false">IFERROR(IF(ISNUMBER(INDEX(원자료_잔고!$A$1:$EZ$1500,설정!$L$5+ROW()-1,설정!$L$19)),INDEX(원자료_잔고!$A$1:$EZ$1500,설정!$L$5+ROW()-1,설정!$L$19),""),"")</f>
        <v>-11883</v>
      </c>
      <c r="N79" s="83" t="str">
        <f aca="false">IFERROR(IF(INDEX(원자료_잔고!$A$1:$EZ$1500,설정!$L$5+ROW()-1,설정!$L$21)&amp;""="0","",INDEX(원자료_잔고!$A$1:$EZ$1500,설정!$L$5+ROW()-1,설정!$L$21)&amp;""),"")</f>
        <v>A</v>
      </c>
      <c r="O79" s="83" t="str">
        <f aca="false">IFERROR(IF(INDEX(원자료_잔고!$A$1:$EZ$1500,설정!$L$5+ROW()-1,설정!$L$22)&amp;""="0","",INDEX(원자료_잔고!$A$1:$EZ$1500,설정!$L$5+ROW()-1,설정!$L$22)&amp;""),"")</f>
        <v/>
      </c>
      <c r="P79" s="83" t="str">
        <f aca="false">IFERROR(IF(INDEX(원자료_잔고!$A$1:$EZ$1500,설정!$L$5+ROW()-1,설정!$L$23)&amp;""="0","",INDEX(원자료_잔고!$A$1:$EZ$1500,설정!$L$5+ROW()-1,설정!$L$23)&amp;""),"")</f>
        <v>N/A</v>
      </c>
      <c r="Q79" s="89" t="n">
        <f aca="false">IF(AND($A79&lt;&gt;"",ISNUMBER(E79)),IF(E79&gt;0,1,0),0)</f>
        <v>1</v>
      </c>
      <c r="R79" s="43" t="str">
        <f aca="false">IF(Q79=1,UPPER(LEFT($A79,FIND(" ",$A79&amp;" ")-1)),"")</f>
        <v>KUB</v>
      </c>
      <c r="S79" s="89" t="n">
        <f aca="false">IF(Q79=1,IF(OR(ISNUMBER(SEARCH("Float",$A79)),ISNUMBER(SEARCH("FRN",$A79))),1,0),0)</f>
        <v>0</v>
      </c>
      <c r="T79" s="43" t="str">
        <f aca="false">IF(AND(Q79=1,ISNUMBER(I79)),TEXT(I79,"yyyymmdd")&amp;"|"&amp;IF(S79=1,"F",TEXT(J79,"0.000")),"")</f>
        <v>20280528|4.791</v>
      </c>
      <c r="U79" s="90" t="n">
        <f aca="false">IF(AND(Q79=1,ISNUMBER(I79)),(I79-설정!$C$4)/365.25,"")</f>
        <v>1.65639972621492</v>
      </c>
      <c r="V79" s="43" t="str">
        <f aca="false">IF(Q79&lt;&gt;1,"",IF(ISNUMBER(U79),IF(U79&lt;=1,"1년 이하",IF(U79&lt;=2,"1-2년",IF(U79&lt;=3,"2-3년",IF(U79&lt;=4,"3-4년",IF(U79&lt;=5,"4-5년",IF(U79&lt;=7,"5-7년",IF(U79&lt;=10,"7-10년",IF(U79&lt;=20,"10-20년","20년 이상")))))))),"미분류"))</f>
        <v>1-2년</v>
      </c>
      <c r="W79" s="43" t="str">
        <f aca="false">IF(Q79&lt;&gt;1,"",IF(AB79&lt;&gt;"",INDEX(시장분석!$C:$C,AB79),IF(K79=1,"USD","비USD")))</f>
        <v>USD</v>
      </c>
      <c r="X79" s="91" t="n">
        <f aca="false">IF(Q79=1,E79*K79/1000000,0)</f>
        <v>0.5</v>
      </c>
      <c r="Y79" s="89" t="n">
        <f aca="false">IF(R79="T",1,0)</f>
        <v>0</v>
      </c>
      <c r="Z79" s="92" t="n">
        <f aca="false">IF(Q79&lt;&gt;1,"",IF(AD79=1,IF(ISNUMBER(U79),MAX(U79,0),H79),H79))</f>
        <v>1.5356</v>
      </c>
      <c r="AA79" s="91" t="n">
        <f aca="false">IF(Q79=1,IF(ISNUMBER(L79),L79,0)*K79/1000000,0)</f>
        <v>0.4951655</v>
      </c>
      <c r="AB79" s="89" t="n">
        <f aca="false">IF(Q79&lt;&gt;1,"",IFERROR(MATCH(VLOOKUP(B79,매핑!$H$4:$I$15,2,0),시장분석!$A$2:$A$601,0)+1,IFERROR(MATCH(R79&amp;"|"&amp;T79,시장분석!$V$2:$V$601,0)+1,IF(COUNTIF(시장분석!$U$2:$U$601,T79)=1,MATCH(T79,시장분석!$U$2:$U$601,0)+1,""))))</f>
        <v>244</v>
      </c>
      <c r="AC79" s="89" t="n">
        <f aca="false">IF(Q79&lt;&gt;1,0,IF(OR(설정!$C$5="전체",AND(설정!$C$5="선택펀드",IFERROR(COUNTIFS(설정!$F$16:$F$36,C79,설정!$G$16:$G$36,"Y")+COUNTIFS(설정!$F$16:$F$36,VALUE(C79),설정!$G$16:$G$36,"Y"),0)&gt;0),C79&amp;""=설정!$C$5&amp;""),1,0))</f>
        <v>1</v>
      </c>
      <c r="AD79" s="89" t="n">
        <f aca="false">IF(Q79&lt;&gt;1,0,IF(OR(S79=1,IF(AB79="",FALSE(),INDEX(시장분석!$R:$R,AB79)=1)),1,0))</f>
        <v>0</v>
      </c>
      <c r="AE79" s="43" t="str">
        <f aca="false">IF(AB79="","",INDEX(시장분석!$A:$A,AB79))</f>
        <v>KUB 4.791 05/28/28</v>
      </c>
      <c r="AF79" s="93" t="n">
        <f aca="false">IF(AB79="","",IF(ISNUMBER(IF(AB79="","",INDEX(시장분석!$E:$E,AB79))),IF(AB79="","",INDEX(시장분석!$E:$E,AB79)),""))</f>
        <v>46.802</v>
      </c>
      <c r="AG79" s="43" t="str">
        <f aca="false">IF(Q79&lt;&gt;1,"",IF(AB79&lt;&gt;"",IF(AB79="","",INDEX(시장분석!$L:$L,AB79)),IFERROR(IF(VLOOKUP(R79,매핑!$A$4:$E$92,5,0)="","미분류",VLOOKUP(R79,매핑!$A$4:$E$92,5,0)),"미분류")))</f>
        <v>산업</v>
      </c>
      <c r="AH79" s="43" t="str">
        <f aca="false">IF(Q79&lt;&gt;1,"",IF(AB79&lt;&gt;"",IF(AB79="","",INDEX(시장분석!$N:$N,AB79)),IFERROR(IF(VLOOKUP(R79,매핑!$A$4:$E$92,4,0)="","미분류",VLOOKUP(R79,매핑!$A$4:$E$92,4,0)),"미분류")))</f>
        <v>아시아/기타</v>
      </c>
      <c r="AI79" s="43" t="str">
        <f aca="false">IF(Q79&lt;&gt;1,"",IFERROR(IF(VLOOKUP(R79,매핑!$A$4:$E$92,3,0)="","미분류",VLOOKUP(R79,매핑!$A$4:$E$92,3,0)),IF(AB79&lt;&gt;"",IF(AB79="","",INDEX(시장분석!$W:$W,AB79)),"미분류")))</f>
        <v>일본</v>
      </c>
      <c r="AJ79" s="43" t="str">
        <f aca="false">IF(Q79&lt;&gt;1,"",IFERROR(VLOOKUP(IF(N79&lt;&gt;"",N79,IF(P79&lt;&gt;"",P79,O79)),설정!$A$15:$D$47,2,0),""))</f>
        <v>A</v>
      </c>
      <c r="AK79" s="43" t="str">
        <f aca="false">IF(Q79&lt;&gt;1,"",IF(AJ79="","무등급",IFERROR(VLOOKUP(AJ79,설정!$A$15:$D$47,3,0),"무등급")))</f>
        <v>A</v>
      </c>
      <c r="AL79" s="89" t="n">
        <f aca="false">IF(AJ79="",99,IFERROR(VLOOKUP(AJ79,설정!$A$15:$D$47,4,0),99))</f>
        <v>6</v>
      </c>
      <c r="AM79" s="94" t="n">
        <f aca="false">IF(ISNUMBER(H79),AA79*1000000*H79/10000,0)</f>
        <v>76.03761418</v>
      </c>
      <c r="AN79" s="94" t="n">
        <f aca="false">IF(OR(Y79=1,NOT(ISNUMBER(Z79))),0,AA79*1000000*Z79/10000)</f>
        <v>76.03761418</v>
      </c>
      <c r="AO79" s="94" t="n">
        <f aca="false">IF(ISNUMBER(G79),AA79*1000000*G79/100,0)</f>
        <v>26748.3451445</v>
      </c>
      <c r="AP79" s="94" t="n">
        <f aca="false">IF(ISNUMBER(M79),M79*K79,0)</f>
        <v>-11883</v>
      </c>
      <c r="AQ79" s="95" t="n">
        <f aca="false">IF(AB79="","",INDEX(시장분석!$AK:$AK,AB79))</f>
        <v>0.562518298085597</v>
      </c>
      <c r="AR79" s="43" t="str">
        <f aca="false">IF(AB79="","-",IF(AB79="","",INDEX(시장분석!$AL:$AL,AB79)))</f>
        <v>Fair</v>
      </c>
      <c r="AS79" s="96" t="n">
        <f aca="false">IF(AB79="","",INDEX(시장분석!$AJ:$AJ,AB79))</f>
        <v>15.5130291452246</v>
      </c>
      <c r="AT79" s="93" t="n">
        <f aca="false">IF(AB79="",0,IF(AB79="","",INDEX(시장분석!$AN:$AN,AB79)))</f>
        <v>26.8143686226199</v>
      </c>
      <c r="AU79" s="94" t="n">
        <f aca="false">IF(ISNUMBER(Z79),AT79/10000*MAX(Z79-1,0)*AA79*1000000,0)</f>
        <v>711.14559118668</v>
      </c>
      <c r="AV79" s="94" t="n">
        <f aca="false">AO79+AU79</f>
        <v>27459.4907356867</v>
      </c>
      <c r="AW79" s="43" t="str">
        <f aca="false">IF(Q79&lt;&gt;1,"",TRIM(IF(AD79=1,"FRN ","")&amp;IF(AND(AL79&gt;=10,AL79&lt;99),"BBB0미만 ","")&amp;IF(AJ79="","등급없음 ","")&amp;IF(K79&lt;&gt;1,"비USD ","")&amp;IF(AND(AB79="",Y79=0),"시장데이터없음 ","")&amp;IF(AND(ISNUMBER(U79),U79&lt;0),"만기경과 ","")))</f>
        <v/>
      </c>
      <c r="AX79" s="90" t="n">
        <f aca="false">IF(Q79&lt;&gt;1,1,IF(스프레드쇼크!$C$4="Y",INDEX(스프레드쇼크!$B$12:$L$16,IFERROR(MATCH(AH79,스프레드쇼크!$A$12:$A$16,0),MATCH("목록외",스프레드쇼크!$A$12:$A$16,0)),IFERROR(MATCH(AG79,스프레드쇼크!$B$11:$L$11,0),MATCH("목록외",스프레드쇼크!$B$11:$L$11,0))),1))</f>
        <v>1</v>
      </c>
      <c r="AY79" s="90" t="n">
        <f aca="false">IF(스프레드쇼크!$C$5="Y",IF(ISNUMBER(AF79),MIN(스프레드쇼크!$C$7,MAX(스프레드쇼크!$C$6,AF79/스프레드쇼크!$C$8)),1),1)</f>
        <v>0.707898413230887</v>
      </c>
      <c r="AZ79" s="94" t="n">
        <f aca="false">AN79*AX79*AY79</f>
        <v>53.8269064238844</v>
      </c>
      <c r="BA79" s="90" t="n">
        <f aca="false">IF(ISNUMBER(G79),AA79*G79,0)</f>
        <v>2.67483451445</v>
      </c>
      <c r="BB79" s="90" t="n">
        <f aca="false">IF(ISNUMBER(G79),AA79,0)</f>
        <v>0.4951655</v>
      </c>
      <c r="BC79" s="90" t="n">
        <f aca="false">IF(AND(Y79=0,ISNUMBER(AF79)),AA79*AF79,0)</f>
        <v>23.174735731</v>
      </c>
      <c r="BD79" s="90" t="n">
        <f aca="false">IF(AND(Y79=0,ISNUMBER(AF79)),AA79,0)</f>
        <v>0.4951655</v>
      </c>
      <c r="BE79" s="90" t="n">
        <f aca="false">IF(ISNUMBER(H79),AA79*H79,0)</f>
        <v>0.7603761418</v>
      </c>
      <c r="BF79" s="90" t="n">
        <f aca="false">IF(ISNUMBER(H79),AA79,0)</f>
        <v>0.4951655</v>
      </c>
      <c r="BG79" s="90" t="n">
        <f aca="false">IF(AND(Y79=0,ISNUMBER(AF79),ISNUMBER(Z79)),AA79*Z79,0)</f>
        <v>0.7603761418</v>
      </c>
      <c r="BH79" s="90" t="n">
        <f aca="false">IF(AND(Y79=0,ISNUMBER(AF79),ISNUMBER(Z79)),AA79*AT79*MAX(Z79-1,0),0)</f>
        <v>7.1114559118668</v>
      </c>
      <c r="BI79" s="90" t="n">
        <f aca="false">IF(Y79=0,AA79,0)</f>
        <v>0.4951655</v>
      </c>
    </row>
    <row r="80" customFormat="false" ht="15" hidden="false" customHeight="false" outlineLevel="0" collapsed="false">
      <c r="A80" s="83" t="str">
        <f aca="false">IFERROR(IF(INDEX(원자료_잔고!$A$1:$EZ$1500,설정!$L$5+ROW()-1,설정!$L$8)&amp;""="0","",INDEX(원자료_잔고!$A$1:$EZ$1500,설정!$L$5+ROW()-1,설정!$L$8)&amp;""),"")</f>
        <v>DAESEC 4.375 10/14/28</v>
      </c>
      <c r="B80" s="83" t="str">
        <f aca="false">IFERROR(IF(INDEX(원자료_잔고!$A$1:$EZ$1500,설정!$L$5+ROW()-1,설정!$L$7)&amp;""="0","",INDEX(원자료_잔고!$A$1:$EZ$1500,설정!$L$5+ROW()-1,설정!$L$7)&amp;""),"")</f>
        <v>XS3189630372</v>
      </c>
      <c r="C80" s="83" t="str">
        <f aca="false">IFERROR(IF(INDEX(원자료_잔고!$A$1:$EZ$1500,설정!$L$5+ROW()-1,설정!$L$9)&amp;""="0","",INDEX(원자료_잔고!$A$1:$EZ$1500,설정!$L$5+ROW()-1,설정!$L$9)&amp;""),"")</f>
        <v>28096</v>
      </c>
      <c r="D8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0" s="84" t="n">
        <f aca="false">IFERROR(IF(ISNUMBER(INDEX(원자료_잔고!$A$1:$EZ$1500,설정!$L$5+ROW()-1,설정!$L$11)),INDEX(원자료_잔고!$A$1:$EZ$1500,설정!$L$5+ROW()-1,설정!$L$11),""),"")</f>
        <v>18000000</v>
      </c>
      <c r="F80" s="85" t="n">
        <f aca="false">IFERROR(IF(ISNUMBER(INDEX(원자료_잔고!$A$1:$EZ$1500,설정!$L$5+ROW()-1,설정!$L$12)),INDEX(원자료_잔고!$A$1:$EZ$1500,설정!$L$5+ROW()-1,설정!$L$12),""),"")</f>
        <v>97.518</v>
      </c>
      <c r="G80" s="85" t="n">
        <f aca="false">IFERROR(IF(ISNUMBER(INDEX(원자료_잔고!$A$1:$EZ$1500,설정!$L$5+ROW()-1,설정!$L$13)),INDEX(원자료_잔고!$A$1:$EZ$1500,설정!$L$5+ROW()-1,설정!$L$13),""),"")</f>
        <v>5.6801</v>
      </c>
      <c r="H80" s="85" t="n">
        <f aca="false">IFERROR(IF(ISNUMBER(INDEX(원자료_잔고!$A$1:$EZ$1500,설정!$L$5+ROW()-1,설정!$L$14)),INDEX(원자료_잔고!$A$1:$EZ$1500,설정!$L$5+ROW()-1,설정!$L$14),""),"")</f>
        <v>1.8325</v>
      </c>
      <c r="I80" s="86" t="n">
        <f aca="false">IFERROR(IF(ISNUMBER(INDEX(원자료_잔고!$A$1:$EZ$1500,설정!$L$5+ROW()-1,설정!$L$15)),INDEX(원자료_잔고!$A$1:$EZ$1500,설정!$L$5+ROW()-1,설정!$L$15),""),"")</f>
        <v>47040</v>
      </c>
      <c r="J80" s="85" t="n">
        <f aca="false">IFERROR(IF(ISNUMBER(INDEX(원자료_잔고!$A$1:$EZ$1500,설정!$L$5+ROW()-1,설정!$L$16)),INDEX(원자료_잔고!$A$1:$EZ$1500,설정!$L$5+ROW()-1,설정!$L$16),""),"")</f>
        <v>4.375</v>
      </c>
      <c r="K80" s="87" t="n">
        <f aca="false">IFERROR(IF(ISNUMBER(INDEX(원자료_잔고!$A$1:$EZ$1500,설정!$L$5+ROW()-1,설정!$L$17)),INDEX(원자료_잔고!$A$1:$EZ$1500,설정!$L$5+ROW()-1,설정!$L$17),""),"")</f>
        <v>1</v>
      </c>
      <c r="L80" s="84" t="n">
        <f aca="false">IFERROR(IF(ISNUMBER(INDEX(원자료_잔고!$A$1:$EZ$1500,설정!$L$5+ROW()-1,설정!$L$18)),INDEX(원자료_잔고!$A$1:$EZ$1500,설정!$L$5+ROW()-1,설정!$L$18),""),"")</f>
        <v>17553240</v>
      </c>
      <c r="M80" s="88" t="n">
        <f aca="false">IFERROR(IF(ISNUMBER(INDEX(원자료_잔고!$A$1:$EZ$1500,설정!$L$5+ROW()-1,설정!$L$19)),INDEX(원자료_잔고!$A$1:$EZ$1500,설정!$L$5+ROW()-1,설정!$L$19),""),"")</f>
        <v>-469296</v>
      </c>
      <c r="N80" s="83" t="str">
        <f aca="false">IFERROR(IF(INDEX(원자료_잔고!$A$1:$EZ$1500,설정!$L$5+ROW()-1,설정!$L$21)&amp;""="0","",INDEX(원자료_잔고!$A$1:$EZ$1500,설정!$L$5+ROW()-1,설정!$L$21)&amp;""),"")</f>
        <v/>
      </c>
      <c r="O80" s="83" t="str">
        <f aca="false">IFERROR(IF(INDEX(원자료_잔고!$A$1:$EZ$1500,설정!$L$5+ROW()-1,설정!$L$22)&amp;""="0","",INDEX(원자료_잔고!$A$1:$EZ$1500,설정!$L$5+ROW()-1,설정!$L$22)&amp;""),"")</f>
        <v/>
      </c>
      <c r="P80" s="83" t="str">
        <f aca="false">IFERROR(IF(INDEX(원자료_잔고!$A$1:$EZ$1500,설정!$L$5+ROW()-1,설정!$L$23)&amp;""="0","",INDEX(원자료_잔고!$A$1:$EZ$1500,설정!$L$5+ROW()-1,설정!$L$23)&amp;""),"")</f>
        <v>BBB</v>
      </c>
      <c r="Q80" s="89" t="n">
        <f aca="false">IF(AND($A80&lt;&gt;"",ISNUMBER(E80)),IF(E80&gt;0,1,0),0)</f>
        <v>1</v>
      </c>
      <c r="R80" s="43" t="str">
        <f aca="false">IF(Q80=1,UPPER(LEFT($A80,FIND(" ",$A80&amp;" ")-1)),"")</f>
        <v>DAESEC</v>
      </c>
      <c r="S80" s="89" t="n">
        <f aca="false">IF(Q80=1,IF(OR(ISNUMBER(SEARCH("Float",$A80)),ISNUMBER(SEARCH("FRN",$A80))),1,0),0)</f>
        <v>0</v>
      </c>
      <c r="T80" s="43" t="str">
        <f aca="false">IF(AND(Q80=1,ISNUMBER(I80)),TEXT(I80,"yyyymmdd")&amp;"|"&amp;IF(S80=1,"F",TEXT(J80,"0.000")),"")</f>
        <v>20281014|4.375</v>
      </c>
      <c r="U80" s="90" t="n">
        <f aca="false">IF(AND(Q80=1,ISNUMBER(I80)),(I80-설정!$C$4)/365.25,"")</f>
        <v>2.03696098562628</v>
      </c>
      <c r="V80" s="43" t="str">
        <f aca="false">IF(Q80&lt;&gt;1,"",IF(ISNUMBER(U80),IF(U80&lt;=1,"1년 이하",IF(U80&lt;=2,"1-2년",IF(U80&lt;=3,"2-3년",IF(U80&lt;=4,"3-4년",IF(U80&lt;=5,"4-5년",IF(U80&lt;=7,"5-7년",IF(U80&lt;=10,"7-10년",IF(U80&lt;=20,"10-20년","20년 이상")))))))),"미분류"))</f>
        <v>2-3년</v>
      </c>
      <c r="W80" s="43" t="str">
        <f aca="false">IF(Q80&lt;&gt;1,"",IF(AB80&lt;&gt;"",INDEX(시장분석!$C:$C,AB80),IF(K80=1,"USD","비USD")))</f>
        <v>USD</v>
      </c>
      <c r="X80" s="91" t="n">
        <f aca="false">IF(Q80=1,E80*K80/1000000,0)</f>
        <v>18</v>
      </c>
      <c r="Y80" s="89" t="n">
        <f aca="false">IF(R80="T",1,0)</f>
        <v>0</v>
      </c>
      <c r="Z80" s="92" t="n">
        <f aca="false">IF(Q80&lt;&gt;1,"",IF(AD80=1,IF(ISNUMBER(U80),MAX(U80,0),H80),H80))</f>
        <v>1.8325</v>
      </c>
      <c r="AA80" s="91" t="n">
        <f aca="false">IF(Q80=1,IF(ISNUMBER(L80),L80,0)*K80/1000000,0)</f>
        <v>17.55324</v>
      </c>
      <c r="AB80" s="89" t="n">
        <f aca="false">IF(Q80&lt;&gt;1,"",IFERROR(MATCH(VLOOKUP(B80,매핑!$H$4:$I$15,2,0),시장분석!$A$2:$A$601,0)+1,IFERROR(MATCH(R80&amp;"|"&amp;T80,시장분석!$V$2:$V$601,0)+1,IF(COUNTIF(시장분석!$U$2:$U$601,T80)=1,MATCH(T80,시장분석!$U$2:$U$601,0)+1,""))))</f>
        <v>250</v>
      </c>
      <c r="AC80" s="89" t="n">
        <f aca="false">IF(Q80&lt;&gt;1,0,IF(OR(설정!$C$5="전체",AND(설정!$C$5="선택펀드",IFERROR(COUNTIFS(설정!$F$16:$F$36,C80,설정!$G$16:$G$36,"Y")+COUNTIFS(설정!$F$16:$F$36,VALUE(C80),설정!$G$16:$G$36,"Y"),0)&gt;0),C80&amp;""=설정!$C$5&amp;""),1,0))</f>
        <v>1</v>
      </c>
      <c r="AD80" s="89" t="n">
        <f aca="false">IF(Q80&lt;&gt;1,0,IF(OR(S80=1,IF(AB80="",FALSE(),INDEX(시장분석!$R:$R,AB80)=1)),1,0))</f>
        <v>0</v>
      </c>
      <c r="AE80" s="43" t="str">
        <f aca="false">IF(AB80="","",INDEX(시장분석!$A:$A,AB80))</f>
        <v>DAESEC 4 3/8 10/14/28</v>
      </c>
      <c r="AF80" s="93" t="n">
        <f aca="false">IF(AB80="","",IF(ISNUMBER(IF(AB80="","",INDEX(시장분석!$E:$E,AB80))),IF(AB80="","",INDEX(시장분석!$E:$E,AB80)),""))</f>
        <v>81.835</v>
      </c>
      <c r="AG80" s="43" t="str">
        <f aca="false">IF(Q80&lt;&gt;1,"",IF(AB80&lt;&gt;"",IF(AB80="","",INDEX(시장분석!$L:$L,AB80)),IFERROR(IF(VLOOKUP(R80,매핑!$A$4:$E$92,5,0)="","미분류",VLOOKUP(R80,매핑!$A$4:$E$92,5,0)),"미분류")))</f>
        <v>금융기관</v>
      </c>
      <c r="AH80" s="43" t="str">
        <f aca="false">IF(Q80&lt;&gt;1,"",IF(AB80&lt;&gt;"",IF(AB80="","",INDEX(시장분석!$N:$N,AB80)),IFERROR(IF(VLOOKUP(R80,매핑!$A$4:$E$92,4,0)="","미분류",VLOOKUP(R80,매핑!$A$4:$E$92,4,0)),"미분류")))</f>
        <v>아시아/기타</v>
      </c>
      <c r="AI80" s="43" t="str">
        <f aca="false">IF(Q80&lt;&gt;1,"",IFERROR(IF(VLOOKUP(R80,매핑!$A$4:$E$92,3,0)="","미분류",VLOOKUP(R80,매핑!$A$4:$E$92,3,0)),IF(AB80&lt;&gt;"",IF(AB80="","",INDEX(시장분석!$W:$W,AB80)),"미분류")))</f>
        <v>한국</v>
      </c>
      <c r="AJ80" s="43" t="str">
        <f aca="false">IF(Q80&lt;&gt;1,"",IFERROR(VLOOKUP(IF(N80&lt;&gt;"",N80,IF(P80&lt;&gt;"",P80,O80)),설정!$A$15:$D$47,2,0),""))</f>
        <v>BBB</v>
      </c>
      <c r="AK80" s="43" t="str">
        <f aca="false">IF(Q80&lt;&gt;1,"",IF(AJ80="","무등급",IFERROR(VLOOKUP(AJ80,설정!$A$15:$D$47,3,0),"무등급")))</f>
        <v>BBB</v>
      </c>
      <c r="AL80" s="89" t="n">
        <f aca="false">IF(AJ80="",99,IFERROR(VLOOKUP(AJ80,설정!$A$15:$D$47,4,0),99))</f>
        <v>9</v>
      </c>
      <c r="AM80" s="94" t="n">
        <f aca="false">IF(ISNUMBER(H80),AA80*1000000*H80/10000,0)</f>
        <v>3216.63123</v>
      </c>
      <c r="AN80" s="94" t="n">
        <f aca="false">IF(OR(Y80=1,NOT(ISNUMBER(Z80))),0,AA80*1000000*Z80/10000)</f>
        <v>3216.63123</v>
      </c>
      <c r="AO80" s="94" t="n">
        <f aca="false">IF(ISNUMBER(G80),AA80*1000000*G80/100,0)</f>
        <v>997041.58524</v>
      </c>
      <c r="AP80" s="94" t="n">
        <f aca="false">IF(ISNUMBER(M80),M80*K80,0)</f>
        <v>-469296</v>
      </c>
      <c r="AQ80" s="95" t="n">
        <f aca="false">IF(AB80="","",INDEX(시장분석!$AK:$AK,AB80))</f>
        <v>1.10644054749298</v>
      </c>
      <c r="AR80" s="43" t="str">
        <f aca="false">IF(AB80="","-",IF(AB80="","",INDEX(시장분석!$AL:$AL,AB80)))</f>
        <v>Cheap</v>
      </c>
      <c r="AS80" s="96" t="n">
        <f aca="false">IF(AB80="","",INDEX(시장분석!$AJ:$AJ,AB80))</f>
        <v>22.6528074142543</v>
      </c>
      <c r="AT80" s="93" t="n">
        <f aca="false">IF(AB80="",0,IF(AB80="","",INDEX(시장분석!$AN:$AN,AB80)))</f>
        <v>10.2555840220164</v>
      </c>
      <c r="AU80" s="94" t="n">
        <f aca="false">IF(ISNUMBER(Z80),AT80/10000*MAX(Z80-1,0)*AA80*1000000,0)</f>
        <v>14986.5590792451</v>
      </c>
      <c r="AV80" s="94" t="n">
        <f aca="false">AO80+AU80</f>
        <v>1012028.14431925</v>
      </c>
      <c r="AW80" s="43" t="str">
        <f aca="false">IF(Q80&lt;&gt;1,"",TRIM(IF(AD80=1,"FRN ","")&amp;IF(AND(AL80&gt;=10,AL80&lt;99),"BBB0미만 ","")&amp;IF(AJ80="","등급없음 ","")&amp;IF(K80&lt;&gt;1,"비USD ","")&amp;IF(AND(AB80="",Y80=0),"시장데이터없음 ","")&amp;IF(AND(ISNUMBER(U80),U80&lt;0),"만기경과 ","")))</f>
        <v/>
      </c>
      <c r="AX80" s="90" t="n">
        <f aca="false">IF(Q80&lt;&gt;1,1,IF(스프레드쇼크!$C$4="Y",INDEX(스프레드쇼크!$B$12:$L$16,IFERROR(MATCH(AH80,스프레드쇼크!$A$12:$A$16,0),MATCH("목록외",스프레드쇼크!$A$12:$A$16,0)),IFERROR(MATCH(AG80,스프레드쇼크!$B$11:$L$11,0),MATCH("목록외",스프레드쇼크!$B$11:$L$11,0))),1))</f>
        <v>1</v>
      </c>
      <c r="AY80" s="90" t="n">
        <f aca="false">IF(스프레드쇼크!$C$5="Y",IF(ISNUMBER(AF80),MIN(스프레드쇼크!$C$7,MAX(스프레드쇼크!$C$6,AF80/스프레드쇼크!$C$8)),1),1)</f>
        <v>1.23778613407012</v>
      </c>
      <c r="AZ80" s="94" t="n">
        <f aca="false">AN80*AX80*AY80</f>
        <v>3981.50153491091</v>
      </c>
      <c r="BA80" s="90" t="n">
        <f aca="false">IF(ISNUMBER(G80),AA80*G80,0)</f>
        <v>99.704158524</v>
      </c>
      <c r="BB80" s="90" t="n">
        <f aca="false">IF(ISNUMBER(G80),AA80,0)</f>
        <v>17.55324</v>
      </c>
      <c r="BC80" s="90" t="n">
        <f aca="false">IF(AND(Y80=0,ISNUMBER(AF80)),AA80*AF80,0)</f>
        <v>1436.4693954</v>
      </c>
      <c r="BD80" s="90" t="n">
        <f aca="false">IF(AND(Y80=0,ISNUMBER(AF80)),AA80,0)</f>
        <v>17.55324</v>
      </c>
      <c r="BE80" s="90" t="n">
        <f aca="false">IF(ISNUMBER(H80),AA80*H80,0)</f>
        <v>32.1663123</v>
      </c>
      <c r="BF80" s="90" t="n">
        <f aca="false">IF(ISNUMBER(H80),AA80,0)</f>
        <v>17.55324</v>
      </c>
      <c r="BG80" s="90" t="n">
        <f aca="false">IF(AND(Y80=0,ISNUMBER(AF80),ISNUMBER(Z80)),AA80*Z80,0)</f>
        <v>32.1663123</v>
      </c>
      <c r="BH80" s="90" t="n">
        <f aca="false">IF(AND(Y80=0,ISNUMBER(AF80),ISNUMBER(Z80)),AA80*AT80*MAX(Z80-1,0),0)</f>
        <v>149.865590792451</v>
      </c>
      <c r="BI80" s="90" t="n">
        <f aca="false">IF(Y80=0,AA80,0)</f>
        <v>17.55324</v>
      </c>
    </row>
    <row r="81" customFormat="false" ht="15" hidden="false" customHeight="false" outlineLevel="0" collapsed="false">
      <c r="A81" s="83" t="str">
        <f aca="false">IFERROR(IF(INDEX(원자료_잔고!$A$1:$EZ$1500,설정!$L$5+ROW()-1,설정!$L$8)&amp;""="0","",INDEX(원자료_잔고!$A$1:$EZ$1500,설정!$L$5+ROW()-1,설정!$L$8)&amp;""),"")</f>
        <v>DAESEC 4.375 10/14/28</v>
      </c>
      <c r="B81" s="83" t="str">
        <f aca="false">IFERROR(IF(INDEX(원자료_잔고!$A$1:$EZ$1500,설정!$L$5+ROW()-1,설정!$L$7)&amp;""="0","",INDEX(원자료_잔고!$A$1:$EZ$1500,설정!$L$5+ROW()-1,설정!$L$7)&amp;""),"")</f>
        <v>XS3189630372</v>
      </c>
      <c r="C81" s="83" t="str">
        <f aca="false">IFERROR(IF(INDEX(원자료_잔고!$A$1:$EZ$1500,설정!$L$5+ROW()-1,설정!$L$9)&amp;""="0","",INDEX(원자료_잔고!$A$1:$EZ$1500,설정!$L$5+ROW()-1,설정!$L$9)&amp;""),"")</f>
        <v>28096</v>
      </c>
      <c r="D8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1" s="84" t="n">
        <f aca="false">IFERROR(IF(ISNUMBER(INDEX(원자료_잔고!$A$1:$EZ$1500,설정!$L$5+ROW()-1,설정!$L$11)),INDEX(원자료_잔고!$A$1:$EZ$1500,설정!$L$5+ROW()-1,설정!$L$11),""),"")</f>
        <v>3000000</v>
      </c>
      <c r="F81" s="85" t="n">
        <f aca="false">IFERROR(IF(ISNUMBER(INDEX(원자료_잔고!$A$1:$EZ$1500,설정!$L$5+ROW()-1,설정!$L$12)),INDEX(원자료_잔고!$A$1:$EZ$1500,설정!$L$5+ROW()-1,설정!$L$12),""),"")</f>
        <v>97.518</v>
      </c>
      <c r="G81" s="85" t="n">
        <f aca="false">IFERROR(IF(ISNUMBER(INDEX(원자료_잔고!$A$1:$EZ$1500,설정!$L$5+ROW()-1,설정!$L$13)),INDEX(원자료_잔고!$A$1:$EZ$1500,설정!$L$5+ROW()-1,설정!$L$13),""),"")</f>
        <v>5.6801</v>
      </c>
      <c r="H81" s="85" t="n">
        <f aca="false">IFERROR(IF(ISNUMBER(INDEX(원자료_잔고!$A$1:$EZ$1500,설정!$L$5+ROW()-1,설정!$L$14)),INDEX(원자료_잔고!$A$1:$EZ$1500,설정!$L$5+ROW()-1,설정!$L$14),""),"")</f>
        <v>1.8325</v>
      </c>
      <c r="I81" s="86" t="n">
        <f aca="false">IFERROR(IF(ISNUMBER(INDEX(원자료_잔고!$A$1:$EZ$1500,설정!$L$5+ROW()-1,설정!$L$15)),INDEX(원자료_잔고!$A$1:$EZ$1500,설정!$L$5+ROW()-1,설정!$L$15),""),"")</f>
        <v>47040</v>
      </c>
      <c r="J81" s="85" t="n">
        <f aca="false">IFERROR(IF(ISNUMBER(INDEX(원자료_잔고!$A$1:$EZ$1500,설정!$L$5+ROW()-1,설정!$L$16)),INDEX(원자료_잔고!$A$1:$EZ$1500,설정!$L$5+ROW()-1,설정!$L$16),""),"")</f>
        <v>4.375</v>
      </c>
      <c r="K81" s="87" t="n">
        <f aca="false">IFERROR(IF(ISNUMBER(INDEX(원자료_잔고!$A$1:$EZ$1500,설정!$L$5+ROW()-1,설정!$L$17)),INDEX(원자료_잔고!$A$1:$EZ$1500,설정!$L$5+ROW()-1,설정!$L$17),""),"")</f>
        <v>1</v>
      </c>
      <c r="L81" s="84" t="n">
        <f aca="false">IFERROR(IF(ISNUMBER(INDEX(원자료_잔고!$A$1:$EZ$1500,설정!$L$5+ROW()-1,설정!$L$18)),INDEX(원자료_잔고!$A$1:$EZ$1500,설정!$L$5+ROW()-1,설정!$L$18),""),"")</f>
        <v>2925540</v>
      </c>
      <c r="M81" s="88" t="n">
        <f aca="false">IFERROR(IF(ISNUMBER(INDEX(원자료_잔고!$A$1:$EZ$1500,설정!$L$5+ROW()-1,설정!$L$19)),INDEX(원자료_잔고!$A$1:$EZ$1500,설정!$L$5+ROW()-1,설정!$L$19),""),"")</f>
        <v>-990</v>
      </c>
      <c r="N81" s="83" t="str">
        <f aca="false">IFERROR(IF(INDEX(원자료_잔고!$A$1:$EZ$1500,설정!$L$5+ROW()-1,설정!$L$21)&amp;""="0","",INDEX(원자료_잔고!$A$1:$EZ$1500,설정!$L$5+ROW()-1,설정!$L$21)&amp;""),"")</f>
        <v/>
      </c>
      <c r="O81" s="83" t="str">
        <f aca="false">IFERROR(IF(INDEX(원자료_잔고!$A$1:$EZ$1500,설정!$L$5+ROW()-1,설정!$L$22)&amp;""="0","",INDEX(원자료_잔고!$A$1:$EZ$1500,설정!$L$5+ROW()-1,설정!$L$22)&amp;""),"")</f>
        <v/>
      </c>
      <c r="P81" s="83" t="str">
        <f aca="false">IFERROR(IF(INDEX(원자료_잔고!$A$1:$EZ$1500,설정!$L$5+ROW()-1,설정!$L$23)&amp;""="0","",INDEX(원자료_잔고!$A$1:$EZ$1500,설정!$L$5+ROW()-1,설정!$L$23)&amp;""),"")</f>
        <v>BBB</v>
      </c>
      <c r="Q81" s="89" t="n">
        <f aca="false">IF(AND($A81&lt;&gt;"",ISNUMBER(E81)),IF(E81&gt;0,1,0),0)</f>
        <v>1</v>
      </c>
      <c r="R81" s="43" t="str">
        <f aca="false">IF(Q81=1,UPPER(LEFT($A81,FIND(" ",$A81&amp;" ")-1)),"")</f>
        <v>DAESEC</v>
      </c>
      <c r="S81" s="89" t="n">
        <f aca="false">IF(Q81=1,IF(OR(ISNUMBER(SEARCH("Float",$A81)),ISNUMBER(SEARCH("FRN",$A81))),1,0),0)</f>
        <v>0</v>
      </c>
      <c r="T81" s="43" t="str">
        <f aca="false">IF(AND(Q81=1,ISNUMBER(I81)),TEXT(I81,"yyyymmdd")&amp;"|"&amp;IF(S81=1,"F",TEXT(J81,"0.000")),"")</f>
        <v>20281014|4.375</v>
      </c>
      <c r="U81" s="90" t="n">
        <f aca="false">IF(AND(Q81=1,ISNUMBER(I81)),(I81-설정!$C$4)/365.25,"")</f>
        <v>2.03696098562628</v>
      </c>
      <c r="V81" s="43" t="str">
        <f aca="false">IF(Q81&lt;&gt;1,"",IF(ISNUMBER(U81),IF(U81&lt;=1,"1년 이하",IF(U81&lt;=2,"1-2년",IF(U81&lt;=3,"2-3년",IF(U81&lt;=4,"3-4년",IF(U81&lt;=5,"4-5년",IF(U81&lt;=7,"5-7년",IF(U81&lt;=10,"7-10년",IF(U81&lt;=20,"10-20년","20년 이상")))))))),"미분류"))</f>
        <v>2-3년</v>
      </c>
      <c r="W81" s="43" t="str">
        <f aca="false">IF(Q81&lt;&gt;1,"",IF(AB81&lt;&gt;"",INDEX(시장분석!$C:$C,AB81),IF(K81=1,"USD","비USD")))</f>
        <v>USD</v>
      </c>
      <c r="X81" s="91" t="n">
        <f aca="false">IF(Q81=1,E81*K81/1000000,0)</f>
        <v>3</v>
      </c>
      <c r="Y81" s="89" t="n">
        <f aca="false">IF(R81="T",1,0)</f>
        <v>0</v>
      </c>
      <c r="Z81" s="92" t="n">
        <f aca="false">IF(Q81&lt;&gt;1,"",IF(AD81=1,IF(ISNUMBER(U81),MAX(U81,0),H81),H81))</f>
        <v>1.8325</v>
      </c>
      <c r="AA81" s="91" t="n">
        <f aca="false">IF(Q81=1,IF(ISNUMBER(L81),L81,0)*K81/1000000,0)</f>
        <v>2.92554</v>
      </c>
      <c r="AB81" s="89" t="n">
        <f aca="false">IF(Q81&lt;&gt;1,"",IFERROR(MATCH(VLOOKUP(B81,매핑!$H$4:$I$15,2,0),시장분석!$A$2:$A$601,0)+1,IFERROR(MATCH(R81&amp;"|"&amp;T81,시장분석!$V$2:$V$601,0)+1,IF(COUNTIF(시장분석!$U$2:$U$601,T81)=1,MATCH(T81,시장분석!$U$2:$U$601,0)+1,""))))</f>
        <v>250</v>
      </c>
      <c r="AC81" s="89" t="n">
        <f aca="false">IF(Q81&lt;&gt;1,0,IF(OR(설정!$C$5="전체",AND(설정!$C$5="선택펀드",IFERROR(COUNTIFS(설정!$F$16:$F$36,C81,설정!$G$16:$G$36,"Y")+COUNTIFS(설정!$F$16:$F$36,VALUE(C81),설정!$G$16:$G$36,"Y"),0)&gt;0),C81&amp;""=설정!$C$5&amp;""),1,0))</f>
        <v>1</v>
      </c>
      <c r="AD81" s="89" t="n">
        <f aca="false">IF(Q81&lt;&gt;1,0,IF(OR(S81=1,IF(AB81="",FALSE(),INDEX(시장분석!$R:$R,AB81)=1)),1,0))</f>
        <v>0</v>
      </c>
      <c r="AE81" s="43" t="str">
        <f aca="false">IF(AB81="","",INDEX(시장분석!$A:$A,AB81))</f>
        <v>DAESEC 4 3/8 10/14/28</v>
      </c>
      <c r="AF81" s="93" t="n">
        <f aca="false">IF(AB81="","",IF(ISNUMBER(IF(AB81="","",INDEX(시장분석!$E:$E,AB81))),IF(AB81="","",INDEX(시장분석!$E:$E,AB81)),""))</f>
        <v>81.835</v>
      </c>
      <c r="AG81" s="43" t="str">
        <f aca="false">IF(Q81&lt;&gt;1,"",IF(AB81&lt;&gt;"",IF(AB81="","",INDEX(시장분석!$L:$L,AB81)),IFERROR(IF(VLOOKUP(R81,매핑!$A$4:$E$92,5,0)="","미분류",VLOOKUP(R81,매핑!$A$4:$E$92,5,0)),"미분류")))</f>
        <v>금융기관</v>
      </c>
      <c r="AH81" s="43" t="str">
        <f aca="false">IF(Q81&lt;&gt;1,"",IF(AB81&lt;&gt;"",IF(AB81="","",INDEX(시장분석!$N:$N,AB81)),IFERROR(IF(VLOOKUP(R81,매핑!$A$4:$E$92,4,0)="","미분류",VLOOKUP(R81,매핑!$A$4:$E$92,4,0)),"미분류")))</f>
        <v>아시아/기타</v>
      </c>
      <c r="AI81" s="43" t="str">
        <f aca="false">IF(Q81&lt;&gt;1,"",IFERROR(IF(VLOOKUP(R81,매핑!$A$4:$E$92,3,0)="","미분류",VLOOKUP(R81,매핑!$A$4:$E$92,3,0)),IF(AB81&lt;&gt;"",IF(AB81="","",INDEX(시장분석!$W:$W,AB81)),"미분류")))</f>
        <v>한국</v>
      </c>
      <c r="AJ81" s="43" t="str">
        <f aca="false">IF(Q81&lt;&gt;1,"",IFERROR(VLOOKUP(IF(N81&lt;&gt;"",N81,IF(P81&lt;&gt;"",P81,O81)),설정!$A$15:$D$47,2,0),""))</f>
        <v>BBB</v>
      </c>
      <c r="AK81" s="43" t="str">
        <f aca="false">IF(Q81&lt;&gt;1,"",IF(AJ81="","무등급",IFERROR(VLOOKUP(AJ81,설정!$A$15:$D$47,3,0),"무등급")))</f>
        <v>BBB</v>
      </c>
      <c r="AL81" s="89" t="n">
        <f aca="false">IF(AJ81="",99,IFERROR(VLOOKUP(AJ81,설정!$A$15:$D$47,4,0),99))</f>
        <v>9</v>
      </c>
      <c r="AM81" s="94" t="n">
        <f aca="false">IF(ISNUMBER(H81),AA81*1000000*H81/10000,0)</f>
        <v>536.105205</v>
      </c>
      <c r="AN81" s="94" t="n">
        <f aca="false">IF(OR(Y81=1,NOT(ISNUMBER(Z81))),0,AA81*1000000*Z81/10000)</f>
        <v>536.105205</v>
      </c>
      <c r="AO81" s="94" t="n">
        <f aca="false">IF(ISNUMBER(G81),AA81*1000000*G81/100,0)</f>
        <v>166173.59754</v>
      </c>
      <c r="AP81" s="94" t="n">
        <f aca="false">IF(ISNUMBER(M81),M81*K81,0)</f>
        <v>-990</v>
      </c>
      <c r="AQ81" s="95" t="n">
        <f aca="false">IF(AB81="","",INDEX(시장분석!$AK:$AK,AB81))</f>
        <v>1.10644054749298</v>
      </c>
      <c r="AR81" s="43" t="str">
        <f aca="false">IF(AB81="","-",IF(AB81="","",INDEX(시장분석!$AL:$AL,AB81)))</f>
        <v>Cheap</v>
      </c>
      <c r="AS81" s="96" t="n">
        <f aca="false">IF(AB81="","",INDEX(시장분석!$AJ:$AJ,AB81))</f>
        <v>22.6528074142543</v>
      </c>
      <c r="AT81" s="93" t="n">
        <f aca="false">IF(AB81="",0,IF(AB81="","",INDEX(시장분석!$AN:$AN,AB81)))</f>
        <v>10.2555840220164</v>
      </c>
      <c r="AU81" s="94" t="n">
        <f aca="false">IF(ISNUMBER(Z81),AT81/10000*MAX(Z81-1,0)*AA81*1000000,0)</f>
        <v>2497.75984654085</v>
      </c>
      <c r="AV81" s="94" t="n">
        <f aca="false">AO81+AU81</f>
        <v>168671.357386541</v>
      </c>
      <c r="AW81" s="43" t="str">
        <f aca="false">IF(Q81&lt;&gt;1,"",TRIM(IF(AD81=1,"FRN ","")&amp;IF(AND(AL81&gt;=10,AL81&lt;99),"BBB0미만 ","")&amp;IF(AJ81="","등급없음 ","")&amp;IF(K81&lt;&gt;1,"비USD ","")&amp;IF(AND(AB81="",Y81=0),"시장데이터없음 ","")&amp;IF(AND(ISNUMBER(U81),U81&lt;0),"만기경과 ","")))</f>
        <v/>
      </c>
      <c r="AX81" s="90" t="n">
        <f aca="false">IF(Q81&lt;&gt;1,1,IF(스프레드쇼크!$C$4="Y",INDEX(스프레드쇼크!$B$12:$L$16,IFERROR(MATCH(AH81,스프레드쇼크!$A$12:$A$16,0),MATCH("목록외",스프레드쇼크!$A$12:$A$16,0)),IFERROR(MATCH(AG81,스프레드쇼크!$B$11:$L$11,0),MATCH("목록외",스프레드쇼크!$B$11:$L$11,0))),1))</f>
        <v>1</v>
      </c>
      <c r="AY81" s="90" t="n">
        <f aca="false">IF(스프레드쇼크!$C$5="Y",IF(ISNUMBER(AF81),MIN(스프레드쇼크!$C$7,MAX(스프레드쇼크!$C$6,AF81/스프레드쇼크!$C$8)),1),1)</f>
        <v>1.23778613407012</v>
      </c>
      <c r="AZ81" s="94" t="n">
        <f aca="false">AN81*AX81*AY81</f>
        <v>663.583589151817</v>
      </c>
      <c r="BA81" s="90" t="n">
        <f aca="false">IF(ISNUMBER(G81),AA81*G81,0)</f>
        <v>16.617359754</v>
      </c>
      <c r="BB81" s="90" t="n">
        <f aca="false">IF(ISNUMBER(G81),AA81,0)</f>
        <v>2.92554</v>
      </c>
      <c r="BC81" s="90" t="n">
        <f aca="false">IF(AND(Y81=0,ISNUMBER(AF81)),AA81*AF81,0)</f>
        <v>239.4115659</v>
      </c>
      <c r="BD81" s="90" t="n">
        <f aca="false">IF(AND(Y81=0,ISNUMBER(AF81)),AA81,0)</f>
        <v>2.92554</v>
      </c>
      <c r="BE81" s="90" t="n">
        <f aca="false">IF(ISNUMBER(H81),AA81*H81,0)</f>
        <v>5.36105205</v>
      </c>
      <c r="BF81" s="90" t="n">
        <f aca="false">IF(ISNUMBER(H81),AA81,0)</f>
        <v>2.92554</v>
      </c>
      <c r="BG81" s="90" t="n">
        <f aca="false">IF(AND(Y81=0,ISNUMBER(AF81),ISNUMBER(Z81)),AA81*Z81,0)</f>
        <v>5.36105205</v>
      </c>
      <c r="BH81" s="90" t="n">
        <f aca="false">IF(AND(Y81=0,ISNUMBER(AF81),ISNUMBER(Z81)),AA81*AT81*MAX(Z81-1,0),0)</f>
        <v>24.9775984654085</v>
      </c>
      <c r="BI81" s="90" t="n">
        <f aca="false">IF(Y81=0,AA81,0)</f>
        <v>2.92554</v>
      </c>
    </row>
    <row r="82" customFormat="false" ht="15" hidden="false" customHeight="false" outlineLevel="0" collapsed="false">
      <c r="A82" s="83" t="str">
        <f aca="false">IFERROR(IF(INDEX(원자료_잔고!$A$1:$EZ$1500,설정!$L$5+ROW()-1,설정!$L$8)&amp;""="0","",INDEX(원자료_잔고!$A$1:$EZ$1500,설정!$L$5+ROW()-1,설정!$L$8)&amp;""),"")</f>
        <v>DAESEC 4.375 10/14/28</v>
      </c>
      <c r="B82" s="83" t="str">
        <f aca="false">IFERROR(IF(INDEX(원자료_잔고!$A$1:$EZ$1500,설정!$L$5+ROW()-1,설정!$L$7)&amp;""="0","",INDEX(원자료_잔고!$A$1:$EZ$1500,설정!$L$5+ROW()-1,설정!$L$7)&amp;""),"")</f>
        <v>XS3189630372</v>
      </c>
      <c r="C82" s="83" t="str">
        <f aca="false">IFERROR(IF(INDEX(원자료_잔고!$A$1:$EZ$1500,설정!$L$5+ROW()-1,설정!$L$9)&amp;""="0","",INDEX(원자료_잔고!$A$1:$EZ$1500,설정!$L$5+ROW()-1,설정!$L$9)&amp;""),"")</f>
        <v>28096</v>
      </c>
      <c r="D8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2" s="84" t="n">
        <f aca="false">IFERROR(IF(ISNUMBER(INDEX(원자료_잔고!$A$1:$EZ$1500,설정!$L$5+ROW()-1,설정!$L$11)),INDEX(원자료_잔고!$A$1:$EZ$1500,설정!$L$5+ROW()-1,설정!$L$11),""),"")</f>
        <v>6000000</v>
      </c>
      <c r="F82" s="85" t="n">
        <f aca="false">IFERROR(IF(ISNUMBER(INDEX(원자료_잔고!$A$1:$EZ$1500,설정!$L$5+ROW()-1,설정!$L$12)),INDEX(원자료_잔고!$A$1:$EZ$1500,설정!$L$5+ROW()-1,설정!$L$12),""),"")</f>
        <v>97.518</v>
      </c>
      <c r="G82" s="85" t="n">
        <f aca="false">IFERROR(IF(ISNUMBER(INDEX(원자료_잔고!$A$1:$EZ$1500,설정!$L$5+ROW()-1,설정!$L$13)),INDEX(원자료_잔고!$A$1:$EZ$1500,설정!$L$5+ROW()-1,설정!$L$13),""),"")</f>
        <v>5.6801</v>
      </c>
      <c r="H82" s="85" t="n">
        <f aca="false">IFERROR(IF(ISNUMBER(INDEX(원자료_잔고!$A$1:$EZ$1500,설정!$L$5+ROW()-1,설정!$L$14)),INDEX(원자료_잔고!$A$1:$EZ$1500,설정!$L$5+ROW()-1,설정!$L$14),""),"")</f>
        <v>1.8325</v>
      </c>
      <c r="I82" s="86" t="n">
        <f aca="false">IFERROR(IF(ISNUMBER(INDEX(원자료_잔고!$A$1:$EZ$1500,설정!$L$5+ROW()-1,설정!$L$15)),INDEX(원자료_잔고!$A$1:$EZ$1500,설정!$L$5+ROW()-1,설정!$L$15),""),"")</f>
        <v>47040</v>
      </c>
      <c r="J82" s="85" t="n">
        <f aca="false">IFERROR(IF(ISNUMBER(INDEX(원자료_잔고!$A$1:$EZ$1500,설정!$L$5+ROW()-1,설정!$L$16)),INDEX(원자료_잔고!$A$1:$EZ$1500,설정!$L$5+ROW()-1,설정!$L$16),""),"")</f>
        <v>4.375</v>
      </c>
      <c r="K82" s="87" t="n">
        <f aca="false">IFERROR(IF(ISNUMBER(INDEX(원자료_잔고!$A$1:$EZ$1500,설정!$L$5+ROW()-1,설정!$L$17)),INDEX(원자료_잔고!$A$1:$EZ$1500,설정!$L$5+ROW()-1,설정!$L$17),""),"")</f>
        <v>1</v>
      </c>
      <c r="L82" s="84" t="n">
        <f aca="false">IFERROR(IF(ISNUMBER(INDEX(원자료_잔고!$A$1:$EZ$1500,설정!$L$5+ROW()-1,설정!$L$18)),INDEX(원자료_잔고!$A$1:$EZ$1500,설정!$L$5+ROW()-1,설정!$L$18),""),"")</f>
        <v>5851080</v>
      </c>
      <c r="M82" s="88" t="n">
        <f aca="false">IFERROR(IF(ISNUMBER(INDEX(원자료_잔고!$A$1:$EZ$1500,설정!$L$5+ROW()-1,설정!$L$19)),INDEX(원자료_잔고!$A$1:$EZ$1500,설정!$L$5+ROW()-1,설정!$L$19),""),"")</f>
        <v>-1560</v>
      </c>
      <c r="N82" s="83" t="str">
        <f aca="false">IFERROR(IF(INDEX(원자료_잔고!$A$1:$EZ$1500,설정!$L$5+ROW()-1,설정!$L$21)&amp;""="0","",INDEX(원자료_잔고!$A$1:$EZ$1500,설정!$L$5+ROW()-1,설정!$L$21)&amp;""),"")</f>
        <v/>
      </c>
      <c r="O82" s="83" t="str">
        <f aca="false">IFERROR(IF(INDEX(원자료_잔고!$A$1:$EZ$1500,설정!$L$5+ROW()-1,설정!$L$22)&amp;""="0","",INDEX(원자료_잔고!$A$1:$EZ$1500,설정!$L$5+ROW()-1,설정!$L$22)&amp;""),"")</f>
        <v/>
      </c>
      <c r="P82" s="83" t="str">
        <f aca="false">IFERROR(IF(INDEX(원자료_잔고!$A$1:$EZ$1500,설정!$L$5+ROW()-1,설정!$L$23)&amp;""="0","",INDEX(원자료_잔고!$A$1:$EZ$1500,설정!$L$5+ROW()-1,설정!$L$23)&amp;""),"")</f>
        <v>BBB</v>
      </c>
      <c r="Q82" s="89" t="n">
        <f aca="false">IF(AND($A82&lt;&gt;"",ISNUMBER(E82)),IF(E82&gt;0,1,0),0)</f>
        <v>1</v>
      </c>
      <c r="R82" s="43" t="str">
        <f aca="false">IF(Q82=1,UPPER(LEFT($A82,FIND(" ",$A82&amp;" ")-1)),"")</f>
        <v>DAESEC</v>
      </c>
      <c r="S82" s="89" t="n">
        <f aca="false">IF(Q82=1,IF(OR(ISNUMBER(SEARCH("Float",$A82)),ISNUMBER(SEARCH("FRN",$A82))),1,0),0)</f>
        <v>0</v>
      </c>
      <c r="T82" s="43" t="str">
        <f aca="false">IF(AND(Q82=1,ISNUMBER(I82)),TEXT(I82,"yyyymmdd")&amp;"|"&amp;IF(S82=1,"F",TEXT(J82,"0.000")),"")</f>
        <v>20281014|4.375</v>
      </c>
      <c r="U82" s="90" t="n">
        <f aca="false">IF(AND(Q82=1,ISNUMBER(I82)),(I82-설정!$C$4)/365.25,"")</f>
        <v>2.03696098562628</v>
      </c>
      <c r="V82" s="43" t="str">
        <f aca="false">IF(Q82&lt;&gt;1,"",IF(ISNUMBER(U82),IF(U82&lt;=1,"1년 이하",IF(U82&lt;=2,"1-2년",IF(U82&lt;=3,"2-3년",IF(U82&lt;=4,"3-4년",IF(U82&lt;=5,"4-5년",IF(U82&lt;=7,"5-7년",IF(U82&lt;=10,"7-10년",IF(U82&lt;=20,"10-20년","20년 이상")))))))),"미분류"))</f>
        <v>2-3년</v>
      </c>
      <c r="W82" s="43" t="str">
        <f aca="false">IF(Q82&lt;&gt;1,"",IF(AB82&lt;&gt;"",INDEX(시장분석!$C:$C,AB82),IF(K82=1,"USD","비USD")))</f>
        <v>USD</v>
      </c>
      <c r="X82" s="91" t="n">
        <f aca="false">IF(Q82=1,E82*K82/1000000,0)</f>
        <v>6</v>
      </c>
      <c r="Y82" s="89" t="n">
        <f aca="false">IF(R82="T",1,0)</f>
        <v>0</v>
      </c>
      <c r="Z82" s="92" t="n">
        <f aca="false">IF(Q82&lt;&gt;1,"",IF(AD82=1,IF(ISNUMBER(U82),MAX(U82,0),H82),H82))</f>
        <v>1.8325</v>
      </c>
      <c r="AA82" s="91" t="n">
        <f aca="false">IF(Q82=1,IF(ISNUMBER(L82),L82,0)*K82/1000000,0)</f>
        <v>5.85108</v>
      </c>
      <c r="AB82" s="89" t="n">
        <f aca="false">IF(Q82&lt;&gt;1,"",IFERROR(MATCH(VLOOKUP(B82,매핑!$H$4:$I$15,2,0),시장분석!$A$2:$A$601,0)+1,IFERROR(MATCH(R82&amp;"|"&amp;T82,시장분석!$V$2:$V$601,0)+1,IF(COUNTIF(시장분석!$U$2:$U$601,T82)=1,MATCH(T82,시장분석!$U$2:$U$601,0)+1,""))))</f>
        <v>250</v>
      </c>
      <c r="AC82" s="89" t="n">
        <f aca="false">IF(Q82&lt;&gt;1,0,IF(OR(설정!$C$5="전체",AND(설정!$C$5="선택펀드",IFERROR(COUNTIFS(설정!$F$16:$F$36,C82,설정!$G$16:$G$36,"Y")+COUNTIFS(설정!$F$16:$F$36,VALUE(C82),설정!$G$16:$G$36,"Y"),0)&gt;0),C82&amp;""=설정!$C$5&amp;""),1,0))</f>
        <v>1</v>
      </c>
      <c r="AD82" s="89" t="n">
        <f aca="false">IF(Q82&lt;&gt;1,0,IF(OR(S82=1,IF(AB82="",FALSE(),INDEX(시장분석!$R:$R,AB82)=1)),1,0))</f>
        <v>0</v>
      </c>
      <c r="AE82" s="43" t="str">
        <f aca="false">IF(AB82="","",INDEX(시장분석!$A:$A,AB82))</f>
        <v>DAESEC 4 3/8 10/14/28</v>
      </c>
      <c r="AF82" s="93" t="n">
        <f aca="false">IF(AB82="","",IF(ISNUMBER(IF(AB82="","",INDEX(시장분석!$E:$E,AB82))),IF(AB82="","",INDEX(시장분석!$E:$E,AB82)),""))</f>
        <v>81.835</v>
      </c>
      <c r="AG82" s="43" t="str">
        <f aca="false">IF(Q82&lt;&gt;1,"",IF(AB82&lt;&gt;"",IF(AB82="","",INDEX(시장분석!$L:$L,AB82)),IFERROR(IF(VLOOKUP(R82,매핑!$A$4:$E$92,5,0)="","미분류",VLOOKUP(R82,매핑!$A$4:$E$92,5,0)),"미분류")))</f>
        <v>금융기관</v>
      </c>
      <c r="AH82" s="43" t="str">
        <f aca="false">IF(Q82&lt;&gt;1,"",IF(AB82&lt;&gt;"",IF(AB82="","",INDEX(시장분석!$N:$N,AB82)),IFERROR(IF(VLOOKUP(R82,매핑!$A$4:$E$92,4,0)="","미분류",VLOOKUP(R82,매핑!$A$4:$E$92,4,0)),"미분류")))</f>
        <v>아시아/기타</v>
      </c>
      <c r="AI82" s="43" t="str">
        <f aca="false">IF(Q82&lt;&gt;1,"",IFERROR(IF(VLOOKUP(R82,매핑!$A$4:$E$92,3,0)="","미분류",VLOOKUP(R82,매핑!$A$4:$E$92,3,0)),IF(AB82&lt;&gt;"",IF(AB82="","",INDEX(시장분석!$W:$W,AB82)),"미분류")))</f>
        <v>한국</v>
      </c>
      <c r="AJ82" s="43" t="str">
        <f aca="false">IF(Q82&lt;&gt;1,"",IFERROR(VLOOKUP(IF(N82&lt;&gt;"",N82,IF(P82&lt;&gt;"",P82,O82)),설정!$A$15:$D$47,2,0),""))</f>
        <v>BBB</v>
      </c>
      <c r="AK82" s="43" t="str">
        <f aca="false">IF(Q82&lt;&gt;1,"",IF(AJ82="","무등급",IFERROR(VLOOKUP(AJ82,설정!$A$15:$D$47,3,0),"무등급")))</f>
        <v>BBB</v>
      </c>
      <c r="AL82" s="89" t="n">
        <f aca="false">IF(AJ82="",99,IFERROR(VLOOKUP(AJ82,설정!$A$15:$D$47,4,0),99))</f>
        <v>9</v>
      </c>
      <c r="AM82" s="94" t="n">
        <f aca="false">IF(ISNUMBER(H82),AA82*1000000*H82/10000,0)</f>
        <v>1072.21041</v>
      </c>
      <c r="AN82" s="94" t="n">
        <f aca="false">IF(OR(Y82=1,NOT(ISNUMBER(Z82))),0,AA82*1000000*Z82/10000)</f>
        <v>1072.21041</v>
      </c>
      <c r="AO82" s="94" t="n">
        <f aca="false">IF(ISNUMBER(G82),AA82*1000000*G82/100,0)</f>
        <v>332347.19508</v>
      </c>
      <c r="AP82" s="94" t="n">
        <f aca="false">IF(ISNUMBER(M82),M82*K82,0)</f>
        <v>-1560</v>
      </c>
      <c r="AQ82" s="95" t="n">
        <f aca="false">IF(AB82="","",INDEX(시장분석!$AK:$AK,AB82))</f>
        <v>1.10644054749298</v>
      </c>
      <c r="AR82" s="43" t="str">
        <f aca="false">IF(AB82="","-",IF(AB82="","",INDEX(시장분석!$AL:$AL,AB82)))</f>
        <v>Cheap</v>
      </c>
      <c r="AS82" s="96" t="n">
        <f aca="false">IF(AB82="","",INDEX(시장분석!$AJ:$AJ,AB82))</f>
        <v>22.6528074142543</v>
      </c>
      <c r="AT82" s="93" t="n">
        <f aca="false">IF(AB82="",0,IF(AB82="","",INDEX(시장분석!$AN:$AN,AB82)))</f>
        <v>10.2555840220164</v>
      </c>
      <c r="AU82" s="94" t="n">
        <f aca="false">IF(ISNUMBER(Z82),AT82/10000*MAX(Z82-1,0)*AA82*1000000,0)</f>
        <v>4995.51969308171</v>
      </c>
      <c r="AV82" s="94" t="n">
        <f aca="false">AO82+AU82</f>
        <v>337342.714773082</v>
      </c>
      <c r="AW82" s="43" t="str">
        <f aca="false">IF(Q82&lt;&gt;1,"",TRIM(IF(AD82=1,"FRN ","")&amp;IF(AND(AL82&gt;=10,AL82&lt;99),"BBB0미만 ","")&amp;IF(AJ82="","등급없음 ","")&amp;IF(K82&lt;&gt;1,"비USD ","")&amp;IF(AND(AB82="",Y82=0),"시장데이터없음 ","")&amp;IF(AND(ISNUMBER(U82),U82&lt;0),"만기경과 ","")))</f>
        <v/>
      </c>
      <c r="AX82" s="90" t="n">
        <f aca="false">IF(Q82&lt;&gt;1,1,IF(스프레드쇼크!$C$4="Y",INDEX(스프레드쇼크!$B$12:$L$16,IFERROR(MATCH(AH82,스프레드쇼크!$A$12:$A$16,0),MATCH("목록외",스프레드쇼크!$A$12:$A$16,0)),IFERROR(MATCH(AG82,스프레드쇼크!$B$11:$L$11,0),MATCH("목록외",스프레드쇼크!$B$11:$L$11,0))),1))</f>
        <v>1</v>
      </c>
      <c r="AY82" s="90" t="n">
        <f aca="false">IF(스프레드쇼크!$C$5="Y",IF(ISNUMBER(AF82),MIN(스프레드쇼크!$C$7,MAX(스프레드쇼크!$C$6,AF82/스프레드쇼크!$C$8)),1),1)</f>
        <v>1.23778613407012</v>
      </c>
      <c r="AZ82" s="94" t="n">
        <f aca="false">AN82*AX82*AY82</f>
        <v>1327.16717830363</v>
      </c>
      <c r="BA82" s="90" t="n">
        <f aca="false">IF(ISNUMBER(G82),AA82*G82,0)</f>
        <v>33.234719508</v>
      </c>
      <c r="BB82" s="90" t="n">
        <f aca="false">IF(ISNUMBER(G82),AA82,0)</f>
        <v>5.85108</v>
      </c>
      <c r="BC82" s="90" t="n">
        <f aca="false">IF(AND(Y82=0,ISNUMBER(AF82)),AA82*AF82,0)</f>
        <v>478.8231318</v>
      </c>
      <c r="BD82" s="90" t="n">
        <f aca="false">IF(AND(Y82=0,ISNUMBER(AF82)),AA82,0)</f>
        <v>5.85108</v>
      </c>
      <c r="BE82" s="90" t="n">
        <f aca="false">IF(ISNUMBER(H82),AA82*H82,0)</f>
        <v>10.7221041</v>
      </c>
      <c r="BF82" s="90" t="n">
        <f aca="false">IF(ISNUMBER(H82),AA82,0)</f>
        <v>5.85108</v>
      </c>
      <c r="BG82" s="90" t="n">
        <f aca="false">IF(AND(Y82=0,ISNUMBER(AF82),ISNUMBER(Z82)),AA82*Z82,0)</f>
        <v>10.7221041</v>
      </c>
      <c r="BH82" s="90" t="n">
        <f aca="false">IF(AND(Y82=0,ISNUMBER(AF82),ISNUMBER(Z82)),AA82*AT82*MAX(Z82-1,0),0)</f>
        <v>49.955196930817</v>
      </c>
      <c r="BI82" s="90" t="n">
        <f aca="false">IF(Y82=0,AA82,0)</f>
        <v>5.85108</v>
      </c>
    </row>
    <row r="83" customFormat="false" ht="15" hidden="false" customHeight="false" outlineLevel="0" collapsed="false">
      <c r="A83" s="83" t="str">
        <f aca="false">IFERROR(IF(INDEX(원자료_잔고!$A$1:$EZ$1500,설정!$L$5+ROW()-1,설정!$L$8)&amp;""="0","",INDEX(원자료_잔고!$A$1:$EZ$1500,설정!$L$5+ROW()-1,설정!$L$8)&amp;""),"")</f>
        <v>DAESEC 4.375 03/11/31</v>
      </c>
      <c r="B83" s="83" t="str">
        <f aca="false">IFERROR(IF(INDEX(원자료_잔고!$A$1:$EZ$1500,설정!$L$5+ROW()-1,설정!$L$7)&amp;""="0","",INDEX(원자료_잔고!$A$1:$EZ$1500,설정!$L$5+ROW()-1,설정!$L$7)&amp;""),"")</f>
        <v>XS3299380850</v>
      </c>
      <c r="C83" s="83" t="str">
        <f aca="false">IFERROR(IF(INDEX(원자료_잔고!$A$1:$EZ$1500,설정!$L$5+ROW()-1,설정!$L$9)&amp;""="0","",INDEX(원자료_잔고!$A$1:$EZ$1500,설정!$L$5+ROW()-1,설정!$L$9)&amp;""),"")</f>
        <v>28096</v>
      </c>
      <c r="D8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3" s="84" t="n">
        <f aca="false">IFERROR(IF(ISNUMBER(INDEX(원자료_잔고!$A$1:$EZ$1500,설정!$L$5+ROW()-1,설정!$L$11)),INDEX(원자료_잔고!$A$1:$EZ$1500,설정!$L$5+ROW()-1,설정!$L$11),""),"")</f>
        <v>3000000</v>
      </c>
      <c r="F83" s="85" t="n">
        <f aca="false">IFERROR(IF(ISNUMBER(INDEX(원자료_잔고!$A$1:$EZ$1500,설정!$L$5+ROW()-1,설정!$L$12)),INDEX(원자료_잔고!$A$1:$EZ$1500,설정!$L$5+ROW()-1,설정!$L$12),""),"")</f>
        <v>93.6016</v>
      </c>
      <c r="G83" s="85" t="n">
        <f aca="false">IFERROR(IF(ISNUMBER(INDEX(원자료_잔고!$A$1:$EZ$1500,설정!$L$5+ROW()-1,설정!$L$13)),INDEX(원자료_잔고!$A$1:$EZ$1500,설정!$L$5+ROW()-1,설정!$L$13),""),"")</f>
        <v>6.0355</v>
      </c>
      <c r="H83" s="85" t="n">
        <f aca="false">IFERROR(IF(ISNUMBER(INDEX(원자료_잔고!$A$1:$EZ$1500,설정!$L$5+ROW()-1,설정!$L$14)),INDEX(원자료_잔고!$A$1:$EZ$1500,설정!$L$5+ROW()-1,설정!$L$14),""),"")</f>
        <v>3.8643</v>
      </c>
      <c r="I83" s="86" t="n">
        <f aca="false">IFERROR(IF(ISNUMBER(INDEX(원자료_잔고!$A$1:$EZ$1500,설정!$L$5+ROW()-1,설정!$L$15)),INDEX(원자료_잔고!$A$1:$EZ$1500,설정!$L$5+ROW()-1,설정!$L$15),""),"")</f>
        <v>47918</v>
      </c>
      <c r="J83" s="85" t="n">
        <f aca="false">IFERROR(IF(ISNUMBER(INDEX(원자료_잔고!$A$1:$EZ$1500,설정!$L$5+ROW()-1,설정!$L$16)),INDEX(원자료_잔고!$A$1:$EZ$1500,설정!$L$5+ROW()-1,설정!$L$16),""),"")</f>
        <v>4.375</v>
      </c>
      <c r="K83" s="87" t="n">
        <f aca="false">IFERROR(IF(ISNUMBER(INDEX(원자료_잔고!$A$1:$EZ$1500,설정!$L$5+ROW()-1,설정!$L$17)),INDEX(원자료_잔고!$A$1:$EZ$1500,설정!$L$5+ROW()-1,설정!$L$17),""),"")</f>
        <v>1</v>
      </c>
      <c r="L83" s="84" t="n">
        <f aca="false">IFERROR(IF(ISNUMBER(INDEX(원자료_잔고!$A$1:$EZ$1500,설정!$L$5+ROW()-1,설정!$L$18)),INDEX(원자료_잔고!$A$1:$EZ$1500,설정!$L$5+ROW()-1,설정!$L$18),""),"")</f>
        <v>2808048</v>
      </c>
      <c r="M83" s="88" t="n">
        <f aca="false">IFERROR(IF(ISNUMBER(INDEX(원자료_잔고!$A$1:$EZ$1500,설정!$L$5+ROW()-1,설정!$L$19)),INDEX(원자료_잔고!$A$1:$EZ$1500,설정!$L$5+ROW()-1,설정!$L$19),""),"")</f>
        <v>-112705.89</v>
      </c>
      <c r="N83" s="83" t="str">
        <f aca="false">IFERROR(IF(INDEX(원자료_잔고!$A$1:$EZ$1500,설정!$L$5+ROW()-1,설정!$L$21)&amp;""="0","",INDEX(원자료_잔고!$A$1:$EZ$1500,설정!$L$5+ROW()-1,설정!$L$21)&amp;""),"")</f>
        <v/>
      </c>
      <c r="O83" s="83" t="str">
        <f aca="false">IFERROR(IF(INDEX(원자료_잔고!$A$1:$EZ$1500,설정!$L$5+ROW()-1,설정!$L$22)&amp;""="0","",INDEX(원자료_잔고!$A$1:$EZ$1500,설정!$L$5+ROW()-1,설정!$L$22)&amp;""),"")</f>
        <v/>
      </c>
      <c r="P83" s="83" t="str">
        <f aca="false">IFERROR(IF(INDEX(원자료_잔고!$A$1:$EZ$1500,설정!$L$5+ROW()-1,설정!$L$23)&amp;""="0","",INDEX(원자료_잔고!$A$1:$EZ$1500,설정!$L$5+ROW()-1,설정!$L$23)&amp;""),"")</f>
        <v>BBB</v>
      </c>
      <c r="Q83" s="89" t="n">
        <f aca="false">IF(AND($A83&lt;&gt;"",ISNUMBER(E83)),IF(E83&gt;0,1,0),0)</f>
        <v>1</v>
      </c>
      <c r="R83" s="43" t="str">
        <f aca="false">IF(Q83=1,UPPER(LEFT($A83,FIND(" ",$A83&amp;" ")-1)),"")</f>
        <v>DAESEC</v>
      </c>
      <c r="S83" s="89" t="n">
        <f aca="false">IF(Q83=1,IF(OR(ISNUMBER(SEARCH("Float",$A83)),ISNUMBER(SEARCH("FRN",$A83))),1,0),0)</f>
        <v>0</v>
      </c>
      <c r="T83" s="43" t="str">
        <f aca="false">IF(AND(Q83=1,ISNUMBER(I83)),TEXT(I83,"yyyymmdd")&amp;"|"&amp;IF(S83=1,"F",TEXT(J83,"0.000")),"")</f>
        <v>20310311|4.375</v>
      </c>
      <c r="U83" s="90" t="n">
        <f aca="false">IF(AND(Q83=1,ISNUMBER(I83)),(I83-설정!$C$4)/365.25,"")</f>
        <v>4.44079397672827</v>
      </c>
      <c r="V83" s="43" t="str">
        <f aca="false">IF(Q83&lt;&gt;1,"",IF(ISNUMBER(U83),IF(U83&lt;=1,"1년 이하",IF(U83&lt;=2,"1-2년",IF(U83&lt;=3,"2-3년",IF(U83&lt;=4,"3-4년",IF(U83&lt;=5,"4-5년",IF(U83&lt;=7,"5-7년",IF(U83&lt;=10,"7-10년",IF(U83&lt;=20,"10-20년","20년 이상")))))))),"미분류"))</f>
        <v>4-5년</v>
      </c>
      <c r="W83" s="43" t="str">
        <f aca="false">IF(Q83&lt;&gt;1,"",IF(AB83&lt;&gt;"",INDEX(시장분석!$C:$C,AB83),IF(K83=1,"USD","비USD")))</f>
        <v>USD</v>
      </c>
      <c r="X83" s="91" t="n">
        <f aca="false">IF(Q83=1,E83*K83/1000000,0)</f>
        <v>3</v>
      </c>
      <c r="Y83" s="89" t="n">
        <f aca="false">IF(R83="T",1,0)</f>
        <v>0</v>
      </c>
      <c r="Z83" s="92" t="n">
        <f aca="false">IF(Q83&lt;&gt;1,"",IF(AD83=1,IF(ISNUMBER(U83),MAX(U83,0),H83),H83))</f>
        <v>3.8643</v>
      </c>
      <c r="AA83" s="91" t="n">
        <f aca="false">IF(Q83=1,IF(ISNUMBER(L83),L83,0)*K83/1000000,0)</f>
        <v>2.808048</v>
      </c>
      <c r="AB83" s="89" t="n">
        <f aca="false">IF(Q83&lt;&gt;1,"",IFERROR(MATCH(VLOOKUP(B83,매핑!$H$4:$I$15,2,0),시장분석!$A$2:$A$601,0)+1,IFERROR(MATCH(R83&amp;"|"&amp;T83,시장분석!$V$2:$V$601,0)+1,IF(COUNTIF(시장분석!$U$2:$U$601,T83)=1,MATCH(T83,시장분석!$U$2:$U$601,0)+1,""))))</f>
        <v>254</v>
      </c>
      <c r="AC83" s="89" t="n">
        <f aca="false">IF(Q83&lt;&gt;1,0,IF(OR(설정!$C$5="전체",AND(설정!$C$5="선택펀드",IFERROR(COUNTIFS(설정!$F$16:$F$36,C83,설정!$G$16:$G$36,"Y")+COUNTIFS(설정!$F$16:$F$36,VALUE(C83),설정!$G$16:$G$36,"Y"),0)&gt;0),C83&amp;""=설정!$C$5&amp;""),1,0))</f>
        <v>1</v>
      </c>
      <c r="AD83" s="89" t="n">
        <f aca="false">IF(Q83&lt;&gt;1,0,IF(OR(S83=1,IF(AB83="",FALSE(),INDEX(시장분석!$R:$R,AB83)=1)),1,0))</f>
        <v>0</v>
      </c>
      <c r="AE83" s="43" t="str">
        <f aca="false">IF(AB83="","",INDEX(시장분석!$A:$A,AB83))</f>
        <v>DAESEC 4 3/8 03/11/31</v>
      </c>
      <c r="AF83" s="93" t="n">
        <f aca="false">IF(AB83="","",IF(ISNUMBER(IF(AB83="","",INDEX(시장분석!$E:$E,AB83))),IF(AB83="","",INDEX(시장분석!$E:$E,AB83)),""))</f>
        <v>100.03</v>
      </c>
      <c r="AG83" s="43" t="str">
        <f aca="false">IF(Q83&lt;&gt;1,"",IF(AB83&lt;&gt;"",IF(AB83="","",INDEX(시장분석!$L:$L,AB83)),IFERROR(IF(VLOOKUP(R83,매핑!$A$4:$E$92,5,0)="","미분류",VLOOKUP(R83,매핑!$A$4:$E$92,5,0)),"미분류")))</f>
        <v>금융기관</v>
      </c>
      <c r="AH83" s="43" t="str">
        <f aca="false">IF(Q83&lt;&gt;1,"",IF(AB83&lt;&gt;"",IF(AB83="","",INDEX(시장분석!$N:$N,AB83)),IFERROR(IF(VLOOKUP(R83,매핑!$A$4:$E$92,4,0)="","미분류",VLOOKUP(R83,매핑!$A$4:$E$92,4,0)),"미분류")))</f>
        <v>아시아/기타</v>
      </c>
      <c r="AI83" s="43" t="str">
        <f aca="false">IF(Q83&lt;&gt;1,"",IFERROR(IF(VLOOKUP(R83,매핑!$A$4:$E$92,3,0)="","미분류",VLOOKUP(R83,매핑!$A$4:$E$92,3,0)),IF(AB83&lt;&gt;"",IF(AB83="","",INDEX(시장분석!$W:$W,AB83)),"미분류")))</f>
        <v>한국</v>
      </c>
      <c r="AJ83" s="43" t="str">
        <f aca="false">IF(Q83&lt;&gt;1,"",IFERROR(VLOOKUP(IF(N83&lt;&gt;"",N83,IF(P83&lt;&gt;"",P83,O83)),설정!$A$15:$D$47,2,0),""))</f>
        <v>BBB</v>
      </c>
      <c r="AK83" s="43" t="str">
        <f aca="false">IF(Q83&lt;&gt;1,"",IF(AJ83="","무등급",IFERROR(VLOOKUP(AJ83,설정!$A$15:$D$47,3,0),"무등급")))</f>
        <v>BBB</v>
      </c>
      <c r="AL83" s="89" t="n">
        <f aca="false">IF(AJ83="",99,IFERROR(VLOOKUP(AJ83,설정!$A$15:$D$47,4,0),99))</f>
        <v>9</v>
      </c>
      <c r="AM83" s="94" t="n">
        <f aca="false">IF(ISNUMBER(H83),AA83*1000000*H83/10000,0)</f>
        <v>1085.11398864</v>
      </c>
      <c r="AN83" s="94" t="n">
        <f aca="false">IF(OR(Y83=1,NOT(ISNUMBER(Z83))),0,AA83*1000000*Z83/10000)</f>
        <v>1085.11398864</v>
      </c>
      <c r="AO83" s="94" t="n">
        <f aca="false">IF(ISNUMBER(G83),AA83*1000000*G83/100,0)</f>
        <v>169479.73704</v>
      </c>
      <c r="AP83" s="94" t="n">
        <f aca="false">IF(ISNUMBER(M83),M83*K83,0)</f>
        <v>-112705.89</v>
      </c>
      <c r="AQ83" s="95" t="n">
        <f aca="false">IF(AB83="","",INDEX(시장분석!$AK:$AK,AB83))</f>
        <v>1.48685958675739</v>
      </c>
      <c r="AR83" s="43" t="str">
        <f aca="false">IF(AB83="","-",IF(AB83="","",INDEX(시장분석!$AL:$AL,AB83)))</f>
        <v>Cheap</v>
      </c>
      <c r="AS83" s="96" t="n">
        <f aca="false">IF(AB83="","",INDEX(시장분석!$AJ:$AJ,AB83))</f>
        <v>30.4413499190446</v>
      </c>
      <c r="AT83" s="93" t="n">
        <f aca="false">IF(AB83="",0,IF(AB83="","",INDEX(시장분석!$AN:$AN,AB83)))</f>
        <v>3.94576407474341</v>
      </c>
      <c r="AU83" s="94" t="n">
        <f aca="false">IF(ISNUMBER(Z83),AT83/10000*MAX(Z83-1,0)*AA83*1000000,0)</f>
        <v>3173.61430152173</v>
      </c>
      <c r="AV83" s="94" t="n">
        <f aca="false">AO83+AU83</f>
        <v>172653.351341522</v>
      </c>
      <c r="AW83" s="43" t="str">
        <f aca="false">IF(Q83&lt;&gt;1,"",TRIM(IF(AD83=1,"FRN ","")&amp;IF(AND(AL83&gt;=10,AL83&lt;99),"BBB0미만 ","")&amp;IF(AJ83="","등급없음 ","")&amp;IF(K83&lt;&gt;1,"비USD ","")&amp;IF(AND(AB83="",Y83=0),"시장데이터없음 ","")&amp;IF(AND(ISNUMBER(U83),U83&lt;0),"만기경과 ","")))</f>
        <v/>
      </c>
      <c r="AX83" s="90" t="n">
        <f aca="false">IF(Q83&lt;&gt;1,1,IF(스프레드쇼크!$C$4="Y",INDEX(스프레드쇼크!$B$12:$L$16,IFERROR(MATCH(AH83,스프레드쇼크!$A$12:$A$16,0),MATCH("목록외",스프레드쇼크!$A$12:$A$16,0)),IFERROR(MATCH(AG83,스프레드쇼크!$B$11:$L$11,0),MATCH("목록외",스프레드쇼크!$B$11:$L$11,0))),1))</f>
        <v>1</v>
      </c>
      <c r="AY83" s="90" t="n">
        <f aca="false">IF(스프레드쇼크!$C$5="Y",IF(ISNUMBER(AF83),MIN(스프레드쇼크!$C$7,MAX(스프레드쇼크!$C$6,AF83/스프레드쇼크!$C$8)),1),1)</f>
        <v>1.51299257030652</v>
      </c>
      <c r="AZ83" s="94" t="n">
        <f aca="false">AN83*AX83*AY83</f>
        <v>1641.76940274799</v>
      </c>
      <c r="BA83" s="90" t="n">
        <f aca="false">IF(ISNUMBER(G83),AA83*G83,0)</f>
        <v>16.947973704</v>
      </c>
      <c r="BB83" s="90" t="n">
        <f aca="false">IF(ISNUMBER(G83),AA83,0)</f>
        <v>2.808048</v>
      </c>
      <c r="BC83" s="90" t="n">
        <f aca="false">IF(AND(Y83=0,ISNUMBER(AF83)),AA83*AF83,0)</f>
        <v>280.88904144</v>
      </c>
      <c r="BD83" s="90" t="n">
        <f aca="false">IF(AND(Y83=0,ISNUMBER(AF83)),AA83,0)</f>
        <v>2.808048</v>
      </c>
      <c r="BE83" s="90" t="n">
        <f aca="false">IF(ISNUMBER(H83),AA83*H83,0)</f>
        <v>10.8511398864</v>
      </c>
      <c r="BF83" s="90" t="n">
        <f aca="false">IF(ISNUMBER(H83),AA83,0)</f>
        <v>2.808048</v>
      </c>
      <c r="BG83" s="90" t="n">
        <f aca="false">IF(AND(Y83=0,ISNUMBER(AF83),ISNUMBER(Z83)),AA83*Z83,0)</f>
        <v>10.8511398864</v>
      </c>
      <c r="BH83" s="90" t="n">
        <f aca="false">IF(AND(Y83=0,ISNUMBER(AF83),ISNUMBER(Z83)),AA83*AT83*MAX(Z83-1,0),0)</f>
        <v>31.7361430152173</v>
      </c>
      <c r="BI83" s="90" t="n">
        <f aca="false">IF(Y83=0,AA83,0)</f>
        <v>2.808048</v>
      </c>
    </row>
    <row r="84" customFormat="false" ht="15" hidden="false" customHeight="false" outlineLevel="0" collapsed="false">
      <c r="A84" s="83" t="str">
        <f aca="false">IFERROR(IF(INDEX(원자료_잔고!$A$1:$EZ$1500,설정!$L$5+ROW()-1,설정!$L$8)&amp;""="0","",INDEX(원자료_잔고!$A$1:$EZ$1500,설정!$L$5+ROW()-1,설정!$L$8)&amp;""),"")</f>
        <v>STANLN 4.529 06/05/32</v>
      </c>
      <c r="B84" s="83" t="str">
        <f aca="false">IFERROR(IF(INDEX(원자료_잔고!$A$1:$EZ$1500,설정!$L$5+ROW()-1,설정!$L$7)&amp;""="0","",INDEX(원자료_잔고!$A$1:$EZ$1500,설정!$L$5+ROW()-1,설정!$L$7)&amp;""),"")</f>
        <v>XS3304372868</v>
      </c>
      <c r="C84" s="83" t="str">
        <f aca="false">IFERROR(IF(INDEX(원자료_잔고!$A$1:$EZ$1500,설정!$L$5+ROW()-1,설정!$L$9)&amp;""="0","",INDEX(원자료_잔고!$A$1:$EZ$1500,설정!$L$5+ROW()-1,설정!$L$9)&amp;""),"")</f>
        <v>28096</v>
      </c>
      <c r="D8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4" s="84" t="n">
        <f aca="false">IFERROR(IF(ISNUMBER(INDEX(원자료_잔고!$A$1:$EZ$1500,설정!$L$5+ROW()-1,설정!$L$11)),INDEX(원자료_잔고!$A$1:$EZ$1500,설정!$L$5+ROW()-1,설정!$L$11),""),"")</f>
        <v>10000000</v>
      </c>
      <c r="F84" s="85" t="n">
        <f aca="false">IFERROR(IF(ISNUMBER(INDEX(원자료_잔고!$A$1:$EZ$1500,설정!$L$5+ROW()-1,설정!$L$12)),INDEX(원자료_잔고!$A$1:$EZ$1500,설정!$L$5+ROW()-1,설정!$L$12),""),"")</f>
        <v>94.1618</v>
      </c>
      <c r="G84" s="85" t="n">
        <f aca="false">IFERROR(IF(ISNUMBER(INDEX(원자료_잔고!$A$1:$EZ$1500,설정!$L$5+ROW()-1,설정!$L$13)),INDEX(원자료_잔고!$A$1:$EZ$1500,설정!$L$5+ROW()-1,설정!$L$13),""),"")</f>
        <v>5.8952</v>
      </c>
      <c r="H84" s="85" t="n">
        <f aca="false">IFERROR(IF(ISNUMBER(INDEX(원자료_잔고!$A$1:$EZ$1500,설정!$L$5+ROW()-1,설정!$L$14)),INDEX(원자료_잔고!$A$1:$EZ$1500,설정!$L$5+ROW()-1,설정!$L$14),""),"")</f>
        <v>4.0359</v>
      </c>
      <c r="I84" s="86" t="n">
        <f aca="false">IFERROR(IF(ISNUMBER(INDEX(원자료_잔고!$A$1:$EZ$1500,설정!$L$5+ROW()-1,설정!$L$15)),INDEX(원자료_잔고!$A$1:$EZ$1500,설정!$L$5+ROW()-1,설정!$L$15),""),"")</f>
        <v>48370</v>
      </c>
      <c r="J84" s="85" t="n">
        <f aca="false">IFERROR(IF(ISNUMBER(INDEX(원자료_잔고!$A$1:$EZ$1500,설정!$L$5+ROW()-1,설정!$L$16)),INDEX(원자료_잔고!$A$1:$EZ$1500,설정!$L$5+ROW()-1,설정!$L$16),""),"")</f>
        <v>4.529</v>
      </c>
      <c r="K84" s="87" t="n">
        <f aca="false">IFERROR(IF(ISNUMBER(INDEX(원자료_잔고!$A$1:$EZ$1500,설정!$L$5+ROW()-1,설정!$L$17)),INDEX(원자료_잔고!$A$1:$EZ$1500,설정!$L$5+ROW()-1,설정!$L$17),""),"")</f>
        <v>1</v>
      </c>
      <c r="L84" s="84" t="n">
        <f aca="false">IFERROR(IF(ISNUMBER(INDEX(원자료_잔고!$A$1:$EZ$1500,설정!$L$5+ROW()-1,설정!$L$18)),INDEX(원자료_잔고!$A$1:$EZ$1500,설정!$L$5+ROW()-1,설정!$L$18),""),"")</f>
        <v>9416180</v>
      </c>
      <c r="M84" s="88" t="n">
        <f aca="false">IFERROR(IF(ISNUMBER(INDEX(원자료_잔고!$A$1:$EZ$1500,설정!$L$5+ROW()-1,설정!$L$19)),INDEX(원자료_잔고!$A$1:$EZ$1500,설정!$L$5+ROW()-1,설정!$L$19),""),"")</f>
        <v>-378620</v>
      </c>
      <c r="N84" s="83" t="str">
        <f aca="false">IFERROR(IF(INDEX(원자료_잔고!$A$1:$EZ$1500,설정!$L$5+ROW()-1,설정!$L$21)&amp;""="0","",INDEX(원자료_잔고!$A$1:$EZ$1500,설정!$L$5+ROW()-1,설정!$L$21)&amp;""),"")</f>
        <v>BBB+</v>
      </c>
      <c r="O84" s="83" t="str">
        <f aca="false">IFERROR(IF(INDEX(원자료_잔고!$A$1:$EZ$1500,설정!$L$5+ROW()-1,설정!$L$22)&amp;""="0","",INDEX(원자료_잔고!$A$1:$EZ$1500,설정!$L$5+ROW()-1,설정!$L$22)&amp;""),"")</f>
        <v>A3</v>
      </c>
      <c r="P84" s="83" t="str">
        <f aca="false">IFERROR(IF(INDEX(원자료_잔고!$A$1:$EZ$1500,설정!$L$5+ROW()-1,설정!$L$23)&amp;""="0","",INDEX(원자료_잔고!$A$1:$EZ$1500,설정!$L$5+ROW()-1,설정!$L$23)&amp;""),"")</f>
        <v>A</v>
      </c>
      <c r="Q84" s="89" t="n">
        <f aca="false">IF(AND($A84&lt;&gt;"",ISNUMBER(E84)),IF(E84&gt;0,1,0),0)</f>
        <v>1</v>
      </c>
      <c r="R84" s="43" t="str">
        <f aca="false">IF(Q84=1,UPPER(LEFT($A84,FIND(" ",$A84&amp;" ")-1)),"")</f>
        <v>STANLN</v>
      </c>
      <c r="S84" s="89" t="n">
        <f aca="false">IF(Q84=1,IF(OR(ISNUMBER(SEARCH("Float",$A84)),ISNUMBER(SEARCH("FRN",$A84))),1,0),0)</f>
        <v>0</v>
      </c>
      <c r="T84" s="43" t="str">
        <f aca="false">IF(AND(Q84=1,ISNUMBER(I84)),TEXT(I84,"yyyymmdd")&amp;"|"&amp;IF(S84=1,"F",TEXT(J84,"0.000")),"")</f>
        <v>20320605|4.529</v>
      </c>
      <c r="U84" s="90" t="n">
        <f aca="false">IF(AND(Q84=1,ISNUMBER(I84)),(I84-설정!$C$4)/365.25,"")</f>
        <v>5.67830253251198</v>
      </c>
      <c r="V84" s="43" t="str">
        <f aca="false">IF(Q84&lt;&gt;1,"",IF(ISNUMBER(U84),IF(U84&lt;=1,"1년 이하",IF(U84&lt;=2,"1-2년",IF(U84&lt;=3,"2-3년",IF(U84&lt;=4,"3-4년",IF(U84&lt;=5,"4-5년",IF(U84&lt;=7,"5-7년",IF(U84&lt;=10,"7-10년",IF(U84&lt;=20,"10-20년","20년 이상")))))))),"미분류"))</f>
        <v>5-7년</v>
      </c>
      <c r="W84" s="43" t="str">
        <f aca="false">IF(Q84&lt;&gt;1,"",IF(AB84&lt;&gt;"",INDEX(시장분석!$C:$C,AB84),IF(K84=1,"USD","비USD")))</f>
        <v>USD</v>
      </c>
      <c r="X84" s="91" t="n">
        <f aca="false">IF(Q84=1,E84*K84/1000000,0)</f>
        <v>10</v>
      </c>
      <c r="Y84" s="89" t="n">
        <f aca="false">IF(R84="T",1,0)</f>
        <v>0</v>
      </c>
      <c r="Z84" s="92" t="n">
        <f aca="false">IF(Q84&lt;&gt;1,"",IF(AD84=1,IF(ISNUMBER(U84),MAX(U84,0),H84),H84))</f>
        <v>4.0359</v>
      </c>
      <c r="AA84" s="91" t="n">
        <f aca="false">IF(Q84=1,IF(ISNUMBER(L84),L84,0)*K84/1000000,0)</f>
        <v>9.41618</v>
      </c>
      <c r="AB84" s="89" t="n">
        <f aca="false">IF(Q84&lt;&gt;1,"",IFERROR(MATCH(VLOOKUP(B84,매핑!$H$4:$I$15,2,0),시장분석!$A$2:$A$601,0)+1,IFERROR(MATCH(R84&amp;"|"&amp;T84,시장분석!$V$2:$V$601,0)+1,IF(COUNTIF(시장분석!$U$2:$U$601,T84)=1,MATCH(T84,시장분석!$U$2:$U$601,0)+1,""))))</f>
        <v>255</v>
      </c>
      <c r="AC84" s="89" t="n">
        <f aca="false">IF(Q84&lt;&gt;1,0,IF(OR(설정!$C$5="전체",AND(설정!$C$5="선택펀드",IFERROR(COUNTIFS(설정!$F$16:$F$36,C84,설정!$G$16:$G$36,"Y")+COUNTIFS(설정!$F$16:$F$36,VALUE(C84),설정!$G$16:$G$36,"Y"),0)&gt;0),C84&amp;""=설정!$C$5&amp;""),1,0))</f>
        <v>1</v>
      </c>
      <c r="AD84" s="89" t="n">
        <f aca="false">IF(Q84&lt;&gt;1,0,IF(OR(S84=1,IF(AB84="",FALSE(),INDEX(시장분석!$R:$R,AB84)=1)),1,0))</f>
        <v>0</v>
      </c>
      <c r="AE84" s="43" t="str">
        <f aca="false">IF(AB84="","",INDEX(시장분석!$A:$A,AB84))</f>
        <v>STANLN 4.529 06/05/32</v>
      </c>
      <c r="AF84" s="93" t="n">
        <f aca="false">IF(AB84="","",IF(ISNUMBER(IF(AB84="","",INDEX(시장분석!$E:$E,AB84))),IF(AB84="","",INDEX(시장분석!$E:$E,AB84)),""))</f>
        <v>91.699</v>
      </c>
      <c r="AG84" s="43" t="str">
        <f aca="false">IF(Q84&lt;&gt;1,"",IF(AB84&lt;&gt;"",IF(AB84="","",INDEX(시장분석!$L:$L,AB84)),IFERROR(IF(VLOOKUP(R84,매핑!$A$4:$E$92,5,0)="","미분류",VLOOKUP(R84,매핑!$A$4:$E$92,5,0)),"미분류")))</f>
        <v>금융기관</v>
      </c>
      <c r="AH84" s="43" t="str">
        <f aca="false">IF(Q84&lt;&gt;1,"",IF(AB84&lt;&gt;"",IF(AB84="","",INDEX(시장분석!$N:$N,AB84)),IFERROR(IF(VLOOKUP(R84,매핑!$A$4:$E$92,4,0)="","미분류",VLOOKUP(R84,매핑!$A$4:$E$92,4,0)),"미분류")))</f>
        <v>유럽</v>
      </c>
      <c r="AI84" s="43" t="str">
        <f aca="false">IF(Q84&lt;&gt;1,"",IFERROR(IF(VLOOKUP(R84,매핑!$A$4:$E$92,3,0)="","미분류",VLOOKUP(R84,매핑!$A$4:$E$92,3,0)),IF(AB84&lt;&gt;"",IF(AB84="","",INDEX(시장분석!$W:$W,AB84)),"미분류")))</f>
        <v>영국</v>
      </c>
      <c r="AJ84" s="43" t="str">
        <f aca="false">IF(Q84&lt;&gt;1,"",IFERROR(VLOOKUP(IF(N84&lt;&gt;"",N84,IF(P84&lt;&gt;"",P84,O84)),설정!$A$15:$D$47,2,0),""))</f>
        <v>BBB+</v>
      </c>
      <c r="AK84" s="43" t="str">
        <f aca="false">IF(Q84&lt;&gt;1,"",IF(AJ84="","무등급",IFERROR(VLOOKUP(AJ84,설정!$A$15:$D$47,3,0),"무등급")))</f>
        <v>BBB</v>
      </c>
      <c r="AL84" s="89" t="n">
        <f aca="false">IF(AJ84="",99,IFERROR(VLOOKUP(AJ84,설정!$A$15:$D$47,4,0),99))</f>
        <v>8</v>
      </c>
      <c r="AM84" s="94" t="n">
        <f aca="false">IF(ISNUMBER(H84),AA84*1000000*H84/10000,0)</f>
        <v>3800.2760862</v>
      </c>
      <c r="AN84" s="94" t="n">
        <f aca="false">IF(OR(Y84=1,NOT(ISNUMBER(Z84))),0,AA84*1000000*Z84/10000)</f>
        <v>3800.2760862</v>
      </c>
      <c r="AO84" s="94" t="n">
        <f aca="false">IF(ISNUMBER(G84),AA84*1000000*G84/100,0)</f>
        <v>555102.64336</v>
      </c>
      <c r="AP84" s="94" t="n">
        <f aca="false">IF(ISNUMBER(M84),M84*K84,0)</f>
        <v>-378620</v>
      </c>
      <c r="AQ84" s="95" t="n">
        <f aca="false">IF(AB84="","",INDEX(시장분석!$AK:$AK,AB84))</f>
        <v>0.41904031086411</v>
      </c>
      <c r="AR84" s="43" t="str">
        <f aca="false">IF(AB84="","-",IF(AB84="","",INDEX(시장분석!$AL:$AL,AB84)))</f>
        <v>Fair</v>
      </c>
      <c r="AS84" s="96" t="n">
        <f aca="false">IF(AB84="","",INDEX(시장분석!$AJ:$AJ,AB84))</f>
        <v>4.60453272562172</v>
      </c>
      <c r="AT84" s="93" t="n">
        <f aca="false">IF(AB84="",0,IF(AB84="","",INDEX(시장분석!$AN:$AN,AB84)))</f>
        <v>8.36687671517179</v>
      </c>
      <c r="AU84" s="94" t="n">
        <f aca="false">IF(ISNUMBER(Z84),AT84/10000*MAX(Z84-1,0)*AA84*1000000,0)</f>
        <v>23918.0397780643</v>
      </c>
      <c r="AV84" s="94" t="n">
        <f aca="false">AO84+AU84</f>
        <v>579020.683138064</v>
      </c>
      <c r="AW84" s="43" t="str">
        <f aca="false">IF(Q84&lt;&gt;1,"",TRIM(IF(AD84=1,"FRN ","")&amp;IF(AND(AL84&gt;=10,AL84&lt;99),"BBB0미만 ","")&amp;IF(AJ84="","등급없음 ","")&amp;IF(K84&lt;&gt;1,"비USD ","")&amp;IF(AND(AB84="",Y84=0),"시장데이터없음 ","")&amp;IF(AND(ISNUMBER(U84),U84&lt;0),"만기경과 ","")))</f>
        <v/>
      </c>
      <c r="AX84" s="90" t="n">
        <f aca="false">IF(Q84&lt;&gt;1,1,IF(스프레드쇼크!$C$4="Y",INDEX(스프레드쇼크!$B$12:$L$16,IFERROR(MATCH(AH84,스프레드쇼크!$A$12:$A$16,0),MATCH("목록외",스프레드쇼크!$A$12:$A$16,0)),IFERROR(MATCH(AG84,스프레드쇼크!$B$11:$L$11,0),MATCH("목록외",스프레드쇼크!$B$11:$L$11,0))),1))</f>
        <v>1</v>
      </c>
      <c r="AY84" s="90" t="n">
        <f aca="false">IF(스프레드쇼크!$C$5="Y",IF(ISNUMBER(AF84),MIN(스프레드쇼크!$C$7,MAX(스프레드쇼크!$C$6,AF84/스프레드쇼크!$C$8)),1),1)</f>
        <v>1.38698296215673</v>
      </c>
      <c r="AZ84" s="94" t="n">
        <f aca="false">AN84*AX84*AY84</f>
        <v>5270.91818305104</v>
      </c>
      <c r="BA84" s="90" t="n">
        <f aca="false">IF(ISNUMBER(G84),AA84*G84,0)</f>
        <v>55.510264336</v>
      </c>
      <c r="BB84" s="90" t="n">
        <f aca="false">IF(ISNUMBER(G84),AA84,0)</f>
        <v>9.41618</v>
      </c>
      <c r="BC84" s="90" t="n">
        <f aca="false">IF(AND(Y84=0,ISNUMBER(AF84)),AA84*AF84,0)</f>
        <v>863.45428982</v>
      </c>
      <c r="BD84" s="90" t="n">
        <f aca="false">IF(AND(Y84=0,ISNUMBER(AF84)),AA84,0)</f>
        <v>9.41618</v>
      </c>
      <c r="BE84" s="90" t="n">
        <f aca="false">IF(ISNUMBER(H84),AA84*H84,0)</f>
        <v>38.002760862</v>
      </c>
      <c r="BF84" s="90" t="n">
        <f aca="false">IF(ISNUMBER(H84),AA84,0)</f>
        <v>9.41618</v>
      </c>
      <c r="BG84" s="90" t="n">
        <f aca="false">IF(AND(Y84=0,ISNUMBER(AF84),ISNUMBER(Z84)),AA84*Z84,0)</f>
        <v>38.002760862</v>
      </c>
      <c r="BH84" s="90" t="n">
        <f aca="false">IF(AND(Y84=0,ISNUMBER(AF84),ISNUMBER(Z84)),AA84*AT84*MAX(Z84-1,0),0)</f>
        <v>239.180397780643</v>
      </c>
      <c r="BI84" s="90" t="n">
        <f aca="false">IF(Y84=0,AA84,0)</f>
        <v>9.41618</v>
      </c>
    </row>
    <row r="85" customFormat="false" ht="15" hidden="false" customHeight="false" outlineLevel="0" collapsed="false">
      <c r="A85" s="83" t="str">
        <f aca="false">IFERROR(IF(INDEX(원자료_잔고!$A$1:$EZ$1500,설정!$L$5+ROW()-1,설정!$L$8)&amp;""="0","",INDEX(원자료_잔고!$A$1:$EZ$1500,설정!$L$5+ROW()-1,설정!$L$8)&amp;""),"")</f>
        <v>DAESEC 5.25 07/06/31</v>
      </c>
      <c r="B85" s="83" t="str">
        <f aca="false">IFERROR(IF(INDEX(원자료_잔고!$A$1:$EZ$1500,설정!$L$5+ROW()-1,설정!$L$7)&amp;""="0","",INDEX(원자료_잔고!$A$1:$EZ$1500,설정!$L$5+ROW()-1,설정!$L$7)&amp;""),"")</f>
        <v>XS3412559299</v>
      </c>
      <c r="C85" s="83" t="str">
        <f aca="false">IFERROR(IF(INDEX(원자료_잔고!$A$1:$EZ$1500,설정!$L$5+ROW()-1,설정!$L$9)&amp;""="0","",INDEX(원자료_잔고!$A$1:$EZ$1500,설정!$L$5+ROW()-1,설정!$L$9)&amp;""),"")</f>
        <v>28096</v>
      </c>
      <c r="D8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5" s="84" t="n">
        <f aca="false">IFERROR(IF(ISNUMBER(INDEX(원자료_잔고!$A$1:$EZ$1500,설정!$L$5+ROW()-1,설정!$L$11)),INDEX(원자료_잔고!$A$1:$EZ$1500,설정!$L$5+ROW()-1,설정!$L$11),""),"")</f>
        <v>5000000</v>
      </c>
      <c r="F85" s="85" t="n">
        <f aca="false">IFERROR(IF(ISNUMBER(INDEX(원자료_잔고!$A$1:$EZ$1500,설정!$L$5+ROW()-1,설정!$L$12)),INDEX(원자료_잔고!$A$1:$EZ$1500,설정!$L$5+ROW()-1,설정!$L$12),""),"")</f>
        <v>96.6805</v>
      </c>
      <c r="G85" s="85" t="n">
        <f aca="false">IFERROR(IF(ISNUMBER(INDEX(원자료_잔고!$A$1:$EZ$1500,설정!$L$5+ROW()-1,설정!$L$13)),INDEX(원자료_잔고!$A$1:$EZ$1500,설정!$L$5+ROW()-1,설정!$L$13),""),"")</f>
        <v>6.0589</v>
      </c>
      <c r="H85" s="85" t="n">
        <f aca="false">IFERROR(IF(ISNUMBER(INDEX(원자료_잔고!$A$1:$EZ$1500,설정!$L$5+ROW()-1,설정!$L$14)),INDEX(원자료_잔고!$A$1:$EZ$1500,설정!$L$5+ROW()-1,설정!$L$14),""),"")</f>
        <v>3.9976</v>
      </c>
      <c r="I85" s="86" t="n">
        <f aca="false">IFERROR(IF(ISNUMBER(INDEX(원자료_잔고!$A$1:$EZ$1500,설정!$L$5+ROW()-1,설정!$L$15)),INDEX(원자료_잔고!$A$1:$EZ$1500,설정!$L$5+ROW()-1,설정!$L$15),""),"")</f>
        <v>48035</v>
      </c>
      <c r="J85" s="85" t="n">
        <f aca="false">IFERROR(IF(ISNUMBER(INDEX(원자료_잔고!$A$1:$EZ$1500,설정!$L$5+ROW()-1,설정!$L$16)),INDEX(원자료_잔고!$A$1:$EZ$1500,설정!$L$5+ROW()-1,설정!$L$16),""),"")</f>
        <v>5.25</v>
      </c>
      <c r="K85" s="87" t="n">
        <f aca="false">IFERROR(IF(ISNUMBER(INDEX(원자료_잔고!$A$1:$EZ$1500,설정!$L$5+ROW()-1,설정!$L$17)),INDEX(원자료_잔고!$A$1:$EZ$1500,설정!$L$5+ROW()-1,설정!$L$17),""),"")</f>
        <v>1</v>
      </c>
      <c r="L85" s="84" t="n">
        <f aca="false">IFERROR(IF(ISNUMBER(INDEX(원자료_잔고!$A$1:$EZ$1500,설정!$L$5+ROW()-1,설정!$L$18)),INDEX(원자료_잔고!$A$1:$EZ$1500,설정!$L$5+ROW()-1,설정!$L$18),""),"")</f>
        <v>4834025</v>
      </c>
      <c r="M85" s="88" t="n">
        <f aca="false">IFERROR(IF(ISNUMBER(INDEX(원자료_잔고!$A$1:$EZ$1500,설정!$L$5+ROW()-1,설정!$L$19)),INDEX(원자료_잔고!$A$1:$EZ$1500,설정!$L$5+ROW()-1,설정!$L$19),""),"")</f>
        <v>-154675</v>
      </c>
      <c r="N85" s="83" t="str">
        <f aca="false">IFERROR(IF(INDEX(원자료_잔고!$A$1:$EZ$1500,설정!$L$5+ROW()-1,설정!$L$21)&amp;""="0","",INDEX(원자료_잔고!$A$1:$EZ$1500,설정!$L$5+ROW()-1,설정!$L$21)&amp;""),"")</f>
        <v/>
      </c>
      <c r="O85" s="83" t="str">
        <f aca="false">IFERROR(IF(INDEX(원자료_잔고!$A$1:$EZ$1500,설정!$L$5+ROW()-1,설정!$L$22)&amp;""="0","",INDEX(원자료_잔고!$A$1:$EZ$1500,설정!$L$5+ROW()-1,설정!$L$22)&amp;""),"")</f>
        <v/>
      </c>
      <c r="P85" s="83" t="str">
        <f aca="false">IFERROR(IF(INDEX(원자료_잔고!$A$1:$EZ$1500,설정!$L$5+ROW()-1,설정!$L$23)&amp;""="0","",INDEX(원자료_잔고!$A$1:$EZ$1500,설정!$L$5+ROW()-1,설정!$L$23)&amp;""),"")</f>
        <v>BBB</v>
      </c>
      <c r="Q85" s="89" t="n">
        <f aca="false">IF(AND($A85&lt;&gt;"",ISNUMBER(E85)),IF(E85&gt;0,1,0),0)</f>
        <v>1</v>
      </c>
      <c r="R85" s="43" t="str">
        <f aca="false">IF(Q85=1,UPPER(LEFT($A85,FIND(" ",$A85&amp;" ")-1)),"")</f>
        <v>DAESEC</v>
      </c>
      <c r="S85" s="89" t="n">
        <f aca="false">IF(Q85=1,IF(OR(ISNUMBER(SEARCH("Float",$A85)),ISNUMBER(SEARCH("FRN",$A85))),1,0),0)</f>
        <v>0</v>
      </c>
      <c r="T85" s="43" t="str">
        <f aca="false">IF(AND(Q85=1,ISNUMBER(I85)),TEXT(I85,"yyyymmdd")&amp;"|"&amp;IF(S85=1,"F",TEXT(J85,"0.000")),"")</f>
        <v>20310706|5.250</v>
      </c>
      <c r="U85" s="90" t="n">
        <f aca="false">IF(AND(Q85=1,ISNUMBER(I85)),(I85-설정!$C$4)/365.25,"")</f>
        <v>4.76112251882272</v>
      </c>
      <c r="V85" s="43" t="str">
        <f aca="false">IF(Q85&lt;&gt;1,"",IF(ISNUMBER(U85),IF(U85&lt;=1,"1년 이하",IF(U85&lt;=2,"1-2년",IF(U85&lt;=3,"2-3년",IF(U85&lt;=4,"3-4년",IF(U85&lt;=5,"4-5년",IF(U85&lt;=7,"5-7년",IF(U85&lt;=10,"7-10년",IF(U85&lt;=20,"10-20년","20년 이상")))))))),"미분류"))</f>
        <v>4-5년</v>
      </c>
      <c r="W85" s="43" t="str">
        <f aca="false">IF(Q85&lt;&gt;1,"",IF(AB85&lt;&gt;"",INDEX(시장분석!$C:$C,AB85),IF(K85=1,"USD","비USD")))</f>
        <v>USD</v>
      </c>
      <c r="X85" s="91" t="n">
        <f aca="false">IF(Q85=1,E85*K85/1000000,0)</f>
        <v>5</v>
      </c>
      <c r="Y85" s="89" t="n">
        <f aca="false">IF(R85="T",1,0)</f>
        <v>0</v>
      </c>
      <c r="Z85" s="92" t="n">
        <f aca="false">IF(Q85&lt;&gt;1,"",IF(AD85=1,IF(ISNUMBER(U85),MAX(U85,0),H85),H85))</f>
        <v>3.9976</v>
      </c>
      <c r="AA85" s="91" t="n">
        <f aca="false">IF(Q85=1,IF(ISNUMBER(L85),L85,0)*K85/1000000,0)</f>
        <v>4.834025</v>
      </c>
      <c r="AB85" s="89" t="n">
        <f aca="false">IF(Q85&lt;&gt;1,"",IFERROR(MATCH(VLOOKUP(B85,매핑!$H$4:$I$15,2,0),시장분석!$A$2:$A$601,0)+1,IFERROR(MATCH(R85&amp;"|"&amp;T85,시장분석!$V$2:$V$601,0)+1,IF(COUNTIF(시장분석!$U$2:$U$601,T85)=1,MATCH(T85,시장분석!$U$2:$U$601,0)+1,""))))</f>
        <v>260</v>
      </c>
      <c r="AC85" s="89" t="n">
        <f aca="false">IF(Q85&lt;&gt;1,0,IF(OR(설정!$C$5="전체",AND(설정!$C$5="선택펀드",IFERROR(COUNTIFS(설정!$F$16:$F$36,C85,설정!$G$16:$G$36,"Y")+COUNTIFS(설정!$F$16:$F$36,VALUE(C85),설정!$G$16:$G$36,"Y"),0)&gt;0),C85&amp;""=설정!$C$5&amp;""),1,0))</f>
        <v>1</v>
      </c>
      <c r="AD85" s="89" t="n">
        <f aca="false">IF(Q85&lt;&gt;1,0,IF(OR(S85=1,IF(AB85="",FALSE(),INDEX(시장분석!$R:$R,AB85)=1)),1,0))</f>
        <v>0</v>
      </c>
      <c r="AE85" s="43" t="str">
        <f aca="false">IF(AB85="","",INDEX(시장분석!$A:$A,AB85))</f>
        <v>DAESEC 5 1/4 07/06/31</v>
      </c>
      <c r="AF85" s="93" t="n">
        <f aca="false">IF(AB85="","",IF(ISNUMBER(IF(AB85="","",INDEX(시장분석!$E:$E,AB85))),IF(AB85="","",INDEX(시장분석!$E:$E,AB85)),""))</f>
        <v>102.298</v>
      </c>
      <c r="AG85" s="43" t="str">
        <f aca="false">IF(Q85&lt;&gt;1,"",IF(AB85&lt;&gt;"",IF(AB85="","",INDEX(시장분석!$L:$L,AB85)),IFERROR(IF(VLOOKUP(R85,매핑!$A$4:$E$92,5,0)="","미분류",VLOOKUP(R85,매핑!$A$4:$E$92,5,0)),"미분류")))</f>
        <v>금융기관</v>
      </c>
      <c r="AH85" s="43" t="str">
        <f aca="false">IF(Q85&lt;&gt;1,"",IF(AB85&lt;&gt;"",IF(AB85="","",INDEX(시장분석!$N:$N,AB85)),IFERROR(IF(VLOOKUP(R85,매핑!$A$4:$E$92,4,0)="","미분류",VLOOKUP(R85,매핑!$A$4:$E$92,4,0)),"미분류")))</f>
        <v>아시아/기타</v>
      </c>
      <c r="AI85" s="43" t="str">
        <f aca="false">IF(Q85&lt;&gt;1,"",IFERROR(IF(VLOOKUP(R85,매핑!$A$4:$E$92,3,0)="","미분류",VLOOKUP(R85,매핑!$A$4:$E$92,3,0)),IF(AB85&lt;&gt;"",IF(AB85="","",INDEX(시장분석!$W:$W,AB85)),"미분류")))</f>
        <v>한국</v>
      </c>
      <c r="AJ85" s="43" t="str">
        <f aca="false">IF(Q85&lt;&gt;1,"",IFERROR(VLOOKUP(IF(N85&lt;&gt;"",N85,IF(P85&lt;&gt;"",P85,O85)),설정!$A$15:$D$47,2,0),""))</f>
        <v>BBB</v>
      </c>
      <c r="AK85" s="43" t="str">
        <f aca="false">IF(Q85&lt;&gt;1,"",IF(AJ85="","무등급",IFERROR(VLOOKUP(AJ85,설정!$A$15:$D$47,3,0),"무등급")))</f>
        <v>BBB</v>
      </c>
      <c r="AL85" s="89" t="n">
        <f aca="false">IF(AJ85="",99,IFERROR(VLOOKUP(AJ85,설정!$A$15:$D$47,4,0),99))</f>
        <v>9</v>
      </c>
      <c r="AM85" s="94" t="n">
        <f aca="false">IF(ISNUMBER(H85),AA85*1000000*H85/10000,0)</f>
        <v>1932.449834</v>
      </c>
      <c r="AN85" s="94" t="n">
        <f aca="false">IF(OR(Y85=1,NOT(ISNUMBER(Z85))),0,AA85*1000000*Z85/10000)</f>
        <v>1932.449834</v>
      </c>
      <c r="AO85" s="94" t="n">
        <f aca="false">IF(ISNUMBER(G85),AA85*1000000*G85/100,0)</f>
        <v>292888.740725</v>
      </c>
      <c r="AP85" s="94" t="n">
        <f aca="false">IF(ISNUMBER(M85),M85*K85,0)</f>
        <v>-154675</v>
      </c>
      <c r="AQ85" s="95" t="n">
        <f aca="false">IF(AB85="","",INDEX(시장분석!$AK:$AK,AB85))</f>
        <v>1.57259550005133</v>
      </c>
      <c r="AR85" s="43" t="str">
        <f aca="false">IF(AB85="","-",IF(AB85="","",INDEX(시장분석!$AL:$AL,AB85)))</f>
        <v>Cheap</v>
      </c>
      <c r="AS85" s="96" t="n">
        <f aca="false">IF(AB85="","",INDEX(시장분석!$AJ:$AJ,AB85))</f>
        <v>32.1966716457596</v>
      </c>
      <c r="AT85" s="93" t="n">
        <f aca="false">IF(AB85="",0,IF(AB85="","",INDEX(시장분석!$AN:$AN,AB85)))</f>
        <v>3.78175518865624</v>
      </c>
      <c r="AU85" s="94" t="n">
        <f aca="false">IF(ISNUMBER(Z85),AT85/10000*MAX(Z85-1,0)*AA85*1000000,0)</f>
        <v>5479.942273963</v>
      </c>
      <c r="AV85" s="94" t="n">
        <f aca="false">AO85+AU85</f>
        <v>298368.682998963</v>
      </c>
      <c r="AW85" s="43" t="str">
        <f aca="false">IF(Q85&lt;&gt;1,"",TRIM(IF(AD85=1,"FRN ","")&amp;IF(AND(AL85&gt;=10,AL85&lt;99),"BBB0미만 ","")&amp;IF(AJ85="","등급없음 ","")&amp;IF(K85&lt;&gt;1,"비USD ","")&amp;IF(AND(AB85="",Y85=0),"시장데이터없음 ","")&amp;IF(AND(ISNUMBER(U85),U85&lt;0),"만기경과 ","")))</f>
        <v/>
      </c>
      <c r="AX85" s="90" t="n">
        <f aca="false">IF(Q85&lt;&gt;1,1,IF(스프레드쇼크!$C$4="Y",INDEX(스프레드쇼크!$B$12:$L$16,IFERROR(MATCH(AH85,스프레드쇼크!$A$12:$A$16,0),MATCH("목록외",스프레드쇼크!$A$12:$A$16,0)),IFERROR(MATCH(AG85,스프레드쇼크!$B$11:$L$11,0),MATCH("목록외",스프레드쇼크!$B$11:$L$11,0))),1))</f>
        <v>1</v>
      </c>
      <c r="AY85" s="90" t="n">
        <f aca="false">IF(스프레드쇼크!$C$5="Y",IF(ISNUMBER(AF85),MIN(스프레드쇼크!$C$7,MAX(스프레드쇼크!$C$6,AF85/스프레드쇼크!$C$8)),1),1)</f>
        <v>1.54729695048701</v>
      </c>
      <c r="AZ85" s="94" t="n">
        <f aca="false">AN85*AX85*AY85</f>
        <v>2990.07373511734</v>
      </c>
      <c r="BA85" s="90" t="n">
        <f aca="false">IF(ISNUMBER(G85),AA85*G85,0)</f>
        <v>29.2888740725</v>
      </c>
      <c r="BB85" s="90" t="n">
        <f aca="false">IF(ISNUMBER(G85),AA85,0)</f>
        <v>4.834025</v>
      </c>
      <c r="BC85" s="90" t="n">
        <f aca="false">IF(AND(Y85=0,ISNUMBER(AF85)),AA85*AF85,0)</f>
        <v>494.51108945</v>
      </c>
      <c r="BD85" s="90" t="n">
        <f aca="false">IF(AND(Y85=0,ISNUMBER(AF85)),AA85,0)</f>
        <v>4.834025</v>
      </c>
      <c r="BE85" s="90" t="n">
        <f aca="false">IF(ISNUMBER(H85),AA85*H85,0)</f>
        <v>19.32449834</v>
      </c>
      <c r="BF85" s="90" t="n">
        <f aca="false">IF(ISNUMBER(H85),AA85,0)</f>
        <v>4.834025</v>
      </c>
      <c r="BG85" s="90" t="n">
        <f aca="false">IF(AND(Y85=0,ISNUMBER(AF85),ISNUMBER(Z85)),AA85*Z85,0)</f>
        <v>19.32449834</v>
      </c>
      <c r="BH85" s="90" t="n">
        <f aca="false">IF(AND(Y85=0,ISNUMBER(AF85),ISNUMBER(Z85)),AA85*AT85*MAX(Z85-1,0),0)</f>
        <v>54.79942273963</v>
      </c>
      <c r="BI85" s="90" t="n">
        <f aca="false">IF(Y85=0,AA85,0)</f>
        <v>4.834025</v>
      </c>
    </row>
    <row r="86" customFormat="false" ht="15" hidden="false" customHeight="false" outlineLevel="0" collapsed="false">
      <c r="A86" s="83" t="str">
        <f aca="false">IFERROR(IF(INDEX(원자료_잔고!$A$1:$EZ$1500,설정!$L$5+ROW()-1,설정!$L$8)&amp;""="0","",INDEX(원자료_잔고!$A$1:$EZ$1500,설정!$L$5+ROW()-1,설정!$L$8)&amp;""),"")</f>
        <v>DAESEC 5.25 07/06/31</v>
      </c>
      <c r="B86" s="83" t="str">
        <f aca="false">IFERROR(IF(INDEX(원자료_잔고!$A$1:$EZ$1500,설정!$L$5+ROW()-1,설정!$L$7)&amp;""="0","",INDEX(원자료_잔고!$A$1:$EZ$1500,설정!$L$5+ROW()-1,설정!$L$7)&amp;""),"")</f>
        <v>XS3412559299</v>
      </c>
      <c r="C86" s="83" t="str">
        <f aca="false">IFERROR(IF(INDEX(원자료_잔고!$A$1:$EZ$1500,설정!$L$5+ROW()-1,설정!$L$9)&amp;""="0","",INDEX(원자료_잔고!$A$1:$EZ$1500,설정!$L$5+ROW()-1,설정!$L$9)&amp;""),"")</f>
        <v>28096</v>
      </c>
      <c r="D8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6" s="84" t="n">
        <f aca="false">IFERROR(IF(ISNUMBER(INDEX(원자료_잔고!$A$1:$EZ$1500,설정!$L$5+ROW()-1,설정!$L$11)),INDEX(원자료_잔고!$A$1:$EZ$1500,설정!$L$5+ROW()-1,설정!$L$11),""),"")</f>
        <v>3500000</v>
      </c>
      <c r="F86" s="85" t="n">
        <f aca="false">IFERROR(IF(ISNUMBER(INDEX(원자료_잔고!$A$1:$EZ$1500,설정!$L$5+ROW()-1,설정!$L$12)),INDEX(원자료_잔고!$A$1:$EZ$1500,설정!$L$5+ROW()-1,설정!$L$12),""),"")</f>
        <v>96.6805</v>
      </c>
      <c r="G86" s="85" t="n">
        <f aca="false">IFERROR(IF(ISNUMBER(INDEX(원자료_잔고!$A$1:$EZ$1500,설정!$L$5+ROW()-1,설정!$L$13)),INDEX(원자료_잔고!$A$1:$EZ$1500,설정!$L$5+ROW()-1,설정!$L$13),""),"")</f>
        <v>6.0589</v>
      </c>
      <c r="H86" s="85" t="n">
        <f aca="false">IFERROR(IF(ISNUMBER(INDEX(원자료_잔고!$A$1:$EZ$1500,설정!$L$5+ROW()-1,설정!$L$14)),INDEX(원자료_잔고!$A$1:$EZ$1500,설정!$L$5+ROW()-1,설정!$L$14),""),"")</f>
        <v>3.9976</v>
      </c>
      <c r="I86" s="86" t="n">
        <f aca="false">IFERROR(IF(ISNUMBER(INDEX(원자료_잔고!$A$1:$EZ$1500,설정!$L$5+ROW()-1,설정!$L$15)),INDEX(원자료_잔고!$A$1:$EZ$1500,설정!$L$5+ROW()-1,설정!$L$15),""),"")</f>
        <v>48035</v>
      </c>
      <c r="J86" s="85" t="n">
        <f aca="false">IFERROR(IF(ISNUMBER(INDEX(원자료_잔고!$A$1:$EZ$1500,설정!$L$5+ROW()-1,설정!$L$16)),INDEX(원자료_잔고!$A$1:$EZ$1500,설정!$L$5+ROW()-1,설정!$L$16),""),"")</f>
        <v>5.25</v>
      </c>
      <c r="K86" s="87" t="n">
        <f aca="false">IFERROR(IF(ISNUMBER(INDEX(원자료_잔고!$A$1:$EZ$1500,설정!$L$5+ROW()-1,설정!$L$17)),INDEX(원자료_잔고!$A$1:$EZ$1500,설정!$L$5+ROW()-1,설정!$L$17),""),"")</f>
        <v>1</v>
      </c>
      <c r="L86" s="84" t="n">
        <f aca="false">IFERROR(IF(ISNUMBER(INDEX(원자료_잔고!$A$1:$EZ$1500,설정!$L$5+ROW()-1,설정!$L$18)),INDEX(원자료_잔고!$A$1:$EZ$1500,설정!$L$5+ROW()-1,설정!$L$18),""),"")</f>
        <v>3383817.5</v>
      </c>
      <c r="M86" s="88" t="n">
        <f aca="false">IFERROR(IF(ISNUMBER(INDEX(원자료_잔고!$A$1:$EZ$1500,설정!$L$5+ROW()-1,설정!$L$19)),INDEX(원자료_잔고!$A$1:$EZ$1500,설정!$L$5+ROW()-1,설정!$L$19),""),"")</f>
        <v>-89897.5</v>
      </c>
      <c r="N86" s="83" t="str">
        <f aca="false">IFERROR(IF(INDEX(원자료_잔고!$A$1:$EZ$1500,설정!$L$5+ROW()-1,설정!$L$21)&amp;""="0","",INDEX(원자료_잔고!$A$1:$EZ$1500,설정!$L$5+ROW()-1,설정!$L$21)&amp;""),"")</f>
        <v/>
      </c>
      <c r="O86" s="83" t="str">
        <f aca="false">IFERROR(IF(INDEX(원자료_잔고!$A$1:$EZ$1500,설정!$L$5+ROW()-1,설정!$L$22)&amp;""="0","",INDEX(원자료_잔고!$A$1:$EZ$1500,설정!$L$5+ROW()-1,설정!$L$22)&amp;""),"")</f>
        <v/>
      </c>
      <c r="P86" s="83" t="str">
        <f aca="false">IFERROR(IF(INDEX(원자료_잔고!$A$1:$EZ$1500,설정!$L$5+ROW()-1,설정!$L$23)&amp;""="0","",INDEX(원자료_잔고!$A$1:$EZ$1500,설정!$L$5+ROW()-1,설정!$L$23)&amp;""),"")</f>
        <v>BBB</v>
      </c>
      <c r="Q86" s="89" t="n">
        <f aca="false">IF(AND($A86&lt;&gt;"",ISNUMBER(E86)),IF(E86&gt;0,1,0),0)</f>
        <v>1</v>
      </c>
      <c r="R86" s="43" t="str">
        <f aca="false">IF(Q86=1,UPPER(LEFT($A86,FIND(" ",$A86&amp;" ")-1)),"")</f>
        <v>DAESEC</v>
      </c>
      <c r="S86" s="89" t="n">
        <f aca="false">IF(Q86=1,IF(OR(ISNUMBER(SEARCH("Float",$A86)),ISNUMBER(SEARCH("FRN",$A86))),1,0),0)</f>
        <v>0</v>
      </c>
      <c r="T86" s="43" t="str">
        <f aca="false">IF(AND(Q86=1,ISNUMBER(I86)),TEXT(I86,"yyyymmdd")&amp;"|"&amp;IF(S86=1,"F",TEXT(J86,"0.000")),"")</f>
        <v>20310706|5.250</v>
      </c>
      <c r="U86" s="90" t="n">
        <f aca="false">IF(AND(Q86=1,ISNUMBER(I86)),(I86-설정!$C$4)/365.25,"")</f>
        <v>4.76112251882272</v>
      </c>
      <c r="V86" s="43" t="str">
        <f aca="false">IF(Q86&lt;&gt;1,"",IF(ISNUMBER(U86),IF(U86&lt;=1,"1년 이하",IF(U86&lt;=2,"1-2년",IF(U86&lt;=3,"2-3년",IF(U86&lt;=4,"3-4년",IF(U86&lt;=5,"4-5년",IF(U86&lt;=7,"5-7년",IF(U86&lt;=10,"7-10년",IF(U86&lt;=20,"10-20년","20년 이상")))))))),"미분류"))</f>
        <v>4-5년</v>
      </c>
      <c r="W86" s="43" t="str">
        <f aca="false">IF(Q86&lt;&gt;1,"",IF(AB86&lt;&gt;"",INDEX(시장분석!$C:$C,AB86),IF(K86=1,"USD","비USD")))</f>
        <v>USD</v>
      </c>
      <c r="X86" s="91" t="n">
        <f aca="false">IF(Q86=1,E86*K86/1000000,0)</f>
        <v>3.5</v>
      </c>
      <c r="Y86" s="89" t="n">
        <f aca="false">IF(R86="T",1,0)</f>
        <v>0</v>
      </c>
      <c r="Z86" s="92" t="n">
        <f aca="false">IF(Q86&lt;&gt;1,"",IF(AD86=1,IF(ISNUMBER(U86),MAX(U86,0),H86),H86))</f>
        <v>3.9976</v>
      </c>
      <c r="AA86" s="91" t="n">
        <f aca="false">IF(Q86=1,IF(ISNUMBER(L86),L86,0)*K86/1000000,0)</f>
        <v>3.3838175</v>
      </c>
      <c r="AB86" s="89" t="n">
        <f aca="false">IF(Q86&lt;&gt;1,"",IFERROR(MATCH(VLOOKUP(B86,매핑!$H$4:$I$15,2,0),시장분석!$A$2:$A$601,0)+1,IFERROR(MATCH(R86&amp;"|"&amp;T86,시장분석!$V$2:$V$601,0)+1,IF(COUNTIF(시장분석!$U$2:$U$601,T86)=1,MATCH(T86,시장분석!$U$2:$U$601,0)+1,""))))</f>
        <v>260</v>
      </c>
      <c r="AC86" s="89" t="n">
        <f aca="false">IF(Q86&lt;&gt;1,0,IF(OR(설정!$C$5="전체",AND(설정!$C$5="선택펀드",IFERROR(COUNTIFS(설정!$F$16:$F$36,C86,설정!$G$16:$G$36,"Y")+COUNTIFS(설정!$F$16:$F$36,VALUE(C86),설정!$G$16:$G$36,"Y"),0)&gt;0),C86&amp;""=설정!$C$5&amp;""),1,0))</f>
        <v>1</v>
      </c>
      <c r="AD86" s="89" t="n">
        <f aca="false">IF(Q86&lt;&gt;1,0,IF(OR(S86=1,IF(AB86="",FALSE(),INDEX(시장분석!$R:$R,AB86)=1)),1,0))</f>
        <v>0</v>
      </c>
      <c r="AE86" s="43" t="str">
        <f aca="false">IF(AB86="","",INDEX(시장분석!$A:$A,AB86))</f>
        <v>DAESEC 5 1/4 07/06/31</v>
      </c>
      <c r="AF86" s="93" t="n">
        <f aca="false">IF(AB86="","",IF(ISNUMBER(IF(AB86="","",INDEX(시장분석!$E:$E,AB86))),IF(AB86="","",INDEX(시장분석!$E:$E,AB86)),""))</f>
        <v>102.298</v>
      </c>
      <c r="AG86" s="43" t="str">
        <f aca="false">IF(Q86&lt;&gt;1,"",IF(AB86&lt;&gt;"",IF(AB86="","",INDEX(시장분석!$L:$L,AB86)),IFERROR(IF(VLOOKUP(R86,매핑!$A$4:$E$92,5,0)="","미분류",VLOOKUP(R86,매핑!$A$4:$E$92,5,0)),"미분류")))</f>
        <v>금융기관</v>
      </c>
      <c r="AH86" s="43" t="str">
        <f aca="false">IF(Q86&lt;&gt;1,"",IF(AB86&lt;&gt;"",IF(AB86="","",INDEX(시장분석!$N:$N,AB86)),IFERROR(IF(VLOOKUP(R86,매핑!$A$4:$E$92,4,0)="","미분류",VLOOKUP(R86,매핑!$A$4:$E$92,4,0)),"미분류")))</f>
        <v>아시아/기타</v>
      </c>
      <c r="AI86" s="43" t="str">
        <f aca="false">IF(Q86&lt;&gt;1,"",IFERROR(IF(VLOOKUP(R86,매핑!$A$4:$E$92,3,0)="","미분류",VLOOKUP(R86,매핑!$A$4:$E$92,3,0)),IF(AB86&lt;&gt;"",IF(AB86="","",INDEX(시장분석!$W:$W,AB86)),"미분류")))</f>
        <v>한국</v>
      </c>
      <c r="AJ86" s="43" t="str">
        <f aca="false">IF(Q86&lt;&gt;1,"",IFERROR(VLOOKUP(IF(N86&lt;&gt;"",N86,IF(P86&lt;&gt;"",P86,O86)),설정!$A$15:$D$47,2,0),""))</f>
        <v>BBB</v>
      </c>
      <c r="AK86" s="43" t="str">
        <f aca="false">IF(Q86&lt;&gt;1,"",IF(AJ86="","무등급",IFERROR(VLOOKUP(AJ86,설정!$A$15:$D$47,3,0),"무등급")))</f>
        <v>BBB</v>
      </c>
      <c r="AL86" s="89" t="n">
        <f aca="false">IF(AJ86="",99,IFERROR(VLOOKUP(AJ86,설정!$A$15:$D$47,4,0),99))</f>
        <v>9</v>
      </c>
      <c r="AM86" s="94" t="n">
        <f aca="false">IF(ISNUMBER(H86),AA86*1000000*H86/10000,0)</f>
        <v>1352.7148838</v>
      </c>
      <c r="AN86" s="94" t="n">
        <f aca="false">IF(OR(Y86=1,NOT(ISNUMBER(Z86))),0,AA86*1000000*Z86/10000)</f>
        <v>1352.7148838</v>
      </c>
      <c r="AO86" s="94" t="n">
        <f aca="false">IF(ISNUMBER(G86),AA86*1000000*G86/100,0)</f>
        <v>205022.1185075</v>
      </c>
      <c r="AP86" s="94" t="n">
        <f aca="false">IF(ISNUMBER(M86),M86*K86,0)</f>
        <v>-89897.5</v>
      </c>
      <c r="AQ86" s="95" t="n">
        <f aca="false">IF(AB86="","",INDEX(시장분석!$AK:$AK,AB86))</f>
        <v>1.57259550005133</v>
      </c>
      <c r="AR86" s="43" t="str">
        <f aca="false">IF(AB86="","-",IF(AB86="","",INDEX(시장분석!$AL:$AL,AB86)))</f>
        <v>Cheap</v>
      </c>
      <c r="AS86" s="96" t="n">
        <f aca="false">IF(AB86="","",INDEX(시장분석!$AJ:$AJ,AB86))</f>
        <v>32.1966716457596</v>
      </c>
      <c r="AT86" s="93" t="n">
        <f aca="false">IF(AB86="",0,IF(AB86="","",INDEX(시장분석!$AN:$AN,AB86)))</f>
        <v>3.78175518865624</v>
      </c>
      <c r="AU86" s="94" t="n">
        <f aca="false">IF(ISNUMBER(Z86),AT86/10000*MAX(Z86-1,0)*AA86*1000000,0)</f>
        <v>3835.9595917741</v>
      </c>
      <c r="AV86" s="94" t="n">
        <f aca="false">AO86+AU86</f>
        <v>208858.078099274</v>
      </c>
      <c r="AW86" s="43" t="str">
        <f aca="false">IF(Q86&lt;&gt;1,"",TRIM(IF(AD86=1,"FRN ","")&amp;IF(AND(AL86&gt;=10,AL86&lt;99),"BBB0미만 ","")&amp;IF(AJ86="","등급없음 ","")&amp;IF(K86&lt;&gt;1,"비USD ","")&amp;IF(AND(AB86="",Y86=0),"시장데이터없음 ","")&amp;IF(AND(ISNUMBER(U86),U86&lt;0),"만기경과 ","")))</f>
        <v/>
      </c>
      <c r="AX86" s="90" t="n">
        <f aca="false">IF(Q86&lt;&gt;1,1,IF(스프레드쇼크!$C$4="Y",INDEX(스프레드쇼크!$B$12:$L$16,IFERROR(MATCH(AH86,스프레드쇼크!$A$12:$A$16,0),MATCH("목록외",스프레드쇼크!$A$12:$A$16,0)),IFERROR(MATCH(AG86,스프레드쇼크!$B$11:$L$11,0),MATCH("목록외",스프레드쇼크!$B$11:$L$11,0))),1))</f>
        <v>1</v>
      </c>
      <c r="AY86" s="90" t="n">
        <f aca="false">IF(스프레드쇼크!$C$5="Y",IF(ISNUMBER(AF86),MIN(스프레드쇼크!$C$7,MAX(스프레드쇼크!$C$6,AF86/스프레드쇼크!$C$8)),1),1)</f>
        <v>1.54729695048701</v>
      </c>
      <c r="AZ86" s="94" t="n">
        <f aca="false">AN86*AX86*AY86</f>
        <v>2093.05161458214</v>
      </c>
      <c r="BA86" s="90" t="n">
        <f aca="false">IF(ISNUMBER(G86),AA86*G86,0)</f>
        <v>20.50221185075</v>
      </c>
      <c r="BB86" s="90" t="n">
        <f aca="false">IF(ISNUMBER(G86),AA86,0)</f>
        <v>3.3838175</v>
      </c>
      <c r="BC86" s="90" t="n">
        <f aca="false">IF(AND(Y86=0,ISNUMBER(AF86)),AA86*AF86,0)</f>
        <v>346.157762615</v>
      </c>
      <c r="BD86" s="90" t="n">
        <f aca="false">IF(AND(Y86=0,ISNUMBER(AF86)),AA86,0)</f>
        <v>3.3838175</v>
      </c>
      <c r="BE86" s="90" t="n">
        <f aca="false">IF(ISNUMBER(H86),AA86*H86,0)</f>
        <v>13.527148838</v>
      </c>
      <c r="BF86" s="90" t="n">
        <f aca="false">IF(ISNUMBER(H86),AA86,0)</f>
        <v>3.3838175</v>
      </c>
      <c r="BG86" s="90" t="n">
        <f aca="false">IF(AND(Y86=0,ISNUMBER(AF86),ISNUMBER(Z86)),AA86*Z86,0)</f>
        <v>13.527148838</v>
      </c>
      <c r="BH86" s="90" t="n">
        <f aca="false">IF(AND(Y86=0,ISNUMBER(AF86),ISNUMBER(Z86)),AA86*AT86*MAX(Z86-1,0),0)</f>
        <v>38.359595917741</v>
      </c>
      <c r="BI86" s="90" t="n">
        <f aca="false">IF(Y86=0,AA86,0)</f>
        <v>3.3838175</v>
      </c>
    </row>
    <row r="87" customFormat="false" ht="15" hidden="false" customHeight="false" outlineLevel="0" collapsed="false">
      <c r="A87" s="83" t="str">
        <f aca="false">IFERROR(IF(INDEX(원자료_잔고!$A$1:$EZ$1500,설정!$L$5+ROW()-1,설정!$L$8)&amp;""="0","",INDEX(원자료_잔고!$A$1:$EZ$1500,설정!$L$5+ROW()-1,설정!$L$8)&amp;""),"")</f>
        <v>DAESEC 5.25 07/06/31</v>
      </c>
      <c r="B87" s="83" t="str">
        <f aca="false">IFERROR(IF(INDEX(원자료_잔고!$A$1:$EZ$1500,설정!$L$5+ROW()-1,설정!$L$7)&amp;""="0","",INDEX(원자료_잔고!$A$1:$EZ$1500,설정!$L$5+ROW()-1,설정!$L$7)&amp;""),"")</f>
        <v>XS3412559299</v>
      </c>
      <c r="C87" s="83" t="str">
        <f aca="false">IFERROR(IF(INDEX(원자료_잔고!$A$1:$EZ$1500,설정!$L$5+ROW()-1,설정!$L$9)&amp;""="0","",INDEX(원자료_잔고!$A$1:$EZ$1500,설정!$L$5+ROW()-1,설정!$L$9)&amp;""),"")</f>
        <v>28096</v>
      </c>
      <c r="D8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7" s="84" t="n">
        <f aca="false">IFERROR(IF(ISNUMBER(INDEX(원자료_잔고!$A$1:$EZ$1500,설정!$L$5+ROW()-1,설정!$L$11)),INDEX(원자료_잔고!$A$1:$EZ$1500,설정!$L$5+ROW()-1,설정!$L$11),""),"")</f>
        <v>3000000</v>
      </c>
      <c r="F87" s="85" t="n">
        <f aca="false">IFERROR(IF(ISNUMBER(INDEX(원자료_잔고!$A$1:$EZ$1500,설정!$L$5+ROW()-1,설정!$L$12)),INDEX(원자료_잔고!$A$1:$EZ$1500,설정!$L$5+ROW()-1,설정!$L$12),""),"")</f>
        <v>96.6805</v>
      </c>
      <c r="G87" s="85" t="n">
        <f aca="false">IFERROR(IF(ISNUMBER(INDEX(원자료_잔고!$A$1:$EZ$1500,설정!$L$5+ROW()-1,설정!$L$13)),INDEX(원자료_잔고!$A$1:$EZ$1500,설정!$L$5+ROW()-1,설정!$L$13),""),"")</f>
        <v>6.0589</v>
      </c>
      <c r="H87" s="85" t="n">
        <f aca="false">IFERROR(IF(ISNUMBER(INDEX(원자료_잔고!$A$1:$EZ$1500,설정!$L$5+ROW()-1,설정!$L$14)),INDEX(원자료_잔고!$A$1:$EZ$1500,설정!$L$5+ROW()-1,설정!$L$14),""),"")</f>
        <v>3.9976</v>
      </c>
      <c r="I87" s="86" t="n">
        <f aca="false">IFERROR(IF(ISNUMBER(INDEX(원자료_잔고!$A$1:$EZ$1500,설정!$L$5+ROW()-1,설정!$L$15)),INDEX(원자료_잔고!$A$1:$EZ$1500,설정!$L$5+ROW()-1,설정!$L$15),""),"")</f>
        <v>48035</v>
      </c>
      <c r="J87" s="85" t="n">
        <f aca="false">IFERROR(IF(ISNUMBER(INDEX(원자료_잔고!$A$1:$EZ$1500,설정!$L$5+ROW()-1,설정!$L$16)),INDEX(원자료_잔고!$A$1:$EZ$1500,설정!$L$5+ROW()-1,설정!$L$16),""),"")</f>
        <v>5.25</v>
      </c>
      <c r="K87" s="87" t="n">
        <f aca="false">IFERROR(IF(ISNUMBER(INDEX(원자료_잔고!$A$1:$EZ$1500,설정!$L$5+ROW()-1,설정!$L$17)),INDEX(원자료_잔고!$A$1:$EZ$1500,설정!$L$5+ROW()-1,설정!$L$17),""),"")</f>
        <v>1</v>
      </c>
      <c r="L87" s="84" t="n">
        <f aca="false">IFERROR(IF(ISNUMBER(INDEX(원자료_잔고!$A$1:$EZ$1500,설정!$L$5+ROW()-1,설정!$L$18)),INDEX(원자료_잔고!$A$1:$EZ$1500,설정!$L$5+ROW()-1,설정!$L$18),""),"")</f>
        <v>2900415</v>
      </c>
      <c r="M87" s="88" t="n">
        <f aca="false">IFERROR(IF(ISNUMBER(INDEX(원자료_잔고!$A$1:$EZ$1500,설정!$L$5+ROW()-1,설정!$L$19)),INDEX(원자료_잔고!$A$1:$EZ$1500,설정!$L$5+ROW()-1,설정!$L$19),""),"")</f>
        <v>-74198.17</v>
      </c>
      <c r="N87" s="83" t="str">
        <f aca="false">IFERROR(IF(INDEX(원자료_잔고!$A$1:$EZ$1500,설정!$L$5+ROW()-1,설정!$L$21)&amp;""="0","",INDEX(원자료_잔고!$A$1:$EZ$1500,설정!$L$5+ROW()-1,설정!$L$21)&amp;""),"")</f>
        <v/>
      </c>
      <c r="O87" s="83" t="str">
        <f aca="false">IFERROR(IF(INDEX(원자료_잔고!$A$1:$EZ$1500,설정!$L$5+ROW()-1,설정!$L$22)&amp;""="0","",INDEX(원자료_잔고!$A$1:$EZ$1500,설정!$L$5+ROW()-1,설정!$L$22)&amp;""),"")</f>
        <v/>
      </c>
      <c r="P87" s="83" t="str">
        <f aca="false">IFERROR(IF(INDEX(원자료_잔고!$A$1:$EZ$1500,설정!$L$5+ROW()-1,설정!$L$23)&amp;""="0","",INDEX(원자료_잔고!$A$1:$EZ$1500,설정!$L$5+ROW()-1,설정!$L$23)&amp;""),"")</f>
        <v>BBB</v>
      </c>
      <c r="Q87" s="89" t="n">
        <f aca="false">IF(AND($A87&lt;&gt;"",ISNUMBER(E87)),IF(E87&gt;0,1,0),0)</f>
        <v>1</v>
      </c>
      <c r="R87" s="43" t="str">
        <f aca="false">IF(Q87=1,UPPER(LEFT($A87,FIND(" ",$A87&amp;" ")-1)),"")</f>
        <v>DAESEC</v>
      </c>
      <c r="S87" s="89" t="n">
        <f aca="false">IF(Q87=1,IF(OR(ISNUMBER(SEARCH("Float",$A87)),ISNUMBER(SEARCH("FRN",$A87))),1,0),0)</f>
        <v>0</v>
      </c>
      <c r="T87" s="43" t="str">
        <f aca="false">IF(AND(Q87=1,ISNUMBER(I87)),TEXT(I87,"yyyymmdd")&amp;"|"&amp;IF(S87=1,"F",TEXT(J87,"0.000")),"")</f>
        <v>20310706|5.250</v>
      </c>
      <c r="U87" s="90" t="n">
        <f aca="false">IF(AND(Q87=1,ISNUMBER(I87)),(I87-설정!$C$4)/365.25,"")</f>
        <v>4.76112251882272</v>
      </c>
      <c r="V87" s="43" t="str">
        <f aca="false">IF(Q87&lt;&gt;1,"",IF(ISNUMBER(U87),IF(U87&lt;=1,"1년 이하",IF(U87&lt;=2,"1-2년",IF(U87&lt;=3,"2-3년",IF(U87&lt;=4,"3-4년",IF(U87&lt;=5,"4-5년",IF(U87&lt;=7,"5-7년",IF(U87&lt;=10,"7-10년",IF(U87&lt;=20,"10-20년","20년 이상")))))))),"미분류"))</f>
        <v>4-5년</v>
      </c>
      <c r="W87" s="43" t="str">
        <f aca="false">IF(Q87&lt;&gt;1,"",IF(AB87&lt;&gt;"",INDEX(시장분석!$C:$C,AB87),IF(K87=1,"USD","비USD")))</f>
        <v>USD</v>
      </c>
      <c r="X87" s="91" t="n">
        <f aca="false">IF(Q87=1,E87*K87/1000000,0)</f>
        <v>3</v>
      </c>
      <c r="Y87" s="89" t="n">
        <f aca="false">IF(R87="T",1,0)</f>
        <v>0</v>
      </c>
      <c r="Z87" s="92" t="n">
        <f aca="false">IF(Q87&lt;&gt;1,"",IF(AD87=1,IF(ISNUMBER(U87),MAX(U87,0),H87),H87))</f>
        <v>3.9976</v>
      </c>
      <c r="AA87" s="91" t="n">
        <f aca="false">IF(Q87=1,IF(ISNUMBER(L87),L87,0)*K87/1000000,0)</f>
        <v>2.900415</v>
      </c>
      <c r="AB87" s="89" t="n">
        <f aca="false">IF(Q87&lt;&gt;1,"",IFERROR(MATCH(VLOOKUP(B87,매핑!$H$4:$I$15,2,0),시장분석!$A$2:$A$601,0)+1,IFERROR(MATCH(R87&amp;"|"&amp;T87,시장분석!$V$2:$V$601,0)+1,IF(COUNTIF(시장분석!$U$2:$U$601,T87)=1,MATCH(T87,시장분석!$U$2:$U$601,0)+1,""))))</f>
        <v>260</v>
      </c>
      <c r="AC87" s="89" t="n">
        <f aca="false">IF(Q87&lt;&gt;1,0,IF(OR(설정!$C$5="전체",AND(설정!$C$5="선택펀드",IFERROR(COUNTIFS(설정!$F$16:$F$36,C87,설정!$G$16:$G$36,"Y")+COUNTIFS(설정!$F$16:$F$36,VALUE(C87),설정!$G$16:$G$36,"Y"),0)&gt;0),C87&amp;""=설정!$C$5&amp;""),1,0))</f>
        <v>1</v>
      </c>
      <c r="AD87" s="89" t="n">
        <f aca="false">IF(Q87&lt;&gt;1,0,IF(OR(S87=1,IF(AB87="",FALSE(),INDEX(시장분석!$R:$R,AB87)=1)),1,0))</f>
        <v>0</v>
      </c>
      <c r="AE87" s="43" t="str">
        <f aca="false">IF(AB87="","",INDEX(시장분석!$A:$A,AB87))</f>
        <v>DAESEC 5 1/4 07/06/31</v>
      </c>
      <c r="AF87" s="93" t="n">
        <f aca="false">IF(AB87="","",IF(ISNUMBER(IF(AB87="","",INDEX(시장분석!$E:$E,AB87))),IF(AB87="","",INDEX(시장분석!$E:$E,AB87)),""))</f>
        <v>102.298</v>
      </c>
      <c r="AG87" s="43" t="str">
        <f aca="false">IF(Q87&lt;&gt;1,"",IF(AB87&lt;&gt;"",IF(AB87="","",INDEX(시장분석!$L:$L,AB87)),IFERROR(IF(VLOOKUP(R87,매핑!$A$4:$E$92,5,0)="","미분류",VLOOKUP(R87,매핑!$A$4:$E$92,5,0)),"미분류")))</f>
        <v>금융기관</v>
      </c>
      <c r="AH87" s="43" t="str">
        <f aca="false">IF(Q87&lt;&gt;1,"",IF(AB87&lt;&gt;"",IF(AB87="","",INDEX(시장분석!$N:$N,AB87)),IFERROR(IF(VLOOKUP(R87,매핑!$A$4:$E$92,4,0)="","미분류",VLOOKUP(R87,매핑!$A$4:$E$92,4,0)),"미분류")))</f>
        <v>아시아/기타</v>
      </c>
      <c r="AI87" s="43" t="str">
        <f aca="false">IF(Q87&lt;&gt;1,"",IFERROR(IF(VLOOKUP(R87,매핑!$A$4:$E$92,3,0)="","미분류",VLOOKUP(R87,매핑!$A$4:$E$92,3,0)),IF(AB87&lt;&gt;"",IF(AB87="","",INDEX(시장분석!$W:$W,AB87)),"미분류")))</f>
        <v>한국</v>
      </c>
      <c r="AJ87" s="43" t="str">
        <f aca="false">IF(Q87&lt;&gt;1,"",IFERROR(VLOOKUP(IF(N87&lt;&gt;"",N87,IF(P87&lt;&gt;"",P87,O87)),설정!$A$15:$D$47,2,0),""))</f>
        <v>BBB</v>
      </c>
      <c r="AK87" s="43" t="str">
        <f aca="false">IF(Q87&lt;&gt;1,"",IF(AJ87="","무등급",IFERROR(VLOOKUP(AJ87,설정!$A$15:$D$47,3,0),"무등급")))</f>
        <v>BBB</v>
      </c>
      <c r="AL87" s="89" t="n">
        <f aca="false">IF(AJ87="",99,IFERROR(VLOOKUP(AJ87,설정!$A$15:$D$47,4,0),99))</f>
        <v>9</v>
      </c>
      <c r="AM87" s="94" t="n">
        <f aca="false">IF(ISNUMBER(H87),AA87*1000000*H87/10000,0)</f>
        <v>1159.4699004</v>
      </c>
      <c r="AN87" s="94" t="n">
        <f aca="false">IF(OR(Y87=1,NOT(ISNUMBER(Z87))),0,AA87*1000000*Z87/10000)</f>
        <v>1159.4699004</v>
      </c>
      <c r="AO87" s="94" t="n">
        <f aca="false">IF(ISNUMBER(G87),AA87*1000000*G87/100,0)</f>
        <v>175733.244435</v>
      </c>
      <c r="AP87" s="94" t="n">
        <f aca="false">IF(ISNUMBER(M87),M87*K87,0)</f>
        <v>-74198.17</v>
      </c>
      <c r="AQ87" s="95" t="n">
        <f aca="false">IF(AB87="","",INDEX(시장분석!$AK:$AK,AB87))</f>
        <v>1.57259550005133</v>
      </c>
      <c r="AR87" s="43" t="str">
        <f aca="false">IF(AB87="","-",IF(AB87="","",INDEX(시장분석!$AL:$AL,AB87)))</f>
        <v>Cheap</v>
      </c>
      <c r="AS87" s="96" t="n">
        <f aca="false">IF(AB87="","",INDEX(시장분석!$AJ:$AJ,AB87))</f>
        <v>32.1966716457596</v>
      </c>
      <c r="AT87" s="93" t="n">
        <f aca="false">IF(AB87="",0,IF(AB87="","",INDEX(시장분석!$AN:$AN,AB87)))</f>
        <v>3.78175518865624</v>
      </c>
      <c r="AU87" s="94" t="n">
        <f aca="false">IF(ISNUMBER(Z87),AT87/10000*MAX(Z87-1,0)*AA87*1000000,0)</f>
        <v>3287.9653643778</v>
      </c>
      <c r="AV87" s="94" t="n">
        <f aca="false">AO87+AU87</f>
        <v>179021.209799378</v>
      </c>
      <c r="AW87" s="43" t="str">
        <f aca="false">IF(Q87&lt;&gt;1,"",TRIM(IF(AD87=1,"FRN ","")&amp;IF(AND(AL87&gt;=10,AL87&lt;99),"BBB0미만 ","")&amp;IF(AJ87="","등급없음 ","")&amp;IF(K87&lt;&gt;1,"비USD ","")&amp;IF(AND(AB87="",Y87=0),"시장데이터없음 ","")&amp;IF(AND(ISNUMBER(U87),U87&lt;0),"만기경과 ","")))</f>
        <v/>
      </c>
      <c r="AX87" s="90" t="n">
        <f aca="false">IF(Q87&lt;&gt;1,1,IF(스프레드쇼크!$C$4="Y",INDEX(스프레드쇼크!$B$12:$L$16,IFERROR(MATCH(AH87,스프레드쇼크!$A$12:$A$16,0),MATCH("목록외",스프레드쇼크!$A$12:$A$16,0)),IFERROR(MATCH(AG87,스프레드쇼크!$B$11:$L$11,0),MATCH("목록외",스프레드쇼크!$B$11:$L$11,0))),1))</f>
        <v>1</v>
      </c>
      <c r="AY87" s="90" t="n">
        <f aca="false">IF(스프레드쇼크!$C$5="Y",IF(ISNUMBER(AF87),MIN(스프레드쇼크!$C$7,MAX(스프레드쇼크!$C$6,AF87/스프레드쇼크!$C$8)),1),1)</f>
        <v>1.54729695048701</v>
      </c>
      <c r="AZ87" s="94" t="n">
        <f aca="false">AN87*AX87*AY87</f>
        <v>1794.0442410704</v>
      </c>
      <c r="BA87" s="90" t="n">
        <f aca="false">IF(ISNUMBER(G87),AA87*G87,0)</f>
        <v>17.5733244435</v>
      </c>
      <c r="BB87" s="90" t="n">
        <f aca="false">IF(ISNUMBER(G87),AA87,0)</f>
        <v>2.900415</v>
      </c>
      <c r="BC87" s="90" t="n">
        <f aca="false">IF(AND(Y87=0,ISNUMBER(AF87)),AA87*AF87,0)</f>
        <v>296.70665367</v>
      </c>
      <c r="BD87" s="90" t="n">
        <f aca="false">IF(AND(Y87=0,ISNUMBER(AF87)),AA87,0)</f>
        <v>2.900415</v>
      </c>
      <c r="BE87" s="90" t="n">
        <f aca="false">IF(ISNUMBER(H87),AA87*H87,0)</f>
        <v>11.594699004</v>
      </c>
      <c r="BF87" s="90" t="n">
        <f aca="false">IF(ISNUMBER(H87),AA87,0)</f>
        <v>2.900415</v>
      </c>
      <c r="BG87" s="90" t="n">
        <f aca="false">IF(AND(Y87=0,ISNUMBER(AF87),ISNUMBER(Z87)),AA87*Z87,0)</f>
        <v>11.594699004</v>
      </c>
      <c r="BH87" s="90" t="n">
        <f aca="false">IF(AND(Y87=0,ISNUMBER(AF87),ISNUMBER(Z87)),AA87*AT87*MAX(Z87-1,0),0)</f>
        <v>32.879653643778</v>
      </c>
      <c r="BI87" s="90" t="n">
        <f aca="false">IF(Y87=0,AA87,0)</f>
        <v>2.900415</v>
      </c>
    </row>
    <row r="88" customFormat="false" ht="15" hidden="false" customHeight="false" outlineLevel="0" collapsed="false">
      <c r="A88" s="83" t="str">
        <f aca="false">IFERROR(IF(INDEX(원자료_잔고!$A$1:$EZ$1500,설정!$L$5+ROW()-1,설정!$L$8)&amp;""="0","",INDEX(원자료_잔고!$A$1:$EZ$1500,설정!$L$5+ROW()-1,설정!$L$8)&amp;""),"")</f>
        <v>DAESEC 5.25 07/06/31</v>
      </c>
      <c r="B88" s="83" t="str">
        <f aca="false">IFERROR(IF(INDEX(원자료_잔고!$A$1:$EZ$1500,설정!$L$5+ROW()-1,설정!$L$7)&amp;""="0","",INDEX(원자료_잔고!$A$1:$EZ$1500,설정!$L$5+ROW()-1,설정!$L$7)&amp;""),"")</f>
        <v>XS3412559299</v>
      </c>
      <c r="C88" s="83" t="str">
        <f aca="false">IFERROR(IF(INDEX(원자료_잔고!$A$1:$EZ$1500,설정!$L$5+ROW()-1,설정!$L$9)&amp;""="0","",INDEX(원자료_잔고!$A$1:$EZ$1500,설정!$L$5+ROW()-1,설정!$L$9)&amp;""),"")</f>
        <v>28096</v>
      </c>
      <c r="D8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8" s="84" t="n">
        <f aca="false">IFERROR(IF(ISNUMBER(INDEX(원자료_잔고!$A$1:$EZ$1500,설정!$L$5+ROW()-1,설정!$L$11)),INDEX(원자료_잔고!$A$1:$EZ$1500,설정!$L$5+ROW()-1,설정!$L$11),""),"")</f>
        <v>2000000</v>
      </c>
      <c r="F88" s="85" t="n">
        <f aca="false">IFERROR(IF(ISNUMBER(INDEX(원자료_잔고!$A$1:$EZ$1500,설정!$L$5+ROW()-1,설정!$L$12)),INDEX(원자료_잔고!$A$1:$EZ$1500,설정!$L$5+ROW()-1,설정!$L$12),""),"")</f>
        <v>96.6805</v>
      </c>
      <c r="G88" s="85" t="n">
        <f aca="false">IFERROR(IF(ISNUMBER(INDEX(원자료_잔고!$A$1:$EZ$1500,설정!$L$5+ROW()-1,설정!$L$13)),INDEX(원자료_잔고!$A$1:$EZ$1500,설정!$L$5+ROW()-1,설정!$L$13),""),"")</f>
        <v>6.0589</v>
      </c>
      <c r="H88" s="85" t="n">
        <f aca="false">IFERROR(IF(ISNUMBER(INDEX(원자료_잔고!$A$1:$EZ$1500,설정!$L$5+ROW()-1,설정!$L$14)),INDEX(원자료_잔고!$A$1:$EZ$1500,설정!$L$5+ROW()-1,설정!$L$14),""),"")</f>
        <v>3.9976</v>
      </c>
      <c r="I88" s="86" t="n">
        <f aca="false">IFERROR(IF(ISNUMBER(INDEX(원자료_잔고!$A$1:$EZ$1500,설정!$L$5+ROW()-1,설정!$L$15)),INDEX(원자료_잔고!$A$1:$EZ$1500,설정!$L$5+ROW()-1,설정!$L$15),""),"")</f>
        <v>48035</v>
      </c>
      <c r="J88" s="85" t="n">
        <f aca="false">IFERROR(IF(ISNUMBER(INDEX(원자료_잔고!$A$1:$EZ$1500,설정!$L$5+ROW()-1,설정!$L$16)),INDEX(원자료_잔고!$A$1:$EZ$1500,설정!$L$5+ROW()-1,설정!$L$16),""),"")</f>
        <v>5.25</v>
      </c>
      <c r="K88" s="87" t="n">
        <f aca="false">IFERROR(IF(ISNUMBER(INDEX(원자료_잔고!$A$1:$EZ$1500,설정!$L$5+ROW()-1,설정!$L$17)),INDEX(원자료_잔고!$A$1:$EZ$1500,설정!$L$5+ROW()-1,설정!$L$17),""),"")</f>
        <v>1</v>
      </c>
      <c r="L88" s="84" t="n">
        <f aca="false">IFERROR(IF(ISNUMBER(INDEX(원자료_잔고!$A$1:$EZ$1500,설정!$L$5+ROW()-1,설정!$L$18)),INDEX(원자료_잔고!$A$1:$EZ$1500,설정!$L$5+ROW()-1,설정!$L$18),""),"")</f>
        <v>1933610</v>
      </c>
      <c r="M88" s="88" t="n">
        <f aca="false">IFERROR(IF(ISNUMBER(INDEX(원자료_잔고!$A$1:$EZ$1500,설정!$L$5+ROW()-1,설정!$L$19)),INDEX(원자료_잔고!$A$1:$EZ$1500,설정!$L$5+ROW()-1,설정!$L$19),""),"")</f>
        <v>-51293.47</v>
      </c>
      <c r="N88" s="83" t="str">
        <f aca="false">IFERROR(IF(INDEX(원자료_잔고!$A$1:$EZ$1500,설정!$L$5+ROW()-1,설정!$L$21)&amp;""="0","",INDEX(원자료_잔고!$A$1:$EZ$1500,설정!$L$5+ROW()-1,설정!$L$21)&amp;""),"")</f>
        <v/>
      </c>
      <c r="O88" s="83" t="str">
        <f aca="false">IFERROR(IF(INDEX(원자료_잔고!$A$1:$EZ$1500,설정!$L$5+ROW()-1,설정!$L$22)&amp;""="0","",INDEX(원자료_잔고!$A$1:$EZ$1500,설정!$L$5+ROW()-1,설정!$L$22)&amp;""),"")</f>
        <v/>
      </c>
      <c r="P88" s="83" t="str">
        <f aca="false">IFERROR(IF(INDEX(원자료_잔고!$A$1:$EZ$1500,설정!$L$5+ROW()-1,설정!$L$23)&amp;""="0","",INDEX(원자료_잔고!$A$1:$EZ$1500,설정!$L$5+ROW()-1,설정!$L$23)&amp;""),"")</f>
        <v>BBB</v>
      </c>
      <c r="Q88" s="89" t="n">
        <f aca="false">IF(AND($A88&lt;&gt;"",ISNUMBER(E88)),IF(E88&gt;0,1,0),0)</f>
        <v>1</v>
      </c>
      <c r="R88" s="43" t="str">
        <f aca="false">IF(Q88=1,UPPER(LEFT($A88,FIND(" ",$A88&amp;" ")-1)),"")</f>
        <v>DAESEC</v>
      </c>
      <c r="S88" s="89" t="n">
        <f aca="false">IF(Q88=1,IF(OR(ISNUMBER(SEARCH("Float",$A88)),ISNUMBER(SEARCH("FRN",$A88))),1,0),0)</f>
        <v>0</v>
      </c>
      <c r="T88" s="43" t="str">
        <f aca="false">IF(AND(Q88=1,ISNUMBER(I88)),TEXT(I88,"yyyymmdd")&amp;"|"&amp;IF(S88=1,"F",TEXT(J88,"0.000")),"")</f>
        <v>20310706|5.250</v>
      </c>
      <c r="U88" s="90" t="n">
        <f aca="false">IF(AND(Q88=1,ISNUMBER(I88)),(I88-설정!$C$4)/365.25,"")</f>
        <v>4.76112251882272</v>
      </c>
      <c r="V88" s="43" t="str">
        <f aca="false">IF(Q88&lt;&gt;1,"",IF(ISNUMBER(U88),IF(U88&lt;=1,"1년 이하",IF(U88&lt;=2,"1-2년",IF(U88&lt;=3,"2-3년",IF(U88&lt;=4,"3-4년",IF(U88&lt;=5,"4-5년",IF(U88&lt;=7,"5-7년",IF(U88&lt;=10,"7-10년",IF(U88&lt;=20,"10-20년","20년 이상")))))))),"미분류"))</f>
        <v>4-5년</v>
      </c>
      <c r="W88" s="43" t="str">
        <f aca="false">IF(Q88&lt;&gt;1,"",IF(AB88&lt;&gt;"",INDEX(시장분석!$C:$C,AB88),IF(K88=1,"USD","비USD")))</f>
        <v>USD</v>
      </c>
      <c r="X88" s="91" t="n">
        <f aca="false">IF(Q88=1,E88*K88/1000000,0)</f>
        <v>2</v>
      </c>
      <c r="Y88" s="89" t="n">
        <f aca="false">IF(R88="T",1,0)</f>
        <v>0</v>
      </c>
      <c r="Z88" s="92" t="n">
        <f aca="false">IF(Q88&lt;&gt;1,"",IF(AD88=1,IF(ISNUMBER(U88),MAX(U88,0),H88),H88))</f>
        <v>3.9976</v>
      </c>
      <c r="AA88" s="91" t="n">
        <f aca="false">IF(Q88=1,IF(ISNUMBER(L88),L88,0)*K88/1000000,0)</f>
        <v>1.93361</v>
      </c>
      <c r="AB88" s="89" t="n">
        <f aca="false">IF(Q88&lt;&gt;1,"",IFERROR(MATCH(VLOOKUP(B88,매핑!$H$4:$I$15,2,0),시장분석!$A$2:$A$601,0)+1,IFERROR(MATCH(R88&amp;"|"&amp;T88,시장분석!$V$2:$V$601,0)+1,IF(COUNTIF(시장분석!$U$2:$U$601,T88)=1,MATCH(T88,시장분석!$U$2:$U$601,0)+1,""))))</f>
        <v>260</v>
      </c>
      <c r="AC88" s="89" t="n">
        <f aca="false">IF(Q88&lt;&gt;1,0,IF(OR(설정!$C$5="전체",AND(설정!$C$5="선택펀드",IFERROR(COUNTIFS(설정!$F$16:$F$36,C88,설정!$G$16:$G$36,"Y")+COUNTIFS(설정!$F$16:$F$36,VALUE(C88),설정!$G$16:$G$36,"Y"),0)&gt;0),C88&amp;""=설정!$C$5&amp;""),1,0))</f>
        <v>1</v>
      </c>
      <c r="AD88" s="89" t="n">
        <f aca="false">IF(Q88&lt;&gt;1,0,IF(OR(S88=1,IF(AB88="",FALSE(),INDEX(시장분석!$R:$R,AB88)=1)),1,0))</f>
        <v>0</v>
      </c>
      <c r="AE88" s="43" t="str">
        <f aca="false">IF(AB88="","",INDEX(시장분석!$A:$A,AB88))</f>
        <v>DAESEC 5 1/4 07/06/31</v>
      </c>
      <c r="AF88" s="93" t="n">
        <f aca="false">IF(AB88="","",IF(ISNUMBER(IF(AB88="","",INDEX(시장분석!$E:$E,AB88))),IF(AB88="","",INDEX(시장분석!$E:$E,AB88)),""))</f>
        <v>102.298</v>
      </c>
      <c r="AG88" s="43" t="str">
        <f aca="false">IF(Q88&lt;&gt;1,"",IF(AB88&lt;&gt;"",IF(AB88="","",INDEX(시장분석!$L:$L,AB88)),IFERROR(IF(VLOOKUP(R88,매핑!$A$4:$E$92,5,0)="","미분류",VLOOKUP(R88,매핑!$A$4:$E$92,5,0)),"미분류")))</f>
        <v>금융기관</v>
      </c>
      <c r="AH88" s="43" t="str">
        <f aca="false">IF(Q88&lt;&gt;1,"",IF(AB88&lt;&gt;"",IF(AB88="","",INDEX(시장분석!$N:$N,AB88)),IFERROR(IF(VLOOKUP(R88,매핑!$A$4:$E$92,4,0)="","미분류",VLOOKUP(R88,매핑!$A$4:$E$92,4,0)),"미분류")))</f>
        <v>아시아/기타</v>
      </c>
      <c r="AI88" s="43" t="str">
        <f aca="false">IF(Q88&lt;&gt;1,"",IFERROR(IF(VLOOKUP(R88,매핑!$A$4:$E$92,3,0)="","미분류",VLOOKUP(R88,매핑!$A$4:$E$92,3,0)),IF(AB88&lt;&gt;"",IF(AB88="","",INDEX(시장분석!$W:$W,AB88)),"미분류")))</f>
        <v>한국</v>
      </c>
      <c r="AJ88" s="43" t="str">
        <f aca="false">IF(Q88&lt;&gt;1,"",IFERROR(VLOOKUP(IF(N88&lt;&gt;"",N88,IF(P88&lt;&gt;"",P88,O88)),설정!$A$15:$D$47,2,0),""))</f>
        <v>BBB</v>
      </c>
      <c r="AK88" s="43" t="str">
        <f aca="false">IF(Q88&lt;&gt;1,"",IF(AJ88="","무등급",IFERROR(VLOOKUP(AJ88,설정!$A$15:$D$47,3,0),"무등급")))</f>
        <v>BBB</v>
      </c>
      <c r="AL88" s="89" t="n">
        <f aca="false">IF(AJ88="",99,IFERROR(VLOOKUP(AJ88,설정!$A$15:$D$47,4,0),99))</f>
        <v>9</v>
      </c>
      <c r="AM88" s="94" t="n">
        <f aca="false">IF(ISNUMBER(H88),AA88*1000000*H88/10000,0)</f>
        <v>772.9799336</v>
      </c>
      <c r="AN88" s="94" t="n">
        <f aca="false">IF(OR(Y88=1,NOT(ISNUMBER(Z88))),0,AA88*1000000*Z88/10000)</f>
        <v>772.9799336</v>
      </c>
      <c r="AO88" s="94" t="n">
        <f aca="false">IF(ISNUMBER(G88),AA88*1000000*G88/100,0)</f>
        <v>117155.49629</v>
      </c>
      <c r="AP88" s="94" t="n">
        <f aca="false">IF(ISNUMBER(M88),M88*K88,0)</f>
        <v>-51293.47</v>
      </c>
      <c r="AQ88" s="95" t="n">
        <f aca="false">IF(AB88="","",INDEX(시장분석!$AK:$AK,AB88))</f>
        <v>1.57259550005133</v>
      </c>
      <c r="AR88" s="43" t="str">
        <f aca="false">IF(AB88="","-",IF(AB88="","",INDEX(시장분석!$AL:$AL,AB88)))</f>
        <v>Cheap</v>
      </c>
      <c r="AS88" s="96" t="n">
        <f aca="false">IF(AB88="","",INDEX(시장분석!$AJ:$AJ,AB88))</f>
        <v>32.1966716457596</v>
      </c>
      <c r="AT88" s="93" t="n">
        <f aca="false">IF(AB88="",0,IF(AB88="","",INDEX(시장분석!$AN:$AN,AB88)))</f>
        <v>3.78175518865624</v>
      </c>
      <c r="AU88" s="94" t="n">
        <f aca="false">IF(ISNUMBER(Z88),AT88/10000*MAX(Z88-1,0)*AA88*1000000,0)</f>
        <v>2191.9769095852</v>
      </c>
      <c r="AV88" s="94" t="n">
        <f aca="false">AO88+AU88</f>
        <v>119347.473199585</v>
      </c>
      <c r="AW88" s="43" t="str">
        <f aca="false">IF(Q88&lt;&gt;1,"",TRIM(IF(AD88=1,"FRN ","")&amp;IF(AND(AL88&gt;=10,AL88&lt;99),"BBB0미만 ","")&amp;IF(AJ88="","등급없음 ","")&amp;IF(K88&lt;&gt;1,"비USD ","")&amp;IF(AND(AB88="",Y88=0),"시장데이터없음 ","")&amp;IF(AND(ISNUMBER(U88),U88&lt;0),"만기경과 ","")))</f>
        <v/>
      </c>
      <c r="AX88" s="90" t="n">
        <f aca="false">IF(Q88&lt;&gt;1,1,IF(스프레드쇼크!$C$4="Y",INDEX(스프레드쇼크!$B$12:$L$16,IFERROR(MATCH(AH88,스프레드쇼크!$A$12:$A$16,0),MATCH("목록외",스프레드쇼크!$A$12:$A$16,0)),IFERROR(MATCH(AG88,스프레드쇼크!$B$11:$L$11,0),MATCH("목록외",스프레드쇼크!$B$11:$L$11,0))),1))</f>
        <v>1</v>
      </c>
      <c r="AY88" s="90" t="n">
        <f aca="false">IF(스프레드쇼크!$C$5="Y",IF(ISNUMBER(AF88),MIN(스프레드쇼크!$C$7,MAX(스프레드쇼크!$C$6,AF88/스프레드쇼크!$C$8)),1),1)</f>
        <v>1.54729695048701</v>
      </c>
      <c r="AZ88" s="94" t="n">
        <f aca="false">AN88*AX88*AY88</f>
        <v>1196.02949404693</v>
      </c>
      <c r="BA88" s="90" t="n">
        <f aca="false">IF(ISNUMBER(G88),AA88*G88,0)</f>
        <v>11.715549629</v>
      </c>
      <c r="BB88" s="90" t="n">
        <f aca="false">IF(ISNUMBER(G88),AA88,0)</f>
        <v>1.93361</v>
      </c>
      <c r="BC88" s="90" t="n">
        <f aca="false">IF(AND(Y88=0,ISNUMBER(AF88)),AA88*AF88,0)</f>
        <v>197.80443578</v>
      </c>
      <c r="BD88" s="90" t="n">
        <f aca="false">IF(AND(Y88=0,ISNUMBER(AF88)),AA88,0)</f>
        <v>1.93361</v>
      </c>
      <c r="BE88" s="90" t="n">
        <f aca="false">IF(ISNUMBER(H88),AA88*H88,0)</f>
        <v>7.729799336</v>
      </c>
      <c r="BF88" s="90" t="n">
        <f aca="false">IF(ISNUMBER(H88),AA88,0)</f>
        <v>1.93361</v>
      </c>
      <c r="BG88" s="90" t="n">
        <f aca="false">IF(AND(Y88=0,ISNUMBER(AF88),ISNUMBER(Z88)),AA88*Z88,0)</f>
        <v>7.729799336</v>
      </c>
      <c r="BH88" s="90" t="n">
        <f aca="false">IF(AND(Y88=0,ISNUMBER(AF88),ISNUMBER(Z88)),AA88*AT88*MAX(Z88-1,0),0)</f>
        <v>21.919769095852</v>
      </c>
      <c r="BI88" s="90" t="n">
        <f aca="false">IF(Y88=0,AA88,0)</f>
        <v>1.93361</v>
      </c>
    </row>
    <row r="89" customFormat="false" ht="15" hidden="false" customHeight="false" outlineLevel="0" collapsed="false">
      <c r="A89" s="83" t="str">
        <f aca="false">IFERROR(IF(INDEX(원자료_잔고!$A$1:$EZ$1500,설정!$L$5+ROW()-1,설정!$L$8)&amp;""="0","",INDEX(원자료_잔고!$A$1:$EZ$1500,설정!$L$5+ROW()-1,설정!$L$8)&amp;""),"")</f>
        <v>DAESEC 5.25 07/06/31</v>
      </c>
      <c r="B89" s="83" t="str">
        <f aca="false">IFERROR(IF(INDEX(원자료_잔고!$A$1:$EZ$1500,설정!$L$5+ROW()-1,설정!$L$7)&amp;""="0","",INDEX(원자료_잔고!$A$1:$EZ$1500,설정!$L$5+ROW()-1,설정!$L$7)&amp;""),"")</f>
        <v>XS3412559299</v>
      </c>
      <c r="C89" s="83" t="str">
        <f aca="false">IFERROR(IF(INDEX(원자료_잔고!$A$1:$EZ$1500,설정!$L$5+ROW()-1,설정!$L$9)&amp;""="0","",INDEX(원자료_잔고!$A$1:$EZ$1500,설정!$L$5+ROW()-1,설정!$L$9)&amp;""),"")</f>
        <v>28096</v>
      </c>
      <c r="D8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89" s="84" t="n">
        <f aca="false">IFERROR(IF(ISNUMBER(INDEX(원자료_잔고!$A$1:$EZ$1500,설정!$L$5+ROW()-1,설정!$L$11)),INDEX(원자료_잔고!$A$1:$EZ$1500,설정!$L$5+ROW()-1,설정!$L$11),""),"")</f>
        <v>5000000</v>
      </c>
      <c r="F89" s="85" t="n">
        <f aca="false">IFERROR(IF(ISNUMBER(INDEX(원자료_잔고!$A$1:$EZ$1500,설정!$L$5+ROW()-1,설정!$L$12)),INDEX(원자료_잔고!$A$1:$EZ$1500,설정!$L$5+ROW()-1,설정!$L$12),""),"")</f>
        <v>96.6805</v>
      </c>
      <c r="G89" s="85" t="n">
        <f aca="false">IFERROR(IF(ISNUMBER(INDEX(원자료_잔고!$A$1:$EZ$1500,설정!$L$5+ROW()-1,설정!$L$13)),INDEX(원자료_잔고!$A$1:$EZ$1500,설정!$L$5+ROW()-1,설정!$L$13),""),"")</f>
        <v>6.0589</v>
      </c>
      <c r="H89" s="85" t="n">
        <f aca="false">IFERROR(IF(ISNUMBER(INDEX(원자료_잔고!$A$1:$EZ$1500,설정!$L$5+ROW()-1,설정!$L$14)),INDEX(원자료_잔고!$A$1:$EZ$1500,설정!$L$5+ROW()-1,설정!$L$14),""),"")</f>
        <v>3.9976</v>
      </c>
      <c r="I89" s="86" t="n">
        <f aca="false">IFERROR(IF(ISNUMBER(INDEX(원자료_잔고!$A$1:$EZ$1500,설정!$L$5+ROW()-1,설정!$L$15)),INDEX(원자료_잔고!$A$1:$EZ$1500,설정!$L$5+ROW()-1,설정!$L$15),""),"")</f>
        <v>48035</v>
      </c>
      <c r="J89" s="85" t="n">
        <f aca="false">IFERROR(IF(ISNUMBER(INDEX(원자료_잔고!$A$1:$EZ$1500,설정!$L$5+ROW()-1,설정!$L$16)),INDEX(원자료_잔고!$A$1:$EZ$1500,설정!$L$5+ROW()-1,설정!$L$16),""),"")</f>
        <v>5.25</v>
      </c>
      <c r="K89" s="87" t="n">
        <f aca="false">IFERROR(IF(ISNUMBER(INDEX(원자료_잔고!$A$1:$EZ$1500,설정!$L$5+ROW()-1,설정!$L$17)),INDEX(원자료_잔고!$A$1:$EZ$1500,설정!$L$5+ROW()-1,설정!$L$17),""),"")</f>
        <v>1</v>
      </c>
      <c r="L89" s="84" t="n">
        <f aca="false">IFERROR(IF(ISNUMBER(INDEX(원자료_잔고!$A$1:$EZ$1500,설정!$L$5+ROW()-1,설정!$L$18)),INDEX(원자료_잔고!$A$1:$EZ$1500,설정!$L$5+ROW()-1,설정!$L$18),""),"")</f>
        <v>4834025</v>
      </c>
      <c r="M89" s="88" t="n">
        <f aca="false">IFERROR(IF(ISNUMBER(INDEX(원자료_잔고!$A$1:$EZ$1500,설정!$L$5+ROW()-1,설정!$L$19)),INDEX(원자료_잔고!$A$1:$EZ$1500,설정!$L$5+ROW()-1,설정!$L$19),""),"")</f>
        <v>-127622.27</v>
      </c>
      <c r="N89" s="83" t="str">
        <f aca="false">IFERROR(IF(INDEX(원자료_잔고!$A$1:$EZ$1500,설정!$L$5+ROW()-1,설정!$L$21)&amp;""="0","",INDEX(원자료_잔고!$A$1:$EZ$1500,설정!$L$5+ROW()-1,설정!$L$21)&amp;""),"")</f>
        <v/>
      </c>
      <c r="O89" s="83" t="str">
        <f aca="false">IFERROR(IF(INDEX(원자료_잔고!$A$1:$EZ$1500,설정!$L$5+ROW()-1,설정!$L$22)&amp;""="0","",INDEX(원자료_잔고!$A$1:$EZ$1500,설정!$L$5+ROW()-1,설정!$L$22)&amp;""),"")</f>
        <v/>
      </c>
      <c r="P89" s="83" t="str">
        <f aca="false">IFERROR(IF(INDEX(원자료_잔고!$A$1:$EZ$1500,설정!$L$5+ROW()-1,설정!$L$23)&amp;""="0","",INDEX(원자료_잔고!$A$1:$EZ$1500,설정!$L$5+ROW()-1,설정!$L$23)&amp;""),"")</f>
        <v>BBB</v>
      </c>
      <c r="Q89" s="89" t="n">
        <f aca="false">IF(AND($A89&lt;&gt;"",ISNUMBER(E89)),IF(E89&gt;0,1,0),0)</f>
        <v>1</v>
      </c>
      <c r="R89" s="43" t="str">
        <f aca="false">IF(Q89=1,UPPER(LEFT($A89,FIND(" ",$A89&amp;" ")-1)),"")</f>
        <v>DAESEC</v>
      </c>
      <c r="S89" s="89" t="n">
        <f aca="false">IF(Q89=1,IF(OR(ISNUMBER(SEARCH("Float",$A89)),ISNUMBER(SEARCH("FRN",$A89))),1,0),0)</f>
        <v>0</v>
      </c>
      <c r="T89" s="43" t="str">
        <f aca="false">IF(AND(Q89=1,ISNUMBER(I89)),TEXT(I89,"yyyymmdd")&amp;"|"&amp;IF(S89=1,"F",TEXT(J89,"0.000")),"")</f>
        <v>20310706|5.250</v>
      </c>
      <c r="U89" s="90" t="n">
        <f aca="false">IF(AND(Q89=1,ISNUMBER(I89)),(I89-설정!$C$4)/365.25,"")</f>
        <v>4.76112251882272</v>
      </c>
      <c r="V89" s="43" t="str">
        <f aca="false">IF(Q89&lt;&gt;1,"",IF(ISNUMBER(U89),IF(U89&lt;=1,"1년 이하",IF(U89&lt;=2,"1-2년",IF(U89&lt;=3,"2-3년",IF(U89&lt;=4,"3-4년",IF(U89&lt;=5,"4-5년",IF(U89&lt;=7,"5-7년",IF(U89&lt;=10,"7-10년",IF(U89&lt;=20,"10-20년","20년 이상")))))))),"미분류"))</f>
        <v>4-5년</v>
      </c>
      <c r="W89" s="43" t="str">
        <f aca="false">IF(Q89&lt;&gt;1,"",IF(AB89&lt;&gt;"",INDEX(시장분석!$C:$C,AB89),IF(K89=1,"USD","비USD")))</f>
        <v>USD</v>
      </c>
      <c r="X89" s="91" t="n">
        <f aca="false">IF(Q89=1,E89*K89/1000000,0)</f>
        <v>5</v>
      </c>
      <c r="Y89" s="89" t="n">
        <f aca="false">IF(R89="T",1,0)</f>
        <v>0</v>
      </c>
      <c r="Z89" s="92" t="n">
        <f aca="false">IF(Q89&lt;&gt;1,"",IF(AD89=1,IF(ISNUMBER(U89),MAX(U89,0),H89),H89))</f>
        <v>3.9976</v>
      </c>
      <c r="AA89" s="91" t="n">
        <f aca="false">IF(Q89=1,IF(ISNUMBER(L89),L89,0)*K89/1000000,0)</f>
        <v>4.834025</v>
      </c>
      <c r="AB89" s="89" t="n">
        <f aca="false">IF(Q89&lt;&gt;1,"",IFERROR(MATCH(VLOOKUP(B89,매핑!$H$4:$I$15,2,0),시장분석!$A$2:$A$601,0)+1,IFERROR(MATCH(R89&amp;"|"&amp;T89,시장분석!$V$2:$V$601,0)+1,IF(COUNTIF(시장분석!$U$2:$U$601,T89)=1,MATCH(T89,시장분석!$U$2:$U$601,0)+1,""))))</f>
        <v>260</v>
      </c>
      <c r="AC89" s="89" t="n">
        <f aca="false">IF(Q89&lt;&gt;1,0,IF(OR(설정!$C$5="전체",AND(설정!$C$5="선택펀드",IFERROR(COUNTIFS(설정!$F$16:$F$36,C89,설정!$G$16:$G$36,"Y")+COUNTIFS(설정!$F$16:$F$36,VALUE(C89),설정!$G$16:$G$36,"Y"),0)&gt;0),C89&amp;""=설정!$C$5&amp;""),1,0))</f>
        <v>1</v>
      </c>
      <c r="AD89" s="89" t="n">
        <f aca="false">IF(Q89&lt;&gt;1,0,IF(OR(S89=1,IF(AB89="",FALSE(),INDEX(시장분석!$R:$R,AB89)=1)),1,0))</f>
        <v>0</v>
      </c>
      <c r="AE89" s="43" t="str">
        <f aca="false">IF(AB89="","",INDEX(시장분석!$A:$A,AB89))</f>
        <v>DAESEC 5 1/4 07/06/31</v>
      </c>
      <c r="AF89" s="93" t="n">
        <f aca="false">IF(AB89="","",IF(ISNUMBER(IF(AB89="","",INDEX(시장분석!$E:$E,AB89))),IF(AB89="","",INDEX(시장분석!$E:$E,AB89)),""))</f>
        <v>102.298</v>
      </c>
      <c r="AG89" s="43" t="str">
        <f aca="false">IF(Q89&lt;&gt;1,"",IF(AB89&lt;&gt;"",IF(AB89="","",INDEX(시장분석!$L:$L,AB89)),IFERROR(IF(VLOOKUP(R89,매핑!$A$4:$E$92,5,0)="","미분류",VLOOKUP(R89,매핑!$A$4:$E$92,5,0)),"미분류")))</f>
        <v>금융기관</v>
      </c>
      <c r="AH89" s="43" t="str">
        <f aca="false">IF(Q89&lt;&gt;1,"",IF(AB89&lt;&gt;"",IF(AB89="","",INDEX(시장분석!$N:$N,AB89)),IFERROR(IF(VLOOKUP(R89,매핑!$A$4:$E$92,4,0)="","미분류",VLOOKUP(R89,매핑!$A$4:$E$92,4,0)),"미분류")))</f>
        <v>아시아/기타</v>
      </c>
      <c r="AI89" s="43" t="str">
        <f aca="false">IF(Q89&lt;&gt;1,"",IFERROR(IF(VLOOKUP(R89,매핑!$A$4:$E$92,3,0)="","미분류",VLOOKUP(R89,매핑!$A$4:$E$92,3,0)),IF(AB89&lt;&gt;"",IF(AB89="","",INDEX(시장분석!$W:$W,AB89)),"미분류")))</f>
        <v>한국</v>
      </c>
      <c r="AJ89" s="43" t="str">
        <f aca="false">IF(Q89&lt;&gt;1,"",IFERROR(VLOOKUP(IF(N89&lt;&gt;"",N89,IF(P89&lt;&gt;"",P89,O89)),설정!$A$15:$D$47,2,0),""))</f>
        <v>BBB</v>
      </c>
      <c r="AK89" s="43" t="str">
        <f aca="false">IF(Q89&lt;&gt;1,"",IF(AJ89="","무등급",IFERROR(VLOOKUP(AJ89,설정!$A$15:$D$47,3,0),"무등급")))</f>
        <v>BBB</v>
      </c>
      <c r="AL89" s="89" t="n">
        <f aca="false">IF(AJ89="",99,IFERROR(VLOOKUP(AJ89,설정!$A$15:$D$47,4,0),99))</f>
        <v>9</v>
      </c>
      <c r="AM89" s="94" t="n">
        <f aca="false">IF(ISNUMBER(H89),AA89*1000000*H89/10000,0)</f>
        <v>1932.449834</v>
      </c>
      <c r="AN89" s="94" t="n">
        <f aca="false">IF(OR(Y89=1,NOT(ISNUMBER(Z89))),0,AA89*1000000*Z89/10000)</f>
        <v>1932.449834</v>
      </c>
      <c r="AO89" s="94" t="n">
        <f aca="false">IF(ISNUMBER(G89),AA89*1000000*G89/100,0)</f>
        <v>292888.740725</v>
      </c>
      <c r="AP89" s="94" t="n">
        <f aca="false">IF(ISNUMBER(M89),M89*K89,0)</f>
        <v>-127622.27</v>
      </c>
      <c r="AQ89" s="95" t="n">
        <f aca="false">IF(AB89="","",INDEX(시장분석!$AK:$AK,AB89))</f>
        <v>1.57259550005133</v>
      </c>
      <c r="AR89" s="43" t="str">
        <f aca="false">IF(AB89="","-",IF(AB89="","",INDEX(시장분석!$AL:$AL,AB89)))</f>
        <v>Cheap</v>
      </c>
      <c r="AS89" s="96" t="n">
        <f aca="false">IF(AB89="","",INDEX(시장분석!$AJ:$AJ,AB89))</f>
        <v>32.1966716457596</v>
      </c>
      <c r="AT89" s="93" t="n">
        <f aca="false">IF(AB89="",0,IF(AB89="","",INDEX(시장분석!$AN:$AN,AB89)))</f>
        <v>3.78175518865624</v>
      </c>
      <c r="AU89" s="94" t="n">
        <f aca="false">IF(ISNUMBER(Z89),AT89/10000*MAX(Z89-1,0)*AA89*1000000,0)</f>
        <v>5479.942273963</v>
      </c>
      <c r="AV89" s="94" t="n">
        <f aca="false">AO89+AU89</f>
        <v>298368.682998963</v>
      </c>
      <c r="AW89" s="43" t="str">
        <f aca="false">IF(Q89&lt;&gt;1,"",TRIM(IF(AD89=1,"FRN ","")&amp;IF(AND(AL89&gt;=10,AL89&lt;99),"BBB0미만 ","")&amp;IF(AJ89="","등급없음 ","")&amp;IF(K89&lt;&gt;1,"비USD ","")&amp;IF(AND(AB89="",Y89=0),"시장데이터없음 ","")&amp;IF(AND(ISNUMBER(U89),U89&lt;0),"만기경과 ","")))</f>
        <v/>
      </c>
      <c r="AX89" s="90" t="n">
        <f aca="false">IF(Q89&lt;&gt;1,1,IF(스프레드쇼크!$C$4="Y",INDEX(스프레드쇼크!$B$12:$L$16,IFERROR(MATCH(AH89,스프레드쇼크!$A$12:$A$16,0),MATCH("목록외",스프레드쇼크!$A$12:$A$16,0)),IFERROR(MATCH(AG89,스프레드쇼크!$B$11:$L$11,0),MATCH("목록외",스프레드쇼크!$B$11:$L$11,0))),1))</f>
        <v>1</v>
      </c>
      <c r="AY89" s="90" t="n">
        <f aca="false">IF(스프레드쇼크!$C$5="Y",IF(ISNUMBER(AF89),MIN(스프레드쇼크!$C$7,MAX(스프레드쇼크!$C$6,AF89/스프레드쇼크!$C$8)),1),1)</f>
        <v>1.54729695048701</v>
      </c>
      <c r="AZ89" s="94" t="n">
        <f aca="false">AN89*AX89*AY89</f>
        <v>2990.07373511734</v>
      </c>
      <c r="BA89" s="90" t="n">
        <f aca="false">IF(ISNUMBER(G89),AA89*G89,0)</f>
        <v>29.2888740725</v>
      </c>
      <c r="BB89" s="90" t="n">
        <f aca="false">IF(ISNUMBER(G89),AA89,0)</f>
        <v>4.834025</v>
      </c>
      <c r="BC89" s="90" t="n">
        <f aca="false">IF(AND(Y89=0,ISNUMBER(AF89)),AA89*AF89,0)</f>
        <v>494.51108945</v>
      </c>
      <c r="BD89" s="90" t="n">
        <f aca="false">IF(AND(Y89=0,ISNUMBER(AF89)),AA89,0)</f>
        <v>4.834025</v>
      </c>
      <c r="BE89" s="90" t="n">
        <f aca="false">IF(ISNUMBER(H89),AA89*H89,0)</f>
        <v>19.32449834</v>
      </c>
      <c r="BF89" s="90" t="n">
        <f aca="false">IF(ISNUMBER(H89),AA89,0)</f>
        <v>4.834025</v>
      </c>
      <c r="BG89" s="90" t="n">
        <f aca="false">IF(AND(Y89=0,ISNUMBER(AF89),ISNUMBER(Z89)),AA89*Z89,0)</f>
        <v>19.32449834</v>
      </c>
      <c r="BH89" s="90" t="n">
        <f aca="false">IF(AND(Y89=0,ISNUMBER(AF89),ISNUMBER(Z89)),AA89*AT89*MAX(Z89-1,0),0)</f>
        <v>54.79942273963</v>
      </c>
      <c r="BI89" s="90" t="n">
        <f aca="false">IF(Y89=0,AA89,0)</f>
        <v>4.834025</v>
      </c>
    </row>
    <row r="90" customFormat="false" ht="15" hidden="false" customHeight="false" outlineLevel="0" collapsed="false">
      <c r="A90" s="83" t="str">
        <f aca="false">IFERROR(IF(INDEX(원자료_잔고!$A$1:$EZ$1500,설정!$L$5+ROW()-1,설정!$L$8)&amp;""="0","",INDEX(원자료_잔고!$A$1:$EZ$1500,설정!$L$5+ROW()-1,설정!$L$8)&amp;""),"")</f>
        <v>DAESEC 5.25 07/06/31</v>
      </c>
      <c r="B90" s="83" t="str">
        <f aca="false">IFERROR(IF(INDEX(원자료_잔고!$A$1:$EZ$1500,설정!$L$5+ROW()-1,설정!$L$7)&amp;""="0","",INDEX(원자료_잔고!$A$1:$EZ$1500,설정!$L$5+ROW()-1,설정!$L$7)&amp;""),"")</f>
        <v>XS3412559299</v>
      </c>
      <c r="C90" s="83" t="str">
        <f aca="false">IFERROR(IF(INDEX(원자료_잔고!$A$1:$EZ$1500,설정!$L$5+ROW()-1,설정!$L$9)&amp;""="0","",INDEX(원자료_잔고!$A$1:$EZ$1500,설정!$L$5+ROW()-1,설정!$L$9)&amp;""),"")</f>
        <v>28096</v>
      </c>
      <c r="D9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0" s="84" t="n">
        <f aca="false">IFERROR(IF(ISNUMBER(INDEX(원자료_잔고!$A$1:$EZ$1500,설정!$L$5+ROW()-1,설정!$L$11)),INDEX(원자료_잔고!$A$1:$EZ$1500,설정!$L$5+ROW()-1,설정!$L$11),""),"")</f>
        <v>4000000</v>
      </c>
      <c r="F90" s="85" t="n">
        <f aca="false">IFERROR(IF(ISNUMBER(INDEX(원자료_잔고!$A$1:$EZ$1500,설정!$L$5+ROW()-1,설정!$L$12)),INDEX(원자료_잔고!$A$1:$EZ$1500,설정!$L$5+ROW()-1,설정!$L$12),""),"")</f>
        <v>96.6805</v>
      </c>
      <c r="G90" s="85" t="n">
        <f aca="false">IFERROR(IF(ISNUMBER(INDEX(원자료_잔고!$A$1:$EZ$1500,설정!$L$5+ROW()-1,설정!$L$13)),INDEX(원자료_잔고!$A$1:$EZ$1500,설정!$L$5+ROW()-1,설정!$L$13),""),"")</f>
        <v>6.0589</v>
      </c>
      <c r="H90" s="85" t="n">
        <f aca="false">IFERROR(IF(ISNUMBER(INDEX(원자료_잔고!$A$1:$EZ$1500,설정!$L$5+ROW()-1,설정!$L$14)),INDEX(원자료_잔고!$A$1:$EZ$1500,설정!$L$5+ROW()-1,설정!$L$14),""),"")</f>
        <v>3.9976</v>
      </c>
      <c r="I90" s="86" t="n">
        <f aca="false">IFERROR(IF(ISNUMBER(INDEX(원자료_잔고!$A$1:$EZ$1500,설정!$L$5+ROW()-1,설정!$L$15)),INDEX(원자료_잔고!$A$1:$EZ$1500,설정!$L$5+ROW()-1,설정!$L$15),""),"")</f>
        <v>48035</v>
      </c>
      <c r="J90" s="85" t="n">
        <f aca="false">IFERROR(IF(ISNUMBER(INDEX(원자료_잔고!$A$1:$EZ$1500,설정!$L$5+ROW()-1,설정!$L$16)),INDEX(원자료_잔고!$A$1:$EZ$1500,설정!$L$5+ROW()-1,설정!$L$16),""),"")</f>
        <v>5.25</v>
      </c>
      <c r="K90" s="87" t="n">
        <f aca="false">IFERROR(IF(ISNUMBER(INDEX(원자료_잔고!$A$1:$EZ$1500,설정!$L$5+ROW()-1,설정!$L$17)),INDEX(원자료_잔고!$A$1:$EZ$1500,설정!$L$5+ROW()-1,설정!$L$17),""),"")</f>
        <v>1</v>
      </c>
      <c r="L90" s="84" t="n">
        <f aca="false">IFERROR(IF(ISNUMBER(INDEX(원자료_잔고!$A$1:$EZ$1500,설정!$L$5+ROW()-1,설정!$L$18)),INDEX(원자료_잔고!$A$1:$EZ$1500,설정!$L$5+ROW()-1,설정!$L$18),""),"")</f>
        <v>3867220</v>
      </c>
      <c r="M90" s="88" t="n">
        <f aca="false">IFERROR(IF(ISNUMBER(INDEX(원자료_잔고!$A$1:$EZ$1500,설정!$L$5+ROW()-1,설정!$L$19)),INDEX(원자료_잔고!$A$1:$EZ$1500,설정!$L$5+ROW()-1,설정!$L$19),""),"")</f>
        <v>-28558.8</v>
      </c>
      <c r="N90" s="83" t="str">
        <f aca="false">IFERROR(IF(INDEX(원자료_잔고!$A$1:$EZ$1500,설정!$L$5+ROW()-1,설정!$L$21)&amp;""="0","",INDEX(원자료_잔고!$A$1:$EZ$1500,설정!$L$5+ROW()-1,설정!$L$21)&amp;""),"")</f>
        <v/>
      </c>
      <c r="O90" s="83" t="str">
        <f aca="false">IFERROR(IF(INDEX(원자료_잔고!$A$1:$EZ$1500,설정!$L$5+ROW()-1,설정!$L$22)&amp;""="0","",INDEX(원자료_잔고!$A$1:$EZ$1500,설정!$L$5+ROW()-1,설정!$L$22)&amp;""),"")</f>
        <v/>
      </c>
      <c r="P90" s="83" t="str">
        <f aca="false">IFERROR(IF(INDEX(원자료_잔고!$A$1:$EZ$1500,설정!$L$5+ROW()-1,설정!$L$23)&amp;""="0","",INDEX(원자료_잔고!$A$1:$EZ$1500,설정!$L$5+ROW()-1,설정!$L$23)&amp;""),"")</f>
        <v>BBB</v>
      </c>
      <c r="Q90" s="89" t="n">
        <f aca="false">IF(AND($A90&lt;&gt;"",ISNUMBER(E90)),IF(E90&gt;0,1,0),0)</f>
        <v>1</v>
      </c>
      <c r="R90" s="43" t="str">
        <f aca="false">IF(Q90=1,UPPER(LEFT($A90,FIND(" ",$A90&amp;" ")-1)),"")</f>
        <v>DAESEC</v>
      </c>
      <c r="S90" s="89" t="n">
        <f aca="false">IF(Q90=1,IF(OR(ISNUMBER(SEARCH("Float",$A90)),ISNUMBER(SEARCH("FRN",$A90))),1,0),0)</f>
        <v>0</v>
      </c>
      <c r="T90" s="43" t="str">
        <f aca="false">IF(AND(Q90=1,ISNUMBER(I90)),TEXT(I90,"yyyymmdd")&amp;"|"&amp;IF(S90=1,"F",TEXT(J90,"0.000")),"")</f>
        <v>20310706|5.250</v>
      </c>
      <c r="U90" s="90" t="n">
        <f aca="false">IF(AND(Q90=1,ISNUMBER(I90)),(I90-설정!$C$4)/365.25,"")</f>
        <v>4.76112251882272</v>
      </c>
      <c r="V90" s="43" t="str">
        <f aca="false">IF(Q90&lt;&gt;1,"",IF(ISNUMBER(U90),IF(U90&lt;=1,"1년 이하",IF(U90&lt;=2,"1-2년",IF(U90&lt;=3,"2-3년",IF(U90&lt;=4,"3-4년",IF(U90&lt;=5,"4-5년",IF(U90&lt;=7,"5-7년",IF(U90&lt;=10,"7-10년",IF(U90&lt;=20,"10-20년","20년 이상")))))))),"미분류"))</f>
        <v>4-5년</v>
      </c>
      <c r="W90" s="43" t="str">
        <f aca="false">IF(Q90&lt;&gt;1,"",IF(AB90&lt;&gt;"",INDEX(시장분석!$C:$C,AB90),IF(K90=1,"USD","비USD")))</f>
        <v>USD</v>
      </c>
      <c r="X90" s="91" t="n">
        <f aca="false">IF(Q90=1,E90*K90/1000000,0)</f>
        <v>4</v>
      </c>
      <c r="Y90" s="89" t="n">
        <f aca="false">IF(R90="T",1,0)</f>
        <v>0</v>
      </c>
      <c r="Z90" s="92" t="n">
        <f aca="false">IF(Q90&lt;&gt;1,"",IF(AD90=1,IF(ISNUMBER(U90),MAX(U90,0),H90),H90))</f>
        <v>3.9976</v>
      </c>
      <c r="AA90" s="91" t="n">
        <f aca="false">IF(Q90=1,IF(ISNUMBER(L90),L90,0)*K90/1000000,0)</f>
        <v>3.86722</v>
      </c>
      <c r="AB90" s="89" t="n">
        <f aca="false">IF(Q90&lt;&gt;1,"",IFERROR(MATCH(VLOOKUP(B90,매핑!$H$4:$I$15,2,0),시장분석!$A$2:$A$601,0)+1,IFERROR(MATCH(R90&amp;"|"&amp;T90,시장분석!$V$2:$V$601,0)+1,IF(COUNTIF(시장분석!$U$2:$U$601,T90)=1,MATCH(T90,시장분석!$U$2:$U$601,0)+1,""))))</f>
        <v>260</v>
      </c>
      <c r="AC90" s="89" t="n">
        <f aca="false">IF(Q90&lt;&gt;1,0,IF(OR(설정!$C$5="전체",AND(설정!$C$5="선택펀드",IFERROR(COUNTIFS(설정!$F$16:$F$36,C90,설정!$G$16:$G$36,"Y")+COUNTIFS(설정!$F$16:$F$36,VALUE(C90),설정!$G$16:$G$36,"Y"),0)&gt;0),C90&amp;""=설정!$C$5&amp;""),1,0))</f>
        <v>1</v>
      </c>
      <c r="AD90" s="89" t="n">
        <f aca="false">IF(Q90&lt;&gt;1,0,IF(OR(S90=1,IF(AB90="",FALSE(),INDEX(시장분석!$R:$R,AB90)=1)),1,0))</f>
        <v>0</v>
      </c>
      <c r="AE90" s="43" t="str">
        <f aca="false">IF(AB90="","",INDEX(시장분석!$A:$A,AB90))</f>
        <v>DAESEC 5 1/4 07/06/31</v>
      </c>
      <c r="AF90" s="93" t="n">
        <f aca="false">IF(AB90="","",IF(ISNUMBER(IF(AB90="","",INDEX(시장분석!$E:$E,AB90))),IF(AB90="","",INDEX(시장분석!$E:$E,AB90)),""))</f>
        <v>102.298</v>
      </c>
      <c r="AG90" s="43" t="str">
        <f aca="false">IF(Q90&lt;&gt;1,"",IF(AB90&lt;&gt;"",IF(AB90="","",INDEX(시장분석!$L:$L,AB90)),IFERROR(IF(VLOOKUP(R90,매핑!$A$4:$E$92,5,0)="","미분류",VLOOKUP(R90,매핑!$A$4:$E$92,5,0)),"미분류")))</f>
        <v>금융기관</v>
      </c>
      <c r="AH90" s="43" t="str">
        <f aca="false">IF(Q90&lt;&gt;1,"",IF(AB90&lt;&gt;"",IF(AB90="","",INDEX(시장분석!$N:$N,AB90)),IFERROR(IF(VLOOKUP(R90,매핑!$A$4:$E$92,4,0)="","미분류",VLOOKUP(R90,매핑!$A$4:$E$92,4,0)),"미분류")))</f>
        <v>아시아/기타</v>
      </c>
      <c r="AI90" s="43" t="str">
        <f aca="false">IF(Q90&lt;&gt;1,"",IFERROR(IF(VLOOKUP(R90,매핑!$A$4:$E$92,3,0)="","미분류",VLOOKUP(R90,매핑!$A$4:$E$92,3,0)),IF(AB90&lt;&gt;"",IF(AB90="","",INDEX(시장분석!$W:$W,AB90)),"미분류")))</f>
        <v>한국</v>
      </c>
      <c r="AJ90" s="43" t="str">
        <f aca="false">IF(Q90&lt;&gt;1,"",IFERROR(VLOOKUP(IF(N90&lt;&gt;"",N90,IF(P90&lt;&gt;"",P90,O90)),설정!$A$15:$D$47,2,0),""))</f>
        <v>BBB</v>
      </c>
      <c r="AK90" s="43" t="str">
        <f aca="false">IF(Q90&lt;&gt;1,"",IF(AJ90="","무등급",IFERROR(VLOOKUP(AJ90,설정!$A$15:$D$47,3,0),"무등급")))</f>
        <v>BBB</v>
      </c>
      <c r="AL90" s="89" t="n">
        <f aca="false">IF(AJ90="",99,IFERROR(VLOOKUP(AJ90,설정!$A$15:$D$47,4,0),99))</f>
        <v>9</v>
      </c>
      <c r="AM90" s="94" t="n">
        <f aca="false">IF(ISNUMBER(H90),AA90*1000000*H90/10000,0)</f>
        <v>1545.9598672</v>
      </c>
      <c r="AN90" s="94" t="n">
        <f aca="false">IF(OR(Y90=1,NOT(ISNUMBER(Z90))),0,AA90*1000000*Z90/10000)</f>
        <v>1545.9598672</v>
      </c>
      <c r="AO90" s="94" t="n">
        <f aca="false">IF(ISNUMBER(G90),AA90*1000000*G90/100,0)</f>
        <v>234310.99258</v>
      </c>
      <c r="AP90" s="94" t="n">
        <f aca="false">IF(ISNUMBER(M90),M90*K90,0)</f>
        <v>-28558.8</v>
      </c>
      <c r="AQ90" s="95" t="n">
        <f aca="false">IF(AB90="","",INDEX(시장분석!$AK:$AK,AB90))</f>
        <v>1.57259550005133</v>
      </c>
      <c r="AR90" s="43" t="str">
        <f aca="false">IF(AB90="","-",IF(AB90="","",INDEX(시장분석!$AL:$AL,AB90)))</f>
        <v>Cheap</v>
      </c>
      <c r="AS90" s="96" t="n">
        <f aca="false">IF(AB90="","",INDEX(시장분석!$AJ:$AJ,AB90))</f>
        <v>32.1966716457596</v>
      </c>
      <c r="AT90" s="93" t="n">
        <f aca="false">IF(AB90="",0,IF(AB90="","",INDEX(시장분석!$AN:$AN,AB90)))</f>
        <v>3.78175518865624</v>
      </c>
      <c r="AU90" s="94" t="n">
        <f aca="false">IF(ISNUMBER(Z90),AT90/10000*MAX(Z90-1,0)*AA90*1000000,0)</f>
        <v>4383.9538191704</v>
      </c>
      <c r="AV90" s="94" t="n">
        <f aca="false">AO90+AU90</f>
        <v>238694.94639917</v>
      </c>
      <c r="AW90" s="43" t="str">
        <f aca="false">IF(Q90&lt;&gt;1,"",TRIM(IF(AD90=1,"FRN ","")&amp;IF(AND(AL90&gt;=10,AL90&lt;99),"BBB0미만 ","")&amp;IF(AJ90="","등급없음 ","")&amp;IF(K90&lt;&gt;1,"비USD ","")&amp;IF(AND(AB90="",Y90=0),"시장데이터없음 ","")&amp;IF(AND(ISNUMBER(U90),U90&lt;0),"만기경과 ","")))</f>
        <v/>
      </c>
      <c r="AX90" s="90" t="n">
        <f aca="false">IF(Q90&lt;&gt;1,1,IF(스프레드쇼크!$C$4="Y",INDEX(스프레드쇼크!$B$12:$L$16,IFERROR(MATCH(AH90,스프레드쇼크!$A$12:$A$16,0),MATCH("목록외",스프레드쇼크!$A$12:$A$16,0)),IFERROR(MATCH(AG90,스프레드쇼크!$B$11:$L$11,0),MATCH("목록외",스프레드쇼크!$B$11:$L$11,0))),1))</f>
        <v>1</v>
      </c>
      <c r="AY90" s="90" t="n">
        <f aca="false">IF(스프레드쇼크!$C$5="Y",IF(ISNUMBER(AF90),MIN(스프레드쇼크!$C$7,MAX(스프레드쇼크!$C$6,AF90/스프레드쇼크!$C$8)),1),1)</f>
        <v>1.54729695048701</v>
      </c>
      <c r="AZ90" s="94" t="n">
        <f aca="false">AN90*AX90*AY90</f>
        <v>2392.05898809387</v>
      </c>
      <c r="BA90" s="90" t="n">
        <f aca="false">IF(ISNUMBER(G90),AA90*G90,0)</f>
        <v>23.431099258</v>
      </c>
      <c r="BB90" s="90" t="n">
        <f aca="false">IF(ISNUMBER(G90),AA90,0)</f>
        <v>3.86722</v>
      </c>
      <c r="BC90" s="90" t="n">
        <f aca="false">IF(AND(Y90=0,ISNUMBER(AF90)),AA90*AF90,0)</f>
        <v>395.60887156</v>
      </c>
      <c r="BD90" s="90" t="n">
        <f aca="false">IF(AND(Y90=0,ISNUMBER(AF90)),AA90,0)</f>
        <v>3.86722</v>
      </c>
      <c r="BE90" s="90" t="n">
        <f aca="false">IF(ISNUMBER(H90),AA90*H90,0)</f>
        <v>15.459598672</v>
      </c>
      <c r="BF90" s="90" t="n">
        <f aca="false">IF(ISNUMBER(H90),AA90,0)</f>
        <v>3.86722</v>
      </c>
      <c r="BG90" s="90" t="n">
        <f aca="false">IF(AND(Y90=0,ISNUMBER(AF90),ISNUMBER(Z90)),AA90*Z90,0)</f>
        <v>15.459598672</v>
      </c>
      <c r="BH90" s="90" t="n">
        <f aca="false">IF(AND(Y90=0,ISNUMBER(AF90),ISNUMBER(Z90)),AA90*AT90*MAX(Z90-1,0),0)</f>
        <v>43.839538191704</v>
      </c>
      <c r="BI90" s="90" t="n">
        <f aca="false">IF(Y90=0,AA90,0)</f>
        <v>3.86722</v>
      </c>
    </row>
    <row r="91" customFormat="false" ht="15" hidden="false" customHeight="false" outlineLevel="0" collapsed="false">
      <c r="A91" s="83" t="str">
        <f aca="false">IFERROR(IF(INDEX(원자료_잔고!$A$1:$EZ$1500,설정!$L$5+ROW()-1,설정!$L$8)&amp;""="0","",INDEX(원자료_잔고!$A$1:$EZ$1500,설정!$L$5+ROW()-1,설정!$L$8)&amp;""),"")</f>
        <v>NHSECS 5 06/29/31</v>
      </c>
      <c r="B91" s="83" t="str">
        <f aca="false">IFERROR(IF(INDEX(원자료_잔고!$A$1:$EZ$1500,설정!$L$5+ROW()-1,설정!$L$7)&amp;""="0","",INDEX(원자료_잔고!$A$1:$EZ$1500,설정!$L$5+ROW()-1,설정!$L$7)&amp;""),"")</f>
        <v>XS3423950230</v>
      </c>
      <c r="C91" s="83" t="str">
        <f aca="false">IFERROR(IF(INDEX(원자료_잔고!$A$1:$EZ$1500,설정!$L$5+ROW()-1,설정!$L$9)&amp;""="0","",INDEX(원자료_잔고!$A$1:$EZ$1500,설정!$L$5+ROW()-1,설정!$L$9)&amp;""),"")</f>
        <v>28096</v>
      </c>
      <c r="D9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1" s="84" t="n">
        <f aca="false">IFERROR(IF(ISNUMBER(INDEX(원자료_잔고!$A$1:$EZ$1500,설정!$L$5+ROW()-1,설정!$L$11)),INDEX(원자료_잔고!$A$1:$EZ$1500,설정!$L$5+ROW()-1,설정!$L$11),""),"")</f>
        <v>3000000</v>
      </c>
      <c r="F91" s="85" t="n">
        <f aca="false">IFERROR(IF(ISNUMBER(INDEX(원자료_잔고!$A$1:$EZ$1500,설정!$L$5+ROW()-1,설정!$L$12)),INDEX(원자료_잔고!$A$1:$EZ$1500,설정!$L$5+ROW()-1,설정!$L$12),""),"")</f>
        <v>96.3824</v>
      </c>
      <c r="G91" s="85" t="n">
        <f aca="false">IFERROR(IF(ISNUMBER(INDEX(원자료_잔고!$A$1:$EZ$1500,설정!$L$5+ROW()-1,설정!$L$13)),INDEX(원자료_잔고!$A$1:$EZ$1500,설정!$L$5+ROW()-1,설정!$L$13),""),"")</f>
        <v>5.8819</v>
      </c>
      <c r="H91" s="85" t="n">
        <f aca="false">IFERROR(IF(ISNUMBER(INDEX(원자료_잔고!$A$1:$EZ$1500,설정!$L$5+ROW()-1,설정!$L$14)),INDEX(원자료_잔고!$A$1:$EZ$1500,설정!$L$5+ROW()-1,설정!$L$14),""),"")</f>
        <v>4.0049</v>
      </c>
      <c r="I91" s="86" t="n">
        <f aca="false">IFERROR(IF(ISNUMBER(INDEX(원자료_잔고!$A$1:$EZ$1500,설정!$L$5+ROW()-1,설정!$L$15)),INDEX(원자료_잔고!$A$1:$EZ$1500,설정!$L$5+ROW()-1,설정!$L$15),""),"")</f>
        <v>48028</v>
      </c>
      <c r="J91" s="85" t="n">
        <f aca="false">IFERROR(IF(ISNUMBER(INDEX(원자료_잔고!$A$1:$EZ$1500,설정!$L$5+ROW()-1,설정!$L$16)),INDEX(원자료_잔고!$A$1:$EZ$1500,설정!$L$5+ROW()-1,설정!$L$16),""),"")</f>
        <v>5</v>
      </c>
      <c r="K91" s="87" t="n">
        <f aca="false">IFERROR(IF(ISNUMBER(INDEX(원자료_잔고!$A$1:$EZ$1500,설정!$L$5+ROW()-1,설정!$L$17)),INDEX(원자료_잔고!$A$1:$EZ$1500,설정!$L$5+ROW()-1,설정!$L$17),""),"")</f>
        <v>1</v>
      </c>
      <c r="L91" s="84" t="n">
        <f aca="false">IFERROR(IF(ISNUMBER(INDEX(원자료_잔고!$A$1:$EZ$1500,설정!$L$5+ROW()-1,설정!$L$18)),INDEX(원자료_잔고!$A$1:$EZ$1500,설정!$L$5+ROW()-1,설정!$L$18),""),"")</f>
        <v>2891472</v>
      </c>
      <c r="M91" s="88" t="n">
        <f aca="false">IFERROR(IF(ISNUMBER(INDEX(원자료_잔고!$A$1:$EZ$1500,설정!$L$5+ROW()-1,설정!$L$19)),INDEX(원자료_잔고!$A$1:$EZ$1500,설정!$L$5+ROW()-1,설정!$L$19),""),"")</f>
        <v>-103548</v>
      </c>
      <c r="N91" s="83" t="str">
        <f aca="false">IFERROR(IF(INDEX(원자료_잔고!$A$1:$EZ$1500,설정!$L$5+ROW()-1,설정!$L$21)&amp;""="0","",INDEX(원자료_잔고!$A$1:$EZ$1500,설정!$L$5+ROW()-1,설정!$L$21)&amp;""),"")</f>
        <v>A-</v>
      </c>
      <c r="O91" s="83" t="str">
        <f aca="false">IFERROR(IF(INDEX(원자료_잔고!$A$1:$EZ$1500,설정!$L$5+ROW()-1,설정!$L$22)&amp;""="0","",INDEX(원자료_잔고!$A$1:$EZ$1500,설정!$L$5+ROW()-1,설정!$L$22)&amp;""),"")</f>
        <v/>
      </c>
      <c r="P91" s="83" t="str">
        <f aca="false">IFERROR(IF(INDEX(원자료_잔고!$A$1:$EZ$1500,설정!$L$5+ROW()-1,설정!$L$23)&amp;""="0","",INDEX(원자료_잔고!$A$1:$EZ$1500,설정!$L$5+ROW()-1,설정!$L$23)&amp;""),"")</f>
        <v>N/A</v>
      </c>
      <c r="Q91" s="89" t="n">
        <f aca="false">IF(AND($A91&lt;&gt;"",ISNUMBER(E91)),IF(E91&gt;0,1,0),0)</f>
        <v>1</v>
      </c>
      <c r="R91" s="43" t="str">
        <f aca="false">IF(Q91=1,UPPER(LEFT($A91,FIND(" ",$A91&amp;" ")-1)),"")</f>
        <v>NHSECS</v>
      </c>
      <c r="S91" s="89" t="n">
        <f aca="false">IF(Q91=1,IF(OR(ISNUMBER(SEARCH("Float",$A91)),ISNUMBER(SEARCH("FRN",$A91))),1,0),0)</f>
        <v>0</v>
      </c>
      <c r="T91" s="43" t="str">
        <f aca="false">IF(AND(Q91=1,ISNUMBER(I91)),TEXT(I91,"yyyymmdd")&amp;"|"&amp;IF(S91=1,"F",TEXT(J91,"0.000")),"")</f>
        <v>20310629|5.000</v>
      </c>
      <c r="U91" s="90" t="n">
        <f aca="false">IF(AND(Q91=1,ISNUMBER(I91)),(I91-설정!$C$4)/365.25,"")</f>
        <v>4.7419575633128</v>
      </c>
      <c r="V91" s="43" t="str">
        <f aca="false">IF(Q91&lt;&gt;1,"",IF(ISNUMBER(U91),IF(U91&lt;=1,"1년 이하",IF(U91&lt;=2,"1-2년",IF(U91&lt;=3,"2-3년",IF(U91&lt;=4,"3-4년",IF(U91&lt;=5,"4-5년",IF(U91&lt;=7,"5-7년",IF(U91&lt;=10,"7-10년",IF(U91&lt;=20,"10-20년","20년 이상")))))))),"미분류"))</f>
        <v>4-5년</v>
      </c>
      <c r="W91" s="43" t="str">
        <f aca="false">IF(Q91&lt;&gt;1,"",IF(AB91&lt;&gt;"",INDEX(시장분석!$C:$C,AB91),IF(K91=1,"USD","비USD")))</f>
        <v>USD</v>
      </c>
      <c r="X91" s="91" t="n">
        <f aca="false">IF(Q91=1,E91*K91/1000000,0)</f>
        <v>3</v>
      </c>
      <c r="Y91" s="89" t="n">
        <f aca="false">IF(R91="T",1,0)</f>
        <v>0</v>
      </c>
      <c r="Z91" s="92" t="n">
        <f aca="false">IF(Q91&lt;&gt;1,"",IF(AD91=1,IF(ISNUMBER(U91),MAX(U91,0),H91),H91))</f>
        <v>4.0049</v>
      </c>
      <c r="AA91" s="91" t="n">
        <f aca="false">IF(Q91=1,IF(ISNUMBER(L91),L91,0)*K91/1000000,0)</f>
        <v>2.891472</v>
      </c>
      <c r="AB91" s="89" t="n">
        <f aca="false">IF(Q91&lt;&gt;1,"",IFERROR(MATCH(VLOOKUP(B91,매핑!$H$4:$I$15,2,0),시장분석!$A$2:$A$601,0)+1,IFERROR(MATCH(R91&amp;"|"&amp;T91,시장분석!$V$2:$V$601,0)+1,IF(COUNTIF(시장분석!$U$2:$U$601,T91)=1,MATCH(T91,시장분석!$U$2:$U$601,0)+1,""))))</f>
        <v>261</v>
      </c>
      <c r="AC91" s="89" t="n">
        <f aca="false">IF(Q91&lt;&gt;1,0,IF(OR(설정!$C$5="전체",AND(설정!$C$5="선택펀드",IFERROR(COUNTIFS(설정!$F$16:$F$36,C91,설정!$G$16:$G$36,"Y")+COUNTIFS(설정!$F$16:$F$36,VALUE(C91),설정!$G$16:$G$36,"Y"),0)&gt;0),C91&amp;""=설정!$C$5&amp;""),1,0))</f>
        <v>1</v>
      </c>
      <c r="AD91" s="89" t="n">
        <f aca="false">IF(Q91&lt;&gt;1,0,IF(OR(S91=1,IF(AB91="",FALSE(),INDEX(시장분석!$R:$R,AB91)=1)),1,0))</f>
        <v>0</v>
      </c>
      <c r="AE91" s="43" t="str">
        <f aca="false">IF(AB91="","",INDEX(시장분석!$A:$A,AB91))</f>
        <v>NHSECS 5 06/29/31</v>
      </c>
      <c r="AF91" s="93" t="n">
        <f aca="false">IF(AB91="","",IF(ISNUMBER(IF(AB91="","",INDEX(시장분석!$E:$E,AB91))),IF(AB91="","",INDEX(시장분석!$E:$E,AB91)),""))</f>
        <v>87.277</v>
      </c>
      <c r="AG91" s="43" t="str">
        <f aca="false">IF(Q91&lt;&gt;1,"",IF(AB91&lt;&gt;"",IF(AB91="","",INDEX(시장분석!$L:$L,AB91)),IFERROR(IF(VLOOKUP(R91,매핑!$A$4:$E$92,5,0)="","미분류",VLOOKUP(R91,매핑!$A$4:$E$92,5,0)),"미분류")))</f>
        <v>금융기관</v>
      </c>
      <c r="AH91" s="43" t="str">
        <f aca="false">IF(Q91&lt;&gt;1,"",IF(AB91&lt;&gt;"",IF(AB91="","",INDEX(시장분석!$N:$N,AB91)),IFERROR(IF(VLOOKUP(R91,매핑!$A$4:$E$92,4,0)="","미분류",VLOOKUP(R91,매핑!$A$4:$E$92,4,0)),"미분류")))</f>
        <v>아시아/기타</v>
      </c>
      <c r="AI91" s="43" t="str">
        <f aca="false">IF(Q91&lt;&gt;1,"",IFERROR(IF(VLOOKUP(R91,매핑!$A$4:$E$92,3,0)="","미분류",VLOOKUP(R91,매핑!$A$4:$E$92,3,0)),IF(AB91&lt;&gt;"",IF(AB91="","",INDEX(시장분석!$W:$W,AB91)),"미분류")))</f>
        <v>한국</v>
      </c>
      <c r="AJ91" s="43" t="str">
        <f aca="false">IF(Q91&lt;&gt;1,"",IFERROR(VLOOKUP(IF(N91&lt;&gt;"",N91,IF(P91&lt;&gt;"",P91,O91)),설정!$A$15:$D$47,2,0),""))</f>
        <v>A-</v>
      </c>
      <c r="AK91" s="43" t="str">
        <f aca="false">IF(Q91&lt;&gt;1,"",IF(AJ91="","무등급",IFERROR(VLOOKUP(AJ91,설정!$A$15:$D$47,3,0),"무등급")))</f>
        <v>A</v>
      </c>
      <c r="AL91" s="89" t="n">
        <f aca="false">IF(AJ91="",99,IFERROR(VLOOKUP(AJ91,설정!$A$15:$D$47,4,0),99))</f>
        <v>7</v>
      </c>
      <c r="AM91" s="94" t="n">
        <f aca="false">IF(ISNUMBER(H91),AA91*1000000*H91/10000,0)</f>
        <v>1158.00562128</v>
      </c>
      <c r="AN91" s="94" t="n">
        <f aca="false">IF(OR(Y91=1,NOT(ISNUMBER(Z91))),0,AA91*1000000*Z91/10000)</f>
        <v>1158.00562128</v>
      </c>
      <c r="AO91" s="94" t="n">
        <f aca="false">IF(ISNUMBER(G91),AA91*1000000*G91/100,0)</f>
        <v>170073.491568</v>
      </c>
      <c r="AP91" s="94" t="n">
        <f aca="false">IF(ISNUMBER(M91),M91*K91,0)</f>
        <v>-103548</v>
      </c>
      <c r="AQ91" s="95" t="n">
        <f aca="false">IF(AB91="","",INDEX(시장분석!$AK:$AK,AB91))</f>
        <v>0.838433449550237</v>
      </c>
      <c r="AR91" s="43" t="str">
        <f aca="false">IF(AB91="","-",IF(AB91="","",INDEX(시장분석!$AL:$AL,AB91)))</f>
        <v>Fair</v>
      </c>
      <c r="AS91" s="96" t="n">
        <f aca="false">IF(AB91="","",INDEX(시장분석!$AJ:$AJ,AB91))</f>
        <v>17.1657406314016</v>
      </c>
      <c r="AT91" s="93" t="n">
        <f aca="false">IF(AB91="",0,IF(AB91="","",INDEX(시장분석!$AN:$AN,AB91)))</f>
        <v>3.77865610435726</v>
      </c>
      <c r="AU91" s="94" t="n">
        <f aca="false">IF(ISNUMBER(Z91),AT91/10000*MAX(Z91-1,0)*AA91*1000000,0)</f>
        <v>3283.11717739189</v>
      </c>
      <c r="AV91" s="94" t="n">
        <f aca="false">AO91+AU91</f>
        <v>173356.608745392</v>
      </c>
      <c r="AW91" s="43" t="str">
        <f aca="false">IF(Q91&lt;&gt;1,"",TRIM(IF(AD91=1,"FRN ","")&amp;IF(AND(AL91&gt;=10,AL91&lt;99),"BBB0미만 ","")&amp;IF(AJ91="","등급없음 ","")&amp;IF(K91&lt;&gt;1,"비USD ","")&amp;IF(AND(AB91="",Y91=0),"시장데이터없음 ","")&amp;IF(AND(ISNUMBER(U91),U91&lt;0),"만기경과 ","")))</f>
        <v/>
      </c>
      <c r="AX91" s="90" t="n">
        <f aca="false">IF(Q91&lt;&gt;1,1,IF(스프레드쇼크!$C$4="Y",INDEX(스프레드쇼크!$B$12:$L$16,IFERROR(MATCH(AH91,스프레드쇼크!$A$12:$A$16,0),MATCH("목록외",스프레드쇼크!$A$12:$A$16,0)),IFERROR(MATCH(AG91,스프레드쇼크!$B$11:$L$11,0),MATCH("목록외",스프레드쇼크!$B$11:$L$11,0))),1))</f>
        <v>1</v>
      </c>
      <c r="AY91" s="90" t="n">
        <f aca="false">IF(스프레드쇼크!$C$5="Y",IF(ISNUMBER(AF91),MIN(스프레드쇼크!$C$7,MAX(스프레드쇼크!$C$6,AF91/스프레드쇼크!$C$8)),1),1)</f>
        <v>1.32009849603761</v>
      </c>
      <c r="AZ91" s="94" t="n">
        <f aca="false">AN91*AX91*AY91</f>
        <v>1528.68147905482</v>
      </c>
      <c r="BA91" s="90" t="n">
        <f aca="false">IF(ISNUMBER(G91),AA91*G91,0)</f>
        <v>17.0073491568</v>
      </c>
      <c r="BB91" s="90" t="n">
        <f aca="false">IF(ISNUMBER(G91),AA91,0)</f>
        <v>2.891472</v>
      </c>
      <c r="BC91" s="90" t="n">
        <f aca="false">IF(AND(Y91=0,ISNUMBER(AF91)),AA91*AF91,0)</f>
        <v>252.359001744</v>
      </c>
      <c r="BD91" s="90" t="n">
        <f aca="false">IF(AND(Y91=0,ISNUMBER(AF91)),AA91,0)</f>
        <v>2.891472</v>
      </c>
      <c r="BE91" s="90" t="n">
        <f aca="false">IF(ISNUMBER(H91),AA91*H91,0)</f>
        <v>11.5800562128</v>
      </c>
      <c r="BF91" s="90" t="n">
        <f aca="false">IF(ISNUMBER(H91),AA91,0)</f>
        <v>2.891472</v>
      </c>
      <c r="BG91" s="90" t="n">
        <f aca="false">IF(AND(Y91=0,ISNUMBER(AF91),ISNUMBER(Z91)),AA91*Z91,0)</f>
        <v>11.5800562128</v>
      </c>
      <c r="BH91" s="90" t="n">
        <f aca="false">IF(AND(Y91=0,ISNUMBER(AF91),ISNUMBER(Z91)),AA91*AT91*MAX(Z91-1,0),0)</f>
        <v>32.8311717739189</v>
      </c>
      <c r="BI91" s="90" t="n">
        <f aca="false">IF(Y91=0,AA91,0)</f>
        <v>2.891472</v>
      </c>
    </row>
    <row r="92" customFormat="false" ht="15" hidden="false" customHeight="false" outlineLevel="0" collapsed="false">
      <c r="A92" s="83" t="str">
        <f aca="false">IFERROR(IF(INDEX(원자료_잔고!$A$1:$EZ$1500,설정!$L$5+ROW()-1,설정!$L$8)&amp;""="0","",INDEX(원자료_잔고!$A$1:$EZ$1500,설정!$L$5+ROW()-1,설정!$L$8)&amp;""),"")</f>
        <v>NHSECS 5 06/29/31</v>
      </c>
      <c r="B92" s="83" t="str">
        <f aca="false">IFERROR(IF(INDEX(원자료_잔고!$A$1:$EZ$1500,설정!$L$5+ROW()-1,설정!$L$7)&amp;""="0","",INDEX(원자료_잔고!$A$1:$EZ$1500,설정!$L$5+ROW()-1,설정!$L$7)&amp;""),"")</f>
        <v>XS3423950230</v>
      </c>
      <c r="C92" s="83" t="str">
        <f aca="false">IFERROR(IF(INDEX(원자료_잔고!$A$1:$EZ$1500,설정!$L$5+ROW()-1,설정!$L$9)&amp;""="0","",INDEX(원자료_잔고!$A$1:$EZ$1500,설정!$L$5+ROW()-1,설정!$L$9)&amp;""),"")</f>
        <v>28096</v>
      </c>
      <c r="D9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2" s="84" t="n">
        <f aca="false">IFERROR(IF(ISNUMBER(INDEX(원자료_잔고!$A$1:$EZ$1500,설정!$L$5+ROW()-1,설정!$L$11)),INDEX(원자료_잔고!$A$1:$EZ$1500,설정!$L$5+ROW()-1,설정!$L$11),""),"")</f>
        <v>4000000</v>
      </c>
      <c r="F92" s="85" t="n">
        <f aca="false">IFERROR(IF(ISNUMBER(INDEX(원자료_잔고!$A$1:$EZ$1500,설정!$L$5+ROW()-1,설정!$L$12)),INDEX(원자료_잔고!$A$1:$EZ$1500,설정!$L$5+ROW()-1,설정!$L$12),""),"")</f>
        <v>96.3824</v>
      </c>
      <c r="G92" s="85" t="n">
        <f aca="false">IFERROR(IF(ISNUMBER(INDEX(원자료_잔고!$A$1:$EZ$1500,설정!$L$5+ROW()-1,설정!$L$13)),INDEX(원자료_잔고!$A$1:$EZ$1500,설정!$L$5+ROW()-1,설정!$L$13),""),"")</f>
        <v>5.8819</v>
      </c>
      <c r="H92" s="85" t="n">
        <f aca="false">IFERROR(IF(ISNUMBER(INDEX(원자료_잔고!$A$1:$EZ$1500,설정!$L$5+ROW()-1,설정!$L$14)),INDEX(원자료_잔고!$A$1:$EZ$1500,설정!$L$5+ROW()-1,설정!$L$14),""),"")</f>
        <v>4.0049</v>
      </c>
      <c r="I92" s="86" t="n">
        <f aca="false">IFERROR(IF(ISNUMBER(INDEX(원자료_잔고!$A$1:$EZ$1500,설정!$L$5+ROW()-1,설정!$L$15)),INDEX(원자료_잔고!$A$1:$EZ$1500,설정!$L$5+ROW()-1,설정!$L$15),""),"")</f>
        <v>48028</v>
      </c>
      <c r="J92" s="85" t="n">
        <f aca="false">IFERROR(IF(ISNUMBER(INDEX(원자료_잔고!$A$1:$EZ$1500,설정!$L$5+ROW()-1,설정!$L$16)),INDEX(원자료_잔고!$A$1:$EZ$1500,설정!$L$5+ROW()-1,설정!$L$16),""),"")</f>
        <v>5</v>
      </c>
      <c r="K92" s="87" t="n">
        <f aca="false">IFERROR(IF(ISNUMBER(INDEX(원자료_잔고!$A$1:$EZ$1500,설정!$L$5+ROW()-1,설정!$L$17)),INDEX(원자료_잔고!$A$1:$EZ$1500,설정!$L$5+ROW()-1,설정!$L$17),""),"")</f>
        <v>1</v>
      </c>
      <c r="L92" s="84" t="n">
        <f aca="false">IFERROR(IF(ISNUMBER(INDEX(원자료_잔고!$A$1:$EZ$1500,설정!$L$5+ROW()-1,설정!$L$18)),INDEX(원자료_잔고!$A$1:$EZ$1500,설정!$L$5+ROW()-1,설정!$L$18),""),"")</f>
        <v>3855296</v>
      </c>
      <c r="M92" s="88" t="n">
        <f aca="false">IFERROR(IF(ISNUMBER(INDEX(원자료_잔고!$A$1:$EZ$1500,설정!$L$5+ROW()-1,설정!$L$19)),INDEX(원자료_잔고!$A$1:$EZ$1500,설정!$L$5+ROW()-1,설정!$L$19),""),"")</f>
        <v>-96834.91</v>
      </c>
      <c r="N92" s="83" t="str">
        <f aca="false">IFERROR(IF(INDEX(원자료_잔고!$A$1:$EZ$1500,설정!$L$5+ROW()-1,설정!$L$21)&amp;""="0","",INDEX(원자료_잔고!$A$1:$EZ$1500,설정!$L$5+ROW()-1,설정!$L$21)&amp;""),"")</f>
        <v>A-</v>
      </c>
      <c r="O92" s="83" t="str">
        <f aca="false">IFERROR(IF(INDEX(원자료_잔고!$A$1:$EZ$1500,설정!$L$5+ROW()-1,설정!$L$22)&amp;""="0","",INDEX(원자료_잔고!$A$1:$EZ$1500,설정!$L$5+ROW()-1,설정!$L$22)&amp;""),"")</f>
        <v/>
      </c>
      <c r="P92" s="83" t="str">
        <f aca="false">IFERROR(IF(INDEX(원자료_잔고!$A$1:$EZ$1500,설정!$L$5+ROW()-1,설정!$L$23)&amp;""="0","",INDEX(원자료_잔고!$A$1:$EZ$1500,설정!$L$5+ROW()-1,설정!$L$23)&amp;""),"")</f>
        <v>N/A</v>
      </c>
      <c r="Q92" s="89" t="n">
        <f aca="false">IF(AND($A92&lt;&gt;"",ISNUMBER(E92)),IF(E92&gt;0,1,0),0)</f>
        <v>1</v>
      </c>
      <c r="R92" s="43" t="str">
        <f aca="false">IF(Q92=1,UPPER(LEFT($A92,FIND(" ",$A92&amp;" ")-1)),"")</f>
        <v>NHSECS</v>
      </c>
      <c r="S92" s="89" t="n">
        <f aca="false">IF(Q92=1,IF(OR(ISNUMBER(SEARCH("Float",$A92)),ISNUMBER(SEARCH("FRN",$A92))),1,0),0)</f>
        <v>0</v>
      </c>
      <c r="T92" s="43" t="str">
        <f aca="false">IF(AND(Q92=1,ISNUMBER(I92)),TEXT(I92,"yyyymmdd")&amp;"|"&amp;IF(S92=1,"F",TEXT(J92,"0.000")),"")</f>
        <v>20310629|5.000</v>
      </c>
      <c r="U92" s="90" t="n">
        <f aca="false">IF(AND(Q92=1,ISNUMBER(I92)),(I92-설정!$C$4)/365.25,"")</f>
        <v>4.7419575633128</v>
      </c>
      <c r="V92" s="43" t="str">
        <f aca="false">IF(Q92&lt;&gt;1,"",IF(ISNUMBER(U92),IF(U92&lt;=1,"1년 이하",IF(U92&lt;=2,"1-2년",IF(U92&lt;=3,"2-3년",IF(U92&lt;=4,"3-4년",IF(U92&lt;=5,"4-5년",IF(U92&lt;=7,"5-7년",IF(U92&lt;=10,"7-10년",IF(U92&lt;=20,"10-20년","20년 이상")))))))),"미분류"))</f>
        <v>4-5년</v>
      </c>
      <c r="W92" s="43" t="str">
        <f aca="false">IF(Q92&lt;&gt;1,"",IF(AB92&lt;&gt;"",INDEX(시장분석!$C:$C,AB92),IF(K92=1,"USD","비USD")))</f>
        <v>USD</v>
      </c>
      <c r="X92" s="91" t="n">
        <f aca="false">IF(Q92=1,E92*K92/1000000,0)</f>
        <v>4</v>
      </c>
      <c r="Y92" s="89" t="n">
        <f aca="false">IF(R92="T",1,0)</f>
        <v>0</v>
      </c>
      <c r="Z92" s="92" t="n">
        <f aca="false">IF(Q92&lt;&gt;1,"",IF(AD92=1,IF(ISNUMBER(U92),MAX(U92,0),H92),H92))</f>
        <v>4.0049</v>
      </c>
      <c r="AA92" s="91" t="n">
        <f aca="false">IF(Q92=1,IF(ISNUMBER(L92),L92,0)*K92/1000000,0)</f>
        <v>3.855296</v>
      </c>
      <c r="AB92" s="89" t="n">
        <f aca="false">IF(Q92&lt;&gt;1,"",IFERROR(MATCH(VLOOKUP(B92,매핑!$H$4:$I$15,2,0),시장분석!$A$2:$A$601,0)+1,IFERROR(MATCH(R92&amp;"|"&amp;T92,시장분석!$V$2:$V$601,0)+1,IF(COUNTIF(시장분석!$U$2:$U$601,T92)=1,MATCH(T92,시장분석!$U$2:$U$601,0)+1,""))))</f>
        <v>261</v>
      </c>
      <c r="AC92" s="89" t="n">
        <f aca="false">IF(Q92&lt;&gt;1,0,IF(OR(설정!$C$5="전체",AND(설정!$C$5="선택펀드",IFERROR(COUNTIFS(설정!$F$16:$F$36,C92,설정!$G$16:$G$36,"Y")+COUNTIFS(설정!$F$16:$F$36,VALUE(C92),설정!$G$16:$G$36,"Y"),0)&gt;0),C92&amp;""=설정!$C$5&amp;""),1,0))</f>
        <v>1</v>
      </c>
      <c r="AD92" s="89" t="n">
        <f aca="false">IF(Q92&lt;&gt;1,0,IF(OR(S92=1,IF(AB92="",FALSE(),INDEX(시장분석!$R:$R,AB92)=1)),1,0))</f>
        <v>0</v>
      </c>
      <c r="AE92" s="43" t="str">
        <f aca="false">IF(AB92="","",INDEX(시장분석!$A:$A,AB92))</f>
        <v>NHSECS 5 06/29/31</v>
      </c>
      <c r="AF92" s="93" t="n">
        <f aca="false">IF(AB92="","",IF(ISNUMBER(IF(AB92="","",INDEX(시장분석!$E:$E,AB92))),IF(AB92="","",INDEX(시장분석!$E:$E,AB92)),""))</f>
        <v>87.277</v>
      </c>
      <c r="AG92" s="43" t="str">
        <f aca="false">IF(Q92&lt;&gt;1,"",IF(AB92&lt;&gt;"",IF(AB92="","",INDEX(시장분석!$L:$L,AB92)),IFERROR(IF(VLOOKUP(R92,매핑!$A$4:$E$92,5,0)="","미분류",VLOOKUP(R92,매핑!$A$4:$E$92,5,0)),"미분류")))</f>
        <v>금융기관</v>
      </c>
      <c r="AH92" s="43" t="str">
        <f aca="false">IF(Q92&lt;&gt;1,"",IF(AB92&lt;&gt;"",IF(AB92="","",INDEX(시장분석!$N:$N,AB92)),IFERROR(IF(VLOOKUP(R92,매핑!$A$4:$E$92,4,0)="","미분류",VLOOKUP(R92,매핑!$A$4:$E$92,4,0)),"미분류")))</f>
        <v>아시아/기타</v>
      </c>
      <c r="AI92" s="43" t="str">
        <f aca="false">IF(Q92&lt;&gt;1,"",IFERROR(IF(VLOOKUP(R92,매핑!$A$4:$E$92,3,0)="","미분류",VLOOKUP(R92,매핑!$A$4:$E$92,3,0)),IF(AB92&lt;&gt;"",IF(AB92="","",INDEX(시장분석!$W:$W,AB92)),"미분류")))</f>
        <v>한국</v>
      </c>
      <c r="AJ92" s="43" t="str">
        <f aca="false">IF(Q92&lt;&gt;1,"",IFERROR(VLOOKUP(IF(N92&lt;&gt;"",N92,IF(P92&lt;&gt;"",P92,O92)),설정!$A$15:$D$47,2,0),""))</f>
        <v>A-</v>
      </c>
      <c r="AK92" s="43" t="str">
        <f aca="false">IF(Q92&lt;&gt;1,"",IF(AJ92="","무등급",IFERROR(VLOOKUP(AJ92,설정!$A$15:$D$47,3,0),"무등급")))</f>
        <v>A</v>
      </c>
      <c r="AL92" s="89" t="n">
        <f aca="false">IF(AJ92="",99,IFERROR(VLOOKUP(AJ92,설정!$A$15:$D$47,4,0),99))</f>
        <v>7</v>
      </c>
      <c r="AM92" s="94" t="n">
        <f aca="false">IF(ISNUMBER(H92),AA92*1000000*H92/10000,0)</f>
        <v>1544.00749504</v>
      </c>
      <c r="AN92" s="94" t="n">
        <f aca="false">IF(OR(Y92=1,NOT(ISNUMBER(Z92))),0,AA92*1000000*Z92/10000)</f>
        <v>1544.00749504</v>
      </c>
      <c r="AO92" s="94" t="n">
        <f aca="false">IF(ISNUMBER(G92),AA92*1000000*G92/100,0)</f>
        <v>226764.655424</v>
      </c>
      <c r="AP92" s="94" t="n">
        <f aca="false">IF(ISNUMBER(M92),M92*K92,0)</f>
        <v>-96834.91</v>
      </c>
      <c r="AQ92" s="95" t="n">
        <f aca="false">IF(AB92="","",INDEX(시장분석!$AK:$AK,AB92))</f>
        <v>0.838433449550237</v>
      </c>
      <c r="AR92" s="43" t="str">
        <f aca="false">IF(AB92="","-",IF(AB92="","",INDEX(시장분석!$AL:$AL,AB92)))</f>
        <v>Fair</v>
      </c>
      <c r="AS92" s="96" t="n">
        <f aca="false">IF(AB92="","",INDEX(시장분석!$AJ:$AJ,AB92))</f>
        <v>17.1657406314016</v>
      </c>
      <c r="AT92" s="93" t="n">
        <f aca="false">IF(AB92="",0,IF(AB92="","",INDEX(시장분석!$AN:$AN,AB92)))</f>
        <v>3.77865610435726</v>
      </c>
      <c r="AU92" s="94" t="n">
        <f aca="false">IF(ISNUMBER(Z92),AT92/10000*MAX(Z92-1,0)*AA92*1000000,0)</f>
        <v>4377.48956985585</v>
      </c>
      <c r="AV92" s="94" t="n">
        <f aca="false">AO92+AU92</f>
        <v>231142.144993856</v>
      </c>
      <c r="AW92" s="43" t="str">
        <f aca="false">IF(Q92&lt;&gt;1,"",TRIM(IF(AD92=1,"FRN ","")&amp;IF(AND(AL92&gt;=10,AL92&lt;99),"BBB0미만 ","")&amp;IF(AJ92="","등급없음 ","")&amp;IF(K92&lt;&gt;1,"비USD ","")&amp;IF(AND(AB92="",Y92=0),"시장데이터없음 ","")&amp;IF(AND(ISNUMBER(U92),U92&lt;0),"만기경과 ","")))</f>
        <v/>
      </c>
      <c r="AX92" s="90" t="n">
        <f aca="false">IF(Q92&lt;&gt;1,1,IF(스프레드쇼크!$C$4="Y",INDEX(스프레드쇼크!$B$12:$L$16,IFERROR(MATCH(AH92,스프레드쇼크!$A$12:$A$16,0),MATCH("목록외",스프레드쇼크!$A$12:$A$16,0)),IFERROR(MATCH(AG92,스프레드쇼크!$B$11:$L$11,0),MATCH("목록외",스프레드쇼크!$B$11:$L$11,0))),1))</f>
        <v>1</v>
      </c>
      <c r="AY92" s="90" t="n">
        <f aca="false">IF(스프레드쇼크!$C$5="Y",IF(ISNUMBER(AF92),MIN(스프레드쇼크!$C$7,MAX(스프레드쇼크!$C$6,AF92/스프레드쇼크!$C$8)),1),1)</f>
        <v>1.32009849603761</v>
      </c>
      <c r="AZ92" s="94" t="n">
        <f aca="false">AN92*AX92*AY92</f>
        <v>2038.2419720731</v>
      </c>
      <c r="BA92" s="90" t="n">
        <f aca="false">IF(ISNUMBER(G92),AA92*G92,0)</f>
        <v>22.6764655424</v>
      </c>
      <c r="BB92" s="90" t="n">
        <f aca="false">IF(ISNUMBER(G92),AA92,0)</f>
        <v>3.855296</v>
      </c>
      <c r="BC92" s="90" t="n">
        <f aca="false">IF(AND(Y92=0,ISNUMBER(AF92)),AA92*AF92,0)</f>
        <v>336.478668992</v>
      </c>
      <c r="BD92" s="90" t="n">
        <f aca="false">IF(AND(Y92=0,ISNUMBER(AF92)),AA92,0)</f>
        <v>3.855296</v>
      </c>
      <c r="BE92" s="90" t="n">
        <f aca="false">IF(ISNUMBER(H92),AA92*H92,0)</f>
        <v>15.4400749504</v>
      </c>
      <c r="BF92" s="90" t="n">
        <f aca="false">IF(ISNUMBER(H92),AA92,0)</f>
        <v>3.855296</v>
      </c>
      <c r="BG92" s="90" t="n">
        <f aca="false">IF(AND(Y92=0,ISNUMBER(AF92),ISNUMBER(Z92)),AA92*Z92,0)</f>
        <v>15.4400749504</v>
      </c>
      <c r="BH92" s="90" t="n">
        <f aca="false">IF(AND(Y92=0,ISNUMBER(AF92),ISNUMBER(Z92)),AA92*AT92*MAX(Z92-1,0),0)</f>
        <v>43.7748956985585</v>
      </c>
      <c r="BI92" s="90" t="n">
        <f aca="false">IF(Y92=0,AA92,0)</f>
        <v>3.855296</v>
      </c>
    </row>
    <row r="93" customFormat="false" ht="15" hidden="false" customHeight="false" outlineLevel="0" collapsed="false">
      <c r="A93" s="83" t="str">
        <f aca="false">IFERROR(IF(INDEX(원자료_잔고!$A$1:$EZ$1500,설정!$L$5+ROW()-1,설정!$L$8)&amp;""="0","",INDEX(원자료_잔고!$A$1:$EZ$1500,설정!$L$5+ROW()-1,설정!$L$8)&amp;""),"")</f>
        <v>NHSECS 4.875 06/29/29</v>
      </c>
      <c r="B93" s="83" t="str">
        <f aca="false">IFERROR(IF(INDEX(원자료_잔고!$A$1:$EZ$1500,설정!$L$5+ROW()-1,설정!$L$7)&amp;""="0","",INDEX(원자료_잔고!$A$1:$EZ$1500,설정!$L$5+ROW()-1,설정!$L$7)&amp;""),"")</f>
        <v>XS3423950313</v>
      </c>
      <c r="C93" s="83" t="str">
        <f aca="false">IFERROR(IF(INDEX(원자료_잔고!$A$1:$EZ$1500,설정!$L$5+ROW()-1,설정!$L$9)&amp;""="0","",INDEX(원자료_잔고!$A$1:$EZ$1500,설정!$L$5+ROW()-1,설정!$L$9)&amp;""),"")</f>
        <v>28096</v>
      </c>
      <c r="D9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3" s="84" t="n">
        <f aca="false">IFERROR(IF(ISNUMBER(INDEX(원자료_잔고!$A$1:$EZ$1500,설정!$L$5+ROW()-1,설정!$L$11)),INDEX(원자료_잔고!$A$1:$EZ$1500,설정!$L$5+ROW()-1,설정!$L$11),""),"")</f>
        <v>3000000</v>
      </c>
      <c r="F93" s="85" t="n">
        <f aca="false">IFERROR(IF(ISNUMBER(INDEX(원자료_잔고!$A$1:$EZ$1500,설정!$L$5+ROW()-1,설정!$L$12)),INDEX(원자료_잔고!$A$1:$EZ$1500,설정!$L$5+ROW()-1,설정!$L$12),""),"")</f>
        <v>98.1322</v>
      </c>
      <c r="G93" s="85" t="n">
        <f aca="false">IFERROR(IF(ISNUMBER(INDEX(원자료_잔고!$A$1:$EZ$1500,설정!$L$5+ROW()-1,설정!$L$13)),INDEX(원자료_잔고!$A$1:$EZ$1500,설정!$L$5+ROW()-1,설정!$L$13),""),"")</f>
        <v>5.6143</v>
      </c>
      <c r="H93" s="85" t="n">
        <f aca="false">IFERROR(IF(ISNUMBER(INDEX(원자료_잔고!$A$1:$EZ$1500,설정!$L$5+ROW()-1,설정!$L$14)),INDEX(원자료_잔고!$A$1:$EZ$1500,설정!$L$5+ROW()-1,설정!$L$14),""),"")</f>
        <v>2.4465</v>
      </c>
      <c r="I93" s="86" t="n">
        <f aca="false">IFERROR(IF(ISNUMBER(INDEX(원자료_잔고!$A$1:$EZ$1500,설정!$L$5+ROW()-1,설정!$L$15)),INDEX(원자료_잔고!$A$1:$EZ$1500,설정!$L$5+ROW()-1,설정!$L$15),""),"")</f>
        <v>47298</v>
      </c>
      <c r="J93" s="85" t="n">
        <f aca="false">IFERROR(IF(ISNUMBER(INDEX(원자료_잔고!$A$1:$EZ$1500,설정!$L$5+ROW()-1,설정!$L$16)),INDEX(원자료_잔고!$A$1:$EZ$1500,설정!$L$5+ROW()-1,설정!$L$16),""),"")</f>
        <v>4.875</v>
      </c>
      <c r="K93" s="87" t="n">
        <f aca="false">IFERROR(IF(ISNUMBER(INDEX(원자료_잔고!$A$1:$EZ$1500,설정!$L$5+ROW()-1,설정!$L$17)),INDEX(원자료_잔고!$A$1:$EZ$1500,설정!$L$5+ROW()-1,설정!$L$17),""),"")</f>
        <v>1</v>
      </c>
      <c r="L93" s="84" t="n">
        <f aca="false">IFERROR(IF(ISNUMBER(INDEX(원자료_잔고!$A$1:$EZ$1500,설정!$L$5+ROW()-1,설정!$L$18)),INDEX(원자료_잔고!$A$1:$EZ$1500,설정!$L$5+ROW()-1,설정!$L$18),""),"")</f>
        <v>2943966</v>
      </c>
      <c r="M93" s="88" t="n">
        <f aca="false">IFERROR(IF(ISNUMBER(INDEX(원자료_잔고!$A$1:$EZ$1500,설정!$L$5+ROW()-1,설정!$L$19)),INDEX(원자료_잔고!$A$1:$EZ$1500,설정!$L$5+ROW()-1,설정!$L$19),""),"")</f>
        <v>-47821.67</v>
      </c>
      <c r="N93" s="83" t="str">
        <f aca="false">IFERROR(IF(INDEX(원자료_잔고!$A$1:$EZ$1500,설정!$L$5+ROW()-1,설정!$L$21)&amp;""="0","",INDEX(원자료_잔고!$A$1:$EZ$1500,설정!$L$5+ROW()-1,설정!$L$21)&amp;""),"")</f>
        <v>A-</v>
      </c>
      <c r="O93" s="83" t="str">
        <f aca="false">IFERROR(IF(INDEX(원자료_잔고!$A$1:$EZ$1500,설정!$L$5+ROW()-1,설정!$L$22)&amp;""="0","",INDEX(원자료_잔고!$A$1:$EZ$1500,설정!$L$5+ROW()-1,설정!$L$22)&amp;""),"")</f>
        <v/>
      </c>
      <c r="P93" s="83" t="str">
        <f aca="false">IFERROR(IF(INDEX(원자료_잔고!$A$1:$EZ$1500,설정!$L$5+ROW()-1,설정!$L$23)&amp;""="0","",INDEX(원자료_잔고!$A$1:$EZ$1500,설정!$L$5+ROW()-1,설정!$L$23)&amp;""),"")</f>
        <v>N/A</v>
      </c>
      <c r="Q93" s="89" t="n">
        <f aca="false">IF(AND($A93&lt;&gt;"",ISNUMBER(E93)),IF(E93&gt;0,1,0),0)</f>
        <v>1</v>
      </c>
      <c r="R93" s="43" t="str">
        <f aca="false">IF(Q93=1,UPPER(LEFT($A93,FIND(" ",$A93&amp;" ")-1)),"")</f>
        <v>NHSECS</v>
      </c>
      <c r="S93" s="89" t="n">
        <f aca="false">IF(Q93=1,IF(OR(ISNUMBER(SEARCH("Float",$A93)),ISNUMBER(SEARCH("FRN",$A93))),1,0),0)</f>
        <v>0</v>
      </c>
      <c r="T93" s="43" t="str">
        <f aca="false">IF(AND(Q93=1,ISNUMBER(I93)),TEXT(I93,"yyyymmdd")&amp;"|"&amp;IF(S93=1,"F",TEXT(J93,"0.000")),"")</f>
        <v>20290629|4.875</v>
      </c>
      <c r="U93" s="90" t="n">
        <f aca="false">IF(AND(Q93=1,ISNUMBER(I93)),(I93-설정!$C$4)/365.25,"")</f>
        <v>2.74332648870637</v>
      </c>
      <c r="V93" s="43" t="str">
        <f aca="false">IF(Q93&lt;&gt;1,"",IF(ISNUMBER(U93),IF(U93&lt;=1,"1년 이하",IF(U93&lt;=2,"1-2년",IF(U93&lt;=3,"2-3년",IF(U93&lt;=4,"3-4년",IF(U93&lt;=5,"4-5년",IF(U93&lt;=7,"5-7년",IF(U93&lt;=10,"7-10년",IF(U93&lt;=20,"10-20년","20년 이상")))))))),"미분류"))</f>
        <v>2-3년</v>
      </c>
      <c r="W93" s="43" t="str">
        <f aca="false">IF(Q93&lt;&gt;1,"",IF(AB93&lt;&gt;"",INDEX(시장분석!$C:$C,AB93),IF(K93=1,"USD","비USD")))</f>
        <v>USD</v>
      </c>
      <c r="X93" s="91" t="n">
        <f aca="false">IF(Q93=1,E93*K93/1000000,0)</f>
        <v>3</v>
      </c>
      <c r="Y93" s="89" t="n">
        <f aca="false">IF(R93="T",1,0)</f>
        <v>0</v>
      </c>
      <c r="Z93" s="92" t="n">
        <f aca="false">IF(Q93&lt;&gt;1,"",IF(AD93=1,IF(ISNUMBER(U93),MAX(U93,0),H93),H93))</f>
        <v>2.4465</v>
      </c>
      <c r="AA93" s="91" t="n">
        <f aca="false">IF(Q93=1,IF(ISNUMBER(L93),L93,0)*K93/1000000,0)</f>
        <v>2.943966</v>
      </c>
      <c r="AB93" s="89" t="n">
        <f aca="false">IF(Q93&lt;&gt;1,"",IFERROR(MATCH(VLOOKUP(B93,매핑!$H$4:$I$15,2,0),시장분석!$A$2:$A$601,0)+1,IFERROR(MATCH(R93&amp;"|"&amp;T93,시장분석!$V$2:$V$601,0)+1,IF(COUNTIF(시장분석!$U$2:$U$601,T93)=1,MATCH(T93,시장분석!$U$2:$U$601,0)+1,""))))</f>
        <v>262</v>
      </c>
      <c r="AC93" s="89" t="n">
        <f aca="false">IF(Q93&lt;&gt;1,0,IF(OR(설정!$C$5="전체",AND(설정!$C$5="선택펀드",IFERROR(COUNTIFS(설정!$F$16:$F$36,C93,설정!$G$16:$G$36,"Y")+COUNTIFS(설정!$F$16:$F$36,VALUE(C93),설정!$G$16:$G$36,"Y"),0)&gt;0),C93&amp;""=설정!$C$5&amp;""),1,0))</f>
        <v>1</v>
      </c>
      <c r="AD93" s="89" t="n">
        <f aca="false">IF(Q93&lt;&gt;1,0,IF(OR(S93=1,IF(AB93="",FALSE(),INDEX(시장분석!$R:$R,AB93)=1)),1,0))</f>
        <v>0</v>
      </c>
      <c r="AE93" s="43" t="str">
        <f aca="false">IF(AB93="","",INDEX(시장분석!$A:$A,AB93))</f>
        <v>NHSECS 4 7/8 06/29/29</v>
      </c>
      <c r="AF93" s="93" t="n">
        <f aca="false">IF(AB93="","",IF(ISNUMBER(IF(AB93="","",INDEX(시장분석!$E:$E,AB93))),IF(AB93="","",INDEX(시장분석!$E:$E,AB93)),""))</f>
        <v>61.473</v>
      </c>
      <c r="AG93" s="43" t="str">
        <f aca="false">IF(Q93&lt;&gt;1,"",IF(AB93&lt;&gt;"",IF(AB93="","",INDEX(시장분석!$L:$L,AB93)),IFERROR(IF(VLOOKUP(R93,매핑!$A$4:$E$92,5,0)="","미분류",VLOOKUP(R93,매핑!$A$4:$E$92,5,0)),"미분류")))</f>
        <v>금융기관</v>
      </c>
      <c r="AH93" s="43" t="str">
        <f aca="false">IF(Q93&lt;&gt;1,"",IF(AB93&lt;&gt;"",IF(AB93="","",INDEX(시장분석!$N:$N,AB93)),IFERROR(IF(VLOOKUP(R93,매핑!$A$4:$E$92,4,0)="","미분류",VLOOKUP(R93,매핑!$A$4:$E$92,4,0)),"미분류")))</f>
        <v>아시아/기타</v>
      </c>
      <c r="AI93" s="43" t="str">
        <f aca="false">IF(Q93&lt;&gt;1,"",IFERROR(IF(VLOOKUP(R93,매핑!$A$4:$E$92,3,0)="","미분류",VLOOKUP(R93,매핑!$A$4:$E$92,3,0)),IF(AB93&lt;&gt;"",IF(AB93="","",INDEX(시장분석!$W:$W,AB93)),"미분류")))</f>
        <v>한국</v>
      </c>
      <c r="AJ93" s="43" t="str">
        <f aca="false">IF(Q93&lt;&gt;1,"",IFERROR(VLOOKUP(IF(N93&lt;&gt;"",N93,IF(P93&lt;&gt;"",P93,O93)),설정!$A$15:$D$47,2,0),""))</f>
        <v>A-</v>
      </c>
      <c r="AK93" s="43" t="str">
        <f aca="false">IF(Q93&lt;&gt;1,"",IF(AJ93="","무등급",IFERROR(VLOOKUP(AJ93,설정!$A$15:$D$47,3,0),"무등급")))</f>
        <v>A</v>
      </c>
      <c r="AL93" s="89" t="n">
        <f aca="false">IF(AJ93="",99,IFERROR(VLOOKUP(AJ93,설정!$A$15:$D$47,4,0),99))</f>
        <v>7</v>
      </c>
      <c r="AM93" s="94" t="n">
        <f aca="false">IF(ISNUMBER(H93),AA93*1000000*H93/10000,0)</f>
        <v>720.2412819</v>
      </c>
      <c r="AN93" s="94" t="n">
        <f aca="false">IF(OR(Y93=1,NOT(ISNUMBER(Z93))),0,AA93*1000000*Z93/10000)</f>
        <v>720.2412819</v>
      </c>
      <c r="AO93" s="94" t="n">
        <f aca="false">IF(ISNUMBER(G93),AA93*1000000*G93/100,0)</f>
        <v>165283.083138</v>
      </c>
      <c r="AP93" s="94" t="n">
        <f aca="false">IF(ISNUMBER(M93),M93*K93,0)</f>
        <v>-47821.67</v>
      </c>
      <c r="AQ93" s="95" t="n">
        <f aca="false">IF(AB93="","",INDEX(시장분석!$AK:$AK,AB93))</f>
        <v>-0.0838578217492764</v>
      </c>
      <c r="AR93" s="43" t="str">
        <f aca="false">IF(AB93="","-",IF(AB93="","",INDEX(시장분석!$AL:$AL,AB93)))</f>
        <v>Fair</v>
      </c>
      <c r="AS93" s="96" t="n">
        <f aca="false">IF(AB93="","",INDEX(시장분석!$AJ:$AJ,AB93))</f>
        <v>-1.71687045505469</v>
      </c>
      <c r="AT93" s="93" t="n">
        <f aca="false">IF(AB93="",0,IF(AB93="","",INDEX(시장분석!$AN:$AN,AB93)))</f>
        <v>6.90101780988262</v>
      </c>
      <c r="AU93" s="94" t="n">
        <f aca="false">IF(ISNUMBER(Z93),AT93/10000*MAX(Z93-1,0)*AA93*1000000,0)</f>
        <v>2938.7617340357</v>
      </c>
      <c r="AV93" s="94" t="n">
        <f aca="false">AO93+AU93</f>
        <v>168221.844872036</v>
      </c>
      <c r="AW93" s="43" t="str">
        <f aca="false">IF(Q93&lt;&gt;1,"",TRIM(IF(AD93=1,"FRN ","")&amp;IF(AND(AL93&gt;=10,AL93&lt;99),"BBB0미만 ","")&amp;IF(AJ93="","등급없음 ","")&amp;IF(K93&lt;&gt;1,"비USD ","")&amp;IF(AND(AB93="",Y93=0),"시장데이터없음 ","")&amp;IF(AND(ISNUMBER(U93),U93&lt;0),"만기경과 ","")))</f>
        <v/>
      </c>
      <c r="AX93" s="90" t="n">
        <f aca="false">IF(Q93&lt;&gt;1,1,IF(스프레드쇼크!$C$4="Y",INDEX(스프레드쇼크!$B$12:$L$16,IFERROR(MATCH(AH93,스프레드쇼크!$A$12:$A$16,0),MATCH("목록외",스프레드쇼크!$A$12:$A$16,0)),IFERROR(MATCH(AG93,스프레드쇼크!$B$11:$L$11,0),MATCH("목록외",스프레드쇼크!$B$11:$L$11,0))),1))</f>
        <v>1</v>
      </c>
      <c r="AY93" s="90" t="n">
        <f aca="false">IF(스프레드쇼크!$C$5="Y",IF(ISNUMBER(AF93),MIN(스프레드쇼크!$C$7,MAX(스프레드쇼크!$C$6,AF93/스프레드쇼크!$C$8)),1),1)</f>
        <v>0.92980298184997</v>
      </c>
      <c r="AZ93" s="94" t="n">
        <f aca="false">AN93*AX93*AY93</f>
        <v>669.682491562065</v>
      </c>
      <c r="BA93" s="90" t="n">
        <f aca="false">IF(ISNUMBER(G93),AA93*G93,0)</f>
        <v>16.5283083138</v>
      </c>
      <c r="BB93" s="90" t="n">
        <f aca="false">IF(ISNUMBER(G93),AA93,0)</f>
        <v>2.943966</v>
      </c>
      <c r="BC93" s="90" t="n">
        <f aca="false">IF(AND(Y93=0,ISNUMBER(AF93)),AA93*AF93,0)</f>
        <v>180.974421918</v>
      </c>
      <c r="BD93" s="90" t="n">
        <f aca="false">IF(AND(Y93=0,ISNUMBER(AF93)),AA93,0)</f>
        <v>2.943966</v>
      </c>
      <c r="BE93" s="90" t="n">
        <f aca="false">IF(ISNUMBER(H93),AA93*H93,0)</f>
        <v>7.202412819</v>
      </c>
      <c r="BF93" s="90" t="n">
        <f aca="false">IF(ISNUMBER(H93),AA93,0)</f>
        <v>2.943966</v>
      </c>
      <c r="BG93" s="90" t="n">
        <f aca="false">IF(AND(Y93=0,ISNUMBER(AF93),ISNUMBER(Z93)),AA93*Z93,0)</f>
        <v>7.202412819</v>
      </c>
      <c r="BH93" s="90" t="n">
        <f aca="false">IF(AND(Y93=0,ISNUMBER(AF93),ISNUMBER(Z93)),AA93*AT93*MAX(Z93-1,0),0)</f>
        <v>29.387617340357</v>
      </c>
      <c r="BI93" s="90" t="n">
        <f aca="false">IF(Y93=0,AA93,0)</f>
        <v>2.943966</v>
      </c>
    </row>
    <row r="94" customFormat="false" ht="15" hidden="false" customHeight="false" outlineLevel="0" collapsed="false">
      <c r="A94" s="83" t="str">
        <f aca="false">IFERROR(IF(INDEX(원자료_잔고!$A$1:$EZ$1500,설정!$L$5+ROW()-1,설정!$L$8)&amp;""="0","",INDEX(원자료_잔고!$A$1:$EZ$1500,설정!$L$5+ROW()-1,설정!$L$8)&amp;""),"")</f>
        <v>BNP 5.11 06/12/30</v>
      </c>
      <c r="B94" s="83" t="str">
        <f aca="false">IFERROR(IF(INDEX(원자료_잔고!$A$1:$EZ$1500,설정!$L$5+ROW()-1,설정!$L$7)&amp;""="0","",INDEX(원자료_잔고!$A$1:$EZ$1500,설정!$L$5+ROW()-1,설정!$L$7)&amp;""),"")</f>
        <v>FR0014010FH7</v>
      </c>
      <c r="C94" s="83" t="str">
        <f aca="false">IFERROR(IF(INDEX(원자료_잔고!$A$1:$EZ$1500,설정!$L$5+ROW()-1,설정!$L$9)&amp;""="0","",INDEX(원자료_잔고!$A$1:$EZ$1500,설정!$L$5+ROW()-1,설정!$L$9)&amp;""),"")</f>
        <v>34507</v>
      </c>
      <c r="D9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4" s="84" t="n">
        <f aca="false">IFERROR(IF(ISNUMBER(INDEX(원자료_잔고!$A$1:$EZ$1500,설정!$L$5+ROW()-1,설정!$L$11)),INDEX(원자료_잔고!$A$1:$EZ$1500,설정!$L$5+ROW()-1,설정!$L$11),""),"")</f>
        <v>20000000</v>
      </c>
      <c r="F94" s="85" t="n">
        <f aca="false">IFERROR(IF(ISNUMBER(INDEX(원자료_잔고!$A$1:$EZ$1500,설정!$L$5+ROW()-1,설정!$L$12)),INDEX(원자료_잔고!$A$1:$EZ$1500,설정!$L$5+ROW()-1,설정!$L$12),""),"")</f>
        <v>97.5083</v>
      </c>
      <c r="G94" s="85" t="n">
        <f aca="false">IFERROR(IF(ISNUMBER(INDEX(원자료_잔고!$A$1:$EZ$1500,설정!$L$5+ROW()-1,설정!$L$13)),INDEX(원자료_잔고!$A$1:$EZ$1500,설정!$L$5+ROW()-1,설정!$L$13),""),"")</f>
        <v>5.8669</v>
      </c>
      <c r="H94" s="85" t="n">
        <f aca="false">IFERROR(IF(ISNUMBER(INDEX(원자료_잔고!$A$1:$EZ$1500,설정!$L$5+ROW()-1,설정!$L$14)),INDEX(원자료_잔고!$A$1:$EZ$1500,설정!$L$5+ROW()-1,설정!$L$14),""),"")</f>
        <v>2.8535</v>
      </c>
      <c r="I94" s="86" t="n">
        <f aca="false">IFERROR(IF(ISNUMBER(INDEX(원자료_잔고!$A$1:$EZ$1500,설정!$L$5+ROW()-1,설정!$L$15)),INDEX(원자료_잔고!$A$1:$EZ$1500,설정!$L$5+ROW()-1,설정!$L$15),""),"")</f>
        <v>47646</v>
      </c>
      <c r="J94" s="85" t="n">
        <f aca="false">IFERROR(IF(ISNUMBER(INDEX(원자료_잔고!$A$1:$EZ$1500,설정!$L$5+ROW()-1,설정!$L$16)),INDEX(원자료_잔고!$A$1:$EZ$1500,설정!$L$5+ROW()-1,설정!$L$16),""),"")</f>
        <v>5.11</v>
      </c>
      <c r="K94" s="87" t="n">
        <f aca="false">IFERROR(IF(ISNUMBER(INDEX(원자료_잔고!$A$1:$EZ$1500,설정!$L$5+ROW()-1,설정!$L$17)),INDEX(원자료_잔고!$A$1:$EZ$1500,설정!$L$5+ROW()-1,설정!$L$17),""),"")</f>
        <v>1</v>
      </c>
      <c r="L94" s="84" t="n">
        <f aca="false">IFERROR(IF(ISNUMBER(INDEX(원자료_잔고!$A$1:$EZ$1500,설정!$L$5+ROW()-1,설정!$L$18)),INDEX(원자료_잔고!$A$1:$EZ$1500,설정!$L$5+ROW()-1,설정!$L$18),""),"")</f>
        <v>19501660</v>
      </c>
      <c r="M94" s="88" t="n">
        <f aca="false">IFERROR(IF(ISNUMBER(INDEX(원자료_잔고!$A$1:$EZ$1500,설정!$L$5+ROW()-1,설정!$L$19)),INDEX(원자료_잔고!$A$1:$EZ$1500,설정!$L$5+ROW()-1,설정!$L$19),""),"")</f>
        <v>-670140</v>
      </c>
      <c r="N94" s="83" t="str">
        <f aca="false">IFERROR(IF(INDEX(원자료_잔고!$A$1:$EZ$1500,설정!$L$5+ROW()-1,설정!$L$21)&amp;""="0","",INDEX(원자료_잔고!$A$1:$EZ$1500,설정!$L$5+ROW()-1,설정!$L$21)&amp;""),"")</f>
        <v>A-</v>
      </c>
      <c r="O94" s="83" t="str">
        <f aca="false">IFERROR(IF(INDEX(원자료_잔고!$A$1:$EZ$1500,설정!$L$5+ROW()-1,설정!$L$22)&amp;""="0","",INDEX(원자료_잔고!$A$1:$EZ$1500,설정!$L$5+ROW()-1,설정!$L$22)&amp;""),"")</f>
        <v/>
      </c>
      <c r="P94" s="83" t="str">
        <f aca="false">IFERROR(IF(INDEX(원자료_잔고!$A$1:$EZ$1500,설정!$L$5+ROW()-1,설정!$L$23)&amp;""="0","",INDEX(원자료_잔고!$A$1:$EZ$1500,설정!$L$5+ROW()-1,설정!$L$23)&amp;""),"")</f>
        <v>N/A</v>
      </c>
      <c r="Q94" s="89" t="n">
        <f aca="false">IF(AND($A94&lt;&gt;"",ISNUMBER(E94)),IF(E94&gt;0,1,0),0)</f>
        <v>1</v>
      </c>
      <c r="R94" s="43" t="str">
        <f aca="false">IF(Q94=1,UPPER(LEFT($A94,FIND(" ",$A94&amp;" ")-1)),"")</f>
        <v>BNP</v>
      </c>
      <c r="S94" s="89" t="n">
        <f aca="false">IF(Q94=1,IF(OR(ISNUMBER(SEARCH("Float",$A94)),ISNUMBER(SEARCH("FRN",$A94))),1,0),0)</f>
        <v>0</v>
      </c>
      <c r="T94" s="43" t="str">
        <f aca="false">IF(AND(Q94=1,ISNUMBER(I94)),TEXT(I94,"yyyymmdd")&amp;"|"&amp;IF(S94=1,"F",TEXT(J94,"0.000")),"")</f>
        <v>20300612|5.110</v>
      </c>
      <c r="U94" s="90" t="n">
        <f aca="false">IF(AND(Q94=1,ISNUMBER(I94)),(I94-설정!$C$4)/365.25,"")</f>
        <v>3.69609856262834</v>
      </c>
      <c r="V94" s="43" t="str">
        <f aca="false">IF(Q94&lt;&gt;1,"",IF(ISNUMBER(U94),IF(U94&lt;=1,"1년 이하",IF(U94&lt;=2,"1-2년",IF(U94&lt;=3,"2-3년",IF(U94&lt;=4,"3-4년",IF(U94&lt;=5,"4-5년",IF(U94&lt;=7,"5-7년",IF(U94&lt;=10,"7-10년",IF(U94&lt;=20,"10-20년","20년 이상")))))))),"미분류"))</f>
        <v>3-4년</v>
      </c>
      <c r="W94" s="43" t="str">
        <f aca="false">IF(Q94&lt;&gt;1,"",IF(AB94&lt;&gt;"",INDEX(시장분석!$C:$C,AB94),IF(K94=1,"USD","비USD")))</f>
        <v>USD</v>
      </c>
      <c r="X94" s="91" t="n">
        <f aca="false">IF(Q94=1,E94*K94/1000000,0)</f>
        <v>20</v>
      </c>
      <c r="Y94" s="89" t="n">
        <f aca="false">IF(R94="T",1,0)</f>
        <v>0</v>
      </c>
      <c r="Z94" s="92" t="n">
        <f aca="false">IF(Q94&lt;&gt;1,"",IF(AD94=1,IF(ISNUMBER(U94),MAX(U94,0),H94),H94))</f>
        <v>2.8535</v>
      </c>
      <c r="AA94" s="91" t="n">
        <f aca="false">IF(Q94=1,IF(ISNUMBER(L94),L94,0)*K94/1000000,0)</f>
        <v>19.50166</v>
      </c>
      <c r="AB94" s="89" t="n">
        <f aca="false">IF(Q94&lt;&gt;1,"",IFERROR(MATCH(VLOOKUP(B94,매핑!$H$4:$I$15,2,0),시장분석!$A$2:$A$601,0)+1,IFERROR(MATCH(R94&amp;"|"&amp;T94,시장분석!$V$2:$V$601,0)+1,IF(COUNTIF(시장분석!$U$2:$U$601,T94)=1,MATCH(T94,시장분석!$U$2:$U$601,0)+1,""))))</f>
        <v>2</v>
      </c>
      <c r="AC94" s="89" t="n">
        <f aca="false">IF(Q94&lt;&gt;1,0,IF(OR(설정!$C$5="전체",AND(설정!$C$5="선택펀드",IFERROR(COUNTIFS(설정!$F$16:$F$36,C94,설정!$G$16:$G$36,"Y")+COUNTIFS(설정!$F$16:$F$36,VALUE(C94),설정!$G$16:$G$36,"Y"),0)&gt;0),C94&amp;""=설정!$C$5&amp;""),1,0))</f>
        <v>1</v>
      </c>
      <c r="AD94" s="89" t="n">
        <f aca="false">IF(Q94&lt;&gt;1,0,IF(OR(S94=1,IF(AB94="",FALSE(),INDEX(시장분석!$R:$R,AB94)=1)),1,0))</f>
        <v>0</v>
      </c>
      <c r="AE94" s="43" t="str">
        <f aca="false">IF(AB94="","",INDEX(시장분석!$A:$A,AB94))</f>
        <v>BNP 5.11 06/12/30</v>
      </c>
      <c r="AF94" s="93" t="n">
        <f aca="false">IF(AB94="","",IF(ISNUMBER(IF(AB94="","",INDEX(시장분석!$E:$E,AB94))),IF(AB94="","",INDEX(시장분석!$E:$E,AB94)),""))</f>
        <v>96.954</v>
      </c>
      <c r="AG94" s="43" t="str">
        <f aca="false">IF(Q94&lt;&gt;1,"",IF(AB94&lt;&gt;"",IF(AB94="","",INDEX(시장분석!$L:$L,AB94)),IFERROR(IF(VLOOKUP(R94,매핑!$A$4:$E$92,5,0)="","미분류",VLOOKUP(R94,매핑!$A$4:$E$92,5,0)),"미분류")))</f>
        <v>금융기관</v>
      </c>
      <c r="AH94" s="43" t="str">
        <f aca="false">IF(Q94&lt;&gt;1,"",IF(AB94&lt;&gt;"",IF(AB94="","",INDEX(시장분석!$N:$N,AB94)),IFERROR(IF(VLOOKUP(R94,매핑!$A$4:$E$92,4,0)="","미분류",VLOOKUP(R94,매핑!$A$4:$E$92,4,0)),"미분류")))</f>
        <v>유럽</v>
      </c>
      <c r="AI94" s="43" t="str">
        <f aca="false">IF(Q94&lt;&gt;1,"",IFERROR(IF(VLOOKUP(R94,매핑!$A$4:$E$92,3,0)="","미분류",VLOOKUP(R94,매핑!$A$4:$E$92,3,0)),IF(AB94&lt;&gt;"",IF(AB94="","",INDEX(시장분석!$W:$W,AB94)),"미분류")))</f>
        <v>프랑스</v>
      </c>
      <c r="AJ94" s="43" t="str">
        <f aca="false">IF(Q94&lt;&gt;1,"",IFERROR(VLOOKUP(IF(N94&lt;&gt;"",N94,IF(P94&lt;&gt;"",P94,O94)),설정!$A$15:$D$47,2,0),""))</f>
        <v>A-</v>
      </c>
      <c r="AK94" s="43" t="str">
        <f aca="false">IF(Q94&lt;&gt;1,"",IF(AJ94="","무등급",IFERROR(VLOOKUP(AJ94,설정!$A$15:$D$47,3,0),"무등급")))</f>
        <v>A</v>
      </c>
      <c r="AL94" s="89" t="n">
        <f aca="false">IF(AJ94="",99,IFERROR(VLOOKUP(AJ94,설정!$A$15:$D$47,4,0),99))</f>
        <v>7</v>
      </c>
      <c r="AM94" s="94" t="n">
        <f aca="false">IF(ISNUMBER(H94),AA94*1000000*H94/10000,0)</f>
        <v>5564.798681</v>
      </c>
      <c r="AN94" s="94" t="n">
        <f aca="false">IF(OR(Y94=1,NOT(ISNUMBER(Z94))),0,AA94*1000000*Z94/10000)</f>
        <v>5564.798681</v>
      </c>
      <c r="AO94" s="94" t="n">
        <f aca="false">IF(ISNUMBER(G94),AA94*1000000*G94/100,0)</f>
        <v>1144142.89054</v>
      </c>
      <c r="AP94" s="94" t="n">
        <f aca="false">IF(ISNUMBER(M94),M94*K94,0)</f>
        <v>-670140</v>
      </c>
      <c r="AQ94" s="95" t="n">
        <f aca="false">IF(AB94="","",INDEX(시장분석!$AK:$AK,AB94))</f>
        <v>1.47241838996195</v>
      </c>
      <c r="AR94" s="43" t="str">
        <f aca="false">IF(AB94="","-",IF(AB94="","",INDEX(시장분석!$AL:$AL,AB94)))</f>
        <v>Cheap</v>
      </c>
      <c r="AS94" s="96" t="n">
        <f aca="false">IF(AB94="","",INDEX(시장분석!$AJ:$AJ,AB94))</f>
        <v>16.1793471573327</v>
      </c>
      <c r="AT94" s="93" t="n">
        <f aca="false">IF(AB94="",0,IF(AB94="","",INDEX(시장분석!$AN:$AN,AB94)))</f>
        <v>10.6597155895977</v>
      </c>
      <c r="AU94" s="94" t="n">
        <f aca="false">IF(ISNUMBER(Z94),AT94/10000*MAX(Z94-1,0)*AA94*1000000,0)</f>
        <v>38530.9563403251</v>
      </c>
      <c r="AV94" s="94" t="n">
        <f aca="false">AO94+AU94</f>
        <v>1182673.84688033</v>
      </c>
      <c r="AW94" s="43" t="str">
        <f aca="false">IF(Q94&lt;&gt;1,"",TRIM(IF(AD94=1,"FRN ","")&amp;IF(AND(AL94&gt;=10,AL94&lt;99),"BBB0미만 ","")&amp;IF(AJ94="","등급없음 ","")&amp;IF(K94&lt;&gt;1,"비USD ","")&amp;IF(AND(AB94="",Y94=0),"시장데이터없음 ","")&amp;IF(AND(ISNUMBER(U94),U94&lt;0),"만기경과 ","")))</f>
        <v/>
      </c>
      <c r="AX94" s="90" t="n">
        <f aca="false">IF(Q94&lt;&gt;1,1,IF(스프레드쇼크!$C$4="Y",INDEX(스프레드쇼크!$B$12:$L$16,IFERROR(MATCH(AH94,스프레드쇼크!$A$12:$A$16,0),MATCH("목록외",스프레드쇼크!$A$12:$A$16,0)),IFERROR(MATCH(AG94,스프레드쇼크!$B$11:$L$11,0),MATCH("목록외",스프레드쇼크!$B$11:$L$11,0))),1))</f>
        <v>1</v>
      </c>
      <c r="AY94" s="90" t="n">
        <f aca="false">IF(스프레드쇼크!$C$5="Y",IF(ISNUMBER(AF94),MIN(스프레드쇼크!$C$7,MAX(스프레드쇼크!$C$6,AF94/스프레드쇼크!$C$8)),1),1)</f>
        <v>1.46646687655201</v>
      </c>
      <c r="AZ94" s="94" t="n">
        <f aca="false">AN94*AX94*AY94</f>
        <v>8160.59294036684</v>
      </c>
      <c r="BA94" s="90" t="n">
        <f aca="false">IF(ISNUMBER(G94),AA94*G94,0)</f>
        <v>114.414289054</v>
      </c>
      <c r="BB94" s="90" t="n">
        <f aca="false">IF(ISNUMBER(G94),AA94,0)</f>
        <v>19.50166</v>
      </c>
      <c r="BC94" s="90" t="n">
        <f aca="false">IF(AND(Y94=0,ISNUMBER(AF94)),AA94*AF94,0)</f>
        <v>1890.76394364</v>
      </c>
      <c r="BD94" s="90" t="n">
        <f aca="false">IF(AND(Y94=0,ISNUMBER(AF94)),AA94,0)</f>
        <v>19.50166</v>
      </c>
      <c r="BE94" s="90" t="n">
        <f aca="false">IF(ISNUMBER(H94),AA94*H94,0)</f>
        <v>55.64798681</v>
      </c>
      <c r="BF94" s="90" t="n">
        <f aca="false">IF(ISNUMBER(H94),AA94,0)</f>
        <v>19.50166</v>
      </c>
      <c r="BG94" s="90" t="n">
        <f aca="false">IF(AND(Y94=0,ISNUMBER(AF94),ISNUMBER(Z94)),AA94*Z94,0)</f>
        <v>55.64798681</v>
      </c>
      <c r="BH94" s="90" t="n">
        <f aca="false">IF(AND(Y94=0,ISNUMBER(AF94),ISNUMBER(Z94)),AA94*AT94*MAX(Z94-1,0),0)</f>
        <v>385.309563403251</v>
      </c>
      <c r="BI94" s="90" t="n">
        <f aca="false">IF(Y94=0,AA94,0)</f>
        <v>19.50166</v>
      </c>
    </row>
    <row r="95" customFormat="false" ht="15" hidden="false" customHeight="false" outlineLevel="0" collapsed="false">
      <c r="A95" s="83" t="str">
        <f aca="false">IFERROR(IF(INDEX(원자료_잔고!$A$1:$EZ$1500,설정!$L$5+ROW()-1,설정!$L$8)&amp;""="0","",INDEX(원자료_잔고!$A$1:$EZ$1500,설정!$L$5+ROW()-1,설정!$L$8)&amp;""),"")</f>
        <v>GOOGL 4.8 02/15/36</v>
      </c>
      <c r="B95" s="83" t="str">
        <f aca="false">IFERROR(IF(INDEX(원자료_잔고!$A$1:$EZ$1500,설정!$L$5+ROW()-1,설정!$L$7)&amp;""="0","",INDEX(원자료_잔고!$A$1:$EZ$1500,설정!$L$5+ROW()-1,설정!$L$7)&amp;""),"")</f>
        <v>US02079KBM80</v>
      </c>
      <c r="C95" s="83" t="str">
        <f aca="false">IFERROR(IF(INDEX(원자료_잔고!$A$1:$EZ$1500,설정!$L$5+ROW()-1,설정!$L$9)&amp;""="0","",INDEX(원자료_잔고!$A$1:$EZ$1500,설정!$L$5+ROW()-1,설정!$L$9)&amp;""),"")</f>
        <v>34507</v>
      </c>
      <c r="D9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5" s="84" t="n">
        <f aca="false">IFERROR(IF(ISNUMBER(INDEX(원자료_잔고!$A$1:$EZ$1500,설정!$L$5+ROW()-1,설정!$L$11)),INDEX(원자료_잔고!$A$1:$EZ$1500,설정!$L$5+ROW()-1,설정!$L$11),""),"")</f>
        <v>500000</v>
      </c>
      <c r="F95" s="85" t="n">
        <f aca="false">IFERROR(IF(ISNUMBER(INDEX(원자료_잔고!$A$1:$EZ$1500,설정!$L$5+ROW()-1,설정!$L$12)),INDEX(원자료_잔고!$A$1:$EZ$1500,설정!$L$5+ROW()-1,설정!$L$12),""),"")</f>
        <v>91.9962</v>
      </c>
      <c r="G95" s="85" t="n">
        <f aca="false">IFERROR(IF(ISNUMBER(INDEX(원자료_잔고!$A$1:$EZ$1500,설정!$L$5+ROW()-1,설정!$L$13)),INDEX(원자료_잔고!$A$1:$EZ$1500,설정!$L$5+ROW()-1,설정!$L$13),""),"")</f>
        <v>5.9235</v>
      </c>
      <c r="H95" s="85" t="n">
        <f aca="false">IFERROR(IF(ISNUMBER(INDEX(원자료_잔고!$A$1:$EZ$1500,설정!$L$5+ROW()-1,설정!$L$14)),INDEX(원자료_잔고!$A$1:$EZ$1500,설정!$L$5+ROW()-1,설정!$L$14),""),"")</f>
        <v>7.2368</v>
      </c>
      <c r="I95" s="86" t="n">
        <f aca="false">IFERROR(IF(ISNUMBER(INDEX(원자료_잔고!$A$1:$EZ$1500,설정!$L$5+ROW()-1,설정!$L$15)),INDEX(원자료_잔고!$A$1:$EZ$1500,설정!$L$5+ROW()-1,설정!$L$15),""),"")</f>
        <v>49720</v>
      </c>
      <c r="J95" s="85" t="n">
        <f aca="false">IFERROR(IF(ISNUMBER(INDEX(원자료_잔고!$A$1:$EZ$1500,설정!$L$5+ROW()-1,설정!$L$16)),INDEX(원자료_잔고!$A$1:$EZ$1500,설정!$L$5+ROW()-1,설정!$L$16),""),"")</f>
        <v>4.8</v>
      </c>
      <c r="K95" s="87" t="n">
        <f aca="false">IFERROR(IF(ISNUMBER(INDEX(원자료_잔고!$A$1:$EZ$1500,설정!$L$5+ROW()-1,설정!$L$17)),INDEX(원자료_잔고!$A$1:$EZ$1500,설정!$L$5+ROW()-1,설정!$L$17),""),"")</f>
        <v>1</v>
      </c>
      <c r="L95" s="84" t="n">
        <f aca="false">IFERROR(IF(ISNUMBER(INDEX(원자료_잔고!$A$1:$EZ$1500,설정!$L$5+ROW()-1,설정!$L$18)),INDEX(원자료_잔고!$A$1:$EZ$1500,설정!$L$5+ROW()-1,설정!$L$18),""),"")</f>
        <v>459981</v>
      </c>
      <c r="M95" s="88" t="n">
        <f aca="false">IFERROR(IF(ISNUMBER(INDEX(원자료_잔고!$A$1:$EZ$1500,설정!$L$5+ROW()-1,설정!$L$19)),INDEX(원자료_잔고!$A$1:$EZ$1500,설정!$L$5+ROW()-1,설정!$L$19),""),"")</f>
        <v>-38994</v>
      </c>
      <c r="N95" s="83" t="str">
        <f aca="false">IFERROR(IF(INDEX(원자료_잔고!$A$1:$EZ$1500,설정!$L$5+ROW()-1,설정!$L$21)&amp;""="0","",INDEX(원자료_잔고!$A$1:$EZ$1500,설정!$L$5+ROW()-1,설정!$L$21)&amp;""),"")</f>
        <v>AA+</v>
      </c>
      <c r="O95" s="83" t="str">
        <f aca="false">IFERROR(IF(INDEX(원자료_잔고!$A$1:$EZ$1500,설정!$L$5+ROW()-1,설정!$L$22)&amp;""="0","",INDEX(원자료_잔고!$A$1:$EZ$1500,설정!$L$5+ROW()-1,설정!$L$22)&amp;""),"")</f>
        <v/>
      </c>
      <c r="P95" s="83" t="str">
        <f aca="false">IFERROR(IF(INDEX(원자료_잔고!$A$1:$EZ$1500,설정!$L$5+ROW()-1,설정!$L$23)&amp;""="0","",INDEX(원자료_잔고!$A$1:$EZ$1500,설정!$L$5+ROW()-1,설정!$L$23)&amp;""),"")</f>
        <v>N/A</v>
      </c>
      <c r="Q95" s="89" t="n">
        <f aca="false">IF(AND($A95&lt;&gt;"",ISNUMBER(E95)),IF(E95&gt;0,1,0),0)</f>
        <v>1</v>
      </c>
      <c r="R95" s="43" t="str">
        <f aca="false">IF(Q95=1,UPPER(LEFT($A95,FIND(" ",$A95&amp;" ")-1)),"")</f>
        <v>GOOGL</v>
      </c>
      <c r="S95" s="89" t="n">
        <f aca="false">IF(Q95=1,IF(OR(ISNUMBER(SEARCH("Float",$A95)),ISNUMBER(SEARCH("FRN",$A95))),1,0),0)</f>
        <v>0</v>
      </c>
      <c r="T95" s="43" t="str">
        <f aca="false">IF(AND(Q95=1,ISNUMBER(I95)),TEXT(I95,"yyyymmdd")&amp;"|"&amp;IF(S95=1,"F",TEXT(J95,"0.000")),"")</f>
        <v>20360215|4.800</v>
      </c>
      <c r="U95" s="90" t="n">
        <f aca="false">IF(AND(Q95=1,ISNUMBER(I95)),(I95-설정!$C$4)/365.25,"")</f>
        <v>9.37440109514031</v>
      </c>
      <c r="V95" s="43" t="str">
        <f aca="false">IF(Q95&lt;&gt;1,"",IF(ISNUMBER(U95),IF(U95&lt;=1,"1년 이하",IF(U95&lt;=2,"1-2년",IF(U95&lt;=3,"2-3년",IF(U95&lt;=4,"3-4년",IF(U95&lt;=5,"4-5년",IF(U95&lt;=7,"5-7년",IF(U95&lt;=10,"7-10년",IF(U95&lt;=20,"10-20년","20년 이상")))))))),"미분류"))</f>
        <v>7-10년</v>
      </c>
      <c r="W95" s="43" t="str">
        <f aca="false">IF(Q95&lt;&gt;1,"",IF(AB95&lt;&gt;"",INDEX(시장분석!$C:$C,AB95),IF(K95=1,"USD","비USD")))</f>
        <v>USD</v>
      </c>
      <c r="X95" s="91" t="n">
        <f aca="false">IF(Q95=1,E95*K95/1000000,0)</f>
        <v>0.5</v>
      </c>
      <c r="Y95" s="89" t="n">
        <f aca="false">IF(R95="T",1,0)</f>
        <v>0</v>
      </c>
      <c r="Z95" s="92" t="n">
        <f aca="false">IF(Q95&lt;&gt;1,"",IF(AD95=1,IF(ISNUMBER(U95),MAX(U95,0),H95),H95))</f>
        <v>7.2368</v>
      </c>
      <c r="AA95" s="91" t="n">
        <f aca="false">IF(Q95=1,IF(ISNUMBER(L95),L95,0)*K95/1000000,0)</f>
        <v>0.459981</v>
      </c>
      <c r="AB95" s="89" t="n">
        <f aca="false">IF(Q95&lt;&gt;1,"",IFERROR(MATCH(VLOOKUP(B95,매핑!$H$4:$I$15,2,0),시장분석!$A$2:$A$601,0)+1,IFERROR(MATCH(R95&amp;"|"&amp;T95,시장분석!$V$2:$V$601,0)+1,IF(COUNTIF(시장분석!$U$2:$U$601,T95)=1,MATCH(T95,시장분석!$U$2:$U$601,0)+1,""))))</f>
        <v>11</v>
      </c>
      <c r="AC95" s="89" t="n">
        <f aca="false">IF(Q95&lt;&gt;1,0,IF(OR(설정!$C$5="전체",AND(설정!$C$5="선택펀드",IFERROR(COUNTIFS(설정!$F$16:$F$36,C95,설정!$G$16:$G$36,"Y")+COUNTIFS(설정!$F$16:$F$36,VALUE(C95),설정!$G$16:$G$36,"Y"),0)&gt;0),C95&amp;""=설정!$C$5&amp;""),1,0))</f>
        <v>1</v>
      </c>
      <c r="AD95" s="89" t="n">
        <f aca="false">IF(Q95&lt;&gt;1,0,IF(OR(S95=1,IF(AB95="",FALSE(),INDEX(시장분석!$R:$R,AB95)=1)),1,0))</f>
        <v>0</v>
      </c>
      <c r="AE95" s="43" t="str">
        <f aca="false">IF(AB95="","",INDEX(시장분석!$A:$A,AB95))</f>
        <v>GOOGL 4.8 02/15/36</v>
      </c>
      <c r="AF95" s="93" t="n">
        <f aca="false">IF(AB95="","",IF(ISNUMBER(IF(AB95="","",INDEX(시장분석!$E:$E,AB95))),IF(AB95="","",INDEX(시장분석!$E:$E,AB95)),""))</f>
        <v>66.291</v>
      </c>
      <c r="AG95" s="43" t="str">
        <f aca="false">IF(Q95&lt;&gt;1,"",IF(AB95&lt;&gt;"",IF(AB95="","",INDEX(시장분석!$L:$L,AB95)),IFERROR(IF(VLOOKUP(R95,매핑!$A$4:$E$92,5,0)="","미분류",VLOOKUP(R95,매핑!$A$4:$E$92,5,0)),"미분류")))</f>
        <v>통신</v>
      </c>
      <c r="AH95" s="43" t="str">
        <f aca="false">IF(Q95&lt;&gt;1,"",IF(AB95&lt;&gt;"",IF(AB95="","",INDEX(시장분석!$N:$N,AB95)),IFERROR(IF(VLOOKUP(R95,매핑!$A$4:$E$92,4,0)="","미분류",VLOOKUP(R95,매핑!$A$4:$E$92,4,0)),"미분류")))</f>
        <v>미국</v>
      </c>
      <c r="AI95" s="43" t="str">
        <f aca="false">IF(Q95&lt;&gt;1,"",IFERROR(IF(VLOOKUP(R95,매핑!$A$4:$E$92,3,0)="","미분류",VLOOKUP(R95,매핑!$A$4:$E$92,3,0)),IF(AB95&lt;&gt;"",IF(AB95="","",INDEX(시장분석!$W:$W,AB95)),"미분류")))</f>
        <v>미국</v>
      </c>
      <c r="AJ95" s="43" t="str">
        <f aca="false">IF(Q95&lt;&gt;1,"",IFERROR(VLOOKUP(IF(N95&lt;&gt;"",N95,IF(P95&lt;&gt;"",P95,O95)),설정!$A$15:$D$47,2,0),""))</f>
        <v>AA+</v>
      </c>
      <c r="AK95" s="43" t="str">
        <f aca="false">IF(Q95&lt;&gt;1,"",IF(AJ95="","무등급",IFERROR(VLOOKUP(AJ95,설정!$A$15:$D$47,3,0),"무등급")))</f>
        <v>AA이상</v>
      </c>
      <c r="AL95" s="89" t="n">
        <f aca="false">IF(AJ95="",99,IFERROR(VLOOKUP(AJ95,설정!$A$15:$D$47,4,0),99))</f>
        <v>2</v>
      </c>
      <c r="AM95" s="94" t="n">
        <f aca="false">IF(ISNUMBER(H95),AA95*1000000*H95/10000,0)</f>
        <v>332.87905008</v>
      </c>
      <c r="AN95" s="94" t="n">
        <f aca="false">IF(OR(Y95=1,NOT(ISNUMBER(Z95))),0,AA95*1000000*Z95/10000)</f>
        <v>332.87905008</v>
      </c>
      <c r="AO95" s="94" t="n">
        <f aca="false">IF(ISNUMBER(G95),AA95*1000000*G95/100,0)</f>
        <v>27246.974535</v>
      </c>
      <c r="AP95" s="94" t="n">
        <f aca="false">IF(ISNUMBER(M95),M95*K95,0)</f>
        <v>-38994</v>
      </c>
      <c r="AQ95" s="95" t="n">
        <f aca="false">IF(AB95="","",INDEX(시장분석!$AK:$AK,AB95))</f>
        <v>-1.98244921633613</v>
      </c>
      <c r="AR95" s="43" t="str">
        <f aca="false">IF(AB95="","-",IF(AB95="","",INDEX(시장분석!$AL:$AL,AB95)))</f>
        <v>Rich</v>
      </c>
      <c r="AS95" s="96" t="n">
        <f aca="false">IF(AB95="","",INDEX(시장분석!$AJ:$AJ,AB95))</f>
        <v>-30.7761169606041</v>
      </c>
      <c r="AT95" s="93" t="n">
        <f aca="false">IF(AB95="",0,IF(AB95="","",INDEX(시장분석!$AN:$AN,AB95)))</f>
        <v>4.11920768955818</v>
      </c>
      <c r="AU95" s="94" t="n">
        <f aca="false">IF(ISNUMBER(Z95),AT95/10000*MAX(Z95-1,0)*AA95*1000000,0)</f>
        <v>1181.72221555729</v>
      </c>
      <c r="AV95" s="94" t="n">
        <f aca="false">AO95+AU95</f>
        <v>28428.6967505573</v>
      </c>
      <c r="AW95" s="43" t="str">
        <f aca="false">IF(Q95&lt;&gt;1,"",TRIM(IF(AD95=1,"FRN ","")&amp;IF(AND(AL95&gt;=10,AL95&lt;99),"BBB0미만 ","")&amp;IF(AJ95="","등급없음 ","")&amp;IF(K95&lt;&gt;1,"비USD ","")&amp;IF(AND(AB95="",Y95=0),"시장데이터없음 ","")&amp;IF(AND(ISNUMBER(U95),U95&lt;0),"만기경과 ","")))</f>
        <v/>
      </c>
      <c r="AX95" s="90" t="n">
        <f aca="false">IF(Q95&lt;&gt;1,1,IF(스프레드쇼크!$C$4="Y",INDEX(스프레드쇼크!$B$12:$L$16,IFERROR(MATCH(AH95,스프레드쇼크!$A$12:$A$16,0),MATCH("목록외",스프레드쇼크!$A$12:$A$16,0)),IFERROR(MATCH(AG95,스프레드쇼크!$B$11:$L$11,0),MATCH("목록외",스프레드쇼크!$B$11:$L$11,0))),1))</f>
        <v>1</v>
      </c>
      <c r="AY95" s="90" t="n">
        <f aca="false">IF(스프레드쇼크!$C$5="Y",IF(ISNUMBER(AF95),MIN(스프레드쇼크!$C$7,MAX(스프레드쇼크!$C$6,AF95/스프레드쇼크!$C$8)),1),1)</f>
        <v>1.0026771016514</v>
      </c>
      <c r="AZ95" s="94" t="n">
        <f aca="false">AN95*AX95*AY95</f>
        <v>333.770201134685</v>
      </c>
      <c r="BA95" s="90" t="n">
        <f aca="false">IF(ISNUMBER(G95),AA95*G95,0)</f>
        <v>2.7246974535</v>
      </c>
      <c r="BB95" s="90" t="n">
        <f aca="false">IF(ISNUMBER(G95),AA95,0)</f>
        <v>0.459981</v>
      </c>
      <c r="BC95" s="90" t="n">
        <f aca="false">IF(AND(Y95=0,ISNUMBER(AF95)),AA95*AF95,0)</f>
        <v>30.492600471</v>
      </c>
      <c r="BD95" s="90" t="n">
        <f aca="false">IF(AND(Y95=0,ISNUMBER(AF95)),AA95,0)</f>
        <v>0.459981</v>
      </c>
      <c r="BE95" s="90" t="n">
        <f aca="false">IF(ISNUMBER(H95),AA95*H95,0)</f>
        <v>3.3287905008</v>
      </c>
      <c r="BF95" s="90" t="n">
        <f aca="false">IF(ISNUMBER(H95),AA95,0)</f>
        <v>0.459981</v>
      </c>
      <c r="BG95" s="90" t="n">
        <f aca="false">IF(AND(Y95=0,ISNUMBER(AF95),ISNUMBER(Z95)),AA95*Z95,0)</f>
        <v>3.3287905008</v>
      </c>
      <c r="BH95" s="90" t="n">
        <f aca="false">IF(AND(Y95=0,ISNUMBER(AF95),ISNUMBER(Z95)),AA95*AT95*MAX(Z95-1,0),0)</f>
        <v>11.8172221555729</v>
      </c>
      <c r="BI95" s="90" t="n">
        <f aca="false">IF(Y95=0,AA95,0)</f>
        <v>0.459981</v>
      </c>
    </row>
    <row r="96" customFormat="false" ht="15" hidden="false" customHeight="false" outlineLevel="0" collapsed="false">
      <c r="A96" s="83" t="str">
        <f aca="false">IFERROR(IF(INDEX(원자료_잔고!$A$1:$EZ$1500,설정!$L$5+ROW()-1,설정!$L$8)&amp;""="0","",INDEX(원자료_잔고!$A$1:$EZ$1500,설정!$L$5+ROW()-1,설정!$L$8)&amp;""),"")</f>
        <v>BNP 5.283 11/19/30</v>
      </c>
      <c r="B96" s="83" t="str">
        <f aca="false">IFERROR(IF(INDEX(원자료_잔고!$A$1:$EZ$1500,설정!$L$5+ROW()-1,설정!$L$7)&amp;""="0","",INDEX(원자료_잔고!$A$1:$EZ$1500,설정!$L$5+ROW()-1,설정!$L$7)&amp;""),"")</f>
        <v>US09659X2X97</v>
      </c>
      <c r="C96" s="83" t="str">
        <f aca="false">IFERROR(IF(INDEX(원자료_잔고!$A$1:$EZ$1500,설정!$L$5+ROW()-1,설정!$L$9)&amp;""="0","",INDEX(원자료_잔고!$A$1:$EZ$1500,설정!$L$5+ROW()-1,설정!$L$9)&amp;""),"")</f>
        <v>34507</v>
      </c>
      <c r="D9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6" s="84" t="n">
        <f aca="false">IFERROR(IF(ISNUMBER(INDEX(원자료_잔고!$A$1:$EZ$1500,설정!$L$5+ROW()-1,설정!$L$11)),INDEX(원자료_잔고!$A$1:$EZ$1500,설정!$L$5+ROW()-1,설정!$L$11),""),"")</f>
        <v>5000000</v>
      </c>
      <c r="F96" s="85" t="n">
        <f aca="false">IFERROR(IF(ISNUMBER(INDEX(원자료_잔고!$A$1:$EZ$1500,설정!$L$5+ROW()-1,설정!$L$12)),INDEX(원자료_잔고!$A$1:$EZ$1500,설정!$L$5+ROW()-1,설정!$L$12),""),"")</f>
        <v>98.2648</v>
      </c>
      <c r="G96" s="85" t="n">
        <f aca="false">IFERROR(IF(ISNUMBER(INDEX(원자료_잔고!$A$1:$EZ$1500,설정!$L$5+ROW()-1,설정!$L$13)),INDEX(원자료_잔고!$A$1:$EZ$1500,설정!$L$5+ROW()-1,설정!$L$13),""),"")</f>
        <v>5.8524</v>
      </c>
      <c r="H96" s="85" t="n">
        <f aca="false">IFERROR(IF(ISNUMBER(INDEX(원자료_잔고!$A$1:$EZ$1500,설정!$L$5+ROW()-1,설정!$L$14)),INDEX(원자료_잔고!$A$1:$EZ$1500,설정!$L$5+ROW()-1,설정!$L$14),""),"")</f>
        <v>2.7597</v>
      </c>
      <c r="I96" s="86" t="n">
        <f aca="false">IFERROR(IF(ISNUMBER(INDEX(원자료_잔고!$A$1:$EZ$1500,설정!$L$5+ROW()-1,설정!$L$15)),INDEX(원자료_잔고!$A$1:$EZ$1500,설정!$L$5+ROW()-1,설정!$L$15),""),"")</f>
        <v>47806</v>
      </c>
      <c r="J96" s="85" t="n">
        <f aca="false">IFERROR(IF(ISNUMBER(INDEX(원자료_잔고!$A$1:$EZ$1500,설정!$L$5+ROW()-1,설정!$L$16)),INDEX(원자료_잔고!$A$1:$EZ$1500,설정!$L$5+ROW()-1,설정!$L$16),""),"")</f>
        <v>5.283</v>
      </c>
      <c r="K96" s="87" t="n">
        <f aca="false">IFERROR(IF(ISNUMBER(INDEX(원자료_잔고!$A$1:$EZ$1500,설정!$L$5+ROW()-1,설정!$L$17)),INDEX(원자료_잔고!$A$1:$EZ$1500,설정!$L$5+ROW()-1,설정!$L$17),""),"")</f>
        <v>1</v>
      </c>
      <c r="L96" s="84" t="n">
        <f aca="false">IFERROR(IF(ISNUMBER(INDEX(원자료_잔고!$A$1:$EZ$1500,설정!$L$5+ROW()-1,설정!$L$18)),INDEX(원자료_잔고!$A$1:$EZ$1500,설정!$L$5+ROW()-1,설정!$L$18),""),"")</f>
        <v>4913240</v>
      </c>
      <c r="M96" s="88" t="n">
        <f aca="false">IFERROR(IF(ISNUMBER(INDEX(원자료_잔고!$A$1:$EZ$1500,설정!$L$5+ROW()-1,설정!$L$19)),INDEX(원자료_잔고!$A$1:$EZ$1500,설정!$L$5+ROW()-1,설정!$L$19),""),"")</f>
        <v>-240085</v>
      </c>
      <c r="N96" s="83" t="str">
        <f aca="false">IFERROR(IF(INDEX(원자료_잔고!$A$1:$EZ$1500,설정!$L$5+ROW()-1,설정!$L$21)&amp;""="0","",INDEX(원자료_잔고!$A$1:$EZ$1500,설정!$L$5+ROW()-1,설정!$L$21)&amp;""),"")</f>
        <v>A-</v>
      </c>
      <c r="O96" s="83" t="str">
        <f aca="false">IFERROR(IF(INDEX(원자료_잔고!$A$1:$EZ$1500,설정!$L$5+ROW()-1,설정!$L$22)&amp;""="0","",INDEX(원자료_잔고!$A$1:$EZ$1500,설정!$L$5+ROW()-1,설정!$L$22)&amp;""),"")</f>
        <v/>
      </c>
      <c r="P96" s="83" t="str">
        <f aca="false">IFERROR(IF(INDEX(원자료_잔고!$A$1:$EZ$1500,설정!$L$5+ROW()-1,설정!$L$23)&amp;""="0","",INDEX(원자료_잔고!$A$1:$EZ$1500,설정!$L$5+ROW()-1,설정!$L$23)&amp;""),"")</f>
        <v>A+</v>
      </c>
      <c r="Q96" s="89" t="n">
        <f aca="false">IF(AND($A96&lt;&gt;"",ISNUMBER(E96)),IF(E96&gt;0,1,0),0)</f>
        <v>1</v>
      </c>
      <c r="R96" s="43" t="str">
        <f aca="false">IF(Q96=1,UPPER(LEFT($A96,FIND(" ",$A96&amp;" ")-1)),"")</f>
        <v>BNP</v>
      </c>
      <c r="S96" s="89" t="n">
        <f aca="false">IF(Q96=1,IF(OR(ISNUMBER(SEARCH("Float",$A96)),ISNUMBER(SEARCH("FRN",$A96))),1,0),0)</f>
        <v>0</v>
      </c>
      <c r="T96" s="43" t="str">
        <f aca="false">IF(AND(Q96=1,ISNUMBER(I96)),TEXT(I96,"yyyymmdd")&amp;"|"&amp;IF(S96=1,"F",TEXT(J96,"0.000")),"")</f>
        <v>20301119|5.283</v>
      </c>
      <c r="U96" s="90" t="n">
        <f aca="false">IF(AND(Q96=1,ISNUMBER(I96)),(I96-설정!$C$4)/365.25,"")</f>
        <v>4.13415468856947</v>
      </c>
      <c r="V96" s="43" t="str">
        <f aca="false">IF(Q96&lt;&gt;1,"",IF(ISNUMBER(U96),IF(U96&lt;=1,"1년 이하",IF(U96&lt;=2,"1-2년",IF(U96&lt;=3,"2-3년",IF(U96&lt;=4,"3-4년",IF(U96&lt;=5,"4-5년",IF(U96&lt;=7,"5-7년",IF(U96&lt;=10,"7-10년",IF(U96&lt;=20,"10-20년","20년 이상")))))))),"미분류"))</f>
        <v>4-5년</v>
      </c>
      <c r="W96" s="43" t="str">
        <f aca="false">IF(Q96&lt;&gt;1,"",IF(AB96&lt;&gt;"",INDEX(시장분석!$C:$C,AB96),IF(K96=1,"USD","비USD")))</f>
        <v>USD</v>
      </c>
      <c r="X96" s="91" t="n">
        <f aca="false">IF(Q96=1,E96*K96/1000000,0)</f>
        <v>5</v>
      </c>
      <c r="Y96" s="89" t="n">
        <f aca="false">IF(R96="T",1,0)</f>
        <v>0</v>
      </c>
      <c r="Z96" s="92" t="n">
        <f aca="false">IF(Q96&lt;&gt;1,"",IF(AD96=1,IF(ISNUMBER(U96),MAX(U96,0),H96),H96))</f>
        <v>2.7597</v>
      </c>
      <c r="AA96" s="91" t="n">
        <f aca="false">IF(Q96=1,IF(ISNUMBER(L96),L96,0)*K96/1000000,0)</f>
        <v>4.91324</v>
      </c>
      <c r="AB96" s="89" t="n">
        <f aca="false">IF(Q96&lt;&gt;1,"",IFERROR(MATCH(VLOOKUP(B96,매핑!$H$4:$I$15,2,0),시장분석!$A$2:$A$601,0)+1,IFERROR(MATCH(R96&amp;"|"&amp;T96,시장분석!$V$2:$V$601,0)+1,IF(COUNTIF(시장분석!$U$2:$U$601,T96)=1,MATCH(T96,시장분석!$U$2:$U$601,0)+1,""))))</f>
        <v>22</v>
      </c>
      <c r="AC96" s="89" t="n">
        <f aca="false">IF(Q96&lt;&gt;1,0,IF(OR(설정!$C$5="전체",AND(설정!$C$5="선택펀드",IFERROR(COUNTIFS(설정!$F$16:$F$36,C96,설정!$G$16:$G$36,"Y")+COUNTIFS(설정!$F$16:$F$36,VALUE(C96),설정!$G$16:$G$36,"Y"),0)&gt;0),C96&amp;""=설정!$C$5&amp;""),1,0))</f>
        <v>1</v>
      </c>
      <c r="AD96" s="89" t="n">
        <f aca="false">IF(Q96&lt;&gt;1,0,IF(OR(S96=1,IF(AB96="",FALSE(),INDEX(시장분석!$R:$R,AB96)=1)),1,0))</f>
        <v>0</v>
      </c>
      <c r="AE96" s="43" t="str">
        <f aca="false">IF(AB96="","",INDEX(시장분석!$A:$A,AB96))</f>
        <v>BNP 5.283 11/19/30</v>
      </c>
      <c r="AF96" s="93" t="n">
        <f aca="false">IF(AB96="","",IF(ISNUMBER(IF(AB96="","",INDEX(시장분석!$E:$E,AB96))),IF(AB96="","",INDEX(시장분석!$E:$E,AB96)),""))</f>
        <v>91.092</v>
      </c>
      <c r="AG96" s="43" t="str">
        <f aca="false">IF(Q96&lt;&gt;1,"",IF(AB96&lt;&gt;"",IF(AB96="","",INDEX(시장분석!$L:$L,AB96)),IFERROR(IF(VLOOKUP(R96,매핑!$A$4:$E$92,5,0)="","미분류",VLOOKUP(R96,매핑!$A$4:$E$92,5,0)),"미분류")))</f>
        <v>금융기관</v>
      </c>
      <c r="AH96" s="43" t="str">
        <f aca="false">IF(Q96&lt;&gt;1,"",IF(AB96&lt;&gt;"",IF(AB96="","",INDEX(시장분석!$N:$N,AB96)),IFERROR(IF(VLOOKUP(R96,매핑!$A$4:$E$92,4,0)="","미분류",VLOOKUP(R96,매핑!$A$4:$E$92,4,0)),"미분류")))</f>
        <v>유럽</v>
      </c>
      <c r="AI96" s="43" t="str">
        <f aca="false">IF(Q96&lt;&gt;1,"",IFERROR(IF(VLOOKUP(R96,매핑!$A$4:$E$92,3,0)="","미분류",VLOOKUP(R96,매핑!$A$4:$E$92,3,0)),IF(AB96&lt;&gt;"",IF(AB96="","",INDEX(시장분석!$W:$W,AB96)),"미분류")))</f>
        <v>프랑스</v>
      </c>
      <c r="AJ96" s="43" t="str">
        <f aca="false">IF(Q96&lt;&gt;1,"",IFERROR(VLOOKUP(IF(N96&lt;&gt;"",N96,IF(P96&lt;&gt;"",P96,O96)),설정!$A$15:$D$47,2,0),""))</f>
        <v>A-</v>
      </c>
      <c r="AK96" s="43" t="str">
        <f aca="false">IF(Q96&lt;&gt;1,"",IF(AJ96="","무등급",IFERROR(VLOOKUP(AJ96,설정!$A$15:$D$47,3,0),"무등급")))</f>
        <v>A</v>
      </c>
      <c r="AL96" s="89" t="n">
        <f aca="false">IF(AJ96="",99,IFERROR(VLOOKUP(AJ96,설정!$A$15:$D$47,4,0),99))</f>
        <v>7</v>
      </c>
      <c r="AM96" s="94" t="n">
        <f aca="false">IF(ISNUMBER(H96),AA96*1000000*H96/10000,0)</f>
        <v>1355.9068428</v>
      </c>
      <c r="AN96" s="94" t="n">
        <f aca="false">IF(OR(Y96=1,NOT(ISNUMBER(Z96))),0,AA96*1000000*Z96/10000)</f>
        <v>1355.9068428</v>
      </c>
      <c r="AO96" s="94" t="n">
        <f aca="false">IF(ISNUMBER(G96),AA96*1000000*G96/100,0)</f>
        <v>287542.45776</v>
      </c>
      <c r="AP96" s="94" t="n">
        <f aca="false">IF(ISNUMBER(M96),M96*K96,0)</f>
        <v>-240085</v>
      </c>
      <c r="AQ96" s="95" t="n">
        <f aca="false">IF(AB96="","",INDEX(시장분석!$AK:$AK,AB96))</f>
        <v>1.40992799642607</v>
      </c>
      <c r="AR96" s="43" t="str">
        <f aca="false">IF(AB96="","-",IF(AB96="","",INDEX(시장분석!$AL:$AL,AB96)))</f>
        <v>Cheap</v>
      </c>
      <c r="AS96" s="96" t="n">
        <f aca="false">IF(AB96="","",INDEX(시장분석!$AJ:$AJ,AB96))</f>
        <v>15.4926851474664</v>
      </c>
      <c r="AT96" s="93" t="n">
        <f aca="false">IF(AB96="",0,IF(AB96="","",INDEX(시장분석!$AN:$AN,AB96)))</f>
        <v>13.1065902394437</v>
      </c>
      <c r="AU96" s="94" t="n">
        <f aca="false">IF(ISNUMBER(Z96),AT96/10000*MAX(Z96-1,0)*AA96*1000000,0)</f>
        <v>11331.7330486329</v>
      </c>
      <c r="AV96" s="94" t="n">
        <f aca="false">AO96+AU96</f>
        <v>298874.190808633</v>
      </c>
      <c r="AW96" s="43" t="str">
        <f aca="false">IF(Q96&lt;&gt;1,"",TRIM(IF(AD96=1,"FRN ","")&amp;IF(AND(AL96&gt;=10,AL96&lt;99),"BBB0미만 ","")&amp;IF(AJ96="","등급없음 ","")&amp;IF(K96&lt;&gt;1,"비USD ","")&amp;IF(AND(AB96="",Y96=0),"시장데이터없음 ","")&amp;IF(AND(ISNUMBER(U96),U96&lt;0),"만기경과 ","")))</f>
        <v/>
      </c>
      <c r="AX96" s="90" t="n">
        <f aca="false">IF(Q96&lt;&gt;1,1,IF(스프레드쇼크!$C$4="Y",INDEX(스프레드쇼크!$B$12:$L$16,IFERROR(MATCH(AH96,스프레드쇼크!$A$12:$A$16,0),MATCH("목록외",스프레드쇼크!$A$12:$A$16,0)),IFERROR(MATCH(AG96,스프레드쇼크!$B$11:$L$11,0),MATCH("목록외",스프레드쇼크!$B$11:$L$11,0))),1))</f>
        <v>1</v>
      </c>
      <c r="AY96" s="90" t="n">
        <f aca="false">IF(스프레드쇼크!$C$5="Y",IF(ISNUMBER(AF96),MIN(스프레드쇼크!$C$7,MAX(스프레드쇼크!$C$6,AF96/스프레드쇼크!$C$8)),1),1)</f>
        <v>1.37780185158814</v>
      </c>
      <c r="AZ96" s="94" t="n">
        <f aca="false">AN96*AX96*AY96</f>
        <v>1868.17095859086</v>
      </c>
      <c r="BA96" s="90" t="n">
        <f aca="false">IF(ISNUMBER(G96),AA96*G96,0)</f>
        <v>28.754245776</v>
      </c>
      <c r="BB96" s="90" t="n">
        <f aca="false">IF(ISNUMBER(G96),AA96,0)</f>
        <v>4.91324</v>
      </c>
      <c r="BC96" s="90" t="n">
        <f aca="false">IF(AND(Y96=0,ISNUMBER(AF96)),AA96*AF96,0)</f>
        <v>447.55685808</v>
      </c>
      <c r="BD96" s="90" t="n">
        <f aca="false">IF(AND(Y96=0,ISNUMBER(AF96)),AA96,0)</f>
        <v>4.91324</v>
      </c>
      <c r="BE96" s="90" t="n">
        <f aca="false">IF(ISNUMBER(H96),AA96*H96,0)</f>
        <v>13.559068428</v>
      </c>
      <c r="BF96" s="90" t="n">
        <f aca="false">IF(ISNUMBER(H96),AA96,0)</f>
        <v>4.91324</v>
      </c>
      <c r="BG96" s="90" t="n">
        <f aca="false">IF(AND(Y96=0,ISNUMBER(AF96),ISNUMBER(Z96)),AA96*Z96,0)</f>
        <v>13.559068428</v>
      </c>
      <c r="BH96" s="90" t="n">
        <f aca="false">IF(AND(Y96=0,ISNUMBER(AF96),ISNUMBER(Z96)),AA96*AT96*MAX(Z96-1,0),0)</f>
        <v>113.317330486329</v>
      </c>
      <c r="BI96" s="90" t="n">
        <f aca="false">IF(Y96=0,AA96,0)</f>
        <v>4.91324</v>
      </c>
    </row>
    <row r="97" customFormat="false" ht="15" hidden="false" customHeight="false" outlineLevel="0" collapsed="false">
      <c r="A97" s="83" t="str">
        <f aca="false">IFERROR(IF(INDEX(원자료_잔고!$A$1:$EZ$1500,설정!$L$5+ROW()-1,설정!$L$8)&amp;""="0","",INDEX(원자료_잔고!$A$1:$EZ$1500,설정!$L$5+ROW()-1,설정!$L$8)&amp;""),"")</f>
        <v>GS 5.207 01/28/31</v>
      </c>
      <c r="B97" s="83" t="str">
        <f aca="false">IFERROR(IF(INDEX(원자료_잔고!$A$1:$EZ$1500,설정!$L$5+ROW()-1,설정!$L$7)&amp;""="0","",INDEX(원자료_잔고!$A$1:$EZ$1500,설정!$L$5+ROW()-1,설정!$L$7)&amp;""),"")</f>
        <v>US38141GC365</v>
      </c>
      <c r="C97" s="83" t="str">
        <f aca="false">IFERROR(IF(INDEX(원자료_잔고!$A$1:$EZ$1500,설정!$L$5+ROW()-1,설정!$L$9)&amp;""="0","",INDEX(원자료_잔고!$A$1:$EZ$1500,설정!$L$5+ROW()-1,설정!$L$9)&amp;""),"")</f>
        <v>34507</v>
      </c>
      <c r="D9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7" s="84" t="n">
        <f aca="false">IFERROR(IF(ISNUMBER(INDEX(원자료_잔고!$A$1:$EZ$1500,설정!$L$5+ROW()-1,설정!$L$11)),INDEX(원자료_잔고!$A$1:$EZ$1500,설정!$L$5+ROW()-1,설정!$L$11),""),"")</f>
        <v>1000000</v>
      </c>
      <c r="F97" s="85" t="n">
        <f aca="false">IFERROR(IF(ISNUMBER(INDEX(원자료_잔고!$A$1:$EZ$1500,설정!$L$5+ROW()-1,설정!$L$12)),INDEX(원자료_잔고!$A$1:$EZ$1500,설정!$L$5+ROW()-1,설정!$L$12),""),"")</f>
        <v>98.0722</v>
      </c>
      <c r="G97" s="85" t="n">
        <f aca="false">IFERROR(IF(ISNUMBER(INDEX(원자료_잔고!$A$1:$EZ$1500,설정!$L$5+ROW()-1,설정!$L$13)),INDEX(원자료_잔고!$A$1:$EZ$1500,설정!$L$5+ROW()-1,설정!$L$13),""),"")</f>
        <v>5.8071</v>
      </c>
      <c r="H97" s="85" t="n">
        <f aca="false">IFERROR(IF(ISNUMBER(INDEX(원자료_잔고!$A$1:$EZ$1500,설정!$L$5+ROW()-1,설정!$L$14)),INDEX(원자료_잔고!$A$1:$EZ$1500,설정!$L$5+ROW()-1,설정!$L$14),""),"")</f>
        <v>2.9553</v>
      </c>
      <c r="I97" s="86" t="n">
        <f aca="false">IFERROR(IF(ISNUMBER(INDEX(원자료_잔고!$A$1:$EZ$1500,설정!$L$5+ROW()-1,설정!$L$15)),INDEX(원자료_잔고!$A$1:$EZ$1500,설정!$L$5+ROW()-1,설정!$L$15),""),"")</f>
        <v>47876</v>
      </c>
      <c r="J97" s="85" t="n">
        <f aca="false">IFERROR(IF(ISNUMBER(INDEX(원자료_잔고!$A$1:$EZ$1500,설정!$L$5+ROW()-1,설정!$L$16)),INDEX(원자료_잔고!$A$1:$EZ$1500,설정!$L$5+ROW()-1,설정!$L$16),""),"")</f>
        <v>5.207</v>
      </c>
      <c r="K97" s="87" t="n">
        <f aca="false">IFERROR(IF(ISNUMBER(INDEX(원자료_잔고!$A$1:$EZ$1500,설정!$L$5+ROW()-1,설정!$L$17)),INDEX(원자료_잔고!$A$1:$EZ$1500,설정!$L$5+ROW()-1,설정!$L$17),""),"")</f>
        <v>1</v>
      </c>
      <c r="L97" s="84" t="n">
        <f aca="false">IFERROR(IF(ISNUMBER(INDEX(원자료_잔고!$A$1:$EZ$1500,설정!$L$5+ROW()-1,설정!$L$18)),INDEX(원자료_잔고!$A$1:$EZ$1500,설정!$L$5+ROW()-1,설정!$L$18),""),"")</f>
        <v>980722</v>
      </c>
      <c r="M97" s="88" t="n">
        <f aca="false">IFERROR(IF(ISNUMBER(INDEX(원자료_잔고!$A$1:$EZ$1500,설정!$L$5+ROW()-1,설정!$L$19)),INDEX(원자료_잔고!$A$1:$EZ$1500,설정!$L$5+ROW()-1,설정!$L$19),""),"")</f>
        <v>-54175</v>
      </c>
      <c r="N97" s="83" t="str">
        <f aca="false">IFERROR(IF(INDEX(원자료_잔고!$A$1:$EZ$1500,설정!$L$5+ROW()-1,설정!$L$21)&amp;""="0","",INDEX(원자료_잔고!$A$1:$EZ$1500,설정!$L$5+ROW()-1,설정!$L$21)&amp;""),"")</f>
        <v>BBB+</v>
      </c>
      <c r="O97" s="83" t="str">
        <f aca="false">IFERROR(IF(INDEX(원자료_잔고!$A$1:$EZ$1500,설정!$L$5+ROW()-1,설정!$L$22)&amp;""="0","",INDEX(원자료_잔고!$A$1:$EZ$1500,설정!$L$5+ROW()-1,설정!$L$22)&amp;""),"")</f>
        <v/>
      </c>
      <c r="P97" s="83" t="str">
        <f aca="false">IFERROR(IF(INDEX(원자료_잔고!$A$1:$EZ$1500,설정!$L$5+ROW()-1,설정!$L$23)&amp;""="0","",INDEX(원자료_잔고!$A$1:$EZ$1500,설정!$L$5+ROW()-1,설정!$L$23)&amp;""),"")</f>
        <v>A</v>
      </c>
      <c r="Q97" s="89" t="n">
        <f aca="false">IF(AND($A97&lt;&gt;"",ISNUMBER(E97)),IF(E97&gt;0,1,0),0)</f>
        <v>1</v>
      </c>
      <c r="R97" s="43" t="str">
        <f aca="false">IF(Q97=1,UPPER(LEFT($A97,FIND(" ",$A97&amp;" ")-1)),"")</f>
        <v>GS</v>
      </c>
      <c r="S97" s="89" t="n">
        <f aca="false">IF(Q97=1,IF(OR(ISNUMBER(SEARCH("Float",$A97)),ISNUMBER(SEARCH("FRN",$A97))),1,0),0)</f>
        <v>0</v>
      </c>
      <c r="T97" s="43" t="str">
        <f aca="false">IF(AND(Q97=1,ISNUMBER(I97)),TEXT(I97,"yyyymmdd")&amp;"|"&amp;IF(S97=1,"F",TEXT(J97,"0.000")),"")</f>
        <v>20310128|5.207</v>
      </c>
      <c r="U97" s="90" t="n">
        <f aca="false">IF(AND(Q97=1,ISNUMBER(I97)),(I97-설정!$C$4)/365.25,"")</f>
        <v>4.32580424366872</v>
      </c>
      <c r="V97" s="43" t="str">
        <f aca="false">IF(Q97&lt;&gt;1,"",IF(ISNUMBER(U97),IF(U97&lt;=1,"1년 이하",IF(U97&lt;=2,"1-2년",IF(U97&lt;=3,"2-3년",IF(U97&lt;=4,"3-4년",IF(U97&lt;=5,"4-5년",IF(U97&lt;=7,"5-7년",IF(U97&lt;=10,"7-10년",IF(U97&lt;=20,"10-20년","20년 이상")))))))),"미분류"))</f>
        <v>4-5년</v>
      </c>
      <c r="W97" s="43" t="str">
        <f aca="false">IF(Q97&lt;&gt;1,"",IF(AB97&lt;&gt;"",INDEX(시장분석!$C:$C,AB97),IF(K97=1,"USD","비USD")))</f>
        <v>USD</v>
      </c>
      <c r="X97" s="91" t="n">
        <f aca="false">IF(Q97=1,E97*K97/1000000,0)</f>
        <v>1</v>
      </c>
      <c r="Y97" s="89" t="n">
        <f aca="false">IF(R97="T",1,0)</f>
        <v>0</v>
      </c>
      <c r="Z97" s="92" t="n">
        <f aca="false">IF(Q97&lt;&gt;1,"",IF(AD97=1,IF(ISNUMBER(U97),MAX(U97,0),H97),H97))</f>
        <v>2.9553</v>
      </c>
      <c r="AA97" s="91" t="n">
        <f aca="false">IF(Q97=1,IF(ISNUMBER(L97),L97,0)*K97/1000000,0)</f>
        <v>0.980722</v>
      </c>
      <c r="AB97" s="89" t="n">
        <f aca="false">IF(Q97&lt;&gt;1,"",IFERROR(MATCH(VLOOKUP(B97,매핑!$H$4:$I$15,2,0),시장분석!$A$2:$A$601,0)+1,IFERROR(MATCH(R97&amp;"|"&amp;T97,시장분석!$V$2:$V$601,0)+1,IF(COUNTIF(시장분석!$U$2:$U$601,T97)=1,MATCH(T97,시장분석!$U$2:$U$601,0)+1,""))))</f>
        <v>41</v>
      </c>
      <c r="AC97" s="89" t="n">
        <f aca="false">IF(Q97&lt;&gt;1,0,IF(OR(설정!$C$5="전체",AND(설정!$C$5="선택펀드",IFERROR(COUNTIFS(설정!$F$16:$F$36,C97,설정!$G$16:$G$36,"Y")+COUNTIFS(설정!$F$16:$F$36,VALUE(C97),설정!$G$16:$G$36,"Y"),0)&gt;0),C97&amp;""=설정!$C$5&amp;""),1,0))</f>
        <v>1</v>
      </c>
      <c r="AD97" s="89" t="n">
        <f aca="false">IF(Q97&lt;&gt;1,0,IF(OR(S97=1,IF(AB97="",FALSE(),INDEX(시장분석!$R:$R,AB97)=1)),1,0))</f>
        <v>0</v>
      </c>
      <c r="AE97" s="43" t="str">
        <f aca="false">IF(AB97="","",INDEX(시장분석!$A:$A,AB97))</f>
        <v>GS 5.207 01/28/31</v>
      </c>
      <c r="AF97" s="93" t="n">
        <f aca="false">IF(AB97="","",IF(ISNUMBER(IF(AB97="","",INDEX(시장분석!$E:$E,AB97))),IF(AB97="","",INDEX(시장분석!$E:$E,AB97)),""))</f>
        <v>80.286</v>
      </c>
      <c r="AG97" s="43" t="str">
        <f aca="false">IF(Q97&lt;&gt;1,"",IF(AB97&lt;&gt;"",IF(AB97="","",INDEX(시장분석!$L:$L,AB97)),IFERROR(IF(VLOOKUP(R97,매핑!$A$4:$E$92,5,0)="","미분류",VLOOKUP(R97,매핑!$A$4:$E$92,5,0)),"미분류")))</f>
        <v>금융기관</v>
      </c>
      <c r="AH97" s="43" t="str">
        <f aca="false">IF(Q97&lt;&gt;1,"",IF(AB97&lt;&gt;"",IF(AB97="","",INDEX(시장분석!$N:$N,AB97)),IFERROR(IF(VLOOKUP(R97,매핑!$A$4:$E$92,4,0)="","미분류",VLOOKUP(R97,매핑!$A$4:$E$92,4,0)),"미분류")))</f>
        <v>미국</v>
      </c>
      <c r="AI97" s="43" t="str">
        <f aca="false">IF(Q97&lt;&gt;1,"",IFERROR(IF(VLOOKUP(R97,매핑!$A$4:$E$92,3,0)="","미분류",VLOOKUP(R97,매핑!$A$4:$E$92,3,0)),IF(AB97&lt;&gt;"",IF(AB97="","",INDEX(시장분석!$W:$W,AB97)),"미분류")))</f>
        <v>미국</v>
      </c>
      <c r="AJ97" s="43" t="str">
        <f aca="false">IF(Q97&lt;&gt;1,"",IFERROR(VLOOKUP(IF(N97&lt;&gt;"",N97,IF(P97&lt;&gt;"",P97,O97)),설정!$A$15:$D$47,2,0),""))</f>
        <v>BBB+</v>
      </c>
      <c r="AK97" s="43" t="str">
        <f aca="false">IF(Q97&lt;&gt;1,"",IF(AJ97="","무등급",IFERROR(VLOOKUP(AJ97,설정!$A$15:$D$47,3,0),"무등급")))</f>
        <v>BBB</v>
      </c>
      <c r="AL97" s="89" t="n">
        <f aca="false">IF(AJ97="",99,IFERROR(VLOOKUP(AJ97,설정!$A$15:$D$47,4,0),99))</f>
        <v>8</v>
      </c>
      <c r="AM97" s="94" t="n">
        <f aca="false">IF(ISNUMBER(H97),AA97*1000000*H97/10000,0)</f>
        <v>289.83277266</v>
      </c>
      <c r="AN97" s="94" t="n">
        <f aca="false">IF(OR(Y97=1,NOT(ISNUMBER(Z97))),0,AA97*1000000*Z97/10000)</f>
        <v>289.83277266</v>
      </c>
      <c r="AO97" s="94" t="n">
        <f aca="false">IF(ISNUMBER(G97),AA97*1000000*G97/100,0)</f>
        <v>56951.507262</v>
      </c>
      <c r="AP97" s="94" t="n">
        <f aca="false">IF(ISNUMBER(M97),M97*K97,0)</f>
        <v>-54175</v>
      </c>
      <c r="AQ97" s="95" t="n">
        <f aca="false">IF(AB97="","",INDEX(시장분석!$AK:$AK,AB97))</f>
        <v>0.697116907753018</v>
      </c>
      <c r="AR97" s="43" t="str">
        <f aca="false">IF(AB97="","-",IF(AB97="","",INDEX(시장분석!$AL:$AL,AB97)))</f>
        <v>Fair</v>
      </c>
      <c r="AS97" s="96" t="n">
        <f aca="false">IF(AB97="","",INDEX(시장분석!$AJ:$AJ,AB97))</f>
        <v>9.53459414481007</v>
      </c>
      <c r="AT97" s="93" t="n">
        <f aca="false">IF(AB97="",0,IF(AB97="","",INDEX(시장분석!$AN:$AN,AB97)))</f>
        <v>8.19586561699359</v>
      </c>
      <c r="AU97" s="94" t="n">
        <f aca="false">IF(ISNUMBER(Z97),AT97/10000*MAX(Z97-1,0)*AA97*1000000,0)</f>
        <v>1571.64388415909</v>
      </c>
      <c r="AV97" s="94" t="n">
        <f aca="false">AO97+AU97</f>
        <v>58523.1511461591</v>
      </c>
      <c r="AW97" s="43" t="str">
        <f aca="false">IF(Q97&lt;&gt;1,"",TRIM(IF(AD97=1,"FRN ","")&amp;IF(AND(AL97&gt;=10,AL97&lt;99),"BBB0미만 ","")&amp;IF(AJ97="","등급없음 ","")&amp;IF(K97&lt;&gt;1,"비USD ","")&amp;IF(AND(AB97="",Y97=0),"시장데이터없음 ","")&amp;IF(AND(ISNUMBER(U97),U97&lt;0),"만기경과 ","")))</f>
        <v/>
      </c>
      <c r="AX97" s="90" t="n">
        <f aca="false">IF(Q97&lt;&gt;1,1,IF(스프레드쇼크!$C$4="Y",INDEX(스프레드쇼크!$B$12:$L$16,IFERROR(MATCH(AH97,스프레드쇼크!$A$12:$A$16,0),MATCH("목록외",스프레드쇼크!$A$12:$A$16,0)),IFERROR(MATCH(AG97,스프레드쇼크!$B$11:$L$11,0),MATCH("목록외",스프레드쇼크!$B$11:$L$11,0))),1))</f>
        <v>1</v>
      </c>
      <c r="AY97" s="90" t="n">
        <f aca="false">IF(스프레드쇼크!$C$5="Y",IF(ISNUMBER(AF97),MIN(스프레드쇼크!$C$7,MAX(스프레드쇼크!$C$6,AF97/스프레드쇼크!$C$8)),1),1)</f>
        <v>1.21435690792391</v>
      </c>
      <c r="AZ97" s="94" t="n">
        <f aca="false">AN97*AX97*AY97</f>
        <v>351.960429622412</v>
      </c>
      <c r="BA97" s="90" t="n">
        <f aca="false">IF(ISNUMBER(G97),AA97*G97,0)</f>
        <v>5.6951507262</v>
      </c>
      <c r="BB97" s="90" t="n">
        <f aca="false">IF(ISNUMBER(G97),AA97,0)</f>
        <v>0.980722</v>
      </c>
      <c r="BC97" s="90" t="n">
        <f aca="false">IF(AND(Y97=0,ISNUMBER(AF97)),AA97*AF97,0)</f>
        <v>78.738246492</v>
      </c>
      <c r="BD97" s="90" t="n">
        <f aca="false">IF(AND(Y97=0,ISNUMBER(AF97)),AA97,0)</f>
        <v>0.980722</v>
      </c>
      <c r="BE97" s="90" t="n">
        <f aca="false">IF(ISNUMBER(H97),AA97*H97,0)</f>
        <v>2.8983277266</v>
      </c>
      <c r="BF97" s="90" t="n">
        <f aca="false">IF(ISNUMBER(H97),AA97,0)</f>
        <v>0.980722</v>
      </c>
      <c r="BG97" s="90" t="n">
        <f aca="false">IF(AND(Y97=0,ISNUMBER(AF97),ISNUMBER(Z97)),AA97*Z97,0)</f>
        <v>2.8983277266</v>
      </c>
      <c r="BH97" s="90" t="n">
        <f aca="false">IF(AND(Y97=0,ISNUMBER(AF97),ISNUMBER(Z97)),AA97*AT97*MAX(Z97-1,0),0)</f>
        <v>15.7164388415909</v>
      </c>
      <c r="BI97" s="90" t="n">
        <f aca="false">IF(Y97=0,AA97,0)</f>
        <v>0.980722</v>
      </c>
    </row>
    <row r="98" customFormat="false" ht="15" hidden="false" customHeight="false" outlineLevel="0" collapsed="false">
      <c r="A98" s="83" t="str">
        <f aca="false">IFERROR(IF(INDEX(원자료_잔고!$A$1:$EZ$1500,설정!$L$5+ROW()-1,설정!$L$8)&amp;""="0","",INDEX(원자료_잔고!$A$1:$EZ$1500,설정!$L$5+ROW()-1,설정!$L$8)&amp;""),"")</f>
        <v>HYNMTR 4.5 09/18/30</v>
      </c>
      <c r="B98" s="83" t="str">
        <f aca="false">IFERROR(IF(INDEX(원자료_잔고!$A$1:$EZ$1500,설정!$L$5+ROW()-1,설정!$L$7)&amp;""="0","",INDEX(원자료_잔고!$A$1:$EZ$1500,설정!$L$5+ROW()-1,설정!$L$7)&amp;""),"")</f>
        <v>US44891CEA71</v>
      </c>
      <c r="C98" s="83" t="str">
        <f aca="false">IFERROR(IF(INDEX(원자료_잔고!$A$1:$EZ$1500,설정!$L$5+ROW()-1,설정!$L$9)&amp;""="0","",INDEX(원자료_잔고!$A$1:$EZ$1500,설정!$L$5+ROW()-1,설정!$L$9)&amp;""),"")</f>
        <v>34507</v>
      </c>
      <c r="D9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8" s="84" t="n">
        <f aca="false">IFERROR(IF(ISNUMBER(INDEX(원자료_잔고!$A$1:$EZ$1500,설정!$L$5+ROW()-1,설정!$L$11)),INDEX(원자료_잔고!$A$1:$EZ$1500,설정!$L$5+ROW()-1,설정!$L$11),""),"")</f>
        <v>500000</v>
      </c>
      <c r="F98" s="85" t="n">
        <f aca="false">IFERROR(IF(ISNUMBER(INDEX(원자료_잔고!$A$1:$EZ$1500,설정!$L$5+ROW()-1,설정!$L$12)),INDEX(원자료_잔고!$A$1:$EZ$1500,설정!$L$5+ROW()-1,설정!$L$12),""),"")</f>
        <v>95.4162</v>
      </c>
      <c r="G98" s="85" t="n">
        <f aca="false">IFERROR(IF(ISNUMBER(INDEX(원자료_잔고!$A$1:$EZ$1500,설정!$L$5+ROW()-1,설정!$L$13)),INDEX(원자료_잔고!$A$1:$EZ$1500,설정!$L$5+ROW()-1,설정!$L$13),""),"")</f>
        <v>5.8095</v>
      </c>
      <c r="H98" s="85" t="n">
        <f aca="false">IFERROR(IF(ISNUMBER(INDEX(원자료_잔고!$A$1:$EZ$1500,설정!$L$5+ROW()-1,설정!$L$14)),INDEX(원자료_잔고!$A$1:$EZ$1500,설정!$L$5+ROW()-1,설정!$L$14),""),"")</f>
        <v>3.4906</v>
      </c>
      <c r="I98" s="86" t="n">
        <f aca="false">IFERROR(IF(ISNUMBER(INDEX(원자료_잔고!$A$1:$EZ$1500,설정!$L$5+ROW()-1,설정!$L$15)),INDEX(원자료_잔고!$A$1:$EZ$1500,설정!$L$5+ROW()-1,설정!$L$15),""),"")</f>
        <v>47744</v>
      </c>
      <c r="J98" s="85" t="n">
        <f aca="false">IFERROR(IF(ISNUMBER(INDEX(원자료_잔고!$A$1:$EZ$1500,설정!$L$5+ROW()-1,설정!$L$16)),INDEX(원자료_잔고!$A$1:$EZ$1500,설정!$L$5+ROW()-1,설정!$L$16),""),"")</f>
        <v>4.5</v>
      </c>
      <c r="K98" s="87" t="n">
        <f aca="false">IFERROR(IF(ISNUMBER(INDEX(원자료_잔고!$A$1:$EZ$1500,설정!$L$5+ROW()-1,설정!$L$17)),INDEX(원자료_잔고!$A$1:$EZ$1500,설정!$L$5+ROW()-1,설정!$L$17),""),"")</f>
        <v>1</v>
      </c>
      <c r="L98" s="84" t="n">
        <f aca="false">IFERROR(IF(ISNUMBER(INDEX(원자료_잔고!$A$1:$EZ$1500,설정!$L$5+ROW()-1,설정!$L$18)),INDEX(원자료_잔고!$A$1:$EZ$1500,설정!$L$5+ROW()-1,설정!$L$18),""),"")</f>
        <v>477081</v>
      </c>
      <c r="M98" s="88" t="n">
        <f aca="false">IFERROR(IF(ISNUMBER(INDEX(원자료_잔고!$A$1:$EZ$1500,설정!$L$5+ROW()-1,설정!$L$19)),INDEX(원자료_잔고!$A$1:$EZ$1500,설정!$L$5+ROW()-1,설정!$L$19),""),"")</f>
        <v>-23650</v>
      </c>
      <c r="N98" s="83" t="str">
        <f aca="false">IFERROR(IF(INDEX(원자료_잔고!$A$1:$EZ$1500,설정!$L$5+ROW()-1,설정!$L$21)&amp;""="0","",INDEX(원자료_잔고!$A$1:$EZ$1500,설정!$L$5+ROW()-1,설정!$L$21)&amp;""),"")</f>
        <v>A-</v>
      </c>
      <c r="O98" s="83" t="str">
        <f aca="false">IFERROR(IF(INDEX(원자료_잔고!$A$1:$EZ$1500,설정!$L$5+ROW()-1,설정!$L$22)&amp;""="0","",INDEX(원자료_잔고!$A$1:$EZ$1500,설정!$L$5+ROW()-1,설정!$L$22)&amp;""),"")</f>
        <v/>
      </c>
      <c r="P98" s="83" t="str">
        <f aca="false">IFERROR(IF(INDEX(원자료_잔고!$A$1:$EZ$1500,설정!$L$5+ROW()-1,설정!$L$23)&amp;""="0","",INDEX(원자료_잔고!$A$1:$EZ$1500,설정!$L$5+ROW()-1,설정!$L$23)&amp;""),"")</f>
        <v>A-</v>
      </c>
      <c r="Q98" s="89" t="n">
        <f aca="false">IF(AND($A98&lt;&gt;"",ISNUMBER(E98)),IF(E98&gt;0,1,0),0)</f>
        <v>1</v>
      </c>
      <c r="R98" s="43" t="str">
        <f aca="false">IF(Q98=1,UPPER(LEFT($A98,FIND(" ",$A98&amp;" ")-1)),"")</f>
        <v>HYNMTR</v>
      </c>
      <c r="S98" s="89" t="n">
        <f aca="false">IF(Q98=1,IF(OR(ISNUMBER(SEARCH("Float",$A98)),ISNUMBER(SEARCH("FRN",$A98))),1,0),0)</f>
        <v>0</v>
      </c>
      <c r="T98" s="43" t="str">
        <f aca="false">IF(AND(Q98=1,ISNUMBER(I98)),TEXT(I98,"yyyymmdd")&amp;"|"&amp;IF(S98=1,"F",TEXT(J98,"0.000")),"")</f>
        <v>20300918|4.500</v>
      </c>
      <c r="U98" s="90" t="n">
        <f aca="false">IF(AND(Q98=1,ISNUMBER(I98)),(I98-설정!$C$4)/365.25,"")</f>
        <v>3.96440793976728</v>
      </c>
      <c r="V98" s="43" t="str">
        <f aca="false">IF(Q98&lt;&gt;1,"",IF(ISNUMBER(U98),IF(U98&lt;=1,"1년 이하",IF(U98&lt;=2,"1-2년",IF(U98&lt;=3,"2-3년",IF(U98&lt;=4,"3-4년",IF(U98&lt;=5,"4-5년",IF(U98&lt;=7,"5-7년",IF(U98&lt;=10,"7-10년",IF(U98&lt;=20,"10-20년","20년 이상")))))))),"미분류"))</f>
        <v>3-4년</v>
      </c>
      <c r="W98" s="43" t="str">
        <f aca="false">IF(Q98&lt;&gt;1,"",IF(AB98&lt;&gt;"",INDEX(시장분석!$C:$C,AB98),IF(K98=1,"USD","비USD")))</f>
        <v>USD</v>
      </c>
      <c r="X98" s="91" t="n">
        <f aca="false">IF(Q98=1,E98*K98/1000000,0)</f>
        <v>0.5</v>
      </c>
      <c r="Y98" s="89" t="n">
        <f aca="false">IF(R98="T",1,0)</f>
        <v>0</v>
      </c>
      <c r="Z98" s="92" t="n">
        <f aca="false">IF(Q98&lt;&gt;1,"",IF(AD98=1,IF(ISNUMBER(U98),MAX(U98,0),H98),H98))</f>
        <v>3.4906</v>
      </c>
      <c r="AA98" s="91" t="n">
        <f aca="false">IF(Q98=1,IF(ISNUMBER(L98),L98,0)*K98/1000000,0)</f>
        <v>0.477081</v>
      </c>
      <c r="AB98" s="89" t="n">
        <f aca="false">IF(Q98&lt;&gt;1,"",IFERROR(MATCH(VLOOKUP(B98,매핑!$H$4:$I$15,2,0),시장분석!$A$2:$A$601,0)+1,IFERROR(MATCH(R98&amp;"|"&amp;T98,시장분석!$V$2:$V$601,0)+1,IF(COUNTIF(시장분석!$U$2:$U$601,T98)=1,MATCH(T98,시장분석!$U$2:$U$601,0)+1,""))))</f>
        <v>70</v>
      </c>
      <c r="AC98" s="89" t="n">
        <f aca="false">IF(Q98&lt;&gt;1,0,IF(OR(설정!$C$5="전체",AND(설정!$C$5="선택펀드",IFERROR(COUNTIFS(설정!$F$16:$F$36,C98,설정!$G$16:$G$36,"Y")+COUNTIFS(설정!$F$16:$F$36,VALUE(C98),설정!$G$16:$G$36,"Y"),0)&gt;0),C98&amp;""=설정!$C$5&amp;""),1,0))</f>
        <v>1</v>
      </c>
      <c r="AD98" s="89" t="n">
        <f aca="false">IF(Q98&lt;&gt;1,0,IF(OR(S98=1,IF(AB98="",FALSE(),INDEX(시장분석!$R:$R,AB98)=1)),1,0))</f>
        <v>0</v>
      </c>
      <c r="AE98" s="43" t="str">
        <f aca="false">IF(AB98="","",INDEX(시장분석!$A:$A,AB98))</f>
        <v>HYNMTR 4 1/2 09/18/30</v>
      </c>
      <c r="AF98" s="93" t="n">
        <f aca="false">IF(AB98="","",IF(ISNUMBER(IF(AB98="","",INDEX(시장분석!$E:$E,AB98))),IF(AB98="","",INDEX(시장분석!$E:$E,AB98)),""))</f>
        <v>77.781</v>
      </c>
      <c r="AG98" s="43" t="str">
        <f aca="false">IF(Q98&lt;&gt;1,"",IF(AB98&lt;&gt;"",IF(AB98="","",INDEX(시장분석!$L:$L,AB98)),IFERROR(IF(VLOOKUP(R98,매핑!$A$4:$E$92,5,0)="","미분류",VLOOKUP(R98,매핑!$A$4:$E$92,5,0)),"미분류")))</f>
        <v>자유 소비재</v>
      </c>
      <c r="AH98" s="43" t="str">
        <f aca="false">IF(Q98&lt;&gt;1,"",IF(AB98&lt;&gt;"",IF(AB98="","",INDEX(시장분석!$N:$N,AB98)),IFERROR(IF(VLOOKUP(R98,매핑!$A$4:$E$92,4,0)="","미분류",VLOOKUP(R98,매핑!$A$4:$E$92,4,0)),"미분류")))</f>
        <v>미국</v>
      </c>
      <c r="AI98" s="43" t="str">
        <f aca="false">IF(Q98&lt;&gt;1,"",IFERROR(IF(VLOOKUP(R98,매핑!$A$4:$E$92,3,0)="","미분류",VLOOKUP(R98,매핑!$A$4:$E$92,3,0)),IF(AB98&lt;&gt;"",IF(AB98="","",INDEX(시장분석!$W:$W,AB98)),"미분류")))</f>
        <v>미국</v>
      </c>
      <c r="AJ98" s="43" t="str">
        <f aca="false">IF(Q98&lt;&gt;1,"",IFERROR(VLOOKUP(IF(N98&lt;&gt;"",N98,IF(P98&lt;&gt;"",P98,O98)),설정!$A$15:$D$47,2,0),""))</f>
        <v>A-</v>
      </c>
      <c r="AK98" s="43" t="str">
        <f aca="false">IF(Q98&lt;&gt;1,"",IF(AJ98="","무등급",IFERROR(VLOOKUP(AJ98,설정!$A$15:$D$47,3,0),"무등급")))</f>
        <v>A</v>
      </c>
      <c r="AL98" s="89" t="n">
        <f aca="false">IF(AJ98="",99,IFERROR(VLOOKUP(AJ98,설정!$A$15:$D$47,4,0),99))</f>
        <v>7</v>
      </c>
      <c r="AM98" s="94" t="n">
        <f aca="false">IF(ISNUMBER(H98),AA98*1000000*H98/10000,0)</f>
        <v>166.52989386</v>
      </c>
      <c r="AN98" s="94" t="n">
        <f aca="false">IF(OR(Y98=1,NOT(ISNUMBER(Z98))),0,AA98*1000000*Z98/10000)</f>
        <v>166.52989386</v>
      </c>
      <c r="AO98" s="94" t="n">
        <f aca="false">IF(ISNUMBER(G98),AA98*1000000*G98/100,0)</f>
        <v>27716.020695</v>
      </c>
      <c r="AP98" s="94" t="n">
        <f aca="false">IF(ISNUMBER(M98),M98*K98,0)</f>
        <v>-23650</v>
      </c>
      <c r="AQ98" s="95" t="n">
        <f aca="false">IF(AB98="","",INDEX(시장분석!$AK:$AK,AB98))</f>
        <v>-0.293199261822738</v>
      </c>
      <c r="AR98" s="43" t="str">
        <f aca="false">IF(AB98="","-",IF(AB98="","",INDEX(시장분석!$AL:$AL,AB98)))</f>
        <v>Fair</v>
      </c>
      <c r="AS98" s="96" t="n">
        <f aca="false">IF(AB98="","",INDEX(시장분석!$AJ:$AJ,AB98))</f>
        <v>-1.27168036059</v>
      </c>
      <c r="AT98" s="93" t="n">
        <f aca="false">IF(AB98="",0,IF(AB98="","",INDEX(시장분석!$AN:$AN,AB98)))</f>
        <v>12.8591276935059</v>
      </c>
      <c r="AU98" s="94" t="n">
        <f aca="false">IF(ISNUMBER(Z98),AT98/10000*MAX(Z98-1,0)*AA98*1000000,0)</f>
        <v>1527.94462001717</v>
      </c>
      <c r="AV98" s="94" t="n">
        <f aca="false">AO98+AU98</f>
        <v>29243.9653150172</v>
      </c>
      <c r="AW98" s="43" t="str">
        <f aca="false">IF(Q98&lt;&gt;1,"",TRIM(IF(AD98=1,"FRN ","")&amp;IF(AND(AL98&gt;=10,AL98&lt;99),"BBB0미만 ","")&amp;IF(AJ98="","등급없음 ","")&amp;IF(K98&lt;&gt;1,"비USD ","")&amp;IF(AND(AB98="",Y98=0),"시장데이터없음 ","")&amp;IF(AND(ISNUMBER(U98),U98&lt;0),"만기경과 ","")))</f>
        <v/>
      </c>
      <c r="AX98" s="90" t="n">
        <f aca="false">IF(Q98&lt;&gt;1,1,IF(스프레드쇼크!$C$4="Y",INDEX(스프레드쇼크!$B$12:$L$16,IFERROR(MATCH(AH98,스프레드쇼크!$A$12:$A$16,0),MATCH("목록외",스프레드쇼크!$A$12:$A$16,0)),IFERROR(MATCH(AG98,스프레드쇼크!$B$11:$L$11,0),MATCH("목록외",스프레드쇼크!$B$11:$L$11,0))),1))</f>
        <v>1</v>
      </c>
      <c r="AY98" s="90" t="n">
        <f aca="false">IF(스프레드쇼크!$C$5="Y",IF(ISNUMBER(AF98),MIN(스프레드쇼크!$C$7,MAX(스프레드쇼크!$C$6,AF98/스프레드쇼크!$C$8)),1),1)</f>
        <v>1.17646781076688</v>
      </c>
      <c r="AZ98" s="94" t="n">
        <f aca="false">AN98*AX98*AY98</f>
        <v>195.917059656715</v>
      </c>
      <c r="BA98" s="90" t="n">
        <f aca="false">IF(ISNUMBER(G98),AA98*G98,0)</f>
        <v>2.7716020695</v>
      </c>
      <c r="BB98" s="90" t="n">
        <f aca="false">IF(ISNUMBER(G98),AA98,0)</f>
        <v>0.477081</v>
      </c>
      <c r="BC98" s="90" t="n">
        <f aca="false">IF(AND(Y98=0,ISNUMBER(AF98)),AA98*AF98,0)</f>
        <v>37.107837261</v>
      </c>
      <c r="BD98" s="90" t="n">
        <f aca="false">IF(AND(Y98=0,ISNUMBER(AF98)),AA98,0)</f>
        <v>0.477081</v>
      </c>
      <c r="BE98" s="90" t="n">
        <f aca="false">IF(ISNUMBER(H98),AA98*H98,0)</f>
        <v>1.6652989386</v>
      </c>
      <c r="BF98" s="90" t="n">
        <f aca="false">IF(ISNUMBER(H98),AA98,0)</f>
        <v>0.477081</v>
      </c>
      <c r="BG98" s="90" t="n">
        <f aca="false">IF(AND(Y98=0,ISNUMBER(AF98),ISNUMBER(Z98)),AA98*Z98,0)</f>
        <v>1.6652989386</v>
      </c>
      <c r="BH98" s="90" t="n">
        <f aca="false">IF(AND(Y98=0,ISNUMBER(AF98),ISNUMBER(Z98)),AA98*AT98*MAX(Z98-1,0),0)</f>
        <v>15.2794462001718</v>
      </c>
      <c r="BI98" s="90" t="n">
        <f aca="false">IF(Y98=0,AA98,0)</f>
        <v>0.477081</v>
      </c>
    </row>
    <row r="99" customFormat="false" ht="15" hidden="false" customHeight="false" outlineLevel="0" collapsed="false">
      <c r="A99" s="83" t="str">
        <f aca="false">IFERROR(IF(INDEX(원자료_잔고!$A$1:$EZ$1500,설정!$L$5+ROW()-1,설정!$L$8)&amp;""="0","",INDEX(원자료_잔고!$A$1:$EZ$1500,설정!$L$5+ROW()-1,설정!$L$8)&amp;""),"")</f>
        <v>HYNMTR 5.4 09/17/29</v>
      </c>
      <c r="B99" s="83" t="str">
        <f aca="false">IFERROR(IF(INDEX(원자료_잔고!$A$1:$EZ$1500,설정!$L$5+ROW()-1,설정!$L$7)&amp;""="0","",INDEX(원자료_잔고!$A$1:$EZ$1500,설정!$L$5+ROW()-1,설정!$L$7)&amp;""),"")</f>
        <v>US44891CER07</v>
      </c>
      <c r="C99" s="83" t="str">
        <f aca="false">IFERROR(IF(INDEX(원자료_잔고!$A$1:$EZ$1500,설정!$L$5+ROW()-1,설정!$L$9)&amp;""="0","",INDEX(원자료_잔고!$A$1:$EZ$1500,설정!$L$5+ROW()-1,설정!$L$9)&amp;""),"")</f>
        <v>34507</v>
      </c>
      <c r="D9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99" s="84" t="n">
        <f aca="false">IFERROR(IF(ISNUMBER(INDEX(원자료_잔고!$A$1:$EZ$1500,설정!$L$5+ROW()-1,설정!$L$11)),INDEX(원자료_잔고!$A$1:$EZ$1500,설정!$L$5+ROW()-1,설정!$L$11),""),"")</f>
        <v>1000000</v>
      </c>
      <c r="F99" s="85" t="n">
        <f aca="false">IFERROR(IF(ISNUMBER(INDEX(원자료_잔고!$A$1:$EZ$1500,설정!$L$5+ROW()-1,설정!$L$12)),INDEX(원자료_잔고!$A$1:$EZ$1500,설정!$L$5+ROW()-1,설정!$L$12),""),"")</f>
        <v>99.2721</v>
      </c>
      <c r="G99" s="85" t="n">
        <f aca="false">IFERROR(IF(ISNUMBER(INDEX(원자료_잔고!$A$1:$EZ$1500,설정!$L$5+ROW()-1,설정!$L$13)),INDEX(원자료_잔고!$A$1:$EZ$1500,설정!$L$5+ROW()-1,설정!$L$13),""),"")</f>
        <v>5.6687</v>
      </c>
      <c r="H99" s="85" t="n">
        <f aca="false">IFERROR(IF(ISNUMBER(INDEX(원자료_잔고!$A$1:$EZ$1500,설정!$L$5+ROW()-1,설정!$L$14)),INDEX(원자료_잔고!$A$1:$EZ$1500,설정!$L$5+ROW()-1,설정!$L$14),""),"")</f>
        <v>2.6719</v>
      </c>
      <c r="I99" s="86" t="n">
        <f aca="false">IFERROR(IF(ISNUMBER(INDEX(원자료_잔고!$A$1:$EZ$1500,설정!$L$5+ROW()-1,설정!$L$15)),INDEX(원자료_잔고!$A$1:$EZ$1500,설정!$L$5+ROW()-1,설정!$L$15),""),"")</f>
        <v>47378</v>
      </c>
      <c r="J99" s="85" t="n">
        <f aca="false">IFERROR(IF(ISNUMBER(INDEX(원자료_잔고!$A$1:$EZ$1500,설정!$L$5+ROW()-1,설정!$L$16)),INDEX(원자료_잔고!$A$1:$EZ$1500,설정!$L$5+ROW()-1,설정!$L$16),""),"")</f>
        <v>5.4</v>
      </c>
      <c r="K99" s="87" t="n">
        <f aca="false">IFERROR(IF(ISNUMBER(INDEX(원자료_잔고!$A$1:$EZ$1500,설정!$L$5+ROW()-1,설정!$L$17)),INDEX(원자료_잔고!$A$1:$EZ$1500,설정!$L$5+ROW()-1,설정!$L$17),""),"")</f>
        <v>1</v>
      </c>
      <c r="L99" s="84" t="n">
        <f aca="false">IFERROR(IF(ISNUMBER(INDEX(원자료_잔고!$A$1:$EZ$1500,설정!$L$5+ROW()-1,설정!$L$18)),INDEX(원자료_잔고!$A$1:$EZ$1500,설정!$L$5+ROW()-1,설정!$L$18),""),"")</f>
        <v>992721</v>
      </c>
      <c r="M99" s="88" t="n">
        <f aca="false">IFERROR(IF(ISNUMBER(INDEX(원자료_잔고!$A$1:$EZ$1500,설정!$L$5+ROW()-1,설정!$L$19)),INDEX(원자료_잔고!$A$1:$EZ$1500,설정!$L$5+ROW()-1,설정!$L$19),""),"")</f>
        <v>-6429</v>
      </c>
      <c r="N99" s="83" t="str">
        <f aca="false">IFERROR(IF(INDEX(원자료_잔고!$A$1:$EZ$1500,설정!$L$5+ROW()-1,설정!$L$21)&amp;""="0","",INDEX(원자료_잔고!$A$1:$EZ$1500,설정!$L$5+ROW()-1,설정!$L$21)&amp;""),"")</f>
        <v>A-</v>
      </c>
      <c r="O99" s="83" t="str">
        <f aca="false">IFERROR(IF(INDEX(원자료_잔고!$A$1:$EZ$1500,설정!$L$5+ROW()-1,설정!$L$22)&amp;""="0","",INDEX(원자료_잔고!$A$1:$EZ$1500,설정!$L$5+ROW()-1,설정!$L$22)&amp;""),"")</f>
        <v/>
      </c>
      <c r="P99" s="83" t="str">
        <f aca="false">IFERROR(IF(INDEX(원자료_잔고!$A$1:$EZ$1500,설정!$L$5+ROW()-1,설정!$L$23)&amp;""="0","",INDEX(원자료_잔고!$A$1:$EZ$1500,설정!$L$5+ROW()-1,설정!$L$23)&amp;""),"")</f>
        <v>A-</v>
      </c>
      <c r="Q99" s="89" t="n">
        <f aca="false">IF(AND($A99&lt;&gt;"",ISNUMBER(E99)),IF(E99&gt;0,1,0),0)</f>
        <v>1</v>
      </c>
      <c r="R99" s="43" t="str">
        <f aca="false">IF(Q99=1,UPPER(LEFT($A99,FIND(" ",$A99&amp;" ")-1)),"")</f>
        <v>HYNMTR</v>
      </c>
      <c r="S99" s="89" t="n">
        <f aca="false">IF(Q99=1,IF(OR(ISNUMBER(SEARCH("Float",$A99)),ISNUMBER(SEARCH("FRN",$A99))),1,0),0)</f>
        <v>0</v>
      </c>
      <c r="T99" s="43" t="str">
        <f aca="false">IF(AND(Q99=1,ISNUMBER(I99)),TEXT(I99,"yyyymmdd")&amp;"|"&amp;IF(S99=1,"F",TEXT(J99,"0.000")),"")</f>
        <v>20290917|5.400</v>
      </c>
      <c r="U99" s="90" t="n">
        <f aca="false">IF(AND(Q99=1,ISNUMBER(I99)),(I99-설정!$C$4)/365.25,"")</f>
        <v>2.96235455167693</v>
      </c>
      <c r="V99" s="43" t="str">
        <f aca="false">IF(Q99&lt;&gt;1,"",IF(ISNUMBER(U99),IF(U99&lt;=1,"1년 이하",IF(U99&lt;=2,"1-2년",IF(U99&lt;=3,"2-3년",IF(U99&lt;=4,"3-4년",IF(U99&lt;=5,"4-5년",IF(U99&lt;=7,"5-7년",IF(U99&lt;=10,"7-10년",IF(U99&lt;=20,"10-20년","20년 이상")))))))),"미분류"))</f>
        <v>2-3년</v>
      </c>
      <c r="W99" s="43" t="str">
        <f aca="false">IF(Q99&lt;&gt;1,"",IF(AB99&lt;&gt;"",INDEX(시장분석!$C:$C,AB99),IF(K99=1,"USD","비USD")))</f>
        <v>USD</v>
      </c>
      <c r="X99" s="91" t="n">
        <f aca="false">IF(Q99=1,E99*K99/1000000,0)</f>
        <v>1</v>
      </c>
      <c r="Y99" s="89" t="n">
        <f aca="false">IF(R99="T",1,0)</f>
        <v>0</v>
      </c>
      <c r="Z99" s="92" t="n">
        <f aca="false">IF(Q99&lt;&gt;1,"",IF(AD99=1,IF(ISNUMBER(U99),MAX(U99,0),H99),H99))</f>
        <v>2.6719</v>
      </c>
      <c r="AA99" s="91" t="n">
        <f aca="false">IF(Q99=1,IF(ISNUMBER(L99),L99,0)*K99/1000000,0)</f>
        <v>0.992721</v>
      </c>
      <c r="AB99" s="89" t="str">
        <f aca="false">IF(Q99&lt;&gt;1,"",IFERROR(MATCH(VLOOKUP(B99,매핑!$H$4:$I$15,2,0),시장분석!$A$2:$A$601,0)+1,IFERROR(MATCH(R99&amp;"|"&amp;T99,시장분석!$V$2:$V$601,0)+1,IF(COUNTIF(시장분석!$U$2:$U$601,T99)=1,MATCH(T99,시장분석!$U$2:$U$601,0)+1,""))))</f>
        <v/>
      </c>
      <c r="AC99" s="89" t="n">
        <f aca="false">IF(Q99&lt;&gt;1,0,IF(OR(설정!$C$5="전체",AND(설정!$C$5="선택펀드",IFERROR(COUNTIFS(설정!$F$16:$F$36,C99,설정!$G$16:$G$36,"Y")+COUNTIFS(설정!$F$16:$F$36,VALUE(C99),설정!$G$16:$G$36,"Y"),0)&gt;0),C99&amp;""=설정!$C$5&amp;""),1,0))</f>
        <v>1</v>
      </c>
      <c r="AD99" s="89" t="n">
        <f aca="false">IF(Q99&lt;&gt;1,0,IF(OR(S99=1,IF(AB99="",FALSE(),INDEX(시장분석!$R:$R,AB99)=1)),1,0))</f>
        <v>0</v>
      </c>
      <c r="AE99" s="43" t="str">
        <f aca="false">IF(AB99="","",INDEX(시장분석!$A:$A,AB99))</f>
        <v/>
      </c>
      <c r="AF99" s="93" t="str">
        <f aca="false">IF(AB99="","",IF(ISNUMBER(IF(AB99="","",INDEX(시장분석!$E:$E,AB99))),IF(AB99="","",INDEX(시장분석!$E:$E,AB99)),""))</f>
        <v/>
      </c>
      <c r="AG99" s="43" t="str">
        <f aca="false">IF(Q99&lt;&gt;1,"",IF(AB99&lt;&gt;"",IF(AB99="","",INDEX(시장분석!$L:$L,AB99)),IFERROR(IF(VLOOKUP(R99,매핑!$A$4:$E$92,5,0)="","미분류",VLOOKUP(R99,매핑!$A$4:$E$92,5,0)),"미분류")))</f>
        <v>자유 소비재</v>
      </c>
      <c r="AH99" s="43" t="str">
        <f aca="false">IF(Q99&lt;&gt;1,"",IF(AB99&lt;&gt;"",IF(AB99="","",INDEX(시장분석!$N:$N,AB99)),IFERROR(IF(VLOOKUP(R99,매핑!$A$4:$E$92,4,0)="","미분류",VLOOKUP(R99,매핑!$A$4:$E$92,4,0)),"미분류")))</f>
        <v>미국</v>
      </c>
      <c r="AI99" s="43" t="str">
        <f aca="false">IF(Q99&lt;&gt;1,"",IFERROR(IF(VLOOKUP(R99,매핑!$A$4:$E$92,3,0)="","미분류",VLOOKUP(R99,매핑!$A$4:$E$92,3,0)),IF(AB99&lt;&gt;"",IF(AB99="","",INDEX(시장분석!$W:$W,AB99)),"미분류")))</f>
        <v>미국</v>
      </c>
      <c r="AJ99" s="43" t="str">
        <f aca="false">IF(Q99&lt;&gt;1,"",IFERROR(VLOOKUP(IF(N99&lt;&gt;"",N99,IF(P99&lt;&gt;"",P99,O99)),설정!$A$15:$D$47,2,0),""))</f>
        <v>A-</v>
      </c>
      <c r="AK99" s="43" t="str">
        <f aca="false">IF(Q99&lt;&gt;1,"",IF(AJ99="","무등급",IFERROR(VLOOKUP(AJ99,설정!$A$15:$D$47,3,0),"무등급")))</f>
        <v>A</v>
      </c>
      <c r="AL99" s="89" t="n">
        <f aca="false">IF(AJ99="",99,IFERROR(VLOOKUP(AJ99,설정!$A$15:$D$47,4,0),99))</f>
        <v>7</v>
      </c>
      <c r="AM99" s="94" t="n">
        <f aca="false">IF(ISNUMBER(H99),AA99*1000000*H99/10000,0)</f>
        <v>265.24512399</v>
      </c>
      <c r="AN99" s="94" t="n">
        <f aca="false">IF(OR(Y99=1,NOT(ISNUMBER(Z99))),0,AA99*1000000*Z99/10000)</f>
        <v>265.24512399</v>
      </c>
      <c r="AO99" s="94" t="n">
        <f aca="false">IF(ISNUMBER(G99),AA99*1000000*G99/100,0)</f>
        <v>56274.375327</v>
      </c>
      <c r="AP99" s="94" t="n">
        <f aca="false">IF(ISNUMBER(M99),M99*K99,0)</f>
        <v>-6429</v>
      </c>
      <c r="AQ99" s="95" t="str">
        <f aca="false">IF(AB99="","",INDEX(시장분석!$AK:$AK,AB99))</f>
        <v/>
      </c>
      <c r="AR99" s="43" t="str">
        <f aca="false">IF(AB99="","-",IF(AB99="","",INDEX(시장분석!$AL:$AL,AB99)))</f>
        <v>-</v>
      </c>
      <c r="AS99" s="96" t="str">
        <f aca="false">IF(AB99="","",INDEX(시장분석!$AJ:$AJ,AB99))</f>
        <v/>
      </c>
      <c r="AT99" s="93" t="n">
        <f aca="false">IF(AB99="",0,IF(AB99="","",INDEX(시장분석!$AN:$AN,AB99)))</f>
        <v>0</v>
      </c>
      <c r="AU99" s="94" t="n">
        <f aca="false">IF(ISNUMBER(Z99),AT99/10000*MAX(Z99-1,0)*AA99*1000000,0)</f>
        <v>0</v>
      </c>
      <c r="AV99" s="94" t="n">
        <f aca="false">AO99+AU99</f>
        <v>56274.375327</v>
      </c>
      <c r="AW99" s="43" t="str">
        <f aca="false">IF(Q99&lt;&gt;1,"",TRIM(IF(AD99=1,"FRN ","")&amp;IF(AND(AL99&gt;=10,AL99&lt;99),"BBB0미만 ","")&amp;IF(AJ99="","등급없음 ","")&amp;IF(K99&lt;&gt;1,"비USD ","")&amp;IF(AND(AB99="",Y99=0),"시장데이터없음 ","")&amp;IF(AND(ISNUMBER(U99),U99&lt;0),"만기경과 ","")))</f>
        <v>시장데이터없음</v>
      </c>
      <c r="AX99" s="90" t="n">
        <f aca="false">IF(Q99&lt;&gt;1,1,IF(스프레드쇼크!$C$4="Y",INDEX(스프레드쇼크!$B$12:$L$16,IFERROR(MATCH(AH99,스프레드쇼크!$A$12:$A$16,0),MATCH("목록외",스프레드쇼크!$A$12:$A$16,0)),IFERROR(MATCH(AG99,스프레드쇼크!$B$11:$L$11,0),MATCH("목록외",스프레드쇼크!$B$11:$L$11,0))),1))</f>
        <v>1</v>
      </c>
      <c r="AY99" s="90" t="n">
        <f aca="false">IF(스프레드쇼크!$C$5="Y",IF(ISNUMBER(AF99),MIN(스프레드쇼크!$C$7,MAX(스프레드쇼크!$C$6,AF99/스프레드쇼크!$C$8)),1),1)</f>
        <v>1</v>
      </c>
      <c r="AZ99" s="94" t="n">
        <f aca="false">AN99*AX99*AY99</f>
        <v>265.24512399</v>
      </c>
      <c r="BA99" s="90" t="n">
        <f aca="false">IF(ISNUMBER(G99),AA99*G99,0)</f>
        <v>5.6274375327</v>
      </c>
      <c r="BB99" s="90" t="n">
        <f aca="false">IF(ISNUMBER(G99),AA99,0)</f>
        <v>0.992721</v>
      </c>
      <c r="BC99" s="90" t="n">
        <f aca="false">IF(AND(Y99=0,ISNUMBER(AF99)),AA99*AF99,0)</f>
        <v>0</v>
      </c>
      <c r="BD99" s="90" t="n">
        <f aca="false">IF(AND(Y99=0,ISNUMBER(AF99)),AA99,0)</f>
        <v>0</v>
      </c>
      <c r="BE99" s="90" t="n">
        <f aca="false">IF(ISNUMBER(H99),AA99*H99,0)</f>
        <v>2.6524512399</v>
      </c>
      <c r="BF99" s="90" t="n">
        <f aca="false">IF(ISNUMBER(H99),AA99,0)</f>
        <v>0.992721</v>
      </c>
      <c r="BG99" s="90" t="n">
        <f aca="false">IF(AND(Y99=0,ISNUMBER(AF99),ISNUMBER(Z99)),AA99*Z99,0)</f>
        <v>0</v>
      </c>
      <c r="BH99" s="90" t="n">
        <f aca="false">IF(AND(Y99=0,ISNUMBER(AF99),ISNUMBER(Z99)),AA99*AT99*MAX(Z99-1,0),0)</f>
        <v>0</v>
      </c>
      <c r="BI99" s="90" t="n">
        <f aca="false">IF(Y99=0,AA99,0)</f>
        <v>0.992721</v>
      </c>
    </row>
    <row r="100" customFormat="false" ht="15" hidden="false" customHeight="false" outlineLevel="0" collapsed="false">
      <c r="A100" s="83" t="str">
        <f aca="false">IFERROR(IF(INDEX(원자료_잔고!$A$1:$EZ$1500,설정!$L$5+ROW()-1,설정!$L$8)&amp;""="0","",INDEX(원자료_잔고!$A$1:$EZ$1500,설정!$L$5+ROW()-1,설정!$L$8)&amp;""),"")</f>
        <v>JPM 4.995 07/22/30</v>
      </c>
      <c r="B100" s="83" t="str">
        <f aca="false">IFERROR(IF(INDEX(원자료_잔고!$A$1:$EZ$1500,설정!$L$5+ROW()-1,설정!$L$7)&amp;""="0","",INDEX(원자료_잔고!$A$1:$EZ$1500,설정!$L$5+ROW()-1,설정!$L$7)&amp;""),"")</f>
        <v>US46647PEJ12</v>
      </c>
      <c r="C100" s="83" t="str">
        <f aca="false">IFERROR(IF(INDEX(원자료_잔고!$A$1:$EZ$1500,설정!$L$5+ROW()-1,설정!$L$9)&amp;""="0","",INDEX(원자료_잔고!$A$1:$EZ$1500,설정!$L$5+ROW()-1,설정!$L$9)&amp;""),"")</f>
        <v>34507</v>
      </c>
      <c r="D10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0" s="84" t="n">
        <f aca="false">IFERROR(IF(ISNUMBER(INDEX(원자료_잔고!$A$1:$EZ$1500,설정!$L$5+ROW()-1,설정!$L$11)),INDEX(원자료_잔고!$A$1:$EZ$1500,설정!$L$5+ROW()-1,설정!$L$11),""),"")</f>
        <v>7000000</v>
      </c>
      <c r="F100" s="85" t="n">
        <f aca="false">IFERROR(IF(ISNUMBER(INDEX(원자료_잔고!$A$1:$EZ$1500,설정!$L$5+ROW()-1,설정!$L$12)),INDEX(원자료_잔고!$A$1:$EZ$1500,설정!$L$5+ROW()-1,설정!$L$12),""),"")</f>
        <v>98.4059</v>
      </c>
      <c r="G100" s="85" t="n">
        <f aca="false">IFERROR(IF(ISNUMBER(INDEX(원자료_잔고!$A$1:$EZ$1500,설정!$L$5+ROW()-1,설정!$L$13)),INDEX(원자료_잔고!$A$1:$EZ$1500,설정!$L$5+ROW()-1,설정!$L$13),""),"")</f>
        <v>5.5661</v>
      </c>
      <c r="H100" s="85" t="n">
        <f aca="false">IFERROR(IF(ISNUMBER(INDEX(원자료_잔고!$A$1:$EZ$1500,설정!$L$5+ROW()-1,설정!$L$14)),INDEX(원자료_잔고!$A$1:$EZ$1500,설정!$L$5+ROW()-1,설정!$L$14),""),"")</f>
        <v>2.5333</v>
      </c>
      <c r="I100" s="86" t="n">
        <f aca="false">IFERROR(IF(ISNUMBER(INDEX(원자료_잔고!$A$1:$EZ$1500,설정!$L$5+ROW()-1,설정!$L$15)),INDEX(원자료_잔고!$A$1:$EZ$1500,설정!$L$5+ROW()-1,설정!$L$15),""),"")</f>
        <v>47686</v>
      </c>
      <c r="J100" s="85" t="n">
        <f aca="false">IFERROR(IF(ISNUMBER(INDEX(원자료_잔고!$A$1:$EZ$1500,설정!$L$5+ROW()-1,설정!$L$16)),INDEX(원자료_잔고!$A$1:$EZ$1500,설정!$L$5+ROW()-1,설정!$L$16),""),"")</f>
        <v>4.995</v>
      </c>
      <c r="K100" s="87" t="n">
        <f aca="false">IFERROR(IF(ISNUMBER(INDEX(원자료_잔고!$A$1:$EZ$1500,설정!$L$5+ROW()-1,설정!$L$17)),INDEX(원자료_잔고!$A$1:$EZ$1500,설정!$L$5+ROW()-1,설정!$L$17),""),"")</f>
        <v>1</v>
      </c>
      <c r="L100" s="84" t="n">
        <f aca="false">IFERROR(IF(ISNUMBER(INDEX(원자료_잔고!$A$1:$EZ$1500,설정!$L$5+ROW()-1,설정!$L$18)),INDEX(원자료_잔고!$A$1:$EZ$1500,설정!$L$5+ROW()-1,설정!$L$18),""),"")</f>
        <v>6888413</v>
      </c>
      <c r="M100" s="88" t="n">
        <f aca="false">IFERROR(IF(ISNUMBER(INDEX(원자료_잔고!$A$1:$EZ$1500,설정!$L$5+ROW()-1,설정!$L$19)),INDEX(원자료_잔고!$A$1:$EZ$1500,설정!$L$5+ROW()-1,설정!$L$19),""),"")</f>
        <v>-311738</v>
      </c>
      <c r="N100" s="83" t="str">
        <f aca="false">IFERROR(IF(INDEX(원자료_잔고!$A$1:$EZ$1500,설정!$L$5+ROW()-1,설정!$L$21)&amp;""="0","",INDEX(원자료_잔고!$A$1:$EZ$1500,설정!$L$5+ROW()-1,설정!$L$21)&amp;""),"")</f>
        <v>A</v>
      </c>
      <c r="O100" s="83" t="str">
        <f aca="false">IFERROR(IF(INDEX(원자료_잔고!$A$1:$EZ$1500,설정!$L$5+ROW()-1,설정!$L$22)&amp;""="0","",INDEX(원자료_잔고!$A$1:$EZ$1500,설정!$L$5+ROW()-1,설정!$L$22)&amp;""),"")</f>
        <v/>
      </c>
      <c r="P100" s="83" t="str">
        <f aca="false">IFERROR(IF(INDEX(원자료_잔고!$A$1:$EZ$1500,설정!$L$5+ROW()-1,설정!$L$23)&amp;""="0","",INDEX(원자료_잔고!$A$1:$EZ$1500,설정!$L$5+ROW()-1,설정!$L$23)&amp;""),"")</f>
        <v>AA-</v>
      </c>
      <c r="Q100" s="89" t="n">
        <f aca="false">IF(AND($A100&lt;&gt;"",ISNUMBER(E100)),IF(E100&gt;0,1,0),0)</f>
        <v>1</v>
      </c>
      <c r="R100" s="43" t="str">
        <f aca="false">IF(Q100=1,UPPER(LEFT($A100,FIND(" ",$A100&amp;" ")-1)),"")</f>
        <v>JPM</v>
      </c>
      <c r="S100" s="89" t="n">
        <f aca="false">IF(Q100=1,IF(OR(ISNUMBER(SEARCH("Float",$A100)),ISNUMBER(SEARCH("FRN",$A100))),1,0),0)</f>
        <v>0</v>
      </c>
      <c r="T100" s="43" t="str">
        <f aca="false">IF(AND(Q100=1,ISNUMBER(I100)),TEXT(I100,"yyyymmdd")&amp;"|"&amp;IF(S100=1,"F",TEXT(J100,"0.000")),"")</f>
        <v>20300722|4.995</v>
      </c>
      <c r="U100" s="90" t="n">
        <f aca="false">IF(AND(Q100=1,ISNUMBER(I100)),(I100-설정!$C$4)/365.25,"")</f>
        <v>3.80561259411362</v>
      </c>
      <c r="V100" s="43" t="str">
        <f aca="false">IF(Q100&lt;&gt;1,"",IF(ISNUMBER(U100),IF(U100&lt;=1,"1년 이하",IF(U100&lt;=2,"1-2년",IF(U100&lt;=3,"2-3년",IF(U100&lt;=4,"3-4년",IF(U100&lt;=5,"4-5년",IF(U100&lt;=7,"5-7년",IF(U100&lt;=10,"7-10년",IF(U100&lt;=20,"10-20년","20년 이상")))))))),"미분류"))</f>
        <v>3-4년</v>
      </c>
      <c r="W100" s="43" t="str">
        <f aca="false">IF(Q100&lt;&gt;1,"",IF(AB100&lt;&gt;"",INDEX(시장분석!$C:$C,AB100),IF(K100=1,"USD","비USD")))</f>
        <v>USD</v>
      </c>
      <c r="X100" s="91" t="n">
        <f aca="false">IF(Q100=1,E100*K100/1000000,0)</f>
        <v>7</v>
      </c>
      <c r="Y100" s="89" t="n">
        <f aca="false">IF(R100="T",1,0)</f>
        <v>0</v>
      </c>
      <c r="Z100" s="92" t="n">
        <f aca="false">IF(Q100&lt;&gt;1,"",IF(AD100=1,IF(ISNUMBER(U100),MAX(U100,0),H100),H100))</f>
        <v>2.5333</v>
      </c>
      <c r="AA100" s="91" t="n">
        <f aca="false">IF(Q100=1,IF(ISNUMBER(L100),L100,0)*K100/1000000,0)</f>
        <v>6.888413</v>
      </c>
      <c r="AB100" s="89" t="n">
        <f aca="false">IF(Q100&lt;&gt;1,"",IFERROR(MATCH(VLOOKUP(B100,매핑!$H$4:$I$15,2,0),시장분석!$A$2:$A$601,0)+1,IFERROR(MATCH(R100&amp;"|"&amp;T100,시장분석!$V$2:$V$601,0)+1,IF(COUNTIF(시장분석!$U$2:$U$601,T100)=1,MATCH(T100,시장분석!$U$2:$U$601,0)+1,""))))</f>
        <v>78</v>
      </c>
      <c r="AC100" s="89" t="n">
        <f aca="false">IF(Q100&lt;&gt;1,0,IF(OR(설정!$C$5="전체",AND(설정!$C$5="선택펀드",IFERROR(COUNTIFS(설정!$F$16:$F$36,C100,설정!$G$16:$G$36,"Y")+COUNTIFS(설정!$F$16:$F$36,VALUE(C100),설정!$G$16:$G$36,"Y"),0)&gt;0),C100&amp;""=설정!$C$5&amp;""),1,0))</f>
        <v>1</v>
      </c>
      <c r="AD100" s="89" t="n">
        <f aca="false">IF(Q100&lt;&gt;1,0,IF(OR(S100=1,IF(AB100="",FALSE(),INDEX(시장분석!$R:$R,AB100)=1)),1,0))</f>
        <v>0</v>
      </c>
      <c r="AE100" s="43" t="str">
        <f aca="false">IF(AB100="","",INDEX(시장분석!$A:$A,AB100))</f>
        <v>JPM 4.995 07/22/30</v>
      </c>
      <c r="AF100" s="93" t="n">
        <f aca="false">IF(AB100="","",IF(ISNUMBER(IF(AB100="","",INDEX(시장분석!$E:$E,AB100))),IF(AB100="","",INDEX(시장분석!$E:$E,AB100)),""))</f>
        <v>63.856</v>
      </c>
      <c r="AG100" s="43" t="str">
        <f aca="false">IF(Q100&lt;&gt;1,"",IF(AB100&lt;&gt;"",IF(AB100="","",INDEX(시장분석!$L:$L,AB100)),IFERROR(IF(VLOOKUP(R100,매핑!$A$4:$E$92,5,0)="","미분류",VLOOKUP(R100,매핑!$A$4:$E$92,5,0)),"미분류")))</f>
        <v>금융기관</v>
      </c>
      <c r="AH100" s="43" t="str">
        <f aca="false">IF(Q100&lt;&gt;1,"",IF(AB100&lt;&gt;"",IF(AB100="","",INDEX(시장분석!$N:$N,AB100)),IFERROR(IF(VLOOKUP(R100,매핑!$A$4:$E$92,4,0)="","미분류",VLOOKUP(R100,매핑!$A$4:$E$92,4,0)),"미분류")))</f>
        <v>미국</v>
      </c>
      <c r="AI100" s="43" t="str">
        <f aca="false">IF(Q100&lt;&gt;1,"",IFERROR(IF(VLOOKUP(R100,매핑!$A$4:$E$92,3,0)="","미분류",VLOOKUP(R100,매핑!$A$4:$E$92,3,0)),IF(AB100&lt;&gt;"",IF(AB100="","",INDEX(시장분석!$W:$W,AB100)),"미분류")))</f>
        <v>미국</v>
      </c>
      <c r="AJ100" s="43" t="str">
        <f aca="false">IF(Q100&lt;&gt;1,"",IFERROR(VLOOKUP(IF(N100&lt;&gt;"",N100,IF(P100&lt;&gt;"",P100,O100)),설정!$A$15:$D$47,2,0),""))</f>
        <v>A</v>
      </c>
      <c r="AK100" s="43" t="str">
        <f aca="false">IF(Q100&lt;&gt;1,"",IF(AJ100="","무등급",IFERROR(VLOOKUP(AJ100,설정!$A$15:$D$47,3,0),"무등급")))</f>
        <v>A</v>
      </c>
      <c r="AL100" s="89" t="n">
        <f aca="false">IF(AJ100="",99,IFERROR(VLOOKUP(AJ100,설정!$A$15:$D$47,4,0),99))</f>
        <v>6</v>
      </c>
      <c r="AM100" s="94" t="n">
        <f aca="false">IF(ISNUMBER(H100),AA100*1000000*H100/10000,0)</f>
        <v>1745.04166529</v>
      </c>
      <c r="AN100" s="94" t="n">
        <f aca="false">IF(OR(Y100=1,NOT(ISNUMBER(Z100))),0,AA100*1000000*Z100/10000)</f>
        <v>1745.04166529</v>
      </c>
      <c r="AO100" s="94" t="n">
        <f aca="false">IF(ISNUMBER(G100),AA100*1000000*G100/100,0)</f>
        <v>383415.955993</v>
      </c>
      <c r="AP100" s="94" t="n">
        <f aca="false">IF(ISNUMBER(M100),M100*K100,0)</f>
        <v>-311738</v>
      </c>
      <c r="AQ100" s="95" t="n">
        <f aca="false">IF(AB100="","",INDEX(시장분석!$AK:$AK,AB100))</f>
        <v>-0.271344492727988</v>
      </c>
      <c r="AR100" s="43" t="str">
        <f aca="false">IF(AB100="","-",IF(AB100="","",INDEX(시장분석!$AL:$AL,AB100)))</f>
        <v>Fair</v>
      </c>
      <c r="AS100" s="96" t="n">
        <f aca="false">IF(AB100="","",INDEX(시장분석!$AJ:$AJ,AB100))</f>
        <v>-3.71122774791073</v>
      </c>
      <c r="AT100" s="93" t="n">
        <f aca="false">IF(AB100="",0,IF(AB100="","",INDEX(시장분석!$AN:$AN,AB100)))</f>
        <v>9.93508055981982</v>
      </c>
      <c r="AU100" s="94" t="n">
        <f aca="false">IF(ISNUMBER(Z100),AT100/10000*MAX(Z100-1,0)*AA100*1000000,0)</f>
        <v>10493.4357164673</v>
      </c>
      <c r="AV100" s="94" t="n">
        <f aca="false">AO100+AU100</f>
        <v>393909.391709467</v>
      </c>
      <c r="AW100" s="43" t="str">
        <f aca="false">IF(Q100&lt;&gt;1,"",TRIM(IF(AD100=1,"FRN ","")&amp;IF(AND(AL100&gt;=10,AL100&lt;99),"BBB0미만 ","")&amp;IF(AJ100="","등급없음 ","")&amp;IF(K100&lt;&gt;1,"비USD ","")&amp;IF(AND(AB100="",Y100=0),"시장데이터없음 ","")&amp;IF(AND(ISNUMBER(U100),U100&lt;0),"만기경과 ","")))</f>
        <v/>
      </c>
      <c r="AX100" s="90" t="n">
        <f aca="false">IF(Q100&lt;&gt;1,1,IF(스프레드쇼크!$C$4="Y",INDEX(스프레드쇼크!$B$12:$L$16,IFERROR(MATCH(AH100,스프레드쇼크!$A$12:$A$16,0),MATCH("목록외",스프레드쇼크!$A$12:$A$16,0)),IFERROR(MATCH(AG100,스프레드쇼크!$B$11:$L$11,0),MATCH("목록외",스프레드쇼크!$B$11:$L$11,0))),1))</f>
        <v>1</v>
      </c>
      <c r="AY100" s="90" t="n">
        <f aca="false">IF(스프레드쇼크!$C$5="Y",IF(ISNUMBER(AF100),MIN(스프레드쇼크!$C$7,MAX(스프레드쇼크!$C$6,AF100/스프레드쇼크!$C$8)),1),1)</f>
        <v>0.965846781660431</v>
      </c>
      <c r="AZ100" s="94" t="n">
        <f aca="false">AN100*AX100*AY100</f>
        <v>1685.44287628371</v>
      </c>
      <c r="BA100" s="90" t="n">
        <f aca="false">IF(ISNUMBER(G100),AA100*G100,0)</f>
        <v>38.3415955993</v>
      </c>
      <c r="BB100" s="90" t="n">
        <f aca="false">IF(ISNUMBER(G100),AA100,0)</f>
        <v>6.888413</v>
      </c>
      <c r="BC100" s="90" t="n">
        <f aca="false">IF(AND(Y100=0,ISNUMBER(AF100)),AA100*AF100,0)</f>
        <v>439.866500528</v>
      </c>
      <c r="BD100" s="90" t="n">
        <f aca="false">IF(AND(Y100=0,ISNUMBER(AF100)),AA100,0)</f>
        <v>6.888413</v>
      </c>
      <c r="BE100" s="90" t="n">
        <f aca="false">IF(ISNUMBER(H100),AA100*H100,0)</f>
        <v>17.4504166529</v>
      </c>
      <c r="BF100" s="90" t="n">
        <f aca="false">IF(ISNUMBER(H100),AA100,0)</f>
        <v>6.888413</v>
      </c>
      <c r="BG100" s="90" t="n">
        <f aca="false">IF(AND(Y100=0,ISNUMBER(AF100),ISNUMBER(Z100)),AA100*Z100,0)</f>
        <v>17.4504166529</v>
      </c>
      <c r="BH100" s="90" t="n">
        <f aca="false">IF(AND(Y100=0,ISNUMBER(AF100),ISNUMBER(Z100)),AA100*AT100*MAX(Z100-1,0),0)</f>
        <v>104.934357164673</v>
      </c>
      <c r="BI100" s="90" t="n">
        <f aca="false">IF(Y100=0,AA100,0)</f>
        <v>6.888413</v>
      </c>
    </row>
    <row r="101" customFormat="false" ht="15" hidden="false" customHeight="false" outlineLevel="0" collapsed="false">
      <c r="A101" s="83" t="str">
        <f aca="false">IFERROR(IF(INDEX(원자료_잔고!$A$1:$EZ$1500,설정!$L$5+ROW()-1,설정!$L$8)&amp;""="0","",INDEX(원자료_잔고!$A$1:$EZ$1500,설정!$L$5+ROW()-1,설정!$L$8)&amp;""),"")</f>
        <v>JPM 5.14 01/24/31</v>
      </c>
      <c r="B101" s="83" t="str">
        <f aca="false">IFERROR(IF(INDEX(원자료_잔고!$A$1:$EZ$1500,설정!$L$5+ROW()-1,설정!$L$7)&amp;""="0","",INDEX(원자료_잔고!$A$1:$EZ$1500,설정!$L$5+ROW()-1,설정!$L$7)&amp;""),"")</f>
        <v>US46647PEV40</v>
      </c>
      <c r="C101" s="83" t="str">
        <f aca="false">IFERROR(IF(INDEX(원자료_잔고!$A$1:$EZ$1500,설정!$L$5+ROW()-1,설정!$L$9)&amp;""="0","",INDEX(원자료_잔고!$A$1:$EZ$1500,설정!$L$5+ROW()-1,설정!$L$9)&amp;""),"")</f>
        <v>34507</v>
      </c>
      <c r="D10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1" s="84" t="n">
        <f aca="false">IFERROR(IF(ISNUMBER(INDEX(원자료_잔고!$A$1:$EZ$1500,설정!$L$5+ROW()-1,설정!$L$11)),INDEX(원자료_잔고!$A$1:$EZ$1500,설정!$L$5+ROW()-1,설정!$L$11),""),"")</f>
        <v>1000000</v>
      </c>
      <c r="F101" s="85" t="n">
        <f aca="false">IFERROR(IF(ISNUMBER(INDEX(원자료_잔고!$A$1:$EZ$1500,설정!$L$5+ROW()-1,설정!$L$12)),INDEX(원자료_잔고!$A$1:$EZ$1500,설정!$L$5+ROW()-1,설정!$L$12),""),"")</f>
        <v>98.3287</v>
      </c>
      <c r="G101" s="85" t="n">
        <f aca="false">IFERROR(IF(ISNUMBER(INDEX(원자료_잔고!$A$1:$EZ$1500,설정!$L$5+ROW()-1,설정!$L$13)),INDEX(원자료_잔고!$A$1:$EZ$1500,설정!$L$5+ROW()-1,설정!$L$13),""),"")</f>
        <v>5.6588</v>
      </c>
      <c r="H101" s="85" t="n">
        <f aca="false">IFERROR(IF(ISNUMBER(INDEX(원자료_잔고!$A$1:$EZ$1500,설정!$L$5+ROW()-1,설정!$L$14)),INDEX(원자료_잔고!$A$1:$EZ$1500,설정!$L$5+ROW()-1,설정!$L$14),""),"")</f>
        <v>2.9502</v>
      </c>
      <c r="I101" s="86" t="n">
        <f aca="false">IFERROR(IF(ISNUMBER(INDEX(원자료_잔고!$A$1:$EZ$1500,설정!$L$5+ROW()-1,설정!$L$15)),INDEX(원자료_잔고!$A$1:$EZ$1500,설정!$L$5+ROW()-1,설정!$L$15),""),"")</f>
        <v>47872</v>
      </c>
      <c r="J101" s="85" t="n">
        <f aca="false">IFERROR(IF(ISNUMBER(INDEX(원자료_잔고!$A$1:$EZ$1500,설정!$L$5+ROW()-1,설정!$L$16)),INDEX(원자료_잔고!$A$1:$EZ$1500,설정!$L$5+ROW()-1,설정!$L$16),""),"")</f>
        <v>5.14</v>
      </c>
      <c r="K101" s="87" t="n">
        <f aca="false">IFERROR(IF(ISNUMBER(INDEX(원자료_잔고!$A$1:$EZ$1500,설정!$L$5+ROW()-1,설정!$L$17)),INDEX(원자료_잔고!$A$1:$EZ$1500,설정!$L$5+ROW()-1,설정!$L$17),""),"")</f>
        <v>1</v>
      </c>
      <c r="L101" s="84" t="n">
        <f aca="false">IFERROR(IF(ISNUMBER(INDEX(원자료_잔고!$A$1:$EZ$1500,설정!$L$5+ROW()-1,설정!$L$18)),INDEX(원자료_잔고!$A$1:$EZ$1500,설정!$L$5+ROW()-1,설정!$L$18),""),"")</f>
        <v>983287</v>
      </c>
      <c r="M101" s="88" t="n">
        <f aca="false">IFERROR(IF(ISNUMBER(INDEX(원자료_잔고!$A$1:$EZ$1500,설정!$L$5+ROW()-1,설정!$L$19)),INDEX(원자료_잔고!$A$1:$EZ$1500,설정!$L$5+ROW()-1,설정!$L$19),""),"")</f>
        <v>-52280</v>
      </c>
      <c r="N101" s="83" t="str">
        <f aca="false">IFERROR(IF(INDEX(원자료_잔고!$A$1:$EZ$1500,설정!$L$5+ROW()-1,설정!$L$21)&amp;""="0","",INDEX(원자료_잔고!$A$1:$EZ$1500,설정!$L$5+ROW()-1,설정!$L$21)&amp;""),"")</f>
        <v>A</v>
      </c>
      <c r="O101" s="83" t="str">
        <f aca="false">IFERROR(IF(INDEX(원자료_잔고!$A$1:$EZ$1500,설정!$L$5+ROW()-1,설정!$L$22)&amp;""="0","",INDEX(원자료_잔고!$A$1:$EZ$1500,설정!$L$5+ROW()-1,설정!$L$22)&amp;""),"")</f>
        <v/>
      </c>
      <c r="P101" s="83" t="str">
        <f aca="false">IFERROR(IF(INDEX(원자료_잔고!$A$1:$EZ$1500,설정!$L$5+ROW()-1,설정!$L$23)&amp;""="0","",INDEX(원자료_잔고!$A$1:$EZ$1500,설정!$L$5+ROW()-1,설정!$L$23)&amp;""),"")</f>
        <v>AA-</v>
      </c>
      <c r="Q101" s="89" t="n">
        <f aca="false">IF(AND($A101&lt;&gt;"",ISNUMBER(E101)),IF(E101&gt;0,1,0),0)</f>
        <v>1</v>
      </c>
      <c r="R101" s="43" t="str">
        <f aca="false">IF(Q101=1,UPPER(LEFT($A101,FIND(" ",$A101&amp;" ")-1)),"")</f>
        <v>JPM</v>
      </c>
      <c r="S101" s="89" t="n">
        <f aca="false">IF(Q101=1,IF(OR(ISNUMBER(SEARCH("Float",$A101)),ISNUMBER(SEARCH("FRN",$A101))),1,0),0)</f>
        <v>0</v>
      </c>
      <c r="T101" s="43" t="str">
        <f aca="false">IF(AND(Q101=1,ISNUMBER(I101)),TEXT(I101,"yyyymmdd")&amp;"|"&amp;IF(S101=1,"F",TEXT(J101,"0.000")),"")</f>
        <v>20310124|5.140</v>
      </c>
      <c r="U101" s="90" t="n">
        <f aca="false">IF(AND(Q101=1,ISNUMBER(I101)),(I101-설정!$C$4)/365.25,"")</f>
        <v>4.31485284052019</v>
      </c>
      <c r="V101" s="43" t="str">
        <f aca="false">IF(Q101&lt;&gt;1,"",IF(ISNUMBER(U101),IF(U101&lt;=1,"1년 이하",IF(U101&lt;=2,"1-2년",IF(U101&lt;=3,"2-3년",IF(U101&lt;=4,"3-4년",IF(U101&lt;=5,"4-5년",IF(U101&lt;=7,"5-7년",IF(U101&lt;=10,"7-10년",IF(U101&lt;=20,"10-20년","20년 이상")))))))),"미분류"))</f>
        <v>4-5년</v>
      </c>
      <c r="W101" s="43" t="str">
        <f aca="false">IF(Q101&lt;&gt;1,"",IF(AB101&lt;&gt;"",INDEX(시장분석!$C:$C,AB101),IF(K101=1,"USD","비USD")))</f>
        <v>USD</v>
      </c>
      <c r="X101" s="91" t="n">
        <f aca="false">IF(Q101=1,E101*K101/1000000,0)</f>
        <v>1</v>
      </c>
      <c r="Y101" s="89" t="n">
        <f aca="false">IF(R101="T",1,0)</f>
        <v>0</v>
      </c>
      <c r="Z101" s="92" t="n">
        <f aca="false">IF(Q101&lt;&gt;1,"",IF(AD101=1,IF(ISNUMBER(U101),MAX(U101,0),H101),H101))</f>
        <v>2.9502</v>
      </c>
      <c r="AA101" s="91" t="n">
        <f aca="false">IF(Q101=1,IF(ISNUMBER(L101),L101,0)*K101/1000000,0)</f>
        <v>0.983287</v>
      </c>
      <c r="AB101" s="89" t="n">
        <f aca="false">IF(Q101&lt;&gt;1,"",IFERROR(MATCH(VLOOKUP(B101,매핑!$H$4:$I$15,2,0),시장분석!$A$2:$A$601,0)+1,IFERROR(MATCH(R101&amp;"|"&amp;T101,시장분석!$V$2:$V$601,0)+1,IF(COUNTIF(시장분석!$U$2:$U$601,T101)=1,MATCH(T101,시장분석!$U$2:$U$601,0)+1,""))))</f>
        <v>79</v>
      </c>
      <c r="AC101" s="89" t="n">
        <f aca="false">IF(Q101&lt;&gt;1,0,IF(OR(설정!$C$5="전체",AND(설정!$C$5="선택펀드",IFERROR(COUNTIFS(설정!$F$16:$F$36,C101,설정!$G$16:$G$36,"Y")+COUNTIFS(설정!$F$16:$F$36,VALUE(C101),설정!$G$16:$G$36,"Y"),0)&gt;0),C101&amp;""=설정!$C$5&amp;""),1,0))</f>
        <v>1</v>
      </c>
      <c r="AD101" s="89" t="n">
        <f aca="false">IF(Q101&lt;&gt;1,0,IF(OR(S101=1,IF(AB101="",FALSE(),INDEX(시장분석!$R:$R,AB101)=1)),1,0))</f>
        <v>0</v>
      </c>
      <c r="AE101" s="43" t="str">
        <f aca="false">IF(AB101="","",INDEX(시장분석!$A:$A,AB101))</f>
        <v>JPM 5.14 01/24/31</v>
      </c>
      <c r="AF101" s="93" t="n">
        <f aca="false">IF(AB101="","",IF(ISNUMBER(IF(AB101="","",INDEX(시장분석!$E:$E,AB101))),IF(AB101="","",INDEX(시장분석!$E:$E,AB101)),""))</f>
        <v>62.856</v>
      </c>
      <c r="AG101" s="43" t="str">
        <f aca="false">IF(Q101&lt;&gt;1,"",IF(AB101&lt;&gt;"",IF(AB101="","",INDEX(시장분석!$L:$L,AB101)),IFERROR(IF(VLOOKUP(R101,매핑!$A$4:$E$92,5,0)="","미분류",VLOOKUP(R101,매핑!$A$4:$E$92,5,0)),"미분류")))</f>
        <v>금융기관</v>
      </c>
      <c r="AH101" s="43" t="str">
        <f aca="false">IF(Q101&lt;&gt;1,"",IF(AB101&lt;&gt;"",IF(AB101="","",INDEX(시장분석!$N:$N,AB101)),IFERROR(IF(VLOOKUP(R101,매핑!$A$4:$E$92,4,0)="","미분류",VLOOKUP(R101,매핑!$A$4:$E$92,4,0)),"미분류")))</f>
        <v>미국</v>
      </c>
      <c r="AI101" s="43" t="str">
        <f aca="false">IF(Q101&lt;&gt;1,"",IFERROR(IF(VLOOKUP(R101,매핑!$A$4:$E$92,3,0)="","미분류",VLOOKUP(R101,매핑!$A$4:$E$92,3,0)),IF(AB101&lt;&gt;"",IF(AB101="","",INDEX(시장분석!$W:$W,AB101)),"미분류")))</f>
        <v>미국</v>
      </c>
      <c r="AJ101" s="43" t="str">
        <f aca="false">IF(Q101&lt;&gt;1,"",IFERROR(VLOOKUP(IF(N101&lt;&gt;"",N101,IF(P101&lt;&gt;"",P101,O101)),설정!$A$15:$D$47,2,0),""))</f>
        <v>A</v>
      </c>
      <c r="AK101" s="43" t="str">
        <f aca="false">IF(Q101&lt;&gt;1,"",IF(AJ101="","무등급",IFERROR(VLOOKUP(AJ101,설정!$A$15:$D$47,3,0),"무등급")))</f>
        <v>A</v>
      </c>
      <c r="AL101" s="89" t="n">
        <f aca="false">IF(AJ101="",99,IFERROR(VLOOKUP(AJ101,설정!$A$15:$D$47,4,0),99))</f>
        <v>6</v>
      </c>
      <c r="AM101" s="94" t="n">
        <f aca="false">IF(ISNUMBER(H101),AA101*1000000*H101/10000,0)</f>
        <v>290.08933074</v>
      </c>
      <c r="AN101" s="94" t="n">
        <f aca="false">IF(OR(Y101=1,NOT(ISNUMBER(Z101))),0,AA101*1000000*Z101/10000)</f>
        <v>290.08933074</v>
      </c>
      <c r="AO101" s="94" t="n">
        <f aca="false">IF(ISNUMBER(G101),AA101*1000000*G101/100,0)</f>
        <v>55642.244756</v>
      </c>
      <c r="AP101" s="94" t="n">
        <f aca="false">IF(ISNUMBER(M101),M101*K101,0)</f>
        <v>-52280</v>
      </c>
      <c r="AQ101" s="95" t="n">
        <f aca="false">IF(AB101="","",INDEX(시장분석!$AK:$AK,AB101))</f>
        <v>-0.57379960279611</v>
      </c>
      <c r="AR101" s="43" t="str">
        <f aca="false">IF(AB101="","-",IF(AB101="","",INDEX(시장분석!$AL:$AL,AB101)))</f>
        <v>Fair</v>
      </c>
      <c r="AS101" s="96" t="n">
        <f aca="false">IF(AB101="","",INDEX(시장분석!$AJ:$AJ,AB101))</f>
        <v>-7.84796104106606</v>
      </c>
      <c r="AT101" s="93" t="n">
        <f aca="false">IF(AB101="",0,IF(AB101="","",INDEX(시장분석!$AN:$AN,AB101)))</f>
        <v>8.21890270878546</v>
      </c>
      <c r="AU101" s="94" t="n">
        <f aca="false">IF(ISNUMBER(Z101),AT101/10000*MAX(Z101-1,0)*AA101*1000000,0)</f>
        <v>1576.0619674274</v>
      </c>
      <c r="AV101" s="94" t="n">
        <f aca="false">AO101+AU101</f>
        <v>57218.3067234274</v>
      </c>
      <c r="AW101" s="43" t="str">
        <f aca="false">IF(Q101&lt;&gt;1,"",TRIM(IF(AD101=1,"FRN ","")&amp;IF(AND(AL101&gt;=10,AL101&lt;99),"BBB0미만 ","")&amp;IF(AJ101="","등급없음 ","")&amp;IF(K101&lt;&gt;1,"비USD ","")&amp;IF(AND(AB101="",Y101=0),"시장데이터없음 ","")&amp;IF(AND(ISNUMBER(U101),U101&lt;0),"만기경과 ","")))</f>
        <v/>
      </c>
      <c r="AX101" s="90" t="n">
        <f aca="false">IF(Q101&lt;&gt;1,1,IF(스프레드쇼크!$C$4="Y",INDEX(스프레드쇼크!$B$12:$L$16,IFERROR(MATCH(AH101,스프레드쇼크!$A$12:$A$16,0),MATCH("목록외",스프레드쇼크!$A$12:$A$16,0)),IFERROR(MATCH(AG101,스프레드쇼크!$B$11:$L$11,0),MATCH("목록외",스프레드쇼크!$B$11:$L$11,0))),1))</f>
        <v>1</v>
      </c>
      <c r="AY101" s="90" t="n">
        <f aca="false">IF(스프레드쇼크!$C$5="Y",IF(ISNUMBER(AF101),MIN(스프레드쇼크!$C$7,MAX(스프레드쇼크!$C$6,AF101/스프레드쇼크!$C$8)),1),1)</f>
        <v>0.950721393573792</v>
      </c>
      <c r="AZ101" s="94" t="n">
        <f aca="false">AN101*AX101*AY101</f>
        <v>275.794132782022</v>
      </c>
      <c r="BA101" s="90" t="n">
        <f aca="false">IF(ISNUMBER(G101),AA101*G101,0)</f>
        <v>5.5642244756</v>
      </c>
      <c r="BB101" s="90" t="n">
        <f aca="false">IF(ISNUMBER(G101),AA101,0)</f>
        <v>0.983287</v>
      </c>
      <c r="BC101" s="90" t="n">
        <f aca="false">IF(AND(Y101=0,ISNUMBER(AF101)),AA101*AF101,0)</f>
        <v>61.805487672</v>
      </c>
      <c r="BD101" s="90" t="n">
        <f aca="false">IF(AND(Y101=0,ISNUMBER(AF101)),AA101,0)</f>
        <v>0.983287</v>
      </c>
      <c r="BE101" s="90" t="n">
        <f aca="false">IF(ISNUMBER(H101),AA101*H101,0)</f>
        <v>2.9008933074</v>
      </c>
      <c r="BF101" s="90" t="n">
        <f aca="false">IF(ISNUMBER(H101),AA101,0)</f>
        <v>0.983287</v>
      </c>
      <c r="BG101" s="90" t="n">
        <f aca="false">IF(AND(Y101=0,ISNUMBER(AF101),ISNUMBER(Z101)),AA101*Z101,0)</f>
        <v>2.9008933074</v>
      </c>
      <c r="BH101" s="90" t="n">
        <f aca="false">IF(AND(Y101=0,ISNUMBER(AF101),ISNUMBER(Z101)),AA101*AT101*MAX(Z101-1,0),0)</f>
        <v>15.7606196742739</v>
      </c>
      <c r="BI101" s="90" t="n">
        <f aca="false">IF(Y101=0,AA101,0)</f>
        <v>0.983287</v>
      </c>
    </row>
    <row r="102" customFormat="false" ht="15" hidden="false" customHeight="false" outlineLevel="0" collapsed="false">
      <c r="A102" s="83" t="str">
        <f aca="false">IFERROR(IF(INDEX(원자료_잔고!$A$1:$EZ$1500,설정!$L$5+ROW()-1,설정!$L$8)&amp;""="0","",INDEX(원자료_잔고!$A$1:$EZ$1500,설정!$L$5+ROW()-1,설정!$L$8)&amp;""),"")</f>
        <v>JPM 4.255 10/22/31</v>
      </c>
      <c r="B102" s="83" t="str">
        <f aca="false">IFERROR(IF(INDEX(원자료_잔고!$A$1:$EZ$1500,설정!$L$5+ROW()-1,설정!$L$7)&amp;""="0","",INDEX(원자료_잔고!$A$1:$EZ$1500,설정!$L$5+ROW()-1,설정!$L$7)&amp;""),"")</f>
        <v>US46647PFD33</v>
      </c>
      <c r="C102" s="83" t="str">
        <f aca="false">IFERROR(IF(INDEX(원자료_잔고!$A$1:$EZ$1500,설정!$L$5+ROW()-1,설정!$L$9)&amp;""="0","",INDEX(원자료_잔고!$A$1:$EZ$1500,설정!$L$5+ROW()-1,설정!$L$9)&amp;""),"")</f>
        <v>34507</v>
      </c>
      <c r="D10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2" s="84" t="n">
        <f aca="false">IFERROR(IF(ISNUMBER(INDEX(원자료_잔고!$A$1:$EZ$1500,설정!$L$5+ROW()-1,설정!$L$11)),INDEX(원자료_잔고!$A$1:$EZ$1500,설정!$L$5+ROW()-1,설정!$L$11),""),"")</f>
        <v>500000</v>
      </c>
      <c r="F102" s="85" t="n">
        <f aca="false">IFERROR(IF(ISNUMBER(INDEX(원자료_잔고!$A$1:$EZ$1500,설정!$L$5+ROW()-1,설정!$L$12)),INDEX(원자료_잔고!$A$1:$EZ$1500,설정!$L$5+ROW()-1,설정!$L$12),""),"")</f>
        <v>94.623</v>
      </c>
      <c r="G102" s="85" t="n">
        <f aca="false">IFERROR(IF(ISNUMBER(INDEX(원자료_잔고!$A$1:$EZ$1500,설정!$L$5+ROW()-1,설정!$L$13)),INDEX(원자료_잔고!$A$1:$EZ$1500,설정!$L$5+ROW()-1,설정!$L$13),""),"")</f>
        <v>5.6682</v>
      </c>
      <c r="H102" s="85" t="n">
        <f aca="false">IFERROR(IF(ISNUMBER(INDEX(원자료_잔고!$A$1:$EZ$1500,설정!$L$5+ROW()-1,설정!$L$14)),INDEX(원자료_잔고!$A$1:$EZ$1500,설정!$L$5+ROW()-1,설정!$L$14),""),"")</f>
        <v>3.5597</v>
      </c>
      <c r="I102" s="86" t="n">
        <f aca="false">IFERROR(IF(ISNUMBER(INDEX(원자료_잔고!$A$1:$EZ$1500,설정!$L$5+ROW()-1,설정!$L$15)),INDEX(원자료_잔고!$A$1:$EZ$1500,설정!$L$5+ROW()-1,설정!$L$15),""),"")</f>
        <v>48143</v>
      </c>
      <c r="J102" s="85" t="n">
        <f aca="false">IFERROR(IF(ISNUMBER(INDEX(원자료_잔고!$A$1:$EZ$1500,설정!$L$5+ROW()-1,설정!$L$16)),INDEX(원자료_잔고!$A$1:$EZ$1500,설정!$L$5+ROW()-1,설정!$L$16),""),"")</f>
        <v>4.255</v>
      </c>
      <c r="K102" s="87" t="n">
        <f aca="false">IFERROR(IF(ISNUMBER(INDEX(원자료_잔고!$A$1:$EZ$1500,설정!$L$5+ROW()-1,설정!$L$17)),INDEX(원자료_잔고!$A$1:$EZ$1500,설정!$L$5+ROW()-1,설정!$L$17),""),"")</f>
        <v>1</v>
      </c>
      <c r="L102" s="84" t="n">
        <f aca="false">IFERROR(IF(ISNUMBER(INDEX(원자료_잔고!$A$1:$EZ$1500,설정!$L$5+ROW()-1,설정!$L$18)),INDEX(원자료_잔고!$A$1:$EZ$1500,설정!$L$5+ROW()-1,설정!$L$18),""),"")</f>
        <v>473115</v>
      </c>
      <c r="M102" s="88" t="n">
        <f aca="false">IFERROR(IF(ISNUMBER(INDEX(원자료_잔고!$A$1:$EZ$1500,설정!$L$5+ROW()-1,설정!$L$19)),INDEX(원자료_잔고!$A$1:$EZ$1500,설정!$L$5+ROW()-1,설정!$L$19),""),"")</f>
        <v>-25969.5</v>
      </c>
      <c r="N102" s="83" t="str">
        <f aca="false">IFERROR(IF(INDEX(원자료_잔고!$A$1:$EZ$1500,설정!$L$5+ROW()-1,설정!$L$21)&amp;""="0","",INDEX(원자료_잔고!$A$1:$EZ$1500,설정!$L$5+ROW()-1,설정!$L$21)&amp;""),"")</f>
        <v>A</v>
      </c>
      <c r="O102" s="83" t="str">
        <f aca="false">IFERROR(IF(INDEX(원자료_잔고!$A$1:$EZ$1500,설정!$L$5+ROW()-1,설정!$L$22)&amp;""="0","",INDEX(원자료_잔고!$A$1:$EZ$1500,설정!$L$5+ROW()-1,설정!$L$22)&amp;""),"")</f>
        <v/>
      </c>
      <c r="P102" s="83" t="str">
        <f aca="false">IFERROR(IF(INDEX(원자료_잔고!$A$1:$EZ$1500,설정!$L$5+ROW()-1,설정!$L$23)&amp;""="0","",INDEX(원자료_잔고!$A$1:$EZ$1500,설정!$L$5+ROW()-1,설정!$L$23)&amp;""),"")</f>
        <v>AA-</v>
      </c>
      <c r="Q102" s="89" t="n">
        <f aca="false">IF(AND($A102&lt;&gt;"",ISNUMBER(E102)),IF(E102&gt;0,1,0),0)</f>
        <v>1</v>
      </c>
      <c r="R102" s="43" t="str">
        <f aca="false">IF(Q102=1,UPPER(LEFT($A102,FIND(" ",$A102&amp;" ")-1)),"")</f>
        <v>JPM</v>
      </c>
      <c r="S102" s="89" t="n">
        <f aca="false">IF(Q102=1,IF(OR(ISNUMBER(SEARCH("Float",$A102)),ISNUMBER(SEARCH("FRN",$A102))),1,0),0)</f>
        <v>0</v>
      </c>
      <c r="T102" s="43" t="str">
        <f aca="false">IF(AND(Q102=1,ISNUMBER(I102)),TEXT(I102,"yyyymmdd")&amp;"|"&amp;IF(S102=1,"F",TEXT(J102,"0.000")),"")</f>
        <v>20311022|4.255</v>
      </c>
      <c r="U102" s="90" t="n">
        <f aca="false">IF(AND(Q102=1,ISNUMBER(I102)),(I102-설정!$C$4)/365.25,"")</f>
        <v>5.05681040383299</v>
      </c>
      <c r="V102" s="43" t="str">
        <f aca="false">IF(Q102&lt;&gt;1,"",IF(ISNUMBER(U102),IF(U102&lt;=1,"1년 이하",IF(U102&lt;=2,"1-2년",IF(U102&lt;=3,"2-3년",IF(U102&lt;=4,"3-4년",IF(U102&lt;=5,"4-5년",IF(U102&lt;=7,"5-7년",IF(U102&lt;=10,"7-10년",IF(U102&lt;=20,"10-20년","20년 이상")))))))),"미분류"))</f>
        <v>5-7년</v>
      </c>
      <c r="W102" s="43" t="str">
        <f aca="false">IF(Q102&lt;&gt;1,"",IF(AB102&lt;&gt;"",INDEX(시장분석!$C:$C,AB102),IF(K102=1,"USD","비USD")))</f>
        <v>USD</v>
      </c>
      <c r="X102" s="91" t="n">
        <f aca="false">IF(Q102=1,E102*K102/1000000,0)</f>
        <v>0.5</v>
      </c>
      <c r="Y102" s="89" t="n">
        <f aca="false">IF(R102="T",1,0)</f>
        <v>0</v>
      </c>
      <c r="Z102" s="92" t="n">
        <f aca="false">IF(Q102&lt;&gt;1,"",IF(AD102=1,IF(ISNUMBER(U102),MAX(U102,0),H102),H102))</f>
        <v>3.5597</v>
      </c>
      <c r="AA102" s="91" t="n">
        <f aca="false">IF(Q102=1,IF(ISNUMBER(L102),L102,0)*K102/1000000,0)</f>
        <v>0.473115</v>
      </c>
      <c r="AB102" s="89" t="n">
        <f aca="false">IF(Q102&lt;&gt;1,"",IFERROR(MATCH(VLOOKUP(B102,매핑!$H$4:$I$15,2,0),시장분석!$A$2:$A$601,0)+1,IFERROR(MATCH(R102&amp;"|"&amp;T102,시장분석!$V$2:$V$601,0)+1,IF(COUNTIF(시장분석!$U$2:$U$601,T102)=1,MATCH(T102,시장분석!$U$2:$U$601,0)+1,""))))</f>
        <v>80</v>
      </c>
      <c r="AC102" s="89" t="n">
        <f aca="false">IF(Q102&lt;&gt;1,0,IF(OR(설정!$C$5="전체",AND(설정!$C$5="선택펀드",IFERROR(COUNTIFS(설정!$F$16:$F$36,C102,설정!$G$16:$G$36,"Y")+COUNTIFS(설정!$F$16:$F$36,VALUE(C102),설정!$G$16:$G$36,"Y"),0)&gt;0),C102&amp;""=설정!$C$5&amp;""),1,0))</f>
        <v>1</v>
      </c>
      <c r="AD102" s="89" t="n">
        <f aca="false">IF(Q102&lt;&gt;1,0,IF(OR(S102=1,IF(AB102="",FALSE(),INDEX(시장분석!$R:$R,AB102)=1)),1,0))</f>
        <v>0</v>
      </c>
      <c r="AE102" s="43" t="str">
        <f aca="false">IF(AB102="","",INDEX(시장분석!$A:$A,AB102))</f>
        <v>JPM 4.255 10/22/31</v>
      </c>
      <c r="AF102" s="93" t="n">
        <f aca="false">IF(AB102="","",IF(ISNUMBER(IF(AB102="","",INDEX(시장분석!$E:$E,AB102))),IF(AB102="","",INDEX(시장분석!$E:$E,AB102)),""))</f>
        <v>69.456</v>
      </c>
      <c r="AG102" s="43" t="str">
        <f aca="false">IF(Q102&lt;&gt;1,"",IF(AB102&lt;&gt;"",IF(AB102="","",INDEX(시장분석!$L:$L,AB102)),IFERROR(IF(VLOOKUP(R102,매핑!$A$4:$E$92,5,0)="","미분류",VLOOKUP(R102,매핑!$A$4:$E$92,5,0)),"미분류")))</f>
        <v>금융기관</v>
      </c>
      <c r="AH102" s="43" t="str">
        <f aca="false">IF(Q102&lt;&gt;1,"",IF(AB102&lt;&gt;"",IF(AB102="","",INDEX(시장분석!$N:$N,AB102)),IFERROR(IF(VLOOKUP(R102,매핑!$A$4:$E$92,4,0)="","미분류",VLOOKUP(R102,매핑!$A$4:$E$92,4,0)),"미분류")))</f>
        <v>미국</v>
      </c>
      <c r="AI102" s="43" t="str">
        <f aca="false">IF(Q102&lt;&gt;1,"",IFERROR(IF(VLOOKUP(R102,매핑!$A$4:$E$92,3,0)="","미분류",VLOOKUP(R102,매핑!$A$4:$E$92,3,0)),IF(AB102&lt;&gt;"",IF(AB102="","",INDEX(시장분석!$W:$W,AB102)),"미분류")))</f>
        <v>미국</v>
      </c>
      <c r="AJ102" s="43" t="str">
        <f aca="false">IF(Q102&lt;&gt;1,"",IFERROR(VLOOKUP(IF(N102&lt;&gt;"",N102,IF(P102&lt;&gt;"",P102,O102)),설정!$A$15:$D$47,2,0),""))</f>
        <v>A</v>
      </c>
      <c r="AK102" s="43" t="str">
        <f aca="false">IF(Q102&lt;&gt;1,"",IF(AJ102="","무등급",IFERROR(VLOOKUP(AJ102,설정!$A$15:$D$47,3,0),"무등급")))</f>
        <v>A</v>
      </c>
      <c r="AL102" s="89" t="n">
        <f aca="false">IF(AJ102="",99,IFERROR(VLOOKUP(AJ102,설정!$A$15:$D$47,4,0),99))</f>
        <v>6</v>
      </c>
      <c r="AM102" s="94" t="n">
        <f aca="false">IF(ISNUMBER(H102),AA102*1000000*H102/10000,0)</f>
        <v>168.41474655</v>
      </c>
      <c r="AN102" s="94" t="n">
        <f aca="false">IF(OR(Y102=1,NOT(ISNUMBER(Z102))),0,AA102*1000000*Z102/10000)</f>
        <v>168.41474655</v>
      </c>
      <c r="AO102" s="94" t="n">
        <f aca="false">IF(ISNUMBER(G102),AA102*1000000*G102/100,0)</f>
        <v>26817.10443</v>
      </c>
      <c r="AP102" s="94" t="n">
        <f aca="false">IF(ISNUMBER(M102),M102*K102,0)</f>
        <v>-25969.5</v>
      </c>
      <c r="AQ102" s="95" t="n">
        <f aca="false">IF(AB102="","",INDEX(시장분석!$AK:$AK,AB102))</f>
        <v>-0.375013644473543</v>
      </c>
      <c r="AR102" s="43" t="str">
        <f aca="false">IF(AB102="","-",IF(AB102="","",INDEX(시장분석!$AL:$AL,AB102)))</f>
        <v>Fair</v>
      </c>
      <c r="AS102" s="96" t="n">
        <f aca="false">IF(AB102="","",INDEX(시장분석!$AJ:$AJ,AB102))</f>
        <v>-5.12912950332303</v>
      </c>
      <c r="AT102" s="93" t="n">
        <f aca="false">IF(AB102="",0,IF(AB102="","",INDEX(시장분석!$AN:$AN,AB102)))</f>
        <v>6.56504780579443</v>
      </c>
      <c r="AU102" s="94" t="n">
        <f aca="false">IF(ISNUMBER(Z102),AT102/10000*MAX(Z102-1,0)*AA102*1000000,0)</f>
        <v>795.048603037659</v>
      </c>
      <c r="AV102" s="94" t="n">
        <f aca="false">AO102+AU102</f>
        <v>27612.1530330377</v>
      </c>
      <c r="AW102" s="43" t="str">
        <f aca="false">IF(Q102&lt;&gt;1,"",TRIM(IF(AD102=1,"FRN ","")&amp;IF(AND(AL102&gt;=10,AL102&lt;99),"BBB0미만 ","")&amp;IF(AJ102="","등급없음 ","")&amp;IF(K102&lt;&gt;1,"비USD ","")&amp;IF(AND(AB102="",Y102=0),"시장데이터없음 ","")&amp;IF(AND(ISNUMBER(U102),U102&lt;0),"만기경과 ","")))</f>
        <v/>
      </c>
      <c r="AX102" s="90" t="n">
        <f aca="false">IF(Q102&lt;&gt;1,1,IF(스프레드쇼크!$C$4="Y",INDEX(스프레드쇼크!$B$12:$L$16,IFERROR(MATCH(AH102,스프레드쇼크!$A$12:$A$16,0),MATCH("목록외",스프레드쇼크!$A$12:$A$16,0)),IFERROR(MATCH(AG102,스프레드쇼크!$B$11:$L$11,0),MATCH("목록외",스프레드쇼크!$B$11:$L$11,0))),1))</f>
        <v>1</v>
      </c>
      <c r="AY102" s="90" t="n">
        <f aca="false">IF(스프레드쇼크!$C$5="Y",IF(ISNUMBER(AF102),MIN(스프레드쇼크!$C$7,MAX(스프레드쇼크!$C$6,AF102/스프레드쇼크!$C$8)),1),1)</f>
        <v>1.05054895494561</v>
      </c>
      <c r="AZ102" s="94" t="n">
        <f aca="false">AN102*AX102*AY102</f>
        <v>176.927935985532</v>
      </c>
      <c r="BA102" s="90" t="n">
        <f aca="false">IF(ISNUMBER(G102),AA102*G102,0)</f>
        <v>2.681710443</v>
      </c>
      <c r="BB102" s="90" t="n">
        <f aca="false">IF(ISNUMBER(G102),AA102,0)</f>
        <v>0.473115</v>
      </c>
      <c r="BC102" s="90" t="n">
        <f aca="false">IF(AND(Y102=0,ISNUMBER(AF102)),AA102*AF102,0)</f>
        <v>32.86067544</v>
      </c>
      <c r="BD102" s="90" t="n">
        <f aca="false">IF(AND(Y102=0,ISNUMBER(AF102)),AA102,0)</f>
        <v>0.473115</v>
      </c>
      <c r="BE102" s="90" t="n">
        <f aca="false">IF(ISNUMBER(H102),AA102*H102,0)</f>
        <v>1.6841474655</v>
      </c>
      <c r="BF102" s="90" t="n">
        <f aca="false">IF(ISNUMBER(H102),AA102,0)</f>
        <v>0.473115</v>
      </c>
      <c r="BG102" s="90" t="n">
        <f aca="false">IF(AND(Y102=0,ISNUMBER(AF102),ISNUMBER(Z102)),AA102*Z102,0)</f>
        <v>1.6841474655</v>
      </c>
      <c r="BH102" s="90" t="n">
        <f aca="false">IF(AND(Y102=0,ISNUMBER(AF102),ISNUMBER(Z102)),AA102*AT102*MAX(Z102-1,0),0)</f>
        <v>7.95048603037659</v>
      </c>
      <c r="BI102" s="90" t="n">
        <f aca="false">IF(Y102=0,AA102,0)</f>
        <v>0.473115</v>
      </c>
    </row>
    <row r="103" customFormat="false" ht="15" hidden="false" customHeight="false" outlineLevel="0" collapsed="false">
      <c r="A103" s="83" t="str">
        <f aca="false">IFERROR(IF(INDEX(원자료_잔고!$A$1:$EZ$1500,설정!$L$5+ROW()-1,설정!$L$8)&amp;""="0","",INDEX(원자료_잔고!$A$1:$EZ$1500,설정!$L$5+ROW()-1,설정!$L$8)&amp;""),"")</f>
        <v>JPM 4.81 10/22/36</v>
      </c>
      <c r="B103" s="83" t="str">
        <f aca="false">IFERROR(IF(INDEX(원자료_잔고!$A$1:$EZ$1500,설정!$L$5+ROW()-1,설정!$L$7)&amp;""="0","",INDEX(원자료_잔고!$A$1:$EZ$1500,설정!$L$5+ROW()-1,설정!$L$7)&amp;""),"")</f>
        <v>US46647PFE16</v>
      </c>
      <c r="C103" s="83" t="str">
        <f aca="false">IFERROR(IF(INDEX(원자료_잔고!$A$1:$EZ$1500,설정!$L$5+ROW()-1,설정!$L$9)&amp;""="0","",INDEX(원자료_잔고!$A$1:$EZ$1500,설정!$L$5+ROW()-1,설정!$L$9)&amp;""),"")</f>
        <v>34507</v>
      </c>
      <c r="D10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3" s="84" t="n">
        <f aca="false">IFERROR(IF(ISNUMBER(INDEX(원자료_잔고!$A$1:$EZ$1500,설정!$L$5+ROW()-1,설정!$L$11)),INDEX(원자료_잔고!$A$1:$EZ$1500,설정!$L$5+ROW()-1,설정!$L$11),""),"")</f>
        <v>2000000</v>
      </c>
      <c r="F103" s="85" t="n">
        <f aca="false">IFERROR(IF(ISNUMBER(INDEX(원자료_잔고!$A$1:$EZ$1500,설정!$L$5+ROW()-1,설정!$L$12)),INDEX(원자료_잔고!$A$1:$EZ$1500,설정!$L$5+ROW()-1,설정!$L$12),""),"")</f>
        <v>91.2257</v>
      </c>
      <c r="G103" s="85" t="n">
        <f aca="false">IFERROR(IF(ISNUMBER(INDEX(원자료_잔고!$A$1:$EZ$1500,설정!$L$5+ROW()-1,설정!$L$13)),INDEX(원자료_잔고!$A$1:$EZ$1500,설정!$L$5+ROW()-1,설정!$L$13),""),"")</f>
        <v>6.05</v>
      </c>
      <c r="H103" s="85" t="n">
        <f aca="false">IFERROR(IF(ISNUMBER(INDEX(원자료_잔고!$A$1:$EZ$1500,설정!$L$5+ROW()-1,설정!$L$14)),INDEX(원자료_잔고!$A$1:$EZ$1500,설정!$L$5+ROW()-1,설정!$L$14),""),"")</f>
        <v>6.9272</v>
      </c>
      <c r="I103" s="86" t="n">
        <f aca="false">IFERROR(IF(ISNUMBER(INDEX(원자료_잔고!$A$1:$EZ$1500,설정!$L$5+ROW()-1,설정!$L$15)),INDEX(원자료_잔고!$A$1:$EZ$1500,설정!$L$5+ROW()-1,설정!$L$15),""),"")</f>
        <v>49970</v>
      </c>
      <c r="J103" s="85" t="n">
        <f aca="false">IFERROR(IF(ISNUMBER(INDEX(원자료_잔고!$A$1:$EZ$1500,설정!$L$5+ROW()-1,설정!$L$16)),INDEX(원자료_잔고!$A$1:$EZ$1500,설정!$L$5+ROW()-1,설정!$L$16),""),"")</f>
        <v>4.81</v>
      </c>
      <c r="K103" s="87" t="n">
        <f aca="false">IFERROR(IF(ISNUMBER(INDEX(원자료_잔고!$A$1:$EZ$1500,설정!$L$5+ROW()-1,설정!$L$17)),INDEX(원자료_잔고!$A$1:$EZ$1500,설정!$L$5+ROW()-1,설정!$L$17),""),"")</f>
        <v>1</v>
      </c>
      <c r="L103" s="84" t="n">
        <f aca="false">IFERROR(IF(ISNUMBER(INDEX(원자료_잔고!$A$1:$EZ$1500,설정!$L$5+ROW()-1,설정!$L$18)),INDEX(원자료_잔고!$A$1:$EZ$1500,설정!$L$5+ROW()-1,설정!$L$18),""),"")</f>
        <v>1824514</v>
      </c>
      <c r="M103" s="88" t="n">
        <f aca="false">IFERROR(IF(ISNUMBER(INDEX(원자료_잔고!$A$1:$EZ$1500,설정!$L$5+ROW()-1,설정!$L$19)),INDEX(원자료_잔고!$A$1:$EZ$1500,설정!$L$5+ROW()-1,설정!$L$19),""),"")</f>
        <v>-170410</v>
      </c>
      <c r="N103" s="83" t="str">
        <f aca="false">IFERROR(IF(INDEX(원자료_잔고!$A$1:$EZ$1500,설정!$L$5+ROW()-1,설정!$L$21)&amp;""="0","",INDEX(원자료_잔고!$A$1:$EZ$1500,설정!$L$5+ROW()-1,설정!$L$21)&amp;""),"")</f>
        <v>A</v>
      </c>
      <c r="O103" s="83" t="str">
        <f aca="false">IFERROR(IF(INDEX(원자료_잔고!$A$1:$EZ$1500,설정!$L$5+ROW()-1,설정!$L$22)&amp;""="0","",INDEX(원자료_잔고!$A$1:$EZ$1500,설정!$L$5+ROW()-1,설정!$L$22)&amp;""),"")</f>
        <v/>
      </c>
      <c r="P103" s="83" t="str">
        <f aca="false">IFERROR(IF(INDEX(원자료_잔고!$A$1:$EZ$1500,설정!$L$5+ROW()-1,설정!$L$23)&amp;""="0","",INDEX(원자료_잔고!$A$1:$EZ$1500,설정!$L$5+ROW()-1,설정!$L$23)&amp;""),"")</f>
        <v>AA-</v>
      </c>
      <c r="Q103" s="89" t="n">
        <f aca="false">IF(AND($A103&lt;&gt;"",ISNUMBER(E103)),IF(E103&gt;0,1,0),0)</f>
        <v>1</v>
      </c>
      <c r="R103" s="43" t="str">
        <f aca="false">IF(Q103=1,UPPER(LEFT($A103,FIND(" ",$A103&amp;" ")-1)),"")</f>
        <v>JPM</v>
      </c>
      <c r="S103" s="89" t="n">
        <f aca="false">IF(Q103=1,IF(OR(ISNUMBER(SEARCH("Float",$A103)),ISNUMBER(SEARCH("FRN",$A103))),1,0),0)</f>
        <v>0</v>
      </c>
      <c r="T103" s="43" t="str">
        <f aca="false">IF(AND(Q103=1,ISNUMBER(I103)),TEXT(I103,"yyyymmdd")&amp;"|"&amp;IF(S103=1,"F",TEXT(J103,"0.000")),"")</f>
        <v>20361022|4.810</v>
      </c>
      <c r="U103" s="90" t="n">
        <f aca="false">IF(AND(Q103=1,ISNUMBER(I103)),(I103-설정!$C$4)/365.25,"")</f>
        <v>10.0588637919233</v>
      </c>
      <c r="V103" s="43" t="str">
        <f aca="false">IF(Q103&lt;&gt;1,"",IF(ISNUMBER(U103),IF(U103&lt;=1,"1년 이하",IF(U103&lt;=2,"1-2년",IF(U103&lt;=3,"2-3년",IF(U103&lt;=4,"3-4년",IF(U103&lt;=5,"4-5년",IF(U103&lt;=7,"5-7년",IF(U103&lt;=10,"7-10년",IF(U103&lt;=20,"10-20년","20년 이상")))))))),"미분류"))</f>
        <v>10-20년</v>
      </c>
      <c r="W103" s="43" t="str">
        <f aca="false">IF(Q103&lt;&gt;1,"",IF(AB103&lt;&gt;"",INDEX(시장분석!$C:$C,AB103),IF(K103=1,"USD","비USD")))</f>
        <v>USD</v>
      </c>
      <c r="X103" s="91" t="n">
        <f aca="false">IF(Q103=1,E103*K103/1000000,0)</f>
        <v>2</v>
      </c>
      <c r="Y103" s="89" t="n">
        <f aca="false">IF(R103="T",1,0)</f>
        <v>0</v>
      </c>
      <c r="Z103" s="92" t="n">
        <f aca="false">IF(Q103&lt;&gt;1,"",IF(AD103=1,IF(ISNUMBER(U103),MAX(U103,0),H103),H103))</f>
        <v>6.9272</v>
      </c>
      <c r="AA103" s="91" t="n">
        <f aca="false">IF(Q103=1,IF(ISNUMBER(L103),L103,0)*K103/1000000,0)</f>
        <v>1.824514</v>
      </c>
      <c r="AB103" s="89" t="n">
        <f aca="false">IF(Q103&lt;&gt;1,"",IFERROR(MATCH(VLOOKUP(B103,매핑!$H$4:$I$15,2,0),시장분석!$A$2:$A$601,0)+1,IFERROR(MATCH(R103&amp;"|"&amp;T103,시장분석!$V$2:$V$601,0)+1,IF(COUNTIF(시장분석!$U$2:$U$601,T103)=1,MATCH(T103,시장분석!$U$2:$U$601,0)+1,""))))</f>
        <v>81</v>
      </c>
      <c r="AC103" s="89" t="n">
        <f aca="false">IF(Q103&lt;&gt;1,0,IF(OR(설정!$C$5="전체",AND(설정!$C$5="선택펀드",IFERROR(COUNTIFS(설정!$F$16:$F$36,C103,설정!$G$16:$G$36,"Y")+COUNTIFS(설정!$F$16:$F$36,VALUE(C103),설정!$G$16:$G$36,"Y"),0)&gt;0),C103&amp;""=설정!$C$5&amp;""),1,0))</f>
        <v>1</v>
      </c>
      <c r="AD103" s="89" t="n">
        <f aca="false">IF(Q103&lt;&gt;1,0,IF(OR(S103=1,IF(AB103="",FALSE(),INDEX(시장분석!$R:$R,AB103)=1)),1,0))</f>
        <v>0</v>
      </c>
      <c r="AE103" s="43" t="str">
        <f aca="false">IF(AB103="","",INDEX(시장분석!$A:$A,AB103))</f>
        <v>JPM 4.81 10/22/36</v>
      </c>
      <c r="AF103" s="93" t="n">
        <f aca="false">IF(AB103="","",IF(ISNUMBER(IF(AB103="","",INDEX(시장분석!$E:$E,AB103))),IF(AB103="","",INDEX(시장분석!$E:$E,AB103)),""))</f>
        <v>83.783</v>
      </c>
      <c r="AG103" s="43" t="str">
        <f aca="false">IF(Q103&lt;&gt;1,"",IF(AB103&lt;&gt;"",IF(AB103="","",INDEX(시장분석!$L:$L,AB103)),IFERROR(IF(VLOOKUP(R103,매핑!$A$4:$E$92,5,0)="","미분류",VLOOKUP(R103,매핑!$A$4:$E$92,5,0)),"미분류")))</f>
        <v>금융기관</v>
      </c>
      <c r="AH103" s="43" t="str">
        <f aca="false">IF(Q103&lt;&gt;1,"",IF(AB103&lt;&gt;"",IF(AB103="","",INDEX(시장분석!$N:$N,AB103)),IFERROR(IF(VLOOKUP(R103,매핑!$A$4:$E$92,4,0)="","미분류",VLOOKUP(R103,매핑!$A$4:$E$92,4,0)),"미분류")))</f>
        <v>미국</v>
      </c>
      <c r="AI103" s="43" t="str">
        <f aca="false">IF(Q103&lt;&gt;1,"",IFERROR(IF(VLOOKUP(R103,매핑!$A$4:$E$92,3,0)="","미분류",VLOOKUP(R103,매핑!$A$4:$E$92,3,0)),IF(AB103&lt;&gt;"",IF(AB103="","",INDEX(시장분석!$W:$W,AB103)),"미분류")))</f>
        <v>미국</v>
      </c>
      <c r="AJ103" s="43" t="str">
        <f aca="false">IF(Q103&lt;&gt;1,"",IFERROR(VLOOKUP(IF(N103&lt;&gt;"",N103,IF(P103&lt;&gt;"",P103,O103)),설정!$A$15:$D$47,2,0),""))</f>
        <v>A</v>
      </c>
      <c r="AK103" s="43" t="str">
        <f aca="false">IF(Q103&lt;&gt;1,"",IF(AJ103="","무등급",IFERROR(VLOOKUP(AJ103,설정!$A$15:$D$47,3,0),"무등급")))</f>
        <v>A</v>
      </c>
      <c r="AL103" s="89" t="n">
        <f aca="false">IF(AJ103="",99,IFERROR(VLOOKUP(AJ103,설정!$A$15:$D$47,4,0),99))</f>
        <v>6</v>
      </c>
      <c r="AM103" s="94" t="n">
        <f aca="false">IF(ISNUMBER(H103),AA103*1000000*H103/10000,0)</f>
        <v>1263.87733808</v>
      </c>
      <c r="AN103" s="94" t="n">
        <f aca="false">IF(OR(Y103=1,NOT(ISNUMBER(Z103))),0,AA103*1000000*Z103/10000)</f>
        <v>1263.87733808</v>
      </c>
      <c r="AO103" s="94" t="n">
        <f aca="false">IF(ISNUMBER(G103),AA103*1000000*G103/100,0)</f>
        <v>110383.097</v>
      </c>
      <c r="AP103" s="94" t="n">
        <f aca="false">IF(ISNUMBER(M103),M103*K103,0)</f>
        <v>-170410</v>
      </c>
      <c r="AQ103" s="95" t="n">
        <f aca="false">IF(AB103="","",INDEX(시장분석!$AK:$AK,AB103))</f>
        <v>-0.339667841642351</v>
      </c>
      <c r="AR103" s="43" t="str">
        <f aca="false">IF(AB103="","-",IF(AB103="","",INDEX(시장분석!$AL:$AL,AB103)))</f>
        <v>Fair</v>
      </c>
      <c r="AS103" s="96" t="n">
        <f aca="false">IF(AB103="","",INDEX(시장분석!$AJ:$AJ,AB103))</f>
        <v>-4.64569855943135</v>
      </c>
      <c r="AT103" s="93" t="n">
        <f aca="false">IF(AB103="",0,IF(AB103="","",INDEX(시장분석!$AN:$AN,AB103)))</f>
        <v>3.10825464780127</v>
      </c>
      <c r="AU103" s="94" t="n">
        <f aca="false">IF(ISNUMBER(Z103),AT103/10000*MAX(Z103-1,0)*AA103*1000000,0)</f>
        <v>3361.34719829001</v>
      </c>
      <c r="AV103" s="94" t="n">
        <f aca="false">AO103+AU103</f>
        <v>113744.44419829</v>
      </c>
      <c r="AW103" s="43" t="str">
        <f aca="false">IF(Q103&lt;&gt;1,"",TRIM(IF(AD103=1,"FRN ","")&amp;IF(AND(AL103&gt;=10,AL103&lt;99),"BBB0미만 ","")&amp;IF(AJ103="","등급없음 ","")&amp;IF(K103&lt;&gt;1,"비USD ","")&amp;IF(AND(AB103="",Y103=0),"시장데이터없음 ","")&amp;IF(AND(ISNUMBER(U103),U103&lt;0),"만기경과 ","")))</f>
        <v/>
      </c>
      <c r="AX103" s="90" t="n">
        <f aca="false">IF(Q103&lt;&gt;1,1,IF(스프레드쇼크!$C$4="Y",INDEX(스프레드쇼크!$B$12:$L$16,IFERROR(MATCH(AH103,스프레드쇼크!$A$12:$A$16,0),MATCH("목록외",스프레드쇼크!$A$12:$A$16,0)),IFERROR(MATCH(AG103,스프레드쇼크!$B$11:$L$11,0),MATCH("목록외",스프레드쇼크!$B$11:$L$11,0))),1))</f>
        <v>1</v>
      </c>
      <c r="AY103" s="90" t="n">
        <f aca="false">IF(스프레드쇼크!$C$5="Y",IF(ISNUMBER(AF103),MIN(스프레드쇼크!$C$7,MAX(스프레드쇼크!$C$6,AF103/스프레드쇼크!$C$8)),1),1)</f>
        <v>1.26725039006289</v>
      </c>
      <c r="AZ103" s="94" t="n">
        <f aca="false">AN103*AX103*AY103</f>
        <v>1601.64904967353</v>
      </c>
      <c r="BA103" s="90" t="n">
        <f aca="false">IF(ISNUMBER(G103),AA103*G103,0)</f>
        <v>11.0383097</v>
      </c>
      <c r="BB103" s="90" t="n">
        <f aca="false">IF(ISNUMBER(G103),AA103,0)</f>
        <v>1.824514</v>
      </c>
      <c r="BC103" s="90" t="n">
        <f aca="false">IF(AND(Y103=0,ISNUMBER(AF103)),AA103*AF103,0)</f>
        <v>152.863256462</v>
      </c>
      <c r="BD103" s="90" t="n">
        <f aca="false">IF(AND(Y103=0,ISNUMBER(AF103)),AA103,0)</f>
        <v>1.824514</v>
      </c>
      <c r="BE103" s="90" t="n">
        <f aca="false">IF(ISNUMBER(H103),AA103*H103,0)</f>
        <v>12.6387733808</v>
      </c>
      <c r="BF103" s="90" t="n">
        <f aca="false">IF(ISNUMBER(H103),AA103,0)</f>
        <v>1.824514</v>
      </c>
      <c r="BG103" s="90" t="n">
        <f aca="false">IF(AND(Y103=0,ISNUMBER(AF103),ISNUMBER(Z103)),AA103*Z103,0)</f>
        <v>12.6387733808</v>
      </c>
      <c r="BH103" s="90" t="n">
        <f aca="false">IF(AND(Y103=0,ISNUMBER(AF103),ISNUMBER(Z103)),AA103*AT103*MAX(Z103-1,0),0)</f>
        <v>33.6134719829001</v>
      </c>
      <c r="BI103" s="90" t="n">
        <f aca="false">IF(Y103=0,AA103,0)</f>
        <v>1.824514</v>
      </c>
    </row>
    <row r="104" customFormat="false" ht="15" hidden="false" customHeight="false" outlineLevel="0" collapsed="false">
      <c r="A104" s="83" t="str">
        <f aca="false">IFERROR(IF(INDEX(원자료_잔고!$A$1:$EZ$1500,설정!$L$5+ROW()-1,설정!$L$8)&amp;""="0","",INDEX(원자료_잔고!$A$1:$EZ$1500,설정!$L$5+ROW()-1,설정!$L$8)&amp;""),"")</f>
        <v>JPM 4.898 01/22/37</v>
      </c>
      <c r="B104" s="83" t="str">
        <f aca="false">IFERROR(IF(INDEX(원자료_잔고!$A$1:$EZ$1500,설정!$L$5+ROW()-1,설정!$L$7)&amp;""="0","",INDEX(원자료_잔고!$A$1:$EZ$1500,설정!$L$5+ROW()-1,설정!$L$7)&amp;""),"")</f>
        <v>US46647PFJ03</v>
      </c>
      <c r="C104" s="83" t="str">
        <f aca="false">IFERROR(IF(INDEX(원자료_잔고!$A$1:$EZ$1500,설정!$L$5+ROW()-1,설정!$L$9)&amp;""="0","",INDEX(원자료_잔고!$A$1:$EZ$1500,설정!$L$5+ROW()-1,설정!$L$9)&amp;""),"")</f>
        <v>34507</v>
      </c>
      <c r="D10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4" s="84" t="n">
        <f aca="false">IFERROR(IF(ISNUMBER(INDEX(원자료_잔고!$A$1:$EZ$1500,설정!$L$5+ROW()-1,설정!$L$11)),INDEX(원자료_잔고!$A$1:$EZ$1500,설정!$L$5+ROW()-1,설정!$L$11),""),"")</f>
        <v>1000000</v>
      </c>
      <c r="F104" s="85" t="n">
        <f aca="false">IFERROR(IF(ISNUMBER(INDEX(원자료_잔고!$A$1:$EZ$1500,설정!$L$5+ROW()-1,설정!$L$12)),INDEX(원자료_잔고!$A$1:$EZ$1500,설정!$L$5+ROW()-1,설정!$L$12),""),"")</f>
        <v>91.5781</v>
      </c>
      <c r="G104" s="85" t="n">
        <f aca="false">IFERROR(IF(ISNUMBER(INDEX(원자료_잔고!$A$1:$EZ$1500,설정!$L$5+ROW()-1,설정!$L$13)),INDEX(원자료_잔고!$A$1:$EZ$1500,설정!$L$5+ROW()-1,설정!$L$13),""),"")</f>
        <v>6.0648</v>
      </c>
      <c r="H104" s="85" t="n">
        <f aca="false">IFERROR(IF(ISNUMBER(INDEX(원자료_잔고!$A$1:$EZ$1500,설정!$L$5+ROW()-1,설정!$L$14)),INDEX(원자료_잔고!$A$1:$EZ$1500,설정!$L$5+ROW()-1,설정!$L$14),""),"")</f>
        <v>7.1603</v>
      </c>
      <c r="I104" s="86" t="n">
        <f aca="false">IFERROR(IF(ISNUMBER(INDEX(원자료_잔고!$A$1:$EZ$1500,설정!$L$5+ROW()-1,설정!$L$15)),INDEX(원자료_잔고!$A$1:$EZ$1500,설정!$L$5+ROW()-1,설정!$L$15),""),"")</f>
        <v>50062</v>
      </c>
      <c r="J104" s="85" t="n">
        <f aca="false">IFERROR(IF(ISNUMBER(INDEX(원자료_잔고!$A$1:$EZ$1500,설정!$L$5+ROW()-1,설정!$L$16)),INDEX(원자료_잔고!$A$1:$EZ$1500,설정!$L$5+ROW()-1,설정!$L$16),""),"")</f>
        <v>4.898</v>
      </c>
      <c r="K104" s="87" t="n">
        <f aca="false">IFERROR(IF(ISNUMBER(INDEX(원자료_잔고!$A$1:$EZ$1500,설정!$L$5+ROW()-1,설정!$L$17)),INDEX(원자료_잔고!$A$1:$EZ$1500,설정!$L$5+ROW()-1,설정!$L$17),""),"")</f>
        <v>1</v>
      </c>
      <c r="L104" s="84" t="n">
        <f aca="false">IFERROR(IF(ISNUMBER(INDEX(원자료_잔고!$A$1:$EZ$1500,설정!$L$5+ROW()-1,설정!$L$18)),INDEX(원자료_잔고!$A$1:$EZ$1500,설정!$L$5+ROW()-1,설정!$L$18),""),"")</f>
        <v>915781</v>
      </c>
      <c r="M104" s="88" t="n">
        <f aca="false">IFERROR(IF(ISNUMBER(INDEX(원자료_잔고!$A$1:$EZ$1500,설정!$L$5+ROW()-1,설정!$L$19)),INDEX(원자료_잔고!$A$1:$EZ$1500,설정!$L$5+ROW()-1,설정!$L$19),""),"")</f>
        <v>-74099</v>
      </c>
      <c r="N104" s="83" t="str">
        <f aca="false">IFERROR(IF(INDEX(원자료_잔고!$A$1:$EZ$1500,설정!$L$5+ROW()-1,설정!$L$21)&amp;""="0","",INDEX(원자료_잔고!$A$1:$EZ$1500,설정!$L$5+ROW()-1,설정!$L$21)&amp;""),"")</f>
        <v>A</v>
      </c>
      <c r="O104" s="83" t="str">
        <f aca="false">IFERROR(IF(INDEX(원자료_잔고!$A$1:$EZ$1500,설정!$L$5+ROW()-1,설정!$L$22)&amp;""="0","",INDEX(원자료_잔고!$A$1:$EZ$1500,설정!$L$5+ROW()-1,설정!$L$22)&amp;""),"")</f>
        <v/>
      </c>
      <c r="P104" s="83" t="str">
        <f aca="false">IFERROR(IF(INDEX(원자료_잔고!$A$1:$EZ$1500,설정!$L$5+ROW()-1,설정!$L$23)&amp;""="0","",INDEX(원자료_잔고!$A$1:$EZ$1500,설정!$L$5+ROW()-1,설정!$L$23)&amp;""),"")</f>
        <v>AA-</v>
      </c>
      <c r="Q104" s="89" t="n">
        <f aca="false">IF(AND($A104&lt;&gt;"",ISNUMBER(E104)),IF(E104&gt;0,1,0),0)</f>
        <v>1</v>
      </c>
      <c r="R104" s="43" t="str">
        <f aca="false">IF(Q104=1,UPPER(LEFT($A104,FIND(" ",$A104&amp;" ")-1)),"")</f>
        <v>JPM</v>
      </c>
      <c r="S104" s="89" t="n">
        <f aca="false">IF(Q104=1,IF(OR(ISNUMBER(SEARCH("Float",$A104)),ISNUMBER(SEARCH("FRN",$A104))),1,0),0)</f>
        <v>0</v>
      </c>
      <c r="T104" s="43" t="str">
        <f aca="false">IF(AND(Q104=1,ISNUMBER(I104)),TEXT(I104,"yyyymmdd")&amp;"|"&amp;IF(S104=1,"F",TEXT(J104,"0.000")),"")</f>
        <v>20370122|4.898</v>
      </c>
      <c r="U104" s="90" t="n">
        <f aca="false">IF(AND(Q104=1,ISNUMBER(I104)),(I104-설정!$C$4)/365.25,"")</f>
        <v>10.3107460643395</v>
      </c>
      <c r="V104" s="43" t="str">
        <f aca="false">IF(Q104&lt;&gt;1,"",IF(ISNUMBER(U104),IF(U104&lt;=1,"1년 이하",IF(U104&lt;=2,"1-2년",IF(U104&lt;=3,"2-3년",IF(U104&lt;=4,"3-4년",IF(U104&lt;=5,"4-5년",IF(U104&lt;=7,"5-7년",IF(U104&lt;=10,"7-10년",IF(U104&lt;=20,"10-20년","20년 이상")))))))),"미분류"))</f>
        <v>10-20년</v>
      </c>
      <c r="W104" s="43" t="str">
        <f aca="false">IF(Q104&lt;&gt;1,"",IF(AB104&lt;&gt;"",INDEX(시장분석!$C:$C,AB104),IF(K104=1,"USD","비USD")))</f>
        <v>USD</v>
      </c>
      <c r="X104" s="91" t="n">
        <f aca="false">IF(Q104=1,E104*K104/1000000,0)</f>
        <v>1</v>
      </c>
      <c r="Y104" s="89" t="n">
        <f aca="false">IF(R104="T",1,0)</f>
        <v>0</v>
      </c>
      <c r="Z104" s="92" t="n">
        <f aca="false">IF(Q104&lt;&gt;1,"",IF(AD104=1,IF(ISNUMBER(U104),MAX(U104,0),H104),H104))</f>
        <v>7.1603</v>
      </c>
      <c r="AA104" s="91" t="n">
        <f aca="false">IF(Q104=1,IF(ISNUMBER(L104),L104,0)*K104/1000000,0)</f>
        <v>0.915781</v>
      </c>
      <c r="AB104" s="89" t="n">
        <f aca="false">IF(Q104&lt;&gt;1,"",IFERROR(MATCH(VLOOKUP(B104,매핑!$H$4:$I$15,2,0),시장분석!$A$2:$A$601,0)+1,IFERROR(MATCH(R104&amp;"|"&amp;T104,시장분석!$V$2:$V$601,0)+1,IF(COUNTIF(시장분석!$U$2:$U$601,T104)=1,MATCH(T104,시장분석!$U$2:$U$601,0)+1,""))))</f>
        <v>83</v>
      </c>
      <c r="AC104" s="89" t="n">
        <f aca="false">IF(Q104&lt;&gt;1,0,IF(OR(설정!$C$5="전체",AND(설정!$C$5="선택펀드",IFERROR(COUNTIFS(설정!$F$16:$F$36,C104,설정!$G$16:$G$36,"Y")+COUNTIFS(설정!$F$16:$F$36,VALUE(C104),설정!$G$16:$G$36,"Y"),0)&gt;0),C104&amp;""=설정!$C$5&amp;""),1,0))</f>
        <v>1</v>
      </c>
      <c r="AD104" s="89" t="n">
        <f aca="false">IF(Q104&lt;&gt;1,0,IF(OR(S104=1,IF(AB104="",FALSE(),INDEX(시장분석!$R:$R,AB104)=1)),1,0))</f>
        <v>0</v>
      </c>
      <c r="AE104" s="43" t="str">
        <f aca="false">IF(AB104="","",INDEX(시장분석!$A:$A,AB104))</f>
        <v>JPM 4.898 01/22/37</v>
      </c>
      <c r="AF104" s="93" t="n">
        <f aca="false">IF(AB104="","",IF(ISNUMBER(IF(AB104="","",INDEX(시장분석!$E:$E,AB104))),IF(AB104="","",INDEX(시장분석!$E:$E,AB104)),""))</f>
        <v>86.903</v>
      </c>
      <c r="AG104" s="43" t="str">
        <f aca="false">IF(Q104&lt;&gt;1,"",IF(AB104&lt;&gt;"",IF(AB104="","",INDEX(시장분석!$L:$L,AB104)),IFERROR(IF(VLOOKUP(R104,매핑!$A$4:$E$92,5,0)="","미분류",VLOOKUP(R104,매핑!$A$4:$E$92,5,0)),"미분류")))</f>
        <v>금융기관</v>
      </c>
      <c r="AH104" s="43" t="str">
        <f aca="false">IF(Q104&lt;&gt;1,"",IF(AB104&lt;&gt;"",IF(AB104="","",INDEX(시장분석!$N:$N,AB104)),IFERROR(IF(VLOOKUP(R104,매핑!$A$4:$E$92,4,0)="","미분류",VLOOKUP(R104,매핑!$A$4:$E$92,4,0)),"미분류")))</f>
        <v>미국</v>
      </c>
      <c r="AI104" s="43" t="str">
        <f aca="false">IF(Q104&lt;&gt;1,"",IFERROR(IF(VLOOKUP(R104,매핑!$A$4:$E$92,3,0)="","미분류",VLOOKUP(R104,매핑!$A$4:$E$92,3,0)),IF(AB104&lt;&gt;"",IF(AB104="","",INDEX(시장분석!$W:$W,AB104)),"미분류")))</f>
        <v>미국</v>
      </c>
      <c r="AJ104" s="43" t="str">
        <f aca="false">IF(Q104&lt;&gt;1,"",IFERROR(VLOOKUP(IF(N104&lt;&gt;"",N104,IF(P104&lt;&gt;"",P104,O104)),설정!$A$15:$D$47,2,0),""))</f>
        <v>A</v>
      </c>
      <c r="AK104" s="43" t="str">
        <f aca="false">IF(Q104&lt;&gt;1,"",IF(AJ104="","무등급",IFERROR(VLOOKUP(AJ104,설정!$A$15:$D$47,3,0),"무등급")))</f>
        <v>A</v>
      </c>
      <c r="AL104" s="89" t="n">
        <f aca="false">IF(AJ104="",99,IFERROR(VLOOKUP(AJ104,설정!$A$15:$D$47,4,0),99))</f>
        <v>6</v>
      </c>
      <c r="AM104" s="94" t="n">
        <f aca="false">IF(ISNUMBER(H104),AA104*1000000*H104/10000,0)</f>
        <v>655.72666943</v>
      </c>
      <c r="AN104" s="94" t="n">
        <f aca="false">IF(OR(Y104=1,NOT(ISNUMBER(Z104))),0,AA104*1000000*Z104/10000)</f>
        <v>655.72666943</v>
      </c>
      <c r="AO104" s="94" t="n">
        <f aca="false">IF(ISNUMBER(G104),AA104*1000000*G104/100,0)</f>
        <v>55540.286088</v>
      </c>
      <c r="AP104" s="94" t="n">
        <f aca="false">IF(ISNUMBER(M104),M104*K104,0)</f>
        <v>-74099</v>
      </c>
      <c r="AQ104" s="95" t="n">
        <f aca="false">IF(AB104="","",INDEX(시장분석!$AK:$AK,AB104))</f>
        <v>-0.158716888577548</v>
      </c>
      <c r="AR104" s="43" t="str">
        <f aca="false">IF(AB104="","-",IF(AB104="","",INDEX(시장분석!$AL:$AL,AB104)))</f>
        <v>Fair</v>
      </c>
      <c r="AS104" s="96" t="n">
        <f aca="false">IF(AB104="","",INDEX(시장분석!$AJ:$AJ,AB104))</f>
        <v>-2.17079961722878</v>
      </c>
      <c r="AT104" s="93" t="n">
        <f aca="false">IF(AB104="",0,IF(AB104="","",INDEX(시장분석!$AN:$AN,AB104)))</f>
        <v>3.00579633602187</v>
      </c>
      <c r="AU104" s="94" t="n">
        <f aca="false">IF(ISNUMBER(Z104),AT104/10000*MAX(Z104-1,0)*AA104*1000000,0)</f>
        <v>1695.71570296467</v>
      </c>
      <c r="AV104" s="94" t="n">
        <f aca="false">AO104+AU104</f>
        <v>57236.0017909647</v>
      </c>
      <c r="AW104" s="43" t="str">
        <f aca="false">IF(Q104&lt;&gt;1,"",TRIM(IF(AD104=1,"FRN ","")&amp;IF(AND(AL104&gt;=10,AL104&lt;99),"BBB0미만 ","")&amp;IF(AJ104="","등급없음 ","")&amp;IF(K104&lt;&gt;1,"비USD ","")&amp;IF(AND(AB104="",Y104=0),"시장데이터없음 ","")&amp;IF(AND(ISNUMBER(U104),U104&lt;0),"만기경과 ","")))</f>
        <v/>
      </c>
      <c r="AX104" s="90" t="n">
        <f aca="false">IF(Q104&lt;&gt;1,1,IF(스프레드쇼크!$C$4="Y",INDEX(스프레드쇼크!$B$12:$L$16,IFERROR(MATCH(AH104,스프레드쇼크!$A$12:$A$16,0),MATCH("목록외",스프레드쇼크!$A$12:$A$16,0)),IFERROR(MATCH(AG104,스프레드쇼크!$B$11:$L$11,0),MATCH("목록외",스프레드쇼크!$B$11:$L$11,0))),1))</f>
        <v>1</v>
      </c>
      <c r="AY104" s="90" t="n">
        <f aca="false">IF(스프레드쇼크!$C$5="Y",IF(ISNUMBER(AF104),MIN(스프레드쇼크!$C$7,MAX(스프레드쇼크!$C$6,AF104/스프레드쇼크!$C$8)),1),1)</f>
        <v>1.3144416008932</v>
      </c>
      <c r="AZ104" s="94" t="n">
        <f aca="false">AN104*AX104*AY104</f>
        <v>861.914413113938</v>
      </c>
      <c r="BA104" s="90" t="n">
        <f aca="false">IF(ISNUMBER(G104),AA104*G104,0)</f>
        <v>5.5540286088</v>
      </c>
      <c r="BB104" s="90" t="n">
        <f aca="false">IF(ISNUMBER(G104),AA104,0)</f>
        <v>0.915781</v>
      </c>
      <c r="BC104" s="90" t="n">
        <f aca="false">IF(AND(Y104=0,ISNUMBER(AF104)),AA104*AF104,0)</f>
        <v>79.584116243</v>
      </c>
      <c r="BD104" s="90" t="n">
        <f aca="false">IF(AND(Y104=0,ISNUMBER(AF104)),AA104,0)</f>
        <v>0.915781</v>
      </c>
      <c r="BE104" s="90" t="n">
        <f aca="false">IF(ISNUMBER(H104),AA104*H104,0)</f>
        <v>6.5572666943</v>
      </c>
      <c r="BF104" s="90" t="n">
        <f aca="false">IF(ISNUMBER(H104),AA104,0)</f>
        <v>0.915781</v>
      </c>
      <c r="BG104" s="90" t="n">
        <f aca="false">IF(AND(Y104=0,ISNUMBER(AF104),ISNUMBER(Z104)),AA104*Z104,0)</f>
        <v>6.5572666943</v>
      </c>
      <c r="BH104" s="90" t="n">
        <f aca="false">IF(AND(Y104=0,ISNUMBER(AF104),ISNUMBER(Z104)),AA104*AT104*MAX(Z104-1,0),0)</f>
        <v>16.9571570296468</v>
      </c>
      <c r="BI104" s="90" t="n">
        <f aca="false">IF(Y104=0,AA104,0)</f>
        <v>0.915781</v>
      </c>
    </row>
    <row r="105" customFormat="false" ht="15" hidden="false" customHeight="false" outlineLevel="0" collapsed="false">
      <c r="A105" s="83" t="str">
        <f aca="false">IFERROR(IF(INDEX(원자료_잔고!$A$1:$EZ$1500,설정!$L$5+ROW()-1,설정!$L$8)&amp;""="0","",INDEX(원자료_잔고!$A$1:$EZ$1500,설정!$L$5+ROW()-1,설정!$L$8)&amp;""),"")</f>
        <v>KORELE 7.95 04/01/2096</v>
      </c>
      <c r="B105" s="83" t="str">
        <f aca="false">IFERROR(IF(INDEX(원자료_잔고!$A$1:$EZ$1500,설정!$L$5+ROW()-1,설정!$L$7)&amp;""="0","",INDEX(원자료_잔고!$A$1:$EZ$1500,설정!$L$5+ROW()-1,설정!$L$7)&amp;""),"")</f>
        <v>US500631AE67</v>
      </c>
      <c r="C105" s="83" t="str">
        <f aca="false">IFERROR(IF(INDEX(원자료_잔고!$A$1:$EZ$1500,설정!$L$5+ROW()-1,설정!$L$9)&amp;""="0","",INDEX(원자료_잔고!$A$1:$EZ$1500,설정!$L$5+ROW()-1,설정!$L$9)&amp;""),"")</f>
        <v>34507</v>
      </c>
      <c r="D10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5" s="84" t="n">
        <f aca="false">IFERROR(IF(ISNUMBER(INDEX(원자료_잔고!$A$1:$EZ$1500,설정!$L$5+ROW()-1,설정!$L$11)),INDEX(원자료_잔고!$A$1:$EZ$1500,설정!$L$5+ROW()-1,설정!$L$11),""),"")</f>
        <v>260000</v>
      </c>
      <c r="F105" s="85" t="n">
        <f aca="false">IFERROR(IF(ISNUMBER(INDEX(원자료_잔고!$A$1:$EZ$1500,설정!$L$5+ROW()-1,설정!$L$12)),INDEX(원자료_잔고!$A$1:$EZ$1500,설정!$L$5+ROW()-1,설정!$L$12),""),"")</f>
        <v>128.0992</v>
      </c>
      <c r="G105" s="85" t="n">
        <f aca="false">IFERROR(IF(ISNUMBER(INDEX(원자료_잔고!$A$1:$EZ$1500,설정!$L$5+ROW()-1,설정!$L$13)),INDEX(원자료_잔고!$A$1:$EZ$1500,설정!$L$5+ROW()-1,설정!$L$13),""),"")</f>
        <v>6.1861</v>
      </c>
      <c r="H105" s="85" t="n">
        <f aca="false">IFERROR(IF(ISNUMBER(INDEX(원자료_잔고!$A$1:$EZ$1500,설정!$L$5+ROW()-1,설정!$L$14)),INDEX(원자료_잔고!$A$1:$EZ$1500,설정!$L$5+ROW()-1,설정!$L$14),""),"")</f>
        <v>14.8434</v>
      </c>
      <c r="I105" s="86" t="n">
        <f aca="false">IFERROR(IF(ISNUMBER(INDEX(원자료_잔고!$A$1:$EZ$1500,설정!$L$5+ROW()-1,설정!$L$15)),INDEX(원자료_잔고!$A$1:$EZ$1500,설정!$L$5+ROW()-1,설정!$L$15),""),"")</f>
        <v>71681</v>
      </c>
      <c r="J105" s="85" t="n">
        <f aca="false">IFERROR(IF(ISNUMBER(INDEX(원자료_잔고!$A$1:$EZ$1500,설정!$L$5+ROW()-1,설정!$L$16)),INDEX(원자료_잔고!$A$1:$EZ$1500,설정!$L$5+ROW()-1,설정!$L$16),""),"")</f>
        <v>7.95</v>
      </c>
      <c r="K105" s="87" t="n">
        <f aca="false">IFERROR(IF(ISNUMBER(INDEX(원자료_잔고!$A$1:$EZ$1500,설정!$L$5+ROW()-1,설정!$L$17)),INDEX(원자료_잔고!$A$1:$EZ$1500,설정!$L$5+ROW()-1,설정!$L$17),""),"")</f>
        <v>1</v>
      </c>
      <c r="L105" s="84" t="n">
        <f aca="false">IFERROR(IF(ISNUMBER(INDEX(원자료_잔고!$A$1:$EZ$1500,설정!$L$5+ROW()-1,설정!$L$18)),INDEX(원자료_잔고!$A$1:$EZ$1500,설정!$L$5+ROW()-1,설정!$L$18),""),"")</f>
        <v>333057.92</v>
      </c>
      <c r="M105" s="88" t="n">
        <f aca="false">IFERROR(IF(ISNUMBER(INDEX(원자료_잔고!$A$1:$EZ$1500,설정!$L$5+ROW()-1,설정!$L$19)),INDEX(원자료_잔고!$A$1:$EZ$1500,설정!$L$5+ROW()-1,설정!$L$19),""),"")</f>
        <v>-45399.9</v>
      </c>
      <c r="N105" s="83" t="str">
        <f aca="false">IFERROR(IF(INDEX(원자료_잔고!$A$1:$EZ$1500,설정!$L$5+ROW()-1,설정!$L$21)&amp;""="0","",INDEX(원자료_잔고!$A$1:$EZ$1500,설정!$L$5+ROW()-1,설정!$L$21)&amp;""),"")</f>
        <v>AA</v>
      </c>
      <c r="O105" s="83" t="str">
        <f aca="false">IFERROR(IF(INDEX(원자료_잔고!$A$1:$EZ$1500,설정!$L$5+ROW()-1,설정!$L$22)&amp;""="0","",INDEX(원자료_잔고!$A$1:$EZ$1500,설정!$L$5+ROW()-1,설정!$L$22)&amp;""),"")</f>
        <v/>
      </c>
      <c r="P105" s="83" t="str">
        <f aca="false">IFERROR(IF(INDEX(원자료_잔고!$A$1:$EZ$1500,설정!$L$5+ROW()-1,설정!$L$23)&amp;""="0","",INDEX(원자료_잔고!$A$1:$EZ$1500,설정!$L$5+ROW()-1,설정!$L$23)&amp;""),"")</f>
        <v>AA-</v>
      </c>
      <c r="Q105" s="89" t="n">
        <f aca="false">IF(AND($A105&lt;&gt;"",ISNUMBER(E105)),IF(E105&gt;0,1,0),0)</f>
        <v>1</v>
      </c>
      <c r="R105" s="43" t="str">
        <f aca="false">IF(Q105=1,UPPER(LEFT($A105,FIND(" ",$A105&amp;" ")-1)),"")</f>
        <v>KORELE</v>
      </c>
      <c r="S105" s="89" t="n">
        <f aca="false">IF(Q105=1,IF(OR(ISNUMBER(SEARCH("Float",$A105)),ISNUMBER(SEARCH("FRN",$A105))),1,0),0)</f>
        <v>0</v>
      </c>
      <c r="T105" s="43" t="str">
        <f aca="false">IF(AND(Q105=1,ISNUMBER(I105)),TEXT(I105,"yyyymmdd")&amp;"|"&amp;IF(S105=1,"F",TEXT(J105,"0.000")),"")</f>
        <v>20960401|7.950</v>
      </c>
      <c r="U105" s="90" t="n">
        <f aca="false">IF(AND(Q105=1,ISNUMBER(I105)),(I105-설정!$C$4)/365.25,"")</f>
        <v>69.5003422313484</v>
      </c>
      <c r="V105" s="43" t="str">
        <f aca="false">IF(Q105&lt;&gt;1,"",IF(ISNUMBER(U105),IF(U105&lt;=1,"1년 이하",IF(U105&lt;=2,"1-2년",IF(U105&lt;=3,"2-3년",IF(U105&lt;=4,"3-4년",IF(U105&lt;=5,"4-5년",IF(U105&lt;=7,"5-7년",IF(U105&lt;=10,"7-10년",IF(U105&lt;=20,"10-20년","20년 이상")))))))),"미분류"))</f>
        <v>20년 이상</v>
      </c>
      <c r="W105" s="43" t="str">
        <f aca="false">IF(Q105&lt;&gt;1,"",IF(AB105&lt;&gt;"",INDEX(시장분석!$C:$C,AB105),IF(K105=1,"USD","비USD")))</f>
        <v>USD</v>
      </c>
      <c r="X105" s="91" t="n">
        <f aca="false">IF(Q105=1,E105*K105/1000000,0)</f>
        <v>0.26</v>
      </c>
      <c r="Y105" s="89" t="n">
        <f aca="false">IF(R105="T",1,0)</f>
        <v>0</v>
      </c>
      <c r="Z105" s="92" t="n">
        <f aca="false">IF(Q105&lt;&gt;1,"",IF(AD105=1,IF(ISNUMBER(U105),MAX(U105,0),H105),H105))</f>
        <v>14.8434</v>
      </c>
      <c r="AA105" s="91" t="n">
        <f aca="false">IF(Q105=1,IF(ISNUMBER(L105),L105,0)*K105/1000000,0)</f>
        <v>0.33305792</v>
      </c>
      <c r="AB105" s="89" t="n">
        <f aca="false">IF(Q105&lt;&gt;1,"",IFERROR(MATCH(VLOOKUP(B105,매핑!$H$4:$I$15,2,0),시장분석!$A$2:$A$601,0)+1,IFERROR(MATCH(R105&amp;"|"&amp;T105,시장분석!$V$2:$V$601,0)+1,IF(COUNTIF(시장분석!$U$2:$U$601,T105)=1,MATCH(T105,시장분석!$U$2:$U$601,0)+1,""))))</f>
        <v>91</v>
      </c>
      <c r="AC105" s="89" t="n">
        <f aca="false">IF(Q105&lt;&gt;1,0,IF(OR(설정!$C$5="전체",AND(설정!$C$5="선택펀드",IFERROR(COUNTIFS(설정!$F$16:$F$36,C105,설정!$G$16:$G$36,"Y")+COUNTIFS(설정!$F$16:$F$36,VALUE(C105),설정!$G$16:$G$36,"Y"),0)&gt;0),C105&amp;""=설정!$C$5&amp;""),1,0))</f>
        <v>1</v>
      </c>
      <c r="AD105" s="89" t="n">
        <f aca="false">IF(Q105&lt;&gt;1,0,IF(OR(S105=1,IF(AB105="",FALSE(),INDEX(시장분석!$R:$R,AB105)=1)),1,0))</f>
        <v>0</v>
      </c>
      <c r="AE105" s="43" t="str">
        <f aca="false">IF(AB105="","",INDEX(시장분석!$A:$A,AB105))</f>
        <v>KORELE 7.95 04/01/2096</v>
      </c>
      <c r="AF105" s="93" t="n">
        <f aca="false">IF(AB105="","",IF(ISNUMBER(IF(AB105="","",INDEX(시장분석!$E:$E,AB105))),IF(AB105="","",INDEX(시장분석!$E:$E,AB105)),""))</f>
        <v>64.761</v>
      </c>
      <c r="AG105" s="43" t="str">
        <f aca="false">IF(Q105&lt;&gt;1,"",IF(AB105&lt;&gt;"",IF(AB105="","",INDEX(시장분석!$L:$L,AB105)),IFERROR(IF(VLOOKUP(R105,매핑!$A$4:$E$92,5,0)="","미분류",VLOOKUP(R105,매핑!$A$4:$E$92,5,0)),"미분류")))</f>
        <v>정부</v>
      </c>
      <c r="AH105" s="43" t="str">
        <f aca="false">IF(Q105&lt;&gt;1,"",IF(AB105&lt;&gt;"",IF(AB105="","",INDEX(시장분석!$N:$N,AB105)),IFERROR(IF(VLOOKUP(R105,매핑!$A$4:$E$92,4,0)="","미분류",VLOOKUP(R105,매핑!$A$4:$E$92,4,0)),"미분류")))</f>
        <v>아시아/기타</v>
      </c>
      <c r="AI105" s="43" t="str">
        <f aca="false">IF(Q105&lt;&gt;1,"",IFERROR(IF(VLOOKUP(R105,매핑!$A$4:$E$92,3,0)="","미분류",VLOOKUP(R105,매핑!$A$4:$E$92,3,0)),IF(AB105&lt;&gt;"",IF(AB105="","",INDEX(시장분석!$W:$W,AB105)),"미분류")))</f>
        <v>한국</v>
      </c>
      <c r="AJ105" s="43" t="str">
        <f aca="false">IF(Q105&lt;&gt;1,"",IFERROR(VLOOKUP(IF(N105&lt;&gt;"",N105,IF(P105&lt;&gt;"",P105,O105)),설정!$A$15:$D$47,2,0),""))</f>
        <v>AA</v>
      </c>
      <c r="AK105" s="43" t="str">
        <f aca="false">IF(Q105&lt;&gt;1,"",IF(AJ105="","무등급",IFERROR(VLOOKUP(AJ105,설정!$A$15:$D$47,3,0),"무등급")))</f>
        <v>AA이상</v>
      </c>
      <c r="AL105" s="89" t="n">
        <f aca="false">IF(AJ105="",99,IFERROR(VLOOKUP(AJ105,설정!$A$15:$D$47,4,0),99))</f>
        <v>3</v>
      </c>
      <c r="AM105" s="94" t="n">
        <f aca="false">IF(ISNUMBER(H105),AA105*1000000*H105/10000,0)</f>
        <v>494.3711929728</v>
      </c>
      <c r="AN105" s="94" t="n">
        <f aca="false">IF(OR(Y105=1,NOT(ISNUMBER(Z105))),0,AA105*1000000*Z105/10000)</f>
        <v>494.3711929728</v>
      </c>
      <c r="AO105" s="94" t="n">
        <f aca="false">IF(ISNUMBER(G105),AA105*1000000*G105/100,0)</f>
        <v>20603.29598912</v>
      </c>
      <c r="AP105" s="94" t="n">
        <f aca="false">IF(ISNUMBER(M105),M105*K105,0)</f>
        <v>-45399.9</v>
      </c>
      <c r="AQ105" s="95" t="n">
        <f aca="false">IF(AB105="","",INDEX(시장분석!$AK:$AK,AB105))</f>
        <v>0.815519001543223</v>
      </c>
      <c r="AR105" s="43" t="str">
        <f aca="false">IF(AB105="","-",IF(AB105="","",INDEX(시장분석!$AL:$AL,AB105)))</f>
        <v>Fair</v>
      </c>
      <c r="AS105" s="96" t="n">
        <f aca="false">IF(AB105="","",INDEX(시장분석!$AJ:$AJ,AB105))</f>
        <v>11.1669213541093</v>
      </c>
      <c r="AT105" s="93" t="n">
        <f aca="false">IF(AB105="",0,IF(AB105="","",INDEX(시장분석!$AN:$AN,AB105)))</f>
        <v>1.27834008818303</v>
      </c>
      <c r="AU105" s="94" t="n">
        <f aca="false">IF(ISNUMBER(Z105),AT105/10000*MAX(Z105-1,0)*AA105*1000000,0)</f>
        <v>589.398385337714</v>
      </c>
      <c r="AV105" s="94" t="n">
        <f aca="false">AO105+AU105</f>
        <v>21192.6943744577</v>
      </c>
      <c r="AW105" s="43" t="str">
        <f aca="false">IF(Q105&lt;&gt;1,"",TRIM(IF(AD105=1,"FRN ","")&amp;IF(AND(AL105&gt;=10,AL105&lt;99),"BBB0미만 ","")&amp;IF(AJ105="","등급없음 ","")&amp;IF(K105&lt;&gt;1,"비USD ","")&amp;IF(AND(AB105="",Y105=0),"시장데이터없음 ","")&amp;IF(AND(ISNUMBER(U105),U105&lt;0),"만기경과 ","")))</f>
        <v/>
      </c>
      <c r="AX105" s="90" t="n">
        <f aca="false">IF(Q105&lt;&gt;1,1,IF(스프레드쇼크!$C$4="Y",INDEX(스프레드쇼크!$B$12:$L$16,IFERROR(MATCH(AH105,스프레드쇼크!$A$12:$A$16,0),MATCH("목록외",스프레드쇼크!$A$12:$A$16,0)),IFERROR(MATCH(AG105,스프레드쇼크!$B$11:$L$11,0),MATCH("목록외",스프레드쇼크!$B$11:$L$11,0))),1))</f>
        <v>1</v>
      </c>
      <c r="AY105" s="90" t="n">
        <f aca="false">IF(스프레드쇼크!$C$5="Y",IF(ISNUMBER(AF105),MIN(스프레드쇼크!$C$7,MAX(스프레드쇼크!$C$6,AF105/스프레드쇼크!$C$8)),1),1)</f>
        <v>0.97953525787884</v>
      </c>
      <c r="AZ105" s="94" t="n">
        <f aca="false">AN105*AX105*AY105</f>
        <v>484.254013996481</v>
      </c>
      <c r="BA105" s="90" t="n">
        <f aca="false">IF(ISNUMBER(G105),AA105*G105,0)</f>
        <v>2.060329598912</v>
      </c>
      <c r="BB105" s="90" t="n">
        <f aca="false">IF(ISNUMBER(G105),AA105,0)</f>
        <v>0.33305792</v>
      </c>
      <c r="BC105" s="90" t="n">
        <f aca="false">IF(AND(Y105=0,ISNUMBER(AF105)),AA105*AF105,0)</f>
        <v>21.56916395712</v>
      </c>
      <c r="BD105" s="90" t="n">
        <f aca="false">IF(AND(Y105=0,ISNUMBER(AF105)),AA105,0)</f>
        <v>0.33305792</v>
      </c>
      <c r="BE105" s="90" t="n">
        <f aca="false">IF(ISNUMBER(H105),AA105*H105,0)</f>
        <v>4.943711929728</v>
      </c>
      <c r="BF105" s="90" t="n">
        <f aca="false">IF(ISNUMBER(H105),AA105,0)</f>
        <v>0.33305792</v>
      </c>
      <c r="BG105" s="90" t="n">
        <f aca="false">IF(AND(Y105=0,ISNUMBER(AF105),ISNUMBER(Z105)),AA105*Z105,0)</f>
        <v>4.943711929728</v>
      </c>
      <c r="BH105" s="90" t="n">
        <f aca="false">IF(AND(Y105=0,ISNUMBER(AF105),ISNUMBER(Z105)),AA105*AT105*MAX(Z105-1,0),0)</f>
        <v>5.89398385337714</v>
      </c>
      <c r="BI105" s="90" t="n">
        <f aca="false">IF(Y105=0,AA105,0)</f>
        <v>0.33305792</v>
      </c>
    </row>
    <row r="106" customFormat="false" ht="15" hidden="false" customHeight="false" outlineLevel="0" collapsed="false">
      <c r="A106" s="83" t="str">
        <f aca="false">IFERROR(IF(INDEX(원자료_잔고!$A$1:$EZ$1500,설정!$L$5+ROW()-1,설정!$L$8)&amp;""="0","",INDEX(원자료_잔고!$A$1:$EZ$1500,설정!$L$5+ROW()-1,설정!$L$8)&amp;""),"")</f>
        <v>KORELE 7.95 04/01/2096</v>
      </c>
      <c r="B106" s="83" t="str">
        <f aca="false">IFERROR(IF(INDEX(원자료_잔고!$A$1:$EZ$1500,설정!$L$5+ROW()-1,설정!$L$7)&amp;""="0","",INDEX(원자료_잔고!$A$1:$EZ$1500,설정!$L$5+ROW()-1,설정!$L$7)&amp;""),"")</f>
        <v>US500631AE67</v>
      </c>
      <c r="C106" s="83" t="str">
        <f aca="false">IFERROR(IF(INDEX(원자료_잔고!$A$1:$EZ$1500,설정!$L$5+ROW()-1,설정!$L$9)&amp;""="0","",INDEX(원자료_잔고!$A$1:$EZ$1500,설정!$L$5+ROW()-1,설정!$L$9)&amp;""),"")</f>
        <v>34507</v>
      </c>
      <c r="D10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6" s="84" t="n">
        <f aca="false">IFERROR(IF(ISNUMBER(INDEX(원자료_잔고!$A$1:$EZ$1500,설정!$L$5+ROW()-1,설정!$L$11)),INDEX(원자료_잔고!$A$1:$EZ$1500,설정!$L$5+ROW()-1,설정!$L$11),""),"")</f>
        <v>85000</v>
      </c>
      <c r="F106" s="85" t="n">
        <f aca="false">IFERROR(IF(ISNUMBER(INDEX(원자료_잔고!$A$1:$EZ$1500,설정!$L$5+ROW()-1,설정!$L$12)),INDEX(원자료_잔고!$A$1:$EZ$1500,설정!$L$5+ROW()-1,설정!$L$12),""),"")</f>
        <v>128.0992</v>
      </c>
      <c r="G106" s="85" t="n">
        <f aca="false">IFERROR(IF(ISNUMBER(INDEX(원자료_잔고!$A$1:$EZ$1500,설정!$L$5+ROW()-1,설정!$L$13)),INDEX(원자료_잔고!$A$1:$EZ$1500,설정!$L$5+ROW()-1,설정!$L$13),""),"")</f>
        <v>6.1861</v>
      </c>
      <c r="H106" s="85" t="n">
        <f aca="false">IFERROR(IF(ISNUMBER(INDEX(원자료_잔고!$A$1:$EZ$1500,설정!$L$5+ROW()-1,설정!$L$14)),INDEX(원자료_잔고!$A$1:$EZ$1500,설정!$L$5+ROW()-1,설정!$L$14),""),"")</f>
        <v>14.8434</v>
      </c>
      <c r="I106" s="86" t="n">
        <f aca="false">IFERROR(IF(ISNUMBER(INDEX(원자료_잔고!$A$1:$EZ$1500,설정!$L$5+ROW()-1,설정!$L$15)),INDEX(원자료_잔고!$A$1:$EZ$1500,설정!$L$5+ROW()-1,설정!$L$15),""),"")</f>
        <v>71681</v>
      </c>
      <c r="J106" s="85" t="n">
        <f aca="false">IFERROR(IF(ISNUMBER(INDEX(원자료_잔고!$A$1:$EZ$1500,설정!$L$5+ROW()-1,설정!$L$16)),INDEX(원자료_잔고!$A$1:$EZ$1500,설정!$L$5+ROW()-1,설정!$L$16),""),"")</f>
        <v>7.95</v>
      </c>
      <c r="K106" s="87" t="n">
        <f aca="false">IFERROR(IF(ISNUMBER(INDEX(원자료_잔고!$A$1:$EZ$1500,설정!$L$5+ROW()-1,설정!$L$17)),INDEX(원자료_잔고!$A$1:$EZ$1500,설정!$L$5+ROW()-1,설정!$L$17),""),"")</f>
        <v>1</v>
      </c>
      <c r="L106" s="84" t="n">
        <f aca="false">IFERROR(IF(ISNUMBER(INDEX(원자료_잔고!$A$1:$EZ$1500,설정!$L$5+ROW()-1,설정!$L$18)),INDEX(원자료_잔고!$A$1:$EZ$1500,설정!$L$5+ROW()-1,설정!$L$18),""),"")</f>
        <v>108884.32</v>
      </c>
      <c r="M106" s="88" t="n">
        <f aca="false">IFERROR(IF(ISNUMBER(INDEX(원자료_잔고!$A$1:$EZ$1500,설정!$L$5+ROW()-1,설정!$L$19)),INDEX(원자료_잔고!$A$1:$EZ$1500,설정!$L$5+ROW()-1,설정!$L$19),""),"")</f>
        <v>-14842.28</v>
      </c>
      <c r="N106" s="83" t="str">
        <f aca="false">IFERROR(IF(INDEX(원자료_잔고!$A$1:$EZ$1500,설정!$L$5+ROW()-1,설정!$L$21)&amp;""="0","",INDEX(원자료_잔고!$A$1:$EZ$1500,설정!$L$5+ROW()-1,설정!$L$21)&amp;""),"")</f>
        <v>AA</v>
      </c>
      <c r="O106" s="83" t="str">
        <f aca="false">IFERROR(IF(INDEX(원자료_잔고!$A$1:$EZ$1500,설정!$L$5+ROW()-1,설정!$L$22)&amp;""="0","",INDEX(원자료_잔고!$A$1:$EZ$1500,설정!$L$5+ROW()-1,설정!$L$22)&amp;""),"")</f>
        <v/>
      </c>
      <c r="P106" s="83" t="str">
        <f aca="false">IFERROR(IF(INDEX(원자료_잔고!$A$1:$EZ$1500,설정!$L$5+ROW()-1,설정!$L$23)&amp;""="0","",INDEX(원자료_잔고!$A$1:$EZ$1500,설정!$L$5+ROW()-1,설정!$L$23)&amp;""),"")</f>
        <v>AA-</v>
      </c>
      <c r="Q106" s="89" t="n">
        <f aca="false">IF(AND($A106&lt;&gt;"",ISNUMBER(E106)),IF(E106&gt;0,1,0),0)</f>
        <v>1</v>
      </c>
      <c r="R106" s="43" t="str">
        <f aca="false">IF(Q106=1,UPPER(LEFT($A106,FIND(" ",$A106&amp;" ")-1)),"")</f>
        <v>KORELE</v>
      </c>
      <c r="S106" s="89" t="n">
        <f aca="false">IF(Q106=1,IF(OR(ISNUMBER(SEARCH("Float",$A106)),ISNUMBER(SEARCH("FRN",$A106))),1,0),0)</f>
        <v>0</v>
      </c>
      <c r="T106" s="43" t="str">
        <f aca="false">IF(AND(Q106=1,ISNUMBER(I106)),TEXT(I106,"yyyymmdd")&amp;"|"&amp;IF(S106=1,"F",TEXT(J106,"0.000")),"")</f>
        <v>20960401|7.950</v>
      </c>
      <c r="U106" s="90" t="n">
        <f aca="false">IF(AND(Q106=1,ISNUMBER(I106)),(I106-설정!$C$4)/365.25,"")</f>
        <v>69.5003422313484</v>
      </c>
      <c r="V106" s="43" t="str">
        <f aca="false">IF(Q106&lt;&gt;1,"",IF(ISNUMBER(U106),IF(U106&lt;=1,"1년 이하",IF(U106&lt;=2,"1-2년",IF(U106&lt;=3,"2-3년",IF(U106&lt;=4,"3-4년",IF(U106&lt;=5,"4-5년",IF(U106&lt;=7,"5-7년",IF(U106&lt;=10,"7-10년",IF(U106&lt;=20,"10-20년","20년 이상")))))))),"미분류"))</f>
        <v>20년 이상</v>
      </c>
      <c r="W106" s="43" t="str">
        <f aca="false">IF(Q106&lt;&gt;1,"",IF(AB106&lt;&gt;"",INDEX(시장분석!$C:$C,AB106),IF(K106=1,"USD","비USD")))</f>
        <v>USD</v>
      </c>
      <c r="X106" s="91" t="n">
        <f aca="false">IF(Q106=1,E106*K106/1000000,0)</f>
        <v>0.085</v>
      </c>
      <c r="Y106" s="89" t="n">
        <f aca="false">IF(R106="T",1,0)</f>
        <v>0</v>
      </c>
      <c r="Z106" s="92" t="n">
        <f aca="false">IF(Q106&lt;&gt;1,"",IF(AD106=1,IF(ISNUMBER(U106),MAX(U106,0),H106),H106))</f>
        <v>14.8434</v>
      </c>
      <c r="AA106" s="91" t="n">
        <f aca="false">IF(Q106=1,IF(ISNUMBER(L106),L106,0)*K106/1000000,0)</f>
        <v>0.10888432</v>
      </c>
      <c r="AB106" s="89" t="n">
        <f aca="false">IF(Q106&lt;&gt;1,"",IFERROR(MATCH(VLOOKUP(B106,매핑!$H$4:$I$15,2,0),시장분석!$A$2:$A$601,0)+1,IFERROR(MATCH(R106&amp;"|"&amp;T106,시장분석!$V$2:$V$601,0)+1,IF(COUNTIF(시장분석!$U$2:$U$601,T106)=1,MATCH(T106,시장분석!$U$2:$U$601,0)+1,""))))</f>
        <v>91</v>
      </c>
      <c r="AC106" s="89" t="n">
        <f aca="false">IF(Q106&lt;&gt;1,0,IF(OR(설정!$C$5="전체",AND(설정!$C$5="선택펀드",IFERROR(COUNTIFS(설정!$F$16:$F$36,C106,설정!$G$16:$G$36,"Y")+COUNTIFS(설정!$F$16:$F$36,VALUE(C106),설정!$G$16:$G$36,"Y"),0)&gt;0),C106&amp;""=설정!$C$5&amp;""),1,0))</f>
        <v>1</v>
      </c>
      <c r="AD106" s="89" t="n">
        <f aca="false">IF(Q106&lt;&gt;1,0,IF(OR(S106=1,IF(AB106="",FALSE(),INDEX(시장분석!$R:$R,AB106)=1)),1,0))</f>
        <v>0</v>
      </c>
      <c r="AE106" s="43" t="str">
        <f aca="false">IF(AB106="","",INDEX(시장분석!$A:$A,AB106))</f>
        <v>KORELE 7.95 04/01/2096</v>
      </c>
      <c r="AF106" s="93" t="n">
        <f aca="false">IF(AB106="","",IF(ISNUMBER(IF(AB106="","",INDEX(시장분석!$E:$E,AB106))),IF(AB106="","",INDEX(시장분석!$E:$E,AB106)),""))</f>
        <v>64.761</v>
      </c>
      <c r="AG106" s="43" t="str">
        <f aca="false">IF(Q106&lt;&gt;1,"",IF(AB106&lt;&gt;"",IF(AB106="","",INDEX(시장분석!$L:$L,AB106)),IFERROR(IF(VLOOKUP(R106,매핑!$A$4:$E$92,5,0)="","미분류",VLOOKUP(R106,매핑!$A$4:$E$92,5,0)),"미분류")))</f>
        <v>정부</v>
      </c>
      <c r="AH106" s="43" t="str">
        <f aca="false">IF(Q106&lt;&gt;1,"",IF(AB106&lt;&gt;"",IF(AB106="","",INDEX(시장분석!$N:$N,AB106)),IFERROR(IF(VLOOKUP(R106,매핑!$A$4:$E$92,4,0)="","미분류",VLOOKUP(R106,매핑!$A$4:$E$92,4,0)),"미분류")))</f>
        <v>아시아/기타</v>
      </c>
      <c r="AI106" s="43" t="str">
        <f aca="false">IF(Q106&lt;&gt;1,"",IFERROR(IF(VLOOKUP(R106,매핑!$A$4:$E$92,3,0)="","미분류",VLOOKUP(R106,매핑!$A$4:$E$92,3,0)),IF(AB106&lt;&gt;"",IF(AB106="","",INDEX(시장분석!$W:$W,AB106)),"미분류")))</f>
        <v>한국</v>
      </c>
      <c r="AJ106" s="43" t="str">
        <f aca="false">IF(Q106&lt;&gt;1,"",IFERROR(VLOOKUP(IF(N106&lt;&gt;"",N106,IF(P106&lt;&gt;"",P106,O106)),설정!$A$15:$D$47,2,0),""))</f>
        <v>AA</v>
      </c>
      <c r="AK106" s="43" t="str">
        <f aca="false">IF(Q106&lt;&gt;1,"",IF(AJ106="","무등급",IFERROR(VLOOKUP(AJ106,설정!$A$15:$D$47,3,0),"무등급")))</f>
        <v>AA이상</v>
      </c>
      <c r="AL106" s="89" t="n">
        <f aca="false">IF(AJ106="",99,IFERROR(VLOOKUP(AJ106,설정!$A$15:$D$47,4,0),99))</f>
        <v>3</v>
      </c>
      <c r="AM106" s="94" t="n">
        <f aca="false">IF(ISNUMBER(H106),AA106*1000000*H106/10000,0)</f>
        <v>161.6213515488</v>
      </c>
      <c r="AN106" s="94" t="n">
        <f aca="false">IF(OR(Y106=1,NOT(ISNUMBER(Z106))),0,AA106*1000000*Z106/10000)</f>
        <v>161.6213515488</v>
      </c>
      <c r="AO106" s="94" t="n">
        <f aca="false">IF(ISNUMBER(G106),AA106*1000000*G106/100,0)</f>
        <v>6735.69291952</v>
      </c>
      <c r="AP106" s="94" t="n">
        <f aca="false">IF(ISNUMBER(M106),M106*K106,0)</f>
        <v>-14842.28</v>
      </c>
      <c r="AQ106" s="95" t="n">
        <f aca="false">IF(AB106="","",INDEX(시장분석!$AK:$AK,AB106))</f>
        <v>0.815519001543223</v>
      </c>
      <c r="AR106" s="43" t="str">
        <f aca="false">IF(AB106="","-",IF(AB106="","",INDEX(시장분석!$AL:$AL,AB106)))</f>
        <v>Fair</v>
      </c>
      <c r="AS106" s="96" t="n">
        <f aca="false">IF(AB106="","",INDEX(시장분석!$AJ:$AJ,AB106))</f>
        <v>11.1669213541093</v>
      </c>
      <c r="AT106" s="93" t="n">
        <f aca="false">IF(AB106="",0,IF(AB106="","",INDEX(시장분석!$AN:$AN,AB106)))</f>
        <v>1.27834008818303</v>
      </c>
      <c r="AU106" s="94" t="n">
        <f aca="false">IF(ISNUMBER(Z106),AT106/10000*MAX(Z106-1,0)*AA106*1000000,0)</f>
        <v>192.687933668099</v>
      </c>
      <c r="AV106" s="94" t="n">
        <f aca="false">AO106+AU106</f>
        <v>6928.3808531881</v>
      </c>
      <c r="AW106" s="43" t="str">
        <f aca="false">IF(Q106&lt;&gt;1,"",TRIM(IF(AD106=1,"FRN ","")&amp;IF(AND(AL106&gt;=10,AL106&lt;99),"BBB0미만 ","")&amp;IF(AJ106="","등급없음 ","")&amp;IF(K106&lt;&gt;1,"비USD ","")&amp;IF(AND(AB106="",Y106=0),"시장데이터없음 ","")&amp;IF(AND(ISNUMBER(U106),U106&lt;0),"만기경과 ","")))</f>
        <v/>
      </c>
      <c r="AX106" s="90" t="n">
        <f aca="false">IF(Q106&lt;&gt;1,1,IF(스프레드쇼크!$C$4="Y",INDEX(스프레드쇼크!$B$12:$L$16,IFERROR(MATCH(AH106,스프레드쇼크!$A$12:$A$16,0),MATCH("목록외",스프레드쇼크!$A$12:$A$16,0)),IFERROR(MATCH(AG106,스프레드쇼크!$B$11:$L$11,0),MATCH("목록외",스프레드쇼크!$B$11:$L$11,0))),1))</f>
        <v>1</v>
      </c>
      <c r="AY106" s="90" t="n">
        <f aca="false">IF(스프레드쇼크!$C$5="Y",IF(ISNUMBER(AF106),MIN(스프레드쇼크!$C$7,MAX(스프레드쇼크!$C$6,AF106/스프레드쇼크!$C$8)),1),1)</f>
        <v>0.97953525787884</v>
      </c>
      <c r="AZ106" s="94" t="n">
        <f aca="false">AN106*AX106*AY106</f>
        <v>158.31381226808</v>
      </c>
      <c r="BA106" s="90" t="n">
        <f aca="false">IF(ISNUMBER(G106),AA106*G106,0)</f>
        <v>0.673569291952</v>
      </c>
      <c r="BB106" s="90" t="n">
        <f aca="false">IF(ISNUMBER(G106),AA106,0)</f>
        <v>0.10888432</v>
      </c>
      <c r="BC106" s="90" t="n">
        <f aca="false">IF(AND(Y106=0,ISNUMBER(AF106)),AA106*AF106,0)</f>
        <v>7.05145744752</v>
      </c>
      <c r="BD106" s="90" t="n">
        <f aca="false">IF(AND(Y106=0,ISNUMBER(AF106)),AA106,0)</f>
        <v>0.10888432</v>
      </c>
      <c r="BE106" s="90" t="n">
        <f aca="false">IF(ISNUMBER(H106),AA106*H106,0)</f>
        <v>1.616213515488</v>
      </c>
      <c r="BF106" s="90" t="n">
        <f aca="false">IF(ISNUMBER(H106),AA106,0)</f>
        <v>0.10888432</v>
      </c>
      <c r="BG106" s="90" t="n">
        <f aca="false">IF(AND(Y106=0,ISNUMBER(AF106),ISNUMBER(Z106)),AA106*Z106,0)</f>
        <v>1.616213515488</v>
      </c>
      <c r="BH106" s="90" t="n">
        <f aca="false">IF(AND(Y106=0,ISNUMBER(AF106),ISNUMBER(Z106)),AA106*AT106*MAX(Z106-1,0),0)</f>
        <v>1.92687933668099</v>
      </c>
      <c r="BI106" s="90" t="n">
        <f aca="false">IF(Y106=0,AA106,0)</f>
        <v>0.10888432</v>
      </c>
    </row>
    <row r="107" customFormat="false" ht="15" hidden="false" customHeight="false" outlineLevel="0" collapsed="false">
      <c r="A107" s="83" t="str">
        <f aca="false">IFERROR(IF(INDEX(원자료_잔고!$A$1:$EZ$1500,설정!$L$5+ROW()-1,설정!$L$8)&amp;""="0","",INDEX(원자료_잔고!$A$1:$EZ$1500,설정!$L$5+ROW()-1,설정!$L$8)&amp;""),"")</f>
        <v>KORELE 7.95 04/01/2096</v>
      </c>
      <c r="B107" s="83" t="str">
        <f aca="false">IFERROR(IF(INDEX(원자료_잔고!$A$1:$EZ$1500,설정!$L$5+ROW()-1,설정!$L$7)&amp;""="0","",INDEX(원자료_잔고!$A$1:$EZ$1500,설정!$L$5+ROW()-1,설정!$L$7)&amp;""),"")</f>
        <v>US500631AE67</v>
      </c>
      <c r="C107" s="83" t="str">
        <f aca="false">IFERROR(IF(INDEX(원자료_잔고!$A$1:$EZ$1500,설정!$L$5+ROW()-1,설정!$L$9)&amp;""="0","",INDEX(원자료_잔고!$A$1:$EZ$1500,설정!$L$5+ROW()-1,설정!$L$9)&amp;""),"")</f>
        <v>34507</v>
      </c>
      <c r="D10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7" s="84" t="n">
        <f aca="false">IFERROR(IF(ISNUMBER(INDEX(원자료_잔고!$A$1:$EZ$1500,설정!$L$5+ROW()-1,설정!$L$11)),INDEX(원자료_잔고!$A$1:$EZ$1500,설정!$L$5+ROW()-1,설정!$L$11),""),"")</f>
        <v>2500000</v>
      </c>
      <c r="F107" s="85" t="n">
        <f aca="false">IFERROR(IF(ISNUMBER(INDEX(원자료_잔고!$A$1:$EZ$1500,설정!$L$5+ROW()-1,설정!$L$12)),INDEX(원자료_잔고!$A$1:$EZ$1500,설정!$L$5+ROW()-1,설정!$L$12),""),"")</f>
        <v>128.0992</v>
      </c>
      <c r="G107" s="85" t="n">
        <f aca="false">IFERROR(IF(ISNUMBER(INDEX(원자료_잔고!$A$1:$EZ$1500,설정!$L$5+ROW()-1,설정!$L$13)),INDEX(원자료_잔고!$A$1:$EZ$1500,설정!$L$5+ROW()-1,설정!$L$13),""),"")</f>
        <v>6.1861</v>
      </c>
      <c r="H107" s="85" t="n">
        <f aca="false">IFERROR(IF(ISNUMBER(INDEX(원자료_잔고!$A$1:$EZ$1500,설정!$L$5+ROW()-1,설정!$L$14)),INDEX(원자료_잔고!$A$1:$EZ$1500,설정!$L$5+ROW()-1,설정!$L$14),""),"")</f>
        <v>14.8434</v>
      </c>
      <c r="I107" s="86" t="n">
        <f aca="false">IFERROR(IF(ISNUMBER(INDEX(원자료_잔고!$A$1:$EZ$1500,설정!$L$5+ROW()-1,설정!$L$15)),INDEX(원자료_잔고!$A$1:$EZ$1500,설정!$L$5+ROW()-1,설정!$L$15),""),"")</f>
        <v>71681</v>
      </c>
      <c r="J107" s="85" t="n">
        <f aca="false">IFERROR(IF(ISNUMBER(INDEX(원자료_잔고!$A$1:$EZ$1500,설정!$L$5+ROW()-1,설정!$L$16)),INDEX(원자료_잔고!$A$1:$EZ$1500,설정!$L$5+ROW()-1,설정!$L$16),""),"")</f>
        <v>7.95</v>
      </c>
      <c r="K107" s="87" t="n">
        <f aca="false">IFERROR(IF(ISNUMBER(INDEX(원자료_잔고!$A$1:$EZ$1500,설정!$L$5+ROW()-1,설정!$L$17)),INDEX(원자료_잔고!$A$1:$EZ$1500,설정!$L$5+ROW()-1,설정!$L$17),""),"")</f>
        <v>1</v>
      </c>
      <c r="L107" s="84" t="n">
        <f aca="false">IFERROR(IF(ISNUMBER(INDEX(원자료_잔고!$A$1:$EZ$1500,설정!$L$5+ROW()-1,설정!$L$18)),INDEX(원자료_잔고!$A$1:$EZ$1500,설정!$L$5+ROW()-1,설정!$L$18),""),"")</f>
        <v>3202480</v>
      </c>
      <c r="M107" s="88" t="n">
        <f aca="false">IFERROR(IF(ISNUMBER(INDEX(원자료_잔고!$A$1:$EZ$1500,설정!$L$5+ROW()-1,설정!$L$19)),INDEX(원자료_잔고!$A$1:$EZ$1500,설정!$L$5+ROW()-1,설정!$L$19),""),"")</f>
        <v>-436537.5</v>
      </c>
      <c r="N107" s="83" t="str">
        <f aca="false">IFERROR(IF(INDEX(원자료_잔고!$A$1:$EZ$1500,설정!$L$5+ROW()-1,설정!$L$21)&amp;""="0","",INDEX(원자료_잔고!$A$1:$EZ$1500,설정!$L$5+ROW()-1,설정!$L$21)&amp;""),"")</f>
        <v>AA</v>
      </c>
      <c r="O107" s="83" t="str">
        <f aca="false">IFERROR(IF(INDEX(원자료_잔고!$A$1:$EZ$1500,설정!$L$5+ROW()-1,설정!$L$22)&amp;""="0","",INDEX(원자료_잔고!$A$1:$EZ$1500,설정!$L$5+ROW()-1,설정!$L$22)&amp;""),"")</f>
        <v/>
      </c>
      <c r="P107" s="83" t="str">
        <f aca="false">IFERROR(IF(INDEX(원자료_잔고!$A$1:$EZ$1500,설정!$L$5+ROW()-1,설정!$L$23)&amp;""="0","",INDEX(원자료_잔고!$A$1:$EZ$1500,설정!$L$5+ROW()-1,설정!$L$23)&amp;""),"")</f>
        <v>AA-</v>
      </c>
      <c r="Q107" s="89" t="n">
        <f aca="false">IF(AND($A107&lt;&gt;"",ISNUMBER(E107)),IF(E107&gt;0,1,0),0)</f>
        <v>1</v>
      </c>
      <c r="R107" s="43" t="str">
        <f aca="false">IF(Q107=1,UPPER(LEFT($A107,FIND(" ",$A107&amp;" ")-1)),"")</f>
        <v>KORELE</v>
      </c>
      <c r="S107" s="89" t="n">
        <f aca="false">IF(Q107=1,IF(OR(ISNUMBER(SEARCH("Float",$A107)),ISNUMBER(SEARCH("FRN",$A107))),1,0),0)</f>
        <v>0</v>
      </c>
      <c r="T107" s="43" t="str">
        <f aca="false">IF(AND(Q107=1,ISNUMBER(I107)),TEXT(I107,"yyyymmdd")&amp;"|"&amp;IF(S107=1,"F",TEXT(J107,"0.000")),"")</f>
        <v>20960401|7.950</v>
      </c>
      <c r="U107" s="90" t="n">
        <f aca="false">IF(AND(Q107=1,ISNUMBER(I107)),(I107-설정!$C$4)/365.25,"")</f>
        <v>69.5003422313484</v>
      </c>
      <c r="V107" s="43" t="str">
        <f aca="false">IF(Q107&lt;&gt;1,"",IF(ISNUMBER(U107),IF(U107&lt;=1,"1년 이하",IF(U107&lt;=2,"1-2년",IF(U107&lt;=3,"2-3년",IF(U107&lt;=4,"3-4년",IF(U107&lt;=5,"4-5년",IF(U107&lt;=7,"5-7년",IF(U107&lt;=10,"7-10년",IF(U107&lt;=20,"10-20년","20년 이상")))))))),"미분류"))</f>
        <v>20년 이상</v>
      </c>
      <c r="W107" s="43" t="str">
        <f aca="false">IF(Q107&lt;&gt;1,"",IF(AB107&lt;&gt;"",INDEX(시장분석!$C:$C,AB107),IF(K107=1,"USD","비USD")))</f>
        <v>USD</v>
      </c>
      <c r="X107" s="91" t="n">
        <f aca="false">IF(Q107=1,E107*K107/1000000,0)</f>
        <v>2.5</v>
      </c>
      <c r="Y107" s="89" t="n">
        <f aca="false">IF(R107="T",1,0)</f>
        <v>0</v>
      </c>
      <c r="Z107" s="92" t="n">
        <f aca="false">IF(Q107&lt;&gt;1,"",IF(AD107=1,IF(ISNUMBER(U107),MAX(U107,0),H107),H107))</f>
        <v>14.8434</v>
      </c>
      <c r="AA107" s="91" t="n">
        <f aca="false">IF(Q107=1,IF(ISNUMBER(L107),L107,0)*K107/1000000,0)</f>
        <v>3.20248</v>
      </c>
      <c r="AB107" s="89" t="n">
        <f aca="false">IF(Q107&lt;&gt;1,"",IFERROR(MATCH(VLOOKUP(B107,매핑!$H$4:$I$15,2,0),시장분석!$A$2:$A$601,0)+1,IFERROR(MATCH(R107&amp;"|"&amp;T107,시장분석!$V$2:$V$601,0)+1,IF(COUNTIF(시장분석!$U$2:$U$601,T107)=1,MATCH(T107,시장분석!$U$2:$U$601,0)+1,""))))</f>
        <v>91</v>
      </c>
      <c r="AC107" s="89" t="n">
        <f aca="false">IF(Q107&lt;&gt;1,0,IF(OR(설정!$C$5="전체",AND(설정!$C$5="선택펀드",IFERROR(COUNTIFS(설정!$F$16:$F$36,C107,설정!$G$16:$G$36,"Y")+COUNTIFS(설정!$F$16:$F$36,VALUE(C107),설정!$G$16:$G$36,"Y"),0)&gt;0),C107&amp;""=설정!$C$5&amp;""),1,0))</f>
        <v>1</v>
      </c>
      <c r="AD107" s="89" t="n">
        <f aca="false">IF(Q107&lt;&gt;1,0,IF(OR(S107=1,IF(AB107="",FALSE(),INDEX(시장분석!$R:$R,AB107)=1)),1,0))</f>
        <v>0</v>
      </c>
      <c r="AE107" s="43" t="str">
        <f aca="false">IF(AB107="","",INDEX(시장분석!$A:$A,AB107))</f>
        <v>KORELE 7.95 04/01/2096</v>
      </c>
      <c r="AF107" s="93" t="n">
        <f aca="false">IF(AB107="","",IF(ISNUMBER(IF(AB107="","",INDEX(시장분석!$E:$E,AB107))),IF(AB107="","",INDEX(시장분석!$E:$E,AB107)),""))</f>
        <v>64.761</v>
      </c>
      <c r="AG107" s="43" t="str">
        <f aca="false">IF(Q107&lt;&gt;1,"",IF(AB107&lt;&gt;"",IF(AB107="","",INDEX(시장분석!$L:$L,AB107)),IFERROR(IF(VLOOKUP(R107,매핑!$A$4:$E$92,5,0)="","미분류",VLOOKUP(R107,매핑!$A$4:$E$92,5,0)),"미분류")))</f>
        <v>정부</v>
      </c>
      <c r="AH107" s="43" t="str">
        <f aca="false">IF(Q107&lt;&gt;1,"",IF(AB107&lt;&gt;"",IF(AB107="","",INDEX(시장분석!$N:$N,AB107)),IFERROR(IF(VLOOKUP(R107,매핑!$A$4:$E$92,4,0)="","미분류",VLOOKUP(R107,매핑!$A$4:$E$92,4,0)),"미분류")))</f>
        <v>아시아/기타</v>
      </c>
      <c r="AI107" s="43" t="str">
        <f aca="false">IF(Q107&lt;&gt;1,"",IFERROR(IF(VLOOKUP(R107,매핑!$A$4:$E$92,3,0)="","미분류",VLOOKUP(R107,매핑!$A$4:$E$92,3,0)),IF(AB107&lt;&gt;"",IF(AB107="","",INDEX(시장분석!$W:$W,AB107)),"미분류")))</f>
        <v>한국</v>
      </c>
      <c r="AJ107" s="43" t="str">
        <f aca="false">IF(Q107&lt;&gt;1,"",IFERROR(VLOOKUP(IF(N107&lt;&gt;"",N107,IF(P107&lt;&gt;"",P107,O107)),설정!$A$15:$D$47,2,0),""))</f>
        <v>AA</v>
      </c>
      <c r="AK107" s="43" t="str">
        <f aca="false">IF(Q107&lt;&gt;1,"",IF(AJ107="","무등급",IFERROR(VLOOKUP(AJ107,설정!$A$15:$D$47,3,0),"무등급")))</f>
        <v>AA이상</v>
      </c>
      <c r="AL107" s="89" t="n">
        <f aca="false">IF(AJ107="",99,IFERROR(VLOOKUP(AJ107,설정!$A$15:$D$47,4,0),99))</f>
        <v>3</v>
      </c>
      <c r="AM107" s="94" t="n">
        <f aca="false">IF(ISNUMBER(H107),AA107*1000000*H107/10000,0)</f>
        <v>4753.5691632</v>
      </c>
      <c r="AN107" s="94" t="n">
        <f aca="false">IF(OR(Y107=1,NOT(ISNUMBER(Z107))),0,AA107*1000000*Z107/10000)</f>
        <v>4753.5691632</v>
      </c>
      <c r="AO107" s="94" t="n">
        <f aca="false">IF(ISNUMBER(G107),AA107*1000000*G107/100,0)</f>
        <v>198108.61528</v>
      </c>
      <c r="AP107" s="94" t="n">
        <f aca="false">IF(ISNUMBER(M107),M107*K107,0)</f>
        <v>-436537.5</v>
      </c>
      <c r="AQ107" s="95" t="n">
        <f aca="false">IF(AB107="","",INDEX(시장분석!$AK:$AK,AB107))</f>
        <v>0.815519001543223</v>
      </c>
      <c r="AR107" s="43" t="str">
        <f aca="false">IF(AB107="","-",IF(AB107="","",INDEX(시장분석!$AL:$AL,AB107)))</f>
        <v>Fair</v>
      </c>
      <c r="AS107" s="96" t="n">
        <f aca="false">IF(AB107="","",INDEX(시장분석!$AJ:$AJ,AB107))</f>
        <v>11.1669213541093</v>
      </c>
      <c r="AT107" s="93" t="n">
        <f aca="false">IF(AB107="",0,IF(AB107="","",INDEX(시장분석!$AN:$AN,AB107)))</f>
        <v>1.27834008818303</v>
      </c>
      <c r="AU107" s="94" t="n">
        <f aca="false">IF(ISNUMBER(Z107),AT107/10000*MAX(Z107-1,0)*AA107*1000000,0)</f>
        <v>5667.29216670879</v>
      </c>
      <c r="AV107" s="94" t="n">
        <f aca="false">AO107+AU107</f>
        <v>203775.907446709</v>
      </c>
      <c r="AW107" s="43" t="str">
        <f aca="false">IF(Q107&lt;&gt;1,"",TRIM(IF(AD107=1,"FRN ","")&amp;IF(AND(AL107&gt;=10,AL107&lt;99),"BBB0미만 ","")&amp;IF(AJ107="","등급없음 ","")&amp;IF(K107&lt;&gt;1,"비USD ","")&amp;IF(AND(AB107="",Y107=0),"시장데이터없음 ","")&amp;IF(AND(ISNUMBER(U107),U107&lt;0),"만기경과 ","")))</f>
        <v/>
      </c>
      <c r="AX107" s="90" t="n">
        <f aca="false">IF(Q107&lt;&gt;1,1,IF(스프레드쇼크!$C$4="Y",INDEX(스프레드쇼크!$B$12:$L$16,IFERROR(MATCH(AH107,스프레드쇼크!$A$12:$A$16,0),MATCH("목록외",스프레드쇼크!$A$12:$A$16,0)),IFERROR(MATCH(AG107,스프레드쇼크!$B$11:$L$11,0),MATCH("목록외",스프레드쇼크!$B$11:$L$11,0))),1))</f>
        <v>1</v>
      </c>
      <c r="AY107" s="90" t="n">
        <f aca="false">IF(스프레드쇼크!$C$5="Y",IF(ISNUMBER(AF107),MIN(스프레드쇼크!$C$7,MAX(스프레드쇼크!$C$6,AF107/스프레드쇼크!$C$8)),1),1)</f>
        <v>0.97953525787884</v>
      </c>
      <c r="AZ107" s="94" t="n">
        <f aca="false">AN107*AX107*AY107</f>
        <v>4656.28859612001</v>
      </c>
      <c r="BA107" s="90" t="n">
        <f aca="false">IF(ISNUMBER(G107),AA107*G107,0)</f>
        <v>19.810861528</v>
      </c>
      <c r="BB107" s="90" t="n">
        <f aca="false">IF(ISNUMBER(G107),AA107,0)</f>
        <v>3.20248</v>
      </c>
      <c r="BC107" s="90" t="n">
        <f aca="false">IF(AND(Y107=0,ISNUMBER(AF107)),AA107*AF107,0)</f>
        <v>207.39580728</v>
      </c>
      <c r="BD107" s="90" t="n">
        <f aca="false">IF(AND(Y107=0,ISNUMBER(AF107)),AA107,0)</f>
        <v>3.20248</v>
      </c>
      <c r="BE107" s="90" t="n">
        <f aca="false">IF(ISNUMBER(H107),AA107*H107,0)</f>
        <v>47.535691632</v>
      </c>
      <c r="BF107" s="90" t="n">
        <f aca="false">IF(ISNUMBER(H107),AA107,0)</f>
        <v>3.20248</v>
      </c>
      <c r="BG107" s="90" t="n">
        <f aca="false">IF(AND(Y107=0,ISNUMBER(AF107),ISNUMBER(Z107)),AA107*Z107,0)</f>
        <v>47.535691632</v>
      </c>
      <c r="BH107" s="90" t="n">
        <f aca="false">IF(AND(Y107=0,ISNUMBER(AF107),ISNUMBER(Z107)),AA107*AT107*MAX(Z107-1,0),0)</f>
        <v>56.6729216670879</v>
      </c>
      <c r="BI107" s="90" t="n">
        <f aca="false">IF(Y107=0,AA107,0)</f>
        <v>3.20248</v>
      </c>
    </row>
    <row r="108" customFormat="false" ht="15" hidden="false" customHeight="false" outlineLevel="0" collapsed="false">
      <c r="A108" s="83" t="str">
        <f aca="false">IFERROR(IF(INDEX(원자료_잔고!$A$1:$EZ$1500,설정!$L$5+ROW()-1,설정!$L$8)&amp;""="0","",INDEX(원자료_잔고!$A$1:$EZ$1500,설정!$L$5+ROW()-1,설정!$L$8)&amp;""),"")</f>
        <v>MS 4.238 01/09/30</v>
      </c>
      <c r="B108" s="83" t="str">
        <f aca="false">IFERROR(IF(INDEX(원자료_잔고!$A$1:$EZ$1500,설정!$L$5+ROW()-1,설정!$L$7)&amp;""="0","",INDEX(원자료_잔고!$A$1:$EZ$1500,설정!$L$5+ROW()-1,설정!$L$7)&amp;""),"")</f>
        <v>US61748UAR32</v>
      </c>
      <c r="C108" s="83" t="str">
        <f aca="false">IFERROR(IF(INDEX(원자료_잔고!$A$1:$EZ$1500,설정!$L$5+ROW()-1,설정!$L$9)&amp;""="0","",INDEX(원자료_잔고!$A$1:$EZ$1500,설정!$L$5+ROW()-1,설정!$L$9)&amp;""),"")</f>
        <v>34507</v>
      </c>
      <c r="D10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8" s="84" t="n">
        <f aca="false">IFERROR(IF(ISNUMBER(INDEX(원자료_잔고!$A$1:$EZ$1500,설정!$L$5+ROW()-1,설정!$L$11)),INDEX(원자료_잔고!$A$1:$EZ$1500,설정!$L$5+ROW()-1,설정!$L$11),""),"")</f>
        <v>10000000</v>
      </c>
      <c r="F108" s="85" t="n">
        <f aca="false">IFERROR(IF(ISNUMBER(INDEX(원자료_잔고!$A$1:$EZ$1500,설정!$L$5+ROW()-1,설정!$L$12)),INDEX(원자료_잔고!$A$1:$EZ$1500,설정!$L$5+ROW()-1,설정!$L$12),""),"")</f>
        <v>97.0378</v>
      </c>
      <c r="G108" s="85" t="n">
        <f aca="false">IFERROR(IF(ISNUMBER(INDEX(원자료_잔고!$A$1:$EZ$1500,설정!$L$5+ROW()-1,설정!$L$13)),INDEX(원자료_잔고!$A$1:$EZ$1500,설정!$L$5+ROW()-1,설정!$L$13),""),"")</f>
        <v>5.5078</v>
      </c>
      <c r="H108" s="85" t="n">
        <f aca="false">IFERROR(IF(ISNUMBER(INDEX(원자료_잔고!$A$1:$EZ$1500,설정!$L$5+ROW()-1,설정!$L$14)),INDEX(원자료_잔고!$A$1:$EZ$1500,설정!$L$5+ROW()-1,설정!$L$14),""),"")</f>
        <v>2.0945</v>
      </c>
      <c r="I108" s="86" t="n">
        <f aca="false">IFERROR(IF(ISNUMBER(INDEX(원자료_잔고!$A$1:$EZ$1500,설정!$L$5+ROW()-1,설정!$L$15)),INDEX(원자료_잔고!$A$1:$EZ$1500,설정!$L$5+ROW()-1,설정!$L$15),""),"")</f>
        <v>47492</v>
      </c>
      <c r="J108" s="85" t="n">
        <f aca="false">IFERROR(IF(ISNUMBER(INDEX(원자료_잔고!$A$1:$EZ$1500,설정!$L$5+ROW()-1,설정!$L$16)),INDEX(원자료_잔고!$A$1:$EZ$1500,설정!$L$5+ROW()-1,설정!$L$16),""),"")</f>
        <v>4.238</v>
      </c>
      <c r="K108" s="87" t="n">
        <f aca="false">IFERROR(IF(ISNUMBER(INDEX(원자료_잔고!$A$1:$EZ$1500,설정!$L$5+ROW()-1,설정!$L$17)),INDEX(원자료_잔고!$A$1:$EZ$1500,설정!$L$5+ROW()-1,설정!$L$17),""),"")</f>
        <v>1</v>
      </c>
      <c r="L108" s="84" t="n">
        <f aca="false">IFERROR(IF(ISNUMBER(INDEX(원자료_잔고!$A$1:$EZ$1500,설정!$L$5+ROW()-1,설정!$L$18)),INDEX(원자료_잔고!$A$1:$EZ$1500,설정!$L$5+ROW()-1,설정!$L$18),""),"")</f>
        <v>9703780</v>
      </c>
      <c r="M108" s="88" t="n">
        <f aca="false">IFERROR(IF(ISNUMBER(INDEX(원자료_잔고!$A$1:$EZ$1500,설정!$L$5+ROW()-1,설정!$L$19)),INDEX(원자료_잔고!$A$1:$EZ$1500,설정!$L$5+ROW()-1,설정!$L$19),""),"")</f>
        <v>-236820</v>
      </c>
      <c r="N108" s="83" t="str">
        <f aca="false">IFERROR(IF(INDEX(원자료_잔고!$A$1:$EZ$1500,설정!$L$5+ROW()-1,설정!$L$21)&amp;""="0","",INDEX(원자료_잔고!$A$1:$EZ$1500,설정!$L$5+ROW()-1,설정!$L$21)&amp;""),"")</f>
        <v>A-</v>
      </c>
      <c r="O108" s="83" t="str">
        <f aca="false">IFERROR(IF(INDEX(원자료_잔고!$A$1:$EZ$1500,설정!$L$5+ROW()-1,설정!$L$22)&amp;""="0","",INDEX(원자료_잔고!$A$1:$EZ$1500,설정!$L$5+ROW()-1,설정!$L$22)&amp;""),"")</f>
        <v/>
      </c>
      <c r="P108" s="83" t="str">
        <f aca="false">IFERROR(IF(INDEX(원자료_잔고!$A$1:$EZ$1500,설정!$L$5+ROW()-1,설정!$L$23)&amp;""="0","",INDEX(원자료_잔고!$A$1:$EZ$1500,설정!$L$5+ROW()-1,설정!$L$23)&amp;""),"")</f>
        <v>A+</v>
      </c>
      <c r="Q108" s="89" t="n">
        <f aca="false">IF(AND($A108&lt;&gt;"",ISNUMBER(E108)),IF(E108&gt;0,1,0),0)</f>
        <v>1</v>
      </c>
      <c r="R108" s="43" t="str">
        <f aca="false">IF(Q108=1,UPPER(LEFT($A108,FIND(" ",$A108&amp;" ")-1)),"")</f>
        <v>MS</v>
      </c>
      <c r="S108" s="89" t="n">
        <f aca="false">IF(Q108=1,IF(OR(ISNUMBER(SEARCH("Float",$A108)),ISNUMBER(SEARCH("FRN",$A108))),1,0),0)</f>
        <v>0</v>
      </c>
      <c r="T108" s="43" t="str">
        <f aca="false">IF(AND(Q108=1,ISNUMBER(I108)),TEXT(I108,"yyyymmdd")&amp;"|"&amp;IF(S108=1,"F",TEXT(J108,"0.000")),"")</f>
        <v>20300109|4.238</v>
      </c>
      <c r="U108" s="90" t="n">
        <f aca="false">IF(AND(Q108=1,ISNUMBER(I108)),(I108-설정!$C$4)/365.25,"")</f>
        <v>3.27446954140999</v>
      </c>
      <c r="V108" s="43" t="str">
        <f aca="false">IF(Q108&lt;&gt;1,"",IF(ISNUMBER(U108),IF(U108&lt;=1,"1년 이하",IF(U108&lt;=2,"1-2년",IF(U108&lt;=3,"2-3년",IF(U108&lt;=4,"3-4년",IF(U108&lt;=5,"4-5년",IF(U108&lt;=7,"5-7년",IF(U108&lt;=10,"7-10년",IF(U108&lt;=20,"10-20년","20년 이상")))))))),"미분류"))</f>
        <v>3-4년</v>
      </c>
      <c r="W108" s="43" t="str">
        <f aca="false">IF(Q108&lt;&gt;1,"",IF(AB108&lt;&gt;"",INDEX(시장분석!$C:$C,AB108),IF(K108=1,"USD","비USD")))</f>
        <v>USD</v>
      </c>
      <c r="X108" s="91" t="n">
        <f aca="false">IF(Q108=1,E108*K108/1000000,0)</f>
        <v>10</v>
      </c>
      <c r="Y108" s="89" t="n">
        <f aca="false">IF(R108="T",1,0)</f>
        <v>0</v>
      </c>
      <c r="Z108" s="92" t="n">
        <f aca="false">IF(Q108&lt;&gt;1,"",IF(AD108=1,IF(ISNUMBER(U108),MAX(U108,0),H108),H108))</f>
        <v>2.0945</v>
      </c>
      <c r="AA108" s="91" t="n">
        <f aca="false">IF(Q108=1,IF(ISNUMBER(L108),L108,0)*K108/1000000,0)</f>
        <v>9.70378</v>
      </c>
      <c r="AB108" s="89" t="n">
        <f aca="false">IF(Q108&lt;&gt;1,"",IFERROR(MATCH(VLOOKUP(B108,매핑!$H$4:$I$15,2,0),시장분석!$A$2:$A$601,0)+1,IFERROR(MATCH(R108&amp;"|"&amp;T108,시장분석!$V$2:$V$601,0)+1,IF(COUNTIF(시장분석!$U$2:$U$601,T108)=1,MATCH(T108,시장분석!$U$2:$U$601,0)+1,""))))</f>
        <v>100</v>
      </c>
      <c r="AC108" s="89" t="n">
        <f aca="false">IF(Q108&lt;&gt;1,0,IF(OR(설정!$C$5="전체",AND(설정!$C$5="선택펀드",IFERROR(COUNTIFS(설정!$F$16:$F$36,C108,설정!$G$16:$G$36,"Y")+COUNTIFS(설정!$F$16:$F$36,VALUE(C108),설정!$G$16:$G$36,"Y"),0)&gt;0),C108&amp;""=설정!$C$5&amp;""),1,0))</f>
        <v>1</v>
      </c>
      <c r="AD108" s="89" t="n">
        <f aca="false">IF(Q108&lt;&gt;1,0,IF(OR(S108=1,IF(AB108="",FALSE(),INDEX(시장분석!$R:$R,AB108)=1)),1,0))</f>
        <v>0</v>
      </c>
      <c r="AE108" s="43" t="str">
        <f aca="false">IF(AB108="","",INDEX(시장분석!$A:$A,AB108))</f>
        <v>MS 4.238 01/09/30</v>
      </c>
      <c r="AF108" s="93" t="n">
        <f aca="false">IF(AB108="","",IF(ISNUMBER(IF(AB108="","",INDEX(시장분석!$E:$E,AB108))),IF(AB108="","",INDEX(시장분석!$E:$E,AB108)),""))</f>
        <v>68.575</v>
      </c>
      <c r="AG108" s="43" t="str">
        <f aca="false">IF(Q108&lt;&gt;1,"",IF(AB108&lt;&gt;"",IF(AB108="","",INDEX(시장분석!$L:$L,AB108)),IFERROR(IF(VLOOKUP(R108,매핑!$A$4:$E$92,5,0)="","미분류",VLOOKUP(R108,매핑!$A$4:$E$92,5,0)),"미분류")))</f>
        <v>금융기관</v>
      </c>
      <c r="AH108" s="43" t="str">
        <f aca="false">IF(Q108&lt;&gt;1,"",IF(AB108&lt;&gt;"",IF(AB108="","",INDEX(시장분석!$N:$N,AB108)),IFERROR(IF(VLOOKUP(R108,매핑!$A$4:$E$92,4,0)="","미분류",VLOOKUP(R108,매핑!$A$4:$E$92,4,0)),"미분류")))</f>
        <v>미국</v>
      </c>
      <c r="AI108" s="43" t="str">
        <f aca="false">IF(Q108&lt;&gt;1,"",IFERROR(IF(VLOOKUP(R108,매핑!$A$4:$E$92,3,0)="","미분류",VLOOKUP(R108,매핑!$A$4:$E$92,3,0)),IF(AB108&lt;&gt;"",IF(AB108="","",INDEX(시장분석!$W:$W,AB108)),"미분류")))</f>
        <v>미국</v>
      </c>
      <c r="AJ108" s="43" t="str">
        <f aca="false">IF(Q108&lt;&gt;1,"",IFERROR(VLOOKUP(IF(N108&lt;&gt;"",N108,IF(P108&lt;&gt;"",P108,O108)),설정!$A$15:$D$47,2,0),""))</f>
        <v>A-</v>
      </c>
      <c r="AK108" s="43" t="str">
        <f aca="false">IF(Q108&lt;&gt;1,"",IF(AJ108="","무등급",IFERROR(VLOOKUP(AJ108,설정!$A$15:$D$47,3,0),"무등급")))</f>
        <v>A</v>
      </c>
      <c r="AL108" s="89" t="n">
        <f aca="false">IF(AJ108="",99,IFERROR(VLOOKUP(AJ108,설정!$A$15:$D$47,4,0),99))</f>
        <v>7</v>
      </c>
      <c r="AM108" s="94" t="n">
        <f aca="false">IF(ISNUMBER(H108),AA108*1000000*H108/10000,0)</f>
        <v>2032.456721</v>
      </c>
      <c r="AN108" s="94" t="n">
        <f aca="false">IF(OR(Y108=1,NOT(ISNUMBER(Z108))),0,AA108*1000000*Z108/10000)</f>
        <v>2032.456721</v>
      </c>
      <c r="AO108" s="94" t="n">
        <f aca="false">IF(ISNUMBER(G108),AA108*1000000*G108/100,0)</f>
        <v>534464.79484</v>
      </c>
      <c r="AP108" s="94" t="n">
        <f aca="false">IF(ISNUMBER(M108),M108*K108,0)</f>
        <v>-236820</v>
      </c>
      <c r="AQ108" s="95" t="n">
        <f aca="false">IF(AB108="","",INDEX(시장분석!$AK:$AK,AB108))</f>
        <v>0.366241088970751</v>
      </c>
      <c r="AR108" s="43" t="str">
        <f aca="false">IF(AB108="","-",IF(AB108="","",INDEX(시장분석!$AL:$AL,AB108)))</f>
        <v>Fair</v>
      </c>
      <c r="AS108" s="96" t="n">
        <f aca="false">IF(AB108="","",INDEX(시장분석!$AJ:$AJ,AB108))</f>
        <v>5.00914567363579</v>
      </c>
      <c r="AT108" s="93" t="n">
        <f aca="false">IF(AB108="",0,IF(AB108="","",INDEX(시장분석!$AN:$AN,AB108)))</f>
        <v>12.842341191136</v>
      </c>
      <c r="AU108" s="94" t="n">
        <f aca="false">IF(ISNUMBER(Z108),AT108/10000*MAX(Z108-1,0)*AA108*1000000,0)</f>
        <v>13639.5773069273</v>
      </c>
      <c r="AV108" s="94" t="n">
        <f aca="false">AO108+AU108</f>
        <v>548104.372146927</v>
      </c>
      <c r="AW108" s="43" t="str">
        <f aca="false">IF(Q108&lt;&gt;1,"",TRIM(IF(AD108=1,"FRN ","")&amp;IF(AND(AL108&gt;=10,AL108&lt;99),"BBB0미만 ","")&amp;IF(AJ108="","등급없음 ","")&amp;IF(K108&lt;&gt;1,"비USD ","")&amp;IF(AND(AB108="",Y108=0),"시장데이터없음 ","")&amp;IF(AND(ISNUMBER(U108),U108&lt;0),"만기경과 ","")))</f>
        <v/>
      </c>
      <c r="AX108" s="90" t="n">
        <f aca="false">IF(Q108&lt;&gt;1,1,IF(스프레드쇼크!$C$4="Y",INDEX(스프레드쇼크!$B$12:$L$16,IFERROR(MATCH(AH108,스프레드쇼크!$A$12:$A$16,0),MATCH("목록외",스프레드쇼크!$A$12:$A$16,0)),IFERROR(MATCH(AG108,스프레드쇼크!$B$11:$L$11,0),MATCH("목록외",스프레드쇼크!$B$11:$L$11,0))),1))</f>
        <v>1</v>
      </c>
      <c r="AY108" s="90" t="n">
        <f aca="false">IF(스프레드쇼크!$C$5="Y",IF(ISNUMBER(AF108),MIN(스프레드쇼크!$C$7,MAX(스프레드쇼크!$C$6,AF108/스프레드쇼크!$C$8)),1),1)</f>
        <v>1.03722348804128</v>
      </c>
      <c r="AZ108" s="94" t="n">
        <f aca="false">AN108*AX108*AY108</f>
        <v>2108.11184944857</v>
      </c>
      <c r="BA108" s="90" t="n">
        <f aca="false">IF(ISNUMBER(G108),AA108*G108,0)</f>
        <v>53.446479484</v>
      </c>
      <c r="BB108" s="90" t="n">
        <f aca="false">IF(ISNUMBER(G108),AA108,0)</f>
        <v>9.70378</v>
      </c>
      <c r="BC108" s="90" t="n">
        <f aca="false">IF(AND(Y108=0,ISNUMBER(AF108)),AA108*AF108,0)</f>
        <v>665.4367135</v>
      </c>
      <c r="BD108" s="90" t="n">
        <f aca="false">IF(AND(Y108=0,ISNUMBER(AF108)),AA108,0)</f>
        <v>9.70378</v>
      </c>
      <c r="BE108" s="90" t="n">
        <f aca="false">IF(ISNUMBER(H108),AA108*H108,0)</f>
        <v>20.32456721</v>
      </c>
      <c r="BF108" s="90" t="n">
        <f aca="false">IF(ISNUMBER(H108),AA108,0)</f>
        <v>9.70378</v>
      </c>
      <c r="BG108" s="90" t="n">
        <f aca="false">IF(AND(Y108=0,ISNUMBER(AF108),ISNUMBER(Z108)),AA108*Z108,0)</f>
        <v>20.32456721</v>
      </c>
      <c r="BH108" s="90" t="n">
        <f aca="false">IF(AND(Y108=0,ISNUMBER(AF108),ISNUMBER(Z108)),AA108*AT108*MAX(Z108-1,0),0)</f>
        <v>136.395773069273</v>
      </c>
      <c r="BI108" s="90" t="n">
        <f aca="false">IF(Y108=0,AA108,0)</f>
        <v>9.70378</v>
      </c>
    </row>
    <row r="109" customFormat="false" ht="15" hidden="false" customHeight="false" outlineLevel="0" collapsed="false">
      <c r="A109" s="83" t="str">
        <f aca="false">IFERROR(IF(INDEX(원자료_잔고!$A$1:$EZ$1500,설정!$L$5+ROW()-1,설정!$L$8)&amp;""="0","",INDEX(원자료_잔고!$A$1:$EZ$1500,설정!$L$5+ROW()-1,설정!$L$8)&amp;""),"")</f>
        <v>MS 4.555 04/10/30</v>
      </c>
      <c r="B109" s="83" t="str">
        <f aca="false">IFERROR(IF(INDEX(원자료_잔고!$A$1:$EZ$1500,설정!$L$5+ROW()-1,설정!$L$7)&amp;""="0","",INDEX(원자료_잔고!$A$1:$EZ$1500,설정!$L$5+ROW()-1,설정!$L$7)&amp;""),"")</f>
        <v>US61748UAV44</v>
      </c>
      <c r="C109" s="83" t="str">
        <f aca="false">IFERROR(IF(INDEX(원자료_잔고!$A$1:$EZ$1500,설정!$L$5+ROW()-1,설정!$L$9)&amp;""="0","",INDEX(원자료_잔고!$A$1:$EZ$1500,설정!$L$5+ROW()-1,설정!$L$9)&amp;""),"")</f>
        <v>34507</v>
      </c>
      <c r="D10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09" s="84" t="n">
        <f aca="false">IFERROR(IF(ISNUMBER(INDEX(원자료_잔고!$A$1:$EZ$1500,설정!$L$5+ROW()-1,설정!$L$11)),INDEX(원자료_잔고!$A$1:$EZ$1500,설정!$L$5+ROW()-1,설정!$L$11),""),"")</f>
        <v>5000000</v>
      </c>
      <c r="F109" s="85" t="n">
        <f aca="false">IFERROR(IF(ISNUMBER(INDEX(원자료_잔고!$A$1:$EZ$1500,설정!$L$5+ROW()-1,설정!$L$12)),INDEX(원자료_잔고!$A$1:$EZ$1500,설정!$L$5+ROW()-1,설정!$L$12),""),"")</f>
        <v>97.4348</v>
      </c>
      <c r="G109" s="85" t="n">
        <f aca="false">IFERROR(IF(ISNUMBER(INDEX(원자료_잔고!$A$1:$EZ$1500,설정!$L$5+ROW()-1,설정!$L$13)),INDEX(원자료_잔고!$A$1:$EZ$1500,설정!$L$5+ROW()-1,설정!$L$13),""),"")</f>
        <v>5.5637</v>
      </c>
      <c r="H109" s="85" t="n">
        <f aca="false">IFERROR(IF(ISNUMBER(INDEX(원자료_잔고!$A$1:$EZ$1500,설정!$L$5+ROW()-1,설정!$L$14)),INDEX(원자료_잔고!$A$1:$EZ$1500,설정!$L$5+ROW()-1,설정!$L$14),""),"")</f>
        <v>2.2776</v>
      </c>
      <c r="I109" s="86" t="n">
        <f aca="false">IFERROR(IF(ISNUMBER(INDEX(원자료_잔고!$A$1:$EZ$1500,설정!$L$5+ROW()-1,설정!$L$15)),INDEX(원자료_잔고!$A$1:$EZ$1500,설정!$L$5+ROW()-1,설정!$L$15),""),"")</f>
        <v>47583</v>
      </c>
      <c r="J109" s="85" t="n">
        <f aca="false">IFERROR(IF(ISNUMBER(INDEX(원자료_잔고!$A$1:$EZ$1500,설정!$L$5+ROW()-1,설정!$L$16)),INDEX(원자료_잔고!$A$1:$EZ$1500,설정!$L$5+ROW()-1,설정!$L$16),""),"")</f>
        <v>4.555</v>
      </c>
      <c r="K109" s="87" t="n">
        <f aca="false">IFERROR(IF(ISNUMBER(INDEX(원자료_잔고!$A$1:$EZ$1500,설정!$L$5+ROW()-1,설정!$L$17)),INDEX(원자료_잔고!$A$1:$EZ$1500,설정!$L$5+ROW()-1,설정!$L$17),""),"")</f>
        <v>1</v>
      </c>
      <c r="L109" s="84" t="n">
        <f aca="false">IFERROR(IF(ISNUMBER(INDEX(원자료_잔고!$A$1:$EZ$1500,설정!$L$5+ROW()-1,설정!$L$18)),INDEX(원자료_잔고!$A$1:$EZ$1500,설정!$L$5+ROW()-1,설정!$L$18),""),"")</f>
        <v>4871740</v>
      </c>
      <c r="M109" s="88" t="n">
        <f aca="false">IFERROR(IF(ISNUMBER(INDEX(원자료_잔고!$A$1:$EZ$1500,설정!$L$5+ROW()-1,설정!$L$19)),INDEX(원자료_잔고!$A$1:$EZ$1500,설정!$L$5+ROW()-1,설정!$L$19),""),"")</f>
        <v>-114760</v>
      </c>
      <c r="N109" s="83" t="str">
        <f aca="false">IFERROR(IF(INDEX(원자료_잔고!$A$1:$EZ$1500,설정!$L$5+ROW()-1,설정!$L$21)&amp;""="0","",INDEX(원자료_잔고!$A$1:$EZ$1500,설정!$L$5+ROW()-1,설정!$L$21)&amp;""),"")</f>
        <v>A-</v>
      </c>
      <c r="O109" s="83" t="str">
        <f aca="false">IFERROR(IF(INDEX(원자료_잔고!$A$1:$EZ$1500,설정!$L$5+ROW()-1,설정!$L$22)&amp;""="0","",INDEX(원자료_잔고!$A$1:$EZ$1500,설정!$L$5+ROW()-1,설정!$L$22)&amp;""),"")</f>
        <v>A1</v>
      </c>
      <c r="P109" s="83" t="str">
        <f aca="false">IFERROR(IF(INDEX(원자료_잔고!$A$1:$EZ$1500,설정!$L$5+ROW()-1,설정!$L$23)&amp;""="0","",INDEX(원자료_잔고!$A$1:$EZ$1500,설정!$L$5+ROW()-1,설정!$L$23)&amp;""),"")</f>
        <v>A+</v>
      </c>
      <c r="Q109" s="89" t="n">
        <f aca="false">IF(AND($A109&lt;&gt;"",ISNUMBER(E109)),IF(E109&gt;0,1,0),0)</f>
        <v>1</v>
      </c>
      <c r="R109" s="43" t="str">
        <f aca="false">IF(Q109=1,UPPER(LEFT($A109,FIND(" ",$A109&amp;" ")-1)),"")</f>
        <v>MS</v>
      </c>
      <c r="S109" s="89" t="n">
        <f aca="false">IF(Q109=1,IF(OR(ISNUMBER(SEARCH("Float",$A109)),ISNUMBER(SEARCH("FRN",$A109))),1,0),0)</f>
        <v>0</v>
      </c>
      <c r="T109" s="43" t="str">
        <f aca="false">IF(AND(Q109=1,ISNUMBER(I109)),TEXT(I109,"yyyymmdd")&amp;"|"&amp;IF(S109=1,"F",TEXT(J109,"0.000")),"")</f>
        <v>20300410|4.555</v>
      </c>
      <c r="U109" s="90" t="n">
        <f aca="false">IF(AND(Q109=1,ISNUMBER(I109)),(I109-설정!$C$4)/365.25,"")</f>
        <v>3.52361396303901</v>
      </c>
      <c r="V109" s="43" t="str">
        <f aca="false">IF(Q109&lt;&gt;1,"",IF(ISNUMBER(U109),IF(U109&lt;=1,"1년 이하",IF(U109&lt;=2,"1-2년",IF(U109&lt;=3,"2-3년",IF(U109&lt;=4,"3-4년",IF(U109&lt;=5,"4-5년",IF(U109&lt;=7,"5-7년",IF(U109&lt;=10,"7-10년",IF(U109&lt;=20,"10-20년","20년 이상")))))))),"미분류"))</f>
        <v>3-4년</v>
      </c>
      <c r="W109" s="43" t="str">
        <f aca="false">IF(Q109&lt;&gt;1,"",IF(AB109&lt;&gt;"",INDEX(시장분석!$C:$C,AB109),IF(K109=1,"USD","비USD")))</f>
        <v>USD</v>
      </c>
      <c r="X109" s="91" t="n">
        <f aca="false">IF(Q109=1,E109*K109/1000000,0)</f>
        <v>5</v>
      </c>
      <c r="Y109" s="89" t="n">
        <f aca="false">IF(R109="T",1,0)</f>
        <v>0</v>
      </c>
      <c r="Z109" s="92" t="n">
        <f aca="false">IF(Q109&lt;&gt;1,"",IF(AD109=1,IF(ISNUMBER(U109),MAX(U109,0),H109),H109))</f>
        <v>2.2776</v>
      </c>
      <c r="AA109" s="91" t="n">
        <f aca="false">IF(Q109=1,IF(ISNUMBER(L109),L109,0)*K109/1000000,0)</f>
        <v>4.87174</v>
      </c>
      <c r="AB109" s="89" t="n">
        <f aca="false">IF(Q109&lt;&gt;1,"",IFERROR(MATCH(VLOOKUP(B109,매핑!$H$4:$I$15,2,0),시장분석!$A$2:$A$601,0)+1,IFERROR(MATCH(R109&amp;"|"&amp;T109,시장분석!$V$2:$V$601,0)+1,IF(COUNTIF(시장분석!$U$2:$U$601,T109)=1,MATCH(T109,시장분석!$U$2:$U$601,0)+1,""))))</f>
        <v>102</v>
      </c>
      <c r="AC109" s="89" t="n">
        <f aca="false">IF(Q109&lt;&gt;1,0,IF(OR(설정!$C$5="전체",AND(설정!$C$5="선택펀드",IFERROR(COUNTIFS(설정!$F$16:$F$36,C109,설정!$G$16:$G$36,"Y")+COUNTIFS(설정!$F$16:$F$36,VALUE(C109),설정!$G$16:$G$36,"Y"),0)&gt;0),C109&amp;""=설정!$C$5&amp;""),1,0))</f>
        <v>1</v>
      </c>
      <c r="AD109" s="89" t="n">
        <f aca="false">IF(Q109&lt;&gt;1,0,IF(OR(S109=1,IF(AB109="",FALSE(),INDEX(시장분석!$R:$R,AB109)=1)),1,0))</f>
        <v>0</v>
      </c>
      <c r="AE109" s="43" t="str">
        <f aca="false">IF(AB109="","",INDEX(시장분석!$A:$A,AB109))</f>
        <v>MS 4.555 04/10/30</v>
      </c>
      <c r="AF109" s="93" t="n">
        <f aca="false">IF(AB109="","",IF(ISNUMBER(IF(AB109="","",INDEX(시장분석!$E:$E,AB109))),IF(AB109="","",INDEX(시장분석!$E:$E,AB109)),""))</f>
        <v>69.638</v>
      </c>
      <c r="AG109" s="43" t="str">
        <f aca="false">IF(Q109&lt;&gt;1,"",IF(AB109&lt;&gt;"",IF(AB109="","",INDEX(시장분석!$L:$L,AB109)),IFERROR(IF(VLOOKUP(R109,매핑!$A$4:$E$92,5,0)="","미분류",VLOOKUP(R109,매핑!$A$4:$E$92,5,0)),"미분류")))</f>
        <v>금융기관</v>
      </c>
      <c r="AH109" s="43" t="str">
        <f aca="false">IF(Q109&lt;&gt;1,"",IF(AB109&lt;&gt;"",IF(AB109="","",INDEX(시장분석!$N:$N,AB109)),IFERROR(IF(VLOOKUP(R109,매핑!$A$4:$E$92,4,0)="","미분류",VLOOKUP(R109,매핑!$A$4:$E$92,4,0)),"미분류")))</f>
        <v>미국</v>
      </c>
      <c r="AI109" s="43" t="str">
        <f aca="false">IF(Q109&lt;&gt;1,"",IFERROR(IF(VLOOKUP(R109,매핑!$A$4:$E$92,3,0)="","미분류",VLOOKUP(R109,매핑!$A$4:$E$92,3,0)),IF(AB109&lt;&gt;"",IF(AB109="","",INDEX(시장분석!$W:$W,AB109)),"미분류")))</f>
        <v>미국</v>
      </c>
      <c r="AJ109" s="43" t="str">
        <f aca="false">IF(Q109&lt;&gt;1,"",IFERROR(VLOOKUP(IF(N109&lt;&gt;"",N109,IF(P109&lt;&gt;"",P109,O109)),설정!$A$15:$D$47,2,0),""))</f>
        <v>A-</v>
      </c>
      <c r="AK109" s="43" t="str">
        <f aca="false">IF(Q109&lt;&gt;1,"",IF(AJ109="","무등급",IFERROR(VLOOKUP(AJ109,설정!$A$15:$D$47,3,0),"무등급")))</f>
        <v>A</v>
      </c>
      <c r="AL109" s="89" t="n">
        <f aca="false">IF(AJ109="",99,IFERROR(VLOOKUP(AJ109,설정!$A$15:$D$47,4,0),99))</f>
        <v>7</v>
      </c>
      <c r="AM109" s="94" t="n">
        <f aca="false">IF(ISNUMBER(H109),AA109*1000000*H109/10000,0)</f>
        <v>1109.5875024</v>
      </c>
      <c r="AN109" s="94" t="n">
        <f aca="false">IF(OR(Y109=1,NOT(ISNUMBER(Z109))),0,AA109*1000000*Z109/10000)</f>
        <v>1109.5875024</v>
      </c>
      <c r="AO109" s="94" t="n">
        <f aca="false">IF(ISNUMBER(G109),AA109*1000000*G109/100,0)</f>
        <v>271048.99838</v>
      </c>
      <c r="AP109" s="94" t="n">
        <f aca="false">IF(ISNUMBER(M109),M109*K109,0)</f>
        <v>-114760</v>
      </c>
      <c r="AQ109" s="95" t="n">
        <f aca="false">IF(AB109="","",INDEX(시장분석!$AK:$AK,AB109))</f>
        <v>0.314549152132616</v>
      </c>
      <c r="AR109" s="43" t="str">
        <f aca="false">IF(AB109="","-",IF(AB109="","",INDEX(시장분석!$AL:$AL,AB109)))</f>
        <v>Fair</v>
      </c>
      <c r="AS109" s="96" t="n">
        <f aca="false">IF(AB109="","",INDEX(시장분석!$AJ:$AJ,AB109))</f>
        <v>4.30214569582806</v>
      </c>
      <c r="AT109" s="93" t="n">
        <f aca="false">IF(AB109="",0,IF(AB109="","",INDEX(시장분석!$AN:$AN,AB109)))</f>
        <v>11.4360901023634</v>
      </c>
      <c r="AU109" s="94" t="n">
        <f aca="false">IF(ISNUMBER(Z109),AT109/10000*MAX(Z109-1,0)*AA109*1000000,0)</f>
        <v>7117.97689437401</v>
      </c>
      <c r="AV109" s="94" t="n">
        <f aca="false">AO109+AU109</f>
        <v>278166.975274374</v>
      </c>
      <c r="AW109" s="43" t="str">
        <f aca="false">IF(Q109&lt;&gt;1,"",TRIM(IF(AD109=1,"FRN ","")&amp;IF(AND(AL109&gt;=10,AL109&lt;99),"BBB0미만 ","")&amp;IF(AJ109="","등급없음 ","")&amp;IF(K109&lt;&gt;1,"비USD ","")&amp;IF(AND(AB109="",Y109=0),"시장데이터없음 ","")&amp;IF(AND(ISNUMBER(U109),U109&lt;0),"만기경과 ","")))</f>
        <v/>
      </c>
      <c r="AX109" s="90" t="n">
        <f aca="false">IF(Q109&lt;&gt;1,1,IF(스프레드쇼크!$C$4="Y",INDEX(스프레드쇼크!$B$12:$L$16,IFERROR(MATCH(AH109,스프레드쇼크!$A$12:$A$16,0),MATCH("목록외",스프레드쇼크!$A$12:$A$16,0)),IFERROR(MATCH(AG109,스프레드쇼크!$B$11:$L$11,0),MATCH("목록외",스프레드쇼크!$B$11:$L$11,0))),1))</f>
        <v>1</v>
      </c>
      <c r="AY109" s="90" t="n">
        <f aca="false">IF(스프레드쇼크!$C$5="Y",IF(ISNUMBER(AF109),MIN(스프레드쇼크!$C$7,MAX(스프레드쇼크!$C$6,AF109/스프레드쇼크!$C$8)),1),1)</f>
        <v>1.05330177557738</v>
      </c>
      <c r="AZ109" s="94" t="n">
        <f aca="false">AN109*AX109*AY109</f>
        <v>1168.73048643639</v>
      </c>
      <c r="BA109" s="90" t="n">
        <f aca="false">IF(ISNUMBER(G109),AA109*G109,0)</f>
        <v>27.104899838</v>
      </c>
      <c r="BB109" s="90" t="n">
        <f aca="false">IF(ISNUMBER(G109),AA109,0)</f>
        <v>4.87174</v>
      </c>
      <c r="BC109" s="90" t="n">
        <f aca="false">IF(AND(Y109=0,ISNUMBER(AF109)),AA109*AF109,0)</f>
        <v>339.25823012</v>
      </c>
      <c r="BD109" s="90" t="n">
        <f aca="false">IF(AND(Y109=0,ISNUMBER(AF109)),AA109,0)</f>
        <v>4.87174</v>
      </c>
      <c r="BE109" s="90" t="n">
        <f aca="false">IF(ISNUMBER(H109),AA109*H109,0)</f>
        <v>11.095875024</v>
      </c>
      <c r="BF109" s="90" t="n">
        <f aca="false">IF(ISNUMBER(H109),AA109,0)</f>
        <v>4.87174</v>
      </c>
      <c r="BG109" s="90" t="n">
        <f aca="false">IF(AND(Y109=0,ISNUMBER(AF109),ISNUMBER(Z109)),AA109*Z109,0)</f>
        <v>11.095875024</v>
      </c>
      <c r="BH109" s="90" t="n">
        <f aca="false">IF(AND(Y109=0,ISNUMBER(AF109),ISNUMBER(Z109)),AA109*AT109*MAX(Z109-1,0),0)</f>
        <v>71.1797689437401</v>
      </c>
      <c r="BI109" s="90" t="n">
        <f aca="false">IF(Y109=0,AA109,0)</f>
        <v>4.87174</v>
      </c>
    </row>
    <row r="110" customFormat="false" ht="15" hidden="false" customHeight="false" outlineLevel="0" collapsed="false">
      <c r="A110" s="83" t="str">
        <f aca="false">IFERROR(IF(INDEX(원자료_잔고!$A$1:$EZ$1500,설정!$L$5+ROW()-1,설정!$L$8)&amp;""="0","",INDEX(원자료_잔고!$A$1:$EZ$1500,설정!$L$5+ROW()-1,설정!$L$8)&amp;""),"")</f>
        <v>MS 4.555 04/10/30</v>
      </c>
      <c r="B110" s="83" t="str">
        <f aca="false">IFERROR(IF(INDEX(원자료_잔고!$A$1:$EZ$1500,설정!$L$5+ROW()-1,설정!$L$7)&amp;""="0","",INDEX(원자료_잔고!$A$1:$EZ$1500,설정!$L$5+ROW()-1,설정!$L$7)&amp;""),"")</f>
        <v>US61748UAV44</v>
      </c>
      <c r="C110" s="83" t="str">
        <f aca="false">IFERROR(IF(INDEX(원자료_잔고!$A$1:$EZ$1500,설정!$L$5+ROW()-1,설정!$L$9)&amp;""="0","",INDEX(원자료_잔고!$A$1:$EZ$1500,설정!$L$5+ROW()-1,설정!$L$9)&amp;""),"")</f>
        <v>34507</v>
      </c>
      <c r="D11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0" s="84" t="n">
        <f aca="false">IFERROR(IF(ISNUMBER(INDEX(원자료_잔고!$A$1:$EZ$1500,설정!$L$5+ROW()-1,설정!$L$11)),INDEX(원자료_잔고!$A$1:$EZ$1500,설정!$L$5+ROW()-1,설정!$L$11),""),"")</f>
        <v>5000000</v>
      </c>
      <c r="F110" s="85" t="n">
        <f aca="false">IFERROR(IF(ISNUMBER(INDEX(원자료_잔고!$A$1:$EZ$1500,설정!$L$5+ROW()-1,설정!$L$12)),INDEX(원자료_잔고!$A$1:$EZ$1500,설정!$L$5+ROW()-1,설정!$L$12),""),"")</f>
        <v>97.4348</v>
      </c>
      <c r="G110" s="85" t="n">
        <f aca="false">IFERROR(IF(ISNUMBER(INDEX(원자료_잔고!$A$1:$EZ$1500,설정!$L$5+ROW()-1,설정!$L$13)),INDEX(원자료_잔고!$A$1:$EZ$1500,설정!$L$5+ROW()-1,설정!$L$13),""),"")</f>
        <v>5.5637</v>
      </c>
      <c r="H110" s="85" t="n">
        <f aca="false">IFERROR(IF(ISNUMBER(INDEX(원자료_잔고!$A$1:$EZ$1500,설정!$L$5+ROW()-1,설정!$L$14)),INDEX(원자료_잔고!$A$1:$EZ$1500,설정!$L$5+ROW()-1,설정!$L$14),""),"")</f>
        <v>2.2776</v>
      </c>
      <c r="I110" s="86" t="n">
        <f aca="false">IFERROR(IF(ISNUMBER(INDEX(원자료_잔고!$A$1:$EZ$1500,설정!$L$5+ROW()-1,설정!$L$15)),INDEX(원자료_잔고!$A$1:$EZ$1500,설정!$L$5+ROW()-1,설정!$L$15),""),"")</f>
        <v>47583</v>
      </c>
      <c r="J110" s="85" t="n">
        <f aca="false">IFERROR(IF(ISNUMBER(INDEX(원자료_잔고!$A$1:$EZ$1500,설정!$L$5+ROW()-1,설정!$L$16)),INDEX(원자료_잔고!$A$1:$EZ$1500,설정!$L$5+ROW()-1,설정!$L$16),""),"")</f>
        <v>4.555</v>
      </c>
      <c r="K110" s="87" t="n">
        <f aca="false">IFERROR(IF(ISNUMBER(INDEX(원자료_잔고!$A$1:$EZ$1500,설정!$L$5+ROW()-1,설정!$L$17)),INDEX(원자료_잔고!$A$1:$EZ$1500,설정!$L$5+ROW()-1,설정!$L$17),""),"")</f>
        <v>1</v>
      </c>
      <c r="L110" s="84" t="n">
        <f aca="false">IFERROR(IF(ISNUMBER(INDEX(원자료_잔고!$A$1:$EZ$1500,설정!$L$5+ROW()-1,설정!$L$18)),INDEX(원자료_잔고!$A$1:$EZ$1500,설정!$L$5+ROW()-1,설정!$L$18),""),"")</f>
        <v>4871740</v>
      </c>
      <c r="M110" s="88" t="n">
        <f aca="false">IFERROR(IF(ISNUMBER(INDEX(원자료_잔고!$A$1:$EZ$1500,설정!$L$5+ROW()-1,설정!$L$19)),INDEX(원자료_잔고!$A$1:$EZ$1500,설정!$L$5+ROW()-1,설정!$L$19),""),"")</f>
        <v>-116660</v>
      </c>
      <c r="N110" s="83" t="str">
        <f aca="false">IFERROR(IF(INDEX(원자료_잔고!$A$1:$EZ$1500,설정!$L$5+ROW()-1,설정!$L$21)&amp;""="0","",INDEX(원자료_잔고!$A$1:$EZ$1500,설정!$L$5+ROW()-1,설정!$L$21)&amp;""),"")</f>
        <v>A-</v>
      </c>
      <c r="O110" s="83" t="str">
        <f aca="false">IFERROR(IF(INDEX(원자료_잔고!$A$1:$EZ$1500,설정!$L$5+ROW()-1,설정!$L$22)&amp;""="0","",INDEX(원자료_잔고!$A$1:$EZ$1500,설정!$L$5+ROW()-1,설정!$L$22)&amp;""),"")</f>
        <v>A1</v>
      </c>
      <c r="P110" s="83" t="str">
        <f aca="false">IFERROR(IF(INDEX(원자료_잔고!$A$1:$EZ$1500,설정!$L$5+ROW()-1,설정!$L$23)&amp;""="0","",INDEX(원자료_잔고!$A$1:$EZ$1500,설정!$L$5+ROW()-1,설정!$L$23)&amp;""),"")</f>
        <v>A+</v>
      </c>
      <c r="Q110" s="89" t="n">
        <f aca="false">IF(AND($A110&lt;&gt;"",ISNUMBER(E110)),IF(E110&gt;0,1,0),0)</f>
        <v>1</v>
      </c>
      <c r="R110" s="43" t="str">
        <f aca="false">IF(Q110=1,UPPER(LEFT($A110,FIND(" ",$A110&amp;" ")-1)),"")</f>
        <v>MS</v>
      </c>
      <c r="S110" s="89" t="n">
        <f aca="false">IF(Q110=1,IF(OR(ISNUMBER(SEARCH("Float",$A110)),ISNUMBER(SEARCH("FRN",$A110))),1,0),0)</f>
        <v>0</v>
      </c>
      <c r="T110" s="43" t="str">
        <f aca="false">IF(AND(Q110=1,ISNUMBER(I110)),TEXT(I110,"yyyymmdd")&amp;"|"&amp;IF(S110=1,"F",TEXT(J110,"0.000")),"")</f>
        <v>20300410|4.555</v>
      </c>
      <c r="U110" s="90" t="n">
        <f aca="false">IF(AND(Q110=1,ISNUMBER(I110)),(I110-설정!$C$4)/365.25,"")</f>
        <v>3.52361396303901</v>
      </c>
      <c r="V110" s="43" t="str">
        <f aca="false">IF(Q110&lt;&gt;1,"",IF(ISNUMBER(U110),IF(U110&lt;=1,"1년 이하",IF(U110&lt;=2,"1-2년",IF(U110&lt;=3,"2-3년",IF(U110&lt;=4,"3-4년",IF(U110&lt;=5,"4-5년",IF(U110&lt;=7,"5-7년",IF(U110&lt;=10,"7-10년",IF(U110&lt;=20,"10-20년","20년 이상")))))))),"미분류"))</f>
        <v>3-4년</v>
      </c>
      <c r="W110" s="43" t="str">
        <f aca="false">IF(Q110&lt;&gt;1,"",IF(AB110&lt;&gt;"",INDEX(시장분석!$C:$C,AB110),IF(K110=1,"USD","비USD")))</f>
        <v>USD</v>
      </c>
      <c r="X110" s="91" t="n">
        <f aca="false">IF(Q110=1,E110*K110/1000000,0)</f>
        <v>5</v>
      </c>
      <c r="Y110" s="89" t="n">
        <f aca="false">IF(R110="T",1,0)</f>
        <v>0</v>
      </c>
      <c r="Z110" s="92" t="n">
        <f aca="false">IF(Q110&lt;&gt;1,"",IF(AD110=1,IF(ISNUMBER(U110),MAX(U110,0),H110),H110))</f>
        <v>2.2776</v>
      </c>
      <c r="AA110" s="91" t="n">
        <f aca="false">IF(Q110=1,IF(ISNUMBER(L110),L110,0)*K110/1000000,0)</f>
        <v>4.87174</v>
      </c>
      <c r="AB110" s="89" t="n">
        <f aca="false">IF(Q110&lt;&gt;1,"",IFERROR(MATCH(VLOOKUP(B110,매핑!$H$4:$I$15,2,0),시장분석!$A$2:$A$601,0)+1,IFERROR(MATCH(R110&amp;"|"&amp;T110,시장분석!$V$2:$V$601,0)+1,IF(COUNTIF(시장분석!$U$2:$U$601,T110)=1,MATCH(T110,시장분석!$U$2:$U$601,0)+1,""))))</f>
        <v>102</v>
      </c>
      <c r="AC110" s="89" t="n">
        <f aca="false">IF(Q110&lt;&gt;1,0,IF(OR(설정!$C$5="전체",AND(설정!$C$5="선택펀드",IFERROR(COUNTIFS(설정!$F$16:$F$36,C110,설정!$G$16:$G$36,"Y")+COUNTIFS(설정!$F$16:$F$36,VALUE(C110),설정!$G$16:$G$36,"Y"),0)&gt;0),C110&amp;""=설정!$C$5&amp;""),1,0))</f>
        <v>1</v>
      </c>
      <c r="AD110" s="89" t="n">
        <f aca="false">IF(Q110&lt;&gt;1,0,IF(OR(S110=1,IF(AB110="",FALSE(),INDEX(시장분석!$R:$R,AB110)=1)),1,0))</f>
        <v>0</v>
      </c>
      <c r="AE110" s="43" t="str">
        <f aca="false">IF(AB110="","",INDEX(시장분석!$A:$A,AB110))</f>
        <v>MS 4.555 04/10/30</v>
      </c>
      <c r="AF110" s="93" t="n">
        <f aca="false">IF(AB110="","",IF(ISNUMBER(IF(AB110="","",INDEX(시장분석!$E:$E,AB110))),IF(AB110="","",INDEX(시장분석!$E:$E,AB110)),""))</f>
        <v>69.638</v>
      </c>
      <c r="AG110" s="43" t="str">
        <f aca="false">IF(Q110&lt;&gt;1,"",IF(AB110&lt;&gt;"",IF(AB110="","",INDEX(시장분석!$L:$L,AB110)),IFERROR(IF(VLOOKUP(R110,매핑!$A$4:$E$92,5,0)="","미분류",VLOOKUP(R110,매핑!$A$4:$E$92,5,0)),"미분류")))</f>
        <v>금융기관</v>
      </c>
      <c r="AH110" s="43" t="str">
        <f aca="false">IF(Q110&lt;&gt;1,"",IF(AB110&lt;&gt;"",IF(AB110="","",INDEX(시장분석!$N:$N,AB110)),IFERROR(IF(VLOOKUP(R110,매핑!$A$4:$E$92,4,0)="","미분류",VLOOKUP(R110,매핑!$A$4:$E$92,4,0)),"미분류")))</f>
        <v>미국</v>
      </c>
      <c r="AI110" s="43" t="str">
        <f aca="false">IF(Q110&lt;&gt;1,"",IFERROR(IF(VLOOKUP(R110,매핑!$A$4:$E$92,3,0)="","미분류",VLOOKUP(R110,매핑!$A$4:$E$92,3,0)),IF(AB110&lt;&gt;"",IF(AB110="","",INDEX(시장분석!$W:$W,AB110)),"미분류")))</f>
        <v>미국</v>
      </c>
      <c r="AJ110" s="43" t="str">
        <f aca="false">IF(Q110&lt;&gt;1,"",IFERROR(VLOOKUP(IF(N110&lt;&gt;"",N110,IF(P110&lt;&gt;"",P110,O110)),설정!$A$15:$D$47,2,0),""))</f>
        <v>A-</v>
      </c>
      <c r="AK110" s="43" t="str">
        <f aca="false">IF(Q110&lt;&gt;1,"",IF(AJ110="","무등급",IFERROR(VLOOKUP(AJ110,설정!$A$15:$D$47,3,0),"무등급")))</f>
        <v>A</v>
      </c>
      <c r="AL110" s="89" t="n">
        <f aca="false">IF(AJ110="",99,IFERROR(VLOOKUP(AJ110,설정!$A$15:$D$47,4,0),99))</f>
        <v>7</v>
      </c>
      <c r="AM110" s="94" t="n">
        <f aca="false">IF(ISNUMBER(H110),AA110*1000000*H110/10000,0)</f>
        <v>1109.5875024</v>
      </c>
      <c r="AN110" s="94" t="n">
        <f aca="false">IF(OR(Y110=1,NOT(ISNUMBER(Z110))),0,AA110*1000000*Z110/10000)</f>
        <v>1109.5875024</v>
      </c>
      <c r="AO110" s="94" t="n">
        <f aca="false">IF(ISNUMBER(G110),AA110*1000000*G110/100,0)</f>
        <v>271048.99838</v>
      </c>
      <c r="AP110" s="94" t="n">
        <f aca="false">IF(ISNUMBER(M110),M110*K110,0)</f>
        <v>-116660</v>
      </c>
      <c r="AQ110" s="95" t="n">
        <f aca="false">IF(AB110="","",INDEX(시장분석!$AK:$AK,AB110))</f>
        <v>0.314549152132616</v>
      </c>
      <c r="AR110" s="43" t="str">
        <f aca="false">IF(AB110="","-",IF(AB110="","",INDEX(시장분석!$AL:$AL,AB110)))</f>
        <v>Fair</v>
      </c>
      <c r="AS110" s="96" t="n">
        <f aca="false">IF(AB110="","",INDEX(시장분석!$AJ:$AJ,AB110))</f>
        <v>4.30214569582806</v>
      </c>
      <c r="AT110" s="93" t="n">
        <f aca="false">IF(AB110="",0,IF(AB110="","",INDEX(시장분석!$AN:$AN,AB110)))</f>
        <v>11.4360901023634</v>
      </c>
      <c r="AU110" s="94" t="n">
        <f aca="false">IF(ISNUMBER(Z110),AT110/10000*MAX(Z110-1,0)*AA110*1000000,0)</f>
        <v>7117.97689437401</v>
      </c>
      <c r="AV110" s="94" t="n">
        <f aca="false">AO110+AU110</f>
        <v>278166.975274374</v>
      </c>
      <c r="AW110" s="43" t="str">
        <f aca="false">IF(Q110&lt;&gt;1,"",TRIM(IF(AD110=1,"FRN ","")&amp;IF(AND(AL110&gt;=10,AL110&lt;99),"BBB0미만 ","")&amp;IF(AJ110="","등급없음 ","")&amp;IF(K110&lt;&gt;1,"비USD ","")&amp;IF(AND(AB110="",Y110=0),"시장데이터없음 ","")&amp;IF(AND(ISNUMBER(U110),U110&lt;0),"만기경과 ","")))</f>
        <v/>
      </c>
      <c r="AX110" s="90" t="n">
        <f aca="false">IF(Q110&lt;&gt;1,1,IF(스프레드쇼크!$C$4="Y",INDEX(스프레드쇼크!$B$12:$L$16,IFERROR(MATCH(AH110,스프레드쇼크!$A$12:$A$16,0),MATCH("목록외",스프레드쇼크!$A$12:$A$16,0)),IFERROR(MATCH(AG110,스프레드쇼크!$B$11:$L$11,0),MATCH("목록외",스프레드쇼크!$B$11:$L$11,0))),1))</f>
        <v>1</v>
      </c>
      <c r="AY110" s="90" t="n">
        <f aca="false">IF(스프레드쇼크!$C$5="Y",IF(ISNUMBER(AF110),MIN(스프레드쇼크!$C$7,MAX(스프레드쇼크!$C$6,AF110/스프레드쇼크!$C$8)),1),1)</f>
        <v>1.05330177557738</v>
      </c>
      <c r="AZ110" s="94" t="n">
        <f aca="false">AN110*AX110*AY110</f>
        <v>1168.73048643639</v>
      </c>
      <c r="BA110" s="90" t="n">
        <f aca="false">IF(ISNUMBER(G110),AA110*G110,0)</f>
        <v>27.104899838</v>
      </c>
      <c r="BB110" s="90" t="n">
        <f aca="false">IF(ISNUMBER(G110),AA110,0)</f>
        <v>4.87174</v>
      </c>
      <c r="BC110" s="90" t="n">
        <f aca="false">IF(AND(Y110=0,ISNUMBER(AF110)),AA110*AF110,0)</f>
        <v>339.25823012</v>
      </c>
      <c r="BD110" s="90" t="n">
        <f aca="false">IF(AND(Y110=0,ISNUMBER(AF110)),AA110,0)</f>
        <v>4.87174</v>
      </c>
      <c r="BE110" s="90" t="n">
        <f aca="false">IF(ISNUMBER(H110),AA110*H110,0)</f>
        <v>11.095875024</v>
      </c>
      <c r="BF110" s="90" t="n">
        <f aca="false">IF(ISNUMBER(H110),AA110,0)</f>
        <v>4.87174</v>
      </c>
      <c r="BG110" s="90" t="n">
        <f aca="false">IF(AND(Y110=0,ISNUMBER(AF110),ISNUMBER(Z110)),AA110*Z110,0)</f>
        <v>11.095875024</v>
      </c>
      <c r="BH110" s="90" t="n">
        <f aca="false">IF(AND(Y110=0,ISNUMBER(AF110),ISNUMBER(Z110)),AA110*AT110*MAX(Z110-1,0),0)</f>
        <v>71.1797689437401</v>
      </c>
      <c r="BI110" s="90" t="n">
        <f aca="false">IF(Y110=0,AA110,0)</f>
        <v>4.87174</v>
      </c>
    </row>
    <row r="111" customFormat="false" ht="15" hidden="false" customHeight="false" outlineLevel="0" collapsed="false">
      <c r="A111" s="83" t="str">
        <f aca="false">IFERROR(IF(INDEX(원자료_잔고!$A$1:$EZ$1500,설정!$L$5+ROW()-1,설정!$L$8)&amp;""="0","",INDEX(원자료_잔고!$A$1:$EZ$1500,설정!$L$5+ROW()-1,설정!$L$8)&amp;""),"")</f>
        <v>MS 4.788 05/10/30</v>
      </c>
      <c r="B111" s="83" t="str">
        <f aca="false">IFERROR(IF(INDEX(원자료_잔고!$A$1:$EZ$1500,설정!$L$5+ROW()-1,설정!$L$7)&amp;""="0","",INDEX(원자료_잔고!$A$1:$EZ$1500,설정!$L$5+ROW()-1,설정!$L$7)&amp;""),"")</f>
        <v>US61778EUR07</v>
      </c>
      <c r="C111" s="83" t="str">
        <f aca="false">IFERROR(IF(INDEX(원자료_잔고!$A$1:$EZ$1500,설정!$L$5+ROW()-1,설정!$L$9)&amp;""="0","",INDEX(원자료_잔고!$A$1:$EZ$1500,설정!$L$5+ROW()-1,설정!$L$9)&amp;""),"")</f>
        <v>34507</v>
      </c>
      <c r="D11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1" s="84" t="n">
        <f aca="false">IFERROR(IF(ISNUMBER(INDEX(원자료_잔고!$A$1:$EZ$1500,설정!$L$5+ROW()-1,설정!$L$11)),INDEX(원자료_잔고!$A$1:$EZ$1500,설정!$L$5+ROW()-1,설정!$L$11),""),"")</f>
        <v>500000</v>
      </c>
      <c r="F111" s="85" t="n">
        <f aca="false">IFERROR(IF(ISNUMBER(INDEX(원자료_잔고!$A$1:$EZ$1500,설정!$L$5+ROW()-1,설정!$L$12)),INDEX(원자료_잔고!$A$1:$EZ$1500,설정!$L$5+ROW()-1,설정!$L$12),""),"")</f>
        <v>98.0028</v>
      </c>
      <c r="G111" s="85" t="n">
        <f aca="false">IFERROR(IF(ISNUMBER(INDEX(원자료_잔고!$A$1:$EZ$1500,설정!$L$5+ROW()-1,설정!$L$13)),INDEX(원자료_잔고!$A$1:$EZ$1500,설정!$L$5+ROW()-1,설정!$L$13),""),"")</f>
        <v>5.5533</v>
      </c>
      <c r="H111" s="85" t="n">
        <f aca="false">IFERROR(IF(ISNUMBER(INDEX(원자료_잔고!$A$1:$EZ$1500,설정!$L$5+ROW()-1,설정!$L$14)),INDEX(원자료_잔고!$A$1:$EZ$1500,설정!$L$5+ROW()-1,설정!$L$14),""),"")</f>
        <v>2.3459</v>
      </c>
      <c r="I111" s="86" t="n">
        <f aca="false">IFERROR(IF(ISNUMBER(INDEX(원자료_잔고!$A$1:$EZ$1500,설정!$L$5+ROW()-1,설정!$L$15)),INDEX(원자료_잔고!$A$1:$EZ$1500,설정!$L$5+ROW()-1,설정!$L$15),""),"")</f>
        <v>47613</v>
      </c>
      <c r="J111" s="85" t="n">
        <f aca="false">IFERROR(IF(ISNUMBER(INDEX(원자료_잔고!$A$1:$EZ$1500,설정!$L$5+ROW()-1,설정!$L$16)),INDEX(원자료_잔고!$A$1:$EZ$1500,설정!$L$5+ROW()-1,설정!$L$16),""),"")</f>
        <v>4.788</v>
      </c>
      <c r="K111" s="87" t="n">
        <f aca="false">IFERROR(IF(ISNUMBER(INDEX(원자료_잔고!$A$1:$EZ$1500,설정!$L$5+ROW()-1,설정!$L$17)),INDEX(원자료_잔고!$A$1:$EZ$1500,설정!$L$5+ROW()-1,설정!$L$17),""),"")</f>
        <v>1</v>
      </c>
      <c r="L111" s="84" t="n">
        <f aca="false">IFERROR(IF(ISNUMBER(INDEX(원자료_잔고!$A$1:$EZ$1500,설정!$L$5+ROW()-1,설정!$L$18)),INDEX(원자료_잔고!$A$1:$EZ$1500,설정!$L$5+ROW()-1,설정!$L$18),""),"")</f>
        <v>490014</v>
      </c>
      <c r="M111" s="88" t="n">
        <f aca="false">IFERROR(IF(ISNUMBER(INDEX(원자료_잔고!$A$1:$EZ$1500,설정!$L$5+ROW()-1,설정!$L$19)),INDEX(원자료_잔고!$A$1:$EZ$1500,설정!$L$5+ROW()-1,설정!$L$19),""),"")</f>
        <v>-9986</v>
      </c>
      <c r="N111" s="83" t="str">
        <f aca="false">IFERROR(IF(INDEX(원자료_잔고!$A$1:$EZ$1500,설정!$L$5+ROW()-1,설정!$L$21)&amp;""="0","",INDEX(원자료_잔고!$A$1:$EZ$1500,설정!$L$5+ROW()-1,설정!$L$21)&amp;""),"")</f>
        <v>A+</v>
      </c>
      <c r="O111" s="83" t="str">
        <f aca="false">IFERROR(IF(INDEX(원자료_잔고!$A$1:$EZ$1500,설정!$L$5+ROW()-1,설정!$L$22)&amp;""="0","",INDEX(원자료_잔고!$A$1:$EZ$1500,설정!$L$5+ROW()-1,설정!$L$22)&amp;""),"")</f>
        <v/>
      </c>
      <c r="P111" s="83" t="str">
        <f aca="false">IFERROR(IF(INDEX(원자료_잔고!$A$1:$EZ$1500,설정!$L$5+ROW()-1,설정!$L$23)&amp;""="0","",INDEX(원자료_잔고!$A$1:$EZ$1500,설정!$L$5+ROW()-1,설정!$L$23)&amp;""),"")</f>
        <v>AA-</v>
      </c>
      <c r="Q111" s="89" t="n">
        <f aca="false">IF(AND($A111&lt;&gt;"",ISNUMBER(E111)),IF(E111&gt;0,1,0),0)</f>
        <v>1</v>
      </c>
      <c r="R111" s="43" t="str">
        <f aca="false">IF(Q111=1,UPPER(LEFT($A111,FIND(" ",$A111&amp;" ")-1)),"")</f>
        <v>MS</v>
      </c>
      <c r="S111" s="89" t="n">
        <f aca="false">IF(Q111=1,IF(OR(ISNUMBER(SEARCH("Float",$A111)),ISNUMBER(SEARCH("FRN",$A111))),1,0),0)</f>
        <v>0</v>
      </c>
      <c r="T111" s="43" t="str">
        <f aca="false">IF(AND(Q111=1,ISNUMBER(I111)),TEXT(I111,"yyyymmdd")&amp;"|"&amp;IF(S111=1,"F",TEXT(J111,"0.000")),"")</f>
        <v>20300510|4.788</v>
      </c>
      <c r="U111" s="90" t="n">
        <f aca="false">IF(AND(Q111=1,ISNUMBER(I111)),(I111-설정!$C$4)/365.25,"")</f>
        <v>3.60574948665298</v>
      </c>
      <c r="V111" s="43" t="str">
        <f aca="false">IF(Q111&lt;&gt;1,"",IF(ISNUMBER(U111),IF(U111&lt;=1,"1년 이하",IF(U111&lt;=2,"1-2년",IF(U111&lt;=3,"2-3년",IF(U111&lt;=4,"3-4년",IF(U111&lt;=5,"4-5년",IF(U111&lt;=7,"5-7년",IF(U111&lt;=10,"7-10년",IF(U111&lt;=20,"10-20년","20년 이상")))))))),"미분류"))</f>
        <v>3-4년</v>
      </c>
      <c r="W111" s="43" t="str">
        <f aca="false">IF(Q111&lt;&gt;1,"",IF(AB111&lt;&gt;"",INDEX(시장분석!$C:$C,AB111),IF(K111=1,"USD","비USD")))</f>
        <v>USD</v>
      </c>
      <c r="X111" s="91" t="n">
        <f aca="false">IF(Q111=1,E111*K111/1000000,0)</f>
        <v>0.5</v>
      </c>
      <c r="Y111" s="89" t="n">
        <f aca="false">IF(R111="T",1,0)</f>
        <v>0</v>
      </c>
      <c r="Z111" s="92" t="n">
        <f aca="false">IF(Q111&lt;&gt;1,"",IF(AD111=1,IF(ISNUMBER(U111),MAX(U111,0),H111),H111))</f>
        <v>2.3459</v>
      </c>
      <c r="AA111" s="91" t="n">
        <f aca="false">IF(Q111=1,IF(ISNUMBER(L111),L111,0)*K111/1000000,0)</f>
        <v>0.490014</v>
      </c>
      <c r="AB111" s="89" t="n">
        <f aca="false">IF(Q111&lt;&gt;1,"",IFERROR(MATCH(VLOOKUP(B111,매핑!$H$4:$I$15,2,0),시장분석!$A$2:$A$601,0)+1,IFERROR(MATCH(R111&amp;"|"&amp;T111,시장분석!$V$2:$V$601,0)+1,IF(COUNTIF(시장분석!$U$2:$U$601,T111)=1,MATCH(T111,시장분석!$U$2:$U$601,0)+1,""))))</f>
        <v>104</v>
      </c>
      <c r="AC111" s="89" t="n">
        <f aca="false">IF(Q111&lt;&gt;1,0,IF(OR(설정!$C$5="전체",AND(설정!$C$5="선택펀드",IFERROR(COUNTIFS(설정!$F$16:$F$36,C111,설정!$G$16:$G$36,"Y")+COUNTIFS(설정!$F$16:$F$36,VALUE(C111),설정!$G$16:$G$36,"Y"),0)&gt;0),C111&amp;""=설정!$C$5&amp;""),1,0))</f>
        <v>1</v>
      </c>
      <c r="AD111" s="89" t="n">
        <f aca="false">IF(Q111&lt;&gt;1,0,IF(OR(S111=1,IF(AB111="",FALSE(),INDEX(시장분석!$R:$R,AB111)=1)),1,0))</f>
        <v>0</v>
      </c>
      <c r="AE111" s="43" t="str">
        <f aca="false">IF(AB111="","",INDEX(시장분석!$A:$A,AB111))</f>
        <v>MS 4.788 05/10/30</v>
      </c>
      <c r="AF111" s="93" t="n">
        <f aca="false">IF(AB111="","",IF(ISNUMBER(IF(AB111="","",INDEX(시장분석!$E:$E,AB111))),IF(AB111="","",INDEX(시장분석!$E:$E,AB111)),""))</f>
        <v>65.866</v>
      </c>
      <c r="AG111" s="43" t="str">
        <f aca="false">IF(Q111&lt;&gt;1,"",IF(AB111&lt;&gt;"",IF(AB111="","",INDEX(시장분석!$L:$L,AB111)),IFERROR(IF(VLOOKUP(R111,매핑!$A$4:$E$92,5,0)="","미분류",VLOOKUP(R111,매핑!$A$4:$E$92,5,0)),"미분류")))</f>
        <v>금융기관</v>
      </c>
      <c r="AH111" s="43" t="str">
        <f aca="false">IF(Q111&lt;&gt;1,"",IF(AB111&lt;&gt;"",IF(AB111="","",INDEX(시장분석!$N:$N,AB111)),IFERROR(IF(VLOOKUP(R111,매핑!$A$4:$E$92,4,0)="","미분류",VLOOKUP(R111,매핑!$A$4:$E$92,4,0)),"미분류")))</f>
        <v>미국</v>
      </c>
      <c r="AI111" s="43" t="str">
        <f aca="false">IF(Q111&lt;&gt;1,"",IFERROR(IF(VLOOKUP(R111,매핑!$A$4:$E$92,3,0)="","미분류",VLOOKUP(R111,매핑!$A$4:$E$92,3,0)),IF(AB111&lt;&gt;"",IF(AB111="","",INDEX(시장분석!$W:$W,AB111)),"미분류")))</f>
        <v>미국</v>
      </c>
      <c r="AJ111" s="43" t="str">
        <f aca="false">IF(Q111&lt;&gt;1,"",IFERROR(VLOOKUP(IF(N111&lt;&gt;"",N111,IF(P111&lt;&gt;"",P111,O111)),설정!$A$15:$D$47,2,0),""))</f>
        <v>A+</v>
      </c>
      <c r="AK111" s="43" t="str">
        <f aca="false">IF(Q111&lt;&gt;1,"",IF(AJ111="","무등급",IFERROR(VLOOKUP(AJ111,설정!$A$15:$D$47,3,0),"무등급")))</f>
        <v>A</v>
      </c>
      <c r="AL111" s="89" t="n">
        <f aca="false">IF(AJ111="",99,IFERROR(VLOOKUP(AJ111,설정!$A$15:$D$47,4,0),99))</f>
        <v>5</v>
      </c>
      <c r="AM111" s="94" t="n">
        <f aca="false">IF(ISNUMBER(H111),AA111*1000000*H111/10000,0)</f>
        <v>114.95238426</v>
      </c>
      <c r="AN111" s="94" t="n">
        <f aca="false">IF(OR(Y111=1,NOT(ISNUMBER(Z111))),0,AA111*1000000*Z111/10000)</f>
        <v>114.95238426</v>
      </c>
      <c r="AO111" s="94" t="n">
        <f aca="false">IF(ISNUMBER(G111),AA111*1000000*G111/100,0)</f>
        <v>27211.947462</v>
      </c>
      <c r="AP111" s="94" t="n">
        <f aca="false">IF(ISNUMBER(M111),M111*K111,0)</f>
        <v>-9986</v>
      </c>
      <c r="AQ111" s="95" t="n">
        <f aca="false">IF(AB111="","",INDEX(시장분석!$AK:$AK,AB111))</f>
        <v>-0.00744534322258761</v>
      </c>
      <c r="AR111" s="43" t="str">
        <f aca="false">IF(AB111="","-",IF(AB111="","",INDEX(시장분석!$AL:$AL,AB111)))</f>
        <v>Fair</v>
      </c>
      <c r="AS111" s="96" t="n">
        <f aca="false">IF(AB111="","",INDEX(시장분석!$AJ:$AJ,AB111))</f>
        <v>-0.101831307068707</v>
      </c>
      <c r="AT111" s="93" t="n">
        <f aca="false">IF(AB111="",0,IF(AB111="","",INDEX(시장분석!$AN:$AN,AB111)))</f>
        <v>10.9830588029506</v>
      </c>
      <c r="AU111" s="94" t="n">
        <f aca="false">IF(ISNUMBER(Z111),AT111/10000*MAX(Z111-1,0)*AA111*1000000,0)</f>
        <v>724.343538240052</v>
      </c>
      <c r="AV111" s="94" t="n">
        <f aca="false">AO111+AU111</f>
        <v>27936.2910002401</v>
      </c>
      <c r="AW111" s="43" t="str">
        <f aca="false">IF(Q111&lt;&gt;1,"",TRIM(IF(AD111=1,"FRN ","")&amp;IF(AND(AL111&gt;=10,AL111&lt;99),"BBB0미만 ","")&amp;IF(AJ111="","등급없음 ","")&amp;IF(K111&lt;&gt;1,"비USD ","")&amp;IF(AND(AB111="",Y111=0),"시장데이터없음 ","")&amp;IF(AND(ISNUMBER(U111),U111&lt;0),"만기경과 ","")))</f>
        <v/>
      </c>
      <c r="AX111" s="90" t="n">
        <f aca="false">IF(Q111&lt;&gt;1,1,IF(스프레드쇼크!$C$4="Y",INDEX(스프레드쇼크!$B$12:$L$16,IFERROR(MATCH(AH111,스프레드쇼크!$A$12:$A$16,0),MATCH("목록외",스프레드쇼크!$A$12:$A$16,0)),IFERROR(MATCH(AG111,스프레드쇼크!$B$11:$L$11,0),MATCH("목록외",스프레드쇼크!$B$11:$L$11,0))),1))</f>
        <v>1</v>
      </c>
      <c r="AY111" s="90" t="n">
        <f aca="false">IF(스프레드쇼크!$C$5="Y",IF(ISNUMBER(AF111),MIN(스프레드쇼크!$C$7,MAX(스프레드쇼크!$C$6,AF111/스프레드쇼크!$C$8)),1),1)</f>
        <v>0.996248811714576</v>
      </c>
      <c r="AZ111" s="94" t="n">
        <f aca="false">AN111*AX111*AY111</f>
        <v>114.521176222782</v>
      </c>
      <c r="BA111" s="90" t="n">
        <f aca="false">IF(ISNUMBER(G111),AA111*G111,0)</f>
        <v>2.7211947462</v>
      </c>
      <c r="BB111" s="90" t="n">
        <f aca="false">IF(ISNUMBER(G111),AA111,0)</f>
        <v>0.490014</v>
      </c>
      <c r="BC111" s="90" t="n">
        <f aca="false">IF(AND(Y111=0,ISNUMBER(AF111)),AA111*AF111,0)</f>
        <v>32.275262124</v>
      </c>
      <c r="BD111" s="90" t="n">
        <f aca="false">IF(AND(Y111=0,ISNUMBER(AF111)),AA111,0)</f>
        <v>0.490014</v>
      </c>
      <c r="BE111" s="90" t="n">
        <f aca="false">IF(ISNUMBER(H111),AA111*H111,0)</f>
        <v>1.1495238426</v>
      </c>
      <c r="BF111" s="90" t="n">
        <f aca="false">IF(ISNUMBER(H111),AA111,0)</f>
        <v>0.490014</v>
      </c>
      <c r="BG111" s="90" t="n">
        <f aca="false">IF(AND(Y111=0,ISNUMBER(AF111),ISNUMBER(Z111)),AA111*Z111,0)</f>
        <v>1.1495238426</v>
      </c>
      <c r="BH111" s="90" t="n">
        <f aca="false">IF(AND(Y111=0,ISNUMBER(AF111),ISNUMBER(Z111)),AA111*AT111*MAX(Z111-1,0),0)</f>
        <v>7.24343538240052</v>
      </c>
      <c r="BI111" s="90" t="n">
        <f aca="false">IF(Y111=0,AA111,0)</f>
        <v>0.490014</v>
      </c>
    </row>
    <row r="112" customFormat="false" ht="15" hidden="false" customHeight="false" outlineLevel="0" collapsed="false">
      <c r="A112" s="83" t="str">
        <f aca="false">IFERROR(IF(INDEX(원자료_잔고!$A$1:$EZ$1500,설정!$L$5+ROW()-1,설정!$L$8)&amp;""="0","",INDEX(원자료_잔고!$A$1:$EZ$1500,설정!$L$5+ROW()-1,설정!$L$8)&amp;""),"")</f>
        <v>NOMURA 5.491 06/29/35</v>
      </c>
      <c r="B112" s="83" t="str">
        <f aca="false">IFERROR(IF(INDEX(원자료_잔고!$A$1:$EZ$1500,설정!$L$5+ROW()-1,설정!$L$7)&amp;""="0","",INDEX(원자료_잔고!$A$1:$EZ$1500,설정!$L$5+ROW()-1,설정!$L$7)&amp;""),"")</f>
        <v>US65535HCB33</v>
      </c>
      <c r="C112" s="83" t="str">
        <f aca="false">IFERROR(IF(INDEX(원자료_잔고!$A$1:$EZ$1500,설정!$L$5+ROW()-1,설정!$L$9)&amp;""="0","",INDEX(원자료_잔고!$A$1:$EZ$1500,설정!$L$5+ROW()-1,설정!$L$9)&amp;""),"")</f>
        <v>34507</v>
      </c>
      <c r="D11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2" s="84" t="n">
        <f aca="false">IFERROR(IF(ISNUMBER(INDEX(원자료_잔고!$A$1:$EZ$1500,설정!$L$5+ROW()-1,설정!$L$11)),INDEX(원자료_잔고!$A$1:$EZ$1500,설정!$L$5+ROW()-1,설정!$L$11),""),"")</f>
        <v>500000</v>
      </c>
      <c r="F112" s="85" t="n">
        <f aca="false">IFERROR(IF(ISNUMBER(INDEX(원자료_잔고!$A$1:$EZ$1500,설정!$L$5+ROW()-1,설정!$L$12)),INDEX(원자료_잔고!$A$1:$EZ$1500,설정!$L$5+ROW()-1,설정!$L$12),""),"")</f>
        <v>96.0392</v>
      </c>
      <c r="G112" s="85" t="n">
        <f aca="false">IFERROR(IF(ISNUMBER(INDEX(원자료_잔고!$A$1:$EZ$1500,설정!$L$5+ROW()-1,설정!$L$13)),INDEX(원자료_잔고!$A$1:$EZ$1500,설정!$L$5+ROW()-1,설정!$L$13),""),"")</f>
        <v>6.0797</v>
      </c>
      <c r="H112" s="85" t="n">
        <f aca="false">IFERROR(IF(ISNUMBER(INDEX(원자료_잔고!$A$1:$EZ$1500,설정!$L$5+ROW()-1,설정!$L$14)),INDEX(원자료_잔고!$A$1:$EZ$1500,설정!$L$5+ROW()-1,설정!$L$14),""),"")</f>
        <v>6.6504</v>
      </c>
      <c r="I112" s="86" t="n">
        <f aca="false">IFERROR(IF(ISNUMBER(INDEX(원자료_잔고!$A$1:$EZ$1500,설정!$L$5+ROW()-1,설정!$L$15)),INDEX(원자료_잔고!$A$1:$EZ$1500,설정!$L$5+ROW()-1,설정!$L$15),""),"")</f>
        <v>49489</v>
      </c>
      <c r="J112" s="85" t="n">
        <f aca="false">IFERROR(IF(ISNUMBER(INDEX(원자료_잔고!$A$1:$EZ$1500,설정!$L$5+ROW()-1,설정!$L$16)),INDEX(원자료_잔고!$A$1:$EZ$1500,설정!$L$5+ROW()-1,설정!$L$16),""),"")</f>
        <v>5.491</v>
      </c>
      <c r="K112" s="87" t="n">
        <f aca="false">IFERROR(IF(ISNUMBER(INDEX(원자료_잔고!$A$1:$EZ$1500,설정!$L$5+ROW()-1,설정!$L$17)),INDEX(원자료_잔고!$A$1:$EZ$1500,설정!$L$5+ROW()-1,설정!$L$17),""),"")</f>
        <v>1</v>
      </c>
      <c r="L112" s="84" t="n">
        <f aca="false">IFERROR(IF(ISNUMBER(INDEX(원자료_잔고!$A$1:$EZ$1500,설정!$L$5+ROW()-1,설정!$L$18)),INDEX(원자료_잔고!$A$1:$EZ$1500,설정!$L$5+ROW()-1,설정!$L$18),""),"")</f>
        <v>480196</v>
      </c>
      <c r="M112" s="88" t="n">
        <f aca="false">IFERROR(IF(ISNUMBER(INDEX(원자료_잔고!$A$1:$EZ$1500,설정!$L$5+ROW()-1,설정!$L$19)),INDEX(원자료_잔고!$A$1:$EZ$1500,설정!$L$5+ROW()-1,설정!$L$19),""),"")</f>
        <v>-36424.5</v>
      </c>
      <c r="N112" s="83" t="str">
        <f aca="false">IFERROR(IF(INDEX(원자료_잔고!$A$1:$EZ$1500,설정!$L$5+ROW()-1,설정!$L$21)&amp;""="0","",INDEX(원자료_잔고!$A$1:$EZ$1500,설정!$L$5+ROW()-1,설정!$L$21)&amp;""),"")</f>
        <v>BBB+</v>
      </c>
      <c r="O112" s="83" t="str">
        <f aca="false">IFERROR(IF(INDEX(원자료_잔고!$A$1:$EZ$1500,설정!$L$5+ROW()-1,설정!$L$22)&amp;""="0","",INDEX(원자료_잔고!$A$1:$EZ$1500,설정!$L$5+ROW()-1,설정!$L$22)&amp;""),"")</f>
        <v/>
      </c>
      <c r="P112" s="83" t="str">
        <f aca="false">IFERROR(IF(INDEX(원자료_잔고!$A$1:$EZ$1500,설정!$L$5+ROW()-1,설정!$L$23)&amp;""="0","",INDEX(원자료_잔고!$A$1:$EZ$1500,설정!$L$5+ROW()-1,설정!$L$23)&amp;""),"")</f>
        <v>A-</v>
      </c>
      <c r="Q112" s="89" t="n">
        <f aca="false">IF(AND($A112&lt;&gt;"",ISNUMBER(E112)),IF(E112&gt;0,1,0),0)</f>
        <v>1</v>
      </c>
      <c r="R112" s="43" t="str">
        <f aca="false">IF(Q112=1,UPPER(LEFT($A112,FIND(" ",$A112&amp;" ")-1)),"")</f>
        <v>NOMURA</v>
      </c>
      <c r="S112" s="89" t="n">
        <f aca="false">IF(Q112=1,IF(OR(ISNUMBER(SEARCH("Float",$A112)),ISNUMBER(SEARCH("FRN",$A112))),1,0),0)</f>
        <v>0</v>
      </c>
      <c r="T112" s="43" t="str">
        <f aca="false">IF(AND(Q112=1,ISNUMBER(I112)),TEXT(I112,"yyyymmdd")&amp;"|"&amp;IF(S112=1,"F",TEXT(J112,"0.000")),"")</f>
        <v>20350629|5.491</v>
      </c>
      <c r="U112" s="90" t="n">
        <f aca="false">IF(AND(Q112=1,ISNUMBER(I112)),(I112-설정!$C$4)/365.25,"")</f>
        <v>8.7419575633128</v>
      </c>
      <c r="V112" s="43" t="str">
        <f aca="false">IF(Q112&lt;&gt;1,"",IF(ISNUMBER(U112),IF(U112&lt;=1,"1년 이하",IF(U112&lt;=2,"1-2년",IF(U112&lt;=3,"2-3년",IF(U112&lt;=4,"3-4년",IF(U112&lt;=5,"4-5년",IF(U112&lt;=7,"5-7년",IF(U112&lt;=10,"7-10년",IF(U112&lt;=20,"10-20년","20년 이상")))))))),"미분류"))</f>
        <v>7-10년</v>
      </c>
      <c r="W112" s="43" t="str">
        <f aca="false">IF(Q112&lt;&gt;1,"",IF(AB112&lt;&gt;"",INDEX(시장분석!$C:$C,AB112),IF(K112=1,"USD","비USD")))</f>
        <v>USD</v>
      </c>
      <c r="X112" s="91" t="n">
        <f aca="false">IF(Q112=1,E112*K112/1000000,0)</f>
        <v>0.5</v>
      </c>
      <c r="Y112" s="89" t="n">
        <f aca="false">IF(R112="T",1,0)</f>
        <v>0</v>
      </c>
      <c r="Z112" s="92" t="n">
        <f aca="false">IF(Q112&lt;&gt;1,"",IF(AD112=1,IF(ISNUMBER(U112),MAX(U112,0),H112),H112))</f>
        <v>6.6504</v>
      </c>
      <c r="AA112" s="91" t="n">
        <f aca="false">IF(Q112=1,IF(ISNUMBER(L112),L112,0)*K112/1000000,0)</f>
        <v>0.480196</v>
      </c>
      <c r="AB112" s="89" t="n">
        <f aca="false">IF(Q112&lt;&gt;1,"",IFERROR(MATCH(VLOOKUP(B112,매핑!$H$4:$I$15,2,0),시장분석!$A$2:$A$601,0)+1,IFERROR(MATCH(R112&amp;"|"&amp;T112,시장분석!$V$2:$V$601,0)+1,IF(COUNTIF(시장분석!$U$2:$U$601,T112)=1,MATCH(T112,시장분석!$U$2:$U$601,0)+1,""))))</f>
        <v>107</v>
      </c>
      <c r="AC112" s="89" t="n">
        <f aca="false">IF(Q112&lt;&gt;1,0,IF(OR(설정!$C$5="전체",AND(설정!$C$5="선택펀드",IFERROR(COUNTIFS(설정!$F$16:$F$36,C112,설정!$G$16:$G$36,"Y")+COUNTIFS(설정!$F$16:$F$36,VALUE(C112),설정!$G$16:$G$36,"Y"),0)&gt;0),C112&amp;""=설정!$C$5&amp;""),1,0))</f>
        <v>1</v>
      </c>
      <c r="AD112" s="89" t="n">
        <f aca="false">IF(Q112&lt;&gt;1,0,IF(OR(S112=1,IF(AB112="",FALSE(),INDEX(시장분석!$R:$R,AB112)=1)),1,0))</f>
        <v>0</v>
      </c>
      <c r="AE112" s="43" t="str">
        <f aca="false">IF(AB112="","",INDEX(시장분석!$A:$A,AB112))</f>
        <v>NOMURA 5.491 06/29/35</v>
      </c>
      <c r="AF112" s="93" t="n">
        <f aca="false">IF(AB112="","",IF(ISNUMBER(IF(AB112="","",INDEX(시장분석!$E:$E,AB112))),IF(AB112="","",INDEX(시장분석!$E:$E,AB112)),""))</f>
        <v>84.802</v>
      </c>
      <c r="AG112" s="43" t="str">
        <f aca="false">IF(Q112&lt;&gt;1,"",IF(AB112&lt;&gt;"",IF(AB112="","",INDEX(시장분석!$L:$L,AB112)),IFERROR(IF(VLOOKUP(R112,매핑!$A$4:$E$92,5,0)="","미분류",VLOOKUP(R112,매핑!$A$4:$E$92,5,0)),"미분류")))</f>
        <v>금융기관</v>
      </c>
      <c r="AH112" s="43" t="str">
        <f aca="false">IF(Q112&lt;&gt;1,"",IF(AB112&lt;&gt;"",IF(AB112="","",INDEX(시장분석!$N:$N,AB112)),IFERROR(IF(VLOOKUP(R112,매핑!$A$4:$E$92,4,0)="","미분류",VLOOKUP(R112,매핑!$A$4:$E$92,4,0)),"미분류")))</f>
        <v>아시아/기타</v>
      </c>
      <c r="AI112" s="43" t="str">
        <f aca="false">IF(Q112&lt;&gt;1,"",IFERROR(IF(VLOOKUP(R112,매핑!$A$4:$E$92,3,0)="","미분류",VLOOKUP(R112,매핑!$A$4:$E$92,3,0)),IF(AB112&lt;&gt;"",IF(AB112="","",INDEX(시장분석!$W:$W,AB112)),"미분류")))</f>
        <v>일본</v>
      </c>
      <c r="AJ112" s="43" t="str">
        <f aca="false">IF(Q112&lt;&gt;1,"",IFERROR(VLOOKUP(IF(N112&lt;&gt;"",N112,IF(P112&lt;&gt;"",P112,O112)),설정!$A$15:$D$47,2,0),""))</f>
        <v>BBB+</v>
      </c>
      <c r="AK112" s="43" t="str">
        <f aca="false">IF(Q112&lt;&gt;1,"",IF(AJ112="","무등급",IFERROR(VLOOKUP(AJ112,설정!$A$15:$D$47,3,0),"무등급")))</f>
        <v>BBB</v>
      </c>
      <c r="AL112" s="89" t="n">
        <f aca="false">IF(AJ112="",99,IFERROR(VLOOKUP(AJ112,설정!$A$15:$D$47,4,0),99))</f>
        <v>8</v>
      </c>
      <c r="AM112" s="94" t="n">
        <f aca="false">IF(ISNUMBER(H112),AA112*1000000*H112/10000,0)</f>
        <v>319.34954784</v>
      </c>
      <c r="AN112" s="94" t="n">
        <f aca="false">IF(OR(Y112=1,NOT(ISNUMBER(Z112))),0,AA112*1000000*Z112/10000)</f>
        <v>319.34954784</v>
      </c>
      <c r="AO112" s="94" t="n">
        <f aca="false">IF(ISNUMBER(G112),AA112*1000000*G112/100,0)</f>
        <v>29194.476212</v>
      </c>
      <c r="AP112" s="94" t="n">
        <f aca="false">IF(ISNUMBER(M112),M112*K112,0)</f>
        <v>-36424.5</v>
      </c>
      <c r="AQ112" s="95" t="n">
        <f aca="false">IF(AB112="","",INDEX(시장분석!$AK:$AK,AB112))</f>
        <v>0.379651724879629</v>
      </c>
      <c r="AR112" s="43" t="str">
        <f aca="false">IF(AB112="","-",IF(AB112="","",INDEX(시장분석!$AL:$AL,AB112)))</f>
        <v>Fair</v>
      </c>
      <c r="AS112" s="96" t="n">
        <f aca="false">IF(AB112="","",INDEX(시장분석!$AJ:$AJ,AB112))</f>
        <v>7.77283282655755</v>
      </c>
      <c r="AT112" s="93" t="n">
        <f aca="false">IF(AB112="",0,IF(AB112="","",INDEX(시장분석!$AN:$AN,AB112)))</f>
        <v>2.17440172793764</v>
      </c>
      <c r="AU112" s="94" t="n">
        <f aca="false">IF(ISNUMBER(Z112),AT112/10000*MAX(Z112-1,0)*AA112*1000000,0)</f>
        <v>589.980307424527</v>
      </c>
      <c r="AV112" s="94" t="n">
        <f aca="false">AO112+AU112</f>
        <v>29784.4565194245</v>
      </c>
      <c r="AW112" s="43" t="str">
        <f aca="false">IF(Q112&lt;&gt;1,"",TRIM(IF(AD112=1,"FRN ","")&amp;IF(AND(AL112&gt;=10,AL112&lt;99),"BBB0미만 ","")&amp;IF(AJ112="","등급없음 ","")&amp;IF(K112&lt;&gt;1,"비USD ","")&amp;IF(AND(AB112="",Y112=0),"시장데이터없음 ","")&amp;IF(AND(ISNUMBER(U112),U112&lt;0),"만기경과 ","")))</f>
        <v/>
      </c>
      <c r="AX112" s="90" t="n">
        <f aca="false">IF(Q112&lt;&gt;1,1,IF(스프레드쇼크!$C$4="Y",INDEX(스프레드쇼크!$B$12:$L$16,IFERROR(MATCH(AH112,스프레드쇼크!$A$12:$A$16,0),MATCH("목록외",스프레드쇼크!$A$12:$A$16,0)),IFERROR(MATCH(AG112,스프레드쇼크!$B$11:$L$11,0),MATCH("목록외",스프레드쇼크!$B$11:$L$11,0))),1))</f>
        <v>1</v>
      </c>
      <c r="AY112" s="90" t="n">
        <f aca="false">IF(스프레드쇼크!$C$5="Y",IF(ISNUMBER(AF112),MIN(스프레드쇼크!$C$7,MAX(스프레드쇼크!$C$6,AF112/스프레드쇼크!$C$8)),1),1)</f>
        <v>1.28266316052318</v>
      </c>
      <c r="AZ112" s="94" t="n">
        <f aca="false">AN112*AX112*AY112</f>
        <v>409.617900344102</v>
      </c>
      <c r="BA112" s="90" t="n">
        <f aca="false">IF(ISNUMBER(G112),AA112*G112,0)</f>
        <v>2.9194476212</v>
      </c>
      <c r="BB112" s="90" t="n">
        <f aca="false">IF(ISNUMBER(G112),AA112,0)</f>
        <v>0.480196</v>
      </c>
      <c r="BC112" s="90" t="n">
        <f aca="false">IF(AND(Y112=0,ISNUMBER(AF112)),AA112*AF112,0)</f>
        <v>40.721581192</v>
      </c>
      <c r="BD112" s="90" t="n">
        <f aca="false">IF(AND(Y112=0,ISNUMBER(AF112)),AA112,0)</f>
        <v>0.480196</v>
      </c>
      <c r="BE112" s="90" t="n">
        <f aca="false">IF(ISNUMBER(H112),AA112*H112,0)</f>
        <v>3.1934954784</v>
      </c>
      <c r="BF112" s="90" t="n">
        <f aca="false">IF(ISNUMBER(H112),AA112,0)</f>
        <v>0.480196</v>
      </c>
      <c r="BG112" s="90" t="n">
        <f aca="false">IF(AND(Y112=0,ISNUMBER(AF112),ISNUMBER(Z112)),AA112*Z112,0)</f>
        <v>3.1934954784</v>
      </c>
      <c r="BH112" s="90" t="n">
        <f aca="false">IF(AND(Y112=0,ISNUMBER(AF112),ISNUMBER(Z112)),AA112*AT112*MAX(Z112-1,0),0)</f>
        <v>5.89980307424527</v>
      </c>
      <c r="BI112" s="90" t="n">
        <f aca="false">IF(Y112=0,AA112,0)</f>
        <v>0.480196</v>
      </c>
    </row>
    <row r="113" customFormat="false" ht="15" hidden="false" customHeight="false" outlineLevel="0" collapsed="false">
      <c r="A113" s="83" t="str">
        <f aca="false">IFERROR(IF(INDEX(원자료_잔고!$A$1:$EZ$1500,설정!$L$5+ROW()-1,설정!$L$8)&amp;""="0","",INDEX(원자료_잔고!$A$1:$EZ$1500,설정!$L$5+ROW()-1,설정!$L$8)&amp;""),"")</f>
        <v>NOMURA 4.996 06/29/29</v>
      </c>
      <c r="B113" s="83" t="str">
        <f aca="false">IFERROR(IF(INDEX(원자료_잔고!$A$1:$EZ$1500,설정!$L$5+ROW()-1,설정!$L$7)&amp;""="0","",INDEX(원자료_잔고!$A$1:$EZ$1500,설정!$L$5+ROW()-1,설정!$L$7)&amp;""),"")</f>
        <v>US65535HCK32</v>
      </c>
      <c r="C113" s="83" t="str">
        <f aca="false">IFERROR(IF(INDEX(원자료_잔고!$A$1:$EZ$1500,설정!$L$5+ROW()-1,설정!$L$9)&amp;""="0","",INDEX(원자료_잔고!$A$1:$EZ$1500,설정!$L$5+ROW()-1,설정!$L$9)&amp;""),"")</f>
        <v>34507</v>
      </c>
      <c r="D11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3" s="84" t="n">
        <f aca="false">IFERROR(IF(ISNUMBER(INDEX(원자료_잔고!$A$1:$EZ$1500,설정!$L$5+ROW()-1,설정!$L$11)),INDEX(원자료_잔고!$A$1:$EZ$1500,설정!$L$5+ROW()-1,설정!$L$11),""),"")</f>
        <v>1000000</v>
      </c>
      <c r="F113" s="85" t="n">
        <f aca="false">IFERROR(IF(ISNUMBER(INDEX(원자료_잔고!$A$1:$EZ$1500,설정!$L$5+ROW()-1,설정!$L$12)),INDEX(원자료_잔고!$A$1:$EZ$1500,설정!$L$5+ROW()-1,설정!$L$12),""),"")</f>
        <v>98.3078</v>
      </c>
      <c r="G113" s="85" t="n">
        <f aca="false">IFERROR(IF(ISNUMBER(INDEX(원자료_잔고!$A$1:$EZ$1500,설정!$L$5+ROW()-1,설정!$L$13)),INDEX(원자료_잔고!$A$1:$EZ$1500,설정!$L$5+ROW()-1,설정!$L$13),""),"")</f>
        <v>5.6659</v>
      </c>
      <c r="H113" s="85" t="n">
        <f aca="false">IFERROR(IF(ISNUMBER(INDEX(원자료_잔고!$A$1:$EZ$1500,설정!$L$5+ROW()-1,설정!$L$14)),INDEX(원자료_잔고!$A$1:$EZ$1500,설정!$L$5+ROW()-1,설정!$L$14),""),"")</f>
        <v>2.4743</v>
      </c>
      <c r="I113" s="86" t="n">
        <f aca="false">IFERROR(IF(ISNUMBER(INDEX(원자료_잔고!$A$1:$EZ$1500,설정!$L$5+ROW()-1,설정!$L$15)),INDEX(원자료_잔고!$A$1:$EZ$1500,설정!$L$5+ROW()-1,설정!$L$15),""),"")</f>
        <v>47298</v>
      </c>
      <c r="J113" s="85" t="n">
        <f aca="false">IFERROR(IF(ISNUMBER(INDEX(원자료_잔고!$A$1:$EZ$1500,설정!$L$5+ROW()-1,설정!$L$16)),INDEX(원자료_잔고!$A$1:$EZ$1500,설정!$L$5+ROW()-1,설정!$L$16),""),"")</f>
        <v>4.996</v>
      </c>
      <c r="K113" s="87" t="n">
        <f aca="false">IFERROR(IF(ISNUMBER(INDEX(원자료_잔고!$A$1:$EZ$1500,설정!$L$5+ROW()-1,설정!$L$17)),INDEX(원자료_잔고!$A$1:$EZ$1500,설정!$L$5+ROW()-1,설정!$L$17),""),"")</f>
        <v>1</v>
      </c>
      <c r="L113" s="84" t="n">
        <f aca="false">IFERROR(IF(ISNUMBER(INDEX(원자료_잔고!$A$1:$EZ$1500,설정!$L$5+ROW()-1,설정!$L$18)),INDEX(원자료_잔고!$A$1:$EZ$1500,설정!$L$5+ROW()-1,설정!$L$18),""),"")</f>
        <v>983078</v>
      </c>
      <c r="M113" s="88" t="n">
        <f aca="false">IFERROR(IF(ISNUMBER(INDEX(원자료_잔고!$A$1:$EZ$1500,설정!$L$5+ROW()-1,설정!$L$19)),INDEX(원자료_잔고!$A$1:$EZ$1500,설정!$L$5+ROW()-1,설정!$L$19),""),"")</f>
        <v>-16922</v>
      </c>
      <c r="N113" s="83" t="str">
        <f aca="false">IFERROR(IF(INDEX(원자료_잔고!$A$1:$EZ$1500,설정!$L$5+ROW()-1,설정!$L$21)&amp;""="0","",INDEX(원자료_잔고!$A$1:$EZ$1500,설정!$L$5+ROW()-1,설정!$L$21)&amp;""),"")</f>
        <v>BBB+</v>
      </c>
      <c r="O113" s="83" t="str">
        <f aca="false">IFERROR(IF(INDEX(원자료_잔고!$A$1:$EZ$1500,설정!$L$5+ROW()-1,설정!$L$22)&amp;""="0","",INDEX(원자료_잔고!$A$1:$EZ$1500,설정!$L$5+ROW()-1,설정!$L$22)&amp;""),"")</f>
        <v/>
      </c>
      <c r="P113" s="83" t="str">
        <f aca="false">IFERROR(IF(INDEX(원자료_잔고!$A$1:$EZ$1500,설정!$L$5+ROW()-1,설정!$L$23)&amp;""="0","",INDEX(원자료_잔고!$A$1:$EZ$1500,설정!$L$5+ROW()-1,설정!$L$23)&amp;""),"")</f>
        <v>A-</v>
      </c>
      <c r="Q113" s="89" t="n">
        <f aca="false">IF(AND($A113&lt;&gt;"",ISNUMBER(E113)),IF(E113&gt;0,1,0),0)</f>
        <v>1</v>
      </c>
      <c r="R113" s="43" t="str">
        <f aca="false">IF(Q113=1,UPPER(LEFT($A113,FIND(" ",$A113&amp;" ")-1)),"")</f>
        <v>NOMURA</v>
      </c>
      <c r="S113" s="89" t="n">
        <f aca="false">IF(Q113=1,IF(OR(ISNUMBER(SEARCH("Float",$A113)),ISNUMBER(SEARCH("FRN",$A113))),1,0),0)</f>
        <v>0</v>
      </c>
      <c r="T113" s="43" t="str">
        <f aca="false">IF(AND(Q113=1,ISNUMBER(I113)),TEXT(I113,"yyyymmdd")&amp;"|"&amp;IF(S113=1,"F",TEXT(J113,"0.000")),"")</f>
        <v>20290629|4.996</v>
      </c>
      <c r="U113" s="90" t="n">
        <f aca="false">IF(AND(Q113=1,ISNUMBER(I113)),(I113-설정!$C$4)/365.25,"")</f>
        <v>2.74332648870637</v>
      </c>
      <c r="V113" s="43" t="str">
        <f aca="false">IF(Q113&lt;&gt;1,"",IF(ISNUMBER(U113),IF(U113&lt;=1,"1년 이하",IF(U113&lt;=2,"1-2년",IF(U113&lt;=3,"2-3년",IF(U113&lt;=4,"3-4년",IF(U113&lt;=5,"4-5년",IF(U113&lt;=7,"5-7년",IF(U113&lt;=10,"7-10년",IF(U113&lt;=20,"10-20년","20년 이상")))))))),"미분류"))</f>
        <v>2-3년</v>
      </c>
      <c r="W113" s="43" t="str">
        <f aca="false">IF(Q113&lt;&gt;1,"",IF(AB113&lt;&gt;"",INDEX(시장분석!$C:$C,AB113),IF(K113=1,"USD","비USD")))</f>
        <v>USD</v>
      </c>
      <c r="X113" s="91" t="n">
        <f aca="false">IF(Q113=1,E113*K113/1000000,0)</f>
        <v>1</v>
      </c>
      <c r="Y113" s="89" t="n">
        <f aca="false">IF(R113="T",1,0)</f>
        <v>0</v>
      </c>
      <c r="Z113" s="92" t="n">
        <f aca="false">IF(Q113&lt;&gt;1,"",IF(AD113=1,IF(ISNUMBER(U113),MAX(U113,0),H113),H113))</f>
        <v>2.4743</v>
      </c>
      <c r="AA113" s="91" t="n">
        <f aca="false">IF(Q113=1,IF(ISNUMBER(L113),L113,0)*K113/1000000,0)</f>
        <v>0.983078</v>
      </c>
      <c r="AB113" s="89" t="n">
        <f aca="false">IF(Q113&lt;&gt;1,"",IFERROR(MATCH(VLOOKUP(B113,매핑!$H$4:$I$15,2,0),시장분석!$A$2:$A$601,0)+1,IFERROR(MATCH(R113&amp;"|"&amp;T113,시장분석!$V$2:$V$601,0)+1,IF(COUNTIF(시장분석!$U$2:$U$601,T113)=1,MATCH(T113,시장분석!$U$2:$U$601,0)+1,""))))</f>
        <v>108</v>
      </c>
      <c r="AC113" s="89" t="n">
        <f aca="false">IF(Q113&lt;&gt;1,0,IF(OR(설정!$C$5="전체",AND(설정!$C$5="선택펀드",IFERROR(COUNTIFS(설정!$F$16:$F$36,C113,설정!$G$16:$G$36,"Y")+COUNTIFS(설정!$F$16:$F$36,VALUE(C113),설정!$G$16:$G$36,"Y"),0)&gt;0),C113&amp;""=설정!$C$5&amp;""),1,0))</f>
        <v>1</v>
      </c>
      <c r="AD113" s="89" t="n">
        <f aca="false">IF(Q113&lt;&gt;1,0,IF(OR(S113=1,IF(AB113="",FALSE(),INDEX(시장분석!$R:$R,AB113)=1)),1,0))</f>
        <v>0</v>
      </c>
      <c r="AE113" s="43" t="str">
        <f aca="false">IF(AB113="","",INDEX(시장분석!$A:$A,AB113))</f>
        <v>NOMURA 4.996 06/29/29</v>
      </c>
      <c r="AF113" s="93" t="n">
        <f aca="false">IF(AB113="","",IF(ISNUMBER(IF(AB113="","",INDEX(시장분석!$E:$E,AB113))),IF(AB113="","",INDEX(시장분석!$E:$E,AB113)),""))</f>
        <v>67.14</v>
      </c>
      <c r="AG113" s="43" t="str">
        <f aca="false">IF(Q113&lt;&gt;1,"",IF(AB113&lt;&gt;"",IF(AB113="","",INDEX(시장분석!$L:$L,AB113)),IFERROR(IF(VLOOKUP(R113,매핑!$A$4:$E$92,5,0)="","미분류",VLOOKUP(R113,매핑!$A$4:$E$92,5,0)),"미분류")))</f>
        <v>금융기관</v>
      </c>
      <c r="AH113" s="43" t="str">
        <f aca="false">IF(Q113&lt;&gt;1,"",IF(AB113&lt;&gt;"",IF(AB113="","",INDEX(시장분석!$N:$N,AB113)),IFERROR(IF(VLOOKUP(R113,매핑!$A$4:$E$92,4,0)="","미분류",VLOOKUP(R113,매핑!$A$4:$E$92,4,0)),"미분류")))</f>
        <v>아시아/기타</v>
      </c>
      <c r="AI113" s="43" t="str">
        <f aca="false">IF(Q113&lt;&gt;1,"",IFERROR(IF(VLOOKUP(R113,매핑!$A$4:$E$92,3,0)="","미분류",VLOOKUP(R113,매핑!$A$4:$E$92,3,0)),IF(AB113&lt;&gt;"",IF(AB113="","",INDEX(시장분석!$W:$W,AB113)),"미분류")))</f>
        <v>일본</v>
      </c>
      <c r="AJ113" s="43" t="str">
        <f aca="false">IF(Q113&lt;&gt;1,"",IFERROR(VLOOKUP(IF(N113&lt;&gt;"",N113,IF(P113&lt;&gt;"",P113,O113)),설정!$A$15:$D$47,2,0),""))</f>
        <v>BBB+</v>
      </c>
      <c r="AK113" s="43" t="str">
        <f aca="false">IF(Q113&lt;&gt;1,"",IF(AJ113="","무등급",IFERROR(VLOOKUP(AJ113,설정!$A$15:$D$47,3,0),"무등급")))</f>
        <v>BBB</v>
      </c>
      <c r="AL113" s="89" t="n">
        <f aca="false">IF(AJ113="",99,IFERROR(VLOOKUP(AJ113,설정!$A$15:$D$47,4,0),99))</f>
        <v>8</v>
      </c>
      <c r="AM113" s="94" t="n">
        <f aca="false">IF(ISNUMBER(H113),AA113*1000000*H113/10000,0)</f>
        <v>243.24298954</v>
      </c>
      <c r="AN113" s="94" t="n">
        <f aca="false">IF(OR(Y113=1,NOT(ISNUMBER(Z113))),0,AA113*1000000*Z113/10000)</f>
        <v>243.24298954</v>
      </c>
      <c r="AO113" s="94" t="n">
        <f aca="false">IF(ISNUMBER(G113),AA113*1000000*G113/100,0)</f>
        <v>55700.216402</v>
      </c>
      <c r="AP113" s="94" t="n">
        <f aca="false">IF(ISNUMBER(M113),M113*K113,0)</f>
        <v>-16922</v>
      </c>
      <c r="AQ113" s="95" t="n">
        <f aca="false">IF(AB113="","",INDEX(시장분석!$AK:$AK,AB113))</f>
        <v>0.191610318648373</v>
      </c>
      <c r="AR113" s="43" t="str">
        <f aca="false">IF(AB113="","-",IF(AB113="","",INDEX(시장분석!$AL:$AL,AB113)))</f>
        <v>Fair</v>
      </c>
      <c r="AS113" s="96" t="n">
        <f aca="false">IF(AB113="","",INDEX(시장분석!$AJ:$AJ,AB113))</f>
        <v>3.92295063368784</v>
      </c>
      <c r="AT113" s="93" t="n">
        <f aca="false">IF(AB113="",0,IF(AB113="","",INDEX(시장분석!$AN:$AN,AB113)))</f>
        <v>6.88360098919646</v>
      </c>
      <c r="AU113" s="94" t="n">
        <f aca="false">IF(ISNUMBER(Z113),AT113/10000*MAX(Z113-1,0)*AA113*1000000,0)</f>
        <v>997.676014086921</v>
      </c>
      <c r="AV113" s="94" t="n">
        <f aca="false">AO113+AU113</f>
        <v>56697.8924160869</v>
      </c>
      <c r="AW113" s="43" t="str">
        <f aca="false">IF(Q113&lt;&gt;1,"",TRIM(IF(AD113=1,"FRN ","")&amp;IF(AND(AL113&gt;=10,AL113&lt;99),"BBB0미만 ","")&amp;IF(AJ113="","등급없음 ","")&amp;IF(K113&lt;&gt;1,"비USD ","")&amp;IF(AND(AB113="",Y113=0),"시장데이터없음 ","")&amp;IF(AND(ISNUMBER(U113),U113&lt;0),"만기경과 ","")))</f>
        <v/>
      </c>
      <c r="AX113" s="90" t="n">
        <f aca="false">IF(Q113&lt;&gt;1,1,IF(스프레드쇼크!$C$4="Y",INDEX(스프레드쇼크!$B$12:$L$16,IFERROR(MATCH(AH113,스프레드쇼크!$A$12:$A$16,0),MATCH("목록외",스프레드쇼크!$A$12:$A$16,0)),IFERROR(MATCH(AG113,스프레드쇼크!$B$11:$L$11,0),MATCH("목록외",스프레드쇼크!$B$11:$L$11,0))),1))</f>
        <v>1</v>
      </c>
      <c r="AY113" s="90" t="n">
        <f aca="false">IF(스프레드쇼크!$C$5="Y",IF(ISNUMBER(AF113),MIN(스프레드쇼크!$C$7,MAX(스프레드쇼크!$C$6,AF113/스프레드쇼크!$C$8)),1),1)</f>
        <v>1.01551855613695</v>
      </c>
      <c r="AZ113" s="94" t="n">
        <f aca="false">AN113*AX113*AY113</f>
        <v>247.017769528097</v>
      </c>
      <c r="BA113" s="90" t="n">
        <f aca="false">IF(ISNUMBER(G113),AA113*G113,0)</f>
        <v>5.5700216402</v>
      </c>
      <c r="BB113" s="90" t="n">
        <f aca="false">IF(ISNUMBER(G113),AA113,0)</f>
        <v>0.983078</v>
      </c>
      <c r="BC113" s="90" t="n">
        <f aca="false">IF(AND(Y113=0,ISNUMBER(AF113)),AA113*AF113,0)</f>
        <v>66.00385692</v>
      </c>
      <c r="BD113" s="90" t="n">
        <f aca="false">IF(AND(Y113=0,ISNUMBER(AF113)),AA113,0)</f>
        <v>0.983078</v>
      </c>
      <c r="BE113" s="90" t="n">
        <f aca="false">IF(ISNUMBER(H113),AA113*H113,0)</f>
        <v>2.4324298954</v>
      </c>
      <c r="BF113" s="90" t="n">
        <f aca="false">IF(ISNUMBER(H113),AA113,0)</f>
        <v>0.983078</v>
      </c>
      <c r="BG113" s="90" t="n">
        <f aca="false">IF(AND(Y113=0,ISNUMBER(AF113),ISNUMBER(Z113)),AA113*Z113,0)</f>
        <v>2.4324298954</v>
      </c>
      <c r="BH113" s="90" t="n">
        <f aca="false">IF(AND(Y113=0,ISNUMBER(AF113),ISNUMBER(Z113)),AA113*AT113*MAX(Z113-1,0),0)</f>
        <v>9.97676014086921</v>
      </c>
      <c r="BI113" s="90" t="n">
        <f aca="false">IF(Y113=0,AA113,0)</f>
        <v>0.983078</v>
      </c>
    </row>
    <row r="114" customFormat="false" ht="15" hidden="false" customHeight="false" outlineLevel="0" collapsed="false">
      <c r="A114" s="83" t="str">
        <f aca="false">IFERROR(IF(INDEX(원자료_잔고!$A$1:$EZ$1500,설정!$L$5+ROW()-1,설정!$L$8)&amp;""="0","",INDEX(원자료_잔고!$A$1:$EZ$1500,설정!$L$5+ROW()-1,설정!$L$8)&amp;""),"")</f>
        <v>NWG 4.445 05/08/30</v>
      </c>
      <c r="B114" s="83" t="str">
        <f aca="false">IFERROR(IF(INDEX(원자료_잔고!$A$1:$EZ$1500,설정!$L$5+ROW()-1,설정!$L$7)&amp;""="0","",INDEX(원자료_잔고!$A$1:$EZ$1500,설정!$L$5+ROW()-1,설정!$L$7)&amp;""),"")</f>
        <v>US780097BL47</v>
      </c>
      <c r="C114" s="83" t="str">
        <f aca="false">IFERROR(IF(INDEX(원자료_잔고!$A$1:$EZ$1500,설정!$L$5+ROW()-1,설정!$L$9)&amp;""="0","",INDEX(원자료_잔고!$A$1:$EZ$1500,설정!$L$5+ROW()-1,설정!$L$9)&amp;""),"")</f>
        <v>34507</v>
      </c>
      <c r="D11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4" s="84" t="n">
        <f aca="false">IFERROR(IF(ISNUMBER(INDEX(원자료_잔고!$A$1:$EZ$1500,설정!$L$5+ROW()-1,설정!$L$11)),INDEX(원자료_잔고!$A$1:$EZ$1500,설정!$L$5+ROW()-1,설정!$L$11),""),"")</f>
        <v>5000000</v>
      </c>
      <c r="F114" s="85" t="n">
        <f aca="false">IFERROR(IF(ISNUMBER(INDEX(원자료_잔고!$A$1:$EZ$1500,설정!$L$5+ROW()-1,설정!$L$12)),INDEX(원자료_잔고!$A$1:$EZ$1500,설정!$L$5+ROW()-1,설정!$L$12),""),"")</f>
        <v>96.9753</v>
      </c>
      <c r="G114" s="85" t="n">
        <f aca="false">IFERROR(IF(ISNUMBER(INDEX(원자료_잔고!$A$1:$EZ$1500,설정!$L$5+ROW()-1,설정!$L$13)),INDEX(원자료_잔고!$A$1:$EZ$1500,설정!$L$5+ROW()-1,설정!$L$13),""),"")</f>
        <v>5.5991</v>
      </c>
      <c r="H114" s="85" t="n">
        <f aca="false">IFERROR(IF(ISNUMBER(INDEX(원자료_잔고!$A$1:$EZ$1500,설정!$L$5+ROW()-1,설정!$L$14)),INDEX(원자료_잔고!$A$1:$EZ$1500,설정!$L$5+ROW()-1,설정!$L$14),""),"")</f>
        <v>2.3394</v>
      </c>
      <c r="I114" s="86" t="n">
        <f aca="false">IFERROR(IF(ISNUMBER(INDEX(원자료_잔고!$A$1:$EZ$1500,설정!$L$5+ROW()-1,설정!$L$15)),INDEX(원자료_잔고!$A$1:$EZ$1500,설정!$L$5+ROW()-1,설정!$L$15),""),"")</f>
        <v>47611</v>
      </c>
      <c r="J114" s="85" t="n">
        <f aca="false">IFERROR(IF(ISNUMBER(INDEX(원자료_잔고!$A$1:$EZ$1500,설정!$L$5+ROW()-1,설정!$L$16)),INDEX(원자료_잔고!$A$1:$EZ$1500,설정!$L$5+ROW()-1,설정!$L$16),""),"")</f>
        <v>4.445</v>
      </c>
      <c r="K114" s="87" t="n">
        <f aca="false">IFERROR(IF(ISNUMBER(INDEX(원자료_잔고!$A$1:$EZ$1500,설정!$L$5+ROW()-1,설정!$L$17)),INDEX(원자료_잔고!$A$1:$EZ$1500,설정!$L$5+ROW()-1,설정!$L$17),""),"")</f>
        <v>1</v>
      </c>
      <c r="L114" s="84" t="n">
        <f aca="false">IFERROR(IF(ISNUMBER(INDEX(원자료_잔고!$A$1:$EZ$1500,설정!$L$5+ROW()-1,설정!$L$18)),INDEX(원자료_잔고!$A$1:$EZ$1500,설정!$L$5+ROW()-1,설정!$L$18),""),"")</f>
        <v>4848765</v>
      </c>
      <c r="M114" s="88" t="n">
        <f aca="false">IFERROR(IF(ISNUMBER(INDEX(원자료_잔고!$A$1:$EZ$1500,설정!$L$5+ROW()-1,설정!$L$19)),INDEX(원자료_잔고!$A$1:$EZ$1500,설정!$L$5+ROW()-1,설정!$L$19),""),"")</f>
        <v>-178465</v>
      </c>
      <c r="N114" s="83" t="str">
        <f aca="false">IFERROR(IF(INDEX(원자료_잔고!$A$1:$EZ$1500,설정!$L$5+ROW()-1,설정!$L$21)&amp;""="0","",INDEX(원자료_잔고!$A$1:$EZ$1500,설정!$L$5+ROW()-1,설정!$L$21)&amp;""),"")</f>
        <v>A-</v>
      </c>
      <c r="O114" s="83" t="str">
        <f aca="false">IFERROR(IF(INDEX(원자료_잔고!$A$1:$EZ$1500,설정!$L$5+ROW()-1,설정!$L$22)&amp;""="0","",INDEX(원자료_잔고!$A$1:$EZ$1500,설정!$L$5+ROW()-1,설정!$L$22)&amp;""),"")</f>
        <v/>
      </c>
      <c r="P114" s="83" t="str">
        <f aca="false">IFERROR(IF(INDEX(원자료_잔고!$A$1:$EZ$1500,설정!$L$5+ROW()-1,설정!$L$23)&amp;""="0","",INDEX(원자료_잔고!$A$1:$EZ$1500,설정!$L$5+ROW()-1,설정!$L$23)&amp;""),"")</f>
        <v>A</v>
      </c>
      <c r="Q114" s="89" t="n">
        <f aca="false">IF(AND($A114&lt;&gt;"",ISNUMBER(E114)),IF(E114&gt;0,1,0),0)</f>
        <v>1</v>
      </c>
      <c r="R114" s="43" t="str">
        <f aca="false">IF(Q114=1,UPPER(LEFT($A114,FIND(" ",$A114&amp;" ")-1)),"")</f>
        <v>NWG</v>
      </c>
      <c r="S114" s="89" t="n">
        <f aca="false">IF(Q114=1,IF(OR(ISNUMBER(SEARCH("Float",$A114)),ISNUMBER(SEARCH("FRN",$A114))),1,0),0)</f>
        <v>0</v>
      </c>
      <c r="T114" s="43" t="str">
        <f aca="false">IF(AND(Q114=1,ISNUMBER(I114)),TEXT(I114,"yyyymmdd")&amp;"|"&amp;IF(S114=1,"F",TEXT(J114,"0.000")),"")</f>
        <v>20300508|4.445</v>
      </c>
      <c r="U114" s="90" t="n">
        <f aca="false">IF(AND(Q114=1,ISNUMBER(I114)),(I114-설정!$C$4)/365.25,"")</f>
        <v>3.60027378507871</v>
      </c>
      <c r="V114" s="43" t="str">
        <f aca="false">IF(Q114&lt;&gt;1,"",IF(ISNUMBER(U114),IF(U114&lt;=1,"1년 이하",IF(U114&lt;=2,"1-2년",IF(U114&lt;=3,"2-3년",IF(U114&lt;=4,"3-4년",IF(U114&lt;=5,"4-5년",IF(U114&lt;=7,"5-7년",IF(U114&lt;=10,"7-10년",IF(U114&lt;=20,"10-20년","20년 이상")))))))),"미분류"))</f>
        <v>3-4년</v>
      </c>
      <c r="W114" s="43" t="str">
        <f aca="false">IF(Q114&lt;&gt;1,"",IF(AB114&lt;&gt;"",INDEX(시장분석!$C:$C,AB114),IF(K114=1,"USD","비USD")))</f>
        <v>USD</v>
      </c>
      <c r="X114" s="91" t="n">
        <f aca="false">IF(Q114=1,E114*K114/1000000,0)</f>
        <v>5</v>
      </c>
      <c r="Y114" s="89" t="n">
        <f aca="false">IF(R114="T",1,0)</f>
        <v>0</v>
      </c>
      <c r="Z114" s="92" t="n">
        <f aca="false">IF(Q114&lt;&gt;1,"",IF(AD114=1,IF(ISNUMBER(U114),MAX(U114,0),H114),H114))</f>
        <v>2.3394</v>
      </c>
      <c r="AA114" s="91" t="n">
        <f aca="false">IF(Q114=1,IF(ISNUMBER(L114),L114,0)*K114/1000000,0)</f>
        <v>4.848765</v>
      </c>
      <c r="AB114" s="89" t="n">
        <f aca="false">IF(Q114&lt;&gt;1,"",IFERROR(MATCH(VLOOKUP(B114,매핑!$H$4:$I$15,2,0),시장분석!$A$2:$A$601,0)+1,IFERROR(MATCH(R114&amp;"|"&amp;T114,시장분석!$V$2:$V$601,0)+1,IF(COUNTIF(시장분석!$U$2:$U$601,T114)=1,MATCH(T114,시장분석!$U$2:$U$601,0)+1,""))))</f>
        <v>113</v>
      </c>
      <c r="AC114" s="89" t="n">
        <f aca="false">IF(Q114&lt;&gt;1,0,IF(OR(설정!$C$5="전체",AND(설정!$C$5="선택펀드",IFERROR(COUNTIFS(설정!$F$16:$F$36,C114,설정!$G$16:$G$36,"Y")+COUNTIFS(설정!$F$16:$F$36,VALUE(C114),설정!$G$16:$G$36,"Y"),0)&gt;0),C114&amp;""=설정!$C$5&amp;""),1,0))</f>
        <v>1</v>
      </c>
      <c r="AD114" s="89" t="n">
        <f aca="false">IF(Q114&lt;&gt;1,0,IF(OR(S114=1,IF(AB114="",FALSE(),INDEX(시장분석!$R:$R,AB114)=1)),1,0))</f>
        <v>0</v>
      </c>
      <c r="AE114" s="43" t="str">
        <f aca="false">IF(AB114="","",INDEX(시장분석!$A:$A,AB114))</f>
        <v>NWG 4.445 05/08/30</v>
      </c>
      <c r="AF114" s="93" t="n">
        <f aca="false">IF(AB114="","",IF(ISNUMBER(IF(AB114="","",INDEX(시장분석!$E:$E,AB114))),IF(AB114="","",INDEX(시장분석!$E:$E,AB114)),""))</f>
        <v>72.096</v>
      </c>
      <c r="AG114" s="43" t="str">
        <f aca="false">IF(Q114&lt;&gt;1,"",IF(AB114&lt;&gt;"",IF(AB114="","",INDEX(시장분석!$L:$L,AB114)),IFERROR(IF(VLOOKUP(R114,매핑!$A$4:$E$92,5,0)="","미분류",VLOOKUP(R114,매핑!$A$4:$E$92,5,0)),"미분류")))</f>
        <v>금융기관</v>
      </c>
      <c r="AH114" s="43" t="str">
        <f aca="false">IF(Q114&lt;&gt;1,"",IF(AB114&lt;&gt;"",IF(AB114="","",INDEX(시장분석!$N:$N,AB114)),IFERROR(IF(VLOOKUP(R114,매핑!$A$4:$E$92,4,0)="","미분류",VLOOKUP(R114,매핑!$A$4:$E$92,4,0)),"미분류")))</f>
        <v>유럽</v>
      </c>
      <c r="AI114" s="43" t="str">
        <f aca="false">IF(Q114&lt;&gt;1,"",IFERROR(IF(VLOOKUP(R114,매핑!$A$4:$E$92,3,0)="","미분류",VLOOKUP(R114,매핑!$A$4:$E$92,3,0)),IF(AB114&lt;&gt;"",IF(AB114="","",INDEX(시장분석!$W:$W,AB114)),"미분류")))</f>
        <v>영국</v>
      </c>
      <c r="AJ114" s="43" t="str">
        <f aca="false">IF(Q114&lt;&gt;1,"",IFERROR(VLOOKUP(IF(N114&lt;&gt;"",N114,IF(P114&lt;&gt;"",P114,O114)),설정!$A$15:$D$47,2,0),""))</f>
        <v>A-</v>
      </c>
      <c r="AK114" s="43" t="str">
        <f aca="false">IF(Q114&lt;&gt;1,"",IF(AJ114="","무등급",IFERROR(VLOOKUP(AJ114,설정!$A$15:$D$47,3,0),"무등급")))</f>
        <v>A</v>
      </c>
      <c r="AL114" s="89" t="n">
        <f aca="false">IF(AJ114="",99,IFERROR(VLOOKUP(AJ114,설정!$A$15:$D$47,4,0),99))</f>
        <v>7</v>
      </c>
      <c r="AM114" s="94" t="n">
        <f aca="false">IF(ISNUMBER(H114),AA114*1000000*H114/10000,0)</f>
        <v>1134.3200841</v>
      </c>
      <c r="AN114" s="94" t="n">
        <f aca="false">IF(OR(Y114=1,NOT(ISNUMBER(Z114))),0,AA114*1000000*Z114/10000)</f>
        <v>1134.3200841</v>
      </c>
      <c r="AO114" s="94" t="n">
        <f aca="false">IF(ISNUMBER(G114),AA114*1000000*G114/100,0)</f>
        <v>271487.201115</v>
      </c>
      <c r="AP114" s="94" t="n">
        <f aca="false">IF(ISNUMBER(M114),M114*K114,0)</f>
        <v>-178465</v>
      </c>
      <c r="AQ114" s="95" t="n">
        <f aca="false">IF(AB114="","",INDEX(시장분석!$AK:$AK,AB114))</f>
        <v>0.134245864478665</v>
      </c>
      <c r="AR114" s="43" t="str">
        <f aca="false">IF(AB114="","-",IF(AB114="","",INDEX(시장분석!$AL:$AL,AB114)))</f>
        <v>Fair</v>
      </c>
      <c r="AS114" s="96" t="n">
        <f aca="false">IF(AB114="","",INDEX(시장분석!$AJ:$AJ,AB114))</f>
        <v>1.47513129464016</v>
      </c>
      <c r="AT114" s="93" t="n">
        <f aca="false">IF(AB114="",0,IF(AB114="","",INDEX(시장분석!$AN:$AN,AB114)))</f>
        <v>16.1454487657742</v>
      </c>
      <c r="AU114" s="94" t="n">
        <f aca="false">IF(ISNUMBER(Z114),AT114/10000*MAX(Z114-1,0)*AA114*1000000,0)</f>
        <v>10485.5581133473</v>
      </c>
      <c r="AV114" s="94" t="n">
        <f aca="false">AO114+AU114</f>
        <v>281972.759228347</v>
      </c>
      <c r="AW114" s="43" t="str">
        <f aca="false">IF(Q114&lt;&gt;1,"",TRIM(IF(AD114=1,"FRN ","")&amp;IF(AND(AL114&gt;=10,AL114&lt;99),"BBB0미만 ","")&amp;IF(AJ114="","등급없음 ","")&amp;IF(K114&lt;&gt;1,"비USD ","")&amp;IF(AND(AB114="",Y114=0),"시장데이터없음 ","")&amp;IF(AND(ISNUMBER(U114),U114&lt;0),"만기경과 ","")))</f>
        <v/>
      </c>
      <c r="AX114" s="90" t="n">
        <f aca="false">IF(Q114&lt;&gt;1,1,IF(스프레드쇼크!$C$4="Y",INDEX(스프레드쇼크!$B$12:$L$16,IFERROR(MATCH(AH114,스프레드쇼크!$A$12:$A$16,0),MATCH("목록외",스프레드쇼크!$A$12:$A$16,0)),IFERROR(MATCH(AG114,스프레드쇼크!$B$11:$L$11,0),MATCH("목록외",스프레드쇼크!$B$11:$L$11,0))),1))</f>
        <v>1</v>
      </c>
      <c r="AY114" s="90" t="n">
        <f aca="false">IF(스프레드쇼크!$C$5="Y",IF(ISNUMBER(AF114),MIN(스프레드쇼크!$C$7,MAX(스프레드쇼크!$C$6,AF114/스프레드쇼크!$C$8)),1),1)</f>
        <v>1.09047997949434</v>
      </c>
      <c r="AZ114" s="94" t="n">
        <f aca="false">AN114*AX114*AY114</f>
        <v>1236.95334204938</v>
      </c>
      <c r="BA114" s="90" t="n">
        <f aca="false">IF(ISNUMBER(G114),AA114*G114,0)</f>
        <v>27.1487201115</v>
      </c>
      <c r="BB114" s="90" t="n">
        <f aca="false">IF(ISNUMBER(G114),AA114,0)</f>
        <v>4.848765</v>
      </c>
      <c r="BC114" s="90" t="n">
        <f aca="false">IF(AND(Y114=0,ISNUMBER(AF114)),AA114*AF114,0)</f>
        <v>349.57656144</v>
      </c>
      <c r="BD114" s="90" t="n">
        <f aca="false">IF(AND(Y114=0,ISNUMBER(AF114)),AA114,0)</f>
        <v>4.848765</v>
      </c>
      <c r="BE114" s="90" t="n">
        <f aca="false">IF(ISNUMBER(H114),AA114*H114,0)</f>
        <v>11.343200841</v>
      </c>
      <c r="BF114" s="90" t="n">
        <f aca="false">IF(ISNUMBER(H114),AA114,0)</f>
        <v>4.848765</v>
      </c>
      <c r="BG114" s="90" t="n">
        <f aca="false">IF(AND(Y114=0,ISNUMBER(AF114),ISNUMBER(Z114)),AA114*Z114,0)</f>
        <v>11.343200841</v>
      </c>
      <c r="BH114" s="90" t="n">
        <f aca="false">IF(AND(Y114=0,ISNUMBER(AF114),ISNUMBER(Z114)),AA114*AT114*MAX(Z114-1,0),0)</f>
        <v>104.855581133473</v>
      </c>
      <c r="BI114" s="90" t="n">
        <f aca="false">IF(Y114=0,AA114,0)</f>
        <v>4.848765</v>
      </c>
    </row>
    <row r="115" customFormat="false" ht="15" hidden="false" customHeight="false" outlineLevel="0" collapsed="false">
      <c r="A115" s="83" t="str">
        <f aca="false">IFERROR(IF(INDEX(원자료_잔고!$A$1:$EZ$1500,설정!$L$5+ROW()-1,설정!$L$8)&amp;""="0","",INDEX(원자료_잔고!$A$1:$EZ$1500,설정!$L$5+ROW()-1,설정!$L$8)&amp;""),"")</f>
        <v>T 3.625 03/31/28</v>
      </c>
      <c r="B115" s="83" t="str">
        <f aca="false">IFERROR(IF(INDEX(원자료_잔고!$A$1:$EZ$1500,설정!$L$5+ROW()-1,설정!$L$7)&amp;""="0","",INDEX(원자료_잔고!$A$1:$EZ$1500,설정!$L$5+ROW()-1,설정!$L$7)&amp;""),"")</f>
        <v>US91282CGT27</v>
      </c>
      <c r="C115" s="83" t="str">
        <f aca="false">IFERROR(IF(INDEX(원자료_잔고!$A$1:$EZ$1500,설정!$L$5+ROW()-1,설정!$L$9)&amp;""="0","",INDEX(원자료_잔고!$A$1:$EZ$1500,설정!$L$5+ROW()-1,설정!$L$9)&amp;""),"")</f>
        <v>34507</v>
      </c>
      <c r="D11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5" s="84" t="n">
        <f aca="false">IFERROR(IF(ISNUMBER(INDEX(원자료_잔고!$A$1:$EZ$1500,설정!$L$5+ROW()-1,설정!$L$11)),INDEX(원자료_잔고!$A$1:$EZ$1500,설정!$L$5+ROW()-1,설정!$L$11),""),"")</f>
        <v>1000000</v>
      </c>
      <c r="F115" s="85" t="n">
        <f aca="false">IFERROR(IF(ISNUMBER(INDEX(원자료_잔고!$A$1:$EZ$1500,설정!$L$5+ROW()-1,설정!$L$12)),INDEX(원자료_잔고!$A$1:$EZ$1500,설정!$L$5+ROW()-1,설정!$L$12),""),"")</f>
        <v>98.3335</v>
      </c>
      <c r="G115" s="85" t="n">
        <f aca="false">IFERROR(IF(ISNUMBER(INDEX(원자료_잔고!$A$1:$EZ$1500,설정!$L$5+ROW()-1,설정!$L$13)),INDEX(원자료_잔고!$A$1:$EZ$1500,설정!$L$5+ROW()-1,설정!$L$13),""),"")</f>
        <v>4.7866</v>
      </c>
      <c r="H115" s="85" t="n">
        <f aca="false">IFERROR(IF(ISNUMBER(INDEX(원자료_잔고!$A$1:$EZ$1500,설정!$L$5+ROW()-1,설정!$L$14)),INDEX(원자료_잔고!$A$1:$EZ$1500,설정!$L$5+ROW()-1,설정!$L$14),""),"")</f>
        <v>1.4278</v>
      </c>
      <c r="I115" s="86" t="n">
        <f aca="false">IFERROR(IF(ISNUMBER(INDEX(원자료_잔고!$A$1:$EZ$1500,설정!$L$5+ROW()-1,설정!$L$15)),INDEX(원자료_잔고!$A$1:$EZ$1500,설정!$L$5+ROW()-1,설정!$L$15),""),"")</f>
        <v>46843</v>
      </c>
      <c r="J115" s="85" t="n">
        <f aca="false">IFERROR(IF(ISNUMBER(INDEX(원자료_잔고!$A$1:$EZ$1500,설정!$L$5+ROW()-1,설정!$L$16)),INDEX(원자료_잔고!$A$1:$EZ$1500,설정!$L$5+ROW()-1,설정!$L$16),""),"")</f>
        <v>3.625</v>
      </c>
      <c r="K115" s="87" t="n">
        <f aca="false">IFERROR(IF(ISNUMBER(INDEX(원자료_잔고!$A$1:$EZ$1500,설정!$L$5+ROW()-1,설정!$L$17)),INDEX(원자료_잔고!$A$1:$EZ$1500,설정!$L$5+ROW()-1,설정!$L$17),""),"")</f>
        <v>1</v>
      </c>
      <c r="L115" s="84" t="n">
        <f aca="false">IFERROR(IF(ISNUMBER(INDEX(원자료_잔고!$A$1:$EZ$1500,설정!$L$5+ROW()-1,설정!$L$18)),INDEX(원자료_잔고!$A$1:$EZ$1500,설정!$L$5+ROW()-1,설정!$L$18),""),"")</f>
        <v>983335</v>
      </c>
      <c r="M115" s="88" t="n">
        <f aca="false">IFERROR(IF(ISNUMBER(INDEX(원자료_잔고!$A$1:$EZ$1500,설정!$L$5+ROW()-1,설정!$L$19)),INDEX(원자료_잔고!$A$1:$EZ$1500,설정!$L$5+ROW()-1,설정!$L$19),""),"")</f>
        <v>-20172</v>
      </c>
      <c r="N115" s="83" t="str">
        <f aca="false">IFERROR(IF(INDEX(원자료_잔고!$A$1:$EZ$1500,설정!$L$5+ROW()-1,설정!$L$21)&amp;""="0","",INDEX(원자료_잔고!$A$1:$EZ$1500,설정!$L$5+ROW()-1,설정!$L$21)&amp;""),"")</f>
        <v/>
      </c>
      <c r="O115" s="83" t="str">
        <f aca="false">IFERROR(IF(INDEX(원자료_잔고!$A$1:$EZ$1500,설정!$L$5+ROW()-1,설정!$L$22)&amp;""="0","",INDEX(원자료_잔고!$A$1:$EZ$1500,설정!$L$5+ROW()-1,설정!$L$22)&amp;""),"")</f>
        <v/>
      </c>
      <c r="P115" s="83" t="str">
        <f aca="false">IFERROR(IF(INDEX(원자료_잔고!$A$1:$EZ$1500,설정!$L$5+ROW()-1,설정!$L$23)&amp;""="0","",INDEX(원자료_잔고!$A$1:$EZ$1500,설정!$L$5+ROW()-1,설정!$L$23)&amp;""),"")</f>
        <v>AA+</v>
      </c>
      <c r="Q115" s="89" t="n">
        <f aca="false">IF(AND($A115&lt;&gt;"",ISNUMBER(E115)),IF(E115&gt;0,1,0),0)</f>
        <v>1</v>
      </c>
      <c r="R115" s="43" t="str">
        <f aca="false">IF(Q115=1,UPPER(LEFT($A115,FIND(" ",$A115&amp;" ")-1)),"")</f>
        <v>T</v>
      </c>
      <c r="S115" s="89" t="n">
        <f aca="false">IF(Q115=1,IF(OR(ISNUMBER(SEARCH("Float",$A115)),ISNUMBER(SEARCH("FRN",$A115))),1,0),0)</f>
        <v>0</v>
      </c>
      <c r="T115" s="43" t="str">
        <f aca="false">IF(AND(Q115=1,ISNUMBER(I115)),TEXT(I115,"yyyymmdd")&amp;"|"&amp;IF(S115=1,"F",TEXT(J115,"0.000")),"")</f>
        <v>20280331|3.625</v>
      </c>
      <c r="U115" s="90" t="n">
        <f aca="false">IF(AND(Q115=1,ISNUMBER(I115)),(I115-설정!$C$4)/365.25,"")</f>
        <v>1.49760438056126</v>
      </c>
      <c r="V115" s="43" t="str">
        <f aca="false">IF(Q115&lt;&gt;1,"",IF(ISNUMBER(U115),IF(U115&lt;=1,"1년 이하",IF(U115&lt;=2,"1-2년",IF(U115&lt;=3,"2-3년",IF(U115&lt;=4,"3-4년",IF(U115&lt;=5,"4-5년",IF(U115&lt;=7,"5-7년",IF(U115&lt;=10,"7-10년",IF(U115&lt;=20,"10-20년","20년 이상")))))))),"미분류"))</f>
        <v>1-2년</v>
      </c>
      <c r="W115" s="43" t="str">
        <f aca="false">IF(Q115&lt;&gt;1,"",IF(AB115&lt;&gt;"",INDEX(시장분석!$C:$C,AB115),IF(K115=1,"USD","비USD")))</f>
        <v>USD</v>
      </c>
      <c r="X115" s="91" t="n">
        <f aca="false">IF(Q115=1,E115*K115/1000000,0)</f>
        <v>1</v>
      </c>
      <c r="Y115" s="89" t="n">
        <f aca="false">IF(R115="T",1,0)</f>
        <v>1</v>
      </c>
      <c r="Z115" s="92" t="n">
        <f aca="false">IF(Q115&lt;&gt;1,"",IF(AD115=1,IF(ISNUMBER(U115),MAX(U115,0),H115),H115))</f>
        <v>1.4278</v>
      </c>
      <c r="AA115" s="91" t="n">
        <f aca="false">IF(Q115=1,IF(ISNUMBER(L115),L115,0)*K115/1000000,0)</f>
        <v>0.983335</v>
      </c>
      <c r="AB115" s="89" t="n">
        <f aca="false">IF(Q115&lt;&gt;1,"",IFERROR(MATCH(VLOOKUP(B115,매핑!$H$4:$I$15,2,0),시장분석!$A$2:$A$601,0)+1,IFERROR(MATCH(R115&amp;"|"&amp;T115,시장분석!$V$2:$V$601,0)+1,IF(COUNTIF(시장분석!$U$2:$U$601,T115)=1,MATCH(T115,시장분석!$U$2:$U$601,0)+1,""))))</f>
        <v>118</v>
      </c>
      <c r="AC115" s="89" t="n">
        <f aca="false">IF(Q115&lt;&gt;1,0,IF(OR(설정!$C$5="전체",AND(설정!$C$5="선택펀드",IFERROR(COUNTIFS(설정!$F$16:$F$36,C115,설정!$G$16:$G$36,"Y")+COUNTIFS(설정!$F$16:$F$36,VALUE(C115),설정!$G$16:$G$36,"Y"),0)&gt;0),C115&amp;""=설정!$C$5&amp;""),1,0))</f>
        <v>1</v>
      </c>
      <c r="AD115" s="89" t="n">
        <f aca="false">IF(Q115&lt;&gt;1,0,IF(OR(S115=1,IF(AB115="",FALSE(),INDEX(시장분석!$R:$R,AB115)=1)),1,0))</f>
        <v>0</v>
      </c>
      <c r="AE115" s="43" t="str">
        <f aca="false">IF(AB115="","",INDEX(시장분석!$A:$A,AB115))</f>
        <v>T 3 5/8 03/31/28</v>
      </c>
      <c r="AF115" s="93" t="n">
        <f aca="false">IF(AB115="","",IF(ISNUMBER(IF(AB115="","",INDEX(시장분석!$E:$E,AB115))),IF(AB115="","",INDEX(시장분석!$E:$E,AB115)),""))</f>
        <v>-7.784</v>
      </c>
      <c r="AG115" s="43" t="str">
        <f aca="false">IF(Q115&lt;&gt;1,"",IF(AB115&lt;&gt;"",IF(AB115="","",INDEX(시장분석!$L:$L,AB115)),IFERROR(IF(VLOOKUP(R115,매핑!$A$4:$E$92,5,0)="","미분류",VLOOKUP(R115,매핑!$A$4:$E$92,5,0)),"미분류")))</f>
        <v>정부</v>
      </c>
      <c r="AH115" s="43" t="str">
        <f aca="false">IF(Q115&lt;&gt;1,"",IF(AB115&lt;&gt;"",IF(AB115="","",INDEX(시장분석!$N:$N,AB115)),IFERROR(IF(VLOOKUP(R115,매핑!$A$4:$E$92,4,0)="","미분류",VLOOKUP(R115,매핑!$A$4:$E$92,4,0)),"미분류")))</f>
        <v>미국</v>
      </c>
      <c r="AI115" s="43" t="str">
        <f aca="false">IF(Q115&lt;&gt;1,"",IFERROR(IF(VLOOKUP(R115,매핑!$A$4:$E$92,3,0)="","미분류",VLOOKUP(R115,매핑!$A$4:$E$92,3,0)),IF(AB115&lt;&gt;"",IF(AB115="","",INDEX(시장분석!$W:$W,AB115)),"미분류")))</f>
        <v>미국</v>
      </c>
      <c r="AJ115" s="43" t="str">
        <f aca="false">IF(Q115&lt;&gt;1,"",IFERROR(VLOOKUP(IF(N115&lt;&gt;"",N115,IF(P115&lt;&gt;"",P115,O115)),설정!$A$15:$D$47,2,0),""))</f>
        <v>AA+</v>
      </c>
      <c r="AK115" s="43" t="str">
        <f aca="false">IF(Q115&lt;&gt;1,"",IF(AJ115="","무등급",IFERROR(VLOOKUP(AJ115,설정!$A$15:$D$47,3,0),"무등급")))</f>
        <v>AA이상</v>
      </c>
      <c r="AL115" s="89" t="n">
        <f aca="false">IF(AJ115="",99,IFERROR(VLOOKUP(AJ115,설정!$A$15:$D$47,4,0),99))</f>
        <v>2</v>
      </c>
      <c r="AM115" s="94" t="n">
        <f aca="false">IF(ISNUMBER(H115),AA115*1000000*H115/10000,0)</f>
        <v>140.4005713</v>
      </c>
      <c r="AN115" s="94" t="n">
        <f aca="false">IF(OR(Y115=1,NOT(ISNUMBER(Z115))),0,AA115*1000000*Z115/10000)</f>
        <v>0</v>
      </c>
      <c r="AO115" s="94" t="n">
        <f aca="false">IF(ISNUMBER(G115),AA115*1000000*G115/100,0)</f>
        <v>47068.31311</v>
      </c>
      <c r="AP115" s="94" t="n">
        <f aca="false">IF(ISNUMBER(M115),M115*K115,0)</f>
        <v>-20172</v>
      </c>
      <c r="AQ115" s="95" t="str">
        <f aca="false">IF(AB115="","",INDEX(시장분석!$AK:$AK,AB115))</f>
        <v/>
      </c>
      <c r="AR115" s="43" t="str">
        <f aca="false">IF(AB115="","-",IF(AB115="","",INDEX(시장분석!$AL:$AL,AB115)))</f>
        <v>-</v>
      </c>
      <c r="AS115" s="96" t="str">
        <f aca="false">IF(AB115="","",INDEX(시장분석!$AJ:$AJ,AB115))</f>
        <v/>
      </c>
      <c r="AT115" s="93" t="n">
        <f aca="false">IF(AB115="",0,IF(AB115="","",INDEX(시장분석!$AN:$AN,AB115)))</f>
        <v>0</v>
      </c>
      <c r="AU115" s="94" t="n">
        <f aca="false">IF(ISNUMBER(Z115),AT115/10000*MAX(Z115-1,0)*AA115*1000000,0)</f>
        <v>0</v>
      </c>
      <c r="AV115" s="94" t="n">
        <f aca="false">AO115+AU115</f>
        <v>47068.31311</v>
      </c>
      <c r="AW115" s="43" t="str">
        <f aca="false">IF(Q115&lt;&gt;1,"",TRIM(IF(AD115=1,"FRN ","")&amp;IF(AND(AL115&gt;=10,AL115&lt;99),"BBB0미만 ","")&amp;IF(AJ115="","등급없음 ","")&amp;IF(K115&lt;&gt;1,"비USD ","")&amp;IF(AND(AB115="",Y115=0),"시장데이터없음 ","")&amp;IF(AND(ISNUMBER(U115),U115&lt;0),"만기경과 ","")))</f>
        <v/>
      </c>
      <c r="AX115" s="90" t="n">
        <f aca="false">IF(Q115&lt;&gt;1,1,IF(스프레드쇼크!$C$4="Y",INDEX(스프레드쇼크!$B$12:$L$16,IFERROR(MATCH(AH115,스프레드쇼크!$A$12:$A$16,0),MATCH("목록외",스프레드쇼크!$A$12:$A$16,0)),IFERROR(MATCH(AG115,스프레드쇼크!$B$11:$L$11,0),MATCH("목록외",스프레드쇼크!$B$11:$L$11,0))),1))</f>
        <v>1</v>
      </c>
      <c r="AY115" s="90" t="n">
        <f aca="false">IF(스프레드쇼크!$C$5="Y",IF(ISNUMBER(AF115),MIN(스프레드쇼크!$C$7,MAX(스프레드쇼크!$C$6,AF115/스프레드쇼크!$C$8)),1),1)</f>
        <v>0.25</v>
      </c>
      <c r="AZ115" s="94" t="n">
        <f aca="false">AN115*AX115*AY115</f>
        <v>0</v>
      </c>
      <c r="BA115" s="90" t="n">
        <f aca="false">IF(ISNUMBER(G115),AA115*G115,0)</f>
        <v>4.706831311</v>
      </c>
      <c r="BB115" s="90" t="n">
        <f aca="false">IF(ISNUMBER(G115),AA115,0)</f>
        <v>0.983335</v>
      </c>
      <c r="BC115" s="90" t="n">
        <f aca="false">IF(AND(Y115=0,ISNUMBER(AF115)),AA115*AF115,0)</f>
        <v>0</v>
      </c>
      <c r="BD115" s="90" t="n">
        <f aca="false">IF(AND(Y115=0,ISNUMBER(AF115)),AA115,0)</f>
        <v>0</v>
      </c>
      <c r="BE115" s="90" t="n">
        <f aca="false">IF(ISNUMBER(H115),AA115*H115,0)</f>
        <v>1.404005713</v>
      </c>
      <c r="BF115" s="90" t="n">
        <f aca="false">IF(ISNUMBER(H115),AA115,0)</f>
        <v>0.983335</v>
      </c>
      <c r="BG115" s="90" t="n">
        <f aca="false">IF(AND(Y115=0,ISNUMBER(AF115),ISNUMBER(Z115)),AA115*Z115,0)</f>
        <v>0</v>
      </c>
      <c r="BH115" s="90" t="n">
        <f aca="false">IF(AND(Y115=0,ISNUMBER(AF115),ISNUMBER(Z115)),AA115*AT115*MAX(Z115-1,0),0)</f>
        <v>0</v>
      </c>
      <c r="BI115" s="90" t="n">
        <f aca="false">IF(Y115=0,AA115,0)</f>
        <v>0</v>
      </c>
    </row>
    <row r="116" customFormat="false" ht="15" hidden="false" customHeight="false" outlineLevel="0" collapsed="false">
      <c r="A116" s="83" t="str">
        <f aca="false">IFERROR(IF(INDEX(원자료_잔고!$A$1:$EZ$1500,설정!$L$5+ROW()-1,설정!$L$8)&amp;""="0","",INDEX(원자료_잔고!$A$1:$EZ$1500,설정!$L$5+ROW()-1,설정!$L$8)&amp;""),"")</f>
        <v>T 4.375 05/15/34</v>
      </c>
      <c r="B116" s="83" t="str">
        <f aca="false">IFERROR(IF(INDEX(원자료_잔고!$A$1:$EZ$1500,설정!$L$5+ROW()-1,설정!$L$7)&amp;""="0","",INDEX(원자료_잔고!$A$1:$EZ$1500,설정!$L$5+ROW()-1,설정!$L$7)&amp;""),"")</f>
        <v>US91282CKQ32</v>
      </c>
      <c r="C116" s="83" t="str">
        <f aca="false">IFERROR(IF(INDEX(원자료_잔고!$A$1:$EZ$1500,설정!$L$5+ROW()-1,설정!$L$9)&amp;""="0","",INDEX(원자료_잔고!$A$1:$EZ$1500,설정!$L$5+ROW()-1,설정!$L$9)&amp;""),"")</f>
        <v>34507</v>
      </c>
      <c r="D11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6" s="84" t="n">
        <f aca="false">IFERROR(IF(ISNUMBER(INDEX(원자료_잔고!$A$1:$EZ$1500,설정!$L$5+ROW()-1,설정!$L$11)),INDEX(원자료_잔고!$A$1:$EZ$1500,설정!$L$5+ROW()-1,설정!$L$11),""),"")</f>
        <v>2000000</v>
      </c>
      <c r="F116" s="85" t="n">
        <f aca="false">IFERROR(IF(ISNUMBER(INDEX(원자료_잔고!$A$1:$EZ$1500,설정!$L$5+ROW()-1,설정!$L$12)),INDEX(원자료_잔고!$A$1:$EZ$1500,설정!$L$5+ROW()-1,설정!$L$12),""),"")</f>
        <v>95.0945</v>
      </c>
      <c r="G116" s="85" t="n">
        <f aca="false">IFERROR(IF(ISNUMBER(INDEX(원자료_잔고!$A$1:$EZ$1500,설정!$L$5+ROW()-1,설정!$L$13)),INDEX(원자료_잔고!$A$1:$EZ$1500,설정!$L$5+ROW()-1,설정!$L$13),""),"")</f>
        <v>5.1601</v>
      </c>
      <c r="H116" s="85" t="n">
        <f aca="false">IFERROR(IF(ISNUMBER(INDEX(원자료_잔고!$A$1:$EZ$1500,설정!$L$5+ROW()-1,설정!$L$14)),INDEX(원자료_잔고!$A$1:$EZ$1500,설정!$L$5+ROW()-1,설정!$L$14),""),"")</f>
        <v>6.2078</v>
      </c>
      <c r="I116" s="86" t="n">
        <f aca="false">IFERROR(IF(ISNUMBER(INDEX(원자료_잔고!$A$1:$EZ$1500,설정!$L$5+ROW()-1,설정!$L$15)),INDEX(원자료_잔고!$A$1:$EZ$1500,설정!$L$5+ROW()-1,설정!$L$15),""),"")</f>
        <v>49079</v>
      </c>
      <c r="J116" s="85" t="n">
        <f aca="false">IFERROR(IF(ISNUMBER(INDEX(원자료_잔고!$A$1:$EZ$1500,설정!$L$5+ROW()-1,설정!$L$16)),INDEX(원자료_잔고!$A$1:$EZ$1500,설정!$L$5+ROW()-1,설정!$L$16),""),"")</f>
        <v>4.375</v>
      </c>
      <c r="K116" s="87" t="n">
        <f aca="false">IFERROR(IF(ISNUMBER(INDEX(원자료_잔고!$A$1:$EZ$1500,설정!$L$5+ROW()-1,설정!$L$17)),INDEX(원자료_잔고!$A$1:$EZ$1500,설정!$L$5+ROW()-1,설정!$L$17),""),"")</f>
        <v>1</v>
      </c>
      <c r="L116" s="84" t="n">
        <f aca="false">IFERROR(IF(ISNUMBER(INDEX(원자료_잔고!$A$1:$EZ$1500,설정!$L$5+ROW()-1,설정!$L$18)),INDEX(원자료_잔고!$A$1:$EZ$1500,설정!$L$5+ROW()-1,설정!$L$18),""),"")</f>
        <v>1901890</v>
      </c>
      <c r="M116" s="88" t="n">
        <f aca="false">IFERROR(IF(ISNUMBER(INDEX(원자료_잔고!$A$1:$EZ$1500,설정!$L$5+ROW()-1,설정!$L$19)),INDEX(원자료_잔고!$A$1:$EZ$1500,설정!$L$5+ROW()-1,설정!$L$19),""),"")</f>
        <v>-150202</v>
      </c>
      <c r="N116" s="83" t="str">
        <f aca="false">IFERROR(IF(INDEX(원자료_잔고!$A$1:$EZ$1500,설정!$L$5+ROW()-1,설정!$L$21)&amp;""="0","",INDEX(원자료_잔고!$A$1:$EZ$1500,설정!$L$5+ROW()-1,설정!$L$21)&amp;""),"")</f>
        <v/>
      </c>
      <c r="O116" s="83" t="str">
        <f aca="false">IFERROR(IF(INDEX(원자료_잔고!$A$1:$EZ$1500,설정!$L$5+ROW()-1,설정!$L$22)&amp;""="0","",INDEX(원자료_잔고!$A$1:$EZ$1500,설정!$L$5+ROW()-1,설정!$L$22)&amp;""),"")</f>
        <v/>
      </c>
      <c r="P116" s="83" t="str">
        <f aca="false">IFERROR(IF(INDEX(원자료_잔고!$A$1:$EZ$1500,설정!$L$5+ROW()-1,설정!$L$23)&amp;""="0","",INDEX(원자료_잔고!$A$1:$EZ$1500,설정!$L$5+ROW()-1,설정!$L$23)&amp;""),"")</f>
        <v>AA+</v>
      </c>
      <c r="Q116" s="89" t="n">
        <f aca="false">IF(AND($A116&lt;&gt;"",ISNUMBER(E116)),IF(E116&gt;0,1,0),0)</f>
        <v>1</v>
      </c>
      <c r="R116" s="43" t="str">
        <f aca="false">IF(Q116=1,UPPER(LEFT($A116,FIND(" ",$A116&amp;" ")-1)),"")</f>
        <v>T</v>
      </c>
      <c r="S116" s="89" t="n">
        <f aca="false">IF(Q116=1,IF(OR(ISNUMBER(SEARCH("Float",$A116)),ISNUMBER(SEARCH("FRN",$A116))),1,0),0)</f>
        <v>0</v>
      </c>
      <c r="T116" s="43" t="str">
        <f aca="false">IF(AND(Q116=1,ISNUMBER(I116)),TEXT(I116,"yyyymmdd")&amp;"|"&amp;IF(S116=1,"F",TEXT(J116,"0.000")),"")</f>
        <v>20340515|4.375</v>
      </c>
      <c r="U116" s="90" t="n">
        <f aca="false">IF(AND(Q116=1,ISNUMBER(I116)),(I116-설정!$C$4)/365.25,"")</f>
        <v>7.61943874058864</v>
      </c>
      <c r="V116" s="43" t="str">
        <f aca="false">IF(Q116&lt;&gt;1,"",IF(ISNUMBER(U116),IF(U116&lt;=1,"1년 이하",IF(U116&lt;=2,"1-2년",IF(U116&lt;=3,"2-3년",IF(U116&lt;=4,"3-4년",IF(U116&lt;=5,"4-5년",IF(U116&lt;=7,"5-7년",IF(U116&lt;=10,"7-10년",IF(U116&lt;=20,"10-20년","20년 이상")))))))),"미분류"))</f>
        <v>7-10년</v>
      </c>
      <c r="W116" s="43" t="str">
        <f aca="false">IF(Q116&lt;&gt;1,"",IF(AB116&lt;&gt;"",INDEX(시장분석!$C:$C,AB116),IF(K116=1,"USD","비USD")))</f>
        <v>USD</v>
      </c>
      <c r="X116" s="91" t="n">
        <f aca="false">IF(Q116=1,E116*K116/1000000,0)</f>
        <v>2</v>
      </c>
      <c r="Y116" s="89" t="n">
        <f aca="false">IF(R116="T",1,0)</f>
        <v>1</v>
      </c>
      <c r="Z116" s="92" t="n">
        <f aca="false">IF(Q116&lt;&gt;1,"",IF(AD116=1,IF(ISNUMBER(U116),MAX(U116,0),H116),H116))</f>
        <v>6.2078</v>
      </c>
      <c r="AA116" s="91" t="n">
        <f aca="false">IF(Q116=1,IF(ISNUMBER(L116),L116,0)*K116/1000000,0)</f>
        <v>1.90189</v>
      </c>
      <c r="AB116" s="89" t="n">
        <f aca="false">IF(Q116&lt;&gt;1,"",IFERROR(MATCH(VLOOKUP(B116,매핑!$H$4:$I$15,2,0),시장분석!$A$2:$A$601,0)+1,IFERROR(MATCH(R116&amp;"|"&amp;T116,시장분석!$V$2:$V$601,0)+1,IF(COUNTIF(시장분석!$U$2:$U$601,T116)=1,MATCH(T116,시장분석!$U$2:$U$601,0)+1,""))))</f>
        <v>120</v>
      </c>
      <c r="AC116" s="89" t="n">
        <f aca="false">IF(Q116&lt;&gt;1,0,IF(OR(설정!$C$5="전체",AND(설정!$C$5="선택펀드",IFERROR(COUNTIFS(설정!$F$16:$F$36,C116,설정!$G$16:$G$36,"Y")+COUNTIFS(설정!$F$16:$F$36,VALUE(C116),설정!$G$16:$G$36,"Y"),0)&gt;0),C116&amp;""=설정!$C$5&amp;""),1,0))</f>
        <v>1</v>
      </c>
      <c r="AD116" s="89" t="n">
        <f aca="false">IF(Q116&lt;&gt;1,0,IF(OR(S116=1,IF(AB116="",FALSE(),INDEX(시장분석!$R:$R,AB116)=1)),1,0))</f>
        <v>0</v>
      </c>
      <c r="AE116" s="43" t="str">
        <f aca="false">IF(AB116="","",INDEX(시장분석!$A:$A,AB116))</f>
        <v>T 4 3/8 05/15/34</v>
      </c>
      <c r="AF116" s="93" t="n">
        <f aca="false">IF(AB116="","",IF(ISNUMBER(IF(AB116="","",INDEX(시장분석!$E:$E,AB116))),IF(AB116="","",INDEX(시장분석!$E:$E,AB116)),""))</f>
        <v>3.546</v>
      </c>
      <c r="AG116" s="43" t="str">
        <f aca="false">IF(Q116&lt;&gt;1,"",IF(AB116&lt;&gt;"",IF(AB116="","",INDEX(시장분석!$L:$L,AB116)),IFERROR(IF(VLOOKUP(R116,매핑!$A$4:$E$92,5,0)="","미분류",VLOOKUP(R116,매핑!$A$4:$E$92,5,0)),"미분류")))</f>
        <v>정부</v>
      </c>
      <c r="AH116" s="43" t="str">
        <f aca="false">IF(Q116&lt;&gt;1,"",IF(AB116&lt;&gt;"",IF(AB116="","",INDEX(시장분석!$N:$N,AB116)),IFERROR(IF(VLOOKUP(R116,매핑!$A$4:$E$92,4,0)="","미분류",VLOOKUP(R116,매핑!$A$4:$E$92,4,0)),"미분류")))</f>
        <v>미국</v>
      </c>
      <c r="AI116" s="43" t="str">
        <f aca="false">IF(Q116&lt;&gt;1,"",IFERROR(IF(VLOOKUP(R116,매핑!$A$4:$E$92,3,0)="","미분류",VLOOKUP(R116,매핑!$A$4:$E$92,3,0)),IF(AB116&lt;&gt;"",IF(AB116="","",INDEX(시장분석!$W:$W,AB116)),"미분류")))</f>
        <v>미국</v>
      </c>
      <c r="AJ116" s="43" t="str">
        <f aca="false">IF(Q116&lt;&gt;1,"",IFERROR(VLOOKUP(IF(N116&lt;&gt;"",N116,IF(P116&lt;&gt;"",P116,O116)),설정!$A$15:$D$47,2,0),""))</f>
        <v>AA+</v>
      </c>
      <c r="AK116" s="43" t="str">
        <f aca="false">IF(Q116&lt;&gt;1,"",IF(AJ116="","무등급",IFERROR(VLOOKUP(AJ116,설정!$A$15:$D$47,3,0),"무등급")))</f>
        <v>AA이상</v>
      </c>
      <c r="AL116" s="89" t="n">
        <f aca="false">IF(AJ116="",99,IFERROR(VLOOKUP(AJ116,설정!$A$15:$D$47,4,0),99))</f>
        <v>2</v>
      </c>
      <c r="AM116" s="94" t="n">
        <f aca="false">IF(ISNUMBER(H116),AA116*1000000*H116/10000,0)</f>
        <v>1180.6552742</v>
      </c>
      <c r="AN116" s="94" t="n">
        <f aca="false">IF(OR(Y116=1,NOT(ISNUMBER(Z116))),0,AA116*1000000*Z116/10000)</f>
        <v>0</v>
      </c>
      <c r="AO116" s="94" t="n">
        <f aca="false">IF(ISNUMBER(G116),AA116*1000000*G116/100,0)</f>
        <v>98139.42589</v>
      </c>
      <c r="AP116" s="94" t="n">
        <f aca="false">IF(ISNUMBER(M116),M116*K116,0)</f>
        <v>-150202</v>
      </c>
      <c r="AQ116" s="95" t="str">
        <f aca="false">IF(AB116="","",INDEX(시장분석!$AK:$AK,AB116))</f>
        <v/>
      </c>
      <c r="AR116" s="43" t="str">
        <f aca="false">IF(AB116="","-",IF(AB116="","",INDEX(시장분석!$AL:$AL,AB116)))</f>
        <v>-</v>
      </c>
      <c r="AS116" s="96" t="str">
        <f aca="false">IF(AB116="","",INDEX(시장분석!$AJ:$AJ,AB116))</f>
        <v/>
      </c>
      <c r="AT116" s="93" t="n">
        <f aca="false">IF(AB116="",0,IF(AB116="","",INDEX(시장분석!$AN:$AN,AB116)))</f>
        <v>0</v>
      </c>
      <c r="AU116" s="94" t="n">
        <f aca="false">IF(ISNUMBER(Z116),AT116/10000*MAX(Z116-1,0)*AA116*1000000,0)</f>
        <v>0</v>
      </c>
      <c r="AV116" s="94" t="n">
        <f aca="false">AO116+AU116</f>
        <v>98139.42589</v>
      </c>
      <c r="AW116" s="43" t="str">
        <f aca="false">IF(Q116&lt;&gt;1,"",TRIM(IF(AD116=1,"FRN ","")&amp;IF(AND(AL116&gt;=10,AL116&lt;99),"BBB0미만 ","")&amp;IF(AJ116="","등급없음 ","")&amp;IF(K116&lt;&gt;1,"비USD ","")&amp;IF(AND(AB116="",Y116=0),"시장데이터없음 ","")&amp;IF(AND(ISNUMBER(U116),U116&lt;0),"만기경과 ","")))</f>
        <v/>
      </c>
      <c r="AX116" s="90" t="n">
        <f aca="false">IF(Q116&lt;&gt;1,1,IF(스프레드쇼크!$C$4="Y",INDEX(스프레드쇼크!$B$12:$L$16,IFERROR(MATCH(AH116,스프레드쇼크!$A$12:$A$16,0),MATCH("목록외",스프레드쇼크!$A$12:$A$16,0)),IFERROR(MATCH(AG116,스프레드쇼크!$B$11:$L$11,0),MATCH("목록외",스프레드쇼크!$B$11:$L$11,0))),1))</f>
        <v>1</v>
      </c>
      <c r="AY116" s="90" t="n">
        <f aca="false">IF(스프레드쇼크!$C$5="Y",IF(ISNUMBER(AF116),MIN(스프레드쇼크!$C$7,MAX(스프레드쇼크!$C$6,AF116/스프레드쇼크!$C$8)),1),1)</f>
        <v>0.25</v>
      </c>
      <c r="AZ116" s="94" t="n">
        <f aca="false">AN116*AX116*AY116</f>
        <v>0</v>
      </c>
      <c r="BA116" s="90" t="n">
        <f aca="false">IF(ISNUMBER(G116),AA116*G116,0)</f>
        <v>9.813942589</v>
      </c>
      <c r="BB116" s="90" t="n">
        <f aca="false">IF(ISNUMBER(G116),AA116,0)</f>
        <v>1.90189</v>
      </c>
      <c r="BC116" s="90" t="n">
        <f aca="false">IF(AND(Y116=0,ISNUMBER(AF116)),AA116*AF116,0)</f>
        <v>0</v>
      </c>
      <c r="BD116" s="90" t="n">
        <f aca="false">IF(AND(Y116=0,ISNUMBER(AF116)),AA116,0)</f>
        <v>0</v>
      </c>
      <c r="BE116" s="90" t="n">
        <f aca="false">IF(ISNUMBER(H116),AA116*H116,0)</f>
        <v>11.806552742</v>
      </c>
      <c r="BF116" s="90" t="n">
        <f aca="false">IF(ISNUMBER(H116),AA116,0)</f>
        <v>1.90189</v>
      </c>
      <c r="BG116" s="90" t="n">
        <f aca="false">IF(AND(Y116=0,ISNUMBER(AF116),ISNUMBER(Z116)),AA116*Z116,0)</f>
        <v>0</v>
      </c>
      <c r="BH116" s="90" t="n">
        <f aca="false">IF(AND(Y116=0,ISNUMBER(AF116),ISNUMBER(Z116)),AA116*AT116*MAX(Z116-1,0),0)</f>
        <v>0</v>
      </c>
      <c r="BI116" s="90" t="n">
        <f aca="false">IF(Y116=0,AA116,0)</f>
        <v>0</v>
      </c>
    </row>
    <row r="117" customFormat="false" ht="15" hidden="false" customHeight="false" outlineLevel="0" collapsed="false">
      <c r="A117" s="83" t="str">
        <f aca="false">IFERROR(IF(INDEX(원자료_잔고!$A$1:$EZ$1500,설정!$L$5+ROW()-1,설정!$L$8)&amp;""="0","",INDEX(원자료_잔고!$A$1:$EZ$1500,설정!$L$5+ROW()-1,설정!$L$8)&amp;""),"")</f>
        <v>T 4.25 05/15/35</v>
      </c>
      <c r="B117" s="83" t="str">
        <f aca="false">IFERROR(IF(INDEX(원자료_잔고!$A$1:$EZ$1500,설정!$L$5+ROW()-1,설정!$L$7)&amp;""="0","",INDEX(원자료_잔고!$A$1:$EZ$1500,설정!$L$5+ROW()-1,설정!$L$7)&amp;""),"")</f>
        <v>US91282CNC19</v>
      </c>
      <c r="C117" s="83" t="str">
        <f aca="false">IFERROR(IF(INDEX(원자료_잔고!$A$1:$EZ$1500,설정!$L$5+ROW()-1,설정!$L$9)&amp;""="0","",INDEX(원자료_잔고!$A$1:$EZ$1500,설정!$L$5+ROW()-1,설정!$L$9)&amp;""),"")</f>
        <v>34507</v>
      </c>
      <c r="D11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7" s="84" t="n">
        <f aca="false">IFERROR(IF(ISNUMBER(INDEX(원자료_잔고!$A$1:$EZ$1500,설정!$L$5+ROW()-1,설정!$L$11)),INDEX(원자료_잔고!$A$1:$EZ$1500,설정!$L$5+ROW()-1,설정!$L$11),""),"")</f>
        <v>15000000</v>
      </c>
      <c r="F117" s="85" t="n">
        <f aca="false">IFERROR(IF(ISNUMBER(INDEX(원자료_잔고!$A$1:$EZ$1500,설정!$L$5+ROW()-1,설정!$L$12)),INDEX(원자료_잔고!$A$1:$EZ$1500,설정!$L$5+ROW()-1,설정!$L$12),""),"")</f>
        <v>93.4636</v>
      </c>
      <c r="G117" s="85" t="n">
        <f aca="false">IFERROR(IF(ISNUMBER(INDEX(원자료_잔고!$A$1:$EZ$1500,설정!$L$5+ROW()-1,설정!$L$13)),INDEX(원자료_잔고!$A$1:$EZ$1500,설정!$L$5+ROW()-1,설정!$L$13),""),"")</f>
        <v>5.1987</v>
      </c>
      <c r="H117" s="85" t="n">
        <f aca="false">IFERROR(IF(ISNUMBER(INDEX(원자료_잔고!$A$1:$EZ$1500,설정!$L$5+ROW()-1,설정!$L$14)),INDEX(원자료_잔고!$A$1:$EZ$1500,설정!$L$5+ROW()-1,설정!$L$14),""),"")</f>
        <v>6.8939</v>
      </c>
      <c r="I117" s="86" t="n">
        <f aca="false">IFERROR(IF(ISNUMBER(INDEX(원자료_잔고!$A$1:$EZ$1500,설정!$L$5+ROW()-1,설정!$L$15)),INDEX(원자료_잔고!$A$1:$EZ$1500,설정!$L$5+ROW()-1,설정!$L$15),""),"")</f>
        <v>49444</v>
      </c>
      <c r="J117" s="85" t="n">
        <f aca="false">IFERROR(IF(ISNUMBER(INDEX(원자료_잔고!$A$1:$EZ$1500,설정!$L$5+ROW()-1,설정!$L$16)),INDEX(원자료_잔고!$A$1:$EZ$1500,설정!$L$5+ROW()-1,설정!$L$16),""),"")</f>
        <v>4.25</v>
      </c>
      <c r="K117" s="87" t="n">
        <f aca="false">IFERROR(IF(ISNUMBER(INDEX(원자료_잔고!$A$1:$EZ$1500,설정!$L$5+ROW()-1,설정!$L$17)),INDEX(원자료_잔고!$A$1:$EZ$1500,설정!$L$5+ROW()-1,설정!$L$17),""),"")</f>
        <v>1</v>
      </c>
      <c r="L117" s="84" t="n">
        <f aca="false">IFERROR(IF(ISNUMBER(INDEX(원자료_잔고!$A$1:$EZ$1500,설정!$L$5+ROW()-1,설정!$L$18)),INDEX(원자료_잔고!$A$1:$EZ$1500,설정!$L$5+ROW()-1,설정!$L$18),""),"")</f>
        <v>14019540</v>
      </c>
      <c r="M117" s="88" t="n">
        <f aca="false">IFERROR(IF(ISNUMBER(INDEX(원자료_잔고!$A$1:$EZ$1500,설정!$L$5+ROW()-1,설정!$L$19)),INDEX(원자료_잔고!$A$1:$EZ$1500,설정!$L$5+ROW()-1,설정!$L$19),""),"")</f>
        <v>-1167600</v>
      </c>
      <c r="N117" s="83" t="str">
        <f aca="false">IFERROR(IF(INDEX(원자료_잔고!$A$1:$EZ$1500,설정!$L$5+ROW()-1,설정!$L$21)&amp;""="0","",INDEX(원자료_잔고!$A$1:$EZ$1500,설정!$L$5+ROW()-1,설정!$L$21)&amp;""),"")</f>
        <v/>
      </c>
      <c r="O117" s="83" t="str">
        <f aca="false">IFERROR(IF(INDEX(원자료_잔고!$A$1:$EZ$1500,설정!$L$5+ROW()-1,설정!$L$22)&amp;""="0","",INDEX(원자료_잔고!$A$1:$EZ$1500,설정!$L$5+ROW()-1,설정!$L$22)&amp;""),"")</f>
        <v/>
      </c>
      <c r="P117" s="83" t="str">
        <f aca="false">IFERROR(IF(INDEX(원자료_잔고!$A$1:$EZ$1500,설정!$L$5+ROW()-1,설정!$L$23)&amp;""="0","",INDEX(원자료_잔고!$A$1:$EZ$1500,설정!$L$5+ROW()-1,설정!$L$23)&amp;""),"")</f>
        <v>AA+</v>
      </c>
      <c r="Q117" s="89" t="n">
        <f aca="false">IF(AND($A117&lt;&gt;"",ISNUMBER(E117)),IF(E117&gt;0,1,0),0)</f>
        <v>1</v>
      </c>
      <c r="R117" s="43" t="str">
        <f aca="false">IF(Q117=1,UPPER(LEFT($A117,FIND(" ",$A117&amp;" ")-1)),"")</f>
        <v>T</v>
      </c>
      <c r="S117" s="89" t="n">
        <f aca="false">IF(Q117=1,IF(OR(ISNUMBER(SEARCH("Float",$A117)),ISNUMBER(SEARCH("FRN",$A117))),1,0),0)</f>
        <v>0</v>
      </c>
      <c r="T117" s="43" t="str">
        <f aca="false">IF(AND(Q117=1,ISNUMBER(I117)),TEXT(I117,"yyyymmdd")&amp;"|"&amp;IF(S117=1,"F",TEXT(J117,"0.000")),"")</f>
        <v>20350515|4.250</v>
      </c>
      <c r="U117" s="90" t="n">
        <f aca="false">IF(AND(Q117=1,ISNUMBER(I117)),(I117-설정!$C$4)/365.25,"")</f>
        <v>8.61875427789185</v>
      </c>
      <c r="V117" s="43" t="str">
        <f aca="false">IF(Q117&lt;&gt;1,"",IF(ISNUMBER(U117),IF(U117&lt;=1,"1년 이하",IF(U117&lt;=2,"1-2년",IF(U117&lt;=3,"2-3년",IF(U117&lt;=4,"3-4년",IF(U117&lt;=5,"4-5년",IF(U117&lt;=7,"5-7년",IF(U117&lt;=10,"7-10년",IF(U117&lt;=20,"10-20년","20년 이상")))))))),"미분류"))</f>
        <v>7-10년</v>
      </c>
      <c r="W117" s="43" t="str">
        <f aca="false">IF(Q117&lt;&gt;1,"",IF(AB117&lt;&gt;"",INDEX(시장분석!$C:$C,AB117),IF(K117=1,"USD","비USD")))</f>
        <v>USD</v>
      </c>
      <c r="X117" s="91" t="n">
        <f aca="false">IF(Q117=1,E117*K117/1000000,0)</f>
        <v>15</v>
      </c>
      <c r="Y117" s="89" t="n">
        <f aca="false">IF(R117="T",1,0)</f>
        <v>1</v>
      </c>
      <c r="Z117" s="92" t="n">
        <f aca="false">IF(Q117&lt;&gt;1,"",IF(AD117=1,IF(ISNUMBER(U117),MAX(U117,0),H117),H117))</f>
        <v>6.8939</v>
      </c>
      <c r="AA117" s="91" t="n">
        <f aca="false">IF(Q117=1,IF(ISNUMBER(L117),L117,0)*K117/1000000,0)</f>
        <v>14.01954</v>
      </c>
      <c r="AB117" s="89" t="n">
        <f aca="false">IF(Q117&lt;&gt;1,"",IFERROR(MATCH(VLOOKUP(B117,매핑!$H$4:$I$15,2,0),시장분석!$A$2:$A$601,0)+1,IFERROR(MATCH(R117&amp;"|"&amp;T117,시장분석!$V$2:$V$601,0)+1,IF(COUNTIF(시장분석!$U$2:$U$601,T117)=1,MATCH(T117,시장분석!$U$2:$U$601,0)+1,""))))</f>
        <v>122</v>
      </c>
      <c r="AC117" s="89" t="n">
        <f aca="false">IF(Q117&lt;&gt;1,0,IF(OR(설정!$C$5="전체",AND(설정!$C$5="선택펀드",IFERROR(COUNTIFS(설정!$F$16:$F$36,C117,설정!$G$16:$G$36,"Y")+COUNTIFS(설정!$F$16:$F$36,VALUE(C117),설정!$G$16:$G$36,"Y"),0)&gt;0),C117&amp;""=설정!$C$5&amp;""),1,0))</f>
        <v>1</v>
      </c>
      <c r="AD117" s="89" t="n">
        <f aca="false">IF(Q117&lt;&gt;1,0,IF(OR(S117=1,IF(AB117="",FALSE(),INDEX(시장분석!$R:$R,AB117)=1)),1,0))</f>
        <v>0</v>
      </c>
      <c r="AE117" s="43" t="str">
        <f aca="false">IF(AB117="","",INDEX(시장분석!$A:$A,AB117))</f>
        <v>T 4 1/4 05/15/35</v>
      </c>
      <c r="AF117" s="93" t="n">
        <f aca="false">IF(AB117="","",IF(ISNUMBER(IF(AB117="","",INDEX(시장분석!$E:$E,AB117))),IF(AB117="","",INDEX(시장분석!$E:$E,AB117)),""))</f>
        <v>-2.406</v>
      </c>
      <c r="AG117" s="43" t="str">
        <f aca="false">IF(Q117&lt;&gt;1,"",IF(AB117&lt;&gt;"",IF(AB117="","",INDEX(시장분석!$L:$L,AB117)),IFERROR(IF(VLOOKUP(R117,매핑!$A$4:$E$92,5,0)="","미분류",VLOOKUP(R117,매핑!$A$4:$E$92,5,0)),"미분류")))</f>
        <v>정부</v>
      </c>
      <c r="AH117" s="43" t="str">
        <f aca="false">IF(Q117&lt;&gt;1,"",IF(AB117&lt;&gt;"",IF(AB117="","",INDEX(시장분석!$N:$N,AB117)),IFERROR(IF(VLOOKUP(R117,매핑!$A$4:$E$92,4,0)="","미분류",VLOOKUP(R117,매핑!$A$4:$E$92,4,0)),"미분류")))</f>
        <v>미국</v>
      </c>
      <c r="AI117" s="43" t="str">
        <f aca="false">IF(Q117&lt;&gt;1,"",IFERROR(IF(VLOOKUP(R117,매핑!$A$4:$E$92,3,0)="","미분류",VLOOKUP(R117,매핑!$A$4:$E$92,3,0)),IF(AB117&lt;&gt;"",IF(AB117="","",INDEX(시장분석!$W:$W,AB117)),"미분류")))</f>
        <v>미국</v>
      </c>
      <c r="AJ117" s="43" t="str">
        <f aca="false">IF(Q117&lt;&gt;1,"",IFERROR(VLOOKUP(IF(N117&lt;&gt;"",N117,IF(P117&lt;&gt;"",P117,O117)),설정!$A$15:$D$47,2,0),""))</f>
        <v>AA+</v>
      </c>
      <c r="AK117" s="43" t="str">
        <f aca="false">IF(Q117&lt;&gt;1,"",IF(AJ117="","무등급",IFERROR(VLOOKUP(AJ117,설정!$A$15:$D$47,3,0),"무등급")))</f>
        <v>AA이상</v>
      </c>
      <c r="AL117" s="89" t="n">
        <f aca="false">IF(AJ117="",99,IFERROR(VLOOKUP(AJ117,설정!$A$15:$D$47,4,0),99))</f>
        <v>2</v>
      </c>
      <c r="AM117" s="94" t="n">
        <f aca="false">IF(ISNUMBER(H117),AA117*1000000*H117/10000,0)</f>
        <v>9664.9306806</v>
      </c>
      <c r="AN117" s="94" t="n">
        <f aca="false">IF(OR(Y117=1,NOT(ISNUMBER(Z117))),0,AA117*1000000*Z117/10000)</f>
        <v>0</v>
      </c>
      <c r="AO117" s="94" t="n">
        <f aca="false">IF(ISNUMBER(G117),AA117*1000000*G117/100,0)</f>
        <v>728833.82598</v>
      </c>
      <c r="AP117" s="94" t="n">
        <f aca="false">IF(ISNUMBER(M117),M117*K117,0)</f>
        <v>-1167600</v>
      </c>
      <c r="AQ117" s="95" t="str">
        <f aca="false">IF(AB117="","",INDEX(시장분석!$AK:$AK,AB117))</f>
        <v/>
      </c>
      <c r="AR117" s="43" t="str">
        <f aca="false">IF(AB117="","-",IF(AB117="","",INDEX(시장분석!$AL:$AL,AB117)))</f>
        <v>-</v>
      </c>
      <c r="AS117" s="96" t="str">
        <f aca="false">IF(AB117="","",INDEX(시장분석!$AJ:$AJ,AB117))</f>
        <v/>
      </c>
      <c r="AT117" s="93" t="n">
        <f aca="false">IF(AB117="",0,IF(AB117="","",INDEX(시장분석!$AN:$AN,AB117)))</f>
        <v>0</v>
      </c>
      <c r="AU117" s="94" t="n">
        <f aca="false">IF(ISNUMBER(Z117),AT117/10000*MAX(Z117-1,0)*AA117*1000000,0)</f>
        <v>0</v>
      </c>
      <c r="AV117" s="94" t="n">
        <f aca="false">AO117+AU117</f>
        <v>728833.82598</v>
      </c>
      <c r="AW117" s="43" t="str">
        <f aca="false">IF(Q117&lt;&gt;1,"",TRIM(IF(AD117=1,"FRN ","")&amp;IF(AND(AL117&gt;=10,AL117&lt;99),"BBB0미만 ","")&amp;IF(AJ117="","등급없음 ","")&amp;IF(K117&lt;&gt;1,"비USD ","")&amp;IF(AND(AB117="",Y117=0),"시장데이터없음 ","")&amp;IF(AND(ISNUMBER(U117),U117&lt;0),"만기경과 ","")))</f>
        <v/>
      </c>
      <c r="AX117" s="90" t="n">
        <f aca="false">IF(Q117&lt;&gt;1,1,IF(스프레드쇼크!$C$4="Y",INDEX(스프레드쇼크!$B$12:$L$16,IFERROR(MATCH(AH117,스프레드쇼크!$A$12:$A$16,0),MATCH("목록외",스프레드쇼크!$A$12:$A$16,0)),IFERROR(MATCH(AG117,스프레드쇼크!$B$11:$L$11,0),MATCH("목록외",스프레드쇼크!$B$11:$L$11,0))),1))</f>
        <v>1</v>
      </c>
      <c r="AY117" s="90" t="n">
        <f aca="false">IF(스프레드쇼크!$C$5="Y",IF(ISNUMBER(AF117),MIN(스프레드쇼크!$C$7,MAX(스프레드쇼크!$C$6,AF117/스프레드쇼크!$C$8)),1),1)</f>
        <v>0.25</v>
      </c>
      <c r="AZ117" s="94" t="n">
        <f aca="false">AN117*AX117*AY117</f>
        <v>0</v>
      </c>
      <c r="BA117" s="90" t="n">
        <f aca="false">IF(ISNUMBER(G117),AA117*G117,0)</f>
        <v>72.883382598</v>
      </c>
      <c r="BB117" s="90" t="n">
        <f aca="false">IF(ISNUMBER(G117),AA117,0)</f>
        <v>14.01954</v>
      </c>
      <c r="BC117" s="90" t="n">
        <f aca="false">IF(AND(Y117=0,ISNUMBER(AF117)),AA117*AF117,0)</f>
        <v>0</v>
      </c>
      <c r="BD117" s="90" t="n">
        <f aca="false">IF(AND(Y117=0,ISNUMBER(AF117)),AA117,0)</f>
        <v>0</v>
      </c>
      <c r="BE117" s="90" t="n">
        <f aca="false">IF(ISNUMBER(H117),AA117*H117,0)</f>
        <v>96.649306806</v>
      </c>
      <c r="BF117" s="90" t="n">
        <f aca="false">IF(ISNUMBER(H117),AA117,0)</f>
        <v>14.01954</v>
      </c>
      <c r="BG117" s="90" t="n">
        <f aca="false">IF(AND(Y117=0,ISNUMBER(AF117),ISNUMBER(Z117)),AA117*Z117,0)</f>
        <v>0</v>
      </c>
      <c r="BH117" s="90" t="n">
        <f aca="false">IF(AND(Y117=0,ISNUMBER(AF117),ISNUMBER(Z117)),AA117*AT117*MAX(Z117-1,0),0)</f>
        <v>0</v>
      </c>
      <c r="BI117" s="90" t="n">
        <f aca="false">IF(Y117=0,AA117,0)</f>
        <v>0</v>
      </c>
    </row>
    <row r="118" customFormat="false" ht="15" hidden="false" customHeight="false" outlineLevel="0" collapsed="false">
      <c r="A118" s="83" t="str">
        <f aca="false">IFERROR(IF(INDEX(원자료_잔고!$A$1:$EZ$1500,설정!$L$5+ROW()-1,설정!$L$8)&amp;""="0","",INDEX(원자료_잔고!$A$1:$EZ$1500,설정!$L$5+ROW()-1,설정!$L$8)&amp;""),"")</f>
        <v>WFC 5.244 01/24/31</v>
      </c>
      <c r="B118" s="83" t="str">
        <f aca="false">IFERROR(IF(INDEX(원자료_잔고!$A$1:$EZ$1500,설정!$L$5+ROW()-1,설정!$L$7)&amp;""="0","",INDEX(원자료_잔고!$A$1:$EZ$1500,설정!$L$5+ROW()-1,설정!$L$7)&amp;""),"")</f>
        <v>US95000U3P60</v>
      </c>
      <c r="C118" s="83" t="str">
        <f aca="false">IFERROR(IF(INDEX(원자료_잔고!$A$1:$EZ$1500,설정!$L$5+ROW()-1,설정!$L$9)&amp;""="0","",INDEX(원자료_잔고!$A$1:$EZ$1500,설정!$L$5+ROW()-1,설정!$L$9)&amp;""),"")</f>
        <v>34507</v>
      </c>
      <c r="D11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8" s="84" t="n">
        <f aca="false">IFERROR(IF(ISNUMBER(INDEX(원자료_잔고!$A$1:$EZ$1500,설정!$L$5+ROW()-1,설정!$L$11)),INDEX(원자료_잔고!$A$1:$EZ$1500,설정!$L$5+ROW()-1,설정!$L$11),""),"")</f>
        <v>5000000</v>
      </c>
      <c r="F118" s="85" t="n">
        <f aca="false">IFERROR(IF(ISNUMBER(INDEX(원자료_잔고!$A$1:$EZ$1500,설정!$L$5+ROW()-1,설정!$L$12)),INDEX(원자료_잔고!$A$1:$EZ$1500,설정!$L$5+ROW()-1,설정!$L$12),""),"")</f>
        <v>98.3859</v>
      </c>
      <c r="G118" s="85" t="n">
        <f aca="false">IFERROR(IF(ISNUMBER(INDEX(원자료_잔고!$A$1:$EZ$1500,설정!$L$5+ROW()-1,설정!$L$13)),INDEX(원자료_잔고!$A$1:$EZ$1500,설정!$L$5+ROW()-1,설정!$L$13),""),"")</f>
        <v>5.7476</v>
      </c>
      <c r="H118" s="85" t="n">
        <f aca="false">IFERROR(IF(ISNUMBER(INDEX(원자료_잔고!$A$1:$EZ$1500,설정!$L$5+ROW()-1,설정!$L$14)),INDEX(원자료_잔고!$A$1:$EZ$1500,설정!$L$5+ROW()-1,설정!$L$14),""),"")</f>
        <v>2.9441</v>
      </c>
      <c r="I118" s="86" t="n">
        <f aca="false">IFERROR(IF(ISNUMBER(INDEX(원자료_잔고!$A$1:$EZ$1500,설정!$L$5+ROW()-1,설정!$L$15)),INDEX(원자료_잔고!$A$1:$EZ$1500,설정!$L$5+ROW()-1,설정!$L$15),""),"")</f>
        <v>47872</v>
      </c>
      <c r="J118" s="85" t="n">
        <f aca="false">IFERROR(IF(ISNUMBER(INDEX(원자료_잔고!$A$1:$EZ$1500,설정!$L$5+ROW()-1,설정!$L$16)),INDEX(원자료_잔고!$A$1:$EZ$1500,설정!$L$5+ROW()-1,설정!$L$16),""),"")</f>
        <v>5.244</v>
      </c>
      <c r="K118" s="87" t="n">
        <f aca="false">IFERROR(IF(ISNUMBER(INDEX(원자료_잔고!$A$1:$EZ$1500,설정!$L$5+ROW()-1,설정!$L$17)),INDEX(원자료_잔고!$A$1:$EZ$1500,설정!$L$5+ROW()-1,설정!$L$17),""),"")</f>
        <v>1</v>
      </c>
      <c r="L118" s="84" t="n">
        <f aca="false">IFERROR(IF(ISNUMBER(INDEX(원자료_잔고!$A$1:$EZ$1500,설정!$L$5+ROW()-1,설정!$L$18)),INDEX(원자료_잔고!$A$1:$EZ$1500,설정!$L$5+ROW()-1,설정!$L$18),""),"")</f>
        <v>4919295</v>
      </c>
      <c r="M118" s="88" t="n">
        <f aca="false">IFERROR(IF(ISNUMBER(INDEX(원자료_잔고!$A$1:$EZ$1500,설정!$L$5+ROW()-1,설정!$L$19)),INDEX(원자료_잔고!$A$1:$EZ$1500,설정!$L$5+ROW()-1,설정!$L$19),""),"")</f>
        <v>-268165</v>
      </c>
      <c r="N118" s="83" t="str">
        <f aca="false">IFERROR(IF(INDEX(원자료_잔고!$A$1:$EZ$1500,설정!$L$5+ROW()-1,설정!$L$21)&amp;""="0","",INDEX(원자료_잔고!$A$1:$EZ$1500,설정!$L$5+ROW()-1,설정!$L$21)&amp;""),"")</f>
        <v>A-</v>
      </c>
      <c r="O118" s="83" t="str">
        <f aca="false">IFERROR(IF(INDEX(원자료_잔고!$A$1:$EZ$1500,설정!$L$5+ROW()-1,설정!$L$22)&amp;""="0","",INDEX(원자료_잔고!$A$1:$EZ$1500,설정!$L$5+ROW()-1,설정!$L$22)&amp;""),"")</f>
        <v/>
      </c>
      <c r="P118" s="83" t="str">
        <f aca="false">IFERROR(IF(INDEX(원자료_잔고!$A$1:$EZ$1500,설정!$L$5+ROW()-1,설정!$L$23)&amp;""="0","",INDEX(원자료_잔고!$A$1:$EZ$1500,설정!$L$5+ROW()-1,설정!$L$23)&amp;""),"")</f>
        <v>A+</v>
      </c>
      <c r="Q118" s="89" t="n">
        <f aca="false">IF(AND($A118&lt;&gt;"",ISNUMBER(E118)),IF(E118&gt;0,1,0),0)</f>
        <v>1</v>
      </c>
      <c r="R118" s="43" t="str">
        <f aca="false">IF(Q118=1,UPPER(LEFT($A118,FIND(" ",$A118&amp;" ")-1)),"")</f>
        <v>WFC</v>
      </c>
      <c r="S118" s="89" t="n">
        <f aca="false">IF(Q118=1,IF(OR(ISNUMBER(SEARCH("Float",$A118)),ISNUMBER(SEARCH("FRN",$A118))),1,0),0)</f>
        <v>0</v>
      </c>
      <c r="T118" s="43" t="str">
        <f aca="false">IF(AND(Q118=1,ISNUMBER(I118)),TEXT(I118,"yyyymmdd")&amp;"|"&amp;IF(S118=1,"F",TEXT(J118,"0.000")),"")</f>
        <v>20310124|5.244</v>
      </c>
      <c r="U118" s="90" t="n">
        <f aca="false">IF(AND(Q118=1,ISNUMBER(I118)),(I118-설정!$C$4)/365.25,"")</f>
        <v>4.31485284052019</v>
      </c>
      <c r="V118" s="43" t="str">
        <f aca="false">IF(Q118&lt;&gt;1,"",IF(ISNUMBER(U118),IF(U118&lt;=1,"1년 이하",IF(U118&lt;=2,"1-2년",IF(U118&lt;=3,"2-3년",IF(U118&lt;=4,"3-4년",IF(U118&lt;=5,"4-5년",IF(U118&lt;=7,"5-7년",IF(U118&lt;=10,"7-10년",IF(U118&lt;=20,"10-20년","20년 이상")))))))),"미분류"))</f>
        <v>4-5년</v>
      </c>
      <c r="W118" s="43" t="str">
        <f aca="false">IF(Q118&lt;&gt;1,"",IF(AB118&lt;&gt;"",INDEX(시장분석!$C:$C,AB118),IF(K118=1,"USD","비USD")))</f>
        <v>USD</v>
      </c>
      <c r="X118" s="91" t="n">
        <f aca="false">IF(Q118=1,E118*K118/1000000,0)</f>
        <v>5</v>
      </c>
      <c r="Y118" s="89" t="n">
        <f aca="false">IF(R118="T",1,0)</f>
        <v>0</v>
      </c>
      <c r="Z118" s="92" t="n">
        <f aca="false">IF(Q118&lt;&gt;1,"",IF(AD118=1,IF(ISNUMBER(U118),MAX(U118,0),H118),H118))</f>
        <v>2.9441</v>
      </c>
      <c r="AA118" s="91" t="n">
        <f aca="false">IF(Q118=1,IF(ISNUMBER(L118),L118,0)*K118/1000000,0)</f>
        <v>4.919295</v>
      </c>
      <c r="AB118" s="89" t="n">
        <f aca="false">IF(Q118&lt;&gt;1,"",IFERROR(MATCH(VLOOKUP(B118,매핑!$H$4:$I$15,2,0),시장분석!$A$2:$A$601,0)+1,IFERROR(MATCH(R118&amp;"|"&amp;T118,시장분석!$V$2:$V$601,0)+1,IF(COUNTIF(시장분석!$U$2:$U$601,T118)=1,MATCH(T118,시장분석!$U$2:$U$601,0)+1,""))))</f>
        <v>129</v>
      </c>
      <c r="AC118" s="89" t="n">
        <f aca="false">IF(Q118&lt;&gt;1,0,IF(OR(설정!$C$5="전체",AND(설정!$C$5="선택펀드",IFERROR(COUNTIFS(설정!$F$16:$F$36,C118,설정!$G$16:$G$36,"Y")+COUNTIFS(설정!$F$16:$F$36,VALUE(C118),설정!$G$16:$G$36,"Y"),0)&gt;0),C118&amp;""=설정!$C$5&amp;""),1,0))</f>
        <v>1</v>
      </c>
      <c r="AD118" s="89" t="n">
        <f aca="false">IF(Q118&lt;&gt;1,0,IF(OR(S118=1,IF(AB118="",FALSE(),INDEX(시장분석!$R:$R,AB118)=1)),1,0))</f>
        <v>0</v>
      </c>
      <c r="AE118" s="43" t="str">
        <f aca="false">IF(AB118="","",INDEX(시장분석!$A:$A,AB118))</f>
        <v>WFC 5.244 01/24/31</v>
      </c>
      <c r="AF118" s="93" t="n">
        <f aca="false">IF(AB118="","",IF(ISNUMBER(IF(AB118="","",INDEX(시장분석!$E:$E,AB118))),IF(AB118="","",INDEX(시장분석!$E:$E,AB118)),""))</f>
        <v>71.282</v>
      </c>
      <c r="AG118" s="43" t="str">
        <f aca="false">IF(Q118&lt;&gt;1,"",IF(AB118&lt;&gt;"",IF(AB118="","",INDEX(시장분석!$L:$L,AB118)),IFERROR(IF(VLOOKUP(R118,매핑!$A$4:$E$92,5,0)="","미분류",VLOOKUP(R118,매핑!$A$4:$E$92,5,0)),"미분류")))</f>
        <v>금융기관</v>
      </c>
      <c r="AH118" s="43" t="str">
        <f aca="false">IF(Q118&lt;&gt;1,"",IF(AB118&lt;&gt;"",IF(AB118="","",INDEX(시장분석!$N:$N,AB118)),IFERROR(IF(VLOOKUP(R118,매핑!$A$4:$E$92,4,0)="","미분류",VLOOKUP(R118,매핑!$A$4:$E$92,4,0)),"미분류")))</f>
        <v>미국</v>
      </c>
      <c r="AI118" s="43" t="str">
        <f aca="false">IF(Q118&lt;&gt;1,"",IFERROR(IF(VLOOKUP(R118,매핑!$A$4:$E$92,3,0)="","미분류",VLOOKUP(R118,매핑!$A$4:$E$92,3,0)),IF(AB118&lt;&gt;"",IF(AB118="","",INDEX(시장분석!$W:$W,AB118)),"미분류")))</f>
        <v>미국</v>
      </c>
      <c r="AJ118" s="43" t="str">
        <f aca="false">IF(Q118&lt;&gt;1,"",IFERROR(VLOOKUP(IF(N118&lt;&gt;"",N118,IF(P118&lt;&gt;"",P118,O118)),설정!$A$15:$D$47,2,0),""))</f>
        <v>A-</v>
      </c>
      <c r="AK118" s="43" t="str">
        <f aca="false">IF(Q118&lt;&gt;1,"",IF(AJ118="","무등급",IFERROR(VLOOKUP(AJ118,설정!$A$15:$D$47,3,0),"무등급")))</f>
        <v>A</v>
      </c>
      <c r="AL118" s="89" t="n">
        <f aca="false">IF(AJ118="",99,IFERROR(VLOOKUP(AJ118,설정!$A$15:$D$47,4,0),99))</f>
        <v>7</v>
      </c>
      <c r="AM118" s="94" t="n">
        <f aca="false">IF(ISNUMBER(H118),AA118*1000000*H118/10000,0)</f>
        <v>1448.28964095</v>
      </c>
      <c r="AN118" s="94" t="n">
        <f aca="false">IF(OR(Y118=1,NOT(ISNUMBER(Z118))),0,AA118*1000000*Z118/10000)</f>
        <v>1448.28964095</v>
      </c>
      <c r="AO118" s="94" t="n">
        <f aca="false">IF(ISNUMBER(G118),AA118*1000000*G118/100,0)</f>
        <v>282741.39942</v>
      </c>
      <c r="AP118" s="94" t="n">
        <f aca="false">IF(ISNUMBER(M118),M118*K118,0)</f>
        <v>-268165</v>
      </c>
      <c r="AQ118" s="95" t="n">
        <f aca="false">IF(AB118="","",INDEX(시장분석!$AK:$AK,AB118))</f>
        <v>0.0447456748715333</v>
      </c>
      <c r="AR118" s="43" t="str">
        <f aca="false">IF(AB118="","-",IF(AB118="","",INDEX(시장분석!$AL:$AL,AB118)))</f>
        <v>Fair</v>
      </c>
      <c r="AS118" s="96" t="n">
        <f aca="false">IF(AB118="","",INDEX(시장분석!$AJ:$AJ,AB118))</f>
        <v>0.61199469542467</v>
      </c>
      <c r="AT118" s="93" t="n">
        <f aca="false">IF(AB118="",0,IF(AB118="","",INDEX(시장분석!$AN:$AN,AB118)))</f>
        <v>8.23543826493271</v>
      </c>
      <c r="AU118" s="94" t="n">
        <f aca="false">IF(ISNUMBER(Z118),AT118/10000*MAX(Z118-1,0)*AA118*1000000,0)</f>
        <v>7876.04489983607</v>
      </c>
      <c r="AV118" s="94" t="n">
        <f aca="false">AO118+AU118</f>
        <v>290617.444319836</v>
      </c>
      <c r="AW118" s="43" t="str">
        <f aca="false">IF(Q118&lt;&gt;1,"",TRIM(IF(AD118=1,"FRN ","")&amp;IF(AND(AL118&gt;=10,AL118&lt;99),"BBB0미만 ","")&amp;IF(AJ118="","등급없음 ","")&amp;IF(K118&lt;&gt;1,"비USD ","")&amp;IF(AND(AB118="",Y118=0),"시장데이터없음 ","")&amp;IF(AND(ISNUMBER(U118),U118&lt;0),"만기경과 ","")))</f>
        <v/>
      </c>
      <c r="AX118" s="90" t="n">
        <f aca="false">IF(Q118&lt;&gt;1,1,IF(스프레드쇼크!$C$4="Y",INDEX(스프레드쇼크!$B$12:$L$16,IFERROR(MATCH(AH118,스프레드쇼크!$A$12:$A$16,0),MATCH("목록외",스프레드쇼크!$A$12:$A$16,0)),IFERROR(MATCH(AG118,스프레드쇼크!$B$11:$L$11,0),MATCH("목록외",스프레드쇼크!$B$11:$L$11,0))),1))</f>
        <v>1</v>
      </c>
      <c r="AY118" s="90" t="n">
        <f aca="false">IF(스프레드쇼크!$C$5="Y",IF(ISNUMBER(AF118),MIN(스프레드쇼크!$C$7,MAX(스프레드쇼크!$C$6,AF118/스프레드쇼크!$C$8)),1),1)</f>
        <v>1.07816791359181</v>
      </c>
      <c r="AZ118" s="94" t="n">
        <f aca="false">AN118*AX118*AY118</f>
        <v>1561.4994204597</v>
      </c>
      <c r="BA118" s="90" t="n">
        <f aca="false">IF(ISNUMBER(G118),AA118*G118,0)</f>
        <v>28.274139942</v>
      </c>
      <c r="BB118" s="90" t="n">
        <f aca="false">IF(ISNUMBER(G118),AA118,0)</f>
        <v>4.919295</v>
      </c>
      <c r="BC118" s="90" t="n">
        <f aca="false">IF(AND(Y118=0,ISNUMBER(AF118)),AA118*AF118,0)</f>
        <v>350.65718619</v>
      </c>
      <c r="BD118" s="90" t="n">
        <f aca="false">IF(AND(Y118=0,ISNUMBER(AF118)),AA118,0)</f>
        <v>4.919295</v>
      </c>
      <c r="BE118" s="90" t="n">
        <f aca="false">IF(ISNUMBER(H118),AA118*H118,0)</f>
        <v>14.4828964095</v>
      </c>
      <c r="BF118" s="90" t="n">
        <f aca="false">IF(ISNUMBER(H118),AA118,0)</f>
        <v>4.919295</v>
      </c>
      <c r="BG118" s="90" t="n">
        <f aca="false">IF(AND(Y118=0,ISNUMBER(AF118),ISNUMBER(Z118)),AA118*Z118,0)</f>
        <v>14.4828964095</v>
      </c>
      <c r="BH118" s="90" t="n">
        <f aca="false">IF(AND(Y118=0,ISNUMBER(AF118),ISNUMBER(Z118)),AA118*AT118*MAX(Z118-1,0),0)</f>
        <v>78.7604489983607</v>
      </c>
      <c r="BI118" s="90" t="n">
        <f aca="false">IF(Y118=0,AA118,0)</f>
        <v>4.919295</v>
      </c>
    </row>
    <row r="119" customFormat="false" ht="15" hidden="false" customHeight="false" outlineLevel="0" collapsed="false">
      <c r="A119" s="83" t="str">
        <f aca="false">IFERROR(IF(INDEX(원자료_잔고!$A$1:$EZ$1500,설정!$L$5+ROW()-1,설정!$L$8)&amp;""="0","",INDEX(원자료_잔고!$A$1:$EZ$1500,설정!$L$5+ROW()-1,설정!$L$8)&amp;""),"")</f>
        <v>STANLN 7.767 11/16/28</v>
      </c>
      <c r="B119" s="83" t="str">
        <f aca="false">IFERROR(IF(INDEX(원자료_잔고!$A$1:$EZ$1500,설정!$L$5+ROW()-1,설정!$L$7)&amp;""="0","",INDEX(원자료_잔고!$A$1:$EZ$1500,설정!$L$5+ROW()-1,설정!$L$7)&amp;""),"")</f>
        <v>USG84228FL77</v>
      </c>
      <c r="C119" s="83" t="str">
        <f aca="false">IFERROR(IF(INDEX(원자료_잔고!$A$1:$EZ$1500,설정!$L$5+ROW()-1,설정!$L$9)&amp;""="0","",INDEX(원자료_잔고!$A$1:$EZ$1500,설정!$L$5+ROW()-1,설정!$L$9)&amp;""),"")</f>
        <v>34507</v>
      </c>
      <c r="D11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19" s="84" t="n">
        <f aca="false">IFERROR(IF(ISNUMBER(INDEX(원자료_잔고!$A$1:$EZ$1500,설정!$L$5+ROW()-1,설정!$L$11)),INDEX(원자료_잔고!$A$1:$EZ$1500,설정!$L$5+ROW()-1,설정!$L$11),""),"")</f>
        <v>3000000</v>
      </c>
      <c r="F119" s="85" t="n">
        <f aca="false">IFERROR(IF(ISNUMBER(INDEX(원자료_잔고!$A$1:$EZ$1500,설정!$L$5+ROW()-1,설정!$L$12)),INDEX(원자료_잔고!$A$1:$EZ$1500,설정!$L$5+ROW()-1,설정!$L$12),""),"")</f>
        <v>102.5823</v>
      </c>
      <c r="G119" s="85" t="n">
        <f aca="false">IFERROR(IF(ISNUMBER(INDEX(원자료_잔고!$A$1:$EZ$1500,설정!$L$5+ROW()-1,설정!$L$13)),INDEX(원자료_잔고!$A$1:$EZ$1500,설정!$L$5+ROW()-1,설정!$L$13),""),"")</f>
        <v>5.7113</v>
      </c>
      <c r="H119" s="85" t="n">
        <f aca="false">IFERROR(IF(ISNUMBER(INDEX(원자료_잔고!$A$1:$EZ$1500,설정!$L$5+ROW()-1,설정!$L$14)),INDEX(원자료_잔고!$A$1:$EZ$1500,설정!$L$5+ROW()-1,설정!$L$14),""),"")</f>
        <v>1.0258</v>
      </c>
      <c r="I119" s="86" t="n">
        <f aca="false">IFERROR(IF(ISNUMBER(INDEX(원자료_잔고!$A$1:$EZ$1500,설정!$L$5+ROW()-1,설정!$L$15)),INDEX(원자료_잔고!$A$1:$EZ$1500,설정!$L$5+ROW()-1,설정!$L$15),""),"")</f>
        <v>47073</v>
      </c>
      <c r="J119" s="85" t="n">
        <f aca="false">IFERROR(IF(ISNUMBER(INDEX(원자료_잔고!$A$1:$EZ$1500,설정!$L$5+ROW()-1,설정!$L$16)),INDEX(원자료_잔고!$A$1:$EZ$1500,설정!$L$5+ROW()-1,설정!$L$16),""),"")</f>
        <v>7.767</v>
      </c>
      <c r="K119" s="87" t="n">
        <f aca="false">IFERROR(IF(ISNUMBER(INDEX(원자료_잔고!$A$1:$EZ$1500,설정!$L$5+ROW()-1,설정!$L$17)),INDEX(원자료_잔고!$A$1:$EZ$1500,설정!$L$5+ROW()-1,설정!$L$17),""),"")</f>
        <v>1</v>
      </c>
      <c r="L119" s="84" t="n">
        <f aca="false">IFERROR(IF(ISNUMBER(INDEX(원자료_잔고!$A$1:$EZ$1500,설정!$L$5+ROW()-1,설정!$L$18)),INDEX(원자료_잔고!$A$1:$EZ$1500,설정!$L$5+ROW()-1,설정!$L$18),""),"")</f>
        <v>3077469</v>
      </c>
      <c r="M119" s="88" t="n">
        <f aca="false">IFERROR(IF(ISNUMBER(INDEX(원자료_잔고!$A$1:$EZ$1500,설정!$L$5+ROW()-1,설정!$L$19)),INDEX(원자료_잔고!$A$1:$EZ$1500,설정!$L$5+ROW()-1,설정!$L$19),""),"")</f>
        <v>-120558</v>
      </c>
      <c r="N119" s="83" t="str">
        <f aca="false">IFERROR(IF(INDEX(원자료_잔고!$A$1:$EZ$1500,설정!$L$5+ROW()-1,설정!$L$21)&amp;""="0","",INDEX(원자료_잔고!$A$1:$EZ$1500,설정!$L$5+ROW()-1,설정!$L$21)&amp;""),"")</f>
        <v>BBB+</v>
      </c>
      <c r="O119" s="83" t="str">
        <f aca="false">IFERROR(IF(INDEX(원자료_잔고!$A$1:$EZ$1500,설정!$L$5+ROW()-1,설정!$L$22)&amp;""="0","",INDEX(원자료_잔고!$A$1:$EZ$1500,설정!$L$5+ROW()-1,설정!$L$22)&amp;""),"")</f>
        <v/>
      </c>
      <c r="P119" s="83" t="str">
        <f aca="false">IFERROR(IF(INDEX(원자료_잔고!$A$1:$EZ$1500,설정!$L$5+ROW()-1,설정!$L$23)&amp;""="0","",INDEX(원자료_잔고!$A$1:$EZ$1500,설정!$L$5+ROW()-1,설정!$L$23)&amp;""),"")</f>
        <v>A</v>
      </c>
      <c r="Q119" s="89" t="n">
        <f aca="false">IF(AND($A119&lt;&gt;"",ISNUMBER(E119)),IF(E119&gt;0,1,0),0)</f>
        <v>1</v>
      </c>
      <c r="R119" s="43" t="str">
        <f aca="false">IF(Q119=1,UPPER(LEFT($A119,FIND(" ",$A119&amp;" ")-1)),"")</f>
        <v>STANLN</v>
      </c>
      <c r="S119" s="89" t="n">
        <f aca="false">IF(Q119=1,IF(OR(ISNUMBER(SEARCH("Float",$A119)),ISNUMBER(SEARCH("FRN",$A119))),1,0),0)</f>
        <v>0</v>
      </c>
      <c r="T119" s="43" t="str">
        <f aca="false">IF(AND(Q119=1,ISNUMBER(I119)),TEXT(I119,"yyyymmdd")&amp;"|"&amp;IF(S119=1,"F",TEXT(J119,"0.000")),"")</f>
        <v>20281116|7.767</v>
      </c>
      <c r="U119" s="90" t="n">
        <f aca="false">IF(AND(Q119=1,ISNUMBER(I119)),(I119-설정!$C$4)/365.25,"")</f>
        <v>2.12731006160164</v>
      </c>
      <c r="V119" s="43" t="str">
        <f aca="false">IF(Q119&lt;&gt;1,"",IF(ISNUMBER(U119),IF(U119&lt;=1,"1년 이하",IF(U119&lt;=2,"1-2년",IF(U119&lt;=3,"2-3년",IF(U119&lt;=4,"3-4년",IF(U119&lt;=5,"4-5년",IF(U119&lt;=7,"5-7년",IF(U119&lt;=10,"7-10년",IF(U119&lt;=20,"10-20년","20년 이상")))))))),"미분류"))</f>
        <v>2-3년</v>
      </c>
      <c r="W119" s="43" t="str">
        <f aca="false">IF(Q119&lt;&gt;1,"",IF(AB119&lt;&gt;"",INDEX(시장분석!$C:$C,AB119),IF(K119=1,"USD","비USD")))</f>
        <v>USD</v>
      </c>
      <c r="X119" s="91" t="n">
        <f aca="false">IF(Q119=1,E119*K119/1000000,0)</f>
        <v>3</v>
      </c>
      <c r="Y119" s="89" t="n">
        <f aca="false">IF(R119="T",1,0)</f>
        <v>0</v>
      </c>
      <c r="Z119" s="92" t="n">
        <f aca="false">IF(Q119&lt;&gt;1,"",IF(AD119=1,IF(ISNUMBER(U119),MAX(U119,0),H119),H119))</f>
        <v>1.0258</v>
      </c>
      <c r="AA119" s="91" t="n">
        <f aca="false">IF(Q119=1,IF(ISNUMBER(L119),L119,0)*K119/1000000,0)</f>
        <v>3.077469</v>
      </c>
      <c r="AB119" s="89" t="n">
        <f aca="false">IF(Q119&lt;&gt;1,"",IFERROR(MATCH(VLOOKUP(B119,매핑!$H$4:$I$15,2,0),시장분석!$A$2:$A$601,0)+1,IFERROR(MATCH(R119&amp;"|"&amp;T119,시장분석!$V$2:$V$601,0)+1,IF(COUNTIF(시장분석!$U$2:$U$601,T119)=1,MATCH(T119,시장분석!$U$2:$U$601,0)+1,""))))</f>
        <v>136</v>
      </c>
      <c r="AC119" s="89" t="n">
        <f aca="false">IF(Q119&lt;&gt;1,0,IF(OR(설정!$C$5="전체",AND(설정!$C$5="선택펀드",IFERROR(COUNTIFS(설정!$F$16:$F$36,C119,설정!$G$16:$G$36,"Y")+COUNTIFS(설정!$F$16:$F$36,VALUE(C119),설정!$G$16:$G$36,"Y"),0)&gt;0),C119&amp;""=설정!$C$5&amp;""),1,0))</f>
        <v>1</v>
      </c>
      <c r="AD119" s="89" t="n">
        <f aca="false">IF(Q119&lt;&gt;1,0,IF(OR(S119=1,IF(AB119="",FALSE(),INDEX(시장분석!$R:$R,AB119)=1)),1,0))</f>
        <v>0</v>
      </c>
      <c r="AE119" s="43" t="str">
        <f aca="false">IF(AB119="","",INDEX(시장분석!$A:$A,AB119))</f>
        <v>STANLN 7.767 11/16/28</v>
      </c>
      <c r="AF119" s="93" t="n">
        <f aca="false">IF(AB119="","",IF(ISNUMBER(IF(AB119="","",INDEX(시장분석!$E:$E,AB119))),IF(AB119="","",INDEX(시장분석!$E:$E,AB119)),""))</f>
        <v>48.274</v>
      </c>
      <c r="AG119" s="43" t="str">
        <f aca="false">IF(Q119&lt;&gt;1,"",IF(AB119&lt;&gt;"",IF(AB119="","",INDEX(시장분석!$L:$L,AB119)),IFERROR(IF(VLOOKUP(R119,매핑!$A$4:$E$92,5,0)="","미분류",VLOOKUP(R119,매핑!$A$4:$E$92,5,0)),"미분류")))</f>
        <v>금융기관</v>
      </c>
      <c r="AH119" s="43" t="str">
        <f aca="false">IF(Q119&lt;&gt;1,"",IF(AB119&lt;&gt;"",IF(AB119="","",INDEX(시장분석!$N:$N,AB119)),IFERROR(IF(VLOOKUP(R119,매핑!$A$4:$E$92,4,0)="","미분류",VLOOKUP(R119,매핑!$A$4:$E$92,4,0)),"미분류")))</f>
        <v>유럽</v>
      </c>
      <c r="AI119" s="43" t="str">
        <f aca="false">IF(Q119&lt;&gt;1,"",IFERROR(IF(VLOOKUP(R119,매핑!$A$4:$E$92,3,0)="","미분류",VLOOKUP(R119,매핑!$A$4:$E$92,3,0)),IF(AB119&lt;&gt;"",IF(AB119="","",INDEX(시장분석!$W:$W,AB119)),"미분류")))</f>
        <v>영국</v>
      </c>
      <c r="AJ119" s="43" t="str">
        <f aca="false">IF(Q119&lt;&gt;1,"",IFERROR(VLOOKUP(IF(N119&lt;&gt;"",N119,IF(P119&lt;&gt;"",P119,O119)),설정!$A$15:$D$47,2,0),""))</f>
        <v>BBB+</v>
      </c>
      <c r="AK119" s="43" t="str">
        <f aca="false">IF(Q119&lt;&gt;1,"",IF(AJ119="","무등급",IFERROR(VLOOKUP(AJ119,설정!$A$15:$D$47,3,0),"무등급")))</f>
        <v>BBB</v>
      </c>
      <c r="AL119" s="89" t="n">
        <f aca="false">IF(AJ119="",99,IFERROR(VLOOKUP(AJ119,설정!$A$15:$D$47,4,0),99))</f>
        <v>8</v>
      </c>
      <c r="AM119" s="94" t="n">
        <f aca="false">IF(ISNUMBER(H119),AA119*1000000*H119/10000,0)</f>
        <v>315.68677002</v>
      </c>
      <c r="AN119" s="94" t="n">
        <f aca="false">IF(OR(Y119=1,NOT(ISNUMBER(Z119))),0,AA119*1000000*Z119/10000)</f>
        <v>315.68677002</v>
      </c>
      <c r="AO119" s="94" t="n">
        <f aca="false">IF(ISNUMBER(G119),AA119*1000000*G119/100,0)</f>
        <v>175763.486997</v>
      </c>
      <c r="AP119" s="94" t="n">
        <f aca="false">IF(ISNUMBER(M119),M119*K119,0)</f>
        <v>-120558</v>
      </c>
      <c r="AQ119" s="95" t="n">
        <f aca="false">IF(AB119="","",INDEX(시장분석!$AK:$AK,AB119))</f>
        <v>0.26354677329282</v>
      </c>
      <c r="AR119" s="43" t="str">
        <f aca="false">IF(AB119="","-",IF(AB119="","",INDEX(시장분석!$AL:$AL,AB119)))</f>
        <v>Fair</v>
      </c>
      <c r="AS119" s="96" t="n">
        <f aca="false">IF(AB119="","",INDEX(시장분석!$AJ:$AJ,AB119))</f>
        <v>2.8959260264398</v>
      </c>
      <c r="AT119" s="93" t="n">
        <f aca="false">IF(AB119="",0,IF(AB119="","",INDEX(시장분석!$AN:$AN,AB119)))</f>
        <v>0</v>
      </c>
      <c r="AU119" s="94" t="n">
        <f aca="false">IF(ISNUMBER(Z119),AT119/10000*MAX(Z119-1,0)*AA119*1000000,0)</f>
        <v>0</v>
      </c>
      <c r="AV119" s="94" t="n">
        <f aca="false">AO119+AU119</f>
        <v>175763.486997</v>
      </c>
      <c r="AW119" s="43" t="str">
        <f aca="false">IF(Q119&lt;&gt;1,"",TRIM(IF(AD119=1,"FRN ","")&amp;IF(AND(AL119&gt;=10,AL119&lt;99),"BBB0미만 ","")&amp;IF(AJ119="","등급없음 ","")&amp;IF(K119&lt;&gt;1,"비USD ","")&amp;IF(AND(AB119="",Y119=0),"시장데이터없음 ","")&amp;IF(AND(ISNUMBER(U119),U119&lt;0),"만기경과 ","")))</f>
        <v/>
      </c>
      <c r="AX119" s="90" t="n">
        <f aca="false">IF(Q119&lt;&gt;1,1,IF(스프레드쇼크!$C$4="Y",INDEX(스프레드쇼크!$B$12:$L$16,IFERROR(MATCH(AH119,스프레드쇼크!$A$12:$A$16,0),MATCH("목록외",스프레드쇼크!$A$12:$A$16,0)),IFERROR(MATCH(AG119,스프레드쇼크!$B$11:$L$11,0),MATCH("목록외",스프레드쇼크!$B$11:$L$11,0))),1))</f>
        <v>1</v>
      </c>
      <c r="AY119" s="90" t="n">
        <f aca="false">IF(스프레드쇼크!$C$5="Y",IF(ISNUMBER(AF119),MIN(스프레드쇼크!$C$7,MAX(스프레드쇼크!$C$6,AF119/스프레드쇼크!$C$8)),1),1)</f>
        <v>0.73016298449442</v>
      </c>
      <c r="AZ119" s="94" t="n">
        <f aca="false">AN119*AX119*AY119</f>
        <v>230.502794163207</v>
      </c>
      <c r="BA119" s="90" t="n">
        <f aca="false">IF(ISNUMBER(G119),AA119*G119,0)</f>
        <v>17.5763486997</v>
      </c>
      <c r="BB119" s="90" t="n">
        <f aca="false">IF(ISNUMBER(G119),AA119,0)</f>
        <v>3.077469</v>
      </c>
      <c r="BC119" s="90" t="n">
        <f aca="false">IF(AND(Y119=0,ISNUMBER(AF119)),AA119*AF119,0)</f>
        <v>148.561738506</v>
      </c>
      <c r="BD119" s="90" t="n">
        <f aca="false">IF(AND(Y119=0,ISNUMBER(AF119)),AA119,0)</f>
        <v>3.077469</v>
      </c>
      <c r="BE119" s="90" t="n">
        <f aca="false">IF(ISNUMBER(H119),AA119*H119,0)</f>
        <v>3.1568677002</v>
      </c>
      <c r="BF119" s="90" t="n">
        <f aca="false">IF(ISNUMBER(H119),AA119,0)</f>
        <v>3.077469</v>
      </c>
      <c r="BG119" s="90" t="n">
        <f aca="false">IF(AND(Y119=0,ISNUMBER(AF119),ISNUMBER(Z119)),AA119*Z119,0)</f>
        <v>3.1568677002</v>
      </c>
      <c r="BH119" s="90" t="n">
        <f aca="false">IF(AND(Y119=0,ISNUMBER(AF119),ISNUMBER(Z119)),AA119*AT119*MAX(Z119-1,0),0)</f>
        <v>0</v>
      </c>
      <c r="BI119" s="90" t="n">
        <f aca="false">IF(Y119=0,AA119,0)</f>
        <v>3.077469</v>
      </c>
    </row>
    <row r="120" customFormat="false" ht="15" hidden="false" customHeight="false" outlineLevel="0" collapsed="false">
      <c r="A120" s="83" t="str">
        <f aca="false">IFERROR(IF(INDEX(원자료_잔고!$A$1:$EZ$1500,설정!$L$5+ROW()-1,설정!$L$8)&amp;""="0","",INDEX(원자료_잔고!$A$1:$EZ$1500,설정!$L$5+ROW()-1,설정!$L$8)&amp;""),"")</f>
        <v>STANLN 6.75 02/08/28</v>
      </c>
      <c r="B120" s="83" t="str">
        <f aca="false">IFERROR(IF(INDEX(원자료_잔고!$A$1:$EZ$1500,설정!$L$5+ROW()-1,설정!$L$7)&amp;""="0","",INDEX(원자료_잔고!$A$1:$EZ$1500,설정!$L$5+ROW()-1,설정!$L$7)&amp;""),"")</f>
        <v>USG84228FY98</v>
      </c>
      <c r="C120" s="83" t="str">
        <f aca="false">IFERROR(IF(INDEX(원자료_잔고!$A$1:$EZ$1500,설정!$L$5+ROW()-1,설정!$L$9)&amp;""="0","",INDEX(원자료_잔고!$A$1:$EZ$1500,설정!$L$5+ROW()-1,설정!$L$9)&amp;""),"")</f>
        <v>34507</v>
      </c>
      <c r="D12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0" s="84" t="n">
        <f aca="false">IFERROR(IF(ISNUMBER(INDEX(원자료_잔고!$A$1:$EZ$1500,설정!$L$5+ROW()-1,설정!$L$11)),INDEX(원자료_잔고!$A$1:$EZ$1500,설정!$L$5+ROW()-1,설정!$L$11),""),"")</f>
        <v>2000000</v>
      </c>
      <c r="F120" s="85" t="n">
        <f aca="false">IFERROR(IF(ISNUMBER(INDEX(원자료_잔고!$A$1:$EZ$1500,설정!$L$5+ROW()-1,설정!$L$12)),INDEX(원자료_잔고!$A$1:$EZ$1500,설정!$L$5+ROW()-1,설정!$L$12),""),"")</f>
        <v>100.5227</v>
      </c>
      <c r="G120" s="85" t="n">
        <f aca="false">IFERROR(IF(ISNUMBER(INDEX(원자료_잔고!$A$1:$EZ$1500,설정!$L$5+ROW()-1,설정!$L$13)),INDEX(원자료_잔고!$A$1:$EZ$1500,설정!$L$5+ROW()-1,설정!$L$13),""),"")</f>
        <v>5.9665</v>
      </c>
      <c r="H120" s="85" t="n">
        <f aca="false">IFERROR(IF(ISNUMBER(INDEX(원자료_잔고!$A$1:$EZ$1500,설정!$L$5+ROW()-1,설정!$L$14)),INDEX(원자료_잔고!$A$1:$EZ$1500,설정!$L$5+ROW()-1,설정!$L$14),""),"")</f>
        <v>0.643</v>
      </c>
      <c r="I120" s="86" t="n">
        <f aca="false">IFERROR(IF(ISNUMBER(INDEX(원자료_잔고!$A$1:$EZ$1500,설정!$L$5+ROW()-1,설정!$L$15)),INDEX(원자료_잔고!$A$1:$EZ$1500,설정!$L$5+ROW()-1,설정!$L$15),""),"")</f>
        <v>46791</v>
      </c>
      <c r="J120" s="85" t="n">
        <f aca="false">IFERROR(IF(ISNUMBER(INDEX(원자료_잔고!$A$1:$EZ$1500,설정!$L$5+ROW()-1,설정!$L$16)),INDEX(원자료_잔고!$A$1:$EZ$1500,설정!$L$5+ROW()-1,설정!$L$16),""),"")</f>
        <v>6.75</v>
      </c>
      <c r="K120" s="87" t="n">
        <f aca="false">IFERROR(IF(ISNUMBER(INDEX(원자료_잔고!$A$1:$EZ$1500,설정!$L$5+ROW()-1,설정!$L$17)),INDEX(원자료_잔고!$A$1:$EZ$1500,설정!$L$5+ROW()-1,설정!$L$17),""),"")</f>
        <v>1</v>
      </c>
      <c r="L120" s="84" t="n">
        <f aca="false">IFERROR(IF(ISNUMBER(INDEX(원자료_잔고!$A$1:$EZ$1500,설정!$L$5+ROW()-1,설정!$L$18)),INDEX(원자료_잔고!$A$1:$EZ$1500,설정!$L$5+ROW()-1,설정!$L$18),""),"")</f>
        <v>2010454</v>
      </c>
      <c r="M120" s="88" t="n">
        <f aca="false">IFERROR(IF(ISNUMBER(INDEX(원자료_잔고!$A$1:$EZ$1500,설정!$L$5+ROW()-1,설정!$L$19)),INDEX(원자료_잔고!$A$1:$EZ$1500,설정!$L$5+ROW()-1,설정!$L$19),""),"")</f>
        <v>-25626</v>
      </c>
      <c r="N120" s="83" t="str">
        <f aca="false">IFERROR(IF(INDEX(원자료_잔고!$A$1:$EZ$1500,설정!$L$5+ROW()-1,설정!$L$21)&amp;""="0","",INDEX(원자료_잔고!$A$1:$EZ$1500,설정!$L$5+ROW()-1,설정!$L$21)&amp;""),"")</f>
        <v>BBB+</v>
      </c>
      <c r="O120" s="83" t="str">
        <f aca="false">IFERROR(IF(INDEX(원자료_잔고!$A$1:$EZ$1500,설정!$L$5+ROW()-1,설정!$L$22)&amp;""="0","",INDEX(원자료_잔고!$A$1:$EZ$1500,설정!$L$5+ROW()-1,설정!$L$22)&amp;""),"")</f>
        <v/>
      </c>
      <c r="P120" s="83" t="str">
        <f aca="false">IFERROR(IF(INDEX(원자료_잔고!$A$1:$EZ$1500,설정!$L$5+ROW()-1,설정!$L$23)&amp;""="0","",INDEX(원자료_잔고!$A$1:$EZ$1500,설정!$L$5+ROW()-1,설정!$L$23)&amp;""),"")</f>
        <v>A</v>
      </c>
      <c r="Q120" s="89" t="n">
        <f aca="false">IF(AND($A120&lt;&gt;"",ISNUMBER(E120)),IF(E120&gt;0,1,0),0)</f>
        <v>1</v>
      </c>
      <c r="R120" s="43" t="str">
        <f aca="false">IF(Q120=1,UPPER(LEFT($A120,FIND(" ",$A120&amp;" ")-1)),"")</f>
        <v>STANLN</v>
      </c>
      <c r="S120" s="89" t="n">
        <f aca="false">IF(Q120=1,IF(OR(ISNUMBER(SEARCH("Float",$A120)),ISNUMBER(SEARCH("FRN",$A120))),1,0),0)</f>
        <v>0</v>
      </c>
      <c r="T120" s="43" t="str">
        <f aca="false">IF(AND(Q120=1,ISNUMBER(I120)),TEXT(I120,"yyyymmdd")&amp;"|"&amp;IF(S120=1,"F",TEXT(J120,"0.000")),"")</f>
        <v>20280208|6.750</v>
      </c>
      <c r="U120" s="90" t="n">
        <f aca="false">IF(AND(Q120=1,ISNUMBER(I120)),(I120-설정!$C$4)/365.25,"")</f>
        <v>1.35523613963039</v>
      </c>
      <c r="V120" s="43" t="str">
        <f aca="false">IF(Q120&lt;&gt;1,"",IF(ISNUMBER(U120),IF(U120&lt;=1,"1년 이하",IF(U120&lt;=2,"1-2년",IF(U120&lt;=3,"2-3년",IF(U120&lt;=4,"3-4년",IF(U120&lt;=5,"4-5년",IF(U120&lt;=7,"5-7년",IF(U120&lt;=10,"7-10년",IF(U120&lt;=20,"10-20년","20년 이상")))))))),"미분류"))</f>
        <v>1-2년</v>
      </c>
      <c r="W120" s="43" t="str">
        <f aca="false">IF(Q120&lt;&gt;1,"",IF(AB120&lt;&gt;"",INDEX(시장분석!$C:$C,AB120),IF(K120=1,"USD","비USD")))</f>
        <v>USD</v>
      </c>
      <c r="X120" s="91" t="n">
        <f aca="false">IF(Q120=1,E120*K120/1000000,0)</f>
        <v>2</v>
      </c>
      <c r="Y120" s="89" t="n">
        <f aca="false">IF(R120="T",1,0)</f>
        <v>0</v>
      </c>
      <c r="Z120" s="92" t="n">
        <f aca="false">IF(Q120&lt;&gt;1,"",IF(AD120=1,IF(ISNUMBER(U120),MAX(U120,0),H120),H120))</f>
        <v>0.643</v>
      </c>
      <c r="AA120" s="91" t="n">
        <f aca="false">IF(Q120=1,IF(ISNUMBER(L120),L120,0)*K120/1000000,0)</f>
        <v>2.010454</v>
      </c>
      <c r="AB120" s="89" t="n">
        <f aca="false">IF(Q120&lt;&gt;1,"",IFERROR(MATCH(VLOOKUP(B120,매핑!$H$4:$I$15,2,0),시장분석!$A$2:$A$601,0)+1,IFERROR(MATCH(R120&amp;"|"&amp;T120,시장분석!$V$2:$V$601,0)+1,IF(COUNTIF(시장분석!$U$2:$U$601,T120)=1,MATCH(T120,시장분석!$U$2:$U$601,0)+1,""))))</f>
        <v>137</v>
      </c>
      <c r="AC120" s="89" t="n">
        <f aca="false">IF(Q120&lt;&gt;1,0,IF(OR(설정!$C$5="전체",AND(설정!$C$5="선택펀드",IFERROR(COUNTIFS(설정!$F$16:$F$36,C120,설정!$G$16:$G$36,"Y")+COUNTIFS(설정!$F$16:$F$36,VALUE(C120),설정!$G$16:$G$36,"Y"),0)&gt;0),C120&amp;""=설정!$C$5&amp;""),1,0))</f>
        <v>1</v>
      </c>
      <c r="AD120" s="89" t="n">
        <f aca="false">IF(Q120&lt;&gt;1,0,IF(OR(S120=1,IF(AB120="",FALSE(),INDEX(시장분석!$R:$R,AB120)=1)),1,0))</f>
        <v>0</v>
      </c>
      <c r="AE120" s="43" t="str">
        <f aca="false">IF(AB120="","",INDEX(시장분석!$A:$A,AB120))</f>
        <v>STANLN 6 3/4 02/08/28</v>
      </c>
      <c r="AF120" s="93" t="n">
        <f aca="false">IF(AB120="","",IF(ISNUMBER(IF(AB120="","",INDEX(시장분석!$E:$E,AB120))),IF(AB120="","",INDEX(시장분석!$E:$E,AB120)),""))</f>
        <v>35.872</v>
      </c>
      <c r="AG120" s="43" t="str">
        <f aca="false">IF(Q120&lt;&gt;1,"",IF(AB120&lt;&gt;"",IF(AB120="","",INDEX(시장분석!$L:$L,AB120)),IFERROR(IF(VLOOKUP(R120,매핑!$A$4:$E$92,5,0)="","미분류",VLOOKUP(R120,매핑!$A$4:$E$92,5,0)),"미분류")))</f>
        <v>금융기관</v>
      </c>
      <c r="AH120" s="43" t="str">
        <f aca="false">IF(Q120&lt;&gt;1,"",IF(AB120&lt;&gt;"",IF(AB120="","",INDEX(시장분석!$N:$N,AB120)),IFERROR(IF(VLOOKUP(R120,매핑!$A$4:$E$92,4,0)="","미분류",VLOOKUP(R120,매핑!$A$4:$E$92,4,0)),"미분류")))</f>
        <v>유럽</v>
      </c>
      <c r="AI120" s="43" t="str">
        <f aca="false">IF(Q120&lt;&gt;1,"",IFERROR(IF(VLOOKUP(R120,매핑!$A$4:$E$92,3,0)="","미분류",VLOOKUP(R120,매핑!$A$4:$E$92,3,0)),IF(AB120&lt;&gt;"",IF(AB120="","",INDEX(시장분석!$W:$W,AB120)),"미분류")))</f>
        <v>영국</v>
      </c>
      <c r="AJ120" s="43" t="str">
        <f aca="false">IF(Q120&lt;&gt;1,"",IFERROR(VLOOKUP(IF(N120&lt;&gt;"",N120,IF(P120&lt;&gt;"",P120,O120)),설정!$A$15:$D$47,2,0),""))</f>
        <v>BBB+</v>
      </c>
      <c r="AK120" s="43" t="str">
        <f aca="false">IF(Q120&lt;&gt;1,"",IF(AJ120="","무등급",IFERROR(VLOOKUP(AJ120,설정!$A$15:$D$47,3,0),"무등급")))</f>
        <v>BBB</v>
      </c>
      <c r="AL120" s="89" t="n">
        <f aca="false">IF(AJ120="",99,IFERROR(VLOOKUP(AJ120,설정!$A$15:$D$47,4,0),99))</f>
        <v>8</v>
      </c>
      <c r="AM120" s="94" t="n">
        <f aca="false">IF(ISNUMBER(H120),AA120*1000000*H120/10000,0)</f>
        <v>129.2721922</v>
      </c>
      <c r="AN120" s="94" t="n">
        <f aca="false">IF(OR(Y120=1,NOT(ISNUMBER(Z120))),0,AA120*1000000*Z120/10000)</f>
        <v>129.2721922</v>
      </c>
      <c r="AO120" s="94" t="n">
        <f aca="false">IF(ISNUMBER(G120),AA120*1000000*G120/100,0)</f>
        <v>119953.73791</v>
      </c>
      <c r="AP120" s="94" t="n">
        <f aca="false">IF(ISNUMBER(M120),M120*K120,0)</f>
        <v>-25626</v>
      </c>
      <c r="AQ120" s="95" t="str">
        <f aca="false">IF(AB120="","",INDEX(시장분석!$AK:$AK,AB120))</f>
        <v/>
      </c>
      <c r="AR120" s="43" t="str">
        <f aca="false">IF(AB120="","-",IF(AB120="","",INDEX(시장분석!$AL:$AL,AB120)))</f>
        <v>-</v>
      </c>
      <c r="AS120" s="96" t="str">
        <f aca="false">IF(AB120="","",INDEX(시장분석!$AJ:$AJ,AB120))</f>
        <v/>
      </c>
      <c r="AT120" s="93" t="n">
        <f aca="false">IF(AB120="",0,IF(AB120="","",INDEX(시장분석!$AN:$AN,AB120)))</f>
        <v>0</v>
      </c>
      <c r="AU120" s="94" t="n">
        <f aca="false">IF(ISNUMBER(Z120),AT120/10000*MAX(Z120-1,0)*AA120*1000000,0)</f>
        <v>0</v>
      </c>
      <c r="AV120" s="94" t="n">
        <f aca="false">AO120+AU120</f>
        <v>119953.73791</v>
      </c>
      <c r="AW120" s="43" t="str">
        <f aca="false">IF(Q120&lt;&gt;1,"",TRIM(IF(AD120=1,"FRN ","")&amp;IF(AND(AL120&gt;=10,AL120&lt;99),"BBB0미만 ","")&amp;IF(AJ120="","등급없음 ","")&amp;IF(K120&lt;&gt;1,"비USD ","")&amp;IF(AND(AB120="",Y120=0),"시장데이터없음 ","")&amp;IF(AND(ISNUMBER(U120),U120&lt;0),"만기경과 ","")))</f>
        <v/>
      </c>
      <c r="AX120" s="90" t="n">
        <f aca="false">IF(Q120&lt;&gt;1,1,IF(스프레드쇼크!$C$4="Y",INDEX(스프레드쇼크!$B$12:$L$16,IFERROR(MATCH(AH120,스프레드쇼크!$A$12:$A$16,0),MATCH("목록외",스프레드쇼크!$A$12:$A$16,0)),IFERROR(MATCH(AG120,스프레드쇼크!$B$11:$L$11,0),MATCH("목록외",스프레드쇼크!$B$11:$L$11,0))),1))</f>
        <v>1</v>
      </c>
      <c r="AY120" s="90" t="n">
        <f aca="false">IF(스프레드쇼크!$C$5="Y",IF(ISNUMBER(AF120),MIN(스프레드쇼크!$C$7,MAX(스프레드쇼크!$C$6,AF120/스프레드쇼크!$C$8)),1),1)</f>
        <v>0.542577921443921</v>
      </c>
      <c r="AZ120" s="94" t="n">
        <f aca="false">AN120*AX120*AY120</f>
        <v>70.140237344375</v>
      </c>
      <c r="BA120" s="90" t="n">
        <f aca="false">IF(ISNUMBER(G120),AA120*G120,0)</f>
        <v>11.995373791</v>
      </c>
      <c r="BB120" s="90" t="n">
        <f aca="false">IF(ISNUMBER(G120),AA120,0)</f>
        <v>2.010454</v>
      </c>
      <c r="BC120" s="90" t="n">
        <f aca="false">IF(AND(Y120=0,ISNUMBER(AF120)),AA120*AF120,0)</f>
        <v>72.119005888</v>
      </c>
      <c r="BD120" s="90" t="n">
        <f aca="false">IF(AND(Y120=0,ISNUMBER(AF120)),AA120,0)</f>
        <v>2.010454</v>
      </c>
      <c r="BE120" s="90" t="n">
        <f aca="false">IF(ISNUMBER(H120),AA120*H120,0)</f>
        <v>1.292721922</v>
      </c>
      <c r="BF120" s="90" t="n">
        <f aca="false">IF(ISNUMBER(H120),AA120,0)</f>
        <v>2.010454</v>
      </c>
      <c r="BG120" s="90" t="n">
        <f aca="false">IF(AND(Y120=0,ISNUMBER(AF120),ISNUMBER(Z120)),AA120*Z120,0)</f>
        <v>1.292721922</v>
      </c>
      <c r="BH120" s="90" t="n">
        <f aca="false">IF(AND(Y120=0,ISNUMBER(AF120),ISNUMBER(Z120)),AA120*AT120*MAX(Z120-1,0),0)</f>
        <v>0</v>
      </c>
      <c r="BI120" s="90" t="n">
        <f aca="false">IF(Y120=0,AA120,0)</f>
        <v>2.010454</v>
      </c>
    </row>
    <row r="121" customFormat="false" ht="15" hidden="false" customHeight="false" outlineLevel="0" collapsed="false">
      <c r="A121" s="83" t="str">
        <f aca="false">IFERROR(IF(INDEX(원자료_잔고!$A$1:$EZ$1500,설정!$L$5+ROW()-1,설정!$L$8)&amp;""="0","",INDEX(원자료_잔고!$A$1:$EZ$1500,설정!$L$5+ROW()-1,설정!$L$8)&amp;""),"")</f>
        <v>UBS 5.428 02/08/30</v>
      </c>
      <c r="B121" s="83" t="str">
        <f aca="false">IFERROR(IF(INDEX(원자료_잔고!$A$1:$EZ$1500,설정!$L$5+ROW()-1,설정!$L$7)&amp;""="0","",INDEX(원자료_잔고!$A$1:$EZ$1500,설정!$L$5+ROW()-1,설정!$L$7)&amp;""),"")</f>
        <v>USH42097EV54</v>
      </c>
      <c r="C121" s="83" t="str">
        <f aca="false">IFERROR(IF(INDEX(원자료_잔고!$A$1:$EZ$1500,설정!$L$5+ROW()-1,설정!$L$9)&amp;""="0","",INDEX(원자료_잔고!$A$1:$EZ$1500,설정!$L$5+ROW()-1,설정!$L$9)&amp;""),"")</f>
        <v>34507</v>
      </c>
      <c r="D12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1" s="84" t="n">
        <f aca="false">IFERROR(IF(ISNUMBER(INDEX(원자료_잔고!$A$1:$EZ$1500,설정!$L$5+ROW()-1,설정!$L$11)),INDEX(원자료_잔고!$A$1:$EZ$1500,설정!$L$5+ROW()-1,설정!$L$11),""),"")</f>
        <v>10000000</v>
      </c>
      <c r="F121" s="85" t="n">
        <f aca="false">IFERROR(IF(ISNUMBER(INDEX(원자료_잔고!$A$1:$EZ$1500,설정!$L$5+ROW()-1,설정!$L$12)),INDEX(원자료_잔고!$A$1:$EZ$1500,설정!$L$5+ROW()-1,설정!$L$12),""),"")</f>
        <v>99.6327</v>
      </c>
      <c r="G121" s="85" t="n">
        <f aca="false">IFERROR(IF(ISNUMBER(INDEX(원자료_잔고!$A$1:$EZ$1500,설정!$L$5+ROW()-1,설정!$L$13)),INDEX(원자료_잔고!$A$1:$EZ$1500,설정!$L$5+ROW()-1,설정!$L$13),""),"")</f>
        <v>5.5727</v>
      </c>
      <c r="H121" s="85" t="n">
        <f aca="false">IFERROR(IF(ISNUMBER(INDEX(원자료_잔고!$A$1:$EZ$1500,설정!$L$5+ROW()-1,설정!$L$14)),INDEX(원자료_잔고!$A$1:$EZ$1500,설정!$L$5+ROW()-1,설정!$L$14),""),"")</f>
        <v>2.1348</v>
      </c>
      <c r="I121" s="86" t="n">
        <f aca="false">IFERROR(IF(ISNUMBER(INDEX(원자료_잔고!$A$1:$EZ$1500,설정!$L$5+ROW()-1,설정!$L$15)),INDEX(원자료_잔고!$A$1:$EZ$1500,설정!$L$5+ROW()-1,설정!$L$15),""),"")</f>
        <v>47522</v>
      </c>
      <c r="J121" s="85" t="n">
        <f aca="false">IFERROR(IF(ISNUMBER(INDEX(원자료_잔고!$A$1:$EZ$1500,설정!$L$5+ROW()-1,설정!$L$16)),INDEX(원자료_잔고!$A$1:$EZ$1500,설정!$L$5+ROW()-1,설정!$L$16),""),"")</f>
        <v>5.428</v>
      </c>
      <c r="K121" s="87" t="n">
        <f aca="false">IFERROR(IF(ISNUMBER(INDEX(원자료_잔고!$A$1:$EZ$1500,설정!$L$5+ROW()-1,설정!$L$17)),INDEX(원자료_잔고!$A$1:$EZ$1500,설정!$L$5+ROW()-1,설정!$L$17),""),"")</f>
        <v>1</v>
      </c>
      <c r="L121" s="84" t="n">
        <f aca="false">IFERROR(IF(ISNUMBER(INDEX(원자료_잔고!$A$1:$EZ$1500,설정!$L$5+ROW()-1,설정!$L$18)),INDEX(원자료_잔고!$A$1:$EZ$1500,설정!$L$5+ROW()-1,설정!$L$18),""),"")</f>
        <v>9963270</v>
      </c>
      <c r="M121" s="88" t="n">
        <f aca="false">IFERROR(IF(ISNUMBER(INDEX(원자료_잔고!$A$1:$EZ$1500,설정!$L$5+ROW()-1,설정!$L$19)),INDEX(원자료_잔고!$A$1:$EZ$1500,설정!$L$5+ROW()-1,설정!$L$19),""),"")</f>
        <v>-386610</v>
      </c>
      <c r="N121" s="83" t="str">
        <f aca="false">IFERROR(IF(INDEX(원자료_잔고!$A$1:$EZ$1500,설정!$L$5+ROW()-1,설정!$L$21)&amp;""="0","",INDEX(원자료_잔고!$A$1:$EZ$1500,설정!$L$5+ROW()-1,설정!$L$21)&amp;""),"")</f>
        <v>A-</v>
      </c>
      <c r="O121" s="83" t="str">
        <f aca="false">IFERROR(IF(INDEX(원자료_잔고!$A$1:$EZ$1500,설정!$L$5+ROW()-1,설정!$L$22)&amp;""="0","",INDEX(원자료_잔고!$A$1:$EZ$1500,설정!$L$5+ROW()-1,설정!$L$22)&amp;""),"")</f>
        <v/>
      </c>
      <c r="P121" s="83" t="str">
        <f aca="false">IFERROR(IF(INDEX(원자료_잔고!$A$1:$EZ$1500,설정!$L$5+ROW()-1,설정!$L$23)&amp;""="0","",INDEX(원자료_잔고!$A$1:$EZ$1500,설정!$L$5+ROW()-1,설정!$L$23)&amp;""),"")</f>
        <v>A</v>
      </c>
      <c r="Q121" s="89" t="n">
        <f aca="false">IF(AND($A121&lt;&gt;"",ISNUMBER(E121)),IF(E121&gt;0,1,0),0)</f>
        <v>1</v>
      </c>
      <c r="R121" s="43" t="str">
        <f aca="false">IF(Q121=1,UPPER(LEFT($A121,FIND(" ",$A121&amp;" ")-1)),"")</f>
        <v>UBS</v>
      </c>
      <c r="S121" s="89" t="n">
        <f aca="false">IF(Q121=1,IF(OR(ISNUMBER(SEARCH("Float",$A121)),ISNUMBER(SEARCH("FRN",$A121))),1,0),0)</f>
        <v>0</v>
      </c>
      <c r="T121" s="43" t="str">
        <f aca="false">IF(AND(Q121=1,ISNUMBER(I121)),TEXT(I121,"yyyymmdd")&amp;"|"&amp;IF(S121=1,"F",TEXT(J121,"0.000")),"")</f>
        <v>20300208|5.428</v>
      </c>
      <c r="U121" s="90" t="n">
        <f aca="false">IF(AND(Q121=1,ISNUMBER(I121)),(I121-설정!$C$4)/365.25,"")</f>
        <v>3.35660506502396</v>
      </c>
      <c r="V121" s="43" t="str">
        <f aca="false">IF(Q121&lt;&gt;1,"",IF(ISNUMBER(U121),IF(U121&lt;=1,"1년 이하",IF(U121&lt;=2,"1-2년",IF(U121&lt;=3,"2-3년",IF(U121&lt;=4,"3-4년",IF(U121&lt;=5,"4-5년",IF(U121&lt;=7,"5-7년",IF(U121&lt;=10,"7-10년",IF(U121&lt;=20,"10-20년","20년 이상")))))))),"미분류"))</f>
        <v>3-4년</v>
      </c>
      <c r="W121" s="43" t="str">
        <f aca="false">IF(Q121&lt;&gt;1,"",IF(AB121&lt;&gt;"",INDEX(시장분석!$C:$C,AB121),IF(K121=1,"USD","비USD")))</f>
        <v>USD</v>
      </c>
      <c r="X121" s="91" t="n">
        <f aca="false">IF(Q121=1,E121*K121/1000000,0)</f>
        <v>10</v>
      </c>
      <c r="Y121" s="89" t="n">
        <f aca="false">IF(R121="T",1,0)</f>
        <v>0</v>
      </c>
      <c r="Z121" s="92" t="n">
        <f aca="false">IF(Q121&lt;&gt;1,"",IF(AD121=1,IF(ISNUMBER(U121),MAX(U121,0),H121),H121))</f>
        <v>2.1348</v>
      </c>
      <c r="AA121" s="91" t="n">
        <f aca="false">IF(Q121=1,IF(ISNUMBER(L121),L121,0)*K121/1000000,0)</f>
        <v>9.96327</v>
      </c>
      <c r="AB121" s="89" t="n">
        <f aca="false">IF(Q121&lt;&gt;1,"",IFERROR(MATCH(VLOOKUP(B121,매핑!$H$4:$I$15,2,0),시장분석!$A$2:$A$601,0)+1,IFERROR(MATCH(R121&amp;"|"&amp;T121,시장분석!$V$2:$V$601,0)+1,IF(COUNTIF(시장분석!$U$2:$U$601,T121)=1,MATCH(T121,시장분석!$U$2:$U$601,0)+1,""))))</f>
        <v>141</v>
      </c>
      <c r="AC121" s="89" t="n">
        <f aca="false">IF(Q121&lt;&gt;1,0,IF(OR(설정!$C$5="전체",AND(설정!$C$5="선택펀드",IFERROR(COUNTIFS(설정!$F$16:$F$36,C121,설정!$G$16:$G$36,"Y")+COUNTIFS(설정!$F$16:$F$36,VALUE(C121),설정!$G$16:$G$36,"Y"),0)&gt;0),C121&amp;""=설정!$C$5&amp;""),1,0))</f>
        <v>1</v>
      </c>
      <c r="AD121" s="89" t="n">
        <f aca="false">IF(Q121&lt;&gt;1,0,IF(OR(S121=1,IF(AB121="",FALSE(),INDEX(시장분석!$R:$R,AB121)=1)),1,0))</f>
        <v>0</v>
      </c>
      <c r="AE121" s="43" t="str">
        <f aca="false">IF(AB121="","",INDEX(시장분석!$A:$A,AB121))</f>
        <v>UBS 5.428 02/08/30</v>
      </c>
      <c r="AF121" s="93" t="n">
        <f aca="false">IF(AB121="","",IF(ISNUMBER(IF(AB121="","",INDEX(시장분석!$E:$E,AB121))),IF(AB121="","",INDEX(시장분석!$E:$E,AB121)),""))</f>
        <v>63.608</v>
      </c>
      <c r="AG121" s="43" t="str">
        <f aca="false">IF(Q121&lt;&gt;1,"",IF(AB121&lt;&gt;"",IF(AB121="","",INDEX(시장분석!$L:$L,AB121)),IFERROR(IF(VLOOKUP(R121,매핑!$A$4:$E$92,5,0)="","미분류",VLOOKUP(R121,매핑!$A$4:$E$92,5,0)),"미분류")))</f>
        <v>금융기관</v>
      </c>
      <c r="AH121" s="43" t="str">
        <f aca="false">IF(Q121&lt;&gt;1,"",IF(AB121&lt;&gt;"",IF(AB121="","",INDEX(시장분석!$N:$N,AB121)),IFERROR(IF(VLOOKUP(R121,매핑!$A$4:$E$92,4,0)="","미분류",VLOOKUP(R121,매핑!$A$4:$E$92,4,0)),"미분류")))</f>
        <v>유럽</v>
      </c>
      <c r="AI121" s="43" t="str">
        <f aca="false">IF(Q121&lt;&gt;1,"",IFERROR(IF(VLOOKUP(R121,매핑!$A$4:$E$92,3,0)="","미분류",VLOOKUP(R121,매핑!$A$4:$E$92,3,0)),IF(AB121&lt;&gt;"",IF(AB121="","",INDEX(시장분석!$W:$W,AB121)),"미분류")))</f>
        <v>스위스</v>
      </c>
      <c r="AJ121" s="43" t="str">
        <f aca="false">IF(Q121&lt;&gt;1,"",IFERROR(VLOOKUP(IF(N121&lt;&gt;"",N121,IF(P121&lt;&gt;"",P121,O121)),설정!$A$15:$D$47,2,0),""))</f>
        <v>A-</v>
      </c>
      <c r="AK121" s="43" t="str">
        <f aca="false">IF(Q121&lt;&gt;1,"",IF(AJ121="","무등급",IFERROR(VLOOKUP(AJ121,설정!$A$15:$D$47,3,0),"무등급")))</f>
        <v>A</v>
      </c>
      <c r="AL121" s="89" t="n">
        <f aca="false">IF(AJ121="",99,IFERROR(VLOOKUP(AJ121,설정!$A$15:$D$47,4,0),99))</f>
        <v>7</v>
      </c>
      <c r="AM121" s="94" t="n">
        <f aca="false">IF(ISNUMBER(H121),AA121*1000000*H121/10000,0)</f>
        <v>2126.9588796</v>
      </c>
      <c r="AN121" s="94" t="n">
        <f aca="false">IF(OR(Y121=1,NOT(ISNUMBER(Z121))),0,AA121*1000000*Z121/10000)</f>
        <v>2126.9588796</v>
      </c>
      <c r="AO121" s="94" t="n">
        <f aca="false">IF(ISNUMBER(G121),AA121*1000000*G121/100,0)</f>
        <v>555223.14729</v>
      </c>
      <c r="AP121" s="94" t="n">
        <f aca="false">IF(ISNUMBER(M121),M121*K121,0)</f>
        <v>-386610</v>
      </c>
      <c r="AQ121" s="95" t="n">
        <f aca="false">IF(AB121="","",INDEX(시장분석!$AK:$AK,AB121))</f>
        <v>-0.378759853526756</v>
      </c>
      <c r="AR121" s="43" t="str">
        <f aca="false">IF(AB121="","-",IF(AB121="","",INDEX(시장분석!$AL:$AL,AB121)))</f>
        <v>Fair</v>
      </c>
      <c r="AS121" s="96" t="n">
        <f aca="false">IF(AB121="","",INDEX(시장분석!$AJ:$AJ,AB121))</f>
        <v>-4.16191973779153</v>
      </c>
      <c r="AT121" s="93" t="n">
        <f aca="false">IF(AB121="",0,IF(AB121="","",INDEX(시장분석!$AN:$AN,AB121)))</f>
        <v>18.297337556138</v>
      </c>
      <c r="AU121" s="94" t="n">
        <f aca="false">IF(ISNUMBER(Z121),AT121/10000*MAX(Z121-1,0)*AA121*1000000,0)</f>
        <v>20687.5531527719</v>
      </c>
      <c r="AV121" s="94" t="n">
        <f aca="false">AO121+AU121</f>
        <v>575910.700442772</v>
      </c>
      <c r="AW121" s="43" t="str">
        <f aca="false">IF(Q121&lt;&gt;1,"",TRIM(IF(AD121=1,"FRN ","")&amp;IF(AND(AL121&gt;=10,AL121&lt;99),"BBB0미만 ","")&amp;IF(AJ121="","등급없음 ","")&amp;IF(K121&lt;&gt;1,"비USD ","")&amp;IF(AND(AB121="",Y121=0),"시장데이터없음 ","")&amp;IF(AND(ISNUMBER(U121),U121&lt;0),"만기경과 ","")))</f>
        <v/>
      </c>
      <c r="AX121" s="90" t="n">
        <f aca="false">IF(Q121&lt;&gt;1,1,IF(스프레드쇼크!$C$4="Y",INDEX(스프레드쇼크!$B$12:$L$16,IFERROR(MATCH(AH121,스프레드쇼크!$A$12:$A$16,0),MATCH("목록외",스프레드쇼크!$A$12:$A$16,0)),IFERROR(MATCH(AG121,스프레드쇼크!$B$11:$L$11,0),MATCH("목록외",스프레드쇼크!$B$11:$L$11,0))),1))</f>
        <v>1</v>
      </c>
      <c r="AY121" s="90" t="n">
        <f aca="false">IF(스프레드쇼크!$C$5="Y",IF(ISNUMBER(AF121),MIN(스프레드쇼크!$C$7,MAX(스프레드쇼크!$C$6,AF121/스프레드쇼크!$C$8)),1),1)</f>
        <v>0.962095685414945</v>
      </c>
      <c r="AZ121" s="94" t="n">
        <f aca="false">AN121*AX121*AY121</f>
        <v>2046.33796111816</v>
      </c>
      <c r="BA121" s="90" t="n">
        <f aca="false">IF(ISNUMBER(G121),AA121*G121,0)</f>
        <v>55.522314729</v>
      </c>
      <c r="BB121" s="90" t="n">
        <f aca="false">IF(ISNUMBER(G121),AA121,0)</f>
        <v>9.96327</v>
      </c>
      <c r="BC121" s="90" t="n">
        <f aca="false">IF(AND(Y121=0,ISNUMBER(AF121)),AA121*AF121,0)</f>
        <v>633.74367816</v>
      </c>
      <c r="BD121" s="90" t="n">
        <f aca="false">IF(AND(Y121=0,ISNUMBER(AF121)),AA121,0)</f>
        <v>9.96327</v>
      </c>
      <c r="BE121" s="90" t="n">
        <f aca="false">IF(ISNUMBER(H121),AA121*H121,0)</f>
        <v>21.269588796</v>
      </c>
      <c r="BF121" s="90" t="n">
        <f aca="false">IF(ISNUMBER(H121),AA121,0)</f>
        <v>9.96327</v>
      </c>
      <c r="BG121" s="90" t="n">
        <f aca="false">IF(AND(Y121=0,ISNUMBER(AF121),ISNUMBER(Z121)),AA121*Z121,0)</f>
        <v>21.269588796</v>
      </c>
      <c r="BH121" s="90" t="n">
        <f aca="false">IF(AND(Y121=0,ISNUMBER(AF121),ISNUMBER(Z121)),AA121*AT121*MAX(Z121-1,0),0)</f>
        <v>206.875531527719</v>
      </c>
      <c r="BI121" s="90" t="n">
        <f aca="false">IF(Y121=0,AA121,0)</f>
        <v>9.96327</v>
      </c>
    </row>
    <row r="122" customFormat="false" ht="15" hidden="false" customHeight="false" outlineLevel="0" collapsed="false">
      <c r="A122" s="83" t="str">
        <f aca="false">IFERROR(IF(INDEX(원자료_잔고!$A$1:$EZ$1500,설정!$L$5+ROW()-1,설정!$L$8)&amp;""="0","",INDEX(원자료_잔고!$A$1:$EZ$1500,설정!$L$5+ROW()-1,설정!$L$8)&amp;""),"")</f>
        <v>UBS 5.3791 10/11/31</v>
      </c>
      <c r="B122" s="83" t="str">
        <f aca="false">IFERROR(IF(INDEX(원자료_잔고!$A$1:$EZ$1500,설정!$L$5+ROW()-1,설정!$L$7)&amp;""="0","",INDEX(원자료_잔고!$A$1:$EZ$1500,설정!$L$5+ROW()-1,설정!$L$7)&amp;""),"")</f>
        <v>USH42097FW29</v>
      </c>
      <c r="C122" s="83" t="str">
        <f aca="false">IFERROR(IF(INDEX(원자료_잔고!$A$1:$EZ$1500,설정!$L$5+ROW()-1,설정!$L$9)&amp;""="0","",INDEX(원자료_잔고!$A$1:$EZ$1500,설정!$L$5+ROW()-1,설정!$L$9)&amp;""),"")</f>
        <v>34507</v>
      </c>
      <c r="D12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2" s="84" t="n">
        <f aca="false">IFERROR(IF(ISNUMBER(INDEX(원자료_잔고!$A$1:$EZ$1500,설정!$L$5+ROW()-1,설정!$L$11)),INDEX(원자료_잔고!$A$1:$EZ$1500,설정!$L$5+ROW()-1,설정!$L$11),""),"")</f>
        <v>5000000</v>
      </c>
      <c r="F122" s="85" t="n">
        <f aca="false">IFERROR(IF(ISNUMBER(INDEX(원자료_잔고!$A$1:$EZ$1500,설정!$L$5+ROW()-1,설정!$L$12)),INDEX(원자료_잔고!$A$1:$EZ$1500,설정!$L$5+ROW()-1,설정!$L$12),""),"")</f>
        <v>98.1337</v>
      </c>
      <c r="G122" s="85" t="n">
        <f aca="false">IFERROR(IF(ISNUMBER(INDEX(원자료_잔고!$A$1:$EZ$1500,설정!$L$5+ROW()-1,설정!$L$13)),INDEX(원자료_잔고!$A$1:$EZ$1500,설정!$L$5+ROW()-1,설정!$L$13),""),"")</f>
        <v>5.7892</v>
      </c>
      <c r="H122" s="85" t="n">
        <f aca="false">IFERROR(IF(ISNUMBER(INDEX(원자료_잔고!$A$1:$EZ$1500,설정!$L$5+ROW()-1,설정!$L$14)),INDEX(원자료_잔고!$A$1:$EZ$1500,설정!$L$5+ROW()-1,설정!$L$14),""),"")</f>
        <v>3.5341</v>
      </c>
      <c r="I122" s="86" t="n">
        <f aca="false">IFERROR(IF(ISNUMBER(INDEX(원자료_잔고!$A$1:$EZ$1500,설정!$L$5+ROW()-1,설정!$L$15)),INDEX(원자료_잔고!$A$1:$EZ$1500,설정!$L$5+ROW()-1,설정!$L$15),""),"")</f>
        <v>48132</v>
      </c>
      <c r="J122" s="85" t="n">
        <f aca="false">IFERROR(IF(ISNUMBER(INDEX(원자료_잔고!$A$1:$EZ$1500,설정!$L$5+ROW()-1,설정!$L$16)),INDEX(원자료_잔고!$A$1:$EZ$1500,설정!$L$5+ROW()-1,설정!$L$16),""),"")</f>
        <v>5.3791</v>
      </c>
      <c r="K122" s="87" t="n">
        <f aca="false">IFERROR(IF(ISNUMBER(INDEX(원자료_잔고!$A$1:$EZ$1500,설정!$L$5+ROW()-1,설정!$L$17)),INDEX(원자료_잔고!$A$1:$EZ$1500,설정!$L$5+ROW()-1,설정!$L$17),""),"")</f>
        <v>1</v>
      </c>
      <c r="L122" s="84" t="n">
        <f aca="false">IFERROR(IF(ISNUMBER(INDEX(원자료_잔고!$A$1:$EZ$1500,설정!$L$5+ROW()-1,설정!$L$18)),INDEX(원자료_잔고!$A$1:$EZ$1500,설정!$L$5+ROW()-1,설정!$L$18),""),"")</f>
        <v>4906685</v>
      </c>
      <c r="M122" s="88" t="n">
        <f aca="false">IFERROR(IF(ISNUMBER(INDEX(원자료_잔고!$A$1:$EZ$1500,설정!$L$5+ROW()-1,설정!$L$19)),INDEX(원자료_잔고!$A$1:$EZ$1500,설정!$L$5+ROW()-1,설정!$L$19),""),"")</f>
        <v>-97715</v>
      </c>
      <c r="N122" s="83" t="str">
        <f aca="false">IFERROR(IF(INDEX(원자료_잔고!$A$1:$EZ$1500,설정!$L$5+ROW()-1,설정!$L$21)&amp;""="0","",INDEX(원자료_잔고!$A$1:$EZ$1500,설정!$L$5+ROW()-1,설정!$L$21)&amp;""),"")</f>
        <v>A-</v>
      </c>
      <c r="O122" s="83" t="str">
        <f aca="false">IFERROR(IF(INDEX(원자료_잔고!$A$1:$EZ$1500,설정!$L$5+ROW()-1,설정!$L$22)&amp;""="0","",INDEX(원자료_잔고!$A$1:$EZ$1500,설정!$L$5+ROW()-1,설정!$L$22)&amp;""),"")</f>
        <v/>
      </c>
      <c r="P122" s="83" t="str">
        <f aca="false">IFERROR(IF(INDEX(원자료_잔고!$A$1:$EZ$1500,설정!$L$5+ROW()-1,설정!$L$23)&amp;""="0","",INDEX(원자료_잔고!$A$1:$EZ$1500,설정!$L$5+ROW()-1,설정!$L$23)&amp;""),"")</f>
        <v>A+</v>
      </c>
      <c r="Q122" s="89" t="n">
        <f aca="false">IF(AND($A122&lt;&gt;"",ISNUMBER(E122)),IF(E122&gt;0,1,0),0)</f>
        <v>1</v>
      </c>
      <c r="R122" s="43" t="str">
        <f aca="false">IF(Q122=1,UPPER(LEFT($A122,FIND(" ",$A122&amp;" ")-1)),"")</f>
        <v>UBS</v>
      </c>
      <c r="S122" s="89" t="n">
        <f aca="false">IF(Q122=1,IF(OR(ISNUMBER(SEARCH("Float",$A122)),ISNUMBER(SEARCH("FRN",$A122))),1,0),0)</f>
        <v>0</v>
      </c>
      <c r="T122" s="43" t="str">
        <f aca="false">IF(AND(Q122=1,ISNUMBER(I122)),TEXT(I122,"yyyymmdd")&amp;"|"&amp;IF(S122=1,"F",TEXT(J122,"0.000")),"")</f>
        <v>20311011|5.379</v>
      </c>
      <c r="U122" s="90" t="n">
        <f aca="false">IF(AND(Q122=1,ISNUMBER(I122)),(I122-설정!$C$4)/365.25,"")</f>
        <v>5.02669404517454</v>
      </c>
      <c r="V122" s="43" t="str">
        <f aca="false">IF(Q122&lt;&gt;1,"",IF(ISNUMBER(U122),IF(U122&lt;=1,"1년 이하",IF(U122&lt;=2,"1-2년",IF(U122&lt;=3,"2-3년",IF(U122&lt;=4,"3-4년",IF(U122&lt;=5,"4-5년",IF(U122&lt;=7,"5-7년",IF(U122&lt;=10,"7-10년",IF(U122&lt;=20,"10-20년","20년 이상")))))))),"미분류"))</f>
        <v>5-7년</v>
      </c>
      <c r="W122" s="43" t="str">
        <f aca="false">IF(Q122&lt;&gt;1,"",IF(AB122&lt;&gt;"",INDEX(시장분석!$C:$C,AB122),IF(K122=1,"USD","비USD")))</f>
        <v>USD</v>
      </c>
      <c r="X122" s="91" t="n">
        <f aca="false">IF(Q122=1,E122*K122/1000000,0)</f>
        <v>5</v>
      </c>
      <c r="Y122" s="89" t="n">
        <f aca="false">IF(R122="T",1,0)</f>
        <v>0</v>
      </c>
      <c r="Z122" s="92" t="n">
        <f aca="false">IF(Q122&lt;&gt;1,"",IF(AD122=1,IF(ISNUMBER(U122),MAX(U122,0),H122),H122))</f>
        <v>3.5341</v>
      </c>
      <c r="AA122" s="91" t="n">
        <f aca="false">IF(Q122=1,IF(ISNUMBER(L122),L122,0)*K122/1000000,0)</f>
        <v>4.906685</v>
      </c>
      <c r="AB122" s="89" t="str">
        <f aca="false">IF(Q122&lt;&gt;1,"",IFERROR(MATCH(VLOOKUP(B122,매핑!$H$4:$I$15,2,0),시장분석!$A$2:$A$601,0)+1,IFERROR(MATCH(R122&amp;"|"&amp;T122,시장분석!$V$2:$V$601,0)+1,IF(COUNTIF(시장분석!$U$2:$U$601,T122)=1,MATCH(T122,시장분석!$U$2:$U$601,0)+1,""))))</f>
        <v/>
      </c>
      <c r="AC122" s="89" t="n">
        <f aca="false">IF(Q122&lt;&gt;1,0,IF(OR(설정!$C$5="전체",AND(설정!$C$5="선택펀드",IFERROR(COUNTIFS(설정!$F$16:$F$36,C122,설정!$G$16:$G$36,"Y")+COUNTIFS(설정!$F$16:$F$36,VALUE(C122),설정!$G$16:$G$36,"Y"),0)&gt;0),C122&amp;""=설정!$C$5&amp;""),1,0))</f>
        <v>1</v>
      </c>
      <c r="AD122" s="89" t="n">
        <f aca="false">IF(Q122&lt;&gt;1,0,IF(OR(S122=1,IF(AB122="",FALSE(),INDEX(시장분석!$R:$R,AB122)=1)),1,0))</f>
        <v>0</v>
      </c>
      <c r="AE122" s="43" t="str">
        <f aca="false">IF(AB122="","",INDEX(시장분석!$A:$A,AB122))</f>
        <v/>
      </c>
      <c r="AF122" s="93" t="str">
        <f aca="false">IF(AB122="","",IF(ISNUMBER(IF(AB122="","",INDEX(시장분석!$E:$E,AB122))),IF(AB122="","",INDEX(시장분석!$E:$E,AB122)),""))</f>
        <v/>
      </c>
      <c r="AG122" s="43" t="str">
        <f aca="false">IF(Q122&lt;&gt;1,"",IF(AB122&lt;&gt;"",IF(AB122="","",INDEX(시장분석!$L:$L,AB122)),IFERROR(IF(VLOOKUP(R122,매핑!$A$4:$E$92,5,0)="","미분류",VLOOKUP(R122,매핑!$A$4:$E$92,5,0)),"미분류")))</f>
        <v>금융기관</v>
      </c>
      <c r="AH122" s="43" t="str">
        <f aca="false">IF(Q122&lt;&gt;1,"",IF(AB122&lt;&gt;"",IF(AB122="","",INDEX(시장분석!$N:$N,AB122)),IFERROR(IF(VLOOKUP(R122,매핑!$A$4:$E$92,4,0)="","미분류",VLOOKUP(R122,매핑!$A$4:$E$92,4,0)),"미분류")))</f>
        <v>유럽</v>
      </c>
      <c r="AI122" s="43" t="str">
        <f aca="false">IF(Q122&lt;&gt;1,"",IFERROR(IF(VLOOKUP(R122,매핑!$A$4:$E$92,3,0)="","미분류",VLOOKUP(R122,매핑!$A$4:$E$92,3,0)),IF(AB122&lt;&gt;"",IF(AB122="","",INDEX(시장분석!$W:$W,AB122)),"미분류")))</f>
        <v>스위스</v>
      </c>
      <c r="AJ122" s="43" t="str">
        <f aca="false">IF(Q122&lt;&gt;1,"",IFERROR(VLOOKUP(IF(N122&lt;&gt;"",N122,IF(P122&lt;&gt;"",P122,O122)),설정!$A$15:$D$47,2,0),""))</f>
        <v>A-</v>
      </c>
      <c r="AK122" s="43" t="str">
        <f aca="false">IF(Q122&lt;&gt;1,"",IF(AJ122="","무등급",IFERROR(VLOOKUP(AJ122,설정!$A$15:$D$47,3,0),"무등급")))</f>
        <v>A</v>
      </c>
      <c r="AL122" s="89" t="n">
        <f aca="false">IF(AJ122="",99,IFERROR(VLOOKUP(AJ122,설정!$A$15:$D$47,4,0),99))</f>
        <v>7</v>
      </c>
      <c r="AM122" s="94" t="n">
        <f aca="false">IF(ISNUMBER(H122),AA122*1000000*H122/10000,0)</f>
        <v>1734.07154585</v>
      </c>
      <c r="AN122" s="94" t="n">
        <f aca="false">IF(OR(Y122=1,NOT(ISNUMBER(Z122))),0,AA122*1000000*Z122/10000)</f>
        <v>1734.07154585</v>
      </c>
      <c r="AO122" s="94" t="n">
        <f aca="false">IF(ISNUMBER(G122),AA122*1000000*G122/100,0)</f>
        <v>284057.80802</v>
      </c>
      <c r="AP122" s="94" t="n">
        <f aca="false">IF(ISNUMBER(M122),M122*K122,0)</f>
        <v>-97715</v>
      </c>
      <c r="AQ122" s="95" t="str">
        <f aca="false">IF(AB122="","",INDEX(시장분석!$AK:$AK,AB122))</f>
        <v/>
      </c>
      <c r="AR122" s="43" t="str">
        <f aca="false">IF(AB122="","-",IF(AB122="","",INDEX(시장분석!$AL:$AL,AB122)))</f>
        <v>-</v>
      </c>
      <c r="AS122" s="96" t="str">
        <f aca="false">IF(AB122="","",INDEX(시장분석!$AJ:$AJ,AB122))</f>
        <v/>
      </c>
      <c r="AT122" s="93" t="n">
        <f aca="false">IF(AB122="",0,IF(AB122="","",INDEX(시장분석!$AN:$AN,AB122)))</f>
        <v>0</v>
      </c>
      <c r="AU122" s="94" t="n">
        <f aca="false">IF(ISNUMBER(Z122),AT122/10000*MAX(Z122-1,0)*AA122*1000000,0)</f>
        <v>0</v>
      </c>
      <c r="AV122" s="94" t="n">
        <f aca="false">AO122+AU122</f>
        <v>284057.80802</v>
      </c>
      <c r="AW122" s="43" t="str">
        <f aca="false">IF(Q122&lt;&gt;1,"",TRIM(IF(AD122=1,"FRN ","")&amp;IF(AND(AL122&gt;=10,AL122&lt;99),"BBB0미만 ","")&amp;IF(AJ122="","등급없음 ","")&amp;IF(K122&lt;&gt;1,"비USD ","")&amp;IF(AND(AB122="",Y122=0),"시장데이터없음 ","")&amp;IF(AND(ISNUMBER(U122),U122&lt;0),"만기경과 ","")))</f>
        <v>시장데이터없음</v>
      </c>
      <c r="AX122" s="90" t="n">
        <f aca="false">IF(Q122&lt;&gt;1,1,IF(스프레드쇼크!$C$4="Y",INDEX(스프레드쇼크!$B$12:$L$16,IFERROR(MATCH(AH122,스프레드쇼크!$A$12:$A$16,0),MATCH("목록외",스프레드쇼크!$A$12:$A$16,0)),IFERROR(MATCH(AG122,스프레드쇼크!$B$11:$L$11,0),MATCH("목록외",스프레드쇼크!$B$11:$L$11,0))),1))</f>
        <v>1</v>
      </c>
      <c r="AY122" s="90" t="n">
        <f aca="false">IF(스프레드쇼크!$C$5="Y",IF(ISNUMBER(AF122),MIN(스프레드쇼크!$C$7,MAX(스프레드쇼크!$C$6,AF122/스프레드쇼크!$C$8)),1),1)</f>
        <v>1</v>
      </c>
      <c r="AZ122" s="94" t="n">
        <f aca="false">AN122*AX122*AY122</f>
        <v>1734.07154585</v>
      </c>
      <c r="BA122" s="90" t="n">
        <f aca="false">IF(ISNUMBER(G122),AA122*G122,0)</f>
        <v>28.405780802</v>
      </c>
      <c r="BB122" s="90" t="n">
        <f aca="false">IF(ISNUMBER(G122),AA122,0)</f>
        <v>4.906685</v>
      </c>
      <c r="BC122" s="90" t="n">
        <f aca="false">IF(AND(Y122=0,ISNUMBER(AF122)),AA122*AF122,0)</f>
        <v>0</v>
      </c>
      <c r="BD122" s="90" t="n">
        <f aca="false">IF(AND(Y122=0,ISNUMBER(AF122)),AA122,0)</f>
        <v>0</v>
      </c>
      <c r="BE122" s="90" t="n">
        <f aca="false">IF(ISNUMBER(H122),AA122*H122,0)</f>
        <v>17.3407154585</v>
      </c>
      <c r="BF122" s="90" t="n">
        <f aca="false">IF(ISNUMBER(H122),AA122,0)</f>
        <v>4.906685</v>
      </c>
      <c r="BG122" s="90" t="n">
        <f aca="false">IF(AND(Y122=0,ISNUMBER(AF122),ISNUMBER(Z122)),AA122*Z122,0)</f>
        <v>0</v>
      </c>
      <c r="BH122" s="90" t="n">
        <f aca="false">IF(AND(Y122=0,ISNUMBER(AF122),ISNUMBER(Z122)),AA122*AT122*MAX(Z122-1,0),0)</f>
        <v>0</v>
      </c>
      <c r="BI122" s="90" t="n">
        <f aca="false">IF(Y122=0,AA122,0)</f>
        <v>4.906685</v>
      </c>
    </row>
    <row r="123" customFormat="false" ht="15" hidden="false" customHeight="false" outlineLevel="0" collapsed="false">
      <c r="A123" s="83" t="str">
        <f aca="false">IFERROR(IF(INDEX(원자료_잔고!$A$1:$EZ$1500,설정!$L$5+ROW()-1,설정!$L$8)&amp;""="0","",INDEX(원자료_잔고!$A$1:$EZ$1500,설정!$L$5+ROW()-1,설정!$L$8)&amp;""),"")</f>
        <v>NORBK 5.359 09/09/35</v>
      </c>
      <c r="B123" s="83" t="str">
        <f aca="false">IFERROR(IF(INDEX(원자료_잔고!$A$1:$EZ$1500,설정!$L$5+ROW()-1,설정!$L$7)&amp;""="0","",INDEX(원자료_잔고!$A$1:$EZ$1500,설정!$L$5+ROW()-1,설정!$L$7)&amp;""),"")</f>
        <v>USJ5901UAH52</v>
      </c>
      <c r="C123" s="83" t="str">
        <f aca="false">IFERROR(IF(INDEX(원자료_잔고!$A$1:$EZ$1500,설정!$L$5+ROW()-1,설정!$L$9)&amp;""="0","",INDEX(원자료_잔고!$A$1:$EZ$1500,설정!$L$5+ROW()-1,설정!$L$9)&amp;""),"")</f>
        <v>34507</v>
      </c>
      <c r="D12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3" s="84" t="n">
        <f aca="false">IFERROR(IF(ISNUMBER(INDEX(원자료_잔고!$A$1:$EZ$1500,설정!$L$5+ROW()-1,설정!$L$11)),INDEX(원자료_잔고!$A$1:$EZ$1500,설정!$L$5+ROW()-1,설정!$L$11),""),"")</f>
        <v>200000</v>
      </c>
      <c r="F123" s="85" t="n">
        <f aca="false">IFERROR(IF(ISNUMBER(INDEX(원자료_잔고!$A$1:$EZ$1500,설정!$L$5+ROW()-1,설정!$L$12)),INDEX(원자료_잔고!$A$1:$EZ$1500,설정!$L$5+ROW()-1,설정!$L$12),""),"")</f>
        <v>93.848</v>
      </c>
      <c r="G123" s="85" t="n">
        <f aca="false">IFERROR(IF(ISNUMBER(INDEX(원자료_잔고!$A$1:$EZ$1500,설정!$L$5+ROW()-1,설정!$L$13)),INDEX(원자료_잔고!$A$1:$EZ$1500,설정!$L$5+ROW()-1,설정!$L$13),""),"")</f>
        <v>6.2668</v>
      </c>
      <c r="H123" s="85" t="n">
        <f aca="false">IFERROR(IF(ISNUMBER(INDEX(원자료_잔고!$A$1:$EZ$1500,설정!$L$5+ROW()-1,설정!$L$14)),INDEX(원자료_잔고!$A$1:$EZ$1500,설정!$L$5+ROW()-1,설정!$L$14),""),"")</f>
        <v>6.8408</v>
      </c>
      <c r="I123" s="86" t="n">
        <f aca="false">IFERROR(IF(ISNUMBER(INDEX(원자료_잔고!$A$1:$EZ$1500,설정!$L$5+ROW()-1,설정!$L$15)),INDEX(원자료_잔고!$A$1:$EZ$1500,설정!$L$5+ROW()-1,설정!$L$15),""),"")</f>
        <v>49561</v>
      </c>
      <c r="J123" s="85" t="n">
        <f aca="false">IFERROR(IF(ISNUMBER(INDEX(원자료_잔고!$A$1:$EZ$1500,설정!$L$5+ROW()-1,설정!$L$16)),INDEX(원자료_잔고!$A$1:$EZ$1500,설정!$L$5+ROW()-1,설정!$L$16),""),"")</f>
        <v>5.359</v>
      </c>
      <c r="K123" s="87" t="n">
        <f aca="false">IFERROR(IF(ISNUMBER(INDEX(원자료_잔고!$A$1:$EZ$1500,설정!$L$5+ROW()-1,설정!$L$17)),INDEX(원자료_잔고!$A$1:$EZ$1500,설정!$L$5+ROW()-1,설정!$L$17),""),"")</f>
        <v>1</v>
      </c>
      <c r="L123" s="84" t="n">
        <f aca="false">IFERROR(IF(ISNUMBER(INDEX(원자료_잔고!$A$1:$EZ$1500,설정!$L$5+ROW()-1,설정!$L$18)),INDEX(원자료_잔고!$A$1:$EZ$1500,설정!$L$5+ROW()-1,설정!$L$18),""),"")</f>
        <v>187696</v>
      </c>
      <c r="M123" s="88" t="n">
        <f aca="false">IFERROR(IF(ISNUMBER(INDEX(원자료_잔고!$A$1:$EZ$1500,설정!$L$5+ROW()-1,설정!$L$19)),INDEX(원자료_잔고!$A$1:$EZ$1500,설정!$L$5+ROW()-1,설정!$L$19),""),"")</f>
        <v>-15685.2</v>
      </c>
      <c r="N123" s="83" t="str">
        <f aca="false">IFERROR(IF(INDEX(원자료_잔고!$A$1:$EZ$1500,설정!$L$5+ROW()-1,설정!$L$21)&amp;""="0","",INDEX(원자료_잔고!$A$1:$EZ$1500,설정!$L$5+ROW()-1,설정!$L$21)&amp;""),"")</f>
        <v>A</v>
      </c>
      <c r="O123" s="83" t="str">
        <f aca="false">IFERROR(IF(INDEX(원자료_잔고!$A$1:$EZ$1500,설정!$L$5+ROW()-1,설정!$L$22)&amp;""="0","",INDEX(원자료_잔고!$A$1:$EZ$1500,설정!$L$5+ROW()-1,설정!$L$22)&amp;""),"")</f>
        <v/>
      </c>
      <c r="P123" s="83" t="str">
        <f aca="false">IFERROR(IF(INDEX(원자료_잔고!$A$1:$EZ$1500,설정!$L$5+ROW()-1,설정!$L$23)&amp;""="0","",INDEX(원자료_잔고!$A$1:$EZ$1500,설정!$L$5+ROW()-1,설정!$L$23)&amp;""),"")</f>
        <v>N/A</v>
      </c>
      <c r="Q123" s="89" t="n">
        <f aca="false">IF(AND($A123&lt;&gt;"",ISNUMBER(E123)),IF(E123&gt;0,1,0),0)</f>
        <v>1</v>
      </c>
      <c r="R123" s="43" t="str">
        <f aca="false">IF(Q123=1,UPPER(LEFT($A123,FIND(" ",$A123&amp;" ")-1)),"")</f>
        <v>NORBK</v>
      </c>
      <c r="S123" s="89" t="n">
        <f aca="false">IF(Q123=1,IF(OR(ISNUMBER(SEARCH("Float",$A123)),ISNUMBER(SEARCH("FRN",$A123))),1,0),0)</f>
        <v>0</v>
      </c>
      <c r="T123" s="43" t="str">
        <f aca="false">IF(AND(Q123=1,ISNUMBER(I123)),TEXT(I123,"yyyymmdd")&amp;"|"&amp;IF(S123=1,"F",TEXT(J123,"0.000")),"")</f>
        <v>20350909|5.359</v>
      </c>
      <c r="U123" s="90" t="n">
        <f aca="false">IF(AND(Q123=1,ISNUMBER(I123)),(I123-설정!$C$4)/365.25,"")</f>
        <v>8.93908281998631</v>
      </c>
      <c r="V123" s="43" t="str">
        <f aca="false">IF(Q123&lt;&gt;1,"",IF(ISNUMBER(U123),IF(U123&lt;=1,"1년 이하",IF(U123&lt;=2,"1-2년",IF(U123&lt;=3,"2-3년",IF(U123&lt;=4,"3-4년",IF(U123&lt;=5,"4-5년",IF(U123&lt;=7,"5-7년",IF(U123&lt;=10,"7-10년",IF(U123&lt;=20,"10-20년","20년 이상")))))))),"미분류"))</f>
        <v>7-10년</v>
      </c>
      <c r="W123" s="43" t="str">
        <f aca="false">IF(Q123&lt;&gt;1,"",IF(AB123&lt;&gt;"",INDEX(시장분석!$C:$C,AB123),IF(K123=1,"USD","비USD")))</f>
        <v>USD</v>
      </c>
      <c r="X123" s="91" t="n">
        <f aca="false">IF(Q123=1,E123*K123/1000000,0)</f>
        <v>0.2</v>
      </c>
      <c r="Y123" s="89" t="n">
        <f aca="false">IF(R123="T",1,0)</f>
        <v>0</v>
      </c>
      <c r="Z123" s="92" t="n">
        <f aca="false">IF(Q123&lt;&gt;1,"",IF(AD123=1,IF(ISNUMBER(U123),MAX(U123,0),H123),H123))</f>
        <v>6.8408</v>
      </c>
      <c r="AA123" s="91" t="n">
        <f aca="false">IF(Q123=1,IF(ISNUMBER(L123),L123,0)*K123/1000000,0)</f>
        <v>0.187696</v>
      </c>
      <c r="AB123" s="89" t="n">
        <f aca="false">IF(Q123&lt;&gt;1,"",IFERROR(MATCH(VLOOKUP(B123,매핑!$H$4:$I$15,2,0),시장분석!$A$2:$A$601,0)+1,IFERROR(MATCH(R123&amp;"|"&amp;T123,시장분석!$V$2:$V$601,0)+1,IF(COUNTIF(시장분석!$U$2:$U$601,T123)=1,MATCH(T123,시장분석!$U$2:$U$601,0)+1,""))))</f>
        <v>144</v>
      </c>
      <c r="AC123" s="89" t="n">
        <f aca="false">IF(Q123&lt;&gt;1,0,IF(OR(설정!$C$5="전체",AND(설정!$C$5="선택펀드",IFERROR(COUNTIFS(설정!$F$16:$F$36,C123,설정!$G$16:$G$36,"Y")+COUNTIFS(설정!$F$16:$F$36,VALUE(C123),설정!$G$16:$G$36,"Y"),0)&gt;0),C123&amp;""=설정!$C$5&amp;""),1,0))</f>
        <v>1</v>
      </c>
      <c r="AD123" s="89" t="n">
        <f aca="false">IF(Q123&lt;&gt;1,0,IF(OR(S123=1,IF(AB123="",FALSE(),INDEX(시장분석!$R:$R,AB123)=1)),1,0))</f>
        <v>0</v>
      </c>
      <c r="AE123" s="43" t="str">
        <f aca="false">IF(AB123="","",INDEX(시장분석!$A:$A,AB123))</f>
        <v>NORBK 5.359 09/09/35</v>
      </c>
      <c r="AF123" s="93" t="n">
        <f aca="false">IF(AB123="","",IF(ISNUMBER(IF(AB123="","",INDEX(시장분석!$E:$E,AB123))),IF(AB123="","",INDEX(시장분석!$E:$E,AB123)),""))</f>
        <v>103.987</v>
      </c>
      <c r="AG123" s="43" t="str">
        <f aca="false">IF(Q123&lt;&gt;1,"",IF(AB123&lt;&gt;"",IF(AB123="","",INDEX(시장분석!$L:$L,AB123)),IFERROR(IF(VLOOKUP(R123,매핑!$A$4:$E$92,5,0)="","미분류",VLOOKUP(R123,매핑!$A$4:$E$92,5,0)),"미분류")))</f>
        <v>금융기관</v>
      </c>
      <c r="AH123" s="43" t="str">
        <f aca="false">IF(Q123&lt;&gt;1,"",IF(AB123&lt;&gt;"",IF(AB123="","",INDEX(시장분석!$N:$N,AB123)),IFERROR(IF(VLOOKUP(R123,매핑!$A$4:$E$92,4,0)="","미분류",VLOOKUP(R123,매핑!$A$4:$E$92,4,0)),"미분류")))</f>
        <v>아시아/기타</v>
      </c>
      <c r="AI123" s="43" t="str">
        <f aca="false">IF(Q123&lt;&gt;1,"",IFERROR(IF(VLOOKUP(R123,매핑!$A$4:$E$92,3,0)="","미분류",VLOOKUP(R123,매핑!$A$4:$E$92,3,0)),IF(AB123&lt;&gt;"",IF(AB123="","",INDEX(시장분석!$W:$W,AB123)),"미분류")))</f>
        <v>일본</v>
      </c>
      <c r="AJ123" s="43" t="str">
        <f aca="false">IF(Q123&lt;&gt;1,"",IFERROR(VLOOKUP(IF(N123&lt;&gt;"",N123,IF(P123&lt;&gt;"",P123,O123)),설정!$A$15:$D$47,2,0),""))</f>
        <v>A</v>
      </c>
      <c r="AK123" s="43" t="str">
        <f aca="false">IF(Q123&lt;&gt;1,"",IF(AJ123="","무등급",IFERROR(VLOOKUP(AJ123,설정!$A$15:$D$47,3,0),"무등급")))</f>
        <v>A</v>
      </c>
      <c r="AL123" s="89" t="n">
        <f aca="false">IF(AJ123="",99,IFERROR(VLOOKUP(AJ123,설정!$A$15:$D$47,4,0),99))</f>
        <v>6</v>
      </c>
      <c r="AM123" s="94" t="n">
        <f aca="false">IF(ISNUMBER(H123),AA123*1000000*H123/10000,0)</f>
        <v>128.39907968</v>
      </c>
      <c r="AN123" s="94" t="n">
        <f aca="false">IF(OR(Y123=1,NOT(ISNUMBER(Z123))),0,AA123*1000000*Z123/10000)</f>
        <v>128.39907968</v>
      </c>
      <c r="AO123" s="94" t="n">
        <f aca="false">IF(ISNUMBER(G123),AA123*1000000*G123/100,0)</f>
        <v>11762.532928</v>
      </c>
      <c r="AP123" s="94" t="n">
        <f aca="false">IF(ISNUMBER(M123),M123*K123,0)</f>
        <v>-15685.2</v>
      </c>
      <c r="AQ123" s="95" t="n">
        <f aca="false">IF(AB123="","",INDEX(시장분석!$AK:$AK,AB123))</f>
        <v>1.29665818946984</v>
      </c>
      <c r="AR123" s="43" t="str">
        <f aca="false">IF(AB123="","-",IF(AB123="","",INDEX(시장분석!$AL:$AL,AB123)))</f>
        <v>Cheap</v>
      </c>
      <c r="AS123" s="96" t="n">
        <f aca="false">IF(AB123="","",INDEX(시장분석!$AJ:$AJ,AB123))</f>
        <v>26.5472449601838</v>
      </c>
      <c r="AT123" s="93" t="n">
        <f aca="false">IF(AB123="",0,IF(AB123="","",INDEX(시장분석!$AN:$AN,AB123)))</f>
        <v>2.1061569266527</v>
      </c>
      <c r="AU123" s="94" t="n">
        <f aca="false">IF(ISNUMBER(Z123),AT123/10000*MAX(Z123-1,0)*AA123*1000000,0)</f>
        <v>230.896887993364</v>
      </c>
      <c r="AV123" s="94" t="n">
        <f aca="false">AO123+AU123</f>
        <v>11993.4298159934</v>
      </c>
      <c r="AW123" s="43" t="str">
        <f aca="false">IF(Q123&lt;&gt;1,"",TRIM(IF(AD123=1,"FRN ","")&amp;IF(AND(AL123&gt;=10,AL123&lt;99),"BBB0미만 ","")&amp;IF(AJ123="","등급없음 ","")&amp;IF(K123&lt;&gt;1,"비USD ","")&amp;IF(AND(AB123="",Y123=0),"시장데이터없음 ","")&amp;IF(AND(ISNUMBER(U123),U123&lt;0),"만기경과 ","")))</f>
        <v/>
      </c>
      <c r="AX123" s="90" t="n">
        <f aca="false">IF(Q123&lt;&gt;1,1,IF(스프레드쇼크!$C$4="Y",INDEX(스프레드쇼크!$B$12:$L$16,IFERROR(MATCH(AH123,스프레드쇼크!$A$12:$A$16,0),MATCH("목록외",스프레드쇼크!$A$12:$A$16,0)),IFERROR(MATCH(AG123,스프레드쇼크!$B$11:$L$11,0),MATCH("목록외",스프레드쇼크!$B$11:$L$11,0))),1))</f>
        <v>1</v>
      </c>
      <c r="AY123" s="90" t="n">
        <f aca="false">IF(스프레드쇼크!$C$5="Y",IF(ISNUMBER(AF123),MIN(스프레드쇼크!$C$7,MAX(스프레드쇼크!$C$6,AF123/스프레드쇼크!$C$8)),1),1)</f>
        <v>1.57284373096535</v>
      </c>
      <c r="AZ123" s="94" t="n">
        <f aca="false">AN123*AX123*AY123</f>
        <v>201.951687536408</v>
      </c>
      <c r="BA123" s="90" t="n">
        <f aca="false">IF(ISNUMBER(G123),AA123*G123,0)</f>
        <v>1.1762532928</v>
      </c>
      <c r="BB123" s="90" t="n">
        <f aca="false">IF(ISNUMBER(G123),AA123,0)</f>
        <v>0.187696</v>
      </c>
      <c r="BC123" s="90" t="n">
        <f aca="false">IF(AND(Y123=0,ISNUMBER(AF123)),AA123*AF123,0)</f>
        <v>19.517943952</v>
      </c>
      <c r="BD123" s="90" t="n">
        <f aca="false">IF(AND(Y123=0,ISNUMBER(AF123)),AA123,0)</f>
        <v>0.187696</v>
      </c>
      <c r="BE123" s="90" t="n">
        <f aca="false">IF(ISNUMBER(H123),AA123*H123,0)</f>
        <v>1.2839907968</v>
      </c>
      <c r="BF123" s="90" t="n">
        <f aca="false">IF(ISNUMBER(H123),AA123,0)</f>
        <v>0.187696</v>
      </c>
      <c r="BG123" s="90" t="n">
        <f aca="false">IF(AND(Y123=0,ISNUMBER(AF123),ISNUMBER(Z123)),AA123*Z123,0)</f>
        <v>1.2839907968</v>
      </c>
      <c r="BH123" s="90" t="n">
        <f aca="false">IF(AND(Y123=0,ISNUMBER(AF123),ISNUMBER(Z123)),AA123*AT123*MAX(Z123-1,0),0)</f>
        <v>2.30896887993364</v>
      </c>
      <c r="BI123" s="90" t="n">
        <f aca="false">IF(Y123=0,AA123,0)</f>
        <v>0.187696</v>
      </c>
    </row>
    <row r="124" customFormat="false" ht="15" hidden="false" customHeight="false" outlineLevel="0" collapsed="false">
      <c r="A124" s="83" t="str">
        <f aca="false">IFERROR(IF(INDEX(원자료_잔고!$A$1:$EZ$1500,설정!$L$5+ROW()-1,설정!$L$8)&amp;""="0","",INDEX(원자료_잔고!$A$1:$EZ$1500,설정!$L$5+ROW()-1,설정!$L$8)&amp;""),"")</f>
        <v>NORBK 5.094 10/16/29</v>
      </c>
      <c r="B124" s="83" t="str">
        <f aca="false">IFERROR(IF(INDEX(원자료_잔고!$A$1:$EZ$1500,설정!$L$5+ROW()-1,설정!$L$7)&amp;""="0","",INDEX(원자료_잔고!$A$1:$EZ$1500,설정!$L$5+ROW()-1,설정!$L$7)&amp;""),"")</f>
        <v>USJ5903AAA28</v>
      </c>
      <c r="C124" s="83" t="str">
        <f aca="false">IFERROR(IF(INDEX(원자료_잔고!$A$1:$EZ$1500,설정!$L$5+ROW()-1,설정!$L$9)&amp;""="0","",INDEX(원자료_잔고!$A$1:$EZ$1500,설정!$L$5+ROW()-1,설정!$L$9)&amp;""),"")</f>
        <v>34507</v>
      </c>
      <c r="D12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4" s="84" t="n">
        <f aca="false">IFERROR(IF(ISNUMBER(INDEX(원자료_잔고!$A$1:$EZ$1500,설정!$L$5+ROW()-1,설정!$L$11)),INDEX(원자료_잔고!$A$1:$EZ$1500,설정!$L$5+ROW()-1,설정!$L$11),""),"")</f>
        <v>200000</v>
      </c>
      <c r="F124" s="85" t="n">
        <f aca="false">IFERROR(IF(ISNUMBER(INDEX(원자료_잔고!$A$1:$EZ$1500,설정!$L$5+ROW()-1,설정!$L$12)),INDEX(원자료_잔고!$A$1:$EZ$1500,설정!$L$5+ROW()-1,설정!$L$12),""),"")</f>
        <v>98.3276</v>
      </c>
      <c r="G124" s="85" t="n">
        <f aca="false">IFERROR(IF(ISNUMBER(INDEX(원자료_잔고!$A$1:$EZ$1500,설정!$L$5+ROW()-1,설정!$L$13)),INDEX(원자료_잔고!$A$1:$EZ$1500,설정!$L$5+ROW()-1,설정!$L$13),""),"")</f>
        <v>5.6988</v>
      </c>
      <c r="H124" s="85" t="n">
        <f aca="false">IFERROR(IF(ISNUMBER(INDEX(원자료_잔고!$A$1:$EZ$1500,설정!$L$5+ROW()-1,설정!$L$14)),INDEX(원자료_잔고!$A$1:$EZ$1500,설정!$L$5+ROW()-1,설정!$L$14),""),"")</f>
        <v>2.6895</v>
      </c>
      <c r="I124" s="86" t="n">
        <f aca="false">IFERROR(IF(ISNUMBER(INDEX(원자료_잔고!$A$1:$EZ$1500,설정!$L$5+ROW()-1,설정!$L$15)),INDEX(원자료_잔고!$A$1:$EZ$1500,설정!$L$5+ROW()-1,설정!$L$15),""),"")</f>
        <v>47407</v>
      </c>
      <c r="J124" s="85" t="n">
        <f aca="false">IFERROR(IF(ISNUMBER(INDEX(원자료_잔고!$A$1:$EZ$1500,설정!$L$5+ROW()-1,설정!$L$16)),INDEX(원자료_잔고!$A$1:$EZ$1500,설정!$L$5+ROW()-1,설정!$L$16),""),"")</f>
        <v>5.094</v>
      </c>
      <c r="K124" s="87" t="n">
        <f aca="false">IFERROR(IF(ISNUMBER(INDEX(원자료_잔고!$A$1:$EZ$1500,설정!$L$5+ROW()-1,설정!$L$17)),INDEX(원자료_잔고!$A$1:$EZ$1500,설정!$L$5+ROW()-1,설정!$L$17),""),"")</f>
        <v>1</v>
      </c>
      <c r="L124" s="84" t="n">
        <f aca="false">IFERROR(IF(ISNUMBER(INDEX(원자료_잔고!$A$1:$EZ$1500,설정!$L$5+ROW()-1,설정!$L$18)),INDEX(원자료_잔고!$A$1:$EZ$1500,설정!$L$5+ROW()-1,설정!$L$18),""),"")</f>
        <v>196655.2</v>
      </c>
      <c r="M124" s="88" t="n">
        <f aca="false">IFERROR(IF(ISNUMBER(INDEX(원자료_잔고!$A$1:$EZ$1500,설정!$L$5+ROW()-1,설정!$L$19)),INDEX(원자료_잔고!$A$1:$EZ$1500,설정!$L$5+ROW()-1,설정!$L$19),""),"")</f>
        <v>-7673</v>
      </c>
      <c r="N124" s="83" t="str">
        <f aca="false">IFERROR(IF(INDEX(원자료_잔고!$A$1:$EZ$1500,설정!$L$5+ROW()-1,설정!$L$21)&amp;""="0","",INDEX(원자료_잔고!$A$1:$EZ$1500,설정!$L$5+ROW()-1,설정!$L$21)&amp;""),"")</f>
        <v>A</v>
      </c>
      <c r="O124" s="83" t="str">
        <f aca="false">IFERROR(IF(INDEX(원자료_잔고!$A$1:$EZ$1500,설정!$L$5+ROW()-1,설정!$L$22)&amp;""="0","",INDEX(원자료_잔고!$A$1:$EZ$1500,설정!$L$5+ROW()-1,설정!$L$22)&amp;""),"")</f>
        <v/>
      </c>
      <c r="P124" s="83" t="str">
        <f aca="false">IFERROR(IF(INDEX(원자료_잔고!$A$1:$EZ$1500,설정!$L$5+ROW()-1,설정!$L$23)&amp;""="0","",INDEX(원자료_잔고!$A$1:$EZ$1500,설정!$L$5+ROW()-1,설정!$L$23)&amp;""),"")</f>
        <v>N/A</v>
      </c>
      <c r="Q124" s="89" t="n">
        <f aca="false">IF(AND($A124&lt;&gt;"",ISNUMBER(E124)),IF(E124&gt;0,1,0),0)</f>
        <v>1</v>
      </c>
      <c r="R124" s="43" t="str">
        <f aca="false">IF(Q124=1,UPPER(LEFT($A124,FIND(" ",$A124&amp;" ")-1)),"")</f>
        <v>NORBK</v>
      </c>
      <c r="S124" s="89" t="n">
        <f aca="false">IF(Q124=1,IF(OR(ISNUMBER(SEARCH("Float",$A124)),ISNUMBER(SEARCH("FRN",$A124))),1,0),0)</f>
        <v>0</v>
      </c>
      <c r="T124" s="43" t="str">
        <f aca="false">IF(AND(Q124=1,ISNUMBER(I124)),TEXT(I124,"yyyymmdd")&amp;"|"&amp;IF(S124=1,"F",TEXT(J124,"0.000")),"")</f>
        <v>20291016|5.094</v>
      </c>
      <c r="U124" s="90" t="n">
        <f aca="false">IF(AND(Q124=1,ISNUMBER(I124)),(I124-설정!$C$4)/365.25,"")</f>
        <v>3.04175222450376</v>
      </c>
      <c r="V124" s="43" t="str">
        <f aca="false">IF(Q124&lt;&gt;1,"",IF(ISNUMBER(U124),IF(U124&lt;=1,"1년 이하",IF(U124&lt;=2,"1-2년",IF(U124&lt;=3,"2-3년",IF(U124&lt;=4,"3-4년",IF(U124&lt;=5,"4-5년",IF(U124&lt;=7,"5-7년",IF(U124&lt;=10,"7-10년",IF(U124&lt;=20,"10-20년","20년 이상")))))))),"미분류"))</f>
        <v>3-4년</v>
      </c>
      <c r="W124" s="43" t="str">
        <f aca="false">IF(Q124&lt;&gt;1,"",IF(AB124&lt;&gt;"",INDEX(시장분석!$C:$C,AB124),IF(K124=1,"USD","비USD")))</f>
        <v>USD</v>
      </c>
      <c r="X124" s="91" t="n">
        <f aca="false">IF(Q124=1,E124*K124/1000000,0)</f>
        <v>0.2</v>
      </c>
      <c r="Y124" s="89" t="n">
        <f aca="false">IF(R124="T",1,0)</f>
        <v>0</v>
      </c>
      <c r="Z124" s="92" t="n">
        <f aca="false">IF(Q124&lt;&gt;1,"",IF(AD124=1,IF(ISNUMBER(U124),MAX(U124,0),H124),H124))</f>
        <v>2.6895</v>
      </c>
      <c r="AA124" s="91" t="n">
        <f aca="false">IF(Q124=1,IF(ISNUMBER(L124),L124,0)*K124/1000000,0)</f>
        <v>0.1966552</v>
      </c>
      <c r="AB124" s="89" t="n">
        <f aca="false">IF(Q124&lt;&gt;1,"",IFERROR(MATCH(VLOOKUP(B124,매핑!$H$4:$I$15,2,0),시장분석!$A$2:$A$601,0)+1,IFERROR(MATCH(R124&amp;"|"&amp;T124,시장분석!$V$2:$V$601,0)+1,IF(COUNTIF(시장분석!$U$2:$U$601,T124)=1,MATCH(T124,시장분석!$U$2:$U$601,0)+1,""))))</f>
        <v>145</v>
      </c>
      <c r="AC124" s="89" t="n">
        <f aca="false">IF(Q124&lt;&gt;1,0,IF(OR(설정!$C$5="전체",AND(설정!$C$5="선택펀드",IFERROR(COUNTIFS(설정!$F$16:$F$36,C124,설정!$G$16:$G$36,"Y")+COUNTIFS(설정!$F$16:$F$36,VALUE(C124),설정!$G$16:$G$36,"Y"),0)&gt;0),C124&amp;""=설정!$C$5&amp;""),1,0))</f>
        <v>1</v>
      </c>
      <c r="AD124" s="89" t="n">
        <f aca="false">IF(Q124&lt;&gt;1,0,IF(OR(S124=1,IF(AB124="",FALSE(),INDEX(시장분석!$R:$R,AB124)=1)),1,0))</f>
        <v>0</v>
      </c>
      <c r="AE124" s="43" t="str">
        <f aca="false">IF(AB124="","",INDEX(시장분석!$A:$A,AB124))</f>
        <v>NORBK 5.094 10/16/29</v>
      </c>
      <c r="AF124" s="93" t="n">
        <f aca="false">IF(AB124="","",IF(ISNUMBER(IF(AB124="","",INDEX(시장분석!$E:$E,AB124))),IF(AB124="","",INDEX(시장분석!$E:$E,AB124)),""))</f>
        <v>72.166</v>
      </c>
      <c r="AG124" s="43" t="str">
        <f aca="false">IF(Q124&lt;&gt;1,"",IF(AB124&lt;&gt;"",IF(AB124="","",INDEX(시장분석!$L:$L,AB124)),IFERROR(IF(VLOOKUP(R124,매핑!$A$4:$E$92,5,0)="","미분류",VLOOKUP(R124,매핑!$A$4:$E$92,5,0)),"미분류")))</f>
        <v>금융기관</v>
      </c>
      <c r="AH124" s="43" t="str">
        <f aca="false">IF(Q124&lt;&gt;1,"",IF(AB124&lt;&gt;"",IF(AB124="","",INDEX(시장분석!$N:$N,AB124)),IFERROR(IF(VLOOKUP(R124,매핑!$A$4:$E$92,4,0)="","미분류",VLOOKUP(R124,매핑!$A$4:$E$92,4,0)),"미분류")))</f>
        <v>아시아/기타</v>
      </c>
      <c r="AI124" s="43" t="str">
        <f aca="false">IF(Q124&lt;&gt;1,"",IFERROR(IF(VLOOKUP(R124,매핑!$A$4:$E$92,3,0)="","미분류",VLOOKUP(R124,매핑!$A$4:$E$92,3,0)),IF(AB124&lt;&gt;"",IF(AB124="","",INDEX(시장분석!$W:$W,AB124)),"미분류")))</f>
        <v>일본</v>
      </c>
      <c r="AJ124" s="43" t="str">
        <f aca="false">IF(Q124&lt;&gt;1,"",IFERROR(VLOOKUP(IF(N124&lt;&gt;"",N124,IF(P124&lt;&gt;"",P124,O124)),설정!$A$15:$D$47,2,0),""))</f>
        <v>A</v>
      </c>
      <c r="AK124" s="43" t="str">
        <f aca="false">IF(Q124&lt;&gt;1,"",IF(AJ124="","무등급",IFERROR(VLOOKUP(AJ124,설정!$A$15:$D$47,3,0),"무등급")))</f>
        <v>A</v>
      </c>
      <c r="AL124" s="89" t="n">
        <f aca="false">IF(AJ124="",99,IFERROR(VLOOKUP(AJ124,설정!$A$15:$D$47,4,0),99))</f>
        <v>6</v>
      </c>
      <c r="AM124" s="94" t="n">
        <f aca="false">IF(ISNUMBER(H124),AA124*1000000*H124/10000,0)</f>
        <v>52.89041604</v>
      </c>
      <c r="AN124" s="94" t="n">
        <f aca="false">IF(OR(Y124=1,NOT(ISNUMBER(Z124))),0,AA124*1000000*Z124/10000)</f>
        <v>52.89041604</v>
      </c>
      <c r="AO124" s="94" t="n">
        <f aca="false">IF(ISNUMBER(G124),AA124*1000000*G124/100,0)</f>
        <v>11206.9865376</v>
      </c>
      <c r="AP124" s="94" t="n">
        <f aca="false">IF(ISNUMBER(M124),M124*K124,0)</f>
        <v>-7673</v>
      </c>
      <c r="AQ124" s="95" t="n">
        <f aca="false">IF(AB124="","",INDEX(시장분석!$AK:$AK,AB124))</f>
        <v>0.380381180841575</v>
      </c>
      <c r="AR124" s="43" t="str">
        <f aca="false">IF(AB124="","-",IF(AB124="","",INDEX(시장분석!$AL:$AL,AB124)))</f>
        <v>Fair</v>
      </c>
      <c r="AS124" s="96" t="n">
        <f aca="false">IF(AB124="","",INDEX(시장분석!$AJ:$AJ,AB124))</f>
        <v>7.78776740705587</v>
      </c>
      <c r="AT124" s="93" t="n">
        <f aca="false">IF(AB124="",0,IF(AB124="","",INDEX(시장분석!$AN:$AN,AB124)))</f>
        <v>6.18847848930044</v>
      </c>
      <c r="AU124" s="94" t="n">
        <f aca="false">IF(ISNUMBER(Z124),AT124/10000*MAX(Z124-1,0)*AA124*1000000,0)</f>
        <v>205.611554452783</v>
      </c>
      <c r="AV124" s="94" t="n">
        <f aca="false">AO124+AU124</f>
        <v>11412.5980920528</v>
      </c>
      <c r="AW124" s="43" t="str">
        <f aca="false">IF(Q124&lt;&gt;1,"",TRIM(IF(AD124=1,"FRN ","")&amp;IF(AND(AL124&gt;=10,AL124&lt;99),"BBB0미만 ","")&amp;IF(AJ124="","등급없음 ","")&amp;IF(K124&lt;&gt;1,"비USD ","")&amp;IF(AND(AB124="",Y124=0),"시장데이터없음 ","")&amp;IF(AND(ISNUMBER(U124),U124&lt;0),"만기경과 ","")))</f>
        <v/>
      </c>
      <c r="AX124" s="90" t="n">
        <f aca="false">IF(Q124&lt;&gt;1,1,IF(스프레드쇼크!$C$4="Y",INDEX(스프레드쇼크!$B$12:$L$16,IFERROR(MATCH(AH124,스프레드쇼크!$A$12:$A$16,0),MATCH("목록외",스프레드쇼크!$A$12:$A$16,0)),IFERROR(MATCH(AG124,스프레드쇼크!$B$11:$L$11,0),MATCH("목록외",스프레드쇼크!$B$11:$L$11,0))),1))</f>
        <v>1</v>
      </c>
      <c r="AY124" s="90" t="n">
        <f aca="false">IF(스프레드쇼크!$C$5="Y",IF(ISNUMBER(AF124),MIN(스프레드쇼크!$C$7,MAX(스프레드쇼크!$C$6,AF124/스프레드쇼크!$C$8)),1),1)</f>
        <v>1.0915387566604</v>
      </c>
      <c r="AZ124" s="94" t="n">
        <f aca="false">AN124*AX124*AY124</f>
        <v>57.731938963553</v>
      </c>
      <c r="BA124" s="90" t="n">
        <f aca="false">IF(ISNUMBER(G124),AA124*G124,0)</f>
        <v>1.12069865376</v>
      </c>
      <c r="BB124" s="90" t="n">
        <f aca="false">IF(ISNUMBER(G124),AA124,0)</f>
        <v>0.1966552</v>
      </c>
      <c r="BC124" s="90" t="n">
        <f aca="false">IF(AND(Y124=0,ISNUMBER(AF124)),AA124*AF124,0)</f>
        <v>14.1918191632</v>
      </c>
      <c r="BD124" s="90" t="n">
        <f aca="false">IF(AND(Y124=0,ISNUMBER(AF124)),AA124,0)</f>
        <v>0.1966552</v>
      </c>
      <c r="BE124" s="90" t="n">
        <f aca="false">IF(ISNUMBER(H124),AA124*H124,0)</f>
        <v>0.5289041604</v>
      </c>
      <c r="BF124" s="90" t="n">
        <f aca="false">IF(ISNUMBER(H124),AA124,0)</f>
        <v>0.1966552</v>
      </c>
      <c r="BG124" s="90" t="n">
        <f aca="false">IF(AND(Y124=0,ISNUMBER(AF124),ISNUMBER(Z124)),AA124*Z124,0)</f>
        <v>0.5289041604</v>
      </c>
      <c r="BH124" s="90" t="n">
        <f aca="false">IF(AND(Y124=0,ISNUMBER(AF124),ISNUMBER(Z124)),AA124*AT124*MAX(Z124-1,0),0)</f>
        <v>2.05611554452783</v>
      </c>
      <c r="BI124" s="90" t="n">
        <f aca="false">IF(Y124=0,AA124,0)</f>
        <v>0.1966552</v>
      </c>
    </row>
    <row r="125" customFormat="false" ht="15" hidden="false" customHeight="false" outlineLevel="0" collapsed="false">
      <c r="A125" s="83" t="str">
        <f aca="false">IFERROR(IF(INDEX(원자료_잔고!$A$1:$EZ$1500,설정!$L$5+ROW()-1,설정!$L$8)&amp;""="0","",INDEX(원자료_잔고!$A$1:$EZ$1500,설정!$L$5+ROW()-1,설정!$L$8)&amp;""),"")</f>
        <v>NTT 5.11 07/02/29</v>
      </c>
      <c r="B125" s="83" t="str">
        <f aca="false">IFERROR(IF(INDEX(원자료_잔고!$A$1:$EZ$1500,설정!$L$5+ROW()-1,설정!$L$7)&amp;""="0","",INDEX(원자료_잔고!$A$1:$EZ$1500,설정!$L$5+ROW()-1,설정!$L$7)&amp;""),"")</f>
        <v>USJ5S39RAM64</v>
      </c>
      <c r="C125" s="83" t="str">
        <f aca="false">IFERROR(IF(INDEX(원자료_잔고!$A$1:$EZ$1500,설정!$L$5+ROW()-1,설정!$L$9)&amp;""="0","",INDEX(원자료_잔고!$A$1:$EZ$1500,설정!$L$5+ROW()-1,설정!$L$9)&amp;""),"")</f>
        <v>34507</v>
      </c>
      <c r="D12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5" s="84" t="n">
        <f aca="false">IFERROR(IF(ISNUMBER(INDEX(원자료_잔고!$A$1:$EZ$1500,설정!$L$5+ROW()-1,설정!$L$11)),INDEX(원자료_잔고!$A$1:$EZ$1500,설정!$L$5+ROW()-1,설정!$L$11),""),"")</f>
        <v>2000000</v>
      </c>
      <c r="F125" s="85" t="n">
        <f aca="false">IFERROR(IF(ISNUMBER(INDEX(원자료_잔고!$A$1:$EZ$1500,설정!$L$5+ROW()-1,설정!$L$12)),INDEX(원자료_잔고!$A$1:$EZ$1500,설정!$L$5+ROW()-1,설정!$L$12),""),"")</f>
        <v>98.761</v>
      </c>
      <c r="G125" s="85" t="n">
        <f aca="false">IFERROR(IF(ISNUMBER(INDEX(원자료_잔고!$A$1:$EZ$1500,설정!$L$5+ROW()-1,설정!$L$13)),INDEX(원자료_잔고!$A$1:$EZ$1500,설정!$L$5+ROW()-1,설정!$L$13),""),"")</f>
        <v>5.5965</v>
      </c>
      <c r="H125" s="85" t="n">
        <f aca="false">IFERROR(IF(ISNUMBER(INDEX(원자료_잔고!$A$1:$EZ$1500,설정!$L$5+ROW()-1,설정!$L$14)),INDEX(원자료_잔고!$A$1:$EZ$1500,설정!$L$5+ROW()-1,설정!$L$14),""),"")</f>
        <v>2.4804</v>
      </c>
      <c r="I125" s="86" t="n">
        <f aca="false">IFERROR(IF(ISNUMBER(INDEX(원자료_잔고!$A$1:$EZ$1500,설정!$L$5+ROW()-1,설정!$L$15)),INDEX(원자료_잔고!$A$1:$EZ$1500,설정!$L$5+ROW()-1,설정!$L$15),""),"")</f>
        <v>47301</v>
      </c>
      <c r="J125" s="85" t="n">
        <f aca="false">IFERROR(IF(ISNUMBER(INDEX(원자료_잔고!$A$1:$EZ$1500,설정!$L$5+ROW()-1,설정!$L$16)),INDEX(원자료_잔고!$A$1:$EZ$1500,설정!$L$5+ROW()-1,설정!$L$16),""),"")</f>
        <v>5.11</v>
      </c>
      <c r="K125" s="87" t="n">
        <f aca="false">IFERROR(IF(ISNUMBER(INDEX(원자료_잔고!$A$1:$EZ$1500,설정!$L$5+ROW()-1,설정!$L$17)),INDEX(원자료_잔고!$A$1:$EZ$1500,설정!$L$5+ROW()-1,설정!$L$17),""),"")</f>
        <v>1</v>
      </c>
      <c r="L125" s="84" t="n">
        <f aca="false">IFERROR(IF(ISNUMBER(INDEX(원자료_잔고!$A$1:$EZ$1500,설정!$L$5+ROW()-1,설정!$L$18)),INDEX(원자료_잔고!$A$1:$EZ$1500,설정!$L$5+ROW()-1,설정!$L$18),""),"")</f>
        <v>1975220</v>
      </c>
      <c r="M125" s="88" t="n">
        <f aca="false">IFERROR(IF(ISNUMBER(INDEX(원자료_잔고!$A$1:$EZ$1500,설정!$L$5+ROW()-1,설정!$L$19)),INDEX(원자료_잔고!$A$1:$EZ$1500,설정!$L$5+ROW()-1,설정!$L$19),""),"")</f>
        <v>-80842</v>
      </c>
      <c r="N125" s="83" t="str">
        <f aca="false">IFERROR(IF(INDEX(원자료_잔고!$A$1:$EZ$1500,설정!$L$5+ROW()-1,설정!$L$21)&amp;""="0","",INDEX(원자료_잔고!$A$1:$EZ$1500,설정!$L$5+ROW()-1,설정!$L$21)&amp;""),"")</f>
        <v>BBB+</v>
      </c>
      <c r="O125" s="83" t="str">
        <f aca="false">IFERROR(IF(INDEX(원자료_잔고!$A$1:$EZ$1500,설정!$L$5+ROW()-1,설정!$L$22)&amp;""="0","",INDEX(원자료_잔고!$A$1:$EZ$1500,설정!$L$5+ROW()-1,설정!$L$22)&amp;""),"")</f>
        <v/>
      </c>
      <c r="P125" s="83" t="str">
        <f aca="false">IFERROR(IF(INDEX(원자료_잔고!$A$1:$EZ$1500,설정!$L$5+ROW()-1,설정!$L$23)&amp;""="0","",INDEX(원자료_잔고!$A$1:$EZ$1500,설정!$L$5+ROW()-1,설정!$L$23)&amp;""),"")</f>
        <v>N/A</v>
      </c>
      <c r="Q125" s="89" t="n">
        <f aca="false">IF(AND($A125&lt;&gt;"",ISNUMBER(E125)),IF(E125&gt;0,1,0),0)</f>
        <v>1</v>
      </c>
      <c r="R125" s="43" t="str">
        <f aca="false">IF(Q125=1,UPPER(LEFT($A125,FIND(" ",$A125&amp;" ")-1)),"")</f>
        <v>NTT</v>
      </c>
      <c r="S125" s="89" t="n">
        <f aca="false">IF(Q125=1,IF(OR(ISNUMBER(SEARCH("Float",$A125)),ISNUMBER(SEARCH("FRN",$A125))),1,0),0)</f>
        <v>0</v>
      </c>
      <c r="T125" s="43" t="str">
        <f aca="false">IF(AND(Q125=1,ISNUMBER(I125)),TEXT(I125,"yyyymmdd")&amp;"|"&amp;IF(S125=1,"F",TEXT(J125,"0.000")),"")</f>
        <v>20290702|5.110</v>
      </c>
      <c r="U125" s="90" t="n">
        <f aca="false">IF(AND(Q125=1,ISNUMBER(I125)),(I125-설정!$C$4)/365.25,"")</f>
        <v>2.75154004106776</v>
      </c>
      <c r="V125" s="43" t="str">
        <f aca="false">IF(Q125&lt;&gt;1,"",IF(ISNUMBER(U125),IF(U125&lt;=1,"1년 이하",IF(U125&lt;=2,"1-2년",IF(U125&lt;=3,"2-3년",IF(U125&lt;=4,"3-4년",IF(U125&lt;=5,"4-5년",IF(U125&lt;=7,"5-7년",IF(U125&lt;=10,"7-10년",IF(U125&lt;=20,"10-20년","20년 이상")))))))),"미분류"))</f>
        <v>2-3년</v>
      </c>
      <c r="W125" s="43" t="str">
        <f aca="false">IF(Q125&lt;&gt;1,"",IF(AB125&lt;&gt;"",INDEX(시장분석!$C:$C,AB125),IF(K125=1,"USD","비USD")))</f>
        <v>USD</v>
      </c>
      <c r="X125" s="91" t="n">
        <f aca="false">IF(Q125=1,E125*K125/1000000,0)</f>
        <v>2</v>
      </c>
      <c r="Y125" s="89" t="n">
        <f aca="false">IF(R125="T",1,0)</f>
        <v>0</v>
      </c>
      <c r="Z125" s="92" t="n">
        <f aca="false">IF(Q125&lt;&gt;1,"",IF(AD125=1,IF(ISNUMBER(U125),MAX(U125,0),H125),H125))</f>
        <v>2.4804</v>
      </c>
      <c r="AA125" s="91" t="n">
        <f aca="false">IF(Q125=1,IF(ISNUMBER(L125),L125,0)*K125/1000000,0)</f>
        <v>1.97522</v>
      </c>
      <c r="AB125" s="89" t="n">
        <f aca="false">IF(Q125&lt;&gt;1,"",IFERROR(MATCH(VLOOKUP(B125,매핑!$H$4:$I$15,2,0),시장분석!$A$2:$A$601,0)+1,IFERROR(MATCH(R125&amp;"|"&amp;T125,시장분석!$V$2:$V$601,0)+1,IF(COUNTIF(시장분석!$U$2:$U$601,T125)=1,MATCH(T125,시장분석!$U$2:$U$601,0)+1,""))))</f>
        <v>146</v>
      </c>
      <c r="AC125" s="89" t="n">
        <f aca="false">IF(Q125&lt;&gt;1,0,IF(OR(설정!$C$5="전체",AND(설정!$C$5="선택펀드",IFERROR(COUNTIFS(설정!$F$16:$F$36,C125,설정!$G$16:$G$36,"Y")+COUNTIFS(설정!$F$16:$F$36,VALUE(C125),설정!$G$16:$G$36,"Y"),0)&gt;0),C125&amp;""=설정!$C$5&amp;""),1,0))</f>
        <v>1</v>
      </c>
      <c r="AD125" s="89" t="n">
        <f aca="false">IF(Q125&lt;&gt;1,0,IF(OR(S125=1,IF(AB125="",FALSE(),INDEX(시장분석!$R:$R,AB125)=1)),1,0))</f>
        <v>0</v>
      </c>
      <c r="AE125" s="43" t="str">
        <f aca="false">IF(AB125="","",INDEX(시장분석!$A:$A,AB125))</f>
        <v>NTT 5.11 07/02/29</v>
      </c>
      <c r="AF125" s="93" t="n">
        <f aca="false">IF(AB125="","",IF(ISNUMBER(IF(AB125="","",INDEX(시장분석!$E:$E,AB125))),IF(AB125="","",INDEX(시장분석!$E:$E,AB125)),""))</f>
        <v>63.367</v>
      </c>
      <c r="AG125" s="43" t="str">
        <f aca="false">IF(Q125&lt;&gt;1,"",IF(AB125&lt;&gt;"",IF(AB125="","",INDEX(시장분석!$L:$L,AB125)),IFERROR(IF(VLOOKUP(R125,매핑!$A$4:$E$92,5,0)="","미분류",VLOOKUP(R125,매핑!$A$4:$E$92,5,0)),"미분류")))</f>
        <v>통신</v>
      </c>
      <c r="AH125" s="43" t="str">
        <f aca="false">IF(Q125&lt;&gt;1,"",IF(AB125&lt;&gt;"",IF(AB125="","",INDEX(시장분석!$N:$N,AB125)),IFERROR(IF(VLOOKUP(R125,매핑!$A$4:$E$92,4,0)="","미분류",VLOOKUP(R125,매핑!$A$4:$E$92,4,0)),"미분류")))</f>
        <v>아시아/기타</v>
      </c>
      <c r="AI125" s="43" t="str">
        <f aca="false">IF(Q125&lt;&gt;1,"",IFERROR(IF(VLOOKUP(R125,매핑!$A$4:$E$92,3,0)="","미분류",VLOOKUP(R125,매핑!$A$4:$E$92,3,0)),IF(AB125&lt;&gt;"",IF(AB125="","",INDEX(시장분석!$W:$W,AB125)),"미분류")))</f>
        <v>일본</v>
      </c>
      <c r="AJ125" s="43" t="str">
        <f aca="false">IF(Q125&lt;&gt;1,"",IFERROR(VLOOKUP(IF(N125&lt;&gt;"",N125,IF(P125&lt;&gt;"",P125,O125)),설정!$A$15:$D$47,2,0),""))</f>
        <v>BBB+</v>
      </c>
      <c r="AK125" s="43" t="str">
        <f aca="false">IF(Q125&lt;&gt;1,"",IF(AJ125="","무등급",IFERROR(VLOOKUP(AJ125,설정!$A$15:$D$47,3,0),"무등급")))</f>
        <v>BBB</v>
      </c>
      <c r="AL125" s="89" t="n">
        <f aca="false">IF(AJ125="",99,IFERROR(VLOOKUP(AJ125,설정!$A$15:$D$47,4,0),99))</f>
        <v>8</v>
      </c>
      <c r="AM125" s="94" t="n">
        <f aca="false">IF(ISNUMBER(H125),AA125*1000000*H125/10000,0)</f>
        <v>489.9335688</v>
      </c>
      <c r="AN125" s="94" t="n">
        <f aca="false">IF(OR(Y125=1,NOT(ISNUMBER(Z125))),0,AA125*1000000*Z125/10000)</f>
        <v>489.9335688</v>
      </c>
      <c r="AO125" s="94" t="n">
        <f aca="false">IF(ISNUMBER(G125),AA125*1000000*G125/100,0)</f>
        <v>110543.1873</v>
      </c>
      <c r="AP125" s="94" t="n">
        <f aca="false">IF(ISNUMBER(M125),M125*K125,0)</f>
        <v>-80842</v>
      </c>
      <c r="AQ125" s="95" t="n">
        <f aca="false">IF(AB125="","",INDEX(시장분석!$AK:$AK,AB125))</f>
        <v>0.415715826935082</v>
      </c>
      <c r="AR125" s="43" t="str">
        <f aca="false">IF(AB125="","-",IF(AB125="","",INDEX(시장분석!$AL:$AL,AB125)))</f>
        <v>Fair</v>
      </c>
      <c r="AS125" s="96" t="n">
        <f aca="false">IF(AB125="","",INDEX(시장분석!$AJ:$AJ,AB125))</f>
        <v>6.4262629985589</v>
      </c>
      <c r="AT125" s="93" t="n">
        <f aca="false">IF(AB125="",0,IF(AB125="","",INDEX(시장분석!$AN:$AN,AB125)))</f>
        <v>19.3610041947505</v>
      </c>
      <c r="AU125" s="94" t="n">
        <f aca="false">IF(ISNUMBER(Z125),AT125/10000*MAX(Z125-1,0)*AA125*1000000,0)</f>
        <v>5661.38161013038</v>
      </c>
      <c r="AV125" s="94" t="n">
        <f aca="false">AO125+AU125</f>
        <v>116204.56891013</v>
      </c>
      <c r="AW125" s="43" t="str">
        <f aca="false">IF(Q125&lt;&gt;1,"",TRIM(IF(AD125=1,"FRN ","")&amp;IF(AND(AL125&gt;=10,AL125&lt;99),"BBB0미만 ","")&amp;IF(AJ125="","등급없음 ","")&amp;IF(K125&lt;&gt;1,"비USD ","")&amp;IF(AND(AB125="",Y125=0),"시장데이터없음 ","")&amp;IF(AND(ISNUMBER(U125),U125&lt;0),"만기경과 ","")))</f>
        <v/>
      </c>
      <c r="AX125" s="90" t="n">
        <f aca="false">IF(Q125&lt;&gt;1,1,IF(스프레드쇼크!$C$4="Y",INDEX(스프레드쇼크!$B$12:$L$16,IFERROR(MATCH(AH125,스프레드쇼크!$A$12:$A$16,0),MATCH("목록외",스프레드쇼크!$A$12:$A$16,0)),IFERROR(MATCH(AG125,스프레드쇼크!$B$11:$L$11,0),MATCH("목록외",스프레드쇼크!$B$11:$L$11,0))),1))</f>
        <v>1</v>
      </c>
      <c r="AY125" s="90" t="n">
        <f aca="false">IF(스프레드쇼크!$C$5="Y",IF(ISNUMBER(AF125),MIN(스프레드쇼크!$C$7,MAX(스프레드쇼크!$C$6,AF125/스프레드쇼크!$C$8)),1),1)</f>
        <v>0.958450466886065</v>
      </c>
      <c r="AZ125" s="94" t="n">
        <f aca="false">AN125*AX125*AY125</f>
        <v>469.577057759516</v>
      </c>
      <c r="BA125" s="90" t="n">
        <f aca="false">IF(ISNUMBER(G125),AA125*G125,0)</f>
        <v>11.05431873</v>
      </c>
      <c r="BB125" s="90" t="n">
        <f aca="false">IF(ISNUMBER(G125),AA125,0)</f>
        <v>1.97522</v>
      </c>
      <c r="BC125" s="90" t="n">
        <f aca="false">IF(AND(Y125=0,ISNUMBER(AF125)),AA125*AF125,0)</f>
        <v>125.16376574</v>
      </c>
      <c r="BD125" s="90" t="n">
        <f aca="false">IF(AND(Y125=0,ISNUMBER(AF125)),AA125,0)</f>
        <v>1.97522</v>
      </c>
      <c r="BE125" s="90" t="n">
        <f aca="false">IF(ISNUMBER(H125),AA125*H125,0)</f>
        <v>4.899335688</v>
      </c>
      <c r="BF125" s="90" t="n">
        <f aca="false">IF(ISNUMBER(H125),AA125,0)</f>
        <v>1.97522</v>
      </c>
      <c r="BG125" s="90" t="n">
        <f aca="false">IF(AND(Y125=0,ISNUMBER(AF125),ISNUMBER(Z125)),AA125*Z125,0)</f>
        <v>4.899335688</v>
      </c>
      <c r="BH125" s="90" t="n">
        <f aca="false">IF(AND(Y125=0,ISNUMBER(AF125),ISNUMBER(Z125)),AA125*AT125*MAX(Z125-1,0),0)</f>
        <v>56.6138161013038</v>
      </c>
      <c r="BI125" s="90" t="n">
        <f aca="false">IF(Y125=0,AA125,0)</f>
        <v>1.97522</v>
      </c>
    </row>
    <row r="126" customFormat="false" ht="15" hidden="false" customHeight="false" outlineLevel="0" collapsed="false">
      <c r="A126" s="83" t="str">
        <f aca="false">IFERROR(IF(INDEX(원자료_잔고!$A$1:$EZ$1500,설정!$L$5+ROW()-1,설정!$L$8)&amp;""="0","",INDEX(원자료_잔고!$A$1:$EZ$1500,설정!$L$5+ROW()-1,설정!$L$8)&amp;""),"")</f>
        <v>GSCCOR 4.25 10/28/30</v>
      </c>
      <c r="B126" s="83" t="str">
        <f aca="false">IFERROR(IF(INDEX(원자료_잔고!$A$1:$EZ$1500,설정!$L$5+ROW()-1,설정!$L$7)&amp;""="0","",INDEX(원자료_잔고!$A$1:$EZ$1500,설정!$L$5+ROW()-1,설정!$L$7)&amp;""),"")</f>
        <v>USY29011DM51</v>
      </c>
      <c r="C126" s="83" t="str">
        <f aca="false">IFERROR(IF(INDEX(원자료_잔고!$A$1:$EZ$1500,설정!$L$5+ROW()-1,설정!$L$9)&amp;""="0","",INDEX(원자료_잔고!$A$1:$EZ$1500,설정!$L$5+ROW()-1,설정!$L$9)&amp;""),"")</f>
        <v>34507</v>
      </c>
      <c r="D12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6" s="84" t="n">
        <f aca="false">IFERROR(IF(ISNUMBER(INDEX(원자료_잔고!$A$1:$EZ$1500,설정!$L$5+ROW()-1,설정!$L$11)),INDEX(원자료_잔고!$A$1:$EZ$1500,설정!$L$5+ROW()-1,설정!$L$11),""),"")</f>
        <v>2500000</v>
      </c>
      <c r="F126" s="85" t="n">
        <f aca="false">IFERROR(IF(ISNUMBER(INDEX(원자료_잔고!$A$1:$EZ$1500,설정!$L$5+ROW()-1,설정!$L$12)),INDEX(원자료_잔고!$A$1:$EZ$1500,설정!$L$5+ROW()-1,설정!$L$12),""),"")</f>
        <v>94.9314</v>
      </c>
      <c r="G126" s="85" t="n">
        <f aca="false">IFERROR(IF(ISNUMBER(INDEX(원자료_잔고!$A$1:$EZ$1500,설정!$L$5+ROW()-1,설정!$L$13)),INDEX(원자료_잔고!$A$1:$EZ$1500,설정!$L$5+ROW()-1,설정!$L$13),""),"")</f>
        <v>5.6584</v>
      </c>
      <c r="H126" s="85" t="n">
        <f aca="false">IFERROR(IF(ISNUMBER(INDEX(원자료_잔고!$A$1:$EZ$1500,설정!$L$5+ROW()-1,설정!$L$14)),INDEX(원자료_잔고!$A$1:$EZ$1500,설정!$L$5+ROW()-1,설정!$L$14),""),"")</f>
        <v>3.519</v>
      </c>
      <c r="I126" s="86" t="n">
        <f aca="false">IFERROR(IF(ISNUMBER(INDEX(원자료_잔고!$A$1:$EZ$1500,설정!$L$5+ROW()-1,설정!$L$15)),INDEX(원자료_잔고!$A$1:$EZ$1500,설정!$L$5+ROW()-1,설정!$L$15),""),"")</f>
        <v>47784</v>
      </c>
      <c r="J126" s="85" t="n">
        <f aca="false">IFERROR(IF(ISNUMBER(INDEX(원자료_잔고!$A$1:$EZ$1500,설정!$L$5+ROW()-1,설정!$L$16)),INDEX(원자료_잔고!$A$1:$EZ$1500,설정!$L$5+ROW()-1,설정!$L$16),""),"")</f>
        <v>4.25</v>
      </c>
      <c r="K126" s="87" t="n">
        <f aca="false">IFERROR(IF(ISNUMBER(INDEX(원자료_잔고!$A$1:$EZ$1500,설정!$L$5+ROW()-1,설정!$L$17)),INDEX(원자료_잔고!$A$1:$EZ$1500,설정!$L$5+ROW()-1,설정!$L$17),""),"")</f>
        <v>1</v>
      </c>
      <c r="L126" s="84" t="n">
        <f aca="false">IFERROR(IF(ISNUMBER(INDEX(원자료_잔고!$A$1:$EZ$1500,설정!$L$5+ROW()-1,설정!$L$18)),INDEX(원자료_잔고!$A$1:$EZ$1500,설정!$L$5+ROW()-1,설정!$L$18),""),"")</f>
        <v>2373285</v>
      </c>
      <c r="M126" s="88" t="n">
        <f aca="false">IFERROR(IF(ISNUMBER(INDEX(원자료_잔고!$A$1:$EZ$1500,설정!$L$5+ROW()-1,설정!$L$19)),INDEX(원자료_잔고!$A$1:$EZ$1500,설정!$L$5+ROW()-1,설정!$L$19),""),"")</f>
        <v>-53940</v>
      </c>
      <c r="N126" s="83" t="str">
        <f aca="false">IFERROR(IF(INDEX(원자료_잔고!$A$1:$EZ$1500,설정!$L$5+ROW()-1,설정!$L$21)&amp;""="0","",INDEX(원자료_잔고!$A$1:$EZ$1500,설정!$L$5+ROW()-1,설정!$L$21)&amp;""),"")</f>
        <v>BBB+</v>
      </c>
      <c r="O126" s="83" t="str">
        <f aca="false">IFERROR(IF(INDEX(원자료_잔고!$A$1:$EZ$1500,설정!$L$5+ROW()-1,설정!$L$22)&amp;""="0","",INDEX(원자료_잔고!$A$1:$EZ$1500,설정!$L$5+ROW()-1,설정!$L$22)&amp;""),"")</f>
        <v/>
      </c>
      <c r="P126" s="83" t="str">
        <f aca="false">IFERROR(IF(INDEX(원자료_잔고!$A$1:$EZ$1500,설정!$L$5+ROW()-1,설정!$L$23)&amp;""="0","",INDEX(원자료_잔고!$A$1:$EZ$1500,설정!$L$5+ROW()-1,설정!$L$23)&amp;""),"")</f>
        <v>N/A</v>
      </c>
      <c r="Q126" s="89" t="n">
        <f aca="false">IF(AND($A126&lt;&gt;"",ISNUMBER(E126)),IF(E126&gt;0,1,0),0)</f>
        <v>1</v>
      </c>
      <c r="R126" s="43" t="str">
        <f aca="false">IF(Q126=1,UPPER(LEFT($A126,FIND(" ",$A126&amp;" ")-1)),"")</f>
        <v>GSCCOR</v>
      </c>
      <c r="S126" s="89" t="n">
        <f aca="false">IF(Q126=1,IF(OR(ISNUMBER(SEARCH("Float",$A126)),ISNUMBER(SEARCH("FRN",$A126))),1,0),0)</f>
        <v>0</v>
      </c>
      <c r="T126" s="43" t="str">
        <f aca="false">IF(AND(Q126=1,ISNUMBER(I126)),TEXT(I126,"yyyymmdd")&amp;"|"&amp;IF(S126=1,"F",TEXT(J126,"0.000")),"")</f>
        <v>20301028|4.250</v>
      </c>
      <c r="U126" s="90" t="n">
        <f aca="false">IF(AND(Q126=1,ISNUMBER(I126)),(I126-설정!$C$4)/365.25,"")</f>
        <v>4.07392197125257</v>
      </c>
      <c r="V126" s="43" t="str">
        <f aca="false">IF(Q126&lt;&gt;1,"",IF(ISNUMBER(U126),IF(U126&lt;=1,"1년 이하",IF(U126&lt;=2,"1-2년",IF(U126&lt;=3,"2-3년",IF(U126&lt;=4,"3-4년",IF(U126&lt;=5,"4-5년",IF(U126&lt;=7,"5-7년",IF(U126&lt;=10,"7-10년",IF(U126&lt;=20,"10-20년","20년 이상")))))))),"미분류"))</f>
        <v>4-5년</v>
      </c>
      <c r="W126" s="43" t="str">
        <f aca="false">IF(Q126&lt;&gt;1,"",IF(AB126&lt;&gt;"",INDEX(시장분석!$C:$C,AB126),IF(K126=1,"USD","비USD")))</f>
        <v>USD</v>
      </c>
      <c r="X126" s="91" t="n">
        <f aca="false">IF(Q126=1,E126*K126/1000000,0)</f>
        <v>2.5</v>
      </c>
      <c r="Y126" s="89" t="n">
        <f aca="false">IF(R126="T",1,0)</f>
        <v>0</v>
      </c>
      <c r="Z126" s="92" t="n">
        <f aca="false">IF(Q126&lt;&gt;1,"",IF(AD126=1,IF(ISNUMBER(U126),MAX(U126,0),H126),H126))</f>
        <v>3.519</v>
      </c>
      <c r="AA126" s="91" t="n">
        <f aca="false">IF(Q126=1,IF(ISNUMBER(L126),L126,0)*K126/1000000,0)</f>
        <v>2.373285</v>
      </c>
      <c r="AB126" s="89" t="n">
        <f aca="false">IF(Q126&lt;&gt;1,"",IFERROR(MATCH(VLOOKUP(B126,매핑!$H$4:$I$15,2,0),시장분석!$A$2:$A$601,0)+1,IFERROR(MATCH(R126&amp;"|"&amp;T126,시장분석!$V$2:$V$601,0)+1,IF(COUNTIF(시장분석!$U$2:$U$601,T126)=1,MATCH(T126,시장분석!$U$2:$U$601,0)+1,""))))</f>
        <v>155</v>
      </c>
      <c r="AC126" s="89" t="n">
        <f aca="false">IF(Q126&lt;&gt;1,0,IF(OR(설정!$C$5="전체",AND(설정!$C$5="선택펀드",IFERROR(COUNTIFS(설정!$F$16:$F$36,C126,설정!$G$16:$G$36,"Y")+COUNTIFS(설정!$F$16:$F$36,VALUE(C126),설정!$G$16:$G$36,"Y"),0)&gt;0),C126&amp;""=설정!$C$5&amp;""),1,0))</f>
        <v>1</v>
      </c>
      <c r="AD126" s="89" t="n">
        <f aca="false">IF(Q126&lt;&gt;1,0,IF(OR(S126=1,IF(AB126="",FALSE(),INDEX(시장분석!$R:$R,AB126)=1)),1,0))</f>
        <v>0</v>
      </c>
      <c r="AE126" s="43" t="str">
        <f aca="false">IF(AB126="","",INDEX(시장분석!$A:$A,AB126))</f>
        <v>GSCCOR 4 1/4 10/28/30</v>
      </c>
      <c r="AF126" s="93" t="n">
        <f aca="false">IF(AB126="","",IF(ISNUMBER(IF(AB126="","",INDEX(시장분석!$E:$E,AB126))),IF(AB126="","",INDEX(시장분석!$E:$E,AB126)),""))</f>
        <v>60.728</v>
      </c>
      <c r="AG126" s="43" t="str">
        <f aca="false">IF(Q126&lt;&gt;1,"",IF(AB126&lt;&gt;"",IF(AB126="","",INDEX(시장분석!$L:$L,AB126)),IFERROR(IF(VLOOKUP(R126,매핑!$A$4:$E$92,5,0)="","미분류",VLOOKUP(R126,매핑!$A$4:$E$92,5,0)),"미분류")))</f>
        <v>에너지</v>
      </c>
      <c r="AH126" s="43" t="str">
        <f aca="false">IF(Q126&lt;&gt;1,"",IF(AB126&lt;&gt;"",IF(AB126="","",INDEX(시장분석!$N:$N,AB126)),IFERROR(IF(VLOOKUP(R126,매핑!$A$4:$E$92,4,0)="","미분류",VLOOKUP(R126,매핑!$A$4:$E$92,4,0)),"미분류")))</f>
        <v>아시아/기타</v>
      </c>
      <c r="AI126" s="43" t="str">
        <f aca="false">IF(Q126&lt;&gt;1,"",IFERROR(IF(VLOOKUP(R126,매핑!$A$4:$E$92,3,0)="","미분류",VLOOKUP(R126,매핑!$A$4:$E$92,3,0)),IF(AB126&lt;&gt;"",IF(AB126="","",INDEX(시장분석!$W:$W,AB126)),"미분류")))</f>
        <v>한국</v>
      </c>
      <c r="AJ126" s="43" t="str">
        <f aca="false">IF(Q126&lt;&gt;1,"",IFERROR(VLOOKUP(IF(N126&lt;&gt;"",N126,IF(P126&lt;&gt;"",P126,O126)),설정!$A$15:$D$47,2,0),""))</f>
        <v>BBB+</v>
      </c>
      <c r="AK126" s="43" t="str">
        <f aca="false">IF(Q126&lt;&gt;1,"",IF(AJ126="","무등급",IFERROR(VLOOKUP(AJ126,설정!$A$15:$D$47,3,0),"무등급")))</f>
        <v>BBB</v>
      </c>
      <c r="AL126" s="89" t="n">
        <f aca="false">IF(AJ126="",99,IFERROR(VLOOKUP(AJ126,설정!$A$15:$D$47,4,0),99))</f>
        <v>8</v>
      </c>
      <c r="AM126" s="94" t="n">
        <f aca="false">IF(ISNUMBER(H126),AA126*1000000*H126/10000,0)</f>
        <v>835.1589915</v>
      </c>
      <c r="AN126" s="94" t="n">
        <f aca="false">IF(OR(Y126=1,NOT(ISNUMBER(Z126))),0,AA126*1000000*Z126/10000)</f>
        <v>835.1589915</v>
      </c>
      <c r="AO126" s="94" t="n">
        <f aca="false">IF(ISNUMBER(G126),AA126*1000000*G126/100,0)</f>
        <v>134289.95844</v>
      </c>
      <c r="AP126" s="94" t="n">
        <f aca="false">IF(ISNUMBER(M126),M126*K126,0)</f>
        <v>-53940</v>
      </c>
      <c r="AQ126" s="95" t="n">
        <f aca="false">IF(AB126="","",INDEX(시장분석!$AK:$AK,AB126))</f>
        <v>0.241962987467639</v>
      </c>
      <c r="AR126" s="43" t="str">
        <f aca="false">IF(AB126="","-",IF(AB126="","",INDEX(시장분석!$AL:$AL,AB126)))</f>
        <v>Fair</v>
      </c>
      <c r="AS126" s="96" t="n">
        <f aca="false">IF(AB126="","",INDEX(시장분석!$AJ:$AJ,AB126))</f>
        <v>6.67281204793792</v>
      </c>
      <c r="AT126" s="93" t="n">
        <f aca="false">IF(AB126="",0,IF(AB126="","",INDEX(시장분석!$AN:$AN,AB126)))</f>
        <v>8.40685187594475</v>
      </c>
      <c r="AU126" s="94" t="n">
        <f aca="false">IF(ISNUMBER(Z126),AT126/10000*MAX(Z126-1,0)*AA126*1000000,0)</f>
        <v>5025.87238896375</v>
      </c>
      <c r="AV126" s="94" t="n">
        <f aca="false">AO126+AU126</f>
        <v>139315.830828964</v>
      </c>
      <c r="AW126" s="43" t="str">
        <f aca="false">IF(Q126&lt;&gt;1,"",TRIM(IF(AD126=1,"FRN ","")&amp;IF(AND(AL126&gt;=10,AL126&lt;99),"BBB0미만 ","")&amp;IF(AJ126="","등급없음 ","")&amp;IF(K126&lt;&gt;1,"비USD ","")&amp;IF(AND(AB126="",Y126=0),"시장데이터없음 ","")&amp;IF(AND(ISNUMBER(U126),U126&lt;0),"만기경과 ","")))</f>
        <v/>
      </c>
      <c r="AX126" s="90" t="n">
        <f aca="false">IF(Q126&lt;&gt;1,1,IF(스프레드쇼크!$C$4="Y",INDEX(스프레드쇼크!$B$12:$L$16,IFERROR(MATCH(AH126,스프레드쇼크!$A$12:$A$16,0),MATCH("목록외",스프레드쇼크!$A$12:$A$16,0)),IFERROR(MATCH(AG126,스프레드쇼크!$B$11:$L$11,0),MATCH("목록외",스프레드쇼크!$B$11:$L$11,0))),1))</f>
        <v>1</v>
      </c>
      <c r="AY126" s="90" t="n">
        <f aca="false">IF(스프레드쇼크!$C$5="Y",IF(ISNUMBER(AF126),MIN(스프레드쇼크!$C$7,MAX(스프레드쇼크!$C$6,AF126/스프레드쇼크!$C$8)),1),1)</f>
        <v>0.918534567725424</v>
      </c>
      <c r="AZ126" s="94" t="n">
        <f aca="false">AN126*AX126*AY126</f>
        <v>767.122403239453</v>
      </c>
      <c r="BA126" s="90" t="n">
        <f aca="false">IF(ISNUMBER(G126),AA126*G126,0)</f>
        <v>13.428995844</v>
      </c>
      <c r="BB126" s="90" t="n">
        <f aca="false">IF(ISNUMBER(G126),AA126,0)</f>
        <v>2.373285</v>
      </c>
      <c r="BC126" s="90" t="n">
        <f aca="false">IF(AND(Y126=0,ISNUMBER(AF126)),AA126*AF126,0)</f>
        <v>144.12485148</v>
      </c>
      <c r="BD126" s="90" t="n">
        <f aca="false">IF(AND(Y126=0,ISNUMBER(AF126)),AA126,0)</f>
        <v>2.373285</v>
      </c>
      <c r="BE126" s="90" t="n">
        <f aca="false">IF(ISNUMBER(H126),AA126*H126,0)</f>
        <v>8.351589915</v>
      </c>
      <c r="BF126" s="90" t="n">
        <f aca="false">IF(ISNUMBER(H126),AA126,0)</f>
        <v>2.373285</v>
      </c>
      <c r="BG126" s="90" t="n">
        <f aca="false">IF(AND(Y126=0,ISNUMBER(AF126),ISNUMBER(Z126)),AA126*Z126,0)</f>
        <v>8.351589915</v>
      </c>
      <c r="BH126" s="90" t="n">
        <f aca="false">IF(AND(Y126=0,ISNUMBER(AF126),ISNUMBER(Z126)),AA126*AT126*MAX(Z126-1,0),0)</f>
        <v>50.2587238896375</v>
      </c>
      <c r="BI126" s="90" t="n">
        <f aca="false">IF(Y126=0,AA126,0)</f>
        <v>2.373285</v>
      </c>
    </row>
    <row r="127" customFormat="false" ht="15" hidden="false" customHeight="false" outlineLevel="0" collapsed="false">
      <c r="A127" s="83" t="str">
        <f aca="false">IFERROR(IF(INDEX(원자료_잔고!$A$1:$EZ$1500,설정!$L$5+ROW()-1,설정!$L$8)&amp;""="0","",INDEX(원자료_잔고!$A$1:$EZ$1500,설정!$L$5+ROW()-1,설정!$L$8)&amp;""),"")</f>
        <v>LGENSO 5.875 04/02/35</v>
      </c>
      <c r="B127" s="83" t="str">
        <f aca="false">IFERROR(IF(INDEX(원자료_잔고!$A$1:$EZ$1500,설정!$L$5+ROW()-1,설정!$L$7)&amp;""="0","",INDEX(원자료_잔고!$A$1:$EZ$1500,설정!$L$5+ROW()-1,설정!$L$7)&amp;""),"")</f>
        <v>USY5S5CGAR36</v>
      </c>
      <c r="C127" s="83" t="str">
        <f aca="false">IFERROR(IF(INDEX(원자료_잔고!$A$1:$EZ$1500,설정!$L$5+ROW()-1,설정!$L$9)&amp;""="0","",INDEX(원자료_잔고!$A$1:$EZ$1500,설정!$L$5+ROW()-1,설정!$L$9)&amp;""),"")</f>
        <v>34507</v>
      </c>
      <c r="D12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7" s="84" t="n">
        <f aca="false">IFERROR(IF(ISNUMBER(INDEX(원자료_잔고!$A$1:$EZ$1500,설정!$L$5+ROW()-1,설정!$L$11)),INDEX(원자료_잔고!$A$1:$EZ$1500,설정!$L$5+ROW()-1,설정!$L$11),""),"")</f>
        <v>3000000</v>
      </c>
      <c r="F127" s="85" t="n">
        <f aca="false">IFERROR(IF(ISNUMBER(INDEX(원자료_잔고!$A$1:$EZ$1500,설정!$L$5+ROW()-1,설정!$L$12)),INDEX(원자료_잔고!$A$1:$EZ$1500,설정!$L$5+ROW()-1,설정!$L$12),""),"")</f>
        <v>96.2059</v>
      </c>
      <c r="G127" s="85" t="n">
        <f aca="false">IFERROR(IF(ISNUMBER(INDEX(원자료_잔고!$A$1:$EZ$1500,설정!$L$5+ROW()-1,설정!$L$13)),INDEX(원자료_잔고!$A$1:$EZ$1500,설정!$L$5+ROW()-1,설정!$L$13),""),"")</f>
        <v>6.4614</v>
      </c>
      <c r="H127" s="85" t="n">
        <f aca="false">IFERROR(IF(ISNUMBER(INDEX(원자료_잔고!$A$1:$EZ$1500,설정!$L$5+ROW()-1,설정!$L$14)),INDEX(원자료_잔고!$A$1:$EZ$1500,설정!$L$5+ROW()-1,설정!$L$14),""),"")</f>
        <v>6.1793</v>
      </c>
      <c r="I127" s="86" t="n">
        <f aca="false">IFERROR(IF(ISNUMBER(INDEX(원자료_잔고!$A$1:$EZ$1500,설정!$L$5+ROW()-1,설정!$L$15)),INDEX(원자료_잔고!$A$1:$EZ$1500,설정!$L$5+ROW()-1,설정!$L$15),""),"")</f>
        <v>49401</v>
      </c>
      <c r="J127" s="85" t="n">
        <f aca="false">IFERROR(IF(ISNUMBER(INDEX(원자료_잔고!$A$1:$EZ$1500,설정!$L$5+ROW()-1,설정!$L$16)),INDEX(원자료_잔고!$A$1:$EZ$1500,설정!$L$5+ROW()-1,설정!$L$16),""),"")</f>
        <v>5.875</v>
      </c>
      <c r="K127" s="87" t="n">
        <f aca="false">IFERROR(IF(ISNUMBER(INDEX(원자료_잔고!$A$1:$EZ$1500,설정!$L$5+ROW()-1,설정!$L$17)),INDEX(원자료_잔고!$A$1:$EZ$1500,설정!$L$5+ROW()-1,설정!$L$17),""),"")</f>
        <v>1</v>
      </c>
      <c r="L127" s="84" t="n">
        <f aca="false">IFERROR(IF(ISNUMBER(INDEX(원자료_잔고!$A$1:$EZ$1500,설정!$L$5+ROW()-1,설정!$L$18)),INDEX(원자료_잔고!$A$1:$EZ$1500,설정!$L$5+ROW()-1,설정!$L$18),""),"")</f>
        <v>2886177</v>
      </c>
      <c r="M127" s="88" t="n">
        <f aca="false">IFERROR(IF(ISNUMBER(INDEX(원자료_잔고!$A$1:$EZ$1500,설정!$L$5+ROW()-1,설정!$L$19)),INDEX(원자료_잔고!$A$1:$EZ$1500,설정!$L$5+ROW()-1,설정!$L$19),""),"")</f>
        <v>-176823</v>
      </c>
      <c r="N127" s="83" t="str">
        <f aca="false">IFERROR(IF(INDEX(원자료_잔고!$A$1:$EZ$1500,설정!$L$5+ROW()-1,설정!$L$21)&amp;""="0","",INDEX(원자료_잔고!$A$1:$EZ$1500,설정!$L$5+ROW()-1,설정!$L$21)&amp;""),"")</f>
        <v>BBB</v>
      </c>
      <c r="O127" s="83" t="str">
        <f aca="false">IFERROR(IF(INDEX(원자료_잔고!$A$1:$EZ$1500,설정!$L$5+ROW()-1,설정!$L$22)&amp;""="0","",INDEX(원자료_잔고!$A$1:$EZ$1500,설정!$L$5+ROW()-1,설정!$L$22)&amp;""),"")</f>
        <v/>
      </c>
      <c r="P127" s="83" t="str">
        <f aca="false">IFERROR(IF(INDEX(원자료_잔고!$A$1:$EZ$1500,설정!$L$5+ROW()-1,설정!$L$23)&amp;""="0","",INDEX(원자료_잔고!$A$1:$EZ$1500,설정!$L$5+ROW()-1,설정!$L$23)&amp;""),"")</f>
        <v>N/A</v>
      </c>
      <c r="Q127" s="89" t="n">
        <f aca="false">IF(AND($A127&lt;&gt;"",ISNUMBER(E127)),IF(E127&gt;0,1,0),0)</f>
        <v>1</v>
      </c>
      <c r="R127" s="43" t="str">
        <f aca="false">IF(Q127=1,UPPER(LEFT($A127,FIND(" ",$A127&amp;" ")-1)),"")</f>
        <v>LGENSO</v>
      </c>
      <c r="S127" s="89" t="n">
        <f aca="false">IF(Q127=1,IF(OR(ISNUMBER(SEARCH("Float",$A127)),ISNUMBER(SEARCH("FRN",$A127))),1,0),0)</f>
        <v>0</v>
      </c>
      <c r="T127" s="43" t="str">
        <f aca="false">IF(AND(Q127=1,ISNUMBER(I127)),TEXT(I127,"yyyymmdd")&amp;"|"&amp;IF(S127=1,"F",TEXT(J127,"0.000")),"")</f>
        <v>20350402|5.875</v>
      </c>
      <c r="U127" s="90" t="n">
        <f aca="false">IF(AND(Q127=1,ISNUMBER(I127)),(I127-설정!$C$4)/365.25,"")</f>
        <v>8.50102669404518</v>
      </c>
      <c r="V127" s="43" t="str">
        <f aca="false">IF(Q127&lt;&gt;1,"",IF(ISNUMBER(U127),IF(U127&lt;=1,"1년 이하",IF(U127&lt;=2,"1-2년",IF(U127&lt;=3,"2-3년",IF(U127&lt;=4,"3-4년",IF(U127&lt;=5,"4-5년",IF(U127&lt;=7,"5-7년",IF(U127&lt;=10,"7-10년",IF(U127&lt;=20,"10-20년","20년 이상")))))))),"미분류"))</f>
        <v>7-10년</v>
      </c>
      <c r="W127" s="43" t="str">
        <f aca="false">IF(Q127&lt;&gt;1,"",IF(AB127&lt;&gt;"",INDEX(시장분석!$C:$C,AB127),IF(K127=1,"USD","비USD")))</f>
        <v>USD</v>
      </c>
      <c r="X127" s="91" t="n">
        <f aca="false">IF(Q127=1,E127*K127/1000000,0)</f>
        <v>3</v>
      </c>
      <c r="Y127" s="89" t="n">
        <f aca="false">IF(R127="T",1,0)</f>
        <v>0</v>
      </c>
      <c r="Z127" s="92" t="n">
        <f aca="false">IF(Q127&lt;&gt;1,"",IF(AD127=1,IF(ISNUMBER(U127),MAX(U127,0),H127),H127))</f>
        <v>6.1793</v>
      </c>
      <c r="AA127" s="91" t="n">
        <f aca="false">IF(Q127=1,IF(ISNUMBER(L127),L127,0)*K127/1000000,0)</f>
        <v>2.886177</v>
      </c>
      <c r="AB127" s="89" t="n">
        <f aca="false">IF(Q127&lt;&gt;1,"",IFERROR(MATCH(VLOOKUP(B127,매핑!$H$4:$I$15,2,0),시장분석!$A$2:$A$601,0)+1,IFERROR(MATCH(R127&amp;"|"&amp;T127,시장분석!$V$2:$V$601,0)+1,IF(COUNTIF(시장분석!$U$2:$U$601,T127)=1,MATCH(T127,시장분석!$U$2:$U$601,0)+1,""))))</f>
        <v>182</v>
      </c>
      <c r="AC127" s="89" t="n">
        <f aca="false">IF(Q127&lt;&gt;1,0,IF(OR(설정!$C$5="전체",AND(설정!$C$5="선택펀드",IFERROR(COUNTIFS(설정!$F$16:$F$36,C127,설정!$G$16:$G$36,"Y")+COUNTIFS(설정!$F$16:$F$36,VALUE(C127),설정!$G$16:$G$36,"Y"),0)&gt;0),C127&amp;""=설정!$C$5&amp;""),1,0))</f>
        <v>1</v>
      </c>
      <c r="AD127" s="89" t="n">
        <f aca="false">IF(Q127&lt;&gt;1,0,IF(OR(S127=1,IF(AB127="",FALSE(),INDEX(시장분석!$R:$R,AB127)=1)),1,0))</f>
        <v>0</v>
      </c>
      <c r="AE127" s="43" t="str">
        <f aca="false">IF(AB127="","",INDEX(시장분석!$A:$A,AB127))</f>
        <v>LGENSO 5 7/8 04/02/35</v>
      </c>
      <c r="AF127" s="93" t="n">
        <f aca="false">IF(AB127="","",IF(ISNUMBER(IF(AB127="","",INDEX(시장분석!$E:$E,AB127))),IF(AB127="","",INDEX(시장분석!$E:$E,AB127)),""))</f>
        <v>123.715</v>
      </c>
      <c r="AG127" s="43" t="str">
        <f aca="false">IF(Q127&lt;&gt;1,"",IF(AB127&lt;&gt;"",IF(AB127="","",INDEX(시장분석!$L:$L,AB127)),IFERROR(IF(VLOOKUP(R127,매핑!$A$4:$E$92,5,0)="","미분류",VLOOKUP(R127,매핑!$A$4:$E$92,5,0)),"미분류")))</f>
        <v>자유 소비재</v>
      </c>
      <c r="AH127" s="43" t="str">
        <f aca="false">IF(Q127&lt;&gt;1,"",IF(AB127&lt;&gt;"",IF(AB127="","",INDEX(시장분석!$N:$N,AB127)),IFERROR(IF(VLOOKUP(R127,매핑!$A$4:$E$92,4,0)="","미분류",VLOOKUP(R127,매핑!$A$4:$E$92,4,0)),"미분류")))</f>
        <v>아시아/기타</v>
      </c>
      <c r="AI127" s="43" t="str">
        <f aca="false">IF(Q127&lt;&gt;1,"",IFERROR(IF(VLOOKUP(R127,매핑!$A$4:$E$92,3,0)="","미분류",VLOOKUP(R127,매핑!$A$4:$E$92,3,0)),IF(AB127&lt;&gt;"",IF(AB127="","",INDEX(시장분석!$W:$W,AB127)),"미분류")))</f>
        <v>한국</v>
      </c>
      <c r="AJ127" s="43" t="str">
        <f aca="false">IF(Q127&lt;&gt;1,"",IFERROR(VLOOKUP(IF(N127&lt;&gt;"",N127,IF(P127&lt;&gt;"",P127,O127)),설정!$A$15:$D$47,2,0),""))</f>
        <v>BBB</v>
      </c>
      <c r="AK127" s="43" t="str">
        <f aca="false">IF(Q127&lt;&gt;1,"",IF(AJ127="","무등급",IFERROR(VLOOKUP(AJ127,설정!$A$15:$D$47,3,0),"무등급")))</f>
        <v>BBB</v>
      </c>
      <c r="AL127" s="89" t="n">
        <f aca="false">IF(AJ127="",99,IFERROR(VLOOKUP(AJ127,설정!$A$15:$D$47,4,0),99))</f>
        <v>9</v>
      </c>
      <c r="AM127" s="94" t="n">
        <f aca="false">IF(ISNUMBER(H127),AA127*1000000*H127/10000,0)</f>
        <v>1783.45535361</v>
      </c>
      <c r="AN127" s="94" t="n">
        <f aca="false">IF(OR(Y127=1,NOT(ISNUMBER(Z127))),0,AA127*1000000*Z127/10000)</f>
        <v>1783.45535361</v>
      </c>
      <c r="AO127" s="94" t="n">
        <f aca="false">IF(ISNUMBER(G127),AA127*1000000*G127/100,0)</f>
        <v>186487.440678</v>
      </c>
      <c r="AP127" s="94" t="n">
        <f aca="false">IF(ISNUMBER(M127),M127*K127,0)</f>
        <v>-176823</v>
      </c>
      <c r="AQ127" s="95" t="n">
        <f aca="false">IF(AB127="","",INDEX(시장분석!$AK:$AK,AB127))</f>
        <v>0.582049706944912</v>
      </c>
      <c r="AR127" s="43" t="str">
        <f aca="false">IF(AB127="","-",IF(AB127="","",INDEX(시장분석!$AL:$AL,AB127)))</f>
        <v>Fair</v>
      </c>
      <c r="AS127" s="96" t="n">
        <f aca="false">IF(AB127="","",INDEX(시장분석!$AJ:$AJ,AB127))</f>
        <v>12.0571253108403</v>
      </c>
      <c r="AT127" s="93" t="n">
        <f aca="false">IF(AB127="",0,IF(AB127="","",INDEX(시장분석!$AN:$AN,AB127)))</f>
        <v>6.41212097283842</v>
      </c>
      <c r="AU127" s="94" t="n">
        <f aca="false">IF(ISNUMBER(Z127),AT127/10000*MAX(Z127-1,0)*AA127*1000000,0)</f>
        <v>9585.07986970126</v>
      </c>
      <c r="AV127" s="94" t="n">
        <f aca="false">AO127+AU127</f>
        <v>196072.520547701</v>
      </c>
      <c r="AW127" s="43" t="str">
        <f aca="false">IF(Q127&lt;&gt;1,"",TRIM(IF(AD127=1,"FRN ","")&amp;IF(AND(AL127&gt;=10,AL127&lt;99),"BBB0미만 ","")&amp;IF(AJ127="","등급없음 ","")&amp;IF(K127&lt;&gt;1,"비USD ","")&amp;IF(AND(AB127="",Y127=0),"시장데이터없음 ","")&amp;IF(AND(ISNUMBER(U127),U127&lt;0),"만기경과 ","")))</f>
        <v/>
      </c>
      <c r="AX127" s="90" t="n">
        <f aca="false">IF(Q127&lt;&gt;1,1,IF(스프레드쇼크!$C$4="Y",INDEX(스프레드쇼크!$B$12:$L$16,IFERROR(MATCH(AH127,스프레드쇼크!$A$12:$A$16,0),MATCH("목록외",스프레드쇼크!$A$12:$A$16,0)),IFERROR(MATCH(AG127,스프레드쇼크!$B$11:$L$11,0),MATCH("목록외",스프레드쇼크!$B$11:$L$11,0))),1))</f>
        <v>1</v>
      </c>
      <c r="AY127" s="90" t="n">
        <f aca="false">IF(스프레드쇼크!$C$5="Y",IF(ISNUMBER(AF127),MIN(스프레드쇼크!$C$7,MAX(스프레드쇼크!$C$6,AF127/스프레드쇼크!$C$8)),1),1)</f>
        <v>1.87123738713857</v>
      </c>
      <c r="AZ127" s="94" t="n">
        <f aca="false">AN127*AX127*AY127</f>
        <v>3337.26833596746</v>
      </c>
      <c r="BA127" s="90" t="n">
        <f aca="false">IF(ISNUMBER(G127),AA127*G127,0)</f>
        <v>18.6487440678</v>
      </c>
      <c r="BB127" s="90" t="n">
        <f aca="false">IF(ISNUMBER(G127),AA127,0)</f>
        <v>2.886177</v>
      </c>
      <c r="BC127" s="90" t="n">
        <f aca="false">IF(AND(Y127=0,ISNUMBER(AF127)),AA127*AF127,0)</f>
        <v>357.063387555</v>
      </c>
      <c r="BD127" s="90" t="n">
        <f aca="false">IF(AND(Y127=0,ISNUMBER(AF127)),AA127,0)</f>
        <v>2.886177</v>
      </c>
      <c r="BE127" s="90" t="n">
        <f aca="false">IF(ISNUMBER(H127),AA127*H127,0)</f>
        <v>17.8345535361</v>
      </c>
      <c r="BF127" s="90" t="n">
        <f aca="false">IF(ISNUMBER(H127),AA127,0)</f>
        <v>2.886177</v>
      </c>
      <c r="BG127" s="90" t="n">
        <f aca="false">IF(AND(Y127=0,ISNUMBER(AF127),ISNUMBER(Z127)),AA127*Z127,0)</f>
        <v>17.8345535361</v>
      </c>
      <c r="BH127" s="90" t="n">
        <f aca="false">IF(AND(Y127=0,ISNUMBER(AF127),ISNUMBER(Z127)),AA127*AT127*MAX(Z127-1,0),0)</f>
        <v>95.8507986970126</v>
      </c>
      <c r="BI127" s="90" t="n">
        <f aca="false">IF(Y127=0,AA127,0)</f>
        <v>2.886177</v>
      </c>
    </row>
    <row r="128" customFormat="false" ht="15" hidden="false" customHeight="false" outlineLevel="0" collapsed="false">
      <c r="A128" s="83" t="str">
        <f aca="false">IFERROR(IF(INDEX(원자료_잔고!$A$1:$EZ$1500,설정!$L$5+ROW()-1,설정!$L$8)&amp;""="0","",INDEX(원자료_잔고!$A$1:$EZ$1500,설정!$L$5+ROW()-1,설정!$L$8)&amp;""),"")</f>
        <v>LGENSO 5.875 04/02/35</v>
      </c>
      <c r="B128" s="83" t="str">
        <f aca="false">IFERROR(IF(INDEX(원자료_잔고!$A$1:$EZ$1500,설정!$L$5+ROW()-1,설정!$L$7)&amp;""="0","",INDEX(원자료_잔고!$A$1:$EZ$1500,설정!$L$5+ROW()-1,설정!$L$7)&amp;""),"")</f>
        <v>USY5S5CGAR36</v>
      </c>
      <c r="C128" s="83" t="str">
        <f aca="false">IFERROR(IF(INDEX(원자료_잔고!$A$1:$EZ$1500,설정!$L$5+ROW()-1,설정!$L$9)&amp;""="0","",INDEX(원자료_잔고!$A$1:$EZ$1500,설정!$L$5+ROW()-1,설정!$L$9)&amp;""),"")</f>
        <v>34507</v>
      </c>
      <c r="D12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8" s="84" t="n">
        <f aca="false">IFERROR(IF(ISNUMBER(INDEX(원자료_잔고!$A$1:$EZ$1500,설정!$L$5+ROW()-1,설정!$L$11)),INDEX(원자료_잔고!$A$1:$EZ$1500,설정!$L$5+ROW()-1,설정!$L$11),""),"")</f>
        <v>1000000</v>
      </c>
      <c r="F128" s="85" t="n">
        <f aca="false">IFERROR(IF(ISNUMBER(INDEX(원자료_잔고!$A$1:$EZ$1500,설정!$L$5+ROW()-1,설정!$L$12)),INDEX(원자료_잔고!$A$1:$EZ$1500,설정!$L$5+ROW()-1,설정!$L$12),""),"")</f>
        <v>96.2059</v>
      </c>
      <c r="G128" s="85" t="n">
        <f aca="false">IFERROR(IF(ISNUMBER(INDEX(원자료_잔고!$A$1:$EZ$1500,설정!$L$5+ROW()-1,설정!$L$13)),INDEX(원자료_잔고!$A$1:$EZ$1500,설정!$L$5+ROW()-1,설정!$L$13),""),"")</f>
        <v>6.4614</v>
      </c>
      <c r="H128" s="85" t="n">
        <f aca="false">IFERROR(IF(ISNUMBER(INDEX(원자료_잔고!$A$1:$EZ$1500,설정!$L$5+ROW()-1,설정!$L$14)),INDEX(원자료_잔고!$A$1:$EZ$1500,설정!$L$5+ROW()-1,설정!$L$14),""),"")</f>
        <v>6.1793</v>
      </c>
      <c r="I128" s="86" t="n">
        <f aca="false">IFERROR(IF(ISNUMBER(INDEX(원자료_잔고!$A$1:$EZ$1500,설정!$L$5+ROW()-1,설정!$L$15)),INDEX(원자료_잔고!$A$1:$EZ$1500,설정!$L$5+ROW()-1,설정!$L$15),""),"")</f>
        <v>49401</v>
      </c>
      <c r="J128" s="85" t="n">
        <f aca="false">IFERROR(IF(ISNUMBER(INDEX(원자료_잔고!$A$1:$EZ$1500,설정!$L$5+ROW()-1,설정!$L$16)),INDEX(원자료_잔고!$A$1:$EZ$1500,설정!$L$5+ROW()-1,설정!$L$16),""),"")</f>
        <v>5.875</v>
      </c>
      <c r="K128" s="87" t="n">
        <f aca="false">IFERROR(IF(ISNUMBER(INDEX(원자료_잔고!$A$1:$EZ$1500,설정!$L$5+ROW()-1,설정!$L$17)),INDEX(원자료_잔고!$A$1:$EZ$1500,설정!$L$5+ROW()-1,설정!$L$17),""),"")</f>
        <v>1</v>
      </c>
      <c r="L128" s="84" t="n">
        <f aca="false">IFERROR(IF(ISNUMBER(INDEX(원자료_잔고!$A$1:$EZ$1500,설정!$L$5+ROW()-1,설정!$L$18)),INDEX(원자료_잔고!$A$1:$EZ$1500,설정!$L$5+ROW()-1,설정!$L$18),""),"")</f>
        <v>962059</v>
      </c>
      <c r="M128" s="88" t="n">
        <f aca="false">IFERROR(IF(ISNUMBER(INDEX(원자료_잔고!$A$1:$EZ$1500,설정!$L$5+ROW()-1,설정!$L$19)),INDEX(원자료_잔고!$A$1:$EZ$1500,설정!$L$5+ROW()-1,설정!$L$19),""),"")</f>
        <v>-58581</v>
      </c>
      <c r="N128" s="83" t="str">
        <f aca="false">IFERROR(IF(INDEX(원자료_잔고!$A$1:$EZ$1500,설정!$L$5+ROW()-1,설정!$L$21)&amp;""="0","",INDEX(원자료_잔고!$A$1:$EZ$1500,설정!$L$5+ROW()-1,설정!$L$21)&amp;""),"")</f>
        <v>BBB</v>
      </c>
      <c r="O128" s="83" t="str">
        <f aca="false">IFERROR(IF(INDEX(원자료_잔고!$A$1:$EZ$1500,설정!$L$5+ROW()-1,설정!$L$22)&amp;""="0","",INDEX(원자료_잔고!$A$1:$EZ$1500,설정!$L$5+ROW()-1,설정!$L$22)&amp;""),"")</f>
        <v/>
      </c>
      <c r="P128" s="83" t="str">
        <f aca="false">IFERROR(IF(INDEX(원자료_잔고!$A$1:$EZ$1500,설정!$L$5+ROW()-1,설정!$L$23)&amp;""="0","",INDEX(원자료_잔고!$A$1:$EZ$1500,설정!$L$5+ROW()-1,설정!$L$23)&amp;""),"")</f>
        <v>N/A</v>
      </c>
      <c r="Q128" s="89" t="n">
        <f aca="false">IF(AND($A128&lt;&gt;"",ISNUMBER(E128)),IF(E128&gt;0,1,0),0)</f>
        <v>1</v>
      </c>
      <c r="R128" s="43" t="str">
        <f aca="false">IF(Q128=1,UPPER(LEFT($A128,FIND(" ",$A128&amp;" ")-1)),"")</f>
        <v>LGENSO</v>
      </c>
      <c r="S128" s="89" t="n">
        <f aca="false">IF(Q128=1,IF(OR(ISNUMBER(SEARCH("Float",$A128)),ISNUMBER(SEARCH("FRN",$A128))),1,0),0)</f>
        <v>0</v>
      </c>
      <c r="T128" s="43" t="str">
        <f aca="false">IF(AND(Q128=1,ISNUMBER(I128)),TEXT(I128,"yyyymmdd")&amp;"|"&amp;IF(S128=1,"F",TEXT(J128,"0.000")),"")</f>
        <v>20350402|5.875</v>
      </c>
      <c r="U128" s="90" t="n">
        <f aca="false">IF(AND(Q128=1,ISNUMBER(I128)),(I128-설정!$C$4)/365.25,"")</f>
        <v>8.50102669404518</v>
      </c>
      <c r="V128" s="43" t="str">
        <f aca="false">IF(Q128&lt;&gt;1,"",IF(ISNUMBER(U128),IF(U128&lt;=1,"1년 이하",IF(U128&lt;=2,"1-2년",IF(U128&lt;=3,"2-3년",IF(U128&lt;=4,"3-4년",IF(U128&lt;=5,"4-5년",IF(U128&lt;=7,"5-7년",IF(U128&lt;=10,"7-10년",IF(U128&lt;=20,"10-20년","20년 이상")))))))),"미분류"))</f>
        <v>7-10년</v>
      </c>
      <c r="W128" s="43" t="str">
        <f aca="false">IF(Q128&lt;&gt;1,"",IF(AB128&lt;&gt;"",INDEX(시장분석!$C:$C,AB128),IF(K128=1,"USD","비USD")))</f>
        <v>USD</v>
      </c>
      <c r="X128" s="91" t="n">
        <f aca="false">IF(Q128=1,E128*K128/1000000,0)</f>
        <v>1</v>
      </c>
      <c r="Y128" s="89" t="n">
        <f aca="false">IF(R128="T",1,0)</f>
        <v>0</v>
      </c>
      <c r="Z128" s="92" t="n">
        <f aca="false">IF(Q128&lt;&gt;1,"",IF(AD128=1,IF(ISNUMBER(U128),MAX(U128,0),H128),H128))</f>
        <v>6.1793</v>
      </c>
      <c r="AA128" s="91" t="n">
        <f aca="false">IF(Q128=1,IF(ISNUMBER(L128),L128,0)*K128/1000000,0)</f>
        <v>0.962059</v>
      </c>
      <c r="AB128" s="89" t="n">
        <f aca="false">IF(Q128&lt;&gt;1,"",IFERROR(MATCH(VLOOKUP(B128,매핑!$H$4:$I$15,2,0),시장분석!$A$2:$A$601,0)+1,IFERROR(MATCH(R128&amp;"|"&amp;T128,시장분석!$V$2:$V$601,0)+1,IF(COUNTIF(시장분석!$U$2:$U$601,T128)=1,MATCH(T128,시장분석!$U$2:$U$601,0)+1,""))))</f>
        <v>182</v>
      </c>
      <c r="AC128" s="89" t="n">
        <f aca="false">IF(Q128&lt;&gt;1,0,IF(OR(설정!$C$5="전체",AND(설정!$C$5="선택펀드",IFERROR(COUNTIFS(설정!$F$16:$F$36,C128,설정!$G$16:$G$36,"Y")+COUNTIFS(설정!$F$16:$F$36,VALUE(C128),설정!$G$16:$G$36,"Y"),0)&gt;0),C128&amp;""=설정!$C$5&amp;""),1,0))</f>
        <v>1</v>
      </c>
      <c r="AD128" s="89" t="n">
        <f aca="false">IF(Q128&lt;&gt;1,0,IF(OR(S128=1,IF(AB128="",FALSE(),INDEX(시장분석!$R:$R,AB128)=1)),1,0))</f>
        <v>0</v>
      </c>
      <c r="AE128" s="43" t="str">
        <f aca="false">IF(AB128="","",INDEX(시장분석!$A:$A,AB128))</f>
        <v>LGENSO 5 7/8 04/02/35</v>
      </c>
      <c r="AF128" s="93" t="n">
        <f aca="false">IF(AB128="","",IF(ISNUMBER(IF(AB128="","",INDEX(시장분석!$E:$E,AB128))),IF(AB128="","",INDEX(시장분석!$E:$E,AB128)),""))</f>
        <v>123.715</v>
      </c>
      <c r="AG128" s="43" t="str">
        <f aca="false">IF(Q128&lt;&gt;1,"",IF(AB128&lt;&gt;"",IF(AB128="","",INDEX(시장분석!$L:$L,AB128)),IFERROR(IF(VLOOKUP(R128,매핑!$A$4:$E$92,5,0)="","미분류",VLOOKUP(R128,매핑!$A$4:$E$92,5,0)),"미분류")))</f>
        <v>자유 소비재</v>
      </c>
      <c r="AH128" s="43" t="str">
        <f aca="false">IF(Q128&lt;&gt;1,"",IF(AB128&lt;&gt;"",IF(AB128="","",INDEX(시장분석!$N:$N,AB128)),IFERROR(IF(VLOOKUP(R128,매핑!$A$4:$E$92,4,0)="","미분류",VLOOKUP(R128,매핑!$A$4:$E$92,4,0)),"미분류")))</f>
        <v>아시아/기타</v>
      </c>
      <c r="AI128" s="43" t="str">
        <f aca="false">IF(Q128&lt;&gt;1,"",IFERROR(IF(VLOOKUP(R128,매핑!$A$4:$E$92,3,0)="","미분류",VLOOKUP(R128,매핑!$A$4:$E$92,3,0)),IF(AB128&lt;&gt;"",IF(AB128="","",INDEX(시장분석!$W:$W,AB128)),"미분류")))</f>
        <v>한국</v>
      </c>
      <c r="AJ128" s="43" t="str">
        <f aca="false">IF(Q128&lt;&gt;1,"",IFERROR(VLOOKUP(IF(N128&lt;&gt;"",N128,IF(P128&lt;&gt;"",P128,O128)),설정!$A$15:$D$47,2,0),""))</f>
        <v>BBB</v>
      </c>
      <c r="AK128" s="43" t="str">
        <f aca="false">IF(Q128&lt;&gt;1,"",IF(AJ128="","무등급",IFERROR(VLOOKUP(AJ128,설정!$A$15:$D$47,3,0),"무등급")))</f>
        <v>BBB</v>
      </c>
      <c r="AL128" s="89" t="n">
        <f aca="false">IF(AJ128="",99,IFERROR(VLOOKUP(AJ128,설정!$A$15:$D$47,4,0),99))</f>
        <v>9</v>
      </c>
      <c r="AM128" s="94" t="n">
        <f aca="false">IF(ISNUMBER(H128),AA128*1000000*H128/10000,0)</f>
        <v>594.48511787</v>
      </c>
      <c r="AN128" s="94" t="n">
        <f aca="false">IF(OR(Y128=1,NOT(ISNUMBER(Z128))),0,AA128*1000000*Z128/10000)</f>
        <v>594.48511787</v>
      </c>
      <c r="AO128" s="94" t="n">
        <f aca="false">IF(ISNUMBER(G128),AA128*1000000*G128/100,0)</f>
        <v>62162.480226</v>
      </c>
      <c r="AP128" s="94" t="n">
        <f aca="false">IF(ISNUMBER(M128),M128*K128,0)</f>
        <v>-58581</v>
      </c>
      <c r="AQ128" s="95" t="n">
        <f aca="false">IF(AB128="","",INDEX(시장분석!$AK:$AK,AB128))</f>
        <v>0.582049706944912</v>
      </c>
      <c r="AR128" s="43" t="str">
        <f aca="false">IF(AB128="","-",IF(AB128="","",INDEX(시장분석!$AL:$AL,AB128)))</f>
        <v>Fair</v>
      </c>
      <c r="AS128" s="96" t="n">
        <f aca="false">IF(AB128="","",INDEX(시장분석!$AJ:$AJ,AB128))</f>
        <v>12.0571253108403</v>
      </c>
      <c r="AT128" s="93" t="n">
        <f aca="false">IF(AB128="",0,IF(AB128="","",INDEX(시장분석!$AN:$AN,AB128)))</f>
        <v>6.41212097283842</v>
      </c>
      <c r="AU128" s="94" t="n">
        <f aca="false">IF(ISNUMBER(Z128),AT128/10000*MAX(Z128-1,0)*AA128*1000000,0)</f>
        <v>3195.02662323375</v>
      </c>
      <c r="AV128" s="94" t="n">
        <f aca="false">AO128+AU128</f>
        <v>65357.5068492338</v>
      </c>
      <c r="AW128" s="43" t="str">
        <f aca="false">IF(Q128&lt;&gt;1,"",TRIM(IF(AD128=1,"FRN ","")&amp;IF(AND(AL128&gt;=10,AL128&lt;99),"BBB0미만 ","")&amp;IF(AJ128="","등급없음 ","")&amp;IF(K128&lt;&gt;1,"비USD ","")&amp;IF(AND(AB128="",Y128=0),"시장데이터없음 ","")&amp;IF(AND(ISNUMBER(U128),U128&lt;0),"만기경과 ","")))</f>
        <v/>
      </c>
      <c r="AX128" s="90" t="n">
        <f aca="false">IF(Q128&lt;&gt;1,1,IF(스프레드쇼크!$C$4="Y",INDEX(스프레드쇼크!$B$12:$L$16,IFERROR(MATCH(AH128,스프레드쇼크!$A$12:$A$16,0),MATCH("목록외",스프레드쇼크!$A$12:$A$16,0)),IFERROR(MATCH(AG128,스프레드쇼크!$B$11:$L$11,0),MATCH("목록외",스프레드쇼크!$B$11:$L$11,0))),1))</f>
        <v>1</v>
      </c>
      <c r="AY128" s="90" t="n">
        <f aca="false">IF(스프레드쇼크!$C$5="Y",IF(ISNUMBER(AF128),MIN(스프레드쇼크!$C$7,MAX(스프레드쇼크!$C$6,AF128/스프레드쇼크!$C$8)),1),1)</f>
        <v>1.87123738713857</v>
      </c>
      <c r="AZ128" s="94" t="n">
        <f aca="false">AN128*AX128*AY128</f>
        <v>1112.42277865582</v>
      </c>
      <c r="BA128" s="90" t="n">
        <f aca="false">IF(ISNUMBER(G128),AA128*G128,0)</f>
        <v>6.2162480226</v>
      </c>
      <c r="BB128" s="90" t="n">
        <f aca="false">IF(ISNUMBER(G128),AA128,0)</f>
        <v>0.962059</v>
      </c>
      <c r="BC128" s="90" t="n">
        <f aca="false">IF(AND(Y128=0,ISNUMBER(AF128)),AA128*AF128,0)</f>
        <v>119.021129185</v>
      </c>
      <c r="BD128" s="90" t="n">
        <f aca="false">IF(AND(Y128=0,ISNUMBER(AF128)),AA128,0)</f>
        <v>0.962059</v>
      </c>
      <c r="BE128" s="90" t="n">
        <f aca="false">IF(ISNUMBER(H128),AA128*H128,0)</f>
        <v>5.9448511787</v>
      </c>
      <c r="BF128" s="90" t="n">
        <f aca="false">IF(ISNUMBER(H128),AA128,0)</f>
        <v>0.962059</v>
      </c>
      <c r="BG128" s="90" t="n">
        <f aca="false">IF(AND(Y128=0,ISNUMBER(AF128),ISNUMBER(Z128)),AA128*Z128,0)</f>
        <v>5.9448511787</v>
      </c>
      <c r="BH128" s="90" t="n">
        <f aca="false">IF(AND(Y128=0,ISNUMBER(AF128),ISNUMBER(Z128)),AA128*AT128*MAX(Z128-1,0),0)</f>
        <v>31.9502662323375</v>
      </c>
      <c r="BI128" s="90" t="n">
        <f aca="false">IF(Y128=0,AA128,0)</f>
        <v>0.962059</v>
      </c>
    </row>
    <row r="129" customFormat="false" ht="15" hidden="false" customHeight="false" outlineLevel="0" collapsed="false">
      <c r="A129" s="83" t="str">
        <f aca="false">IFERROR(IF(INDEX(원자료_잔고!$A$1:$EZ$1500,설정!$L$5+ROW()-1,설정!$L$8)&amp;""="0","",INDEX(원자료_잔고!$A$1:$EZ$1500,설정!$L$5+ROW()-1,설정!$L$8)&amp;""),"")</f>
        <v>LGENSO 5.875 04/02/36</v>
      </c>
      <c r="B129" s="83" t="str">
        <f aca="false">IFERROR(IF(INDEX(원자료_잔고!$A$1:$EZ$1500,설정!$L$5+ROW()-1,설정!$L$7)&amp;""="0","",INDEX(원자료_잔고!$A$1:$EZ$1500,설정!$L$5+ROW()-1,설정!$L$7)&amp;""),"")</f>
        <v>USY5S5CGAV48</v>
      </c>
      <c r="C129" s="83" t="str">
        <f aca="false">IFERROR(IF(INDEX(원자료_잔고!$A$1:$EZ$1500,설정!$L$5+ROW()-1,설정!$L$9)&amp;""="0","",INDEX(원자료_잔고!$A$1:$EZ$1500,설정!$L$5+ROW()-1,설정!$L$9)&amp;""),"")</f>
        <v>34507</v>
      </c>
      <c r="D12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29" s="84" t="n">
        <f aca="false">IFERROR(IF(ISNUMBER(INDEX(원자료_잔고!$A$1:$EZ$1500,설정!$L$5+ROW()-1,설정!$L$11)),INDEX(원자료_잔고!$A$1:$EZ$1500,설정!$L$5+ROW()-1,설정!$L$11),""),"")</f>
        <v>5000000</v>
      </c>
      <c r="F129" s="85" t="n">
        <f aca="false">IFERROR(IF(ISNUMBER(INDEX(원자료_잔고!$A$1:$EZ$1500,설정!$L$5+ROW()-1,설정!$L$12)),INDEX(원자료_잔고!$A$1:$EZ$1500,설정!$L$5+ROW()-1,설정!$L$12),""),"")</f>
        <v>95.2528</v>
      </c>
      <c r="G129" s="85" t="n">
        <f aca="false">IFERROR(IF(ISNUMBER(INDEX(원자료_잔고!$A$1:$EZ$1500,설정!$L$5+ROW()-1,설정!$L$13)),INDEX(원자료_잔고!$A$1:$EZ$1500,설정!$L$5+ROW()-1,설정!$L$13),""),"")</f>
        <v>6.5537</v>
      </c>
      <c r="H129" s="85" t="n">
        <f aca="false">IFERROR(IF(ISNUMBER(INDEX(원자료_잔고!$A$1:$EZ$1500,설정!$L$5+ROW()-1,설정!$L$14)),INDEX(원자료_잔고!$A$1:$EZ$1500,설정!$L$5+ROW()-1,설정!$L$14),""),"")</f>
        <v>6.702</v>
      </c>
      <c r="I129" s="86" t="n">
        <f aca="false">IFERROR(IF(ISNUMBER(INDEX(원자료_잔고!$A$1:$EZ$1500,설정!$L$5+ROW()-1,설정!$L$15)),INDEX(원자료_잔고!$A$1:$EZ$1500,설정!$L$5+ROW()-1,설정!$L$15),""),"")</f>
        <v>49767</v>
      </c>
      <c r="J129" s="85" t="n">
        <f aca="false">IFERROR(IF(ISNUMBER(INDEX(원자료_잔고!$A$1:$EZ$1500,설정!$L$5+ROW()-1,설정!$L$16)),INDEX(원자료_잔고!$A$1:$EZ$1500,설정!$L$5+ROW()-1,설정!$L$16),""),"")</f>
        <v>5.875</v>
      </c>
      <c r="K129" s="87" t="n">
        <f aca="false">IFERROR(IF(ISNUMBER(INDEX(원자료_잔고!$A$1:$EZ$1500,설정!$L$5+ROW()-1,설정!$L$17)),INDEX(원자료_잔고!$A$1:$EZ$1500,설정!$L$5+ROW()-1,설정!$L$17),""),"")</f>
        <v>1</v>
      </c>
      <c r="L129" s="84" t="n">
        <f aca="false">IFERROR(IF(ISNUMBER(INDEX(원자료_잔고!$A$1:$EZ$1500,설정!$L$5+ROW()-1,설정!$L$18)),INDEX(원자료_잔고!$A$1:$EZ$1500,설정!$L$5+ROW()-1,설정!$L$18),""),"")</f>
        <v>4762640</v>
      </c>
      <c r="M129" s="88" t="n">
        <f aca="false">IFERROR(IF(ISNUMBER(INDEX(원자료_잔고!$A$1:$EZ$1500,설정!$L$5+ROW()-1,설정!$L$19)),INDEX(원자료_잔고!$A$1:$EZ$1500,설정!$L$5+ROW()-1,설정!$L$19),""),"")</f>
        <v>-217060</v>
      </c>
      <c r="N129" s="83" t="str">
        <f aca="false">IFERROR(IF(INDEX(원자료_잔고!$A$1:$EZ$1500,설정!$L$5+ROW()-1,설정!$L$21)&amp;""="0","",INDEX(원자료_잔고!$A$1:$EZ$1500,설정!$L$5+ROW()-1,설정!$L$21)&amp;""),"")</f>
        <v>BBB</v>
      </c>
      <c r="O129" s="83" t="str">
        <f aca="false">IFERROR(IF(INDEX(원자료_잔고!$A$1:$EZ$1500,설정!$L$5+ROW()-1,설정!$L$22)&amp;""="0","",INDEX(원자료_잔고!$A$1:$EZ$1500,설정!$L$5+ROW()-1,설정!$L$22)&amp;""),"")</f>
        <v/>
      </c>
      <c r="P129" s="83" t="str">
        <f aca="false">IFERROR(IF(INDEX(원자료_잔고!$A$1:$EZ$1500,설정!$L$5+ROW()-1,설정!$L$23)&amp;""="0","",INDEX(원자료_잔고!$A$1:$EZ$1500,설정!$L$5+ROW()-1,설정!$L$23)&amp;""),"")</f>
        <v>N/A</v>
      </c>
      <c r="Q129" s="89" t="n">
        <f aca="false">IF(AND($A129&lt;&gt;"",ISNUMBER(E129)),IF(E129&gt;0,1,0),0)</f>
        <v>1</v>
      </c>
      <c r="R129" s="43" t="str">
        <f aca="false">IF(Q129=1,UPPER(LEFT($A129,FIND(" ",$A129&amp;" ")-1)),"")</f>
        <v>LGENSO</v>
      </c>
      <c r="S129" s="89" t="n">
        <f aca="false">IF(Q129=1,IF(OR(ISNUMBER(SEARCH("Float",$A129)),ISNUMBER(SEARCH("FRN",$A129))),1,0),0)</f>
        <v>0</v>
      </c>
      <c r="T129" s="43" t="str">
        <f aca="false">IF(AND(Q129=1,ISNUMBER(I129)),TEXT(I129,"yyyymmdd")&amp;"|"&amp;IF(S129=1,"F",TEXT(J129,"0.000")),"")</f>
        <v>20360402|5.875</v>
      </c>
      <c r="U129" s="90" t="n">
        <f aca="false">IF(AND(Q129=1,ISNUMBER(I129)),(I129-설정!$C$4)/365.25,"")</f>
        <v>9.50308008213552</v>
      </c>
      <c r="V129" s="43" t="str">
        <f aca="false">IF(Q129&lt;&gt;1,"",IF(ISNUMBER(U129),IF(U129&lt;=1,"1년 이하",IF(U129&lt;=2,"1-2년",IF(U129&lt;=3,"2-3년",IF(U129&lt;=4,"3-4년",IF(U129&lt;=5,"4-5년",IF(U129&lt;=7,"5-7년",IF(U129&lt;=10,"7-10년",IF(U129&lt;=20,"10-20년","20년 이상")))))))),"미분류"))</f>
        <v>7-10년</v>
      </c>
      <c r="W129" s="43" t="str">
        <f aca="false">IF(Q129&lt;&gt;1,"",IF(AB129&lt;&gt;"",INDEX(시장분석!$C:$C,AB129),IF(K129=1,"USD","비USD")))</f>
        <v>USD</v>
      </c>
      <c r="X129" s="91" t="n">
        <f aca="false">IF(Q129=1,E129*K129/1000000,0)</f>
        <v>5</v>
      </c>
      <c r="Y129" s="89" t="n">
        <f aca="false">IF(R129="T",1,0)</f>
        <v>0</v>
      </c>
      <c r="Z129" s="92" t="n">
        <f aca="false">IF(Q129&lt;&gt;1,"",IF(AD129=1,IF(ISNUMBER(U129),MAX(U129,0),H129),H129))</f>
        <v>6.702</v>
      </c>
      <c r="AA129" s="91" t="n">
        <f aca="false">IF(Q129=1,IF(ISNUMBER(L129),L129,0)*K129/1000000,0)</f>
        <v>4.76264</v>
      </c>
      <c r="AB129" s="89" t="n">
        <f aca="false">IF(Q129&lt;&gt;1,"",IFERROR(MATCH(VLOOKUP(B129,매핑!$H$4:$I$15,2,0),시장분석!$A$2:$A$601,0)+1,IFERROR(MATCH(R129&amp;"|"&amp;T129,시장분석!$V$2:$V$601,0)+1,IF(COUNTIF(시장분석!$U$2:$U$601,T129)=1,MATCH(T129,시장분석!$U$2:$U$601,0)+1,""))))</f>
        <v>184</v>
      </c>
      <c r="AC129" s="89" t="n">
        <f aca="false">IF(Q129&lt;&gt;1,0,IF(OR(설정!$C$5="전체",AND(설정!$C$5="선택펀드",IFERROR(COUNTIFS(설정!$F$16:$F$36,C129,설정!$G$16:$G$36,"Y")+COUNTIFS(설정!$F$16:$F$36,VALUE(C129),설정!$G$16:$G$36,"Y"),0)&gt;0),C129&amp;""=설정!$C$5&amp;""),1,0))</f>
        <v>1</v>
      </c>
      <c r="AD129" s="89" t="n">
        <f aca="false">IF(Q129&lt;&gt;1,0,IF(OR(S129=1,IF(AB129="",FALSE(),INDEX(시장분석!$R:$R,AB129)=1)),1,0))</f>
        <v>0</v>
      </c>
      <c r="AE129" s="43" t="str">
        <f aca="false">IF(AB129="","",INDEX(시장분석!$A:$A,AB129))</f>
        <v>LGENSO 5 7/8 04/02/36</v>
      </c>
      <c r="AF129" s="93" t="n">
        <f aca="false">IF(AB129="","",IF(ISNUMBER(IF(AB129="","",INDEX(시장분석!$E:$E,AB129))),IF(AB129="","",INDEX(시장분석!$E:$E,AB129)),""))</f>
        <v>133.507</v>
      </c>
      <c r="AG129" s="43" t="str">
        <f aca="false">IF(Q129&lt;&gt;1,"",IF(AB129&lt;&gt;"",IF(AB129="","",INDEX(시장분석!$L:$L,AB129)),IFERROR(IF(VLOOKUP(R129,매핑!$A$4:$E$92,5,0)="","미분류",VLOOKUP(R129,매핑!$A$4:$E$92,5,0)),"미분류")))</f>
        <v>자유 소비재</v>
      </c>
      <c r="AH129" s="43" t="str">
        <f aca="false">IF(Q129&lt;&gt;1,"",IF(AB129&lt;&gt;"",IF(AB129="","",INDEX(시장분석!$N:$N,AB129)),IFERROR(IF(VLOOKUP(R129,매핑!$A$4:$E$92,4,0)="","미분류",VLOOKUP(R129,매핑!$A$4:$E$92,4,0)),"미분류")))</f>
        <v>아시아/기타</v>
      </c>
      <c r="AI129" s="43" t="str">
        <f aca="false">IF(Q129&lt;&gt;1,"",IFERROR(IF(VLOOKUP(R129,매핑!$A$4:$E$92,3,0)="","미분류",VLOOKUP(R129,매핑!$A$4:$E$92,3,0)),IF(AB129&lt;&gt;"",IF(AB129="","",INDEX(시장분석!$W:$W,AB129)),"미분류")))</f>
        <v>한국</v>
      </c>
      <c r="AJ129" s="43" t="str">
        <f aca="false">IF(Q129&lt;&gt;1,"",IFERROR(VLOOKUP(IF(N129&lt;&gt;"",N129,IF(P129&lt;&gt;"",P129,O129)),설정!$A$15:$D$47,2,0),""))</f>
        <v>BBB</v>
      </c>
      <c r="AK129" s="43" t="str">
        <f aca="false">IF(Q129&lt;&gt;1,"",IF(AJ129="","무등급",IFERROR(VLOOKUP(AJ129,설정!$A$15:$D$47,3,0),"무등급")))</f>
        <v>BBB</v>
      </c>
      <c r="AL129" s="89" t="n">
        <f aca="false">IF(AJ129="",99,IFERROR(VLOOKUP(AJ129,설정!$A$15:$D$47,4,0),99))</f>
        <v>9</v>
      </c>
      <c r="AM129" s="94" t="n">
        <f aca="false">IF(ISNUMBER(H129),AA129*1000000*H129/10000,0)</f>
        <v>3191.921328</v>
      </c>
      <c r="AN129" s="94" t="n">
        <f aca="false">IF(OR(Y129=1,NOT(ISNUMBER(Z129))),0,AA129*1000000*Z129/10000)</f>
        <v>3191.921328</v>
      </c>
      <c r="AO129" s="94" t="n">
        <f aca="false">IF(ISNUMBER(G129),AA129*1000000*G129/100,0)</f>
        <v>312129.13768</v>
      </c>
      <c r="AP129" s="94" t="n">
        <f aca="false">IF(ISNUMBER(M129),M129*K129,0)</f>
        <v>-217060</v>
      </c>
      <c r="AQ129" s="95" t="n">
        <f aca="false">IF(AB129="","",INDEX(시장분석!$AK:$AK,AB129))</f>
        <v>0.895565509398901</v>
      </c>
      <c r="AR129" s="43" t="str">
        <f aca="false">IF(AB129="","-",IF(AB129="","",INDEX(시장분석!$AL:$AL,AB129)))</f>
        <v>Fair</v>
      </c>
      <c r="AS129" s="96" t="n">
        <f aca="false">IF(AB129="","",INDEX(시장분석!$AJ:$AJ,AB129))</f>
        <v>18.5515866463809</v>
      </c>
      <c r="AT129" s="93" t="n">
        <f aca="false">IF(AB129="",0,IF(AB129="","",INDEX(시장분석!$AN:$AN,AB129)))</f>
        <v>5.8669287015661</v>
      </c>
      <c r="AU129" s="94" t="n">
        <f aca="false">IF(ISNUMBER(Z129),AT129/10000*MAX(Z129-1,0)*AA129*1000000,0)</f>
        <v>15932.5679212615</v>
      </c>
      <c r="AV129" s="94" t="n">
        <f aca="false">AO129+AU129</f>
        <v>328061.705601261</v>
      </c>
      <c r="AW129" s="43" t="str">
        <f aca="false">IF(Q129&lt;&gt;1,"",TRIM(IF(AD129=1,"FRN ","")&amp;IF(AND(AL129&gt;=10,AL129&lt;99),"BBB0미만 ","")&amp;IF(AJ129="","등급없음 ","")&amp;IF(K129&lt;&gt;1,"비USD ","")&amp;IF(AND(AB129="",Y129=0),"시장데이터없음 ","")&amp;IF(AND(ISNUMBER(U129),U129&lt;0),"만기경과 ","")))</f>
        <v/>
      </c>
      <c r="AX129" s="90" t="n">
        <f aca="false">IF(Q129&lt;&gt;1,1,IF(스프레드쇼크!$C$4="Y",INDEX(스프레드쇼크!$B$12:$L$16,IFERROR(MATCH(AH129,스프레드쇼크!$A$12:$A$16,0),MATCH("목록외",스프레드쇼크!$A$12:$A$16,0)),IFERROR(MATCH(AG129,스프레드쇼크!$B$11:$L$11,0),MATCH("목록외",스프레드쇼크!$B$11:$L$11,0))),1))</f>
        <v>1</v>
      </c>
      <c r="AY129" s="90" t="n">
        <f aca="false">IF(스프레드쇼크!$C$5="Y",IF(ISNUMBER(AF129),MIN(스프레드쇼크!$C$7,MAX(스프레드쇼크!$C$6,AF129/스프레드쇼크!$C$8)),1),1)</f>
        <v>2.01934518728294</v>
      </c>
      <c r="AZ129" s="94" t="n">
        <f aca="false">AN129*AX129*AY129</f>
        <v>6445.59097188256</v>
      </c>
      <c r="BA129" s="90" t="n">
        <f aca="false">IF(ISNUMBER(G129),AA129*G129,0)</f>
        <v>31.212913768</v>
      </c>
      <c r="BB129" s="90" t="n">
        <f aca="false">IF(ISNUMBER(G129),AA129,0)</f>
        <v>4.76264</v>
      </c>
      <c r="BC129" s="90" t="n">
        <f aca="false">IF(AND(Y129=0,ISNUMBER(AF129)),AA129*AF129,0)</f>
        <v>635.84577848</v>
      </c>
      <c r="BD129" s="90" t="n">
        <f aca="false">IF(AND(Y129=0,ISNUMBER(AF129)),AA129,0)</f>
        <v>4.76264</v>
      </c>
      <c r="BE129" s="90" t="n">
        <f aca="false">IF(ISNUMBER(H129),AA129*H129,0)</f>
        <v>31.91921328</v>
      </c>
      <c r="BF129" s="90" t="n">
        <f aca="false">IF(ISNUMBER(H129),AA129,0)</f>
        <v>4.76264</v>
      </c>
      <c r="BG129" s="90" t="n">
        <f aca="false">IF(AND(Y129=0,ISNUMBER(AF129),ISNUMBER(Z129)),AA129*Z129,0)</f>
        <v>31.91921328</v>
      </c>
      <c r="BH129" s="90" t="n">
        <f aca="false">IF(AND(Y129=0,ISNUMBER(AF129),ISNUMBER(Z129)),AA129*AT129*MAX(Z129-1,0),0)</f>
        <v>159.325679212615</v>
      </c>
      <c r="BI129" s="90" t="n">
        <f aca="false">IF(Y129=0,AA129,0)</f>
        <v>4.76264</v>
      </c>
    </row>
    <row r="130" customFormat="false" ht="15" hidden="false" customHeight="false" outlineLevel="0" collapsed="false">
      <c r="A130" s="83" t="str">
        <f aca="false">IFERROR(IF(INDEX(원자료_잔고!$A$1:$EZ$1500,설정!$L$5+ROW()-1,설정!$L$8)&amp;""="0","",INDEX(원자료_잔고!$A$1:$EZ$1500,설정!$L$5+ROW()-1,설정!$L$8)&amp;""),"")</f>
        <v>LGENSO 5.875 04/02/36</v>
      </c>
      <c r="B130" s="83" t="str">
        <f aca="false">IFERROR(IF(INDEX(원자료_잔고!$A$1:$EZ$1500,설정!$L$5+ROW()-1,설정!$L$7)&amp;""="0","",INDEX(원자료_잔고!$A$1:$EZ$1500,설정!$L$5+ROW()-1,설정!$L$7)&amp;""),"")</f>
        <v>USY5S5CGAV48</v>
      </c>
      <c r="C130" s="83" t="str">
        <f aca="false">IFERROR(IF(INDEX(원자료_잔고!$A$1:$EZ$1500,설정!$L$5+ROW()-1,설정!$L$9)&amp;""="0","",INDEX(원자료_잔고!$A$1:$EZ$1500,설정!$L$5+ROW()-1,설정!$L$9)&amp;""),"")</f>
        <v>34507</v>
      </c>
      <c r="D13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0" s="84" t="n">
        <f aca="false">IFERROR(IF(ISNUMBER(INDEX(원자료_잔고!$A$1:$EZ$1500,설정!$L$5+ROW()-1,설정!$L$11)),INDEX(원자료_잔고!$A$1:$EZ$1500,설정!$L$5+ROW()-1,설정!$L$11),""),"")</f>
        <v>2000000</v>
      </c>
      <c r="F130" s="85" t="n">
        <f aca="false">IFERROR(IF(ISNUMBER(INDEX(원자료_잔고!$A$1:$EZ$1500,설정!$L$5+ROW()-1,설정!$L$12)),INDEX(원자료_잔고!$A$1:$EZ$1500,설정!$L$5+ROW()-1,설정!$L$12),""),"")</f>
        <v>95.2528</v>
      </c>
      <c r="G130" s="85" t="n">
        <f aca="false">IFERROR(IF(ISNUMBER(INDEX(원자료_잔고!$A$1:$EZ$1500,설정!$L$5+ROW()-1,설정!$L$13)),INDEX(원자료_잔고!$A$1:$EZ$1500,설정!$L$5+ROW()-1,설정!$L$13),""),"")</f>
        <v>6.5537</v>
      </c>
      <c r="H130" s="85" t="n">
        <f aca="false">IFERROR(IF(ISNUMBER(INDEX(원자료_잔고!$A$1:$EZ$1500,설정!$L$5+ROW()-1,설정!$L$14)),INDEX(원자료_잔고!$A$1:$EZ$1500,설정!$L$5+ROW()-1,설정!$L$14),""),"")</f>
        <v>6.702</v>
      </c>
      <c r="I130" s="86" t="n">
        <f aca="false">IFERROR(IF(ISNUMBER(INDEX(원자료_잔고!$A$1:$EZ$1500,설정!$L$5+ROW()-1,설정!$L$15)),INDEX(원자료_잔고!$A$1:$EZ$1500,설정!$L$5+ROW()-1,설정!$L$15),""),"")</f>
        <v>49767</v>
      </c>
      <c r="J130" s="85" t="n">
        <f aca="false">IFERROR(IF(ISNUMBER(INDEX(원자료_잔고!$A$1:$EZ$1500,설정!$L$5+ROW()-1,설정!$L$16)),INDEX(원자료_잔고!$A$1:$EZ$1500,설정!$L$5+ROW()-1,설정!$L$16),""),"")</f>
        <v>5.875</v>
      </c>
      <c r="K130" s="87" t="n">
        <f aca="false">IFERROR(IF(ISNUMBER(INDEX(원자료_잔고!$A$1:$EZ$1500,설정!$L$5+ROW()-1,설정!$L$17)),INDEX(원자료_잔고!$A$1:$EZ$1500,설정!$L$5+ROW()-1,설정!$L$17),""),"")</f>
        <v>1</v>
      </c>
      <c r="L130" s="84" t="n">
        <f aca="false">IFERROR(IF(ISNUMBER(INDEX(원자료_잔고!$A$1:$EZ$1500,설정!$L$5+ROW()-1,설정!$L$18)),INDEX(원자료_잔고!$A$1:$EZ$1500,설정!$L$5+ROW()-1,설정!$L$18),""),"")</f>
        <v>1905056</v>
      </c>
      <c r="M130" s="88" t="n">
        <f aca="false">IFERROR(IF(ISNUMBER(INDEX(원자료_잔고!$A$1:$EZ$1500,설정!$L$5+ROW()-1,설정!$L$19)),INDEX(원자료_잔고!$A$1:$EZ$1500,설정!$L$5+ROW()-1,설정!$L$19),""),"")</f>
        <v>-122644</v>
      </c>
      <c r="N130" s="83" t="str">
        <f aca="false">IFERROR(IF(INDEX(원자료_잔고!$A$1:$EZ$1500,설정!$L$5+ROW()-1,설정!$L$21)&amp;""="0","",INDEX(원자료_잔고!$A$1:$EZ$1500,설정!$L$5+ROW()-1,설정!$L$21)&amp;""),"")</f>
        <v>BBB</v>
      </c>
      <c r="O130" s="83" t="str">
        <f aca="false">IFERROR(IF(INDEX(원자료_잔고!$A$1:$EZ$1500,설정!$L$5+ROW()-1,설정!$L$22)&amp;""="0","",INDEX(원자료_잔고!$A$1:$EZ$1500,설정!$L$5+ROW()-1,설정!$L$22)&amp;""),"")</f>
        <v/>
      </c>
      <c r="P130" s="83" t="str">
        <f aca="false">IFERROR(IF(INDEX(원자료_잔고!$A$1:$EZ$1500,설정!$L$5+ROW()-1,설정!$L$23)&amp;""="0","",INDEX(원자료_잔고!$A$1:$EZ$1500,설정!$L$5+ROW()-1,설정!$L$23)&amp;""),"")</f>
        <v>N/A</v>
      </c>
      <c r="Q130" s="89" t="n">
        <f aca="false">IF(AND($A130&lt;&gt;"",ISNUMBER(E130)),IF(E130&gt;0,1,0),0)</f>
        <v>1</v>
      </c>
      <c r="R130" s="43" t="str">
        <f aca="false">IF(Q130=1,UPPER(LEFT($A130,FIND(" ",$A130&amp;" ")-1)),"")</f>
        <v>LGENSO</v>
      </c>
      <c r="S130" s="89" t="n">
        <f aca="false">IF(Q130=1,IF(OR(ISNUMBER(SEARCH("Float",$A130)),ISNUMBER(SEARCH("FRN",$A130))),1,0),0)</f>
        <v>0</v>
      </c>
      <c r="T130" s="43" t="str">
        <f aca="false">IF(AND(Q130=1,ISNUMBER(I130)),TEXT(I130,"yyyymmdd")&amp;"|"&amp;IF(S130=1,"F",TEXT(J130,"0.000")),"")</f>
        <v>20360402|5.875</v>
      </c>
      <c r="U130" s="90" t="n">
        <f aca="false">IF(AND(Q130=1,ISNUMBER(I130)),(I130-설정!$C$4)/365.25,"")</f>
        <v>9.50308008213552</v>
      </c>
      <c r="V130" s="43" t="str">
        <f aca="false">IF(Q130&lt;&gt;1,"",IF(ISNUMBER(U130),IF(U130&lt;=1,"1년 이하",IF(U130&lt;=2,"1-2년",IF(U130&lt;=3,"2-3년",IF(U130&lt;=4,"3-4년",IF(U130&lt;=5,"4-5년",IF(U130&lt;=7,"5-7년",IF(U130&lt;=10,"7-10년",IF(U130&lt;=20,"10-20년","20년 이상")))))))),"미분류"))</f>
        <v>7-10년</v>
      </c>
      <c r="W130" s="43" t="str">
        <f aca="false">IF(Q130&lt;&gt;1,"",IF(AB130&lt;&gt;"",INDEX(시장분석!$C:$C,AB130),IF(K130=1,"USD","비USD")))</f>
        <v>USD</v>
      </c>
      <c r="X130" s="91" t="n">
        <f aca="false">IF(Q130=1,E130*K130/1000000,0)</f>
        <v>2</v>
      </c>
      <c r="Y130" s="89" t="n">
        <f aca="false">IF(R130="T",1,0)</f>
        <v>0</v>
      </c>
      <c r="Z130" s="92" t="n">
        <f aca="false">IF(Q130&lt;&gt;1,"",IF(AD130=1,IF(ISNUMBER(U130),MAX(U130,0),H130),H130))</f>
        <v>6.702</v>
      </c>
      <c r="AA130" s="91" t="n">
        <f aca="false">IF(Q130=1,IF(ISNUMBER(L130),L130,0)*K130/1000000,0)</f>
        <v>1.905056</v>
      </c>
      <c r="AB130" s="89" t="n">
        <f aca="false">IF(Q130&lt;&gt;1,"",IFERROR(MATCH(VLOOKUP(B130,매핑!$H$4:$I$15,2,0),시장분석!$A$2:$A$601,0)+1,IFERROR(MATCH(R130&amp;"|"&amp;T130,시장분석!$V$2:$V$601,0)+1,IF(COUNTIF(시장분석!$U$2:$U$601,T130)=1,MATCH(T130,시장분석!$U$2:$U$601,0)+1,""))))</f>
        <v>184</v>
      </c>
      <c r="AC130" s="89" t="n">
        <f aca="false">IF(Q130&lt;&gt;1,0,IF(OR(설정!$C$5="전체",AND(설정!$C$5="선택펀드",IFERROR(COUNTIFS(설정!$F$16:$F$36,C130,설정!$G$16:$G$36,"Y")+COUNTIFS(설정!$F$16:$F$36,VALUE(C130),설정!$G$16:$G$36,"Y"),0)&gt;0),C130&amp;""=설정!$C$5&amp;""),1,0))</f>
        <v>1</v>
      </c>
      <c r="AD130" s="89" t="n">
        <f aca="false">IF(Q130&lt;&gt;1,0,IF(OR(S130=1,IF(AB130="",FALSE(),INDEX(시장분석!$R:$R,AB130)=1)),1,0))</f>
        <v>0</v>
      </c>
      <c r="AE130" s="43" t="str">
        <f aca="false">IF(AB130="","",INDEX(시장분석!$A:$A,AB130))</f>
        <v>LGENSO 5 7/8 04/02/36</v>
      </c>
      <c r="AF130" s="93" t="n">
        <f aca="false">IF(AB130="","",IF(ISNUMBER(IF(AB130="","",INDEX(시장분석!$E:$E,AB130))),IF(AB130="","",INDEX(시장분석!$E:$E,AB130)),""))</f>
        <v>133.507</v>
      </c>
      <c r="AG130" s="43" t="str">
        <f aca="false">IF(Q130&lt;&gt;1,"",IF(AB130&lt;&gt;"",IF(AB130="","",INDEX(시장분석!$L:$L,AB130)),IFERROR(IF(VLOOKUP(R130,매핑!$A$4:$E$92,5,0)="","미분류",VLOOKUP(R130,매핑!$A$4:$E$92,5,0)),"미분류")))</f>
        <v>자유 소비재</v>
      </c>
      <c r="AH130" s="43" t="str">
        <f aca="false">IF(Q130&lt;&gt;1,"",IF(AB130&lt;&gt;"",IF(AB130="","",INDEX(시장분석!$N:$N,AB130)),IFERROR(IF(VLOOKUP(R130,매핑!$A$4:$E$92,4,0)="","미분류",VLOOKUP(R130,매핑!$A$4:$E$92,4,0)),"미분류")))</f>
        <v>아시아/기타</v>
      </c>
      <c r="AI130" s="43" t="str">
        <f aca="false">IF(Q130&lt;&gt;1,"",IFERROR(IF(VLOOKUP(R130,매핑!$A$4:$E$92,3,0)="","미분류",VLOOKUP(R130,매핑!$A$4:$E$92,3,0)),IF(AB130&lt;&gt;"",IF(AB130="","",INDEX(시장분석!$W:$W,AB130)),"미분류")))</f>
        <v>한국</v>
      </c>
      <c r="AJ130" s="43" t="str">
        <f aca="false">IF(Q130&lt;&gt;1,"",IFERROR(VLOOKUP(IF(N130&lt;&gt;"",N130,IF(P130&lt;&gt;"",P130,O130)),설정!$A$15:$D$47,2,0),""))</f>
        <v>BBB</v>
      </c>
      <c r="AK130" s="43" t="str">
        <f aca="false">IF(Q130&lt;&gt;1,"",IF(AJ130="","무등급",IFERROR(VLOOKUP(AJ130,설정!$A$15:$D$47,3,0),"무등급")))</f>
        <v>BBB</v>
      </c>
      <c r="AL130" s="89" t="n">
        <f aca="false">IF(AJ130="",99,IFERROR(VLOOKUP(AJ130,설정!$A$15:$D$47,4,0),99))</f>
        <v>9</v>
      </c>
      <c r="AM130" s="94" t="n">
        <f aca="false">IF(ISNUMBER(H130),AA130*1000000*H130/10000,0)</f>
        <v>1276.7685312</v>
      </c>
      <c r="AN130" s="94" t="n">
        <f aca="false">IF(OR(Y130=1,NOT(ISNUMBER(Z130))),0,AA130*1000000*Z130/10000)</f>
        <v>1276.7685312</v>
      </c>
      <c r="AO130" s="94" t="n">
        <f aca="false">IF(ISNUMBER(G130),AA130*1000000*G130/100,0)</f>
        <v>124851.655072</v>
      </c>
      <c r="AP130" s="94" t="n">
        <f aca="false">IF(ISNUMBER(M130),M130*K130,0)</f>
        <v>-122644</v>
      </c>
      <c r="AQ130" s="95" t="n">
        <f aca="false">IF(AB130="","",INDEX(시장분석!$AK:$AK,AB130))</f>
        <v>0.895565509398901</v>
      </c>
      <c r="AR130" s="43" t="str">
        <f aca="false">IF(AB130="","-",IF(AB130="","",INDEX(시장분석!$AL:$AL,AB130)))</f>
        <v>Fair</v>
      </c>
      <c r="AS130" s="96" t="n">
        <f aca="false">IF(AB130="","",INDEX(시장분석!$AJ:$AJ,AB130))</f>
        <v>18.5515866463809</v>
      </c>
      <c r="AT130" s="93" t="n">
        <f aca="false">IF(AB130="",0,IF(AB130="","",INDEX(시장분석!$AN:$AN,AB130)))</f>
        <v>5.8669287015661</v>
      </c>
      <c r="AU130" s="94" t="n">
        <f aca="false">IF(ISNUMBER(Z130),AT130/10000*MAX(Z130-1,0)*AA130*1000000,0)</f>
        <v>6373.0271685046</v>
      </c>
      <c r="AV130" s="94" t="n">
        <f aca="false">AO130+AU130</f>
        <v>131224.682240505</v>
      </c>
      <c r="AW130" s="43" t="str">
        <f aca="false">IF(Q130&lt;&gt;1,"",TRIM(IF(AD130=1,"FRN ","")&amp;IF(AND(AL130&gt;=10,AL130&lt;99),"BBB0미만 ","")&amp;IF(AJ130="","등급없음 ","")&amp;IF(K130&lt;&gt;1,"비USD ","")&amp;IF(AND(AB130="",Y130=0),"시장데이터없음 ","")&amp;IF(AND(ISNUMBER(U130),U130&lt;0),"만기경과 ","")))</f>
        <v/>
      </c>
      <c r="AX130" s="90" t="n">
        <f aca="false">IF(Q130&lt;&gt;1,1,IF(스프레드쇼크!$C$4="Y",INDEX(스프레드쇼크!$B$12:$L$16,IFERROR(MATCH(AH130,스프레드쇼크!$A$12:$A$16,0),MATCH("목록외",스프레드쇼크!$A$12:$A$16,0)),IFERROR(MATCH(AG130,스프레드쇼크!$B$11:$L$11,0),MATCH("목록외",스프레드쇼크!$B$11:$L$11,0))),1))</f>
        <v>1</v>
      </c>
      <c r="AY130" s="90" t="n">
        <f aca="false">IF(스프레드쇼크!$C$5="Y",IF(ISNUMBER(AF130),MIN(스프레드쇼크!$C$7,MAX(스프레드쇼크!$C$6,AF130/스프레드쇼크!$C$8)),1),1)</f>
        <v>2.01934518728294</v>
      </c>
      <c r="AZ130" s="94" t="n">
        <f aca="false">AN130*AX130*AY130</f>
        <v>2578.23638875302</v>
      </c>
      <c r="BA130" s="90" t="n">
        <f aca="false">IF(ISNUMBER(G130),AA130*G130,0)</f>
        <v>12.4851655072</v>
      </c>
      <c r="BB130" s="90" t="n">
        <f aca="false">IF(ISNUMBER(G130),AA130,0)</f>
        <v>1.905056</v>
      </c>
      <c r="BC130" s="90" t="n">
        <f aca="false">IF(AND(Y130=0,ISNUMBER(AF130)),AA130*AF130,0)</f>
        <v>254.338311392</v>
      </c>
      <c r="BD130" s="90" t="n">
        <f aca="false">IF(AND(Y130=0,ISNUMBER(AF130)),AA130,0)</f>
        <v>1.905056</v>
      </c>
      <c r="BE130" s="90" t="n">
        <f aca="false">IF(ISNUMBER(H130),AA130*H130,0)</f>
        <v>12.767685312</v>
      </c>
      <c r="BF130" s="90" t="n">
        <f aca="false">IF(ISNUMBER(H130),AA130,0)</f>
        <v>1.905056</v>
      </c>
      <c r="BG130" s="90" t="n">
        <f aca="false">IF(AND(Y130=0,ISNUMBER(AF130),ISNUMBER(Z130)),AA130*Z130,0)</f>
        <v>12.767685312</v>
      </c>
      <c r="BH130" s="90" t="n">
        <f aca="false">IF(AND(Y130=0,ISNUMBER(AF130),ISNUMBER(Z130)),AA130*AT130*MAX(Z130-1,0),0)</f>
        <v>63.730271685046</v>
      </c>
      <c r="BI130" s="90" t="n">
        <f aca="false">IF(Y130=0,AA130,0)</f>
        <v>1.905056</v>
      </c>
    </row>
    <row r="131" customFormat="false" ht="15" hidden="false" customHeight="false" outlineLevel="0" collapsed="false">
      <c r="A131" s="83" t="str">
        <f aca="false">IFERROR(IF(INDEX(원자료_잔고!$A$1:$EZ$1500,설정!$L$5+ROW()-1,설정!$L$8)&amp;""="0","",INDEX(원자료_잔고!$A$1:$EZ$1500,설정!$L$5+ROW()-1,설정!$L$8)&amp;""),"")</f>
        <v>PKX 5.125 05/07/30</v>
      </c>
      <c r="B131" s="83" t="str">
        <f aca="false">IFERROR(IF(INDEX(원자료_잔고!$A$1:$EZ$1500,설정!$L$5+ROW()-1,설정!$L$7)&amp;""="0","",INDEX(원자료_잔고!$A$1:$EZ$1500,설정!$L$5+ROW()-1,설정!$L$7)&amp;""),"")</f>
        <v>USY70750CB13</v>
      </c>
      <c r="C131" s="83" t="str">
        <f aca="false">IFERROR(IF(INDEX(원자료_잔고!$A$1:$EZ$1500,설정!$L$5+ROW()-1,설정!$L$9)&amp;""="0","",INDEX(원자료_잔고!$A$1:$EZ$1500,설정!$L$5+ROW()-1,설정!$L$9)&amp;""),"")</f>
        <v>34507</v>
      </c>
      <c r="D13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1" s="84" t="n">
        <f aca="false">IFERROR(IF(ISNUMBER(INDEX(원자료_잔고!$A$1:$EZ$1500,설정!$L$5+ROW()-1,설정!$L$11)),INDEX(원자료_잔고!$A$1:$EZ$1500,설정!$L$5+ROW()-1,설정!$L$11),""),"")</f>
        <v>3000000</v>
      </c>
      <c r="F131" s="85" t="n">
        <f aca="false">IFERROR(IF(ISNUMBER(INDEX(원자료_잔고!$A$1:$EZ$1500,설정!$L$5+ROW()-1,설정!$L$12)),INDEX(원자료_잔고!$A$1:$EZ$1500,설정!$L$5+ROW()-1,설정!$L$12),""),"")</f>
        <v>97.8758</v>
      </c>
      <c r="G131" s="85" t="n">
        <f aca="false">IFERROR(IF(ISNUMBER(INDEX(원자료_잔고!$A$1:$EZ$1500,설정!$L$5+ROW()-1,설정!$L$13)),INDEX(원자료_잔고!$A$1:$EZ$1500,설정!$L$5+ROW()-1,설정!$L$13),""),"")</f>
        <v>5.7836</v>
      </c>
      <c r="H131" s="85" t="n">
        <f aca="false">IFERROR(IF(ISNUMBER(INDEX(원자료_잔고!$A$1:$EZ$1500,설정!$L$5+ROW()-1,설정!$L$14)),INDEX(원자료_잔고!$A$1:$EZ$1500,설정!$L$5+ROW()-1,설정!$L$14),""),"")</f>
        <v>3.0939</v>
      </c>
      <c r="I131" s="86" t="n">
        <f aca="false">IFERROR(IF(ISNUMBER(INDEX(원자료_잔고!$A$1:$EZ$1500,설정!$L$5+ROW()-1,설정!$L$15)),INDEX(원자료_잔고!$A$1:$EZ$1500,설정!$L$5+ROW()-1,설정!$L$15),""),"")</f>
        <v>47610</v>
      </c>
      <c r="J131" s="85" t="n">
        <f aca="false">IFERROR(IF(ISNUMBER(INDEX(원자료_잔고!$A$1:$EZ$1500,설정!$L$5+ROW()-1,설정!$L$16)),INDEX(원자료_잔고!$A$1:$EZ$1500,설정!$L$5+ROW()-1,설정!$L$16),""),"")</f>
        <v>5.125</v>
      </c>
      <c r="K131" s="87" t="n">
        <f aca="false">IFERROR(IF(ISNUMBER(INDEX(원자료_잔고!$A$1:$EZ$1500,설정!$L$5+ROW()-1,설정!$L$17)),INDEX(원자료_잔고!$A$1:$EZ$1500,설정!$L$5+ROW()-1,설정!$L$17),""),"")</f>
        <v>1</v>
      </c>
      <c r="L131" s="84" t="n">
        <f aca="false">IFERROR(IF(ISNUMBER(INDEX(원자료_잔고!$A$1:$EZ$1500,설정!$L$5+ROW()-1,설정!$L$18)),INDEX(원자료_잔고!$A$1:$EZ$1500,설정!$L$5+ROW()-1,설정!$L$18),""),"")</f>
        <v>2936274</v>
      </c>
      <c r="M131" s="88" t="n">
        <f aca="false">IFERROR(IF(ISNUMBER(INDEX(원자료_잔고!$A$1:$EZ$1500,설정!$L$5+ROW()-1,설정!$L$19)),INDEX(원자료_잔고!$A$1:$EZ$1500,설정!$L$5+ROW()-1,설정!$L$19),""),"")</f>
        <v>-97866</v>
      </c>
      <c r="N131" s="83" t="str">
        <f aca="false">IFERROR(IF(INDEX(원자료_잔고!$A$1:$EZ$1500,설정!$L$5+ROW()-1,설정!$L$21)&amp;""="0","",INDEX(원자료_잔고!$A$1:$EZ$1500,설정!$L$5+ROW()-1,설정!$L$21)&amp;""),"")</f>
        <v>BBB+</v>
      </c>
      <c r="O131" s="83" t="str">
        <f aca="false">IFERROR(IF(INDEX(원자료_잔고!$A$1:$EZ$1500,설정!$L$5+ROW()-1,설정!$L$22)&amp;""="0","",INDEX(원자료_잔고!$A$1:$EZ$1500,설정!$L$5+ROW()-1,설정!$L$22)&amp;""),"")</f>
        <v/>
      </c>
      <c r="P131" s="83" t="str">
        <f aca="false">IFERROR(IF(INDEX(원자료_잔고!$A$1:$EZ$1500,설정!$L$5+ROW()-1,설정!$L$23)&amp;""="0","",INDEX(원자료_잔고!$A$1:$EZ$1500,설정!$L$5+ROW()-1,설정!$L$23)&amp;""),"")</f>
        <v>N/A</v>
      </c>
      <c r="Q131" s="89" t="n">
        <f aca="false">IF(AND($A131&lt;&gt;"",ISNUMBER(E131)),IF(E131&gt;0,1,0),0)</f>
        <v>1</v>
      </c>
      <c r="R131" s="43" t="str">
        <f aca="false">IF(Q131=1,UPPER(LEFT($A131,FIND(" ",$A131&amp;" ")-1)),"")</f>
        <v>PKX</v>
      </c>
      <c r="S131" s="89" t="n">
        <f aca="false">IF(Q131=1,IF(OR(ISNUMBER(SEARCH("Float",$A131)),ISNUMBER(SEARCH("FRN",$A131))),1,0),0)</f>
        <v>0</v>
      </c>
      <c r="T131" s="43" t="str">
        <f aca="false">IF(AND(Q131=1,ISNUMBER(I131)),TEXT(I131,"yyyymmdd")&amp;"|"&amp;IF(S131=1,"F",TEXT(J131,"0.000")),"")</f>
        <v>20300507|5.125</v>
      </c>
      <c r="U131" s="90" t="n">
        <f aca="false">IF(AND(Q131=1,ISNUMBER(I131)),(I131-설정!$C$4)/365.25,"")</f>
        <v>3.59753593429158</v>
      </c>
      <c r="V131" s="43" t="str">
        <f aca="false">IF(Q131&lt;&gt;1,"",IF(ISNUMBER(U131),IF(U131&lt;=1,"1년 이하",IF(U131&lt;=2,"1-2년",IF(U131&lt;=3,"2-3년",IF(U131&lt;=4,"3-4년",IF(U131&lt;=5,"4-5년",IF(U131&lt;=7,"5-7년",IF(U131&lt;=10,"7-10년",IF(U131&lt;=20,"10-20년","20년 이상")))))))),"미분류"))</f>
        <v>3-4년</v>
      </c>
      <c r="W131" s="43" t="str">
        <f aca="false">IF(Q131&lt;&gt;1,"",IF(AB131&lt;&gt;"",INDEX(시장분석!$C:$C,AB131),IF(K131=1,"USD","비USD")))</f>
        <v>USD</v>
      </c>
      <c r="X131" s="91" t="n">
        <f aca="false">IF(Q131=1,E131*K131/1000000,0)</f>
        <v>3</v>
      </c>
      <c r="Y131" s="89" t="n">
        <f aca="false">IF(R131="T",1,0)</f>
        <v>0</v>
      </c>
      <c r="Z131" s="92" t="n">
        <f aca="false">IF(Q131&lt;&gt;1,"",IF(AD131=1,IF(ISNUMBER(U131),MAX(U131,0),H131),H131))</f>
        <v>3.0939</v>
      </c>
      <c r="AA131" s="91" t="n">
        <f aca="false">IF(Q131=1,IF(ISNUMBER(L131),L131,0)*K131/1000000,0)</f>
        <v>2.936274</v>
      </c>
      <c r="AB131" s="89" t="n">
        <f aca="false">IF(Q131&lt;&gt;1,"",IFERROR(MATCH(VLOOKUP(B131,매핑!$H$4:$I$15,2,0),시장분석!$A$2:$A$601,0)+1,IFERROR(MATCH(R131&amp;"|"&amp;T131,시장분석!$V$2:$V$601,0)+1,IF(COUNTIF(시장분석!$U$2:$U$601,T131)=1,MATCH(T131,시장분석!$U$2:$U$601,0)+1,""))))</f>
        <v>191</v>
      </c>
      <c r="AC131" s="89" t="n">
        <f aca="false">IF(Q131&lt;&gt;1,0,IF(OR(설정!$C$5="전체",AND(설정!$C$5="선택펀드",IFERROR(COUNTIFS(설정!$F$16:$F$36,C131,설정!$G$16:$G$36,"Y")+COUNTIFS(설정!$F$16:$F$36,VALUE(C131),설정!$G$16:$G$36,"Y"),0)&gt;0),C131&amp;""=설정!$C$5&amp;""),1,0))</f>
        <v>1</v>
      </c>
      <c r="AD131" s="89" t="n">
        <f aca="false">IF(Q131&lt;&gt;1,0,IF(OR(S131=1,IF(AB131="",FALSE(),INDEX(시장분석!$R:$R,AB131)=1)),1,0))</f>
        <v>0</v>
      </c>
      <c r="AE131" s="43" t="str">
        <f aca="false">IF(AB131="","",INDEX(시장분석!$A:$A,AB131))</f>
        <v>PKX 5 1/8 05/07/30</v>
      </c>
      <c r="AF131" s="93" t="n">
        <f aca="false">IF(AB131="","",IF(ISNUMBER(IF(AB131="","",INDEX(시장분석!$E:$E,AB131))),IF(AB131="","",INDEX(시장분석!$E:$E,AB131)),""))</f>
        <v>72.436</v>
      </c>
      <c r="AG131" s="43" t="str">
        <f aca="false">IF(Q131&lt;&gt;1,"",IF(AB131&lt;&gt;"",IF(AB131="","",INDEX(시장분석!$L:$L,AB131)),IFERROR(IF(VLOOKUP(R131,매핑!$A$4:$E$92,5,0)="","미분류",VLOOKUP(R131,매핑!$A$4:$E$92,5,0)),"미분류")))</f>
        <v>원자재</v>
      </c>
      <c r="AH131" s="43" t="str">
        <f aca="false">IF(Q131&lt;&gt;1,"",IF(AB131&lt;&gt;"",IF(AB131="","",INDEX(시장분석!$N:$N,AB131)),IFERROR(IF(VLOOKUP(R131,매핑!$A$4:$E$92,4,0)="","미분류",VLOOKUP(R131,매핑!$A$4:$E$92,4,0)),"미분류")))</f>
        <v>아시아/기타</v>
      </c>
      <c r="AI131" s="43" t="str">
        <f aca="false">IF(Q131&lt;&gt;1,"",IFERROR(IF(VLOOKUP(R131,매핑!$A$4:$E$92,3,0)="","미분류",VLOOKUP(R131,매핑!$A$4:$E$92,3,0)),IF(AB131&lt;&gt;"",IF(AB131="","",INDEX(시장분석!$W:$W,AB131)),"미분류")))</f>
        <v>한국</v>
      </c>
      <c r="AJ131" s="43" t="str">
        <f aca="false">IF(Q131&lt;&gt;1,"",IFERROR(VLOOKUP(IF(N131&lt;&gt;"",N131,IF(P131&lt;&gt;"",P131,O131)),설정!$A$15:$D$47,2,0),""))</f>
        <v>BBB+</v>
      </c>
      <c r="AK131" s="43" t="str">
        <f aca="false">IF(Q131&lt;&gt;1,"",IF(AJ131="","무등급",IFERROR(VLOOKUP(AJ131,설정!$A$15:$D$47,3,0),"무등급")))</f>
        <v>BBB</v>
      </c>
      <c r="AL131" s="89" t="n">
        <f aca="false">IF(AJ131="",99,IFERROR(VLOOKUP(AJ131,설정!$A$15:$D$47,4,0),99))</f>
        <v>8</v>
      </c>
      <c r="AM131" s="94" t="n">
        <f aca="false">IF(ISNUMBER(H131),AA131*1000000*H131/10000,0)</f>
        <v>908.45381286</v>
      </c>
      <c r="AN131" s="94" t="n">
        <f aca="false">IF(OR(Y131=1,NOT(ISNUMBER(Z131))),0,AA131*1000000*Z131/10000)</f>
        <v>908.45381286</v>
      </c>
      <c r="AO131" s="94" t="n">
        <f aca="false">IF(ISNUMBER(G131),AA131*1000000*G131/100,0)</f>
        <v>169822.343064</v>
      </c>
      <c r="AP131" s="94" t="n">
        <f aca="false">IF(ISNUMBER(M131),M131*K131,0)</f>
        <v>-97866</v>
      </c>
      <c r="AQ131" s="95" t="n">
        <f aca="false">IF(AB131="","",INDEX(시장분석!$AK:$AK,AB131))</f>
        <v>-0.36285375172492</v>
      </c>
      <c r="AR131" s="43" t="str">
        <f aca="false">IF(AB131="","-",IF(AB131="","",INDEX(시장분석!$AL:$AL,AB131)))</f>
        <v>Fair</v>
      </c>
      <c r="AS131" s="96" t="n">
        <f aca="false">IF(AB131="","",INDEX(시장분석!$AJ:$AJ,AB131))</f>
        <v>-4.01680592835896</v>
      </c>
      <c r="AT131" s="93" t="n">
        <f aca="false">IF(AB131="",0,IF(AB131="","",INDEX(시장분석!$AN:$AN,AB131)))</f>
        <v>10.3182251602827</v>
      </c>
      <c r="AU131" s="94" t="n">
        <f aca="false">IF(ISNUMBER(Z131),AT131/10000*MAX(Z131-1,0)*AA131*1000000,0)</f>
        <v>6343.91736237843</v>
      </c>
      <c r="AV131" s="94" t="n">
        <f aca="false">AO131+AU131</f>
        <v>176166.260426378</v>
      </c>
      <c r="AW131" s="43" t="str">
        <f aca="false">IF(Q131&lt;&gt;1,"",TRIM(IF(AD131=1,"FRN ","")&amp;IF(AND(AL131&gt;=10,AL131&lt;99),"BBB0미만 ","")&amp;IF(AJ131="","등급없음 ","")&amp;IF(K131&lt;&gt;1,"비USD ","")&amp;IF(AND(AB131="",Y131=0),"시장데이터없음 ","")&amp;IF(AND(ISNUMBER(U131),U131&lt;0),"만기경과 ","")))</f>
        <v/>
      </c>
      <c r="AX131" s="90" t="n">
        <f aca="false">IF(Q131&lt;&gt;1,1,IF(스프레드쇼크!$C$4="Y",INDEX(스프레드쇼크!$B$12:$L$16,IFERROR(MATCH(AH131,스프레드쇼크!$A$12:$A$16,0),MATCH("목록외",스프레드쇼크!$A$12:$A$16,0)),IFERROR(MATCH(AG131,스프레드쇼크!$B$11:$L$11,0),MATCH("목록외",스프레드쇼크!$B$11:$L$11,0))),1))</f>
        <v>1</v>
      </c>
      <c r="AY131" s="90" t="n">
        <f aca="false">IF(스프레드쇼크!$C$5="Y",IF(ISNUMBER(AF131),MIN(스프레드쇼크!$C$7,MAX(스프레드쇼크!$C$6,AF131/스프레드쇼크!$C$8)),1),1)</f>
        <v>1.0956226114438</v>
      </c>
      <c r="AZ131" s="94" t="n">
        <f aca="false">AN131*AX131*AY131</f>
        <v>995.322538821746</v>
      </c>
      <c r="BA131" s="90" t="n">
        <f aca="false">IF(ISNUMBER(G131),AA131*G131,0)</f>
        <v>16.9822343064</v>
      </c>
      <c r="BB131" s="90" t="n">
        <f aca="false">IF(ISNUMBER(G131),AA131,0)</f>
        <v>2.936274</v>
      </c>
      <c r="BC131" s="90" t="n">
        <f aca="false">IF(AND(Y131=0,ISNUMBER(AF131)),AA131*AF131,0)</f>
        <v>212.691943464</v>
      </c>
      <c r="BD131" s="90" t="n">
        <f aca="false">IF(AND(Y131=0,ISNUMBER(AF131)),AA131,0)</f>
        <v>2.936274</v>
      </c>
      <c r="BE131" s="90" t="n">
        <f aca="false">IF(ISNUMBER(H131),AA131*H131,0)</f>
        <v>9.0845381286</v>
      </c>
      <c r="BF131" s="90" t="n">
        <f aca="false">IF(ISNUMBER(H131),AA131,0)</f>
        <v>2.936274</v>
      </c>
      <c r="BG131" s="90" t="n">
        <f aca="false">IF(AND(Y131=0,ISNUMBER(AF131),ISNUMBER(Z131)),AA131*Z131,0)</f>
        <v>9.0845381286</v>
      </c>
      <c r="BH131" s="90" t="n">
        <f aca="false">IF(AND(Y131=0,ISNUMBER(AF131),ISNUMBER(Z131)),AA131*AT131*MAX(Z131-1,0),0)</f>
        <v>63.4391736237844</v>
      </c>
      <c r="BI131" s="90" t="n">
        <f aca="false">IF(Y131=0,AA131,0)</f>
        <v>2.936274</v>
      </c>
    </row>
    <row r="132" customFormat="false" ht="15" hidden="false" customHeight="false" outlineLevel="0" collapsed="false">
      <c r="A132" s="83" t="str">
        <f aca="false">IFERROR(IF(INDEX(원자료_잔고!$A$1:$EZ$1500,설정!$L$5+ROW()-1,설정!$L$8)&amp;""="0","",INDEX(원자료_잔고!$A$1:$EZ$1500,설정!$L$5+ROW()-1,설정!$L$8)&amp;""),"")</f>
        <v>PKX 5.125 05/07/30</v>
      </c>
      <c r="B132" s="83" t="str">
        <f aca="false">IFERROR(IF(INDEX(원자료_잔고!$A$1:$EZ$1500,설정!$L$5+ROW()-1,설정!$L$7)&amp;""="0","",INDEX(원자료_잔고!$A$1:$EZ$1500,설정!$L$5+ROW()-1,설정!$L$7)&amp;""),"")</f>
        <v>USY70750CB13</v>
      </c>
      <c r="C132" s="83" t="str">
        <f aca="false">IFERROR(IF(INDEX(원자료_잔고!$A$1:$EZ$1500,설정!$L$5+ROW()-1,설정!$L$9)&amp;""="0","",INDEX(원자료_잔고!$A$1:$EZ$1500,설정!$L$5+ROW()-1,설정!$L$9)&amp;""),"")</f>
        <v>34507</v>
      </c>
      <c r="D13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2" s="84" t="n">
        <f aca="false">IFERROR(IF(ISNUMBER(INDEX(원자료_잔고!$A$1:$EZ$1500,설정!$L$5+ROW()-1,설정!$L$11)),INDEX(원자료_잔고!$A$1:$EZ$1500,설정!$L$5+ROW()-1,설정!$L$11),""),"")</f>
        <v>10000000</v>
      </c>
      <c r="F132" s="85" t="n">
        <f aca="false">IFERROR(IF(ISNUMBER(INDEX(원자료_잔고!$A$1:$EZ$1500,설정!$L$5+ROW()-1,설정!$L$12)),INDEX(원자료_잔고!$A$1:$EZ$1500,설정!$L$5+ROW()-1,설정!$L$12),""),"")</f>
        <v>97.8758</v>
      </c>
      <c r="G132" s="85" t="n">
        <f aca="false">IFERROR(IF(ISNUMBER(INDEX(원자료_잔고!$A$1:$EZ$1500,설정!$L$5+ROW()-1,설정!$L$13)),INDEX(원자료_잔고!$A$1:$EZ$1500,설정!$L$5+ROW()-1,설정!$L$13),""),"")</f>
        <v>5.7836</v>
      </c>
      <c r="H132" s="85" t="n">
        <f aca="false">IFERROR(IF(ISNUMBER(INDEX(원자료_잔고!$A$1:$EZ$1500,설정!$L$5+ROW()-1,설정!$L$14)),INDEX(원자료_잔고!$A$1:$EZ$1500,설정!$L$5+ROW()-1,설정!$L$14),""),"")</f>
        <v>3.0939</v>
      </c>
      <c r="I132" s="86" t="n">
        <f aca="false">IFERROR(IF(ISNUMBER(INDEX(원자료_잔고!$A$1:$EZ$1500,설정!$L$5+ROW()-1,설정!$L$15)),INDEX(원자료_잔고!$A$1:$EZ$1500,설정!$L$5+ROW()-1,설정!$L$15),""),"")</f>
        <v>47610</v>
      </c>
      <c r="J132" s="85" t="n">
        <f aca="false">IFERROR(IF(ISNUMBER(INDEX(원자료_잔고!$A$1:$EZ$1500,설정!$L$5+ROW()-1,설정!$L$16)),INDEX(원자료_잔고!$A$1:$EZ$1500,설정!$L$5+ROW()-1,설정!$L$16),""),"")</f>
        <v>5.125</v>
      </c>
      <c r="K132" s="87" t="n">
        <f aca="false">IFERROR(IF(ISNUMBER(INDEX(원자료_잔고!$A$1:$EZ$1500,설정!$L$5+ROW()-1,설정!$L$17)),INDEX(원자료_잔고!$A$1:$EZ$1500,설정!$L$5+ROW()-1,설정!$L$17),""),"")</f>
        <v>1</v>
      </c>
      <c r="L132" s="84" t="n">
        <f aca="false">IFERROR(IF(ISNUMBER(INDEX(원자료_잔고!$A$1:$EZ$1500,설정!$L$5+ROW()-1,설정!$L$18)),INDEX(원자료_잔고!$A$1:$EZ$1500,설정!$L$5+ROW()-1,설정!$L$18),""),"")</f>
        <v>9787580</v>
      </c>
      <c r="M132" s="88" t="n">
        <f aca="false">IFERROR(IF(ISNUMBER(INDEX(원자료_잔고!$A$1:$EZ$1500,설정!$L$5+ROW()-1,설정!$L$19)),INDEX(원자료_잔고!$A$1:$EZ$1500,설정!$L$5+ROW()-1,설정!$L$19),""),"")</f>
        <v>-68420</v>
      </c>
      <c r="N132" s="83" t="str">
        <f aca="false">IFERROR(IF(INDEX(원자료_잔고!$A$1:$EZ$1500,설정!$L$5+ROW()-1,설정!$L$21)&amp;""="0","",INDEX(원자료_잔고!$A$1:$EZ$1500,설정!$L$5+ROW()-1,설정!$L$21)&amp;""),"")</f>
        <v>BBB+</v>
      </c>
      <c r="O132" s="83" t="str">
        <f aca="false">IFERROR(IF(INDEX(원자료_잔고!$A$1:$EZ$1500,설정!$L$5+ROW()-1,설정!$L$22)&amp;""="0","",INDEX(원자료_잔고!$A$1:$EZ$1500,설정!$L$5+ROW()-1,설정!$L$22)&amp;""),"")</f>
        <v/>
      </c>
      <c r="P132" s="83" t="str">
        <f aca="false">IFERROR(IF(INDEX(원자료_잔고!$A$1:$EZ$1500,설정!$L$5+ROW()-1,설정!$L$23)&amp;""="0","",INDEX(원자료_잔고!$A$1:$EZ$1500,설정!$L$5+ROW()-1,설정!$L$23)&amp;""),"")</f>
        <v>N/A</v>
      </c>
      <c r="Q132" s="89" t="n">
        <f aca="false">IF(AND($A132&lt;&gt;"",ISNUMBER(E132)),IF(E132&gt;0,1,0),0)</f>
        <v>1</v>
      </c>
      <c r="R132" s="43" t="str">
        <f aca="false">IF(Q132=1,UPPER(LEFT($A132,FIND(" ",$A132&amp;" ")-1)),"")</f>
        <v>PKX</v>
      </c>
      <c r="S132" s="89" t="n">
        <f aca="false">IF(Q132=1,IF(OR(ISNUMBER(SEARCH("Float",$A132)),ISNUMBER(SEARCH("FRN",$A132))),1,0),0)</f>
        <v>0</v>
      </c>
      <c r="T132" s="43" t="str">
        <f aca="false">IF(AND(Q132=1,ISNUMBER(I132)),TEXT(I132,"yyyymmdd")&amp;"|"&amp;IF(S132=1,"F",TEXT(J132,"0.000")),"")</f>
        <v>20300507|5.125</v>
      </c>
      <c r="U132" s="90" t="n">
        <f aca="false">IF(AND(Q132=1,ISNUMBER(I132)),(I132-설정!$C$4)/365.25,"")</f>
        <v>3.59753593429158</v>
      </c>
      <c r="V132" s="43" t="str">
        <f aca="false">IF(Q132&lt;&gt;1,"",IF(ISNUMBER(U132),IF(U132&lt;=1,"1년 이하",IF(U132&lt;=2,"1-2년",IF(U132&lt;=3,"2-3년",IF(U132&lt;=4,"3-4년",IF(U132&lt;=5,"4-5년",IF(U132&lt;=7,"5-7년",IF(U132&lt;=10,"7-10년",IF(U132&lt;=20,"10-20년","20년 이상")))))))),"미분류"))</f>
        <v>3-4년</v>
      </c>
      <c r="W132" s="43" t="str">
        <f aca="false">IF(Q132&lt;&gt;1,"",IF(AB132&lt;&gt;"",INDEX(시장분석!$C:$C,AB132),IF(K132=1,"USD","비USD")))</f>
        <v>USD</v>
      </c>
      <c r="X132" s="91" t="n">
        <f aca="false">IF(Q132=1,E132*K132/1000000,0)</f>
        <v>10</v>
      </c>
      <c r="Y132" s="89" t="n">
        <f aca="false">IF(R132="T",1,0)</f>
        <v>0</v>
      </c>
      <c r="Z132" s="92" t="n">
        <f aca="false">IF(Q132&lt;&gt;1,"",IF(AD132=1,IF(ISNUMBER(U132),MAX(U132,0),H132),H132))</f>
        <v>3.0939</v>
      </c>
      <c r="AA132" s="91" t="n">
        <f aca="false">IF(Q132=1,IF(ISNUMBER(L132),L132,0)*K132/1000000,0)</f>
        <v>9.78758</v>
      </c>
      <c r="AB132" s="89" t="n">
        <f aca="false">IF(Q132&lt;&gt;1,"",IFERROR(MATCH(VLOOKUP(B132,매핑!$H$4:$I$15,2,0),시장분석!$A$2:$A$601,0)+1,IFERROR(MATCH(R132&amp;"|"&amp;T132,시장분석!$V$2:$V$601,0)+1,IF(COUNTIF(시장분석!$U$2:$U$601,T132)=1,MATCH(T132,시장분석!$U$2:$U$601,0)+1,""))))</f>
        <v>191</v>
      </c>
      <c r="AC132" s="89" t="n">
        <f aca="false">IF(Q132&lt;&gt;1,0,IF(OR(설정!$C$5="전체",AND(설정!$C$5="선택펀드",IFERROR(COUNTIFS(설정!$F$16:$F$36,C132,설정!$G$16:$G$36,"Y")+COUNTIFS(설정!$F$16:$F$36,VALUE(C132),설정!$G$16:$G$36,"Y"),0)&gt;0),C132&amp;""=설정!$C$5&amp;""),1,0))</f>
        <v>1</v>
      </c>
      <c r="AD132" s="89" t="n">
        <f aca="false">IF(Q132&lt;&gt;1,0,IF(OR(S132=1,IF(AB132="",FALSE(),INDEX(시장분석!$R:$R,AB132)=1)),1,0))</f>
        <v>0</v>
      </c>
      <c r="AE132" s="43" t="str">
        <f aca="false">IF(AB132="","",INDEX(시장분석!$A:$A,AB132))</f>
        <v>PKX 5 1/8 05/07/30</v>
      </c>
      <c r="AF132" s="93" t="n">
        <f aca="false">IF(AB132="","",IF(ISNUMBER(IF(AB132="","",INDEX(시장분석!$E:$E,AB132))),IF(AB132="","",INDEX(시장분석!$E:$E,AB132)),""))</f>
        <v>72.436</v>
      </c>
      <c r="AG132" s="43" t="str">
        <f aca="false">IF(Q132&lt;&gt;1,"",IF(AB132&lt;&gt;"",IF(AB132="","",INDEX(시장분석!$L:$L,AB132)),IFERROR(IF(VLOOKUP(R132,매핑!$A$4:$E$92,5,0)="","미분류",VLOOKUP(R132,매핑!$A$4:$E$92,5,0)),"미분류")))</f>
        <v>원자재</v>
      </c>
      <c r="AH132" s="43" t="str">
        <f aca="false">IF(Q132&lt;&gt;1,"",IF(AB132&lt;&gt;"",IF(AB132="","",INDEX(시장분석!$N:$N,AB132)),IFERROR(IF(VLOOKUP(R132,매핑!$A$4:$E$92,4,0)="","미분류",VLOOKUP(R132,매핑!$A$4:$E$92,4,0)),"미분류")))</f>
        <v>아시아/기타</v>
      </c>
      <c r="AI132" s="43" t="str">
        <f aca="false">IF(Q132&lt;&gt;1,"",IFERROR(IF(VLOOKUP(R132,매핑!$A$4:$E$92,3,0)="","미분류",VLOOKUP(R132,매핑!$A$4:$E$92,3,0)),IF(AB132&lt;&gt;"",IF(AB132="","",INDEX(시장분석!$W:$W,AB132)),"미분류")))</f>
        <v>한국</v>
      </c>
      <c r="AJ132" s="43" t="str">
        <f aca="false">IF(Q132&lt;&gt;1,"",IFERROR(VLOOKUP(IF(N132&lt;&gt;"",N132,IF(P132&lt;&gt;"",P132,O132)),설정!$A$15:$D$47,2,0),""))</f>
        <v>BBB+</v>
      </c>
      <c r="AK132" s="43" t="str">
        <f aca="false">IF(Q132&lt;&gt;1,"",IF(AJ132="","무등급",IFERROR(VLOOKUP(AJ132,설정!$A$15:$D$47,3,0),"무등급")))</f>
        <v>BBB</v>
      </c>
      <c r="AL132" s="89" t="n">
        <f aca="false">IF(AJ132="",99,IFERROR(VLOOKUP(AJ132,설정!$A$15:$D$47,4,0),99))</f>
        <v>8</v>
      </c>
      <c r="AM132" s="94" t="n">
        <f aca="false">IF(ISNUMBER(H132),AA132*1000000*H132/10000,0)</f>
        <v>3028.1793762</v>
      </c>
      <c r="AN132" s="94" t="n">
        <f aca="false">IF(OR(Y132=1,NOT(ISNUMBER(Z132))),0,AA132*1000000*Z132/10000)</f>
        <v>3028.1793762</v>
      </c>
      <c r="AO132" s="94" t="n">
        <f aca="false">IF(ISNUMBER(G132),AA132*1000000*G132/100,0)</f>
        <v>566074.47688</v>
      </c>
      <c r="AP132" s="94" t="n">
        <f aca="false">IF(ISNUMBER(M132),M132*K132,0)</f>
        <v>-68420</v>
      </c>
      <c r="AQ132" s="95" t="n">
        <f aca="false">IF(AB132="","",INDEX(시장분석!$AK:$AK,AB132))</f>
        <v>-0.36285375172492</v>
      </c>
      <c r="AR132" s="43" t="str">
        <f aca="false">IF(AB132="","-",IF(AB132="","",INDEX(시장분석!$AL:$AL,AB132)))</f>
        <v>Fair</v>
      </c>
      <c r="AS132" s="96" t="n">
        <f aca="false">IF(AB132="","",INDEX(시장분석!$AJ:$AJ,AB132))</f>
        <v>-4.01680592835896</v>
      </c>
      <c r="AT132" s="93" t="n">
        <f aca="false">IF(AB132="",0,IF(AB132="","",INDEX(시장분석!$AN:$AN,AB132)))</f>
        <v>10.3182251602827</v>
      </c>
      <c r="AU132" s="94" t="n">
        <f aca="false">IF(ISNUMBER(Z132),AT132/10000*MAX(Z132-1,0)*AA132*1000000,0)</f>
        <v>21146.3912079281</v>
      </c>
      <c r="AV132" s="94" t="n">
        <f aca="false">AO132+AU132</f>
        <v>587220.868087928</v>
      </c>
      <c r="AW132" s="43" t="str">
        <f aca="false">IF(Q132&lt;&gt;1,"",TRIM(IF(AD132=1,"FRN ","")&amp;IF(AND(AL132&gt;=10,AL132&lt;99),"BBB0미만 ","")&amp;IF(AJ132="","등급없음 ","")&amp;IF(K132&lt;&gt;1,"비USD ","")&amp;IF(AND(AB132="",Y132=0),"시장데이터없음 ","")&amp;IF(AND(ISNUMBER(U132),U132&lt;0),"만기경과 ","")))</f>
        <v/>
      </c>
      <c r="AX132" s="90" t="n">
        <f aca="false">IF(Q132&lt;&gt;1,1,IF(스프레드쇼크!$C$4="Y",INDEX(스프레드쇼크!$B$12:$L$16,IFERROR(MATCH(AH132,스프레드쇼크!$A$12:$A$16,0),MATCH("목록외",스프레드쇼크!$A$12:$A$16,0)),IFERROR(MATCH(AG132,스프레드쇼크!$B$11:$L$11,0),MATCH("목록외",스프레드쇼크!$B$11:$L$11,0))),1))</f>
        <v>1</v>
      </c>
      <c r="AY132" s="90" t="n">
        <f aca="false">IF(스프레드쇼크!$C$5="Y",IF(ISNUMBER(AF132),MIN(스프레드쇼크!$C$7,MAX(스프레드쇼크!$C$6,AF132/스프레드쇼크!$C$8)),1),1)</f>
        <v>1.0956226114438</v>
      </c>
      <c r="AZ132" s="94" t="n">
        <f aca="false">AN132*AX132*AY132</f>
        <v>3317.74179607249</v>
      </c>
      <c r="BA132" s="90" t="n">
        <f aca="false">IF(ISNUMBER(G132),AA132*G132,0)</f>
        <v>56.607447688</v>
      </c>
      <c r="BB132" s="90" t="n">
        <f aca="false">IF(ISNUMBER(G132),AA132,0)</f>
        <v>9.78758</v>
      </c>
      <c r="BC132" s="90" t="n">
        <f aca="false">IF(AND(Y132=0,ISNUMBER(AF132)),AA132*AF132,0)</f>
        <v>708.97314488</v>
      </c>
      <c r="BD132" s="90" t="n">
        <f aca="false">IF(AND(Y132=0,ISNUMBER(AF132)),AA132,0)</f>
        <v>9.78758</v>
      </c>
      <c r="BE132" s="90" t="n">
        <f aca="false">IF(ISNUMBER(H132),AA132*H132,0)</f>
        <v>30.281793762</v>
      </c>
      <c r="BF132" s="90" t="n">
        <f aca="false">IF(ISNUMBER(H132),AA132,0)</f>
        <v>9.78758</v>
      </c>
      <c r="BG132" s="90" t="n">
        <f aca="false">IF(AND(Y132=0,ISNUMBER(AF132),ISNUMBER(Z132)),AA132*Z132,0)</f>
        <v>30.281793762</v>
      </c>
      <c r="BH132" s="90" t="n">
        <f aca="false">IF(AND(Y132=0,ISNUMBER(AF132),ISNUMBER(Z132)),AA132*AT132*MAX(Z132-1,0),0)</f>
        <v>211.463912079281</v>
      </c>
      <c r="BI132" s="90" t="n">
        <f aca="false">IF(Y132=0,AA132,0)</f>
        <v>9.78758</v>
      </c>
    </row>
    <row r="133" customFormat="false" ht="15" hidden="false" customHeight="false" outlineLevel="0" collapsed="false">
      <c r="A133" s="83" t="str">
        <f aca="false">IFERROR(IF(INDEX(원자료_잔고!$A$1:$EZ$1500,설정!$L$5+ROW()-1,설정!$L$8)&amp;""="0","",INDEX(원자료_잔고!$A$1:$EZ$1500,설정!$L$5+ROW()-1,설정!$L$8)&amp;""),"")</f>
        <v>POHANG 4.5 01/16/31</v>
      </c>
      <c r="B133" s="83" t="str">
        <f aca="false">IFERROR(IF(INDEX(원자료_잔고!$A$1:$EZ$1500,설정!$L$5+ROW()-1,설정!$L$7)&amp;""="0","",INDEX(원자료_잔고!$A$1:$EZ$1500,설정!$L$5+ROW()-1,설정!$L$7)&amp;""),"")</f>
        <v>USY7S272AL69</v>
      </c>
      <c r="C133" s="83" t="str">
        <f aca="false">IFERROR(IF(INDEX(원자료_잔고!$A$1:$EZ$1500,설정!$L$5+ROW()-1,설정!$L$9)&amp;""="0","",INDEX(원자료_잔고!$A$1:$EZ$1500,설정!$L$5+ROW()-1,설정!$L$9)&amp;""),"")</f>
        <v>34507</v>
      </c>
      <c r="D13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3" s="84" t="n">
        <f aca="false">IFERROR(IF(ISNUMBER(INDEX(원자료_잔고!$A$1:$EZ$1500,설정!$L$5+ROW()-1,설정!$L$11)),INDEX(원자료_잔고!$A$1:$EZ$1500,설정!$L$5+ROW()-1,설정!$L$11),""),"")</f>
        <v>200000</v>
      </c>
      <c r="F133" s="85" t="n">
        <f aca="false">IFERROR(IF(ISNUMBER(INDEX(원자료_잔고!$A$1:$EZ$1500,설정!$L$5+ROW()-1,설정!$L$12)),INDEX(원자료_잔고!$A$1:$EZ$1500,설정!$L$5+ROW()-1,설정!$L$12),""),"")</f>
        <v>95.2993</v>
      </c>
      <c r="G133" s="85" t="n">
        <f aca="false">IFERROR(IF(ISNUMBER(INDEX(원자료_잔고!$A$1:$EZ$1500,설정!$L$5+ROW()-1,설정!$L$13)),INDEX(원자료_잔고!$A$1:$EZ$1500,설정!$L$5+ROW()-1,설정!$L$13),""),"")</f>
        <v>5.7484</v>
      </c>
      <c r="H133" s="85" t="n">
        <f aca="false">IFERROR(IF(ISNUMBER(INDEX(원자료_잔고!$A$1:$EZ$1500,설정!$L$5+ROW()-1,설정!$L$14)),INDEX(원자료_잔고!$A$1:$EZ$1500,설정!$L$5+ROW()-1,설정!$L$14),""),"")</f>
        <v>3.7171</v>
      </c>
      <c r="I133" s="86" t="n">
        <f aca="false">IFERROR(IF(ISNUMBER(INDEX(원자료_잔고!$A$1:$EZ$1500,설정!$L$5+ROW()-1,설정!$L$15)),INDEX(원자료_잔고!$A$1:$EZ$1500,설정!$L$5+ROW()-1,설정!$L$15),""),"")</f>
        <v>47864</v>
      </c>
      <c r="J133" s="85" t="n">
        <f aca="false">IFERROR(IF(ISNUMBER(INDEX(원자료_잔고!$A$1:$EZ$1500,설정!$L$5+ROW()-1,설정!$L$16)),INDEX(원자료_잔고!$A$1:$EZ$1500,설정!$L$5+ROW()-1,설정!$L$16),""),"")</f>
        <v>4.5</v>
      </c>
      <c r="K133" s="87" t="n">
        <f aca="false">IFERROR(IF(ISNUMBER(INDEX(원자료_잔고!$A$1:$EZ$1500,설정!$L$5+ROW()-1,설정!$L$17)),INDEX(원자료_잔고!$A$1:$EZ$1500,설정!$L$5+ROW()-1,설정!$L$17),""),"")</f>
        <v>1</v>
      </c>
      <c r="L133" s="84" t="n">
        <f aca="false">IFERROR(IF(ISNUMBER(INDEX(원자료_잔고!$A$1:$EZ$1500,설정!$L$5+ROW()-1,설정!$L$18)),INDEX(원자료_잔고!$A$1:$EZ$1500,설정!$L$5+ROW()-1,설정!$L$18),""),"")</f>
        <v>190598.6</v>
      </c>
      <c r="M133" s="88" t="n">
        <f aca="false">IFERROR(IF(ISNUMBER(INDEX(원자료_잔고!$A$1:$EZ$1500,설정!$L$5+ROW()-1,설정!$L$19)),INDEX(원자료_잔고!$A$1:$EZ$1500,설정!$L$5+ROW()-1,설정!$L$19),""),"")</f>
        <v>-9295.4</v>
      </c>
      <c r="N133" s="83" t="str">
        <f aca="false">IFERROR(IF(INDEX(원자료_잔고!$A$1:$EZ$1500,설정!$L$5+ROW()-1,설정!$L$21)&amp;""="0","",INDEX(원자료_잔고!$A$1:$EZ$1500,설정!$L$5+ROW()-1,설정!$L$21)&amp;""),"")</f>
        <v>BBB+</v>
      </c>
      <c r="O133" s="83" t="str">
        <f aca="false">IFERROR(IF(INDEX(원자료_잔고!$A$1:$EZ$1500,설정!$L$5+ROW()-1,설정!$L$22)&amp;""="0","",INDEX(원자료_잔고!$A$1:$EZ$1500,설정!$L$5+ROW()-1,설정!$L$22)&amp;""),"")</f>
        <v/>
      </c>
      <c r="P133" s="83" t="str">
        <f aca="false">IFERROR(IF(INDEX(원자료_잔고!$A$1:$EZ$1500,설정!$L$5+ROW()-1,설정!$L$23)&amp;""="0","",INDEX(원자료_잔고!$A$1:$EZ$1500,설정!$L$5+ROW()-1,설정!$L$23)&amp;""),"")</f>
        <v>N/A</v>
      </c>
      <c r="Q133" s="89" t="n">
        <f aca="false">IF(AND($A133&lt;&gt;"",ISNUMBER(E133)),IF(E133&gt;0,1,0),0)</f>
        <v>1</v>
      </c>
      <c r="R133" s="43" t="str">
        <f aca="false">IF(Q133=1,UPPER(LEFT($A133,FIND(" ",$A133&amp;" ")-1)),"")</f>
        <v>POHANG</v>
      </c>
      <c r="S133" s="89" t="n">
        <f aca="false">IF(Q133=1,IF(OR(ISNUMBER(SEARCH("Float",$A133)),ISNUMBER(SEARCH("FRN",$A133))),1,0),0)</f>
        <v>0</v>
      </c>
      <c r="T133" s="43" t="str">
        <f aca="false">IF(AND(Q133=1,ISNUMBER(I133)),TEXT(I133,"yyyymmdd")&amp;"|"&amp;IF(S133=1,"F",TEXT(J133,"0.000")),"")</f>
        <v>20310116|4.500</v>
      </c>
      <c r="U133" s="90" t="n">
        <f aca="false">IF(AND(Q133=1,ISNUMBER(I133)),(I133-설정!$C$4)/365.25,"")</f>
        <v>4.29295003422314</v>
      </c>
      <c r="V133" s="43" t="str">
        <f aca="false">IF(Q133&lt;&gt;1,"",IF(ISNUMBER(U133),IF(U133&lt;=1,"1년 이하",IF(U133&lt;=2,"1-2년",IF(U133&lt;=3,"2-3년",IF(U133&lt;=4,"3-4년",IF(U133&lt;=5,"4-5년",IF(U133&lt;=7,"5-7년",IF(U133&lt;=10,"7-10년",IF(U133&lt;=20,"10-20년","20년 이상")))))))),"미분류"))</f>
        <v>4-5년</v>
      </c>
      <c r="W133" s="43" t="str">
        <f aca="false">IF(Q133&lt;&gt;1,"",IF(AB133&lt;&gt;"",INDEX(시장분석!$C:$C,AB133),IF(K133=1,"USD","비USD")))</f>
        <v>USD</v>
      </c>
      <c r="X133" s="91" t="n">
        <f aca="false">IF(Q133=1,E133*K133/1000000,0)</f>
        <v>0.2</v>
      </c>
      <c r="Y133" s="89" t="n">
        <f aca="false">IF(R133="T",1,0)</f>
        <v>0</v>
      </c>
      <c r="Z133" s="92" t="n">
        <f aca="false">IF(Q133&lt;&gt;1,"",IF(AD133=1,IF(ISNUMBER(U133),MAX(U133,0),H133),H133))</f>
        <v>3.7171</v>
      </c>
      <c r="AA133" s="91" t="n">
        <f aca="false">IF(Q133=1,IF(ISNUMBER(L133),L133,0)*K133/1000000,0)</f>
        <v>0.1905986</v>
      </c>
      <c r="AB133" s="89" t="n">
        <f aca="false">IF(Q133&lt;&gt;1,"",IFERROR(MATCH(VLOOKUP(B133,매핑!$H$4:$I$15,2,0),시장분석!$A$2:$A$601,0)+1,IFERROR(MATCH(R133&amp;"|"&amp;T133,시장분석!$V$2:$V$601,0)+1,IF(COUNTIF(시장분석!$U$2:$U$601,T133)=1,MATCH(T133,시장분석!$U$2:$U$601,0)+1,""))))</f>
        <v>196</v>
      </c>
      <c r="AC133" s="89" t="n">
        <f aca="false">IF(Q133&lt;&gt;1,0,IF(OR(설정!$C$5="전체",AND(설정!$C$5="선택펀드",IFERROR(COUNTIFS(설정!$F$16:$F$36,C133,설정!$G$16:$G$36,"Y")+COUNTIFS(설정!$F$16:$F$36,VALUE(C133),설정!$G$16:$G$36,"Y"),0)&gt;0),C133&amp;""=설정!$C$5&amp;""),1,0))</f>
        <v>1</v>
      </c>
      <c r="AD133" s="89" t="n">
        <f aca="false">IF(Q133&lt;&gt;1,0,IF(OR(S133=1,IF(AB133="",FALSE(),INDEX(시장분석!$R:$R,AB133)=1)),1,0))</f>
        <v>0</v>
      </c>
      <c r="AE133" s="43" t="str">
        <f aca="false">IF(AB133="","",INDEX(시장분석!$A:$A,AB133))</f>
        <v>POHANG 4 1/2 01/16/31</v>
      </c>
      <c r="AF133" s="93" t="n">
        <f aca="false">IF(AB133="","",IF(ISNUMBER(IF(AB133="","",INDEX(시장분석!$E:$E,AB133))),IF(AB133="","",INDEX(시장분석!$E:$E,AB133)),""))</f>
        <v>71.457</v>
      </c>
      <c r="AG133" s="43" t="str">
        <f aca="false">IF(Q133&lt;&gt;1,"",IF(AB133&lt;&gt;"",IF(AB133="","",INDEX(시장분석!$L:$L,AB133)),IFERROR(IF(VLOOKUP(R133,매핑!$A$4:$E$92,5,0)="","미분류",VLOOKUP(R133,매핑!$A$4:$E$92,5,0)),"미분류")))</f>
        <v>원자재</v>
      </c>
      <c r="AH133" s="43" t="str">
        <f aca="false">IF(Q133&lt;&gt;1,"",IF(AB133&lt;&gt;"",IF(AB133="","",INDEX(시장분석!$N:$N,AB133)),IFERROR(IF(VLOOKUP(R133,매핑!$A$4:$E$92,4,0)="","미분류",VLOOKUP(R133,매핑!$A$4:$E$92,4,0)),"미분류")))</f>
        <v>아시아/기타</v>
      </c>
      <c r="AI133" s="43" t="str">
        <f aca="false">IF(Q133&lt;&gt;1,"",IFERROR(IF(VLOOKUP(R133,매핑!$A$4:$E$92,3,0)="","미분류",VLOOKUP(R133,매핑!$A$4:$E$92,3,0)),IF(AB133&lt;&gt;"",IF(AB133="","",INDEX(시장분석!$W:$W,AB133)),"미분류")))</f>
        <v>한국</v>
      </c>
      <c r="AJ133" s="43" t="str">
        <f aca="false">IF(Q133&lt;&gt;1,"",IFERROR(VLOOKUP(IF(N133&lt;&gt;"",N133,IF(P133&lt;&gt;"",P133,O133)),설정!$A$15:$D$47,2,0),""))</f>
        <v>BBB+</v>
      </c>
      <c r="AK133" s="43" t="str">
        <f aca="false">IF(Q133&lt;&gt;1,"",IF(AJ133="","무등급",IFERROR(VLOOKUP(AJ133,설정!$A$15:$D$47,3,0),"무등급")))</f>
        <v>BBB</v>
      </c>
      <c r="AL133" s="89" t="n">
        <f aca="false">IF(AJ133="",99,IFERROR(VLOOKUP(AJ133,설정!$A$15:$D$47,4,0),99))</f>
        <v>8</v>
      </c>
      <c r="AM133" s="94" t="n">
        <f aca="false">IF(ISNUMBER(H133),AA133*1000000*H133/10000,0)</f>
        <v>70.847405606</v>
      </c>
      <c r="AN133" s="94" t="n">
        <f aca="false">IF(OR(Y133=1,NOT(ISNUMBER(Z133))),0,AA133*1000000*Z133/10000)</f>
        <v>70.847405606</v>
      </c>
      <c r="AO133" s="94" t="n">
        <f aca="false">IF(ISNUMBER(G133),AA133*1000000*G133/100,0)</f>
        <v>10956.3699224</v>
      </c>
      <c r="AP133" s="94" t="n">
        <f aca="false">IF(ISNUMBER(M133),M133*K133,0)</f>
        <v>-9295.4</v>
      </c>
      <c r="AQ133" s="95" t="n">
        <f aca="false">IF(AB133="","",INDEX(시장분석!$AK:$AK,AB133))</f>
        <v>-0.907941481009276</v>
      </c>
      <c r="AR133" s="43" t="str">
        <f aca="false">IF(AB133="","-",IF(AB133="","",INDEX(시장분석!$AL:$AL,AB133)))</f>
        <v>Fair</v>
      </c>
      <c r="AS133" s="96" t="n">
        <f aca="false">IF(AB133="","",INDEX(시장분석!$AJ:$AJ,AB133))</f>
        <v>-10.0509494698181</v>
      </c>
      <c r="AT133" s="93" t="n">
        <f aca="false">IF(AB133="",0,IF(AB133="","",INDEX(시장분석!$AN:$AN,AB133)))</f>
        <v>8.34093513183217</v>
      </c>
      <c r="AU133" s="94" t="n">
        <f aca="false">IF(ISNUMBER(Z133),AT133/10000*MAX(Z133-1,0)*AA133*1000000,0)</f>
        <v>431.956558536446</v>
      </c>
      <c r="AV133" s="94" t="n">
        <f aca="false">AO133+AU133</f>
        <v>11388.3264809364</v>
      </c>
      <c r="AW133" s="43" t="str">
        <f aca="false">IF(Q133&lt;&gt;1,"",TRIM(IF(AD133=1,"FRN ","")&amp;IF(AND(AL133&gt;=10,AL133&lt;99),"BBB0미만 ","")&amp;IF(AJ133="","등급없음 ","")&amp;IF(K133&lt;&gt;1,"비USD ","")&amp;IF(AND(AB133="",Y133=0),"시장데이터없음 ","")&amp;IF(AND(ISNUMBER(U133),U133&lt;0),"만기경과 ","")))</f>
        <v/>
      </c>
      <c r="AX133" s="90" t="n">
        <f aca="false">IF(Q133&lt;&gt;1,1,IF(스프레드쇼크!$C$4="Y",INDEX(스프레드쇼크!$B$12:$L$16,IFERROR(MATCH(AH133,스프레드쇼크!$A$12:$A$16,0),MATCH("목록외",스프레드쇼크!$A$12:$A$16,0)),IFERROR(MATCH(AG133,스프레드쇼크!$B$11:$L$11,0),MATCH("목록외",스프레드쇼크!$B$11:$L$11,0))),1))</f>
        <v>1</v>
      </c>
      <c r="AY133" s="90" t="n">
        <f aca="false">IF(스프레드쇼크!$C$5="Y",IF(ISNUMBER(AF133),MIN(스프레드쇼크!$C$7,MAX(스프레드쇼크!$C$6,AF133/스프레드쇼크!$C$8)),1),1)</f>
        <v>1.08081485650698</v>
      </c>
      <c r="AZ133" s="94" t="n">
        <f aca="false">AN133*AX133*AY133</f>
        <v>76.5729285239404</v>
      </c>
      <c r="BA133" s="90" t="n">
        <f aca="false">IF(ISNUMBER(G133),AA133*G133,0)</f>
        <v>1.09563699224</v>
      </c>
      <c r="BB133" s="90" t="n">
        <f aca="false">IF(ISNUMBER(G133),AA133,0)</f>
        <v>0.1905986</v>
      </c>
      <c r="BC133" s="90" t="n">
        <f aca="false">IF(AND(Y133=0,ISNUMBER(AF133)),AA133*AF133,0)</f>
        <v>13.6196041602</v>
      </c>
      <c r="BD133" s="90" t="n">
        <f aca="false">IF(AND(Y133=0,ISNUMBER(AF133)),AA133,0)</f>
        <v>0.1905986</v>
      </c>
      <c r="BE133" s="90" t="n">
        <f aca="false">IF(ISNUMBER(H133),AA133*H133,0)</f>
        <v>0.70847405606</v>
      </c>
      <c r="BF133" s="90" t="n">
        <f aca="false">IF(ISNUMBER(H133),AA133,0)</f>
        <v>0.1905986</v>
      </c>
      <c r="BG133" s="90" t="n">
        <f aca="false">IF(AND(Y133=0,ISNUMBER(AF133),ISNUMBER(Z133)),AA133*Z133,0)</f>
        <v>0.70847405606</v>
      </c>
      <c r="BH133" s="90" t="n">
        <f aca="false">IF(AND(Y133=0,ISNUMBER(AF133),ISNUMBER(Z133)),AA133*AT133*MAX(Z133-1,0),0)</f>
        <v>4.31956558536446</v>
      </c>
      <c r="BI133" s="90" t="n">
        <f aca="false">IF(Y133=0,AA133,0)</f>
        <v>0.1905986</v>
      </c>
    </row>
    <row r="134" customFormat="false" ht="15" hidden="false" customHeight="false" outlineLevel="0" collapsed="false">
      <c r="A134" s="83" t="str">
        <f aca="false">IFERROR(IF(INDEX(원자료_잔고!$A$1:$EZ$1500,설정!$L$5+ROW()-1,설정!$L$8)&amp;""="0","",INDEX(원자료_잔고!$A$1:$EZ$1500,설정!$L$5+ROW()-1,설정!$L$8)&amp;""),"")</f>
        <v>POHANG 5 01/16/36</v>
      </c>
      <c r="B134" s="83" t="str">
        <f aca="false">IFERROR(IF(INDEX(원자료_잔고!$A$1:$EZ$1500,설정!$L$5+ROW()-1,설정!$L$7)&amp;""="0","",INDEX(원자료_잔고!$A$1:$EZ$1500,설정!$L$5+ROW()-1,설정!$L$7)&amp;""),"")</f>
        <v>USY7S272AM43</v>
      </c>
      <c r="C134" s="83" t="str">
        <f aca="false">IFERROR(IF(INDEX(원자료_잔고!$A$1:$EZ$1500,설정!$L$5+ROW()-1,설정!$L$9)&amp;""="0","",INDEX(원자료_잔고!$A$1:$EZ$1500,설정!$L$5+ROW()-1,설정!$L$9)&amp;""),"")</f>
        <v>34507</v>
      </c>
      <c r="D13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4" s="84" t="n">
        <f aca="false">IFERROR(IF(ISNUMBER(INDEX(원자료_잔고!$A$1:$EZ$1500,설정!$L$5+ROW()-1,설정!$L$11)),INDEX(원자료_잔고!$A$1:$EZ$1500,설정!$L$5+ROW()-1,설정!$L$11),""),"")</f>
        <v>200000</v>
      </c>
      <c r="F134" s="85" t="n">
        <f aca="false">IFERROR(IF(ISNUMBER(INDEX(원자료_잔고!$A$1:$EZ$1500,설정!$L$5+ROW()-1,설정!$L$12)),INDEX(원자료_잔고!$A$1:$EZ$1500,설정!$L$5+ROW()-1,설정!$L$12),""),"")</f>
        <v>91.8135</v>
      </c>
      <c r="G134" s="85" t="n">
        <f aca="false">IFERROR(IF(ISNUMBER(INDEX(원자료_잔고!$A$1:$EZ$1500,설정!$L$5+ROW()-1,설정!$L$13)),INDEX(원자료_잔고!$A$1:$EZ$1500,설정!$L$5+ROW()-1,설정!$L$13),""),"")</f>
        <v>6.1687</v>
      </c>
      <c r="H134" s="85" t="n">
        <f aca="false">IFERROR(IF(ISNUMBER(INDEX(원자료_잔고!$A$1:$EZ$1500,설정!$L$5+ROW()-1,설정!$L$14)),INDEX(원자료_잔고!$A$1:$EZ$1500,설정!$L$5+ROW()-1,설정!$L$14),""),"")</f>
        <v>6.9877</v>
      </c>
      <c r="I134" s="86" t="n">
        <f aca="false">IFERROR(IF(ISNUMBER(INDEX(원자료_잔고!$A$1:$EZ$1500,설정!$L$5+ROW()-1,설정!$L$15)),INDEX(원자료_잔고!$A$1:$EZ$1500,설정!$L$5+ROW()-1,설정!$L$15),""),"")</f>
        <v>49690</v>
      </c>
      <c r="J134" s="85" t="n">
        <f aca="false">IFERROR(IF(ISNUMBER(INDEX(원자료_잔고!$A$1:$EZ$1500,설정!$L$5+ROW()-1,설정!$L$16)),INDEX(원자료_잔고!$A$1:$EZ$1500,설정!$L$5+ROW()-1,설정!$L$16),""),"")</f>
        <v>5</v>
      </c>
      <c r="K134" s="87" t="n">
        <f aca="false">IFERROR(IF(ISNUMBER(INDEX(원자료_잔고!$A$1:$EZ$1500,설정!$L$5+ROW()-1,설정!$L$17)),INDEX(원자료_잔고!$A$1:$EZ$1500,설정!$L$5+ROW()-1,설정!$L$17),""),"")</f>
        <v>1</v>
      </c>
      <c r="L134" s="84" t="n">
        <f aca="false">IFERROR(IF(ISNUMBER(INDEX(원자료_잔고!$A$1:$EZ$1500,설정!$L$5+ROW()-1,설정!$L$18)),INDEX(원자료_잔고!$A$1:$EZ$1500,설정!$L$5+ROW()-1,설정!$L$18),""),"")</f>
        <v>183627</v>
      </c>
      <c r="M134" s="88" t="n">
        <f aca="false">IFERROR(IF(ISNUMBER(INDEX(원자료_잔고!$A$1:$EZ$1500,설정!$L$5+ROW()-1,설정!$L$19)),INDEX(원자료_잔고!$A$1:$EZ$1500,설정!$L$5+ROW()-1,설정!$L$19),""),"")</f>
        <v>-15053</v>
      </c>
      <c r="N134" s="83" t="str">
        <f aca="false">IFERROR(IF(INDEX(원자료_잔고!$A$1:$EZ$1500,설정!$L$5+ROW()-1,설정!$L$21)&amp;""="0","",INDEX(원자료_잔고!$A$1:$EZ$1500,설정!$L$5+ROW()-1,설정!$L$21)&amp;""),"")</f>
        <v>BBB+</v>
      </c>
      <c r="O134" s="83" t="str">
        <f aca="false">IFERROR(IF(INDEX(원자료_잔고!$A$1:$EZ$1500,설정!$L$5+ROW()-1,설정!$L$22)&amp;""="0","",INDEX(원자료_잔고!$A$1:$EZ$1500,설정!$L$5+ROW()-1,설정!$L$22)&amp;""),"")</f>
        <v/>
      </c>
      <c r="P134" s="83" t="str">
        <f aca="false">IFERROR(IF(INDEX(원자료_잔고!$A$1:$EZ$1500,설정!$L$5+ROW()-1,설정!$L$23)&amp;""="0","",INDEX(원자료_잔고!$A$1:$EZ$1500,설정!$L$5+ROW()-1,설정!$L$23)&amp;""),"")</f>
        <v>N/A</v>
      </c>
      <c r="Q134" s="89" t="n">
        <f aca="false">IF(AND($A134&lt;&gt;"",ISNUMBER(E134)),IF(E134&gt;0,1,0),0)</f>
        <v>1</v>
      </c>
      <c r="R134" s="43" t="str">
        <f aca="false">IF(Q134=1,UPPER(LEFT($A134,FIND(" ",$A134&amp;" ")-1)),"")</f>
        <v>POHANG</v>
      </c>
      <c r="S134" s="89" t="n">
        <f aca="false">IF(Q134=1,IF(OR(ISNUMBER(SEARCH("Float",$A134)),ISNUMBER(SEARCH("FRN",$A134))),1,0),0)</f>
        <v>0</v>
      </c>
      <c r="T134" s="43" t="str">
        <f aca="false">IF(AND(Q134=1,ISNUMBER(I134)),TEXT(I134,"yyyymmdd")&amp;"|"&amp;IF(S134=1,"F",TEXT(J134,"0.000")),"")</f>
        <v>20360116|5.000</v>
      </c>
      <c r="U134" s="90" t="n">
        <f aca="false">IF(AND(Q134=1,ISNUMBER(I134)),(I134-설정!$C$4)/365.25,"")</f>
        <v>9.29226557152635</v>
      </c>
      <c r="V134" s="43" t="str">
        <f aca="false">IF(Q134&lt;&gt;1,"",IF(ISNUMBER(U134),IF(U134&lt;=1,"1년 이하",IF(U134&lt;=2,"1-2년",IF(U134&lt;=3,"2-3년",IF(U134&lt;=4,"3-4년",IF(U134&lt;=5,"4-5년",IF(U134&lt;=7,"5-7년",IF(U134&lt;=10,"7-10년",IF(U134&lt;=20,"10-20년","20년 이상")))))))),"미분류"))</f>
        <v>7-10년</v>
      </c>
      <c r="W134" s="43" t="str">
        <f aca="false">IF(Q134&lt;&gt;1,"",IF(AB134&lt;&gt;"",INDEX(시장분석!$C:$C,AB134),IF(K134=1,"USD","비USD")))</f>
        <v>USD</v>
      </c>
      <c r="X134" s="91" t="n">
        <f aca="false">IF(Q134=1,E134*K134/1000000,0)</f>
        <v>0.2</v>
      </c>
      <c r="Y134" s="89" t="n">
        <f aca="false">IF(R134="T",1,0)</f>
        <v>0</v>
      </c>
      <c r="Z134" s="92" t="n">
        <f aca="false">IF(Q134&lt;&gt;1,"",IF(AD134=1,IF(ISNUMBER(U134),MAX(U134,0),H134),H134))</f>
        <v>6.9877</v>
      </c>
      <c r="AA134" s="91" t="n">
        <f aca="false">IF(Q134=1,IF(ISNUMBER(L134),L134,0)*K134/1000000,0)</f>
        <v>0.183627</v>
      </c>
      <c r="AB134" s="89" t="n">
        <f aca="false">IF(Q134&lt;&gt;1,"",IFERROR(MATCH(VLOOKUP(B134,매핑!$H$4:$I$15,2,0),시장분석!$A$2:$A$601,0)+1,IFERROR(MATCH(R134&amp;"|"&amp;T134,시장분석!$V$2:$V$601,0)+1,IF(COUNTIF(시장분석!$U$2:$U$601,T134)=1,MATCH(T134,시장분석!$U$2:$U$601,0)+1,""))))</f>
        <v>197</v>
      </c>
      <c r="AC134" s="89" t="n">
        <f aca="false">IF(Q134&lt;&gt;1,0,IF(OR(설정!$C$5="전체",AND(설정!$C$5="선택펀드",IFERROR(COUNTIFS(설정!$F$16:$F$36,C134,설정!$G$16:$G$36,"Y")+COUNTIFS(설정!$F$16:$F$36,VALUE(C134),설정!$G$16:$G$36,"Y"),0)&gt;0),C134&amp;""=설정!$C$5&amp;""),1,0))</f>
        <v>1</v>
      </c>
      <c r="AD134" s="89" t="n">
        <f aca="false">IF(Q134&lt;&gt;1,0,IF(OR(S134=1,IF(AB134="",FALSE(),INDEX(시장분석!$R:$R,AB134)=1)),1,0))</f>
        <v>0</v>
      </c>
      <c r="AE134" s="43" t="str">
        <f aca="false">IF(AB134="","",INDEX(시장분석!$A:$A,AB134))</f>
        <v>POHANG 5 01/16/36</v>
      </c>
      <c r="AF134" s="93" t="n">
        <f aca="false">IF(AB134="","",IF(ISNUMBER(IF(AB134="","",INDEX(시장분석!$E:$E,AB134))),IF(AB134="","",INDEX(시장분석!$E:$E,AB134)),""))</f>
        <v>95.061</v>
      </c>
      <c r="AG134" s="43" t="str">
        <f aca="false">IF(Q134&lt;&gt;1,"",IF(AB134&lt;&gt;"",IF(AB134="","",INDEX(시장분석!$L:$L,AB134)),IFERROR(IF(VLOOKUP(R134,매핑!$A$4:$E$92,5,0)="","미분류",VLOOKUP(R134,매핑!$A$4:$E$92,5,0)),"미분류")))</f>
        <v>원자재</v>
      </c>
      <c r="AH134" s="43" t="str">
        <f aca="false">IF(Q134&lt;&gt;1,"",IF(AB134&lt;&gt;"",IF(AB134="","",INDEX(시장분석!$N:$N,AB134)),IFERROR(IF(VLOOKUP(R134,매핑!$A$4:$E$92,4,0)="","미분류",VLOOKUP(R134,매핑!$A$4:$E$92,4,0)),"미분류")))</f>
        <v>아시아/기타</v>
      </c>
      <c r="AI134" s="43" t="str">
        <f aca="false">IF(Q134&lt;&gt;1,"",IFERROR(IF(VLOOKUP(R134,매핑!$A$4:$E$92,3,0)="","미분류",VLOOKUP(R134,매핑!$A$4:$E$92,3,0)),IF(AB134&lt;&gt;"",IF(AB134="","",INDEX(시장분석!$W:$W,AB134)),"미분류")))</f>
        <v>한국</v>
      </c>
      <c r="AJ134" s="43" t="str">
        <f aca="false">IF(Q134&lt;&gt;1,"",IFERROR(VLOOKUP(IF(N134&lt;&gt;"",N134,IF(P134&lt;&gt;"",P134,O134)),설정!$A$15:$D$47,2,0),""))</f>
        <v>BBB+</v>
      </c>
      <c r="AK134" s="43" t="str">
        <f aca="false">IF(Q134&lt;&gt;1,"",IF(AJ134="","무등급",IFERROR(VLOOKUP(AJ134,설정!$A$15:$D$47,3,0),"무등급")))</f>
        <v>BBB</v>
      </c>
      <c r="AL134" s="89" t="n">
        <f aca="false">IF(AJ134="",99,IFERROR(VLOOKUP(AJ134,설정!$A$15:$D$47,4,0),99))</f>
        <v>8</v>
      </c>
      <c r="AM134" s="94" t="n">
        <f aca="false">IF(ISNUMBER(H134),AA134*1000000*H134/10000,0)</f>
        <v>128.31303879</v>
      </c>
      <c r="AN134" s="94" t="n">
        <f aca="false">IF(OR(Y134=1,NOT(ISNUMBER(Z134))),0,AA134*1000000*Z134/10000)</f>
        <v>128.31303879</v>
      </c>
      <c r="AO134" s="94" t="n">
        <f aca="false">IF(ISNUMBER(G134),AA134*1000000*G134/100,0)</f>
        <v>11327.398749</v>
      </c>
      <c r="AP134" s="94" t="n">
        <f aca="false">IF(ISNUMBER(M134),M134*K134,0)</f>
        <v>-15053</v>
      </c>
      <c r="AQ134" s="95" t="n">
        <f aca="false">IF(AB134="","",INDEX(시장분석!$AK:$AK,AB134))</f>
        <v>-0.391893385739059</v>
      </c>
      <c r="AR134" s="43" t="str">
        <f aca="false">IF(AB134="","-",IF(AB134="","",INDEX(시장분석!$AL:$AL,AB134)))</f>
        <v>Fair</v>
      </c>
      <c r="AS134" s="96" t="n">
        <f aca="false">IF(AB134="","",INDEX(시장분석!$AJ:$AJ,AB134))</f>
        <v>-4.33827586910192</v>
      </c>
      <c r="AT134" s="93" t="n">
        <f aca="false">IF(AB134="",0,IF(AB134="","",INDEX(시장분석!$AN:$AN,AB134)))</f>
        <v>4.10950347155634</v>
      </c>
      <c r="AU134" s="94" t="n">
        <f aca="false">IF(ISNUMBER(Z134),AT134/10000*MAX(Z134-1,0)*AA134*1000000,0)</f>
        <v>451.841298956301</v>
      </c>
      <c r="AV134" s="94" t="n">
        <f aca="false">AO134+AU134</f>
        <v>11779.2400479563</v>
      </c>
      <c r="AW134" s="43" t="str">
        <f aca="false">IF(Q134&lt;&gt;1,"",TRIM(IF(AD134=1,"FRN ","")&amp;IF(AND(AL134&gt;=10,AL134&lt;99),"BBB0미만 ","")&amp;IF(AJ134="","등급없음 ","")&amp;IF(K134&lt;&gt;1,"비USD ","")&amp;IF(AND(AB134="",Y134=0),"시장데이터없음 ","")&amp;IF(AND(ISNUMBER(U134),U134&lt;0),"만기경과 ","")))</f>
        <v/>
      </c>
      <c r="AX134" s="90" t="n">
        <f aca="false">IF(Q134&lt;&gt;1,1,IF(스프레드쇼크!$C$4="Y",INDEX(스프레드쇼크!$B$12:$L$16,IFERROR(MATCH(AH134,스프레드쇼크!$A$12:$A$16,0),MATCH("목록외",스프레드쇼크!$A$12:$A$16,0)),IFERROR(MATCH(AG134,스프레드쇼크!$B$11:$L$11,0),MATCH("목록외",스프레드쇼크!$B$11:$L$11,0))),1))</f>
        <v>1</v>
      </c>
      <c r="AY134" s="90" t="n">
        <f aca="false">IF(스프레드쇼크!$C$5="Y",IF(ISNUMBER(AF134),MIN(스프레드쇼크!$C$7,MAX(스프레드쇼크!$C$6,AF134/스프레드쇼크!$C$8)),1),1)</f>
        <v>1.43783451690401</v>
      </c>
      <c r="AZ134" s="94" t="n">
        <f aca="false">AN134*AX134*AY134</f>
        <v>184.492916141105</v>
      </c>
      <c r="BA134" s="90" t="n">
        <f aca="false">IF(ISNUMBER(G134),AA134*G134,0)</f>
        <v>1.1327398749</v>
      </c>
      <c r="BB134" s="90" t="n">
        <f aca="false">IF(ISNUMBER(G134),AA134,0)</f>
        <v>0.183627</v>
      </c>
      <c r="BC134" s="90" t="n">
        <f aca="false">IF(AND(Y134=0,ISNUMBER(AF134)),AA134*AF134,0)</f>
        <v>17.455766247</v>
      </c>
      <c r="BD134" s="90" t="n">
        <f aca="false">IF(AND(Y134=0,ISNUMBER(AF134)),AA134,0)</f>
        <v>0.183627</v>
      </c>
      <c r="BE134" s="90" t="n">
        <f aca="false">IF(ISNUMBER(H134),AA134*H134,0)</f>
        <v>1.2831303879</v>
      </c>
      <c r="BF134" s="90" t="n">
        <f aca="false">IF(ISNUMBER(H134),AA134,0)</f>
        <v>0.183627</v>
      </c>
      <c r="BG134" s="90" t="n">
        <f aca="false">IF(AND(Y134=0,ISNUMBER(AF134),ISNUMBER(Z134)),AA134*Z134,0)</f>
        <v>1.2831303879</v>
      </c>
      <c r="BH134" s="90" t="n">
        <f aca="false">IF(AND(Y134=0,ISNUMBER(AF134),ISNUMBER(Z134)),AA134*AT134*MAX(Z134-1,0),0)</f>
        <v>4.51841298956301</v>
      </c>
      <c r="BI134" s="90" t="n">
        <f aca="false">IF(Y134=0,AA134,0)</f>
        <v>0.183627</v>
      </c>
    </row>
    <row r="135" customFormat="false" ht="15" hidden="false" customHeight="false" outlineLevel="0" collapsed="false">
      <c r="A135" s="83" t="str">
        <f aca="false">IFERROR(IF(INDEX(원자료_잔고!$A$1:$EZ$1500,설정!$L$5+ROW()-1,설정!$L$8)&amp;""="0","",INDEX(원자료_잔고!$A$1:$EZ$1500,설정!$L$5+ROW()-1,설정!$L$8)&amp;""),"")</f>
        <v>POHANG 5 01/16/36</v>
      </c>
      <c r="B135" s="83" t="str">
        <f aca="false">IFERROR(IF(INDEX(원자료_잔고!$A$1:$EZ$1500,설정!$L$5+ROW()-1,설정!$L$7)&amp;""="0","",INDEX(원자료_잔고!$A$1:$EZ$1500,설정!$L$5+ROW()-1,설정!$L$7)&amp;""),"")</f>
        <v>USY7S272AM43</v>
      </c>
      <c r="C135" s="83" t="str">
        <f aca="false">IFERROR(IF(INDEX(원자료_잔고!$A$1:$EZ$1500,설정!$L$5+ROW()-1,설정!$L$9)&amp;""="0","",INDEX(원자료_잔고!$A$1:$EZ$1500,설정!$L$5+ROW()-1,설정!$L$9)&amp;""),"")</f>
        <v>34507</v>
      </c>
      <c r="D13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5" s="84" t="n">
        <f aca="false">IFERROR(IF(ISNUMBER(INDEX(원자료_잔고!$A$1:$EZ$1500,설정!$L$5+ROW()-1,설정!$L$11)),INDEX(원자료_잔고!$A$1:$EZ$1500,설정!$L$5+ROW()-1,설정!$L$11),""),"")</f>
        <v>5000000</v>
      </c>
      <c r="F135" s="85" t="n">
        <f aca="false">IFERROR(IF(ISNUMBER(INDEX(원자료_잔고!$A$1:$EZ$1500,설정!$L$5+ROW()-1,설정!$L$12)),INDEX(원자료_잔고!$A$1:$EZ$1500,설정!$L$5+ROW()-1,설정!$L$12),""),"")</f>
        <v>91.8135</v>
      </c>
      <c r="G135" s="85" t="n">
        <f aca="false">IFERROR(IF(ISNUMBER(INDEX(원자료_잔고!$A$1:$EZ$1500,설정!$L$5+ROW()-1,설정!$L$13)),INDEX(원자료_잔고!$A$1:$EZ$1500,설정!$L$5+ROW()-1,설정!$L$13),""),"")</f>
        <v>6.1687</v>
      </c>
      <c r="H135" s="85" t="n">
        <f aca="false">IFERROR(IF(ISNUMBER(INDEX(원자료_잔고!$A$1:$EZ$1500,설정!$L$5+ROW()-1,설정!$L$14)),INDEX(원자료_잔고!$A$1:$EZ$1500,설정!$L$5+ROW()-1,설정!$L$14),""),"")</f>
        <v>6.9877</v>
      </c>
      <c r="I135" s="86" t="n">
        <f aca="false">IFERROR(IF(ISNUMBER(INDEX(원자료_잔고!$A$1:$EZ$1500,설정!$L$5+ROW()-1,설정!$L$15)),INDEX(원자료_잔고!$A$1:$EZ$1500,설정!$L$5+ROW()-1,설정!$L$15),""),"")</f>
        <v>49690</v>
      </c>
      <c r="J135" s="85" t="n">
        <f aca="false">IFERROR(IF(ISNUMBER(INDEX(원자료_잔고!$A$1:$EZ$1500,설정!$L$5+ROW()-1,설정!$L$16)),INDEX(원자료_잔고!$A$1:$EZ$1500,설정!$L$5+ROW()-1,설정!$L$16),""),"")</f>
        <v>5</v>
      </c>
      <c r="K135" s="87" t="n">
        <f aca="false">IFERROR(IF(ISNUMBER(INDEX(원자료_잔고!$A$1:$EZ$1500,설정!$L$5+ROW()-1,설정!$L$17)),INDEX(원자료_잔고!$A$1:$EZ$1500,설정!$L$5+ROW()-1,설정!$L$17),""),"")</f>
        <v>1</v>
      </c>
      <c r="L135" s="84" t="n">
        <f aca="false">IFERROR(IF(ISNUMBER(INDEX(원자료_잔고!$A$1:$EZ$1500,설정!$L$5+ROW()-1,설정!$L$18)),INDEX(원자료_잔고!$A$1:$EZ$1500,설정!$L$5+ROW()-1,설정!$L$18),""),"")</f>
        <v>4590675</v>
      </c>
      <c r="M135" s="88" t="n">
        <f aca="false">IFERROR(IF(ISNUMBER(INDEX(원자료_잔고!$A$1:$EZ$1500,설정!$L$5+ROW()-1,설정!$L$19)),INDEX(원자료_잔고!$A$1:$EZ$1500,설정!$L$5+ROW()-1,설정!$L$19),""),"")</f>
        <v>-316325</v>
      </c>
      <c r="N135" s="83" t="str">
        <f aca="false">IFERROR(IF(INDEX(원자료_잔고!$A$1:$EZ$1500,설정!$L$5+ROW()-1,설정!$L$21)&amp;""="0","",INDEX(원자료_잔고!$A$1:$EZ$1500,설정!$L$5+ROW()-1,설정!$L$21)&amp;""),"")</f>
        <v>BBB+</v>
      </c>
      <c r="O135" s="83" t="str">
        <f aca="false">IFERROR(IF(INDEX(원자료_잔고!$A$1:$EZ$1500,설정!$L$5+ROW()-1,설정!$L$22)&amp;""="0","",INDEX(원자료_잔고!$A$1:$EZ$1500,설정!$L$5+ROW()-1,설정!$L$22)&amp;""),"")</f>
        <v/>
      </c>
      <c r="P135" s="83" t="str">
        <f aca="false">IFERROR(IF(INDEX(원자료_잔고!$A$1:$EZ$1500,설정!$L$5+ROW()-1,설정!$L$23)&amp;""="0","",INDEX(원자료_잔고!$A$1:$EZ$1500,설정!$L$5+ROW()-1,설정!$L$23)&amp;""),"")</f>
        <v>N/A</v>
      </c>
      <c r="Q135" s="89" t="n">
        <f aca="false">IF(AND($A135&lt;&gt;"",ISNUMBER(E135)),IF(E135&gt;0,1,0),0)</f>
        <v>1</v>
      </c>
      <c r="R135" s="43" t="str">
        <f aca="false">IF(Q135=1,UPPER(LEFT($A135,FIND(" ",$A135&amp;" ")-1)),"")</f>
        <v>POHANG</v>
      </c>
      <c r="S135" s="89" t="n">
        <f aca="false">IF(Q135=1,IF(OR(ISNUMBER(SEARCH("Float",$A135)),ISNUMBER(SEARCH("FRN",$A135))),1,0),0)</f>
        <v>0</v>
      </c>
      <c r="T135" s="43" t="str">
        <f aca="false">IF(AND(Q135=1,ISNUMBER(I135)),TEXT(I135,"yyyymmdd")&amp;"|"&amp;IF(S135=1,"F",TEXT(J135,"0.000")),"")</f>
        <v>20360116|5.000</v>
      </c>
      <c r="U135" s="90" t="n">
        <f aca="false">IF(AND(Q135=1,ISNUMBER(I135)),(I135-설정!$C$4)/365.25,"")</f>
        <v>9.29226557152635</v>
      </c>
      <c r="V135" s="43" t="str">
        <f aca="false">IF(Q135&lt;&gt;1,"",IF(ISNUMBER(U135),IF(U135&lt;=1,"1년 이하",IF(U135&lt;=2,"1-2년",IF(U135&lt;=3,"2-3년",IF(U135&lt;=4,"3-4년",IF(U135&lt;=5,"4-5년",IF(U135&lt;=7,"5-7년",IF(U135&lt;=10,"7-10년",IF(U135&lt;=20,"10-20년","20년 이상")))))))),"미분류"))</f>
        <v>7-10년</v>
      </c>
      <c r="W135" s="43" t="str">
        <f aca="false">IF(Q135&lt;&gt;1,"",IF(AB135&lt;&gt;"",INDEX(시장분석!$C:$C,AB135),IF(K135=1,"USD","비USD")))</f>
        <v>USD</v>
      </c>
      <c r="X135" s="91" t="n">
        <f aca="false">IF(Q135=1,E135*K135/1000000,0)</f>
        <v>5</v>
      </c>
      <c r="Y135" s="89" t="n">
        <f aca="false">IF(R135="T",1,0)</f>
        <v>0</v>
      </c>
      <c r="Z135" s="92" t="n">
        <f aca="false">IF(Q135&lt;&gt;1,"",IF(AD135=1,IF(ISNUMBER(U135),MAX(U135,0),H135),H135))</f>
        <v>6.9877</v>
      </c>
      <c r="AA135" s="91" t="n">
        <f aca="false">IF(Q135=1,IF(ISNUMBER(L135),L135,0)*K135/1000000,0)</f>
        <v>4.590675</v>
      </c>
      <c r="AB135" s="89" t="n">
        <f aca="false">IF(Q135&lt;&gt;1,"",IFERROR(MATCH(VLOOKUP(B135,매핑!$H$4:$I$15,2,0),시장분석!$A$2:$A$601,0)+1,IFERROR(MATCH(R135&amp;"|"&amp;T135,시장분석!$V$2:$V$601,0)+1,IF(COUNTIF(시장분석!$U$2:$U$601,T135)=1,MATCH(T135,시장분석!$U$2:$U$601,0)+1,""))))</f>
        <v>197</v>
      </c>
      <c r="AC135" s="89" t="n">
        <f aca="false">IF(Q135&lt;&gt;1,0,IF(OR(설정!$C$5="전체",AND(설정!$C$5="선택펀드",IFERROR(COUNTIFS(설정!$F$16:$F$36,C135,설정!$G$16:$G$36,"Y")+COUNTIFS(설정!$F$16:$F$36,VALUE(C135),설정!$G$16:$G$36,"Y"),0)&gt;0),C135&amp;""=설정!$C$5&amp;""),1,0))</f>
        <v>1</v>
      </c>
      <c r="AD135" s="89" t="n">
        <f aca="false">IF(Q135&lt;&gt;1,0,IF(OR(S135=1,IF(AB135="",FALSE(),INDEX(시장분석!$R:$R,AB135)=1)),1,0))</f>
        <v>0</v>
      </c>
      <c r="AE135" s="43" t="str">
        <f aca="false">IF(AB135="","",INDEX(시장분석!$A:$A,AB135))</f>
        <v>POHANG 5 01/16/36</v>
      </c>
      <c r="AF135" s="93" t="n">
        <f aca="false">IF(AB135="","",IF(ISNUMBER(IF(AB135="","",INDEX(시장분석!$E:$E,AB135))),IF(AB135="","",INDEX(시장분석!$E:$E,AB135)),""))</f>
        <v>95.061</v>
      </c>
      <c r="AG135" s="43" t="str">
        <f aca="false">IF(Q135&lt;&gt;1,"",IF(AB135&lt;&gt;"",IF(AB135="","",INDEX(시장분석!$L:$L,AB135)),IFERROR(IF(VLOOKUP(R135,매핑!$A$4:$E$92,5,0)="","미분류",VLOOKUP(R135,매핑!$A$4:$E$92,5,0)),"미분류")))</f>
        <v>원자재</v>
      </c>
      <c r="AH135" s="43" t="str">
        <f aca="false">IF(Q135&lt;&gt;1,"",IF(AB135&lt;&gt;"",IF(AB135="","",INDEX(시장분석!$N:$N,AB135)),IFERROR(IF(VLOOKUP(R135,매핑!$A$4:$E$92,4,0)="","미분류",VLOOKUP(R135,매핑!$A$4:$E$92,4,0)),"미분류")))</f>
        <v>아시아/기타</v>
      </c>
      <c r="AI135" s="43" t="str">
        <f aca="false">IF(Q135&lt;&gt;1,"",IFERROR(IF(VLOOKUP(R135,매핑!$A$4:$E$92,3,0)="","미분류",VLOOKUP(R135,매핑!$A$4:$E$92,3,0)),IF(AB135&lt;&gt;"",IF(AB135="","",INDEX(시장분석!$W:$W,AB135)),"미분류")))</f>
        <v>한국</v>
      </c>
      <c r="AJ135" s="43" t="str">
        <f aca="false">IF(Q135&lt;&gt;1,"",IFERROR(VLOOKUP(IF(N135&lt;&gt;"",N135,IF(P135&lt;&gt;"",P135,O135)),설정!$A$15:$D$47,2,0),""))</f>
        <v>BBB+</v>
      </c>
      <c r="AK135" s="43" t="str">
        <f aca="false">IF(Q135&lt;&gt;1,"",IF(AJ135="","무등급",IFERROR(VLOOKUP(AJ135,설정!$A$15:$D$47,3,0),"무등급")))</f>
        <v>BBB</v>
      </c>
      <c r="AL135" s="89" t="n">
        <f aca="false">IF(AJ135="",99,IFERROR(VLOOKUP(AJ135,설정!$A$15:$D$47,4,0),99))</f>
        <v>8</v>
      </c>
      <c r="AM135" s="94" t="n">
        <f aca="false">IF(ISNUMBER(H135),AA135*1000000*H135/10000,0)</f>
        <v>3207.82596975</v>
      </c>
      <c r="AN135" s="94" t="n">
        <f aca="false">IF(OR(Y135=1,NOT(ISNUMBER(Z135))),0,AA135*1000000*Z135/10000)</f>
        <v>3207.82596975</v>
      </c>
      <c r="AO135" s="94" t="n">
        <f aca="false">IF(ISNUMBER(G135),AA135*1000000*G135/100,0)</f>
        <v>283184.968725</v>
      </c>
      <c r="AP135" s="94" t="n">
        <f aca="false">IF(ISNUMBER(M135),M135*K135,0)</f>
        <v>-316325</v>
      </c>
      <c r="AQ135" s="95" t="n">
        <f aca="false">IF(AB135="","",INDEX(시장분석!$AK:$AK,AB135))</f>
        <v>-0.391893385739059</v>
      </c>
      <c r="AR135" s="43" t="str">
        <f aca="false">IF(AB135="","-",IF(AB135="","",INDEX(시장분석!$AL:$AL,AB135)))</f>
        <v>Fair</v>
      </c>
      <c r="AS135" s="96" t="n">
        <f aca="false">IF(AB135="","",INDEX(시장분석!$AJ:$AJ,AB135))</f>
        <v>-4.33827586910192</v>
      </c>
      <c r="AT135" s="93" t="n">
        <f aca="false">IF(AB135="",0,IF(AB135="","",INDEX(시장분석!$AN:$AN,AB135)))</f>
        <v>4.10950347155634</v>
      </c>
      <c r="AU135" s="94" t="n">
        <f aca="false">IF(ISNUMBER(Z135),AT135/10000*MAX(Z135-1,0)*AA135*1000000,0)</f>
        <v>11296.0324739075</v>
      </c>
      <c r="AV135" s="94" t="n">
        <f aca="false">AO135+AU135</f>
        <v>294481.001198908</v>
      </c>
      <c r="AW135" s="43" t="str">
        <f aca="false">IF(Q135&lt;&gt;1,"",TRIM(IF(AD135=1,"FRN ","")&amp;IF(AND(AL135&gt;=10,AL135&lt;99),"BBB0미만 ","")&amp;IF(AJ135="","등급없음 ","")&amp;IF(K135&lt;&gt;1,"비USD ","")&amp;IF(AND(AB135="",Y135=0),"시장데이터없음 ","")&amp;IF(AND(ISNUMBER(U135),U135&lt;0),"만기경과 ","")))</f>
        <v/>
      </c>
      <c r="AX135" s="90" t="n">
        <f aca="false">IF(Q135&lt;&gt;1,1,IF(스프레드쇼크!$C$4="Y",INDEX(스프레드쇼크!$B$12:$L$16,IFERROR(MATCH(AH135,스프레드쇼크!$A$12:$A$16,0),MATCH("목록외",스프레드쇼크!$A$12:$A$16,0)),IFERROR(MATCH(AG135,스프레드쇼크!$B$11:$L$11,0),MATCH("목록외",스프레드쇼크!$B$11:$L$11,0))),1))</f>
        <v>1</v>
      </c>
      <c r="AY135" s="90" t="n">
        <f aca="false">IF(스프레드쇼크!$C$5="Y",IF(ISNUMBER(AF135),MIN(스프레드쇼크!$C$7,MAX(스프레드쇼크!$C$6,AF135/스프레드쇼크!$C$8)),1),1)</f>
        <v>1.43783451690401</v>
      </c>
      <c r="AZ135" s="94" t="n">
        <f aca="false">AN135*AX135*AY135</f>
        <v>4612.32290352762</v>
      </c>
      <c r="BA135" s="90" t="n">
        <f aca="false">IF(ISNUMBER(G135),AA135*G135,0)</f>
        <v>28.3184968725</v>
      </c>
      <c r="BB135" s="90" t="n">
        <f aca="false">IF(ISNUMBER(G135),AA135,0)</f>
        <v>4.590675</v>
      </c>
      <c r="BC135" s="90" t="n">
        <f aca="false">IF(AND(Y135=0,ISNUMBER(AF135)),AA135*AF135,0)</f>
        <v>436.394156175</v>
      </c>
      <c r="BD135" s="90" t="n">
        <f aca="false">IF(AND(Y135=0,ISNUMBER(AF135)),AA135,0)</f>
        <v>4.590675</v>
      </c>
      <c r="BE135" s="90" t="n">
        <f aca="false">IF(ISNUMBER(H135),AA135*H135,0)</f>
        <v>32.0782596975</v>
      </c>
      <c r="BF135" s="90" t="n">
        <f aca="false">IF(ISNUMBER(H135),AA135,0)</f>
        <v>4.590675</v>
      </c>
      <c r="BG135" s="90" t="n">
        <f aca="false">IF(AND(Y135=0,ISNUMBER(AF135),ISNUMBER(Z135)),AA135*Z135,0)</f>
        <v>32.0782596975</v>
      </c>
      <c r="BH135" s="90" t="n">
        <f aca="false">IF(AND(Y135=0,ISNUMBER(AF135),ISNUMBER(Z135)),AA135*AT135*MAX(Z135-1,0),0)</f>
        <v>112.960324739075</v>
      </c>
      <c r="BI135" s="90" t="n">
        <f aca="false">IF(Y135=0,AA135,0)</f>
        <v>4.590675</v>
      </c>
    </row>
    <row r="136" customFormat="false" ht="15" hidden="false" customHeight="false" outlineLevel="0" collapsed="false">
      <c r="A136" s="83" t="str">
        <f aca="false">IFERROR(IF(INDEX(원자료_잔고!$A$1:$EZ$1500,설정!$L$5+ROW()-1,설정!$L$8)&amp;""="0","",INDEX(원자료_잔고!$A$1:$EZ$1500,설정!$L$5+ROW()-1,설정!$L$8)&amp;""),"")</f>
        <v>POHANG 5 01/16/36</v>
      </c>
      <c r="B136" s="83" t="str">
        <f aca="false">IFERROR(IF(INDEX(원자료_잔고!$A$1:$EZ$1500,설정!$L$5+ROW()-1,설정!$L$7)&amp;""="0","",INDEX(원자료_잔고!$A$1:$EZ$1500,설정!$L$5+ROW()-1,설정!$L$7)&amp;""),"")</f>
        <v>USY7S272AM43</v>
      </c>
      <c r="C136" s="83" t="str">
        <f aca="false">IFERROR(IF(INDEX(원자료_잔고!$A$1:$EZ$1500,설정!$L$5+ROW()-1,설정!$L$9)&amp;""="0","",INDEX(원자료_잔고!$A$1:$EZ$1500,설정!$L$5+ROW()-1,설정!$L$9)&amp;""),"")</f>
        <v>34507</v>
      </c>
      <c r="D13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6" s="84" t="n">
        <f aca="false">IFERROR(IF(ISNUMBER(INDEX(원자료_잔고!$A$1:$EZ$1500,설정!$L$5+ROW()-1,설정!$L$11)),INDEX(원자료_잔고!$A$1:$EZ$1500,설정!$L$5+ROW()-1,설정!$L$11),""),"")</f>
        <v>2000000</v>
      </c>
      <c r="F136" s="85" t="n">
        <f aca="false">IFERROR(IF(ISNUMBER(INDEX(원자료_잔고!$A$1:$EZ$1500,설정!$L$5+ROW()-1,설정!$L$12)),INDEX(원자료_잔고!$A$1:$EZ$1500,설정!$L$5+ROW()-1,설정!$L$12),""),"")</f>
        <v>91.8135</v>
      </c>
      <c r="G136" s="85" t="n">
        <f aca="false">IFERROR(IF(ISNUMBER(INDEX(원자료_잔고!$A$1:$EZ$1500,설정!$L$5+ROW()-1,설정!$L$13)),INDEX(원자료_잔고!$A$1:$EZ$1500,설정!$L$5+ROW()-1,설정!$L$13),""),"")</f>
        <v>6.1687</v>
      </c>
      <c r="H136" s="85" t="n">
        <f aca="false">IFERROR(IF(ISNUMBER(INDEX(원자료_잔고!$A$1:$EZ$1500,설정!$L$5+ROW()-1,설정!$L$14)),INDEX(원자료_잔고!$A$1:$EZ$1500,설정!$L$5+ROW()-1,설정!$L$14),""),"")</f>
        <v>6.9877</v>
      </c>
      <c r="I136" s="86" t="n">
        <f aca="false">IFERROR(IF(ISNUMBER(INDEX(원자료_잔고!$A$1:$EZ$1500,설정!$L$5+ROW()-1,설정!$L$15)),INDEX(원자료_잔고!$A$1:$EZ$1500,설정!$L$5+ROW()-1,설정!$L$15),""),"")</f>
        <v>49690</v>
      </c>
      <c r="J136" s="85" t="n">
        <f aca="false">IFERROR(IF(ISNUMBER(INDEX(원자료_잔고!$A$1:$EZ$1500,설정!$L$5+ROW()-1,설정!$L$16)),INDEX(원자료_잔고!$A$1:$EZ$1500,설정!$L$5+ROW()-1,설정!$L$16),""),"")</f>
        <v>5</v>
      </c>
      <c r="K136" s="87" t="n">
        <f aca="false">IFERROR(IF(ISNUMBER(INDEX(원자료_잔고!$A$1:$EZ$1500,설정!$L$5+ROW()-1,설정!$L$17)),INDEX(원자료_잔고!$A$1:$EZ$1500,설정!$L$5+ROW()-1,설정!$L$17),""),"")</f>
        <v>1</v>
      </c>
      <c r="L136" s="84" t="n">
        <f aca="false">IFERROR(IF(ISNUMBER(INDEX(원자료_잔고!$A$1:$EZ$1500,설정!$L$5+ROW()-1,설정!$L$18)),INDEX(원자료_잔고!$A$1:$EZ$1500,설정!$L$5+ROW()-1,설정!$L$18),""),"")</f>
        <v>1836270</v>
      </c>
      <c r="M136" s="88" t="n">
        <f aca="false">IFERROR(IF(ISNUMBER(INDEX(원자료_잔고!$A$1:$EZ$1500,설정!$L$5+ROW()-1,설정!$L$19)),INDEX(원자료_잔고!$A$1:$EZ$1500,설정!$L$5+ROW()-1,설정!$L$19),""),"")</f>
        <v>-118750</v>
      </c>
      <c r="N136" s="83" t="str">
        <f aca="false">IFERROR(IF(INDEX(원자료_잔고!$A$1:$EZ$1500,설정!$L$5+ROW()-1,설정!$L$21)&amp;""="0","",INDEX(원자료_잔고!$A$1:$EZ$1500,설정!$L$5+ROW()-1,설정!$L$21)&amp;""),"")</f>
        <v>BBB+</v>
      </c>
      <c r="O136" s="83" t="str">
        <f aca="false">IFERROR(IF(INDEX(원자료_잔고!$A$1:$EZ$1500,설정!$L$5+ROW()-1,설정!$L$22)&amp;""="0","",INDEX(원자료_잔고!$A$1:$EZ$1500,설정!$L$5+ROW()-1,설정!$L$22)&amp;""),"")</f>
        <v/>
      </c>
      <c r="P136" s="83" t="str">
        <f aca="false">IFERROR(IF(INDEX(원자료_잔고!$A$1:$EZ$1500,설정!$L$5+ROW()-1,설정!$L$23)&amp;""="0","",INDEX(원자료_잔고!$A$1:$EZ$1500,설정!$L$5+ROW()-1,설정!$L$23)&amp;""),"")</f>
        <v>N/A</v>
      </c>
      <c r="Q136" s="89" t="n">
        <f aca="false">IF(AND($A136&lt;&gt;"",ISNUMBER(E136)),IF(E136&gt;0,1,0),0)</f>
        <v>1</v>
      </c>
      <c r="R136" s="43" t="str">
        <f aca="false">IF(Q136=1,UPPER(LEFT($A136,FIND(" ",$A136&amp;" ")-1)),"")</f>
        <v>POHANG</v>
      </c>
      <c r="S136" s="89" t="n">
        <f aca="false">IF(Q136=1,IF(OR(ISNUMBER(SEARCH("Float",$A136)),ISNUMBER(SEARCH("FRN",$A136))),1,0),0)</f>
        <v>0</v>
      </c>
      <c r="T136" s="43" t="str">
        <f aca="false">IF(AND(Q136=1,ISNUMBER(I136)),TEXT(I136,"yyyymmdd")&amp;"|"&amp;IF(S136=1,"F",TEXT(J136,"0.000")),"")</f>
        <v>20360116|5.000</v>
      </c>
      <c r="U136" s="90" t="n">
        <f aca="false">IF(AND(Q136=1,ISNUMBER(I136)),(I136-설정!$C$4)/365.25,"")</f>
        <v>9.29226557152635</v>
      </c>
      <c r="V136" s="43" t="str">
        <f aca="false">IF(Q136&lt;&gt;1,"",IF(ISNUMBER(U136),IF(U136&lt;=1,"1년 이하",IF(U136&lt;=2,"1-2년",IF(U136&lt;=3,"2-3년",IF(U136&lt;=4,"3-4년",IF(U136&lt;=5,"4-5년",IF(U136&lt;=7,"5-7년",IF(U136&lt;=10,"7-10년",IF(U136&lt;=20,"10-20년","20년 이상")))))))),"미분류"))</f>
        <v>7-10년</v>
      </c>
      <c r="W136" s="43" t="str">
        <f aca="false">IF(Q136&lt;&gt;1,"",IF(AB136&lt;&gt;"",INDEX(시장분석!$C:$C,AB136),IF(K136=1,"USD","비USD")))</f>
        <v>USD</v>
      </c>
      <c r="X136" s="91" t="n">
        <f aca="false">IF(Q136=1,E136*K136/1000000,0)</f>
        <v>2</v>
      </c>
      <c r="Y136" s="89" t="n">
        <f aca="false">IF(R136="T",1,0)</f>
        <v>0</v>
      </c>
      <c r="Z136" s="92" t="n">
        <f aca="false">IF(Q136&lt;&gt;1,"",IF(AD136=1,IF(ISNUMBER(U136),MAX(U136,0),H136),H136))</f>
        <v>6.9877</v>
      </c>
      <c r="AA136" s="91" t="n">
        <f aca="false">IF(Q136=1,IF(ISNUMBER(L136),L136,0)*K136/1000000,0)</f>
        <v>1.83627</v>
      </c>
      <c r="AB136" s="89" t="n">
        <f aca="false">IF(Q136&lt;&gt;1,"",IFERROR(MATCH(VLOOKUP(B136,매핑!$H$4:$I$15,2,0),시장분석!$A$2:$A$601,0)+1,IFERROR(MATCH(R136&amp;"|"&amp;T136,시장분석!$V$2:$V$601,0)+1,IF(COUNTIF(시장분석!$U$2:$U$601,T136)=1,MATCH(T136,시장분석!$U$2:$U$601,0)+1,""))))</f>
        <v>197</v>
      </c>
      <c r="AC136" s="89" t="n">
        <f aca="false">IF(Q136&lt;&gt;1,0,IF(OR(설정!$C$5="전체",AND(설정!$C$5="선택펀드",IFERROR(COUNTIFS(설정!$F$16:$F$36,C136,설정!$G$16:$G$36,"Y")+COUNTIFS(설정!$F$16:$F$36,VALUE(C136),설정!$G$16:$G$36,"Y"),0)&gt;0),C136&amp;""=설정!$C$5&amp;""),1,0))</f>
        <v>1</v>
      </c>
      <c r="AD136" s="89" t="n">
        <f aca="false">IF(Q136&lt;&gt;1,0,IF(OR(S136=1,IF(AB136="",FALSE(),INDEX(시장분석!$R:$R,AB136)=1)),1,0))</f>
        <v>0</v>
      </c>
      <c r="AE136" s="43" t="str">
        <f aca="false">IF(AB136="","",INDEX(시장분석!$A:$A,AB136))</f>
        <v>POHANG 5 01/16/36</v>
      </c>
      <c r="AF136" s="93" t="n">
        <f aca="false">IF(AB136="","",IF(ISNUMBER(IF(AB136="","",INDEX(시장분석!$E:$E,AB136))),IF(AB136="","",INDEX(시장분석!$E:$E,AB136)),""))</f>
        <v>95.061</v>
      </c>
      <c r="AG136" s="43" t="str">
        <f aca="false">IF(Q136&lt;&gt;1,"",IF(AB136&lt;&gt;"",IF(AB136="","",INDEX(시장분석!$L:$L,AB136)),IFERROR(IF(VLOOKUP(R136,매핑!$A$4:$E$92,5,0)="","미분류",VLOOKUP(R136,매핑!$A$4:$E$92,5,0)),"미분류")))</f>
        <v>원자재</v>
      </c>
      <c r="AH136" s="43" t="str">
        <f aca="false">IF(Q136&lt;&gt;1,"",IF(AB136&lt;&gt;"",IF(AB136="","",INDEX(시장분석!$N:$N,AB136)),IFERROR(IF(VLOOKUP(R136,매핑!$A$4:$E$92,4,0)="","미분류",VLOOKUP(R136,매핑!$A$4:$E$92,4,0)),"미분류")))</f>
        <v>아시아/기타</v>
      </c>
      <c r="AI136" s="43" t="str">
        <f aca="false">IF(Q136&lt;&gt;1,"",IFERROR(IF(VLOOKUP(R136,매핑!$A$4:$E$92,3,0)="","미분류",VLOOKUP(R136,매핑!$A$4:$E$92,3,0)),IF(AB136&lt;&gt;"",IF(AB136="","",INDEX(시장분석!$W:$W,AB136)),"미분류")))</f>
        <v>한국</v>
      </c>
      <c r="AJ136" s="43" t="str">
        <f aca="false">IF(Q136&lt;&gt;1,"",IFERROR(VLOOKUP(IF(N136&lt;&gt;"",N136,IF(P136&lt;&gt;"",P136,O136)),설정!$A$15:$D$47,2,0),""))</f>
        <v>BBB+</v>
      </c>
      <c r="AK136" s="43" t="str">
        <f aca="false">IF(Q136&lt;&gt;1,"",IF(AJ136="","무등급",IFERROR(VLOOKUP(AJ136,설정!$A$15:$D$47,3,0),"무등급")))</f>
        <v>BBB</v>
      </c>
      <c r="AL136" s="89" t="n">
        <f aca="false">IF(AJ136="",99,IFERROR(VLOOKUP(AJ136,설정!$A$15:$D$47,4,0),99))</f>
        <v>8</v>
      </c>
      <c r="AM136" s="94" t="n">
        <f aca="false">IF(ISNUMBER(H136),AA136*1000000*H136/10000,0)</f>
        <v>1283.1303879</v>
      </c>
      <c r="AN136" s="94" t="n">
        <f aca="false">IF(OR(Y136=1,NOT(ISNUMBER(Z136))),0,AA136*1000000*Z136/10000)</f>
        <v>1283.1303879</v>
      </c>
      <c r="AO136" s="94" t="n">
        <f aca="false">IF(ISNUMBER(G136),AA136*1000000*G136/100,0)</f>
        <v>113273.98749</v>
      </c>
      <c r="AP136" s="94" t="n">
        <f aca="false">IF(ISNUMBER(M136),M136*K136,0)</f>
        <v>-118750</v>
      </c>
      <c r="AQ136" s="95" t="n">
        <f aca="false">IF(AB136="","",INDEX(시장분석!$AK:$AK,AB136))</f>
        <v>-0.391893385739059</v>
      </c>
      <c r="AR136" s="43" t="str">
        <f aca="false">IF(AB136="","-",IF(AB136="","",INDEX(시장분석!$AL:$AL,AB136)))</f>
        <v>Fair</v>
      </c>
      <c r="AS136" s="96" t="n">
        <f aca="false">IF(AB136="","",INDEX(시장분석!$AJ:$AJ,AB136))</f>
        <v>-4.33827586910192</v>
      </c>
      <c r="AT136" s="93" t="n">
        <f aca="false">IF(AB136="",0,IF(AB136="","",INDEX(시장분석!$AN:$AN,AB136)))</f>
        <v>4.10950347155634</v>
      </c>
      <c r="AU136" s="94" t="n">
        <f aca="false">IF(ISNUMBER(Z136),AT136/10000*MAX(Z136-1,0)*AA136*1000000,0)</f>
        <v>4518.41298956301</v>
      </c>
      <c r="AV136" s="94" t="n">
        <f aca="false">AO136+AU136</f>
        <v>117792.400479563</v>
      </c>
      <c r="AW136" s="43" t="str">
        <f aca="false">IF(Q136&lt;&gt;1,"",TRIM(IF(AD136=1,"FRN ","")&amp;IF(AND(AL136&gt;=10,AL136&lt;99),"BBB0미만 ","")&amp;IF(AJ136="","등급없음 ","")&amp;IF(K136&lt;&gt;1,"비USD ","")&amp;IF(AND(AB136="",Y136=0),"시장데이터없음 ","")&amp;IF(AND(ISNUMBER(U136),U136&lt;0),"만기경과 ","")))</f>
        <v/>
      </c>
      <c r="AX136" s="90" t="n">
        <f aca="false">IF(Q136&lt;&gt;1,1,IF(스프레드쇼크!$C$4="Y",INDEX(스프레드쇼크!$B$12:$L$16,IFERROR(MATCH(AH136,스프레드쇼크!$A$12:$A$16,0),MATCH("목록외",스프레드쇼크!$A$12:$A$16,0)),IFERROR(MATCH(AG136,스프레드쇼크!$B$11:$L$11,0),MATCH("목록외",스프레드쇼크!$B$11:$L$11,0))),1))</f>
        <v>1</v>
      </c>
      <c r="AY136" s="90" t="n">
        <f aca="false">IF(스프레드쇼크!$C$5="Y",IF(ISNUMBER(AF136),MIN(스프레드쇼크!$C$7,MAX(스프레드쇼크!$C$6,AF136/스프레드쇼크!$C$8)),1),1)</f>
        <v>1.43783451690401</v>
      </c>
      <c r="AZ136" s="94" t="n">
        <f aca="false">AN136*AX136*AY136</f>
        <v>1844.92916141105</v>
      </c>
      <c r="BA136" s="90" t="n">
        <f aca="false">IF(ISNUMBER(G136),AA136*G136,0)</f>
        <v>11.327398749</v>
      </c>
      <c r="BB136" s="90" t="n">
        <f aca="false">IF(ISNUMBER(G136),AA136,0)</f>
        <v>1.83627</v>
      </c>
      <c r="BC136" s="90" t="n">
        <f aca="false">IF(AND(Y136=0,ISNUMBER(AF136)),AA136*AF136,0)</f>
        <v>174.55766247</v>
      </c>
      <c r="BD136" s="90" t="n">
        <f aca="false">IF(AND(Y136=0,ISNUMBER(AF136)),AA136,0)</f>
        <v>1.83627</v>
      </c>
      <c r="BE136" s="90" t="n">
        <f aca="false">IF(ISNUMBER(H136),AA136*H136,0)</f>
        <v>12.831303879</v>
      </c>
      <c r="BF136" s="90" t="n">
        <f aca="false">IF(ISNUMBER(H136),AA136,0)</f>
        <v>1.83627</v>
      </c>
      <c r="BG136" s="90" t="n">
        <f aca="false">IF(AND(Y136=0,ISNUMBER(AF136),ISNUMBER(Z136)),AA136*Z136,0)</f>
        <v>12.831303879</v>
      </c>
      <c r="BH136" s="90" t="n">
        <f aca="false">IF(AND(Y136=0,ISNUMBER(AF136),ISNUMBER(Z136)),AA136*AT136*MAX(Z136-1,0),0)</f>
        <v>45.1841298956301</v>
      </c>
      <c r="BI136" s="90" t="n">
        <f aca="false">IF(Y136=0,AA136,0)</f>
        <v>1.83627</v>
      </c>
    </row>
    <row r="137" customFormat="false" ht="15" hidden="false" customHeight="false" outlineLevel="0" collapsed="false">
      <c r="A137" s="83" t="str">
        <f aca="false">IFERROR(IF(INDEX(원자료_잔고!$A$1:$EZ$1500,설정!$L$5+ROW()-1,설정!$L$8)&amp;""="0","",INDEX(원자료_잔고!$A$1:$EZ$1500,설정!$L$5+ROW()-1,설정!$L$8)&amp;""),"")</f>
        <v>POHANG 5 01/16/36</v>
      </c>
      <c r="B137" s="83" t="str">
        <f aca="false">IFERROR(IF(INDEX(원자료_잔고!$A$1:$EZ$1500,설정!$L$5+ROW()-1,설정!$L$7)&amp;""="0","",INDEX(원자료_잔고!$A$1:$EZ$1500,설정!$L$5+ROW()-1,설정!$L$7)&amp;""),"")</f>
        <v>USY7S272AM43</v>
      </c>
      <c r="C137" s="83" t="str">
        <f aca="false">IFERROR(IF(INDEX(원자료_잔고!$A$1:$EZ$1500,설정!$L$5+ROW()-1,설정!$L$9)&amp;""="0","",INDEX(원자료_잔고!$A$1:$EZ$1500,설정!$L$5+ROW()-1,설정!$L$9)&amp;""),"")</f>
        <v>34507</v>
      </c>
      <c r="D13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7" s="84" t="n">
        <f aca="false">IFERROR(IF(ISNUMBER(INDEX(원자료_잔고!$A$1:$EZ$1500,설정!$L$5+ROW()-1,설정!$L$11)),INDEX(원자료_잔고!$A$1:$EZ$1500,설정!$L$5+ROW()-1,설정!$L$11),""),"")</f>
        <v>3000000</v>
      </c>
      <c r="F137" s="85" t="n">
        <f aca="false">IFERROR(IF(ISNUMBER(INDEX(원자료_잔고!$A$1:$EZ$1500,설정!$L$5+ROW()-1,설정!$L$12)),INDEX(원자료_잔고!$A$1:$EZ$1500,설정!$L$5+ROW()-1,설정!$L$12),""),"")</f>
        <v>91.8135</v>
      </c>
      <c r="G137" s="85" t="n">
        <f aca="false">IFERROR(IF(ISNUMBER(INDEX(원자료_잔고!$A$1:$EZ$1500,설정!$L$5+ROW()-1,설정!$L$13)),INDEX(원자료_잔고!$A$1:$EZ$1500,설정!$L$5+ROW()-1,설정!$L$13),""),"")</f>
        <v>6.1687</v>
      </c>
      <c r="H137" s="85" t="n">
        <f aca="false">IFERROR(IF(ISNUMBER(INDEX(원자료_잔고!$A$1:$EZ$1500,설정!$L$5+ROW()-1,설정!$L$14)),INDEX(원자료_잔고!$A$1:$EZ$1500,설정!$L$5+ROW()-1,설정!$L$14),""),"")</f>
        <v>6.9877</v>
      </c>
      <c r="I137" s="86" t="n">
        <f aca="false">IFERROR(IF(ISNUMBER(INDEX(원자료_잔고!$A$1:$EZ$1500,설정!$L$5+ROW()-1,설정!$L$15)),INDEX(원자료_잔고!$A$1:$EZ$1500,설정!$L$5+ROW()-1,설정!$L$15),""),"")</f>
        <v>49690</v>
      </c>
      <c r="J137" s="85" t="n">
        <f aca="false">IFERROR(IF(ISNUMBER(INDEX(원자료_잔고!$A$1:$EZ$1500,설정!$L$5+ROW()-1,설정!$L$16)),INDEX(원자료_잔고!$A$1:$EZ$1500,설정!$L$5+ROW()-1,설정!$L$16),""),"")</f>
        <v>5</v>
      </c>
      <c r="K137" s="87" t="n">
        <f aca="false">IFERROR(IF(ISNUMBER(INDEX(원자료_잔고!$A$1:$EZ$1500,설정!$L$5+ROW()-1,설정!$L$17)),INDEX(원자료_잔고!$A$1:$EZ$1500,설정!$L$5+ROW()-1,설정!$L$17),""),"")</f>
        <v>1</v>
      </c>
      <c r="L137" s="84" t="n">
        <f aca="false">IFERROR(IF(ISNUMBER(INDEX(원자료_잔고!$A$1:$EZ$1500,설정!$L$5+ROW()-1,설정!$L$18)),INDEX(원자료_잔고!$A$1:$EZ$1500,설정!$L$5+ROW()-1,설정!$L$18),""),"")</f>
        <v>2754405</v>
      </c>
      <c r="M137" s="88" t="n">
        <f aca="false">IFERROR(IF(ISNUMBER(INDEX(원자료_잔고!$A$1:$EZ$1500,설정!$L$5+ROW()-1,설정!$L$19)),INDEX(원자료_잔고!$A$1:$EZ$1500,설정!$L$5+ROW()-1,설정!$L$19),""),"")</f>
        <v>-183585</v>
      </c>
      <c r="N137" s="83" t="str">
        <f aca="false">IFERROR(IF(INDEX(원자료_잔고!$A$1:$EZ$1500,설정!$L$5+ROW()-1,설정!$L$21)&amp;""="0","",INDEX(원자료_잔고!$A$1:$EZ$1500,설정!$L$5+ROW()-1,설정!$L$21)&amp;""),"")</f>
        <v>BBB+</v>
      </c>
      <c r="O137" s="83" t="str">
        <f aca="false">IFERROR(IF(INDEX(원자료_잔고!$A$1:$EZ$1500,설정!$L$5+ROW()-1,설정!$L$22)&amp;""="0","",INDEX(원자료_잔고!$A$1:$EZ$1500,설정!$L$5+ROW()-1,설정!$L$22)&amp;""),"")</f>
        <v/>
      </c>
      <c r="P137" s="83" t="str">
        <f aca="false">IFERROR(IF(INDEX(원자료_잔고!$A$1:$EZ$1500,설정!$L$5+ROW()-1,설정!$L$23)&amp;""="0","",INDEX(원자료_잔고!$A$1:$EZ$1500,설정!$L$5+ROW()-1,설정!$L$23)&amp;""),"")</f>
        <v>N/A</v>
      </c>
      <c r="Q137" s="89" t="n">
        <f aca="false">IF(AND($A137&lt;&gt;"",ISNUMBER(E137)),IF(E137&gt;0,1,0),0)</f>
        <v>1</v>
      </c>
      <c r="R137" s="43" t="str">
        <f aca="false">IF(Q137=1,UPPER(LEFT($A137,FIND(" ",$A137&amp;" ")-1)),"")</f>
        <v>POHANG</v>
      </c>
      <c r="S137" s="89" t="n">
        <f aca="false">IF(Q137=1,IF(OR(ISNUMBER(SEARCH("Float",$A137)),ISNUMBER(SEARCH("FRN",$A137))),1,0),0)</f>
        <v>0</v>
      </c>
      <c r="T137" s="43" t="str">
        <f aca="false">IF(AND(Q137=1,ISNUMBER(I137)),TEXT(I137,"yyyymmdd")&amp;"|"&amp;IF(S137=1,"F",TEXT(J137,"0.000")),"")</f>
        <v>20360116|5.000</v>
      </c>
      <c r="U137" s="90" t="n">
        <f aca="false">IF(AND(Q137=1,ISNUMBER(I137)),(I137-설정!$C$4)/365.25,"")</f>
        <v>9.29226557152635</v>
      </c>
      <c r="V137" s="43" t="str">
        <f aca="false">IF(Q137&lt;&gt;1,"",IF(ISNUMBER(U137),IF(U137&lt;=1,"1년 이하",IF(U137&lt;=2,"1-2년",IF(U137&lt;=3,"2-3년",IF(U137&lt;=4,"3-4년",IF(U137&lt;=5,"4-5년",IF(U137&lt;=7,"5-7년",IF(U137&lt;=10,"7-10년",IF(U137&lt;=20,"10-20년","20년 이상")))))))),"미분류"))</f>
        <v>7-10년</v>
      </c>
      <c r="W137" s="43" t="str">
        <f aca="false">IF(Q137&lt;&gt;1,"",IF(AB137&lt;&gt;"",INDEX(시장분석!$C:$C,AB137),IF(K137=1,"USD","비USD")))</f>
        <v>USD</v>
      </c>
      <c r="X137" s="91" t="n">
        <f aca="false">IF(Q137=1,E137*K137/1000000,0)</f>
        <v>3</v>
      </c>
      <c r="Y137" s="89" t="n">
        <f aca="false">IF(R137="T",1,0)</f>
        <v>0</v>
      </c>
      <c r="Z137" s="92" t="n">
        <f aca="false">IF(Q137&lt;&gt;1,"",IF(AD137=1,IF(ISNUMBER(U137),MAX(U137,0),H137),H137))</f>
        <v>6.9877</v>
      </c>
      <c r="AA137" s="91" t="n">
        <f aca="false">IF(Q137=1,IF(ISNUMBER(L137),L137,0)*K137/1000000,0)</f>
        <v>2.754405</v>
      </c>
      <c r="AB137" s="89" t="n">
        <f aca="false">IF(Q137&lt;&gt;1,"",IFERROR(MATCH(VLOOKUP(B137,매핑!$H$4:$I$15,2,0),시장분석!$A$2:$A$601,0)+1,IFERROR(MATCH(R137&amp;"|"&amp;T137,시장분석!$V$2:$V$601,0)+1,IF(COUNTIF(시장분석!$U$2:$U$601,T137)=1,MATCH(T137,시장분석!$U$2:$U$601,0)+1,""))))</f>
        <v>197</v>
      </c>
      <c r="AC137" s="89" t="n">
        <f aca="false">IF(Q137&lt;&gt;1,0,IF(OR(설정!$C$5="전체",AND(설정!$C$5="선택펀드",IFERROR(COUNTIFS(설정!$F$16:$F$36,C137,설정!$G$16:$G$36,"Y")+COUNTIFS(설정!$F$16:$F$36,VALUE(C137),설정!$G$16:$G$36,"Y"),0)&gt;0),C137&amp;""=설정!$C$5&amp;""),1,0))</f>
        <v>1</v>
      </c>
      <c r="AD137" s="89" t="n">
        <f aca="false">IF(Q137&lt;&gt;1,0,IF(OR(S137=1,IF(AB137="",FALSE(),INDEX(시장분석!$R:$R,AB137)=1)),1,0))</f>
        <v>0</v>
      </c>
      <c r="AE137" s="43" t="str">
        <f aca="false">IF(AB137="","",INDEX(시장분석!$A:$A,AB137))</f>
        <v>POHANG 5 01/16/36</v>
      </c>
      <c r="AF137" s="93" t="n">
        <f aca="false">IF(AB137="","",IF(ISNUMBER(IF(AB137="","",INDEX(시장분석!$E:$E,AB137))),IF(AB137="","",INDEX(시장분석!$E:$E,AB137)),""))</f>
        <v>95.061</v>
      </c>
      <c r="AG137" s="43" t="str">
        <f aca="false">IF(Q137&lt;&gt;1,"",IF(AB137&lt;&gt;"",IF(AB137="","",INDEX(시장분석!$L:$L,AB137)),IFERROR(IF(VLOOKUP(R137,매핑!$A$4:$E$92,5,0)="","미분류",VLOOKUP(R137,매핑!$A$4:$E$92,5,0)),"미분류")))</f>
        <v>원자재</v>
      </c>
      <c r="AH137" s="43" t="str">
        <f aca="false">IF(Q137&lt;&gt;1,"",IF(AB137&lt;&gt;"",IF(AB137="","",INDEX(시장분석!$N:$N,AB137)),IFERROR(IF(VLOOKUP(R137,매핑!$A$4:$E$92,4,0)="","미분류",VLOOKUP(R137,매핑!$A$4:$E$92,4,0)),"미분류")))</f>
        <v>아시아/기타</v>
      </c>
      <c r="AI137" s="43" t="str">
        <f aca="false">IF(Q137&lt;&gt;1,"",IFERROR(IF(VLOOKUP(R137,매핑!$A$4:$E$92,3,0)="","미분류",VLOOKUP(R137,매핑!$A$4:$E$92,3,0)),IF(AB137&lt;&gt;"",IF(AB137="","",INDEX(시장분석!$W:$W,AB137)),"미분류")))</f>
        <v>한국</v>
      </c>
      <c r="AJ137" s="43" t="str">
        <f aca="false">IF(Q137&lt;&gt;1,"",IFERROR(VLOOKUP(IF(N137&lt;&gt;"",N137,IF(P137&lt;&gt;"",P137,O137)),설정!$A$15:$D$47,2,0),""))</f>
        <v>BBB+</v>
      </c>
      <c r="AK137" s="43" t="str">
        <f aca="false">IF(Q137&lt;&gt;1,"",IF(AJ137="","무등급",IFERROR(VLOOKUP(AJ137,설정!$A$15:$D$47,3,0),"무등급")))</f>
        <v>BBB</v>
      </c>
      <c r="AL137" s="89" t="n">
        <f aca="false">IF(AJ137="",99,IFERROR(VLOOKUP(AJ137,설정!$A$15:$D$47,4,0),99))</f>
        <v>8</v>
      </c>
      <c r="AM137" s="94" t="n">
        <f aca="false">IF(ISNUMBER(H137),AA137*1000000*H137/10000,0)</f>
        <v>1924.69558185</v>
      </c>
      <c r="AN137" s="94" t="n">
        <f aca="false">IF(OR(Y137=1,NOT(ISNUMBER(Z137))),0,AA137*1000000*Z137/10000)</f>
        <v>1924.69558185</v>
      </c>
      <c r="AO137" s="94" t="n">
        <f aca="false">IF(ISNUMBER(G137),AA137*1000000*G137/100,0)</f>
        <v>169910.981235</v>
      </c>
      <c r="AP137" s="94" t="n">
        <f aca="false">IF(ISNUMBER(M137),M137*K137,0)</f>
        <v>-183585</v>
      </c>
      <c r="AQ137" s="95" t="n">
        <f aca="false">IF(AB137="","",INDEX(시장분석!$AK:$AK,AB137))</f>
        <v>-0.391893385739059</v>
      </c>
      <c r="AR137" s="43" t="str">
        <f aca="false">IF(AB137="","-",IF(AB137="","",INDEX(시장분석!$AL:$AL,AB137)))</f>
        <v>Fair</v>
      </c>
      <c r="AS137" s="96" t="n">
        <f aca="false">IF(AB137="","",INDEX(시장분석!$AJ:$AJ,AB137))</f>
        <v>-4.33827586910192</v>
      </c>
      <c r="AT137" s="93" t="n">
        <f aca="false">IF(AB137="",0,IF(AB137="","",INDEX(시장분석!$AN:$AN,AB137)))</f>
        <v>4.10950347155634</v>
      </c>
      <c r="AU137" s="94" t="n">
        <f aca="false">IF(ISNUMBER(Z137),AT137/10000*MAX(Z137-1,0)*AA137*1000000,0)</f>
        <v>6777.61948434452</v>
      </c>
      <c r="AV137" s="94" t="n">
        <f aca="false">AO137+AU137</f>
        <v>176688.600719345</v>
      </c>
      <c r="AW137" s="43" t="str">
        <f aca="false">IF(Q137&lt;&gt;1,"",TRIM(IF(AD137=1,"FRN ","")&amp;IF(AND(AL137&gt;=10,AL137&lt;99),"BBB0미만 ","")&amp;IF(AJ137="","등급없음 ","")&amp;IF(K137&lt;&gt;1,"비USD ","")&amp;IF(AND(AB137="",Y137=0),"시장데이터없음 ","")&amp;IF(AND(ISNUMBER(U137),U137&lt;0),"만기경과 ","")))</f>
        <v/>
      </c>
      <c r="AX137" s="90" t="n">
        <f aca="false">IF(Q137&lt;&gt;1,1,IF(스프레드쇼크!$C$4="Y",INDEX(스프레드쇼크!$B$12:$L$16,IFERROR(MATCH(AH137,스프레드쇼크!$A$12:$A$16,0),MATCH("목록외",스프레드쇼크!$A$12:$A$16,0)),IFERROR(MATCH(AG137,스프레드쇼크!$B$11:$L$11,0),MATCH("목록외",스프레드쇼크!$B$11:$L$11,0))),1))</f>
        <v>1</v>
      </c>
      <c r="AY137" s="90" t="n">
        <f aca="false">IF(스프레드쇼크!$C$5="Y",IF(ISNUMBER(AF137),MIN(스프레드쇼크!$C$7,MAX(스프레드쇼크!$C$6,AF137/스프레드쇼크!$C$8)),1),1)</f>
        <v>1.43783451690401</v>
      </c>
      <c r="AZ137" s="94" t="n">
        <f aca="false">AN137*AX137*AY137</f>
        <v>2767.39374211657</v>
      </c>
      <c r="BA137" s="90" t="n">
        <f aca="false">IF(ISNUMBER(G137),AA137*G137,0)</f>
        <v>16.9910981235</v>
      </c>
      <c r="BB137" s="90" t="n">
        <f aca="false">IF(ISNUMBER(G137),AA137,0)</f>
        <v>2.754405</v>
      </c>
      <c r="BC137" s="90" t="n">
        <f aca="false">IF(AND(Y137=0,ISNUMBER(AF137)),AA137*AF137,0)</f>
        <v>261.836493705</v>
      </c>
      <c r="BD137" s="90" t="n">
        <f aca="false">IF(AND(Y137=0,ISNUMBER(AF137)),AA137,0)</f>
        <v>2.754405</v>
      </c>
      <c r="BE137" s="90" t="n">
        <f aca="false">IF(ISNUMBER(H137),AA137*H137,0)</f>
        <v>19.2469558185</v>
      </c>
      <c r="BF137" s="90" t="n">
        <f aca="false">IF(ISNUMBER(H137),AA137,0)</f>
        <v>2.754405</v>
      </c>
      <c r="BG137" s="90" t="n">
        <f aca="false">IF(AND(Y137=0,ISNUMBER(AF137),ISNUMBER(Z137)),AA137*Z137,0)</f>
        <v>19.2469558185</v>
      </c>
      <c r="BH137" s="90" t="n">
        <f aca="false">IF(AND(Y137=0,ISNUMBER(AF137),ISNUMBER(Z137)),AA137*AT137*MAX(Z137-1,0),0)</f>
        <v>67.7761948434452</v>
      </c>
      <c r="BI137" s="90" t="n">
        <f aca="false">IF(Y137=0,AA137,0)</f>
        <v>2.754405</v>
      </c>
    </row>
    <row r="138" customFormat="false" ht="15" hidden="false" customHeight="false" outlineLevel="0" collapsed="false">
      <c r="A138" s="83" t="str">
        <f aca="false">IFERROR(IF(INDEX(원자료_잔고!$A$1:$EZ$1500,설정!$L$5+ROW()-1,설정!$L$8)&amp;""="0","",INDEX(원자료_잔고!$A$1:$EZ$1500,설정!$L$5+ROW()-1,설정!$L$8)&amp;""),"")</f>
        <v>POHANG 5 01/16/36</v>
      </c>
      <c r="B138" s="83" t="str">
        <f aca="false">IFERROR(IF(INDEX(원자료_잔고!$A$1:$EZ$1500,설정!$L$5+ROW()-1,설정!$L$7)&amp;""="0","",INDEX(원자료_잔고!$A$1:$EZ$1500,설정!$L$5+ROW()-1,설정!$L$7)&amp;""),"")</f>
        <v>USY7S272AM43</v>
      </c>
      <c r="C138" s="83" t="str">
        <f aca="false">IFERROR(IF(INDEX(원자료_잔고!$A$1:$EZ$1500,설정!$L$5+ROW()-1,설정!$L$9)&amp;""="0","",INDEX(원자료_잔고!$A$1:$EZ$1500,설정!$L$5+ROW()-1,설정!$L$9)&amp;""),"")</f>
        <v>34507</v>
      </c>
      <c r="D13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8" s="84" t="n">
        <f aca="false">IFERROR(IF(ISNUMBER(INDEX(원자료_잔고!$A$1:$EZ$1500,설정!$L$5+ROW()-1,설정!$L$11)),INDEX(원자료_잔고!$A$1:$EZ$1500,설정!$L$5+ROW()-1,설정!$L$11),""),"")</f>
        <v>2000000</v>
      </c>
      <c r="F138" s="85" t="n">
        <f aca="false">IFERROR(IF(ISNUMBER(INDEX(원자료_잔고!$A$1:$EZ$1500,설정!$L$5+ROW()-1,설정!$L$12)),INDEX(원자료_잔고!$A$1:$EZ$1500,설정!$L$5+ROW()-1,설정!$L$12),""),"")</f>
        <v>91.8135</v>
      </c>
      <c r="G138" s="85" t="n">
        <f aca="false">IFERROR(IF(ISNUMBER(INDEX(원자료_잔고!$A$1:$EZ$1500,설정!$L$5+ROW()-1,설정!$L$13)),INDEX(원자료_잔고!$A$1:$EZ$1500,설정!$L$5+ROW()-1,설정!$L$13),""),"")</f>
        <v>6.1687</v>
      </c>
      <c r="H138" s="85" t="n">
        <f aca="false">IFERROR(IF(ISNUMBER(INDEX(원자료_잔고!$A$1:$EZ$1500,설정!$L$5+ROW()-1,설정!$L$14)),INDEX(원자료_잔고!$A$1:$EZ$1500,설정!$L$5+ROW()-1,설정!$L$14),""),"")</f>
        <v>6.9877</v>
      </c>
      <c r="I138" s="86" t="n">
        <f aca="false">IFERROR(IF(ISNUMBER(INDEX(원자료_잔고!$A$1:$EZ$1500,설정!$L$5+ROW()-1,설정!$L$15)),INDEX(원자료_잔고!$A$1:$EZ$1500,설정!$L$5+ROW()-1,설정!$L$15),""),"")</f>
        <v>49690</v>
      </c>
      <c r="J138" s="85" t="n">
        <f aca="false">IFERROR(IF(ISNUMBER(INDEX(원자료_잔고!$A$1:$EZ$1500,설정!$L$5+ROW()-1,설정!$L$16)),INDEX(원자료_잔고!$A$1:$EZ$1500,설정!$L$5+ROW()-1,설정!$L$16),""),"")</f>
        <v>5</v>
      </c>
      <c r="K138" s="87" t="n">
        <f aca="false">IFERROR(IF(ISNUMBER(INDEX(원자료_잔고!$A$1:$EZ$1500,설정!$L$5+ROW()-1,설정!$L$17)),INDEX(원자료_잔고!$A$1:$EZ$1500,설정!$L$5+ROW()-1,설정!$L$17),""),"")</f>
        <v>1</v>
      </c>
      <c r="L138" s="84" t="n">
        <f aca="false">IFERROR(IF(ISNUMBER(INDEX(원자료_잔고!$A$1:$EZ$1500,설정!$L$5+ROW()-1,설정!$L$18)),INDEX(원자료_잔고!$A$1:$EZ$1500,설정!$L$5+ROW()-1,설정!$L$18),""),"")</f>
        <v>1836270</v>
      </c>
      <c r="M138" s="88" t="n">
        <f aca="false">IFERROR(IF(ISNUMBER(INDEX(원자료_잔고!$A$1:$EZ$1500,설정!$L$5+ROW()-1,설정!$L$19)),INDEX(원자료_잔고!$A$1:$EZ$1500,설정!$L$5+ROW()-1,설정!$L$19),""),"")</f>
        <v>-124210</v>
      </c>
      <c r="N138" s="83" t="str">
        <f aca="false">IFERROR(IF(INDEX(원자료_잔고!$A$1:$EZ$1500,설정!$L$5+ROW()-1,설정!$L$21)&amp;""="0","",INDEX(원자료_잔고!$A$1:$EZ$1500,설정!$L$5+ROW()-1,설정!$L$21)&amp;""),"")</f>
        <v>BBB+</v>
      </c>
      <c r="O138" s="83" t="str">
        <f aca="false">IFERROR(IF(INDEX(원자료_잔고!$A$1:$EZ$1500,설정!$L$5+ROW()-1,설정!$L$22)&amp;""="0","",INDEX(원자료_잔고!$A$1:$EZ$1500,설정!$L$5+ROW()-1,설정!$L$22)&amp;""),"")</f>
        <v/>
      </c>
      <c r="P138" s="83" t="str">
        <f aca="false">IFERROR(IF(INDEX(원자료_잔고!$A$1:$EZ$1500,설정!$L$5+ROW()-1,설정!$L$23)&amp;""="0","",INDEX(원자료_잔고!$A$1:$EZ$1500,설정!$L$5+ROW()-1,설정!$L$23)&amp;""),"")</f>
        <v>N/A</v>
      </c>
      <c r="Q138" s="89" t="n">
        <f aca="false">IF(AND($A138&lt;&gt;"",ISNUMBER(E138)),IF(E138&gt;0,1,0),0)</f>
        <v>1</v>
      </c>
      <c r="R138" s="43" t="str">
        <f aca="false">IF(Q138=1,UPPER(LEFT($A138,FIND(" ",$A138&amp;" ")-1)),"")</f>
        <v>POHANG</v>
      </c>
      <c r="S138" s="89" t="n">
        <f aca="false">IF(Q138=1,IF(OR(ISNUMBER(SEARCH("Float",$A138)),ISNUMBER(SEARCH("FRN",$A138))),1,0),0)</f>
        <v>0</v>
      </c>
      <c r="T138" s="43" t="str">
        <f aca="false">IF(AND(Q138=1,ISNUMBER(I138)),TEXT(I138,"yyyymmdd")&amp;"|"&amp;IF(S138=1,"F",TEXT(J138,"0.000")),"")</f>
        <v>20360116|5.000</v>
      </c>
      <c r="U138" s="90" t="n">
        <f aca="false">IF(AND(Q138=1,ISNUMBER(I138)),(I138-설정!$C$4)/365.25,"")</f>
        <v>9.29226557152635</v>
      </c>
      <c r="V138" s="43" t="str">
        <f aca="false">IF(Q138&lt;&gt;1,"",IF(ISNUMBER(U138),IF(U138&lt;=1,"1년 이하",IF(U138&lt;=2,"1-2년",IF(U138&lt;=3,"2-3년",IF(U138&lt;=4,"3-4년",IF(U138&lt;=5,"4-5년",IF(U138&lt;=7,"5-7년",IF(U138&lt;=10,"7-10년",IF(U138&lt;=20,"10-20년","20년 이상")))))))),"미분류"))</f>
        <v>7-10년</v>
      </c>
      <c r="W138" s="43" t="str">
        <f aca="false">IF(Q138&lt;&gt;1,"",IF(AB138&lt;&gt;"",INDEX(시장분석!$C:$C,AB138),IF(K138=1,"USD","비USD")))</f>
        <v>USD</v>
      </c>
      <c r="X138" s="91" t="n">
        <f aca="false">IF(Q138=1,E138*K138/1000000,0)</f>
        <v>2</v>
      </c>
      <c r="Y138" s="89" t="n">
        <f aca="false">IF(R138="T",1,0)</f>
        <v>0</v>
      </c>
      <c r="Z138" s="92" t="n">
        <f aca="false">IF(Q138&lt;&gt;1,"",IF(AD138=1,IF(ISNUMBER(U138),MAX(U138,0),H138),H138))</f>
        <v>6.9877</v>
      </c>
      <c r="AA138" s="91" t="n">
        <f aca="false">IF(Q138=1,IF(ISNUMBER(L138),L138,0)*K138/1000000,0)</f>
        <v>1.83627</v>
      </c>
      <c r="AB138" s="89" t="n">
        <f aca="false">IF(Q138&lt;&gt;1,"",IFERROR(MATCH(VLOOKUP(B138,매핑!$H$4:$I$15,2,0),시장분석!$A$2:$A$601,0)+1,IFERROR(MATCH(R138&amp;"|"&amp;T138,시장분석!$V$2:$V$601,0)+1,IF(COUNTIF(시장분석!$U$2:$U$601,T138)=1,MATCH(T138,시장분석!$U$2:$U$601,0)+1,""))))</f>
        <v>197</v>
      </c>
      <c r="AC138" s="89" t="n">
        <f aca="false">IF(Q138&lt;&gt;1,0,IF(OR(설정!$C$5="전체",AND(설정!$C$5="선택펀드",IFERROR(COUNTIFS(설정!$F$16:$F$36,C138,설정!$G$16:$G$36,"Y")+COUNTIFS(설정!$F$16:$F$36,VALUE(C138),설정!$G$16:$G$36,"Y"),0)&gt;0),C138&amp;""=설정!$C$5&amp;""),1,0))</f>
        <v>1</v>
      </c>
      <c r="AD138" s="89" t="n">
        <f aca="false">IF(Q138&lt;&gt;1,0,IF(OR(S138=1,IF(AB138="",FALSE(),INDEX(시장분석!$R:$R,AB138)=1)),1,0))</f>
        <v>0</v>
      </c>
      <c r="AE138" s="43" t="str">
        <f aca="false">IF(AB138="","",INDEX(시장분석!$A:$A,AB138))</f>
        <v>POHANG 5 01/16/36</v>
      </c>
      <c r="AF138" s="93" t="n">
        <f aca="false">IF(AB138="","",IF(ISNUMBER(IF(AB138="","",INDEX(시장분석!$E:$E,AB138))),IF(AB138="","",INDEX(시장분석!$E:$E,AB138)),""))</f>
        <v>95.061</v>
      </c>
      <c r="AG138" s="43" t="str">
        <f aca="false">IF(Q138&lt;&gt;1,"",IF(AB138&lt;&gt;"",IF(AB138="","",INDEX(시장분석!$L:$L,AB138)),IFERROR(IF(VLOOKUP(R138,매핑!$A$4:$E$92,5,0)="","미분류",VLOOKUP(R138,매핑!$A$4:$E$92,5,0)),"미분류")))</f>
        <v>원자재</v>
      </c>
      <c r="AH138" s="43" t="str">
        <f aca="false">IF(Q138&lt;&gt;1,"",IF(AB138&lt;&gt;"",IF(AB138="","",INDEX(시장분석!$N:$N,AB138)),IFERROR(IF(VLOOKUP(R138,매핑!$A$4:$E$92,4,0)="","미분류",VLOOKUP(R138,매핑!$A$4:$E$92,4,0)),"미분류")))</f>
        <v>아시아/기타</v>
      </c>
      <c r="AI138" s="43" t="str">
        <f aca="false">IF(Q138&lt;&gt;1,"",IFERROR(IF(VLOOKUP(R138,매핑!$A$4:$E$92,3,0)="","미분류",VLOOKUP(R138,매핑!$A$4:$E$92,3,0)),IF(AB138&lt;&gt;"",IF(AB138="","",INDEX(시장분석!$W:$W,AB138)),"미분류")))</f>
        <v>한국</v>
      </c>
      <c r="AJ138" s="43" t="str">
        <f aca="false">IF(Q138&lt;&gt;1,"",IFERROR(VLOOKUP(IF(N138&lt;&gt;"",N138,IF(P138&lt;&gt;"",P138,O138)),설정!$A$15:$D$47,2,0),""))</f>
        <v>BBB+</v>
      </c>
      <c r="AK138" s="43" t="str">
        <f aca="false">IF(Q138&lt;&gt;1,"",IF(AJ138="","무등급",IFERROR(VLOOKUP(AJ138,설정!$A$15:$D$47,3,0),"무등급")))</f>
        <v>BBB</v>
      </c>
      <c r="AL138" s="89" t="n">
        <f aca="false">IF(AJ138="",99,IFERROR(VLOOKUP(AJ138,설정!$A$15:$D$47,4,0),99))</f>
        <v>8</v>
      </c>
      <c r="AM138" s="94" t="n">
        <f aca="false">IF(ISNUMBER(H138),AA138*1000000*H138/10000,0)</f>
        <v>1283.1303879</v>
      </c>
      <c r="AN138" s="94" t="n">
        <f aca="false">IF(OR(Y138=1,NOT(ISNUMBER(Z138))),0,AA138*1000000*Z138/10000)</f>
        <v>1283.1303879</v>
      </c>
      <c r="AO138" s="94" t="n">
        <f aca="false">IF(ISNUMBER(G138),AA138*1000000*G138/100,0)</f>
        <v>113273.98749</v>
      </c>
      <c r="AP138" s="94" t="n">
        <f aca="false">IF(ISNUMBER(M138),M138*K138,0)</f>
        <v>-124210</v>
      </c>
      <c r="AQ138" s="95" t="n">
        <f aca="false">IF(AB138="","",INDEX(시장분석!$AK:$AK,AB138))</f>
        <v>-0.391893385739059</v>
      </c>
      <c r="AR138" s="43" t="str">
        <f aca="false">IF(AB138="","-",IF(AB138="","",INDEX(시장분석!$AL:$AL,AB138)))</f>
        <v>Fair</v>
      </c>
      <c r="AS138" s="96" t="n">
        <f aca="false">IF(AB138="","",INDEX(시장분석!$AJ:$AJ,AB138))</f>
        <v>-4.33827586910192</v>
      </c>
      <c r="AT138" s="93" t="n">
        <f aca="false">IF(AB138="",0,IF(AB138="","",INDEX(시장분석!$AN:$AN,AB138)))</f>
        <v>4.10950347155634</v>
      </c>
      <c r="AU138" s="94" t="n">
        <f aca="false">IF(ISNUMBER(Z138),AT138/10000*MAX(Z138-1,0)*AA138*1000000,0)</f>
        <v>4518.41298956301</v>
      </c>
      <c r="AV138" s="94" t="n">
        <f aca="false">AO138+AU138</f>
        <v>117792.400479563</v>
      </c>
      <c r="AW138" s="43" t="str">
        <f aca="false">IF(Q138&lt;&gt;1,"",TRIM(IF(AD138=1,"FRN ","")&amp;IF(AND(AL138&gt;=10,AL138&lt;99),"BBB0미만 ","")&amp;IF(AJ138="","등급없음 ","")&amp;IF(K138&lt;&gt;1,"비USD ","")&amp;IF(AND(AB138="",Y138=0),"시장데이터없음 ","")&amp;IF(AND(ISNUMBER(U138),U138&lt;0),"만기경과 ","")))</f>
        <v/>
      </c>
      <c r="AX138" s="90" t="n">
        <f aca="false">IF(Q138&lt;&gt;1,1,IF(스프레드쇼크!$C$4="Y",INDEX(스프레드쇼크!$B$12:$L$16,IFERROR(MATCH(AH138,스프레드쇼크!$A$12:$A$16,0),MATCH("목록외",스프레드쇼크!$A$12:$A$16,0)),IFERROR(MATCH(AG138,스프레드쇼크!$B$11:$L$11,0),MATCH("목록외",스프레드쇼크!$B$11:$L$11,0))),1))</f>
        <v>1</v>
      </c>
      <c r="AY138" s="90" t="n">
        <f aca="false">IF(스프레드쇼크!$C$5="Y",IF(ISNUMBER(AF138),MIN(스프레드쇼크!$C$7,MAX(스프레드쇼크!$C$6,AF138/스프레드쇼크!$C$8)),1),1)</f>
        <v>1.43783451690401</v>
      </c>
      <c r="AZ138" s="94" t="n">
        <f aca="false">AN138*AX138*AY138</f>
        <v>1844.92916141105</v>
      </c>
      <c r="BA138" s="90" t="n">
        <f aca="false">IF(ISNUMBER(G138),AA138*G138,0)</f>
        <v>11.327398749</v>
      </c>
      <c r="BB138" s="90" t="n">
        <f aca="false">IF(ISNUMBER(G138),AA138,0)</f>
        <v>1.83627</v>
      </c>
      <c r="BC138" s="90" t="n">
        <f aca="false">IF(AND(Y138=0,ISNUMBER(AF138)),AA138*AF138,0)</f>
        <v>174.55766247</v>
      </c>
      <c r="BD138" s="90" t="n">
        <f aca="false">IF(AND(Y138=0,ISNUMBER(AF138)),AA138,0)</f>
        <v>1.83627</v>
      </c>
      <c r="BE138" s="90" t="n">
        <f aca="false">IF(ISNUMBER(H138),AA138*H138,0)</f>
        <v>12.831303879</v>
      </c>
      <c r="BF138" s="90" t="n">
        <f aca="false">IF(ISNUMBER(H138),AA138,0)</f>
        <v>1.83627</v>
      </c>
      <c r="BG138" s="90" t="n">
        <f aca="false">IF(AND(Y138=0,ISNUMBER(AF138),ISNUMBER(Z138)),AA138*Z138,0)</f>
        <v>12.831303879</v>
      </c>
      <c r="BH138" s="90" t="n">
        <f aca="false">IF(AND(Y138=0,ISNUMBER(AF138),ISNUMBER(Z138)),AA138*AT138*MAX(Z138-1,0),0)</f>
        <v>45.1841298956301</v>
      </c>
      <c r="BI138" s="90" t="n">
        <f aca="false">IF(Y138=0,AA138,0)</f>
        <v>1.83627</v>
      </c>
    </row>
    <row r="139" customFormat="false" ht="15" hidden="false" customHeight="false" outlineLevel="0" collapsed="false">
      <c r="A139" s="83" t="str">
        <f aca="false">IFERROR(IF(INDEX(원자료_잔고!$A$1:$EZ$1500,설정!$L$5+ROW()-1,설정!$L$8)&amp;""="0","",INDEX(원자료_잔고!$A$1:$EZ$1500,설정!$L$5+ROW()-1,설정!$L$8)&amp;""),"")</f>
        <v>HYUELE 6.5 01/17/33</v>
      </c>
      <c r="B139" s="83" t="str">
        <f aca="false">IFERROR(IF(INDEX(원자료_잔고!$A$1:$EZ$1500,설정!$L$5+ROW()-1,설정!$L$7)&amp;""="0","",INDEX(원자료_잔고!$A$1:$EZ$1500,설정!$L$5+ROW()-1,설정!$L$7)&amp;""),"")</f>
        <v>USY8085FBL32</v>
      </c>
      <c r="C139" s="83" t="str">
        <f aca="false">IFERROR(IF(INDEX(원자료_잔고!$A$1:$EZ$1500,설정!$L$5+ROW()-1,설정!$L$9)&amp;""="0","",INDEX(원자료_잔고!$A$1:$EZ$1500,설정!$L$5+ROW()-1,설정!$L$9)&amp;""),"")</f>
        <v>34507</v>
      </c>
      <c r="D13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39" s="84" t="n">
        <f aca="false">IFERROR(IF(ISNUMBER(INDEX(원자료_잔고!$A$1:$EZ$1500,설정!$L$5+ROW()-1,설정!$L$11)),INDEX(원자료_잔고!$A$1:$EZ$1500,설정!$L$5+ROW()-1,설정!$L$11),""),"")</f>
        <v>5000000</v>
      </c>
      <c r="F139" s="85" t="n">
        <f aca="false">IFERROR(IF(ISNUMBER(INDEX(원자료_잔고!$A$1:$EZ$1500,설정!$L$5+ROW()-1,설정!$L$12)),INDEX(원자료_잔고!$A$1:$EZ$1500,설정!$L$5+ROW()-1,설정!$L$12),""),"")</f>
        <v>103.4611</v>
      </c>
      <c r="G139" s="85" t="n">
        <f aca="false">IFERROR(IF(ISNUMBER(INDEX(원자료_잔고!$A$1:$EZ$1500,설정!$L$5+ROW()-1,설정!$L$13)),INDEX(원자료_잔고!$A$1:$EZ$1500,설정!$L$5+ROW()-1,설정!$L$13),""),"")</f>
        <v>5.8327</v>
      </c>
      <c r="H139" s="85" t="n">
        <f aca="false">IFERROR(IF(ISNUMBER(INDEX(원자료_잔고!$A$1:$EZ$1500,설정!$L$5+ROW()-1,설정!$L$14)),INDEX(원자료_잔고!$A$1:$EZ$1500,설정!$L$5+ROW()-1,설정!$L$14),""),"")</f>
        <v>4.961</v>
      </c>
      <c r="I139" s="86" t="n">
        <f aca="false">IFERROR(IF(ISNUMBER(INDEX(원자료_잔고!$A$1:$EZ$1500,설정!$L$5+ROW()-1,설정!$L$15)),INDEX(원자료_잔고!$A$1:$EZ$1500,설정!$L$5+ROW()-1,설정!$L$15),""),"")</f>
        <v>48596</v>
      </c>
      <c r="J139" s="85" t="n">
        <f aca="false">IFERROR(IF(ISNUMBER(INDEX(원자료_잔고!$A$1:$EZ$1500,설정!$L$5+ROW()-1,설정!$L$16)),INDEX(원자료_잔고!$A$1:$EZ$1500,설정!$L$5+ROW()-1,설정!$L$16),""),"")</f>
        <v>6.5</v>
      </c>
      <c r="K139" s="87" t="n">
        <f aca="false">IFERROR(IF(ISNUMBER(INDEX(원자료_잔고!$A$1:$EZ$1500,설정!$L$5+ROW()-1,설정!$L$17)),INDEX(원자료_잔고!$A$1:$EZ$1500,설정!$L$5+ROW()-1,설정!$L$17),""),"")</f>
        <v>1</v>
      </c>
      <c r="L139" s="84" t="n">
        <f aca="false">IFERROR(IF(ISNUMBER(INDEX(원자료_잔고!$A$1:$EZ$1500,설정!$L$5+ROW()-1,설정!$L$18)),INDEX(원자료_잔고!$A$1:$EZ$1500,설정!$L$5+ROW()-1,설정!$L$18),""),"")</f>
        <v>5173055</v>
      </c>
      <c r="M139" s="88" t="n">
        <f aca="false">IFERROR(IF(ISNUMBER(INDEX(원자료_잔고!$A$1:$EZ$1500,설정!$L$5+ROW()-1,설정!$L$19)),INDEX(원자료_잔고!$A$1:$EZ$1500,설정!$L$5+ROW()-1,설정!$L$19),""),"")</f>
        <v>-302045</v>
      </c>
      <c r="N139" s="83" t="str">
        <f aca="false">IFERROR(IF(INDEX(원자료_잔고!$A$1:$EZ$1500,설정!$L$5+ROW()-1,설정!$L$21)&amp;""="0","",INDEX(원자료_잔고!$A$1:$EZ$1500,설정!$L$5+ROW()-1,설정!$L$21)&amp;""),"")</f>
        <v>A-</v>
      </c>
      <c r="O139" s="83" t="str">
        <f aca="false">IFERROR(IF(INDEX(원자료_잔고!$A$1:$EZ$1500,설정!$L$5+ROW()-1,설정!$L$22)&amp;""="0","",INDEX(원자료_잔고!$A$1:$EZ$1500,설정!$L$5+ROW()-1,설정!$L$22)&amp;""),"")</f>
        <v/>
      </c>
      <c r="P139" s="83" t="str">
        <f aca="false">IFERROR(IF(INDEX(원자료_잔고!$A$1:$EZ$1500,설정!$L$5+ROW()-1,설정!$L$23)&amp;""="0","",INDEX(원자료_잔고!$A$1:$EZ$1500,설정!$L$5+ROW()-1,설정!$L$23)&amp;""),"")</f>
        <v>BBB</v>
      </c>
      <c r="Q139" s="89" t="n">
        <f aca="false">IF(AND($A139&lt;&gt;"",ISNUMBER(E139)),IF(E139&gt;0,1,0),0)</f>
        <v>1</v>
      </c>
      <c r="R139" s="43" t="str">
        <f aca="false">IF(Q139=1,UPPER(LEFT($A139,FIND(" ",$A139&amp;" ")-1)),"")</f>
        <v>HYUELE</v>
      </c>
      <c r="S139" s="89" t="n">
        <f aca="false">IF(Q139=1,IF(OR(ISNUMBER(SEARCH("Float",$A139)),ISNUMBER(SEARCH("FRN",$A139))),1,0),0)</f>
        <v>0</v>
      </c>
      <c r="T139" s="43" t="str">
        <f aca="false">IF(AND(Q139=1,ISNUMBER(I139)),TEXT(I139,"yyyymmdd")&amp;"|"&amp;IF(S139=1,"F",TEXT(J139,"0.000")),"")</f>
        <v>20330117|6.500</v>
      </c>
      <c r="U139" s="90" t="n">
        <f aca="false">IF(AND(Q139=1,ISNUMBER(I139)),(I139-설정!$C$4)/365.25,"")</f>
        <v>6.29705681040383</v>
      </c>
      <c r="V139" s="43" t="str">
        <f aca="false">IF(Q139&lt;&gt;1,"",IF(ISNUMBER(U139),IF(U139&lt;=1,"1년 이하",IF(U139&lt;=2,"1-2년",IF(U139&lt;=3,"2-3년",IF(U139&lt;=4,"3-4년",IF(U139&lt;=5,"4-5년",IF(U139&lt;=7,"5-7년",IF(U139&lt;=10,"7-10년",IF(U139&lt;=20,"10-20년","20년 이상")))))))),"미분류"))</f>
        <v>5-7년</v>
      </c>
      <c r="W139" s="43" t="str">
        <f aca="false">IF(Q139&lt;&gt;1,"",IF(AB139&lt;&gt;"",INDEX(시장분석!$C:$C,AB139),IF(K139=1,"USD","비USD")))</f>
        <v>USD</v>
      </c>
      <c r="X139" s="91" t="n">
        <f aca="false">IF(Q139=1,E139*K139/1000000,0)</f>
        <v>5</v>
      </c>
      <c r="Y139" s="89" t="n">
        <f aca="false">IF(R139="T",1,0)</f>
        <v>0</v>
      </c>
      <c r="Z139" s="92" t="n">
        <f aca="false">IF(Q139&lt;&gt;1,"",IF(AD139=1,IF(ISNUMBER(U139),MAX(U139,0),H139),H139))</f>
        <v>4.961</v>
      </c>
      <c r="AA139" s="91" t="n">
        <f aca="false">IF(Q139=1,IF(ISNUMBER(L139),L139,0)*K139/1000000,0)</f>
        <v>5.173055</v>
      </c>
      <c r="AB139" s="89" t="n">
        <f aca="false">IF(Q139&lt;&gt;1,"",IFERROR(MATCH(VLOOKUP(B139,매핑!$H$4:$I$15,2,0),시장분석!$A$2:$A$601,0)+1,IFERROR(MATCH(R139&amp;"|"&amp;T139,시장분석!$V$2:$V$601,0)+1,IF(COUNTIF(시장분석!$U$2:$U$601,T139)=1,MATCH(T139,시장분석!$U$2:$U$601,0)+1,""))))</f>
        <v>202</v>
      </c>
      <c r="AC139" s="89" t="n">
        <f aca="false">IF(Q139&lt;&gt;1,0,IF(OR(설정!$C$5="전체",AND(설정!$C$5="선택펀드",IFERROR(COUNTIFS(설정!$F$16:$F$36,C139,설정!$G$16:$G$36,"Y")+COUNTIFS(설정!$F$16:$F$36,VALUE(C139),설정!$G$16:$G$36,"Y"),0)&gt;0),C139&amp;""=설정!$C$5&amp;""),1,0))</f>
        <v>1</v>
      </c>
      <c r="AD139" s="89" t="n">
        <f aca="false">IF(Q139&lt;&gt;1,0,IF(OR(S139=1,IF(AB139="",FALSE(),INDEX(시장분석!$R:$R,AB139)=1)),1,0))</f>
        <v>0</v>
      </c>
      <c r="AE139" s="43" t="str">
        <f aca="false">IF(AB139="","",INDEX(시장분석!$A:$A,AB139))</f>
        <v>HYUELE 6 1/2 01/17/33</v>
      </c>
      <c r="AF139" s="93" t="n">
        <f aca="false">IF(AB139="","",IF(ISNUMBER(IF(AB139="","",INDEX(시장분석!$E:$E,AB139))),IF(AB139="","",INDEX(시장분석!$E:$E,AB139)),""))</f>
        <v>62.161</v>
      </c>
      <c r="AG139" s="43" t="str">
        <f aca="false">IF(Q139&lt;&gt;1,"",IF(AB139&lt;&gt;"",IF(AB139="","",INDEX(시장분석!$L:$L,AB139)),IFERROR(IF(VLOOKUP(R139,매핑!$A$4:$E$92,5,0)="","미분류",VLOOKUP(R139,매핑!$A$4:$E$92,5,0)),"미분류")))</f>
        <v>기술</v>
      </c>
      <c r="AH139" s="43" t="str">
        <f aca="false">IF(Q139&lt;&gt;1,"",IF(AB139&lt;&gt;"",IF(AB139="","",INDEX(시장분석!$N:$N,AB139)),IFERROR(IF(VLOOKUP(R139,매핑!$A$4:$E$92,4,0)="","미분류",VLOOKUP(R139,매핑!$A$4:$E$92,4,0)),"미분류")))</f>
        <v>아시아/기타</v>
      </c>
      <c r="AI139" s="43" t="str">
        <f aca="false">IF(Q139&lt;&gt;1,"",IFERROR(IF(VLOOKUP(R139,매핑!$A$4:$E$92,3,0)="","미분류",VLOOKUP(R139,매핑!$A$4:$E$92,3,0)),IF(AB139&lt;&gt;"",IF(AB139="","",INDEX(시장분석!$W:$W,AB139)),"미분류")))</f>
        <v>한국</v>
      </c>
      <c r="AJ139" s="43" t="str">
        <f aca="false">IF(Q139&lt;&gt;1,"",IFERROR(VLOOKUP(IF(N139&lt;&gt;"",N139,IF(P139&lt;&gt;"",P139,O139)),설정!$A$15:$D$47,2,0),""))</f>
        <v>A-</v>
      </c>
      <c r="AK139" s="43" t="str">
        <f aca="false">IF(Q139&lt;&gt;1,"",IF(AJ139="","무등급",IFERROR(VLOOKUP(AJ139,설정!$A$15:$D$47,3,0),"무등급")))</f>
        <v>A</v>
      </c>
      <c r="AL139" s="89" t="n">
        <f aca="false">IF(AJ139="",99,IFERROR(VLOOKUP(AJ139,설정!$A$15:$D$47,4,0),99))</f>
        <v>7</v>
      </c>
      <c r="AM139" s="94" t="n">
        <f aca="false">IF(ISNUMBER(H139),AA139*1000000*H139/10000,0)</f>
        <v>2566.3525855</v>
      </c>
      <c r="AN139" s="94" t="n">
        <f aca="false">IF(OR(Y139=1,NOT(ISNUMBER(Z139))),0,AA139*1000000*Z139/10000)</f>
        <v>2566.3525855</v>
      </c>
      <c r="AO139" s="94" t="n">
        <f aca="false">IF(ISNUMBER(G139),AA139*1000000*G139/100,0)</f>
        <v>301728.778985</v>
      </c>
      <c r="AP139" s="94" t="n">
        <f aca="false">IF(ISNUMBER(M139),M139*K139,0)</f>
        <v>-302045</v>
      </c>
      <c r="AQ139" s="95" t="n">
        <f aca="false">IF(AB139="","",INDEX(시장분석!$AK:$AK,AB139))</f>
        <v>-1.37608090040265</v>
      </c>
      <c r="AR139" s="43" t="str">
        <f aca="false">IF(AB139="","-",IF(AB139="","",INDEX(시장분석!$AL:$AL,AB139)))</f>
        <v>Rich</v>
      </c>
      <c r="AS139" s="96" t="n">
        <f aca="false">IF(AB139="","",INDEX(시장분석!$AJ:$AJ,AB139))</f>
        <v>-3.70168733626893</v>
      </c>
      <c r="AT139" s="93" t="n">
        <f aca="false">IF(AB139="",0,IF(AB139="","",INDEX(시장분석!$AN:$AN,AB139)))</f>
        <v>4.21858762862461</v>
      </c>
      <c r="AU139" s="94" t="n">
        <f aca="false">IF(ISNUMBER(Z139),AT139/10000*MAX(Z139-1,0)*AA139*1000000,0)</f>
        <v>8644.08468535962</v>
      </c>
      <c r="AV139" s="94" t="n">
        <f aca="false">AO139+AU139</f>
        <v>310372.86367036</v>
      </c>
      <c r="AW139" s="43" t="str">
        <f aca="false">IF(Q139&lt;&gt;1,"",TRIM(IF(AD139=1,"FRN ","")&amp;IF(AND(AL139&gt;=10,AL139&lt;99),"BBB0미만 ","")&amp;IF(AJ139="","등급없음 ","")&amp;IF(K139&lt;&gt;1,"비USD ","")&amp;IF(AND(AB139="",Y139=0),"시장데이터없음 ","")&amp;IF(AND(ISNUMBER(U139),U139&lt;0),"만기경과 ","")))</f>
        <v/>
      </c>
      <c r="AX139" s="90" t="n">
        <f aca="false">IF(Q139&lt;&gt;1,1,IF(스프레드쇼크!$C$4="Y",INDEX(스프레드쇼크!$B$12:$L$16,IFERROR(MATCH(AH139,스프레드쇼크!$A$12:$A$16,0),MATCH("목록외",스프레드쇼크!$A$12:$A$16,0)),IFERROR(MATCH(AG139,스프레드쇼크!$B$11:$L$11,0),MATCH("목록외",스프레드쇼크!$B$11:$L$11,0))),1))</f>
        <v>1</v>
      </c>
      <c r="AY139" s="90" t="n">
        <f aca="false">IF(스프레드쇼크!$C$5="Y",IF(ISNUMBER(AF139),MIN(스프레드쇼크!$C$7,MAX(스프레드쇼크!$C$6,AF139/스프레드쇼크!$C$8)),1),1)</f>
        <v>0.940209248853578</v>
      </c>
      <c r="AZ139" s="94" t="n">
        <f aca="false">AN139*AX139*AY139</f>
        <v>2412.90843670639</v>
      </c>
      <c r="BA139" s="90" t="n">
        <f aca="false">IF(ISNUMBER(G139),AA139*G139,0)</f>
        <v>30.1728778985</v>
      </c>
      <c r="BB139" s="90" t="n">
        <f aca="false">IF(ISNUMBER(G139),AA139,0)</f>
        <v>5.173055</v>
      </c>
      <c r="BC139" s="90" t="n">
        <f aca="false">IF(AND(Y139=0,ISNUMBER(AF139)),AA139*AF139,0)</f>
        <v>321.562271855</v>
      </c>
      <c r="BD139" s="90" t="n">
        <f aca="false">IF(AND(Y139=0,ISNUMBER(AF139)),AA139,0)</f>
        <v>5.173055</v>
      </c>
      <c r="BE139" s="90" t="n">
        <f aca="false">IF(ISNUMBER(H139),AA139*H139,0)</f>
        <v>25.663525855</v>
      </c>
      <c r="BF139" s="90" t="n">
        <f aca="false">IF(ISNUMBER(H139),AA139,0)</f>
        <v>5.173055</v>
      </c>
      <c r="BG139" s="90" t="n">
        <f aca="false">IF(AND(Y139=0,ISNUMBER(AF139),ISNUMBER(Z139)),AA139*Z139,0)</f>
        <v>25.663525855</v>
      </c>
      <c r="BH139" s="90" t="n">
        <f aca="false">IF(AND(Y139=0,ISNUMBER(AF139),ISNUMBER(Z139)),AA139*AT139*MAX(Z139-1,0),0)</f>
        <v>86.4408468535962</v>
      </c>
      <c r="BI139" s="90" t="n">
        <f aca="false">IF(Y139=0,AA139,0)</f>
        <v>5.173055</v>
      </c>
    </row>
    <row r="140" customFormat="false" ht="15" hidden="false" customHeight="false" outlineLevel="0" collapsed="false">
      <c r="A140" s="83" t="str">
        <f aca="false">IFERROR(IF(INDEX(원자료_잔고!$A$1:$EZ$1500,설정!$L$5+ROW()-1,설정!$L$8)&amp;""="0","",INDEX(원자료_잔고!$A$1:$EZ$1500,설정!$L$5+ROW()-1,설정!$L$8)&amp;""),"")</f>
        <v>HYUELE 6.5 01/17/33</v>
      </c>
      <c r="B140" s="83" t="str">
        <f aca="false">IFERROR(IF(INDEX(원자료_잔고!$A$1:$EZ$1500,설정!$L$5+ROW()-1,설정!$L$7)&amp;""="0","",INDEX(원자료_잔고!$A$1:$EZ$1500,설정!$L$5+ROW()-1,설정!$L$7)&amp;""),"")</f>
        <v>USY8085FBL32</v>
      </c>
      <c r="C140" s="83" t="str">
        <f aca="false">IFERROR(IF(INDEX(원자료_잔고!$A$1:$EZ$1500,설정!$L$5+ROW()-1,설정!$L$9)&amp;""="0","",INDEX(원자료_잔고!$A$1:$EZ$1500,설정!$L$5+ROW()-1,설정!$L$9)&amp;""),"")</f>
        <v>34507</v>
      </c>
      <c r="D14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0" s="84" t="n">
        <f aca="false">IFERROR(IF(ISNUMBER(INDEX(원자료_잔고!$A$1:$EZ$1500,설정!$L$5+ROW()-1,설정!$L$11)),INDEX(원자료_잔고!$A$1:$EZ$1500,설정!$L$5+ROW()-1,설정!$L$11),""),"")</f>
        <v>4000000</v>
      </c>
      <c r="F140" s="85" t="n">
        <f aca="false">IFERROR(IF(ISNUMBER(INDEX(원자료_잔고!$A$1:$EZ$1500,설정!$L$5+ROW()-1,설정!$L$12)),INDEX(원자료_잔고!$A$1:$EZ$1500,설정!$L$5+ROW()-1,설정!$L$12),""),"")</f>
        <v>103.4611</v>
      </c>
      <c r="G140" s="85" t="n">
        <f aca="false">IFERROR(IF(ISNUMBER(INDEX(원자료_잔고!$A$1:$EZ$1500,설정!$L$5+ROW()-1,설정!$L$13)),INDEX(원자료_잔고!$A$1:$EZ$1500,설정!$L$5+ROW()-1,설정!$L$13),""),"")</f>
        <v>5.8327</v>
      </c>
      <c r="H140" s="85" t="n">
        <f aca="false">IFERROR(IF(ISNUMBER(INDEX(원자료_잔고!$A$1:$EZ$1500,설정!$L$5+ROW()-1,설정!$L$14)),INDEX(원자료_잔고!$A$1:$EZ$1500,설정!$L$5+ROW()-1,설정!$L$14),""),"")</f>
        <v>4.961</v>
      </c>
      <c r="I140" s="86" t="n">
        <f aca="false">IFERROR(IF(ISNUMBER(INDEX(원자료_잔고!$A$1:$EZ$1500,설정!$L$5+ROW()-1,설정!$L$15)),INDEX(원자료_잔고!$A$1:$EZ$1500,설정!$L$5+ROW()-1,설정!$L$15),""),"")</f>
        <v>48596</v>
      </c>
      <c r="J140" s="85" t="n">
        <f aca="false">IFERROR(IF(ISNUMBER(INDEX(원자료_잔고!$A$1:$EZ$1500,설정!$L$5+ROW()-1,설정!$L$16)),INDEX(원자료_잔고!$A$1:$EZ$1500,설정!$L$5+ROW()-1,설정!$L$16),""),"")</f>
        <v>6.5</v>
      </c>
      <c r="K140" s="87" t="n">
        <f aca="false">IFERROR(IF(ISNUMBER(INDEX(원자료_잔고!$A$1:$EZ$1500,설정!$L$5+ROW()-1,설정!$L$17)),INDEX(원자료_잔고!$A$1:$EZ$1500,설정!$L$5+ROW()-1,설정!$L$17),""),"")</f>
        <v>1</v>
      </c>
      <c r="L140" s="84" t="n">
        <f aca="false">IFERROR(IF(ISNUMBER(INDEX(원자료_잔고!$A$1:$EZ$1500,설정!$L$5+ROW()-1,설정!$L$18)),INDEX(원자료_잔고!$A$1:$EZ$1500,설정!$L$5+ROW()-1,설정!$L$18),""),"")</f>
        <v>4138444</v>
      </c>
      <c r="M140" s="88" t="n">
        <f aca="false">IFERROR(IF(ISNUMBER(INDEX(원자료_잔고!$A$1:$EZ$1500,설정!$L$5+ROW()-1,설정!$L$19)),INDEX(원자료_잔고!$A$1:$EZ$1500,설정!$L$5+ROW()-1,설정!$L$19),""),"")</f>
        <v>-238756</v>
      </c>
      <c r="N140" s="83" t="str">
        <f aca="false">IFERROR(IF(INDEX(원자료_잔고!$A$1:$EZ$1500,설정!$L$5+ROW()-1,설정!$L$21)&amp;""="0","",INDEX(원자료_잔고!$A$1:$EZ$1500,설정!$L$5+ROW()-1,설정!$L$21)&amp;""),"")</f>
        <v>A-</v>
      </c>
      <c r="O140" s="83" t="str">
        <f aca="false">IFERROR(IF(INDEX(원자료_잔고!$A$1:$EZ$1500,설정!$L$5+ROW()-1,설정!$L$22)&amp;""="0","",INDEX(원자료_잔고!$A$1:$EZ$1500,설정!$L$5+ROW()-1,설정!$L$22)&amp;""),"")</f>
        <v/>
      </c>
      <c r="P140" s="83" t="str">
        <f aca="false">IFERROR(IF(INDEX(원자료_잔고!$A$1:$EZ$1500,설정!$L$5+ROW()-1,설정!$L$23)&amp;""="0","",INDEX(원자료_잔고!$A$1:$EZ$1500,설정!$L$5+ROW()-1,설정!$L$23)&amp;""),"")</f>
        <v>BBB</v>
      </c>
      <c r="Q140" s="89" t="n">
        <f aca="false">IF(AND($A140&lt;&gt;"",ISNUMBER(E140)),IF(E140&gt;0,1,0),0)</f>
        <v>1</v>
      </c>
      <c r="R140" s="43" t="str">
        <f aca="false">IF(Q140=1,UPPER(LEFT($A140,FIND(" ",$A140&amp;" ")-1)),"")</f>
        <v>HYUELE</v>
      </c>
      <c r="S140" s="89" t="n">
        <f aca="false">IF(Q140=1,IF(OR(ISNUMBER(SEARCH("Float",$A140)),ISNUMBER(SEARCH("FRN",$A140))),1,0),0)</f>
        <v>0</v>
      </c>
      <c r="T140" s="43" t="str">
        <f aca="false">IF(AND(Q140=1,ISNUMBER(I140)),TEXT(I140,"yyyymmdd")&amp;"|"&amp;IF(S140=1,"F",TEXT(J140,"0.000")),"")</f>
        <v>20330117|6.500</v>
      </c>
      <c r="U140" s="90" t="n">
        <f aca="false">IF(AND(Q140=1,ISNUMBER(I140)),(I140-설정!$C$4)/365.25,"")</f>
        <v>6.29705681040383</v>
      </c>
      <c r="V140" s="43" t="str">
        <f aca="false">IF(Q140&lt;&gt;1,"",IF(ISNUMBER(U140),IF(U140&lt;=1,"1년 이하",IF(U140&lt;=2,"1-2년",IF(U140&lt;=3,"2-3년",IF(U140&lt;=4,"3-4년",IF(U140&lt;=5,"4-5년",IF(U140&lt;=7,"5-7년",IF(U140&lt;=10,"7-10년",IF(U140&lt;=20,"10-20년","20년 이상")))))))),"미분류"))</f>
        <v>5-7년</v>
      </c>
      <c r="W140" s="43" t="str">
        <f aca="false">IF(Q140&lt;&gt;1,"",IF(AB140&lt;&gt;"",INDEX(시장분석!$C:$C,AB140),IF(K140=1,"USD","비USD")))</f>
        <v>USD</v>
      </c>
      <c r="X140" s="91" t="n">
        <f aca="false">IF(Q140=1,E140*K140/1000000,0)</f>
        <v>4</v>
      </c>
      <c r="Y140" s="89" t="n">
        <f aca="false">IF(R140="T",1,0)</f>
        <v>0</v>
      </c>
      <c r="Z140" s="92" t="n">
        <f aca="false">IF(Q140&lt;&gt;1,"",IF(AD140=1,IF(ISNUMBER(U140),MAX(U140,0),H140),H140))</f>
        <v>4.961</v>
      </c>
      <c r="AA140" s="91" t="n">
        <f aca="false">IF(Q140=1,IF(ISNUMBER(L140),L140,0)*K140/1000000,0)</f>
        <v>4.138444</v>
      </c>
      <c r="AB140" s="89" t="n">
        <f aca="false">IF(Q140&lt;&gt;1,"",IFERROR(MATCH(VLOOKUP(B140,매핑!$H$4:$I$15,2,0),시장분석!$A$2:$A$601,0)+1,IFERROR(MATCH(R140&amp;"|"&amp;T140,시장분석!$V$2:$V$601,0)+1,IF(COUNTIF(시장분석!$U$2:$U$601,T140)=1,MATCH(T140,시장분석!$U$2:$U$601,0)+1,""))))</f>
        <v>202</v>
      </c>
      <c r="AC140" s="89" t="n">
        <f aca="false">IF(Q140&lt;&gt;1,0,IF(OR(설정!$C$5="전체",AND(설정!$C$5="선택펀드",IFERROR(COUNTIFS(설정!$F$16:$F$36,C140,설정!$G$16:$G$36,"Y")+COUNTIFS(설정!$F$16:$F$36,VALUE(C140),설정!$G$16:$G$36,"Y"),0)&gt;0),C140&amp;""=설정!$C$5&amp;""),1,0))</f>
        <v>1</v>
      </c>
      <c r="AD140" s="89" t="n">
        <f aca="false">IF(Q140&lt;&gt;1,0,IF(OR(S140=1,IF(AB140="",FALSE(),INDEX(시장분석!$R:$R,AB140)=1)),1,0))</f>
        <v>0</v>
      </c>
      <c r="AE140" s="43" t="str">
        <f aca="false">IF(AB140="","",INDEX(시장분석!$A:$A,AB140))</f>
        <v>HYUELE 6 1/2 01/17/33</v>
      </c>
      <c r="AF140" s="93" t="n">
        <f aca="false">IF(AB140="","",IF(ISNUMBER(IF(AB140="","",INDEX(시장분석!$E:$E,AB140))),IF(AB140="","",INDEX(시장분석!$E:$E,AB140)),""))</f>
        <v>62.161</v>
      </c>
      <c r="AG140" s="43" t="str">
        <f aca="false">IF(Q140&lt;&gt;1,"",IF(AB140&lt;&gt;"",IF(AB140="","",INDEX(시장분석!$L:$L,AB140)),IFERROR(IF(VLOOKUP(R140,매핑!$A$4:$E$92,5,0)="","미분류",VLOOKUP(R140,매핑!$A$4:$E$92,5,0)),"미분류")))</f>
        <v>기술</v>
      </c>
      <c r="AH140" s="43" t="str">
        <f aca="false">IF(Q140&lt;&gt;1,"",IF(AB140&lt;&gt;"",IF(AB140="","",INDEX(시장분석!$N:$N,AB140)),IFERROR(IF(VLOOKUP(R140,매핑!$A$4:$E$92,4,0)="","미분류",VLOOKUP(R140,매핑!$A$4:$E$92,4,0)),"미분류")))</f>
        <v>아시아/기타</v>
      </c>
      <c r="AI140" s="43" t="str">
        <f aca="false">IF(Q140&lt;&gt;1,"",IFERROR(IF(VLOOKUP(R140,매핑!$A$4:$E$92,3,0)="","미분류",VLOOKUP(R140,매핑!$A$4:$E$92,3,0)),IF(AB140&lt;&gt;"",IF(AB140="","",INDEX(시장분석!$W:$W,AB140)),"미분류")))</f>
        <v>한국</v>
      </c>
      <c r="AJ140" s="43" t="str">
        <f aca="false">IF(Q140&lt;&gt;1,"",IFERROR(VLOOKUP(IF(N140&lt;&gt;"",N140,IF(P140&lt;&gt;"",P140,O140)),설정!$A$15:$D$47,2,0),""))</f>
        <v>A-</v>
      </c>
      <c r="AK140" s="43" t="str">
        <f aca="false">IF(Q140&lt;&gt;1,"",IF(AJ140="","무등급",IFERROR(VLOOKUP(AJ140,설정!$A$15:$D$47,3,0),"무등급")))</f>
        <v>A</v>
      </c>
      <c r="AL140" s="89" t="n">
        <f aca="false">IF(AJ140="",99,IFERROR(VLOOKUP(AJ140,설정!$A$15:$D$47,4,0),99))</f>
        <v>7</v>
      </c>
      <c r="AM140" s="94" t="n">
        <f aca="false">IF(ISNUMBER(H140),AA140*1000000*H140/10000,0)</f>
        <v>2053.0820684</v>
      </c>
      <c r="AN140" s="94" t="n">
        <f aca="false">IF(OR(Y140=1,NOT(ISNUMBER(Z140))),0,AA140*1000000*Z140/10000)</f>
        <v>2053.0820684</v>
      </c>
      <c r="AO140" s="94" t="n">
        <f aca="false">IF(ISNUMBER(G140),AA140*1000000*G140/100,0)</f>
        <v>241383.023188</v>
      </c>
      <c r="AP140" s="94" t="n">
        <f aca="false">IF(ISNUMBER(M140),M140*K140,0)</f>
        <v>-238756</v>
      </c>
      <c r="AQ140" s="95" t="n">
        <f aca="false">IF(AB140="","",INDEX(시장분석!$AK:$AK,AB140))</f>
        <v>-1.37608090040265</v>
      </c>
      <c r="AR140" s="43" t="str">
        <f aca="false">IF(AB140="","-",IF(AB140="","",INDEX(시장분석!$AL:$AL,AB140)))</f>
        <v>Rich</v>
      </c>
      <c r="AS140" s="96" t="n">
        <f aca="false">IF(AB140="","",INDEX(시장분석!$AJ:$AJ,AB140))</f>
        <v>-3.70168733626893</v>
      </c>
      <c r="AT140" s="93" t="n">
        <f aca="false">IF(AB140="",0,IF(AB140="","",INDEX(시장분석!$AN:$AN,AB140)))</f>
        <v>4.21858762862461</v>
      </c>
      <c r="AU140" s="94" t="n">
        <f aca="false">IF(ISNUMBER(Z140),AT140/10000*MAX(Z140-1,0)*AA140*1000000,0)</f>
        <v>6915.2677482877</v>
      </c>
      <c r="AV140" s="94" t="n">
        <f aca="false">AO140+AU140</f>
        <v>248298.290936288</v>
      </c>
      <c r="AW140" s="43" t="str">
        <f aca="false">IF(Q140&lt;&gt;1,"",TRIM(IF(AD140=1,"FRN ","")&amp;IF(AND(AL140&gt;=10,AL140&lt;99),"BBB0미만 ","")&amp;IF(AJ140="","등급없음 ","")&amp;IF(K140&lt;&gt;1,"비USD ","")&amp;IF(AND(AB140="",Y140=0),"시장데이터없음 ","")&amp;IF(AND(ISNUMBER(U140),U140&lt;0),"만기경과 ","")))</f>
        <v/>
      </c>
      <c r="AX140" s="90" t="n">
        <f aca="false">IF(Q140&lt;&gt;1,1,IF(스프레드쇼크!$C$4="Y",INDEX(스프레드쇼크!$B$12:$L$16,IFERROR(MATCH(AH140,스프레드쇼크!$A$12:$A$16,0),MATCH("목록외",스프레드쇼크!$A$12:$A$16,0)),IFERROR(MATCH(AG140,스프레드쇼크!$B$11:$L$11,0),MATCH("목록외",스프레드쇼크!$B$11:$L$11,0))),1))</f>
        <v>1</v>
      </c>
      <c r="AY140" s="90" t="n">
        <f aca="false">IF(스프레드쇼크!$C$5="Y",IF(ISNUMBER(AF140),MIN(스프레드쇼크!$C$7,MAX(스프레드쇼크!$C$6,AF140/스프레드쇼크!$C$8)),1),1)</f>
        <v>0.940209248853578</v>
      </c>
      <c r="AZ140" s="94" t="n">
        <f aca="false">AN140*AX140*AY140</f>
        <v>1930.32674936511</v>
      </c>
      <c r="BA140" s="90" t="n">
        <f aca="false">IF(ISNUMBER(G140),AA140*G140,0)</f>
        <v>24.1383023188</v>
      </c>
      <c r="BB140" s="90" t="n">
        <f aca="false">IF(ISNUMBER(G140),AA140,0)</f>
        <v>4.138444</v>
      </c>
      <c r="BC140" s="90" t="n">
        <f aca="false">IF(AND(Y140=0,ISNUMBER(AF140)),AA140*AF140,0)</f>
        <v>257.249817484</v>
      </c>
      <c r="BD140" s="90" t="n">
        <f aca="false">IF(AND(Y140=0,ISNUMBER(AF140)),AA140,0)</f>
        <v>4.138444</v>
      </c>
      <c r="BE140" s="90" t="n">
        <f aca="false">IF(ISNUMBER(H140),AA140*H140,0)</f>
        <v>20.530820684</v>
      </c>
      <c r="BF140" s="90" t="n">
        <f aca="false">IF(ISNUMBER(H140),AA140,0)</f>
        <v>4.138444</v>
      </c>
      <c r="BG140" s="90" t="n">
        <f aca="false">IF(AND(Y140=0,ISNUMBER(AF140),ISNUMBER(Z140)),AA140*Z140,0)</f>
        <v>20.530820684</v>
      </c>
      <c r="BH140" s="90" t="n">
        <f aca="false">IF(AND(Y140=0,ISNUMBER(AF140),ISNUMBER(Z140)),AA140*AT140*MAX(Z140-1,0),0)</f>
        <v>69.152677482877</v>
      </c>
      <c r="BI140" s="90" t="n">
        <f aca="false">IF(Y140=0,AA140,0)</f>
        <v>4.138444</v>
      </c>
    </row>
    <row r="141" customFormat="false" ht="15" hidden="false" customHeight="false" outlineLevel="0" collapsed="false">
      <c r="A141" s="83" t="str">
        <f aca="false">IFERROR(IF(INDEX(원자료_잔고!$A$1:$EZ$1500,설정!$L$5+ROW()-1,설정!$L$8)&amp;""="0","",INDEX(원자료_잔고!$A$1:$EZ$1500,설정!$L$5+ROW()-1,설정!$L$8)&amp;""),"")</f>
        <v>HYUELE 6.5 01/17/33</v>
      </c>
      <c r="B141" s="83" t="str">
        <f aca="false">IFERROR(IF(INDEX(원자료_잔고!$A$1:$EZ$1500,설정!$L$5+ROW()-1,설정!$L$7)&amp;""="0","",INDEX(원자료_잔고!$A$1:$EZ$1500,설정!$L$5+ROW()-1,설정!$L$7)&amp;""),"")</f>
        <v>USY8085FBL32</v>
      </c>
      <c r="C141" s="83" t="str">
        <f aca="false">IFERROR(IF(INDEX(원자료_잔고!$A$1:$EZ$1500,설정!$L$5+ROW()-1,설정!$L$9)&amp;""="0","",INDEX(원자료_잔고!$A$1:$EZ$1500,설정!$L$5+ROW()-1,설정!$L$9)&amp;""),"")</f>
        <v>34507</v>
      </c>
      <c r="D14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1" s="84" t="n">
        <f aca="false">IFERROR(IF(ISNUMBER(INDEX(원자료_잔고!$A$1:$EZ$1500,설정!$L$5+ROW()-1,설정!$L$11)),INDEX(원자료_잔고!$A$1:$EZ$1500,설정!$L$5+ROW()-1,설정!$L$11),""),"")</f>
        <v>4000000</v>
      </c>
      <c r="F141" s="85" t="n">
        <f aca="false">IFERROR(IF(ISNUMBER(INDEX(원자료_잔고!$A$1:$EZ$1500,설정!$L$5+ROW()-1,설정!$L$12)),INDEX(원자료_잔고!$A$1:$EZ$1500,설정!$L$5+ROW()-1,설정!$L$12),""),"")</f>
        <v>103.4611</v>
      </c>
      <c r="G141" s="85" t="n">
        <f aca="false">IFERROR(IF(ISNUMBER(INDEX(원자료_잔고!$A$1:$EZ$1500,설정!$L$5+ROW()-1,설정!$L$13)),INDEX(원자료_잔고!$A$1:$EZ$1500,설정!$L$5+ROW()-1,설정!$L$13),""),"")</f>
        <v>5.8327</v>
      </c>
      <c r="H141" s="85" t="n">
        <f aca="false">IFERROR(IF(ISNUMBER(INDEX(원자료_잔고!$A$1:$EZ$1500,설정!$L$5+ROW()-1,설정!$L$14)),INDEX(원자료_잔고!$A$1:$EZ$1500,설정!$L$5+ROW()-1,설정!$L$14),""),"")</f>
        <v>4.961</v>
      </c>
      <c r="I141" s="86" t="n">
        <f aca="false">IFERROR(IF(ISNUMBER(INDEX(원자료_잔고!$A$1:$EZ$1500,설정!$L$5+ROW()-1,설정!$L$15)),INDEX(원자료_잔고!$A$1:$EZ$1500,설정!$L$5+ROW()-1,설정!$L$15),""),"")</f>
        <v>48596</v>
      </c>
      <c r="J141" s="85" t="n">
        <f aca="false">IFERROR(IF(ISNUMBER(INDEX(원자료_잔고!$A$1:$EZ$1500,설정!$L$5+ROW()-1,설정!$L$16)),INDEX(원자료_잔고!$A$1:$EZ$1500,설정!$L$5+ROW()-1,설정!$L$16),""),"")</f>
        <v>6.5</v>
      </c>
      <c r="K141" s="87" t="n">
        <f aca="false">IFERROR(IF(ISNUMBER(INDEX(원자료_잔고!$A$1:$EZ$1500,설정!$L$5+ROW()-1,설정!$L$17)),INDEX(원자료_잔고!$A$1:$EZ$1500,설정!$L$5+ROW()-1,설정!$L$17),""),"")</f>
        <v>1</v>
      </c>
      <c r="L141" s="84" t="n">
        <f aca="false">IFERROR(IF(ISNUMBER(INDEX(원자료_잔고!$A$1:$EZ$1500,설정!$L$5+ROW()-1,설정!$L$18)),INDEX(원자료_잔고!$A$1:$EZ$1500,설정!$L$5+ROW()-1,설정!$L$18),""),"")</f>
        <v>4138444</v>
      </c>
      <c r="M141" s="88" t="n">
        <f aca="false">IFERROR(IF(ISNUMBER(INDEX(원자료_잔고!$A$1:$EZ$1500,설정!$L$5+ROW()-1,설정!$L$19)),INDEX(원자료_잔고!$A$1:$EZ$1500,설정!$L$5+ROW()-1,설정!$L$19),""),"")</f>
        <v>-129556</v>
      </c>
      <c r="N141" s="83" t="str">
        <f aca="false">IFERROR(IF(INDEX(원자료_잔고!$A$1:$EZ$1500,설정!$L$5+ROW()-1,설정!$L$21)&amp;""="0","",INDEX(원자료_잔고!$A$1:$EZ$1500,설정!$L$5+ROW()-1,설정!$L$21)&amp;""),"")</f>
        <v>A-</v>
      </c>
      <c r="O141" s="83" t="str">
        <f aca="false">IFERROR(IF(INDEX(원자료_잔고!$A$1:$EZ$1500,설정!$L$5+ROW()-1,설정!$L$22)&amp;""="0","",INDEX(원자료_잔고!$A$1:$EZ$1500,설정!$L$5+ROW()-1,설정!$L$22)&amp;""),"")</f>
        <v/>
      </c>
      <c r="P141" s="83" t="str">
        <f aca="false">IFERROR(IF(INDEX(원자료_잔고!$A$1:$EZ$1500,설정!$L$5+ROW()-1,설정!$L$23)&amp;""="0","",INDEX(원자료_잔고!$A$1:$EZ$1500,설정!$L$5+ROW()-1,설정!$L$23)&amp;""),"")</f>
        <v>BBB</v>
      </c>
      <c r="Q141" s="89" t="n">
        <f aca="false">IF(AND($A141&lt;&gt;"",ISNUMBER(E141)),IF(E141&gt;0,1,0),0)</f>
        <v>1</v>
      </c>
      <c r="R141" s="43" t="str">
        <f aca="false">IF(Q141=1,UPPER(LEFT($A141,FIND(" ",$A141&amp;" ")-1)),"")</f>
        <v>HYUELE</v>
      </c>
      <c r="S141" s="89" t="n">
        <f aca="false">IF(Q141=1,IF(OR(ISNUMBER(SEARCH("Float",$A141)),ISNUMBER(SEARCH("FRN",$A141))),1,0),0)</f>
        <v>0</v>
      </c>
      <c r="T141" s="43" t="str">
        <f aca="false">IF(AND(Q141=1,ISNUMBER(I141)),TEXT(I141,"yyyymmdd")&amp;"|"&amp;IF(S141=1,"F",TEXT(J141,"0.000")),"")</f>
        <v>20330117|6.500</v>
      </c>
      <c r="U141" s="90" t="n">
        <f aca="false">IF(AND(Q141=1,ISNUMBER(I141)),(I141-설정!$C$4)/365.25,"")</f>
        <v>6.29705681040383</v>
      </c>
      <c r="V141" s="43" t="str">
        <f aca="false">IF(Q141&lt;&gt;1,"",IF(ISNUMBER(U141),IF(U141&lt;=1,"1년 이하",IF(U141&lt;=2,"1-2년",IF(U141&lt;=3,"2-3년",IF(U141&lt;=4,"3-4년",IF(U141&lt;=5,"4-5년",IF(U141&lt;=7,"5-7년",IF(U141&lt;=10,"7-10년",IF(U141&lt;=20,"10-20년","20년 이상")))))))),"미분류"))</f>
        <v>5-7년</v>
      </c>
      <c r="W141" s="43" t="str">
        <f aca="false">IF(Q141&lt;&gt;1,"",IF(AB141&lt;&gt;"",INDEX(시장분석!$C:$C,AB141),IF(K141=1,"USD","비USD")))</f>
        <v>USD</v>
      </c>
      <c r="X141" s="91" t="n">
        <f aca="false">IF(Q141=1,E141*K141/1000000,0)</f>
        <v>4</v>
      </c>
      <c r="Y141" s="89" t="n">
        <f aca="false">IF(R141="T",1,0)</f>
        <v>0</v>
      </c>
      <c r="Z141" s="92" t="n">
        <f aca="false">IF(Q141&lt;&gt;1,"",IF(AD141=1,IF(ISNUMBER(U141),MAX(U141,0),H141),H141))</f>
        <v>4.961</v>
      </c>
      <c r="AA141" s="91" t="n">
        <f aca="false">IF(Q141=1,IF(ISNUMBER(L141),L141,0)*K141/1000000,0)</f>
        <v>4.138444</v>
      </c>
      <c r="AB141" s="89" t="n">
        <f aca="false">IF(Q141&lt;&gt;1,"",IFERROR(MATCH(VLOOKUP(B141,매핑!$H$4:$I$15,2,0),시장분석!$A$2:$A$601,0)+1,IFERROR(MATCH(R141&amp;"|"&amp;T141,시장분석!$V$2:$V$601,0)+1,IF(COUNTIF(시장분석!$U$2:$U$601,T141)=1,MATCH(T141,시장분석!$U$2:$U$601,0)+1,""))))</f>
        <v>202</v>
      </c>
      <c r="AC141" s="89" t="n">
        <f aca="false">IF(Q141&lt;&gt;1,0,IF(OR(설정!$C$5="전체",AND(설정!$C$5="선택펀드",IFERROR(COUNTIFS(설정!$F$16:$F$36,C141,설정!$G$16:$G$36,"Y")+COUNTIFS(설정!$F$16:$F$36,VALUE(C141),설정!$G$16:$G$36,"Y"),0)&gt;0),C141&amp;""=설정!$C$5&amp;""),1,0))</f>
        <v>1</v>
      </c>
      <c r="AD141" s="89" t="n">
        <f aca="false">IF(Q141&lt;&gt;1,0,IF(OR(S141=1,IF(AB141="",FALSE(),INDEX(시장분석!$R:$R,AB141)=1)),1,0))</f>
        <v>0</v>
      </c>
      <c r="AE141" s="43" t="str">
        <f aca="false">IF(AB141="","",INDEX(시장분석!$A:$A,AB141))</f>
        <v>HYUELE 6 1/2 01/17/33</v>
      </c>
      <c r="AF141" s="93" t="n">
        <f aca="false">IF(AB141="","",IF(ISNUMBER(IF(AB141="","",INDEX(시장분석!$E:$E,AB141))),IF(AB141="","",INDEX(시장분석!$E:$E,AB141)),""))</f>
        <v>62.161</v>
      </c>
      <c r="AG141" s="43" t="str">
        <f aca="false">IF(Q141&lt;&gt;1,"",IF(AB141&lt;&gt;"",IF(AB141="","",INDEX(시장분석!$L:$L,AB141)),IFERROR(IF(VLOOKUP(R141,매핑!$A$4:$E$92,5,0)="","미분류",VLOOKUP(R141,매핑!$A$4:$E$92,5,0)),"미분류")))</f>
        <v>기술</v>
      </c>
      <c r="AH141" s="43" t="str">
        <f aca="false">IF(Q141&lt;&gt;1,"",IF(AB141&lt;&gt;"",IF(AB141="","",INDEX(시장분석!$N:$N,AB141)),IFERROR(IF(VLOOKUP(R141,매핑!$A$4:$E$92,4,0)="","미분류",VLOOKUP(R141,매핑!$A$4:$E$92,4,0)),"미분류")))</f>
        <v>아시아/기타</v>
      </c>
      <c r="AI141" s="43" t="str">
        <f aca="false">IF(Q141&lt;&gt;1,"",IFERROR(IF(VLOOKUP(R141,매핑!$A$4:$E$92,3,0)="","미분류",VLOOKUP(R141,매핑!$A$4:$E$92,3,0)),IF(AB141&lt;&gt;"",IF(AB141="","",INDEX(시장분석!$W:$W,AB141)),"미분류")))</f>
        <v>한국</v>
      </c>
      <c r="AJ141" s="43" t="str">
        <f aca="false">IF(Q141&lt;&gt;1,"",IFERROR(VLOOKUP(IF(N141&lt;&gt;"",N141,IF(P141&lt;&gt;"",P141,O141)),설정!$A$15:$D$47,2,0),""))</f>
        <v>A-</v>
      </c>
      <c r="AK141" s="43" t="str">
        <f aca="false">IF(Q141&lt;&gt;1,"",IF(AJ141="","무등급",IFERROR(VLOOKUP(AJ141,설정!$A$15:$D$47,3,0),"무등급")))</f>
        <v>A</v>
      </c>
      <c r="AL141" s="89" t="n">
        <f aca="false">IF(AJ141="",99,IFERROR(VLOOKUP(AJ141,설정!$A$15:$D$47,4,0),99))</f>
        <v>7</v>
      </c>
      <c r="AM141" s="94" t="n">
        <f aca="false">IF(ISNUMBER(H141),AA141*1000000*H141/10000,0)</f>
        <v>2053.0820684</v>
      </c>
      <c r="AN141" s="94" t="n">
        <f aca="false">IF(OR(Y141=1,NOT(ISNUMBER(Z141))),0,AA141*1000000*Z141/10000)</f>
        <v>2053.0820684</v>
      </c>
      <c r="AO141" s="94" t="n">
        <f aca="false">IF(ISNUMBER(G141),AA141*1000000*G141/100,0)</f>
        <v>241383.023188</v>
      </c>
      <c r="AP141" s="94" t="n">
        <f aca="false">IF(ISNUMBER(M141),M141*K141,0)</f>
        <v>-129556</v>
      </c>
      <c r="AQ141" s="95" t="n">
        <f aca="false">IF(AB141="","",INDEX(시장분석!$AK:$AK,AB141))</f>
        <v>-1.37608090040265</v>
      </c>
      <c r="AR141" s="43" t="str">
        <f aca="false">IF(AB141="","-",IF(AB141="","",INDEX(시장분석!$AL:$AL,AB141)))</f>
        <v>Rich</v>
      </c>
      <c r="AS141" s="96" t="n">
        <f aca="false">IF(AB141="","",INDEX(시장분석!$AJ:$AJ,AB141))</f>
        <v>-3.70168733626893</v>
      </c>
      <c r="AT141" s="93" t="n">
        <f aca="false">IF(AB141="",0,IF(AB141="","",INDEX(시장분석!$AN:$AN,AB141)))</f>
        <v>4.21858762862461</v>
      </c>
      <c r="AU141" s="94" t="n">
        <f aca="false">IF(ISNUMBER(Z141),AT141/10000*MAX(Z141-1,0)*AA141*1000000,0)</f>
        <v>6915.2677482877</v>
      </c>
      <c r="AV141" s="94" t="n">
        <f aca="false">AO141+AU141</f>
        <v>248298.290936288</v>
      </c>
      <c r="AW141" s="43" t="str">
        <f aca="false">IF(Q141&lt;&gt;1,"",TRIM(IF(AD141=1,"FRN ","")&amp;IF(AND(AL141&gt;=10,AL141&lt;99),"BBB0미만 ","")&amp;IF(AJ141="","등급없음 ","")&amp;IF(K141&lt;&gt;1,"비USD ","")&amp;IF(AND(AB141="",Y141=0),"시장데이터없음 ","")&amp;IF(AND(ISNUMBER(U141),U141&lt;0),"만기경과 ","")))</f>
        <v/>
      </c>
      <c r="AX141" s="90" t="n">
        <f aca="false">IF(Q141&lt;&gt;1,1,IF(스프레드쇼크!$C$4="Y",INDEX(스프레드쇼크!$B$12:$L$16,IFERROR(MATCH(AH141,스프레드쇼크!$A$12:$A$16,0),MATCH("목록외",스프레드쇼크!$A$12:$A$16,0)),IFERROR(MATCH(AG141,스프레드쇼크!$B$11:$L$11,0),MATCH("목록외",스프레드쇼크!$B$11:$L$11,0))),1))</f>
        <v>1</v>
      </c>
      <c r="AY141" s="90" t="n">
        <f aca="false">IF(스프레드쇼크!$C$5="Y",IF(ISNUMBER(AF141),MIN(스프레드쇼크!$C$7,MAX(스프레드쇼크!$C$6,AF141/스프레드쇼크!$C$8)),1),1)</f>
        <v>0.940209248853578</v>
      </c>
      <c r="AZ141" s="94" t="n">
        <f aca="false">AN141*AX141*AY141</f>
        <v>1930.32674936511</v>
      </c>
      <c r="BA141" s="90" t="n">
        <f aca="false">IF(ISNUMBER(G141),AA141*G141,0)</f>
        <v>24.1383023188</v>
      </c>
      <c r="BB141" s="90" t="n">
        <f aca="false">IF(ISNUMBER(G141),AA141,0)</f>
        <v>4.138444</v>
      </c>
      <c r="BC141" s="90" t="n">
        <f aca="false">IF(AND(Y141=0,ISNUMBER(AF141)),AA141*AF141,0)</f>
        <v>257.249817484</v>
      </c>
      <c r="BD141" s="90" t="n">
        <f aca="false">IF(AND(Y141=0,ISNUMBER(AF141)),AA141,0)</f>
        <v>4.138444</v>
      </c>
      <c r="BE141" s="90" t="n">
        <f aca="false">IF(ISNUMBER(H141),AA141*H141,0)</f>
        <v>20.530820684</v>
      </c>
      <c r="BF141" s="90" t="n">
        <f aca="false">IF(ISNUMBER(H141),AA141,0)</f>
        <v>4.138444</v>
      </c>
      <c r="BG141" s="90" t="n">
        <f aca="false">IF(AND(Y141=0,ISNUMBER(AF141),ISNUMBER(Z141)),AA141*Z141,0)</f>
        <v>20.530820684</v>
      </c>
      <c r="BH141" s="90" t="n">
        <f aca="false">IF(AND(Y141=0,ISNUMBER(AF141),ISNUMBER(Z141)),AA141*AT141*MAX(Z141-1,0),0)</f>
        <v>69.152677482877</v>
      </c>
      <c r="BI141" s="90" t="n">
        <f aca="false">IF(Y141=0,AA141,0)</f>
        <v>4.138444</v>
      </c>
    </row>
    <row r="142" customFormat="false" ht="15" hidden="false" customHeight="false" outlineLevel="0" collapsed="false">
      <c r="A142" s="83" t="str">
        <f aca="false">IFERROR(IF(INDEX(원자료_잔고!$A$1:$EZ$1500,설정!$L$5+ROW()-1,설정!$L$8)&amp;""="0","",INDEX(원자료_잔고!$A$1:$EZ$1500,설정!$L$5+ROW()-1,설정!$L$8)&amp;""),"")</f>
        <v>HYUELE 5.5 01/16/29</v>
      </c>
      <c r="B142" s="83" t="str">
        <f aca="false">IFERROR(IF(INDEX(원자료_잔고!$A$1:$EZ$1500,설정!$L$5+ROW()-1,설정!$L$7)&amp;""="0","",INDEX(원자료_잔고!$A$1:$EZ$1500,설정!$L$5+ROW()-1,설정!$L$7)&amp;""),"")</f>
        <v>USY8085FBU31</v>
      </c>
      <c r="C142" s="83" t="str">
        <f aca="false">IFERROR(IF(INDEX(원자료_잔고!$A$1:$EZ$1500,설정!$L$5+ROW()-1,설정!$L$9)&amp;""="0","",INDEX(원자료_잔고!$A$1:$EZ$1500,설정!$L$5+ROW()-1,설정!$L$9)&amp;""),"")</f>
        <v>34507</v>
      </c>
      <c r="D14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2" s="84" t="n">
        <f aca="false">IFERROR(IF(ISNUMBER(INDEX(원자료_잔고!$A$1:$EZ$1500,설정!$L$5+ROW()-1,설정!$L$11)),INDEX(원자료_잔고!$A$1:$EZ$1500,설정!$L$5+ROW()-1,설정!$L$11),""),"")</f>
        <v>3900000</v>
      </c>
      <c r="F142" s="85" t="n">
        <f aca="false">IFERROR(IF(ISNUMBER(INDEX(원자료_잔고!$A$1:$EZ$1500,설정!$L$5+ROW()-1,설정!$L$12)),INDEX(원자료_잔고!$A$1:$EZ$1500,설정!$L$5+ROW()-1,설정!$L$12),""),"")</f>
        <v>100.1109</v>
      </c>
      <c r="G142" s="85" t="n">
        <f aca="false">IFERROR(IF(ISNUMBER(INDEX(원자료_잔고!$A$1:$EZ$1500,설정!$L$5+ROW()-1,설정!$L$13)),INDEX(원자료_잔고!$A$1:$EZ$1500,설정!$L$5+ROW()-1,설정!$L$13),""),"")</f>
        <v>5.4429</v>
      </c>
      <c r="H142" s="85" t="n">
        <f aca="false">IFERROR(IF(ISNUMBER(INDEX(원자료_잔고!$A$1:$EZ$1500,설정!$L$5+ROW()-1,설정!$L$14)),INDEX(원자료_잔고!$A$1:$EZ$1500,설정!$L$5+ROW()-1,설정!$L$14),""),"")</f>
        <v>2.0644</v>
      </c>
      <c r="I142" s="86" t="n">
        <f aca="false">IFERROR(IF(ISNUMBER(INDEX(원자료_잔고!$A$1:$EZ$1500,설정!$L$5+ROW()-1,설정!$L$15)),INDEX(원자료_잔고!$A$1:$EZ$1500,설정!$L$5+ROW()-1,설정!$L$15),""),"")</f>
        <v>47134</v>
      </c>
      <c r="J142" s="85" t="n">
        <f aca="false">IFERROR(IF(ISNUMBER(INDEX(원자료_잔고!$A$1:$EZ$1500,설정!$L$5+ROW()-1,설정!$L$16)),INDEX(원자료_잔고!$A$1:$EZ$1500,설정!$L$5+ROW()-1,설정!$L$16),""),"")</f>
        <v>5.5</v>
      </c>
      <c r="K142" s="87" t="n">
        <f aca="false">IFERROR(IF(ISNUMBER(INDEX(원자료_잔고!$A$1:$EZ$1500,설정!$L$5+ROW()-1,설정!$L$17)),INDEX(원자료_잔고!$A$1:$EZ$1500,설정!$L$5+ROW()-1,설정!$L$17),""),"")</f>
        <v>1</v>
      </c>
      <c r="L142" s="84" t="n">
        <f aca="false">IFERROR(IF(ISNUMBER(INDEX(원자료_잔고!$A$1:$EZ$1500,설정!$L$5+ROW()-1,설정!$L$18)),INDEX(원자료_잔고!$A$1:$EZ$1500,설정!$L$5+ROW()-1,설정!$L$18),""),"")</f>
        <v>3904325.1</v>
      </c>
      <c r="M142" s="88" t="n">
        <f aca="false">IFERROR(IF(ISNUMBER(INDEX(원자료_잔고!$A$1:$EZ$1500,설정!$L$5+ROW()-1,설정!$L$19)),INDEX(원자료_잔고!$A$1:$EZ$1500,설정!$L$5+ROW()-1,설정!$L$19),""),"")</f>
        <v>-69774.9</v>
      </c>
      <c r="N142" s="83" t="str">
        <f aca="false">IFERROR(IF(INDEX(원자료_잔고!$A$1:$EZ$1500,설정!$L$5+ROW()-1,설정!$L$21)&amp;""="0","",INDEX(원자료_잔고!$A$1:$EZ$1500,설정!$L$5+ROW()-1,설정!$L$21)&amp;""),"")</f>
        <v>A-</v>
      </c>
      <c r="O142" s="83" t="str">
        <f aca="false">IFERROR(IF(INDEX(원자료_잔고!$A$1:$EZ$1500,설정!$L$5+ROW()-1,설정!$L$22)&amp;""="0","",INDEX(원자료_잔고!$A$1:$EZ$1500,설정!$L$5+ROW()-1,설정!$L$22)&amp;""),"")</f>
        <v/>
      </c>
      <c r="P142" s="83" t="str">
        <f aca="false">IFERROR(IF(INDEX(원자료_잔고!$A$1:$EZ$1500,설정!$L$5+ROW()-1,설정!$L$23)&amp;""="0","",INDEX(원자료_잔고!$A$1:$EZ$1500,설정!$L$5+ROW()-1,설정!$L$23)&amp;""),"")</f>
        <v>BBB</v>
      </c>
      <c r="Q142" s="89" t="n">
        <f aca="false">IF(AND($A142&lt;&gt;"",ISNUMBER(E142)),IF(E142&gt;0,1,0),0)</f>
        <v>1</v>
      </c>
      <c r="R142" s="43" t="str">
        <f aca="false">IF(Q142=1,UPPER(LEFT($A142,FIND(" ",$A142&amp;" ")-1)),"")</f>
        <v>HYUELE</v>
      </c>
      <c r="S142" s="89" t="n">
        <f aca="false">IF(Q142=1,IF(OR(ISNUMBER(SEARCH("Float",$A142)),ISNUMBER(SEARCH("FRN",$A142))),1,0),0)</f>
        <v>0</v>
      </c>
      <c r="T142" s="43" t="str">
        <f aca="false">IF(AND(Q142=1,ISNUMBER(I142)),TEXT(I142,"yyyymmdd")&amp;"|"&amp;IF(S142=1,"F",TEXT(J142,"0.000")),"")</f>
        <v>20290116|5.500</v>
      </c>
      <c r="U142" s="90" t="n">
        <f aca="false">IF(AND(Q142=1,ISNUMBER(I142)),(I142-설정!$C$4)/365.25,"")</f>
        <v>2.2943189596167</v>
      </c>
      <c r="V142" s="43" t="str">
        <f aca="false">IF(Q142&lt;&gt;1,"",IF(ISNUMBER(U142),IF(U142&lt;=1,"1년 이하",IF(U142&lt;=2,"1-2년",IF(U142&lt;=3,"2-3년",IF(U142&lt;=4,"3-4년",IF(U142&lt;=5,"4-5년",IF(U142&lt;=7,"5-7년",IF(U142&lt;=10,"7-10년",IF(U142&lt;=20,"10-20년","20년 이상")))))))),"미분류"))</f>
        <v>2-3년</v>
      </c>
      <c r="W142" s="43" t="str">
        <f aca="false">IF(Q142&lt;&gt;1,"",IF(AB142&lt;&gt;"",INDEX(시장분석!$C:$C,AB142),IF(K142=1,"USD","비USD")))</f>
        <v>USD</v>
      </c>
      <c r="X142" s="91" t="n">
        <f aca="false">IF(Q142=1,E142*K142/1000000,0)</f>
        <v>3.9</v>
      </c>
      <c r="Y142" s="89" t="n">
        <f aca="false">IF(R142="T",1,0)</f>
        <v>0</v>
      </c>
      <c r="Z142" s="92" t="n">
        <f aca="false">IF(Q142&lt;&gt;1,"",IF(AD142=1,IF(ISNUMBER(U142),MAX(U142,0),H142),H142))</f>
        <v>2.0644</v>
      </c>
      <c r="AA142" s="91" t="n">
        <f aca="false">IF(Q142=1,IF(ISNUMBER(L142),L142,0)*K142/1000000,0)</f>
        <v>3.9043251</v>
      </c>
      <c r="AB142" s="89" t="n">
        <f aca="false">IF(Q142&lt;&gt;1,"",IFERROR(MATCH(VLOOKUP(B142,매핑!$H$4:$I$15,2,0),시장분석!$A$2:$A$601,0)+1,IFERROR(MATCH(R142&amp;"|"&amp;T142,시장분석!$V$2:$V$601,0)+1,IF(COUNTIF(시장분석!$U$2:$U$601,T142)=1,MATCH(T142,시장분석!$U$2:$U$601,0)+1,""))))</f>
        <v>203</v>
      </c>
      <c r="AC142" s="89" t="n">
        <f aca="false">IF(Q142&lt;&gt;1,0,IF(OR(설정!$C$5="전체",AND(설정!$C$5="선택펀드",IFERROR(COUNTIFS(설정!$F$16:$F$36,C142,설정!$G$16:$G$36,"Y")+COUNTIFS(설정!$F$16:$F$36,VALUE(C142),설정!$G$16:$G$36,"Y"),0)&gt;0),C142&amp;""=설정!$C$5&amp;""),1,0))</f>
        <v>1</v>
      </c>
      <c r="AD142" s="89" t="n">
        <f aca="false">IF(Q142&lt;&gt;1,0,IF(OR(S142=1,IF(AB142="",FALSE(),INDEX(시장분석!$R:$R,AB142)=1)),1,0))</f>
        <v>0</v>
      </c>
      <c r="AE142" s="43" t="str">
        <f aca="false">IF(AB142="","",INDEX(시장분석!$A:$A,AB142))</f>
        <v>HYUELE 5 1/2 01/16/29</v>
      </c>
      <c r="AF142" s="93" t="n">
        <f aca="false">IF(AB142="","",IF(ISNUMBER(IF(AB142="","",INDEX(시장분석!$E:$E,AB142))),IF(AB142="","",INDEX(시장분석!$E:$E,AB142)),""))</f>
        <v>47.125</v>
      </c>
      <c r="AG142" s="43" t="str">
        <f aca="false">IF(Q142&lt;&gt;1,"",IF(AB142&lt;&gt;"",IF(AB142="","",INDEX(시장분석!$L:$L,AB142)),IFERROR(IF(VLOOKUP(R142,매핑!$A$4:$E$92,5,0)="","미분류",VLOOKUP(R142,매핑!$A$4:$E$92,5,0)),"미분류")))</f>
        <v>기술</v>
      </c>
      <c r="AH142" s="43" t="str">
        <f aca="false">IF(Q142&lt;&gt;1,"",IF(AB142&lt;&gt;"",IF(AB142="","",INDEX(시장분석!$N:$N,AB142)),IFERROR(IF(VLOOKUP(R142,매핑!$A$4:$E$92,4,0)="","미분류",VLOOKUP(R142,매핑!$A$4:$E$92,4,0)),"미분류")))</f>
        <v>아시아/기타</v>
      </c>
      <c r="AI142" s="43" t="str">
        <f aca="false">IF(Q142&lt;&gt;1,"",IFERROR(IF(VLOOKUP(R142,매핑!$A$4:$E$92,3,0)="","미분류",VLOOKUP(R142,매핑!$A$4:$E$92,3,0)),IF(AB142&lt;&gt;"",IF(AB142="","",INDEX(시장분석!$W:$W,AB142)),"미분류")))</f>
        <v>한국</v>
      </c>
      <c r="AJ142" s="43" t="str">
        <f aca="false">IF(Q142&lt;&gt;1,"",IFERROR(VLOOKUP(IF(N142&lt;&gt;"",N142,IF(P142&lt;&gt;"",P142,O142)),설정!$A$15:$D$47,2,0),""))</f>
        <v>A-</v>
      </c>
      <c r="AK142" s="43" t="str">
        <f aca="false">IF(Q142&lt;&gt;1,"",IF(AJ142="","무등급",IFERROR(VLOOKUP(AJ142,설정!$A$15:$D$47,3,0),"무등급")))</f>
        <v>A</v>
      </c>
      <c r="AL142" s="89" t="n">
        <f aca="false">IF(AJ142="",99,IFERROR(VLOOKUP(AJ142,설정!$A$15:$D$47,4,0),99))</f>
        <v>7</v>
      </c>
      <c r="AM142" s="94" t="n">
        <f aca="false">IF(ISNUMBER(H142),AA142*1000000*H142/10000,0)</f>
        <v>806.008873644</v>
      </c>
      <c r="AN142" s="94" t="n">
        <f aca="false">IF(OR(Y142=1,NOT(ISNUMBER(Z142))),0,AA142*1000000*Z142/10000)</f>
        <v>806.008873644</v>
      </c>
      <c r="AO142" s="94" t="n">
        <f aca="false">IF(ISNUMBER(G142),AA142*1000000*G142/100,0)</f>
        <v>212508.5108679</v>
      </c>
      <c r="AP142" s="94" t="n">
        <f aca="false">IF(ISNUMBER(M142),M142*K142,0)</f>
        <v>-69774.9</v>
      </c>
      <c r="AQ142" s="95" t="n">
        <f aca="false">IF(AB142="","",INDEX(시장분석!$AK:$AK,AB142))</f>
        <v>-0.469217060431549</v>
      </c>
      <c r="AR142" s="43" t="str">
        <f aca="false">IF(AB142="","-",IF(AB142="","",INDEX(시장분석!$AL:$AL,AB142)))</f>
        <v>Fair</v>
      </c>
      <c r="AS142" s="96" t="n">
        <f aca="false">IF(AB142="","",INDEX(시장분석!$AJ:$AJ,AB142))</f>
        <v>-1.26220402452543</v>
      </c>
      <c r="AT142" s="93" t="n">
        <f aca="false">IF(AB142="",0,IF(AB142="","",INDEX(시장분석!$AN:$AN,AB142)))</f>
        <v>12.3271980824445</v>
      </c>
      <c r="AU142" s="94" t="n">
        <f aca="false">IF(ISNUMBER(Z142),AT142/10000*MAX(Z142-1,0)*AA142*1000000,0)</f>
        <v>5122.89215302158</v>
      </c>
      <c r="AV142" s="94" t="n">
        <f aca="false">AO142+AU142</f>
        <v>217631.403020922</v>
      </c>
      <c r="AW142" s="43" t="str">
        <f aca="false">IF(Q142&lt;&gt;1,"",TRIM(IF(AD142=1,"FRN ","")&amp;IF(AND(AL142&gt;=10,AL142&lt;99),"BBB0미만 ","")&amp;IF(AJ142="","등급없음 ","")&amp;IF(K142&lt;&gt;1,"비USD ","")&amp;IF(AND(AB142="",Y142=0),"시장데이터없음 ","")&amp;IF(AND(ISNUMBER(U142),U142&lt;0),"만기경과 ","")))</f>
        <v/>
      </c>
      <c r="AX142" s="90" t="n">
        <f aca="false">IF(Q142&lt;&gt;1,1,IF(스프레드쇼크!$C$4="Y",INDEX(스프레드쇼크!$B$12:$L$16,IFERROR(MATCH(AH142,스프레드쇼크!$A$12:$A$16,0),MATCH("목록외",스프레드쇼크!$A$12:$A$16,0)),IFERROR(MATCH(AG142,스프레드쇼크!$B$11:$L$11,0),MATCH("목록외",스프레드쇼크!$B$11:$L$11,0))),1))</f>
        <v>1</v>
      </c>
      <c r="AY142" s="90" t="n">
        <f aca="false">IF(스프레드쇼크!$C$5="Y",IF(ISNUMBER(AF142),MIN(스프레드쇼크!$C$7,MAX(스프레드쇼크!$C$6,AF142/스프레드쇼크!$C$8)),1),1)</f>
        <v>0.712783913582871</v>
      </c>
      <c r="AZ142" s="94" t="n">
        <f aca="false">AN142*AX142*AY142</f>
        <v>574.510159338492</v>
      </c>
      <c r="BA142" s="90" t="n">
        <f aca="false">IF(ISNUMBER(G142),AA142*G142,0)</f>
        <v>21.25085108679</v>
      </c>
      <c r="BB142" s="90" t="n">
        <f aca="false">IF(ISNUMBER(G142),AA142,0)</f>
        <v>3.9043251</v>
      </c>
      <c r="BC142" s="90" t="n">
        <f aca="false">IF(AND(Y142=0,ISNUMBER(AF142)),AA142*AF142,0)</f>
        <v>183.9913203375</v>
      </c>
      <c r="BD142" s="90" t="n">
        <f aca="false">IF(AND(Y142=0,ISNUMBER(AF142)),AA142,0)</f>
        <v>3.9043251</v>
      </c>
      <c r="BE142" s="90" t="n">
        <f aca="false">IF(ISNUMBER(H142),AA142*H142,0)</f>
        <v>8.06008873644</v>
      </c>
      <c r="BF142" s="90" t="n">
        <f aca="false">IF(ISNUMBER(H142),AA142,0)</f>
        <v>3.9043251</v>
      </c>
      <c r="BG142" s="90" t="n">
        <f aca="false">IF(AND(Y142=0,ISNUMBER(AF142),ISNUMBER(Z142)),AA142*Z142,0)</f>
        <v>8.06008873644</v>
      </c>
      <c r="BH142" s="90" t="n">
        <f aca="false">IF(AND(Y142=0,ISNUMBER(AF142),ISNUMBER(Z142)),AA142*AT142*MAX(Z142-1,0),0)</f>
        <v>51.2289215302158</v>
      </c>
      <c r="BI142" s="90" t="n">
        <f aca="false">IF(Y142=0,AA142,0)</f>
        <v>3.9043251</v>
      </c>
    </row>
    <row r="143" customFormat="false" ht="15" hidden="false" customHeight="false" outlineLevel="0" collapsed="false">
      <c r="A143" s="83" t="str">
        <f aca="false">IFERROR(IF(INDEX(원자료_잔고!$A$1:$EZ$1500,설정!$L$5+ROW()-1,설정!$L$8)&amp;""="0","",INDEX(원자료_잔고!$A$1:$EZ$1500,설정!$L$5+ROW()-1,설정!$L$8)&amp;""),"")</f>
        <v>HYUELE 4.25 09/11/28</v>
      </c>
      <c r="B143" s="83" t="str">
        <f aca="false">IFERROR(IF(INDEX(원자료_잔고!$A$1:$EZ$1500,설정!$L$5+ROW()-1,설정!$L$7)&amp;""="0","",INDEX(원자료_잔고!$A$1:$EZ$1500,설정!$L$5+ROW()-1,설정!$L$7)&amp;""),"")</f>
        <v>USY8085FBY52</v>
      </c>
      <c r="C143" s="83" t="str">
        <f aca="false">IFERROR(IF(INDEX(원자료_잔고!$A$1:$EZ$1500,설정!$L$5+ROW()-1,설정!$L$9)&amp;""="0","",INDEX(원자료_잔고!$A$1:$EZ$1500,설정!$L$5+ROW()-1,설정!$L$9)&amp;""),"")</f>
        <v>34507</v>
      </c>
      <c r="D14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3" s="84" t="n">
        <f aca="false">IFERROR(IF(ISNUMBER(INDEX(원자료_잔고!$A$1:$EZ$1500,설정!$L$5+ROW()-1,설정!$L$11)),INDEX(원자료_잔고!$A$1:$EZ$1500,설정!$L$5+ROW()-1,설정!$L$11),""),"")</f>
        <v>200000</v>
      </c>
      <c r="F143" s="85" t="n">
        <f aca="false">IFERROR(IF(ISNUMBER(INDEX(원자료_잔고!$A$1:$EZ$1500,설정!$L$5+ROW()-1,설정!$L$12)),INDEX(원자료_잔고!$A$1:$EZ$1500,설정!$L$5+ROW()-1,설정!$L$12),""),"")</f>
        <v>97.9532</v>
      </c>
      <c r="G143" s="85" t="n">
        <f aca="false">IFERROR(IF(ISNUMBER(INDEX(원자료_잔고!$A$1:$EZ$1500,설정!$L$5+ROW()-1,설정!$L$13)),INDEX(원자료_잔고!$A$1:$EZ$1500,설정!$L$5+ROW()-1,설정!$L$13),""),"")</f>
        <v>5.3686</v>
      </c>
      <c r="H143" s="85" t="n">
        <f aca="false">IFERROR(IF(ISNUMBER(INDEX(원자료_잔고!$A$1:$EZ$1500,설정!$L$5+ROW()-1,설정!$L$14)),INDEX(원자료_잔고!$A$1:$EZ$1500,설정!$L$5+ROW()-1,설정!$L$14),""),"")</f>
        <v>1.8025</v>
      </c>
      <c r="I143" s="86" t="n">
        <f aca="false">IFERROR(IF(ISNUMBER(INDEX(원자료_잔고!$A$1:$EZ$1500,설정!$L$5+ROW()-1,설정!$L$15)),INDEX(원자료_잔고!$A$1:$EZ$1500,설정!$L$5+ROW()-1,설정!$L$15),""),"")</f>
        <v>47007</v>
      </c>
      <c r="J143" s="85" t="n">
        <f aca="false">IFERROR(IF(ISNUMBER(INDEX(원자료_잔고!$A$1:$EZ$1500,설정!$L$5+ROW()-1,설정!$L$16)),INDEX(원자료_잔고!$A$1:$EZ$1500,설정!$L$5+ROW()-1,설정!$L$16),""),"")</f>
        <v>4.25</v>
      </c>
      <c r="K143" s="87" t="n">
        <f aca="false">IFERROR(IF(ISNUMBER(INDEX(원자료_잔고!$A$1:$EZ$1500,설정!$L$5+ROW()-1,설정!$L$17)),INDEX(원자료_잔고!$A$1:$EZ$1500,설정!$L$5+ROW()-1,설정!$L$17),""),"")</f>
        <v>1</v>
      </c>
      <c r="L143" s="84" t="n">
        <f aca="false">IFERROR(IF(ISNUMBER(INDEX(원자료_잔고!$A$1:$EZ$1500,설정!$L$5+ROW()-1,설정!$L$18)),INDEX(원자료_잔고!$A$1:$EZ$1500,설정!$L$5+ROW()-1,설정!$L$18),""),"")</f>
        <v>195906.4</v>
      </c>
      <c r="M143" s="88" t="n">
        <f aca="false">IFERROR(IF(ISNUMBER(INDEX(원자료_잔고!$A$1:$EZ$1500,설정!$L$5+ROW()-1,설정!$L$19)),INDEX(원자료_잔고!$A$1:$EZ$1500,설정!$L$5+ROW()-1,설정!$L$19),""),"")</f>
        <v>-5094.8</v>
      </c>
      <c r="N143" s="83" t="str">
        <f aca="false">IFERROR(IF(INDEX(원자료_잔고!$A$1:$EZ$1500,설정!$L$5+ROW()-1,설정!$L$21)&amp;""="0","",INDEX(원자료_잔고!$A$1:$EZ$1500,설정!$L$5+ROW()-1,설정!$L$21)&amp;""),"")</f>
        <v>A-</v>
      </c>
      <c r="O143" s="83" t="str">
        <f aca="false">IFERROR(IF(INDEX(원자료_잔고!$A$1:$EZ$1500,설정!$L$5+ROW()-1,설정!$L$22)&amp;""="0","",INDEX(원자료_잔고!$A$1:$EZ$1500,설정!$L$5+ROW()-1,설정!$L$22)&amp;""),"")</f>
        <v/>
      </c>
      <c r="P143" s="83" t="str">
        <f aca="false">IFERROR(IF(INDEX(원자료_잔고!$A$1:$EZ$1500,설정!$L$5+ROW()-1,설정!$L$23)&amp;""="0","",INDEX(원자료_잔고!$A$1:$EZ$1500,설정!$L$5+ROW()-1,설정!$L$23)&amp;""),"")</f>
        <v>BBB</v>
      </c>
      <c r="Q143" s="89" t="n">
        <f aca="false">IF(AND($A143&lt;&gt;"",ISNUMBER(E143)),IF(E143&gt;0,1,0),0)</f>
        <v>1</v>
      </c>
      <c r="R143" s="43" t="str">
        <f aca="false">IF(Q143=1,UPPER(LEFT($A143,FIND(" ",$A143&amp;" ")-1)),"")</f>
        <v>HYUELE</v>
      </c>
      <c r="S143" s="89" t="n">
        <f aca="false">IF(Q143=1,IF(OR(ISNUMBER(SEARCH("Float",$A143)),ISNUMBER(SEARCH("FRN",$A143))),1,0),0)</f>
        <v>0</v>
      </c>
      <c r="T143" s="43" t="str">
        <f aca="false">IF(AND(Q143=1,ISNUMBER(I143)),TEXT(I143,"yyyymmdd")&amp;"|"&amp;IF(S143=1,"F",TEXT(J143,"0.000")),"")</f>
        <v>20280911|4.250</v>
      </c>
      <c r="U143" s="90" t="n">
        <f aca="false">IF(AND(Q143=1,ISNUMBER(I143)),(I143-설정!$C$4)/365.25,"")</f>
        <v>1.94661190965092</v>
      </c>
      <c r="V143" s="43" t="str">
        <f aca="false">IF(Q143&lt;&gt;1,"",IF(ISNUMBER(U143),IF(U143&lt;=1,"1년 이하",IF(U143&lt;=2,"1-2년",IF(U143&lt;=3,"2-3년",IF(U143&lt;=4,"3-4년",IF(U143&lt;=5,"4-5년",IF(U143&lt;=7,"5-7년",IF(U143&lt;=10,"7-10년",IF(U143&lt;=20,"10-20년","20년 이상")))))))),"미분류"))</f>
        <v>1-2년</v>
      </c>
      <c r="W143" s="43" t="str">
        <f aca="false">IF(Q143&lt;&gt;1,"",IF(AB143&lt;&gt;"",INDEX(시장분석!$C:$C,AB143),IF(K143=1,"USD","비USD")))</f>
        <v>USD</v>
      </c>
      <c r="X143" s="91" t="n">
        <f aca="false">IF(Q143=1,E143*K143/1000000,0)</f>
        <v>0.2</v>
      </c>
      <c r="Y143" s="89" t="n">
        <f aca="false">IF(R143="T",1,0)</f>
        <v>0</v>
      </c>
      <c r="Z143" s="92" t="n">
        <f aca="false">IF(Q143&lt;&gt;1,"",IF(AD143=1,IF(ISNUMBER(U143),MAX(U143,0),H143),H143))</f>
        <v>1.8025</v>
      </c>
      <c r="AA143" s="91" t="n">
        <f aca="false">IF(Q143=1,IF(ISNUMBER(L143),L143,0)*K143/1000000,0)</f>
        <v>0.1959064</v>
      </c>
      <c r="AB143" s="89" t="n">
        <f aca="false">IF(Q143&lt;&gt;1,"",IFERROR(MATCH(VLOOKUP(B143,매핑!$H$4:$I$15,2,0),시장분석!$A$2:$A$601,0)+1,IFERROR(MATCH(R143&amp;"|"&amp;T143,시장분석!$V$2:$V$601,0)+1,IF(COUNTIF(시장분석!$U$2:$U$601,T143)=1,MATCH(T143,시장분석!$U$2:$U$601,0)+1,""))))</f>
        <v>204</v>
      </c>
      <c r="AC143" s="89" t="n">
        <f aca="false">IF(Q143&lt;&gt;1,0,IF(OR(설정!$C$5="전체",AND(설정!$C$5="선택펀드",IFERROR(COUNTIFS(설정!$F$16:$F$36,C143,설정!$G$16:$G$36,"Y")+COUNTIFS(설정!$F$16:$F$36,VALUE(C143),설정!$G$16:$G$36,"Y"),0)&gt;0),C143&amp;""=설정!$C$5&amp;""),1,0))</f>
        <v>1</v>
      </c>
      <c r="AD143" s="89" t="n">
        <f aca="false">IF(Q143&lt;&gt;1,0,IF(OR(S143=1,IF(AB143="",FALSE(),INDEX(시장분석!$R:$R,AB143)=1)),1,0))</f>
        <v>0</v>
      </c>
      <c r="AE143" s="43" t="str">
        <f aca="false">IF(AB143="","",INDEX(시장분석!$A:$A,AB143))</f>
        <v>HYUELE 4 1/4 09/11/28</v>
      </c>
      <c r="AF143" s="93" t="n">
        <f aca="false">IF(AB143="","",IF(ISNUMBER(IF(AB143="","",INDEX(시장분석!$E:$E,AB143))),IF(AB143="","",INDEX(시장분석!$E:$E,AB143)),""))</f>
        <v>47.464</v>
      </c>
      <c r="AG143" s="43" t="str">
        <f aca="false">IF(Q143&lt;&gt;1,"",IF(AB143&lt;&gt;"",IF(AB143="","",INDEX(시장분석!$L:$L,AB143)),IFERROR(IF(VLOOKUP(R143,매핑!$A$4:$E$92,5,0)="","미분류",VLOOKUP(R143,매핑!$A$4:$E$92,5,0)),"미분류")))</f>
        <v>기술</v>
      </c>
      <c r="AH143" s="43" t="str">
        <f aca="false">IF(Q143&lt;&gt;1,"",IF(AB143&lt;&gt;"",IF(AB143="","",INDEX(시장분석!$N:$N,AB143)),IFERROR(IF(VLOOKUP(R143,매핑!$A$4:$E$92,4,0)="","미분류",VLOOKUP(R143,매핑!$A$4:$E$92,4,0)),"미분류")))</f>
        <v>아시아/기타</v>
      </c>
      <c r="AI143" s="43" t="str">
        <f aca="false">IF(Q143&lt;&gt;1,"",IFERROR(IF(VLOOKUP(R143,매핑!$A$4:$E$92,3,0)="","미분류",VLOOKUP(R143,매핑!$A$4:$E$92,3,0)),IF(AB143&lt;&gt;"",IF(AB143="","",INDEX(시장분석!$W:$W,AB143)),"미분류")))</f>
        <v>한국</v>
      </c>
      <c r="AJ143" s="43" t="str">
        <f aca="false">IF(Q143&lt;&gt;1,"",IFERROR(VLOOKUP(IF(N143&lt;&gt;"",N143,IF(P143&lt;&gt;"",P143,O143)),설정!$A$15:$D$47,2,0),""))</f>
        <v>A-</v>
      </c>
      <c r="AK143" s="43" t="str">
        <f aca="false">IF(Q143&lt;&gt;1,"",IF(AJ143="","무등급",IFERROR(VLOOKUP(AJ143,설정!$A$15:$D$47,3,0),"무등급")))</f>
        <v>A</v>
      </c>
      <c r="AL143" s="89" t="n">
        <f aca="false">IF(AJ143="",99,IFERROR(VLOOKUP(AJ143,설정!$A$15:$D$47,4,0),99))</f>
        <v>7</v>
      </c>
      <c r="AM143" s="94" t="n">
        <f aca="false">IF(ISNUMBER(H143),AA143*1000000*H143/10000,0)</f>
        <v>35.3121286</v>
      </c>
      <c r="AN143" s="94" t="n">
        <f aca="false">IF(OR(Y143=1,NOT(ISNUMBER(Z143))),0,AA143*1000000*Z143/10000)</f>
        <v>35.3121286</v>
      </c>
      <c r="AO143" s="94" t="n">
        <f aca="false">IF(ISNUMBER(G143),AA143*1000000*G143/100,0)</f>
        <v>10517.4309904</v>
      </c>
      <c r="AP143" s="94" t="n">
        <f aca="false">IF(ISNUMBER(M143),M143*K143,0)</f>
        <v>-5094.8</v>
      </c>
      <c r="AQ143" s="95" t="n">
        <f aca="false">IF(AB143="","",INDEX(시장분석!$AK:$AK,AB143))</f>
        <v>0.68004138266863</v>
      </c>
      <c r="AR143" s="43" t="str">
        <f aca="false">IF(AB143="","-",IF(AB143="","",INDEX(시장분석!$AL:$AL,AB143)))</f>
        <v>Fair</v>
      </c>
      <c r="AS143" s="96" t="n">
        <f aca="false">IF(AB143="","",INDEX(시장분석!$AJ:$AJ,AB143))</f>
        <v>1.82932600374492</v>
      </c>
      <c r="AT143" s="93" t="n">
        <f aca="false">IF(AB143="",0,IF(AB143="","",INDEX(시장분석!$AN:$AN,AB143)))</f>
        <v>15.0543060210641</v>
      </c>
      <c r="AU143" s="94" t="n">
        <f aca="false">IF(ISNUMBER(Z143),AT143/10000*MAX(Z143-1,0)*AA143*1000000,0)</f>
        <v>236.676100491071</v>
      </c>
      <c r="AV143" s="94" t="n">
        <f aca="false">AO143+AU143</f>
        <v>10754.1070908911</v>
      </c>
      <c r="AW143" s="43" t="str">
        <f aca="false">IF(Q143&lt;&gt;1,"",TRIM(IF(AD143=1,"FRN ","")&amp;IF(AND(AL143&gt;=10,AL143&lt;99),"BBB0미만 ","")&amp;IF(AJ143="","등급없음 ","")&amp;IF(K143&lt;&gt;1,"비USD ","")&amp;IF(AND(AB143="",Y143=0),"시장데이터없음 ","")&amp;IF(AND(ISNUMBER(U143),U143&lt;0),"만기경과 ","")))</f>
        <v/>
      </c>
      <c r="AX143" s="90" t="n">
        <f aca="false">IF(Q143&lt;&gt;1,1,IF(스프레드쇼크!$C$4="Y",INDEX(스프레드쇼크!$B$12:$L$16,IFERROR(MATCH(AH143,스프레드쇼크!$A$12:$A$16,0),MATCH("목록외",스프레드쇼크!$A$12:$A$16,0)),IFERROR(MATCH(AG143,스프레드쇼크!$B$11:$L$11,0),MATCH("목록외",스프레드쇼크!$B$11:$L$11,0))),1))</f>
        <v>1</v>
      </c>
      <c r="AY143" s="90" t="n">
        <f aca="false">IF(스프레드쇼크!$C$5="Y",IF(ISNUMBER(AF143),MIN(스프레드쇼크!$C$7,MAX(스프레드쇼크!$C$6,AF143/스프레드쇼크!$C$8)),1),1)</f>
        <v>0.717911420144242</v>
      </c>
      <c r="AZ143" s="94" t="n">
        <f aca="false">AN143*AX143*AY143</f>
        <v>25.3509803915421</v>
      </c>
      <c r="BA143" s="90" t="n">
        <f aca="false">IF(ISNUMBER(G143),AA143*G143,0)</f>
        <v>1.05174309904</v>
      </c>
      <c r="BB143" s="90" t="n">
        <f aca="false">IF(ISNUMBER(G143),AA143,0)</f>
        <v>0.1959064</v>
      </c>
      <c r="BC143" s="90" t="n">
        <f aca="false">IF(AND(Y143=0,ISNUMBER(AF143)),AA143*AF143,0)</f>
        <v>9.2985013696</v>
      </c>
      <c r="BD143" s="90" t="n">
        <f aca="false">IF(AND(Y143=0,ISNUMBER(AF143)),AA143,0)</f>
        <v>0.1959064</v>
      </c>
      <c r="BE143" s="90" t="n">
        <f aca="false">IF(ISNUMBER(H143),AA143*H143,0)</f>
        <v>0.353121286</v>
      </c>
      <c r="BF143" s="90" t="n">
        <f aca="false">IF(ISNUMBER(H143),AA143,0)</f>
        <v>0.1959064</v>
      </c>
      <c r="BG143" s="90" t="n">
        <f aca="false">IF(AND(Y143=0,ISNUMBER(AF143),ISNUMBER(Z143)),AA143*Z143,0)</f>
        <v>0.353121286</v>
      </c>
      <c r="BH143" s="90" t="n">
        <f aca="false">IF(AND(Y143=0,ISNUMBER(AF143),ISNUMBER(Z143)),AA143*AT143*MAX(Z143-1,0),0)</f>
        <v>2.36676100491071</v>
      </c>
      <c r="BI143" s="90" t="n">
        <f aca="false">IF(Y143=0,AA143,0)</f>
        <v>0.1959064</v>
      </c>
    </row>
    <row r="144" customFormat="false" ht="15" hidden="false" customHeight="false" outlineLevel="0" collapsed="false">
      <c r="A144" s="83" t="str">
        <f aca="false">IFERROR(IF(INDEX(원자료_잔고!$A$1:$EZ$1500,설정!$L$5+ROW()-1,설정!$L$8)&amp;""="0","",INDEX(원자료_잔고!$A$1:$EZ$1500,설정!$L$5+ROW()-1,설정!$L$8)&amp;""),"")</f>
        <v>HYUELE 4.375 09/11/30</v>
      </c>
      <c r="B144" s="83" t="str">
        <f aca="false">IFERROR(IF(INDEX(원자료_잔고!$A$1:$EZ$1500,설정!$L$5+ROW()-1,설정!$L$7)&amp;""="0","",INDEX(원자료_잔고!$A$1:$EZ$1500,설정!$L$5+ROW()-1,설정!$L$7)&amp;""),"")</f>
        <v>USY8085FBZ28</v>
      </c>
      <c r="C144" s="83" t="str">
        <f aca="false">IFERROR(IF(INDEX(원자료_잔고!$A$1:$EZ$1500,설정!$L$5+ROW()-1,설정!$L$9)&amp;""="0","",INDEX(원자료_잔고!$A$1:$EZ$1500,설정!$L$5+ROW()-1,설정!$L$9)&amp;""),"")</f>
        <v>34507</v>
      </c>
      <c r="D14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4" s="84" t="n">
        <f aca="false">IFERROR(IF(ISNUMBER(INDEX(원자료_잔고!$A$1:$EZ$1500,설정!$L$5+ROW()-1,설정!$L$11)),INDEX(원자료_잔고!$A$1:$EZ$1500,설정!$L$5+ROW()-1,설정!$L$11),""),"")</f>
        <v>7500000</v>
      </c>
      <c r="F144" s="85" t="n">
        <f aca="false">IFERROR(IF(ISNUMBER(INDEX(원자료_잔고!$A$1:$EZ$1500,설정!$L$5+ROW()-1,설정!$L$12)),INDEX(원자료_잔고!$A$1:$EZ$1500,설정!$L$5+ROW()-1,설정!$L$12),""),"")</f>
        <v>95.6037</v>
      </c>
      <c r="G144" s="85" t="n">
        <f aca="false">IFERROR(IF(ISNUMBER(INDEX(원자료_잔고!$A$1:$EZ$1500,설정!$L$5+ROW()-1,설정!$L$13)),INDEX(원자료_잔고!$A$1:$EZ$1500,설정!$L$5+ROW()-1,설정!$L$13),""),"")</f>
        <v>5.631</v>
      </c>
      <c r="H144" s="85" t="n">
        <f aca="false">IFERROR(IF(ISNUMBER(INDEX(원자료_잔고!$A$1:$EZ$1500,설정!$L$5+ROW()-1,설정!$L$14)),INDEX(원자료_잔고!$A$1:$EZ$1500,설정!$L$5+ROW()-1,설정!$L$14),""),"")</f>
        <v>3.4842</v>
      </c>
      <c r="I144" s="86" t="n">
        <f aca="false">IFERROR(IF(ISNUMBER(INDEX(원자료_잔고!$A$1:$EZ$1500,설정!$L$5+ROW()-1,설정!$L$15)),INDEX(원자료_잔고!$A$1:$EZ$1500,설정!$L$5+ROW()-1,설정!$L$15),""),"")</f>
        <v>47737</v>
      </c>
      <c r="J144" s="85" t="n">
        <f aca="false">IFERROR(IF(ISNUMBER(INDEX(원자료_잔고!$A$1:$EZ$1500,설정!$L$5+ROW()-1,설정!$L$16)),INDEX(원자료_잔고!$A$1:$EZ$1500,설정!$L$5+ROW()-1,설정!$L$16),""),"")</f>
        <v>4.375</v>
      </c>
      <c r="K144" s="87" t="n">
        <f aca="false">IFERROR(IF(ISNUMBER(INDEX(원자료_잔고!$A$1:$EZ$1500,설정!$L$5+ROW()-1,설정!$L$17)),INDEX(원자료_잔고!$A$1:$EZ$1500,설정!$L$5+ROW()-1,설정!$L$17),""),"")</f>
        <v>1</v>
      </c>
      <c r="L144" s="84" t="n">
        <f aca="false">IFERROR(IF(ISNUMBER(INDEX(원자료_잔고!$A$1:$EZ$1500,설정!$L$5+ROW()-1,설정!$L$18)),INDEX(원자료_잔고!$A$1:$EZ$1500,설정!$L$5+ROW()-1,설정!$L$18),""),"")</f>
        <v>7170277.5</v>
      </c>
      <c r="M144" s="88" t="n">
        <f aca="false">IFERROR(IF(ISNUMBER(INDEX(원자료_잔고!$A$1:$EZ$1500,설정!$L$5+ROW()-1,설정!$L$19)),INDEX(원자료_잔고!$A$1:$EZ$1500,설정!$L$5+ROW()-1,설정!$L$19),""),"")</f>
        <v>-167272.5</v>
      </c>
      <c r="N144" s="83" t="str">
        <f aca="false">IFERROR(IF(INDEX(원자료_잔고!$A$1:$EZ$1500,설정!$L$5+ROW()-1,설정!$L$21)&amp;""="0","",INDEX(원자료_잔고!$A$1:$EZ$1500,설정!$L$5+ROW()-1,설정!$L$21)&amp;""),"")</f>
        <v>A-</v>
      </c>
      <c r="O144" s="83" t="str">
        <f aca="false">IFERROR(IF(INDEX(원자료_잔고!$A$1:$EZ$1500,설정!$L$5+ROW()-1,설정!$L$22)&amp;""="0","",INDEX(원자료_잔고!$A$1:$EZ$1500,설정!$L$5+ROW()-1,설정!$L$22)&amp;""),"")</f>
        <v/>
      </c>
      <c r="P144" s="83" t="str">
        <f aca="false">IFERROR(IF(INDEX(원자료_잔고!$A$1:$EZ$1500,설정!$L$5+ROW()-1,설정!$L$23)&amp;""="0","",INDEX(원자료_잔고!$A$1:$EZ$1500,설정!$L$5+ROW()-1,설정!$L$23)&amp;""),"")</f>
        <v>BBB</v>
      </c>
      <c r="Q144" s="89" t="n">
        <f aca="false">IF(AND($A144&lt;&gt;"",ISNUMBER(E144)),IF(E144&gt;0,1,0),0)</f>
        <v>1</v>
      </c>
      <c r="R144" s="43" t="str">
        <f aca="false">IF(Q144=1,UPPER(LEFT($A144,FIND(" ",$A144&amp;" ")-1)),"")</f>
        <v>HYUELE</v>
      </c>
      <c r="S144" s="89" t="n">
        <f aca="false">IF(Q144=1,IF(OR(ISNUMBER(SEARCH("Float",$A144)),ISNUMBER(SEARCH("FRN",$A144))),1,0),0)</f>
        <v>0</v>
      </c>
      <c r="T144" s="43" t="str">
        <f aca="false">IF(AND(Q144=1,ISNUMBER(I144)),TEXT(I144,"yyyymmdd")&amp;"|"&amp;IF(S144=1,"F",TEXT(J144,"0.000")),"")</f>
        <v>20300911|4.375</v>
      </c>
      <c r="U144" s="90" t="n">
        <f aca="false">IF(AND(Q144=1,ISNUMBER(I144)),(I144-설정!$C$4)/365.25,"")</f>
        <v>3.94524298425736</v>
      </c>
      <c r="V144" s="43" t="str">
        <f aca="false">IF(Q144&lt;&gt;1,"",IF(ISNUMBER(U144),IF(U144&lt;=1,"1년 이하",IF(U144&lt;=2,"1-2년",IF(U144&lt;=3,"2-3년",IF(U144&lt;=4,"3-4년",IF(U144&lt;=5,"4-5년",IF(U144&lt;=7,"5-7년",IF(U144&lt;=10,"7-10년",IF(U144&lt;=20,"10-20년","20년 이상")))))))),"미분류"))</f>
        <v>3-4년</v>
      </c>
      <c r="W144" s="43" t="str">
        <f aca="false">IF(Q144&lt;&gt;1,"",IF(AB144&lt;&gt;"",INDEX(시장분석!$C:$C,AB144),IF(K144=1,"USD","비USD")))</f>
        <v>USD</v>
      </c>
      <c r="X144" s="91" t="n">
        <f aca="false">IF(Q144=1,E144*K144/1000000,0)</f>
        <v>7.5</v>
      </c>
      <c r="Y144" s="89" t="n">
        <f aca="false">IF(R144="T",1,0)</f>
        <v>0</v>
      </c>
      <c r="Z144" s="92" t="n">
        <f aca="false">IF(Q144&lt;&gt;1,"",IF(AD144=1,IF(ISNUMBER(U144),MAX(U144,0),H144),H144))</f>
        <v>3.4842</v>
      </c>
      <c r="AA144" s="91" t="n">
        <f aca="false">IF(Q144=1,IF(ISNUMBER(L144),L144,0)*K144/1000000,0)</f>
        <v>7.1702775</v>
      </c>
      <c r="AB144" s="89" t="n">
        <f aca="false">IF(Q144&lt;&gt;1,"",IFERROR(MATCH(VLOOKUP(B144,매핑!$H$4:$I$15,2,0),시장분석!$A$2:$A$601,0)+1,IFERROR(MATCH(R144&amp;"|"&amp;T144,시장분석!$V$2:$V$601,0)+1,IF(COUNTIF(시장분석!$U$2:$U$601,T144)=1,MATCH(T144,시장분석!$U$2:$U$601,0)+1,""))))</f>
        <v>205</v>
      </c>
      <c r="AC144" s="89" t="n">
        <f aca="false">IF(Q144&lt;&gt;1,0,IF(OR(설정!$C$5="전체",AND(설정!$C$5="선택펀드",IFERROR(COUNTIFS(설정!$F$16:$F$36,C144,설정!$G$16:$G$36,"Y")+COUNTIFS(설정!$F$16:$F$36,VALUE(C144),설정!$G$16:$G$36,"Y"),0)&gt;0),C144&amp;""=설정!$C$5&amp;""),1,0))</f>
        <v>1</v>
      </c>
      <c r="AD144" s="89" t="n">
        <f aca="false">IF(Q144&lt;&gt;1,0,IF(OR(S144=1,IF(AB144="",FALSE(),INDEX(시장분석!$R:$R,AB144)=1)),1,0))</f>
        <v>0</v>
      </c>
      <c r="AE144" s="43" t="str">
        <f aca="false">IF(AB144="","",INDEX(시장분석!$A:$A,AB144))</f>
        <v>HYUELE 4 3/8 09/11/30</v>
      </c>
      <c r="AF144" s="93" t="n">
        <f aca="false">IF(AB144="","",IF(ISNUMBER(IF(AB144="","",INDEX(시장분석!$E:$E,AB144))),IF(AB144="","",INDEX(시장분석!$E:$E,AB144)),""))</f>
        <v>59.661</v>
      </c>
      <c r="AG144" s="43" t="str">
        <f aca="false">IF(Q144&lt;&gt;1,"",IF(AB144&lt;&gt;"",IF(AB144="","",INDEX(시장분석!$L:$L,AB144)),IFERROR(IF(VLOOKUP(R144,매핑!$A$4:$E$92,5,0)="","미분류",VLOOKUP(R144,매핑!$A$4:$E$92,5,0)),"미분류")))</f>
        <v>기술</v>
      </c>
      <c r="AH144" s="43" t="str">
        <f aca="false">IF(Q144&lt;&gt;1,"",IF(AB144&lt;&gt;"",IF(AB144="","",INDEX(시장분석!$N:$N,AB144)),IFERROR(IF(VLOOKUP(R144,매핑!$A$4:$E$92,4,0)="","미분류",VLOOKUP(R144,매핑!$A$4:$E$92,4,0)),"미분류")))</f>
        <v>아시아/기타</v>
      </c>
      <c r="AI144" s="43" t="str">
        <f aca="false">IF(Q144&lt;&gt;1,"",IFERROR(IF(VLOOKUP(R144,매핑!$A$4:$E$92,3,0)="","미분류",VLOOKUP(R144,매핑!$A$4:$E$92,3,0)),IF(AB144&lt;&gt;"",IF(AB144="","",INDEX(시장분석!$W:$W,AB144)),"미분류")))</f>
        <v>한국</v>
      </c>
      <c r="AJ144" s="43" t="str">
        <f aca="false">IF(Q144&lt;&gt;1,"",IFERROR(VLOOKUP(IF(N144&lt;&gt;"",N144,IF(P144&lt;&gt;"",P144,O144)),설정!$A$15:$D$47,2,0),""))</f>
        <v>A-</v>
      </c>
      <c r="AK144" s="43" t="str">
        <f aca="false">IF(Q144&lt;&gt;1,"",IF(AJ144="","무등급",IFERROR(VLOOKUP(AJ144,설정!$A$15:$D$47,3,0),"무등급")))</f>
        <v>A</v>
      </c>
      <c r="AL144" s="89" t="n">
        <f aca="false">IF(AJ144="",99,IFERROR(VLOOKUP(AJ144,설정!$A$15:$D$47,4,0),99))</f>
        <v>7</v>
      </c>
      <c r="AM144" s="94" t="n">
        <f aca="false">IF(ISNUMBER(H144),AA144*1000000*H144/10000,0)</f>
        <v>2498.26808655</v>
      </c>
      <c r="AN144" s="94" t="n">
        <f aca="false">IF(OR(Y144=1,NOT(ISNUMBER(Z144))),0,AA144*1000000*Z144/10000)</f>
        <v>2498.26808655</v>
      </c>
      <c r="AO144" s="94" t="n">
        <f aca="false">IF(ISNUMBER(G144),AA144*1000000*G144/100,0)</f>
        <v>403758.326025</v>
      </c>
      <c r="AP144" s="94" t="n">
        <f aca="false">IF(ISNUMBER(M144),M144*K144,0)</f>
        <v>-167272.5</v>
      </c>
      <c r="AQ144" s="95" t="n">
        <f aca="false">IF(AB144="","",INDEX(시장분석!$AK:$AK,AB144))</f>
        <v>0.331065833703618</v>
      </c>
      <c r="AR144" s="43" t="str">
        <f aca="false">IF(AB144="","-",IF(AB144="","",INDEX(시장분석!$AL:$AL,AB144)))</f>
        <v>Fair</v>
      </c>
      <c r="AS144" s="96" t="n">
        <f aca="false">IF(AB144="","",INDEX(시장분석!$AJ:$AJ,AB144))</f>
        <v>0.890574241480579</v>
      </c>
      <c r="AT144" s="93" t="n">
        <f aca="false">IF(AB144="",0,IF(AB144="","",INDEX(시장분석!$AN:$AN,AB144)))</f>
        <v>6.35259904952234</v>
      </c>
      <c r="AU144" s="94" t="n">
        <f aca="false">IF(ISNUMBER(Z144),AT144/10000*MAX(Z144-1,0)*AA144*1000000,0)</f>
        <v>11315.5056689384</v>
      </c>
      <c r="AV144" s="94" t="n">
        <f aca="false">AO144+AU144</f>
        <v>415073.831693938</v>
      </c>
      <c r="AW144" s="43" t="str">
        <f aca="false">IF(Q144&lt;&gt;1,"",TRIM(IF(AD144=1,"FRN ","")&amp;IF(AND(AL144&gt;=10,AL144&lt;99),"BBB0미만 ","")&amp;IF(AJ144="","등급없음 ","")&amp;IF(K144&lt;&gt;1,"비USD ","")&amp;IF(AND(AB144="",Y144=0),"시장데이터없음 ","")&amp;IF(AND(ISNUMBER(U144),U144&lt;0),"만기경과 ","")))</f>
        <v/>
      </c>
      <c r="AX144" s="90" t="n">
        <f aca="false">IF(Q144&lt;&gt;1,1,IF(스프레드쇼크!$C$4="Y",INDEX(스프레드쇼크!$B$12:$L$16,IFERROR(MATCH(AH144,스프레드쇼크!$A$12:$A$16,0),MATCH("목록외",스프레드쇼크!$A$12:$A$16,0)),IFERROR(MATCH(AG144,스프레드쇼크!$B$11:$L$11,0),MATCH("목록외",스프레드쇼크!$B$11:$L$11,0))),1))</f>
        <v>1</v>
      </c>
      <c r="AY144" s="90" t="n">
        <f aca="false">IF(스프레드쇼크!$C$5="Y",IF(ISNUMBER(AF144),MIN(스프레드쇼크!$C$7,MAX(스프레드쇼크!$C$6,AF144/스프레드쇼크!$C$8)),1),1)</f>
        <v>0.90239577863698</v>
      </c>
      <c r="AZ144" s="94" t="n">
        <f aca="false">AN144*AX144*AY144</f>
        <v>2254.42657520621</v>
      </c>
      <c r="BA144" s="90" t="n">
        <f aca="false">IF(ISNUMBER(G144),AA144*G144,0)</f>
        <v>40.3758326025</v>
      </c>
      <c r="BB144" s="90" t="n">
        <f aca="false">IF(ISNUMBER(G144),AA144,0)</f>
        <v>7.1702775</v>
      </c>
      <c r="BC144" s="90" t="n">
        <f aca="false">IF(AND(Y144=0,ISNUMBER(AF144)),AA144*AF144,0)</f>
        <v>427.7859259275</v>
      </c>
      <c r="BD144" s="90" t="n">
        <f aca="false">IF(AND(Y144=0,ISNUMBER(AF144)),AA144,0)</f>
        <v>7.1702775</v>
      </c>
      <c r="BE144" s="90" t="n">
        <f aca="false">IF(ISNUMBER(H144),AA144*H144,0)</f>
        <v>24.9826808655</v>
      </c>
      <c r="BF144" s="90" t="n">
        <f aca="false">IF(ISNUMBER(H144),AA144,0)</f>
        <v>7.1702775</v>
      </c>
      <c r="BG144" s="90" t="n">
        <f aca="false">IF(AND(Y144=0,ISNUMBER(AF144),ISNUMBER(Z144)),AA144*Z144,0)</f>
        <v>24.9826808655</v>
      </c>
      <c r="BH144" s="90" t="n">
        <f aca="false">IF(AND(Y144=0,ISNUMBER(AF144),ISNUMBER(Z144)),AA144*AT144*MAX(Z144-1,0),0)</f>
        <v>113.155056689384</v>
      </c>
      <c r="BI144" s="90" t="n">
        <f aca="false">IF(Y144=0,AA144,0)</f>
        <v>7.1702775</v>
      </c>
    </row>
    <row r="145" customFormat="false" ht="15" hidden="false" customHeight="false" outlineLevel="0" collapsed="false">
      <c r="A145" s="83" t="str">
        <f aca="false">IFERROR(IF(INDEX(원자료_잔고!$A$1:$EZ$1500,설정!$L$5+ROW()-1,설정!$L$8)&amp;""="0","",INDEX(원자료_잔고!$A$1:$EZ$1500,설정!$L$5+ROW()-1,설정!$L$8)&amp;""),"")</f>
        <v>CACIB Notes (230802)</v>
      </c>
      <c r="B145" s="83" t="str">
        <f aca="false">IFERROR(IF(INDEX(원자료_잔고!$A$1:$EZ$1500,설정!$L$5+ROW()-1,설정!$L$7)&amp;""="0","",INDEX(원자료_잔고!$A$1:$EZ$1500,설정!$L$5+ROW()-1,설정!$L$7)&amp;""),"")</f>
        <v>XS2559683359</v>
      </c>
      <c r="C145" s="83" t="str">
        <f aca="false">IFERROR(IF(INDEX(원자료_잔고!$A$1:$EZ$1500,설정!$L$5+ROW()-1,설정!$L$9)&amp;""="0","",INDEX(원자료_잔고!$A$1:$EZ$1500,설정!$L$5+ROW()-1,설정!$L$9)&amp;""),"")</f>
        <v>34507</v>
      </c>
      <c r="D14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5" s="84" t="n">
        <f aca="false">IFERROR(IF(ISNUMBER(INDEX(원자료_잔고!$A$1:$EZ$1500,설정!$L$5+ROW()-1,설정!$L$11)),INDEX(원자료_잔고!$A$1:$EZ$1500,설정!$L$5+ROW()-1,설정!$L$11),""),"")</f>
        <v>10000000</v>
      </c>
      <c r="F145" s="85" t="n">
        <f aca="false">IFERROR(IF(ISNUMBER(INDEX(원자료_잔고!$A$1:$EZ$1500,설정!$L$5+ROW()-1,설정!$L$12)),INDEX(원자료_잔고!$A$1:$EZ$1500,설정!$L$5+ROW()-1,설정!$L$12),""),"")</f>
        <v>100.5285</v>
      </c>
      <c r="G145" s="85" t="n">
        <f aca="false">IFERROR(IF(ISNUMBER(INDEX(원자료_잔고!$A$1:$EZ$1500,설정!$L$5+ROW()-1,설정!$L$13)),INDEX(원자료_잔고!$A$1:$EZ$1500,설정!$L$5+ROW()-1,설정!$L$13),""),"")</f>
        <v>4.969</v>
      </c>
      <c r="H145" s="85" t="n">
        <f aca="false">IFERROR(IF(ISNUMBER(INDEX(원자료_잔고!$A$1:$EZ$1500,설정!$L$5+ROW()-1,설정!$L$14)),INDEX(원자료_잔고!$A$1:$EZ$1500,설정!$L$5+ROW()-1,설정!$L$14),""),"")</f>
        <v>0.004</v>
      </c>
      <c r="I145" s="86" t="n">
        <f aca="false">IFERROR(IF(ISNUMBER(INDEX(원자료_잔고!$A$1:$EZ$1500,설정!$L$5+ROW()-1,설정!$L$15)),INDEX(원자료_잔고!$A$1:$EZ$1500,설정!$L$5+ROW()-1,설정!$L$15),""),"")</f>
        <v>46500</v>
      </c>
      <c r="J145" s="85" t="n">
        <f aca="false">IFERROR(IF(ISNUMBER(INDEX(원자료_잔고!$A$1:$EZ$1500,설정!$L$5+ROW()-1,설정!$L$16)),INDEX(원자료_잔고!$A$1:$EZ$1500,설정!$L$5+ROW()-1,설정!$L$16),""),"")</f>
        <v>5.55</v>
      </c>
      <c r="K145" s="87" t="n">
        <f aca="false">IFERROR(IF(ISNUMBER(INDEX(원자료_잔고!$A$1:$EZ$1500,설정!$L$5+ROW()-1,설정!$L$17)),INDEX(원자료_잔고!$A$1:$EZ$1500,설정!$L$5+ROW()-1,설정!$L$17),""),"")</f>
        <v>1</v>
      </c>
      <c r="L145" s="84" t="n">
        <f aca="false">IFERROR(IF(ISNUMBER(INDEX(원자료_잔고!$A$1:$EZ$1500,설정!$L$5+ROW()-1,설정!$L$18)),INDEX(원자료_잔고!$A$1:$EZ$1500,설정!$L$5+ROW()-1,설정!$L$18),""),"")</f>
        <v>10052850</v>
      </c>
      <c r="M145" s="88" t="n">
        <f aca="false">IFERROR(IF(ISNUMBER(INDEX(원자료_잔고!$A$1:$EZ$1500,설정!$L$5+ROW()-1,설정!$L$19)),INDEX(원자료_잔고!$A$1:$EZ$1500,설정!$L$5+ROW()-1,설정!$L$19),""),"")</f>
        <v>-51710</v>
      </c>
      <c r="N145" s="83" t="str">
        <f aca="false">IFERROR(IF(INDEX(원자료_잔고!$A$1:$EZ$1500,설정!$L$5+ROW()-1,설정!$L$21)&amp;""="0","",INDEX(원자료_잔고!$A$1:$EZ$1500,설정!$L$5+ROW()-1,설정!$L$21)&amp;""),"")</f>
        <v/>
      </c>
      <c r="O145" s="83" t="str">
        <f aca="false">IFERROR(IF(INDEX(원자료_잔고!$A$1:$EZ$1500,설정!$L$5+ROW()-1,설정!$L$22)&amp;""="0","",INDEX(원자료_잔고!$A$1:$EZ$1500,설정!$L$5+ROW()-1,설정!$L$22)&amp;""),"")</f>
        <v/>
      </c>
      <c r="P145" s="83" t="str">
        <f aca="false">IFERROR(IF(INDEX(원자료_잔고!$A$1:$EZ$1500,설정!$L$5+ROW()-1,설정!$L$23)&amp;""="0","",INDEX(원자료_잔고!$A$1:$EZ$1500,설정!$L$5+ROW()-1,설정!$L$23)&amp;""),"")</f>
        <v>AA-</v>
      </c>
      <c r="Q145" s="89" t="n">
        <f aca="false">IF(AND($A145&lt;&gt;"",ISNUMBER(E145)),IF(E145&gt;0,1,0),0)</f>
        <v>1</v>
      </c>
      <c r="R145" s="43" t="str">
        <f aca="false">IF(Q145=1,UPPER(LEFT($A145,FIND(" ",$A145&amp;" ")-1)),"")</f>
        <v>CACIB</v>
      </c>
      <c r="S145" s="89" t="n">
        <f aca="false">IF(Q145=1,IF(OR(ISNUMBER(SEARCH("Float",$A145)),ISNUMBER(SEARCH("FRN",$A145))),1,0),0)</f>
        <v>0</v>
      </c>
      <c r="T145" s="43" t="str">
        <f aca="false">IF(AND(Q145=1,ISNUMBER(I145)),TEXT(I145,"yyyymmdd")&amp;"|"&amp;IF(S145=1,"F",TEXT(J145,"0.000")),"")</f>
        <v>20270423|5.550</v>
      </c>
      <c r="U145" s="90" t="n">
        <f aca="false">IF(AND(Q145=1,ISNUMBER(I145)),(I145-설정!$C$4)/365.25,"")</f>
        <v>0.558521560574949</v>
      </c>
      <c r="V145" s="43" t="str">
        <f aca="false">IF(Q145&lt;&gt;1,"",IF(ISNUMBER(U145),IF(U145&lt;=1,"1년 이하",IF(U145&lt;=2,"1-2년",IF(U145&lt;=3,"2-3년",IF(U145&lt;=4,"3-4년",IF(U145&lt;=5,"4-5년",IF(U145&lt;=7,"5-7년",IF(U145&lt;=10,"7-10년",IF(U145&lt;=20,"10-20년","20년 이상")))))))),"미분류"))</f>
        <v>1년 이하</v>
      </c>
      <c r="W145" s="43" t="str">
        <f aca="false">IF(Q145&lt;&gt;1,"",IF(AB145&lt;&gt;"",INDEX(시장분석!$C:$C,AB145),IF(K145=1,"USD","비USD")))</f>
        <v>USD</v>
      </c>
      <c r="X145" s="91" t="n">
        <f aca="false">IF(Q145=1,E145*K145/1000000,0)</f>
        <v>10</v>
      </c>
      <c r="Y145" s="89" t="n">
        <f aca="false">IF(R145="T",1,0)</f>
        <v>0</v>
      </c>
      <c r="Z145" s="92" t="n">
        <f aca="false">IF(Q145&lt;&gt;1,"",IF(AD145=1,IF(ISNUMBER(U145),MAX(U145,0),H145),H145))</f>
        <v>0.558521560574949</v>
      </c>
      <c r="AA145" s="91" t="n">
        <f aca="false">IF(Q145=1,IF(ISNUMBER(L145),L145,0)*K145/1000000,0)</f>
        <v>10.05285</v>
      </c>
      <c r="AB145" s="89" t="n">
        <f aca="false">IF(Q145&lt;&gt;1,"",IFERROR(MATCH(VLOOKUP(B145,매핑!$H$4:$I$15,2,0),시장분석!$A$2:$A$601,0)+1,IFERROR(MATCH(R145&amp;"|"&amp;T145,시장분석!$V$2:$V$601,0)+1,IF(COUNTIF(시장분석!$U$2:$U$601,T145)=1,MATCH(T145,시장분석!$U$2:$U$601,0)+1,""))))</f>
        <v>218</v>
      </c>
      <c r="AC145" s="89" t="n">
        <f aca="false">IF(Q145&lt;&gt;1,0,IF(OR(설정!$C$5="전체",AND(설정!$C$5="선택펀드",IFERROR(COUNTIFS(설정!$F$16:$F$36,C145,설정!$G$16:$G$36,"Y")+COUNTIFS(설정!$F$16:$F$36,VALUE(C145),설정!$G$16:$G$36,"Y"),0)&gt;0),C145&amp;""=설정!$C$5&amp;""),1,0))</f>
        <v>1</v>
      </c>
      <c r="AD145" s="89" t="n">
        <f aca="false">IF(Q145&lt;&gt;1,0,IF(OR(S145=1,IF(AB145="",FALSE(),INDEX(시장분석!$R:$R,AB145)=1)),1,0))</f>
        <v>1</v>
      </c>
      <c r="AE145" s="43" t="str">
        <f aca="false">IF(AB145="","",INDEX(시장분석!$A:$A,AB145))</f>
        <v>ACAFP Float 04/23/27</v>
      </c>
      <c r="AF145" s="93" t="str">
        <f aca="false">IF(AB145="","",IF(ISNUMBER(IF(AB145="","",INDEX(시장분석!$E:$E,AB145))),IF(AB145="","",INDEX(시장분석!$E:$E,AB145)),""))</f>
        <v/>
      </c>
      <c r="AG145" s="43" t="str">
        <f aca="false">IF(Q145&lt;&gt;1,"",IF(AB145&lt;&gt;"",IF(AB145="","",INDEX(시장분석!$L:$L,AB145)),IFERROR(IF(VLOOKUP(R145,매핑!$A$4:$E$92,5,0)="","미분류",VLOOKUP(R145,매핑!$A$4:$E$92,5,0)),"미분류")))</f>
        <v>금융기관</v>
      </c>
      <c r="AH145" s="43" t="str">
        <f aca="false">IF(Q145&lt;&gt;1,"",IF(AB145&lt;&gt;"",IF(AB145="","",INDEX(시장분석!$N:$N,AB145)),IFERROR(IF(VLOOKUP(R145,매핑!$A$4:$E$92,4,0)="","미분류",VLOOKUP(R145,매핑!$A$4:$E$92,4,0)),"미분류")))</f>
        <v>유럽</v>
      </c>
      <c r="AI145" s="43" t="str">
        <f aca="false">IF(Q145&lt;&gt;1,"",IFERROR(IF(VLOOKUP(R145,매핑!$A$4:$E$92,3,0)="","미분류",VLOOKUP(R145,매핑!$A$4:$E$92,3,0)),IF(AB145&lt;&gt;"",IF(AB145="","",INDEX(시장분석!$W:$W,AB145)),"미분류")))</f>
        <v>프랑스</v>
      </c>
      <c r="AJ145" s="43" t="str">
        <f aca="false">IF(Q145&lt;&gt;1,"",IFERROR(VLOOKUP(IF(N145&lt;&gt;"",N145,IF(P145&lt;&gt;"",P145,O145)),설정!$A$15:$D$47,2,0),""))</f>
        <v>AA-</v>
      </c>
      <c r="AK145" s="43" t="str">
        <f aca="false">IF(Q145&lt;&gt;1,"",IF(AJ145="","무등급",IFERROR(VLOOKUP(AJ145,설정!$A$15:$D$47,3,0),"무등급")))</f>
        <v>AA이상</v>
      </c>
      <c r="AL145" s="89" t="n">
        <f aca="false">IF(AJ145="",99,IFERROR(VLOOKUP(AJ145,설정!$A$15:$D$47,4,0),99))</f>
        <v>4</v>
      </c>
      <c r="AM145" s="94" t="n">
        <f aca="false">IF(ISNUMBER(H145),AA145*1000000*H145/10000,0)</f>
        <v>4.02114</v>
      </c>
      <c r="AN145" s="94" t="n">
        <f aca="false">IF(OR(Y145=1,NOT(ISNUMBER(Z145))),0,AA145*1000000*Z145/10000)</f>
        <v>561.473347022587</v>
      </c>
      <c r="AO145" s="94" t="n">
        <f aca="false">IF(ISNUMBER(G145),AA145*1000000*G145/100,0)</f>
        <v>499526.1165</v>
      </c>
      <c r="AP145" s="94" t="n">
        <f aca="false">IF(ISNUMBER(M145),M145*K145,0)</f>
        <v>-51710</v>
      </c>
      <c r="AQ145" s="95" t="str">
        <f aca="false">IF(AB145="","",INDEX(시장분석!$AK:$AK,AB145))</f>
        <v/>
      </c>
      <c r="AR145" s="43" t="str">
        <f aca="false">IF(AB145="","-",IF(AB145="","",INDEX(시장분석!$AL:$AL,AB145)))</f>
        <v>-</v>
      </c>
      <c r="AS145" s="96" t="str">
        <f aca="false">IF(AB145="","",INDEX(시장분석!$AJ:$AJ,AB145))</f>
        <v/>
      </c>
      <c r="AT145" s="93" t="n">
        <f aca="false">IF(AB145="",0,IF(AB145="","",INDEX(시장분석!$AN:$AN,AB145)))</f>
        <v>0</v>
      </c>
      <c r="AU145" s="94" t="n">
        <f aca="false">IF(ISNUMBER(Z145),AT145/10000*MAX(Z145-1,0)*AA145*1000000,0)</f>
        <v>0</v>
      </c>
      <c r="AV145" s="94" t="n">
        <f aca="false">AO145+AU145</f>
        <v>499526.1165</v>
      </c>
      <c r="AW145" s="43" t="str">
        <f aca="false">IF(Q145&lt;&gt;1,"",TRIM(IF(AD145=1,"FRN ","")&amp;IF(AND(AL145&gt;=10,AL145&lt;99),"BBB0미만 ","")&amp;IF(AJ145="","등급없음 ","")&amp;IF(K145&lt;&gt;1,"비USD ","")&amp;IF(AND(AB145="",Y145=0),"시장데이터없음 ","")&amp;IF(AND(ISNUMBER(U145),U145&lt;0),"만기경과 ","")))</f>
        <v>FRN</v>
      </c>
      <c r="AX145" s="90" t="n">
        <f aca="false">IF(Q145&lt;&gt;1,1,IF(스프레드쇼크!$C$4="Y",INDEX(스프레드쇼크!$B$12:$L$16,IFERROR(MATCH(AH145,스프레드쇼크!$A$12:$A$16,0),MATCH("목록외",스프레드쇼크!$A$12:$A$16,0)),IFERROR(MATCH(AG145,스프레드쇼크!$B$11:$L$11,0),MATCH("목록외",스프레드쇼크!$B$11:$L$11,0))),1))</f>
        <v>1</v>
      </c>
      <c r="AY145" s="90" t="n">
        <f aca="false">IF(스프레드쇼크!$C$5="Y",IF(ISNUMBER(AF145),MIN(스프레드쇼크!$C$7,MAX(스프레드쇼크!$C$6,AF145/스프레드쇼크!$C$8)),1),1)</f>
        <v>1</v>
      </c>
      <c r="AZ145" s="94" t="n">
        <f aca="false">AN145*AX145*AY145</f>
        <v>561.473347022587</v>
      </c>
      <c r="BA145" s="90" t="n">
        <f aca="false">IF(ISNUMBER(G145),AA145*G145,0)</f>
        <v>49.95261165</v>
      </c>
      <c r="BB145" s="90" t="n">
        <f aca="false">IF(ISNUMBER(G145),AA145,0)</f>
        <v>10.05285</v>
      </c>
      <c r="BC145" s="90" t="n">
        <f aca="false">IF(AND(Y145=0,ISNUMBER(AF145)),AA145*AF145,0)</f>
        <v>0</v>
      </c>
      <c r="BD145" s="90" t="n">
        <f aca="false">IF(AND(Y145=0,ISNUMBER(AF145)),AA145,0)</f>
        <v>0</v>
      </c>
      <c r="BE145" s="90" t="n">
        <f aca="false">IF(ISNUMBER(H145),AA145*H145,0)</f>
        <v>0.0402114</v>
      </c>
      <c r="BF145" s="90" t="n">
        <f aca="false">IF(ISNUMBER(H145),AA145,0)</f>
        <v>10.05285</v>
      </c>
      <c r="BG145" s="90" t="n">
        <f aca="false">IF(AND(Y145=0,ISNUMBER(AF145),ISNUMBER(Z145)),AA145*Z145,0)</f>
        <v>0</v>
      </c>
      <c r="BH145" s="90" t="n">
        <f aca="false">IF(AND(Y145=0,ISNUMBER(AF145),ISNUMBER(Z145)),AA145*AT145*MAX(Z145-1,0),0)</f>
        <v>0</v>
      </c>
      <c r="BI145" s="90" t="n">
        <f aca="false">IF(Y145=0,AA145,0)</f>
        <v>10.05285</v>
      </c>
    </row>
    <row r="146" customFormat="false" ht="15" hidden="false" customHeight="false" outlineLevel="0" collapsed="false">
      <c r="A146" s="83" t="str">
        <f aca="false">IFERROR(IF(INDEX(원자료_잔고!$A$1:$EZ$1500,설정!$L$5+ROW()-1,설정!$L$8)&amp;""="0","",INDEX(원자료_잔고!$A$1:$EZ$1500,설정!$L$5+ROW()-1,설정!$L$8)&amp;""),"")</f>
        <v>DFHOLD 6.875 11/06/26</v>
      </c>
      <c r="B146" s="83" t="str">
        <f aca="false">IFERROR(IF(INDEX(원자료_잔고!$A$1:$EZ$1500,설정!$L$5+ROW()-1,설정!$L$7)&amp;""="0","",INDEX(원자료_잔고!$A$1:$EZ$1500,설정!$L$5+ROW()-1,설정!$L$7)&amp;""),"")</f>
        <v>XS2703610050</v>
      </c>
      <c r="C146" s="83" t="str">
        <f aca="false">IFERROR(IF(INDEX(원자료_잔고!$A$1:$EZ$1500,설정!$L$5+ROW()-1,설정!$L$9)&amp;""="0","",INDEX(원자료_잔고!$A$1:$EZ$1500,설정!$L$5+ROW()-1,설정!$L$9)&amp;""),"")</f>
        <v>34507</v>
      </c>
      <c r="D14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6" s="84" t="n">
        <f aca="false">IFERROR(IF(ISNUMBER(INDEX(원자료_잔고!$A$1:$EZ$1500,설정!$L$5+ROW()-1,설정!$L$11)),INDEX(원자료_잔고!$A$1:$EZ$1500,설정!$L$5+ROW()-1,설정!$L$11),""),"")</f>
        <v>2000000</v>
      </c>
      <c r="F146" s="85" t="n">
        <f aca="false">IFERROR(IF(ISNUMBER(INDEX(원자료_잔고!$A$1:$EZ$1500,설정!$L$5+ROW()-1,설정!$L$12)),INDEX(원자료_잔고!$A$1:$EZ$1500,설정!$L$5+ROW()-1,설정!$L$12),""),"")</f>
        <v>100.1449</v>
      </c>
      <c r="G146" s="85" t="n">
        <f aca="false">IFERROR(IF(ISNUMBER(INDEX(원자료_잔고!$A$1:$EZ$1500,설정!$L$5+ROW()-1,설정!$L$13)),INDEX(원자료_잔고!$A$1:$EZ$1500,설정!$L$5+ROW()-1,설정!$L$13),""),"")</f>
        <v>5.2818</v>
      </c>
      <c r="H146" s="85" t="n">
        <f aca="false">IFERROR(IF(ISNUMBER(INDEX(원자료_잔고!$A$1:$EZ$1500,설정!$L$5+ROW()-1,설정!$L$14)),INDEX(원자료_잔고!$A$1:$EZ$1500,설정!$L$5+ROW()-1,설정!$L$14),""),"")</f>
        <v>0.0968</v>
      </c>
      <c r="I146" s="86" t="n">
        <f aca="false">IFERROR(IF(ISNUMBER(INDEX(원자료_잔고!$A$1:$EZ$1500,설정!$L$5+ROW()-1,설정!$L$15)),INDEX(원자료_잔고!$A$1:$EZ$1500,설정!$L$5+ROW()-1,설정!$L$15),""),"")</f>
        <v>46332</v>
      </c>
      <c r="J146" s="85" t="n">
        <f aca="false">IFERROR(IF(ISNUMBER(INDEX(원자료_잔고!$A$1:$EZ$1500,설정!$L$5+ROW()-1,설정!$L$16)),INDEX(원자료_잔고!$A$1:$EZ$1500,설정!$L$5+ROW()-1,설정!$L$16),""),"")</f>
        <v>6.875</v>
      </c>
      <c r="K146" s="87" t="n">
        <f aca="false">IFERROR(IF(ISNUMBER(INDEX(원자료_잔고!$A$1:$EZ$1500,설정!$L$5+ROW()-1,설정!$L$17)),INDEX(원자료_잔고!$A$1:$EZ$1500,설정!$L$5+ROW()-1,설정!$L$17),""),"")</f>
        <v>1</v>
      </c>
      <c r="L146" s="84" t="n">
        <f aca="false">IFERROR(IF(ISNUMBER(INDEX(원자료_잔고!$A$1:$EZ$1500,설정!$L$5+ROW()-1,설정!$L$18)),INDEX(원자료_잔고!$A$1:$EZ$1500,설정!$L$5+ROW()-1,설정!$L$18),""),"")</f>
        <v>2002898</v>
      </c>
      <c r="M146" s="88" t="n">
        <f aca="false">IFERROR(IF(ISNUMBER(INDEX(원자료_잔고!$A$1:$EZ$1500,설정!$L$5+ROW()-1,설정!$L$19)),INDEX(원자료_잔고!$A$1:$EZ$1500,설정!$L$5+ROW()-1,설정!$L$19),""),"")</f>
        <v>-38804</v>
      </c>
      <c r="N146" s="83" t="str">
        <f aca="false">IFERROR(IF(INDEX(원자료_잔고!$A$1:$EZ$1500,설정!$L$5+ROW()-1,설정!$L$21)&amp;""="0","",INDEX(원자료_잔고!$A$1:$EZ$1500,설정!$L$5+ROW()-1,설정!$L$21)&amp;""),"")</f>
        <v>BBB</v>
      </c>
      <c r="O146" s="83" t="str">
        <f aca="false">IFERROR(IF(INDEX(원자료_잔고!$A$1:$EZ$1500,설정!$L$5+ROW()-1,설정!$L$22)&amp;""="0","",INDEX(원자료_잔고!$A$1:$EZ$1500,설정!$L$5+ROW()-1,설정!$L$22)&amp;""),"")</f>
        <v/>
      </c>
      <c r="P146" s="83" t="str">
        <f aca="false">IFERROR(IF(INDEX(원자료_잔고!$A$1:$EZ$1500,설정!$L$5+ROW()-1,설정!$L$23)&amp;""="0","",INDEX(원자료_잔고!$A$1:$EZ$1500,설정!$L$5+ROW()-1,설정!$L$23)&amp;""),"")</f>
        <v>N/A</v>
      </c>
      <c r="Q146" s="89" t="n">
        <f aca="false">IF(AND($A146&lt;&gt;"",ISNUMBER(E146)),IF(E146&gt;0,1,0),0)</f>
        <v>1</v>
      </c>
      <c r="R146" s="43" t="str">
        <f aca="false">IF(Q146=1,UPPER(LEFT($A146,FIND(" ",$A146&amp;" ")-1)),"")</f>
        <v>DFHOLD</v>
      </c>
      <c r="S146" s="89" t="n">
        <f aca="false">IF(Q146=1,IF(OR(ISNUMBER(SEARCH("Float",$A146)),ISNUMBER(SEARCH("FRN",$A146))),1,0),0)</f>
        <v>0</v>
      </c>
      <c r="T146" s="43" t="str">
        <f aca="false">IF(AND(Q146=1,ISNUMBER(I146)),TEXT(I146,"yyyymmdd")&amp;"|"&amp;IF(S146=1,"F",TEXT(J146,"0.000")),"")</f>
        <v>20261106|6.875</v>
      </c>
      <c r="U146" s="90" t="n">
        <f aca="false">IF(AND(Q146=1,ISNUMBER(I146)),(I146-설정!$C$4)/365.25,"")</f>
        <v>0.0985626283367557</v>
      </c>
      <c r="V146" s="43" t="str">
        <f aca="false">IF(Q146&lt;&gt;1,"",IF(ISNUMBER(U146),IF(U146&lt;=1,"1년 이하",IF(U146&lt;=2,"1-2년",IF(U146&lt;=3,"2-3년",IF(U146&lt;=4,"3-4년",IF(U146&lt;=5,"4-5년",IF(U146&lt;=7,"5-7년",IF(U146&lt;=10,"7-10년",IF(U146&lt;=20,"10-20년","20년 이상")))))))),"미분류"))</f>
        <v>1년 이하</v>
      </c>
      <c r="W146" s="43" t="str">
        <f aca="false">IF(Q146&lt;&gt;1,"",IF(AB146&lt;&gt;"",INDEX(시장분석!$C:$C,AB146),IF(K146=1,"USD","비USD")))</f>
        <v>USD</v>
      </c>
      <c r="X146" s="91" t="n">
        <f aca="false">IF(Q146=1,E146*K146/1000000,0)</f>
        <v>2</v>
      </c>
      <c r="Y146" s="89" t="n">
        <f aca="false">IF(R146="T",1,0)</f>
        <v>0</v>
      </c>
      <c r="Z146" s="92" t="n">
        <f aca="false">IF(Q146&lt;&gt;1,"",IF(AD146=1,IF(ISNUMBER(U146),MAX(U146,0),H146),H146))</f>
        <v>0.0968</v>
      </c>
      <c r="AA146" s="91" t="n">
        <f aca="false">IF(Q146=1,IF(ISNUMBER(L146),L146,0)*K146/1000000,0)</f>
        <v>2.002898</v>
      </c>
      <c r="AB146" s="89" t="n">
        <f aca="false">IF(Q146&lt;&gt;1,"",IFERROR(MATCH(VLOOKUP(B146,매핑!$H$4:$I$15,2,0),시장분석!$A$2:$A$601,0)+1,IFERROR(MATCH(R146&amp;"|"&amp;T146,시장분석!$V$2:$V$601,0)+1,IF(COUNTIF(시장분석!$U$2:$U$601,T146)=1,MATCH(T146,시장분석!$U$2:$U$601,0)+1,""))))</f>
        <v>224</v>
      </c>
      <c r="AC146" s="89" t="n">
        <f aca="false">IF(Q146&lt;&gt;1,0,IF(OR(설정!$C$5="전체",AND(설정!$C$5="선택펀드",IFERROR(COUNTIFS(설정!$F$16:$F$36,C146,설정!$G$16:$G$36,"Y")+COUNTIFS(설정!$F$16:$F$36,VALUE(C146),설정!$G$16:$G$36,"Y"),0)&gt;0),C146&amp;""=설정!$C$5&amp;""),1,0))</f>
        <v>1</v>
      </c>
      <c r="AD146" s="89" t="n">
        <f aca="false">IF(Q146&lt;&gt;1,0,IF(OR(S146=1,IF(AB146="",FALSE(),INDEX(시장분석!$R:$R,AB146)=1)),1,0))</f>
        <v>0</v>
      </c>
      <c r="AE146" s="43" t="str">
        <f aca="false">IF(AB146="","",INDEX(시장분석!$A:$A,AB146))</f>
        <v>DFHOLD 6 7/8 11/06/26</v>
      </c>
      <c r="AF146" s="93" t="n">
        <f aca="false">IF(AB146="","",IF(ISNUMBER(IF(AB146="","",INDEX(시장분석!$E:$E,AB146))),IF(AB146="","",INDEX(시장분석!$E:$E,AB146)),""))</f>
        <v>-6.955</v>
      </c>
      <c r="AG146" s="43" t="str">
        <f aca="false">IF(Q146&lt;&gt;1,"",IF(AB146&lt;&gt;"",IF(AB146="","",INDEX(시장분석!$L:$L,AB146)),IFERROR(IF(VLOOKUP(R146,매핑!$A$4:$E$92,5,0)="","미분류",VLOOKUP(R146,매핑!$A$4:$E$92,5,0)),"미분류")))</f>
        <v>금융기관</v>
      </c>
      <c r="AH146" s="43" t="str">
        <f aca="false">IF(Q146&lt;&gt;1,"",IF(AB146&lt;&gt;"",IF(AB146="","",INDEX(시장분석!$N:$N,AB146)),IFERROR(IF(VLOOKUP(R146,매핑!$A$4:$E$92,4,0)="","미분류",VLOOKUP(R146,매핑!$A$4:$E$92,4,0)),"미분류")))</f>
        <v>아시아/기타</v>
      </c>
      <c r="AI146" s="43" t="str">
        <f aca="false">IF(Q146&lt;&gt;1,"",IFERROR(IF(VLOOKUP(R146,매핑!$A$4:$E$92,3,0)="","미분류",VLOOKUP(R146,매핑!$A$4:$E$92,3,0)),IF(AB146&lt;&gt;"",IF(AB146="","",INDEX(시장분석!$W:$W,AB146)),"미분류")))</f>
        <v>한국</v>
      </c>
      <c r="AJ146" s="43" t="str">
        <f aca="false">IF(Q146&lt;&gt;1,"",IFERROR(VLOOKUP(IF(N146&lt;&gt;"",N146,IF(P146&lt;&gt;"",P146,O146)),설정!$A$15:$D$47,2,0),""))</f>
        <v>BBB</v>
      </c>
      <c r="AK146" s="43" t="str">
        <f aca="false">IF(Q146&lt;&gt;1,"",IF(AJ146="","무등급",IFERROR(VLOOKUP(AJ146,설정!$A$15:$D$47,3,0),"무등급")))</f>
        <v>BBB</v>
      </c>
      <c r="AL146" s="89" t="n">
        <f aca="false">IF(AJ146="",99,IFERROR(VLOOKUP(AJ146,설정!$A$15:$D$47,4,0),99))</f>
        <v>9</v>
      </c>
      <c r="AM146" s="94" t="n">
        <f aca="false">IF(ISNUMBER(H146),AA146*1000000*H146/10000,0)</f>
        <v>19.38805264</v>
      </c>
      <c r="AN146" s="94" t="n">
        <f aca="false">IF(OR(Y146=1,NOT(ISNUMBER(Z146))),0,AA146*1000000*Z146/10000)</f>
        <v>19.38805264</v>
      </c>
      <c r="AO146" s="94" t="n">
        <f aca="false">IF(ISNUMBER(G146),AA146*1000000*G146/100,0)</f>
        <v>105789.066564</v>
      </c>
      <c r="AP146" s="94" t="n">
        <f aca="false">IF(ISNUMBER(M146),M146*K146,0)</f>
        <v>-38804</v>
      </c>
      <c r="AQ146" s="95" t="str">
        <f aca="false">IF(AB146="","",INDEX(시장분석!$AK:$AK,AB146))</f>
        <v/>
      </c>
      <c r="AR146" s="43" t="str">
        <f aca="false">IF(AB146="","-",IF(AB146="","",INDEX(시장분석!$AL:$AL,AB146)))</f>
        <v>-</v>
      </c>
      <c r="AS146" s="96" t="str">
        <f aca="false">IF(AB146="","",INDEX(시장분석!$AJ:$AJ,AB146))</f>
        <v/>
      </c>
      <c r="AT146" s="93" t="n">
        <f aca="false">IF(AB146="",0,IF(AB146="","",INDEX(시장분석!$AN:$AN,AB146)))</f>
        <v>0</v>
      </c>
      <c r="AU146" s="94" t="n">
        <f aca="false">IF(ISNUMBER(Z146),AT146/10000*MAX(Z146-1,0)*AA146*1000000,0)</f>
        <v>0</v>
      </c>
      <c r="AV146" s="94" t="n">
        <f aca="false">AO146+AU146</f>
        <v>105789.066564</v>
      </c>
      <c r="AW146" s="43" t="str">
        <f aca="false">IF(Q146&lt;&gt;1,"",TRIM(IF(AD146=1,"FRN ","")&amp;IF(AND(AL146&gt;=10,AL146&lt;99),"BBB0미만 ","")&amp;IF(AJ146="","등급없음 ","")&amp;IF(K146&lt;&gt;1,"비USD ","")&amp;IF(AND(AB146="",Y146=0),"시장데이터없음 ","")&amp;IF(AND(ISNUMBER(U146),U146&lt;0),"만기경과 ","")))</f>
        <v/>
      </c>
      <c r="AX146" s="90" t="n">
        <f aca="false">IF(Q146&lt;&gt;1,1,IF(스프레드쇼크!$C$4="Y",INDEX(스프레드쇼크!$B$12:$L$16,IFERROR(MATCH(AH146,스프레드쇼크!$A$12:$A$16,0),MATCH("목록외",스프레드쇼크!$A$12:$A$16,0)),IFERROR(MATCH(AG146,스프레드쇼크!$B$11:$L$11,0),MATCH("목록외",스프레드쇼크!$B$11:$L$11,0))),1))</f>
        <v>1</v>
      </c>
      <c r="AY146" s="90" t="n">
        <f aca="false">IF(스프레드쇼크!$C$5="Y",IF(ISNUMBER(AF146),MIN(스프레드쇼크!$C$7,MAX(스프레드쇼크!$C$6,AF146/스프레드쇼크!$C$8)),1),1)</f>
        <v>0.25</v>
      </c>
      <c r="AZ146" s="94" t="n">
        <f aca="false">AN146*AX146*AY146</f>
        <v>4.84701316</v>
      </c>
      <c r="BA146" s="90" t="n">
        <f aca="false">IF(ISNUMBER(G146),AA146*G146,0)</f>
        <v>10.5789066564</v>
      </c>
      <c r="BB146" s="90" t="n">
        <f aca="false">IF(ISNUMBER(G146),AA146,0)</f>
        <v>2.002898</v>
      </c>
      <c r="BC146" s="90" t="n">
        <f aca="false">IF(AND(Y146=0,ISNUMBER(AF146)),AA146*AF146,0)</f>
        <v>-13.93015559</v>
      </c>
      <c r="BD146" s="90" t="n">
        <f aca="false">IF(AND(Y146=0,ISNUMBER(AF146)),AA146,0)</f>
        <v>2.002898</v>
      </c>
      <c r="BE146" s="90" t="n">
        <f aca="false">IF(ISNUMBER(H146),AA146*H146,0)</f>
        <v>0.1938805264</v>
      </c>
      <c r="BF146" s="90" t="n">
        <f aca="false">IF(ISNUMBER(H146),AA146,0)</f>
        <v>2.002898</v>
      </c>
      <c r="BG146" s="90" t="n">
        <f aca="false">IF(AND(Y146=0,ISNUMBER(AF146),ISNUMBER(Z146)),AA146*Z146,0)</f>
        <v>0.1938805264</v>
      </c>
      <c r="BH146" s="90" t="n">
        <f aca="false">IF(AND(Y146=0,ISNUMBER(AF146),ISNUMBER(Z146)),AA146*AT146*MAX(Z146-1,0),0)</f>
        <v>0</v>
      </c>
      <c r="BI146" s="90" t="n">
        <f aca="false">IF(Y146=0,AA146,0)</f>
        <v>2.002898</v>
      </c>
    </row>
    <row r="147" customFormat="false" ht="15" hidden="false" customHeight="false" outlineLevel="0" collapsed="false">
      <c r="A147" s="83" t="str">
        <f aca="false">IFERROR(IF(INDEX(원자료_잔고!$A$1:$EZ$1500,설정!$L$5+ROW()-1,설정!$L$8)&amp;""="0","",INDEX(원자료_잔고!$A$1:$EZ$1500,설정!$L$5+ROW()-1,설정!$L$8)&amp;""),"")</f>
        <v>DFHOLD 6.875 11/06/26</v>
      </c>
      <c r="B147" s="83" t="str">
        <f aca="false">IFERROR(IF(INDEX(원자료_잔고!$A$1:$EZ$1500,설정!$L$5+ROW()-1,설정!$L$7)&amp;""="0","",INDEX(원자료_잔고!$A$1:$EZ$1500,설정!$L$5+ROW()-1,설정!$L$7)&amp;""),"")</f>
        <v>XS2703610050</v>
      </c>
      <c r="C147" s="83" t="str">
        <f aca="false">IFERROR(IF(INDEX(원자료_잔고!$A$1:$EZ$1500,설정!$L$5+ROW()-1,설정!$L$9)&amp;""="0","",INDEX(원자료_잔고!$A$1:$EZ$1500,설정!$L$5+ROW()-1,설정!$L$9)&amp;""),"")</f>
        <v>34507</v>
      </c>
      <c r="D14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7" s="84" t="n">
        <f aca="false">IFERROR(IF(ISNUMBER(INDEX(원자료_잔고!$A$1:$EZ$1500,설정!$L$5+ROW()-1,설정!$L$11)),INDEX(원자료_잔고!$A$1:$EZ$1500,설정!$L$5+ROW()-1,설정!$L$11),""),"")</f>
        <v>23500000</v>
      </c>
      <c r="F147" s="85" t="n">
        <f aca="false">IFERROR(IF(ISNUMBER(INDEX(원자료_잔고!$A$1:$EZ$1500,설정!$L$5+ROW()-1,설정!$L$12)),INDEX(원자료_잔고!$A$1:$EZ$1500,설정!$L$5+ROW()-1,설정!$L$12),""),"")</f>
        <v>100.1449</v>
      </c>
      <c r="G147" s="85" t="n">
        <f aca="false">IFERROR(IF(ISNUMBER(INDEX(원자료_잔고!$A$1:$EZ$1500,설정!$L$5+ROW()-1,설정!$L$13)),INDEX(원자료_잔고!$A$1:$EZ$1500,설정!$L$5+ROW()-1,설정!$L$13),""),"")</f>
        <v>5.2818</v>
      </c>
      <c r="H147" s="85" t="n">
        <f aca="false">IFERROR(IF(ISNUMBER(INDEX(원자료_잔고!$A$1:$EZ$1500,설정!$L$5+ROW()-1,설정!$L$14)),INDEX(원자료_잔고!$A$1:$EZ$1500,설정!$L$5+ROW()-1,설정!$L$14),""),"")</f>
        <v>0.0968</v>
      </c>
      <c r="I147" s="86" t="n">
        <f aca="false">IFERROR(IF(ISNUMBER(INDEX(원자료_잔고!$A$1:$EZ$1500,설정!$L$5+ROW()-1,설정!$L$15)),INDEX(원자료_잔고!$A$1:$EZ$1500,설정!$L$5+ROW()-1,설정!$L$15),""),"")</f>
        <v>46332</v>
      </c>
      <c r="J147" s="85" t="n">
        <f aca="false">IFERROR(IF(ISNUMBER(INDEX(원자료_잔고!$A$1:$EZ$1500,설정!$L$5+ROW()-1,설정!$L$16)),INDEX(원자료_잔고!$A$1:$EZ$1500,설정!$L$5+ROW()-1,설정!$L$16),""),"")</f>
        <v>6.875</v>
      </c>
      <c r="K147" s="87" t="n">
        <f aca="false">IFERROR(IF(ISNUMBER(INDEX(원자료_잔고!$A$1:$EZ$1500,설정!$L$5+ROW()-1,설정!$L$17)),INDEX(원자료_잔고!$A$1:$EZ$1500,설정!$L$5+ROW()-1,설정!$L$17),""),"")</f>
        <v>1</v>
      </c>
      <c r="L147" s="84" t="n">
        <f aca="false">IFERROR(IF(ISNUMBER(INDEX(원자료_잔고!$A$1:$EZ$1500,설정!$L$5+ROW()-1,설정!$L$18)),INDEX(원자료_잔고!$A$1:$EZ$1500,설정!$L$5+ROW()-1,설정!$L$18),""),"")</f>
        <v>23534051.5</v>
      </c>
      <c r="M147" s="88" t="n">
        <f aca="false">IFERROR(IF(ISNUMBER(INDEX(원자료_잔고!$A$1:$EZ$1500,설정!$L$5+ROW()-1,설정!$L$19)),INDEX(원자료_잔고!$A$1:$EZ$1500,설정!$L$5+ROW()-1,설정!$L$19),""),"")</f>
        <v>-455947</v>
      </c>
      <c r="N147" s="83" t="str">
        <f aca="false">IFERROR(IF(INDEX(원자료_잔고!$A$1:$EZ$1500,설정!$L$5+ROW()-1,설정!$L$21)&amp;""="0","",INDEX(원자료_잔고!$A$1:$EZ$1500,설정!$L$5+ROW()-1,설정!$L$21)&amp;""),"")</f>
        <v>BBB</v>
      </c>
      <c r="O147" s="83" t="str">
        <f aca="false">IFERROR(IF(INDEX(원자료_잔고!$A$1:$EZ$1500,설정!$L$5+ROW()-1,설정!$L$22)&amp;""="0","",INDEX(원자료_잔고!$A$1:$EZ$1500,설정!$L$5+ROW()-1,설정!$L$22)&amp;""),"")</f>
        <v/>
      </c>
      <c r="P147" s="83" t="str">
        <f aca="false">IFERROR(IF(INDEX(원자료_잔고!$A$1:$EZ$1500,설정!$L$5+ROW()-1,설정!$L$23)&amp;""="0","",INDEX(원자료_잔고!$A$1:$EZ$1500,설정!$L$5+ROW()-1,설정!$L$23)&amp;""),"")</f>
        <v>N/A</v>
      </c>
      <c r="Q147" s="89" t="n">
        <f aca="false">IF(AND($A147&lt;&gt;"",ISNUMBER(E147)),IF(E147&gt;0,1,0),0)</f>
        <v>1</v>
      </c>
      <c r="R147" s="43" t="str">
        <f aca="false">IF(Q147=1,UPPER(LEFT($A147,FIND(" ",$A147&amp;" ")-1)),"")</f>
        <v>DFHOLD</v>
      </c>
      <c r="S147" s="89" t="n">
        <f aca="false">IF(Q147=1,IF(OR(ISNUMBER(SEARCH("Float",$A147)),ISNUMBER(SEARCH("FRN",$A147))),1,0),0)</f>
        <v>0</v>
      </c>
      <c r="T147" s="43" t="str">
        <f aca="false">IF(AND(Q147=1,ISNUMBER(I147)),TEXT(I147,"yyyymmdd")&amp;"|"&amp;IF(S147=1,"F",TEXT(J147,"0.000")),"")</f>
        <v>20261106|6.875</v>
      </c>
      <c r="U147" s="90" t="n">
        <f aca="false">IF(AND(Q147=1,ISNUMBER(I147)),(I147-설정!$C$4)/365.25,"")</f>
        <v>0.0985626283367557</v>
      </c>
      <c r="V147" s="43" t="str">
        <f aca="false">IF(Q147&lt;&gt;1,"",IF(ISNUMBER(U147),IF(U147&lt;=1,"1년 이하",IF(U147&lt;=2,"1-2년",IF(U147&lt;=3,"2-3년",IF(U147&lt;=4,"3-4년",IF(U147&lt;=5,"4-5년",IF(U147&lt;=7,"5-7년",IF(U147&lt;=10,"7-10년",IF(U147&lt;=20,"10-20년","20년 이상")))))))),"미분류"))</f>
        <v>1년 이하</v>
      </c>
      <c r="W147" s="43" t="str">
        <f aca="false">IF(Q147&lt;&gt;1,"",IF(AB147&lt;&gt;"",INDEX(시장분석!$C:$C,AB147),IF(K147=1,"USD","비USD")))</f>
        <v>USD</v>
      </c>
      <c r="X147" s="91" t="n">
        <f aca="false">IF(Q147=1,E147*K147/1000000,0)</f>
        <v>23.5</v>
      </c>
      <c r="Y147" s="89" t="n">
        <f aca="false">IF(R147="T",1,0)</f>
        <v>0</v>
      </c>
      <c r="Z147" s="92" t="n">
        <f aca="false">IF(Q147&lt;&gt;1,"",IF(AD147=1,IF(ISNUMBER(U147),MAX(U147,0),H147),H147))</f>
        <v>0.0968</v>
      </c>
      <c r="AA147" s="91" t="n">
        <f aca="false">IF(Q147=1,IF(ISNUMBER(L147),L147,0)*K147/1000000,0)</f>
        <v>23.5340515</v>
      </c>
      <c r="AB147" s="89" t="n">
        <f aca="false">IF(Q147&lt;&gt;1,"",IFERROR(MATCH(VLOOKUP(B147,매핑!$H$4:$I$15,2,0),시장분석!$A$2:$A$601,0)+1,IFERROR(MATCH(R147&amp;"|"&amp;T147,시장분석!$V$2:$V$601,0)+1,IF(COUNTIF(시장분석!$U$2:$U$601,T147)=1,MATCH(T147,시장분석!$U$2:$U$601,0)+1,""))))</f>
        <v>224</v>
      </c>
      <c r="AC147" s="89" t="n">
        <f aca="false">IF(Q147&lt;&gt;1,0,IF(OR(설정!$C$5="전체",AND(설정!$C$5="선택펀드",IFERROR(COUNTIFS(설정!$F$16:$F$36,C147,설정!$G$16:$G$36,"Y")+COUNTIFS(설정!$F$16:$F$36,VALUE(C147),설정!$G$16:$G$36,"Y"),0)&gt;0),C147&amp;""=설정!$C$5&amp;""),1,0))</f>
        <v>1</v>
      </c>
      <c r="AD147" s="89" t="n">
        <f aca="false">IF(Q147&lt;&gt;1,0,IF(OR(S147=1,IF(AB147="",FALSE(),INDEX(시장분석!$R:$R,AB147)=1)),1,0))</f>
        <v>0</v>
      </c>
      <c r="AE147" s="43" t="str">
        <f aca="false">IF(AB147="","",INDEX(시장분석!$A:$A,AB147))</f>
        <v>DFHOLD 6 7/8 11/06/26</v>
      </c>
      <c r="AF147" s="93" t="n">
        <f aca="false">IF(AB147="","",IF(ISNUMBER(IF(AB147="","",INDEX(시장분석!$E:$E,AB147))),IF(AB147="","",INDEX(시장분석!$E:$E,AB147)),""))</f>
        <v>-6.955</v>
      </c>
      <c r="AG147" s="43" t="str">
        <f aca="false">IF(Q147&lt;&gt;1,"",IF(AB147&lt;&gt;"",IF(AB147="","",INDEX(시장분석!$L:$L,AB147)),IFERROR(IF(VLOOKUP(R147,매핑!$A$4:$E$92,5,0)="","미분류",VLOOKUP(R147,매핑!$A$4:$E$92,5,0)),"미분류")))</f>
        <v>금융기관</v>
      </c>
      <c r="AH147" s="43" t="str">
        <f aca="false">IF(Q147&lt;&gt;1,"",IF(AB147&lt;&gt;"",IF(AB147="","",INDEX(시장분석!$N:$N,AB147)),IFERROR(IF(VLOOKUP(R147,매핑!$A$4:$E$92,4,0)="","미분류",VLOOKUP(R147,매핑!$A$4:$E$92,4,0)),"미분류")))</f>
        <v>아시아/기타</v>
      </c>
      <c r="AI147" s="43" t="str">
        <f aca="false">IF(Q147&lt;&gt;1,"",IFERROR(IF(VLOOKUP(R147,매핑!$A$4:$E$92,3,0)="","미분류",VLOOKUP(R147,매핑!$A$4:$E$92,3,0)),IF(AB147&lt;&gt;"",IF(AB147="","",INDEX(시장분석!$W:$W,AB147)),"미분류")))</f>
        <v>한국</v>
      </c>
      <c r="AJ147" s="43" t="str">
        <f aca="false">IF(Q147&lt;&gt;1,"",IFERROR(VLOOKUP(IF(N147&lt;&gt;"",N147,IF(P147&lt;&gt;"",P147,O147)),설정!$A$15:$D$47,2,0),""))</f>
        <v>BBB</v>
      </c>
      <c r="AK147" s="43" t="str">
        <f aca="false">IF(Q147&lt;&gt;1,"",IF(AJ147="","무등급",IFERROR(VLOOKUP(AJ147,설정!$A$15:$D$47,3,0),"무등급")))</f>
        <v>BBB</v>
      </c>
      <c r="AL147" s="89" t="n">
        <f aca="false">IF(AJ147="",99,IFERROR(VLOOKUP(AJ147,설정!$A$15:$D$47,4,0),99))</f>
        <v>9</v>
      </c>
      <c r="AM147" s="94" t="n">
        <f aca="false">IF(ISNUMBER(H147),AA147*1000000*H147/10000,0)</f>
        <v>227.80961852</v>
      </c>
      <c r="AN147" s="94" t="n">
        <f aca="false">IF(OR(Y147=1,NOT(ISNUMBER(Z147))),0,AA147*1000000*Z147/10000)</f>
        <v>227.80961852</v>
      </c>
      <c r="AO147" s="94" t="n">
        <f aca="false">IF(ISNUMBER(G147),AA147*1000000*G147/100,0)</f>
        <v>1243021.532127</v>
      </c>
      <c r="AP147" s="94" t="n">
        <f aca="false">IF(ISNUMBER(M147),M147*K147,0)</f>
        <v>-455947</v>
      </c>
      <c r="AQ147" s="95" t="str">
        <f aca="false">IF(AB147="","",INDEX(시장분석!$AK:$AK,AB147))</f>
        <v/>
      </c>
      <c r="AR147" s="43" t="str">
        <f aca="false">IF(AB147="","-",IF(AB147="","",INDEX(시장분석!$AL:$AL,AB147)))</f>
        <v>-</v>
      </c>
      <c r="AS147" s="96" t="str">
        <f aca="false">IF(AB147="","",INDEX(시장분석!$AJ:$AJ,AB147))</f>
        <v/>
      </c>
      <c r="AT147" s="93" t="n">
        <f aca="false">IF(AB147="",0,IF(AB147="","",INDEX(시장분석!$AN:$AN,AB147)))</f>
        <v>0</v>
      </c>
      <c r="AU147" s="94" t="n">
        <f aca="false">IF(ISNUMBER(Z147),AT147/10000*MAX(Z147-1,0)*AA147*1000000,0)</f>
        <v>0</v>
      </c>
      <c r="AV147" s="94" t="n">
        <f aca="false">AO147+AU147</f>
        <v>1243021.532127</v>
      </c>
      <c r="AW147" s="43" t="str">
        <f aca="false">IF(Q147&lt;&gt;1,"",TRIM(IF(AD147=1,"FRN ","")&amp;IF(AND(AL147&gt;=10,AL147&lt;99),"BBB0미만 ","")&amp;IF(AJ147="","등급없음 ","")&amp;IF(K147&lt;&gt;1,"비USD ","")&amp;IF(AND(AB147="",Y147=0),"시장데이터없음 ","")&amp;IF(AND(ISNUMBER(U147),U147&lt;0),"만기경과 ","")))</f>
        <v/>
      </c>
      <c r="AX147" s="90" t="n">
        <f aca="false">IF(Q147&lt;&gt;1,1,IF(스프레드쇼크!$C$4="Y",INDEX(스프레드쇼크!$B$12:$L$16,IFERROR(MATCH(AH147,스프레드쇼크!$A$12:$A$16,0),MATCH("목록외",스프레드쇼크!$A$12:$A$16,0)),IFERROR(MATCH(AG147,스프레드쇼크!$B$11:$L$11,0),MATCH("목록외",스프레드쇼크!$B$11:$L$11,0))),1))</f>
        <v>1</v>
      </c>
      <c r="AY147" s="90" t="n">
        <f aca="false">IF(스프레드쇼크!$C$5="Y",IF(ISNUMBER(AF147),MIN(스프레드쇼크!$C$7,MAX(스프레드쇼크!$C$6,AF147/스프레드쇼크!$C$8)),1),1)</f>
        <v>0.25</v>
      </c>
      <c r="AZ147" s="94" t="n">
        <f aca="false">AN147*AX147*AY147</f>
        <v>56.95240463</v>
      </c>
      <c r="BA147" s="90" t="n">
        <f aca="false">IF(ISNUMBER(G147),AA147*G147,0)</f>
        <v>124.3021532127</v>
      </c>
      <c r="BB147" s="90" t="n">
        <f aca="false">IF(ISNUMBER(G147),AA147,0)</f>
        <v>23.5340515</v>
      </c>
      <c r="BC147" s="90" t="n">
        <f aca="false">IF(AND(Y147=0,ISNUMBER(AF147)),AA147*AF147,0)</f>
        <v>-163.6793281825</v>
      </c>
      <c r="BD147" s="90" t="n">
        <f aca="false">IF(AND(Y147=0,ISNUMBER(AF147)),AA147,0)</f>
        <v>23.5340515</v>
      </c>
      <c r="BE147" s="90" t="n">
        <f aca="false">IF(ISNUMBER(H147),AA147*H147,0)</f>
        <v>2.2780961852</v>
      </c>
      <c r="BF147" s="90" t="n">
        <f aca="false">IF(ISNUMBER(H147),AA147,0)</f>
        <v>23.5340515</v>
      </c>
      <c r="BG147" s="90" t="n">
        <f aca="false">IF(AND(Y147=0,ISNUMBER(AF147),ISNUMBER(Z147)),AA147*Z147,0)</f>
        <v>2.2780961852</v>
      </c>
      <c r="BH147" s="90" t="n">
        <f aca="false">IF(AND(Y147=0,ISNUMBER(AF147),ISNUMBER(Z147)),AA147*AT147*MAX(Z147-1,0),0)</f>
        <v>0</v>
      </c>
      <c r="BI147" s="90" t="n">
        <f aca="false">IF(Y147=0,AA147,0)</f>
        <v>23.5340515</v>
      </c>
    </row>
    <row r="148" customFormat="false" ht="15" hidden="false" customHeight="false" outlineLevel="0" collapsed="false">
      <c r="A148" s="83" t="str">
        <f aca="false">IFERROR(IF(INDEX(원자료_잔고!$A$1:$EZ$1500,설정!$L$5+ROW()-1,설정!$L$8)&amp;""="0","",INDEX(원자료_잔고!$A$1:$EZ$1500,설정!$L$5+ROW()-1,설정!$L$8)&amp;""),"")</f>
        <v>DFHOLD 6.875 11/06/26</v>
      </c>
      <c r="B148" s="83" t="str">
        <f aca="false">IFERROR(IF(INDEX(원자료_잔고!$A$1:$EZ$1500,설정!$L$5+ROW()-1,설정!$L$7)&amp;""="0","",INDEX(원자료_잔고!$A$1:$EZ$1500,설정!$L$5+ROW()-1,설정!$L$7)&amp;""),"")</f>
        <v>XS2703610050</v>
      </c>
      <c r="C148" s="83" t="str">
        <f aca="false">IFERROR(IF(INDEX(원자료_잔고!$A$1:$EZ$1500,설정!$L$5+ROW()-1,설정!$L$9)&amp;""="0","",INDEX(원자료_잔고!$A$1:$EZ$1500,설정!$L$5+ROW()-1,설정!$L$9)&amp;""),"")</f>
        <v>34507</v>
      </c>
      <c r="D14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8" s="84" t="n">
        <f aca="false">IFERROR(IF(ISNUMBER(INDEX(원자료_잔고!$A$1:$EZ$1500,설정!$L$5+ROW()-1,설정!$L$11)),INDEX(원자료_잔고!$A$1:$EZ$1500,설정!$L$5+ROW()-1,설정!$L$11),""),"")</f>
        <v>3000000</v>
      </c>
      <c r="F148" s="85" t="n">
        <f aca="false">IFERROR(IF(ISNUMBER(INDEX(원자료_잔고!$A$1:$EZ$1500,설정!$L$5+ROW()-1,설정!$L$12)),INDEX(원자료_잔고!$A$1:$EZ$1500,설정!$L$5+ROW()-1,설정!$L$12),""),"")</f>
        <v>100.1449</v>
      </c>
      <c r="G148" s="85" t="n">
        <f aca="false">IFERROR(IF(ISNUMBER(INDEX(원자료_잔고!$A$1:$EZ$1500,설정!$L$5+ROW()-1,설정!$L$13)),INDEX(원자료_잔고!$A$1:$EZ$1500,설정!$L$5+ROW()-1,설정!$L$13),""),"")</f>
        <v>5.2818</v>
      </c>
      <c r="H148" s="85" t="n">
        <f aca="false">IFERROR(IF(ISNUMBER(INDEX(원자료_잔고!$A$1:$EZ$1500,설정!$L$5+ROW()-1,설정!$L$14)),INDEX(원자료_잔고!$A$1:$EZ$1500,설정!$L$5+ROW()-1,설정!$L$14),""),"")</f>
        <v>0.0968</v>
      </c>
      <c r="I148" s="86" t="n">
        <f aca="false">IFERROR(IF(ISNUMBER(INDEX(원자료_잔고!$A$1:$EZ$1500,설정!$L$5+ROW()-1,설정!$L$15)),INDEX(원자료_잔고!$A$1:$EZ$1500,설정!$L$5+ROW()-1,설정!$L$15),""),"")</f>
        <v>46332</v>
      </c>
      <c r="J148" s="85" t="n">
        <f aca="false">IFERROR(IF(ISNUMBER(INDEX(원자료_잔고!$A$1:$EZ$1500,설정!$L$5+ROW()-1,설정!$L$16)),INDEX(원자료_잔고!$A$1:$EZ$1500,설정!$L$5+ROW()-1,설정!$L$16),""),"")</f>
        <v>6.875</v>
      </c>
      <c r="K148" s="87" t="n">
        <f aca="false">IFERROR(IF(ISNUMBER(INDEX(원자료_잔고!$A$1:$EZ$1500,설정!$L$5+ROW()-1,설정!$L$17)),INDEX(원자료_잔고!$A$1:$EZ$1500,설정!$L$5+ROW()-1,설정!$L$17),""),"")</f>
        <v>1</v>
      </c>
      <c r="L148" s="84" t="n">
        <f aca="false">IFERROR(IF(ISNUMBER(INDEX(원자료_잔고!$A$1:$EZ$1500,설정!$L$5+ROW()-1,설정!$L$18)),INDEX(원자료_잔고!$A$1:$EZ$1500,설정!$L$5+ROW()-1,설정!$L$18),""),"")</f>
        <v>3004347</v>
      </c>
      <c r="M148" s="88" t="n">
        <f aca="false">IFERROR(IF(ISNUMBER(INDEX(원자료_잔고!$A$1:$EZ$1500,설정!$L$5+ROW()-1,설정!$L$19)),INDEX(원자료_잔고!$A$1:$EZ$1500,설정!$L$5+ROW()-1,설정!$L$19),""),"")</f>
        <v>-22653</v>
      </c>
      <c r="N148" s="83" t="str">
        <f aca="false">IFERROR(IF(INDEX(원자료_잔고!$A$1:$EZ$1500,설정!$L$5+ROW()-1,설정!$L$21)&amp;""="0","",INDEX(원자료_잔고!$A$1:$EZ$1500,설정!$L$5+ROW()-1,설정!$L$21)&amp;""),"")</f>
        <v>BBB</v>
      </c>
      <c r="O148" s="83" t="str">
        <f aca="false">IFERROR(IF(INDEX(원자료_잔고!$A$1:$EZ$1500,설정!$L$5+ROW()-1,설정!$L$22)&amp;""="0","",INDEX(원자료_잔고!$A$1:$EZ$1500,설정!$L$5+ROW()-1,설정!$L$22)&amp;""),"")</f>
        <v/>
      </c>
      <c r="P148" s="83" t="str">
        <f aca="false">IFERROR(IF(INDEX(원자료_잔고!$A$1:$EZ$1500,설정!$L$5+ROW()-1,설정!$L$23)&amp;""="0","",INDEX(원자료_잔고!$A$1:$EZ$1500,설정!$L$5+ROW()-1,설정!$L$23)&amp;""),"")</f>
        <v>N/A</v>
      </c>
      <c r="Q148" s="89" t="n">
        <f aca="false">IF(AND($A148&lt;&gt;"",ISNUMBER(E148)),IF(E148&gt;0,1,0),0)</f>
        <v>1</v>
      </c>
      <c r="R148" s="43" t="str">
        <f aca="false">IF(Q148=1,UPPER(LEFT($A148,FIND(" ",$A148&amp;" ")-1)),"")</f>
        <v>DFHOLD</v>
      </c>
      <c r="S148" s="89" t="n">
        <f aca="false">IF(Q148=1,IF(OR(ISNUMBER(SEARCH("Float",$A148)),ISNUMBER(SEARCH("FRN",$A148))),1,0),0)</f>
        <v>0</v>
      </c>
      <c r="T148" s="43" t="str">
        <f aca="false">IF(AND(Q148=1,ISNUMBER(I148)),TEXT(I148,"yyyymmdd")&amp;"|"&amp;IF(S148=1,"F",TEXT(J148,"0.000")),"")</f>
        <v>20261106|6.875</v>
      </c>
      <c r="U148" s="90" t="n">
        <f aca="false">IF(AND(Q148=1,ISNUMBER(I148)),(I148-설정!$C$4)/365.25,"")</f>
        <v>0.0985626283367557</v>
      </c>
      <c r="V148" s="43" t="str">
        <f aca="false">IF(Q148&lt;&gt;1,"",IF(ISNUMBER(U148),IF(U148&lt;=1,"1년 이하",IF(U148&lt;=2,"1-2년",IF(U148&lt;=3,"2-3년",IF(U148&lt;=4,"3-4년",IF(U148&lt;=5,"4-5년",IF(U148&lt;=7,"5-7년",IF(U148&lt;=10,"7-10년",IF(U148&lt;=20,"10-20년","20년 이상")))))))),"미분류"))</f>
        <v>1년 이하</v>
      </c>
      <c r="W148" s="43" t="str">
        <f aca="false">IF(Q148&lt;&gt;1,"",IF(AB148&lt;&gt;"",INDEX(시장분석!$C:$C,AB148),IF(K148=1,"USD","비USD")))</f>
        <v>USD</v>
      </c>
      <c r="X148" s="91" t="n">
        <f aca="false">IF(Q148=1,E148*K148/1000000,0)</f>
        <v>3</v>
      </c>
      <c r="Y148" s="89" t="n">
        <f aca="false">IF(R148="T",1,0)</f>
        <v>0</v>
      </c>
      <c r="Z148" s="92" t="n">
        <f aca="false">IF(Q148&lt;&gt;1,"",IF(AD148=1,IF(ISNUMBER(U148),MAX(U148,0),H148),H148))</f>
        <v>0.0968</v>
      </c>
      <c r="AA148" s="91" t="n">
        <f aca="false">IF(Q148=1,IF(ISNUMBER(L148),L148,0)*K148/1000000,0)</f>
        <v>3.004347</v>
      </c>
      <c r="AB148" s="89" t="n">
        <f aca="false">IF(Q148&lt;&gt;1,"",IFERROR(MATCH(VLOOKUP(B148,매핑!$H$4:$I$15,2,0),시장분석!$A$2:$A$601,0)+1,IFERROR(MATCH(R148&amp;"|"&amp;T148,시장분석!$V$2:$V$601,0)+1,IF(COUNTIF(시장분석!$U$2:$U$601,T148)=1,MATCH(T148,시장분석!$U$2:$U$601,0)+1,""))))</f>
        <v>224</v>
      </c>
      <c r="AC148" s="89" t="n">
        <f aca="false">IF(Q148&lt;&gt;1,0,IF(OR(설정!$C$5="전체",AND(설정!$C$5="선택펀드",IFERROR(COUNTIFS(설정!$F$16:$F$36,C148,설정!$G$16:$G$36,"Y")+COUNTIFS(설정!$F$16:$F$36,VALUE(C148),설정!$G$16:$G$36,"Y"),0)&gt;0),C148&amp;""=설정!$C$5&amp;""),1,0))</f>
        <v>1</v>
      </c>
      <c r="AD148" s="89" t="n">
        <f aca="false">IF(Q148&lt;&gt;1,0,IF(OR(S148=1,IF(AB148="",FALSE(),INDEX(시장분석!$R:$R,AB148)=1)),1,0))</f>
        <v>0</v>
      </c>
      <c r="AE148" s="43" t="str">
        <f aca="false">IF(AB148="","",INDEX(시장분석!$A:$A,AB148))</f>
        <v>DFHOLD 6 7/8 11/06/26</v>
      </c>
      <c r="AF148" s="93" t="n">
        <f aca="false">IF(AB148="","",IF(ISNUMBER(IF(AB148="","",INDEX(시장분석!$E:$E,AB148))),IF(AB148="","",INDEX(시장분석!$E:$E,AB148)),""))</f>
        <v>-6.955</v>
      </c>
      <c r="AG148" s="43" t="str">
        <f aca="false">IF(Q148&lt;&gt;1,"",IF(AB148&lt;&gt;"",IF(AB148="","",INDEX(시장분석!$L:$L,AB148)),IFERROR(IF(VLOOKUP(R148,매핑!$A$4:$E$92,5,0)="","미분류",VLOOKUP(R148,매핑!$A$4:$E$92,5,0)),"미분류")))</f>
        <v>금융기관</v>
      </c>
      <c r="AH148" s="43" t="str">
        <f aca="false">IF(Q148&lt;&gt;1,"",IF(AB148&lt;&gt;"",IF(AB148="","",INDEX(시장분석!$N:$N,AB148)),IFERROR(IF(VLOOKUP(R148,매핑!$A$4:$E$92,4,0)="","미분류",VLOOKUP(R148,매핑!$A$4:$E$92,4,0)),"미분류")))</f>
        <v>아시아/기타</v>
      </c>
      <c r="AI148" s="43" t="str">
        <f aca="false">IF(Q148&lt;&gt;1,"",IFERROR(IF(VLOOKUP(R148,매핑!$A$4:$E$92,3,0)="","미분류",VLOOKUP(R148,매핑!$A$4:$E$92,3,0)),IF(AB148&lt;&gt;"",IF(AB148="","",INDEX(시장분석!$W:$W,AB148)),"미분류")))</f>
        <v>한국</v>
      </c>
      <c r="AJ148" s="43" t="str">
        <f aca="false">IF(Q148&lt;&gt;1,"",IFERROR(VLOOKUP(IF(N148&lt;&gt;"",N148,IF(P148&lt;&gt;"",P148,O148)),설정!$A$15:$D$47,2,0),""))</f>
        <v>BBB</v>
      </c>
      <c r="AK148" s="43" t="str">
        <f aca="false">IF(Q148&lt;&gt;1,"",IF(AJ148="","무등급",IFERROR(VLOOKUP(AJ148,설정!$A$15:$D$47,3,0),"무등급")))</f>
        <v>BBB</v>
      </c>
      <c r="AL148" s="89" t="n">
        <f aca="false">IF(AJ148="",99,IFERROR(VLOOKUP(AJ148,설정!$A$15:$D$47,4,0),99))</f>
        <v>9</v>
      </c>
      <c r="AM148" s="94" t="n">
        <f aca="false">IF(ISNUMBER(H148),AA148*1000000*H148/10000,0)</f>
        <v>29.08207896</v>
      </c>
      <c r="AN148" s="94" t="n">
        <f aca="false">IF(OR(Y148=1,NOT(ISNUMBER(Z148))),0,AA148*1000000*Z148/10000)</f>
        <v>29.08207896</v>
      </c>
      <c r="AO148" s="94" t="n">
        <f aca="false">IF(ISNUMBER(G148),AA148*1000000*G148/100,0)</f>
        <v>158683.599846</v>
      </c>
      <c r="AP148" s="94" t="n">
        <f aca="false">IF(ISNUMBER(M148),M148*K148,0)</f>
        <v>-22653</v>
      </c>
      <c r="AQ148" s="95" t="str">
        <f aca="false">IF(AB148="","",INDEX(시장분석!$AK:$AK,AB148))</f>
        <v/>
      </c>
      <c r="AR148" s="43" t="str">
        <f aca="false">IF(AB148="","-",IF(AB148="","",INDEX(시장분석!$AL:$AL,AB148)))</f>
        <v>-</v>
      </c>
      <c r="AS148" s="96" t="str">
        <f aca="false">IF(AB148="","",INDEX(시장분석!$AJ:$AJ,AB148))</f>
        <v/>
      </c>
      <c r="AT148" s="93" t="n">
        <f aca="false">IF(AB148="",0,IF(AB148="","",INDEX(시장분석!$AN:$AN,AB148)))</f>
        <v>0</v>
      </c>
      <c r="AU148" s="94" t="n">
        <f aca="false">IF(ISNUMBER(Z148),AT148/10000*MAX(Z148-1,0)*AA148*1000000,0)</f>
        <v>0</v>
      </c>
      <c r="AV148" s="94" t="n">
        <f aca="false">AO148+AU148</f>
        <v>158683.599846</v>
      </c>
      <c r="AW148" s="43" t="str">
        <f aca="false">IF(Q148&lt;&gt;1,"",TRIM(IF(AD148=1,"FRN ","")&amp;IF(AND(AL148&gt;=10,AL148&lt;99),"BBB0미만 ","")&amp;IF(AJ148="","등급없음 ","")&amp;IF(K148&lt;&gt;1,"비USD ","")&amp;IF(AND(AB148="",Y148=0),"시장데이터없음 ","")&amp;IF(AND(ISNUMBER(U148),U148&lt;0),"만기경과 ","")))</f>
        <v/>
      </c>
      <c r="AX148" s="90" t="n">
        <f aca="false">IF(Q148&lt;&gt;1,1,IF(스프레드쇼크!$C$4="Y",INDEX(스프레드쇼크!$B$12:$L$16,IFERROR(MATCH(AH148,스프레드쇼크!$A$12:$A$16,0),MATCH("목록외",스프레드쇼크!$A$12:$A$16,0)),IFERROR(MATCH(AG148,스프레드쇼크!$B$11:$L$11,0),MATCH("목록외",스프레드쇼크!$B$11:$L$11,0))),1))</f>
        <v>1</v>
      </c>
      <c r="AY148" s="90" t="n">
        <f aca="false">IF(스프레드쇼크!$C$5="Y",IF(ISNUMBER(AF148),MIN(스프레드쇼크!$C$7,MAX(스프레드쇼크!$C$6,AF148/스프레드쇼크!$C$8)),1),1)</f>
        <v>0.25</v>
      </c>
      <c r="AZ148" s="94" t="n">
        <f aca="false">AN148*AX148*AY148</f>
        <v>7.27051974</v>
      </c>
      <c r="BA148" s="90" t="n">
        <f aca="false">IF(ISNUMBER(G148),AA148*G148,0)</f>
        <v>15.8683599846</v>
      </c>
      <c r="BB148" s="90" t="n">
        <f aca="false">IF(ISNUMBER(G148),AA148,0)</f>
        <v>3.004347</v>
      </c>
      <c r="BC148" s="90" t="n">
        <f aca="false">IF(AND(Y148=0,ISNUMBER(AF148)),AA148*AF148,0)</f>
        <v>-20.895233385</v>
      </c>
      <c r="BD148" s="90" t="n">
        <f aca="false">IF(AND(Y148=0,ISNUMBER(AF148)),AA148,0)</f>
        <v>3.004347</v>
      </c>
      <c r="BE148" s="90" t="n">
        <f aca="false">IF(ISNUMBER(H148),AA148*H148,0)</f>
        <v>0.2908207896</v>
      </c>
      <c r="BF148" s="90" t="n">
        <f aca="false">IF(ISNUMBER(H148),AA148,0)</f>
        <v>3.004347</v>
      </c>
      <c r="BG148" s="90" t="n">
        <f aca="false">IF(AND(Y148=0,ISNUMBER(AF148),ISNUMBER(Z148)),AA148*Z148,0)</f>
        <v>0.2908207896</v>
      </c>
      <c r="BH148" s="90" t="n">
        <f aca="false">IF(AND(Y148=0,ISNUMBER(AF148),ISNUMBER(Z148)),AA148*AT148*MAX(Z148-1,0),0)</f>
        <v>0</v>
      </c>
      <c r="BI148" s="90" t="n">
        <f aca="false">IF(Y148=0,AA148,0)</f>
        <v>3.004347</v>
      </c>
    </row>
    <row r="149" customFormat="false" ht="15" hidden="false" customHeight="false" outlineLevel="0" collapsed="false">
      <c r="A149" s="83" t="str">
        <f aca="false">IFERROR(IF(INDEX(원자료_잔고!$A$1:$EZ$1500,설정!$L$5+ROW()-1,설정!$L$8)&amp;""="0","",INDEX(원자료_잔고!$A$1:$EZ$1500,설정!$L$5+ROW()-1,설정!$L$8)&amp;""),"")</f>
        <v>DFHOLD 6.875 11/06/26</v>
      </c>
      <c r="B149" s="83" t="str">
        <f aca="false">IFERROR(IF(INDEX(원자료_잔고!$A$1:$EZ$1500,설정!$L$5+ROW()-1,설정!$L$7)&amp;""="0","",INDEX(원자료_잔고!$A$1:$EZ$1500,설정!$L$5+ROW()-1,설정!$L$7)&amp;""),"")</f>
        <v>XS2703610050</v>
      </c>
      <c r="C149" s="83" t="str">
        <f aca="false">IFERROR(IF(INDEX(원자료_잔고!$A$1:$EZ$1500,설정!$L$5+ROW()-1,설정!$L$9)&amp;""="0","",INDEX(원자료_잔고!$A$1:$EZ$1500,설정!$L$5+ROW()-1,설정!$L$9)&amp;""),"")</f>
        <v>34507</v>
      </c>
      <c r="D14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49" s="84" t="n">
        <f aca="false">IFERROR(IF(ISNUMBER(INDEX(원자료_잔고!$A$1:$EZ$1500,설정!$L$5+ROW()-1,설정!$L$11)),INDEX(원자료_잔고!$A$1:$EZ$1500,설정!$L$5+ROW()-1,설정!$L$11),""),"")</f>
        <v>4000000</v>
      </c>
      <c r="F149" s="85" t="n">
        <f aca="false">IFERROR(IF(ISNUMBER(INDEX(원자료_잔고!$A$1:$EZ$1500,설정!$L$5+ROW()-1,설정!$L$12)),INDEX(원자료_잔고!$A$1:$EZ$1500,설정!$L$5+ROW()-1,설정!$L$12),""),"")</f>
        <v>100.1449</v>
      </c>
      <c r="G149" s="85" t="n">
        <f aca="false">IFERROR(IF(ISNUMBER(INDEX(원자료_잔고!$A$1:$EZ$1500,설정!$L$5+ROW()-1,설정!$L$13)),INDEX(원자료_잔고!$A$1:$EZ$1500,설정!$L$5+ROW()-1,설정!$L$13),""),"")</f>
        <v>5.2818</v>
      </c>
      <c r="H149" s="85" t="n">
        <f aca="false">IFERROR(IF(ISNUMBER(INDEX(원자료_잔고!$A$1:$EZ$1500,설정!$L$5+ROW()-1,설정!$L$14)),INDEX(원자료_잔고!$A$1:$EZ$1500,설정!$L$5+ROW()-1,설정!$L$14),""),"")</f>
        <v>0.0968</v>
      </c>
      <c r="I149" s="86" t="n">
        <f aca="false">IFERROR(IF(ISNUMBER(INDEX(원자료_잔고!$A$1:$EZ$1500,설정!$L$5+ROW()-1,설정!$L$15)),INDEX(원자료_잔고!$A$1:$EZ$1500,설정!$L$5+ROW()-1,설정!$L$15),""),"")</f>
        <v>46332</v>
      </c>
      <c r="J149" s="85" t="n">
        <f aca="false">IFERROR(IF(ISNUMBER(INDEX(원자료_잔고!$A$1:$EZ$1500,설정!$L$5+ROW()-1,설정!$L$16)),INDEX(원자료_잔고!$A$1:$EZ$1500,설정!$L$5+ROW()-1,설정!$L$16),""),"")</f>
        <v>6.875</v>
      </c>
      <c r="K149" s="87" t="n">
        <f aca="false">IFERROR(IF(ISNUMBER(INDEX(원자료_잔고!$A$1:$EZ$1500,설정!$L$5+ROW()-1,설정!$L$17)),INDEX(원자료_잔고!$A$1:$EZ$1500,설정!$L$5+ROW()-1,설정!$L$17),""),"")</f>
        <v>1</v>
      </c>
      <c r="L149" s="84" t="n">
        <f aca="false">IFERROR(IF(ISNUMBER(INDEX(원자료_잔고!$A$1:$EZ$1500,설정!$L$5+ROW()-1,설정!$L$18)),INDEX(원자료_잔고!$A$1:$EZ$1500,설정!$L$5+ROW()-1,설정!$L$18),""),"")</f>
        <v>4005796</v>
      </c>
      <c r="M149" s="88" t="n">
        <f aca="false">IFERROR(IF(ISNUMBER(INDEX(원자료_잔고!$A$1:$EZ$1500,설정!$L$5+ROW()-1,설정!$L$19)),INDEX(원자료_잔고!$A$1:$EZ$1500,설정!$L$5+ROW()-1,설정!$L$19),""),"")</f>
        <v>-28583.56</v>
      </c>
      <c r="N149" s="83" t="str">
        <f aca="false">IFERROR(IF(INDEX(원자료_잔고!$A$1:$EZ$1500,설정!$L$5+ROW()-1,설정!$L$21)&amp;""="0","",INDEX(원자료_잔고!$A$1:$EZ$1500,설정!$L$5+ROW()-1,설정!$L$21)&amp;""),"")</f>
        <v>BBB</v>
      </c>
      <c r="O149" s="83" t="str">
        <f aca="false">IFERROR(IF(INDEX(원자료_잔고!$A$1:$EZ$1500,설정!$L$5+ROW()-1,설정!$L$22)&amp;""="0","",INDEX(원자료_잔고!$A$1:$EZ$1500,설정!$L$5+ROW()-1,설정!$L$22)&amp;""),"")</f>
        <v/>
      </c>
      <c r="P149" s="83" t="str">
        <f aca="false">IFERROR(IF(INDEX(원자료_잔고!$A$1:$EZ$1500,설정!$L$5+ROW()-1,설정!$L$23)&amp;""="0","",INDEX(원자료_잔고!$A$1:$EZ$1500,설정!$L$5+ROW()-1,설정!$L$23)&amp;""),"")</f>
        <v>N/A</v>
      </c>
      <c r="Q149" s="89" t="n">
        <f aca="false">IF(AND($A149&lt;&gt;"",ISNUMBER(E149)),IF(E149&gt;0,1,0),0)</f>
        <v>1</v>
      </c>
      <c r="R149" s="43" t="str">
        <f aca="false">IF(Q149=1,UPPER(LEFT($A149,FIND(" ",$A149&amp;" ")-1)),"")</f>
        <v>DFHOLD</v>
      </c>
      <c r="S149" s="89" t="n">
        <f aca="false">IF(Q149=1,IF(OR(ISNUMBER(SEARCH("Float",$A149)),ISNUMBER(SEARCH("FRN",$A149))),1,0),0)</f>
        <v>0</v>
      </c>
      <c r="T149" s="43" t="str">
        <f aca="false">IF(AND(Q149=1,ISNUMBER(I149)),TEXT(I149,"yyyymmdd")&amp;"|"&amp;IF(S149=1,"F",TEXT(J149,"0.000")),"")</f>
        <v>20261106|6.875</v>
      </c>
      <c r="U149" s="90" t="n">
        <f aca="false">IF(AND(Q149=1,ISNUMBER(I149)),(I149-설정!$C$4)/365.25,"")</f>
        <v>0.0985626283367557</v>
      </c>
      <c r="V149" s="43" t="str">
        <f aca="false">IF(Q149&lt;&gt;1,"",IF(ISNUMBER(U149),IF(U149&lt;=1,"1년 이하",IF(U149&lt;=2,"1-2년",IF(U149&lt;=3,"2-3년",IF(U149&lt;=4,"3-4년",IF(U149&lt;=5,"4-5년",IF(U149&lt;=7,"5-7년",IF(U149&lt;=10,"7-10년",IF(U149&lt;=20,"10-20년","20년 이상")))))))),"미분류"))</f>
        <v>1년 이하</v>
      </c>
      <c r="W149" s="43" t="str">
        <f aca="false">IF(Q149&lt;&gt;1,"",IF(AB149&lt;&gt;"",INDEX(시장분석!$C:$C,AB149),IF(K149=1,"USD","비USD")))</f>
        <v>USD</v>
      </c>
      <c r="X149" s="91" t="n">
        <f aca="false">IF(Q149=1,E149*K149/1000000,0)</f>
        <v>4</v>
      </c>
      <c r="Y149" s="89" t="n">
        <f aca="false">IF(R149="T",1,0)</f>
        <v>0</v>
      </c>
      <c r="Z149" s="92" t="n">
        <f aca="false">IF(Q149&lt;&gt;1,"",IF(AD149=1,IF(ISNUMBER(U149),MAX(U149,0),H149),H149))</f>
        <v>0.0968</v>
      </c>
      <c r="AA149" s="91" t="n">
        <f aca="false">IF(Q149=1,IF(ISNUMBER(L149),L149,0)*K149/1000000,0)</f>
        <v>4.005796</v>
      </c>
      <c r="AB149" s="89" t="n">
        <f aca="false">IF(Q149&lt;&gt;1,"",IFERROR(MATCH(VLOOKUP(B149,매핑!$H$4:$I$15,2,0),시장분석!$A$2:$A$601,0)+1,IFERROR(MATCH(R149&amp;"|"&amp;T149,시장분석!$V$2:$V$601,0)+1,IF(COUNTIF(시장분석!$U$2:$U$601,T149)=1,MATCH(T149,시장분석!$U$2:$U$601,0)+1,""))))</f>
        <v>224</v>
      </c>
      <c r="AC149" s="89" t="n">
        <f aca="false">IF(Q149&lt;&gt;1,0,IF(OR(설정!$C$5="전체",AND(설정!$C$5="선택펀드",IFERROR(COUNTIFS(설정!$F$16:$F$36,C149,설정!$G$16:$G$36,"Y")+COUNTIFS(설정!$F$16:$F$36,VALUE(C149),설정!$G$16:$G$36,"Y"),0)&gt;0),C149&amp;""=설정!$C$5&amp;""),1,0))</f>
        <v>1</v>
      </c>
      <c r="AD149" s="89" t="n">
        <f aca="false">IF(Q149&lt;&gt;1,0,IF(OR(S149=1,IF(AB149="",FALSE(),INDEX(시장분석!$R:$R,AB149)=1)),1,0))</f>
        <v>0</v>
      </c>
      <c r="AE149" s="43" t="str">
        <f aca="false">IF(AB149="","",INDEX(시장분석!$A:$A,AB149))</f>
        <v>DFHOLD 6 7/8 11/06/26</v>
      </c>
      <c r="AF149" s="93" t="n">
        <f aca="false">IF(AB149="","",IF(ISNUMBER(IF(AB149="","",INDEX(시장분석!$E:$E,AB149))),IF(AB149="","",INDEX(시장분석!$E:$E,AB149)),""))</f>
        <v>-6.955</v>
      </c>
      <c r="AG149" s="43" t="str">
        <f aca="false">IF(Q149&lt;&gt;1,"",IF(AB149&lt;&gt;"",IF(AB149="","",INDEX(시장분석!$L:$L,AB149)),IFERROR(IF(VLOOKUP(R149,매핑!$A$4:$E$92,5,0)="","미분류",VLOOKUP(R149,매핑!$A$4:$E$92,5,0)),"미분류")))</f>
        <v>금융기관</v>
      </c>
      <c r="AH149" s="43" t="str">
        <f aca="false">IF(Q149&lt;&gt;1,"",IF(AB149&lt;&gt;"",IF(AB149="","",INDEX(시장분석!$N:$N,AB149)),IFERROR(IF(VLOOKUP(R149,매핑!$A$4:$E$92,4,0)="","미분류",VLOOKUP(R149,매핑!$A$4:$E$92,4,0)),"미분류")))</f>
        <v>아시아/기타</v>
      </c>
      <c r="AI149" s="43" t="str">
        <f aca="false">IF(Q149&lt;&gt;1,"",IFERROR(IF(VLOOKUP(R149,매핑!$A$4:$E$92,3,0)="","미분류",VLOOKUP(R149,매핑!$A$4:$E$92,3,0)),IF(AB149&lt;&gt;"",IF(AB149="","",INDEX(시장분석!$W:$W,AB149)),"미분류")))</f>
        <v>한국</v>
      </c>
      <c r="AJ149" s="43" t="str">
        <f aca="false">IF(Q149&lt;&gt;1,"",IFERROR(VLOOKUP(IF(N149&lt;&gt;"",N149,IF(P149&lt;&gt;"",P149,O149)),설정!$A$15:$D$47,2,0),""))</f>
        <v>BBB</v>
      </c>
      <c r="AK149" s="43" t="str">
        <f aca="false">IF(Q149&lt;&gt;1,"",IF(AJ149="","무등급",IFERROR(VLOOKUP(AJ149,설정!$A$15:$D$47,3,0),"무등급")))</f>
        <v>BBB</v>
      </c>
      <c r="AL149" s="89" t="n">
        <f aca="false">IF(AJ149="",99,IFERROR(VLOOKUP(AJ149,설정!$A$15:$D$47,4,0),99))</f>
        <v>9</v>
      </c>
      <c r="AM149" s="94" t="n">
        <f aca="false">IF(ISNUMBER(H149),AA149*1000000*H149/10000,0)</f>
        <v>38.77610528</v>
      </c>
      <c r="AN149" s="94" t="n">
        <f aca="false">IF(OR(Y149=1,NOT(ISNUMBER(Z149))),0,AA149*1000000*Z149/10000)</f>
        <v>38.77610528</v>
      </c>
      <c r="AO149" s="94" t="n">
        <f aca="false">IF(ISNUMBER(G149),AA149*1000000*G149/100,0)</f>
        <v>211578.133128</v>
      </c>
      <c r="AP149" s="94" t="n">
        <f aca="false">IF(ISNUMBER(M149),M149*K149,0)</f>
        <v>-28583.56</v>
      </c>
      <c r="AQ149" s="95" t="str">
        <f aca="false">IF(AB149="","",INDEX(시장분석!$AK:$AK,AB149))</f>
        <v/>
      </c>
      <c r="AR149" s="43" t="str">
        <f aca="false">IF(AB149="","-",IF(AB149="","",INDEX(시장분석!$AL:$AL,AB149)))</f>
        <v>-</v>
      </c>
      <c r="AS149" s="96" t="str">
        <f aca="false">IF(AB149="","",INDEX(시장분석!$AJ:$AJ,AB149))</f>
        <v/>
      </c>
      <c r="AT149" s="93" t="n">
        <f aca="false">IF(AB149="",0,IF(AB149="","",INDEX(시장분석!$AN:$AN,AB149)))</f>
        <v>0</v>
      </c>
      <c r="AU149" s="94" t="n">
        <f aca="false">IF(ISNUMBER(Z149),AT149/10000*MAX(Z149-1,0)*AA149*1000000,0)</f>
        <v>0</v>
      </c>
      <c r="AV149" s="94" t="n">
        <f aca="false">AO149+AU149</f>
        <v>211578.133128</v>
      </c>
      <c r="AW149" s="43" t="str">
        <f aca="false">IF(Q149&lt;&gt;1,"",TRIM(IF(AD149=1,"FRN ","")&amp;IF(AND(AL149&gt;=10,AL149&lt;99),"BBB0미만 ","")&amp;IF(AJ149="","등급없음 ","")&amp;IF(K149&lt;&gt;1,"비USD ","")&amp;IF(AND(AB149="",Y149=0),"시장데이터없음 ","")&amp;IF(AND(ISNUMBER(U149),U149&lt;0),"만기경과 ","")))</f>
        <v/>
      </c>
      <c r="AX149" s="90" t="n">
        <f aca="false">IF(Q149&lt;&gt;1,1,IF(스프레드쇼크!$C$4="Y",INDEX(스프레드쇼크!$B$12:$L$16,IFERROR(MATCH(AH149,스프레드쇼크!$A$12:$A$16,0),MATCH("목록외",스프레드쇼크!$A$12:$A$16,0)),IFERROR(MATCH(AG149,스프레드쇼크!$B$11:$L$11,0),MATCH("목록외",스프레드쇼크!$B$11:$L$11,0))),1))</f>
        <v>1</v>
      </c>
      <c r="AY149" s="90" t="n">
        <f aca="false">IF(스프레드쇼크!$C$5="Y",IF(ISNUMBER(AF149),MIN(스프레드쇼크!$C$7,MAX(스프레드쇼크!$C$6,AF149/스프레드쇼크!$C$8)),1),1)</f>
        <v>0.25</v>
      </c>
      <c r="AZ149" s="94" t="n">
        <f aca="false">AN149*AX149*AY149</f>
        <v>9.69402632</v>
      </c>
      <c r="BA149" s="90" t="n">
        <f aca="false">IF(ISNUMBER(G149),AA149*G149,0)</f>
        <v>21.1578133128</v>
      </c>
      <c r="BB149" s="90" t="n">
        <f aca="false">IF(ISNUMBER(G149),AA149,0)</f>
        <v>4.005796</v>
      </c>
      <c r="BC149" s="90" t="n">
        <f aca="false">IF(AND(Y149=0,ISNUMBER(AF149)),AA149*AF149,0)</f>
        <v>-27.86031118</v>
      </c>
      <c r="BD149" s="90" t="n">
        <f aca="false">IF(AND(Y149=0,ISNUMBER(AF149)),AA149,0)</f>
        <v>4.005796</v>
      </c>
      <c r="BE149" s="90" t="n">
        <f aca="false">IF(ISNUMBER(H149),AA149*H149,0)</f>
        <v>0.3877610528</v>
      </c>
      <c r="BF149" s="90" t="n">
        <f aca="false">IF(ISNUMBER(H149),AA149,0)</f>
        <v>4.005796</v>
      </c>
      <c r="BG149" s="90" t="n">
        <f aca="false">IF(AND(Y149=0,ISNUMBER(AF149),ISNUMBER(Z149)),AA149*Z149,0)</f>
        <v>0.3877610528</v>
      </c>
      <c r="BH149" s="90" t="n">
        <f aca="false">IF(AND(Y149=0,ISNUMBER(AF149),ISNUMBER(Z149)),AA149*AT149*MAX(Z149-1,0),0)</f>
        <v>0</v>
      </c>
      <c r="BI149" s="90" t="n">
        <f aca="false">IF(Y149=0,AA149,0)</f>
        <v>4.005796</v>
      </c>
    </row>
    <row r="150" customFormat="false" ht="15" hidden="false" customHeight="false" outlineLevel="0" collapsed="false">
      <c r="A150" s="83" t="str">
        <f aca="false">IFERROR(IF(INDEX(원자료_잔고!$A$1:$EZ$1500,설정!$L$5+ROW()-1,설정!$L$8)&amp;""="0","",INDEX(원자료_잔고!$A$1:$EZ$1500,설정!$L$5+ROW()-1,설정!$L$8)&amp;""),"")</f>
        <v>DFHOLD 6.875 11/06/26</v>
      </c>
      <c r="B150" s="83" t="str">
        <f aca="false">IFERROR(IF(INDEX(원자료_잔고!$A$1:$EZ$1500,설정!$L$5+ROW()-1,설정!$L$7)&amp;""="0","",INDEX(원자료_잔고!$A$1:$EZ$1500,설정!$L$5+ROW()-1,설정!$L$7)&amp;""),"")</f>
        <v>XS2703610050</v>
      </c>
      <c r="C150" s="83" t="str">
        <f aca="false">IFERROR(IF(INDEX(원자료_잔고!$A$1:$EZ$1500,설정!$L$5+ROW()-1,설정!$L$9)&amp;""="0","",INDEX(원자료_잔고!$A$1:$EZ$1500,설정!$L$5+ROW()-1,설정!$L$9)&amp;""),"")</f>
        <v>34507</v>
      </c>
      <c r="D15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0" s="84" t="n">
        <f aca="false">IFERROR(IF(ISNUMBER(INDEX(원자료_잔고!$A$1:$EZ$1500,설정!$L$5+ROW()-1,설정!$L$11)),INDEX(원자료_잔고!$A$1:$EZ$1500,설정!$L$5+ROW()-1,설정!$L$11),""),"")</f>
        <v>5000000</v>
      </c>
      <c r="F150" s="85" t="n">
        <f aca="false">IFERROR(IF(ISNUMBER(INDEX(원자료_잔고!$A$1:$EZ$1500,설정!$L$5+ROW()-1,설정!$L$12)),INDEX(원자료_잔고!$A$1:$EZ$1500,설정!$L$5+ROW()-1,설정!$L$12),""),"")</f>
        <v>100.1449</v>
      </c>
      <c r="G150" s="85" t="n">
        <f aca="false">IFERROR(IF(ISNUMBER(INDEX(원자료_잔고!$A$1:$EZ$1500,설정!$L$5+ROW()-1,설정!$L$13)),INDEX(원자료_잔고!$A$1:$EZ$1500,설정!$L$5+ROW()-1,설정!$L$13),""),"")</f>
        <v>5.2818</v>
      </c>
      <c r="H150" s="85" t="n">
        <f aca="false">IFERROR(IF(ISNUMBER(INDEX(원자료_잔고!$A$1:$EZ$1500,설정!$L$5+ROW()-1,설정!$L$14)),INDEX(원자료_잔고!$A$1:$EZ$1500,설정!$L$5+ROW()-1,설정!$L$14),""),"")</f>
        <v>0.0968</v>
      </c>
      <c r="I150" s="86" t="n">
        <f aca="false">IFERROR(IF(ISNUMBER(INDEX(원자료_잔고!$A$1:$EZ$1500,설정!$L$5+ROW()-1,설정!$L$15)),INDEX(원자료_잔고!$A$1:$EZ$1500,설정!$L$5+ROW()-1,설정!$L$15),""),"")</f>
        <v>46332</v>
      </c>
      <c r="J150" s="85" t="n">
        <f aca="false">IFERROR(IF(ISNUMBER(INDEX(원자료_잔고!$A$1:$EZ$1500,설정!$L$5+ROW()-1,설정!$L$16)),INDEX(원자료_잔고!$A$1:$EZ$1500,설정!$L$5+ROW()-1,설정!$L$16),""),"")</f>
        <v>6.875</v>
      </c>
      <c r="K150" s="87" t="n">
        <f aca="false">IFERROR(IF(ISNUMBER(INDEX(원자료_잔고!$A$1:$EZ$1500,설정!$L$5+ROW()-1,설정!$L$17)),INDEX(원자료_잔고!$A$1:$EZ$1500,설정!$L$5+ROW()-1,설정!$L$17),""),"")</f>
        <v>1</v>
      </c>
      <c r="L150" s="84" t="n">
        <f aca="false">IFERROR(IF(ISNUMBER(INDEX(원자료_잔고!$A$1:$EZ$1500,설정!$L$5+ROW()-1,설정!$L$18)),INDEX(원자료_잔고!$A$1:$EZ$1500,설정!$L$5+ROW()-1,설정!$L$18),""),"")</f>
        <v>5007245</v>
      </c>
      <c r="M150" s="88" t="n">
        <f aca="false">IFERROR(IF(ISNUMBER(INDEX(원자료_잔고!$A$1:$EZ$1500,설정!$L$5+ROW()-1,설정!$L$19)),INDEX(원자료_잔고!$A$1:$EZ$1500,설정!$L$5+ROW()-1,설정!$L$19),""),"")</f>
        <v>-16255</v>
      </c>
      <c r="N150" s="83" t="str">
        <f aca="false">IFERROR(IF(INDEX(원자료_잔고!$A$1:$EZ$1500,설정!$L$5+ROW()-1,설정!$L$21)&amp;""="0","",INDEX(원자료_잔고!$A$1:$EZ$1500,설정!$L$5+ROW()-1,설정!$L$21)&amp;""),"")</f>
        <v>BBB</v>
      </c>
      <c r="O150" s="83" t="str">
        <f aca="false">IFERROR(IF(INDEX(원자료_잔고!$A$1:$EZ$1500,설정!$L$5+ROW()-1,설정!$L$22)&amp;""="0","",INDEX(원자료_잔고!$A$1:$EZ$1500,설정!$L$5+ROW()-1,설정!$L$22)&amp;""),"")</f>
        <v/>
      </c>
      <c r="P150" s="83" t="str">
        <f aca="false">IFERROR(IF(INDEX(원자료_잔고!$A$1:$EZ$1500,설정!$L$5+ROW()-1,설정!$L$23)&amp;""="0","",INDEX(원자료_잔고!$A$1:$EZ$1500,설정!$L$5+ROW()-1,설정!$L$23)&amp;""),"")</f>
        <v>N/A</v>
      </c>
      <c r="Q150" s="89" t="n">
        <f aca="false">IF(AND($A150&lt;&gt;"",ISNUMBER(E150)),IF(E150&gt;0,1,0),0)</f>
        <v>1</v>
      </c>
      <c r="R150" s="43" t="str">
        <f aca="false">IF(Q150=1,UPPER(LEFT($A150,FIND(" ",$A150&amp;" ")-1)),"")</f>
        <v>DFHOLD</v>
      </c>
      <c r="S150" s="89" t="n">
        <f aca="false">IF(Q150=1,IF(OR(ISNUMBER(SEARCH("Float",$A150)),ISNUMBER(SEARCH("FRN",$A150))),1,0),0)</f>
        <v>0</v>
      </c>
      <c r="T150" s="43" t="str">
        <f aca="false">IF(AND(Q150=1,ISNUMBER(I150)),TEXT(I150,"yyyymmdd")&amp;"|"&amp;IF(S150=1,"F",TEXT(J150,"0.000")),"")</f>
        <v>20261106|6.875</v>
      </c>
      <c r="U150" s="90" t="n">
        <f aca="false">IF(AND(Q150=1,ISNUMBER(I150)),(I150-설정!$C$4)/365.25,"")</f>
        <v>0.0985626283367557</v>
      </c>
      <c r="V150" s="43" t="str">
        <f aca="false">IF(Q150&lt;&gt;1,"",IF(ISNUMBER(U150),IF(U150&lt;=1,"1년 이하",IF(U150&lt;=2,"1-2년",IF(U150&lt;=3,"2-3년",IF(U150&lt;=4,"3-4년",IF(U150&lt;=5,"4-5년",IF(U150&lt;=7,"5-7년",IF(U150&lt;=10,"7-10년",IF(U150&lt;=20,"10-20년","20년 이상")))))))),"미분류"))</f>
        <v>1년 이하</v>
      </c>
      <c r="W150" s="43" t="str">
        <f aca="false">IF(Q150&lt;&gt;1,"",IF(AB150&lt;&gt;"",INDEX(시장분석!$C:$C,AB150),IF(K150=1,"USD","비USD")))</f>
        <v>USD</v>
      </c>
      <c r="X150" s="91" t="n">
        <f aca="false">IF(Q150=1,E150*K150/1000000,0)</f>
        <v>5</v>
      </c>
      <c r="Y150" s="89" t="n">
        <f aca="false">IF(R150="T",1,0)</f>
        <v>0</v>
      </c>
      <c r="Z150" s="92" t="n">
        <f aca="false">IF(Q150&lt;&gt;1,"",IF(AD150=1,IF(ISNUMBER(U150),MAX(U150,0),H150),H150))</f>
        <v>0.0968</v>
      </c>
      <c r="AA150" s="91" t="n">
        <f aca="false">IF(Q150=1,IF(ISNUMBER(L150),L150,0)*K150/1000000,0)</f>
        <v>5.007245</v>
      </c>
      <c r="AB150" s="89" t="n">
        <f aca="false">IF(Q150&lt;&gt;1,"",IFERROR(MATCH(VLOOKUP(B150,매핑!$H$4:$I$15,2,0),시장분석!$A$2:$A$601,0)+1,IFERROR(MATCH(R150&amp;"|"&amp;T150,시장분석!$V$2:$V$601,0)+1,IF(COUNTIF(시장분석!$U$2:$U$601,T150)=1,MATCH(T150,시장분석!$U$2:$U$601,0)+1,""))))</f>
        <v>224</v>
      </c>
      <c r="AC150" s="89" t="n">
        <f aca="false">IF(Q150&lt;&gt;1,0,IF(OR(설정!$C$5="전체",AND(설정!$C$5="선택펀드",IFERROR(COUNTIFS(설정!$F$16:$F$36,C150,설정!$G$16:$G$36,"Y")+COUNTIFS(설정!$F$16:$F$36,VALUE(C150),설정!$G$16:$G$36,"Y"),0)&gt;0),C150&amp;""=설정!$C$5&amp;""),1,0))</f>
        <v>1</v>
      </c>
      <c r="AD150" s="89" t="n">
        <f aca="false">IF(Q150&lt;&gt;1,0,IF(OR(S150=1,IF(AB150="",FALSE(),INDEX(시장분석!$R:$R,AB150)=1)),1,0))</f>
        <v>0</v>
      </c>
      <c r="AE150" s="43" t="str">
        <f aca="false">IF(AB150="","",INDEX(시장분석!$A:$A,AB150))</f>
        <v>DFHOLD 6 7/8 11/06/26</v>
      </c>
      <c r="AF150" s="93" t="n">
        <f aca="false">IF(AB150="","",IF(ISNUMBER(IF(AB150="","",INDEX(시장분석!$E:$E,AB150))),IF(AB150="","",INDEX(시장분석!$E:$E,AB150)),""))</f>
        <v>-6.955</v>
      </c>
      <c r="AG150" s="43" t="str">
        <f aca="false">IF(Q150&lt;&gt;1,"",IF(AB150&lt;&gt;"",IF(AB150="","",INDEX(시장분석!$L:$L,AB150)),IFERROR(IF(VLOOKUP(R150,매핑!$A$4:$E$92,5,0)="","미분류",VLOOKUP(R150,매핑!$A$4:$E$92,5,0)),"미분류")))</f>
        <v>금융기관</v>
      </c>
      <c r="AH150" s="43" t="str">
        <f aca="false">IF(Q150&lt;&gt;1,"",IF(AB150&lt;&gt;"",IF(AB150="","",INDEX(시장분석!$N:$N,AB150)),IFERROR(IF(VLOOKUP(R150,매핑!$A$4:$E$92,4,0)="","미분류",VLOOKUP(R150,매핑!$A$4:$E$92,4,0)),"미분류")))</f>
        <v>아시아/기타</v>
      </c>
      <c r="AI150" s="43" t="str">
        <f aca="false">IF(Q150&lt;&gt;1,"",IFERROR(IF(VLOOKUP(R150,매핑!$A$4:$E$92,3,0)="","미분류",VLOOKUP(R150,매핑!$A$4:$E$92,3,0)),IF(AB150&lt;&gt;"",IF(AB150="","",INDEX(시장분석!$W:$W,AB150)),"미분류")))</f>
        <v>한국</v>
      </c>
      <c r="AJ150" s="43" t="str">
        <f aca="false">IF(Q150&lt;&gt;1,"",IFERROR(VLOOKUP(IF(N150&lt;&gt;"",N150,IF(P150&lt;&gt;"",P150,O150)),설정!$A$15:$D$47,2,0),""))</f>
        <v>BBB</v>
      </c>
      <c r="AK150" s="43" t="str">
        <f aca="false">IF(Q150&lt;&gt;1,"",IF(AJ150="","무등급",IFERROR(VLOOKUP(AJ150,설정!$A$15:$D$47,3,0),"무등급")))</f>
        <v>BBB</v>
      </c>
      <c r="AL150" s="89" t="n">
        <f aca="false">IF(AJ150="",99,IFERROR(VLOOKUP(AJ150,설정!$A$15:$D$47,4,0),99))</f>
        <v>9</v>
      </c>
      <c r="AM150" s="94" t="n">
        <f aca="false">IF(ISNUMBER(H150),AA150*1000000*H150/10000,0)</f>
        <v>48.4701316</v>
      </c>
      <c r="AN150" s="94" t="n">
        <f aca="false">IF(OR(Y150=1,NOT(ISNUMBER(Z150))),0,AA150*1000000*Z150/10000)</f>
        <v>48.4701316</v>
      </c>
      <c r="AO150" s="94" t="n">
        <f aca="false">IF(ISNUMBER(G150),AA150*1000000*G150/100,0)</f>
        <v>264472.66641</v>
      </c>
      <c r="AP150" s="94" t="n">
        <f aca="false">IF(ISNUMBER(M150),M150*K150,0)</f>
        <v>-16255</v>
      </c>
      <c r="AQ150" s="95" t="str">
        <f aca="false">IF(AB150="","",INDEX(시장분석!$AK:$AK,AB150))</f>
        <v/>
      </c>
      <c r="AR150" s="43" t="str">
        <f aca="false">IF(AB150="","-",IF(AB150="","",INDEX(시장분석!$AL:$AL,AB150)))</f>
        <v>-</v>
      </c>
      <c r="AS150" s="96" t="str">
        <f aca="false">IF(AB150="","",INDEX(시장분석!$AJ:$AJ,AB150))</f>
        <v/>
      </c>
      <c r="AT150" s="93" t="n">
        <f aca="false">IF(AB150="",0,IF(AB150="","",INDEX(시장분석!$AN:$AN,AB150)))</f>
        <v>0</v>
      </c>
      <c r="AU150" s="94" t="n">
        <f aca="false">IF(ISNUMBER(Z150),AT150/10000*MAX(Z150-1,0)*AA150*1000000,0)</f>
        <v>0</v>
      </c>
      <c r="AV150" s="94" t="n">
        <f aca="false">AO150+AU150</f>
        <v>264472.66641</v>
      </c>
      <c r="AW150" s="43" t="str">
        <f aca="false">IF(Q150&lt;&gt;1,"",TRIM(IF(AD150=1,"FRN ","")&amp;IF(AND(AL150&gt;=10,AL150&lt;99),"BBB0미만 ","")&amp;IF(AJ150="","등급없음 ","")&amp;IF(K150&lt;&gt;1,"비USD ","")&amp;IF(AND(AB150="",Y150=0),"시장데이터없음 ","")&amp;IF(AND(ISNUMBER(U150),U150&lt;0),"만기경과 ","")))</f>
        <v/>
      </c>
      <c r="AX150" s="90" t="n">
        <f aca="false">IF(Q150&lt;&gt;1,1,IF(스프레드쇼크!$C$4="Y",INDEX(스프레드쇼크!$B$12:$L$16,IFERROR(MATCH(AH150,스프레드쇼크!$A$12:$A$16,0),MATCH("목록외",스프레드쇼크!$A$12:$A$16,0)),IFERROR(MATCH(AG150,스프레드쇼크!$B$11:$L$11,0),MATCH("목록외",스프레드쇼크!$B$11:$L$11,0))),1))</f>
        <v>1</v>
      </c>
      <c r="AY150" s="90" t="n">
        <f aca="false">IF(스프레드쇼크!$C$5="Y",IF(ISNUMBER(AF150),MIN(스프레드쇼크!$C$7,MAX(스프레드쇼크!$C$6,AF150/스프레드쇼크!$C$8)),1),1)</f>
        <v>0.25</v>
      </c>
      <c r="AZ150" s="94" t="n">
        <f aca="false">AN150*AX150*AY150</f>
        <v>12.1175329</v>
      </c>
      <c r="BA150" s="90" t="n">
        <f aca="false">IF(ISNUMBER(G150),AA150*G150,0)</f>
        <v>26.447266641</v>
      </c>
      <c r="BB150" s="90" t="n">
        <f aca="false">IF(ISNUMBER(G150),AA150,0)</f>
        <v>5.007245</v>
      </c>
      <c r="BC150" s="90" t="n">
        <f aca="false">IF(AND(Y150=0,ISNUMBER(AF150)),AA150*AF150,0)</f>
        <v>-34.825388975</v>
      </c>
      <c r="BD150" s="90" t="n">
        <f aca="false">IF(AND(Y150=0,ISNUMBER(AF150)),AA150,0)</f>
        <v>5.007245</v>
      </c>
      <c r="BE150" s="90" t="n">
        <f aca="false">IF(ISNUMBER(H150),AA150*H150,0)</f>
        <v>0.484701316</v>
      </c>
      <c r="BF150" s="90" t="n">
        <f aca="false">IF(ISNUMBER(H150),AA150,0)</f>
        <v>5.007245</v>
      </c>
      <c r="BG150" s="90" t="n">
        <f aca="false">IF(AND(Y150=0,ISNUMBER(AF150),ISNUMBER(Z150)),AA150*Z150,0)</f>
        <v>0.484701316</v>
      </c>
      <c r="BH150" s="90" t="n">
        <f aca="false">IF(AND(Y150=0,ISNUMBER(AF150),ISNUMBER(Z150)),AA150*AT150*MAX(Z150-1,0),0)</f>
        <v>0</v>
      </c>
      <c r="BI150" s="90" t="n">
        <f aca="false">IF(Y150=0,AA150,0)</f>
        <v>5.007245</v>
      </c>
    </row>
    <row r="151" customFormat="false" ht="15" hidden="false" customHeight="false" outlineLevel="0" collapsed="false">
      <c r="A151" s="83" t="str">
        <f aca="false">IFERROR(IF(INDEX(원자료_잔고!$A$1:$EZ$1500,설정!$L$5+ROW()-1,설정!$L$8)&amp;""="0","",INDEX(원자료_잔고!$A$1:$EZ$1500,설정!$L$5+ROW()-1,설정!$L$8)&amp;""),"")</f>
        <v>DFHOLD 6.875 11/06/26</v>
      </c>
      <c r="B151" s="83" t="str">
        <f aca="false">IFERROR(IF(INDEX(원자료_잔고!$A$1:$EZ$1500,설정!$L$5+ROW()-1,설정!$L$7)&amp;""="0","",INDEX(원자료_잔고!$A$1:$EZ$1500,설정!$L$5+ROW()-1,설정!$L$7)&amp;""),"")</f>
        <v>XS2703610050</v>
      </c>
      <c r="C151" s="83" t="str">
        <f aca="false">IFERROR(IF(INDEX(원자료_잔고!$A$1:$EZ$1500,설정!$L$5+ROW()-1,설정!$L$9)&amp;""="0","",INDEX(원자료_잔고!$A$1:$EZ$1500,설정!$L$5+ROW()-1,설정!$L$9)&amp;""),"")</f>
        <v>34507</v>
      </c>
      <c r="D15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1" s="84" t="n">
        <f aca="false">IFERROR(IF(ISNUMBER(INDEX(원자료_잔고!$A$1:$EZ$1500,설정!$L$5+ROW()-1,설정!$L$11)),INDEX(원자료_잔고!$A$1:$EZ$1500,설정!$L$5+ROW()-1,설정!$L$11),""),"")</f>
        <v>7000000</v>
      </c>
      <c r="F151" s="85" t="n">
        <f aca="false">IFERROR(IF(ISNUMBER(INDEX(원자료_잔고!$A$1:$EZ$1500,설정!$L$5+ROW()-1,설정!$L$12)),INDEX(원자료_잔고!$A$1:$EZ$1500,설정!$L$5+ROW()-1,설정!$L$12),""),"")</f>
        <v>100.1449</v>
      </c>
      <c r="G151" s="85" t="n">
        <f aca="false">IFERROR(IF(ISNUMBER(INDEX(원자료_잔고!$A$1:$EZ$1500,설정!$L$5+ROW()-1,설정!$L$13)),INDEX(원자료_잔고!$A$1:$EZ$1500,설정!$L$5+ROW()-1,설정!$L$13),""),"")</f>
        <v>5.2818</v>
      </c>
      <c r="H151" s="85" t="n">
        <f aca="false">IFERROR(IF(ISNUMBER(INDEX(원자료_잔고!$A$1:$EZ$1500,설정!$L$5+ROW()-1,설정!$L$14)),INDEX(원자료_잔고!$A$1:$EZ$1500,설정!$L$5+ROW()-1,설정!$L$14),""),"")</f>
        <v>0.0968</v>
      </c>
      <c r="I151" s="86" t="n">
        <f aca="false">IFERROR(IF(ISNUMBER(INDEX(원자료_잔고!$A$1:$EZ$1500,설정!$L$5+ROW()-1,설정!$L$15)),INDEX(원자료_잔고!$A$1:$EZ$1500,설정!$L$5+ROW()-1,설정!$L$15),""),"")</f>
        <v>46332</v>
      </c>
      <c r="J151" s="85" t="n">
        <f aca="false">IFERROR(IF(ISNUMBER(INDEX(원자료_잔고!$A$1:$EZ$1500,설정!$L$5+ROW()-1,설정!$L$16)),INDEX(원자료_잔고!$A$1:$EZ$1500,설정!$L$5+ROW()-1,설정!$L$16),""),"")</f>
        <v>6.875</v>
      </c>
      <c r="K151" s="87" t="n">
        <f aca="false">IFERROR(IF(ISNUMBER(INDEX(원자료_잔고!$A$1:$EZ$1500,설정!$L$5+ROW()-1,설정!$L$17)),INDEX(원자료_잔고!$A$1:$EZ$1500,설정!$L$5+ROW()-1,설정!$L$17),""),"")</f>
        <v>1</v>
      </c>
      <c r="L151" s="84" t="n">
        <f aca="false">IFERROR(IF(ISNUMBER(INDEX(원자료_잔고!$A$1:$EZ$1500,설정!$L$5+ROW()-1,설정!$L$18)),INDEX(원자료_잔고!$A$1:$EZ$1500,설정!$L$5+ROW()-1,설정!$L$18),""),"")</f>
        <v>7010143</v>
      </c>
      <c r="M151" s="88" t="n">
        <f aca="false">IFERROR(IF(ISNUMBER(INDEX(원자료_잔고!$A$1:$EZ$1500,설정!$L$5+ROW()-1,설정!$L$19)),INDEX(원자료_잔고!$A$1:$EZ$1500,설정!$L$5+ROW()-1,설정!$L$19),""),"")</f>
        <v>-22705.2</v>
      </c>
      <c r="N151" s="83" t="str">
        <f aca="false">IFERROR(IF(INDEX(원자료_잔고!$A$1:$EZ$1500,설정!$L$5+ROW()-1,설정!$L$21)&amp;""="0","",INDEX(원자료_잔고!$A$1:$EZ$1500,설정!$L$5+ROW()-1,설정!$L$21)&amp;""),"")</f>
        <v>BBB</v>
      </c>
      <c r="O151" s="83" t="str">
        <f aca="false">IFERROR(IF(INDEX(원자료_잔고!$A$1:$EZ$1500,설정!$L$5+ROW()-1,설정!$L$22)&amp;""="0","",INDEX(원자료_잔고!$A$1:$EZ$1500,설정!$L$5+ROW()-1,설정!$L$22)&amp;""),"")</f>
        <v/>
      </c>
      <c r="P151" s="83" t="str">
        <f aca="false">IFERROR(IF(INDEX(원자료_잔고!$A$1:$EZ$1500,설정!$L$5+ROW()-1,설정!$L$23)&amp;""="0","",INDEX(원자료_잔고!$A$1:$EZ$1500,설정!$L$5+ROW()-1,설정!$L$23)&amp;""),"")</f>
        <v>N/A</v>
      </c>
      <c r="Q151" s="89" t="n">
        <f aca="false">IF(AND($A151&lt;&gt;"",ISNUMBER(E151)),IF(E151&gt;0,1,0),0)</f>
        <v>1</v>
      </c>
      <c r="R151" s="43" t="str">
        <f aca="false">IF(Q151=1,UPPER(LEFT($A151,FIND(" ",$A151&amp;" ")-1)),"")</f>
        <v>DFHOLD</v>
      </c>
      <c r="S151" s="89" t="n">
        <f aca="false">IF(Q151=1,IF(OR(ISNUMBER(SEARCH("Float",$A151)),ISNUMBER(SEARCH("FRN",$A151))),1,0),0)</f>
        <v>0</v>
      </c>
      <c r="T151" s="43" t="str">
        <f aca="false">IF(AND(Q151=1,ISNUMBER(I151)),TEXT(I151,"yyyymmdd")&amp;"|"&amp;IF(S151=1,"F",TEXT(J151,"0.000")),"")</f>
        <v>20261106|6.875</v>
      </c>
      <c r="U151" s="90" t="n">
        <f aca="false">IF(AND(Q151=1,ISNUMBER(I151)),(I151-설정!$C$4)/365.25,"")</f>
        <v>0.0985626283367557</v>
      </c>
      <c r="V151" s="43" t="str">
        <f aca="false">IF(Q151&lt;&gt;1,"",IF(ISNUMBER(U151),IF(U151&lt;=1,"1년 이하",IF(U151&lt;=2,"1-2년",IF(U151&lt;=3,"2-3년",IF(U151&lt;=4,"3-4년",IF(U151&lt;=5,"4-5년",IF(U151&lt;=7,"5-7년",IF(U151&lt;=10,"7-10년",IF(U151&lt;=20,"10-20년","20년 이상")))))))),"미분류"))</f>
        <v>1년 이하</v>
      </c>
      <c r="W151" s="43" t="str">
        <f aca="false">IF(Q151&lt;&gt;1,"",IF(AB151&lt;&gt;"",INDEX(시장분석!$C:$C,AB151),IF(K151=1,"USD","비USD")))</f>
        <v>USD</v>
      </c>
      <c r="X151" s="91" t="n">
        <f aca="false">IF(Q151=1,E151*K151/1000000,0)</f>
        <v>7</v>
      </c>
      <c r="Y151" s="89" t="n">
        <f aca="false">IF(R151="T",1,0)</f>
        <v>0</v>
      </c>
      <c r="Z151" s="92" t="n">
        <f aca="false">IF(Q151&lt;&gt;1,"",IF(AD151=1,IF(ISNUMBER(U151),MAX(U151,0),H151),H151))</f>
        <v>0.0968</v>
      </c>
      <c r="AA151" s="91" t="n">
        <f aca="false">IF(Q151=1,IF(ISNUMBER(L151),L151,0)*K151/1000000,0)</f>
        <v>7.010143</v>
      </c>
      <c r="AB151" s="89" t="n">
        <f aca="false">IF(Q151&lt;&gt;1,"",IFERROR(MATCH(VLOOKUP(B151,매핑!$H$4:$I$15,2,0),시장분석!$A$2:$A$601,0)+1,IFERROR(MATCH(R151&amp;"|"&amp;T151,시장분석!$V$2:$V$601,0)+1,IF(COUNTIF(시장분석!$U$2:$U$601,T151)=1,MATCH(T151,시장분석!$U$2:$U$601,0)+1,""))))</f>
        <v>224</v>
      </c>
      <c r="AC151" s="89" t="n">
        <f aca="false">IF(Q151&lt;&gt;1,0,IF(OR(설정!$C$5="전체",AND(설정!$C$5="선택펀드",IFERROR(COUNTIFS(설정!$F$16:$F$36,C151,설정!$G$16:$G$36,"Y")+COUNTIFS(설정!$F$16:$F$36,VALUE(C151),설정!$G$16:$G$36,"Y"),0)&gt;0),C151&amp;""=설정!$C$5&amp;""),1,0))</f>
        <v>1</v>
      </c>
      <c r="AD151" s="89" t="n">
        <f aca="false">IF(Q151&lt;&gt;1,0,IF(OR(S151=1,IF(AB151="",FALSE(),INDEX(시장분석!$R:$R,AB151)=1)),1,0))</f>
        <v>0</v>
      </c>
      <c r="AE151" s="43" t="str">
        <f aca="false">IF(AB151="","",INDEX(시장분석!$A:$A,AB151))</f>
        <v>DFHOLD 6 7/8 11/06/26</v>
      </c>
      <c r="AF151" s="93" t="n">
        <f aca="false">IF(AB151="","",IF(ISNUMBER(IF(AB151="","",INDEX(시장분석!$E:$E,AB151))),IF(AB151="","",INDEX(시장분석!$E:$E,AB151)),""))</f>
        <v>-6.955</v>
      </c>
      <c r="AG151" s="43" t="str">
        <f aca="false">IF(Q151&lt;&gt;1,"",IF(AB151&lt;&gt;"",IF(AB151="","",INDEX(시장분석!$L:$L,AB151)),IFERROR(IF(VLOOKUP(R151,매핑!$A$4:$E$92,5,0)="","미분류",VLOOKUP(R151,매핑!$A$4:$E$92,5,0)),"미분류")))</f>
        <v>금융기관</v>
      </c>
      <c r="AH151" s="43" t="str">
        <f aca="false">IF(Q151&lt;&gt;1,"",IF(AB151&lt;&gt;"",IF(AB151="","",INDEX(시장분석!$N:$N,AB151)),IFERROR(IF(VLOOKUP(R151,매핑!$A$4:$E$92,4,0)="","미분류",VLOOKUP(R151,매핑!$A$4:$E$92,4,0)),"미분류")))</f>
        <v>아시아/기타</v>
      </c>
      <c r="AI151" s="43" t="str">
        <f aca="false">IF(Q151&lt;&gt;1,"",IFERROR(IF(VLOOKUP(R151,매핑!$A$4:$E$92,3,0)="","미분류",VLOOKUP(R151,매핑!$A$4:$E$92,3,0)),IF(AB151&lt;&gt;"",IF(AB151="","",INDEX(시장분석!$W:$W,AB151)),"미분류")))</f>
        <v>한국</v>
      </c>
      <c r="AJ151" s="43" t="str">
        <f aca="false">IF(Q151&lt;&gt;1,"",IFERROR(VLOOKUP(IF(N151&lt;&gt;"",N151,IF(P151&lt;&gt;"",P151,O151)),설정!$A$15:$D$47,2,0),""))</f>
        <v>BBB</v>
      </c>
      <c r="AK151" s="43" t="str">
        <f aca="false">IF(Q151&lt;&gt;1,"",IF(AJ151="","무등급",IFERROR(VLOOKUP(AJ151,설정!$A$15:$D$47,3,0),"무등급")))</f>
        <v>BBB</v>
      </c>
      <c r="AL151" s="89" t="n">
        <f aca="false">IF(AJ151="",99,IFERROR(VLOOKUP(AJ151,설정!$A$15:$D$47,4,0),99))</f>
        <v>9</v>
      </c>
      <c r="AM151" s="94" t="n">
        <f aca="false">IF(ISNUMBER(H151),AA151*1000000*H151/10000,0)</f>
        <v>67.85818424</v>
      </c>
      <c r="AN151" s="94" t="n">
        <f aca="false">IF(OR(Y151=1,NOT(ISNUMBER(Z151))),0,AA151*1000000*Z151/10000)</f>
        <v>67.85818424</v>
      </c>
      <c r="AO151" s="94" t="n">
        <f aca="false">IF(ISNUMBER(G151),AA151*1000000*G151/100,0)</f>
        <v>370261.732974</v>
      </c>
      <c r="AP151" s="94" t="n">
        <f aca="false">IF(ISNUMBER(M151),M151*K151,0)</f>
        <v>-22705.2</v>
      </c>
      <c r="AQ151" s="95" t="str">
        <f aca="false">IF(AB151="","",INDEX(시장분석!$AK:$AK,AB151))</f>
        <v/>
      </c>
      <c r="AR151" s="43" t="str">
        <f aca="false">IF(AB151="","-",IF(AB151="","",INDEX(시장분석!$AL:$AL,AB151)))</f>
        <v>-</v>
      </c>
      <c r="AS151" s="96" t="str">
        <f aca="false">IF(AB151="","",INDEX(시장분석!$AJ:$AJ,AB151))</f>
        <v/>
      </c>
      <c r="AT151" s="93" t="n">
        <f aca="false">IF(AB151="",0,IF(AB151="","",INDEX(시장분석!$AN:$AN,AB151)))</f>
        <v>0</v>
      </c>
      <c r="AU151" s="94" t="n">
        <f aca="false">IF(ISNUMBER(Z151),AT151/10000*MAX(Z151-1,0)*AA151*1000000,0)</f>
        <v>0</v>
      </c>
      <c r="AV151" s="94" t="n">
        <f aca="false">AO151+AU151</f>
        <v>370261.732974</v>
      </c>
      <c r="AW151" s="43" t="str">
        <f aca="false">IF(Q151&lt;&gt;1,"",TRIM(IF(AD151=1,"FRN ","")&amp;IF(AND(AL151&gt;=10,AL151&lt;99),"BBB0미만 ","")&amp;IF(AJ151="","등급없음 ","")&amp;IF(K151&lt;&gt;1,"비USD ","")&amp;IF(AND(AB151="",Y151=0),"시장데이터없음 ","")&amp;IF(AND(ISNUMBER(U151),U151&lt;0),"만기경과 ","")))</f>
        <v/>
      </c>
      <c r="AX151" s="90" t="n">
        <f aca="false">IF(Q151&lt;&gt;1,1,IF(스프레드쇼크!$C$4="Y",INDEX(스프레드쇼크!$B$12:$L$16,IFERROR(MATCH(AH151,스프레드쇼크!$A$12:$A$16,0),MATCH("목록외",스프레드쇼크!$A$12:$A$16,0)),IFERROR(MATCH(AG151,스프레드쇼크!$B$11:$L$11,0),MATCH("목록외",스프레드쇼크!$B$11:$L$11,0))),1))</f>
        <v>1</v>
      </c>
      <c r="AY151" s="90" t="n">
        <f aca="false">IF(스프레드쇼크!$C$5="Y",IF(ISNUMBER(AF151),MIN(스프레드쇼크!$C$7,MAX(스프레드쇼크!$C$6,AF151/스프레드쇼크!$C$8)),1),1)</f>
        <v>0.25</v>
      </c>
      <c r="AZ151" s="94" t="n">
        <f aca="false">AN151*AX151*AY151</f>
        <v>16.96454606</v>
      </c>
      <c r="BA151" s="90" t="n">
        <f aca="false">IF(ISNUMBER(G151),AA151*G151,0)</f>
        <v>37.0261732974</v>
      </c>
      <c r="BB151" s="90" t="n">
        <f aca="false">IF(ISNUMBER(G151),AA151,0)</f>
        <v>7.010143</v>
      </c>
      <c r="BC151" s="90" t="n">
        <f aca="false">IF(AND(Y151=0,ISNUMBER(AF151)),AA151*AF151,0)</f>
        <v>-48.755544565</v>
      </c>
      <c r="BD151" s="90" t="n">
        <f aca="false">IF(AND(Y151=0,ISNUMBER(AF151)),AA151,0)</f>
        <v>7.010143</v>
      </c>
      <c r="BE151" s="90" t="n">
        <f aca="false">IF(ISNUMBER(H151),AA151*H151,0)</f>
        <v>0.6785818424</v>
      </c>
      <c r="BF151" s="90" t="n">
        <f aca="false">IF(ISNUMBER(H151),AA151,0)</f>
        <v>7.010143</v>
      </c>
      <c r="BG151" s="90" t="n">
        <f aca="false">IF(AND(Y151=0,ISNUMBER(AF151),ISNUMBER(Z151)),AA151*Z151,0)</f>
        <v>0.6785818424</v>
      </c>
      <c r="BH151" s="90" t="n">
        <f aca="false">IF(AND(Y151=0,ISNUMBER(AF151),ISNUMBER(Z151)),AA151*AT151*MAX(Z151-1,0),0)</f>
        <v>0</v>
      </c>
      <c r="BI151" s="90" t="n">
        <f aca="false">IF(Y151=0,AA151,0)</f>
        <v>7.010143</v>
      </c>
    </row>
    <row r="152" customFormat="false" ht="15" hidden="false" customHeight="false" outlineLevel="0" collapsed="false">
      <c r="A152" s="83" t="str">
        <f aca="false">IFERROR(IF(INDEX(원자료_잔고!$A$1:$EZ$1500,설정!$L$5+ROW()-1,설정!$L$8)&amp;""="0","",INDEX(원자료_잔고!$A$1:$EZ$1500,설정!$L$5+ROW()-1,설정!$L$8)&amp;""),"")</f>
        <v>DFHOLD 6.875 11/06/26</v>
      </c>
      <c r="B152" s="83" t="str">
        <f aca="false">IFERROR(IF(INDEX(원자료_잔고!$A$1:$EZ$1500,설정!$L$5+ROW()-1,설정!$L$7)&amp;""="0","",INDEX(원자료_잔고!$A$1:$EZ$1500,설정!$L$5+ROW()-1,설정!$L$7)&amp;""),"")</f>
        <v>XS2703610050</v>
      </c>
      <c r="C152" s="83" t="str">
        <f aca="false">IFERROR(IF(INDEX(원자료_잔고!$A$1:$EZ$1500,설정!$L$5+ROW()-1,설정!$L$9)&amp;""="0","",INDEX(원자료_잔고!$A$1:$EZ$1500,설정!$L$5+ROW()-1,설정!$L$9)&amp;""),"")</f>
        <v>34507</v>
      </c>
      <c r="D15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2" s="84" t="n">
        <f aca="false">IFERROR(IF(ISNUMBER(INDEX(원자료_잔고!$A$1:$EZ$1500,설정!$L$5+ROW()-1,설정!$L$11)),INDEX(원자료_잔고!$A$1:$EZ$1500,설정!$L$5+ROW()-1,설정!$L$11),""),"")</f>
        <v>9000000</v>
      </c>
      <c r="F152" s="85" t="n">
        <f aca="false">IFERROR(IF(ISNUMBER(INDEX(원자료_잔고!$A$1:$EZ$1500,설정!$L$5+ROW()-1,설정!$L$12)),INDEX(원자료_잔고!$A$1:$EZ$1500,설정!$L$5+ROW()-1,설정!$L$12),""),"")</f>
        <v>100.1449</v>
      </c>
      <c r="G152" s="85" t="n">
        <f aca="false">IFERROR(IF(ISNUMBER(INDEX(원자료_잔고!$A$1:$EZ$1500,설정!$L$5+ROW()-1,설정!$L$13)),INDEX(원자료_잔고!$A$1:$EZ$1500,설정!$L$5+ROW()-1,설정!$L$13),""),"")</f>
        <v>5.2818</v>
      </c>
      <c r="H152" s="85" t="n">
        <f aca="false">IFERROR(IF(ISNUMBER(INDEX(원자료_잔고!$A$1:$EZ$1500,설정!$L$5+ROW()-1,설정!$L$14)),INDEX(원자료_잔고!$A$1:$EZ$1500,설정!$L$5+ROW()-1,설정!$L$14),""),"")</f>
        <v>0.0968</v>
      </c>
      <c r="I152" s="86" t="n">
        <f aca="false">IFERROR(IF(ISNUMBER(INDEX(원자료_잔고!$A$1:$EZ$1500,설정!$L$5+ROW()-1,설정!$L$15)),INDEX(원자료_잔고!$A$1:$EZ$1500,설정!$L$5+ROW()-1,설정!$L$15),""),"")</f>
        <v>46332</v>
      </c>
      <c r="J152" s="85" t="n">
        <f aca="false">IFERROR(IF(ISNUMBER(INDEX(원자료_잔고!$A$1:$EZ$1500,설정!$L$5+ROW()-1,설정!$L$16)),INDEX(원자료_잔고!$A$1:$EZ$1500,설정!$L$5+ROW()-1,설정!$L$16),""),"")</f>
        <v>6.875</v>
      </c>
      <c r="K152" s="87" t="n">
        <f aca="false">IFERROR(IF(ISNUMBER(INDEX(원자료_잔고!$A$1:$EZ$1500,설정!$L$5+ROW()-1,설정!$L$17)),INDEX(원자료_잔고!$A$1:$EZ$1500,설정!$L$5+ROW()-1,설정!$L$17),""),"")</f>
        <v>1</v>
      </c>
      <c r="L152" s="84" t="n">
        <f aca="false">IFERROR(IF(ISNUMBER(INDEX(원자료_잔고!$A$1:$EZ$1500,설정!$L$5+ROW()-1,설정!$L$18)),INDEX(원자료_잔고!$A$1:$EZ$1500,설정!$L$5+ROW()-1,설정!$L$18),""),"")</f>
        <v>9013041</v>
      </c>
      <c r="M152" s="88" t="n">
        <f aca="false">IFERROR(IF(ISNUMBER(INDEX(원자료_잔고!$A$1:$EZ$1500,설정!$L$5+ROW()-1,설정!$L$19)),INDEX(원자료_잔고!$A$1:$EZ$1500,설정!$L$5+ROW()-1,설정!$L$19),""),"")</f>
        <v>-22959</v>
      </c>
      <c r="N152" s="83" t="str">
        <f aca="false">IFERROR(IF(INDEX(원자료_잔고!$A$1:$EZ$1500,설정!$L$5+ROW()-1,설정!$L$21)&amp;""="0","",INDEX(원자료_잔고!$A$1:$EZ$1500,설정!$L$5+ROW()-1,설정!$L$21)&amp;""),"")</f>
        <v>BBB</v>
      </c>
      <c r="O152" s="83" t="str">
        <f aca="false">IFERROR(IF(INDEX(원자료_잔고!$A$1:$EZ$1500,설정!$L$5+ROW()-1,설정!$L$22)&amp;""="0","",INDEX(원자료_잔고!$A$1:$EZ$1500,설정!$L$5+ROW()-1,설정!$L$22)&amp;""),"")</f>
        <v/>
      </c>
      <c r="P152" s="83" t="str">
        <f aca="false">IFERROR(IF(INDEX(원자료_잔고!$A$1:$EZ$1500,설정!$L$5+ROW()-1,설정!$L$23)&amp;""="0","",INDEX(원자료_잔고!$A$1:$EZ$1500,설정!$L$5+ROW()-1,설정!$L$23)&amp;""),"")</f>
        <v>N/A</v>
      </c>
      <c r="Q152" s="89" t="n">
        <f aca="false">IF(AND($A152&lt;&gt;"",ISNUMBER(E152)),IF(E152&gt;0,1,0),0)</f>
        <v>1</v>
      </c>
      <c r="R152" s="43" t="str">
        <f aca="false">IF(Q152=1,UPPER(LEFT($A152,FIND(" ",$A152&amp;" ")-1)),"")</f>
        <v>DFHOLD</v>
      </c>
      <c r="S152" s="89" t="n">
        <f aca="false">IF(Q152=1,IF(OR(ISNUMBER(SEARCH("Float",$A152)),ISNUMBER(SEARCH("FRN",$A152))),1,0),0)</f>
        <v>0</v>
      </c>
      <c r="T152" s="43" t="str">
        <f aca="false">IF(AND(Q152=1,ISNUMBER(I152)),TEXT(I152,"yyyymmdd")&amp;"|"&amp;IF(S152=1,"F",TEXT(J152,"0.000")),"")</f>
        <v>20261106|6.875</v>
      </c>
      <c r="U152" s="90" t="n">
        <f aca="false">IF(AND(Q152=1,ISNUMBER(I152)),(I152-설정!$C$4)/365.25,"")</f>
        <v>0.0985626283367557</v>
      </c>
      <c r="V152" s="43" t="str">
        <f aca="false">IF(Q152&lt;&gt;1,"",IF(ISNUMBER(U152),IF(U152&lt;=1,"1년 이하",IF(U152&lt;=2,"1-2년",IF(U152&lt;=3,"2-3년",IF(U152&lt;=4,"3-4년",IF(U152&lt;=5,"4-5년",IF(U152&lt;=7,"5-7년",IF(U152&lt;=10,"7-10년",IF(U152&lt;=20,"10-20년","20년 이상")))))))),"미분류"))</f>
        <v>1년 이하</v>
      </c>
      <c r="W152" s="43" t="str">
        <f aca="false">IF(Q152&lt;&gt;1,"",IF(AB152&lt;&gt;"",INDEX(시장분석!$C:$C,AB152),IF(K152=1,"USD","비USD")))</f>
        <v>USD</v>
      </c>
      <c r="X152" s="91" t="n">
        <f aca="false">IF(Q152=1,E152*K152/1000000,0)</f>
        <v>9</v>
      </c>
      <c r="Y152" s="89" t="n">
        <f aca="false">IF(R152="T",1,0)</f>
        <v>0</v>
      </c>
      <c r="Z152" s="92" t="n">
        <f aca="false">IF(Q152&lt;&gt;1,"",IF(AD152=1,IF(ISNUMBER(U152),MAX(U152,0),H152),H152))</f>
        <v>0.0968</v>
      </c>
      <c r="AA152" s="91" t="n">
        <f aca="false">IF(Q152=1,IF(ISNUMBER(L152),L152,0)*K152/1000000,0)</f>
        <v>9.013041</v>
      </c>
      <c r="AB152" s="89" t="n">
        <f aca="false">IF(Q152&lt;&gt;1,"",IFERROR(MATCH(VLOOKUP(B152,매핑!$H$4:$I$15,2,0),시장분석!$A$2:$A$601,0)+1,IFERROR(MATCH(R152&amp;"|"&amp;T152,시장분석!$V$2:$V$601,0)+1,IF(COUNTIF(시장분석!$U$2:$U$601,T152)=1,MATCH(T152,시장분석!$U$2:$U$601,0)+1,""))))</f>
        <v>224</v>
      </c>
      <c r="AC152" s="89" t="n">
        <f aca="false">IF(Q152&lt;&gt;1,0,IF(OR(설정!$C$5="전체",AND(설정!$C$5="선택펀드",IFERROR(COUNTIFS(설정!$F$16:$F$36,C152,설정!$G$16:$G$36,"Y")+COUNTIFS(설정!$F$16:$F$36,VALUE(C152),설정!$G$16:$G$36,"Y"),0)&gt;0),C152&amp;""=설정!$C$5&amp;""),1,0))</f>
        <v>1</v>
      </c>
      <c r="AD152" s="89" t="n">
        <f aca="false">IF(Q152&lt;&gt;1,0,IF(OR(S152=1,IF(AB152="",FALSE(),INDEX(시장분석!$R:$R,AB152)=1)),1,0))</f>
        <v>0</v>
      </c>
      <c r="AE152" s="43" t="str">
        <f aca="false">IF(AB152="","",INDEX(시장분석!$A:$A,AB152))</f>
        <v>DFHOLD 6 7/8 11/06/26</v>
      </c>
      <c r="AF152" s="93" t="n">
        <f aca="false">IF(AB152="","",IF(ISNUMBER(IF(AB152="","",INDEX(시장분석!$E:$E,AB152))),IF(AB152="","",INDEX(시장분석!$E:$E,AB152)),""))</f>
        <v>-6.955</v>
      </c>
      <c r="AG152" s="43" t="str">
        <f aca="false">IF(Q152&lt;&gt;1,"",IF(AB152&lt;&gt;"",IF(AB152="","",INDEX(시장분석!$L:$L,AB152)),IFERROR(IF(VLOOKUP(R152,매핑!$A$4:$E$92,5,0)="","미분류",VLOOKUP(R152,매핑!$A$4:$E$92,5,0)),"미분류")))</f>
        <v>금융기관</v>
      </c>
      <c r="AH152" s="43" t="str">
        <f aca="false">IF(Q152&lt;&gt;1,"",IF(AB152&lt;&gt;"",IF(AB152="","",INDEX(시장분석!$N:$N,AB152)),IFERROR(IF(VLOOKUP(R152,매핑!$A$4:$E$92,4,0)="","미분류",VLOOKUP(R152,매핑!$A$4:$E$92,4,0)),"미분류")))</f>
        <v>아시아/기타</v>
      </c>
      <c r="AI152" s="43" t="str">
        <f aca="false">IF(Q152&lt;&gt;1,"",IFERROR(IF(VLOOKUP(R152,매핑!$A$4:$E$92,3,0)="","미분류",VLOOKUP(R152,매핑!$A$4:$E$92,3,0)),IF(AB152&lt;&gt;"",IF(AB152="","",INDEX(시장분석!$W:$W,AB152)),"미분류")))</f>
        <v>한국</v>
      </c>
      <c r="AJ152" s="43" t="str">
        <f aca="false">IF(Q152&lt;&gt;1,"",IFERROR(VLOOKUP(IF(N152&lt;&gt;"",N152,IF(P152&lt;&gt;"",P152,O152)),설정!$A$15:$D$47,2,0),""))</f>
        <v>BBB</v>
      </c>
      <c r="AK152" s="43" t="str">
        <f aca="false">IF(Q152&lt;&gt;1,"",IF(AJ152="","무등급",IFERROR(VLOOKUP(AJ152,설정!$A$15:$D$47,3,0),"무등급")))</f>
        <v>BBB</v>
      </c>
      <c r="AL152" s="89" t="n">
        <f aca="false">IF(AJ152="",99,IFERROR(VLOOKUP(AJ152,설정!$A$15:$D$47,4,0),99))</f>
        <v>9</v>
      </c>
      <c r="AM152" s="94" t="n">
        <f aca="false">IF(ISNUMBER(H152),AA152*1000000*H152/10000,0)</f>
        <v>87.24623688</v>
      </c>
      <c r="AN152" s="94" t="n">
        <f aca="false">IF(OR(Y152=1,NOT(ISNUMBER(Z152))),0,AA152*1000000*Z152/10000)</f>
        <v>87.24623688</v>
      </c>
      <c r="AO152" s="94" t="n">
        <f aca="false">IF(ISNUMBER(G152),AA152*1000000*G152/100,0)</f>
        <v>476050.799538</v>
      </c>
      <c r="AP152" s="94" t="n">
        <f aca="false">IF(ISNUMBER(M152),M152*K152,0)</f>
        <v>-22959</v>
      </c>
      <c r="AQ152" s="95" t="str">
        <f aca="false">IF(AB152="","",INDEX(시장분석!$AK:$AK,AB152))</f>
        <v/>
      </c>
      <c r="AR152" s="43" t="str">
        <f aca="false">IF(AB152="","-",IF(AB152="","",INDEX(시장분석!$AL:$AL,AB152)))</f>
        <v>-</v>
      </c>
      <c r="AS152" s="96" t="str">
        <f aca="false">IF(AB152="","",INDEX(시장분석!$AJ:$AJ,AB152))</f>
        <v/>
      </c>
      <c r="AT152" s="93" t="n">
        <f aca="false">IF(AB152="",0,IF(AB152="","",INDEX(시장분석!$AN:$AN,AB152)))</f>
        <v>0</v>
      </c>
      <c r="AU152" s="94" t="n">
        <f aca="false">IF(ISNUMBER(Z152),AT152/10000*MAX(Z152-1,0)*AA152*1000000,0)</f>
        <v>0</v>
      </c>
      <c r="AV152" s="94" t="n">
        <f aca="false">AO152+AU152</f>
        <v>476050.799538</v>
      </c>
      <c r="AW152" s="43" t="str">
        <f aca="false">IF(Q152&lt;&gt;1,"",TRIM(IF(AD152=1,"FRN ","")&amp;IF(AND(AL152&gt;=10,AL152&lt;99),"BBB0미만 ","")&amp;IF(AJ152="","등급없음 ","")&amp;IF(K152&lt;&gt;1,"비USD ","")&amp;IF(AND(AB152="",Y152=0),"시장데이터없음 ","")&amp;IF(AND(ISNUMBER(U152),U152&lt;0),"만기경과 ","")))</f>
        <v/>
      </c>
      <c r="AX152" s="90" t="n">
        <f aca="false">IF(Q152&lt;&gt;1,1,IF(스프레드쇼크!$C$4="Y",INDEX(스프레드쇼크!$B$12:$L$16,IFERROR(MATCH(AH152,스프레드쇼크!$A$12:$A$16,0),MATCH("목록외",스프레드쇼크!$A$12:$A$16,0)),IFERROR(MATCH(AG152,스프레드쇼크!$B$11:$L$11,0),MATCH("목록외",스프레드쇼크!$B$11:$L$11,0))),1))</f>
        <v>1</v>
      </c>
      <c r="AY152" s="90" t="n">
        <f aca="false">IF(스프레드쇼크!$C$5="Y",IF(ISNUMBER(AF152),MIN(스프레드쇼크!$C$7,MAX(스프레드쇼크!$C$6,AF152/스프레드쇼크!$C$8)),1),1)</f>
        <v>0.25</v>
      </c>
      <c r="AZ152" s="94" t="n">
        <f aca="false">AN152*AX152*AY152</f>
        <v>21.81155922</v>
      </c>
      <c r="BA152" s="90" t="n">
        <f aca="false">IF(ISNUMBER(G152),AA152*G152,0)</f>
        <v>47.6050799538</v>
      </c>
      <c r="BB152" s="90" t="n">
        <f aca="false">IF(ISNUMBER(G152),AA152,0)</f>
        <v>9.013041</v>
      </c>
      <c r="BC152" s="90" t="n">
        <f aca="false">IF(AND(Y152=0,ISNUMBER(AF152)),AA152*AF152,0)</f>
        <v>-62.685700155</v>
      </c>
      <c r="BD152" s="90" t="n">
        <f aca="false">IF(AND(Y152=0,ISNUMBER(AF152)),AA152,0)</f>
        <v>9.013041</v>
      </c>
      <c r="BE152" s="90" t="n">
        <f aca="false">IF(ISNUMBER(H152),AA152*H152,0)</f>
        <v>0.8724623688</v>
      </c>
      <c r="BF152" s="90" t="n">
        <f aca="false">IF(ISNUMBER(H152),AA152,0)</f>
        <v>9.013041</v>
      </c>
      <c r="BG152" s="90" t="n">
        <f aca="false">IF(AND(Y152=0,ISNUMBER(AF152),ISNUMBER(Z152)),AA152*Z152,0)</f>
        <v>0.8724623688</v>
      </c>
      <c r="BH152" s="90" t="n">
        <f aca="false">IF(AND(Y152=0,ISNUMBER(AF152),ISNUMBER(Z152)),AA152*AT152*MAX(Z152-1,0),0)</f>
        <v>0</v>
      </c>
      <c r="BI152" s="90" t="n">
        <f aca="false">IF(Y152=0,AA152,0)</f>
        <v>9.013041</v>
      </c>
    </row>
    <row r="153" customFormat="false" ht="15" hidden="false" customHeight="false" outlineLevel="0" collapsed="false">
      <c r="A153" s="83" t="str">
        <f aca="false">IFERROR(IF(INDEX(원자료_잔고!$A$1:$EZ$1500,설정!$L$5+ROW()-1,설정!$L$8)&amp;""="0","",INDEX(원자료_잔고!$A$1:$EZ$1500,설정!$L$5+ROW()-1,설정!$L$8)&amp;""),"")</f>
        <v>DAESEC 6 01/26/29</v>
      </c>
      <c r="B153" s="83" t="str">
        <f aca="false">IFERROR(IF(INDEX(원자료_잔고!$A$1:$EZ$1500,설정!$L$5+ROW()-1,설정!$L$7)&amp;""="0","",INDEX(원자료_잔고!$A$1:$EZ$1500,설정!$L$5+ROW()-1,설정!$L$7)&amp;""),"")</f>
        <v>XS2739009855</v>
      </c>
      <c r="C153" s="83" t="str">
        <f aca="false">IFERROR(IF(INDEX(원자료_잔고!$A$1:$EZ$1500,설정!$L$5+ROW()-1,설정!$L$9)&amp;""="0","",INDEX(원자료_잔고!$A$1:$EZ$1500,설정!$L$5+ROW()-1,설정!$L$9)&amp;""),"")</f>
        <v>34507</v>
      </c>
      <c r="D15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3" s="84" t="n">
        <f aca="false">IFERROR(IF(ISNUMBER(INDEX(원자료_잔고!$A$1:$EZ$1500,설정!$L$5+ROW()-1,설정!$L$11)),INDEX(원자료_잔고!$A$1:$EZ$1500,설정!$L$5+ROW()-1,설정!$L$11),""),"")</f>
        <v>10000000</v>
      </c>
      <c r="F153" s="85" t="n">
        <f aca="false">IFERROR(IF(ISNUMBER(INDEX(원자료_잔고!$A$1:$EZ$1500,설정!$L$5+ROW()-1,설정!$L$12)),INDEX(원자료_잔고!$A$1:$EZ$1500,설정!$L$5+ROW()-1,설정!$L$12),""),"")</f>
        <v>100.5778</v>
      </c>
      <c r="G153" s="85" t="n">
        <f aca="false">IFERROR(IF(ISNUMBER(INDEX(원자료_잔고!$A$1:$EZ$1500,설정!$L$5+ROW()-1,설정!$L$13)),INDEX(원자료_잔고!$A$1:$EZ$1500,설정!$L$5+ROW()-1,설정!$L$13),""),"")</f>
        <v>5.726</v>
      </c>
      <c r="H153" s="85" t="n">
        <f aca="false">IFERROR(IF(ISNUMBER(INDEX(원자료_잔고!$A$1:$EZ$1500,설정!$L$5+ROW()-1,설정!$L$14)),INDEX(원자료_잔고!$A$1:$EZ$1500,설정!$L$5+ROW()-1,설정!$L$14),""),"")</f>
        <v>2.0762</v>
      </c>
      <c r="I153" s="86" t="n">
        <f aca="false">IFERROR(IF(ISNUMBER(INDEX(원자료_잔고!$A$1:$EZ$1500,설정!$L$5+ROW()-1,설정!$L$15)),INDEX(원자료_잔고!$A$1:$EZ$1500,설정!$L$5+ROW()-1,설정!$L$15),""),"")</f>
        <v>47144</v>
      </c>
      <c r="J153" s="85" t="n">
        <f aca="false">IFERROR(IF(ISNUMBER(INDEX(원자료_잔고!$A$1:$EZ$1500,설정!$L$5+ROW()-1,설정!$L$16)),INDEX(원자료_잔고!$A$1:$EZ$1500,설정!$L$5+ROW()-1,설정!$L$16),""),"")</f>
        <v>6</v>
      </c>
      <c r="K153" s="87" t="n">
        <f aca="false">IFERROR(IF(ISNUMBER(INDEX(원자료_잔고!$A$1:$EZ$1500,설정!$L$5+ROW()-1,설정!$L$17)),INDEX(원자료_잔고!$A$1:$EZ$1500,설정!$L$5+ROW()-1,설정!$L$17),""),"")</f>
        <v>1</v>
      </c>
      <c r="L153" s="84" t="n">
        <f aca="false">IFERROR(IF(ISNUMBER(INDEX(원자료_잔고!$A$1:$EZ$1500,설정!$L$5+ROW()-1,설정!$L$18)),INDEX(원자료_잔고!$A$1:$EZ$1500,설정!$L$5+ROW()-1,설정!$L$18),""),"")</f>
        <v>10057780</v>
      </c>
      <c r="M153" s="88" t="n">
        <f aca="false">IFERROR(IF(ISNUMBER(INDEX(원자료_잔고!$A$1:$EZ$1500,설정!$L$5+ROW()-1,설정!$L$19)),INDEX(원자료_잔고!$A$1:$EZ$1500,설정!$L$5+ROW()-1,설정!$L$19),""),"")</f>
        <v>-49620</v>
      </c>
      <c r="N153" s="83" t="str">
        <f aca="false">IFERROR(IF(INDEX(원자료_잔고!$A$1:$EZ$1500,설정!$L$5+ROW()-1,설정!$L$21)&amp;""="0","",INDEX(원자료_잔고!$A$1:$EZ$1500,설정!$L$5+ROW()-1,설정!$L$21)&amp;""),"")</f>
        <v>N/A</v>
      </c>
      <c r="O153" s="83" t="str">
        <f aca="false">IFERROR(IF(INDEX(원자료_잔고!$A$1:$EZ$1500,설정!$L$5+ROW()-1,설정!$L$22)&amp;""="0","",INDEX(원자료_잔고!$A$1:$EZ$1500,설정!$L$5+ROW()-1,설정!$L$22)&amp;""),"")</f>
        <v/>
      </c>
      <c r="P153" s="83" t="str">
        <f aca="false">IFERROR(IF(INDEX(원자료_잔고!$A$1:$EZ$1500,설정!$L$5+ROW()-1,설정!$L$23)&amp;""="0","",INDEX(원자료_잔고!$A$1:$EZ$1500,설정!$L$5+ROW()-1,설정!$L$23)&amp;""),"")</f>
        <v>BBB</v>
      </c>
      <c r="Q153" s="89" t="n">
        <f aca="false">IF(AND($A153&lt;&gt;"",ISNUMBER(E153)),IF(E153&gt;0,1,0),0)</f>
        <v>1</v>
      </c>
      <c r="R153" s="43" t="str">
        <f aca="false">IF(Q153=1,UPPER(LEFT($A153,FIND(" ",$A153&amp;" ")-1)),"")</f>
        <v>DAESEC</v>
      </c>
      <c r="S153" s="89" t="n">
        <f aca="false">IF(Q153=1,IF(OR(ISNUMBER(SEARCH("Float",$A153)),ISNUMBER(SEARCH("FRN",$A153))),1,0),0)</f>
        <v>0</v>
      </c>
      <c r="T153" s="43" t="str">
        <f aca="false">IF(AND(Q153=1,ISNUMBER(I153)),TEXT(I153,"yyyymmdd")&amp;"|"&amp;IF(S153=1,"F",TEXT(J153,"0.000")),"")</f>
        <v>20290126|6.000</v>
      </c>
      <c r="U153" s="90" t="n">
        <f aca="false">IF(AND(Q153=1,ISNUMBER(I153)),(I153-설정!$C$4)/365.25,"")</f>
        <v>2.32169746748802</v>
      </c>
      <c r="V153" s="43" t="str">
        <f aca="false">IF(Q153&lt;&gt;1,"",IF(ISNUMBER(U153),IF(U153&lt;=1,"1년 이하",IF(U153&lt;=2,"1-2년",IF(U153&lt;=3,"2-3년",IF(U153&lt;=4,"3-4년",IF(U153&lt;=5,"4-5년",IF(U153&lt;=7,"5-7년",IF(U153&lt;=10,"7-10년",IF(U153&lt;=20,"10-20년","20년 이상")))))))),"미분류"))</f>
        <v>2-3년</v>
      </c>
      <c r="W153" s="43" t="str">
        <f aca="false">IF(Q153&lt;&gt;1,"",IF(AB153&lt;&gt;"",INDEX(시장분석!$C:$C,AB153),IF(K153=1,"USD","비USD")))</f>
        <v>USD</v>
      </c>
      <c r="X153" s="91" t="n">
        <f aca="false">IF(Q153=1,E153*K153/1000000,0)</f>
        <v>10</v>
      </c>
      <c r="Y153" s="89" t="n">
        <f aca="false">IF(R153="T",1,0)</f>
        <v>0</v>
      </c>
      <c r="Z153" s="92" t="n">
        <f aca="false">IF(Q153&lt;&gt;1,"",IF(AD153=1,IF(ISNUMBER(U153),MAX(U153,0),H153),H153))</f>
        <v>2.0762</v>
      </c>
      <c r="AA153" s="91" t="n">
        <f aca="false">IF(Q153=1,IF(ISNUMBER(L153),L153,0)*K153/1000000,0)</f>
        <v>10.05778</v>
      </c>
      <c r="AB153" s="89" t="n">
        <f aca="false">IF(Q153&lt;&gt;1,"",IFERROR(MATCH(VLOOKUP(B153,매핑!$H$4:$I$15,2,0),시장분석!$A$2:$A$601,0)+1,IFERROR(MATCH(R153&amp;"|"&amp;T153,시장분석!$V$2:$V$601,0)+1,IF(COUNTIF(시장분석!$U$2:$U$601,T153)=1,MATCH(T153,시장분석!$U$2:$U$601,0)+1,""))))</f>
        <v>225</v>
      </c>
      <c r="AC153" s="89" t="n">
        <f aca="false">IF(Q153&lt;&gt;1,0,IF(OR(설정!$C$5="전체",AND(설정!$C$5="선택펀드",IFERROR(COUNTIFS(설정!$F$16:$F$36,C153,설정!$G$16:$G$36,"Y")+COUNTIFS(설정!$F$16:$F$36,VALUE(C153),설정!$G$16:$G$36,"Y"),0)&gt;0),C153&amp;""=설정!$C$5&amp;""),1,0))</f>
        <v>1</v>
      </c>
      <c r="AD153" s="89" t="n">
        <f aca="false">IF(Q153&lt;&gt;1,0,IF(OR(S153=1,IF(AB153="",FALSE(),INDEX(시장분석!$R:$R,AB153)=1)),1,0))</f>
        <v>0</v>
      </c>
      <c r="AE153" s="43" t="str">
        <f aca="false">IF(AB153="","",INDEX(시장분석!$A:$A,AB153))</f>
        <v>DAESEC 6 01/26/29</v>
      </c>
      <c r="AF153" s="93" t="n">
        <f aca="false">IF(AB153="","",IF(ISNUMBER(IF(AB153="","",INDEX(시장분석!$E:$E,AB153))),IF(AB153="","",INDEX(시장분석!$E:$E,AB153)),""))</f>
        <v>75.174</v>
      </c>
      <c r="AG153" s="43" t="str">
        <f aca="false">IF(Q153&lt;&gt;1,"",IF(AB153&lt;&gt;"",IF(AB153="","",INDEX(시장분석!$L:$L,AB153)),IFERROR(IF(VLOOKUP(R153,매핑!$A$4:$E$92,5,0)="","미분류",VLOOKUP(R153,매핑!$A$4:$E$92,5,0)),"미분류")))</f>
        <v>금융기관</v>
      </c>
      <c r="AH153" s="43" t="str">
        <f aca="false">IF(Q153&lt;&gt;1,"",IF(AB153&lt;&gt;"",IF(AB153="","",INDEX(시장분석!$N:$N,AB153)),IFERROR(IF(VLOOKUP(R153,매핑!$A$4:$E$92,4,0)="","미분류",VLOOKUP(R153,매핑!$A$4:$E$92,4,0)),"미분류")))</f>
        <v>아시아/기타</v>
      </c>
      <c r="AI153" s="43" t="str">
        <f aca="false">IF(Q153&lt;&gt;1,"",IFERROR(IF(VLOOKUP(R153,매핑!$A$4:$E$92,3,0)="","미분류",VLOOKUP(R153,매핑!$A$4:$E$92,3,0)),IF(AB153&lt;&gt;"",IF(AB153="","",INDEX(시장분석!$W:$W,AB153)),"미분류")))</f>
        <v>한국</v>
      </c>
      <c r="AJ153" s="43" t="str">
        <f aca="false">IF(Q153&lt;&gt;1,"",IFERROR(VLOOKUP(IF(N153&lt;&gt;"",N153,IF(P153&lt;&gt;"",P153,O153)),설정!$A$15:$D$47,2,0),""))</f>
        <v/>
      </c>
      <c r="AK153" s="43" t="str">
        <f aca="false">IF(Q153&lt;&gt;1,"",IF(AJ153="","무등급",IFERROR(VLOOKUP(AJ153,설정!$A$15:$D$47,3,0),"무등급")))</f>
        <v>무등급</v>
      </c>
      <c r="AL153" s="89" t="n">
        <f aca="false">IF(AJ153="",99,IFERROR(VLOOKUP(AJ153,설정!$A$15:$D$47,4,0),99))</f>
        <v>99</v>
      </c>
      <c r="AM153" s="94" t="n">
        <f aca="false">IF(ISNUMBER(H153),AA153*1000000*H153/10000,0)</f>
        <v>2088.1962836</v>
      </c>
      <c r="AN153" s="94" t="n">
        <f aca="false">IF(OR(Y153=1,NOT(ISNUMBER(Z153))),0,AA153*1000000*Z153/10000)</f>
        <v>2088.1962836</v>
      </c>
      <c r="AO153" s="94" t="n">
        <f aca="false">IF(ISNUMBER(G153),AA153*1000000*G153/100,0)</f>
        <v>575908.4828</v>
      </c>
      <c r="AP153" s="94" t="n">
        <f aca="false">IF(ISNUMBER(M153),M153*K153,0)</f>
        <v>-49620</v>
      </c>
      <c r="AQ153" s="95" t="n">
        <f aca="false">IF(AB153="","",INDEX(시장분석!$AK:$AK,AB153))</f>
        <v>0.698115430060699</v>
      </c>
      <c r="AR153" s="43" t="str">
        <f aca="false">IF(AB153="","-",IF(AB153="","",INDEX(시장분석!$AL:$AL,AB153)))</f>
        <v>Fair</v>
      </c>
      <c r="AS153" s="96" t="n">
        <f aca="false">IF(AB153="","",INDEX(시장분석!$AJ:$AJ,AB153))</f>
        <v>14.2929273750109</v>
      </c>
      <c r="AT153" s="93" t="n">
        <f aca="false">IF(AB153="",0,IF(AB153="","",INDEX(시장분석!$AN:$AN,AB153)))</f>
        <v>8.61414835985263</v>
      </c>
      <c r="AU153" s="94" t="n">
        <f aca="false">IF(ISNUMBER(Z153),AT153/10000*MAX(Z153-1,0)*AA153*1000000,0)</f>
        <v>9324.11168234744</v>
      </c>
      <c r="AV153" s="94" t="n">
        <f aca="false">AO153+AU153</f>
        <v>585232.594482348</v>
      </c>
      <c r="AW153" s="43" t="str">
        <f aca="false">IF(Q153&lt;&gt;1,"",TRIM(IF(AD153=1,"FRN ","")&amp;IF(AND(AL153&gt;=10,AL153&lt;99),"BBB0미만 ","")&amp;IF(AJ153="","등급없음 ","")&amp;IF(K153&lt;&gt;1,"비USD ","")&amp;IF(AND(AB153="",Y153=0),"시장데이터없음 ","")&amp;IF(AND(ISNUMBER(U153),U153&lt;0),"만기경과 ","")))</f>
        <v>등급없음</v>
      </c>
      <c r="AX153" s="90" t="n">
        <f aca="false">IF(Q153&lt;&gt;1,1,IF(스프레드쇼크!$C$4="Y",INDEX(스프레드쇼크!$B$12:$L$16,IFERROR(MATCH(AH153,스프레드쇼크!$A$12:$A$16,0),MATCH("목록외",스프레드쇼크!$A$12:$A$16,0)),IFERROR(MATCH(AG153,스프레드쇼크!$B$11:$L$11,0),MATCH("목록외",스프레드쇼크!$B$11:$L$11,0))),1))</f>
        <v>1</v>
      </c>
      <c r="AY153" s="90" t="n">
        <f aca="false">IF(스프레드쇼크!$C$5="Y",IF(ISNUMBER(AF153),MIN(스프레드쇼크!$C$7,MAX(스프레드쇼크!$C$6,AF153/스프레드쇼크!$C$8)),1),1)</f>
        <v>1.13703592402501</v>
      </c>
      <c r="AZ153" s="94" t="n">
        <f aca="false">AN153*AX153*AY153</f>
        <v>2374.35419086873</v>
      </c>
      <c r="BA153" s="90" t="n">
        <f aca="false">IF(ISNUMBER(G153),AA153*G153,0)</f>
        <v>57.59084828</v>
      </c>
      <c r="BB153" s="90" t="n">
        <f aca="false">IF(ISNUMBER(G153),AA153,0)</f>
        <v>10.05778</v>
      </c>
      <c r="BC153" s="90" t="n">
        <f aca="false">IF(AND(Y153=0,ISNUMBER(AF153)),AA153*AF153,0)</f>
        <v>756.08355372</v>
      </c>
      <c r="BD153" s="90" t="n">
        <f aca="false">IF(AND(Y153=0,ISNUMBER(AF153)),AA153,0)</f>
        <v>10.05778</v>
      </c>
      <c r="BE153" s="90" t="n">
        <f aca="false">IF(ISNUMBER(H153),AA153*H153,0)</f>
        <v>20.881962836</v>
      </c>
      <c r="BF153" s="90" t="n">
        <f aca="false">IF(ISNUMBER(H153),AA153,0)</f>
        <v>10.05778</v>
      </c>
      <c r="BG153" s="90" t="n">
        <f aca="false">IF(AND(Y153=0,ISNUMBER(AF153),ISNUMBER(Z153)),AA153*Z153,0)</f>
        <v>20.881962836</v>
      </c>
      <c r="BH153" s="90" t="n">
        <f aca="false">IF(AND(Y153=0,ISNUMBER(AF153),ISNUMBER(Z153)),AA153*AT153*MAX(Z153-1,0),0)</f>
        <v>93.2411168234743</v>
      </c>
      <c r="BI153" s="90" t="n">
        <f aca="false">IF(Y153=0,AA153,0)</f>
        <v>10.05778</v>
      </c>
    </row>
    <row r="154" customFormat="false" ht="15" hidden="false" customHeight="false" outlineLevel="0" collapsed="false">
      <c r="A154" s="83" t="str">
        <f aca="false">IFERROR(IF(INDEX(원자료_잔고!$A$1:$EZ$1500,설정!$L$5+ROW()-1,설정!$L$8)&amp;""="0","",INDEX(원자료_잔고!$A$1:$EZ$1500,설정!$L$5+ROW()-1,설정!$L$8)&amp;""),"")</f>
        <v>TD 5.15 06/30/30</v>
      </c>
      <c r="B154" s="83" t="str">
        <f aca="false">IFERROR(IF(INDEX(원자료_잔고!$A$1:$EZ$1500,설정!$L$5+ROW()-1,설정!$L$7)&amp;""="0","",INDEX(원자료_잔고!$A$1:$EZ$1500,설정!$L$5+ROW()-1,설정!$L$7)&amp;""),"")</f>
        <v>XS3017043053</v>
      </c>
      <c r="C154" s="83" t="str">
        <f aca="false">IFERROR(IF(INDEX(원자료_잔고!$A$1:$EZ$1500,설정!$L$5+ROW()-1,설정!$L$9)&amp;""="0","",INDEX(원자료_잔고!$A$1:$EZ$1500,설정!$L$5+ROW()-1,설정!$L$9)&amp;""),"")</f>
        <v>34507</v>
      </c>
      <c r="D15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4" s="84" t="n">
        <f aca="false">IFERROR(IF(ISNUMBER(INDEX(원자료_잔고!$A$1:$EZ$1500,설정!$L$5+ROW()-1,설정!$L$11)),INDEX(원자료_잔고!$A$1:$EZ$1500,설정!$L$5+ROW()-1,설정!$L$11),""),"")</f>
        <v>25000000</v>
      </c>
      <c r="F154" s="85" t="n">
        <f aca="false">IFERROR(IF(ISNUMBER(INDEX(원자료_잔고!$A$1:$EZ$1500,설정!$L$5+ROW()-1,설정!$L$12)),INDEX(원자료_잔고!$A$1:$EZ$1500,설정!$L$5+ROW()-1,설정!$L$12),""),"")</f>
        <v>97.978</v>
      </c>
      <c r="G154" s="85" t="n">
        <f aca="false">IFERROR(IF(ISNUMBER(INDEX(원자료_잔고!$A$1:$EZ$1500,설정!$L$5+ROW()-1,설정!$L$13)),INDEX(원자료_잔고!$A$1:$EZ$1500,설정!$L$5+ROW()-1,설정!$L$13),""),"")</f>
        <v>5.7549</v>
      </c>
      <c r="H154" s="85" t="n">
        <f aca="false">IFERROR(IF(ISNUMBER(INDEX(원자료_잔고!$A$1:$EZ$1500,설정!$L$5+ROW()-1,설정!$L$14)),INDEX(원자료_잔고!$A$1:$EZ$1500,설정!$L$5+ROW()-1,설정!$L$14),""),"")</f>
        <v>2.6976</v>
      </c>
      <c r="I154" s="86" t="n">
        <f aca="false">IFERROR(IF(ISNUMBER(INDEX(원자료_잔고!$A$1:$EZ$1500,설정!$L$5+ROW()-1,설정!$L$15)),INDEX(원자료_잔고!$A$1:$EZ$1500,설정!$L$5+ROW()-1,설정!$L$15),""),"")</f>
        <v>47664</v>
      </c>
      <c r="J154" s="85" t="n">
        <f aca="false">IFERROR(IF(ISNUMBER(INDEX(원자료_잔고!$A$1:$EZ$1500,설정!$L$5+ROW()-1,설정!$L$16)),INDEX(원자료_잔고!$A$1:$EZ$1500,설정!$L$5+ROW()-1,설정!$L$16),""),"")</f>
        <v>5.15</v>
      </c>
      <c r="K154" s="87" t="n">
        <f aca="false">IFERROR(IF(ISNUMBER(INDEX(원자료_잔고!$A$1:$EZ$1500,설정!$L$5+ROW()-1,설정!$L$17)),INDEX(원자료_잔고!$A$1:$EZ$1500,설정!$L$5+ROW()-1,설정!$L$17),""),"")</f>
        <v>1</v>
      </c>
      <c r="L154" s="84" t="n">
        <f aca="false">IFERROR(IF(ISNUMBER(INDEX(원자료_잔고!$A$1:$EZ$1500,설정!$L$5+ROW()-1,설정!$L$18)),INDEX(원자료_잔고!$A$1:$EZ$1500,설정!$L$5+ROW()-1,설정!$L$18),""),"")</f>
        <v>24494500</v>
      </c>
      <c r="M154" s="88" t="n">
        <f aca="false">IFERROR(IF(ISNUMBER(INDEX(원자료_잔고!$A$1:$EZ$1500,설정!$L$5+ROW()-1,설정!$L$19)),INDEX(원자료_잔고!$A$1:$EZ$1500,설정!$L$5+ROW()-1,설정!$L$19),""),"")</f>
        <v>-718000</v>
      </c>
      <c r="N154" s="83" t="str">
        <f aca="false">IFERROR(IF(INDEX(원자료_잔고!$A$1:$EZ$1500,설정!$L$5+ROW()-1,설정!$L$21)&amp;""="0","",INDEX(원자료_잔고!$A$1:$EZ$1500,설정!$L$5+ROW()-1,설정!$L$21)&amp;""),"")</f>
        <v>A-</v>
      </c>
      <c r="O154" s="83" t="str">
        <f aca="false">IFERROR(IF(INDEX(원자료_잔고!$A$1:$EZ$1500,설정!$L$5+ROW()-1,설정!$L$22)&amp;""="0","",INDEX(원자료_잔고!$A$1:$EZ$1500,설정!$L$5+ROW()-1,설정!$L$22)&amp;""),"")</f>
        <v/>
      </c>
      <c r="P154" s="83" t="str">
        <f aca="false">IFERROR(IF(INDEX(원자료_잔고!$A$1:$EZ$1500,설정!$L$5+ROW()-1,설정!$L$23)&amp;""="0","",INDEX(원자료_잔고!$A$1:$EZ$1500,설정!$L$5+ROW()-1,설정!$L$23)&amp;""),"")</f>
        <v>AA-</v>
      </c>
      <c r="Q154" s="89" t="n">
        <f aca="false">IF(AND($A154&lt;&gt;"",ISNUMBER(E154)),IF(E154&gt;0,1,0),0)</f>
        <v>1</v>
      </c>
      <c r="R154" s="43" t="str">
        <f aca="false">IF(Q154=1,UPPER(LEFT($A154,FIND(" ",$A154&amp;" ")-1)),"")</f>
        <v>TD</v>
      </c>
      <c r="S154" s="89" t="n">
        <f aca="false">IF(Q154=1,IF(OR(ISNUMBER(SEARCH("Float",$A154)),ISNUMBER(SEARCH("FRN",$A154))),1,0),0)</f>
        <v>0</v>
      </c>
      <c r="T154" s="43" t="str">
        <f aca="false">IF(AND(Q154=1,ISNUMBER(I154)),TEXT(I154,"yyyymmdd")&amp;"|"&amp;IF(S154=1,"F",TEXT(J154,"0.000")),"")</f>
        <v>20300630|5.150</v>
      </c>
      <c r="U154" s="90" t="n">
        <f aca="false">IF(AND(Q154=1,ISNUMBER(I154)),(I154-설정!$C$4)/365.25,"")</f>
        <v>3.74537987679671</v>
      </c>
      <c r="V154" s="43" t="str">
        <f aca="false">IF(Q154&lt;&gt;1,"",IF(ISNUMBER(U154),IF(U154&lt;=1,"1년 이하",IF(U154&lt;=2,"1-2년",IF(U154&lt;=3,"2-3년",IF(U154&lt;=4,"3-4년",IF(U154&lt;=5,"4-5년",IF(U154&lt;=7,"5-7년",IF(U154&lt;=10,"7-10년",IF(U154&lt;=20,"10-20년","20년 이상")))))))),"미분류"))</f>
        <v>3-4년</v>
      </c>
      <c r="W154" s="43" t="str">
        <f aca="false">IF(Q154&lt;&gt;1,"",IF(AB154&lt;&gt;"",INDEX(시장분석!$C:$C,AB154),IF(K154=1,"USD","비USD")))</f>
        <v>USD</v>
      </c>
      <c r="X154" s="91" t="n">
        <f aca="false">IF(Q154=1,E154*K154/1000000,0)</f>
        <v>25</v>
      </c>
      <c r="Y154" s="89" t="n">
        <f aca="false">IF(R154="T",1,0)</f>
        <v>0</v>
      </c>
      <c r="Z154" s="92" t="n">
        <f aca="false">IF(Q154&lt;&gt;1,"",IF(AD154=1,IF(ISNUMBER(U154),MAX(U154,0),H154),H154))</f>
        <v>2.6976</v>
      </c>
      <c r="AA154" s="91" t="n">
        <f aca="false">IF(Q154=1,IF(ISNUMBER(L154),L154,0)*K154/1000000,0)</f>
        <v>24.4945</v>
      </c>
      <c r="AB154" s="89" t="n">
        <f aca="false">IF(Q154&lt;&gt;1,"",IFERROR(MATCH(VLOOKUP(B154,매핑!$H$4:$I$15,2,0),시장분석!$A$2:$A$601,0)+1,IFERROR(MATCH(R154&amp;"|"&amp;T154,시장분석!$V$2:$V$601,0)+1,IF(COUNTIF(시장분석!$U$2:$U$601,T154)=1,MATCH(T154,시장분석!$U$2:$U$601,0)+1,""))))</f>
        <v>236</v>
      </c>
      <c r="AC154" s="89" t="n">
        <f aca="false">IF(Q154&lt;&gt;1,0,IF(OR(설정!$C$5="전체",AND(설정!$C$5="선택펀드",IFERROR(COUNTIFS(설정!$F$16:$F$36,C154,설정!$G$16:$G$36,"Y")+COUNTIFS(설정!$F$16:$F$36,VALUE(C154),설정!$G$16:$G$36,"Y"),0)&gt;0),C154&amp;""=설정!$C$5&amp;""),1,0))</f>
        <v>1</v>
      </c>
      <c r="AD154" s="89" t="n">
        <f aca="false">IF(Q154&lt;&gt;1,0,IF(OR(S154=1,IF(AB154="",FALSE(),INDEX(시장분석!$R:$R,AB154)=1)),1,0))</f>
        <v>0</v>
      </c>
      <c r="AE154" s="43" t="str">
        <f aca="false">IF(AB154="","",INDEX(시장분석!$A:$A,AB154))</f>
        <v>TD 5.15 06/30/30</v>
      </c>
      <c r="AF154" s="93" t="n">
        <f aca="false">IF(AB154="","",IF(ISNUMBER(IF(AB154="","",INDEX(시장분석!$E:$E,AB154))),IF(AB154="","",INDEX(시장분석!$E:$E,AB154)),""))</f>
        <v>53.762</v>
      </c>
      <c r="AG154" s="43" t="str">
        <f aca="false">IF(Q154&lt;&gt;1,"",IF(AB154&lt;&gt;"",IF(AB154="","",INDEX(시장분석!$L:$L,AB154)),IFERROR(IF(VLOOKUP(R154,매핑!$A$4:$E$92,5,0)="","미분류",VLOOKUP(R154,매핑!$A$4:$E$92,5,0)),"미분류")))</f>
        <v>금융기관</v>
      </c>
      <c r="AH154" s="43" t="str">
        <f aca="false">IF(Q154&lt;&gt;1,"",IF(AB154&lt;&gt;"",IF(AB154="","",INDEX(시장분석!$N:$N,AB154)),IFERROR(IF(VLOOKUP(R154,매핑!$A$4:$E$92,4,0)="","미분류",VLOOKUP(R154,매핑!$A$4:$E$92,4,0)),"미분류")))</f>
        <v>기타</v>
      </c>
      <c r="AI154" s="43" t="str">
        <f aca="false">IF(Q154&lt;&gt;1,"",IFERROR(IF(VLOOKUP(R154,매핑!$A$4:$E$92,3,0)="","미분류",VLOOKUP(R154,매핑!$A$4:$E$92,3,0)),IF(AB154&lt;&gt;"",IF(AB154="","",INDEX(시장분석!$W:$W,AB154)),"미분류")))</f>
        <v>캐나다</v>
      </c>
      <c r="AJ154" s="43" t="str">
        <f aca="false">IF(Q154&lt;&gt;1,"",IFERROR(VLOOKUP(IF(N154&lt;&gt;"",N154,IF(P154&lt;&gt;"",P154,O154)),설정!$A$15:$D$47,2,0),""))</f>
        <v>A-</v>
      </c>
      <c r="AK154" s="43" t="str">
        <f aca="false">IF(Q154&lt;&gt;1,"",IF(AJ154="","무등급",IFERROR(VLOOKUP(AJ154,설정!$A$15:$D$47,3,0),"무등급")))</f>
        <v>A</v>
      </c>
      <c r="AL154" s="89" t="n">
        <f aca="false">IF(AJ154="",99,IFERROR(VLOOKUP(AJ154,설정!$A$15:$D$47,4,0),99))</f>
        <v>7</v>
      </c>
      <c r="AM154" s="94" t="n">
        <f aca="false">IF(ISNUMBER(H154),AA154*1000000*H154/10000,0)</f>
        <v>6607.63632</v>
      </c>
      <c r="AN154" s="94" t="n">
        <f aca="false">IF(OR(Y154=1,NOT(ISNUMBER(Z154))),0,AA154*1000000*Z154/10000)</f>
        <v>6607.63632</v>
      </c>
      <c r="AO154" s="94" t="n">
        <f aca="false">IF(ISNUMBER(G154),AA154*1000000*G154/100,0)</f>
        <v>1409633.9805</v>
      </c>
      <c r="AP154" s="94" t="n">
        <f aca="false">IF(ISNUMBER(M154),M154*K154,0)</f>
        <v>-718000</v>
      </c>
      <c r="AQ154" s="95" t="n">
        <f aca="false">IF(AB154="","",INDEX(시장분석!$AK:$AK,AB154))</f>
        <v>-0.296261980752697</v>
      </c>
      <c r="AR154" s="43" t="str">
        <f aca="false">IF(AB154="","-",IF(AB154="","",INDEX(시장분석!$AL:$AL,AB154)))</f>
        <v>Fair</v>
      </c>
      <c r="AS154" s="96" t="n">
        <f aca="false">IF(AB154="","",INDEX(시장분석!$AJ:$AJ,AB154))</f>
        <v>-7.75843675691329</v>
      </c>
      <c r="AT154" s="93" t="n">
        <f aca="false">IF(AB154="",0,IF(AB154="","",INDEX(시장분석!$AN:$AN,AB154)))</f>
        <v>9.61165917866609</v>
      </c>
      <c r="AU154" s="94" t="n">
        <f aca="false">IF(ISNUMBER(Z154),AT154/10000*MAX(Z154-1,0)*AA154*1000000,0)</f>
        <v>39967.0697092318</v>
      </c>
      <c r="AV154" s="94" t="n">
        <f aca="false">AO154+AU154</f>
        <v>1449601.05020923</v>
      </c>
      <c r="AW154" s="43" t="str">
        <f aca="false">IF(Q154&lt;&gt;1,"",TRIM(IF(AD154=1,"FRN ","")&amp;IF(AND(AL154&gt;=10,AL154&lt;99),"BBB0미만 ","")&amp;IF(AJ154="","등급없음 ","")&amp;IF(K154&lt;&gt;1,"비USD ","")&amp;IF(AND(AB154="",Y154=0),"시장데이터없음 ","")&amp;IF(AND(ISNUMBER(U154),U154&lt;0),"만기경과 ","")))</f>
        <v/>
      </c>
      <c r="AX154" s="90" t="n">
        <f aca="false">IF(Q154&lt;&gt;1,1,IF(스프레드쇼크!$C$4="Y",INDEX(스프레드쇼크!$B$12:$L$16,IFERROR(MATCH(AH154,스프레드쇼크!$A$12:$A$16,0),MATCH("목록외",스프레드쇼크!$A$12:$A$16,0)),IFERROR(MATCH(AG154,스프레드쇼크!$B$11:$L$11,0),MATCH("목록외",스프레드쇼크!$B$11:$L$11,0))),1))</f>
        <v>1</v>
      </c>
      <c r="AY154" s="90" t="n">
        <f aca="false">IF(스프레드쇼크!$C$5="Y",IF(ISNUMBER(AF154),MIN(스프레드쇼크!$C$7,MAX(스프레드쇼크!$C$6,AF154/스프레드쇼크!$C$8)),1),1)</f>
        <v>0.813171114313895</v>
      </c>
      <c r="AZ154" s="94" t="n">
        <f aca="false">AN154*AX154*AY154</f>
        <v>5373.13898931537</v>
      </c>
      <c r="BA154" s="90" t="n">
        <f aca="false">IF(ISNUMBER(G154),AA154*G154,0)</f>
        <v>140.96339805</v>
      </c>
      <c r="BB154" s="90" t="n">
        <f aca="false">IF(ISNUMBER(G154),AA154,0)</f>
        <v>24.4945</v>
      </c>
      <c r="BC154" s="90" t="n">
        <f aca="false">IF(AND(Y154=0,ISNUMBER(AF154)),AA154*AF154,0)</f>
        <v>1316.873309</v>
      </c>
      <c r="BD154" s="90" t="n">
        <f aca="false">IF(AND(Y154=0,ISNUMBER(AF154)),AA154,0)</f>
        <v>24.4945</v>
      </c>
      <c r="BE154" s="90" t="n">
        <f aca="false">IF(ISNUMBER(H154),AA154*H154,0)</f>
        <v>66.0763632</v>
      </c>
      <c r="BF154" s="90" t="n">
        <f aca="false">IF(ISNUMBER(H154),AA154,0)</f>
        <v>24.4945</v>
      </c>
      <c r="BG154" s="90" t="n">
        <f aca="false">IF(AND(Y154=0,ISNUMBER(AF154),ISNUMBER(Z154)),AA154*Z154,0)</f>
        <v>66.0763632</v>
      </c>
      <c r="BH154" s="90" t="n">
        <f aca="false">IF(AND(Y154=0,ISNUMBER(AF154),ISNUMBER(Z154)),AA154*AT154*MAX(Z154-1,0),0)</f>
        <v>399.670697092318</v>
      </c>
      <c r="BI154" s="90" t="n">
        <f aca="false">IF(Y154=0,AA154,0)</f>
        <v>24.4945</v>
      </c>
    </row>
    <row r="155" customFormat="false" ht="15" hidden="false" customHeight="false" outlineLevel="0" collapsed="false">
      <c r="A155" s="83" t="str">
        <f aca="false">IFERROR(IF(INDEX(원자료_잔고!$A$1:$EZ$1500,설정!$L$5+ROW()-1,설정!$L$8)&amp;""="0","",INDEX(원자료_잔고!$A$1:$EZ$1500,설정!$L$5+ROW()-1,설정!$L$8)&amp;""),"")</f>
        <v>GS 4.7 03/20/29</v>
      </c>
      <c r="B155" s="83" t="str">
        <f aca="false">IFERROR(IF(INDEX(원자료_잔고!$A$1:$EZ$1500,설정!$L$5+ROW()-1,설정!$L$7)&amp;""="0","",INDEX(원자료_잔고!$A$1:$EZ$1500,설정!$L$5+ROW()-1,설정!$L$7)&amp;""),"")</f>
        <v>XS3028206350</v>
      </c>
      <c r="C155" s="83" t="str">
        <f aca="false">IFERROR(IF(INDEX(원자료_잔고!$A$1:$EZ$1500,설정!$L$5+ROW()-1,설정!$L$9)&amp;""="0","",INDEX(원자료_잔고!$A$1:$EZ$1500,설정!$L$5+ROW()-1,설정!$L$9)&amp;""),"")</f>
        <v>34507</v>
      </c>
      <c r="D15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5" s="84" t="n">
        <f aca="false">IFERROR(IF(ISNUMBER(INDEX(원자료_잔고!$A$1:$EZ$1500,설정!$L$5+ROW()-1,설정!$L$11)),INDEX(원자료_잔고!$A$1:$EZ$1500,설정!$L$5+ROW()-1,설정!$L$11),""),"")</f>
        <v>20000000</v>
      </c>
      <c r="F155" s="85" t="n">
        <f aca="false">IFERROR(IF(ISNUMBER(INDEX(원자료_잔고!$A$1:$EZ$1500,설정!$L$5+ROW()-1,설정!$L$12)),INDEX(원자료_잔고!$A$1:$EZ$1500,설정!$L$5+ROW()-1,설정!$L$12),""),"")</f>
        <v>98.0648</v>
      </c>
      <c r="G155" s="85" t="n">
        <f aca="false">IFERROR(IF(ISNUMBER(INDEX(원자료_잔고!$A$1:$EZ$1500,설정!$L$5+ROW()-1,설정!$L$13)),INDEX(원자료_잔고!$A$1:$EZ$1500,설정!$L$5+ROW()-1,설정!$L$13),""),"")</f>
        <v>5.5402</v>
      </c>
      <c r="H155" s="85" t="n">
        <f aca="false">IFERROR(IF(ISNUMBER(INDEX(원자료_잔고!$A$1:$EZ$1500,설정!$L$5+ROW()-1,설정!$L$14)),INDEX(원자료_잔고!$A$1:$EZ$1500,설정!$L$5+ROW()-1,설정!$L$14),""),"")</f>
        <v>2.0401</v>
      </c>
      <c r="I155" s="86" t="n">
        <f aca="false">IFERROR(IF(ISNUMBER(INDEX(원자료_잔고!$A$1:$EZ$1500,설정!$L$5+ROW()-1,설정!$L$15)),INDEX(원자료_잔고!$A$1:$EZ$1500,설정!$L$5+ROW()-1,설정!$L$15),""),"")</f>
        <v>47197</v>
      </c>
      <c r="J155" s="85" t="n">
        <f aca="false">IFERROR(IF(ISNUMBER(INDEX(원자료_잔고!$A$1:$EZ$1500,설정!$L$5+ROW()-1,설정!$L$16)),INDEX(원자료_잔고!$A$1:$EZ$1500,설정!$L$5+ROW()-1,설정!$L$16),""),"")</f>
        <v>4.7</v>
      </c>
      <c r="K155" s="87" t="n">
        <f aca="false">IFERROR(IF(ISNUMBER(INDEX(원자료_잔고!$A$1:$EZ$1500,설정!$L$5+ROW()-1,설정!$L$17)),INDEX(원자료_잔고!$A$1:$EZ$1500,설정!$L$5+ROW()-1,설정!$L$17),""),"")</f>
        <v>1</v>
      </c>
      <c r="L155" s="84" t="n">
        <f aca="false">IFERROR(IF(ISNUMBER(INDEX(원자료_잔고!$A$1:$EZ$1500,설정!$L$5+ROW()-1,설정!$L$18)),INDEX(원자료_잔고!$A$1:$EZ$1500,설정!$L$5+ROW()-1,설정!$L$18),""),"")</f>
        <v>19612960</v>
      </c>
      <c r="M155" s="88" t="n">
        <f aca="false">IFERROR(IF(ISNUMBER(INDEX(원자료_잔고!$A$1:$EZ$1500,설정!$L$5+ROW()-1,설정!$L$19)),INDEX(원자료_잔고!$A$1:$EZ$1500,설정!$L$5+ROW()-1,설정!$L$19),""),"")</f>
        <v>-387040</v>
      </c>
      <c r="N155" s="83" t="str">
        <f aca="false">IFERROR(IF(INDEX(원자료_잔고!$A$1:$EZ$1500,설정!$L$5+ROW()-1,설정!$L$21)&amp;""="0","",INDEX(원자료_잔고!$A$1:$EZ$1500,설정!$L$5+ROW()-1,설정!$L$21)&amp;""),"")</f>
        <v/>
      </c>
      <c r="O155" s="83" t="str">
        <f aca="false">IFERROR(IF(INDEX(원자료_잔고!$A$1:$EZ$1500,설정!$L$5+ROW()-1,설정!$L$22)&amp;""="0","",INDEX(원자료_잔고!$A$1:$EZ$1500,설정!$L$5+ROW()-1,설정!$L$22)&amp;""),"")</f>
        <v/>
      </c>
      <c r="P155" s="83" t="str">
        <f aca="false">IFERROR(IF(INDEX(원자료_잔고!$A$1:$EZ$1500,설정!$L$5+ROW()-1,설정!$L$23)&amp;""="0","",INDEX(원자료_잔고!$A$1:$EZ$1500,설정!$L$5+ROW()-1,설정!$L$23)&amp;""),"")</f>
        <v>A</v>
      </c>
      <c r="Q155" s="89" t="n">
        <f aca="false">IF(AND($A155&lt;&gt;"",ISNUMBER(E155)),IF(E155&gt;0,1,0),0)</f>
        <v>1</v>
      </c>
      <c r="R155" s="43" t="str">
        <f aca="false">IF(Q155=1,UPPER(LEFT($A155,FIND(" ",$A155&amp;" ")-1)),"")</f>
        <v>GS</v>
      </c>
      <c r="S155" s="89" t="n">
        <f aca="false">IF(Q155=1,IF(OR(ISNUMBER(SEARCH("Float",$A155)),ISNUMBER(SEARCH("FRN",$A155))),1,0),0)</f>
        <v>0</v>
      </c>
      <c r="T155" s="43" t="str">
        <f aca="false">IF(AND(Q155=1,ISNUMBER(I155)),TEXT(I155,"yyyymmdd")&amp;"|"&amp;IF(S155=1,"F",TEXT(J155,"0.000")),"")</f>
        <v>20290320|4.700</v>
      </c>
      <c r="U155" s="90" t="n">
        <f aca="false">IF(AND(Q155=1,ISNUMBER(I155)),(I155-설정!$C$4)/365.25,"")</f>
        <v>2.46680355920602</v>
      </c>
      <c r="V155" s="43" t="str">
        <f aca="false">IF(Q155&lt;&gt;1,"",IF(ISNUMBER(U155),IF(U155&lt;=1,"1년 이하",IF(U155&lt;=2,"1-2년",IF(U155&lt;=3,"2-3년",IF(U155&lt;=4,"3-4년",IF(U155&lt;=5,"4-5년",IF(U155&lt;=7,"5-7년",IF(U155&lt;=10,"7-10년",IF(U155&lt;=20,"10-20년","20년 이상")))))))),"미분류"))</f>
        <v>2-3년</v>
      </c>
      <c r="W155" s="43" t="str">
        <f aca="false">IF(Q155&lt;&gt;1,"",IF(AB155&lt;&gt;"",INDEX(시장분석!$C:$C,AB155),IF(K155=1,"USD","비USD")))</f>
        <v>USD</v>
      </c>
      <c r="X155" s="91" t="n">
        <f aca="false">IF(Q155=1,E155*K155/1000000,0)</f>
        <v>20</v>
      </c>
      <c r="Y155" s="89" t="n">
        <f aca="false">IF(R155="T",1,0)</f>
        <v>0</v>
      </c>
      <c r="Z155" s="92" t="n">
        <f aca="false">IF(Q155&lt;&gt;1,"",IF(AD155=1,IF(ISNUMBER(U155),MAX(U155,0),H155),H155))</f>
        <v>2.0401</v>
      </c>
      <c r="AA155" s="91" t="n">
        <f aca="false">IF(Q155=1,IF(ISNUMBER(L155),L155,0)*K155/1000000,0)</f>
        <v>19.61296</v>
      </c>
      <c r="AB155" s="89" t="n">
        <f aca="false">IF(Q155&lt;&gt;1,"",IFERROR(MATCH(VLOOKUP(B155,매핑!$H$4:$I$15,2,0),시장분석!$A$2:$A$601,0)+1,IFERROR(MATCH(R155&amp;"|"&amp;T155,시장분석!$V$2:$V$601,0)+1,IF(COUNTIF(시장분석!$U$2:$U$601,T155)=1,MATCH(T155,시장분석!$U$2:$U$601,0)+1,""))))</f>
        <v>237</v>
      </c>
      <c r="AC155" s="89" t="n">
        <f aca="false">IF(Q155&lt;&gt;1,0,IF(OR(설정!$C$5="전체",AND(설정!$C$5="선택펀드",IFERROR(COUNTIFS(설정!$F$16:$F$36,C155,설정!$G$16:$G$36,"Y")+COUNTIFS(설정!$F$16:$F$36,VALUE(C155),설정!$G$16:$G$36,"Y"),0)&gt;0),C155&amp;""=설정!$C$5&amp;""),1,0))</f>
        <v>1</v>
      </c>
      <c r="AD155" s="89" t="n">
        <f aca="false">IF(Q155&lt;&gt;1,0,IF(OR(S155=1,IF(AB155="",FALSE(),INDEX(시장분석!$R:$R,AB155)=1)),1,0))</f>
        <v>0</v>
      </c>
      <c r="AE155" s="43" t="str">
        <f aca="false">IF(AB155="","",INDEX(시장분석!$A:$A,AB155))</f>
        <v>GS 4.7 03/20/29</v>
      </c>
      <c r="AF155" s="93" t="n">
        <f aca="false">IF(AB155="","",IF(ISNUMBER(IF(AB155="","",INDEX(시장분석!$E:$E,AB155))),IF(AB155="","",INDEX(시장분석!$E:$E,AB155)),""))</f>
        <v>74.787</v>
      </c>
      <c r="AG155" s="43" t="str">
        <f aca="false">IF(Q155&lt;&gt;1,"",IF(AB155&lt;&gt;"",IF(AB155="","",INDEX(시장분석!$L:$L,AB155)),IFERROR(IF(VLOOKUP(R155,매핑!$A$4:$E$92,5,0)="","미분류",VLOOKUP(R155,매핑!$A$4:$E$92,5,0)),"미분류")))</f>
        <v>금융기관</v>
      </c>
      <c r="AH155" s="43" t="str">
        <f aca="false">IF(Q155&lt;&gt;1,"",IF(AB155&lt;&gt;"",IF(AB155="","",INDEX(시장분석!$N:$N,AB155)),IFERROR(IF(VLOOKUP(R155,매핑!$A$4:$E$92,4,0)="","미분류",VLOOKUP(R155,매핑!$A$4:$E$92,4,0)),"미분류")))</f>
        <v>미국</v>
      </c>
      <c r="AI155" s="43" t="str">
        <f aca="false">IF(Q155&lt;&gt;1,"",IFERROR(IF(VLOOKUP(R155,매핑!$A$4:$E$92,3,0)="","미분류",VLOOKUP(R155,매핑!$A$4:$E$92,3,0)),IF(AB155&lt;&gt;"",IF(AB155="","",INDEX(시장분석!$W:$W,AB155)),"미분류")))</f>
        <v>미국</v>
      </c>
      <c r="AJ155" s="43" t="str">
        <f aca="false">IF(Q155&lt;&gt;1,"",IFERROR(VLOOKUP(IF(N155&lt;&gt;"",N155,IF(P155&lt;&gt;"",P155,O155)),설정!$A$15:$D$47,2,0),""))</f>
        <v>A</v>
      </c>
      <c r="AK155" s="43" t="str">
        <f aca="false">IF(Q155&lt;&gt;1,"",IF(AJ155="","무등급",IFERROR(VLOOKUP(AJ155,설정!$A$15:$D$47,3,0),"무등급")))</f>
        <v>A</v>
      </c>
      <c r="AL155" s="89" t="n">
        <f aca="false">IF(AJ155="",99,IFERROR(VLOOKUP(AJ155,설정!$A$15:$D$47,4,0),99))</f>
        <v>6</v>
      </c>
      <c r="AM155" s="94" t="n">
        <f aca="false">IF(ISNUMBER(H155),AA155*1000000*H155/10000,0)</f>
        <v>4001.2399696</v>
      </c>
      <c r="AN155" s="94" t="n">
        <f aca="false">IF(OR(Y155=1,NOT(ISNUMBER(Z155))),0,AA155*1000000*Z155/10000)</f>
        <v>4001.2399696</v>
      </c>
      <c r="AO155" s="94" t="n">
        <f aca="false">IF(ISNUMBER(G155),AA155*1000000*G155/100,0)</f>
        <v>1086597.20992</v>
      </c>
      <c r="AP155" s="94" t="n">
        <f aca="false">IF(ISNUMBER(M155),M155*K155,0)</f>
        <v>-387040</v>
      </c>
      <c r="AQ155" s="95" t="n">
        <f aca="false">IF(AB155="","",INDEX(시장분석!$AK:$AK,AB155))</f>
        <v>0.714331616687145</v>
      </c>
      <c r="AR155" s="43" t="str">
        <f aca="false">IF(AB155="","-",IF(AB155="","",INDEX(시장분석!$AL:$AL,AB155)))</f>
        <v>Fair</v>
      </c>
      <c r="AS155" s="96" t="n">
        <f aca="false">IF(AB155="","",INDEX(시장분석!$AJ:$AJ,AB155))</f>
        <v>9.77004283524133</v>
      </c>
      <c r="AT155" s="93" t="n">
        <f aca="false">IF(AB155="",0,IF(AB155="","",INDEX(시장분석!$AN:$AN,AB155)))</f>
        <v>11.6739180413735</v>
      </c>
      <c r="AU155" s="94" t="n">
        <f aca="false">IF(ISNUMBER(Z155),AT155/10000*MAX(Z155-1,0)*AA155*1000000,0)</f>
        <v>23814.1387101045</v>
      </c>
      <c r="AV155" s="94" t="n">
        <f aca="false">AO155+AU155</f>
        <v>1110411.3486301</v>
      </c>
      <c r="AW155" s="43" t="str">
        <f aca="false">IF(Q155&lt;&gt;1,"",TRIM(IF(AD155=1,"FRN ","")&amp;IF(AND(AL155&gt;=10,AL155&lt;99),"BBB0미만 ","")&amp;IF(AJ155="","등급없음 ","")&amp;IF(K155&lt;&gt;1,"비USD ","")&amp;IF(AND(AB155="",Y155=0),"시장데이터없음 ","")&amp;IF(AND(ISNUMBER(U155),U155&lt;0),"만기경과 ","")))</f>
        <v/>
      </c>
      <c r="AX155" s="90" t="n">
        <f aca="false">IF(Q155&lt;&gt;1,1,IF(스프레드쇼크!$C$4="Y",INDEX(스프레드쇼크!$B$12:$L$16,IFERROR(MATCH(AH155,스프레드쇼크!$A$12:$A$16,0),MATCH("목록외",스프레드쇼크!$A$12:$A$16,0)),IFERROR(MATCH(AG155,스프레드쇼크!$B$11:$L$11,0),MATCH("목록외",스프레드쇼크!$B$11:$L$11,0))),1))</f>
        <v>1</v>
      </c>
      <c r="AY155" s="90" t="n">
        <f aca="false">IF(스프레드쇼크!$C$5="Y",IF(ISNUMBER(AF155),MIN(스프레드쇼크!$C$7,MAX(스프레드쇼크!$C$6,AF155/스프레드쇼크!$C$8)),1),1)</f>
        <v>1.13118239883548</v>
      </c>
      <c r="AZ155" s="94" t="n">
        <f aca="false">AN155*AX155*AY155</f>
        <v>4526.13222712855</v>
      </c>
      <c r="BA155" s="90" t="n">
        <f aca="false">IF(ISNUMBER(G155),AA155*G155,0)</f>
        <v>108.659720992</v>
      </c>
      <c r="BB155" s="90" t="n">
        <f aca="false">IF(ISNUMBER(G155),AA155,0)</f>
        <v>19.61296</v>
      </c>
      <c r="BC155" s="90" t="n">
        <f aca="false">IF(AND(Y155=0,ISNUMBER(AF155)),AA155*AF155,0)</f>
        <v>1466.79443952</v>
      </c>
      <c r="BD155" s="90" t="n">
        <f aca="false">IF(AND(Y155=0,ISNUMBER(AF155)),AA155,0)</f>
        <v>19.61296</v>
      </c>
      <c r="BE155" s="90" t="n">
        <f aca="false">IF(ISNUMBER(H155),AA155*H155,0)</f>
        <v>40.012399696</v>
      </c>
      <c r="BF155" s="90" t="n">
        <f aca="false">IF(ISNUMBER(H155),AA155,0)</f>
        <v>19.61296</v>
      </c>
      <c r="BG155" s="90" t="n">
        <f aca="false">IF(AND(Y155=0,ISNUMBER(AF155),ISNUMBER(Z155)),AA155*Z155,0)</f>
        <v>40.012399696</v>
      </c>
      <c r="BH155" s="90" t="n">
        <f aca="false">IF(AND(Y155=0,ISNUMBER(AF155),ISNUMBER(Z155)),AA155*AT155*MAX(Z155-1,0),0)</f>
        <v>238.141387101045</v>
      </c>
      <c r="BI155" s="90" t="n">
        <f aca="false">IF(Y155=0,AA155,0)</f>
        <v>19.61296</v>
      </c>
    </row>
    <row r="156" customFormat="false" ht="15" hidden="false" customHeight="false" outlineLevel="0" collapsed="false">
      <c r="A156" s="83" t="str">
        <f aca="false">IFERROR(IF(INDEX(원자료_잔고!$A$1:$EZ$1500,설정!$L$5+ROW()-1,설정!$L$8)&amp;""="0","",INDEX(원자료_잔고!$A$1:$EZ$1500,설정!$L$5+ROW()-1,설정!$L$8)&amp;""),"")</f>
        <v>WFC 5.2 03/20/30</v>
      </c>
      <c r="B156" s="83" t="str">
        <f aca="false">IFERROR(IF(INDEX(원자료_잔고!$A$1:$EZ$1500,설정!$L$5+ROW()-1,설정!$L$7)&amp;""="0","",INDEX(원자료_잔고!$A$1:$EZ$1500,설정!$L$5+ROW()-1,설정!$L$7)&amp;""),"")</f>
        <v>XS3030377132</v>
      </c>
      <c r="C156" s="83" t="str">
        <f aca="false">IFERROR(IF(INDEX(원자료_잔고!$A$1:$EZ$1500,설정!$L$5+ROW()-1,설정!$L$9)&amp;""="0","",INDEX(원자료_잔고!$A$1:$EZ$1500,설정!$L$5+ROW()-1,설정!$L$9)&amp;""),"")</f>
        <v>34507</v>
      </c>
      <c r="D15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6" s="84" t="n">
        <f aca="false">IFERROR(IF(ISNUMBER(INDEX(원자료_잔고!$A$1:$EZ$1500,설정!$L$5+ROW()-1,설정!$L$11)),INDEX(원자료_잔고!$A$1:$EZ$1500,설정!$L$5+ROW()-1,설정!$L$11),""),"")</f>
        <v>20000000</v>
      </c>
      <c r="F156" s="85" t="n">
        <f aca="false">IFERROR(IF(ISNUMBER(INDEX(원자료_잔고!$A$1:$EZ$1500,설정!$L$5+ROW()-1,설정!$L$12)),INDEX(원자료_잔고!$A$1:$EZ$1500,설정!$L$5+ROW()-1,설정!$L$12),""),"")</f>
        <v>98.5226</v>
      </c>
      <c r="G156" s="85" t="n">
        <f aca="false">IFERROR(IF(ISNUMBER(INDEX(원자료_잔고!$A$1:$EZ$1500,설정!$L$5+ROW()-1,설정!$L$13)),INDEX(원자료_잔고!$A$1:$EZ$1500,설정!$L$5+ROW()-1,설정!$L$13),""),"")</f>
        <v>5.6652</v>
      </c>
      <c r="H156" s="85" t="n">
        <f aca="false">IFERROR(IF(ISNUMBER(INDEX(원자료_잔고!$A$1:$EZ$1500,설정!$L$5+ROW()-1,설정!$L$14)),INDEX(원자료_잔고!$A$1:$EZ$1500,설정!$L$5+ROW()-1,설정!$L$14),""),"")</f>
        <v>2.343</v>
      </c>
      <c r="I156" s="86" t="n">
        <f aca="false">IFERROR(IF(ISNUMBER(INDEX(원자료_잔고!$A$1:$EZ$1500,설정!$L$5+ROW()-1,설정!$L$15)),INDEX(원자료_잔고!$A$1:$EZ$1500,설정!$L$5+ROW()-1,설정!$L$15),""),"")</f>
        <v>47562</v>
      </c>
      <c r="J156" s="85" t="n">
        <f aca="false">IFERROR(IF(ISNUMBER(INDEX(원자료_잔고!$A$1:$EZ$1500,설정!$L$5+ROW()-1,설정!$L$16)),INDEX(원자료_잔고!$A$1:$EZ$1500,설정!$L$5+ROW()-1,설정!$L$16),""),"")</f>
        <v>5.2</v>
      </c>
      <c r="K156" s="87" t="n">
        <f aca="false">IFERROR(IF(ISNUMBER(INDEX(원자료_잔고!$A$1:$EZ$1500,설정!$L$5+ROW()-1,설정!$L$17)),INDEX(원자료_잔고!$A$1:$EZ$1500,설정!$L$5+ROW()-1,설정!$L$17),""),"")</f>
        <v>1</v>
      </c>
      <c r="L156" s="84" t="n">
        <f aca="false">IFERROR(IF(ISNUMBER(INDEX(원자료_잔고!$A$1:$EZ$1500,설정!$L$5+ROW()-1,설정!$L$18)),INDEX(원자료_잔고!$A$1:$EZ$1500,설정!$L$5+ROW()-1,설정!$L$18),""),"")</f>
        <v>19704520</v>
      </c>
      <c r="M156" s="88" t="n">
        <f aca="false">IFERROR(IF(ISNUMBER(INDEX(원자료_잔고!$A$1:$EZ$1500,설정!$L$5+ROW()-1,설정!$L$19)),INDEX(원자료_잔고!$A$1:$EZ$1500,설정!$L$5+ROW()-1,설정!$L$19),""),"")</f>
        <v>-514080</v>
      </c>
      <c r="N156" s="83" t="str">
        <f aca="false">IFERROR(IF(INDEX(원자료_잔고!$A$1:$EZ$1500,설정!$L$5+ROW()-1,설정!$L$21)&amp;""="0","",INDEX(원자료_잔고!$A$1:$EZ$1500,설정!$L$5+ROW()-1,설정!$L$21)&amp;""),"")</f>
        <v/>
      </c>
      <c r="O156" s="83" t="str">
        <f aca="false">IFERROR(IF(INDEX(원자료_잔고!$A$1:$EZ$1500,설정!$L$5+ROW()-1,설정!$L$22)&amp;""="0","",INDEX(원자료_잔고!$A$1:$EZ$1500,설정!$L$5+ROW()-1,설정!$L$22)&amp;""),"")</f>
        <v/>
      </c>
      <c r="P156" s="83" t="str">
        <f aca="false">IFERROR(IF(INDEX(원자료_잔고!$A$1:$EZ$1500,설정!$L$5+ROW()-1,설정!$L$23)&amp;""="0","",INDEX(원자료_잔고!$A$1:$EZ$1500,설정!$L$5+ROW()-1,설정!$L$23)&amp;""),"")</f>
        <v>A+</v>
      </c>
      <c r="Q156" s="89" t="n">
        <f aca="false">IF(AND($A156&lt;&gt;"",ISNUMBER(E156)),IF(E156&gt;0,1,0),0)</f>
        <v>1</v>
      </c>
      <c r="R156" s="43" t="str">
        <f aca="false">IF(Q156=1,UPPER(LEFT($A156,FIND(" ",$A156&amp;" ")-1)),"")</f>
        <v>WFC</v>
      </c>
      <c r="S156" s="89" t="n">
        <f aca="false">IF(Q156=1,IF(OR(ISNUMBER(SEARCH("Float",$A156)),ISNUMBER(SEARCH("FRN",$A156))),1,0),0)</f>
        <v>0</v>
      </c>
      <c r="T156" s="43" t="str">
        <f aca="false">IF(AND(Q156=1,ISNUMBER(I156)),TEXT(I156,"yyyymmdd")&amp;"|"&amp;IF(S156=1,"F",TEXT(J156,"0.000")),"")</f>
        <v>20300320|5.200</v>
      </c>
      <c r="U156" s="90" t="n">
        <f aca="false">IF(AND(Q156=1,ISNUMBER(I156)),(I156-설정!$C$4)/365.25,"")</f>
        <v>3.46611909650924</v>
      </c>
      <c r="V156" s="43" t="str">
        <f aca="false">IF(Q156&lt;&gt;1,"",IF(ISNUMBER(U156),IF(U156&lt;=1,"1년 이하",IF(U156&lt;=2,"1-2년",IF(U156&lt;=3,"2-3년",IF(U156&lt;=4,"3-4년",IF(U156&lt;=5,"4-5년",IF(U156&lt;=7,"5-7년",IF(U156&lt;=10,"7-10년",IF(U156&lt;=20,"10-20년","20년 이상")))))))),"미분류"))</f>
        <v>3-4년</v>
      </c>
      <c r="W156" s="43" t="str">
        <f aca="false">IF(Q156&lt;&gt;1,"",IF(AB156&lt;&gt;"",INDEX(시장분석!$C:$C,AB156),IF(K156=1,"USD","비USD")))</f>
        <v>USD</v>
      </c>
      <c r="X156" s="91" t="n">
        <f aca="false">IF(Q156=1,E156*K156/1000000,0)</f>
        <v>20</v>
      </c>
      <c r="Y156" s="89" t="n">
        <f aca="false">IF(R156="T",1,0)</f>
        <v>0</v>
      </c>
      <c r="Z156" s="92" t="n">
        <f aca="false">IF(Q156&lt;&gt;1,"",IF(AD156=1,IF(ISNUMBER(U156),MAX(U156,0),H156),H156))</f>
        <v>2.343</v>
      </c>
      <c r="AA156" s="91" t="n">
        <f aca="false">IF(Q156=1,IF(ISNUMBER(L156),L156,0)*K156/1000000,0)</f>
        <v>19.70452</v>
      </c>
      <c r="AB156" s="89" t="n">
        <f aca="false">IF(Q156&lt;&gt;1,"",IFERROR(MATCH(VLOOKUP(B156,매핑!$H$4:$I$15,2,0),시장분석!$A$2:$A$601,0)+1,IFERROR(MATCH(R156&amp;"|"&amp;T156,시장분석!$V$2:$V$601,0)+1,IF(COUNTIF(시장분석!$U$2:$U$601,T156)=1,MATCH(T156,시장분석!$U$2:$U$601,0)+1,""))))</f>
        <v>238</v>
      </c>
      <c r="AC156" s="89" t="n">
        <f aca="false">IF(Q156&lt;&gt;1,0,IF(OR(설정!$C$5="전체",AND(설정!$C$5="선택펀드",IFERROR(COUNTIFS(설정!$F$16:$F$36,C156,설정!$G$16:$G$36,"Y")+COUNTIFS(설정!$F$16:$F$36,VALUE(C156),설정!$G$16:$G$36,"Y"),0)&gt;0),C156&amp;""=설정!$C$5&amp;""),1,0))</f>
        <v>1</v>
      </c>
      <c r="AD156" s="89" t="n">
        <f aca="false">IF(Q156&lt;&gt;1,0,IF(OR(S156=1,IF(AB156="",FALSE(),INDEX(시장분석!$R:$R,AB156)=1)),1,0))</f>
        <v>0</v>
      </c>
      <c r="AE156" s="43" t="str">
        <f aca="false">IF(AB156="","",INDEX(시장분석!$A:$A,AB156))</f>
        <v>WFC 5.2 03/20/30</v>
      </c>
      <c r="AF156" s="93" t="n">
        <f aca="false">IF(AB156="","",IF(ISNUMBER(IF(AB156="","",INDEX(시장분석!$E:$E,AB156))),IF(AB156="","",INDEX(시장분석!$E:$E,AB156)),""))</f>
        <v>12.128</v>
      </c>
      <c r="AG156" s="43" t="str">
        <f aca="false">IF(Q156&lt;&gt;1,"",IF(AB156&lt;&gt;"",IF(AB156="","",INDEX(시장분석!$L:$L,AB156)),IFERROR(IF(VLOOKUP(R156,매핑!$A$4:$E$92,5,0)="","미분류",VLOOKUP(R156,매핑!$A$4:$E$92,5,0)),"미분류")))</f>
        <v>금융기관</v>
      </c>
      <c r="AH156" s="43" t="str">
        <f aca="false">IF(Q156&lt;&gt;1,"",IF(AB156&lt;&gt;"",IF(AB156="","",INDEX(시장분석!$N:$N,AB156)),IFERROR(IF(VLOOKUP(R156,매핑!$A$4:$E$92,4,0)="","미분류",VLOOKUP(R156,매핑!$A$4:$E$92,4,0)),"미분류")))</f>
        <v>미국</v>
      </c>
      <c r="AI156" s="43" t="str">
        <f aca="false">IF(Q156&lt;&gt;1,"",IFERROR(IF(VLOOKUP(R156,매핑!$A$4:$E$92,3,0)="","미분류",VLOOKUP(R156,매핑!$A$4:$E$92,3,0)),IF(AB156&lt;&gt;"",IF(AB156="","",INDEX(시장분석!$W:$W,AB156)),"미분류")))</f>
        <v>미국</v>
      </c>
      <c r="AJ156" s="43" t="str">
        <f aca="false">IF(Q156&lt;&gt;1,"",IFERROR(VLOOKUP(IF(N156&lt;&gt;"",N156,IF(P156&lt;&gt;"",P156,O156)),설정!$A$15:$D$47,2,0),""))</f>
        <v>A+</v>
      </c>
      <c r="AK156" s="43" t="str">
        <f aca="false">IF(Q156&lt;&gt;1,"",IF(AJ156="","무등급",IFERROR(VLOOKUP(AJ156,설정!$A$15:$D$47,3,0),"무등급")))</f>
        <v>A</v>
      </c>
      <c r="AL156" s="89" t="n">
        <f aca="false">IF(AJ156="",99,IFERROR(VLOOKUP(AJ156,설정!$A$15:$D$47,4,0),99))</f>
        <v>5</v>
      </c>
      <c r="AM156" s="94" t="n">
        <f aca="false">IF(ISNUMBER(H156),AA156*1000000*H156/10000,0)</f>
        <v>4616.769036</v>
      </c>
      <c r="AN156" s="94" t="n">
        <f aca="false">IF(OR(Y156=1,NOT(ISNUMBER(Z156))),0,AA156*1000000*Z156/10000)</f>
        <v>4616.769036</v>
      </c>
      <c r="AO156" s="94" t="n">
        <f aca="false">IF(ISNUMBER(G156),AA156*1000000*G156/100,0)</f>
        <v>1116300.46704</v>
      </c>
      <c r="AP156" s="94" t="n">
        <f aca="false">IF(ISNUMBER(M156),M156*K156,0)</f>
        <v>-514080</v>
      </c>
      <c r="AQ156" s="95" t="n">
        <f aca="false">IF(AB156="","",INDEX(시장분석!$AK:$AK,AB156))</f>
        <v>-4.33875807787955</v>
      </c>
      <c r="AR156" s="43" t="str">
        <f aca="false">IF(AB156="","-",IF(AB156="","",INDEX(시장분석!$AL:$AL,AB156)))</f>
        <v>Rich</v>
      </c>
      <c r="AS156" s="96" t="n">
        <f aca="false">IF(AB156="","",INDEX(시장분석!$AJ:$AJ,AB156))</f>
        <v>-59.3419796665643</v>
      </c>
      <c r="AT156" s="93" t="n">
        <f aca="false">IF(AB156="",0,IF(AB156="","",INDEX(시장분석!$AN:$AN,AB156)))</f>
        <v>7.85631170674695</v>
      </c>
      <c r="AU156" s="94" t="n">
        <f aca="false">IF(ISNUMBER(Z156),AT156/10000*MAX(Z156-1,0)*AA156*1000000,0)</f>
        <v>20790.2915096907</v>
      </c>
      <c r="AV156" s="94" t="n">
        <f aca="false">AO156+AU156</f>
        <v>1137090.75854969</v>
      </c>
      <c r="AW156" s="43" t="str">
        <f aca="false">IF(Q156&lt;&gt;1,"",TRIM(IF(AD156=1,"FRN ","")&amp;IF(AND(AL156&gt;=10,AL156&lt;99),"BBB0미만 ","")&amp;IF(AJ156="","등급없음 ","")&amp;IF(K156&lt;&gt;1,"비USD ","")&amp;IF(AND(AB156="",Y156=0),"시장데이터없음 ","")&amp;IF(AND(ISNUMBER(U156),U156&lt;0),"만기경과 ","")))</f>
        <v/>
      </c>
      <c r="AX156" s="90" t="n">
        <f aca="false">IF(Q156&lt;&gt;1,1,IF(스프레드쇼크!$C$4="Y",INDEX(스프레드쇼크!$B$12:$L$16,IFERROR(MATCH(AH156,스프레드쇼크!$A$12:$A$16,0),MATCH("목록외",스프레드쇼크!$A$12:$A$16,0)),IFERROR(MATCH(AG156,스프레드쇼크!$B$11:$L$11,0),MATCH("목록외",스프레드쇼크!$B$11:$L$11,0))),1))</f>
        <v>1</v>
      </c>
      <c r="AY156" s="90" t="n">
        <f aca="false">IF(스프레드쇼크!$C$5="Y",IF(ISNUMBER(AF156),MIN(스프레드쇼크!$C$7,MAX(스프레드쇼크!$C$6,AF156/스프레드쇼크!$C$8)),1),1)</f>
        <v>0.25</v>
      </c>
      <c r="AZ156" s="94" t="n">
        <f aca="false">AN156*AX156*AY156</f>
        <v>1154.192259</v>
      </c>
      <c r="BA156" s="90" t="n">
        <f aca="false">IF(ISNUMBER(G156),AA156*G156,0)</f>
        <v>111.630046704</v>
      </c>
      <c r="BB156" s="90" t="n">
        <f aca="false">IF(ISNUMBER(G156),AA156,0)</f>
        <v>19.70452</v>
      </c>
      <c r="BC156" s="90" t="n">
        <f aca="false">IF(AND(Y156=0,ISNUMBER(AF156)),AA156*AF156,0)</f>
        <v>238.97641856</v>
      </c>
      <c r="BD156" s="90" t="n">
        <f aca="false">IF(AND(Y156=0,ISNUMBER(AF156)),AA156,0)</f>
        <v>19.70452</v>
      </c>
      <c r="BE156" s="90" t="n">
        <f aca="false">IF(ISNUMBER(H156),AA156*H156,0)</f>
        <v>46.16769036</v>
      </c>
      <c r="BF156" s="90" t="n">
        <f aca="false">IF(ISNUMBER(H156),AA156,0)</f>
        <v>19.70452</v>
      </c>
      <c r="BG156" s="90" t="n">
        <f aca="false">IF(AND(Y156=0,ISNUMBER(AF156),ISNUMBER(Z156)),AA156*Z156,0)</f>
        <v>46.16769036</v>
      </c>
      <c r="BH156" s="90" t="n">
        <f aca="false">IF(AND(Y156=0,ISNUMBER(AF156),ISNUMBER(Z156)),AA156*AT156*MAX(Z156-1,0),0)</f>
        <v>207.902915096907</v>
      </c>
      <c r="BI156" s="90" t="n">
        <f aca="false">IF(Y156=0,AA156,0)</f>
        <v>19.70452</v>
      </c>
    </row>
    <row r="157" customFormat="false" ht="15" hidden="false" customHeight="false" outlineLevel="0" collapsed="false">
      <c r="A157" s="83" t="str">
        <f aca="false">IFERROR(IF(INDEX(원자료_잔고!$A$1:$EZ$1500,설정!$L$5+ROW()-1,설정!$L$8)&amp;""="0","",INDEX(원자료_잔고!$A$1:$EZ$1500,설정!$L$5+ROW()-1,설정!$L$8)&amp;""),"")</f>
        <v>DAESEC 5.125 07/06/29</v>
      </c>
      <c r="B157" s="83" t="str">
        <f aca="false">IFERROR(IF(INDEX(원자료_잔고!$A$1:$EZ$1500,설정!$L$5+ROW()-1,설정!$L$7)&amp;""="0","",INDEX(원자료_잔고!$A$1:$EZ$1500,설정!$L$5+ROW()-1,설정!$L$7)&amp;""),"")</f>
        <v>XS3412558648</v>
      </c>
      <c r="C157" s="83" t="str">
        <f aca="false">IFERROR(IF(INDEX(원자료_잔고!$A$1:$EZ$1500,설정!$L$5+ROW()-1,설정!$L$9)&amp;""="0","",INDEX(원자료_잔고!$A$1:$EZ$1500,설정!$L$5+ROW()-1,설정!$L$9)&amp;""),"")</f>
        <v>34507</v>
      </c>
      <c r="D15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7" s="84" t="n">
        <f aca="false">IFERROR(IF(ISNUMBER(INDEX(원자료_잔고!$A$1:$EZ$1500,설정!$L$5+ROW()-1,설정!$L$11)),INDEX(원자료_잔고!$A$1:$EZ$1500,설정!$L$5+ROW()-1,설정!$L$11),""),"")</f>
        <v>3000000</v>
      </c>
      <c r="F157" s="85" t="n">
        <f aca="false">IFERROR(IF(ISNUMBER(INDEX(원자료_잔고!$A$1:$EZ$1500,설정!$L$5+ROW()-1,설정!$L$12)),INDEX(원자료_잔고!$A$1:$EZ$1500,설정!$L$5+ROW()-1,설정!$L$12),""),"")</f>
        <v>98.3138</v>
      </c>
      <c r="G157" s="85" t="n">
        <f aca="false">IFERROR(IF(ISNUMBER(INDEX(원자료_잔고!$A$1:$EZ$1500,설정!$L$5+ROW()-1,설정!$L$13)),INDEX(원자료_잔고!$A$1:$EZ$1500,설정!$L$5+ROW()-1,설정!$L$13),""),"")</f>
        <v>5.7885</v>
      </c>
      <c r="H157" s="85" t="n">
        <f aca="false">IFERROR(IF(ISNUMBER(INDEX(원자료_잔고!$A$1:$EZ$1500,설정!$L$5+ROW()-1,설정!$L$14)),INDEX(원자료_잔고!$A$1:$EZ$1500,설정!$L$5+ROW()-1,설정!$L$14),""),"")</f>
        <v>2.4547</v>
      </c>
      <c r="I157" s="86" t="n">
        <f aca="false">IFERROR(IF(ISNUMBER(INDEX(원자료_잔고!$A$1:$EZ$1500,설정!$L$5+ROW()-1,설정!$L$15)),INDEX(원자료_잔고!$A$1:$EZ$1500,설정!$L$5+ROW()-1,설정!$L$15),""),"")</f>
        <v>47305</v>
      </c>
      <c r="J157" s="85" t="n">
        <f aca="false">IFERROR(IF(ISNUMBER(INDEX(원자료_잔고!$A$1:$EZ$1500,설정!$L$5+ROW()-1,설정!$L$16)),INDEX(원자료_잔고!$A$1:$EZ$1500,설정!$L$5+ROW()-1,설정!$L$16),""),"")</f>
        <v>5.125</v>
      </c>
      <c r="K157" s="87" t="n">
        <f aca="false">IFERROR(IF(ISNUMBER(INDEX(원자료_잔고!$A$1:$EZ$1500,설정!$L$5+ROW()-1,설정!$L$17)),INDEX(원자료_잔고!$A$1:$EZ$1500,설정!$L$5+ROW()-1,설정!$L$17),""),"")</f>
        <v>1</v>
      </c>
      <c r="L157" s="84" t="n">
        <f aca="false">IFERROR(IF(ISNUMBER(INDEX(원자료_잔고!$A$1:$EZ$1500,설정!$L$5+ROW()-1,설정!$L$18)),INDEX(원자료_잔고!$A$1:$EZ$1500,설정!$L$5+ROW()-1,설정!$L$18),""),"")</f>
        <v>2949414</v>
      </c>
      <c r="M157" s="88" t="n">
        <f aca="false">IFERROR(IF(ISNUMBER(INDEX(원자료_잔고!$A$1:$EZ$1500,설정!$L$5+ROW()-1,설정!$L$19)),INDEX(원자료_잔고!$A$1:$EZ$1500,설정!$L$5+ROW()-1,설정!$L$19),""),"")</f>
        <v>-48336</v>
      </c>
      <c r="N157" s="83" t="str">
        <f aca="false">IFERROR(IF(INDEX(원자료_잔고!$A$1:$EZ$1500,설정!$L$5+ROW()-1,설정!$L$21)&amp;""="0","",INDEX(원자료_잔고!$A$1:$EZ$1500,설정!$L$5+ROW()-1,설정!$L$21)&amp;""),"")</f>
        <v/>
      </c>
      <c r="O157" s="83" t="str">
        <f aca="false">IFERROR(IF(INDEX(원자료_잔고!$A$1:$EZ$1500,설정!$L$5+ROW()-1,설정!$L$22)&amp;""="0","",INDEX(원자료_잔고!$A$1:$EZ$1500,설정!$L$5+ROW()-1,설정!$L$22)&amp;""),"")</f>
        <v/>
      </c>
      <c r="P157" s="83" t="str">
        <f aca="false">IFERROR(IF(INDEX(원자료_잔고!$A$1:$EZ$1500,설정!$L$5+ROW()-1,설정!$L$23)&amp;""="0","",INDEX(원자료_잔고!$A$1:$EZ$1500,설정!$L$5+ROW()-1,설정!$L$23)&amp;""),"")</f>
        <v>BBB</v>
      </c>
      <c r="Q157" s="89" t="n">
        <f aca="false">IF(AND($A157&lt;&gt;"",ISNUMBER(E157)),IF(E157&gt;0,1,0),0)</f>
        <v>1</v>
      </c>
      <c r="R157" s="43" t="str">
        <f aca="false">IF(Q157=1,UPPER(LEFT($A157,FIND(" ",$A157&amp;" ")-1)),"")</f>
        <v>DAESEC</v>
      </c>
      <c r="S157" s="89" t="n">
        <f aca="false">IF(Q157=1,IF(OR(ISNUMBER(SEARCH("Float",$A157)),ISNUMBER(SEARCH("FRN",$A157))),1,0),0)</f>
        <v>0</v>
      </c>
      <c r="T157" s="43" t="str">
        <f aca="false">IF(AND(Q157=1,ISNUMBER(I157)),TEXT(I157,"yyyymmdd")&amp;"|"&amp;IF(S157=1,"F",TEXT(J157,"0.000")),"")</f>
        <v>20290706|5.125</v>
      </c>
      <c r="U157" s="90" t="n">
        <f aca="false">IF(AND(Q157=1,ISNUMBER(I157)),(I157-설정!$C$4)/365.25,"")</f>
        <v>2.76249144421629</v>
      </c>
      <c r="V157" s="43" t="str">
        <f aca="false">IF(Q157&lt;&gt;1,"",IF(ISNUMBER(U157),IF(U157&lt;=1,"1년 이하",IF(U157&lt;=2,"1-2년",IF(U157&lt;=3,"2-3년",IF(U157&lt;=4,"3-4년",IF(U157&lt;=5,"4-5년",IF(U157&lt;=7,"5-7년",IF(U157&lt;=10,"7-10년",IF(U157&lt;=20,"10-20년","20년 이상")))))))),"미분류"))</f>
        <v>2-3년</v>
      </c>
      <c r="W157" s="43" t="str">
        <f aca="false">IF(Q157&lt;&gt;1,"",IF(AB157&lt;&gt;"",INDEX(시장분석!$C:$C,AB157),IF(K157=1,"USD","비USD")))</f>
        <v>USD</v>
      </c>
      <c r="X157" s="91" t="n">
        <f aca="false">IF(Q157=1,E157*K157/1000000,0)</f>
        <v>3</v>
      </c>
      <c r="Y157" s="89" t="n">
        <f aca="false">IF(R157="T",1,0)</f>
        <v>0</v>
      </c>
      <c r="Z157" s="92" t="n">
        <f aca="false">IF(Q157&lt;&gt;1,"",IF(AD157=1,IF(ISNUMBER(U157),MAX(U157,0),H157),H157))</f>
        <v>2.4547</v>
      </c>
      <c r="AA157" s="91" t="n">
        <f aca="false">IF(Q157=1,IF(ISNUMBER(L157),L157,0)*K157/1000000,0)</f>
        <v>2.949414</v>
      </c>
      <c r="AB157" s="89" t="n">
        <f aca="false">IF(Q157&lt;&gt;1,"",IFERROR(MATCH(VLOOKUP(B157,매핑!$H$4:$I$15,2,0),시장분석!$A$2:$A$601,0)+1,IFERROR(MATCH(R157&amp;"|"&amp;T157,시장분석!$V$2:$V$601,0)+1,IF(COUNTIF(시장분석!$U$2:$U$601,T157)=1,MATCH(T157,시장분석!$U$2:$U$601,0)+1,""))))</f>
        <v>259</v>
      </c>
      <c r="AC157" s="89" t="n">
        <f aca="false">IF(Q157&lt;&gt;1,0,IF(OR(설정!$C$5="전체",AND(설정!$C$5="선택펀드",IFERROR(COUNTIFS(설정!$F$16:$F$36,C157,설정!$G$16:$G$36,"Y")+COUNTIFS(설정!$F$16:$F$36,VALUE(C157),설정!$G$16:$G$36,"Y"),0)&gt;0),C157&amp;""=설정!$C$5&amp;""),1,0))</f>
        <v>1</v>
      </c>
      <c r="AD157" s="89" t="n">
        <f aca="false">IF(Q157&lt;&gt;1,0,IF(OR(S157=1,IF(AB157="",FALSE(),INDEX(시장분석!$R:$R,AB157)=1)),1,0))</f>
        <v>0</v>
      </c>
      <c r="AE157" s="43" t="str">
        <f aca="false">IF(AB157="","",INDEX(시장분석!$A:$A,AB157))</f>
        <v>DAESEC 5 1/8 07/06/29</v>
      </c>
      <c r="AF157" s="93" t="n">
        <f aca="false">IF(AB157="","",IF(ISNUMBER(IF(AB157="","",INDEX(시장분석!$E:$E,AB157))),IF(AB157="","",INDEX(시장분석!$E:$E,AB157)),""))</f>
        <v>80.439</v>
      </c>
      <c r="AG157" s="43" t="str">
        <f aca="false">IF(Q157&lt;&gt;1,"",IF(AB157&lt;&gt;"",IF(AB157="","",INDEX(시장분석!$L:$L,AB157)),IFERROR(IF(VLOOKUP(R157,매핑!$A$4:$E$92,5,0)="","미분류",VLOOKUP(R157,매핑!$A$4:$E$92,5,0)),"미분류")))</f>
        <v>금융기관</v>
      </c>
      <c r="AH157" s="43" t="str">
        <f aca="false">IF(Q157&lt;&gt;1,"",IF(AB157&lt;&gt;"",IF(AB157="","",INDEX(시장분석!$N:$N,AB157)),IFERROR(IF(VLOOKUP(R157,매핑!$A$4:$E$92,4,0)="","미분류",VLOOKUP(R157,매핑!$A$4:$E$92,4,0)),"미분류")))</f>
        <v>아시아/기타</v>
      </c>
      <c r="AI157" s="43" t="str">
        <f aca="false">IF(Q157&lt;&gt;1,"",IFERROR(IF(VLOOKUP(R157,매핑!$A$4:$E$92,3,0)="","미분류",VLOOKUP(R157,매핑!$A$4:$E$92,3,0)),IF(AB157&lt;&gt;"",IF(AB157="","",INDEX(시장분석!$W:$W,AB157)),"미분류")))</f>
        <v>한국</v>
      </c>
      <c r="AJ157" s="43" t="str">
        <f aca="false">IF(Q157&lt;&gt;1,"",IFERROR(VLOOKUP(IF(N157&lt;&gt;"",N157,IF(P157&lt;&gt;"",P157,O157)),설정!$A$15:$D$47,2,0),""))</f>
        <v>BBB</v>
      </c>
      <c r="AK157" s="43" t="str">
        <f aca="false">IF(Q157&lt;&gt;1,"",IF(AJ157="","무등급",IFERROR(VLOOKUP(AJ157,설정!$A$15:$D$47,3,0),"무등급")))</f>
        <v>BBB</v>
      </c>
      <c r="AL157" s="89" t="n">
        <f aca="false">IF(AJ157="",99,IFERROR(VLOOKUP(AJ157,설정!$A$15:$D$47,4,0),99))</f>
        <v>9</v>
      </c>
      <c r="AM157" s="94" t="n">
        <f aca="false">IF(ISNUMBER(H157),AA157*1000000*H157/10000,0)</f>
        <v>723.99265458</v>
      </c>
      <c r="AN157" s="94" t="n">
        <f aca="false">IF(OR(Y157=1,NOT(ISNUMBER(Z157))),0,AA157*1000000*Z157/10000)</f>
        <v>723.99265458</v>
      </c>
      <c r="AO157" s="94" t="n">
        <f aca="false">IF(ISNUMBER(G157),AA157*1000000*G157/100,0)</f>
        <v>170726.82939</v>
      </c>
      <c r="AP157" s="94" t="n">
        <f aca="false">IF(ISNUMBER(M157),M157*K157,0)</f>
        <v>-48336</v>
      </c>
      <c r="AQ157" s="95" t="n">
        <f aca="false">IF(AB157="","",INDEX(시장분석!$AK:$AK,AB157))</f>
        <v>0.839324767203021</v>
      </c>
      <c r="AR157" s="43" t="str">
        <f aca="false">IF(AB157="","-",IF(AB157="","",INDEX(시장분석!$AL:$AL,AB157)))</f>
        <v>Fair</v>
      </c>
      <c r="AS157" s="96" t="n">
        <f aca="false">IF(AB157="","",INDEX(시장분석!$AJ:$AJ,AB157))</f>
        <v>17.1839891013978</v>
      </c>
      <c r="AT157" s="93" t="n">
        <f aca="false">IF(AB157="",0,IF(AB157="","",INDEX(시장분석!$AN:$AN,AB157)))</f>
        <v>6.85936758095257</v>
      </c>
      <c r="AU157" s="94" t="n">
        <f aca="false">IF(ISNUMBER(Z157),AT157/10000*MAX(Z157-1,0)*AA157*1000000,0)</f>
        <v>2943.02026623308</v>
      </c>
      <c r="AV157" s="94" t="n">
        <f aca="false">AO157+AU157</f>
        <v>173669.849656233</v>
      </c>
      <c r="AW157" s="43" t="str">
        <f aca="false">IF(Q157&lt;&gt;1,"",TRIM(IF(AD157=1,"FRN ","")&amp;IF(AND(AL157&gt;=10,AL157&lt;99),"BBB0미만 ","")&amp;IF(AJ157="","등급없음 ","")&amp;IF(K157&lt;&gt;1,"비USD ","")&amp;IF(AND(AB157="",Y157=0),"시장데이터없음 ","")&amp;IF(AND(ISNUMBER(U157),U157&lt;0),"만기경과 ","")))</f>
        <v/>
      </c>
      <c r="AX157" s="90" t="n">
        <f aca="false">IF(Q157&lt;&gt;1,1,IF(스프레드쇼크!$C$4="Y",INDEX(스프레드쇼크!$B$12:$L$16,IFERROR(MATCH(AH157,스프레드쇼크!$A$12:$A$16,0),MATCH("목록외",스프레드쇼크!$A$12:$A$16,0)),IFERROR(MATCH(AG157,스프레드쇼크!$B$11:$L$11,0),MATCH("목록외",스프레드쇼크!$B$11:$L$11,0))),1))</f>
        <v>1</v>
      </c>
      <c r="AY157" s="90" t="n">
        <f aca="false">IF(스프레드쇼크!$C$5="Y",IF(ISNUMBER(AF157),MIN(스프레드쇼크!$C$7,MAX(스프레드쇼크!$C$6,AF157/스프레드쇼크!$C$8)),1),1)</f>
        <v>1.21667109230117</v>
      </c>
      <c r="AZ157" s="94" t="n">
        <f aca="false">AN157*AX157*AY157</f>
        <v>880.860933865871</v>
      </c>
      <c r="BA157" s="90" t="n">
        <f aca="false">IF(ISNUMBER(G157),AA157*G157,0)</f>
        <v>17.072682939</v>
      </c>
      <c r="BB157" s="90" t="n">
        <f aca="false">IF(ISNUMBER(G157),AA157,0)</f>
        <v>2.949414</v>
      </c>
      <c r="BC157" s="90" t="n">
        <f aca="false">IF(AND(Y157=0,ISNUMBER(AF157)),AA157*AF157,0)</f>
        <v>237.247912746</v>
      </c>
      <c r="BD157" s="90" t="n">
        <f aca="false">IF(AND(Y157=0,ISNUMBER(AF157)),AA157,0)</f>
        <v>2.949414</v>
      </c>
      <c r="BE157" s="90" t="n">
        <f aca="false">IF(ISNUMBER(H157),AA157*H157,0)</f>
        <v>7.2399265458</v>
      </c>
      <c r="BF157" s="90" t="n">
        <f aca="false">IF(ISNUMBER(H157),AA157,0)</f>
        <v>2.949414</v>
      </c>
      <c r="BG157" s="90" t="n">
        <f aca="false">IF(AND(Y157=0,ISNUMBER(AF157),ISNUMBER(Z157)),AA157*Z157,0)</f>
        <v>7.2399265458</v>
      </c>
      <c r="BH157" s="90" t="n">
        <f aca="false">IF(AND(Y157=0,ISNUMBER(AF157),ISNUMBER(Z157)),AA157*AT157*MAX(Z157-1,0),0)</f>
        <v>29.4302026623308</v>
      </c>
      <c r="BI157" s="90" t="n">
        <f aca="false">IF(Y157=0,AA157,0)</f>
        <v>2.949414</v>
      </c>
    </row>
    <row r="158" customFormat="false" ht="15" hidden="false" customHeight="false" outlineLevel="0" collapsed="false">
      <c r="A158" s="83" t="str">
        <f aca="false">IFERROR(IF(INDEX(원자료_잔고!$A$1:$EZ$1500,설정!$L$5+ROW()-1,설정!$L$8)&amp;""="0","",INDEX(원자료_잔고!$A$1:$EZ$1500,설정!$L$5+ROW()-1,설정!$L$8)&amp;""),"")</f>
        <v>DAESEC 5.125 07/06/29</v>
      </c>
      <c r="B158" s="83" t="str">
        <f aca="false">IFERROR(IF(INDEX(원자료_잔고!$A$1:$EZ$1500,설정!$L$5+ROW()-1,설정!$L$7)&amp;""="0","",INDEX(원자료_잔고!$A$1:$EZ$1500,설정!$L$5+ROW()-1,설정!$L$7)&amp;""),"")</f>
        <v>XS3412558648</v>
      </c>
      <c r="C158" s="83" t="str">
        <f aca="false">IFERROR(IF(INDEX(원자료_잔고!$A$1:$EZ$1500,설정!$L$5+ROW()-1,설정!$L$9)&amp;""="0","",INDEX(원자료_잔고!$A$1:$EZ$1500,설정!$L$5+ROW()-1,설정!$L$9)&amp;""),"")</f>
        <v>34507</v>
      </c>
      <c r="D15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8" s="84" t="n">
        <f aca="false">IFERROR(IF(ISNUMBER(INDEX(원자료_잔고!$A$1:$EZ$1500,설정!$L$5+ROW()-1,설정!$L$11)),INDEX(원자료_잔고!$A$1:$EZ$1500,설정!$L$5+ROW()-1,설정!$L$11),""),"")</f>
        <v>2000000</v>
      </c>
      <c r="F158" s="85" t="n">
        <f aca="false">IFERROR(IF(ISNUMBER(INDEX(원자료_잔고!$A$1:$EZ$1500,설정!$L$5+ROW()-1,설정!$L$12)),INDEX(원자료_잔고!$A$1:$EZ$1500,설정!$L$5+ROW()-1,설정!$L$12),""),"")</f>
        <v>98.3138</v>
      </c>
      <c r="G158" s="85" t="n">
        <f aca="false">IFERROR(IF(ISNUMBER(INDEX(원자료_잔고!$A$1:$EZ$1500,설정!$L$5+ROW()-1,설정!$L$13)),INDEX(원자료_잔고!$A$1:$EZ$1500,설정!$L$5+ROW()-1,설정!$L$13),""),"")</f>
        <v>5.7885</v>
      </c>
      <c r="H158" s="85" t="n">
        <f aca="false">IFERROR(IF(ISNUMBER(INDEX(원자료_잔고!$A$1:$EZ$1500,설정!$L$5+ROW()-1,설정!$L$14)),INDEX(원자료_잔고!$A$1:$EZ$1500,설정!$L$5+ROW()-1,설정!$L$14),""),"")</f>
        <v>2.4547</v>
      </c>
      <c r="I158" s="86" t="n">
        <f aca="false">IFERROR(IF(ISNUMBER(INDEX(원자료_잔고!$A$1:$EZ$1500,설정!$L$5+ROW()-1,설정!$L$15)),INDEX(원자료_잔고!$A$1:$EZ$1500,설정!$L$5+ROW()-1,설정!$L$15),""),"")</f>
        <v>47305</v>
      </c>
      <c r="J158" s="85" t="n">
        <f aca="false">IFERROR(IF(ISNUMBER(INDEX(원자료_잔고!$A$1:$EZ$1500,설정!$L$5+ROW()-1,설정!$L$16)),INDEX(원자료_잔고!$A$1:$EZ$1500,설정!$L$5+ROW()-1,설정!$L$16),""),"")</f>
        <v>5.125</v>
      </c>
      <c r="K158" s="87" t="n">
        <f aca="false">IFERROR(IF(ISNUMBER(INDEX(원자료_잔고!$A$1:$EZ$1500,설정!$L$5+ROW()-1,설정!$L$17)),INDEX(원자료_잔고!$A$1:$EZ$1500,설정!$L$5+ROW()-1,설정!$L$17),""),"")</f>
        <v>1</v>
      </c>
      <c r="L158" s="84" t="n">
        <f aca="false">IFERROR(IF(ISNUMBER(INDEX(원자료_잔고!$A$1:$EZ$1500,설정!$L$5+ROW()-1,설정!$L$18)),INDEX(원자료_잔고!$A$1:$EZ$1500,설정!$L$5+ROW()-1,설정!$L$18),""),"")</f>
        <v>1966276</v>
      </c>
      <c r="M158" s="88" t="n">
        <f aca="false">IFERROR(IF(ISNUMBER(INDEX(원자료_잔고!$A$1:$EZ$1500,설정!$L$5+ROW()-1,설정!$L$19)),INDEX(원자료_잔고!$A$1:$EZ$1500,설정!$L$5+ROW()-1,설정!$L$19),""),"")</f>
        <v>-32504</v>
      </c>
      <c r="N158" s="83" t="str">
        <f aca="false">IFERROR(IF(INDEX(원자료_잔고!$A$1:$EZ$1500,설정!$L$5+ROW()-1,설정!$L$21)&amp;""="0","",INDEX(원자료_잔고!$A$1:$EZ$1500,설정!$L$5+ROW()-1,설정!$L$21)&amp;""),"")</f>
        <v/>
      </c>
      <c r="O158" s="83" t="str">
        <f aca="false">IFERROR(IF(INDEX(원자료_잔고!$A$1:$EZ$1500,설정!$L$5+ROW()-1,설정!$L$22)&amp;""="0","",INDEX(원자료_잔고!$A$1:$EZ$1500,설정!$L$5+ROW()-1,설정!$L$22)&amp;""),"")</f>
        <v/>
      </c>
      <c r="P158" s="83" t="str">
        <f aca="false">IFERROR(IF(INDEX(원자료_잔고!$A$1:$EZ$1500,설정!$L$5+ROW()-1,설정!$L$23)&amp;""="0","",INDEX(원자료_잔고!$A$1:$EZ$1500,설정!$L$5+ROW()-1,설정!$L$23)&amp;""),"")</f>
        <v>BBB</v>
      </c>
      <c r="Q158" s="89" t="n">
        <f aca="false">IF(AND($A158&lt;&gt;"",ISNUMBER(E158)),IF(E158&gt;0,1,0),0)</f>
        <v>1</v>
      </c>
      <c r="R158" s="43" t="str">
        <f aca="false">IF(Q158=1,UPPER(LEFT($A158,FIND(" ",$A158&amp;" ")-1)),"")</f>
        <v>DAESEC</v>
      </c>
      <c r="S158" s="89" t="n">
        <f aca="false">IF(Q158=1,IF(OR(ISNUMBER(SEARCH("Float",$A158)),ISNUMBER(SEARCH("FRN",$A158))),1,0),0)</f>
        <v>0</v>
      </c>
      <c r="T158" s="43" t="str">
        <f aca="false">IF(AND(Q158=1,ISNUMBER(I158)),TEXT(I158,"yyyymmdd")&amp;"|"&amp;IF(S158=1,"F",TEXT(J158,"0.000")),"")</f>
        <v>20290706|5.125</v>
      </c>
      <c r="U158" s="90" t="n">
        <f aca="false">IF(AND(Q158=1,ISNUMBER(I158)),(I158-설정!$C$4)/365.25,"")</f>
        <v>2.76249144421629</v>
      </c>
      <c r="V158" s="43" t="str">
        <f aca="false">IF(Q158&lt;&gt;1,"",IF(ISNUMBER(U158),IF(U158&lt;=1,"1년 이하",IF(U158&lt;=2,"1-2년",IF(U158&lt;=3,"2-3년",IF(U158&lt;=4,"3-4년",IF(U158&lt;=5,"4-5년",IF(U158&lt;=7,"5-7년",IF(U158&lt;=10,"7-10년",IF(U158&lt;=20,"10-20년","20년 이상")))))))),"미분류"))</f>
        <v>2-3년</v>
      </c>
      <c r="W158" s="43" t="str">
        <f aca="false">IF(Q158&lt;&gt;1,"",IF(AB158&lt;&gt;"",INDEX(시장분석!$C:$C,AB158),IF(K158=1,"USD","비USD")))</f>
        <v>USD</v>
      </c>
      <c r="X158" s="91" t="n">
        <f aca="false">IF(Q158=1,E158*K158/1000000,0)</f>
        <v>2</v>
      </c>
      <c r="Y158" s="89" t="n">
        <f aca="false">IF(R158="T",1,0)</f>
        <v>0</v>
      </c>
      <c r="Z158" s="92" t="n">
        <f aca="false">IF(Q158&lt;&gt;1,"",IF(AD158=1,IF(ISNUMBER(U158),MAX(U158,0),H158),H158))</f>
        <v>2.4547</v>
      </c>
      <c r="AA158" s="91" t="n">
        <f aca="false">IF(Q158=1,IF(ISNUMBER(L158),L158,0)*K158/1000000,0)</f>
        <v>1.966276</v>
      </c>
      <c r="AB158" s="89" t="n">
        <f aca="false">IF(Q158&lt;&gt;1,"",IFERROR(MATCH(VLOOKUP(B158,매핑!$H$4:$I$15,2,0),시장분석!$A$2:$A$601,0)+1,IFERROR(MATCH(R158&amp;"|"&amp;T158,시장분석!$V$2:$V$601,0)+1,IF(COUNTIF(시장분석!$U$2:$U$601,T158)=1,MATCH(T158,시장분석!$U$2:$U$601,0)+1,""))))</f>
        <v>259</v>
      </c>
      <c r="AC158" s="89" t="n">
        <f aca="false">IF(Q158&lt;&gt;1,0,IF(OR(설정!$C$5="전체",AND(설정!$C$5="선택펀드",IFERROR(COUNTIFS(설정!$F$16:$F$36,C158,설정!$G$16:$G$36,"Y")+COUNTIFS(설정!$F$16:$F$36,VALUE(C158),설정!$G$16:$G$36,"Y"),0)&gt;0),C158&amp;""=설정!$C$5&amp;""),1,0))</f>
        <v>1</v>
      </c>
      <c r="AD158" s="89" t="n">
        <f aca="false">IF(Q158&lt;&gt;1,0,IF(OR(S158=1,IF(AB158="",FALSE(),INDEX(시장분석!$R:$R,AB158)=1)),1,0))</f>
        <v>0</v>
      </c>
      <c r="AE158" s="43" t="str">
        <f aca="false">IF(AB158="","",INDEX(시장분석!$A:$A,AB158))</f>
        <v>DAESEC 5 1/8 07/06/29</v>
      </c>
      <c r="AF158" s="93" t="n">
        <f aca="false">IF(AB158="","",IF(ISNUMBER(IF(AB158="","",INDEX(시장분석!$E:$E,AB158))),IF(AB158="","",INDEX(시장분석!$E:$E,AB158)),""))</f>
        <v>80.439</v>
      </c>
      <c r="AG158" s="43" t="str">
        <f aca="false">IF(Q158&lt;&gt;1,"",IF(AB158&lt;&gt;"",IF(AB158="","",INDEX(시장분석!$L:$L,AB158)),IFERROR(IF(VLOOKUP(R158,매핑!$A$4:$E$92,5,0)="","미분류",VLOOKUP(R158,매핑!$A$4:$E$92,5,0)),"미분류")))</f>
        <v>금융기관</v>
      </c>
      <c r="AH158" s="43" t="str">
        <f aca="false">IF(Q158&lt;&gt;1,"",IF(AB158&lt;&gt;"",IF(AB158="","",INDEX(시장분석!$N:$N,AB158)),IFERROR(IF(VLOOKUP(R158,매핑!$A$4:$E$92,4,0)="","미분류",VLOOKUP(R158,매핑!$A$4:$E$92,4,0)),"미분류")))</f>
        <v>아시아/기타</v>
      </c>
      <c r="AI158" s="43" t="str">
        <f aca="false">IF(Q158&lt;&gt;1,"",IFERROR(IF(VLOOKUP(R158,매핑!$A$4:$E$92,3,0)="","미분류",VLOOKUP(R158,매핑!$A$4:$E$92,3,0)),IF(AB158&lt;&gt;"",IF(AB158="","",INDEX(시장분석!$W:$W,AB158)),"미분류")))</f>
        <v>한국</v>
      </c>
      <c r="AJ158" s="43" t="str">
        <f aca="false">IF(Q158&lt;&gt;1,"",IFERROR(VLOOKUP(IF(N158&lt;&gt;"",N158,IF(P158&lt;&gt;"",P158,O158)),설정!$A$15:$D$47,2,0),""))</f>
        <v>BBB</v>
      </c>
      <c r="AK158" s="43" t="str">
        <f aca="false">IF(Q158&lt;&gt;1,"",IF(AJ158="","무등급",IFERROR(VLOOKUP(AJ158,설정!$A$15:$D$47,3,0),"무등급")))</f>
        <v>BBB</v>
      </c>
      <c r="AL158" s="89" t="n">
        <f aca="false">IF(AJ158="",99,IFERROR(VLOOKUP(AJ158,설정!$A$15:$D$47,4,0),99))</f>
        <v>9</v>
      </c>
      <c r="AM158" s="94" t="n">
        <f aca="false">IF(ISNUMBER(H158),AA158*1000000*H158/10000,0)</f>
        <v>482.66176972</v>
      </c>
      <c r="AN158" s="94" t="n">
        <f aca="false">IF(OR(Y158=1,NOT(ISNUMBER(Z158))),0,AA158*1000000*Z158/10000)</f>
        <v>482.66176972</v>
      </c>
      <c r="AO158" s="94" t="n">
        <f aca="false">IF(ISNUMBER(G158),AA158*1000000*G158/100,0)</f>
        <v>113817.88626</v>
      </c>
      <c r="AP158" s="94" t="n">
        <f aca="false">IF(ISNUMBER(M158),M158*K158,0)</f>
        <v>-32504</v>
      </c>
      <c r="AQ158" s="95" t="n">
        <f aca="false">IF(AB158="","",INDEX(시장분석!$AK:$AK,AB158))</f>
        <v>0.839324767203021</v>
      </c>
      <c r="AR158" s="43" t="str">
        <f aca="false">IF(AB158="","-",IF(AB158="","",INDEX(시장분석!$AL:$AL,AB158)))</f>
        <v>Fair</v>
      </c>
      <c r="AS158" s="96" t="n">
        <f aca="false">IF(AB158="","",INDEX(시장분석!$AJ:$AJ,AB158))</f>
        <v>17.1839891013978</v>
      </c>
      <c r="AT158" s="93" t="n">
        <f aca="false">IF(AB158="",0,IF(AB158="","",INDEX(시장분석!$AN:$AN,AB158)))</f>
        <v>6.85936758095257</v>
      </c>
      <c r="AU158" s="94" t="n">
        <f aca="false">IF(ISNUMBER(Z158),AT158/10000*MAX(Z158-1,0)*AA158*1000000,0)</f>
        <v>1962.01351082205</v>
      </c>
      <c r="AV158" s="94" t="n">
        <f aca="false">AO158+AU158</f>
        <v>115779.899770822</v>
      </c>
      <c r="AW158" s="43" t="str">
        <f aca="false">IF(Q158&lt;&gt;1,"",TRIM(IF(AD158=1,"FRN ","")&amp;IF(AND(AL158&gt;=10,AL158&lt;99),"BBB0미만 ","")&amp;IF(AJ158="","등급없음 ","")&amp;IF(K158&lt;&gt;1,"비USD ","")&amp;IF(AND(AB158="",Y158=0),"시장데이터없음 ","")&amp;IF(AND(ISNUMBER(U158),U158&lt;0),"만기경과 ","")))</f>
        <v/>
      </c>
      <c r="AX158" s="90" t="n">
        <f aca="false">IF(Q158&lt;&gt;1,1,IF(스프레드쇼크!$C$4="Y",INDEX(스프레드쇼크!$B$12:$L$16,IFERROR(MATCH(AH158,스프레드쇼크!$A$12:$A$16,0),MATCH("목록외",스프레드쇼크!$A$12:$A$16,0)),IFERROR(MATCH(AG158,스프레드쇼크!$B$11:$L$11,0),MATCH("목록외",스프레드쇼크!$B$11:$L$11,0))),1))</f>
        <v>1</v>
      </c>
      <c r="AY158" s="90" t="n">
        <f aca="false">IF(스프레드쇼크!$C$5="Y",IF(ISNUMBER(AF158),MIN(스프레드쇼크!$C$7,MAX(스프레드쇼크!$C$6,AF158/스프레드쇼크!$C$8)),1),1)</f>
        <v>1.21667109230117</v>
      </c>
      <c r="AZ158" s="94" t="n">
        <f aca="false">AN158*AX158*AY158</f>
        <v>587.240622577247</v>
      </c>
      <c r="BA158" s="90" t="n">
        <f aca="false">IF(ISNUMBER(G158),AA158*G158,0)</f>
        <v>11.381788626</v>
      </c>
      <c r="BB158" s="90" t="n">
        <f aca="false">IF(ISNUMBER(G158),AA158,0)</f>
        <v>1.966276</v>
      </c>
      <c r="BC158" s="90" t="n">
        <f aca="false">IF(AND(Y158=0,ISNUMBER(AF158)),AA158*AF158,0)</f>
        <v>158.165275164</v>
      </c>
      <c r="BD158" s="90" t="n">
        <f aca="false">IF(AND(Y158=0,ISNUMBER(AF158)),AA158,0)</f>
        <v>1.966276</v>
      </c>
      <c r="BE158" s="90" t="n">
        <f aca="false">IF(ISNUMBER(H158),AA158*H158,0)</f>
        <v>4.8266176972</v>
      </c>
      <c r="BF158" s="90" t="n">
        <f aca="false">IF(ISNUMBER(H158),AA158,0)</f>
        <v>1.966276</v>
      </c>
      <c r="BG158" s="90" t="n">
        <f aca="false">IF(AND(Y158=0,ISNUMBER(AF158),ISNUMBER(Z158)),AA158*Z158,0)</f>
        <v>4.8266176972</v>
      </c>
      <c r="BH158" s="90" t="n">
        <f aca="false">IF(AND(Y158=0,ISNUMBER(AF158),ISNUMBER(Z158)),AA158*AT158*MAX(Z158-1,0),0)</f>
        <v>19.6201351082205</v>
      </c>
      <c r="BI158" s="90" t="n">
        <f aca="false">IF(Y158=0,AA158,0)</f>
        <v>1.966276</v>
      </c>
    </row>
    <row r="159" customFormat="false" ht="15" hidden="false" customHeight="false" outlineLevel="0" collapsed="false">
      <c r="A159" s="83" t="str">
        <f aca="false">IFERROR(IF(INDEX(원자료_잔고!$A$1:$EZ$1500,설정!$L$5+ROW()-1,설정!$L$8)&amp;""="0","",INDEX(원자료_잔고!$A$1:$EZ$1500,설정!$L$5+ROW()-1,설정!$L$8)&amp;""),"")</f>
        <v>DAESEC 5.125 07/06/29</v>
      </c>
      <c r="B159" s="83" t="str">
        <f aca="false">IFERROR(IF(INDEX(원자료_잔고!$A$1:$EZ$1500,설정!$L$5+ROW()-1,설정!$L$7)&amp;""="0","",INDEX(원자료_잔고!$A$1:$EZ$1500,설정!$L$5+ROW()-1,설정!$L$7)&amp;""),"")</f>
        <v>XS3412558648</v>
      </c>
      <c r="C159" s="83" t="str">
        <f aca="false">IFERROR(IF(INDEX(원자료_잔고!$A$1:$EZ$1500,설정!$L$5+ROW()-1,설정!$L$9)&amp;""="0","",INDEX(원자료_잔고!$A$1:$EZ$1500,설정!$L$5+ROW()-1,설정!$L$9)&amp;""),"")</f>
        <v>34507</v>
      </c>
      <c r="D15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59" s="84" t="n">
        <f aca="false">IFERROR(IF(ISNUMBER(INDEX(원자료_잔고!$A$1:$EZ$1500,설정!$L$5+ROW()-1,설정!$L$11)),INDEX(원자료_잔고!$A$1:$EZ$1500,설정!$L$5+ROW()-1,설정!$L$11),""),"")</f>
        <v>5000000</v>
      </c>
      <c r="F159" s="85" t="n">
        <f aca="false">IFERROR(IF(ISNUMBER(INDEX(원자료_잔고!$A$1:$EZ$1500,설정!$L$5+ROW()-1,설정!$L$12)),INDEX(원자료_잔고!$A$1:$EZ$1500,설정!$L$5+ROW()-1,설정!$L$12),""),"")</f>
        <v>98.3138</v>
      </c>
      <c r="G159" s="85" t="n">
        <f aca="false">IFERROR(IF(ISNUMBER(INDEX(원자료_잔고!$A$1:$EZ$1500,설정!$L$5+ROW()-1,설정!$L$13)),INDEX(원자료_잔고!$A$1:$EZ$1500,설정!$L$5+ROW()-1,설정!$L$13),""),"")</f>
        <v>5.7885</v>
      </c>
      <c r="H159" s="85" t="n">
        <f aca="false">IFERROR(IF(ISNUMBER(INDEX(원자료_잔고!$A$1:$EZ$1500,설정!$L$5+ROW()-1,설정!$L$14)),INDEX(원자료_잔고!$A$1:$EZ$1500,설정!$L$5+ROW()-1,설정!$L$14),""),"")</f>
        <v>2.4547</v>
      </c>
      <c r="I159" s="86" t="n">
        <f aca="false">IFERROR(IF(ISNUMBER(INDEX(원자료_잔고!$A$1:$EZ$1500,설정!$L$5+ROW()-1,설정!$L$15)),INDEX(원자료_잔고!$A$1:$EZ$1500,설정!$L$5+ROW()-1,설정!$L$15),""),"")</f>
        <v>47305</v>
      </c>
      <c r="J159" s="85" t="n">
        <f aca="false">IFERROR(IF(ISNUMBER(INDEX(원자료_잔고!$A$1:$EZ$1500,설정!$L$5+ROW()-1,설정!$L$16)),INDEX(원자료_잔고!$A$1:$EZ$1500,설정!$L$5+ROW()-1,설정!$L$16),""),"")</f>
        <v>5.125</v>
      </c>
      <c r="K159" s="87" t="n">
        <f aca="false">IFERROR(IF(ISNUMBER(INDEX(원자료_잔고!$A$1:$EZ$1500,설정!$L$5+ROW()-1,설정!$L$17)),INDEX(원자료_잔고!$A$1:$EZ$1500,설정!$L$5+ROW()-1,설정!$L$17),""),"")</f>
        <v>1</v>
      </c>
      <c r="L159" s="84" t="n">
        <f aca="false">IFERROR(IF(ISNUMBER(INDEX(원자료_잔고!$A$1:$EZ$1500,설정!$L$5+ROW()-1,설정!$L$18)),INDEX(원자료_잔고!$A$1:$EZ$1500,설정!$L$5+ROW()-1,설정!$L$18),""),"")</f>
        <v>4915690</v>
      </c>
      <c r="M159" s="88" t="n">
        <f aca="false">IFERROR(IF(ISNUMBER(INDEX(원자료_잔고!$A$1:$EZ$1500,설정!$L$5+ROW()-1,설정!$L$19)),INDEX(원자료_잔고!$A$1:$EZ$1500,설정!$L$5+ROW()-1,설정!$L$19),""),"")</f>
        <v>-17010</v>
      </c>
      <c r="N159" s="83" t="str">
        <f aca="false">IFERROR(IF(INDEX(원자료_잔고!$A$1:$EZ$1500,설정!$L$5+ROW()-1,설정!$L$21)&amp;""="0","",INDEX(원자료_잔고!$A$1:$EZ$1500,설정!$L$5+ROW()-1,설정!$L$21)&amp;""),"")</f>
        <v/>
      </c>
      <c r="O159" s="83" t="str">
        <f aca="false">IFERROR(IF(INDEX(원자료_잔고!$A$1:$EZ$1500,설정!$L$5+ROW()-1,설정!$L$22)&amp;""="0","",INDEX(원자료_잔고!$A$1:$EZ$1500,설정!$L$5+ROW()-1,설정!$L$22)&amp;""),"")</f>
        <v/>
      </c>
      <c r="P159" s="83" t="str">
        <f aca="false">IFERROR(IF(INDEX(원자료_잔고!$A$1:$EZ$1500,설정!$L$5+ROW()-1,설정!$L$23)&amp;""="0","",INDEX(원자료_잔고!$A$1:$EZ$1500,설정!$L$5+ROW()-1,설정!$L$23)&amp;""),"")</f>
        <v>BBB</v>
      </c>
      <c r="Q159" s="89" t="n">
        <f aca="false">IF(AND($A159&lt;&gt;"",ISNUMBER(E159)),IF(E159&gt;0,1,0),0)</f>
        <v>1</v>
      </c>
      <c r="R159" s="43" t="str">
        <f aca="false">IF(Q159=1,UPPER(LEFT($A159,FIND(" ",$A159&amp;" ")-1)),"")</f>
        <v>DAESEC</v>
      </c>
      <c r="S159" s="89" t="n">
        <f aca="false">IF(Q159=1,IF(OR(ISNUMBER(SEARCH("Float",$A159)),ISNUMBER(SEARCH("FRN",$A159))),1,0),0)</f>
        <v>0</v>
      </c>
      <c r="T159" s="43" t="str">
        <f aca="false">IF(AND(Q159=1,ISNUMBER(I159)),TEXT(I159,"yyyymmdd")&amp;"|"&amp;IF(S159=1,"F",TEXT(J159,"0.000")),"")</f>
        <v>20290706|5.125</v>
      </c>
      <c r="U159" s="90" t="n">
        <f aca="false">IF(AND(Q159=1,ISNUMBER(I159)),(I159-설정!$C$4)/365.25,"")</f>
        <v>2.76249144421629</v>
      </c>
      <c r="V159" s="43" t="str">
        <f aca="false">IF(Q159&lt;&gt;1,"",IF(ISNUMBER(U159),IF(U159&lt;=1,"1년 이하",IF(U159&lt;=2,"1-2년",IF(U159&lt;=3,"2-3년",IF(U159&lt;=4,"3-4년",IF(U159&lt;=5,"4-5년",IF(U159&lt;=7,"5-7년",IF(U159&lt;=10,"7-10년",IF(U159&lt;=20,"10-20년","20년 이상")))))))),"미분류"))</f>
        <v>2-3년</v>
      </c>
      <c r="W159" s="43" t="str">
        <f aca="false">IF(Q159&lt;&gt;1,"",IF(AB159&lt;&gt;"",INDEX(시장분석!$C:$C,AB159),IF(K159=1,"USD","비USD")))</f>
        <v>USD</v>
      </c>
      <c r="X159" s="91" t="n">
        <f aca="false">IF(Q159=1,E159*K159/1000000,0)</f>
        <v>5</v>
      </c>
      <c r="Y159" s="89" t="n">
        <f aca="false">IF(R159="T",1,0)</f>
        <v>0</v>
      </c>
      <c r="Z159" s="92" t="n">
        <f aca="false">IF(Q159&lt;&gt;1,"",IF(AD159=1,IF(ISNUMBER(U159),MAX(U159,0),H159),H159))</f>
        <v>2.4547</v>
      </c>
      <c r="AA159" s="91" t="n">
        <f aca="false">IF(Q159=1,IF(ISNUMBER(L159),L159,0)*K159/1000000,0)</f>
        <v>4.91569</v>
      </c>
      <c r="AB159" s="89" t="n">
        <f aca="false">IF(Q159&lt;&gt;1,"",IFERROR(MATCH(VLOOKUP(B159,매핑!$H$4:$I$15,2,0),시장분석!$A$2:$A$601,0)+1,IFERROR(MATCH(R159&amp;"|"&amp;T159,시장분석!$V$2:$V$601,0)+1,IF(COUNTIF(시장분석!$U$2:$U$601,T159)=1,MATCH(T159,시장분석!$U$2:$U$601,0)+1,""))))</f>
        <v>259</v>
      </c>
      <c r="AC159" s="89" t="n">
        <f aca="false">IF(Q159&lt;&gt;1,0,IF(OR(설정!$C$5="전체",AND(설정!$C$5="선택펀드",IFERROR(COUNTIFS(설정!$F$16:$F$36,C159,설정!$G$16:$G$36,"Y")+COUNTIFS(설정!$F$16:$F$36,VALUE(C159),설정!$G$16:$G$36,"Y"),0)&gt;0),C159&amp;""=설정!$C$5&amp;""),1,0))</f>
        <v>1</v>
      </c>
      <c r="AD159" s="89" t="n">
        <f aca="false">IF(Q159&lt;&gt;1,0,IF(OR(S159=1,IF(AB159="",FALSE(),INDEX(시장분석!$R:$R,AB159)=1)),1,0))</f>
        <v>0</v>
      </c>
      <c r="AE159" s="43" t="str">
        <f aca="false">IF(AB159="","",INDEX(시장분석!$A:$A,AB159))</f>
        <v>DAESEC 5 1/8 07/06/29</v>
      </c>
      <c r="AF159" s="93" t="n">
        <f aca="false">IF(AB159="","",IF(ISNUMBER(IF(AB159="","",INDEX(시장분석!$E:$E,AB159))),IF(AB159="","",INDEX(시장분석!$E:$E,AB159)),""))</f>
        <v>80.439</v>
      </c>
      <c r="AG159" s="43" t="str">
        <f aca="false">IF(Q159&lt;&gt;1,"",IF(AB159&lt;&gt;"",IF(AB159="","",INDEX(시장분석!$L:$L,AB159)),IFERROR(IF(VLOOKUP(R159,매핑!$A$4:$E$92,5,0)="","미분류",VLOOKUP(R159,매핑!$A$4:$E$92,5,0)),"미분류")))</f>
        <v>금융기관</v>
      </c>
      <c r="AH159" s="43" t="str">
        <f aca="false">IF(Q159&lt;&gt;1,"",IF(AB159&lt;&gt;"",IF(AB159="","",INDEX(시장분석!$N:$N,AB159)),IFERROR(IF(VLOOKUP(R159,매핑!$A$4:$E$92,4,0)="","미분류",VLOOKUP(R159,매핑!$A$4:$E$92,4,0)),"미분류")))</f>
        <v>아시아/기타</v>
      </c>
      <c r="AI159" s="43" t="str">
        <f aca="false">IF(Q159&lt;&gt;1,"",IFERROR(IF(VLOOKUP(R159,매핑!$A$4:$E$92,3,0)="","미분류",VLOOKUP(R159,매핑!$A$4:$E$92,3,0)),IF(AB159&lt;&gt;"",IF(AB159="","",INDEX(시장분석!$W:$W,AB159)),"미분류")))</f>
        <v>한국</v>
      </c>
      <c r="AJ159" s="43" t="str">
        <f aca="false">IF(Q159&lt;&gt;1,"",IFERROR(VLOOKUP(IF(N159&lt;&gt;"",N159,IF(P159&lt;&gt;"",P159,O159)),설정!$A$15:$D$47,2,0),""))</f>
        <v>BBB</v>
      </c>
      <c r="AK159" s="43" t="str">
        <f aca="false">IF(Q159&lt;&gt;1,"",IF(AJ159="","무등급",IFERROR(VLOOKUP(AJ159,설정!$A$15:$D$47,3,0),"무등급")))</f>
        <v>BBB</v>
      </c>
      <c r="AL159" s="89" t="n">
        <f aca="false">IF(AJ159="",99,IFERROR(VLOOKUP(AJ159,설정!$A$15:$D$47,4,0),99))</f>
        <v>9</v>
      </c>
      <c r="AM159" s="94" t="n">
        <f aca="false">IF(ISNUMBER(H159),AA159*1000000*H159/10000,0)</f>
        <v>1206.6544243</v>
      </c>
      <c r="AN159" s="94" t="n">
        <f aca="false">IF(OR(Y159=1,NOT(ISNUMBER(Z159))),0,AA159*1000000*Z159/10000)</f>
        <v>1206.6544243</v>
      </c>
      <c r="AO159" s="94" t="n">
        <f aca="false">IF(ISNUMBER(G159),AA159*1000000*G159/100,0)</f>
        <v>284544.71565</v>
      </c>
      <c r="AP159" s="94" t="n">
        <f aca="false">IF(ISNUMBER(M159),M159*K159,0)</f>
        <v>-17010</v>
      </c>
      <c r="AQ159" s="95" t="n">
        <f aca="false">IF(AB159="","",INDEX(시장분석!$AK:$AK,AB159))</f>
        <v>0.839324767203021</v>
      </c>
      <c r="AR159" s="43" t="str">
        <f aca="false">IF(AB159="","-",IF(AB159="","",INDEX(시장분석!$AL:$AL,AB159)))</f>
        <v>Fair</v>
      </c>
      <c r="AS159" s="96" t="n">
        <f aca="false">IF(AB159="","",INDEX(시장분석!$AJ:$AJ,AB159))</f>
        <v>17.1839891013978</v>
      </c>
      <c r="AT159" s="93" t="n">
        <f aca="false">IF(AB159="",0,IF(AB159="","",INDEX(시장분석!$AN:$AN,AB159)))</f>
        <v>6.85936758095257</v>
      </c>
      <c r="AU159" s="94" t="n">
        <f aca="false">IF(ISNUMBER(Z159),AT159/10000*MAX(Z159-1,0)*AA159*1000000,0)</f>
        <v>4905.03377705513</v>
      </c>
      <c r="AV159" s="94" t="n">
        <f aca="false">AO159+AU159</f>
        <v>289449.749427055</v>
      </c>
      <c r="AW159" s="43" t="str">
        <f aca="false">IF(Q159&lt;&gt;1,"",TRIM(IF(AD159=1,"FRN ","")&amp;IF(AND(AL159&gt;=10,AL159&lt;99),"BBB0미만 ","")&amp;IF(AJ159="","등급없음 ","")&amp;IF(K159&lt;&gt;1,"비USD ","")&amp;IF(AND(AB159="",Y159=0),"시장데이터없음 ","")&amp;IF(AND(ISNUMBER(U159),U159&lt;0),"만기경과 ","")))</f>
        <v/>
      </c>
      <c r="AX159" s="90" t="n">
        <f aca="false">IF(Q159&lt;&gt;1,1,IF(스프레드쇼크!$C$4="Y",INDEX(스프레드쇼크!$B$12:$L$16,IFERROR(MATCH(AH159,스프레드쇼크!$A$12:$A$16,0),MATCH("목록외",스프레드쇼크!$A$12:$A$16,0)),IFERROR(MATCH(AG159,스프레드쇼크!$B$11:$L$11,0),MATCH("목록외",스프레드쇼크!$B$11:$L$11,0))),1))</f>
        <v>1</v>
      </c>
      <c r="AY159" s="90" t="n">
        <f aca="false">IF(스프레드쇼크!$C$5="Y",IF(ISNUMBER(AF159),MIN(스프레드쇼크!$C$7,MAX(스프레드쇼크!$C$6,AF159/스프레드쇼크!$C$8)),1),1)</f>
        <v>1.21667109230117</v>
      </c>
      <c r="AZ159" s="94" t="n">
        <f aca="false">AN159*AX159*AY159</f>
        <v>1468.10155644312</v>
      </c>
      <c r="BA159" s="90" t="n">
        <f aca="false">IF(ISNUMBER(G159),AA159*G159,0)</f>
        <v>28.454471565</v>
      </c>
      <c r="BB159" s="90" t="n">
        <f aca="false">IF(ISNUMBER(G159),AA159,0)</f>
        <v>4.91569</v>
      </c>
      <c r="BC159" s="90" t="n">
        <f aca="false">IF(AND(Y159=0,ISNUMBER(AF159)),AA159*AF159,0)</f>
        <v>395.41318791</v>
      </c>
      <c r="BD159" s="90" t="n">
        <f aca="false">IF(AND(Y159=0,ISNUMBER(AF159)),AA159,0)</f>
        <v>4.91569</v>
      </c>
      <c r="BE159" s="90" t="n">
        <f aca="false">IF(ISNUMBER(H159),AA159*H159,0)</f>
        <v>12.066544243</v>
      </c>
      <c r="BF159" s="90" t="n">
        <f aca="false">IF(ISNUMBER(H159),AA159,0)</f>
        <v>4.91569</v>
      </c>
      <c r="BG159" s="90" t="n">
        <f aca="false">IF(AND(Y159=0,ISNUMBER(AF159),ISNUMBER(Z159)),AA159*Z159,0)</f>
        <v>12.066544243</v>
      </c>
      <c r="BH159" s="90" t="n">
        <f aca="false">IF(AND(Y159=0,ISNUMBER(AF159),ISNUMBER(Z159)),AA159*AT159*MAX(Z159-1,0),0)</f>
        <v>49.0503377705513</v>
      </c>
      <c r="BI159" s="90" t="n">
        <f aca="false">IF(Y159=0,AA159,0)</f>
        <v>4.91569</v>
      </c>
    </row>
    <row r="160" customFormat="false" ht="15" hidden="false" customHeight="false" outlineLevel="0" collapsed="false">
      <c r="A160" s="83" t="str">
        <f aca="false">IFERROR(IF(INDEX(원자료_잔고!$A$1:$EZ$1500,설정!$L$5+ROW()-1,설정!$L$8)&amp;""="0","",INDEX(원자료_잔고!$A$1:$EZ$1500,설정!$L$5+ROW()-1,설정!$L$8)&amp;""),"")</f>
        <v>NHSECS 4.875 06/29/29</v>
      </c>
      <c r="B160" s="83" t="str">
        <f aca="false">IFERROR(IF(INDEX(원자료_잔고!$A$1:$EZ$1500,설정!$L$5+ROW()-1,설정!$L$7)&amp;""="0","",INDEX(원자료_잔고!$A$1:$EZ$1500,설정!$L$5+ROW()-1,설정!$L$7)&amp;""),"")</f>
        <v>XS3423950313</v>
      </c>
      <c r="C160" s="83" t="str">
        <f aca="false">IFERROR(IF(INDEX(원자료_잔고!$A$1:$EZ$1500,설정!$L$5+ROW()-1,설정!$L$9)&amp;""="0","",INDEX(원자료_잔고!$A$1:$EZ$1500,설정!$L$5+ROW()-1,설정!$L$9)&amp;""),"")</f>
        <v>34507</v>
      </c>
      <c r="D16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0" s="84" t="n">
        <f aca="false">IFERROR(IF(ISNUMBER(INDEX(원자료_잔고!$A$1:$EZ$1500,설정!$L$5+ROW()-1,설정!$L$11)),INDEX(원자료_잔고!$A$1:$EZ$1500,설정!$L$5+ROW()-1,설정!$L$11),""),"")</f>
        <v>1000000</v>
      </c>
      <c r="F160" s="85" t="n">
        <f aca="false">IFERROR(IF(ISNUMBER(INDEX(원자료_잔고!$A$1:$EZ$1500,설정!$L$5+ROW()-1,설정!$L$12)),INDEX(원자료_잔고!$A$1:$EZ$1500,설정!$L$5+ROW()-1,설정!$L$12),""),"")</f>
        <v>98.1322</v>
      </c>
      <c r="G160" s="85" t="n">
        <f aca="false">IFERROR(IF(ISNUMBER(INDEX(원자료_잔고!$A$1:$EZ$1500,설정!$L$5+ROW()-1,설정!$L$13)),INDEX(원자료_잔고!$A$1:$EZ$1500,설정!$L$5+ROW()-1,설정!$L$13),""),"")</f>
        <v>5.6143</v>
      </c>
      <c r="H160" s="85" t="n">
        <f aca="false">IFERROR(IF(ISNUMBER(INDEX(원자료_잔고!$A$1:$EZ$1500,설정!$L$5+ROW()-1,설정!$L$14)),INDEX(원자료_잔고!$A$1:$EZ$1500,설정!$L$5+ROW()-1,설정!$L$14),""),"")</f>
        <v>2.4465</v>
      </c>
      <c r="I160" s="86" t="n">
        <f aca="false">IFERROR(IF(ISNUMBER(INDEX(원자료_잔고!$A$1:$EZ$1500,설정!$L$5+ROW()-1,설정!$L$15)),INDEX(원자료_잔고!$A$1:$EZ$1500,설정!$L$5+ROW()-1,설정!$L$15),""),"")</f>
        <v>47298</v>
      </c>
      <c r="J160" s="85" t="n">
        <f aca="false">IFERROR(IF(ISNUMBER(INDEX(원자료_잔고!$A$1:$EZ$1500,설정!$L$5+ROW()-1,설정!$L$16)),INDEX(원자료_잔고!$A$1:$EZ$1500,설정!$L$5+ROW()-1,설정!$L$16),""),"")</f>
        <v>4.875</v>
      </c>
      <c r="K160" s="87" t="n">
        <f aca="false">IFERROR(IF(ISNUMBER(INDEX(원자료_잔고!$A$1:$EZ$1500,설정!$L$5+ROW()-1,설정!$L$17)),INDEX(원자료_잔고!$A$1:$EZ$1500,설정!$L$5+ROW()-1,설정!$L$17),""),"")</f>
        <v>1</v>
      </c>
      <c r="L160" s="84" t="n">
        <f aca="false">IFERROR(IF(ISNUMBER(INDEX(원자료_잔고!$A$1:$EZ$1500,설정!$L$5+ROW()-1,설정!$L$18)),INDEX(원자료_잔고!$A$1:$EZ$1500,설정!$L$5+ROW()-1,설정!$L$18),""),"")</f>
        <v>981322</v>
      </c>
      <c r="M160" s="88" t="n">
        <f aca="false">IFERROR(IF(ISNUMBER(INDEX(원자료_잔고!$A$1:$EZ$1500,설정!$L$5+ROW()-1,설정!$L$19)),INDEX(원자료_잔고!$A$1:$EZ$1500,설정!$L$5+ROW()-1,설정!$L$19),""),"")</f>
        <v>-16968</v>
      </c>
      <c r="N160" s="83" t="str">
        <f aca="false">IFERROR(IF(INDEX(원자료_잔고!$A$1:$EZ$1500,설정!$L$5+ROW()-1,설정!$L$21)&amp;""="0","",INDEX(원자료_잔고!$A$1:$EZ$1500,설정!$L$5+ROW()-1,설정!$L$21)&amp;""),"")</f>
        <v>A-</v>
      </c>
      <c r="O160" s="83" t="str">
        <f aca="false">IFERROR(IF(INDEX(원자료_잔고!$A$1:$EZ$1500,설정!$L$5+ROW()-1,설정!$L$22)&amp;""="0","",INDEX(원자료_잔고!$A$1:$EZ$1500,설정!$L$5+ROW()-1,설정!$L$22)&amp;""),"")</f>
        <v/>
      </c>
      <c r="P160" s="83" t="str">
        <f aca="false">IFERROR(IF(INDEX(원자료_잔고!$A$1:$EZ$1500,설정!$L$5+ROW()-1,설정!$L$23)&amp;""="0","",INDEX(원자료_잔고!$A$1:$EZ$1500,설정!$L$5+ROW()-1,설정!$L$23)&amp;""),"")</f>
        <v>N/A</v>
      </c>
      <c r="Q160" s="89" t="n">
        <f aca="false">IF(AND($A160&lt;&gt;"",ISNUMBER(E160)),IF(E160&gt;0,1,0),0)</f>
        <v>1</v>
      </c>
      <c r="R160" s="43" t="str">
        <f aca="false">IF(Q160=1,UPPER(LEFT($A160,FIND(" ",$A160&amp;" ")-1)),"")</f>
        <v>NHSECS</v>
      </c>
      <c r="S160" s="89" t="n">
        <f aca="false">IF(Q160=1,IF(OR(ISNUMBER(SEARCH("Float",$A160)),ISNUMBER(SEARCH("FRN",$A160))),1,0),0)</f>
        <v>0</v>
      </c>
      <c r="T160" s="43" t="str">
        <f aca="false">IF(AND(Q160=1,ISNUMBER(I160)),TEXT(I160,"yyyymmdd")&amp;"|"&amp;IF(S160=1,"F",TEXT(J160,"0.000")),"")</f>
        <v>20290629|4.875</v>
      </c>
      <c r="U160" s="90" t="n">
        <f aca="false">IF(AND(Q160=1,ISNUMBER(I160)),(I160-설정!$C$4)/365.25,"")</f>
        <v>2.74332648870637</v>
      </c>
      <c r="V160" s="43" t="str">
        <f aca="false">IF(Q160&lt;&gt;1,"",IF(ISNUMBER(U160),IF(U160&lt;=1,"1년 이하",IF(U160&lt;=2,"1-2년",IF(U160&lt;=3,"2-3년",IF(U160&lt;=4,"3-4년",IF(U160&lt;=5,"4-5년",IF(U160&lt;=7,"5-7년",IF(U160&lt;=10,"7-10년",IF(U160&lt;=20,"10-20년","20년 이상")))))))),"미분류"))</f>
        <v>2-3년</v>
      </c>
      <c r="W160" s="43" t="str">
        <f aca="false">IF(Q160&lt;&gt;1,"",IF(AB160&lt;&gt;"",INDEX(시장분석!$C:$C,AB160),IF(K160=1,"USD","비USD")))</f>
        <v>USD</v>
      </c>
      <c r="X160" s="91" t="n">
        <f aca="false">IF(Q160=1,E160*K160/1000000,0)</f>
        <v>1</v>
      </c>
      <c r="Y160" s="89" t="n">
        <f aca="false">IF(R160="T",1,0)</f>
        <v>0</v>
      </c>
      <c r="Z160" s="92" t="n">
        <f aca="false">IF(Q160&lt;&gt;1,"",IF(AD160=1,IF(ISNUMBER(U160),MAX(U160,0),H160),H160))</f>
        <v>2.4465</v>
      </c>
      <c r="AA160" s="91" t="n">
        <f aca="false">IF(Q160=1,IF(ISNUMBER(L160),L160,0)*K160/1000000,0)</f>
        <v>0.981322</v>
      </c>
      <c r="AB160" s="89" t="n">
        <f aca="false">IF(Q160&lt;&gt;1,"",IFERROR(MATCH(VLOOKUP(B160,매핑!$H$4:$I$15,2,0),시장분석!$A$2:$A$601,0)+1,IFERROR(MATCH(R160&amp;"|"&amp;T160,시장분석!$V$2:$V$601,0)+1,IF(COUNTIF(시장분석!$U$2:$U$601,T160)=1,MATCH(T160,시장분석!$U$2:$U$601,0)+1,""))))</f>
        <v>262</v>
      </c>
      <c r="AC160" s="89" t="n">
        <f aca="false">IF(Q160&lt;&gt;1,0,IF(OR(설정!$C$5="전체",AND(설정!$C$5="선택펀드",IFERROR(COUNTIFS(설정!$F$16:$F$36,C160,설정!$G$16:$G$36,"Y")+COUNTIFS(설정!$F$16:$F$36,VALUE(C160),설정!$G$16:$G$36,"Y"),0)&gt;0),C160&amp;""=설정!$C$5&amp;""),1,0))</f>
        <v>1</v>
      </c>
      <c r="AD160" s="89" t="n">
        <f aca="false">IF(Q160&lt;&gt;1,0,IF(OR(S160=1,IF(AB160="",FALSE(),INDEX(시장분석!$R:$R,AB160)=1)),1,0))</f>
        <v>0</v>
      </c>
      <c r="AE160" s="43" t="str">
        <f aca="false">IF(AB160="","",INDEX(시장분석!$A:$A,AB160))</f>
        <v>NHSECS 4 7/8 06/29/29</v>
      </c>
      <c r="AF160" s="93" t="n">
        <f aca="false">IF(AB160="","",IF(ISNUMBER(IF(AB160="","",INDEX(시장분석!$E:$E,AB160))),IF(AB160="","",INDEX(시장분석!$E:$E,AB160)),""))</f>
        <v>61.473</v>
      </c>
      <c r="AG160" s="43" t="str">
        <f aca="false">IF(Q160&lt;&gt;1,"",IF(AB160&lt;&gt;"",IF(AB160="","",INDEX(시장분석!$L:$L,AB160)),IFERROR(IF(VLOOKUP(R160,매핑!$A$4:$E$92,5,0)="","미분류",VLOOKUP(R160,매핑!$A$4:$E$92,5,0)),"미분류")))</f>
        <v>금융기관</v>
      </c>
      <c r="AH160" s="43" t="str">
        <f aca="false">IF(Q160&lt;&gt;1,"",IF(AB160&lt;&gt;"",IF(AB160="","",INDEX(시장분석!$N:$N,AB160)),IFERROR(IF(VLOOKUP(R160,매핑!$A$4:$E$92,4,0)="","미분류",VLOOKUP(R160,매핑!$A$4:$E$92,4,0)),"미분류")))</f>
        <v>아시아/기타</v>
      </c>
      <c r="AI160" s="43" t="str">
        <f aca="false">IF(Q160&lt;&gt;1,"",IFERROR(IF(VLOOKUP(R160,매핑!$A$4:$E$92,3,0)="","미분류",VLOOKUP(R160,매핑!$A$4:$E$92,3,0)),IF(AB160&lt;&gt;"",IF(AB160="","",INDEX(시장분석!$W:$W,AB160)),"미분류")))</f>
        <v>한국</v>
      </c>
      <c r="AJ160" s="43" t="str">
        <f aca="false">IF(Q160&lt;&gt;1,"",IFERROR(VLOOKUP(IF(N160&lt;&gt;"",N160,IF(P160&lt;&gt;"",P160,O160)),설정!$A$15:$D$47,2,0),""))</f>
        <v>A-</v>
      </c>
      <c r="AK160" s="43" t="str">
        <f aca="false">IF(Q160&lt;&gt;1,"",IF(AJ160="","무등급",IFERROR(VLOOKUP(AJ160,설정!$A$15:$D$47,3,0),"무등급")))</f>
        <v>A</v>
      </c>
      <c r="AL160" s="89" t="n">
        <f aca="false">IF(AJ160="",99,IFERROR(VLOOKUP(AJ160,설정!$A$15:$D$47,4,0),99))</f>
        <v>7</v>
      </c>
      <c r="AM160" s="94" t="n">
        <f aca="false">IF(ISNUMBER(H160),AA160*1000000*H160/10000,0)</f>
        <v>240.0804273</v>
      </c>
      <c r="AN160" s="94" t="n">
        <f aca="false">IF(OR(Y160=1,NOT(ISNUMBER(Z160))),0,AA160*1000000*Z160/10000)</f>
        <v>240.0804273</v>
      </c>
      <c r="AO160" s="94" t="n">
        <f aca="false">IF(ISNUMBER(G160),AA160*1000000*G160/100,0)</f>
        <v>55094.361046</v>
      </c>
      <c r="AP160" s="94" t="n">
        <f aca="false">IF(ISNUMBER(M160),M160*K160,0)</f>
        <v>-16968</v>
      </c>
      <c r="AQ160" s="95" t="n">
        <f aca="false">IF(AB160="","",INDEX(시장분석!$AK:$AK,AB160))</f>
        <v>-0.0838578217492764</v>
      </c>
      <c r="AR160" s="43" t="str">
        <f aca="false">IF(AB160="","-",IF(AB160="","",INDEX(시장분석!$AL:$AL,AB160)))</f>
        <v>Fair</v>
      </c>
      <c r="AS160" s="96" t="n">
        <f aca="false">IF(AB160="","",INDEX(시장분석!$AJ:$AJ,AB160))</f>
        <v>-1.71687045505469</v>
      </c>
      <c r="AT160" s="93" t="n">
        <f aca="false">IF(AB160="",0,IF(AB160="","",INDEX(시장분석!$AN:$AN,AB160)))</f>
        <v>6.90101780988262</v>
      </c>
      <c r="AU160" s="94" t="n">
        <f aca="false">IF(ISNUMBER(Z160),AT160/10000*MAX(Z160-1,0)*AA160*1000000,0)</f>
        <v>979.587244678567</v>
      </c>
      <c r="AV160" s="94" t="n">
        <f aca="false">AO160+AU160</f>
        <v>56073.9482906786</v>
      </c>
      <c r="AW160" s="43" t="str">
        <f aca="false">IF(Q160&lt;&gt;1,"",TRIM(IF(AD160=1,"FRN ","")&amp;IF(AND(AL160&gt;=10,AL160&lt;99),"BBB0미만 ","")&amp;IF(AJ160="","등급없음 ","")&amp;IF(K160&lt;&gt;1,"비USD ","")&amp;IF(AND(AB160="",Y160=0),"시장데이터없음 ","")&amp;IF(AND(ISNUMBER(U160),U160&lt;0),"만기경과 ","")))</f>
        <v/>
      </c>
      <c r="AX160" s="90" t="n">
        <f aca="false">IF(Q160&lt;&gt;1,1,IF(스프레드쇼크!$C$4="Y",INDEX(스프레드쇼크!$B$12:$L$16,IFERROR(MATCH(AH160,스프레드쇼크!$A$12:$A$16,0),MATCH("목록외",스프레드쇼크!$A$12:$A$16,0)),IFERROR(MATCH(AG160,스프레드쇼크!$B$11:$L$11,0),MATCH("목록외",스프레드쇼크!$B$11:$L$11,0))),1))</f>
        <v>1</v>
      </c>
      <c r="AY160" s="90" t="n">
        <f aca="false">IF(스프레드쇼크!$C$5="Y",IF(ISNUMBER(AF160),MIN(스프레드쇼크!$C$7,MAX(스프레드쇼크!$C$6,AF160/스프레드쇼크!$C$8)),1),1)</f>
        <v>0.92980298184997</v>
      </c>
      <c r="AZ160" s="94" t="n">
        <f aca="false">AN160*AX160*AY160</f>
        <v>223.227497187355</v>
      </c>
      <c r="BA160" s="90" t="n">
        <f aca="false">IF(ISNUMBER(G160),AA160*G160,0)</f>
        <v>5.5094361046</v>
      </c>
      <c r="BB160" s="90" t="n">
        <f aca="false">IF(ISNUMBER(G160),AA160,0)</f>
        <v>0.981322</v>
      </c>
      <c r="BC160" s="90" t="n">
        <f aca="false">IF(AND(Y160=0,ISNUMBER(AF160)),AA160*AF160,0)</f>
        <v>60.324807306</v>
      </c>
      <c r="BD160" s="90" t="n">
        <f aca="false">IF(AND(Y160=0,ISNUMBER(AF160)),AA160,0)</f>
        <v>0.981322</v>
      </c>
      <c r="BE160" s="90" t="n">
        <f aca="false">IF(ISNUMBER(H160),AA160*H160,0)</f>
        <v>2.400804273</v>
      </c>
      <c r="BF160" s="90" t="n">
        <f aca="false">IF(ISNUMBER(H160),AA160,0)</f>
        <v>0.981322</v>
      </c>
      <c r="BG160" s="90" t="n">
        <f aca="false">IF(AND(Y160=0,ISNUMBER(AF160),ISNUMBER(Z160)),AA160*Z160,0)</f>
        <v>2.400804273</v>
      </c>
      <c r="BH160" s="90" t="n">
        <f aca="false">IF(AND(Y160=0,ISNUMBER(AF160),ISNUMBER(Z160)),AA160*AT160*MAX(Z160-1,0),0)</f>
        <v>9.79587244678566</v>
      </c>
      <c r="BI160" s="90" t="n">
        <f aca="false">IF(Y160=0,AA160,0)</f>
        <v>0.981322</v>
      </c>
    </row>
    <row r="161" customFormat="false" ht="15" hidden="false" customHeight="false" outlineLevel="0" collapsed="false">
      <c r="A161" s="83" t="str">
        <f aca="false">IFERROR(IF(INDEX(원자료_잔고!$A$1:$EZ$1500,설정!$L$5+ROW()-1,설정!$L$8)&amp;""="0","",INDEX(원자료_잔고!$A$1:$EZ$1500,설정!$L$5+ROW()-1,설정!$L$8)&amp;""),"")</f>
        <v>SAMAER 5 07/27/29</v>
      </c>
      <c r="B161" s="83" t="str">
        <f aca="false">IFERROR(IF(INDEX(원자료_잔고!$A$1:$EZ$1500,설정!$L$5+ROW()-1,설정!$L$7)&amp;""="0","",INDEX(원자료_잔고!$A$1:$EZ$1500,설정!$L$5+ROW()-1,설정!$L$7)&amp;""),"")</f>
        <v>XS3448558893</v>
      </c>
      <c r="C161" s="83" t="str">
        <f aca="false">IFERROR(IF(INDEX(원자료_잔고!$A$1:$EZ$1500,설정!$L$5+ROW()-1,설정!$L$9)&amp;""="0","",INDEX(원자료_잔고!$A$1:$EZ$1500,설정!$L$5+ROW()-1,설정!$L$9)&amp;""),"")</f>
        <v>34507</v>
      </c>
      <c r="D16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1" s="84" t="n">
        <f aca="false">IFERROR(IF(ISNUMBER(INDEX(원자료_잔고!$A$1:$EZ$1500,설정!$L$5+ROW()-1,설정!$L$11)),INDEX(원자료_잔고!$A$1:$EZ$1500,설정!$L$5+ROW()-1,설정!$L$11),""),"")</f>
        <v>200000</v>
      </c>
      <c r="F161" s="85" t="n">
        <f aca="false">IFERROR(IF(ISNUMBER(INDEX(원자료_잔고!$A$1:$EZ$1500,설정!$L$5+ROW()-1,설정!$L$12)),INDEX(원자료_잔고!$A$1:$EZ$1500,설정!$L$5+ROW()-1,설정!$L$12),""),"")</f>
        <v>98.4426</v>
      </c>
      <c r="G161" s="85" t="n">
        <f aca="false">IFERROR(IF(ISNUMBER(INDEX(원자료_잔고!$A$1:$EZ$1500,설정!$L$5+ROW()-1,설정!$L$13)),INDEX(원자료_잔고!$A$1:$EZ$1500,설정!$L$5+ROW()-1,설정!$L$13),""),"")</f>
        <v>5.6005</v>
      </c>
      <c r="H161" s="85" t="n">
        <f aca="false">IFERROR(IF(ISNUMBER(INDEX(원자료_잔고!$A$1:$EZ$1500,설정!$L$5+ROW()-1,설정!$L$14)),INDEX(원자료_잔고!$A$1:$EZ$1500,설정!$L$5+ROW()-1,설정!$L$14),""),"")</f>
        <v>2.52</v>
      </c>
      <c r="I161" s="86" t="n">
        <f aca="false">IFERROR(IF(ISNUMBER(INDEX(원자료_잔고!$A$1:$EZ$1500,설정!$L$5+ROW()-1,설정!$L$15)),INDEX(원자료_잔고!$A$1:$EZ$1500,설정!$L$5+ROW()-1,설정!$L$15),""),"")</f>
        <v>47326</v>
      </c>
      <c r="J161" s="85" t="n">
        <f aca="false">IFERROR(IF(ISNUMBER(INDEX(원자료_잔고!$A$1:$EZ$1500,설정!$L$5+ROW()-1,설정!$L$16)),INDEX(원자료_잔고!$A$1:$EZ$1500,설정!$L$5+ROW()-1,설정!$L$16),""),"")</f>
        <v>5</v>
      </c>
      <c r="K161" s="87" t="n">
        <f aca="false">IFERROR(IF(ISNUMBER(INDEX(원자료_잔고!$A$1:$EZ$1500,설정!$L$5+ROW()-1,설정!$L$17)),INDEX(원자료_잔고!$A$1:$EZ$1500,설정!$L$5+ROW()-1,설정!$L$17),""),"")</f>
        <v>1</v>
      </c>
      <c r="L161" s="84" t="n">
        <f aca="false">IFERROR(IF(ISNUMBER(INDEX(원자료_잔고!$A$1:$EZ$1500,설정!$L$5+ROW()-1,설정!$L$18)),INDEX(원자료_잔고!$A$1:$EZ$1500,설정!$L$5+ROW()-1,설정!$L$18),""),"")</f>
        <v>196885.2</v>
      </c>
      <c r="M161" s="88" t="n">
        <f aca="false">IFERROR(IF(ISNUMBER(INDEX(원자료_잔고!$A$1:$EZ$1500,설정!$L$5+ROW()-1,설정!$L$19)),INDEX(원자료_잔고!$A$1:$EZ$1500,설정!$L$5+ROW()-1,설정!$L$19),""),"")</f>
        <v>-2696.8</v>
      </c>
      <c r="N161" s="83" t="str">
        <f aca="false">IFERROR(IF(INDEX(원자료_잔고!$A$1:$EZ$1500,설정!$L$5+ROW()-1,설정!$L$21)&amp;""="0","",INDEX(원자료_잔고!$A$1:$EZ$1500,설정!$L$5+ROW()-1,설정!$L$21)&amp;""),"")</f>
        <v>A-</v>
      </c>
      <c r="O161" s="83" t="str">
        <f aca="false">IFERROR(IF(INDEX(원자료_잔고!$A$1:$EZ$1500,설정!$L$5+ROW()-1,설정!$L$22)&amp;""="0","",INDEX(원자료_잔고!$A$1:$EZ$1500,설정!$L$5+ROW()-1,설정!$L$22)&amp;""),"")</f>
        <v/>
      </c>
      <c r="P161" s="83" t="str">
        <f aca="false">IFERROR(IF(INDEX(원자료_잔고!$A$1:$EZ$1500,설정!$L$5+ROW()-1,설정!$L$23)&amp;""="0","",INDEX(원자료_잔고!$A$1:$EZ$1500,설정!$L$5+ROW()-1,설정!$L$23)&amp;""),"")</f>
        <v>N/A</v>
      </c>
      <c r="Q161" s="89" t="n">
        <f aca="false">IF(AND($A161&lt;&gt;"",ISNUMBER(E161)),IF(E161&gt;0,1,0),0)</f>
        <v>1</v>
      </c>
      <c r="R161" s="43" t="str">
        <f aca="false">IF(Q161=1,UPPER(LEFT($A161,FIND(" ",$A161&amp;" ")-1)),"")</f>
        <v>SAMAER</v>
      </c>
      <c r="S161" s="89" t="n">
        <f aca="false">IF(Q161=1,IF(OR(ISNUMBER(SEARCH("Float",$A161)),ISNUMBER(SEARCH("FRN",$A161))),1,0),0)</f>
        <v>0</v>
      </c>
      <c r="T161" s="43" t="str">
        <f aca="false">IF(AND(Q161=1,ISNUMBER(I161)),TEXT(I161,"yyyymmdd")&amp;"|"&amp;IF(S161=1,"F",TEXT(J161,"0.000")),"")</f>
        <v>20290727|5.000</v>
      </c>
      <c r="U161" s="90" t="n">
        <f aca="false">IF(AND(Q161=1,ISNUMBER(I161)),(I161-설정!$C$4)/365.25,"")</f>
        <v>2.81998631074606</v>
      </c>
      <c r="V161" s="43" t="str">
        <f aca="false">IF(Q161&lt;&gt;1,"",IF(ISNUMBER(U161),IF(U161&lt;=1,"1년 이하",IF(U161&lt;=2,"1-2년",IF(U161&lt;=3,"2-3년",IF(U161&lt;=4,"3-4년",IF(U161&lt;=5,"4-5년",IF(U161&lt;=7,"5-7년",IF(U161&lt;=10,"7-10년",IF(U161&lt;=20,"10-20년","20년 이상")))))))),"미분류"))</f>
        <v>2-3년</v>
      </c>
      <c r="W161" s="43" t="str">
        <f aca="false">IF(Q161&lt;&gt;1,"",IF(AB161&lt;&gt;"",INDEX(시장분석!$C:$C,AB161),IF(K161=1,"USD","비USD")))</f>
        <v>USD</v>
      </c>
      <c r="X161" s="91" t="n">
        <f aca="false">IF(Q161=1,E161*K161/1000000,0)</f>
        <v>0.2</v>
      </c>
      <c r="Y161" s="89" t="n">
        <f aca="false">IF(R161="T",1,0)</f>
        <v>0</v>
      </c>
      <c r="Z161" s="92" t="n">
        <f aca="false">IF(Q161&lt;&gt;1,"",IF(AD161=1,IF(ISNUMBER(U161),MAX(U161,0),H161),H161))</f>
        <v>2.52</v>
      </c>
      <c r="AA161" s="91" t="n">
        <f aca="false">IF(Q161=1,IF(ISNUMBER(L161),L161,0)*K161/1000000,0)</f>
        <v>0.1968852</v>
      </c>
      <c r="AB161" s="89" t="n">
        <f aca="false">IF(Q161&lt;&gt;1,"",IFERROR(MATCH(VLOOKUP(B161,매핑!$H$4:$I$15,2,0),시장분석!$A$2:$A$601,0)+1,IFERROR(MATCH(R161&amp;"|"&amp;T161,시장분석!$V$2:$V$601,0)+1,IF(COUNTIF(시장분석!$U$2:$U$601,T161)=1,MATCH(T161,시장분석!$U$2:$U$601,0)+1,""))))</f>
        <v>265</v>
      </c>
      <c r="AC161" s="89" t="n">
        <f aca="false">IF(Q161&lt;&gt;1,0,IF(OR(설정!$C$5="전체",AND(설정!$C$5="선택펀드",IFERROR(COUNTIFS(설정!$F$16:$F$36,C161,설정!$G$16:$G$36,"Y")+COUNTIFS(설정!$F$16:$F$36,VALUE(C161),설정!$G$16:$G$36,"Y"),0)&gt;0),C161&amp;""=설정!$C$5&amp;""),1,0))</f>
        <v>1</v>
      </c>
      <c r="AD161" s="89" t="n">
        <f aca="false">IF(Q161&lt;&gt;1,0,IF(OR(S161=1,IF(AB161="",FALSE(),INDEX(시장분석!$R:$R,AB161)=1)),1,0))</f>
        <v>0</v>
      </c>
      <c r="AE161" s="43" t="str">
        <f aca="false">IF(AB161="","",INDEX(시장분석!$A:$A,AB161))</f>
        <v>SAMAER 5 07/27/29</v>
      </c>
      <c r="AF161" s="93" t="n">
        <f aca="false">IF(AB161="","",IF(ISNUMBER(IF(AB161="","",INDEX(시장분석!$E:$E,AB161))),IF(AB161="","",INDEX(시장분석!$E:$E,AB161)),""))</f>
        <v>61.571</v>
      </c>
      <c r="AG161" s="43" t="str">
        <f aca="false">IF(Q161&lt;&gt;1,"",IF(AB161&lt;&gt;"",IF(AB161="","",INDEX(시장분석!$L:$L,AB161)),IFERROR(IF(VLOOKUP(R161,매핑!$A$4:$E$92,5,0)="","미분류",VLOOKUP(R161,매핑!$A$4:$E$92,5,0)),"미분류")))</f>
        <v>산업</v>
      </c>
      <c r="AH161" s="43" t="str">
        <f aca="false">IF(Q161&lt;&gt;1,"",IF(AB161&lt;&gt;"",IF(AB161="","",INDEX(시장분석!$N:$N,AB161)),IFERROR(IF(VLOOKUP(R161,매핑!$A$4:$E$92,4,0)="","미분류",VLOOKUP(R161,매핑!$A$4:$E$92,4,0)),"미분류")))</f>
        <v>아시아/기타</v>
      </c>
      <c r="AI161" s="43" t="str">
        <f aca="false">IF(Q161&lt;&gt;1,"",IFERROR(IF(VLOOKUP(R161,매핑!$A$4:$E$92,3,0)="","미분류",VLOOKUP(R161,매핑!$A$4:$E$92,3,0)),IF(AB161&lt;&gt;"",IF(AB161="","",INDEX(시장분석!$W:$W,AB161)),"미분류")))</f>
        <v>한국</v>
      </c>
      <c r="AJ161" s="43" t="str">
        <f aca="false">IF(Q161&lt;&gt;1,"",IFERROR(VLOOKUP(IF(N161&lt;&gt;"",N161,IF(P161&lt;&gt;"",P161,O161)),설정!$A$15:$D$47,2,0),""))</f>
        <v>A-</v>
      </c>
      <c r="AK161" s="43" t="str">
        <f aca="false">IF(Q161&lt;&gt;1,"",IF(AJ161="","무등급",IFERROR(VLOOKUP(AJ161,설정!$A$15:$D$47,3,0),"무등급")))</f>
        <v>A</v>
      </c>
      <c r="AL161" s="89" t="n">
        <f aca="false">IF(AJ161="",99,IFERROR(VLOOKUP(AJ161,설정!$A$15:$D$47,4,0),99))</f>
        <v>7</v>
      </c>
      <c r="AM161" s="94" t="n">
        <f aca="false">IF(ISNUMBER(H161),AA161*1000000*H161/10000,0)</f>
        <v>49.6150704</v>
      </c>
      <c r="AN161" s="94" t="n">
        <f aca="false">IF(OR(Y161=1,NOT(ISNUMBER(Z161))),0,AA161*1000000*Z161/10000)</f>
        <v>49.6150704</v>
      </c>
      <c r="AO161" s="94" t="n">
        <f aca="false">IF(ISNUMBER(G161),AA161*1000000*G161/100,0)</f>
        <v>11026.555626</v>
      </c>
      <c r="AP161" s="94" t="n">
        <f aca="false">IF(ISNUMBER(M161),M161*K161,0)</f>
        <v>-2696.8</v>
      </c>
      <c r="AQ161" s="95" t="n">
        <f aca="false">IF(AB161="","",INDEX(시장분석!$AK:$AK,AB161))</f>
        <v>0.602783379533243</v>
      </c>
      <c r="AR161" s="43" t="str">
        <f aca="false">IF(AB161="","-",IF(AB161="","",INDEX(시장분석!$AL:$AL,AB161)))</f>
        <v>Fair</v>
      </c>
      <c r="AS161" s="96" t="n">
        <f aca="false">IF(AB161="","",INDEX(시장분석!$AJ:$AJ,AB161))</f>
        <v>16.6234523690699</v>
      </c>
      <c r="AT161" s="93" t="n">
        <f aca="false">IF(AB161="",0,IF(AB161="","",INDEX(시장분석!$AN:$AN,AB161)))</f>
        <v>12.7602245048048</v>
      </c>
      <c r="AU161" s="94" t="n">
        <f aca="false">IF(ISNUMBER(Z161),AT161/10000*MAX(Z161-1,0)*AA161*1000000,0)</f>
        <v>381.869501758357</v>
      </c>
      <c r="AV161" s="94" t="n">
        <f aca="false">AO161+AU161</f>
        <v>11408.4251277584</v>
      </c>
      <c r="AW161" s="43" t="str">
        <f aca="false">IF(Q161&lt;&gt;1,"",TRIM(IF(AD161=1,"FRN ","")&amp;IF(AND(AL161&gt;=10,AL161&lt;99),"BBB0미만 ","")&amp;IF(AJ161="","등급없음 ","")&amp;IF(K161&lt;&gt;1,"비USD ","")&amp;IF(AND(AB161="",Y161=0),"시장데이터없음 ","")&amp;IF(AND(ISNUMBER(U161),U161&lt;0),"만기경과 ","")))</f>
        <v/>
      </c>
      <c r="AX161" s="90" t="n">
        <f aca="false">IF(Q161&lt;&gt;1,1,IF(스프레드쇼크!$C$4="Y",INDEX(스프레드쇼크!$B$12:$L$16,IFERROR(MATCH(AH161,스프레드쇼크!$A$12:$A$16,0),MATCH("목록외",스프레드쇼크!$A$12:$A$16,0)),IFERROR(MATCH(AG161,스프레드쇼크!$B$11:$L$11,0),MATCH("목록외",스프레드쇼크!$B$11:$L$11,0))),1))</f>
        <v>1</v>
      </c>
      <c r="AY161" s="90" t="n">
        <f aca="false">IF(스프레드쇼크!$C$5="Y",IF(ISNUMBER(AF161),MIN(스프레드쇼크!$C$7,MAX(스프레드쇼크!$C$6,AF161/스프레드쇼크!$C$8)),1),1)</f>
        <v>0.931285269882461</v>
      </c>
      <c r="AZ161" s="94" t="n">
        <f aca="false">AN161*AX161*AY161</f>
        <v>46.2057842277013</v>
      </c>
      <c r="BA161" s="90" t="n">
        <f aca="false">IF(ISNUMBER(G161),AA161*G161,0)</f>
        <v>1.1026555626</v>
      </c>
      <c r="BB161" s="90" t="n">
        <f aca="false">IF(ISNUMBER(G161),AA161,0)</f>
        <v>0.1968852</v>
      </c>
      <c r="BC161" s="90" t="n">
        <f aca="false">IF(AND(Y161=0,ISNUMBER(AF161)),AA161*AF161,0)</f>
        <v>12.1224186492</v>
      </c>
      <c r="BD161" s="90" t="n">
        <f aca="false">IF(AND(Y161=0,ISNUMBER(AF161)),AA161,0)</f>
        <v>0.1968852</v>
      </c>
      <c r="BE161" s="90" t="n">
        <f aca="false">IF(ISNUMBER(H161),AA161*H161,0)</f>
        <v>0.496150704</v>
      </c>
      <c r="BF161" s="90" t="n">
        <f aca="false">IF(ISNUMBER(H161),AA161,0)</f>
        <v>0.1968852</v>
      </c>
      <c r="BG161" s="90" t="n">
        <f aca="false">IF(AND(Y161=0,ISNUMBER(AF161),ISNUMBER(Z161)),AA161*Z161,0)</f>
        <v>0.496150704</v>
      </c>
      <c r="BH161" s="90" t="n">
        <f aca="false">IF(AND(Y161=0,ISNUMBER(AF161),ISNUMBER(Z161)),AA161*AT161*MAX(Z161-1,0),0)</f>
        <v>3.81869501758357</v>
      </c>
      <c r="BI161" s="90" t="n">
        <f aca="false">IF(Y161=0,AA161,0)</f>
        <v>0.1968852</v>
      </c>
    </row>
    <row r="162" customFormat="false" ht="15" hidden="false" customHeight="false" outlineLevel="0" collapsed="false">
      <c r="A162" s="83" t="str">
        <f aca="false">IFERROR(IF(INDEX(원자료_잔고!$A$1:$EZ$1500,설정!$L$5+ROW()-1,설정!$L$8)&amp;""="0","",INDEX(원자료_잔고!$A$1:$EZ$1500,설정!$L$5+ROW()-1,설정!$L$8)&amp;""),"")</f>
        <v>KORSFC 4.875 09/17/29</v>
      </c>
      <c r="B162" s="83" t="str">
        <f aca="false">IFERROR(IF(INDEX(원자료_잔고!$A$1:$EZ$1500,설정!$L$5+ROW()-1,설정!$L$7)&amp;""="0","",INDEX(원자료_잔고!$A$1:$EZ$1500,설정!$L$5+ROW()-1,설정!$L$7)&amp;""),"")</f>
        <v>XS3504731228</v>
      </c>
      <c r="C162" s="83" t="str">
        <f aca="false">IFERROR(IF(INDEX(원자료_잔고!$A$1:$EZ$1500,설정!$L$5+ROW()-1,설정!$L$9)&amp;""="0","",INDEX(원자료_잔고!$A$1:$EZ$1500,설정!$L$5+ROW()-1,설정!$L$9)&amp;""),"")</f>
        <v>34507</v>
      </c>
      <c r="D16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2" s="84" t="n">
        <f aca="false">IFERROR(IF(ISNUMBER(INDEX(원자료_잔고!$A$1:$EZ$1500,설정!$L$5+ROW()-1,설정!$L$11)),INDEX(원자료_잔고!$A$1:$EZ$1500,설정!$L$5+ROW()-1,설정!$L$11),""),"")</f>
        <v>200000</v>
      </c>
      <c r="F162" s="85" t="n">
        <f aca="false">IFERROR(IF(ISNUMBER(INDEX(원자료_잔고!$A$1:$EZ$1500,설정!$L$5+ROW()-1,설정!$L$12)),INDEX(원자료_잔고!$A$1:$EZ$1500,설정!$L$5+ROW()-1,설정!$L$12),""),"")</f>
        <v>98.5278</v>
      </c>
      <c r="G162" s="85" t="n">
        <f aca="false">IFERROR(IF(ISNUMBER(INDEX(원자료_잔고!$A$1:$EZ$1500,설정!$L$5+ROW()-1,설정!$L$13)),INDEX(원자료_잔고!$A$1:$EZ$1500,설정!$L$5+ROW()-1,설정!$L$13),""),"")</f>
        <v>5.418</v>
      </c>
      <c r="H162" s="85" t="n">
        <f aca="false">IFERROR(IF(ISNUMBER(INDEX(원자료_잔고!$A$1:$EZ$1500,설정!$L$5+ROW()-1,설정!$L$14)),INDEX(원자료_잔고!$A$1:$EZ$1500,설정!$L$5+ROW()-1,설정!$L$14),""),"")</f>
        <v>2.6665</v>
      </c>
      <c r="I162" s="86" t="n">
        <f aca="false">IFERROR(IF(ISNUMBER(INDEX(원자료_잔고!$A$1:$EZ$1500,설정!$L$5+ROW()-1,설정!$L$15)),INDEX(원자료_잔고!$A$1:$EZ$1500,설정!$L$5+ROW()-1,설정!$L$15),""),"")</f>
        <v>47378</v>
      </c>
      <c r="J162" s="85" t="n">
        <f aca="false">IFERROR(IF(ISNUMBER(INDEX(원자료_잔고!$A$1:$EZ$1500,설정!$L$5+ROW()-1,설정!$L$16)),INDEX(원자료_잔고!$A$1:$EZ$1500,설정!$L$5+ROW()-1,설정!$L$16),""),"")</f>
        <v>4.875</v>
      </c>
      <c r="K162" s="87" t="n">
        <f aca="false">IFERROR(IF(ISNUMBER(INDEX(원자료_잔고!$A$1:$EZ$1500,설정!$L$5+ROW()-1,설정!$L$17)),INDEX(원자료_잔고!$A$1:$EZ$1500,설정!$L$5+ROW()-1,설정!$L$17),""),"")</f>
        <v>1</v>
      </c>
      <c r="L162" s="84" t="n">
        <f aca="false">IFERROR(IF(ISNUMBER(INDEX(원자료_잔고!$A$1:$EZ$1500,설정!$L$5+ROW()-1,설정!$L$18)),INDEX(원자료_잔고!$A$1:$EZ$1500,설정!$L$5+ROW()-1,설정!$L$18),""),"")</f>
        <v>197055.6</v>
      </c>
      <c r="M162" s="88" t="n">
        <f aca="false">IFERROR(IF(ISNUMBER(INDEX(원자료_잔고!$A$1:$EZ$1500,설정!$L$5+ROW()-1,설정!$L$19)),INDEX(원자료_잔고!$A$1:$EZ$1500,설정!$L$5+ROW()-1,설정!$L$19),""),"")</f>
        <v>-2382.4</v>
      </c>
      <c r="N162" s="83" t="str">
        <f aca="false">IFERROR(IF(INDEX(원자료_잔고!$A$1:$EZ$1500,설정!$L$5+ROW()-1,설정!$L$21)&amp;""="0","",INDEX(원자료_잔고!$A$1:$EZ$1500,설정!$L$5+ROW()-1,설정!$L$21)&amp;""),"")</f>
        <v/>
      </c>
      <c r="O162" s="83" t="str">
        <f aca="false">IFERROR(IF(INDEX(원자료_잔고!$A$1:$EZ$1500,설정!$L$5+ROW()-1,설정!$L$22)&amp;""="0","",INDEX(원자료_잔고!$A$1:$EZ$1500,설정!$L$5+ROW()-1,설정!$L$22)&amp;""),"")</f>
        <v/>
      </c>
      <c r="P162" s="83" t="str">
        <f aca="false">IFERROR(IF(INDEX(원자료_잔고!$A$1:$EZ$1500,설정!$L$5+ROW()-1,설정!$L$23)&amp;""="0","",INDEX(원자료_잔고!$A$1:$EZ$1500,설정!$L$5+ROW()-1,설정!$L$23)&amp;""),"")</f>
        <v>N/A</v>
      </c>
      <c r="Q162" s="89" t="n">
        <f aca="false">IF(AND($A162&lt;&gt;"",ISNUMBER(E162)),IF(E162&gt;0,1,0),0)</f>
        <v>1</v>
      </c>
      <c r="R162" s="43" t="str">
        <f aca="false">IF(Q162=1,UPPER(LEFT($A162,FIND(" ",$A162&amp;" ")-1)),"")</f>
        <v>KORSFC</v>
      </c>
      <c r="S162" s="89" t="n">
        <f aca="false">IF(Q162=1,IF(OR(ISNUMBER(SEARCH("Float",$A162)),ISNUMBER(SEARCH("FRN",$A162))),1,0),0)</f>
        <v>0</v>
      </c>
      <c r="T162" s="43" t="str">
        <f aca="false">IF(AND(Q162=1,ISNUMBER(I162)),TEXT(I162,"yyyymmdd")&amp;"|"&amp;IF(S162=1,"F",TEXT(J162,"0.000")),"")</f>
        <v>20290917|4.875</v>
      </c>
      <c r="U162" s="90" t="n">
        <f aca="false">IF(AND(Q162=1,ISNUMBER(I162)),(I162-설정!$C$4)/365.25,"")</f>
        <v>2.96235455167693</v>
      </c>
      <c r="V162" s="43" t="str">
        <f aca="false">IF(Q162&lt;&gt;1,"",IF(ISNUMBER(U162),IF(U162&lt;=1,"1년 이하",IF(U162&lt;=2,"1-2년",IF(U162&lt;=3,"2-3년",IF(U162&lt;=4,"3-4년",IF(U162&lt;=5,"4-5년",IF(U162&lt;=7,"5-7년",IF(U162&lt;=10,"7-10년",IF(U162&lt;=20,"10-20년","20년 이상")))))))),"미분류"))</f>
        <v>2-3년</v>
      </c>
      <c r="W162" s="43" t="str">
        <f aca="false">IF(Q162&lt;&gt;1,"",IF(AB162&lt;&gt;"",INDEX(시장분석!$C:$C,AB162),IF(K162=1,"USD","비USD")))</f>
        <v>USD</v>
      </c>
      <c r="X162" s="91" t="n">
        <f aca="false">IF(Q162=1,E162*K162/1000000,0)</f>
        <v>0.2</v>
      </c>
      <c r="Y162" s="89" t="n">
        <f aca="false">IF(R162="T",1,0)</f>
        <v>0</v>
      </c>
      <c r="Z162" s="92" t="n">
        <f aca="false">IF(Q162&lt;&gt;1,"",IF(AD162=1,IF(ISNUMBER(U162),MAX(U162,0),H162),H162))</f>
        <v>2.6665</v>
      </c>
      <c r="AA162" s="91" t="n">
        <f aca="false">IF(Q162=1,IF(ISNUMBER(L162),L162,0)*K162/1000000,0)</f>
        <v>0.1970556</v>
      </c>
      <c r="AB162" s="89" t="str">
        <f aca="false">IF(Q162&lt;&gt;1,"",IFERROR(MATCH(VLOOKUP(B162,매핑!$H$4:$I$15,2,0),시장분석!$A$2:$A$601,0)+1,IFERROR(MATCH(R162&amp;"|"&amp;T162,시장분석!$V$2:$V$601,0)+1,IF(COUNTIF(시장분석!$U$2:$U$601,T162)=1,MATCH(T162,시장분석!$U$2:$U$601,0)+1,""))))</f>
        <v/>
      </c>
      <c r="AC162" s="89" t="n">
        <f aca="false">IF(Q162&lt;&gt;1,0,IF(OR(설정!$C$5="전체",AND(설정!$C$5="선택펀드",IFERROR(COUNTIFS(설정!$F$16:$F$36,C162,설정!$G$16:$G$36,"Y")+COUNTIFS(설정!$F$16:$F$36,VALUE(C162),설정!$G$16:$G$36,"Y"),0)&gt;0),C162&amp;""=설정!$C$5&amp;""),1,0))</f>
        <v>1</v>
      </c>
      <c r="AD162" s="89" t="n">
        <f aca="false">IF(Q162&lt;&gt;1,0,IF(OR(S162=1,IF(AB162="",FALSE(),INDEX(시장분석!$R:$R,AB162)=1)),1,0))</f>
        <v>0</v>
      </c>
      <c r="AE162" s="43" t="str">
        <f aca="false">IF(AB162="","",INDEX(시장분석!$A:$A,AB162))</f>
        <v/>
      </c>
      <c r="AF162" s="93" t="str">
        <f aca="false">IF(AB162="","",IF(ISNUMBER(IF(AB162="","",INDEX(시장분석!$E:$E,AB162))),IF(AB162="","",INDEX(시장분석!$E:$E,AB162)),""))</f>
        <v/>
      </c>
      <c r="AG162" s="43" t="str">
        <f aca="false">IF(Q162&lt;&gt;1,"",IF(AB162&lt;&gt;"",IF(AB162="","",INDEX(시장분석!$L:$L,AB162)),IFERROR(IF(VLOOKUP(R162,매핑!$A$4:$E$92,5,0)="","미분류",VLOOKUP(R162,매핑!$A$4:$E$92,5,0)),"미분류")))</f>
        <v>금융기관</v>
      </c>
      <c r="AH162" s="43" t="str">
        <f aca="false">IF(Q162&lt;&gt;1,"",IF(AB162&lt;&gt;"",IF(AB162="","",INDEX(시장분석!$N:$N,AB162)),IFERROR(IF(VLOOKUP(R162,매핑!$A$4:$E$92,4,0)="","미분류",VLOOKUP(R162,매핑!$A$4:$E$92,4,0)),"미분류")))</f>
        <v>아시아/기타</v>
      </c>
      <c r="AI162" s="43" t="str">
        <f aca="false">IF(Q162&lt;&gt;1,"",IFERROR(IF(VLOOKUP(R162,매핑!$A$4:$E$92,3,0)="","미분류",VLOOKUP(R162,매핑!$A$4:$E$92,3,0)),IF(AB162&lt;&gt;"",IF(AB162="","",INDEX(시장분석!$W:$W,AB162)),"미분류")))</f>
        <v>한국</v>
      </c>
      <c r="AJ162" s="43" t="str">
        <f aca="false">IF(Q162&lt;&gt;1,"",IFERROR(VLOOKUP(IF(N162&lt;&gt;"",N162,IF(P162&lt;&gt;"",P162,O162)),설정!$A$15:$D$47,2,0),""))</f>
        <v/>
      </c>
      <c r="AK162" s="43" t="str">
        <f aca="false">IF(Q162&lt;&gt;1,"",IF(AJ162="","무등급",IFERROR(VLOOKUP(AJ162,설정!$A$15:$D$47,3,0),"무등급")))</f>
        <v>무등급</v>
      </c>
      <c r="AL162" s="89" t="n">
        <f aca="false">IF(AJ162="",99,IFERROR(VLOOKUP(AJ162,설정!$A$15:$D$47,4,0),99))</f>
        <v>99</v>
      </c>
      <c r="AM162" s="94" t="n">
        <f aca="false">IF(ISNUMBER(H162),AA162*1000000*H162/10000,0)</f>
        <v>52.54487574</v>
      </c>
      <c r="AN162" s="94" t="n">
        <f aca="false">IF(OR(Y162=1,NOT(ISNUMBER(Z162))),0,AA162*1000000*Z162/10000)</f>
        <v>52.54487574</v>
      </c>
      <c r="AO162" s="94" t="n">
        <f aca="false">IF(ISNUMBER(G162),AA162*1000000*G162/100,0)</f>
        <v>10676.472408</v>
      </c>
      <c r="AP162" s="94" t="n">
        <f aca="false">IF(ISNUMBER(M162),M162*K162,0)</f>
        <v>-2382.4</v>
      </c>
      <c r="AQ162" s="95" t="str">
        <f aca="false">IF(AB162="","",INDEX(시장분석!$AK:$AK,AB162))</f>
        <v/>
      </c>
      <c r="AR162" s="43" t="str">
        <f aca="false">IF(AB162="","-",IF(AB162="","",INDEX(시장분석!$AL:$AL,AB162)))</f>
        <v>-</v>
      </c>
      <c r="AS162" s="96" t="str">
        <f aca="false">IF(AB162="","",INDEX(시장분석!$AJ:$AJ,AB162))</f>
        <v/>
      </c>
      <c r="AT162" s="93" t="n">
        <f aca="false">IF(AB162="",0,IF(AB162="","",INDEX(시장분석!$AN:$AN,AB162)))</f>
        <v>0</v>
      </c>
      <c r="AU162" s="94" t="n">
        <f aca="false">IF(ISNUMBER(Z162),AT162/10000*MAX(Z162-1,0)*AA162*1000000,0)</f>
        <v>0</v>
      </c>
      <c r="AV162" s="94" t="n">
        <f aca="false">AO162+AU162</f>
        <v>10676.472408</v>
      </c>
      <c r="AW162" s="43" t="str">
        <f aca="false">IF(Q162&lt;&gt;1,"",TRIM(IF(AD162=1,"FRN ","")&amp;IF(AND(AL162&gt;=10,AL162&lt;99),"BBB0미만 ","")&amp;IF(AJ162="","등급없음 ","")&amp;IF(K162&lt;&gt;1,"비USD ","")&amp;IF(AND(AB162="",Y162=0),"시장데이터없음 ","")&amp;IF(AND(ISNUMBER(U162),U162&lt;0),"만기경과 ","")))</f>
        <v>등급없음 시장데이터없음</v>
      </c>
      <c r="AX162" s="90" t="n">
        <f aca="false">IF(Q162&lt;&gt;1,1,IF(스프레드쇼크!$C$4="Y",INDEX(스프레드쇼크!$B$12:$L$16,IFERROR(MATCH(AH162,스프레드쇼크!$A$12:$A$16,0),MATCH("목록외",스프레드쇼크!$A$12:$A$16,0)),IFERROR(MATCH(AG162,스프레드쇼크!$B$11:$L$11,0),MATCH("목록외",스프레드쇼크!$B$11:$L$11,0))),1))</f>
        <v>1</v>
      </c>
      <c r="AY162" s="90" t="n">
        <f aca="false">IF(스프레드쇼크!$C$5="Y",IF(ISNUMBER(AF162),MIN(스프레드쇼크!$C$7,MAX(스프레드쇼크!$C$6,AF162/스프레드쇼크!$C$8)),1),1)</f>
        <v>1</v>
      </c>
      <c r="AZ162" s="94" t="n">
        <f aca="false">AN162*AX162*AY162</f>
        <v>52.54487574</v>
      </c>
      <c r="BA162" s="90" t="n">
        <f aca="false">IF(ISNUMBER(G162),AA162*G162,0)</f>
        <v>1.0676472408</v>
      </c>
      <c r="BB162" s="90" t="n">
        <f aca="false">IF(ISNUMBER(G162),AA162,0)</f>
        <v>0.1970556</v>
      </c>
      <c r="BC162" s="90" t="n">
        <f aca="false">IF(AND(Y162=0,ISNUMBER(AF162)),AA162*AF162,0)</f>
        <v>0</v>
      </c>
      <c r="BD162" s="90" t="n">
        <f aca="false">IF(AND(Y162=0,ISNUMBER(AF162)),AA162,0)</f>
        <v>0</v>
      </c>
      <c r="BE162" s="90" t="n">
        <f aca="false">IF(ISNUMBER(H162),AA162*H162,0)</f>
        <v>0.5254487574</v>
      </c>
      <c r="BF162" s="90" t="n">
        <f aca="false">IF(ISNUMBER(H162),AA162,0)</f>
        <v>0.1970556</v>
      </c>
      <c r="BG162" s="90" t="n">
        <f aca="false">IF(AND(Y162=0,ISNUMBER(AF162),ISNUMBER(Z162)),AA162*Z162,0)</f>
        <v>0</v>
      </c>
      <c r="BH162" s="90" t="n">
        <f aca="false">IF(AND(Y162=0,ISNUMBER(AF162),ISNUMBER(Z162)),AA162*AT162*MAX(Z162-1,0),0)</f>
        <v>0</v>
      </c>
      <c r="BI162" s="90" t="n">
        <f aca="false">IF(Y162=0,AA162,0)</f>
        <v>0.1970556</v>
      </c>
    </row>
    <row r="163" customFormat="false" ht="15" hidden="false" customHeight="false" outlineLevel="0" collapsed="false">
      <c r="A163" s="83" t="str">
        <f aca="false">IFERROR(IF(INDEX(원자료_잔고!$A$1:$EZ$1500,설정!$L$5+ROW()-1,설정!$L$8)&amp;""="0","",INDEX(원자료_잔고!$A$1:$EZ$1500,설정!$L$5+ROW()-1,설정!$L$8)&amp;""),"")</f>
        <v>현대카드953(USD)</v>
      </c>
      <c r="B163" s="83" t="str">
        <f aca="false">IFERROR(IF(INDEX(원자료_잔고!$A$1:$EZ$1500,설정!$L$5+ROW()-1,설정!$L$7)&amp;""="0","",INDEX(원자료_잔고!$A$1:$EZ$1500,설정!$L$5+ROW()-1,설정!$L$7)&amp;""),"")</f>
        <v>KR6065904G23</v>
      </c>
      <c r="C163" s="83" t="str">
        <f aca="false">IFERROR(IF(INDEX(원자료_잔고!$A$1:$EZ$1500,설정!$L$5+ROW()-1,설정!$L$9)&amp;""="0","",INDEX(원자료_잔고!$A$1:$EZ$1500,설정!$L$5+ROW()-1,설정!$L$9)&amp;""),"")</f>
        <v>34578</v>
      </c>
      <c r="D16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3" s="84" t="n">
        <f aca="false">IFERROR(IF(ISNUMBER(INDEX(원자료_잔고!$A$1:$EZ$1500,설정!$L$5+ROW()-1,설정!$L$11)),INDEX(원자료_잔고!$A$1:$EZ$1500,설정!$L$5+ROW()-1,설정!$L$11),""),"")</f>
        <v>80000000</v>
      </c>
      <c r="F163" s="85" t="n">
        <f aca="false">IFERROR(IF(ISNUMBER(INDEX(원자료_잔고!$A$1:$EZ$1500,설정!$L$5+ROW()-1,설정!$L$12)),INDEX(원자료_잔고!$A$1:$EZ$1500,설정!$L$5+ROW()-1,설정!$L$12),""),"")</f>
        <v>97.0711</v>
      </c>
      <c r="G163" s="85" t="n">
        <f aca="false">IFERROR(IF(ISNUMBER(INDEX(원자료_잔고!$A$1:$EZ$1500,설정!$L$5+ROW()-1,설정!$L$13)),INDEX(원자료_잔고!$A$1:$EZ$1500,설정!$L$5+ROW()-1,설정!$L$13),""),"")</f>
        <v>5.5896</v>
      </c>
      <c r="H163" s="85" t="n">
        <f aca="false">IFERROR(IF(ISNUMBER(INDEX(원자료_잔고!$A$1:$EZ$1500,설정!$L$5+ROW()-1,설정!$L$14)),INDEX(원자료_잔고!$A$1:$EZ$1500,설정!$L$5+ROW()-1,설정!$L$14),""),"")</f>
        <v>2.3404</v>
      </c>
      <c r="I163" s="86" t="n">
        <f aca="false">IFERROR(IF(ISNUMBER(INDEX(원자료_잔고!$A$1:$EZ$1500,설정!$L$5+ROW()-1,설정!$L$15)),INDEX(원자료_잔고!$A$1:$EZ$1500,설정!$L$5+ROW()-1,설정!$L$15),""),"")</f>
        <v>47220</v>
      </c>
      <c r="J163" s="85" t="n">
        <f aca="false">IFERROR(IF(ISNUMBER(INDEX(원자료_잔고!$A$1:$EZ$1500,설정!$L$5+ROW()-1,설정!$L$16)),INDEX(원자료_잔고!$A$1:$EZ$1500,설정!$L$5+ROW()-1,설정!$L$16),""),"")</f>
        <v>4.345</v>
      </c>
      <c r="K163" s="87" t="n">
        <f aca="false">IFERROR(IF(ISNUMBER(INDEX(원자료_잔고!$A$1:$EZ$1500,설정!$L$5+ROW()-1,설정!$L$17)),INDEX(원자료_잔고!$A$1:$EZ$1500,설정!$L$5+ROW()-1,설정!$L$17),""),"")</f>
        <v>1</v>
      </c>
      <c r="L163" s="84" t="n">
        <f aca="false">IFERROR(IF(ISNUMBER(INDEX(원자료_잔고!$A$1:$EZ$1500,설정!$L$5+ROW()-1,설정!$L$18)),INDEX(원자료_잔고!$A$1:$EZ$1500,설정!$L$5+ROW()-1,설정!$L$18),""),"")</f>
        <v>77656880</v>
      </c>
      <c r="M163" s="88" t="n">
        <f aca="false">IFERROR(IF(ISNUMBER(INDEX(원자료_잔고!$A$1:$EZ$1500,설정!$L$5+ROW()-1,설정!$L$19)),INDEX(원자료_잔고!$A$1:$EZ$1500,설정!$L$5+ROW()-1,설정!$L$19),""),"")</f>
        <v>-2343120</v>
      </c>
      <c r="N163" s="83" t="str">
        <f aca="false">IFERROR(IF(INDEX(원자료_잔고!$A$1:$EZ$1500,설정!$L$5+ROW()-1,설정!$L$21)&amp;""="0","",INDEX(원자료_잔고!$A$1:$EZ$1500,설정!$L$5+ROW()-1,설정!$L$21)&amp;""),"")</f>
        <v/>
      </c>
      <c r="O163" s="83" t="str">
        <f aca="false">IFERROR(IF(INDEX(원자료_잔고!$A$1:$EZ$1500,설정!$L$5+ROW()-1,설정!$L$22)&amp;""="0","",INDEX(원자료_잔고!$A$1:$EZ$1500,설정!$L$5+ROW()-1,설정!$L$22)&amp;""),"")</f>
        <v/>
      </c>
      <c r="P163" s="83" t="str">
        <f aca="false">IFERROR(IF(INDEX(원자료_잔고!$A$1:$EZ$1500,설정!$L$5+ROW()-1,설정!$L$23)&amp;""="0","",INDEX(원자료_잔고!$A$1:$EZ$1500,설정!$L$5+ROW()-1,설정!$L$23)&amp;""),"")</f>
        <v>N/A</v>
      </c>
      <c r="Q163" s="89" t="n">
        <f aca="false">IF(AND($A163&lt;&gt;"",ISNUMBER(E163)),IF(E163&gt;0,1,0),0)</f>
        <v>1</v>
      </c>
      <c r="R163" s="43" t="str">
        <f aca="false">IF(Q163=1,UPPER(LEFT($A163,FIND(" ",$A163&amp;" ")-1)),"")</f>
        <v>현대카드953(USD)</v>
      </c>
      <c r="S163" s="89" t="n">
        <f aca="false">IF(Q163=1,IF(OR(ISNUMBER(SEARCH("Float",$A163)),ISNUMBER(SEARCH("FRN",$A163))),1,0),0)</f>
        <v>0</v>
      </c>
      <c r="T163" s="43" t="str">
        <f aca="false">IF(AND(Q163=1,ISNUMBER(I163)),TEXT(I163,"yyyymmdd")&amp;"|"&amp;IF(S163=1,"F",TEXT(J163,"0.000")),"")</f>
        <v>20290412|4.345</v>
      </c>
      <c r="U163" s="90" t="n">
        <f aca="false">IF(AND(Q163=1,ISNUMBER(I163)),(I163-설정!$C$4)/365.25,"")</f>
        <v>2.52977412731006</v>
      </c>
      <c r="V163" s="43" t="str">
        <f aca="false">IF(Q163&lt;&gt;1,"",IF(ISNUMBER(U163),IF(U163&lt;=1,"1년 이하",IF(U163&lt;=2,"1-2년",IF(U163&lt;=3,"2-3년",IF(U163&lt;=4,"3-4년",IF(U163&lt;=5,"4-5년",IF(U163&lt;=7,"5-7년",IF(U163&lt;=10,"7-10년",IF(U163&lt;=20,"10-20년","20년 이상")))))))),"미분류"))</f>
        <v>2-3년</v>
      </c>
      <c r="W163" s="43" t="str">
        <f aca="false">IF(Q163&lt;&gt;1,"",IF(AB163&lt;&gt;"",INDEX(시장분석!$C:$C,AB163),IF(K163=1,"USD","비USD")))</f>
        <v>USD</v>
      </c>
      <c r="X163" s="91" t="n">
        <f aca="false">IF(Q163=1,E163*K163/1000000,0)</f>
        <v>80</v>
      </c>
      <c r="Y163" s="89" t="n">
        <f aca="false">IF(R163="T",1,0)</f>
        <v>0</v>
      </c>
      <c r="Z163" s="92" t="n">
        <f aca="false">IF(Q163&lt;&gt;1,"",IF(AD163=1,IF(ISNUMBER(U163),MAX(U163,0),H163),H163))</f>
        <v>2.3404</v>
      </c>
      <c r="AA163" s="91" t="n">
        <f aca="false">IF(Q163=1,IF(ISNUMBER(L163),L163,0)*K163/1000000,0)</f>
        <v>77.65688</v>
      </c>
      <c r="AB163" s="89" t="n">
        <f aca="false">IF(Q163&lt;&gt;1,"",IFERROR(MATCH(VLOOKUP(B163,매핑!$H$4:$I$15,2,0),시장분석!$A$2:$A$601,0)+1,IFERROR(MATCH(R163&amp;"|"&amp;T163,시장분석!$V$2:$V$601,0)+1,IF(COUNTIF(시장분석!$U$2:$U$601,T163)=1,MATCH(T163,시장분석!$U$2:$U$601,0)+1,""))))</f>
        <v>10</v>
      </c>
      <c r="AC163" s="89" t="n">
        <f aca="false">IF(Q163&lt;&gt;1,0,IF(OR(설정!$C$5="전체",AND(설정!$C$5="선택펀드",IFERROR(COUNTIFS(설정!$F$16:$F$36,C163,설정!$G$16:$G$36,"Y")+COUNTIFS(설정!$F$16:$F$36,VALUE(C163),설정!$G$16:$G$36,"Y"),0)&gt;0),C163&amp;""=설정!$C$5&amp;""),1,0))</f>
        <v>1</v>
      </c>
      <c r="AD163" s="89" t="n">
        <f aca="false">IF(Q163&lt;&gt;1,0,IF(OR(S163=1,IF(AB163="",FALSE(),INDEX(시장분석!$R:$R,AB163)=1)),1,0))</f>
        <v>0</v>
      </c>
      <c r="AE163" s="43" t="str">
        <f aca="false">IF(AB163="","",INDEX(시장분석!$A:$A,AB163))</f>
        <v>HYNCRD 4.345 04/12/29</v>
      </c>
      <c r="AF163" s="93" t="n">
        <f aca="false">IF(AB163="","",IF(ISNUMBER(IF(AB163="","",INDEX(시장분석!$E:$E,AB163))),IF(AB163="","",INDEX(시장분석!$E:$E,AB163)),""))</f>
        <v>55.531</v>
      </c>
      <c r="AG163" s="43" t="str">
        <f aca="false">IF(Q163&lt;&gt;1,"",IF(AB163&lt;&gt;"",IF(AB163="","",INDEX(시장분석!$L:$L,AB163)),IFERROR(IF(VLOOKUP(R163,매핑!$A$4:$E$92,5,0)="","미분류",VLOOKUP(R163,매핑!$A$4:$E$92,5,0)),"미분류")))</f>
        <v>금융기관</v>
      </c>
      <c r="AH163" s="43" t="str">
        <f aca="false">IF(Q163&lt;&gt;1,"",IF(AB163&lt;&gt;"",IF(AB163="","",INDEX(시장분석!$N:$N,AB163)),IFERROR(IF(VLOOKUP(R163,매핑!$A$4:$E$92,4,0)="","미분류",VLOOKUP(R163,매핑!$A$4:$E$92,4,0)),"미분류")))</f>
        <v>아시아/기타</v>
      </c>
      <c r="AI163" s="43" t="str">
        <f aca="false">IF(Q163&lt;&gt;1,"",IFERROR(IF(VLOOKUP(R163,매핑!$A$4:$E$92,3,0)="","미분류",VLOOKUP(R163,매핑!$A$4:$E$92,3,0)),IF(AB163&lt;&gt;"",IF(AB163="","",INDEX(시장분석!$W:$W,AB163)),"미분류")))</f>
        <v>한국</v>
      </c>
      <c r="AJ163" s="43" t="str">
        <f aca="false">IF(Q163&lt;&gt;1,"",IFERROR(VLOOKUP(IF(N163&lt;&gt;"",N163,IF(P163&lt;&gt;"",P163,O163)),설정!$A$15:$D$47,2,0),""))</f>
        <v/>
      </c>
      <c r="AK163" s="43" t="str">
        <f aca="false">IF(Q163&lt;&gt;1,"",IF(AJ163="","무등급",IFERROR(VLOOKUP(AJ163,설정!$A$15:$D$47,3,0),"무등급")))</f>
        <v>무등급</v>
      </c>
      <c r="AL163" s="89" t="n">
        <f aca="false">IF(AJ163="",99,IFERROR(VLOOKUP(AJ163,설정!$A$15:$D$47,4,0),99))</f>
        <v>99</v>
      </c>
      <c r="AM163" s="94" t="n">
        <f aca="false">IF(ISNUMBER(H163),AA163*1000000*H163/10000,0)</f>
        <v>18174.8161952</v>
      </c>
      <c r="AN163" s="94" t="n">
        <f aca="false">IF(OR(Y163=1,NOT(ISNUMBER(Z163))),0,AA163*1000000*Z163/10000)</f>
        <v>18174.8161952</v>
      </c>
      <c r="AO163" s="94" t="n">
        <f aca="false">IF(ISNUMBER(G163),AA163*1000000*G163/100,0)</f>
        <v>4340708.96448</v>
      </c>
      <c r="AP163" s="94" t="n">
        <f aca="false">IF(ISNUMBER(M163),M163*K163,0)</f>
        <v>-2343120</v>
      </c>
      <c r="AQ163" s="95" t="n">
        <f aca="false">IF(AB163="","",INDEX(시장분석!$AK:$AK,AB163))</f>
        <v>-0.328472426116104</v>
      </c>
      <c r="AR163" s="43" t="str">
        <f aca="false">IF(AB163="","-",IF(AB163="","",INDEX(시장분석!$AL:$AL,AB163)))</f>
        <v>Fair</v>
      </c>
      <c r="AS163" s="96" t="n">
        <f aca="false">IF(AB163="","",INDEX(시장분석!$AJ:$AJ,AB163))</f>
        <v>-6.72500897274665</v>
      </c>
      <c r="AT163" s="93" t="n">
        <f aca="false">IF(AB163="",0,IF(AB163="","",INDEX(시장분석!$AN:$AN,AB163)))</f>
        <v>7.53521309609043</v>
      </c>
      <c r="AU163" s="94" t="n">
        <f aca="false">IF(ISNUMBER(Z163),AT163/10000*MAX(Z163-1,0)*AA163*1000000,0)</f>
        <v>78434.9990953552</v>
      </c>
      <c r="AV163" s="94" t="n">
        <f aca="false">AO163+AU163</f>
        <v>4419143.96357536</v>
      </c>
      <c r="AW163" s="43" t="str">
        <f aca="false">IF(Q163&lt;&gt;1,"",TRIM(IF(AD163=1,"FRN ","")&amp;IF(AND(AL163&gt;=10,AL163&lt;99),"BBB0미만 ","")&amp;IF(AJ163="","등급없음 ","")&amp;IF(K163&lt;&gt;1,"비USD ","")&amp;IF(AND(AB163="",Y163=0),"시장데이터없음 ","")&amp;IF(AND(ISNUMBER(U163),U163&lt;0),"만기경과 ","")))</f>
        <v>등급없음</v>
      </c>
      <c r="AX163" s="90" t="n">
        <f aca="false">IF(Q163&lt;&gt;1,1,IF(스프레드쇼크!$C$4="Y",INDEX(스프레드쇼크!$B$12:$L$16,IFERROR(MATCH(AH163,스프레드쇼크!$A$12:$A$16,0),MATCH("목록외",스프레드쇼크!$A$12:$A$16,0)),IFERROR(MATCH(AG163,스프레드쇼크!$B$11:$L$11,0),MATCH("목록외",스프레드쇼크!$B$11:$L$11,0))),1))</f>
        <v>1</v>
      </c>
      <c r="AY163" s="90" t="n">
        <f aca="false">IF(스프레드쇼크!$C$5="Y",IF(ISNUMBER(AF163),MIN(스프레드쇼크!$C$7,MAX(스프레드쇼크!$C$6,AF163/스프레드쇼크!$C$8)),1),1)</f>
        <v>0.83992792583916</v>
      </c>
      <c r="AZ163" s="94" t="n">
        <f aca="false">AN163*AX163*AY163</f>
        <v>15265.5356693423</v>
      </c>
      <c r="BA163" s="90" t="n">
        <f aca="false">IF(ISNUMBER(G163),AA163*G163,0)</f>
        <v>434.070896448</v>
      </c>
      <c r="BB163" s="90" t="n">
        <f aca="false">IF(ISNUMBER(G163),AA163,0)</f>
        <v>77.65688</v>
      </c>
      <c r="BC163" s="90" t="n">
        <f aca="false">IF(AND(Y163=0,ISNUMBER(AF163)),AA163*AF163,0)</f>
        <v>4312.36420328</v>
      </c>
      <c r="BD163" s="90" t="n">
        <f aca="false">IF(AND(Y163=0,ISNUMBER(AF163)),AA163,0)</f>
        <v>77.65688</v>
      </c>
      <c r="BE163" s="90" t="n">
        <f aca="false">IF(ISNUMBER(H163),AA163*H163,0)</f>
        <v>181.748161952</v>
      </c>
      <c r="BF163" s="90" t="n">
        <f aca="false">IF(ISNUMBER(H163),AA163,0)</f>
        <v>77.65688</v>
      </c>
      <c r="BG163" s="90" t="n">
        <f aca="false">IF(AND(Y163=0,ISNUMBER(AF163),ISNUMBER(Z163)),AA163*Z163,0)</f>
        <v>181.748161952</v>
      </c>
      <c r="BH163" s="90" t="n">
        <f aca="false">IF(AND(Y163=0,ISNUMBER(AF163),ISNUMBER(Z163)),AA163*AT163*MAX(Z163-1,0),0)</f>
        <v>784.349990953551</v>
      </c>
      <c r="BI163" s="90" t="n">
        <f aca="false">IF(Y163=0,AA163,0)</f>
        <v>77.65688</v>
      </c>
    </row>
    <row r="164" customFormat="false" ht="15" hidden="false" customHeight="false" outlineLevel="0" collapsed="false">
      <c r="A164" s="83" t="str">
        <f aca="false">IFERROR(IF(INDEX(원자료_잔고!$A$1:$EZ$1500,설정!$L$5+ROW()-1,설정!$L$8)&amp;""="0","",INDEX(원자료_잔고!$A$1:$EZ$1500,설정!$L$5+ROW()-1,설정!$L$8)&amp;""),"")</f>
        <v>EIBKOR 4.5 01/11/29</v>
      </c>
      <c r="B164" s="83" t="str">
        <f aca="false">IFERROR(IF(INDEX(원자료_잔고!$A$1:$EZ$1500,설정!$L$5+ROW()-1,설정!$L$7)&amp;""="0","",INDEX(원자료_잔고!$A$1:$EZ$1500,설정!$L$5+ROW()-1,설정!$L$7)&amp;""),"")</f>
        <v>US302154EB15</v>
      </c>
      <c r="C164" s="83" t="str">
        <f aca="false">IFERROR(IF(INDEX(원자료_잔고!$A$1:$EZ$1500,설정!$L$5+ROW()-1,설정!$L$9)&amp;""="0","",INDEX(원자료_잔고!$A$1:$EZ$1500,설정!$L$5+ROW()-1,설정!$L$9)&amp;""),"")</f>
        <v>34578</v>
      </c>
      <c r="D16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4" s="84" t="n">
        <f aca="false">IFERROR(IF(ISNUMBER(INDEX(원자료_잔고!$A$1:$EZ$1500,설정!$L$5+ROW()-1,설정!$L$11)),INDEX(원자료_잔고!$A$1:$EZ$1500,설정!$L$5+ROW()-1,설정!$L$11),""),"")</f>
        <v>1000000</v>
      </c>
      <c r="F164" s="85" t="n">
        <f aca="false">IFERROR(IF(ISNUMBER(INDEX(원자료_잔고!$A$1:$EZ$1500,설정!$L$5+ROW()-1,설정!$L$12)),INDEX(원자료_잔고!$A$1:$EZ$1500,설정!$L$5+ROW()-1,설정!$L$12),""),"")</f>
        <v>98.8286</v>
      </c>
      <c r="G164" s="85" t="n">
        <f aca="false">IFERROR(IF(ISNUMBER(INDEX(원자료_잔고!$A$1:$EZ$1500,설정!$L$5+ROW()-1,설정!$L$13)),INDEX(원자료_잔고!$A$1:$EZ$1500,설정!$L$5+ROW()-1,설정!$L$13),""),"")</f>
        <v>5.0461</v>
      </c>
      <c r="H164" s="85" t="n">
        <f aca="false">IFERROR(IF(ISNUMBER(INDEX(원자료_잔고!$A$1:$EZ$1500,설정!$L$5+ROW()-1,설정!$L$14)),INDEX(원자료_잔고!$A$1:$EZ$1500,설정!$L$5+ROW()-1,설정!$L$14),""),"")</f>
        <v>2.0795</v>
      </c>
      <c r="I164" s="86" t="n">
        <f aca="false">IFERROR(IF(ISNUMBER(INDEX(원자료_잔고!$A$1:$EZ$1500,설정!$L$5+ROW()-1,설정!$L$15)),INDEX(원자료_잔고!$A$1:$EZ$1500,설정!$L$5+ROW()-1,설정!$L$15),""),"")</f>
        <v>47129</v>
      </c>
      <c r="J164" s="85" t="n">
        <f aca="false">IFERROR(IF(ISNUMBER(INDEX(원자료_잔고!$A$1:$EZ$1500,설정!$L$5+ROW()-1,설정!$L$16)),INDEX(원자료_잔고!$A$1:$EZ$1500,설정!$L$5+ROW()-1,설정!$L$16),""),"")</f>
        <v>4.5</v>
      </c>
      <c r="K164" s="87" t="n">
        <f aca="false">IFERROR(IF(ISNUMBER(INDEX(원자료_잔고!$A$1:$EZ$1500,설정!$L$5+ROW()-1,설정!$L$17)),INDEX(원자료_잔고!$A$1:$EZ$1500,설정!$L$5+ROW()-1,설정!$L$17),""),"")</f>
        <v>1</v>
      </c>
      <c r="L164" s="84" t="n">
        <f aca="false">IFERROR(IF(ISNUMBER(INDEX(원자료_잔고!$A$1:$EZ$1500,설정!$L$5+ROW()-1,설정!$L$18)),INDEX(원자료_잔고!$A$1:$EZ$1500,설정!$L$5+ROW()-1,설정!$L$18),""),"")</f>
        <v>988286</v>
      </c>
      <c r="M164" s="88" t="n">
        <f aca="false">IFERROR(IF(ISNUMBER(INDEX(원자료_잔고!$A$1:$EZ$1500,설정!$L$5+ROW()-1,설정!$L$19)),INDEX(원자료_잔고!$A$1:$EZ$1500,설정!$L$5+ROW()-1,설정!$L$19),""),"")</f>
        <v>-29132</v>
      </c>
      <c r="N164" s="83" t="str">
        <f aca="false">IFERROR(IF(INDEX(원자료_잔고!$A$1:$EZ$1500,설정!$L$5+ROW()-1,설정!$L$21)&amp;""="0","",INDEX(원자료_잔고!$A$1:$EZ$1500,설정!$L$5+ROW()-1,설정!$L$21)&amp;""),"")</f>
        <v>AA</v>
      </c>
      <c r="O164" s="83" t="str">
        <f aca="false">IFERROR(IF(INDEX(원자료_잔고!$A$1:$EZ$1500,설정!$L$5+ROW()-1,설정!$L$22)&amp;""="0","",INDEX(원자료_잔고!$A$1:$EZ$1500,설정!$L$5+ROW()-1,설정!$L$22)&amp;""),"")</f>
        <v/>
      </c>
      <c r="P164" s="83" t="str">
        <f aca="false">IFERROR(IF(INDEX(원자료_잔고!$A$1:$EZ$1500,설정!$L$5+ROW()-1,설정!$L$23)&amp;""="0","",INDEX(원자료_잔고!$A$1:$EZ$1500,설정!$L$5+ROW()-1,설정!$L$23)&amp;""),"")</f>
        <v>AA-</v>
      </c>
      <c r="Q164" s="89" t="n">
        <f aca="false">IF(AND($A164&lt;&gt;"",ISNUMBER(E164)),IF(E164&gt;0,1,0),0)</f>
        <v>1</v>
      </c>
      <c r="R164" s="43" t="str">
        <f aca="false">IF(Q164=1,UPPER(LEFT($A164,FIND(" ",$A164&amp;" ")-1)),"")</f>
        <v>EIBKOR</v>
      </c>
      <c r="S164" s="89" t="n">
        <f aca="false">IF(Q164=1,IF(OR(ISNUMBER(SEARCH("Float",$A164)),ISNUMBER(SEARCH("FRN",$A164))),1,0),0)</f>
        <v>0</v>
      </c>
      <c r="T164" s="43" t="str">
        <f aca="false">IF(AND(Q164=1,ISNUMBER(I164)),TEXT(I164,"yyyymmdd")&amp;"|"&amp;IF(S164=1,"F",TEXT(J164,"0.000")),"")</f>
        <v>20290111|4.500</v>
      </c>
      <c r="U164" s="90" t="n">
        <f aca="false">IF(AND(Q164=1,ISNUMBER(I164)),(I164-설정!$C$4)/365.25,"")</f>
        <v>2.28062970568104</v>
      </c>
      <c r="V164" s="43" t="str">
        <f aca="false">IF(Q164&lt;&gt;1,"",IF(ISNUMBER(U164),IF(U164&lt;=1,"1년 이하",IF(U164&lt;=2,"1-2년",IF(U164&lt;=3,"2-3년",IF(U164&lt;=4,"3-4년",IF(U164&lt;=5,"4-5년",IF(U164&lt;=7,"5-7년",IF(U164&lt;=10,"7-10년",IF(U164&lt;=20,"10-20년","20년 이상")))))))),"미분류"))</f>
        <v>2-3년</v>
      </c>
      <c r="W164" s="43" t="str">
        <f aca="false">IF(Q164&lt;&gt;1,"",IF(AB164&lt;&gt;"",INDEX(시장분석!$C:$C,AB164),IF(K164=1,"USD","비USD")))</f>
        <v>USD</v>
      </c>
      <c r="X164" s="91" t="n">
        <f aca="false">IF(Q164=1,E164*K164/1000000,0)</f>
        <v>1</v>
      </c>
      <c r="Y164" s="89" t="n">
        <f aca="false">IF(R164="T",1,0)</f>
        <v>0</v>
      </c>
      <c r="Z164" s="92" t="n">
        <f aca="false">IF(Q164&lt;&gt;1,"",IF(AD164=1,IF(ISNUMBER(U164),MAX(U164,0),H164),H164))</f>
        <v>2.0795</v>
      </c>
      <c r="AA164" s="91" t="n">
        <f aca="false">IF(Q164=1,IF(ISNUMBER(L164),L164,0)*K164/1000000,0)</f>
        <v>0.988286</v>
      </c>
      <c r="AB164" s="89" t="n">
        <f aca="false">IF(Q164&lt;&gt;1,"",IFERROR(MATCH(VLOOKUP(B164,매핑!$H$4:$I$15,2,0),시장분석!$A$2:$A$601,0)+1,IFERROR(MATCH(R164&amp;"|"&amp;T164,시장분석!$V$2:$V$601,0)+1,IF(COUNTIF(시장분석!$U$2:$U$601,T164)=1,MATCH(T164,시장분석!$U$2:$U$601,0)+1,""))))</f>
        <v>30</v>
      </c>
      <c r="AC164" s="89" t="n">
        <f aca="false">IF(Q164&lt;&gt;1,0,IF(OR(설정!$C$5="전체",AND(설정!$C$5="선택펀드",IFERROR(COUNTIFS(설정!$F$16:$F$36,C164,설정!$G$16:$G$36,"Y")+COUNTIFS(설정!$F$16:$F$36,VALUE(C164),설정!$G$16:$G$36,"Y"),0)&gt;0),C164&amp;""=설정!$C$5&amp;""),1,0))</f>
        <v>1</v>
      </c>
      <c r="AD164" s="89" t="n">
        <f aca="false">IF(Q164&lt;&gt;1,0,IF(OR(S164=1,IF(AB164="",FALSE(),INDEX(시장분석!$R:$R,AB164)=1)),1,0))</f>
        <v>0</v>
      </c>
      <c r="AE164" s="43" t="str">
        <f aca="false">IF(AB164="","",INDEX(시장분석!$A:$A,AB164))</f>
        <v>EIBKOR 4 1/2 01/11/29</v>
      </c>
      <c r="AF164" s="93" t="n">
        <f aca="false">IF(AB164="","",IF(ISNUMBER(IF(AB164="","",INDEX(시장분석!$E:$E,AB164))),IF(AB164="","",INDEX(시장분석!$E:$E,AB164)),""))</f>
        <v>6.534</v>
      </c>
      <c r="AG164" s="43" t="str">
        <f aca="false">IF(Q164&lt;&gt;1,"",IF(AB164&lt;&gt;"",IF(AB164="","",INDEX(시장분석!$L:$L,AB164)),IFERROR(IF(VLOOKUP(R164,매핑!$A$4:$E$92,5,0)="","미분류",VLOOKUP(R164,매핑!$A$4:$E$92,5,0)),"미분류")))</f>
        <v>정부</v>
      </c>
      <c r="AH164" s="43" t="str">
        <f aca="false">IF(Q164&lt;&gt;1,"",IF(AB164&lt;&gt;"",IF(AB164="","",INDEX(시장분석!$N:$N,AB164)),IFERROR(IF(VLOOKUP(R164,매핑!$A$4:$E$92,4,0)="","미분류",VLOOKUP(R164,매핑!$A$4:$E$92,4,0)),"미분류")))</f>
        <v>아시아/기타</v>
      </c>
      <c r="AI164" s="43" t="str">
        <f aca="false">IF(Q164&lt;&gt;1,"",IFERROR(IF(VLOOKUP(R164,매핑!$A$4:$E$92,3,0)="","미분류",VLOOKUP(R164,매핑!$A$4:$E$92,3,0)),IF(AB164&lt;&gt;"",IF(AB164="","",INDEX(시장분석!$W:$W,AB164)),"미분류")))</f>
        <v>한국</v>
      </c>
      <c r="AJ164" s="43" t="str">
        <f aca="false">IF(Q164&lt;&gt;1,"",IFERROR(VLOOKUP(IF(N164&lt;&gt;"",N164,IF(P164&lt;&gt;"",P164,O164)),설정!$A$15:$D$47,2,0),""))</f>
        <v>AA</v>
      </c>
      <c r="AK164" s="43" t="str">
        <f aca="false">IF(Q164&lt;&gt;1,"",IF(AJ164="","무등급",IFERROR(VLOOKUP(AJ164,설정!$A$15:$D$47,3,0),"무등급")))</f>
        <v>AA이상</v>
      </c>
      <c r="AL164" s="89" t="n">
        <f aca="false">IF(AJ164="",99,IFERROR(VLOOKUP(AJ164,설정!$A$15:$D$47,4,0),99))</f>
        <v>3</v>
      </c>
      <c r="AM164" s="94" t="n">
        <f aca="false">IF(ISNUMBER(H164),AA164*1000000*H164/10000,0)</f>
        <v>205.5140737</v>
      </c>
      <c r="AN164" s="94" t="n">
        <f aca="false">IF(OR(Y164=1,NOT(ISNUMBER(Z164))),0,AA164*1000000*Z164/10000)</f>
        <v>205.5140737</v>
      </c>
      <c r="AO164" s="94" t="n">
        <f aca="false">IF(ISNUMBER(G164),AA164*1000000*G164/100,0)</f>
        <v>49869.899846</v>
      </c>
      <c r="AP164" s="94" t="n">
        <f aca="false">IF(ISNUMBER(M164),M164*K164,0)</f>
        <v>-29132</v>
      </c>
      <c r="AQ164" s="95" t="n">
        <f aca="false">IF(AB164="","",INDEX(시장분석!$AK:$AK,AB164))</f>
        <v>-0.531789357963228</v>
      </c>
      <c r="AR164" s="43" t="str">
        <f aca="false">IF(AB164="","-",IF(AB164="","",INDEX(시장분석!$AL:$AL,AB164)))</f>
        <v>Fair</v>
      </c>
      <c r="AS164" s="96" t="n">
        <f aca="false">IF(AB164="","",INDEX(시장분석!$AJ:$AJ,AB164))</f>
        <v>-7.28180450251952</v>
      </c>
      <c r="AT164" s="93" t="n">
        <f aca="false">IF(AB164="",0,IF(AB164="","",INDEX(시장분석!$AN:$AN,AB164)))</f>
        <v>12.2961418125979</v>
      </c>
      <c r="AU164" s="94" t="n">
        <f aca="false">IF(ISNUMBER(Z164),AT164/10000*MAX(Z164-1,0)*AA164*1000000,0)</f>
        <v>1311.81971395938</v>
      </c>
      <c r="AV164" s="94" t="n">
        <f aca="false">AO164+AU164</f>
        <v>51181.7195599594</v>
      </c>
      <c r="AW164" s="43" t="str">
        <f aca="false">IF(Q164&lt;&gt;1,"",TRIM(IF(AD164=1,"FRN ","")&amp;IF(AND(AL164&gt;=10,AL164&lt;99),"BBB0미만 ","")&amp;IF(AJ164="","등급없음 ","")&amp;IF(K164&lt;&gt;1,"비USD ","")&amp;IF(AND(AB164="",Y164=0),"시장데이터없음 ","")&amp;IF(AND(ISNUMBER(U164),U164&lt;0),"만기경과 ","")))</f>
        <v/>
      </c>
      <c r="AX164" s="90" t="n">
        <f aca="false">IF(Q164&lt;&gt;1,1,IF(스프레드쇼크!$C$4="Y",INDEX(스프레드쇼크!$B$12:$L$16,IFERROR(MATCH(AH164,스프레드쇼크!$A$12:$A$16,0),MATCH("목록외",스프레드쇼크!$A$12:$A$16,0)),IFERROR(MATCH(AG164,스프레드쇼크!$B$11:$L$11,0),MATCH("목록외",스프레드쇼크!$B$11:$L$11,0))),1))</f>
        <v>1</v>
      </c>
      <c r="AY164" s="90" t="n">
        <f aca="false">IF(스프레드쇼크!$C$5="Y",IF(ISNUMBER(AF164),MIN(스프레드쇼크!$C$7,MAX(스프레드쇼크!$C$6,AF164/스프레드쇼크!$C$8)),1),1)</f>
        <v>0.25</v>
      </c>
      <c r="AZ164" s="94" t="n">
        <f aca="false">AN164*AX164*AY164</f>
        <v>51.378518425</v>
      </c>
      <c r="BA164" s="90" t="n">
        <f aca="false">IF(ISNUMBER(G164),AA164*G164,0)</f>
        <v>4.9869899846</v>
      </c>
      <c r="BB164" s="90" t="n">
        <f aca="false">IF(ISNUMBER(G164),AA164,0)</f>
        <v>0.988286</v>
      </c>
      <c r="BC164" s="90" t="n">
        <f aca="false">IF(AND(Y164=0,ISNUMBER(AF164)),AA164*AF164,0)</f>
        <v>6.457460724</v>
      </c>
      <c r="BD164" s="90" t="n">
        <f aca="false">IF(AND(Y164=0,ISNUMBER(AF164)),AA164,0)</f>
        <v>0.988286</v>
      </c>
      <c r="BE164" s="90" t="n">
        <f aca="false">IF(ISNUMBER(H164),AA164*H164,0)</f>
        <v>2.055140737</v>
      </c>
      <c r="BF164" s="90" t="n">
        <f aca="false">IF(ISNUMBER(H164),AA164,0)</f>
        <v>0.988286</v>
      </c>
      <c r="BG164" s="90" t="n">
        <f aca="false">IF(AND(Y164=0,ISNUMBER(AF164),ISNUMBER(Z164)),AA164*Z164,0)</f>
        <v>2.055140737</v>
      </c>
      <c r="BH164" s="90" t="n">
        <f aca="false">IF(AND(Y164=0,ISNUMBER(AF164),ISNUMBER(Z164)),AA164*AT164*MAX(Z164-1,0),0)</f>
        <v>13.1181971395938</v>
      </c>
      <c r="BI164" s="90" t="n">
        <f aca="false">IF(Y164=0,AA164,0)</f>
        <v>0.988286</v>
      </c>
    </row>
    <row r="165" customFormat="false" ht="15" hidden="false" customHeight="false" outlineLevel="0" collapsed="false">
      <c r="A165" s="83" t="str">
        <f aca="false">IFERROR(IF(INDEX(원자료_잔고!$A$1:$EZ$1500,설정!$L$5+ROW()-1,설정!$L$8)&amp;""="0","",INDEX(원자료_잔고!$A$1:$EZ$1500,설정!$L$5+ROW()-1,설정!$L$8)&amp;""),"")</f>
        <v>EIBKOR 4.5 01/11/29</v>
      </c>
      <c r="B165" s="83" t="str">
        <f aca="false">IFERROR(IF(INDEX(원자료_잔고!$A$1:$EZ$1500,설정!$L$5+ROW()-1,설정!$L$7)&amp;""="0","",INDEX(원자료_잔고!$A$1:$EZ$1500,설정!$L$5+ROW()-1,설정!$L$7)&amp;""),"")</f>
        <v>US302154EB15</v>
      </c>
      <c r="C165" s="83" t="str">
        <f aca="false">IFERROR(IF(INDEX(원자료_잔고!$A$1:$EZ$1500,설정!$L$5+ROW()-1,설정!$L$9)&amp;""="0","",INDEX(원자료_잔고!$A$1:$EZ$1500,설정!$L$5+ROW()-1,설정!$L$9)&amp;""),"")</f>
        <v>34578</v>
      </c>
      <c r="D16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5" s="84" t="n">
        <f aca="false">IFERROR(IF(ISNUMBER(INDEX(원자료_잔고!$A$1:$EZ$1500,설정!$L$5+ROW()-1,설정!$L$11)),INDEX(원자료_잔고!$A$1:$EZ$1500,설정!$L$5+ROW()-1,설정!$L$11),""),"")</f>
        <v>1000000</v>
      </c>
      <c r="F165" s="85" t="n">
        <f aca="false">IFERROR(IF(ISNUMBER(INDEX(원자료_잔고!$A$1:$EZ$1500,설정!$L$5+ROW()-1,설정!$L$12)),INDEX(원자료_잔고!$A$1:$EZ$1500,설정!$L$5+ROW()-1,설정!$L$12),""),"")</f>
        <v>98.8286</v>
      </c>
      <c r="G165" s="85" t="n">
        <f aca="false">IFERROR(IF(ISNUMBER(INDEX(원자료_잔고!$A$1:$EZ$1500,설정!$L$5+ROW()-1,설정!$L$13)),INDEX(원자료_잔고!$A$1:$EZ$1500,설정!$L$5+ROW()-1,설정!$L$13),""),"")</f>
        <v>5.0461</v>
      </c>
      <c r="H165" s="85" t="n">
        <f aca="false">IFERROR(IF(ISNUMBER(INDEX(원자료_잔고!$A$1:$EZ$1500,설정!$L$5+ROW()-1,설정!$L$14)),INDEX(원자료_잔고!$A$1:$EZ$1500,설정!$L$5+ROW()-1,설정!$L$14),""),"")</f>
        <v>2.0795</v>
      </c>
      <c r="I165" s="86" t="n">
        <f aca="false">IFERROR(IF(ISNUMBER(INDEX(원자료_잔고!$A$1:$EZ$1500,설정!$L$5+ROW()-1,설정!$L$15)),INDEX(원자료_잔고!$A$1:$EZ$1500,설정!$L$5+ROW()-1,설정!$L$15),""),"")</f>
        <v>47129</v>
      </c>
      <c r="J165" s="85" t="n">
        <f aca="false">IFERROR(IF(ISNUMBER(INDEX(원자료_잔고!$A$1:$EZ$1500,설정!$L$5+ROW()-1,설정!$L$16)),INDEX(원자료_잔고!$A$1:$EZ$1500,설정!$L$5+ROW()-1,설정!$L$16),""),"")</f>
        <v>4.5</v>
      </c>
      <c r="K165" s="87" t="n">
        <f aca="false">IFERROR(IF(ISNUMBER(INDEX(원자료_잔고!$A$1:$EZ$1500,설정!$L$5+ROW()-1,설정!$L$17)),INDEX(원자료_잔고!$A$1:$EZ$1500,설정!$L$5+ROW()-1,설정!$L$17),""),"")</f>
        <v>1</v>
      </c>
      <c r="L165" s="84" t="n">
        <f aca="false">IFERROR(IF(ISNUMBER(INDEX(원자료_잔고!$A$1:$EZ$1500,설정!$L$5+ROW()-1,설정!$L$18)),INDEX(원자료_잔고!$A$1:$EZ$1500,설정!$L$5+ROW()-1,설정!$L$18),""),"")</f>
        <v>988286</v>
      </c>
      <c r="M165" s="88" t="n">
        <f aca="false">IFERROR(IF(ISNUMBER(INDEX(원자료_잔고!$A$1:$EZ$1500,설정!$L$5+ROW()-1,설정!$L$19)),INDEX(원자료_잔고!$A$1:$EZ$1500,설정!$L$5+ROW()-1,설정!$L$19),""),"")</f>
        <v>-29132</v>
      </c>
      <c r="N165" s="83" t="str">
        <f aca="false">IFERROR(IF(INDEX(원자료_잔고!$A$1:$EZ$1500,설정!$L$5+ROW()-1,설정!$L$21)&amp;""="0","",INDEX(원자료_잔고!$A$1:$EZ$1500,설정!$L$5+ROW()-1,설정!$L$21)&amp;""),"")</f>
        <v>AA</v>
      </c>
      <c r="O165" s="83" t="str">
        <f aca="false">IFERROR(IF(INDEX(원자료_잔고!$A$1:$EZ$1500,설정!$L$5+ROW()-1,설정!$L$22)&amp;""="0","",INDEX(원자료_잔고!$A$1:$EZ$1500,설정!$L$5+ROW()-1,설정!$L$22)&amp;""),"")</f>
        <v/>
      </c>
      <c r="P165" s="83" t="str">
        <f aca="false">IFERROR(IF(INDEX(원자료_잔고!$A$1:$EZ$1500,설정!$L$5+ROW()-1,설정!$L$23)&amp;""="0","",INDEX(원자료_잔고!$A$1:$EZ$1500,설정!$L$5+ROW()-1,설정!$L$23)&amp;""),"")</f>
        <v>AA-</v>
      </c>
      <c r="Q165" s="89" t="n">
        <f aca="false">IF(AND($A165&lt;&gt;"",ISNUMBER(E165)),IF(E165&gt;0,1,0),0)</f>
        <v>1</v>
      </c>
      <c r="R165" s="43" t="str">
        <f aca="false">IF(Q165=1,UPPER(LEFT($A165,FIND(" ",$A165&amp;" ")-1)),"")</f>
        <v>EIBKOR</v>
      </c>
      <c r="S165" s="89" t="n">
        <f aca="false">IF(Q165=1,IF(OR(ISNUMBER(SEARCH("Float",$A165)),ISNUMBER(SEARCH("FRN",$A165))),1,0),0)</f>
        <v>0</v>
      </c>
      <c r="T165" s="43" t="str">
        <f aca="false">IF(AND(Q165=1,ISNUMBER(I165)),TEXT(I165,"yyyymmdd")&amp;"|"&amp;IF(S165=1,"F",TEXT(J165,"0.000")),"")</f>
        <v>20290111|4.500</v>
      </c>
      <c r="U165" s="90" t="n">
        <f aca="false">IF(AND(Q165=1,ISNUMBER(I165)),(I165-설정!$C$4)/365.25,"")</f>
        <v>2.28062970568104</v>
      </c>
      <c r="V165" s="43" t="str">
        <f aca="false">IF(Q165&lt;&gt;1,"",IF(ISNUMBER(U165),IF(U165&lt;=1,"1년 이하",IF(U165&lt;=2,"1-2년",IF(U165&lt;=3,"2-3년",IF(U165&lt;=4,"3-4년",IF(U165&lt;=5,"4-5년",IF(U165&lt;=7,"5-7년",IF(U165&lt;=10,"7-10년",IF(U165&lt;=20,"10-20년","20년 이상")))))))),"미분류"))</f>
        <v>2-3년</v>
      </c>
      <c r="W165" s="43" t="str">
        <f aca="false">IF(Q165&lt;&gt;1,"",IF(AB165&lt;&gt;"",INDEX(시장분석!$C:$C,AB165),IF(K165=1,"USD","비USD")))</f>
        <v>USD</v>
      </c>
      <c r="X165" s="91" t="n">
        <f aca="false">IF(Q165=1,E165*K165/1000000,0)</f>
        <v>1</v>
      </c>
      <c r="Y165" s="89" t="n">
        <f aca="false">IF(R165="T",1,0)</f>
        <v>0</v>
      </c>
      <c r="Z165" s="92" t="n">
        <f aca="false">IF(Q165&lt;&gt;1,"",IF(AD165=1,IF(ISNUMBER(U165),MAX(U165,0),H165),H165))</f>
        <v>2.0795</v>
      </c>
      <c r="AA165" s="91" t="n">
        <f aca="false">IF(Q165=1,IF(ISNUMBER(L165),L165,0)*K165/1000000,0)</f>
        <v>0.988286</v>
      </c>
      <c r="AB165" s="89" t="n">
        <f aca="false">IF(Q165&lt;&gt;1,"",IFERROR(MATCH(VLOOKUP(B165,매핑!$H$4:$I$15,2,0),시장분석!$A$2:$A$601,0)+1,IFERROR(MATCH(R165&amp;"|"&amp;T165,시장분석!$V$2:$V$601,0)+1,IF(COUNTIF(시장분석!$U$2:$U$601,T165)=1,MATCH(T165,시장분석!$U$2:$U$601,0)+1,""))))</f>
        <v>30</v>
      </c>
      <c r="AC165" s="89" t="n">
        <f aca="false">IF(Q165&lt;&gt;1,0,IF(OR(설정!$C$5="전체",AND(설정!$C$5="선택펀드",IFERROR(COUNTIFS(설정!$F$16:$F$36,C165,설정!$G$16:$G$36,"Y")+COUNTIFS(설정!$F$16:$F$36,VALUE(C165),설정!$G$16:$G$36,"Y"),0)&gt;0),C165&amp;""=설정!$C$5&amp;""),1,0))</f>
        <v>1</v>
      </c>
      <c r="AD165" s="89" t="n">
        <f aca="false">IF(Q165&lt;&gt;1,0,IF(OR(S165=1,IF(AB165="",FALSE(),INDEX(시장분석!$R:$R,AB165)=1)),1,0))</f>
        <v>0</v>
      </c>
      <c r="AE165" s="43" t="str">
        <f aca="false">IF(AB165="","",INDEX(시장분석!$A:$A,AB165))</f>
        <v>EIBKOR 4 1/2 01/11/29</v>
      </c>
      <c r="AF165" s="93" t="n">
        <f aca="false">IF(AB165="","",IF(ISNUMBER(IF(AB165="","",INDEX(시장분석!$E:$E,AB165))),IF(AB165="","",INDEX(시장분석!$E:$E,AB165)),""))</f>
        <v>6.534</v>
      </c>
      <c r="AG165" s="43" t="str">
        <f aca="false">IF(Q165&lt;&gt;1,"",IF(AB165&lt;&gt;"",IF(AB165="","",INDEX(시장분석!$L:$L,AB165)),IFERROR(IF(VLOOKUP(R165,매핑!$A$4:$E$92,5,0)="","미분류",VLOOKUP(R165,매핑!$A$4:$E$92,5,0)),"미분류")))</f>
        <v>정부</v>
      </c>
      <c r="AH165" s="43" t="str">
        <f aca="false">IF(Q165&lt;&gt;1,"",IF(AB165&lt;&gt;"",IF(AB165="","",INDEX(시장분석!$N:$N,AB165)),IFERROR(IF(VLOOKUP(R165,매핑!$A$4:$E$92,4,0)="","미분류",VLOOKUP(R165,매핑!$A$4:$E$92,4,0)),"미분류")))</f>
        <v>아시아/기타</v>
      </c>
      <c r="AI165" s="43" t="str">
        <f aca="false">IF(Q165&lt;&gt;1,"",IFERROR(IF(VLOOKUP(R165,매핑!$A$4:$E$92,3,0)="","미분류",VLOOKUP(R165,매핑!$A$4:$E$92,3,0)),IF(AB165&lt;&gt;"",IF(AB165="","",INDEX(시장분석!$W:$W,AB165)),"미분류")))</f>
        <v>한국</v>
      </c>
      <c r="AJ165" s="43" t="str">
        <f aca="false">IF(Q165&lt;&gt;1,"",IFERROR(VLOOKUP(IF(N165&lt;&gt;"",N165,IF(P165&lt;&gt;"",P165,O165)),설정!$A$15:$D$47,2,0),""))</f>
        <v>AA</v>
      </c>
      <c r="AK165" s="43" t="str">
        <f aca="false">IF(Q165&lt;&gt;1,"",IF(AJ165="","무등급",IFERROR(VLOOKUP(AJ165,설정!$A$15:$D$47,3,0),"무등급")))</f>
        <v>AA이상</v>
      </c>
      <c r="AL165" s="89" t="n">
        <f aca="false">IF(AJ165="",99,IFERROR(VLOOKUP(AJ165,설정!$A$15:$D$47,4,0),99))</f>
        <v>3</v>
      </c>
      <c r="AM165" s="94" t="n">
        <f aca="false">IF(ISNUMBER(H165),AA165*1000000*H165/10000,0)</f>
        <v>205.5140737</v>
      </c>
      <c r="AN165" s="94" t="n">
        <f aca="false">IF(OR(Y165=1,NOT(ISNUMBER(Z165))),0,AA165*1000000*Z165/10000)</f>
        <v>205.5140737</v>
      </c>
      <c r="AO165" s="94" t="n">
        <f aca="false">IF(ISNUMBER(G165),AA165*1000000*G165/100,0)</f>
        <v>49869.899846</v>
      </c>
      <c r="AP165" s="94" t="n">
        <f aca="false">IF(ISNUMBER(M165),M165*K165,0)</f>
        <v>-29132</v>
      </c>
      <c r="AQ165" s="95" t="n">
        <f aca="false">IF(AB165="","",INDEX(시장분석!$AK:$AK,AB165))</f>
        <v>-0.531789357963228</v>
      </c>
      <c r="AR165" s="43" t="str">
        <f aca="false">IF(AB165="","-",IF(AB165="","",INDEX(시장분석!$AL:$AL,AB165)))</f>
        <v>Fair</v>
      </c>
      <c r="AS165" s="96" t="n">
        <f aca="false">IF(AB165="","",INDEX(시장분석!$AJ:$AJ,AB165))</f>
        <v>-7.28180450251952</v>
      </c>
      <c r="AT165" s="93" t="n">
        <f aca="false">IF(AB165="",0,IF(AB165="","",INDEX(시장분석!$AN:$AN,AB165)))</f>
        <v>12.2961418125979</v>
      </c>
      <c r="AU165" s="94" t="n">
        <f aca="false">IF(ISNUMBER(Z165),AT165/10000*MAX(Z165-1,0)*AA165*1000000,0)</f>
        <v>1311.81971395938</v>
      </c>
      <c r="AV165" s="94" t="n">
        <f aca="false">AO165+AU165</f>
        <v>51181.7195599594</v>
      </c>
      <c r="AW165" s="43" t="str">
        <f aca="false">IF(Q165&lt;&gt;1,"",TRIM(IF(AD165=1,"FRN ","")&amp;IF(AND(AL165&gt;=10,AL165&lt;99),"BBB0미만 ","")&amp;IF(AJ165="","등급없음 ","")&amp;IF(K165&lt;&gt;1,"비USD ","")&amp;IF(AND(AB165="",Y165=0),"시장데이터없음 ","")&amp;IF(AND(ISNUMBER(U165),U165&lt;0),"만기경과 ","")))</f>
        <v/>
      </c>
      <c r="AX165" s="90" t="n">
        <f aca="false">IF(Q165&lt;&gt;1,1,IF(스프레드쇼크!$C$4="Y",INDEX(스프레드쇼크!$B$12:$L$16,IFERROR(MATCH(AH165,스프레드쇼크!$A$12:$A$16,0),MATCH("목록외",스프레드쇼크!$A$12:$A$16,0)),IFERROR(MATCH(AG165,스프레드쇼크!$B$11:$L$11,0),MATCH("목록외",스프레드쇼크!$B$11:$L$11,0))),1))</f>
        <v>1</v>
      </c>
      <c r="AY165" s="90" t="n">
        <f aca="false">IF(스프레드쇼크!$C$5="Y",IF(ISNUMBER(AF165),MIN(스프레드쇼크!$C$7,MAX(스프레드쇼크!$C$6,AF165/스프레드쇼크!$C$8)),1),1)</f>
        <v>0.25</v>
      </c>
      <c r="AZ165" s="94" t="n">
        <f aca="false">AN165*AX165*AY165</f>
        <v>51.378518425</v>
      </c>
      <c r="BA165" s="90" t="n">
        <f aca="false">IF(ISNUMBER(G165),AA165*G165,0)</f>
        <v>4.9869899846</v>
      </c>
      <c r="BB165" s="90" t="n">
        <f aca="false">IF(ISNUMBER(G165),AA165,0)</f>
        <v>0.988286</v>
      </c>
      <c r="BC165" s="90" t="n">
        <f aca="false">IF(AND(Y165=0,ISNUMBER(AF165)),AA165*AF165,0)</f>
        <v>6.457460724</v>
      </c>
      <c r="BD165" s="90" t="n">
        <f aca="false">IF(AND(Y165=0,ISNUMBER(AF165)),AA165,0)</f>
        <v>0.988286</v>
      </c>
      <c r="BE165" s="90" t="n">
        <f aca="false">IF(ISNUMBER(H165),AA165*H165,0)</f>
        <v>2.055140737</v>
      </c>
      <c r="BF165" s="90" t="n">
        <f aca="false">IF(ISNUMBER(H165),AA165,0)</f>
        <v>0.988286</v>
      </c>
      <c r="BG165" s="90" t="n">
        <f aca="false">IF(AND(Y165=0,ISNUMBER(AF165),ISNUMBER(Z165)),AA165*Z165,0)</f>
        <v>2.055140737</v>
      </c>
      <c r="BH165" s="90" t="n">
        <f aca="false">IF(AND(Y165=0,ISNUMBER(AF165),ISNUMBER(Z165)),AA165*AT165*MAX(Z165-1,0),0)</f>
        <v>13.1181971395938</v>
      </c>
      <c r="BI165" s="90" t="n">
        <f aca="false">IF(Y165=0,AA165,0)</f>
        <v>0.988286</v>
      </c>
    </row>
    <row r="166" customFormat="false" ht="15" hidden="false" customHeight="false" outlineLevel="0" collapsed="false">
      <c r="A166" s="83" t="str">
        <f aca="false">IFERROR(IF(INDEX(원자료_잔고!$A$1:$EZ$1500,설정!$L$5+ROW()-1,설정!$L$8)&amp;""="0","",INDEX(원자료_잔고!$A$1:$EZ$1500,설정!$L$5+ROW()-1,설정!$L$8)&amp;""),"")</f>
        <v>HSBC 4.583 06/19/29</v>
      </c>
      <c r="B166" s="83" t="str">
        <f aca="false">IFERROR(IF(INDEX(원자료_잔고!$A$1:$EZ$1500,설정!$L$5+ROW()-1,설정!$L$7)&amp;""="0","",INDEX(원자료_잔고!$A$1:$EZ$1500,설정!$L$5+ROW()-1,설정!$L$7)&amp;""),"")</f>
        <v>US404280BT50</v>
      </c>
      <c r="C166" s="83" t="str">
        <f aca="false">IFERROR(IF(INDEX(원자료_잔고!$A$1:$EZ$1500,설정!$L$5+ROW()-1,설정!$L$9)&amp;""="0","",INDEX(원자료_잔고!$A$1:$EZ$1500,설정!$L$5+ROW()-1,설정!$L$9)&amp;""),"")</f>
        <v>34578</v>
      </c>
      <c r="D16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6" s="84" t="n">
        <f aca="false">IFERROR(IF(ISNUMBER(INDEX(원자료_잔고!$A$1:$EZ$1500,설정!$L$5+ROW()-1,설정!$L$11)),INDEX(원자료_잔고!$A$1:$EZ$1500,설정!$L$5+ROW()-1,설정!$L$11),""),"")</f>
        <v>10000000</v>
      </c>
      <c r="F166" s="85" t="n">
        <f aca="false">IFERROR(IF(ISNUMBER(INDEX(원자료_잔고!$A$1:$EZ$1500,설정!$L$5+ROW()-1,설정!$L$12)),INDEX(원자료_잔고!$A$1:$EZ$1500,설정!$L$5+ROW()-1,설정!$L$12),""),"")</f>
        <v>98.6388</v>
      </c>
      <c r="G166" s="85" t="n">
        <f aca="false">IFERROR(IF(ISNUMBER(INDEX(원자료_잔고!$A$1:$EZ$1500,설정!$L$5+ROW()-1,설정!$L$13)),INDEX(원자료_잔고!$A$1:$EZ$1500,설정!$L$5+ROW()-1,설정!$L$13),""),"")</f>
        <v>5.3199</v>
      </c>
      <c r="H166" s="85" t="n">
        <f aca="false">IFERROR(IF(ISNUMBER(INDEX(원자료_잔고!$A$1:$EZ$1500,설정!$L$5+ROW()-1,설정!$L$14)),INDEX(원자료_잔고!$A$1:$EZ$1500,설정!$L$5+ROW()-1,설정!$L$14),""),"")</f>
        <v>1.5916</v>
      </c>
      <c r="I166" s="86" t="n">
        <f aca="false">IFERROR(IF(ISNUMBER(INDEX(원자료_잔고!$A$1:$EZ$1500,설정!$L$5+ROW()-1,설정!$L$15)),INDEX(원자료_잔고!$A$1:$EZ$1500,설정!$L$5+ROW()-1,설정!$L$15),""),"")</f>
        <v>47288</v>
      </c>
      <c r="J166" s="85" t="n">
        <f aca="false">IFERROR(IF(ISNUMBER(INDEX(원자료_잔고!$A$1:$EZ$1500,설정!$L$5+ROW()-1,설정!$L$16)),INDEX(원자료_잔고!$A$1:$EZ$1500,설정!$L$5+ROW()-1,설정!$L$16),""),"")</f>
        <v>4.583</v>
      </c>
      <c r="K166" s="87" t="n">
        <f aca="false">IFERROR(IF(ISNUMBER(INDEX(원자료_잔고!$A$1:$EZ$1500,설정!$L$5+ROW()-1,설정!$L$17)),INDEX(원자료_잔고!$A$1:$EZ$1500,설정!$L$5+ROW()-1,설정!$L$17),""),"")</f>
        <v>1</v>
      </c>
      <c r="L166" s="84" t="n">
        <f aca="false">IFERROR(IF(ISNUMBER(INDEX(원자료_잔고!$A$1:$EZ$1500,설정!$L$5+ROW()-1,설정!$L$18)),INDEX(원자료_잔고!$A$1:$EZ$1500,설정!$L$5+ROW()-1,설정!$L$18),""),"")</f>
        <v>9863880</v>
      </c>
      <c r="M166" s="88" t="n">
        <f aca="false">IFERROR(IF(ISNUMBER(INDEX(원자료_잔고!$A$1:$EZ$1500,설정!$L$5+ROW()-1,설정!$L$19)),INDEX(원자료_잔고!$A$1:$EZ$1500,설정!$L$5+ROW()-1,설정!$L$19),""),"")</f>
        <v>-241780</v>
      </c>
      <c r="N166" s="83" t="str">
        <f aca="false">IFERROR(IF(INDEX(원자료_잔고!$A$1:$EZ$1500,설정!$L$5+ROW()-1,설정!$L$21)&amp;""="0","",INDEX(원자료_잔고!$A$1:$EZ$1500,설정!$L$5+ROW()-1,설정!$L$21)&amp;""),"")</f>
        <v>A-</v>
      </c>
      <c r="O166" s="83" t="str">
        <f aca="false">IFERROR(IF(INDEX(원자료_잔고!$A$1:$EZ$1500,설정!$L$5+ROW()-1,설정!$L$22)&amp;""="0","",INDEX(원자료_잔고!$A$1:$EZ$1500,설정!$L$5+ROW()-1,설정!$L$22)&amp;""),"")</f>
        <v/>
      </c>
      <c r="P166" s="83" t="str">
        <f aca="false">IFERROR(IF(INDEX(원자료_잔고!$A$1:$EZ$1500,설정!$L$5+ROW()-1,설정!$L$23)&amp;""="0","",INDEX(원자료_잔고!$A$1:$EZ$1500,설정!$L$5+ROW()-1,설정!$L$23)&amp;""),"")</f>
        <v>A+</v>
      </c>
      <c r="Q166" s="89" t="n">
        <f aca="false">IF(AND($A166&lt;&gt;"",ISNUMBER(E166)),IF(E166&gt;0,1,0),0)</f>
        <v>1</v>
      </c>
      <c r="R166" s="43" t="str">
        <f aca="false">IF(Q166=1,UPPER(LEFT($A166,FIND(" ",$A166&amp;" ")-1)),"")</f>
        <v>HSBC</v>
      </c>
      <c r="S166" s="89" t="n">
        <f aca="false">IF(Q166=1,IF(OR(ISNUMBER(SEARCH("Float",$A166)),ISNUMBER(SEARCH("FRN",$A166))),1,0),0)</f>
        <v>0</v>
      </c>
      <c r="T166" s="43" t="str">
        <f aca="false">IF(AND(Q166=1,ISNUMBER(I166)),TEXT(I166,"yyyymmdd")&amp;"|"&amp;IF(S166=1,"F",TEXT(J166,"0.000")),"")</f>
        <v>20290619|4.583</v>
      </c>
      <c r="U166" s="90" t="n">
        <f aca="false">IF(AND(Q166=1,ISNUMBER(I166)),(I166-설정!$C$4)/365.25,"")</f>
        <v>2.71594798083504</v>
      </c>
      <c r="V166" s="43" t="str">
        <f aca="false">IF(Q166&lt;&gt;1,"",IF(ISNUMBER(U166),IF(U166&lt;=1,"1년 이하",IF(U166&lt;=2,"1-2년",IF(U166&lt;=3,"2-3년",IF(U166&lt;=4,"3-4년",IF(U166&lt;=5,"4-5년",IF(U166&lt;=7,"5-7년",IF(U166&lt;=10,"7-10년",IF(U166&lt;=20,"10-20년","20년 이상")))))))),"미분류"))</f>
        <v>2-3년</v>
      </c>
      <c r="W166" s="43" t="str">
        <f aca="false">IF(Q166&lt;&gt;1,"",IF(AB166&lt;&gt;"",INDEX(시장분석!$C:$C,AB166),IF(K166=1,"USD","비USD")))</f>
        <v>USD</v>
      </c>
      <c r="X166" s="91" t="n">
        <f aca="false">IF(Q166=1,E166*K166/1000000,0)</f>
        <v>10</v>
      </c>
      <c r="Y166" s="89" t="n">
        <f aca="false">IF(R166="T",1,0)</f>
        <v>0</v>
      </c>
      <c r="Z166" s="92" t="n">
        <f aca="false">IF(Q166&lt;&gt;1,"",IF(AD166=1,IF(ISNUMBER(U166),MAX(U166,0),H166),H166))</f>
        <v>1.5916</v>
      </c>
      <c r="AA166" s="91" t="n">
        <f aca="false">IF(Q166=1,IF(ISNUMBER(L166),L166,0)*K166/1000000,0)</f>
        <v>9.86388</v>
      </c>
      <c r="AB166" s="89" t="n">
        <f aca="false">IF(Q166&lt;&gt;1,"",IFERROR(MATCH(VLOOKUP(B166,매핑!$H$4:$I$15,2,0),시장분석!$A$2:$A$601,0)+1,IFERROR(MATCH(R166&amp;"|"&amp;T166,시장분석!$V$2:$V$601,0)+1,IF(COUNTIF(시장분석!$U$2:$U$601,T166)=1,MATCH(T166,시장분석!$U$2:$U$601,0)+1,""))))</f>
        <v>46</v>
      </c>
      <c r="AC166" s="89" t="n">
        <f aca="false">IF(Q166&lt;&gt;1,0,IF(OR(설정!$C$5="전체",AND(설정!$C$5="선택펀드",IFERROR(COUNTIFS(설정!$F$16:$F$36,C166,설정!$G$16:$G$36,"Y")+COUNTIFS(설정!$F$16:$F$36,VALUE(C166),설정!$G$16:$G$36,"Y"),0)&gt;0),C166&amp;""=설정!$C$5&amp;""),1,0))</f>
        <v>1</v>
      </c>
      <c r="AD166" s="89" t="n">
        <f aca="false">IF(Q166&lt;&gt;1,0,IF(OR(S166=1,IF(AB166="",FALSE(),INDEX(시장분석!$R:$R,AB166)=1)),1,0))</f>
        <v>0</v>
      </c>
      <c r="AE166" s="43" t="str">
        <f aca="false">IF(AB166="","",INDEX(시장분석!$A:$A,AB166))</f>
        <v>HSBC 4.583 06/19/29</v>
      </c>
      <c r="AF166" s="93" t="n">
        <f aca="false">IF(AB166="","",IF(ISNUMBER(IF(AB166="","",INDEX(시장분석!$E:$E,AB166))),IF(AB166="","",INDEX(시장분석!$E:$E,AB166)),""))</f>
        <v>54.426</v>
      </c>
      <c r="AG166" s="43" t="str">
        <f aca="false">IF(Q166&lt;&gt;1,"",IF(AB166&lt;&gt;"",IF(AB166="","",INDEX(시장분석!$L:$L,AB166)),IFERROR(IF(VLOOKUP(R166,매핑!$A$4:$E$92,5,0)="","미분류",VLOOKUP(R166,매핑!$A$4:$E$92,5,0)),"미분류")))</f>
        <v>금융기관</v>
      </c>
      <c r="AH166" s="43" t="str">
        <f aca="false">IF(Q166&lt;&gt;1,"",IF(AB166&lt;&gt;"",IF(AB166="","",INDEX(시장분석!$N:$N,AB166)),IFERROR(IF(VLOOKUP(R166,매핑!$A$4:$E$92,4,0)="","미분류",VLOOKUP(R166,매핑!$A$4:$E$92,4,0)),"미분류")))</f>
        <v>유럽</v>
      </c>
      <c r="AI166" s="43" t="str">
        <f aca="false">IF(Q166&lt;&gt;1,"",IFERROR(IF(VLOOKUP(R166,매핑!$A$4:$E$92,3,0)="","미분류",VLOOKUP(R166,매핑!$A$4:$E$92,3,0)),IF(AB166&lt;&gt;"",IF(AB166="","",INDEX(시장분석!$W:$W,AB166)),"미분류")))</f>
        <v>영국</v>
      </c>
      <c r="AJ166" s="43" t="str">
        <f aca="false">IF(Q166&lt;&gt;1,"",IFERROR(VLOOKUP(IF(N166&lt;&gt;"",N166,IF(P166&lt;&gt;"",P166,O166)),설정!$A$15:$D$47,2,0),""))</f>
        <v>A-</v>
      </c>
      <c r="AK166" s="43" t="str">
        <f aca="false">IF(Q166&lt;&gt;1,"",IF(AJ166="","무등급",IFERROR(VLOOKUP(AJ166,설정!$A$15:$D$47,3,0),"무등급")))</f>
        <v>A</v>
      </c>
      <c r="AL166" s="89" t="n">
        <f aca="false">IF(AJ166="",99,IFERROR(VLOOKUP(AJ166,설정!$A$15:$D$47,4,0),99))</f>
        <v>7</v>
      </c>
      <c r="AM166" s="94" t="n">
        <f aca="false">IF(ISNUMBER(H166),AA166*1000000*H166/10000,0)</f>
        <v>1569.9351408</v>
      </c>
      <c r="AN166" s="94" t="n">
        <f aca="false">IF(OR(Y166=1,NOT(ISNUMBER(Z166))),0,AA166*1000000*Z166/10000)</f>
        <v>1569.9351408</v>
      </c>
      <c r="AO166" s="94" t="n">
        <f aca="false">IF(ISNUMBER(G166),AA166*1000000*G166/100,0)</f>
        <v>524748.55212</v>
      </c>
      <c r="AP166" s="94" t="n">
        <f aca="false">IF(ISNUMBER(M166),M166*K166,0)</f>
        <v>-241780</v>
      </c>
      <c r="AQ166" s="95" t="n">
        <f aca="false">IF(AB166="","",INDEX(시장분석!$AK:$AK,AB166))</f>
        <v>-0.382187248466653</v>
      </c>
      <c r="AR166" s="43" t="str">
        <f aca="false">IF(AB166="","-",IF(AB166="","",INDEX(시장분석!$AL:$AL,AB166)))</f>
        <v>Fair</v>
      </c>
      <c r="AS166" s="96" t="n">
        <f aca="false">IF(AB166="","",INDEX(시장분석!$AJ:$AJ,AB166))</f>
        <v>-4.19958091681233</v>
      </c>
      <c r="AT166" s="93" t="n">
        <f aca="false">IF(AB166="",0,IF(AB166="","",INDEX(시장분석!$AN:$AN,AB166)))</f>
        <v>28.5755356288377</v>
      </c>
      <c r="AU166" s="94" t="n">
        <f aca="false">IF(ISNUMBER(Z166),AT166/10000*MAX(Z166-1,0)*AA166*1000000,0)</f>
        <v>16675.1721130368</v>
      </c>
      <c r="AV166" s="94" t="n">
        <f aca="false">AO166+AU166</f>
        <v>541423.724233037</v>
      </c>
      <c r="AW166" s="43" t="str">
        <f aca="false">IF(Q166&lt;&gt;1,"",TRIM(IF(AD166=1,"FRN ","")&amp;IF(AND(AL166&gt;=10,AL166&lt;99),"BBB0미만 ","")&amp;IF(AJ166="","등급없음 ","")&amp;IF(K166&lt;&gt;1,"비USD ","")&amp;IF(AND(AB166="",Y166=0),"시장데이터없음 ","")&amp;IF(AND(ISNUMBER(U166),U166&lt;0),"만기경과 ","")))</f>
        <v/>
      </c>
      <c r="AX166" s="90" t="n">
        <f aca="false">IF(Q166&lt;&gt;1,1,IF(스프레드쇼크!$C$4="Y",INDEX(스프레드쇼크!$B$12:$L$16,IFERROR(MATCH(AH166,스프레드쇼크!$A$12:$A$16,0),MATCH("목록외",스프레드쇼크!$A$12:$A$16,0)),IFERROR(MATCH(AG166,스프레드쇼크!$B$11:$L$11,0),MATCH("목록외",스프레드쇼크!$B$11:$L$11,0))),1))</f>
        <v>1</v>
      </c>
      <c r="AY166" s="90" t="n">
        <f aca="false">IF(스프레드쇼크!$C$5="Y",IF(ISNUMBER(AF166),MIN(스프레드쇼크!$C$7,MAX(스프레드쇼크!$C$6,AF166/스프레드쇼크!$C$8)),1),1)</f>
        <v>0.823214372003424</v>
      </c>
      <c r="AZ166" s="94" t="n">
        <f aca="false">AN166*AX166*AY166</f>
        <v>1292.39317101978</v>
      </c>
      <c r="BA166" s="90" t="n">
        <f aca="false">IF(ISNUMBER(G166),AA166*G166,0)</f>
        <v>52.474855212</v>
      </c>
      <c r="BB166" s="90" t="n">
        <f aca="false">IF(ISNUMBER(G166),AA166,0)</f>
        <v>9.86388</v>
      </c>
      <c r="BC166" s="90" t="n">
        <f aca="false">IF(AND(Y166=0,ISNUMBER(AF166)),AA166*AF166,0)</f>
        <v>536.85153288</v>
      </c>
      <c r="BD166" s="90" t="n">
        <f aca="false">IF(AND(Y166=0,ISNUMBER(AF166)),AA166,0)</f>
        <v>9.86388</v>
      </c>
      <c r="BE166" s="90" t="n">
        <f aca="false">IF(ISNUMBER(H166),AA166*H166,0)</f>
        <v>15.699351408</v>
      </c>
      <c r="BF166" s="90" t="n">
        <f aca="false">IF(ISNUMBER(H166),AA166,0)</f>
        <v>9.86388</v>
      </c>
      <c r="BG166" s="90" t="n">
        <f aca="false">IF(AND(Y166=0,ISNUMBER(AF166),ISNUMBER(Z166)),AA166*Z166,0)</f>
        <v>15.699351408</v>
      </c>
      <c r="BH166" s="90" t="n">
        <f aca="false">IF(AND(Y166=0,ISNUMBER(AF166),ISNUMBER(Z166)),AA166*AT166*MAX(Z166-1,0),0)</f>
        <v>166.751721130368</v>
      </c>
      <c r="BI166" s="90" t="n">
        <f aca="false">IF(Y166=0,AA166,0)</f>
        <v>9.86388</v>
      </c>
    </row>
    <row r="167" customFormat="false" ht="15" hidden="false" customHeight="false" outlineLevel="0" collapsed="false">
      <c r="A167" s="83" t="str">
        <f aca="false">IFERROR(IF(INDEX(원자료_잔고!$A$1:$EZ$1500,설정!$L$5+ROW()-1,설정!$L$8)&amp;""="0","",INDEX(원자료_잔고!$A$1:$EZ$1500,설정!$L$5+ROW()-1,설정!$L$8)&amp;""),"")</f>
        <v>HSBC 3.973 05/22/30</v>
      </c>
      <c r="B167" s="83" t="str">
        <f aca="false">IFERROR(IF(INDEX(원자료_잔고!$A$1:$EZ$1500,설정!$L$5+ROW()-1,설정!$L$7)&amp;""="0","",INDEX(원자료_잔고!$A$1:$EZ$1500,설정!$L$5+ROW()-1,설정!$L$7)&amp;""),"")</f>
        <v>US404280CC17</v>
      </c>
      <c r="C167" s="83" t="str">
        <f aca="false">IFERROR(IF(INDEX(원자료_잔고!$A$1:$EZ$1500,설정!$L$5+ROW()-1,설정!$L$9)&amp;""="0","",INDEX(원자료_잔고!$A$1:$EZ$1500,설정!$L$5+ROW()-1,설정!$L$9)&amp;""),"")</f>
        <v>34578</v>
      </c>
      <c r="D16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7" s="84" t="n">
        <f aca="false">IFERROR(IF(ISNUMBER(INDEX(원자료_잔고!$A$1:$EZ$1500,설정!$L$5+ROW()-1,설정!$L$11)),INDEX(원자료_잔고!$A$1:$EZ$1500,설정!$L$5+ROW()-1,설정!$L$11),""),"")</f>
        <v>5000000</v>
      </c>
      <c r="F167" s="85" t="n">
        <f aca="false">IFERROR(IF(ISNUMBER(INDEX(원자료_잔고!$A$1:$EZ$1500,설정!$L$5+ROW()-1,설정!$L$12)),INDEX(원자료_잔고!$A$1:$EZ$1500,설정!$L$5+ROW()-1,설정!$L$12),""),"")</f>
        <v>95.8058</v>
      </c>
      <c r="G167" s="85" t="n">
        <f aca="false">IFERROR(IF(ISNUMBER(INDEX(원자료_잔고!$A$1:$EZ$1500,설정!$L$5+ROW()-1,설정!$L$13)),INDEX(원자료_잔고!$A$1:$EZ$1500,설정!$L$5+ROW()-1,설정!$L$13),""),"")</f>
        <v>5.5529</v>
      </c>
      <c r="H167" s="85" t="n">
        <f aca="false">IFERROR(IF(ISNUMBER(INDEX(원자료_잔고!$A$1:$EZ$1500,설정!$L$5+ROW()-1,설정!$L$14)),INDEX(원자료_잔고!$A$1:$EZ$1500,설정!$L$5+ROW()-1,설정!$L$14),""),"")</f>
        <v>2.3997</v>
      </c>
      <c r="I167" s="86" t="n">
        <f aca="false">IFERROR(IF(ISNUMBER(INDEX(원자료_잔고!$A$1:$EZ$1500,설정!$L$5+ROW()-1,설정!$L$15)),INDEX(원자료_잔고!$A$1:$EZ$1500,설정!$L$5+ROW()-1,설정!$L$15),""),"")</f>
        <v>47625</v>
      </c>
      <c r="J167" s="85" t="n">
        <f aca="false">IFERROR(IF(ISNUMBER(INDEX(원자료_잔고!$A$1:$EZ$1500,설정!$L$5+ROW()-1,설정!$L$16)),INDEX(원자료_잔고!$A$1:$EZ$1500,설정!$L$5+ROW()-1,설정!$L$16),""),"")</f>
        <v>3.973</v>
      </c>
      <c r="K167" s="87" t="n">
        <f aca="false">IFERROR(IF(ISNUMBER(INDEX(원자료_잔고!$A$1:$EZ$1500,설정!$L$5+ROW()-1,설정!$L$17)),INDEX(원자료_잔고!$A$1:$EZ$1500,설정!$L$5+ROW()-1,설정!$L$17),""),"")</f>
        <v>1</v>
      </c>
      <c r="L167" s="84" t="n">
        <f aca="false">IFERROR(IF(ISNUMBER(INDEX(원자료_잔고!$A$1:$EZ$1500,설정!$L$5+ROW()-1,설정!$L$18)),INDEX(원자료_잔고!$A$1:$EZ$1500,설정!$L$5+ROW()-1,설정!$L$18),""),"")</f>
        <v>4790290</v>
      </c>
      <c r="M167" s="88" t="n">
        <f aca="false">IFERROR(IF(ISNUMBER(INDEX(원자료_잔고!$A$1:$EZ$1500,설정!$L$5+ROW()-1,설정!$L$19)),INDEX(원자료_잔고!$A$1:$EZ$1500,설정!$L$5+ROW()-1,설정!$L$19),""),"")</f>
        <v>-158205</v>
      </c>
      <c r="N167" s="83" t="str">
        <f aca="false">IFERROR(IF(INDEX(원자료_잔고!$A$1:$EZ$1500,설정!$L$5+ROW()-1,설정!$L$21)&amp;""="0","",INDEX(원자료_잔고!$A$1:$EZ$1500,설정!$L$5+ROW()-1,설정!$L$21)&amp;""),"")</f>
        <v>A-</v>
      </c>
      <c r="O167" s="83" t="str">
        <f aca="false">IFERROR(IF(INDEX(원자료_잔고!$A$1:$EZ$1500,설정!$L$5+ROW()-1,설정!$L$22)&amp;""="0","",INDEX(원자료_잔고!$A$1:$EZ$1500,설정!$L$5+ROW()-1,설정!$L$22)&amp;""),"")</f>
        <v/>
      </c>
      <c r="P167" s="83" t="str">
        <f aca="false">IFERROR(IF(INDEX(원자료_잔고!$A$1:$EZ$1500,설정!$L$5+ROW()-1,설정!$L$23)&amp;""="0","",INDEX(원자료_잔고!$A$1:$EZ$1500,설정!$L$5+ROW()-1,설정!$L$23)&amp;""),"")</f>
        <v>A+</v>
      </c>
      <c r="Q167" s="89" t="n">
        <f aca="false">IF(AND($A167&lt;&gt;"",ISNUMBER(E167)),IF(E167&gt;0,1,0),0)</f>
        <v>1</v>
      </c>
      <c r="R167" s="43" t="str">
        <f aca="false">IF(Q167=1,UPPER(LEFT($A167,FIND(" ",$A167&amp;" ")-1)),"")</f>
        <v>HSBC</v>
      </c>
      <c r="S167" s="89" t="n">
        <f aca="false">IF(Q167=1,IF(OR(ISNUMBER(SEARCH("Float",$A167)),ISNUMBER(SEARCH("FRN",$A167))),1,0),0)</f>
        <v>0</v>
      </c>
      <c r="T167" s="43" t="str">
        <f aca="false">IF(AND(Q167=1,ISNUMBER(I167)),TEXT(I167,"yyyymmdd")&amp;"|"&amp;IF(S167=1,"F",TEXT(J167,"0.000")),"")</f>
        <v>20300522|3.973</v>
      </c>
      <c r="U167" s="90" t="n">
        <f aca="false">IF(AND(Q167=1,ISNUMBER(I167)),(I167-설정!$C$4)/365.25,"")</f>
        <v>3.63860369609856</v>
      </c>
      <c r="V167" s="43" t="str">
        <f aca="false">IF(Q167&lt;&gt;1,"",IF(ISNUMBER(U167),IF(U167&lt;=1,"1년 이하",IF(U167&lt;=2,"1-2년",IF(U167&lt;=3,"2-3년",IF(U167&lt;=4,"3-4년",IF(U167&lt;=5,"4-5년",IF(U167&lt;=7,"5-7년",IF(U167&lt;=10,"7-10년",IF(U167&lt;=20,"10-20년","20년 이상")))))))),"미분류"))</f>
        <v>3-4년</v>
      </c>
      <c r="W167" s="43" t="str">
        <f aca="false">IF(Q167&lt;&gt;1,"",IF(AB167&lt;&gt;"",INDEX(시장분석!$C:$C,AB167),IF(K167=1,"USD","비USD")))</f>
        <v>USD</v>
      </c>
      <c r="X167" s="91" t="n">
        <f aca="false">IF(Q167=1,E167*K167/1000000,0)</f>
        <v>5</v>
      </c>
      <c r="Y167" s="89" t="n">
        <f aca="false">IF(R167="T",1,0)</f>
        <v>0</v>
      </c>
      <c r="Z167" s="92" t="n">
        <f aca="false">IF(Q167&lt;&gt;1,"",IF(AD167=1,IF(ISNUMBER(U167),MAX(U167,0),H167),H167))</f>
        <v>2.3997</v>
      </c>
      <c r="AA167" s="91" t="n">
        <f aca="false">IF(Q167=1,IF(ISNUMBER(L167),L167,0)*K167/1000000,0)</f>
        <v>4.79029</v>
      </c>
      <c r="AB167" s="89" t="n">
        <f aca="false">IF(Q167&lt;&gt;1,"",IFERROR(MATCH(VLOOKUP(B167,매핑!$H$4:$I$15,2,0),시장분석!$A$2:$A$601,0)+1,IFERROR(MATCH(R167&amp;"|"&amp;T167,시장분석!$V$2:$V$601,0)+1,IF(COUNTIF(시장분석!$U$2:$U$601,T167)=1,MATCH(T167,시장분석!$U$2:$U$601,0)+1,""))))</f>
        <v>47</v>
      </c>
      <c r="AC167" s="89" t="n">
        <f aca="false">IF(Q167&lt;&gt;1,0,IF(OR(설정!$C$5="전체",AND(설정!$C$5="선택펀드",IFERROR(COUNTIFS(설정!$F$16:$F$36,C167,설정!$G$16:$G$36,"Y")+COUNTIFS(설정!$F$16:$F$36,VALUE(C167),설정!$G$16:$G$36,"Y"),0)&gt;0),C167&amp;""=설정!$C$5&amp;""),1,0))</f>
        <v>1</v>
      </c>
      <c r="AD167" s="89" t="n">
        <f aca="false">IF(Q167&lt;&gt;1,0,IF(OR(S167=1,IF(AB167="",FALSE(),INDEX(시장분석!$R:$R,AB167)=1)),1,0))</f>
        <v>0</v>
      </c>
      <c r="AE167" s="43" t="str">
        <f aca="false">IF(AB167="","",INDEX(시장분석!$A:$A,AB167))</f>
        <v>HSBC 3.973 05/22/30</v>
      </c>
      <c r="AF167" s="93" t="n">
        <f aca="false">IF(AB167="","",IF(ISNUMBER(IF(AB167="","",INDEX(시장분석!$E:$E,AB167))),IF(AB167="","",INDEX(시장분석!$E:$E,AB167)),""))</f>
        <v>71.253</v>
      </c>
      <c r="AG167" s="43" t="str">
        <f aca="false">IF(Q167&lt;&gt;1,"",IF(AB167&lt;&gt;"",IF(AB167="","",INDEX(시장분석!$L:$L,AB167)),IFERROR(IF(VLOOKUP(R167,매핑!$A$4:$E$92,5,0)="","미분류",VLOOKUP(R167,매핑!$A$4:$E$92,5,0)),"미분류")))</f>
        <v>금융기관</v>
      </c>
      <c r="AH167" s="43" t="str">
        <f aca="false">IF(Q167&lt;&gt;1,"",IF(AB167&lt;&gt;"",IF(AB167="","",INDEX(시장분석!$N:$N,AB167)),IFERROR(IF(VLOOKUP(R167,매핑!$A$4:$E$92,4,0)="","미분류",VLOOKUP(R167,매핑!$A$4:$E$92,4,0)),"미분류")))</f>
        <v>유럽</v>
      </c>
      <c r="AI167" s="43" t="str">
        <f aca="false">IF(Q167&lt;&gt;1,"",IFERROR(IF(VLOOKUP(R167,매핑!$A$4:$E$92,3,0)="","미분류",VLOOKUP(R167,매핑!$A$4:$E$92,3,0)),IF(AB167&lt;&gt;"",IF(AB167="","",INDEX(시장분석!$W:$W,AB167)),"미분류")))</f>
        <v>영국</v>
      </c>
      <c r="AJ167" s="43" t="str">
        <f aca="false">IF(Q167&lt;&gt;1,"",IFERROR(VLOOKUP(IF(N167&lt;&gt;"",N167,IF(P167&lt;&gt;"",P167,O167)),설정!$A$15:$D$47,2,0),""))</f>
        <v>A-</v>
      </c>
      <c r="AK167" s="43" t="str">
        <f aca="false">IF(Q167&lt;&gt;1,"",IF(AJ167="","무등급",IFERROR(VLOOKUP(AJ167,설정!$A$15:$D$47,3,0),"무등급")))</f>
        <v>A</v>
      </c>
      <c r="AL167" s="89" t="n">
        <f aca="false">IF(AJ167="",99,IFERROR(VLOOKUP(AJ167,설정!$A$15:$D$47,4,0),99))</f>
        <v>7</v>
      </c>
      <c r="AM167" s="94" t="n">
        <f aca="false">IF(ISNUMBER(H167),AA167*1000000*H167/10000,0)</f>
        <v>1149.5258913</v>
      </c>
      <c r="AN167" s="94" t="n">
        <f aca="false">IF(OR(Y167=1,NOT(ISNUMBER(Z167))),0,AA167*1000000*Z167/10000)</f>
        <v>1149.5258913</v>
      </c>
      <c r="AO167" s="94" t="n">
        <f aca="false">IF(ISNUMBER(G167),AA167*1000000*G167/100,0)</f>
        <v>266000.01341</v>
      </c>
      <c r="AP167" s="94" t="n">
        <f aca="false">IF(ISNUMBER(M167),M167*K167,0)</f>
        <v>-158205</v>
      </c>
      <c r="AQ167" s="95" t="n">
        <f aca="false">IF(AB167="","",INDEX(시장분석!$AK:$AK,AB167))</f>
        <v>-0.00344592766448976</v>
      </c>
      <c r="AR167" s="43" t="str">
        <f aca="false">IF(AB167="","-",IF(AB167="","",INDEX(시장분석!$AL:$AL,AB167)))</f>
        <v>Fair</v>
      </c>
      <c r="AS167" s="96" t="n">
        <f aca="false">IF(AB167="","",INDEX(시장분석!$AJ:$AJ,AB167))</f>
        <v>-0.0378648218080713</v>
      </c>
      <c r="AT167" s="93" t="n">
        <f aca="false">IF(AB167="",0,IF(AB167="","",INDEX(시장분석!$AN:$AN,AB167)))</f>
        <v>15.6880309586264</v>
      </c>
      <c r="AU167" s="94" t="n">
        <f aca="false">IF(ISNUMBER(Z167),AT167/10000*MAX(Z167-1,0)*AA167*1000000,0)</f>
        <v>10518.7759883772</v>
      </c>
      <c r="AV167" s="94" t="n">
        <f aca="false">AO167+AU167</f>
        <v>276518.789398377</v>
      </c>
      <c r="AW167" s="43" t="str">
        <f aca="false">IF(Q167&lt;&gt;1,"",TRIM(IF(AD167=1,"FRN ","")&amp;IF(AND(AL167&gt;=10,AL167&lt;99),"BBB0미만 ","")&amp;IF(AJ167="","등급없음 ","")&amp;IF(K167&lt;&gt;1,"비USD ","")&amp;IF(AND(AB167="",Y167=0),"시장데이터없음 ","")&amp;IF(AND(ISNUMBER(U167),U167&lt;0),"만기경과 ","")))</f>
        <v/>
      </c>
      <c r="AX167" s="90" t="n">
        <f aca="false">IF(Q167&lt;&gt;1,1,IF(스프레드쇼크!$C$4="Y",INDEX(스프레드쇼크!$B$12:$L$16,IFERROR(MATCH(AH167,스프레드쇼크!$A$12:$A$16,0),MATCH("목록외",스프레드쇼크!$A$12:$A$16,0)),IFERROR(MATCH(AG167,스프레드쇼크!$B$11:$L$11,0),MATCH("목록외",스프레드쇼크!$B$11:$L$11,0))),1))</f>
        <v>1</v>
      </c>
      <c r="AY167" s="90" t="n">
        <f aca="false">IF(스프레드쇼크!$C$5="Y",IF(ISNUMBER(AF167),MIN(스프레드쇼크!$C$7,MAX(스프레드쇼크!$C$6,AF167/스프레드쇼크!$C$8)),1),1)</f>
        <v>1.0777292773373</v>
      </c>
      <c r="AZ167" s="94" t="n">
        <f aca="false">AN167*AX167*AY167</f>
        <v>1238.87770811127</v>
      </c>
      <c r="BA167" s="90" t="n">
        <f aca="false">IF(ISNUMBER(G167),AA167*G167,0)</f>
        <v>26.600001341</v>
      </c>
      <c r="BB167" s="90" t="n">
        <f aca="false">IF(ISNUMBER(G167),AA167,0)</f>
        <v>4.79029</v>
      </c>
      <c r="BC167" s="90" t="n">
        <f aca="false">IF(AND(Y167=0,ISNUMBER(AF167)),AA167*AF167,0)</f>
        <v>341.32253337</v>
      </c>
      <c r="BD167" s="90" t="n">
        <f aca="false">IF(AND(Y167=0,ISNUMBER(AF167)),AA167,0)</f>
        <v>4.79029</v>
      </c>
      <c r="BE167" s="90" t="n">
        <f aca="false">IF(ISNUMBER(H167),AA167*H167,0)</f>
        <v>11.495258913</v>
      </c>
      <c r="BF167" s="90" t="n">
        <f aca="false">IF(ISNUMBER(H167),AA167,0)</f>
        <v>4.79029</v>
      </c>
      <c r="BG167" s="90" t="n">
        <f aca="false">IF(AND(Y167=0,ISNUMBER(AF167),ISNUMBER(Z167)),AA167*Z167,0)</f>
        <v>11.495258913</v>
      </c>
      <c r="BH167" s="90" t="n">
        <f aca="false">IF(AND(Y167=0,ISNUMBER(AF167),ISNUMBER(Z167)),AA167*AT167*MAX(Z167-1,0),0)</f>
        <v>105.187759883772</v>
      </c>
      <c r="BI167" s="90" t="n">
        <f aca="false">IF(Y167=0,AA167,0)</f>
        <v>4.79029</v>
      </c>
    </row>
    <row r="168" customFormat="false" ht="15" hidden="false" customHeight="false" outlineLevel="0" collapsed="false">
      <c r="A168" s="83" t="str">
        <f aca="false">IFERROR(IF(INDEX(원자료_잔고!$A$1:$EZ$1500,설정!$L$5+ROW()-1,설정!$L$8)&amp;""="0","",INDEX(원자료_잔고!$A$1:$EZ$1500,설정!$L$5+ROW()-1,설정!$L$8)&amp;""),"")</f>
        <v>HSBC 4.95 03/31/30</v>
      </c>
      <c r="B168" s="83" t="str">
        <f aca="false">IFERROR(IF(INDEX(원자료_잔고!$A$1:$EZ$1500,설정!$L$5+ROW()-1,설정!$L$7)&amp;""="0","",INDEX(원자료_잔고!$A$1:$EZ$1500,설정!$L$5+ROW()-1,설정!$L$7)&amp;""),"")</f>
        <v>US404280CF48</v>
      </c>
      <c r="C168" s="83" t="str">
        <f aca="false">IFERROR(IF(INDEX(원자료_잔고!$A$1:$EZ$1500,설정!$L$5+ROW()-1,설정!$L$9)&amp;""="0","",INDEX(원자료_잔고!$A$1:$EZ$1500,설정!$L$5+ROW()-1,설정!$L$9)&amp;""),"")</f>
        <v>34578</v>
      </c>
      <c r="D16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8" s="84" t="n">
        <f aca="false">IFERROR(IF(ISNUMBER(INDEX(원자료_잔고!$A$1:$EZ$1500,설정!$L$5+ROW()-1,설정!$L$11)),INDEX(원자료_잔고!$A$1:$EZ$1500,설정!$L$5+ROW()-1,설정!$L$11),""),"")</f>
        <v>5000000</v>
      </c>
      <c r="F168" s="85" t="n">
        <f aca="false">IFERROR(IF(ISNUMBER(INDEX(원자료_잔고!$A$1:$EZ$1500,설정!$L$5+ROW()-1,설정!$L$12)),INDEX(원자료_잔고!$A$1:$EZ$1500,설정!$L$5+ROW()-1,설정!$L$12),""),"")</f>
        <v>98.0794</v>
      </c>
      <c r="G168" s="85" t="n">
        <f aca="false">IFERROR(IF(ISNUMBER(INDEX(원자료_잔고!$A$1:$EZ$1500,설정!$L$5+ROW()-1,설정!$L$13)),INDEX(원자료_잔고!$A$1:$EZ$1500,설정!$L$5+ROW()-1,설정!$L$13),""),"")</f>
        <v>5.5614</v>
      </c>
      <c r="H168" s="85" t="n">
        <f aca="false">IFERROR(IF(ISNUMBER(INDEX(원자료_잔고!$A$1:$EZ$1500,설정!$L$5+ROW()-1,설정!$L$14)),INDEX(원자료_잔고!$A$1:$EZ$1500,설정!$L$5+ROW()-1,설정!$L$14),""),"")</f>
        <v>3.1361</v>
      </c>
      <c r="I168" s="86" t="n">
        <f aca="false">IFERROR(IF(ISNUMBER(INDEX(원자료_잔고!$A$1:$EZ$1500,설정!$L$5+ROW()-1,설정!$L$15)),INDEX(원자료_잔고!$A$1:$EZ$1500,설정!$L$5+ROW()-1,설정!$L$15),""),"")</f>
        <v>47573</v>
      </c>
      <c r="J168" s="85" t="n">
        <f aca="false">IFERROR(IF(ISNUMBER(INDEX(원자료_잔고!$A$1:$EZ$1500,설정!$L$5+ROW()-1,설정!$L$16)),INDEX(원자료_잔고!$A$1:$EZ$1500,설정!$L$5+ROW()-1,설정!$L$16),""),"")</f>
        <v>4.95</v>
      </c>
      <c r="K168" s="87" t="n">
        <f aca="false">IFERROR(IF(ISNUMBER(INDEX(원자료_잔고!$A$1:$EZ$1500,설정!$L$5+ROW()-1,설정!$L$17)),INDEX(원자료_잔고!$A$1:$EZ$1500,설정!$L$5+ROW()-1,설정!$L$17),""),"")</f>
        <v>1</v>
      </c>
      <c r="L168" s="84" t="n">
        <f aca="false">IFERROR(IF(ISNUMBER(INDEX(원자료_잔고!$A$1:$EZ$1500,설정!$L$5+ROW()-1,설정!$L$18)),INDEX(원자료_잔고!$A$1:$EZ$1500,설정!$L$5+ROW()-1,설정!$L$18),""),"")</f>
        <v>4903970</v>
      </c>
      <c r="M168" s="88" t="n">
        <f aca="false">IFERROR(IF(ISNUMBER(INDEX(원자료_잔고!$A$1:$EZ$1500,설정!$L$5+ROW()-1,설정!$L$19)),INDEX(원자료_잔고!$A$1:$EZ$1500,설정!$L$5+ROW()-1,설정!$L$19),""),"")</f>
        <v>-232080</v>
      </c>
      <c r="N168" s="83" t="str">
        <f aca="false">IFERROR(IF(INDEX(원자료_잔고!$A$1:$EZ$1500,설정!$L$5+ROW()-1,설정!$L$21)&amp;""="0","",INDEX(원자료_잔고!$A$1:$EZ$1500,설정!$L$5+ROW()-1,설정!$L$21)&amp;""),"")</f>
        <v>A-</v>
      </c>
      <c r="O168" s="83" t="str">
        <f aca="false">IFERROR(IF(INDEX(원자료_잔고!$A$1:$EZ$1500,설정!$L$5+ROW()-1,설정!$L$22)&amp;""="0","",INDEX(원자료_잔고!$A$1:$EZ$1500,설정!$L$5+ROW()-1,설정!$L$22)&amp;""),"")</f>
        <v/>
      </c>
      <c r="P168" s="83" t="str">
        <f aca="false">IFERROR(IF(INDEX(원자료_잔고!$A$1:$EZ$1500,설정!$L$5+ROW()-1,설정!$L$23)&amp;""="0","",INDEX(원자료_잔고!$A$1:$EZ$1500,설정!$L$5+ROW()-1,설정!$L$23)&amp;""),"")</f>
        <v>A+</v>
      </c>
      <c r="Q168" s="89" t="n">
        <f aca="false">IF(AND($A168&lt;&gt;"",ISNUMBER(E168)),IF(E168&gt;0,1,0),0)</f>
        <v>1</v>
      </c>
      <c r="R168" s="43" t="str">
        <f aca="false">IF(Q168=1,UPPER(LEFT($A168,FIND(" ",$A168&amp;" ")-1)),"")</f>
        <v>HSBC</v>
      </c>
      <c r="S168" s="89" t="n">
        <f aca="false">IF(Q168=1,IF(OR(ISNUMBER(SEARCH("Float",$A168)),ISNUMBER(SEARCH("FRN",$A168))),1,0),0)</f>
        <v>0</v>
      </c>
      <c r="T168" s="43" t="str">
        <f aca="false">IF(AND(Q168=1,ISNUMBER(I168)),TEXT(I168,"yyyymmdd")&amp;"|"&amp;IF(S168=1,"F",TEXT(J168,"0.000")),"")</f>
        <v>20300331|4.950</v>
      </c>
      <c r="U168" s="90" t="n">
        <f aca="false">IF(AND(Q168=1,ISNUMBER(I168)),(I168-설정!$C$4)/365.25,"")</f>
        <v>3.49623545516769</v>
      </c>
      <c r="V168" s="43" t="str">
        <f aca="false">IF(Q168&lt;&gt;1,"",IF(ISNUMBER(U168),IF(U168&lt;=1,"1년 이하",IF(U168&lt;=2,"1-2년",IF(U168&lt;=3,"2-3년",IF(U168&lt;=4,"3-4년",IF(U168&lt;=5,"4-5년",IF(U168&lt;=7,"5-7년",IF(U168&lt;=10,"7-10년",IF(U168&lt;=20,"10-20년","20년 이상")))))))),"미분류"))</f>
        <v>3-4년</v>
      </c>
      <c r="W168" s="43" t="str">
        <f aca="false">IF(Q168&lt;&gt;1,"",IF(AB168&lt;&gt;"",INDEX(시장분석!$C:$C,AB168),IF(K168=1,"USD","비USD")))</f>
        <v>USD</v>
      </c>
      <c r="X168" s="91" t="n">
        <f aca="false">IF(Q168=1,E168*K168/1000000,0)</f>
        <v>5</v>
      </c>
      <c r="Y168" s="89" t="n">
        <f aca="false">IF(R168="T",1,0)</f>
        <v>0</v>
      </c>
      <c r="Z168" s="92" t="n">
        <f aca="false">IF(Q168&lt;&gt;1,"",IF(AD168=1,IF(ISNUMBER(U168),MAX(U168,0),H168),H168))</f>
        <v>3.1361</v>
      </c>
      <c r="AA168" s="91" t="n">
        <f aca="false">IF(Q168=1,IF(ISNUMBER(L168),L168,0)*K168/1000000,0)</f>
        <v>4.90397</v>
      </c>
      <c r="AB168" s="89" t="n">
        <f aca="false">IF(Q168&lt;&gt;1,"",IFERROR(MATCH(VLOOKUP(B168,매핑!$H$4:$I$15,2,0),시장분석!$A$2:$A$601,0)+1,IFERROR(MATCH(R168&amp;"|"&amp;T168,시장분석!$V$2:$V$601,0)+1,IF(COUNTIF(시장분석!$U$2:$U$601,T168)=1,MATCH(T168,시장분석!$U$2:$U$601,0)+1,""))))</f>
        <v>48</v>
      </c>
      <c r="AC168" s="89" t="n">
        <f aca="false">IF(Q168&lt;&gt;1,0,IF(OR(설정!$C$5="전체",AND(설정!$C$5="선택펀드",IFERROR(COUNTIFS(설정!$F$16:$F$36,C168,설정!$G$16:$G$36,"Y")+COUNTIFS(설정!$F$16:$F$36,VALUE(C168),설정!$G$16:$G$36,"Y"),0)&gt;0),C168&amp;""=설정!$C$5&amp;""),1,0))</f>
        <v>1</v>
      </c>
      <c r="AD168" s="89" t="n">
        <f aca="false">IF(Q168&lt;&gt;1,0,IF(OR(S168=1,IF(AB168="",FALSE(),INDEX(시장분석!$R:$R,AB168)=1)),1,0))</f>
        <v>0</v>
      </c>
      <c r="AE168" s="43" t="str">
        <f aca="false">IF(AB168="","",INDEX(시장분석!$A:$A,AB168))</f>
        <v>HSBC 4.95 03/31/30</v>
      </c>
      <c r="AF168" s="93" t="n">
        <f aca="false">IF(AB168="","",IF(ISNUMBER(IF(AB168="","",INDEX(시장분석!$E:$E,AB168))),IF(AB168="","",INDEX(시장분석!$E:$E,AB168)),""))</f>
        <v>48.492</v>
      </c>
      <c r="AG168" s="43" t="str">
        <f aca="false">IF(Q168&lt;&gt;1,"",IF(AB168&lt;&gt;"",IF(AB168="","",INDEX(시장분석!$L:$L,AB168)),IFERROR(IF(VLOOKUP(R168,매핑!$A$4:$E$92,5,0)="","미분류",VLOOKUP(R168,매핑!$A$4:$E$92,5,0)),"미분류")))</f>
        <v>금융기관</v>
      </c>
      <c r="AH168" s="43" t="str">
        <f aca="false">IF(Q168&lt;&gt;1,"",IF(AB168&lt;&gt;"",IF(AB168="","",INDEX(시장분석!$N:$N,AB168)),IFERROR(IF(VLOOKUP(R168,매핑!$A$4:$E$92,4,0)="","미분류",VLOOKUP(R168,매핑!$A$4:$E$92,4,0)),"미분류")))</f>
        <v>유럽</v>
      </c>
      <c r="AI168" s="43" t="str">
        <f aca="false">IF(Q168&lt;&gt;1,"",IFERROR(IF(VLOOKUP(R168,매핑!$A$4:$E$92,3,0)="","미분류",VLOOKUP(R168,매핑!$A$4:$E$92,3,0)),IF(AB168&lt;&gt;"",IF(AB168="","",INDEX(시장분석!$W:$W,AB168)),"미분류")))</f>
        <v>영국</v>
      </c>
      <c r="AJ168" s="43" t="str">
        <f aca="false">IF(Q168&lt;&gt;1,"",IFERROR(VLOOKUP(IF(N168&lt;&gt;"",N168,IF(P168&lt;&gt;"",P168,O168)),설정!$A$15:$D$47,2,0),""))</f>
        <v>A-</v>
      </c>
      <c r="AK168" s="43" t="str">
        <f aca="false">IF(Q168&lt;&gt;1,"",IF(AJ168="","무등급",IFERROR(VLOOKUP(AJ168,설정!$A$15:$D$47,3,0),"무등급")))</f>
        <v>A</v>
      </c>
      <c r="AL168" s="89" t="n">
        <f aca="false">IF(AJ168="",99,IFERROR(VLOOKUP(AJ168,설정!$A$15:$D$47,4,0),99))</f>
        <v>7</v>
      </c>
      <c r="AM168" s="94" t="n">
        <f aca="false">IF(ISNUMBER(H168),AA168*1000000*H168/10000,0)</f>
        <v>1537.9340317</v>
      </c>
      <c r="AN168" s="94" t="n">
        <f aca="false">IF(OR(Y168=1,NOT(ISNUMBER(Z168))),0,AA168*1000000*Z168/10000)</f>
        <v>1537.9340317</v>
      </c>
      <c r="AO168" s="94" t="n">
        <f aca="false">IF(ISNUMBER(G168),AA168*1000000*G168/100,0)</f>
        <v>272729.38758</v>
      </c>
      <c r="AP168" s="94" t="n">
        <f aca="false">IF(ISNUMBER(M168),M168*K168,0)</f>
        <v>-232080</v>
      </c>
      <c r="AQ168" s="95" t="n">
        <f aca="false">IF(AB168="","",INDEX(시장분석!$AK:$AK,AB168))</f>
        <v>-2.81226061394171</v>
      </c>
      <c r="AR168" s="43" t="str">
        <f aca="false">IF(AB168="","-",IF(AB168="","",INDEX(시장분석!$AL:$AL,AB168)))</f>
        <v>Rich</v>
      </c>
      <c r="AS168" s="96" t="n">
        <f aca="false">IF(AB168="","",INDEX(시장분석!$AJ:$AJ,AB168))</f>
        <v>-30.9019101364472</v>
      </c>
      <c r="AT168" s="93" t="n">
        <f aca="false">IF(AB168="",0,IF(AB168="","",INDEX(시장분석!$AN:$AN,AB168)))</f>
        <v>11.2544458762442</v>
      </c>
      <c r="AU168" s="94" t="n">
        <f aca="false">IF(ISNUMBER(Z168),AT168/10000*MAX(Z168-1,0)*AA168*1000000,0)</f>
        <v>11789.4488266292</v>
      </c>
      <c r="AV168" s="94" t="n">
        <f aca="false">AO168+AU168</f>
        <v>284518.836406629</v>
      </c>
      <c r="AW168" s="43" t="str">
        <f aca="false">IF(Q168&lt;&gt;1,"",TRIM(IF(AD168=1,"FRN ","")&amp;IF(AND(AL168&gt;=10,AL168&lt;99),"BBB0미만 ","")&amp;IF(AJ168="","등급없음 ","")&amp;IF(K168&lt;&gt;1,"비USD ","")&amp;IF(AND(AB168="",Y168=0),"시장데이터없음 ","")&amp;IF(AND(ISNUMBER(U168),U168&lt;0),"만기경과 ","")))</f>
        <v/>
      </c>
      <c r="AX168" s="90" t="n">
        <f aca="false">IF(Q168&lt;&gt;1,1,IF(스프레드쇼크!$C$4="Y",INDEX(스프레드쇼크!$B$12:$L$16,IFERROR(MATCH(AH168,스프레드쇼크!$A$12:$A$16,0),MATCH("목록외",스프레드쇼크!$A$12:$A$16,0)),IFERROR(MATCH(AG168,스프레드쇼크!$B$11:$L$11,0),MATCH("목록외",스프레드쇼크!$B$11:$L$11,0))),1))</f>
        <v>1</v>
      </c>
      <c r="AY168" s="90" t="n">
        <f aca="false">IF(스프레드쇼크!$C$5="Y",IF(ISNUMBER(AF168),MIN(스프레드쇼크!$C$7,MAX(스프레드쇼크!$C$6,AF168/스프레드쇼크!$C$8)),1),1)</f>
        <v>0.733460319097307</v>
      </c>
      <c r="AZ168" s="94" t="n">
        <f aca="false">AN168*AX168*AY168</f>
        <v>1128.01358564129</v>
      </c>
      <c r="BA168" s="90" t="n">
        <f aca="false">IF(ISNUMBER(G168),AA168*G168,0)</f>
        <v>27.272938758</v>
      </c>
      <c r="BB168" s="90" t="n">
        <f aca="false">IF(ISNUMBER(G168),AA168,0)</f>
        <v>4.90397</v>
      </c>
      <c r="BC168" s="90" t="n">
        <f aca="false">IF(AND(Y168=0,ISNUMBER(AF168)),AA168*AF168,0)</f>
        <v>237.80331324</v>
      </c>
      <c r="BD168" s="90" t="n">
        <f aca="false">IF(AND(Y168=0,ISNUMBER(AF168)),AA168,0)</f>
        <v>4.90397</v>
      </c>
      <c r="BE168" s="90" t="n">
        <f aca="false">IF(ISNUMBER(H168),AA168*H168,0)</f>
        <v>15.379340317</v>
      </c>
      <c r="BF168" s="90" t="n">
        <f aca="false">IF(ISNUMBER(H168),AA168,0)</f>
        <v>4.90397</v>
      </c>
      <c r="BG168" s="90" t="n">
        <f aca="false">IF(AND(Y168=0,ISNUMBER(AF168),ISNUMBER(Z168)),AA168*Z168,0)</f>
        <v>15.379340317</v>
      </c>
      <c r="BH168" s="90" t="n">
        <f aca="false">IF(AND(Y168=0,ISNUMBER(AF168),ISNUMBER(Z168)),AA168*AT168*MAX(Z168-1,0),0)</f>
        <v>117.894488266292</v>
      </c>
      <c r="BI168" s="90" t="n">
        <f aca="false">IF(Y168=0,AA168,0)</f>
        <v>4.90397</v>
      </c>
    </row>
    <row r="169" customFormat="false" ht="15" hidden="false" customHeight="false" outlineLevel="0" collapsed="false">
      <c r="A169" s="83" t="str">
        <f aca="false">IFERROR(IF(INDEX(원자료_잔고!$A$1:$EZ$1500,설정!$L$5+ROW()-1,설정!$L$8)&amp;""="0","",INDEX(원자료_잔고!$A$1:$EZ$1500,설정!$L$5+ROW()-1,설정!$L$8)&amp;""),"")</f>
        <v>HSBC 4.95 03/31/30</v>
      </c>
      <c r="B169" s="83" t="str">
        <f aca="false">IFERROR(IF(INDEX(원자료_잔고!$A$1:$EZ$1500,설정!$L$5+ROW()-1,설정!$L$7)&amp;""="0","",INDEX(원자료_잔고!$A$1:$EZ$1500,설정!$L$5+ROW()-1,설정!$L$7)&amp;""),"")</f>
        <v>US404280CF48</v>
      </c>
      <c r="C169" s="83" t="str">
        <f aca="false">IFERROR(IF(INDEX(원자료_잔고!$A$1:$EZ$1500,설정!$L$5+ROW()-1,설정!$L$9)&amp;""="0","",INDEX(원자료_잔고!$A$1:$EZ$1500,설정!$L$5+ROW()-1,설정!$L$9)&amp;""),"")</f>
        <v>34578</v>
      </c>
      <c r="D16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69" s="84" t="n">
        <f aca="false">IFERROR(IF(ISNUMBER(INDEX(원자료_잔고!$A$1:$EZ$1500,설정!$L$5+ROW()-1,설정!$L$11)),INDEX(원자료_잔고!$A$1:$EZ$1500,설정!$L$5+ROW()-1,설정!$L$11),""),"")</f>
        <v>5000000</v>
      </c>
      <c r="F169" s="85" t="n">
        <f aca="false">IFERROR(IF(ISNUMBER(INDEX(원자료_잔고!$A$1:$EZ$1500,설정!$L$5+ROW()-1,설정!$L$12)),INDEX(원자료_잔고!$A$1:$EZ$1500,설정!$L$5+ROW()-1,설정!$L$12),""),"")</f>
        <v>98.0794</v>
      </c>
      <c r="G169" s="85" t="n">
        <f aca="false">IFERROR(IF(ISNUMBER(INDEX(원자료_잔고!$A$1:$EZ$1500,설정!$L$5+ROW()-1,설정!$L$13)),INDEX(원자료_잔고!$A$1:$EZ$1500,설정!$L$5+ROW()-1,설정!$L$13),""),"")</f>
        <v>5.5614</v>
      </c>
      <c r="H169" s="85" t="n">
        <f aca="false">IFERROR(IF(ISNUMBER(INDEX(원자료_잔고!$A$1:$EZ$1500,설정!$L$5+ROW()-1,설정!$L$14)),INDEX(원자료_잔고!$A$1:$EZ$1500,설정!$L$5+ROW()-1,설정!$L$14),""),"")</f>
        <v>3.1361</v>
      </c>
      <c r="I169" s="86" t="n">
        <f aca="false">IFERROR(IF(ISNUMBER(INDEX(원자료_잔고!$A$1:$EZ$1500,설정!$L$5+ROW()-1,설정!$L$15)),INDEX(원자료_잔고!$A$1:$EZ$1500,설정!$L$5+ROW()-1,설정!$L$15),""),"")</f>
        <v>47573</v>
      </c>
      <c r="J169" s="85" t="n">
        <f aca="false">IFERROR(IF(ISNUMBER(INDEX(원자료_잔고!$A$1:$EZ$1500,설정!$L$5+ROW()-1,설정!$L$16)),INDEX(원자료_잔고!$A$1:$EZ$1500,설정!$L$5+ROW()-1,설정!$L$16),""),"")</f>
        <v>4.95</v>
      </c>
      <c r="K169" s="87" t="n">
        <f aca="false">IFERROR(IF(ISNUMBER(INDEX(원자료_잔고!$A$1:$EZ$1500,설정!$L$5+ROW()-1,설정!$L$17)),INDEX(원자료_잔고!$A$1:$EZ$1500,설정!$L$5+ROW()-1,설정!$L$17),""),"")</f>
        <v>1</v>
      </c>
      <c r="L169" s="84" t="n">
        <f aca="false">IFERROR(IF(ISNUMBER(INDEX(원자료_잔고!$A$1:$EZ$1500,설정!$L$5+ROW()-1,설정!$L$18)),INDEX(원자료_잔고!$A$1:$EZ$1500,설정!$L$5+ROW()-1,설정!$L$18),""),"")</f>
        <v>4903970</v>
      </c>
      <c r="M169" s="88" t="n">
        <f aca="false">IFERROR(IF(ISNUMBER(INDEX(원자료_잔고!$A$1:$EZ$1500,설정!$L$5+ROW()-1,설정!$L$19)),INDEX(원자료_잔고!$A$1:$EZ$1500,설정!$L$5+ROW()-1,설정!$L$19),""),"")</f>
        <v>-115330</v>
      </c>
      <c r="N169" s="83" t="str">
        <f aca="false">IFERROR(IF(INDEX(원자료_잔고!$A$1:$EZ$1500,설정!$L$5+ROW()-1,설정!$L$21)&amp;""="0","",INDEX(원자료_잔고!$A$1:$EZ$1500,설정!$L$5+ROW()-1,설정!$L$21)&amp;""),"")</f>
        <v>A-</v>
      </c>
      <c r="O169" s="83" t="str">
        <f aca="false">IFERROR(IF(INDEX(원자료_잔고!$A$1:$EZ$1500,설정!$L$5+ROW()-1,설정!$L$22)&amp;""="0","",INDEX(원자료_잔고!$A$1:$EZ$1500,설정!$L$5+ROW()-1,설정!$L$22)&amp;""),"")</f>
        <v/>
      </c>
      <c r="P169" s="83" t="str">
        <f aca="false">IFERROR(IF(INDEX(원자료_잔고!$A$1:$EZ$1500,설정!$L$5+ROW()-1,설정!$L$23)&amp;""="0","",INDEX(원자료_잔고!$A$1:$EZ$1500,설정!$L$5+ROW()-1,설정!$L$23)&amp;""),"")</f>
        <v>A+</v>
      </c>
      <c r="Q169" s="89" t="n">
        <f aca="false">IF(AND($A169&lt;&gt;"",ISNUMBER(E169)),IF(E169&gt;0,1,0),0)</f>
        <v>1</v>
      </c>
      <c r="R169" s="43" t="str">
        <f aca="false">IF(Q169=1,UPPER(LEFT($A169,FIND(" ",$A169&amp;" ")-1)),"")</f>
        <v>HSBC</v>
      </c>
      <c r="S169" s="89" t="n">
        <f aca="false">IF(Q169=1,IF(OR(ISNUMBER(SEARCH("Float",$A169)),ISNUMBER(SEARCH("FRN",$A169))),1,0),0)</f>
        <v>0</v>
      </c>
      <c r="T169" s="43" t="str">
        <f aca="false">IF(AND(Q169=1,ISNUMBER(I169)),TEXT(I169,"yyyymmdd")&amp;"|"&amp;IF(S169=1,"F",TEXT(J169,"0.000")),"")</f>
        <v>20300331|4.950</v>
      </c>
      <c r="U169" s="90" t="n">
        <f aca="false">IF(AND(Q169=1,ISNUMBER(I169)),(I169-설정!$C$4)/365.25,"")</f>
        <v>3.49623545516769</v>
      </c>
      <c r="V169" s="43" t="str">
        <f aca="false">IF(Q169&lt;&gt;1,"",IF(ISNUMBER(U169),IF(U169&lt;=1,"1년 이하",IF(U169&lt;=2,"1-2년",IF(U169&lt;=3,"2-3년",IF(U169&lt;=4,"3-4년",IF(U169&lt;=5,"4-5년",IF(U169&lt;=7,"5-7년",IF(U169&lt;=10,"7-10년",IF(U169&lt;=20,"10-20년","20년 이상")))))))),"미분류"))</f>
        <v>3-4년</v>
      </c>
      <c r="W169" s="43" t="str">
        <f aca="false">IF(Q169&lt;&gt;1,"",IF(AB169&lt;&gt;"",INDEX(시장분석!$C:$C,AB169),IF(K169=1,"USD","비USD")))</f>
        <v>USD</v>
      </c>
      <c r="X169" s="91" t="n">
        <f aca="false">IF(Q169=1,E169*K169/1000000,0)</f>
        <v>5</v>
      </c>
      <c r="Y169" s="89" t="n">
        <f aca="false">IF(R169="T",1,0)</f>
        <v>0</v>
      </c>
      <c r="Z169" s="92" t="n">
        <f aca="false">IF(Q169&lt;&gt;1,"",IF(AD169=1,IF(ISNUMBER(U169),MAX(U169,0),H169),H169))</f>
        <v>3.1361</v>
      </c>
      <c r="AA169" s="91" t="n">
        <f aca="false">IF(Q169=1,IF(ISNUMBER(L169),L169,0)*K169/1000000,0)</f>
        <v>4.90397</v>
      </c>
      <c r="AB169" s="89" t="n">
        <f aca="false">IF(Q169&lt;&gt;1,"",IFERROR(MATCH(VLOOKUP(B169,매핑!$H$4:$I$15,2,0),시장분석!$A$2:$A$601,0)+1,IFERROR(MATCH(R169&amp;"|"&amp;T169,시장분석!$V$2:$V$601,0)+1,IF(COUNTIF(시장분석!$U$2:$U$601,T169)=1,MATCH(T169,시장분석!$U$2:$U$601,0)+1,""))))</f>
        <v>48</v>
      </c>
      <c r="AC169" s="89" t="n">
        <f aca="false">IF(Q169&lt;&gt;1,0,IF(OR(설정!$C$5="전체",AND(설정!$C$5="선택펀드",IFERROR(COUNTIFS(설정!$F$16:$F$36,C169,설정!$G$16:$G$36,"Y")+COUNTIFS(설정!$F$16:$F$36,VALUE(C169),설정!$G$16:$G$36,"Y"),0)&gt;0),C169&amp;""=설정!$C$5&amp;""),1,0))</f>
        <v>1</v>
      </c>
      <c r="AD169" s="89" t="n">
        <f aca="false">IF(Q169&lt;&gt;1,0,IF(OR(S169=1,IF(AB169="",FALSE(),INDEX(시장분석!$R:$R,AB169)=1)),1,0))</f>
        <v>0</v>
      </c>
      <c r="AE169" s="43" t="str">
        <f aca="false">IF(AB169="","",INDEX(시장분석!$A:$A,AB169))</f>
        <v>HSBC 4.95 03/31/30</v>
      </c>
      <c r="AF169" s="93" t="n">
        <f aca="false">IF(AB169="","",IF(ISNUMBER(IF(AB169="","",INDEX(시장분석!$E:$E,AB169))),IF(AB169="","",INDEX(시장분석!$E:$E,AB169)),""))</f>
        <v>48.492</v>
      </c>
      <c r="AG169" s="43" t="str">
        <f aca="false">IF(Q169&lt;&gt;1,"",IF(AB169&lt;&gt;"",IF(AB169="","",INDEX(시장분석!$L:$L,AB169)),IFERROR(IF(VLOOKUP(R169,매핑!$A$4:$E$92,5,0)="","미분류",VLOOKUP(R169,매핑!$A$4:$E$92,5,0)),"미분류")))</f>
        <v>금융기관</v>
      </c>
      <c r="AH169" s="43" t="str">
        <f aca="false">IF(Q169&lt;&gt;1,"",IF(AB169&lt;&gt;"",IF(AB169="","",INDEX(시장분석!$N:$N,AB169)),IFERROR(IF(VLOOKUP(R169,매핑!$A$4:$E$92,4,0)="","미분류",VLOOKUP(R169,매핑!$A$4:$E$92,4,0)),"미분류")))</f>
        <v>유럽</v>
      </c>
      <c r="AI169" s="43" t="str">
        <f aca="false">IF(Q169&lt;&gt;1,"",IFERROR(IF(VLOOKUP(R169,매핑!$A$4:$E$92,3,0)="","미분류",VLOOKUP(R169,매핑!$A$4:$E$92,3,0)),IF(AB169&lt;&gt;"",IF(AB169="","",INDEX(시장분석!$W:$W,AB169)),"미분류")))</f>
        <v>영국</v>
      </c>
      <c r="AJ169" s="43" t="str">
        <f aca="false">IF(Q169&lt;&gt;1,"",IFERROR(VLOOKUP(IF(N169&lt;&gt;"",N169,IF(P169&lt;&gt;"",P169,O169)),설정!$A$15:$D$47,2,0),""))</f>
        <v>A-</v>
      </c>
      <c r="AK169" s="43" t="str">
        <f aca="false">IF(Q169&lt;&gt;1,"",IF(AJ169="","무등급",IFERROR(VLOOKUP(AJ169,설정!$A$15:$D$47,3,0),"무등급")))</f>
        <v>A</v>
      </c>
      <c r="AL169" s="89" t="n">
        <f aca="false">IF(AJ169="",99,IFERROR(VLOOKUP(AJ169,설정!$A$15:$D$47,4,0),99))</f>
        <v>7</v>
      </c>
      <c r="AM169" s="94" t="n">
        <f aca="false">IF(ISNUMBER(H169),AA169*1000000*H169/10000,0)</f>
        <v>1537.9340317</v>
      </c>
      <c r="AN169" s="94" t="n">
        <f aca="false">IF(OR(Y169=1,NOT(ISNUMBER(Z169))),0,AA169*1000000*Z169/10000)</f>
        <v>1537.9340317</v>
      </c>
      <c r="AO169" s="94" t="n">
        <f aca="false">IF(ISNUMBER(G169),AA169*1000000*G169/100,0)</f>
        <v>272729.38758</v>
      </c>
      <c r="AP169" s="94" t="n">
        <f aca="false">IF(ISNUMBER(M169),M169*K169,0)</f>
        <v>-115330</v>
      </c>
      <c r="AQ169" s="95" t="n">
        <f aca="false">IF(AB169="","",INDEX(시장분석!$AK:$AK,AB169))</f>
        <v>-2.81226061394171</v>
      </c>
      <c r="AR169" s="43" t="str">
        <f aca="false">IF(AB169="","-",IF(AB169="","",INDEX(시장분석!$AL:$AL,AB169)))</f>
        <v>Rich</v>
      </c>
      <c r="AS169" s="96" t="n">
        <f aca="false">IF(AB169="","",INDEX(시장분석!$AJ:$AJ,AB169))</f>
        <v>-30.9019101364472</v>
      </c>
      <c r="AT169" s="93" t="n">
        <f aca="false">IF(AB169="",0,IF(AB169="","",INDEX(시장분석!$AN:$AN,AB169)))</f>
        <v>11.2544458762442</v>
      </c>
      <c r="AU169" s="94" t="n">
        <f aca="false">IF(ISNUMBER(Z169),AT169/10000*MAX(Z169-1,0)*AA169*1000000,0)</f>
        <v>11789.4488266292</v>
      </c>
      <c r="AV169" s="94" t="n">
        <f aca="false">AO169+AU169</f>
        <v>284518.836406629</v>
      </c>
      <c r="AW169" s="43" t="str">
        <f aca="false">IF(Q169&lt;&gt;1,"",TRIM(IF(AD169=1,"FRN ","")&amp;IF(AND(AL169&gt;=10,AL169&lt;99),"BBB0미만 ","")&amp;IF(AJ169="","등급없음 ","")&amp;IF(K169&lt;&gt;1,"비USD ","")&amp;IF(AND(AB169="",Y169=0),"시장데이터없음 ","")&amp;IF(AND(ISNUMBER(U169),U169&lt;0),"만기경과 ","")))</f>
        <v/>
      </c>
      <c r="AX169" s="90" t="n">
        <f aca="false">IF(Q169&lt;&gt;1,1,IF(스프레드쇼크!$C$4="Y",INDEX(스프레드쇼크!$B$12:$L$16,IFERROR(MATCH(AH169,스프레드쇼크!$A$12:$A$16,0),MATCH("목록외",스프레드쇼크!$A$12:$A$16,0)),IFERROR(MATCH(AG169,스프레드쇼크!$B$11:$L$11,0),MATCH("목록외",스프레드쇼크!$B$11:$L$11,0))),1))</f>
        <v>1</v>
      </c>
      <c r="AY169" s="90" t="n">
        <f aca="false">IF(스프레드쇼크!$C$5="Y",IF(ISNUMBER(AF169),MIN(스프레드쇼크!$C$7,MAX(스프레드쇼크!$C$6,AF169/스프레드쇼크!$C$8)),1),1)</f>
        <v>0.733460319097307</v>
      </c>
      <c r="AZ169" s="94" t="n">
        <f aca="false">AN169*AX169*AY169</f>
        <v>1128.01358564129</v>
      </c>
      <c r="BA169" s="90" t="n">
        <f aca="false">IF(ISNUMBER(G169),AA169*G169,0)</f>
        <v>27.272938758</v>
      </c>
      <c r="BB169" s="90" t="n">
        <f aca="false">IF(ISNUMBER(G169),AA169,0)</f>
        <v>4.90397</v>
      </c>
      <c r="BC169" s="90" t="n">
        <f aca="false">IF(AND(Y169=0,ISNUMBER(AF169)),AA169*AF169,0)</f>
        <v>237.80331324</v>
      </c>
      <c r="BD169" s="90" t="n">
        <f aca="false">IF(AND(Y169=0,ISNUMBER(AF169)),AA169,0)</f>
        <v>4.90397</v>
      </c>
      <c r="BE169" s="90" t="n">
        <f aca="false">IF(ISNUMBER(H169),AA169*H169,0)</f>
        <v>15.379340317</v>
      </c>
      <c r="BF169" s="90" t="n">
        <f aca="false">IF(ISNUMBER(H169),AA169,0)</f>
        <v>4.90397</v>
      </c>
      <c r="BG169" s="90" t="n">
        <f aca="false">IF(AND(Y169=0,ISNUMBER(AF169),ISNUMBER(Z169)),AA169*Z169,0)</f>
        <v>15.379340317</v>
      </c>
      <c r="BH169" s="90" t="n">
        <f aca="false">IF(AND(Y169=0,ISNUMBER(AF169),ISNUMBER(Z169)),AA169*AT169*MAX(Z169-1,0),0)</f>
        <v>117.894488266292</v>
      </c>
      <c r="BI169" s="90" t="n">
        <f aca="false">IF(Y169=0,AA169,0)</f>
        <v>4.90397</v>
      </c>
    </row>
    <row r="170" customFormat="false" ht="15" hidden="false" customHeight="false" outlineLevel="0" collapsed="false">
      <c r="A170" s="83" t="str">
        <f aca="false">IFERROR(IF(INDEX(원자료_잔고!$A$1:$EZ$1500,설정!$L$5+ROW()-1,설정!$L$8)&amp;""="0","",INDEX(원자료_잔고!$A$1:$EZ$1500,설정!$L$5+ROW()-1,설정!$L$8)&amp;""),"")</f>
        <v>HSBC 5.733 05/17/32</v>
      </c>
      <c r="B170" s="83" t="str">
        <f aca="false">IFERROR(IF(INDEX(원자료_잔고!$A$1:$EZ$1500,설정!$L$5+ROW()-1,설정!$L$7)&amp;""="0","",INDEX(원자료_잔고!$A$1:$EZ$1500,설정!$L$5+ROW()-1,설정!$L$7)&amp;""),"")</f>
        <v>US404280EG03</v>
      </c>
      <c r="C170" s="83" t="str">
        <f aca="false">IFERROR(IF(INDEX(원자료_잔고!$A$1:$EZ$1500,설정!$L$5+ROW()-1,설정!$L$9)&amp;""="0","",INDEX(원자료_잔고!$A$1:$EZ$1500,설정!$L$5+ROW()-1,설정!$L$9)&amp;""),"")</f>
        <v>34578</v>
      </c>
      <c r="D17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0" s="84" t="n">
        <f aca="false">IFERROR(IF(ISNUMBER(INDEX(원자료_잔고!$A$1:$EZ$1500,설정!$L$5+ROW()-1,설정!$L$11)),INDEX(원자료_잔고!$A$1:$EZ$1500,설정!$L$5+ROW()-1,설정!$L$11),""),"")</f>
        <v>12000000</v>
      </c>
      <c r="F170" s="85" t="n">
        <f aca="false">IFERROR(IF(ISNUMBER(INDEX(원자료_잔고!$A$1:$EZ$1500,설정!$L$5+ROW()-1,설정!$L$12)),INDEX(원자료_잔고!$A$1:$EZ$1500,설정!$L$5+ROW()-1,설정!$L$12),""),"")</f>
        <v>99.163</v>
      </c>
      <c r="G170" s="85" t="n">
        <f aca="false">IFERROR(IF(ISNUMBER(INDEX(원자료_잔고!$A$1:$EZ$1500,설정!$L$5+ROW()-1,설정!$L$13)),INDEX(원자료_잔고!$A$1:$EZ$1500,설정!$L$5+ROW()-1,설정!$L$13),""),"")</f>
        <v>5.9334</v>
      </c>
      <c r="H170" s="85" t="n">
        <f aca="false">IFERROR(IF(ISNUMBER(INDEX(원자료_잔고!$A$1:$EZ$1500,설정!$L$5+ROW()-1,설정!$L$14)),INDEX(원자료_잔고!$A$1:$EZ$1500,설정!$L$5+ROW()-1,설정!$L$14),""),"")</f>
        <v>3.8627</v>
      </c>
      <c r="I170" s="86" t="n">
        <f aca="false">IFERROR(IF(ISNUMBER(INDEX(원자료_잔고!$A$1:$EZ$1500,설정!$L$5+ROW()-1,설정!$L$15)),INDEX(원자료_잔고!$A$1:$EZ$1500,설정!$L$5+ROW()-1,설정!$L$15),""),"")</f>
        <v>48351</v>
      </c>
      <c r="J170" s="85" t="n">
        <f aca="false">IFERROR(IF(ISNUMBER(INDEX(원자료_잔고!$A$1:$EZ$1500,설정!$L$5+ROW()-1,설정!$L$16)),INDEX(원자료_잔고!$A$1:$EZ$1500,설정!$L$5+ROW()-1,설정!$L$16),""),"")</f>
        <v>5.733</v>
      </c>
      <c r="K170" s="87" t="n">
        <f aca="false">IFERROR(IF(ISNUMBER(INDEX(원자료_잔고!$A$1:$EZ$1500,설정!$L$5+ROW()-1,설정!$L$17)),INDEX(원자료_잔고!$A$1:$EZ$1500,설정!$L$5+ROW()-1,설정!$L$17),""),"")</f>
        <v>1</v>
      </c>
      <c r="L170" s="84" t="n">
        <f aca="false">IFERROR(IF(ISNUMBER(INDEX(원자료_잔고!$A$1:$EZ$1500,설정!$L$5+ROW()-1,설정!$L$18)),INDEX(원자료_잔고!$A$1:$EZ$1500,설정!$L$5+ROW()-1,설정!$L$18),""),"")</f>
        <v>11899560</v>
      </c>
      <c r="M170" s="88" t="n">
        <f aca="false">IFERROR(IF(ISNUMBER(INDEX(원자료_잔고!$A$1:$EZ$1500,설정!$L$5+ROW()-1,설정!$L$19)),INDEX(원자료_잔고!$A$1:$EZ$1500,설정!$L$5+ROW()-1,설정!$L$19),""),"")</f>
        <v>-776880</v>
      </c>
      <c r="N170" s="83" t="str">
        <f aca="false">IFERROR(IF(INDEX(원자료_잔고!$A$1:$EZ$1500,설정!$L$5+ROW()-1,설정!$L$21)&amp;""="0","",INDEX(원자료_잔고!$A$1:$EZ$1500,설정!$L$5+ROW()-1,설정!$L$21)&amp;""),"")</f>
        <v>A-</v>
      </c>
      <c r="O170" s="83" t="str">
        <f aca="false">IFERROR(IF(INDEX(원자료_잔고!$A$1:$EZ$1500,설정!$L$5+ROW()-1,설정!$L$22)&amp;""="0","",INDEX(원자료_잔고!$A$1:$EZ$1500,설정!$L$5+ROW()-1,설정!$L$22)&amp;""),"")</f>
        <v/>
      </c>
      <c r="P170" s="83" t="str">
        <f aca="false">IFERROR(IF(INDEX(원자료_잔고!$A$1:$EZ$1500,설정!$L$5+ROW()-1,설정!$L$23)&amp;""="0","",INDEX(원자료_잔고!$A$1:$EZ$1500,설정!$L$5+ROW()-1,설정!$L$23)&amp;""),"")</f>
        <v>A+</v>
      </c>
      <c r="Q170" s="89" t="n">
        <f aca="false">IF(AND($A170&lt;&gt;"",ISNUMBER(E170)),IF(E170&gt;0,1,0),0)</f>
        <v>1</v>
      </c>
      <c r="R170" s="43" t="str">
        <f aca="false">IF(Q170=1,UPPER(LEFT($A170,FIND(" ",$A170&amp;" ")-1)),"")</f>
        <v>HSBC</v>
      </c>
      <c r="S170" s="89" t="n">
        <f aca="false">IF(Q170=1,IF(OR(ISNUMBER(SEARCH("Float",$A170)),ISNUMBER(SEARCH("FRN",$A170))),1,0),0)</f>
        <v>0</v>
      </c>
      <c r="T170" s="43" t="str">
        <f aca="false">IF(AND(Q170=1,ISNUMBER(I170)),TEXT(I170,"yyyymmdd")&amp;"|"&amp;IF(S170=1,"F",TEXT(J170,"0.000")),"")</f>
        <v>20320517|5.733</v>
      </c>
      <c r="U170" s="90" t="n">
        <f aca="false">IF(AND(Q170=1,ISNUMBER(I170)),(I170-설정!$C$4)/365.25,"")</f>
        <v>5.62628336755647</v>
      </c>
      <c r="V170" s="43" t="str">
        <f aca="false">IF(Q170&lt;&gt;1,"",IF(ISNUMBER(U170),IF(U170&lt;=1,"1년 이하",IF(U170&lt;=2,"1-2년",IF(U170&lt;=3,"2-3년",IF(U170&lt;=4,"3-4년",IF(U170&lt;=5,"4-5년",IF(U170&lt;=7,"5-7년",IF(U170&lt;=10,"7-10년",IF(U170&lt;=20,"10-20년","20년 이상")))))))),"미분류"))</f>
        <v>5-7년</v>
      </c>
      <c r="W170" s="43" t="str">
        <f aca="false">IF(Q170&lt;&gt;1,"",IF(AB170&lt;&gt;"",INDEX(시장분석!$C:$C,AB170),IF(K170=1,"USD","비USD")))</f>
        <v>USD</v>
      </c>
      <c r="X170" s="91" t="n">
        <f aca="false">IF(Q170=1,E170*K170/1000000,0)</f>
        <v>12</v>
      </c>
      <c r="Y170" s="89" t="n">
        <f aca="false">IF(R170="T",1,0)</f>
        <v>0</v>
      </c>
      <c r="Z170" s="92" t="n">
        <f aca="false">IF(Q170&lt;&gt;1,"",IF(AD170=1,IF(ISNUMBER(U170),MAX(U170,0),H170),H170))</f>
        <v>3.8627</v>
      </c>
      <c r="AA170" s="91" t="n">
        <f aca="false">IF(Q170=1,IF(ISNUMBER(L170),L170,0)*K170/1000000,0)</f>
        <v>11.89956</v>
      </c>
      <c r="AB170" s="89" t="n">
        <f aca="false">IF(Q170&lt;&gt;1,"",IFERROR(MATCH(VLOOKUP(B170,매핑!$H$4:$I$15,2,0),시장분석!$A$2:$A$601,0)+1,IFERROR(MATCH(R170&amp;"|"&amp;T170,시장분석!$V$2:$V$601,0)+1,IF(COUNTIF(시장분석!$U$2:$U$601,T170)=1,MATCH(T170,시장분석!$U$2:$U$601,0)+1,""))))</f>
        <v>50</v>
      </c>
      <c r="AC170" s="89" t="n">
        <f aca="false">IF(Q170&lt;&gt;1,0,IF(OR(설정!$C$5="전체",AND(설정!$C$5="선택펀드",IFERROR(COUNTIFS(설정!$F$16:$F$36,C170,설정!$G$16:$G$36,"Y")+COUNTIFS(설정!$F$16:$F$36,VALUE(C170),설정!$G$16:$G$36,"Y"),0)&gt;0),C170&amp;""=설정!$C$5&amp;""),1,0))</f>
        <v>1</v>
      </c>
      <c r="AD170" s="89" t="n">
        <f aca="false">IF(Q170&lt;&gt;1,0,IF(OR(S170=1,IF(AB170="",FALSE(),INDEX(시장분석!$R:$R,AB170)=1)),1,0))</f>
        <v>0</v>
      </c>
      <c r="AE170" s="43" t="str">
        <f aca="false">IF(AB170="","",INDEX(시장분석!$A:$A,AB170))</f>
        <v>HSBC 5.733 05/17/32</v>
      </c>
      <c r="AF170" s="93" t="n">
        <f aca="false">IF(AB170="","",IF(ISNUMBER(IF(AB170="","",INDEX(시장분석!$E:$E,AB170))),IF(AB170="","",INDEX(시장분석!$E:$E,AB170)),""))</f>
        <v>89.19</v>
      </c>
      <c r="AG170" s="43" t="str">
        <f aca="false">IF(Q170&lt;&gt;1,"",IF(AB170&lt;&gt;"",IF(AB170="","",INDEX(시장분석!$L:$L,AB170)),IFERROR(IF(VLOOKUP(R170,매핑!$A$4:$E$92,5,0)="","미분류",VLOOKUP(R170,매핑!$A$4:$E$92,5,0)),"미분류")))</f>
        <v>금융기관</v>
      </c>
      <c r="AH170" s="43" t="str">
        <f aca="false">IF(Q170&lt;&gt;1,"",IF(AB170&lt;&gt;"",IF(AB170="","",INDEX(시장분석!$N:$N,AB170)),IFERROR(IF(VLOOKUP(R170,매핑!$A$4:$E$92,4,0)="","미분류",VLOOKUP(R170,매핑!$A$4:$E$92,4,0)),"미분류")))</f>
        <v>유럽</v>
      </c>
      <c r="AI170" s="43" t="str">
        <f aca="false">IF(Q170&lt;&gt;1,"",IFERROR(IF(VLOOKUP(R170,매핑!$A$4:$E$92,3,0)="","미분류",VLOOKUP(R170,매핑!$A$4:$E$92,3,0)),IF(AB170&lt;&gt;"",IF(AB170="","",INDEX(시장분석!$W:$W,AB170)),"미분류")))</f>
        <v>영국</v>
      </c>
      <c r="AJ170" s="43" t="str">
        <f aca="false">IF(Q170&lt;&gt;1,"",IFERROR(VLOOKUP(IF(N170&lt;&gt;"",N170,IF(P170&lt;&gt;"",P170,O170)),설정!$A$15:$D$47,2,0),""))</f>
        <v>A-</v>
      </c>
      <c r="AK170" s="43" t="str">
        <f aca="false">IF(Q170&lt;&gt;1,"",IF(AJ170="","무등급",IFERROR(VLOOKUP(AJ170,설정!$A$15:$D$47,3,0),"무등급")))</f>
        <v>A</v>
      </c>
      <c r="AL170" s="89" t="n">
        <f aca="false">IF(AJ170="",99,IFERROR(VLOOKUP(AJ170,설정!$A$15:$D$47,4,0),99))</f>
        <v>7</v>
      </c>
      <c r="AM170" s="94" t="n">
        <f aca="false">IF(ISNUMBER(H170),AA170*1000000*H170/10000,0)</f>
        <v>4596.4430412</v>
      </c>
      <c r="AN170" s="94" t="n">
        <f aca="false">IF(OR(Y170=1,NOT(ISNUMBER(Z170))),0,AA170*1000000*Z170/10000)</f>
        <v>4596.4430412</v>
      </c>
      <c r="AO170" s="94" t="n">
        <f aca="false">IF(ISNUMBER(G170),AA170*1000000*G170/100,0)</f>
        <v>706048.49304</v>
      </c>
      <c r="AP170" s="94" t="n">
        <f aca="false">IF(ISNUMBER(M170),M170*K170,0)</f>
        <v>-776880</v>
      </c>
      <c r="AQ170" s="95" t="n">
        <f aca="false">IF(AB170="","",INDEX(시장분석!$AK:$AK,AB170))</f>
        <v>0.284878028751713</v>
      </c>
      <c r="AR170" s="43" t="str">
        <f aca="false">IF(AB170="","-",IF(AB170="","",INDEX(시장분석!$AL:$AL,AB170)))</f>
        <v>Fair</v>
      </c>
      <c r="AS170" s="96" t="n">
        <f aca="false">IF(AB170="","",INDEX(시장분석!$AJ:$AJ,AB170))</f>
        <v>3.13031985751664</v>
      </c>
      <c r="AT170" s="93" t="n">
        <f aca="false">IF(AB170="",0,IF(AB170="","",INDEX(시장분석!$AN:$AN,AB170)))</f>
        <v>8.69986372698072</v>
      </c>
      <c r="AU170" s="94" t="n">
        <f aca="false">IF(ISNUMBER(Z170),AT170/10000*MAX(Z170-1,0)*AA170*1000000,0)</f>
        <v>29635.9730461658</v>
      </c>
      <c r="AV170" s="94" t="n">
        <f aca="false">AO170+AU170</f>
        <v>735684.466086166</v>
      </c>
      <c r="AW170" s="43" t="str">
        <f aca="false">IF(Q170&lt;&gt;1,"",TRIM(IF(AD170=1,"FRN ","")&amp;IF(AND(AL170&gt;=10,AL170&lt;99),"BBB0미만 ","")&amp;IF(AJ170="","등급없음 ","")&amp;IF(K170&lt;&gt;1,"비USD ","")&amp;IF(AND(AB170="",Y170=0),"시장데이터없음 ","")&amp;IF(AND(ISNUMBER(U170),U170&lt;0),"만기경과 ","")))</f>
        <v/>
      </c>
      <c r="AX170" s="90" t="n">
        <f aca="false">IF(Q170&lt;&gt;1,1,IF(스프레드쇼크!$C$4="Y",INDEX(스프레드쇼크!$B$12:$L$16,IFERROR(MATCH(AH170,스프레드쇼크!$A$12:$A$16,0),MATCH("목록외",스프레드쇼크!$A$12:$A$16,0)),IFERROR(MATCH(AG170,스프레드쇼크!$B$11:$L$11,0),MATCH("목록외",스프레드쇼크!$B$11:$L$11,0))),1))</f>
        <v>1</v>
      </c>
      <c r="AY170" s="90" t="n">
        <f aca="false">IF(스프레드쇼크!$C$5="Y",IF(ISNUMBER(AF170),MIN(스프레드쇼크!$C$7,MAX(스프레드쇼크!$C$6,AF170/스프레드쇼크!$C$8)),1),1)</f>
        <v>1.34903336344735</v>
      </c>
      <c r="AZ170" s="94" t="n">
        <f aca="false">AN170*AX170*AY170</f>
        <v>6200.75501576419</v>
      </c>
      <c r="BA170" s="90" t="n">
        <f aca="false">IF(ISNUMBER(G170),AA170*G170,0)</f>
        <v>70.604849304</v>
      </c>
      <c r="BB170" s="90" t="n">
        <f aca="false">IF(ISNUMBER(G170),AA170,0)</f>
        <v>11.89956</v>
      </c>
      <c r="BC170" s="90" t="n">
        <f aca="false">IF(AND(Y170=0,ISNUMBER(AF170)),AA170*AF170,0)</f>
        <v>1061.3217564</v>
      </c>
      <c r="BD170" s="90" t="n">
        <f aca="false">IF(AND(Y170=0,ISNUMBER(AF170)),AA170,0)</f>
        <v>11.89956</v>
      </c>
      <c r="BE170" s="90" t="n">
        <f aca="false">IF(ISNUMBER(H170),AA170*H170,0)</f>
        <v>45.964430412</v>
      </c>
      <c r="BF170" s="90" t="n">
        <f aca="false">IF(ISNUMBER(H170),AA170,0)</f>
        <v>11.89956</v>
      </c>
      <c r="BG170" s="90" t="n">
        <f aca="false">IF(AND(Y170=0,ISNUMBER(AF170),ISNUMBER(Z170)),AA170*Z170,0)</f>
        <v>45.964430412</v>
      </c>
      <c r="BH170" s="90" t="n">
        <f aca="false">IF(AND(Y170=0,ISNUMBER(AF170),ISNUMBER(Z170)),AA170*AT170*MAX(Z170-1,0),0)</f>
        <v>296.359730461658</v>
      </c>
      <c r="BI170" s="90" t="n">
        <f aca="false">IF(Y170=0,AA170,0)</f>
        <v>11.89956</v>
      </c>
    </row>
    <row r="171" customFormat="false" ht="15" hidden="false" customHeight="false" outlineLevel="0" collapsed="false">
      <c r="A171" s="83" t="str">
        <f aca="false">IFERROR(IF(INDEX(원자료_잔고!$A$1:$EZ$1500,설정!$L$5+ROW()-1,설정!$L$8)&amp;""="0","",INDEX(원자료_잔고!$A$1:$EZ$1500,설정!$L$5+ROW()-1,설정!$L$8)&amp;""),"")</f>
        <v>HSBC 5.286 11/19/30</v>
      </c>
      <c r="B171" s="83" t="str">
        <f aca="false">IFERROR(IF(INDEX(원자료_잔고!$A$1:$EZ$1500,설정!$L$5+ROW()-1,설정!$L$7)&amp;""="0","",INDEX(원자료_잔고!$A$1:$EZ$1500,설정!$L$5+ROW()-1,설정!$L$7)&amp;""),"")</f>
        <v>US404280EN53</v>
      </c>
      <c r="C171" s="83" t="str">
        <f aca="false">IFERROR(IF(INDEX(원자료_잔고!$A$1:$EZ$1500,설정!$L$5+ROW()-1,설정!$L$9)&amp;""="0","",INDEX(원자료_잔고!$A$1:$EZ$1500,설정!$L$5+ROW()-1,설정!$L$9)&amp;""),"")</f>
        <v>34578</v>
      </c>
      <c r="D17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1" s="84" t="n">
        <f aca="false">IFERROR(IF(ISNUMBER(INDEX(원자료_잔고!$A$1:$EZ$1500,설정!$L$5+ROW()-1,설정!$L$11)),INDEX(원자료_잔고!$A$1:$EZ$1500,설정!$L$5+ROW()-1,설정!$L$11),""),"")</f>
        <v>2000000</v>
      </c>
      <c r="F171" s="85" t="n">
        <f aca="false">IFERROR(IF(ISNUMBER(INDEX(원자료_잔고!$A$1:$EZ$1500,설정!$L$5+ROW()-1,설정!$L$12)),INDEX(원자료_잔고!$A$1:$EZ$1500,설정!$L$5+ROW()-1,설정!$L$12),""),"")</f>
        <v>98.6426</v>
      </c>
      <c r="G171" s="85" t="n">
        <f aca="false">IFERROR(IF(ISNUMBER(INDEX(원자료_잔고!$A$1:$EZ$1500,설정!$L$5+ROW()-1,설정!$L$13)),INDEX(원자료_잔고!$A$1:$EZ$1500,설정!$L$5+ROW()-1,설정!$L$13),""),"")</f>
        <v>5.7299</v>
      </c>
      <c r="H171" s="85" t="n">
        <f aca="false">IFERROR(IF(ISNUMBER(INDEX(원자료_잔고!$A$1:$EZ$1500,설정!$L$5+ROW()-1,설정!$L$14)),INDEX(원자료_잔고!$A$1:$EZ$1500,설정!$L$5+ROW()-1,설정!$L$14),""),"")</f>
        <v>2.7624</v>
      </c>
      <c r="I171" s="86" t="n">
        <f aca="false">IFERROR(IF(ISNUMBER(INDEX(원자료_잔고!$A$1:$EZ$1500,설정!$L$5+ROW()-1,설정!$L$15)),INDEX(원자료_잔고!$A$1:$EZ$1500,설정!$L$5+ROW()-1,설정!$L$15),""),"")</f>
        <v>47806</v>
      </c>
      <c r="J171" s="85" t="n">
        <f aca="false">IFERROR(IF(ISNUMBER(INDEX(원자료_잔고!$A$1:$EZ$1500,설정!$L$5+ROW()-1,설정!$L$16)),INDEX(원자료_잔고!$A$1:$EZ$1500,설정!$L$5+ROW()-1,설정!$L$16),""),"")</f>
        <v>5.286</v>
      </c>
      <c r="K171" s="87" t="n">
        <f aca="false">IFERROR(IF(ISNUMBER(INDEX(원자료_잔고!$A$1:$EZ$1500,설정!$L$5+ROW()-1,설정!$L$17)),INDEX(원자료_잔고!$A$1:$EZ$1500,설정!$L$5+ROW()-1,설정!$L$17),""),"")</f>
        <v>1</v>
      </c>
      <c r="L171" s="84" t="n">
        <f aca="false">IFERROR(IF(ISNUMBER(INDEX(원자료_잔고!$A$1:$EZ$1500,설정!$L$5+ROW()-1,설정!$L$18)),INDEX(원자료_잔고!$A$1:$EZ$1500,설정!$L$5+ROW()-1,설정!$L$18),""),"")</f>
        <v>1972852</v>
      </c>
      <c r="M171" s="88" t="n">
        <f aca="false">IFERROR(IF(ISNUMBER(INDEX(원자료_잔고!$A$1:$EZ$1500,설정!$L$5+ROW()-1,설정!$L$19)),INDEX(원자료_잔고!$A$1:$EZ$1500,설정!$L$5+ROW()-1,설정!$L$19),""),"")</f>
        <v>-70948</v>
      </c>
      <c r="N171" s="83" t="str">
        <f aca="false">IFERROR(IF(INDEX(원자료_잔고!$A$1:$EZ$1500,설정!$L$5+ROW()-1,설정!$L$21)&amp;""="0","",INDEX(원자료_잔고!$A$1:$EZ$1500,설정!$L$5+ROW()-1,설정!$L$21)&amp;""),"")</f>
        <v>A-</v>
      </c>
      <c r="O171" s="83" t="str">
        <f aca="false">IFERROR(IF(INDEX(원자료_잔고!$A$1:$EZ$1500,설정!$L$5+ROW()-1,설정!$L$22)&amp;""="0","",INDEX(원자료_잔고!$A$1:$EZ$1500,설정!$L$5+ROW()-1,설정!$L$22)&amp;""),"")</f>
        <v/>
      </c>
      <c r="P171" s="83" t="str">
        <f aca="false">IFERROR(IF(INDEX(원자료_잔고!$A$1:$EZ$1500,설정!$L$5+ROW()-1,설정!$L$23)&amp;""="0","",INDEX(원자료_잔고!$A$1:$EZ$1500,설정!$L$5+ROW()-1,설정!$L$23)&amp;""),"")</f>
        <v>A+</v>
      </c>
      <c r="Q171" s="89" t="n">
        <f aca="false">IF(AND($A171&lt;&gt;"",ISNUMBER(E171)),IF(E171&gt;0,1,0),0)</f>
        <v>1</v>
      </c>
      <c r="R171" s="43" t="str">
        <f aca="false">IF(Q171=1,UPPER(LEFT($A171,FIND(" ",$A171&amp;" ")-1)),"")</f>
        <v>HSBC</v>
      </c>
      <c r="S171" s="89" t="n">
        <f aca="false">IF(Q171=1,IF(OR(ISNUMBER(SEARCH("Float",$A171)),ISNUMBER(SEARCH("FRN",$A171))),1,0),0)</f>
        <v>0</v>
      </c>
      <c r="T171" s="43" t="str">
        <f aca="false">IF(AND(Q171=1,ISNUMBER(I171)),TEXT(I171,"yyyymmdd")&amp;"|"&amp;IF(S171=1,"F",TEXT(J171,"0.000")),"")</f>
        <v>20301119|5.286</v>
      </c>
      <c r="U171" s="90" t="n">
        <f aca="false">IF(AND(Q171=1,ISNUMBER(I171)),(I171-설정!$C$4)/365.25,"")</f>
        <v>4.13415468856947</v>
      </c>
      <c r="V171" s="43" t="str">
        <f aca="false">IF(Q171&lt;&gt;1,"",IF(ISNUMBER(U171),IF(U171&lt;=1,"1년 이하",IF(U171&lt;=2,"1-2년",IF(U171&lt;=3,"2-3년",IF(U171&lt;=4,"3-4년",IF(U171&lt;=5,"4-5년",IF(U171&lt;=7,"5-7년",IF(U171&lt;=10,"7-10년",IF(U171&lt;=20,"10-20년","20년 이상")))))))),"미분류"))</f>
        <v>4-5년</v>
      </c>
      <c r="W171" s="43" t="str">
        <f aca="false">IF(Q171&lt;&gt;1,"",IF(AB171&lt;&gt;"",INDEX(시장분석!$C:$C,AB171),IF(K171=1,"USD","비USD")))</f>
        <v>USD</v>
      </c>
      <c r="X171" s="91" t="n">
        <f aca="false">IF(Q171=1,E171*K171/1000000,0)</f>
        <v>2</v>
      </c>
      <c r="Y171" s="89" t="n">
        <f aca="false">IF(R171="T",1,0)</f>
        <v>0</v>
      </c>
      <c r="Z171" s="92" t="n">
        <f aca="false">IF(Q171&lt;&gt;1,"",IF(AD171=1,IF(ISNUMBER(U171),MAX(U171,0),H171),H171))</f>
        <v>2.7624</v>
      </c>
      <c r="AA171" s="91" t="n">
        <f aca="false">IF(Q171=1,IF(ISNUMBER(L171),L171,0)*K171/1000000,0)</f>
        <v>1.972852</v>
      </c>
      <c r="AB171" s="89" t="n">
        <f aca="false">IF(Q171&lt;&gt;1,"",IFERROR(MATCH(VLOOKUP(B171,매핑!$H$4:$I$15,2,0),시장분석!$A$2:$A$601,0)+1,IFERROR(MATCH(R171&amp;"|"&amp;T171,시장분석!$V$2:$V$601,0)+1,IF(COUNTIF(시장분석!$U$2:$U$601,T171)=1,MATCH(T171,시장분석!$U$2:$U$601,0)+1,""))))</f>
        <v>52</v>
      </c>
      <c r="AC171" s="89" t="n">
        <f aca="false">IF(Q171&lt;&gt;1,0,IF(OR(설정!$C$5="전체",AND(설정!$C$5="선택펀드",IFERROR(COUNTIFS(설정!$F$16:$F$36,C171,설정!$G$16:$G$36,"Y")+COUNTIFS(설정!$F$16:$F$36,VALUE(C171),설정!$G$16:$G$36,"Y"),0)&gt;0),C171&amp;""=설정!$C$5&amp;""),1,0))</f>
        <v>1</v>
      </c>
      <c r="AD171" s="89" t="n">
        <f aca="false">IF(Q171&lt;&gt;1,0,IF(OR(S171=1,IF(AB171="",FALSE(),INDEX(시장분석!$R:$R,AB171)=1)),1,0))</f>
        <v>0</v>
      </c>
      <c r="AE171" s="43" t="str">
        <f aca="false">IF(AB171="","",INDEX(시장분석!$A:$A,AB171))</f>
        <v>HSBC 5.286 11/19/30</v>
      </c>
      <c r="AF171" s="93" t="n">
        <f aca="false">IF(AB171="","",IF(ISNUMBER(IF(AB171="","",INDEX(시장분석!$E:$E,AB171))),IF(AB171="","",INDEX(시장분석!$E:$E,AB171)),""))</f>
        <v>77.115</v>
      </c>
      <c r="AG171" s="43" t="str">
        <f aca="false">IF(Q171&lt;&gt;1,"",IF(AB171&lt;&gt;"",IF(AB171="","",INDEX(시장분석!$L:$L,AB171)),IFERROR(IF(VLOOKUP(R171,매핑!$A$4:$E$92,5,0)="","미분류",VLOOKUP(R171,매핑!$A$4:$E$92,5,0)),"미분류")))</f>
        <v>금융기관</v>
      </c>
      <c r="AH171" s="43" t="str">
        <f aca="false">IF(Q171&lt;&gt;1,"",IF(AB171&lt;&gt;"",IF(AB171="","",INDEX(시장분석!$N:$N,AB171)),IFERROR(IF(VLOOKUP(R171,매핑!$A$4:$E$92,4,0)="","미분류",VLOOKUP(R171,매핑!$A$4:$E$92,4,0)),"미분류")))</f>
        <v>유럽</v>
      </c>
      <c r="AI171" s="43" t="str">
        <f aca="false">IF(Q171&lt;&gt;1,"",IFERROR(IF(VLOOKUP(R171,매핑!$A$4:$E$92,3,0)="","미분류",VLOOKUP(R171,매핑!$A$4:$E$92,3,0)),IF(AB171&lt;&gt;"",IF(AB171="","",INDEX(시장분석!$W:$W,AB171)),"미분류")))</f>
        <v>영국</v>
      </c>
      <c r="AJ171" s="43" t="str">
        <f aca="false">IF(Q171&lt;&gt;1,"",IFERROR(VLOOKUP(IF(N171&lt;&gt;"",N171,IF(P171&lt;&gt;"",P171,O171)),설정!$A$15:$D$47,2,0),""))</f>
        <v>A-</v>
      </c>
      <c r="AK171" s="43" t="str">
        <f aca="false">IF(Q171&lt;&gt;1,"",IF(AJ171="","무등급",IFERROR(VLOOKUP(AJ171,설정!$A$15:$D$47,3,0),"무등급")))</f>
        <v>A</v>
      </c>
      <c r="AL171" s="89" t="n">
        <f aca="false">IF(AJ171="",99,IFERROR(VLOOKUP(AJ171,설정!$A$15:$D$47,4,0),99))</f>
        <v>7</v>
      </c>
      <c r="AM171" s="94" t="n">
        <f aca="false">IF(ISNUMBER(H171),AA171*1000000*H171/10000,0)</f>
        <v>544.98063648</v>
      </c>
      <c r="AN171" s="94" t="n">
        <f aca="false">IF(OR(Y171=1,NOT(ISNUMBER(Z171))),0,AA171*1000000*Z171/10000)</f>
        <v>544.98063648</v>
      </c>
      <c r="AO171" s="94" t="n">
        <f aca="false">IF(ISNUMBER(G171),AA171*1000000*G171/100,0)</f>
        <v>113042.446748</v>
      </c>
      <c r="AP171" s="94" t="n">
        <f aca="false">IF(ISNUMBER(M171),M171*K171,0)</f>
        <v>-70948</v>
      </c>
      <c r="AQ171" s="95" t="n">
        <f aca="false">IF(AB171="","",INDEX(시장분석!$AK:$AK,AB171))</f>
        <v>0.137936510220081</v>
      </c>
      <c r="AR171" s="43" t="str">
        <f aca="false">IF(AB171="","-",IF(AB171="","",INDEX(시장분석!$AL:$AL,AB171)))</f>
        <v>Fair</v>
      </c>
      <c r="AS171" s="96" t="n">
        <f aca="false">IF(AB171="","",INDEX(시장분석!$AJ:$AJ,AB171))</f>
        <v>1.51568514746636</v>
      </c>
      <c r="AT171" s="93" t="n">
        <f aca="false">IF(AB171="",0,IF(AB171="","",INDEX(시장분석!$AN:$AN,AB171)))</f>
        <v>13.1065902394437</v>
      </c>
      <c r="AU171" s="94" t="n">
        <f aca="false">IF(ISNUMBER(Z171),AT171/10000*MAX(Z171-1,0)*AA171*1000000,0)</f>
        <v>4557.10161406788</v>
      </c>
      <c r="AV171" s="94" t="n">
        <f aca="false">AO171+AU171</f>
        <v>117599.548362068</v>
      </c>
      <c r="AW171" s="43" t="str">
        <f aca="false">IF(Q171&lt;&gt;1,"",TRIM(IF(AD171=1,"FRN ","")&amp;IF(AND(AL171&gt;=10,AL171&lt;99),"BBB0미만 ","")&amp;IF(AJ171="","등급없음 ","")&amp;IF(K171&lt;&gt;1,"비USD ","")&amp;IF(AND(AB171="",Y171=0),"시장데이터없음 ","")&amp;IF(AND(ISNUMBER(U171),U171&lt;0),"만기경과 ","")))</f>
        <v/>
      </c>
      <c r="AX171" s="90" t="n">
        <f aca="false">IF(Q171&lt;&gt;1,1,IF(스프레드쇼크!$C$4="Y",INDEX(스프레드쇼크!$B$12:$L$16,IFERROR(MATCH(AH171,스프레드쇼크!$A$12:$A$16,0),MATCH("목록외",스프레드쇼크!$A$12:$A$16,0)),IFERROR(MATCH(AG171,스프레드쇼크!$B$11:$L$11,0),MATCH("목록외",스프레드쇼크!$B$11:$L$11,0))),1))</f>
        <v>1</v>
      </c>
      <c r="AY171" s="90" t="n">
        <f aca="false">IF(스프레드쇼크!$C$5="Y",IF(ISNUMBER(AF171),MIN(스프레드쇼크!$C$7,MAX(스프레드쇼크!$C$6,AF171/스프레드쇼크!$C$8)),1),1)</f>
        <v>1.16639430230118</v>
      </c>
      <c r="AZ171" s="94" t="n">
        <f aca="false">AN171*AX171*AY171</f>
        <v>635.662309254743</v>
      </c>
      <c r="BA171" s="90" t="n">
        <f aca="false">IF(ISNUMBER(G171),AA171*G171,0)</f>
        <v>11.3042446748</v>
      </c>
      <c r="BB171" s="90" t="n">
        <f aca="false">IF(ISNUMBER(G171),AA171,0)</f>
        <v>1.972852</v>
      </c>
      <c r="BC171" s="90" t="n">
        <f aca="false">IF(AND(Y171=0,ISNUMBER(AF171)),AA171*AF171,0)</f>
        <v>152.13648198</v>
      </c>
      <c r="BD171" s="90" t="n">
        <f aca="false">IF(AND(Y171=0,ISNUMBER(AF171)),AA171,0)</f>
        <v>1.972852</v>
      </c>
      <c r="BE171" s="90" t="n">
        <f aca="false">IF(ISNUMBER(H171),AA171*H171,0)</f>
        <v>5.4498063648</v>
      </c>
      <c r="BF171" s="90" t="n">
        <f aca="false">IF(ISNUMBER(H171),AA171,0)</f>
        <v>1.972852</v>
      </c>
      <c r="BG171" s="90" t="n">
        <f aca="false">IF(AND(Y171=0,ISNUMBER(AF171),ISNUMBER(Z171)),AA171*Z171,0)</f>
        <v>5.4498063648</v>
      </c>
      <c r="BH171" s="90" t="n">
        <f aca="false">IF(AND(Y171=0,ISNUMBER(AF171),ISNUMBER(Z171)),AA171*AT171*MAX(Z171-1,0),0)</f>
        <v>45.5710161406787</v>
      </c>
      <c r="BI171" s="90" t="n">
        <f aca="false">IF(Y171=0,AA171,0)</f>
        <v>1.972852</v>
      </c>
    </row>
    <row r="172" customFormat="false" ht="15" hidden="false" customHeight="false" outlineLevel="0" collapsed="false">
      <c r="A172" s="83" t="str">
        <f aca="false">IFERROR(IF(INDEX(원자료_잔고!$A$1:$EZ$1500,설정!$L$5+ROW()-1,설정!$L$8)&amp;""="0","",INDEX(원자료_잔고!$A$1:$EZ$1500,설정!$L$5+ROW()-1,설정!$L$8)&amp;""),"")</f>
        <v>HSBC 5.286 11/19/30</v>
      </c>
      <c r="B172" s="83" t="str">
        <f aca="false">IFERROR(IF(INDEX(원자료_잔고!$A$1:$EZ$1500,설정!$L$5+ROW()-1,설정!$L$7)&amp;""="0","",INDEX(원자료_잔고!$A$1:$EZ$1500,설정!$L$5+ROW()-1,설정!$L$7)&amp;""),"")</f>
        <v>US404280EN53</v>
      </c>
      <c r="C172" s="83" t="str">
        <f aca="false">IFERROR(IF(INDEX(원자료_잔고!$A$1:$EZ$1500,설정!$L$5+ROW()-1,설정!$L$9)&amp;""="0","",INDEX(원자료_잔고!$A$1:$EZ$1500,설정!$L$5+ROW()-1,설정!$L$9)&amp;""),"")</f>
        <v>34578</v>
      </c>
      <c r="D17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2" s="84" t="n">
        <f aca="false">IFERROR(IF(ISNUMBER(INDEX(원자료_잔고!$A$1:$EZ$1500,설정!$L$5+ROW()-1,설정!$L$11)),INDEX(원자료_잔고!$A$1:$EZ$1500,설정!$L$5+ROW()-1,설정!$L$11),""),"")</f>
        <v>5000000</v>
      </c>
      <c r="F172" s="85" t="n">
        <f aca="false">IFERROR(IF(ISNUMBER(INDEX(원자료_잔고!$A$1:$EZ$1500,설정!$L$5+ROW()-1,설정!$L$12)),INDEX(원자료_잔고!$A$1:$EZ$1500,설정!$L$5+ROW()-1,설정!$L$12),""),"")</f>
        <v>98.6426</v>
      </c>
      <c r="G172" s="85" t="n">
        <f aca="false">IFERROR(IF(ISNUMBER(INDEX(원자료_잔고!$A$1:$EZ$1500,설정!$L$5+ROW()-1,설정!$L$13)),INDEX(원자료_잔고!$A$1:$EZ$1500,설정!$L$5+ROW()-1,설정!$L$13),""),"")</f>
        <v>5.7299</v>
      </c>
      <c r="H172" s="85" t="n">
        <f aca="false">IFERROR(IF(ISNUMBER(INDEX(원자료_잔고!$A$1:$EZ$1500,설정!$L$5+ROW()-1,설정!$L$14)),INDEX(원자료_잔고!$A$1:$EZ$1500,설정!$L$5+ROW()-1,설정!$L$14),""),"")</f>
        <v>2.7624</v>
      </c>
      <c r="I172" s="86" t="n">
        <f aca="false">IFERROR(IF(ISNUMBER(INDEX(원자료_잔고!$A$1:$EZ$1500,설정!$L$5+ROW()-1,설정!$L$15)),INDEX(원자료_잔고!$A$1:$EZ$1500,설정!$L$5+ROW()-1,설정!$L$15),""),"")</f>
        <v>47806</v>
      </c>
      <c r="J172" s="85" t="n">
        <f aca="false">IFERROR(IF(ISNUMBER(INDEX(원자료_잔고!$A$1:$EZ$1500,설정!$L$5+ROW()-1,설정!$L$16)),INDEX(원자료_잔고!$A$1:$EZ$1500,설정!$L$5+ROW()-1,설정!$L$16),""),"")</f>
        <v>5.286</v>
      </c>
      <c r="K172" s="87" t="n">
        <f aca="false">IFERROR(IF(ISNUMBER(INDEX(원자료_잔고!$A$1:$EZ$1500,설정!$L$5+ROW()-1,설정!$L$17)),INDEX(원자료_잔고!$A$1:$EZ$1500,설정!$L$5+ROW()-1,설정!$L$17),""),"")</f>
        <v>1</v>
      </c>
      <c r="L172" s="84" t="n">
        <f aca="false">IFERROR(IF(ISNUMBER(INDEX(원자료_잔고!$A$1:$EZ$1500,설정!$L$5+ROW()-1,설정!$L$18)),INDEX(원자료_잔고!$A$1:$EZ$1500,설정!$L$5+ROW()-1,설정!$L$18),""),"")</f>
        <v>4932130</v>
      </c>
      <c r="M172" s="88" t="n">
        <f aca="false">IFERROR(IF(ISNUMBER(INDEX(원자료_잔고!$A$1:$EZ$1500,설정!$L$5+ROW()-1,설정!$L$19)),INDEX(원자료_잔고!$A$1:$EZ$1500,설정!$L$5+ROW()-1,설정!$L$19),""),"")</f>
        <v>-115020</v>
      </c>
      <c r="N172" s="83" t="str">
        <f aca="false">IFERROR(IF(INDEX(원자료_잔고!$A$1:$EZ$1500,설정!$L$5+ROW()-1,설정!$L$21)&amp;""="0","",INDEX(원자료_잔고!$A$1:$EZ$1500,설정!$L$5+ROW()-1,설정!$L$21)&amp;""),"")</f>
        <v>A-</v>
      </c>
      <c r="O172" s="83" t="str">
        <f aca="false">IFERROR(IF(INDEX(원자료_잔고!$A$1:$EZ$1500,설정!$L$5+ROW()-1,설정!$L$22)&amp;""="0","",INDEX(원자료_잔고!$A$1:$EZ$1500,설정!$L$5+ROW()-1,설정!$L$22)&amp;""),"")</f>
        <v/>
      </c>
      <c r="P172" s="83" t="str">
        <f aca="false">IFERROR(IF(INDEX(원자료_잔고!$A$1:$EZ$1500,설정!$L$5+ROW()-1,설정!$L$23)&amp;""="0","",INDEX(원자료_잔고!$A$1:$EZ$1500,설정!$L$5+ROW()-1,설정!$L$23)&amp;""),"")</f>
        <v>A+</v>
      </c>
      <c r="Q172" s="89" t="n">
        <f aca="false">IF(AND($A172&lt;&gt;"",ISNUMBER(E172)),IF(E172&gt;0,1,0),0)</f>
        <v>1</v>
      </c>
      <c r="R172" s="43" t="str">
        <f aca="false">IF(Q172=1,UPPER(LEFT($A172,FIND(" ",$A172&amp;" ")-1)),"")</f>
        <v>HSBC</v>
      </c>
      <c r="S172" s="89" t="n">
        <f aca="false">IF(Q172=1,IF(OR(ISNUMBER(SEARCH("Float",$A172)),ISNUMBER(SEARCH("FRN",$A172))),1,0),0)</f>
        <v>0</v>
      </c>
      <c r="T172" s="43" t="str">
        <f aca="false">IF(AND(Q172=1,ISNUMBER(I172)),TEXT(I172,"yyyymmdd")&amp;"|"&amp;IF(S172=1,"F",TEXT(J172,"0.000")),"")</f>
        <v>20301119|5.286</v>
      </c>
      <c r="U172" s="90" t="n">
        <f aca="false">IF(AND(Q172=1,ISNUMBER(I172)),(I172-설정!$C$4)/365.25,"")</f>
        <v>4.13415468856947</v>
      </c>
      <c r="V172" s="43" t="str">
        <f aca="false">IF(Q172&lt;&gt;1,"",IF(ISNUMBER(U172),IF(U172&lt;=1,"1년 이하",IF(U172&lt;=2,"1-2년",IF(U172&lt;=3,"2-3년",IF(U172&lt;=4,"3-4년",IF(U172&lt;=5,"4-5년",IF(U172&lt;=7,"5-7년",IF(U172&lt;=10,"7-10년",IF(U172&lt;=20,"10-20년","20년 이상")))))))),"미분류"))</f>
        <v>4-5년</v>
      </c>
      <c r="W172" s="43" t="str">
        <f aca="false">IF(Q172&lt;&gt;1,"",IF(AB172&lt;&gt;"",INDEX(시장분석!$C:$C,AB172),IF(K172=1,"USD","비USD")))</f>
        <v>USD</v>
      </c>
      <c r="X172" s="91" t="n">
        <f aca="false">IF(Q172=1,E172*K172/1000000,0)</f>
        <v>5</v>
      </c>
      <c r="Y172" s="89" t="n">
        <f aca="false">IF(R172="T",1,0)</f>
        <v>0</v>
      </c>
      <c r="Z172" s="92" t="n">
        <f aca="false">IF(Q172&lt;&gt;1,"",IF(AD172=1,IF(ISNUMBER(U172),MAX(U172,0),H172),H172))</f>
        <v>2.7624</v>
      </c>
      <c r="AA172" s="91" t="n">
        <f aca="false">IF(Q172=1,IF(ISNUMBER(L172),L172,0)*K172/1000000,0)</f>
        <v>4.93213</v>
      </c>
      <c r="AB172" s="89" t="n">
        <f aca="false">IF(Q172&lt;&gt;1,"",IFERROR(MATCH(VLOOKUP(B172,매핑!$H$4:$I$15,2,0),시장분석!$A$2:$A$601,0)+1,IFERROR(MATCH(R172&amp;"|"&amp;T172,시장분석!$V$2:$V$601,0)+1,IF(COUNTIF(시장분석!$U$2:$U$601,T172)=1,MATCH(T172,시장분석!$U$2:$U$601,0)+1,""))))</f>
        <v>52</v>
      </c>
      <c r="AC172" s="89" t="n">
        <f aca="false">IF(Q172&lt;&gt;1,0,IF(OR(설정!$C$5="전체",AND(설정!$C$5="선택펀드",IFERROR(COUNTIFS(설정!$F$16:$F$36,C172,설정!$G$16:$G$36,"Y")+COUNTIFS(설정!$F$16:$F$36,VALUE(C172),설정!$G$16:$G$36,"Y"),0)&gt;0),C172&amp;""=설정!$C$5&amp;""),1,0))</f>
        <v>1</v>
      </c>
      <c r="AD172" s="89" t="n">
        <f aca="false">IF(Q172&lt;&gt;1,0,IF(OR(S172=1,IF(AB172="",FALSE(),INDEX(시장분석!$R:$R,AB172)=1)),1,0))</f>
        <v>0</v>
      </c>
      <c r="AE172" s="43" t="str">
        <f aca="false">IF(AB172="","",INDEX(시장분석!$A:$A,AB172))</f>
        <v>HSBC 5.286 11/19/30</v>
      </c>
      <c r="AF172" s="93" t="n">
        <f aca="false">IF(AB172="","",IF(ISNUMBER(IF(AB172="","",INDEX(시장분석!$E:$E,AB172))),IF(AB172="","",INDEX(시장분석!$E:$E,AB172)),""))</f>
        <v>77.115</v>
      </c>
      <c r="AG172" s="43" t="str">
        <f aca="false">IF(Q172&lt;&gt;1,"",IF(AB172&lt;&gt;"",IF(AB172="","",INDEX(시장분석!$L:$L,AB172)),IFERROR(IF(VLOOKUP(R172,매핑!$A$4:$E$92,5,0)="","미분류",VLOOKUP(R172,매핑!$A$4:$E$92,5,0)),"미분류")))</f>
        <v>금융기관</v>
      </c>
      <c r="AH172" s="43" t="str">
        <f aca="false">IF(Q172&lt;&gt;1,"",IF(AB172&lt;&gt;"",IF(AB172="","",INDEX(시장분석!$N:$N,AB172)),IFERROR(IF(VLOOKUP(R172,매핑!$A$4:$E$92,4,0)="","미분류",VLOOKUP(R172,매핑!$A$4:$E$92,4,0)),"미분류")))</f>
        <v>유럽</v>
      </c>
      <c r="AI172" s="43" t="str">
        <f aca="false">IF(Q172&lt;&gt;1,"",IFERROR(IF(VLOOKUP(R172,매핑!$A$4:$E$92,3,0)="","미분류",VLOOKUP(R172,매핑!$A$4:$E$92,3,0)),IF(AB172&lt;&gt;"",IF(AB172="","",INDEX(시장분석!$W:$W,AB172)),"미분류")))</f>
        <v>영국</v>
      </c>
      <c r="AJ172" s="43" t="str">
        <f aca="false">IF(Q172&lt;&gt;1,"",IFERROR(VLOOKUP(IF(N172&lt;&gt;"",N172,IF(P172&lt;&gt;"",P172,O172)),설정!$A$15:$D$47,2,0),""))</f>
        <v>A-</v>
      </c>
      <c r="AK172" s="43" t="str">
        <f aca="false">IF(Q172&lt;&gt;1,"",IF(AJ172="","무등급",IFERROR(VLOOKUP(AJ172,설정!$A$15:$D$47,3,0),"무등급")))</f>
        <v>A</v>
      </c>
      <c r="AL172" s="89" t="n">
        <f aca="false">IF(AJ172="",99,IFERROR(VLOOKUP(AJ172,설정!$A$15:$D$47,4,0),99))</f>
        <v>7</v>
      </c>
      <c r="AM172" s="94" t="n">
        <f aca="false">IF(ISNUMBER(H172),AA172*1000000*H172/10000,0)</f>
        <v>1362.4515912</v>
      </c>
      <c r="AN172" s="94" t="n">
        <f aca="false">IF(OR(Y172=1,NOT(ISNUMBER(Z172))),0,AA172*1000000*Z172/10000)</f>
        <v>1362.4515912</v>
      </c>
      <c r="AO172" s="94" t="n">
        <f aca="false">IF(ISNUMBER(G172),AA172*1000000*G172/100,0)</f>
        <v>282606.11687</v>
      </c>
      <c r="AP172" s="94" t="n">
        <f aca="false">IF(ISNUMBER(M172),M172*K172,0)</f>
        <v>-115020</v>
      </c>
      <c r="AQ172" s="95" t="n">
        <f aca="false">IF(AB172="","",INDEX(시장분석!$AK:$AK,AB172))</f>
        <v>0.137936510220081</v>
      </c>
      <c r="AR172" s="43" t="str">
        <f aca="false">IF(AB172="","-",IF(AB172="","",INDEX(시장분석!$AL:$AL,AB172)))</f>
        <v>Fair</v>
      </c>
      <c r="AS172" s="96" t="n">
        <f aca="false">IF(AB172="","",INDEX(시장분석!$AJ:$AJ,AB172))</f>
        <v>1.51568514746636</v>
      </c>
      <c r="AT172" s="93" t="n">
        <f aca="false">IF(AB172="",0,IF(AB172="","",INDEX(시장분석!$AN:$AN,AB172)))</f>
        <v>13.1065902394437</v>
      </c>
      <c r="AU172" s="94" t="n">
        <f aca="false">IF(ISNUMBER(Z172),AT172/10000*MAX(Z172-1,0)*AA172*1000000,0)</f>
        <v>11392.7540351697</v>
      </c>
      <c r="AV172" s="94" t="n">
        <f aca="false">AO172+AU172</f>
        <v>293998.87090517</v>
      </c>
      <c r="AW172" s="43" t="str">
        <f aca="false">IF(Q172&lt;&gt;1,"",TRIM(IF(AD172=1,"FRN ","")&amp;IF(AND(AL172&gt;=10,AL172&lt;99),"BBB0미만 ","")&amp;IF(AJ172="","등급없음 ","")&amp;IF(K172&lt;&gt;1,"비USD ","")&amp;IF(AND(AB172="",Y172=0),"시장데이터없음 ","")&amp;IF(AND(ISNUMBER(U172),U172&lt;0),"만기경과 ","")))</f>
        <v/>
      </c>
      <c r="AX172" s="90" t="n">
        <f aca="false">IF(Q172&lt;&gt;1,1,IF(스프레드쇼크!$C$4="Y",INDEX(스프레드쇼크!$B$12:$L$16,IFERROR(MATCH(AH172,스프레드쇼크!$A$12:$A$16,0),MATCH("목록외",스프레드쇼크!$A$12:$A$16,0)),IFERROR(MATCH(AG172,스프레드쇼크!$B$11:$L$11,0),MATCH("목록외",스프레드쇼크!$B$11:$L$11,0))),1))</f>
        <v>1</v>
      </c>
      <c r="AY172" s="90" t="n">
        <f aca="false">IF(스프레드쇼크!$C$5="Y",IF(ISNUMBER(AF172),MIN(스프레드쇼크!$C$7,MAX(스프레드쇼크!$C$6,AF172/스프레드쇼크!$C$8)),1),1)</f>
        <v>1.16639430230118</v>
      </c>
      <c r="AZ172" s="94" t="n">
        <f aca="false">AN172*AX172*AY172</f>
        <v>1589.15577313686</v>
      </c>
      <c r="BA172" s="90" t="n">
        <f aca="false">IF(ISNUMBER(G172),AA172*G172,0)</f>
        <v>28.260611687</v>
      </c>
      <c r="BB172" s="90" t="n">
        <f aca="false">IF(ISNUMBER(G172),AA172,0)</f>
        <v>4.93213</v>
      </c>
      <c r="BC172" s="90" t="n">
        <f aca="false">IF(AND(Y172=0,ISNUMBER(AF172)),AA172*AF172,0)</f>
        <v>380.34120495</v>
      </c>
      <c r="BD172" s="90" t="n">
        <f aca="false">IF(AND(Y172=0,ISNUMBER(AF172)),AA172,0)</f>
        <v>4.93213</v>
      </c>
      <c r="BE172" s="90" t="n">
        <f aca="false">IF(ISNUMBER(H172),AA172*H172,0)</f>
        <v>13.624515912</v>
      </c>
      <c r="BF172" s="90" t="n">
        <f aca="false">IF(ISNUMBER(H172),AA172,0)</f>
        <v>4.93213</v>
      </c>
      <c r="BG172" s="90" t="n">
        <f aca="false">IF(AND(Y172=0,ISNUMBER(AF172),ISNUMBER(Z172)),AA172*Z172,0)</f>
        <v>13.624515912</v>
      </c>
      <c r="BH172" s="90" t="n">
        <f aca="false">IF(AND(Y172=0,ISNUMBER(AF172),ISNUMBER(Z172)),AA172*AT172*MAX(Z172-1,0),0)</f>
        <v>113.927540351697</v>
      </c>
      <c r="BI172" s="90" t="n">
        <f aca="false">IF(Y172=0,AA172,0)</f>
        <v>4.93213</v>
      </c>
    </row>
    <row r="173" customFormat="false" ht="15" hidden="false" customHeight="false" outlineLevel="0" collapsed="false">
      <c r="A173" s="83" t="str">
        <f aca="false">IFERROR(IF(INDEX(원자료_잔고!$A$1:$EZ$1500,설정!$L$5+ROW()-1,설정!$L$8)&amp;""="0","",INDEX(원자료_잔고!$A$1:$EZ$1500,설정!$L$5+ROW()-1,설정!$L$8)&amp;""),"")</f>
        <v>HSBC 5.13 03/03/31</v>
      </c>
      <c r="B173" s="83" t="str">
        <f aca="false">IFERROR(IF(INDEX(원자료_잔고!$A$1:$EZ$1500,설정!$L$5+ROW()-1,설정!$L$7)&amp;""="0","",INDEX(원자료_잔고!$A$1:$EZ$1500,설정!$L$5+ROW()-1,설정!$L$7)&amp;""),"")</f>
        <v>US404280ER67</v>
      </c>
      <c r="C173" s="83" t="str">
        <f aca="false">IFERROR(IF(INDEX(원자료_잔고!$A$1:$EZ$1500,설정!$L$5+ROW()-1,설정!$L$9)&amp;""="0","",INDEX(원자료_잔고!$A$1:$EZ$1500,설정!$L$5+ROW()-1,설정!$L$9)&amp;""),"")</f>
        <v>34578</v>
      </c>
      <c r="D17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3" s="84" t="n">
        <f aca="false">IFERROR(IF(ISNUMBER(INDEX(원자료_잔고!$A$1:$EZ$1500,설정!$L$5+ROW()-1,설정!$L$11)),INDEX(원자료_잔고!$A$1:$EZ$1500,설정!$L$5+ROW()-1,설정!$L$11),""),"")</f>
        <v>8000000</v>
      </c>
      <c r="F173" s="85" t="n">
        <f aca="false">IFERROR(IF(ISNUMBER(INDEX(원자료_잔고!$A$1:$EZ$1500,설정!$L$5+ROW()-1,설정!$L$12)),INDEX(원자료_잔고!$A$1:$EZ$1500,설정!$L$5+ROW()-1,설정!$L$12),""),"")</f>
        <v>97.8365</v>
      </c>
      <c r="G173" s="85" t="n">
        <f aca="false">IFERROR(IF(ISNUMBER(INDEX(원자료_잔고!$A$1:$EZ$1500,설정!$L$5+ROW()-1,설정!$L$13)),INDEX(원자료_잔고!$A$1:$EZ$1500,설정!$L$5+ROW()-1,설정!$L$13),""),"")</f>
        <v>5.7904</v>
      </c>
      <c r="H173" s="85" t="n">
        <f aca="false">IFERROR(IF(ISNUMBER(INDEX(원자료_잔고!$A$1:$EZ$1500,설정!$L$5+ROW()-1,설정!$L$14)),INDEX(원자료_잔고!$A$1:$EZ$1500,설정!$L$5+ROW()-1,설정!$L$14),""),"")</f>
        <v>3.0456</v>
      </c>
      <c r="I173" s="86" t="n">
        <f aca="false">IFERROR(IF(ISNUMBER(INDEX(원자료_잔고!$A$1:$EZ$1500,설정!$L$5+ROW()-1,설정!$L$15)),INDEX(원자료_잔고!$A$1:$EZ$1500,설정!$L$5+ROW()-1,설정!$L$15),""),"")</f>
        <v>47910</v>
      </c>
      <c r="J173" s="85" t="n">
        <f aca="false">IFERROR(IF(ISNUMBER(INDEX(원자료_잔고!$A$1:$EZ$1500,설정!$L$5+ROW()-1,설정!$L$16)),INDEX(원자료_잔고!$A$1:$EZ$1500,설정!$L$5+ROW()-1,설정!$L$16),""),"")</f>
        <v>5.13</v>
      </c>
      <c r="K173" s="87" t="n">
        <f aca="false">IFERROR(IF(ISNUMBER(INDEX(원자료_잔고!$A$1:$EZ$1500,설정!$L$5+ROW()-1,설정!$L$17)),INDEX(원자료_잔고!$A$1:$EZ$1500,설정!$L$5+ROW()-1,설정!$L$17),""),"")</f>
        <v>1</v>
      </c>
      <c r="L173" s="84" t="n">
        <f aca="false">IFERROR(IF(ISNUMBER(INDEX(원자료_잔고!$A$1:$EZ$1500,설정!$L$5+ROW()-1,설정!$L$18)),INDEX(원자료_잔고!$A$1:$EZ$1500,설정!$L$5+ROW()-1,설정!$L$18),""),"")</f>
        <v>7826920</v>
      </c>
      <c r="M173" s="88" t="n">
        <f aca="false">IFERROR(IF(ISNUMBER(INDEX(원자료_잔고!$A$1:$EZ$1500,설정!$L$5+ROW()-1,설정!$L$19)),INDEX(원자료_잔고!$A$1:$EZ$1500,설정!$L$5+ROW()-1,설정!$L$19),""),"")</f>
        <v>-301080</v>
      </c>
      <c r="N173" s="83" t="str">
        <f aca="false">IFERROR(IF(INDEX(원자료_잔고!$A$1:$EZ$1500,설정!$L$5+ROW()-1,설정!$L$21)&amp;""="0","",INDEX(원자료_잔고!$A$1:$EZ$1500,설정!$L$5+ROW()-1,설정!$L$21)&amp;""),"")</f>
        <v>A-</v>
      </c>
      <c r="O173" s="83" t="str">
        <f aca="false">IFERROR(IF(INDEX(원자료_잔고!$A$1:$EZ$1500,설정!$L$5+ROW()-1,설정!$L$22)&amp;""="0","",INDEX(원자료_잔고!$A$1:$EZ$1500,설정!$L$5+ROW()-1,설정!$L$22)&amp;""),"")</f>
        <v/>
      </c>
      <c r="P173" s="83" t="str">
        <f aca="false">IFERROR(IF(INDEX(원자료_잔고!$A$1:$EZ$1500,설정!$L$5+ROW()-1,설정!$L$23)&amp;""="0","",INDEX(원자료_잔고!$A$1:$EZ$1500,설정!$L$5+ROW()-1,설정!$L$23)&amp;""),"")</f>
        <v>A+</v>
      </c>
      <c r="Q173" s="89" t="n">
        <f aca="false">IF(AND($A173&lt;&gt;"",ISNUMBER(E173)),IF(E173&gt;0,1,0),0)</f>
        <v>1</v>
      </c>
      <c r="R173" s="43" t="str">
        <f aca="false">IF(Q173=1,UPPER(LEFT($A173,FIND(" ",$A173&amp;" ")-1)),"")</f>
        <v>HSBC</v>
      </c>
      <c r="S173" s="89" t="n">
        <f aca="false">IF(Q173=1,IF(OR(ISNUMBER(SEARCH("Float",$A173)),ISNUMBER(SEARCH("FRN",$A173))),1,0),0)</f>
        <v>0</v>
      </c>
      <c r="T173" s="43" t="str">
        <f aca="false">IF(AND(Q173=1,ISNUMBER(I173)),TEXT(I173,"yyyymmdd")&amp;"|"&amp;IF(S173=1,"F",TEXT(J173,"0.000")),"")</f>
        <v>20310303|5.130</v>
      </c>
      <c r="U173" s="90" t="n">
        <f aca="false">IF(AND(Q173=1,ISNUMBER(I173)),(I173-설정!$C$4)/365.25,"")</f>
        <v>4.41889117043121</v>
      </c>
      <c r="V173" s="43" t="str">
        <f aca="false">IF(Q173&lt;&gt;1,"",IF(ISNUMBER(U173),IF(U173&lt;=1,"1년 이하",IF(U173&lt;=2,"1-2년",IF(U173&lt;=3,"2-3년",IF(U173&lt;=4,"3-4년",IF(U173&lt;=5,"4-5년",IF(U173&lt;=7,"5-7년",IF(U173&lt;=10,"7-10년",IF(U173&lt;=20,"10-20년","20년 이상")))))))),"미분류"))</f>
        <v>4-5년</v>
      </c>
      <c r="W173" s="43" t="str">
        <f aca="false">IF(Q173&lt;&gt;1,"",IF(AB173&lt;&gt;"",INDEX(시장분석!$C:$C,AB173),IF(K173=1,"USD","비USD")))</f>
        <v>USD</v>
      </c>
      <c r="X173" s="91" t="n">
        <f aca="false">IF(Q173=1,E173*K173/1000000,0)</f>
        <v>8</v>
      </c>
      <c r="Y173" s="89" t="n">
        <f aca="false">IF(R173="T",1,0)</f>
        <v>0</v>
      </c>
      <c r="Z173" s="92" t="n">
        <f aca="false">IF(Q173&lt;&gt;1,"",IF(AD173=1,IF(ISNUMBER(U173),MAX(U173,0),H173),H173))</f>
        <v>3.0456</v>
      </c>
      <c r="AA173" s="91" t="n">
        <f aca="false">IF(Q173=1,IF(ISNUMBER(L173),L173,0)*K173/1000000,0)</f>
        <v>7.82692</v>
      </c>
      <c r="AB173" s="89" t="n">
        <f aca="false">IF(Q173&lt;&gt;1,"",IFERROR(MATCH(VLOOKUP(B173,매핑!$H$4:$I$15,2,0),시장분석!$A$2:$A$601,0)+1,IFERROR(MATCH(R173&amp;"|"&amp;T173,시장분석!$V$2:$V$601,0)+1,IF(COUNTIF(시장분석!$U$2:$U$601,T173)=1,MATCH(T173,시장분석!$U$2:$U$601,0)+1,""))))</f>
        <v>53</v>
      </c>
      <c r="AC173" s="89" t="n">
        <f aca="false">IF(Q173&lt;&gt;1,0,IF(OR(설정!$C$5="전체",AND(설정!$C$5="선택펀드",IFERROR(COUNTIFS(설정!$F$16:$F$36,C173,설정!$G$16:$G$36,"Y")+COUNTIFS(설정!$F$16:$F$36,VALUE(C173),설정!$G$16:$G$36,"Y"),0)&gt;0),C173&amp;""=설정!$C$5&amp;""),1,0))</f>
        <v>1</v>
      </c>
      <c r="AD173" s="89" t="n">
        <f aca="false">IF(Q173&lt;&gt;1,0,IF(OR(S173=1,IF(AB173="",FALSE(),INDEX(시장분석!$R:$R,AB173)=1)),1,0))</f>
        <v>0</v>
      </c>
      <c r="AE173" s="43" t="str">
        <f aca="false">IF(AB173="","",INDEX(시장분석!$A:$A,AB173))</f>
        <v>HSBC 5.13 03/03/31</v>
      </c>
      <c r="AF173" s="93" t="n">
        <f aca="false">IF(AB173="","",IF(ISNUMBER(IF(AB173="","",INDEX(시장분석!$E:$E,AB173))),IF(AB173="","",INDEX(시장분석!$E:$E,AB173)),""))</f>
        <v>77.335</v>
      </c>
      <c r="AG173" s="43" t="str">
        <f aca="false">IF(Q173&lt;&gt;1,"",IF(AB173&lt;&gt;"",IF(AB173="","",INDEX(시장분석!$L:$L,AB173)),IFERROR(IF(VLOOKUP(R173,매핑!$A$4:$E$92,5,0)="","미분류",VLOOKUP(R173,매핑!$A$4:$E$92,5,0)),"미분류")))</f>
        <v>금융기관</v>
      </c>
      <c r="AH173" s="43" t="str">
        <f aca="false">IF(Q173&lt;&gt;1,"",IF(AB173&lt;&gt;"",IF(AB173="","",INDEX(시장분석!$N:$N,AB173)),IFERROR(IF(VLOOKUP(R173,매핑!$A$4:$E$92,4,0)="","미분류",VLOOKUP(R173,매핑!$A$4:$E$92,4,0)),"미분류")))</f>
        <v>유럽</v>
      </c>
      <c r="AI173" s="43" t="str">
        <f aca="false">IF(Q173&lt;&gt;1,"",IFERROR(IF(VLOOKUP(R173,매핑!$A$4:$E$92,3,0)="","미분류",VLOOKUP(R173,매핑!$A$4:$E$92,3,0)),IF(AB173&lt;&gt;"",IF(AB173="","",INDEX(시장분석!$W:$W,AB173)),"미분류")))</f>
        <v>영국</v>
      </c>
      <c r="AJ173" s="43" t="str">
        <f aca="false">IF(Q173&lt;&gt;1,"",IFERROR(VLOOKUP(IF(N173&lt;&gt;"",N173,IF(P173&lt;&gt;"",P173,O173)),설정!$A$15:$D$47,2,0),""))</f>
        <v>A-</v>
      </c>
      <c r="AK173" s="43" t="str">
        <f aca="false">IF(Q173&lt;&gt;1,"",IF(AJ173="","무등급",IFERROR(VLOOKUP(AJ173,설정!$A$15:$D$47,3,0),"무등급")))</f>
        <v>A</v>
      </c>
      <c r="AL173" s="89" t="n">
        <f aca="false">IF(AJ173="",99,IFERROR(VLOOKUP(AJ173,설정!$A$15:$D$47,4,0),99))</f>
        <v>7</v>
      </c>
      <c r="AM173" s="94" t="n">
        <f aca="false">IF(ISNUMBER(H173),AA173*1000000*H173/10000,0)</f>
        <v>2383.7667552</v>
      </c>
      <c r="AN173" s="94" t="n">
        <f aca="false">IF(OR(Y173=1,NOT(ISNUMBER(Z173))),0,AA173*1000000*Z173/10000)</f>
        <v>2383.7667552</v>
      </c>
      <c r="AO173" s="94" t="n">
        <f aca="false">IF(ISNUMBER(G173),AA173*1000000*G173/100,0)</f>
        <v>453209.97568</v>
      </c>
      <c r="AP173" s="94" t="n">
        <f aca="false">IF(ISNUMBER(M173),M173*K173,0)</f>
        <v>-301080</v>
      </c>
      <c r="AQ173" s="95" t="n">
        <f aca="false">IF(AB173="","",INDEX(시장분석!$AK:$AK,AB173))</f>
        <v>-0.11444616949704</v>
      </c>
      <c r="AR173" s="43" t="str">
        <f aca="false">IF(AB173="","-",IF(AB173="","",INDEX(시장분석!$AL:$AL,AB173)))</f>
        <v>Fair</v>
      </c>
      <c r="AS173" s="96" t="n">
        <f aca="false">IF(AB173="","",INDEX(시장분석!$AJ:$AJ,AB173))</f>
        <v>-1.25756668060048</v>
      </c>
      <c r="AT173" s="93" t="n">
        <f aca="false">IF(AB173="",0,IF(AB173="","",INDEX(시장분석!$AN:$AN,AB173)))</f>
        <v>11.6177763144858</v>
      </c>
      <c r="AU173" s="94" t="n">
        <f aca="false">IF(ISNUMBER(Z173),AT173/10000*MAX(Z173-1,0)*AA173*1000000,0)</f>
        <v>18600.9283686837</v>
      </c>
      <c r="AV173" s="94" t="n">
        <f aca="false">AO173+AU173</f>
        <v>471810.904048684</v>
      </c>
      <c r="AW173" s="43" t="str">
        <f aca="false">IF(Q173&lt;&gt;1,"",TRIM(IF(AD173=1,"FRN ","")&amp;IF(AND(AL173&gt;=10,AL173&lt;99),"BBB0미만 ","")&amp;IF(AJ173="","등급없음 ","")&amp;IF(K173&lt;&gt;1,"비USD ","")&amp;IF(AND(AB173="",Y173=0),"시장데이터없음 ","")&amp;IF(AND(ISNUMBER(U173),U173&lt;0),"만기경과 ","")))</f>
        <v/>
      </c>
      <c r="AX173" s="90" t="n">
        <f aca="false">IF(Q173&lt;&gt;1,1,IF(스프레드쇼크!$C$4="Y",INDEX(스프레드쇼크!$B$12:$L$16,IFERROR(MATCH(AH173,스프레드쇼크!$A$12:$A$16,0),MATCH("목록외",스프레드쇼크!$A$12:$A$16,0)),IFERROR(MATCH(AG173,스프레드쇼크!$B$11:$L$11,0),MATCH("목록외",스프레드쇼크!$B$11:$L$11,0))),1))</f>
        <v>1</v>
      </c>
      <c r="AY173" s="90" t="n">
        <f aca="false">IF(스프레드쇼크!$C$5="Y",IF(ISNUMBER(AF173),MIN(스프레드쇼크!$C$7,MAX(스프레드쇼크!$C$6,AF173/스프레드쇼크!$C$8)),1),1)</f>
        <v>1.16972188768024</v>
      </c>
      <c r="AZ173" s="94" t="n">
        <f aca="false">AN173*AX173*AY173</f>
        <v>2788.34414868195</v>
      </c>
      <c r="BA173" s="90" t="n">
        <f aca="false">IF(ISNUMBER(G173),AA173*G173,0)</f>
        <v>45.320997568</v>
      </c>
      <c r="BB173" s="90" t="n">
        <f aca="false">IF(ISNUMBER(G173),AA173,0)</f>
        <v>7.82692</v>
      </c>
      <c r="BC173" s="90" t="n">
        <f aca="false">IF(AND(Y173=0,ISNUMBER(AF173)),AA173*AF173,0)</f>
        <v>605.2948582</v>
      </c>
      <c r="BD173" s="90" t="n">
        <f aca="false">IF(AND(Y173=0,ISNUMBER(AF173)),AA173,0)</f>
        <v>7.82692</v>
      </c>
      <c r="BE173" s="90" t="n">
        <f aca="false">IF(ISNUMBER(H173),AA173*H173,0)</f>
        <v>23.837667552</v>
      </c>
      <c r="BF173" s="90" t="n">
        <f aca="false">IF(ISNUMBER(H173),AA173,0)</f>
        <v>7.82692</v>
      </c>
      <c r="BG173" s="90" t="n">
        <f aca="false">IF(AND(Y173=0,ISNUMBER(AF173),ISNUMBER(Z173)),AA173*Z173,0)</f>
        <v>23.837667552</v>
      </c>
      <c r="BH173" s="90" t="n">
        <f aca="false">IF(AND(Y173=0,ISNUMBER(AF173),ISNUMBER(Z173)),AA173*AT173*MAX(Z173-1,0),0)</f>
        <v>186.009283686837</v>
      </c>
      <c r="BI173" s="90" t="n">
        <f aca="false">IF(Y173=0,AA173,0)</f>
        <v>7.82692</v>
      </c>
    </row>
    <row r="174" customFormat="false" ht="15" hidden="false" customHeight="false" outlineLevel="0" collapsed="false">
      <c r="A174" s="83" t="str">
        <f aca="false">IFERROR(IF(INDEX(원자료_잔고!$A$1:$EZ$1500,설정!$L$5+ROW()-1,설정!$L$8)&amp;""="0","",INDEX(원자료_잔고!$A$1:$EZ$1500,설정!$L$5+ROW()-1,설정!$L$8)&amp;""),"")</f>
        <v>HSBC 5.13 03/03/31</v>
      </c>
      <c r="B174" s="83" t="str">
        <f aca="false">IFERROR(IF(INDEX(원자료_잔고!$A$1:$EZ$1500,설정!$L$5+ROW()-1,설정!$L$7)&amp;""="0","",INDEX(원자료_잔고!$A$1:$EZ$1500,설정!$L$5+ROW()-1,설정!$L$7)&amp;""),"")</f>
        <v>US404280ER67</v>
      </c>
      <c r="C174" s="83" t="str">
        <f aca="false">IFERROR(IF(INDEX(원자료_잔고!$A$1:$EZ$1500,설정!$L$5+ROW()-1,설정!$L$9)&amp;""="0","",INDEX(원자료_잔고!$A$1:$EZ$1500,설정!$L$5+ROW()-1,설정!$L$9)&amp;""),"")</f>
        <v>34578</v>
      </c>
      <c r="D17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4" s="84" t="n">
        <f aca="false">IFERROR(IF(ISNUMBER(INDEX(원자료_잔고!$A$1:$EZ$1500,설정!$L$5+ROW()-1,설정!$L$11)),INDEX(원자료_잔고!$A$1:$EZ$1500,설정!$L$5+ROW()-1,설정!$L$11),""),"")</f>
        <v>5000000</v>
      </c>
      <c r="F174" s="85" t="n">
        <f aca="false">IFERROR(IF(ISNUMBER(INDEX(원자료_잔고!$A$1:$EZ$1500,설정!$L$5+ROW()-1,설정!$L$12)),INDEX(원자료_잔고!$A$1:$EZ$1500,설정!$L$5+ROW()-1,설정!$L$12),""),"")</f>
        <v>97.8365</v>
      </c>
      <c r="G174" s="85" t="n">
        <f aca="false">IFERROR(IF(ISNUMBER(INDEX(원자료_잔고!$A$1:$EZ$1500,설정!$L$5+ROW()-1,설정!$L$13)),INDEX(원자료_잔고!$A$1:$EZ$1500,설정!$L$5+ROW()-1,설정!$L$13),""),"")</f>
        <v>5.7904</v>
      </c>
      <c r="H174" s="85" t="n">
        <f aca="false">IFERROR(IF(ISNUMBER(INDEX(원자료_잔고!$A$1:$EZ$1500,설정!$L$5+ROW()-1,설정!$L$14)),INDEX(원자료_잔고!$A$1:$EZ$1500,설정!$L$5+ROW()-1,설정!$L$14),""),"")</f>
        <v>3.0456</v>
      </c>
      <c r="I174" s="86" t="n">
        <f aca="false">IFERROR(IF(ISNUMBER(INDEX(원자료_잔고!$A$1:$EZ$1500,설정!$L$5+ROW()-1,설정!$L$15)),INDEX(원자료_잔고!$A$1:$EZ$1500,설정!$L$5+ROW()-1,설정!$L$15),""),"")</f>
        <v>47910</v>
      </c>
      <c r="J174" s="85" t="n">
        <f aca="false">IFERROR(IF(ISNUMBER(INDEX(원자료_잔고!$A$1:$EZ$1500,설정!$L$5+ROW()-1,설정!$L$16)),INDEX(원자료_잔고!$A$1:$EZ$1500,설정!$L$5+ROW()-1,설정!$L$16),""),"")</f>
        <v>5.13</v>
      </c>
      <c r="K174" s="87" t="n">
        <f aca="false">IFERROR(IF(ISNUMBER(INDEX(원자료_잔고!$A$1:$EZ$1500,설정!$L$5+ROW()-1,설정!$L$17)),INDEX(원자료_잔고!$A$1:$EZ$1500,설정!$L$5+ROW()-1,설정!$L$17),""),"")</f>
        <v>1</v>
      </c>
      <c r="L174" s="84" t="n">
        <f aca="false">IFERROR(IF(ISNUMBER(INDEX(원자료_잔고!$A$1:$EZ$1500,설정!$L$5+ROW()-1,설정!$L$18)),INDEX(원자료_잔고!$A$1:$EZ$1500,설정!$L$5+ROW()-1,설정!$L$18),""),"")</f>
        <v>4891825</v>
      </c>
      <c r="M174" s="88" t="n">
        <f aca="false">IFERROR(IF(ISNUMBER(INDEX(원자료_잔고!$A$1:$EZ$1500,설정!$L$5+ROW()-1,설정!$L$19)),INDEX(원자료_잔고!$A$1:$EZ$1500,설정!$L$5+ROW()-1,설정!$L$19),""),"")</f>
        <v>-128075</v>
      </c>
      <c r="N174" s="83" t="str">
        <f aca="false">IFERROR(IF(INDEX(원자료_잔고!$A$1:$EZ$1500,설정!$L$5+ROW()-1,설정!$L$21)&amp;""="0","",INDEX(원자료_잔고!$A$1:$EZ$1500,설정!$L$5+ROW()-1,설정!$L$21)&amp;""),"")</f>
        <v>A-</v>
      </c>
      <c r="O174" s="83" t="str">
        <f aca="false">IFERROR(IF(INDEX(원자료_잔고!$A$1:$EZ$1500,설정!$L$5+ROW()-1,설정!$L$22)&amp;""="0","",INDEX(원자료_잔고!$A$1:$EZ$1500,설정!$L$5+ROW()-1,설정!$L$22)&amp;""),"")</f>
        <v/>
      </c>
      <c r="P174" s="83" t="str">
        <f aca="false">IFERROR(IF(INDEX(원자료_잔고!$A$1:$EZ$1500,설정!$L$5+ROW()-1,설정!$L$23)&amp;""="0","",INDEX(원자료_잔고!$A$1:$EZ$1500,설정!$L$5+ROW()-1,설정!$L$23)&amp;""),"")</f>
        <v>A+</v>
      </c>
      <c r="Q174" s="89" t="n">
        <f aca="false">IF(AND($A174&lt;&gt;"",ISNUMBER(E174)),IF(E174&gt;0,1,0),0)</f>
        <v>1</v>
      </c>
      <c r="R174" s="43" t="str">
        <f aca="false">IF(Q174=1,UPPER(LEFT($A174,FIND(" ",$A174&amp;" ")-1)),"")</f>
        <v>HSBC</v>
      </c>
      <c r="S174" s="89" t="n">
        <f aca="false">IF(Q174=1,IF(OR(ISNUMBER(SEARCH("Float",$A174)),ISNUMBER(SEARCH("FRN",$A174))),1,0),0)</f>
        <v>0</v>
      </c>
      <c r="T174" s="43" t="str">
        <f aca="false">IF(AND(Q174=1,ISNUMBER(I174)),TEXT(I174,"yyyymmdd")&amp;"|"&amp;IF(S174=1,"F",TEXT(J174,"0.000")),"")</f>
        <v>20310303|5.130</v>
      </c>
      <c r="U174" s="90" t="n">
        <f aca="false">IF(AND(Q174=1,ISNUMBER(I174)),(I174-설정!$C$4)/365.25,"")</f>
        <v>4.41889117043121</v>
      </c>
      <c r="V174" s="43" t="str">
        <f aca="false">IF(Q174&lt;&gt;1,"",IF(ISNUMBER(U174),IF(U174&lt;=1,"1년 이하",IF(U174&lt;=2,"1-2년",IF(U174&lt;=3,"2-3년",IF(U174&lt;=4,"3-4년",IF(U174&lt;=5,"4-5년",IF(U174&lt;=7,"5-7년",IF(U174&lt;=10,"7-10년",IF(U174&lt;=20,"10-20년","20년 이상")))))))),"미분류"))</f>
        <v>4-5년</v>
      </c>
      <c r="W174" s="43" t="str">
        <f aca="false">IF(Q174&lt;&gt;1,"",IF(AB174&lt;&gt;"",INDEX(시장분석!$C:$C,AB174),IF(K174=1,"USD","비USD")))</f>
        <v>USD</v>
      </c>
      <c r="X174" s="91" t="n">
        <f aca="false">IF(Q174=1,E174*K174/1000000,0)</f>
        <v>5</v>
      </c>
      <c r="Y174" s="89" t="n">
        <f aca="false">IF(R174="T",1,0)</f>
        <v>0</v>
      </c>
      <c r="Z174" s="92" t="n">
        <f aca="false">IF(Q174&lt;&gt;1,"",IF(AD174=1,IF(ISNUMBER(U174),MAX(U174,0),H174),H174))</f>
        <v>3.0456</v>
      </c>
      <c r="AA174" s="91" t="n">
        <f aca="false">IF(Q174=1,IF(ISNUMBER(L174),L174,0)*K174/1000000,0)</f>
        <v>4.891825</v>
      </c>
      <c r="AB174" s="89" t="n">
        <f aca="false">IF(Q174&lt;&gt;1,"",IFERROR(MATCH(VLOOKUP(B174,매핑!$H$4:$I$15,2,0),시장분석!$A$2:$A$601,0)+1,IFERROR(MATCH(R174&amp;"|"&amp;T174,시장분석!$V$2:$V$601,0)+1,IF(COUNTIF(시장분석!$U$2:$U$601,T174)=1,MATCH(T174,시장분석!$U$2:$U$601,0)+1,""))))</f>
        <v>53</v>
      </c>
      <c r="AC174" s="89" t="n">
        <f aca="false">IF(Q174&lt;&gt;1,0,IF(OR(설정!$C$5="전체",AND(설정!$C$5="선택펀드",IFERROR(COUNTIFS(설정!$F$16:$F$36,C174,설정!$G$16:$G$36,"Y")+COUNTIFS(설정!$F$16:$F$36,VALUE(C174),설정!$G$16:$G$36,"Y"),0)&gt;0),C174&amp;""=설정!$C$5&amp;""),1,0))</f>
        <v>1</v>
      </c>
      <c r="AD174" s="89" t="n">
        <f aca="false">IF(Q174&lt;&gt;1,0,IF(OR(S174=1,IF(AB174="",FALSE(),INDEX(시장분석!$R:$R,AB174)=1)),1,0))</f>
        <v>0</v>
      </c>
      <c r="AE174" s="43" t="str">
        <f aca="false">IF(AB174="","",INDEX(시장분석!$A:$A,AB174))</f>
        <v>HSBC 5.13 03/03/31</v>
      </c>
      <c r="AF174" s="93" t="n">
        <f aca="false">IF(AB174="","",IF(ISNUMBER(IF(AB174="","",INDEX(시장분석!$E:$E,AB174))),IF(AB174="","",INDEX(시장분석!$E:$E,AB174)),""))</f>
        <v>77.335</v>
      </c>
      <c r="AG174" s="43" t="str">
        <f aca="false">IF(Q174&lt;&gt;1,"",IF(AB174&lt;&gt;"",IF(AB174="","",INDEX(시장분석!$L:$L,AB174)),IFERROR(IF(VLOOKUP(R174,매핑!$A$4:$E$92,5,0)="","미분류",VLOOKUP(R174,매핑!$A$4:$E$92,5,0)),"미분류")))</f>
        <v>금융기관</v>
      </c>
      <c r="AH174" s="43" t="str">
        <f aca="false">IF(Q174&lt;&gt;1,"",IF(AB174&lt;&gt;"",IF(AB174="","",INDEX(시장분석!$N:$N,AB174)),IFERROR(IF(VLOOKUP(R174,매핑!$A$4:$E$92,4,0)="","미분류",VLOOKUP(R174,매핑!$A$4:$E$92,4,0)),"미분류")))</f>
        <v>유럽</v>
      </c>
      <c r="AI174" s="43" t="str">
        <f aca="false">IF(Q174&lt;&gt;1,"",IFERROR(IF(VLOOKUP(R174,매핑!$A$4:$E$92,3,0)="","미분류",VLOOKUP(R174,매핑!$A$4:$E$92,3,0)),IF(AB174&lt;&gt;"",IF(AB174="","",INDEX(시장분석!$W:$W,AB174)),"미분류")))</f>
        <v>영국</v>
      </c>
      <c r="AJ174" s="43" t="str">
        <f aca="false">IF(Q174&lt;&gt;1,"",IFERROR(VLOOKUP(IF(N174&lt;&gt;"",N174,IF(P174&lt;&gt;"",P174,O174)),설정!$A$15:$D$47,2,0),""))</f>
        <v>A-</v>
      </c>
      <c r="AK174" s="43" t="str">
        <f aca="false">IF(Q174&lt;&gt;1,"",IF(AJ174="","무등급",IFERROR(VLOOKUP(AJ174,설정!$A$15:$D$47,3,0),"무등급")))</f>
        <v>A</v>
      </c>
      <c r="AL174" s="89" t="n">
        <f aca="false">IF(AJ174="",99,IFERROR(VLOOKUP(AJ174,설정!$A$15:$D$47,4,0),99))</f>
        <v>7</v>
      </c>
      <c r="AM174" s="94" t="n">
        <f aca="false">IF(ISNUMBER(H174),AA174*1000000*H174/10000,0)</f>
        <v>1489.854222</v>
      </c>
      <c r="AN174" s="94" t="n">
        <f aca="false">IF(OR(Y174=1,NOT(ISNUMBER(Z174))),0,AA174*1000000*Z174/10000)</f>
        <v>1489.854222</v>
      </c>
      <c r="AO174" s="94" t="n">
        <f aca="false">IF(ISNUMBER(G174),AA174*1000000*G174/100,0)</f>
        <v>283256.2348</v>
      </c>
      <c r="AP174" s="94" t="n">
        <f aca="false">IF(ISNUMBER(M174),M174*K174,0)</f>
        <v>-128075</v>
      </c>
      <c r="AQ174" s="95" t="n">
        <f aca="false">IF(AB174="","",INDEX(시장분석!$AK:$AK,AB174))</f>
        <v>-0.11444616949704</v>
      </c>
      <c r="AR174" s="43" t="str">
        <f aca="false">IF(AB174="","-",IF(AB174="","",INDEX(시장분석!$AL:$AL,AB174)))</f>
        <v>Fair</v>
      </c>
      <c r="AS174" s="96" t="n">
        <f aca="false">IF(AB174="","",INDEX(시장분석!$AJ:$AJ,AB174))</f>
        <v>-1.25756668060048</v>
      </c>
      <c r="AT174" s="93" t="n">
        <f aca="false">IF(AB174="",0,IF(AB174="","",INDEX(시장분석!$AN:$AN,AB174)))</f>
        <v>11.6177763144858</v>
      </c>
      <c r="AU174" s="94" t="n">
        <f aca="false">IF(ISNUMBER(Z174),AT174/10000*MAX(Z174-1,0)*AA174*1000000,0)</f>
        <v>11625.5802304273</v>
      </c>
      <c r="AV174" s="94" t="n">
        <f aca="false">AO174+AU174</f>
        <v>294881.815030427</v>
      </c>
      <c r="AW174" s="43" t="str">
        <f aca="false">IF(Q174&lt;&gt;1,"",TRIM(IF(AD174=1,"FRN ","")&amp;IF(AND(AL174&gt;=10,AL174&lt;99),"BBB0미만 ","")&amp;IF(AJ174="","등급없음 ","")&amp;IF(K174&lt;&gt;1,"비USD ","")&amp;IF(AND(AB174="",Y174=0),"시장데이터없음 ","")&amp;IF(AND(ISNUMBER(U174),U174&lt;0),"만기경과 ","")))</f>
        <v/>
      </c>
      <c r="AX174" s="90" t="n">
        <f aca="false">IF(Q174&lt;&gt;1,1,IF(스프레드쇼크!$C$4="Y",INDEX(스프레드쇼크!$B$12:$L$16,IFERROR(MATCH(AH174,스프레드쇼크!$A$12:$A$16,0),MATCH("목록외",스프레드쇼크!$A$12:$A$16,0)),IFERROR(MATCH(AG174,스프레드쇼크!$B$11:$L$11,0),MATCH("목록외",스프레드쇼크!$B$11:$L$11,0))),1))</f>
        <v>1</v>
      </c>
      <c r="AY174" s="90" t="n">
        <f aca="false">IF(스프레드쇼크!$C$5="Y",IF(ISNUMBER(AF174),MIN(스프레드쇼크!$C$7,MAX(스프레드쇼크!$C$6,AF174/스프레드쇼크!$C$8)),1),1)</f>
        <v>1.16972188768024</v>
      </c>
      <c r="AZ174" s="94" t="n">
        <f aca="false">AN174*AX174*AY174</f>
        <v>1742.71509292622</v>
      </c>
      <c r="BA174" s="90" t="n">
        <f aca="false">IF(ISNUMBER(G174),AA174*G174,0)</f>
        <v>28.32562348</v>
      </c>
      <c r="BB174" s="90" t="n">
        <f aca="false">IF(ISNUMBER(G174),AA174,0)</f>
        <v>4.891825</v>
      </c>
      <c r="BC174" s="90" t="n">
        <f aca="false">IF(AND(Y174=0,ISNUMBER(AF174)),AA174*AF174,0)</f>
        <v>378.309286375</v>
      </c>
      <c r="BD174" s="90" t="n">
        <f aca="false">IF(AND(Y174=0,ISNUMBER(AF174)),AA174,0)</f>
        <v>4.891825</v>
      </c>
      <c r="BE174" s="90" t="n">
        <f aca="false">IF(ISNUMBER(H174),AA174*H174,0)</f>
        <v>14.89854222</v>
      </c>
      <c r="BF174" s="90" t="n">
        <f aca="false">IF(ISNUMBER(H174),AA174,0)</f>
        <v>4.891825</v>
      </c>
      <c r="BG174" s="90" t="n">
        <f aca="false">IF(AND(Y174=0,ISNUMBER(AF174),ISNUMBER(Z174)),AA174*Z174,0)</f>
        <v>14.89854222</v>
      </c>
      <c r="BH174" s="90" t="n">
        <f aca="false">IF(AND(Y174=0,ISNUMBER(AF174),ISNUMBER(Z174)),AA174*AT174*MAX(Z174-1,0),0)</f>
        <v>116.255802304273</v>
      </c>
      <c r="BI174" s="90" t="n">
        <f aca="false">IF(Y174=0,AA174,0)</f>
        <v>4.891825</v>
      </c>
    </row>
    <row r="175" customFormat="false" ht="15" hidden="false" customHeight="false" outlineLevel="0" collapsed="false">
      <c r="A175" s="83" t="str">
        <f aca="false">IFERROR(IF(INDEX(원자료_잔고!$A$1:$EZ$1500,설정!$L$5+ROW()-1,설정!$L$8)&amp;""="0","",INDEX(원자료_잔고!$A$1:$EZ$1500,설정!$L$5+ROW()-1,설정!$L$8)&amp;""),"")</f>
        <v>HSBC 5.24 05/13/31</v>
      </c>
      <c r="B175" s="83" t="str">
        <f aca="false">IFERROR(IF(INDEX(원자료_잔고!$A$1:$EZ$1500,설정!$L$5+ROW()-1,설정!$L$7)&amp;""="0","",INDEX(원자료_잔고!$A$1:$EZ$1500,설정!$L$5+ROW()-1,설정!$L$7)&amp;""),"")</f>
        <v>US404280EW52</v>
      </c>
      <c r="C175" s="83" t="str">
        <f aca="false">IFERROR(IF(INDEX(원자료_잔고!$A$1:$EZ$1500,설정!$L$5+ROW()-1,설정!$L$9)&amp;""="0","",INDEX(원자료_잔고!$A$1:$EZ$1500,설정!$L$5+ROW()-1,설정!$L$9)&amp;""),"")</f>
        <v>34578</v>
      </c>
      <c r="D17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5" s="84" t="n">
        <f aca="false">IFERROR(IF(ISNUMBER(INDEX(원자료_잔고!$A$1:$EZ$1500,설정!$L$5+ROW()-1,설정!$L$11)),INDEX(원자료_잔고!$A$1:$EZ$1500,설정!$L$5+ROW()-1,설정!$L$11),""),"")</f>
        <v>10000000</v>
      </c>
      <c r="F175" s="85" t="n">
        <f aca="false">IFERROR(IF(ISNUMBER(INDEX(원자료_잔고!$A$1:$EZ$1500,설정!$L$5+ROW()-1,설정!$L$12)),INDEX(원자료_잔고!$A$1:$EZ$1500,설정!$L$5+ROW()-1,설정!$L$12),""),"")</f>
        <v>98.0886</v>
      </c>
      <c r="G175" s="85" t="n">
        <f aca="false">IFERROR(IF(ISNUMBER(INDEX(원자료_잔고!$A$1:$EZ$1500,설정!$L$5+ROW()-1,설정!$L$13)),INDEX(원자료_잔고!$A$1:$EZ$1500,설정!$L$5+ROW()-1,설정!$L$13),""),"")</f>
        <v>5.7964</v>
      </c>
      <c r="H175" s="85" t="n">
        <f aca="false">IFERROR(IF(ISNUMBER(INDEX(원자료_잔고!$A$1:$EZ$1500,설정!$L$5+ROW()-1,설정!$L$14)),INDEX(원자료_잔고!$A$1:$EZ$1500,설정!$L$5+ROW()-1,설정!$L$14),""),"")</f>
        <v>3.1378</v>
      </c>
      <c r="I175" s="86" t="n">
        <f aca="false">IFERROR(IF(ISNUMBER(INDEX(원자료_잔고!$A$1:$EZ$1500,설정!$L$5+ROW()-1,설정!$L$15)),INDEX(원자료_잔고!$A$1:$EZ$1500,설정!$L$5+ROW()-1,설정!$L$15),""),"")</f>
        <v>47981</v>
      </c>
      <c r="J175" s="85" t="n">
        <f aca="false">IFERROR(IF(ISNUMBER(INDEX(원자료_잔고!$A$1:$EZ$1500,설정!$L$5+ROW()-1,설정!$L$16)),INDEX(원자료_잔고!$A$1:$EZ$1500,설정!$L$5+ROW()-1,설정!$L$16),""),"")</f>
        <v>5.24</v>
      </c>
      <c r="K175" s="87" t="n">
        <f aca="false">IFERROR(IF(ISNUMBER(INDEX(원자료_잔고!$A$1:$EZ$1500,설정!$L$5+ROW()-1,설정!$L$17)),INDEX(원자료_잔고!$A$1:$EZ$1500,설정!$L$5+ROW()-1,설정!$L$17),""),"")</f>
        <v>1</v>
      </c>
      <c r="L175" s="84" t="n">
        <f aca="false">IFERROR(IF(ISNUMBER(INDEX(원자료_잔고!$A$1:$EZ$1500,설정!$L$5+ROW()-1,설정!$L$18)),INDEX(원자료_잔고!$A$1:$EZ$1500,설정!$L$5+ROW()-1,설정!$L$18),""),"")</f>
        <v>9808860</v>
      </c>
      <c r="M175" s="88" t="n">
        <f aca="false">IFERROR(IF(ISNUMBER(INDEX(원자료_잔고!$A$1:$EZ$1500,설정!$L$5+ROW()-1,설정!$L$19)),INDEX(원자료_잔고!$A$1:$EZ$1500,설정!$L$5+ROW()-1,설정!$L$19),""),"")</f>
        <v>-410940</v>
      </c>
      <c r="N175" s="83" t="str">
        <f aca="false">IFERROR(IF(INDEX(원자료_잔고!$A$1:$EZ$1500,설정!$L$5+ROW()-1,설정!$L$21)&amp;""="0","",INDEX(원자료_잔고!$A$1:$EZ$1500,설정!$L$5+ROW()-1,설정!$L$21)&amp;""),"")</f>
        <v>A-</v>
      </c>
      <c r="O175" s="83" t="str">
        <f aca="false">IFERROR(IF(INDEX(원자료_잔고!$A$1:$EZ$1500,설정!$L$5+ROW()-1,설정!$L$22)&amp;""="0","",INDEX(원자료_잔고!$A$1:$EZ$1500,설정!$L$5+ROW()-1,설정!$L$22)&amp;""),"")</f>
        <v/>
      </c>
      <c r="P175" s="83" t="str">
        <f aca="false">IFERROR(IF(INDEX(원자료_잔고!$A$1:$EZ$1500,설정!$L$5+ROW()-1,설정!$L$23)&amp;""="0","",INDEX(원자료_잔고!$A$1:$EZ$1500,설정!$L$5+ROW()-1,설정!$L$23)&amp;""),"")</f>
        <v>A+</v>
      </c>
      <c r="Q175" s="89" t="n">
        <f aca="false">IF(AND($A175&lt;&gt;"",ISNUMBER(E175)),IF(E175&gt;0,1,0),0)</f>
        <v>1</v>
      </c>
      <c r="R175" s="43" t="str">
        <f aca="false">IF(Q175=1,UPPER(LEFT($A175,FIND(" ",$A175&amp;" ")-1)),"")</f>
        <v>HSBC</v>
      </c>
      <c r="S175" s="89" t="n">
        <f aca="false">IF(Q175=1,IF(OR(ISNUMBER(SEARCH("Float",$A175)),ISNUMBER(SEARCH("FRN",$A175))),1,0),0)</f>
        <v>0</v>
      </c>
      <c r="T175" s="43" t="str">
        <f aca="false">IF(AND(Q175=1,ISNUMBER(I175)),TEXT(I175,"yyyymmdd")&amp;"|"&amp;IF(S175=1,"F",TEXT(J175,"0.000")),"")</f>
        <v>20310513|5.240</v>
      </c>
      <c r="U175" s="90" t="n">
        <f aca="false">IF(AND(Q175=1,ISNUMBER(I175)),(I175-설정!$C$4)/365.25,"")</f>
        <v>4.61327857631759</v>
      </c>
      <c r="V175" s="43" t="str">
        <f aca="false">IF(Q175&lt;&gt;1,"",IF(ISNUMBER(U175),IF(U175&lt;=1,"1년 이하",IF(U175&lt;=2,"1-2년",IF(U175&lt;=3,"2-3년",IF(U175&lt;=4,"3-4년",IF(U175&lt;=5,"4-5년",IF(U175&lt;=7,"5-7년",IF(U175&lt;=10,"7-10년",IF(U175&lt;=20,"10-20년","20년 이상")))))))),"미분류"))</f>
        <v>4-5년</v>
      </c>
      <c r="W175" s="43" t="str">
        <f aca="false">IF(Q175&lt;&gt;1,"",IF(AB175&lt;&gt;"",INDEX(시장분석!$C:$C,AB175),IF(K175=1,"USD","비USD")))</f>
        <v>USD</v>
      </c>
      <c r="X175" s="91" t="n">
        <f aca="false">IF(Q175=1,E175*K175/1000000,0)</f>
        <v>10</v>
      </c>
      <c r="Y175" s="89" t="n">
        <f aca="false">IF(R175="T",1,0)</f>
        <v>0</v>
      </c>
      <c r="Z175" s="92" t="n">
        <f aca="false">IF(Q175&lt;&gt;1,"",IF(AD175=1,IF(ISNUMBER(U175),MAX(U175,0),H175),H175))</f>
        <v>3.1378</v>
      </c>
      <c r="AA175" s="91" t="n">
        <f aca="false">IF(Q175=1,IF(ISNUMBER(L175),L175,0)*K175/1000000,0)</f>
        <v>9.80886</v>
      </c>
      <c r="AB175" s="89" t="n">
        <f aca="false">IF(Q175&lt;&gt;1,"",IFERROR(MATCH(VLOOKUP(B175,매핑!$H$4:$I$15,2,0),시장분석!$A$2:$A$601,0)+1,IFERROR(MATCH(R175&amp;"|"&amp;T175,시장분석!$V$2:$V$601,0)+1,IF(COUNTIF(시장분석!$U$2:$U$601,T175)=1,MATCH(T175,시장분석!$U$2:$U$601,0)+1,""))))</f>
        <v>54</v>
      </c>
      <c r="AC175" s="89" t="n">
        <f aca="false">IF(Q175&lt;&gt;1,0,IF(OR(설정!$C$5="전체",AND(설정!$C$5="선택펀드",IFERROR(COUNTIFS(설정!$F$16:$F$36,C175,설정!$G$16:$G$36,"Y")+COUNTIFS(설정!$F$16:$F$36,VALUE(C175),설정!$G$16:$G$36,"Y"),0)&gt;0),C175&amp;""=설정!$C$5&amp;""),1,0))</f>
        <v>1</v>
      </c>
      <c r="AD175" s="89" t="n">
        <f aca="false">IF(Q175&lt;&gt;1,0,IF(OR(S175=1,IF(AB175="",FALSE(),INDEX(시장분석!$R:$R,AB175)=1)),1,0))</f>
        <v>0</v>
      </c>
      <c r="AE175" s="43" t="str">
        <f aca="false">IF(AB175="","",INDEX(시장분석!$A:$A,AB175))</f>
        <v>HSBC 5.24 05/13/31</v>
      </c>
      <c r="AF175" s="93" t="n">
        <f aca="false">IF(AB175="","",IF(ISNUMBER(IF(AB175="","",INDEX(시장분석!$E:$E,AB175))),IF(AB175="","",INDEX(시장분석!$E:$E,AB175)),""))</f>
        <v>76.917</v>
      </c>
      <c r="AG175" s="43" t="str">
        <f aca="false">IF(Q175&lt;&gt;1,"",IF(AB175&lt;&gt;"",IF(AB175="","",INDEX(시장분석!$L:$L,AB175)),IFERROR(IF(VLOOKUP(R175,매핑!$A$4:$E$92,5,0)="","미분류",VLOOKUP(R175,매핑!$A$4:$E$92,5,0)),"미분류")))</f>
        <v>금융기관</v>
      </c>
      <c r="AH175" s="43" t="str">
        <f aca="false">IF(Q175&lt;&gt;1,"",IF(AB175&lt;&gt;"",IF(AB175="","",INDEX(시장분석!$N:$N,AB175)),IFERROR(IF(VLOOKUP(R175,매핑!$A$4:$E$92,4,0)="","미분류",VLOOKUP(R175,매핑!$A$4:$E$92,4,0)),"미분류")))</f>
        <v>유럽</v>
      </c>
      <c r="AI175" s="43" t="str">
        <f aca="false">IF(Q175&lt;&gt;1,"",IFERROR(IF(VLOOKUP(R175,매핑!$A$4:$E$92,3,0)="","미분류",VLOOKUP(R175,매핑!$A$4:$E$92,3,0)),IF(AB175&lt;&gt;"",IF(AB175="","",INDEX(시장분석!$W:$W,AB175)),"미분류")))</f>
        <v>영국</v>
      </c>
      <c r="AJ175" s="43" t="str">
        <f aca="false">IF(Q175&lt;&gt;1,"",IFERROR(VLOOKUP(IF(N175&lt;&gt;"",N175,IF(P175&lt;&gt;"",P175,O175)),설정!$A$15:$D$47,2,0),""))</f>
        <v>A-</v>
      </c>
      <c r="AK175" s="43" t="str">
        <f aca="false">IF(Q175&lt;&gt;1,"",IF(AJ175="","무등급",IFERROR(VLOOKUP(AJ175,설정!$A$15:$D$47,3,0),"무등급")))</f>
        <v>A</v>
      </c>
      <c r="AL175" s="89" t="n">
        <f aca="false">IF(AJ175="",99,IFERROR(VLOOKUP(AJ175,설정!$A$15:$D$47,4,0),99))</f>
        <v>7</v>
      </c>
      <c r="AM175" s="94" t="n">
        <f aca="false">IF(ISNUMBER(H175),AA175*1000000*H175/10000,0)</f>
        <v>3077.8240908</v>
      </c>
      <c r="AN175" s="94" t="n">
        <f aca="false">IF(OR(Y175=1,NOT(ISNUMBER(Z175))),0,AA175*1000000*Z175/10000)</f>
        <v>3077.8240908</v>
      </c>
      <c r="AO175" s="94" t="n">
        <f aca="false">IF(ISNUMBER(G175),AA175*1000000*G175/100,0)</f>
        <v>568560.76104</v>
      </c>
      <c r="AP175" s="94" t="n">
        <f aca="false">IF(ISNUMBER(M175),M175*K175,0)</f>
        <v>-410940</v>
      </c>
      <c r="AQ175" s="95" t="n">
        <f aca="false">IF(AB175="","",INDEX(시장분석!$AK:$AK,AB175))</f>
        <v>-0.244202129223827</v>
      </c>
      <c r="AR175" s="43" t="str">
        <f aca="false">IF(AB175="","-",IF(AB175="","",INDEX(시장분석!$AL:$AL,AB175)))</f>
        <v>Fair</v>
      </c>
      <c r="AS175" s="96" t="n">
        <f aca="false">IF(AB175="","",INDEX(시장분석!$AJ:$AJ,AB175))</f>
        <v>-2.68336163974033</v>
      </c>
      <c r="AT175" s="93" t="n">
        <f aca="false">IF(AB175="",0,IF(AB175="","",INDEX(시장분석!$AN:$AN,AB175)))</f>
        <v>11.1630539921692</v>
      </c>
      <c r="AU175" s="94" t="n">
        <f aca="false">IF(ISNUMBER(Z175),AT175/10000*MAX(Z175-1,0)*AA175*1000000,0)</f>
        <v>23408.2331258366</v>
      </c>
      <c r="AV175" s="94" t="n">
        <f aca="false">AO175+AU175</f>
        <v>591968.994165837</v>
      </c>
      <c r="AW175" s="43" t="str">
        <f aca="false">IF(Q175&lt;&gt;1,"",TRIM(IF(AD175=1,"FRN ","")&amp;IF(AND(AL175&gt;=10,AL175&lt;99),"BBB0미만 ","")&amp;IF(AJ175="","등급없음 ","")&amp;IF(K175&lt;&gt;1,"비USD ","")&amp;IF(AND(AB175="",Y175=0),"시장데이터없음 ","")&amp;IF(AND(ISNUMBER(U175),U175&lt;0),"만기경과 ","")))</f>
        <v/>
      </c>
      <c r="AX175" s="90" t="n">
        <f aca="false">IF(Q175&lt;&gt;1,1,IF(스프레드쇼크!$C$4="Y",INDEX(스프레드쇼크!$B$12:$L$16,IFERROR(MATCH(AH175,스프레드쇼크!$A$12:$A$16,0),MATCH("목록외",스프레드쇼크!$A$12:$A$16,0)),IFERROR(MATCH(AG175,스프레드쇼크!$B$11:$L$11,0),MATCH("목록외",스프레드쇼크!$B$11:$L$11,0))),1))</f>
        <v>1</v>
      </c>
      <c r="AY175" s="90" t="n">
        <f aca="false">IF(스프레드쇼크!$C$5="Y",IF(ISNUMBER(AF175),MIN(스프레드쇼크!$C$7,MAX(스프레드쇼크!$C$6,AF175/스프레드쇼크!$C$8)),1),1)</f>
        <v>1.16339947546003</v>
      </c>
      <c r="AZ175" s="94" t="n">
        <f aca="false">AN175*AX175*AY175</f>
        <v>3580.73893279495</v>
      </c>
      <c r="BA175" s="90" t="n">
        <f aca="false">IF(ISNUMBER(G175),AA175*G175,0)</f>
        <v>56.856076104</v>
      </c>
      <c r="BB175" s="90" t="n">
        <f aca="false">IF(ISNUMBER(G175),AA175,0)</f>
        <v>9.80886</v>
      </c>
      <c r="BC175" s="90" t="n">
        <f aca="false">IF(AND(Y175=0,ISNUMBER(AF175)),AA175*AF175,0)</f>
        <v>754.46808462</v>
      </c>
      <c r="BD175" s="90" t="n">
        <f aca="false">IF(AND(Y175=0,ISNUMBER(AF175)),AA175,0)</f>
        <v>9.80886</v>
      </c>
      <c r="BE175" s="90" t="n">
        <f aca="false">IF(ISNUMBER(H175),AA175*H175,0)</f>
        <v>30.778240908</v>
      </c>
      <c r="BF175" s="90" t="n">
        <f aca="false">IF(ISNUMBER(H175),AA175,0)</f>
        <v>9.80886</v>
      </c>
      <c r="BG175" s="90" t="n">
        <f aca="false">IF(AND(Y175=0,ISNUMBER(AF175),ISNUMBER(Z175)),AA175*Z175,0)</f>
        <v>30.778240908</v>
      </c>
      <c r="BH175" s="90" t="n">
        <f aca="false">IF(AND(Y175=0,ISNUMBER(AF175),ISNUMBER(Z175)),AA175*AT175*MAX(Z175-1,0),0)</f>
        <v>234.082331258366</v>
      </c>
      <c r="BI175" s="90" t="n">
        <f aca="false">IF(Y175=0,AA175,0)</f>
        <v>9.80886</v>
      </c>
    </row>
    <row r="176" customFormat="false" ht="15" hidden="false" customHeight="false" outlineLevel="0" collapsed="false">
      <c r="A176" s="83" t="str">
        <f aca="false">IFERROR(IF(INDEX(원자료_잔고!$A$1:$EZ$1500,설정!$L$5+ROW()-1,설정!$L$8)&amp;""="0","",INDEX(원자료_잔고!$A$1:$EZ$1500,설정!$L$5+ROW()-1,설정!$L$8)&amp;""),"")</f>
        <v>HSBC 5.24 05/13/31</v>
      </c>
      <c r="B176" s="83" t="str">
        <f aca="false">IFERROR(IF(INDEX(원자료_잔고!$A$1:$EZ$1500,설정!$L$5+ROW()-1,설정!$L$7)&amp;""="0","",INDEX(원자료_잔고!$A$1:$EZ$1500,설정!$L$5+ROW()-1,설정!$L$7)&amp;""),"")</f>
        <v>US404280EW52</v>
      </c>
      <c r="C176" s="83" t="str">
        <f aca="false">IFERROR(IF(INDEX(원자료_잔고!$A$1:$EZ$1500,설정!$L$5+ROW()-1,설정!$L$9)&amp;""="0","",INDEX(원자료_잔고!$A$1:$EZ$1500,설정!$L$5+ROW()-1,설정!$L$9)&amp;""),"")</f>
        <v>34578</v>
      </c>
      <c r="D17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6" s="84" t="n">
        <f aca="false">IFERROR(IF(ISNUMBER(INDEX(원자료_잔고!$A$1:$EZ$1500,설정!$L$5+ROW()-1,설정!$L$11)),INDEX(원자료_잔고!$A$1:$EZ$1500,설정!$L$5+ROW()-1,설정!$L$11),""),"")</f>
        <v>5000000</v>
      </c>
      <c r="F176" s="85" t="n">
        <f aca="false">IFERROR(IF(ISNUMBER(INDEX(원자료_잔고!$A$1:$EZ$1500,설정!$L$5+ROW()-1,설정!$L$12)),INDEX(원자료_잔고!$A$1:$EZ$1500,설정!$L$5+ROW()-1,설정!$L$12),""),"")</f>
        <v>98.0886</v>
      </c>
      <c r="G176" s="85" t="n">
        <f aca="false">IFERROR(IF(ISNUMBER(INDEX(원자료_잔고!$A$1:$EZ$1500,설정!$L$5+ROW()-1,설정!$L$13)),INDEX(원자료_잔고!$A$1:$EZ$1500,설정!$L$5+ROW()-1,설정!$L$13),""),"")</f>
        <v>5.7964</v>
      </c>
      <c r="H176" s="85" t="n">
        <f aca="false">IFERROR(IF(ISNUMBER(INDEX(원자료_잔고!$A$1:$EZ$1500,설정!$L$5+ROW()-1,설정!$L$14)),INDEX(원자료_잔고!$A$1:$EZ$1500,설정!$L$5+ROW()-1,설정!$L$14),""),"")</f>
        <v>3.1378</v>
      </c>
      <c r="I176" s="86" t="n">
        <f aca="false">IFERROR(IF(ISNUMBER(INDEX(원자료_잔고!$A$1:$EZ$1500,설정!$L$5+ROW()-1,설정!$L$15)),INDEX(원자료_잔고!$A$1:$EZ$1500,설정!$L$5+ROW()-1,설정!$L$15),""),"")</f>
        <v>47981</v>
      </c>
      <c r="J176" s="85" t="n">
        <f aca="false">IFERROR(IF(ISNUMBER(INDEX(원자료_잔고!$A$1:$EZ$1500,설정!$L$5+ROW()-1,설정!$L$16)),INDEX(원자료_잔고!$A$1:$EZ$1500,설정!$L$5+ROW()-1,설정!$L$16),""),"")</f>
        <v>5.24</v>
      </c>
      <c r="K176" s="87" t="n">
        <f aca="false">IFERROR(IF(ISNUMBER(INDEX(원자료_잔고!$A$1:$EZ$1500,설정!$L$5+ROW()-1,설정!$L$17)),INDEX(원자료_잔고!$A$1:$EZ$1500,설정!$L$5+ROW()-1,설정!$L$17),""),"")</f>
        <v>1</v>
      </c>
      <c r="L176" s="84" t="n">
        <f aca="false">IFERROR(IF(ISNUMBER(INDEX(원자료_잔고!$A$1:$EZ$1500,설정!$L$5+ROW()-1,설정!$L$18)),INDEX(원자료_잔고!$A$1:$EZ$1500,설정!$L$5+ROW()-1,설정!$L$18),""),"")</f>
        <v>4904430</v>
      </c>
      <c r="M176" s="88" t="n">
        <f aca="false">IFERROR(IF(ISNUMBER(INDEX(원자료_잔고!$A$1:$EZ$1500,설정!$L$5+ROW()-1,설정!$L$19)),INDEX(원자료_잔고!$A$1:$EZ$1500,설정!$L$5+ROW()-1,설정!$L$19),""),"")</f>
        <v>-176470</v>
      </c>
      <c r="N176" s="83" t="str">
        <f aca="false">IFERROR(IF(INDEX(원자료_잔고!$A$1:$EZ$1500,설정!$L$5+ROW()-1,설정!$L$21)&amp;""="0","",INDEX(원자료_잔고!$A$1:$EZ$1500,설정!$L$5+ROW()-1,설정!$L$21)&amp;""),"")</f>
        <v>A-</v>
      </c>
      <c r="O176" s="83" t="str">
        <f aca="false">IFERROR(IF(INDEX(원자료_잔고!$A$1:$EZ$1500,설정!$L$5+ROW()-1,설정!$L$22)&amp;""="0","",INDEX(원자료_잔고!$A$1:$EZ$1500,설정!$L$5+ROW()-1,설정!$L$22)&amp;""),"")</f>
        <v/>
      </c>
      <c r="P176" s="83" t="str">
        <f aca="false">IFERROR(IF(INDEX(원자료_잔고!$A$1:$EZ$1500,설정!$L$5+ROW()-1,설정!$L$23)&amp;""="0","",INDEX(원자료_잔고!$A$1:$EZ$1500,설정!$L$5+ROW()-1,설정!$L$23)&amp;""),"")</f>
        <v>A+</v>
      </c>
      <c r="Q176" s="89" t="n">
        <f aca="false">IF(AND($A176&lt;&gt;"",ISNUMBER(E176)),IF(E176&gt;0,1,0),0)</f>
        <v>1</v>
      </c>
      <c r="R176" s="43" t="str">
        <f aca="false">IF(Q176=1,UPPER(LEFT($A176,FIND(" ",$A176&amp;" ")-1)),"")</f>
        <v>HSBC</v>
      </c>
      <c r="S176" s="89" t="n">
        <f aca="false">IF(Q176=1,IF(OR(ISNUMBER(SEARCH("Float",$A176)),ISNUMBER(SEARCH("FRN",$A176))),1,0),0)</f>
        <v>0</v>
      </c>
      <c r="T176" s="43" t="str">
        <f aca="false">IF(AND(Q176=1,ISNUMBER(I176)),TEXT(I176,"yyyymmdd")&amp;"|"&amp;IF(S176=1,"F",TEXT(J176,"0.000")),"")</f>
        <v>20310513|5.240</v>
      </c>
      <c r="U176" s="90" t="n">
        <f aca="false">IF(AND(Q176=1,ISNUMBER(I176)),(I176-설정!$C$4)/365.25,"")</f>
        <v>4.61327857631759</v>
      </c>
      <c r="V176" s="43" t="str">
        <f aca="false">IF(Q176&lt;&gt;1,"",IF(ISNUMBER(U176),IF(U176&lt;=1,"1년 이하",IF(U176&lt;=2,"1-2년",IF(U176&lt;=3,"2-3년",IF(U176&lt;=4,"3-4년",IF(U176&lt;=5,"4-5년",IF(U176&lt;=7,"5-7년",IF(U176&lt;=10,"7-10년",IF(U176&lt;=20,"10-20년","20년 이상")))))))),"미분류"))</f>
        <v>4-5년</v>
      </c>
      <c r="W176" s="43" t="str">
        <f aca="false">IF(Q176&lt;&gt;1,"",IF(AB176&lt;&gt;"",INDEX(시장분석!$C:$C,AB176),IF(K176=1,"USD","비USD")))</f>
        <v>USD</v>
      </c>
      <c r="X176" s="91" t="n">
        <f aca="false">IF(Q176=1,E176*K176/1000000,0)</f>
        <v>5</v>
      </c>
      <c r="Y176" s="89" t="n">
        <f aca="false">IF(R176="T",1,0)</f>
        <v>0</v>
      </c>
      <c r="Z176" s="92" t="n">
        <f aca="false">IF(Q176&lt;&gt;1,"",IF(AD176=1,IF(ISNUMBER(U176),MAX(U176,0),H176),H176))</f>
        <v>3.1378</v>
      </c>
      <c r="AA176" s="91" t="n">
        <f aca="false">IF(Q176=1,IF(ISNUMBER(L176),L176,0)*K176/1000000,0)</f>
        <v>4.90443</v>
      </c>
      <c r="AB176" s="89" t="n">
        <f aca="false">IF(Q176&lt;&gt;1,"",IFERROR(MATCH(VLOOKUP(B176,매핑!$H$4:$I$15,2,0),시장분석!$A$2:$A$601,0)+1,IFERROR(MATCH(R176&amp;"|"&amp;T176,시장분석!$V$2:$V$601,0)+1,IF(COUNTIF(시장분석!$U$2:$U$601,T176)=1,MATCH(T176,시장분석!$U$2:$U$601,0)+1,""))))</f>
        <v>54</v>
      </c>
      <c r="AC176" s="89" t="n">
        <f aca="false">IF(Q176&lt;&gt;1,0,IF(OR(설정!$C$5="전체",AND(설정!$C$5="선택펀드",IFERROR(COUNTIFS(설정!$F$16:$F$36,C176,설정!$G$16:$G$36,"Y")+COUNTIFS(설정!$F$16:$F$36,VALUE(C176),설정!$G$16:$G$36,"Y"),0)&gt;0),C176&amp;""=설정!$C$5&amp;""),1,0))</f>
        <v>1</v>
      </c>
      <c r="AD176" s="89" t="n">
        <f aca="false">IF(Q176&lt;&gt;1,0,IF(OR(S176=1,IF(AB176="",FALSE(),INDEX(시장분석!$R:$R,AB176)=1)),1,0))</f>
        <v>0</v>
      </c>
      <c r="AE176" s="43" t="str">
        <f aca="false">IF(AB176="","",INDEX(시장분석!$A:$A,AB176))</f>
        <v>HSBC 5.24 05/13/31</v>
      </c>
      <c r="AF176" s="93" t="n">
        <f aca="false">IF(AB176="","",IF(ISNUMBER(IF(AB176="","",INDEX(시장분석!$E:$E,AB176))),IF(AB176="","",INDEX(시장분석!$E:$E,AB176)),""))</f>
        <v>76.917</v>
      </c>
      <c r="AG176" s="43" t="str">
        <f aca="false">IF(Q176&lt;&gt;1,"",IF(AB176&lt;&gt;"",IF(AB176="","",INDEX(시장분석!$L:$L,AB176)),IFERROR(IF(VLOOKUP(R176,매핑!$A$4:$E$92,5,0)="","미분류",VLOOKUP(R176,매핑!$A$4:$E$92,5,0)),"미분류")))</f>
        <v>금융기관</v>
      </c>
      <c r="AH176" s="43" t="str">
        <f aca="false">IF(Q176&lt;&gt;1,"",IF(AB176&lt;&gt;"",IF(AB176="","",INDEX(시장분석!$N:$N,AB176)),IFERROR(IF(VLOOKUP(R176,매핑!$A$4:$E$92,4,0)="","미분류",VLOOKUP(R176,매핑!$A$4:$E$92,4,0)),"미분류")))</f>
        <v>유럽</v>
      </c>
      <c r="AI176" s="43" t="str">
        <f aca="false">IF(Q176&lt;&gt;1,"",IFERROR(IF(VLOOKUP(R176,매핑!$A$4:$E$92,3,0)="","미분류",VLOOKUP(R176,매핑!$A$4:$E$92,3,0)),IF(AB176&lt;&gt;"",IF(AB176="","",INDEX(시장분석!$W:$W,AB176)),"미분류")))</f>
        <v>영국</v>
      </c>
      <c r="AJ176" s="43" t="str">
        <f aca="false">IF(Q176&lt;&gt;1,"",IFERROR(VLOOKUP(IF(N176&lt;&gt;"",N176,IF(P176&lt;&gt;"",P176,O176)),설정!$A$15:$D$47,2,0),""))</f>
        <v>A-</v>
      </c>
      <c r="AK176" s="43" t="str">
        <f aca="false">IF(Q176&lt;&gt;1,"",IF(AJ176="","무등급",IFERROR(VLOOKUP(AJ176,설정!$A$15:$D$47,3,0),"무등급")))</f>
        <v>A</v>
      </c>
      <c r="AL176" s="89" t="n">
        <f aca="false">IF(AJ176="",99,IFERROR(VLOOKUP(AJ176,설정!$A$15:$D$47,4,0),99))</f>
        <v>7</v>
      </c>
      <c r="AM176" s="94" t="n">
        <f aca="false">IF(ISNUMBER(H176),AA176*1000000*H176/10000,0)</f>
        <v>1538.9120454</v>
      </c>
      <c r="AN176" s="94" t="n">
        <f aca="false">IF(OR(Y176=1,NOT(ISNUMBER(Z176))),0,AA176*1000000*Z176/10000)</f>
        <v>1538.9120454</v>
      </c>
      <c r="AO176" s="94" t="n">
        <f aca="false">IF(ISNUMBER(G176),AA176*1000000*G176/100,0)</f>
        <v>284280.38052</v>
      </c>
      <c r="AP176" s="94" t="n">
        <f aca="false">IF(ISNUMBER(M176),M176*K176,0)</f>
        <v>-176470</v>
      </c>
      <c r="AQ176" s="95" t="n">
        <f aca="false">IF(AB176="","",INDEX(시장분석!$AK:$AK,AB176))</f>
        <v>-0.244202129223827</v>
      </c>
      <c r="AR176" s="43" t="str">
        <f aca="false">IF(AB176="","-",IF(AB176="","",INDEX(시장분석!$AL:$AL,AB176)))</f>
        <v>Fair</v>
      </c>
      <c r="AS176" s="96" t="n">
        <f aca="false">IF(AB176="","",INDEX(시장분석!$AJ:$AJ,AB176))</f>
        <v>-2.68336163974033</v>
      </c>
      <c r="AT176" s="93" t="n">
        <f aca="false">IF(AB176="",0,IF(AB176="","",INDEX(시장분석!$AN:$AN,AB176)))</f>
        <v>11.1630539921692</v>
      </c>
      <c r="AU176" s="94" t="n">
        <f aca="false">IF(ISNUMBER(Z176),AT176/10000*MAX(Z176-1,0)*AA176*1000000,0)</f>
        <v>11704.1165629183</v>
      </c>
      <c r="AV176" s="94" t="n">
        <f aca="false">AO176+AU176</f>
        <v>295984.497082918</v>
      </c>
      <c r="AW176" s="43" t="str">
        <f aca="false">IF(Q176&lt;&gt;1,"",TRIM(IF(AD176=1,"FRN ","")&amp;IF(AND(AL176&gt;=10,AL176&lt;99),"BBB0미만 ","")&amp;IF(AJ176="","등급없음 ","")&amp;IF(K176&lt;&gt;1,"비USD ","")&amp;IF(AND(AB176="",Y176=0),"시장데이터없음 ","")&amp;IF(AND(ISNUMBER(U176),U176&lt;0),"만기경과 ","")))</f>
        <v/>
      </c>
      <c r="AX176" s="90" t="n">
        <f aca="false">IF(Q176&lt;&gt;1,1,IF(스프레드쇼크!$C$4="Y",INDEX(스프레드쇼크!$B$12:$L$16,IFERROR(MATCH(AH176,스프레드쇼크!$A$12:$A$16,0),MATCH("목록외",스프레드쇼크!$A$12:$A$16,0)),IFERROR(MATCH(AG176,스프레드쇼크!$B$11:$L$11,0),MATCH("목록외",스프레드쇼크!$B$11:$L$11,0))),1))</f>
        <v>1</v>
      </c>
      <c r="AY176" s="90" t="n">
        <f aca="false">IF(스프레드쇼크!$C$5="Y",IF(ISNUMBER(AF176),MIN(스프레드쇼크!$C$7,MAX(스프레드쇼크!$C$6,AF176/스프레드쇼크!$C$8)),1),1)</f>
        <v>1.16339947546003</v>
      </c>
      <c r="AZ176" s="94" t="n">
        <f aca="false">AN176*AX176*AY176</f>
        <v>1790.36946639747</v>
      </c>
      <c r="BA176" s="90" t="n">
        <f aca="false">IF(ISNUMBER(G176),AA176*G176,0)</f>
        <v>28.428038052</v>
      </c>
      <c r="BB176" s="90" t="n">
        <f aca="false">IF(ISNUMBER(G176),AA176,0)</f>
        <v>4.90443</v>
      </c>
      <c r="BC176" s="90" t="n">
        <f aca="false">IF(AND(Y176=0,ISNUMBER(AF176)),AA176*AF176,0)</f>
        <v>377.23404231</v>
      </c>
      <c r="BD176" s="90" t="n">
        <f aca="false">IF(AND(Y176=0,ISNUMBER(AF176)),AA176,0)</f>
        <v>4.90443</v>
      </c>
      <c r="BE176" s="90" t="n">
        <f aca="false">IF(ISNUMBER(H176),AA176*H176,0)</f>
        <v>15.389120454</v>
      </c>
      <c r="BF176" s="90" t="n">
        <f aca="false">IF(ISNUMBER(H176),AA176,0)</f>
        <v>4.90443</v>
      </c>
      <c r="BG176" s="90" t="n">
        <f aca="false">IF(AND(Y176=0,ISNUMBER(AF176),ISNUMBER(Z176)),AA176*Z176,0)</f>
        <v>15.389120454</v>
      </c>
      <c r="BH176" s="90" t="n">
        <f aca="false">IF(AND(Y176=0,ISNUMBER(AF176),ISNUMBER(Z176)),AA176*AT176*MAX(Z176-1,0),0)</f>
        <v>117.041165629183</v>
      </c>
      <c r="BI176" s="90" t="n">
        <f aca="false">IF(Y176=0,AA176,0)</f>
        <v>4.90443</v>
      </c>
    </row>
    <row r="177" customFormat="false" ht="15" hidden="false" customHeight="false" outlineLevel="0" collapsed="false">
      <c r="A177" s="83" t="str">
        <f aca="false">IFERROR(IF(INDEX(원자료_잔고!$A$1:$EZ$1500,설정!$L$5+ROW()-1,설정!$L$8)&amp;""="0","",INDEX(원자료_잔고!$A$1:$EZ$1500,설정!$L$5+ROW()-1,설정!$L$8)&amp;""),"")</f>
        <v>HSBC 5.24 05/13/31</v>
      </c>
      <c r="B177" s="83" t="str">
        <f aca="false">IFERROR(IF(INDEX(원자료_잔고!$A$1:$EZ$1500,설정!$L$5+ROW()-1,설정!$L$7)&amp;""="0","",INDEX(원자료_잔고!$A$1:$EZ$1500,설정!$L$5+ROW()-1,설정!$L$7)&amp;""),"")</f>
        <v>US404280EW52</v>
      </c>
      <c r="C177" s="83" t="str">
        <f aca="false">IFERROR(IF(INDEX(원자료_잔고!$A$1:$EZ$1500,설정!$L$5+ROW()-1,설정!$L$9)&amp;""="0","",INDEX(원자료_잔고!$A$1:$EZ$1500,설정!$L$5+ROW()-1,설정!$L$9)&amp;""),"")</f>
        <v>34578</v>
      </c>
      <c r="D17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7" s="84" t="n">
        <f aca="false">IFERROR(IF(ISNUMBER(INDEX(원자료_잔고!$A$1:$EZ$1500,설정!$L$5+ROW()-1,설정!$L$11)),INDEX(원자료_잔고!$A$1:$EZ$1500,설정!$L$5+ROW()-1,설정!$L$11),""),"")</f>
        <v>3000000</v>
      </c>
      <c r="F177" s="85" t="n">
        <f aca="false">IFERROR(IF(ISNUMBER(INDEX(원자료_잔고!$A$1:$EZ$1500,설정!$L$5+ROW()-1,설정!$L$12)),INDEX(원자료_잔고!$A$1:$EZ$1500,설정!$L$5+ROW()-1,설정!$L$12),""),"")</f>
        <v>98.0886</v>
      </c>
      <c r="G177" s="85" t="n">
        <f aca="false">IFERROR(IF(ISNUMBER(INDEX(원자료_잔고!$A$1:$EZ$1500,설정!$L$5+ROW()-1,설정!$L$13)),INDEX(원자료_잔고!$A$1:$EZ$1500,설정!$L$5+ROW()-1,설정!$L$13),""),"")</f>
        <v>5.7964</v>
      </c>
      <c r="H177" s="85" t="n">
        <f aca="false">IFERROR(IF(ISNUMBER(INDEX(원자료_잔고!$A$1:$EZ$1500,설정!$L$5+ROW()-1,설정!$L$14)),INDEX(원자료_잔고!$A$1:$EZ$1500,설정!$L$5+ROW()-1,설정!$L$14),""),"")</f>
        <v>3.1378</v>
      </c>
      <c r="I177" s="86" t="n">
        <f aca="false">IFERROR(IF(ISNUMBER(INDEX(원자료_잔고!$A$1:$EZ$1500,설정!$L$5+ROW()-1,설정!$L$15)),INDEX(원자료_잔고!$A$1:$EZ$1500,설정!$L$5+ROW()-1,설정!$L$15),""),"")</f>
        <v>47981</v>
      </c>
      <c r="J177" s="85" t="n">
        <f aca="false">IFERROR(IF(ISNUMBER(INDEX(원자료_잔고!$A$1:$EZ$1500,설정!$L$5+ROW()-1,설정!$L$16)),INDEX(원자료_잔고!$A$1:$EZ$1500,설정!$L$5+ROW()-1,설정!$L$16),""),"")</f>
        <v>5.24</v>
      </c>
      <c r="K177" s="87" t="n">
        <f aca="false">IFERROR(IF(ISNUMBER(INDEX(원자료_잔고!$A$1:$EZ$1500,설정!$L$5+ROW()-1,설정!$L$17)),INDEX(원자료_잔고!$A$1:$EZ$1500,설정!$L$5+ROW()-1,설정!$L$17),""),"")</f>
        <v>1</v>
      </c>
      <c r="L177" s="84" t="n">
        <f aca="false">IFERROR(IF(ISNUMBER(INDEX(원자료_잔고!$A$1:$EZ$1500,설정!$L$5+ROW()-1,설정!$L$18)),INDEX(원자료_잔고!$A$1:$EZ$1500,설정!$L$5+ROW()-1,설정!$L$18),""),"")</f>
        <v>2942658</v>
      </c>
      <c r="M177" s="88" t="n">
        <f aca="false">IFERROR(IF(ISNUMBER(INDEX(원자료_잔고!$A$1:$EZ$1500,설정!$L$5+ROW()-1,설정!$L$19)),INDEX(원자료_잔고!$A$1:$EZ$1500,설정!$L$5+ROW()-1,설정!$L$19),""),"")</f>
        <v>-79992</v>
      </c>
      <c r="N177" s="83" t="str">
        <f aca="false">IFERROR(IF(INDEX(원자료_잔고!$A$1:$EZ$1500,설정!$L$5+ROW()-1,설정!$L$21)&amp;""="0","",INDEX(원자료_잔고!$A$1:$EZ$1500,설정!$L$5+ROW()-1,설정!$L$21)&amp;""),"")</f>
        <v>A-</v>
      </c>
      <c r="O177" s="83" t="str">
        <f aca="false">IFERROR(IF(INDEX(원자료_잔고!$A$1:$EZ$1500,설정!$L$5+ROW()-1,설정!$L$22)&amp;""="0","",INDEX(원자료_잔고!$A$1:$EZ$1500,설정!$L$5+ROW()-1,설정!$L$22)&amp;""),"")</f>
        <v/>
      </c>
      <c r="P177" s="83" t="str">
        <f aca="false">IFERROR(IF(INDEX(원자료_잔고!$A$1:$EZ$1500,설정!$L$5+ROW()-1,설정!$L$23)&amp;""="0","",INDEX(원자료_잔고!$A$1:$EZ$1500,설정!$L$5+ROW()-1,설정!$L$23)&amp;""),"")</f>
        <v>A+</v>
      </c>
      <c r="Q177" s="89" t="n">
        <f aca="false">IF(AND($A177&lt;&gt;"",ISNUMBER(E177)),IF(E177&gt;0,1,0),0)</f>
        <v>1</v>
      </c>
      <c r="R177" s="43" t="str">
        <f aca="false">IF(Q177=1,UPPER(LEFT($A177,FIND(" ",$A177&amp;" ")-1)),"")</f>
        <v>HSBC</v>
      </c>
      <c r="S177" s="89" t="n">
        <f aca="false">IF(Q177=1,IF(OR(ISNUMBER(SEARCH("Float",$A177)),ISNUMBER(SEARCH("FRN",$A177))),1,0),0)</f>
        <v>0</v>
      </c>
      <c r="T177" s="43" t="str">
        <f aca="false">IF(AND(Q177=1,ISNUMBER(I177)),TEXT(I177,"yyyymmdd")&amp;"|"&amp;IF(S177=1,"F",TEXT(J177,"0.000")),"")</f>
        <v>20310513|5.240</v>
      </c>
      <c r="U177" s="90" t="n">
        <f aca="false">IF(AND(Q177=1,ISNUMBER(I177)),(I177-설정!$C$4)/365.25,"")</f>
        <v>4.61327857631759</v>
      </c>
      <c r="V177" s="43" t="str">
        <f aca="false">IF(Q177&lt;&gt;1,"",IF(ISNUMBER(U177),IF(U177&lt;=1,"1년 이하",IF(U177&lt;=2,"1-2년",IF(U177&lt;=3,"2-3년",IF(U177&lt;=4,"3-4년",IF(U177&lt;=5,"4-5년",IF(U177&lt;=7,"5-7년",IF(U177&lt;=10,"7-10년",IF(U177&lt;=20,"10-20년","20년 이상")))))))),"미분류"))</f>
        <v>4-5년</v>
      </c>
      <c r="W177" s="43" t="str">
        <f aca="false">IF(Q177&lt;&gt;1,"",IF(AB177&lt;&gt;"",INDEX(시장분석!$C:$C,AB177),IF(K177=1,"USD","비USD")))</f>
        <v>USD</v>
      </c>
      <c r="X177" s="91" t="n">
        <f aca="false">IF(Q177=1,E177*K177/1000000,0)</f>
        <v>3</v>
      </c>
      <c r="Y177" s="89" t="n">
        <f aca="false">IF(R177="T",1,0)</f>
        <v>0</v>
      </c>
      <c r="Z177" s="92" t="n">
        <f aca="false">IF(Q177&lt;&gt;1,"",IF(AD177=1,IF(ISNUMBER(U177),MAX(U177,0),H177),H177))</f>
        <v>3.1378</v>
      </c>
      <c r="AA177" s="91" t="n">
        <f aca="false">IF(Q177=1,IF(ISNUMBER(L177),L177,0)*K177/1000000,0)</f>
        <v>2.942658</v>
      </c>
      <c r="AB177" s="89" t="n">
        <f aca="false">IF(Q177&lt;&gt;1,"",IFERROR(MATCH(VLOOKUP(B177,매핑!$H$4:$I$15,2,0),시장분석!$A$2:$A$601,0)+1,IFERROR(MATCH(R177&amp;"|"&amp;T177,시장분석!$V$2:$V$601,0)+1,IF(COUNTIF(시장분석!$U$2:$U$601,T177)=1,MATCH(T177,시장분석!$U$2:$U$601,0)+1,""))))</f>
        <v>54</v>
      </c>
      <c r="AC177" s="89" t="n">
        <f aca="false">IF(Q177&lt;&gt;1,0,IF(OR(설정!$C$5="전체",AND(설정!$C$5="선택펀드",IFERROR(COUNTIFS(설정!$F$16:$F$36,C177,설정!$G$16:$G$36,"Y")+COUNTIFS(설정!$F$16:$F$36,VALUE(C177),설정!$G$16:$G$36,"Y"),0)&gt;0),C177&amp;""=설정!$C$5&amp;""),1,0))</f>
        <v>1</v>
      </c>
      <c r="AD177" s="89" t="n">
        <f aca="false">IF(Q177&lt;&gt;1,0,IF(OR(S177=1,IF(AB177="",FALSE(),INDEX(시장분석!$R:$R,AB177)=1)),1,0))</f>
        <v>0</v>
      </c>
      <c r="AE177" s="43" t="str">
        <f aca="false">IF(AB177="","",INDEX(시장분석!$A:$A,AB177))</f>
        <v>HSBC 5.24 05/13/31</v>
      </c>
      <c r="AF177" s="93" t="n">
        <f aca="false">IF(AB177="","",IF(ISNUMBER(IF(AB177="","",INDEX(시장분석!$E:$E,AB177))),IF(AB177="","",INDEX(시장분석!$E:$E,AB177)),""))</f>
        <v>76.917</v>
      </c>
      <c r="AG177" s="43" t="str">
        <f aca="false">IF(Q177&lt;&gt;1,"",IF(AB177&lt;&gt;"",IF(AB177="","",INDEX(시장분석!$L:$L,AB177)),IFERROR(IF(VLOOKUP(R177,매핑!$A$4:$E$92,5,0)="","미분류",VLOOKUP(R177,매핑!$A$4:$E$92,5,0)),"미분류")))</f>
        <v>금융기관</v>
      </c>
      <c r="AH177" s="43" t="str">
        <f aca="false">IF(Q177&lt;&gt;1,"",IF(AB177&lt;&gt;"",IF(AB177="","",INDEX(시장분석!$N:$N,AB177)),IFERROR(IF(VLOOKUP(R177,매핑!$A$4:$E$92,4,0)="","미분류",VLOOKUP(R177,매핑!$A$4:$E$92,4,0)),"미분류")))</f>
        <v>유럽</v>
      </c>
      <c r="AI177" s="43" t="str">
        <f aca="false">IF(Q177&lt;&gt;1,"",IFERROR(IF(VLOOKUP(R177,매핑!$A$4:$E$92,3,0)="","미분류",VLOOKUP(R177,매핑!$A$4:$E$92,3,0)),IF(AB177&lt;&gt;"",IF(AB177="","",INDEX(시장분석!$W:$W,AB177)),"미분류")))</f>
        <v>영국</v>
      </c>
      <c r="AJ177" s="43" t="str">
        <f aca="false">IF(Q177&lt;&gt;1,"",IFERROR(VLOOKUP(IF(N177&lt;&gt;"",N177,IF(P177&lt;&gt;"",P177,O177)),설정!$A$15:$D$47,2,0),""))</f>
        <v>A-</v>
      </c>
      <c r="AK177" s="43" t="str">
        <f aca="false">IF(Q177&lt;&gt;1,"",IF(AJ177="","무등급",IFERROR(VLOOKUP(AJ177,설정!$A$15:$D$47,3,0),"무등급")))</f>
        <v>A</v>
      </c>
      <c r="AL177" s="89" t="n">
        <f aca="false">IF(AJ177="",99,IFERROR(VLOOKUP(AJ177,설정!$A$15:$D$47,4,0),99))</f>
        <v>7</v>
      </c>
      <c r="AM177" s="94" t="n">
        <f aca="false">IF(ISNUMBER(H177),AA177*1000000*H177/10000,0)</f>
        <v>923.34722724</v>
      </c>
      <c r="AN177" s="94" t="n">
        <f aca="false">IF(OR(Y177=1,NOT(ISNUMBER(Z177))),0,AA177*1000000*Z177/10000)</f>
        <v>923.34722724</v>
      </c>
      <c r="AO177" s="94" t="n">
        <f aca="false">IF(ISNUMBER(G177),AA177*1000000*G177/100,0)</f>
        <v>170568.228312</v>
      </c>
      <c r="AP177" s="94" t="n">
        <f aca="false">IF(ISNUMBER(M177),M177*K177,0)</f>
        <v>-79992</v>
      </c>
      <c r="AQ177" s="95" t="n">
        <f aca="false">IF(AB177="","",INDEX(시장분석!$AK:$AK,AB177))</f>
        <v>-0.244202129223827</v>
      </c>
      <c r="AR177" s="43" t="str">
        <f aca="false">IF(AB177="","-",IF(AB177="","",INDEX(시장분석!$AL:$AL,AB177)))</f>
        <v>Fair</v>
      </c>
      <c r="AS177" s="96" t="n">
        <f aca="false">IF(AB177="","",INDEX(시장분석!$AJ:$AJ,AB177))</f>
        <v>-2.68336163974033</v>
      </c>
      <c r="AT177" s="93" t="n">
        <f aca="false">IF(AB177="",0,IF(AB177="","",INDEX(시장분석!$AN:$AN,AB177)))</f>
        <v>11.1630539921692</v>
      </c>
      <c r="AU177" s="94" t="n">
        <f aca="false">IF(ISNUMBER(Z177),AT177/10000*MAX(Z177-1,0)*AA177*1000000,0)</f>
        <v>7022.46993775099</v>
      </c>
      <c r="AV177" s="94" t="n">
        <f aca="false">AO177+AU177</f>
        <v>177590.698249751</v>
      </c>
      <c r="AW177" s="43" t="str">
        <f aca="false">IF(Q177&lt;&gt;1,"",TRIM(IF(AD177=1,"FRN ","")&amp;IF(AND(AL177&gt;=10,AL177&lt;99),"BBB0미만 ","")&amp;IF(AJ177="","등급없음 ","")&amp;IF(K177&lt;&gt;1,"비USD ","")&amp;IF(AND(AB177="",Y177=0),"시장데이터없음 ","")&amp;IF(AND(ISNUMBER(U177),U177&lt;0),"만기경과 ","")))</f>
        <v/>
      </c>
      <c r="AX177" s="90" t="n">
        <f aca="false">IF(Q177&lt;&gt;1,1,IF(스프레드쇼크!$C$4="Y",INDEX(스프레드쇼크!$B$12:$L$16,IFERROR(MATCH(AH177,스프레드쇼크!$A$12:$A$16,0),MATCH("목록외",스프레드쇼크!$A$12:$A$16,0)),IFERROR(MATCH(AG177,스프레드쇼크!$B$11:$L$11,0),MATCH("목록외",스프레드쇼크!$B$11:$L$11,0))),1))</f>
        <v>1</v>
      </c>
      <c r="AY177" s="90" t="n">
        <f aca="false">IF(스프레드쇼크!$C$5="Y",IF(ISNUMBER(AF177),MIN(스프레드쇼크!$C$7,MAX(스프레드쇼크!$C$6,AF177/스프레드쇼크!$C$8)),1),1)</f>
        <v>1.16339947546003</v>
      </c>
      <c r="AZ177" s="94" t="n">
        <f aca="false">AN177*AX177*AY177</f>
        <v>1074.22167983848</v>
      </c>
      <c r="BA177" s="90" t="n">
        <f aca="false">IF(ISNUMBER(G177),AA177*G177,0)</f>
        <v>17.0568228312</v>
      </c>
      <c r="BB177" s="90" t="n">
        <f aca="false">IF(ISNUMBER(G177),AA177,0)</f>
        <v>2.942658</v>
      </c>
      <c r="BC177" s="90" t="n">
        <f aca="false">IF(AND(Y177=0,ISNUMBER(AF177)),AA177*AF177,0)</f>
        <v>226.340425386</v>
      </c>
      <c r="BD177" s="90" t="n">
        <f aca="false">IF(AND(Y177=0,ISNUMBER(AF177)),AA177,0)</f>
        <v>2.942658</v>
      </c>
      <c r="BE177" s="90" t="n">
        <f aca="false">IF(ISNUMBER(H177),AA177*H177,0)</f>
        <v>9.2334722724</v>
      </c>
      <c r="BF177" s="90" t="n">
        <f aca="false">IF(ISNUMBER(H177),AA177,0)</f>
        <v>2.942658</v>
      </c>
      <c r="BG177" s="90" t="n">
        <f aca="false">IF(AND(Y177=0,ISNUMBER(AF177),ISNUMBER(Z177)),AA177*Z177,0)</f>
        <v>9.2334722724</v>
      </c>
      <c r="BH177" s="90" t="n">
        <f aca="false">IF(AND(Y177=0,ISNUMBER(AF177),ISNUMBER(Z177)),AA177*AT177*MAX(Z177-1,0),0)</f>
        <v>70.2246993775099</v>
      </c>
      <c r="BI177" s="90" t="n">
        <f aca="false">IF(Y177=0,AA177,0)</f>
        <v>2.942658</v>
      </c>
    </row>
    <row r="178" customFormat="false" ht="15" hidden="false" customHeight="false" outlineLevel="0" collapsed="false">
      <c r="A178" s="83" t="str">
        <f aca="false">IFERROR(IF(INDEX(원자료_잔고!$A$1:$EZ$1500,설정!$L$5+ROW()-1,설정!$L$8)&amp;""="0","",INDEX(원자료_잔고!$A$1:$EZ$1500,설정!$L$5+ROW()-1,설정!$L$8)&amp;""),"")</f>
        <v>HYNMTR 6.375 04/08/30</v>
      </c>
      <c r="B178" s="83" t="str">
        <f aca="false">IFERROR(IF(INDEX(원자료_잔고!$A$1:$EZ$1500,설정!$L$5+ROW()-1,설정!$L$7)&amp;""="0","",INDEX(원자료_잔고!$A$1:$EZ$1500,설정!$L$5+ROW()-1,설정!$L$7)&amp;""),"")</f>
        <v>US44891CBL63</v>
      </c>
      <c r="C178" s="83" t="str">
        <f aca="false">IFERROR(IF(INDEX(원자료_잔고!$A$1:$EZ$1500,설정!$L$5+ROW()-1,설정!$L$9)&amp;""="0","",INDEX(원자료_잔고!$A$1:$EZ$1500,설정!$L$5+ROW()-1,설정!$L$9)&amp;""),"")</f>
        <v>34578</v>
      </c>
      <c r="D17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8" s="84" t="n">
        <f aca="false">IFERROR(IF(ISNUMBER(INDEX(원자료_잔고!$A$1:$EZ$1500,설정!$L$5+ROW()-1,설정!$L$11)),INDEX(원자료_잔고!$A$1:$EZ$1500,설정!$L$5+ROW()-1,설정!$L$11),""),"")</f>
        <v>2000000</v>
      </c>
      <c r="F178" s="85" t="n">
        <f aca="false">IFERROR(IF(ISNUMBER(INDEX(원자료_잔고!$A$1:$EZ$1500,설정!$L$5+ROW()-1,설정!$L$12)),INDEX(원자료_잔고!$A$1:$EZ$1500,설정!$L$5+ROW()-1,설정!$L$12),""),"")</f>
        <v>101.7924</v>
      </c>
      <c r="G178" s="85" t="n">
        <f aca="false">IFERROR(IF(ISNUMBER(INDEX(원자료_잔고!$A$1:$EZ$1500,설정!$L$5+ROW()-1,설정!$L$13)),INDEX(원자료_잔고!$A$1:$EZ$1500,설정!$L$5+ROW()-1,설정!$L$13),""),"")</f>
        <v>5.8044</v>
      </c>
      <c r="H178" s="85" t="n">
        <f aca="false">IFERROR(IF(ISNUMBER(INDEX(원자료_잔고!$A$1:$EZ$1500,설정!$L$5+ROW()-1,설정!$L$14)),INDEX(원자료_잔고!$A$1:$EZ$1500,설정!$L$5+ROW()-1,설정!$L$14),""),"")</f>
        <v>2.9473</v>
      </c>
      <c r="I178" s="86" t="n">
        <f aca="false">IFERROR(IF(ISNUMBER(INDEX(원자료_잔고!$A$1:$EZ$1500,설정!$L$5+ROW()-1,설정!$L$15)),INDEX(원자료_잔고!$A$1:$EZ$1500,설정!$L$5+ROW()-1,설정!$L$15),""),"")</f>
        <v>47581</v>
      </c>
      <c r="J178" s="85" t="n">
        <f aca="false">IFERROR(IF(ISNUMBER(INDEX(원자료_잔고!$A$1:$EZ$1500,설정!$L$5+ROW()-1,설정!$L$16)),INDEX(원자료_잔고!$A$1:$EZ$1500,설정!$L$5+ROW()-1,설정!$L$16),""),"")</f>
        <v>6.375</v>
      </c>
      <c r="K178" s="87" t="n">
        <f aca="false">IFERROR(IF(ISNUMBER(INDEX(원자료_잔고!$A$1:$EZ$1500,설정!$L$5+ROW()-1,설정!$L$17)),INDEX(원자료_잔고!$A$1:$EZ$1500,설정!$L$5+ROW()-1,설정!$L$17),""),"")</f>
        <v>1</v>
      </c>
      <c r="L178" s="84" t="n">
        <f aca="false">IFERROR(IF(ISNUMBER(INDEX(원자료_잔고!$A$1:$EZ$1500,설정!$L$5+ROW()-1,설정!$L$18)),INDEX(원자료_잔고!$A$1:$EZ$1500,설정!$L$5+ROW()-1,설정!$L$18),""),"")</f>
        <v>2035848</v>
      </c>
      <c r="M178" s="88" t="n">
        <f aca="false">IFERROR(IF(ISNUMBER(INDEX(원자료_잔고!$A$1:$EZ$1500,설정!$L$5+ROW()-1,설정!$L$19)),INDEX(원자료_잔고!$A$1:$EZ$1500,설정!$L$5+ROW()-1,설정!$L$19),""),"")</f>
        <v>-107588</v>
      </c>
      <c r="N178" s="83" t="str">
        <f aca="false">IFERROR(IF(INDEX(원자료_잔고!$A$1:$EZ$1500,설정!$L$5+ROW()-1,설정!$L$21)&amp;""="0","",INDEX(원자료_잔고!$A$1:$EZ$1500,설정!$L$5+ROW()-1,설정!$L$21)&amp;""),"")</f>
        <v>A-</v>
      </c>
      <c r="O178" s="83" t="str">
        <f aca="false">IFERROR(IF(INDEX(원자료_잔고!$A$1:$EZ$1500,설정!$L$5+ROW()-1,설정!$L$22)&amp;""="0","",INDEX(원자료_잔고!$A$1:$EZ$1500,설정!$L$5+ROW()-1,설정!$L$22)&amp;""),"")</f>
        <v/>
      </c>
      <c r="P178" s="83" t="str">
        <f aca="false">IFERROR(IF(INDEX(원자료_잔고!$A$1:$EZ$1500,설정!$L$5+ROW()-1,설정!$L$23)&amp;""="0","",INDEX(원자료_잔고!$A$1:$EZ$1500,설정!$L$5+ROW()-1,설정!$L$23)&amp;""),"")</f>
        <v>A-</v>
      </c>
      <c r="Q178" s="89" t="n">
        <f aca="false">IF(AND($A178&lt;&gt;"",ISNUMBER(E178)),IF(E178&gt;0,1,0),0)</f>
        <v>1</v>
      </c>
      <c r="R178" s="43" t="str">
        <f aca="false">IF(Q178=1,UPPER(LEFT($A178,FIND(" ",$A178&amp;" ")-1)),"")</f>
        <v>HYNMTR</v>
      </c>
      <c r="S178" s="89" t="n">
        <f aca="false">IF(Q178=1,IF(OR(ISNUMBER(SEARCH("Float",$A178)),ISNUMBER(SEARCH("FRN",$A178))),1,0),0)</f>
        <v>0</v>
      </c>
      <c r="T178" s="43" t="str">
        <f aca="false">IF(AND(Q178=1,ISNUMBER(I178)),TEXT(I178,"yyyymmdd")&amp;"|"&amp;IF(S178=1,"F",TEXT(J178,"0.000")),"")</f>
        <v>20300408|6.375</v>
      </c>
      <c r="U178" s="90" t="n">
        <f aca="false">IF(AND(Q178=1,ISNUMBER(I178)),(I178-설정!$C$4)/365.25,"")</f>
        <v>3.51813826146475</v>
      </c>
      <c r="V178" s="43" t="str">
        <f aca="false">IF(Q178&lt;&gt;1,"",IF(ISNUMBER(U178),IF(U178&lt;=1,"1년 이하",IF(U178&lt;=2,"1-2년",IF(U178&lt;=3,"2-3년",IF(U178&lt;=4,"3-4년",IF(U178&lt;=5,"4-5년",IF(U178&lt;=7,"5-7년",IF(U178&lt;=10,"7-10년",IF(U178&lt;=20,"10-20년","20년 이상")))))))),"미분류"))</f>
        <v>3-4년</v>
      </c>
      <c r="W178" s="43" t="str">
        <f aca="false">IF(Q178&lt;&gt;1,"",IF(AB178&lt;&gt;"",INDEX(시장분석!$C:$C,AB178),IF(K178=1,"USD","비USD")))</f>
        <v>USD</v>
      </c>
      <c r="X178" s="91" t="n">
        <f aca="false">IF(Q178=1,E178*K178/1000000,0)</f>
        <v>2</v>
      </c>
      <c r="Y178" s="89" t="n">
        <f aca="false">IF(R178="T",1,0)</f>
        <v>0</v>
      </c>
      <c r="Z178" s="92" t="n">
        <f aca="false">IF(Q178&lt;&gt;1,"",IF(AD178=1,IF(ISNUMBER(U178),MAX(U178,0),H178),H178))</f>
        <v>2.9473</v>
      </c>
      <c r="AA178" s="91" t="n">
        <f aca="false">IF(Q178=1,IF(ISNUMBER(L178),L178,0)*K178/1000000,0)</f>
        <v>2.035848</v>
      </c>
      <c r="AB178" s="89" t="n">
        <f aca="false">IF(Q178&lt;&gt;1,"",IFERROR(MATCH(VLOOKUP(B178,매핑!$H$4:$I$15,2,0),시장분석!$A$2:$A$601,0)+1,IFERROR(MATCH(R178&amp;"|"&amp;T178,시장분석!$V$2:$V$601,0)+1,IF(COUNTIF(시장분석!$U$2:$U$601,T178)=1,MATCH(T178,시장분석!$U$2:$U$601,0)+1,""))))</f>
        <v>56</v>
      </c>
      <c r="AC178" s="89" t="n">
        <f aca="false">IF(Q178&lt;&gt;1,0,IF(OR(설정!$C$5="전체",AND(설정!$C$5="선택펀드",IFERROR(COUNTIFS(설정!$F$16:$F$36,C178,설정!$G$16:$G$36,"Y")+COUNTIFS(설정!$F$16:$F$36,VALUE(C178),설정!$G$16:$G$36,"Y"),0)&gt;0),C178&amp;""=설정!$C$5&amp;""),1,0))</f>
        <v>1</v>
      </c>
      <c r="AD178" s="89" t="n">
        <f aca="false">IF(Q178&lt;&gt;1,0,IF(OR(S178=1,IF(AB178="",FALSE(),INDEX(시장분석!$R:$R,AB178)=1)),1,0))</f>
        <v>0</v>
      </c>
      <c r="AE178" s="43" t="str">
        <f aca="false">IF(AB178="","",INDEX(시장분석!$A:$A,AB178))</f>
        <v>HYNMTR 6 3/8 04/08/30</v>
      </c>
      <c r="AF178" s="93" t="n">
        <f aca="false">IF(AB178="","",IF(ISNUMBER(IF(AB178="","",INDEX(시장분석!$E:$E,AB178))),IF(AB178="","",INDEX(시장분석!$E:$E,AB178)),""))</f>
        <v>74.592</v>
      </c>
      <c r="AG178" s="43" t="str">
        <f aca="false">IF(Q178&lt;&gt;1,"",IF(AB178&lt;&gt;"",IF(AB178="","",INDEX(시장분석!$L:$L,AB178)),IFERROR(IF(VLOOKUP(R178,매핑!$A$4:$E$92,5,0)="","미분류",VLOOKUP(R178,매핑!$A$4:$E$92,5,0)),"미분류")))</f>
        <v>자유 소비재</v>
      </c>
      <c r="AH178" s="43" t="str">
        <f aca="false">IF(Q178&lt;&gt;1,"",IF(AB178&lt;&gt;"",IF(AB178="","",INDEX(시장분석!$N:$N,AB178)),IFERROR(IF(VLOOKUP(R178,매핑!$A$4:$E$92,4,0)="","미분류",VLOOKUP(R178,매핑!$A$4:$E$92,4,0)),"미분류")))</f>
        <v>미국</v>
      </c>
      <c r="AI178" s="43" t="str">
        <f aca="false">IF(Q178&lt;&gt;1,"",IFERROR(IF(VLOOKUP(R178,매핑!$A$4:$E$92,3,0)="","미분류",VLOOKUP(R178,매핑!$A$4:$E$92,3,0)),IF(AB178&lt;&gt;"",IF(AB178="","",INDEX(시장분석!$W:$W,AB178)),"미분류")))</f>
        <v>미국</v>
      </c>
      <c r="AJ178" s="43" t="str">
        <f aca="false">IF(Q178&lt;&gt;1,"",IFERROR(VLOOKUP(IF(N178&lt;&gt;"",N178,IF(P178&lt;&gt;"",P178,O178)),설정!$A$15:$D$47,2,0),""))</f>
        <v>A-</v>
      </c>
      <c r="AK178" s="43" t="str">
        <f aca="false">IF(Q178&lt;&gt;1,"",IF(AJ178="","무등급",IFERROR(VLOOKUP(AJ178,설정!$A$15:$D$47,3,0),"무등급")))</f>
        <v>A</v>
      </c>
      <c r="AL178" s="89" t="n">
        <f aca="false">IF(AJ178="",99,IFERROR(VLOOKUP(AJ178,설정!$A$15:$D$47,4,0),99))</f>
        <v>7</v>
      </c>
      <c r="AM178" s="94" t="n">
        <f aca="false">IF(ISNUMBER(H178),AA178*1000000*H178/10000,0)</f>
        <v>600.02548104</v>
      </c>
      <c r="AN178" s="94" t="n">
        <f aca="false">IF(OR(Y178=1,NOT(ISNUMBER(Z178))),0,AA178*1000000*Z178/10000)</f>
        <v>600.02548104</v>
      </c>
      <c r="AO178" s="94" t="n">
        <f aca="false">IF(ISNUMBER(G178),AA178*1000000*G178/100,0)</f>
        <v>118168.761312</v>
      </c>
      <c r="AP178" s="94" t="n">
        <f aca="false">IF(ISNUMBER(M178),M178*K178,0)</f>
        <v>-107588</v>
      </c>
      <c r="AQ178" s="95" t="n">
        <f aca="false">IF(AB178="","",INDEX(시장분석!$AK:$AK,AB178))</f>
        <v>1.08262026900268</v>
      </c>
      <c r="AR178" s="43" t="str">
        <f aca="false">IF(AB178="","-",IF(AB178="","",INDEX(시장분석!$AL:$AL,AB178)))</f>
        <v>Cheap</v>
      </c>
      <c r="AS178" s="96" t="n">
        <f aca="false">IF(AB178="","",INDEX(시장분석!$AJ:$AJ,AB178))</f>
        <v>4.69560163797317</v>
      </c>
      <c r="AT178" s="93" t="n">
        <f aca="false">IF(AB178="",0,IF(AB178="","",INDEX(시장분석!$AN:$AN,AB178)))</f>
        <v>16.9274645614995</v>
      </c>
      <c r="AU178" s="94" t="n">
        <f aca="false">IF(ISNUMBER(Z178),AT178/10000*MAX(Z178-1,0)*AA178*1000000,0)</f>
        <v>6710.73557904134</v>
      </c>
      <c r="AV178" s="94" t="n">
        <f aca="false">AO178+AU178</f>
        <v>124879.496891041</v>
      </c>
      <c r="AW178" s="43" t="str">
        <f aca="false">IF(Q178&lt;&gt;1,"",TRIM(IF(AD178=1,"FRN ","")&amp;IF(AND(AL178&gt;=10,AL178&lt;99),"BBB0미만 ","")&amp;IF(AJ178="","등급없음 ","")&amp;IF(K178&lt;&gt;1,"비USD ","")&amp;IF(AND(AB178="",Y178=0),"시장데이터없음 ","")&amp;IF(AND(ISNUMBER(U178),U178&lt;0),"만기경과 ","")))</f>
        <v/>
      </c>
      <c r="AX178" s="90" t="n">
        <f aca="false">IF(Q178&lt;&gt;1,1,IF(스프레드쇼크!$C$4="Y",INDEX(스프레드쇼크!$B$12:$L$16,IFERROR(MATCH(AH178,스프레드쇼크!$A$12:$A$16,0),MATCH("목록외",스프레드쇼크!$A$12:$A$16,0)),IFERROR(MATCH(AG178,스프레드쇼크!$B$11:$L$11,0),MATCH("목록외",스프레드쇼크!$B$11:$L$11,0))),1))</f>
        <v>1</v>
      </c>
      <c r="AY178" s="90" t="n">
        <f aca="false">IF(스프레드쇼크!$C$5="Y",IF(ISNUMBER(AF178),MIN(스프레드쇼크!$C$7,MAX(스프레드쇼크!$C$6,AF178/스프레드쇼크!$C$8)),1),1)</f>
        <v>1.12823294815859</v>
      </c>
      <c r="AZ178" s="94" t="n">
        <f aca="false">AN178*AX178*AY178</f>
        <v>676.968517444035</v>
      </c>
      <c r="BA178" s="90" t="n">
        <f aca="false">IF(ISNUMBER(G178),AA178*G178,0)</f>
        <v>11.8168761312</v>
      </c>
      <c r="BB178" s="90" t="n">
        <f aca="false">IF(ISNUMBER(G178),AA178,0)</f>
        <v>2.035848</v>
      </c>
      <c r="BC178" s="90" t="n">
        <f aca="false">IF(AND(Y178=0,ISNUMBER(AF178)),AA178*AF178,0)</f>
        <v>151.857974016</v>
      </c>
      <c r="BD178" s="90" t="n">
        <f aca="false">IF(AND(Y178=0,ISNUMBER(AF178)),AA178,0)</f>
        <v>2.035848</v>
      </c>
      <c r="BE178" s="90" t="n">
        <f aca="false">IF(ISNUMBER(H178),AA178*H178,0)</f>
        <v>6.0002548104</v>
      </c>
      <c r="BF178" s="90" t="n">
        <f aca="false">IF(ISNUMBER(H178),AA178,0)</f>
        <v>2.035848</v>
      </c>
      <c r="BG178" s="90" t="n">
        <f aca="false">IF(AND(Y178=0,ISNUMBER(AF178),ISNUMBER(Z178)),AA178*Z178,0)</f>
        <v>6.0002548104</v>
      </c>
      <c r="BH178" s="90" t="n">
        <f aca="false">IF(AND(Y178=0,ISNUMBER(AF178),ISNUMBER(Z178)),AA178*AT178*MAX(Z178-1,0),0)</f>
        <v>67.1073557904134</v>
      </c>
      <c r="BI178" s="90" t="n">
        <f aca="false">IF(Y178=0,AA178,0)</f>
        <v>2.035848</v>
      </c>
    </row>
    <row r="179" customFormat="false" ht="15" hidden="false" customHeight="false" outlineLevel="0" collapsed="false">
      <c r="A179" s="83" t="str">
        <f aca="false">IFERROR(IF(INDEX(원자료_잔고!$A$1:$EZ$1500,설정!$L$5+ROW()-1,설정!$L$8)&amp;""="0","",INDEX(원자료_잔고!$A$1:$EZ$1500,설정!$L$5+ROW()-1,설정!$L$8)&amp;""),"")</f>
        <v>HYNMTR 6.375 04/08/30</v>
      </c>
      <c r="B179" s="83" t="str">
        <f aca="false">IFERROR(IF(INDEX(원자료_잔고!$A$1:$EZ$1500,설정!$L$5+ROW()-1,설정!$L$7)&amp;""="0","",INDEX(원자료_잔고!$A$1:$EZ$1500,설정!$L$5+ROW()-1,설정!$L$7)&amp;""),"")</f>
        <v>US44891CBL63</v>
      </c>
      <c r="C179" s="83" t="str">
        <f aca="false">IFERROR(IF(INDEX(원자료_잔고!$A$1:$EZ$1500,설정!$L$5+ROW()-1,설정!$L$9)&amp;""="0","",INDEX(원자료_잔고!$A$1:$EZ$1500,설정!$L$5+ROW()-1,설정!$L$9)&amp;""),"")</f>
        <v>34578</v>
      </c>
      <c r="D17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79" s="84" t="n">
        <f aca="false">IFERROR(IF(ISNUMBER(INDEX(원자료_잔고!$A$1:$EZ$1500,설정!$L$5+ROW()-1,설정!$L$11)),INDEX(원자료_잔고!$A$1:$EZ$1500,설정!$L$5+ROW()-1,설정!$L$11),""),"")</f>
        <v>5000000</v>
      </c>
      <c r="F179" s="85" t="n">
        <f aca="false">IFERROR(IF(ISNUMBER(INDEX(원자료_잔고!$A$1:$EZ$1500,설정!$L$5+ROW()-1,설정!$L$12)),INDEX(원자료_잔고!$A$1:$EZ$1500,설정!$L$5+ROW()-1,설정!$L$12),""),"")</f>
        <v>101.7924</v>
      </c>
      <c r="G179" s="85" t="n">
        <f aca="false">IFERROR(IF(ISNUMBER(INDEX(원자료_잔고!$A$1:$EZ$1500,설정!$L$5+ROW()-1,설정!$L$13)),INDEX(원자료_잔고!$A$1:$EZ$1500,설정!$L$5+ROW()-1,설정!$L$13),""),"")</f>
        <v>5.8044</v>
      </c>
      <c r="H179" s="85" t="n">
        <f aca="false">IFERROR(IF(ISNUMBER(INDEX(원자료_잔고!$A$1:$EZ$1500,설정!$L$5+ROW()-1,설정!$L$14)),INDEX(원자료_잔고!$A$1:$EZ$1500,설정!$L$5+ROW()-1,설정!$L$14),""),"")</f>
        <v>2.9473</v>
      </c>
      <c r="I179" s="86" t="n">
        <f aca="false">IFERROR(IF(ISNUMBER(INDEX(원자료_잔고!$A$1:$EZ$1500,설정!$L$5+ROW()-1,설정!$L$15)),INDEX(원자료_잔고!$A$1:$EZ$1500,설정!$L$5+ROW()-1,설정!$L$15),""),"")</f>
        <v>47581</v>
      </c>
      <c r="J179" s="85" t="n">
        <f aca="false">IFERROR(IF(ISNUMBER(INDEX(원자료_잔고!$A$1:$EZ$1500,설정!$L$5+ROW()-1,설정!$L$16)),INDEX(원자료_잔고!$A$1:$EZ$1500,설정!$L$5+ROW()-1,설정!$L$16),""),"")</f>
        <v>6.375</v>
      </c>
      <c r="K179" s="87" t="n">
        <f aca="false">IFERROR(IF(ISNUMBER(INDEX(원자료_잔고!$A$1:$EZ$1500,설정!$L$5+ROW()-1,설정!$L$17)),INDEX(원자료_잔고!$A$1:$EZ$1500,설정!$L$5+ROW()-1,설정!$L$17),""),"")</f>
        <v>1</v>
      </c>
      <c r="L179" s="84" t="n">
        <f aca="false">IFERROR(IF(ISNUMBER(INDEX(원자료_잔고!$A$1:$EZ$1500,설정!$L$5+ROW()-1,설정!$L$18)),INDEX(원자료_잔고!$A$1:$EZ$1500,설정!$L$5+ROW()-1,설정!$L$18),""),"")</f>
        <v>5089620</v>
      </c>
      <c r="M179" s="88" t="n">
        <f aca="false">IFERROR(IF(ISNUMBER(INDEX(원자료_잔고!$A$1:$EZ$1500,설정!$L$5+ROW()-1,설정!$L$19)),INDEX(원자료_잔고!$A$1:$EZ$1500,설정!$L$5+ROW()-1,설정!$L$19),""),"")</f>
        <v>-268970</v>
      </c>
      <c r="N179" s="83" t="str">
        <f aca="false">IFERROR(IF(INDEX(원자료_잔고!$A$1:$EZ$1500,설정!$L$5+ROW()-1,설정!$L$21)&amp;""="0","",INDEX(원자료_잔고!$A$1:$EZ$1500,설정!$L$5+ROW()-1,설정!$L$21)&amp;""),"")</f>
        <v>A-</v>
      </c>
      <c r="O179" s="83" t="str">
        <f aca="false">IFERROR(IF(INDEX(원자료_잔고!$A$1:$EZ$1500,설정!$L$5+ROW()-1,설정!$L$22)&amp;""="0","",INDEX(원자료_잔고!$A$1:$EZ$1500,설정!$L$5+ROW()-1,설정!$L$22)&amp;""),"")</f>
        <v/>
      </c>
      <c r="P179" s="83" t="str">
        <f aca="false">IFERROR(IF(INDEX(원자료_잔고!$A$1:$EZ$1500,설정!$L$5+ROW()-1,설정!$L$23)&amp;""="0","",INDEX(원자료_잔고!$A$1:$EZ$1500,설정!$L$5+ROW()-1,설정!$L$23)&amp;""),"")</f>
        <v>A-</v>
      </c>
      <c r="Q179" s="89" t="n">
        <f aca="false">IF(AND($A179&lt;&gt;"",ISNUMBER(E179)),IF(E179&gt;0,1,0),0)</f>
        <v>1</v>
      </c>
      <c r="R179" s="43" t="str">
        <f aca="false">IF(Q179=1,UPPER(LEFT($A179,FIND(" ",$A179&amp;" ")-1)),"")</f>
        <v>HYNMTR</v>
      </c>
      <c r="S179" s="89" t="n">
        <f aca="false">IF(Q179=1,IF(OR(ISNUMBER(SEARCH("Float",$A179)),ISNUMBER(SEARCH("FRN",$A179))),1,0),0)</f>
        <v>0</v>
      </c>
      <c r="T179" s="43" t="str">
        <f aca="false">IF(AND(Q179=1,ISNUMBER(I179)),TEXT(I179,"yyyymmdd")&amp;"|"&amp;IF(S179=1,"F",TEXT(J179,"0.000")),"")</f>
        <v>20300408|6.375</v>
      </c>
      <c r="U179" s="90" t="n">
        <f aca="false">IF(AND(Q179=1,ISNUMBER(I179)),(I179-설정!$C$4)/365.25,"")</f>
        <v>3.51813826146475</v>
      </c>
      <c r="V179" s="43" t="str">
        <f aca="false">IF(Q179&lt;&gt;1,"",IF(ISNUMBER(U179),IF(U179&lt;=1,"1년 이하",IF(U179&lt;=2,"1-2년",IF(U179&lt;=3,"2-3년",IF(U179&lt;=4,"3-4년",IF(U179&lt;=5,"4-5년",IF(U179&lt;=7,"5-7년",IF(U179&lt;=10,"7-10년",IF(U179&lt;=20,"10-20년","20년 이상")))))))),"미분류"))</f>
        <v>3-4년</v>
      </c>
      <c r="W179" s="43" t="str">
        <f aca="false">IF(Q179&lt;&gt;1,"",IF(AB179&lt;&gt;"",INDEX(시장분석!$C:$C,AB179),IF(K179=1,"USD","비USD")))</f>
        <v>USD</v>
      </c>
      <c r="X179" s="91" t="n">
        <f aca="false">IF(Q179=1,E179*K179/1000000,0)</f>
        <v>5</v>
      </c>
      <c r="Y179" s="89" t="n">
        <f aca="false">IF(R179="T",1,0)</f>
        <v>0</v>
      </c>
      <c r="Z179" s="92" t="n">
        <f aca="false">IF(Q179&lt;&gt;1,"",IF(AD179=1,IF(ISNUMBER(U179),MAX(U179,0),H179),H179))</f>
        <v>2.9473</v>
      </c>
      <c r="AA179" s="91" t="n">
        <f aca="false">IF(Q179=1,IF(ISNUMBER(L179),L179,0)*K179/1000000,0)</f>
        <v>5.08962</v>
      </c>
      <c r="AB179" s="89" t="n">
        <f aca="false">IF(Q179&lt;&gt;1,"",IFERROR(MATCH(VLOOKUP(B179,매핑!$H$4:$I$15,2,0),시장분석!$A$2:$A$601,0)+1,IFERROR(MATCH(R179&amp;"|"&amp;T179,시장분석!$V$2:$V$601,0)+1,IF(COUNTIF(시장분석!$U$2:$U$601,T179)=1,MATCH(T179,시장분석!$U$2:$U$601,0)+1,""))))</f>
        <v>56</v>
      </c>
      <c r="AC179" s="89" t="n">
        <f aca="false">IF(Q179&lt;&gt;1,0,IF(OR(설정!$C$5="전체",AND(설정!$C$5="선택펀드",IFERROR(COUNTIFS(설정!$F$16:$F$36,C179,설정!$G$16:$G$36,"Y")+COUNTIFS(설정!$F$16:$F$36,VALUE(C179),설정!$G$16:$G$36,"Y"),0)&gt;0),C179&amp;""=설정!$C$5&amp;""),1,0))</f>
        <v>1</v>
      </c>
      <c r="AD179" s="89" t="n">
        <f aca="false">IF(Q179&lt;&gt;1,0,IF(OR(S179=1,IF(AB179="",FALSE(),INDEX(시장분석!$R:$R,AB179)=1)),1,0))</f>
        <v>0</v>
      </c>
      <c r="AE179" s="43" t="str">
        <f aca="false">IF(AB179="","",INDEX(시장분석!$A:$A,AB179))</f>
        <v>HYNMTR 6 3/8 04/08/30</v>
      </c>
      <c r="AF179" s="93" t="n">
        <f aca="false">IF(AB179="","",IF(ISNUMBER(IF(AB179="","",INDEX(시장분석!$E:$E,AB179))),IF(AB179="","",INDEX(시장분석!$E:$E,AB179)),""))</f>
        <v>74.592</v>
      </c>
      <c r="AG179" s="43" t="str">
        <f aca="false">IF(Q179&lt;&gt;1,"",IF(AB179&lt;&gt;"",IF(AB179="","",INDEX(시장분석!$L:$L,AB179)),IFERROR(IF(VLOOKUP(R179,매핑!$A$4:$E$92,5,0)="","미분류",VLOOKUP(R179,매핑!$A$4:$E$92,5,0)),"미분류")))</f>
        <v>자유 소비재</v>
      </c>
      <c r="AH179" s="43" t="str">
        <f aca="false">IF(Q179&lt;&gt;1,"",IF(AB179&lt;&gt;"",IF(AB179="","",INDEX(시장분석!$N:$N,AB179)),IFERROR(IF(VLOOKUP(R179,매핑!$A$4:$E$92,4,0)="","미분류",VLOOKUP(R179,매핑!$A$4:$E$92,4,0)),"미분류")))</f>
        <v>미국</v>
      </c>
      <c r="AI179" s="43" t="str">
        <f aca="false">IF(Q179&lt;&gt;1,"",IFERROR(IF(VLOOKUP(R179,매핑!$A$4:$E$92,3,0)="","미분류",VLOOKUP(R179,매핑!$A$4:$E$92,3,0)),IF(AB179&lt;&gt;"",IF(AB179="","",INDEX(시장분석!$W:$W,AB179)),"미분류")))</f>
        <v>미국</v>
      </c>
      <c r="AJ179" s="43" t="str">
        <f aca="false">IF(Q179&lt;&gt;1,"",IFERROR(VLOOKUP(IF(N179&lt;&gt;"",N179,IF(P179&lt;&gt;"",P179,O179)),설정!$A$15:$D$47,2,0),""))</f>
        <v>A-</v>
      </c>
      <c r="AK179" s="43" t="str">
        <f aca="false">IF(Q179&lt;&gt;1,"",IF(AJ179="","무등급",IFERROR(VLOOKUP(AJ179,설정!$A$15:$D$47,3,0),"무등급")))</f>
        <v>A</v>
      </c>
      <c r="AL179" s="89" t="n">
        <f aca="false">IF(AJ179="",99,IFERROR(VLOOKUP(AJ179,설정!$A$15:$D$47,4,0),99))</f>
        <v>7</v>
      </c>
      <c r="AM179" s="94" t="n">
        <f aca="false">IF(ISNUMBER(H179),AA179*1000000*H179/10000,0)</f>
        <v>1500.0637026</v>
      </c>
      <c r="AN179" s="94" t="n">
        <f aca="false">IF(OR(Y179=1,NOT(ISNUMBER(Z179))),0,AA179*1000000*Z179/10000)</f>
        <v>1500.0637026</v>
      </c>
      <c r="AO179" s="94" t="n">
        <f aca="false">IF(ISNUMBER(G179),AA179*1000000*G179/100,0)</f>
        <v>295421.90328</v>
      </c>
      <c r="AP179" s="94" t="n">
        <f aca="false">IF(ISNUMBER(M179),M179*K179,0)</f>
        <v>-268970</v>
      </c>
      <c r="AQ179" s="95" t="n">
        <f aca="false">IF(AB179="","",INDEX(시장분석!$AK:$AK,AB179))</f>
        <v>1.08262026900268</v>
      </c>
      <c r="AR179" s="43" t="str">
        <f aca="false">IF(AB179="","-",IF(AB179="","",INDEX(시장분석!$AL:$AL,AB179)))</f>
        <v>Cheap</v>
      </c>
      <c r="AS179" s="96" t="n">
        <f aca="false">IF(AB179="","",INDEX(시장분석!$AJ:$AJ,AB179))</f>
        <v>4.69560163797317</v>
      </c>
      <c r="AT179" s="93" t="n">
        <f aca="false">IF(AB179="",0,IF(AB179="","",INDEX(시장분석!$AN:$AN,AB179)))</f>
        <v>16.9274645614995</v>
      </c>
      <c r="AU179" s="94" t="n">
        <f aca="false">IF(ISNUMBER(Z179),AT179/10000*MAX(Z179-1,0)*AA179*1000000,0)</f>
        <v>16776.8389476033</v>
      </c>
      <c r="AV179" s="94" t="n">
        <f aca="false">AO179+AU179</f>
        <v>312198.742227603</v>
      </c>
      <c r="AW179" s="43" t="str">
        <f aca="false">IF(Q179&lt;&gt;1,"",TRIM(IF(AD179=1,"FRN ","")&amp;IF(AND(AL179&gt;=10,AL179&lt;99),"BBB0미만 ","")&amp;IF(AJ179="","등급없음 ","")&amp;IF(K179&lt;&gt;1,"비USD ","")&amp;IF(AND(AB179="",Y179=0),"시장데이터없음 ","")&amp;IF(AND(ISNUMBER(U179),U179&lt;0),"만기경과 ","")))</f>
        <v/>
      </c>
      <c r="AX179" s="90" t="n">
        <f aca="false">IF(Q179&lt;&gt;1,1,IF(스프레드쇼크!$C$4="Y",INDEX(스프레드쇼크!$B$12:$L$16,IFERROR(MATCH(AH179,스프레드쇼크!$A$12:$A$16,0),MATCH("목록외",스프레드쇼크!$A$12:$A$16,0)),IFERROR(MATCH(AG179,스프레드쇼크!$B$11:$L$11,0),MATCH("목록외",스프레드쇼크!$B$11:$L$11,0))),1))</f>
        <v>1</v>
      </c>
      <c r="AY179" s="90" t="n">
        <f aca="false">IF(스프레드쇼크!$C$5="Y",IF(ISNUMBER(AF179),MIN(스프레드쇼크!$C$7,MAX(스프레드쇼크!$C$6,AF179/스프레드쇼크!$C$8)),1),1)</f>
        <v>1.12823294815859</v>
      </c>
      <c r="AZ179" s="94" t="n">
        <f aca="false">AN179*AX179*AY179</f>
        <v>1692.42129361009</v>
      </c>
      <c r="BA179" s="90" t="n">
        <f aca="false">IF(ISNUMBER(G179),AA179*G179,0)</f>
        <v>29.542190328</v>
      </c>
      <c r="BB179" s="90" t="n">
        <f aca="false">IF(ISNUMBER(G179),AA179,0)</f>
        <v>5.08962</v>
      </c>
      <c r="BC179" s="90" t="n">
        <f aca="false">IF(AND(Y179=0,ISNUMBER(AF179)),AA179*AF179,0)</f>
        <v>379.64493504</v>
      </c>
      <c r="BD179" s="90" t="n">
        <f aca="false">IF(AND(Y179=0,ISNUMBER(AF179)),AA179,0)</f>
        <v>5.08962</v>
      </c>
      <c r="BE179" s="90" t="n">
        <f aca="false">IF(ISNUMBER(H179),AA179*H179,0)</f>
        <v>15.000637026</v>
      </c>
      <c r="BF179" s="90" t="n">
        <f aca="false">IF(ISNUMBER(H179),AA179,0)</f>
        <v>5.08962</v>
      </c>
      <c r="BG179" s="90" t="n">
        <f aca="false">IF(AND(Y179=0,ISNUMBER(AF179),ISNUMBER(Z179)),AA179*Z179,0)</f>
        <v>15.000637026</v>
      </c>
      <c r="BH179" s="90" t="n">
        <f aca="false">IF(AND(Y179=0,ISNUMBER(AF179),ISNUMBER(Z179)),AA179*AT179*MAX(Z179-1,0),0)</f>
        <v>167.768389476034</v>
      </c>
      <c r="BI179" s="90" t="n">
        <f aca="false">IF(Y179=0,AA179,0)</f>
        <v>5.08962</v>
      </c>
    </row>
    <row r="180" customFormat="false" ht="15" hidden="false" customHeight="false" outlineLevel="0" collapsed="false">
      <c r="A180" s="83" t="str">
        <f aca="false">IFERROR(IF(INDEX(원자료_잔고!$A$1:$EZ$1500,설정!$L$5+ROW()-1,설정!$L$8)&amp;""="0","",INDEX(원자료_잔고!$A$1:$EZ$1500,설정!$L$5+ROW()-1,설정!$L$8)&amp;""),"")</f>
        <v>HYNMTR 6.375 04/08/30</v>
      </c>
      <c r="B180" s="83" t="str">
        <f aca="false">IFERROR(IF(INDEX(원자료_잔고!$A$1:$EZ$1500,설정!$L$5+ROW()-1,설정!$L$7)&amp;""="0","",INDEX(원자료_잔고!$A$1:$EZ$1500,설정!$L$5+ROW()-1,설정!$L$7)&amp;""),"")</f>
        <v>US44891CBL63</v>
      </c>
      <c r="C180" s="83" t="str">
        <f aca="false">IFERROR(IF(INDEX(원자료_잔고!$A$1:$EZ$1500,설정!$L$5+ROW()-1,설정!$L$9)&amp;""="0","",INDEX(원자료_잔고!$A$1:$EZ$1500,설정!$L$5+ROW()-1,설정!$L$9)&amp;""),"")</f>
        <v>34578</v>
      </c>
      <c r="D18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0" s="84" t="n">
        <f aca="false">IFERROR(IF(ISNUMBER(INDEX(원자료_잔고!$A$1:$EZ$1500,설정!$L$5+ROW()-1,설정!$L$11)),INDEX(원자료_잔고!$A$1:$EZ$1500,설정!$L$5+ROW()-1,설정!$L$11),""),"")</f>
        <v>3500000</v>
      </c>
      <c r="F180" s="85" t="n">
        <f aca="false">IFERROR(IF(ISNUMBER(INDEX(원자료_잔고!$A$1:$EZ$1500,설정!$L$5+ROW()-1,설정!$L$12)),INDEX(원자료_잔고!$A$1:$EZ$1500,설정!$L$5+ROW()-1,설정!$L$12),""),"")</f>
        <v>101.7924</v>
      </c>
      <c r="G180" s="85" t="n">
        <f aca="false">IFERROR(IF(ISNUMBER(INDEX(원자료_잔고!$A$1:$EZ$1500,설정!$L$5+ROW()-1,설정!$L$13)),INDEX(원자료_잔고!$A$1:$EZ$1500,설정!$L$5+ROW()-1,설정!$L$13),""),"")</f>
        <v>5.8044</v>
      </c>
      <c r="H180" s="85" t="n">
        <f aca="false">IFERROR(IF(ISNUMBER(INDEX(원자료_잔고!$A$1:$EZ$1500,설정!$L$5+ROW()-1,설정!$L$14)),INDEX(원자료_잔고!$A$1:$EZ$1500,설정!$L$5+ROW()-1,설정!$L$14),""),"")</f>
        <v>2.9473</v>
      </c>
      <c r="I180" s="86" t="n">
        <f aca="false">IFERROR(IF(ISNUMBER(INDEX(원자료_잔고!$A$1:$EZ$1500,설정!$L$5+ROW()-1,설정!$L$15)),INDEX(원자료_잔고!$A$1:$EZ$1500,설정!$L$5+ROW()-1,설정!$L$15),""),"")</f>
        <v>47581</v>
      </c>
      <c r="J180" s="85" t="n">
        <f aca="false">IFERROR(IF(ISNUMBER(INDEX(원자료_잔고!$A$1:$EZ$1500,설정!$L$5+ROW()-1,설정!$L$16)),INDEX(원자료_잔고!$A$1:$EZ$1500,설정!$L$5+ROW()-1,설정!$L$16),""),"")</f>
        <v>6.375</v>
      </c>
      <c r="K180" s="87" t="n">
        <f aca="false">IFERROR(IF(ISNUMBER(INDEX(원자료_잔고!$A$1:$EZ$1500,설정!$L$5+ROW()-1,설정!$L$17)),INDEX(원자료_잔고!$A$1:$EZ$1500,설정!$L$5+ROW()-1,설정!$L$17),""),"")</f>
        <v>1</v>
      </c>
      <c r="L180" s="84" t="n">
        <f aca="false">IFERROR(IF(ISNUMBER(INDEX(원자료_잔고!$A$1:$EZ$1500,설정!$L$5+ROW()-1,설정!$L$18)),INDEX(원자료_잔고!$A$1:$EZ$1500,설정!$L$5+ROW()-1,설정!$L$18),""),"")</f>
        <v>3562734</v>
      </c>
      <c r="M180" s="88" t="n">
        <f aca="false">IFERROR(IF(ISNUMBER(INDEX(원자료_잔고!$A$1:$EZ$1500,설정!$L$5+ROW()-1,설정!$L$19)),INDEX(원자료_잔고!$A$1:$EZ$1500,설정!$L$5+ROW()-1,설정!$L$19),""),"")</f>
        <v>-188279</v>
      </c>
      <c r="N180" s="83" t="str">
        <f aca="false">IFERROR(IF(INDEX(원자료_잔고!$A$1:$EZ$1500,설정!$L$5+ROW()-1,설정!$L$21)&amp;""="0","",INDEX(원자료_잔고!$A$1:$EZ$1500,설정!$L$5+ROW()-1,설정!$L$21)&amp;""),"")</f>
        <v>A-</v>
      </c>
      <c r="O180" s="83" t="str">
        <f aca="false">IFERROR(IF(INDEX(원자료_잔고!$A$1:$EZ$1500,설정!$L$5+ROW()-1,설정!$L$22)&amp;""="0","",INDEX(원자료_잔고!$A$1:$EZ$1500,설정!$L$5+ROW()-1,설정!$L$22)&amp;""),"")</f>
        <v/>
      </c>
      <c r="P180" s="83" t="str">
        <f aca="false">IFERROR(IF(INDEX(원자료_잔고!$A$1:$EZ$1500,설정!$L$5+ROW()-1,설정!$L$23)&amp;""="0","",INDEX(원자료_잔고!$A$1:$EZ$1500,설정!$L$5+ROW()-1,설정!$L$23)&amp;""),"")</f>
        <v>A-</v>
      </c>
      <c r="Q180" s="89" t="n">
        <f aca="false">IF(AND($A180&lt;&gt;"",ISNUMBER(E180)),IF(E180&gt;0,1,0),0)</f>
        <v>1</v>
      </c>
      <c r="R180" s="43" t="str">
        <f aca="false">IF(Q180=1,UPPER(LEFT($A180,FIND(" ",$A180&amp;" ")-1)),"")</f>
        <v>HYNMTR</v>
      </c>
      <c r="S180" s="89" t="n">
        <f aca="false">IF(Q180=1,IF(OR(ISNUMBER(SEARCH("Float",$A180)),ISNUMBER(SEARCH("FRN",$A180))),1,0),0)</f>
        <v>0</v>
      </c>
      <c r="T180" s="43" t="str">
        <f aca="false">IF(AND(Q180=1,ISNUMBER(I180)),TEXT(I180,"yyyymmdd")&amp;"|"&amp;IF(S180=1,"F",TEXT(J180,"0.000")),"")</f>
        <v>20300408|6.375</v>
      </c>
      <c r="U180" s="90" t="n">
        <f aca="false">IF(AND(Q180=1,ISNUMBER(I180)),(I180-설정!$C$4)/365.25,"")</f>
        <v>3.51813826146475</v>
      </c>
      <c r="V180" s="43" t="str">
        <f aca="false">IF(Q180&lt;&gt;1,"",IF(ISNUMBER(U180),IF(U180&lt;=1,"1년 이하",IF(U180&lt;=2,"1-2년",IF(U180&lt;=3,"2-3년",IF(U180&lt;=4,"3-4년",IF(U180&lt;=5,"4-5년",IF(U180&lt;=7,"5-7년",IF(U180&lt;=10,"7-10년",IF(U180&lt;=20,"10-20년","20년 이상")))))))),"미분류"))</f>
        <v>3-4년</v>
      </c>
      <c r="W180" s="43" t="str">
        <f aca="false">IF(Q180&lt;&gt;1,"",IF(AB180&lt;&gt;"",INDEX(시장분석!$C:$C,AB180),IF(K180=1,"USD","비USD")))</f>
        <v>USD</v>
      </c>
      <c r="X180" s="91" t="n">
        <f aca="false">IF(Q180=1,E180*K180/1000000,0)</f>
        <v>3.5</v>
      </c>
      <c r="Y180" s="89" t="n">
        <f aca="false">IF(R180="T",1,0)</f>
        <v>0</v>
      </c>
      <c r="Z180" s="92" t="n">
        <f aca="false">IF(Q180&lt;&gt;1,"",IF(AD180=1,IF(ISNUMBER(U180),MAX(U180,0),H180),H180))</f>
        <v>2.9473</v>
      </c>
      <c r="AA180" s="91" t="n">
        <f aca="false">IF(Q180=1,IF(ISNUMBER(L180),L180,0)*K180/1000000,0)</f>
        <v>3.562734</v>
      </c>
      <c r="AB180" s="89" t="n">
        <f aca="false">IF(Q180&lt;&gt;1,"",IFERROR(MATCH(VLOOKUP(B180,매핑!$H$4:$I$15,2,0),시장분석!$A$2:$A$601,0)+1,IFERROR(MATCH(R180&amp;"|"&amp;T180,시장분석!$V$2:$V$601,0)+1,IF(COUNTIF(시장분석!$U$2:$U$601,T180)=1,MATCH(T180,시장분석!$U$2:$U$601,0)+1,""))))</f>
        <v>56</v>
      </c>
      <c r="AC180" s="89" t="n">
        <f aca="false">IF(Q180&lt;&gt;1,0,IF(OR(설정!$C$5="전체",AND(설정!$C$5="선택펀드",IFERROR(COUNTIFS(설정!$F$16:$F$36,C180,설정!$G$16:$G$36,"Y")+COUNTIFS(설정!$F$16:$F$36,VALUE(C180),설정!$G$16:$G$36,"Y"),0)&gt;0),C180&amp;""=설정!$C$5&amp;""),1,0))</f>
        <v>1</v>
      </c>
      <c r="AD180" s="89" t="n">
        <f aca="false">IF(Q180&lt;&gt;1,0,IF(OR(S180=1,IF(AB180="",FALSE(),INDEX(시장분석!$R:$R,AB180)=1)),1,0))</f>
        <v>0</v>
      </c>
      <c r="AE180" s="43" t="str">
        <f aca="false">IF(AB180="","",INDEX(시장분석!$A:$A,AB180))</f>
        <v>HYNMTR 6 3/8 04/08/30</v>
      </c>
      <c r="AF180" s="93" t="n">
        <f aca="false">IF(AB180="","",IF(ISNUMBER(IF(AB180="","",INDEX(시장분석!$E:$E,AB180))),IF(AB180="","",INDEX(시장분석!$E:$E,AB180)),""))</f>
        <v>74.592</v>
      </c>
      <c r="AG180" s="43" t="str">
        <f aca="false">IF(Q180&lt;&gt;1,"",IF(AB180&lt;&gt;"",IF(AB180="","",INDEX(시장분석!$L:$L,AB180)),IFERROR(IF(VLOOKUP(R180,매핑!$A$4:$E$92,5,0)="","미분류",VLOOKUP(R180,매핑!$A$4:$E$92,5,0)),"미분류")))</f>
        <v>자유 소비재</v>
      </c>
      <c r="AH180" s="43" t="str">
        <f aca="false">IF(Q180&lt;&gt;1,"",IF(AB180&lt;&gt;"",IF(AB180="","",INDEX(시장분석!$N:$N,AB180)),IFERROR(IF(VLOOKUP(R180,매핑!$A$4:$E$92,4,0)="","미분류",VLOOKUP(R180,매핑!$A$4:$E$92,4,0)),"미분류")))</f>
        <v>미국</v>
      </c>
      <c r="AI180" s="43" t="str">
        <f aca="false">IF(Q180&lt;&gt;1,"",IFERROR(IF(VLOOKUP(R180,매핑!$A$4:$E$92,3,0)="","미분류",VLOOKUP(R180,매핑!$A$4:$E$92,3,0)),IF(AB180&lt;&gt;"",IF(AB180="","",INDEX(시장분석!$W:$W,AB180)),"미분류")))</f>
        <v>미국</v>
      </c>
      <c r="AJ180" s="43" t="str">
        <f aca="false">IF(Q180&lt;&gt;1,"",IFERROR(VLOOKUP(IF(N180&lt;&gt;"",N180,IF(P180&lt;&gt;"",P180,O180)),설정!$A$15:$D$47,2,0),""))</f>
        <v>A-</v>
      </c>
      <c r="AK180" s="43" t="str">
        <f aca="false">IF(Q180&lt;&gt;1,"",IF(AJ180="","무등급",IFERROR(VLOOKUP(AJ180,설정!$A$15:$D$47,3,0),"무등급")))</f>
        <v>A</v>
      </c>
      <c r="AL180" s="89" t="n">
        <f aca="false">IF(AJ180="",99,IFERROR(VLOOKUP(AJ180,설정!$A$15:$D$47,4,0),99))</f>
        <v>7</v>
      </c>
      <c r="AM180" s="94" t="n">
        <f aca="false">IF(ISNUMBER(H180),AA180*1000000*H180/10000,0)</f>
        <v>1050.04459182</v>
      </c>
      <c r="AN180" s="94" t="n">
        <f aca="false">IF(OR(Y180=1,NOT(ISNUMBER(Z180))),0,AA180*1000000*Z180/10000)</f>
        <v>1050.04459182</v>
      </c>
      <c r="AO180" s="94" t="n">
        <f aca="false">IF(ISNUMBER(G180),AA180*1000000*G180/100,0)</f>
        <v>206795.332296</v>
      </c>
      <c r="AP180" s="94" t="n">
        <f aca="false">IF(ISNUMBER(M180),M180*K180,0)</f>
        <v>-188279</v>
      </c>
      <c r="AQ180" s="95" t="n">
        <f aca="false">IF(AB180="","",INDEX(시장분석!$AK:$AK,AB180))</f>
        <v>1.08262026900268</v>
      </c>
      <c r="AR180" s="43" t="str">
        <f aca="false">IF(AB180="","-",IF(AB180="","",INDEX(시장분석!$AL:$AL,AB180)))</f>
        <v>Cheap</v>
      </c>
      <c r="AS180" s="96" t="n">
        <f aca="false">IF(AB180="","",INDEX(시장분석!$AJ:$AJ,AB180))</f>
        <v>4.69560163797317</v>
      </c>
      <c r="AT180" s="93" t="n">
        <f aca="false">IF(AB180="",0,IF(AB180="","",INDEX(시장분석!$AN:$AN,AB180)))</f>
        <v>16.9274645614995</v>
      </c>
      <c r="AU180" s="94" t="n">
        <f aca="false">IF(ISNUMBER(Z180),AT180/10000*MAX(Z180-1,0)*AA180*1000000,0)</f>
        <v>11743.7872633223</v>
      </c>
      <c r="AV180" s="94" t="n">
        <f aca="false">AO180+AU180</f>
        <v>218539.119559322</v>
      </c>
      <c r="AW180" s="43" t="str">
        <f aca="false">IF(Q180&lt;&gt;1,"",TRIM(IF(AD180=1,"FRN ","")&amp;IF(AND(AL180&gt;=10,AL180&lt;99),"BBB0미만 ","")&amp;IF(AJ180="","등급없음 ","")&amp;IF(K180&lt;&gt;1,"비USD ","")&amp;IF(AND(AB180="",Y180=0),"시장데이터없음 ","")&amp;IF(AND(ISNUMBER(U180),U180&lt;0),"만기경과 ","")))</f>
        <v/>
      </c>
      <c r="AX180" s="90" t="n">
        <f aca="false">IF(Q180&lt;&gt;1,1,IF(스프레드쇼크!$C$4="Y",INDEX(스프레드쇼크!$B$12:$L$16,IFERROR(MATCH(AH180,스프레드쇼크!$A$12:$A$16,0),MATCH("목록외",스프레드쇼크!$A$12:$A$16,0)),IFERROR(MATCH(AG180,스프레드쇼크!$B$11:$L$11,0),MATCH("목록외",스프레드쇼크!$B$11:$L$11,0))),1))</f>
        <v>1</v>
      </c>
      <c r="AY180" s="90" t="n">
        <f aca="false">IF(스프레드쇼크!$C$5="Y",IF(ISNUMBER(AF180),MIN(스프레드쇼크!$C$7,MAX(스프레드쇼크!$C$6,AF180/스프레드쇼크!$C$8)),1),1)</f>
        <v>1.12823294815859</v>
      </c>
      <c r="AZ180" s="94" t="n">
        <f aca="false">AN180*AX180*AY180</f>
        <v>1184.69490552706</v>
      </c>
      <c r="BA180" s="90" t="n">
        <f aca="false">IF(ISNUMBER(G180),AA180*G180,0)</f>
        <v>20.6795332296</v>
      </c>
      <c r="BB180" s="90" t="n">
        <f aca="false">IF(ISNUMBER(G180),AA180,0)</f>
        <v>3.562734</v>
      </c>
      <c r="BC180" s="90" t="n">
        <f aca="false">IF(AND(Y180=0,ISNUMBER(AF180)),AA180*AF180,0)</f>
        <v>265.751454528</v>
      </c>
      <c r="BD180" s="90" t="n">
        <f aca="false">IF(AND(Y180=0,ISNUMBER(AF180)),AA180,0)</f>
        <v>3.562734</v>
      </c>
      <c r="BE180" s="90" t="n">
        <f aca="false">IF(ISNUMBER(H180),AA180*H180,0)</f>
        <v>10.5004459182</v>
      </c>
      <c r="BF180" s="90" t="n">
        <f aca="false">IF(ISNUMBER(H180),AA180,0)</f>
        <v>3.562734</v>
      </c>
      <c r="BG180" s="90" t="n">
        <f aca="false">IF(AND(Y180=0,ISNUMBER(AF180),ISNUMBER(Z180)),AA180*Z180,0)</f>
        <v>10.5004459182</v>
      </c>
      <c r="BH180" s="90" t="n">
        <f aca="false">IF(AND(Y180=0,ISNUMBER(AF180),ISNUMBER(Z180)),AA180*AT180*MAX(Z180-1,0),0)</f>
        <v>117.437872633223</v>
      </c>
      <c r="BI180" s="90" t="n">
        <f aca="false">IF(Y180=0,AA180,0)</f>
        <v>3.562734</v>
      </c>
    </row>
    <row r="181" customFormat="false" ht="15" hidden="false" customHeight="false" outlineLevel="0" collapsed="false">
      <c r="A181" s="83" t="str">
        <f aca="false">IFERROR(IF(INDEX(원자료_잔고!$A$1:$EZ$1500,설정!$L$5+ROW()-1,설정!$L$8)&amp;""="0","",INDEX(원자료_잔고!$A$1:$EZ$1500,설정!$L$5+ROW()-1,설정!$L$8)&amp;""),"")</f>
        <v>HYNMTR 5.8 04/01/30</v>
      </c>
      <c r="B181" s="83" t="str">
        <f aca="false">IFERROR(IF(INDEX(원자료_잔고!$A$1:$EZ$1500,설정!$L$5+ROW()-1,설정!$L$7)&amp;""="0","",INDEX(원자료_잔고!$A$1:$EZ$1500,설정!$L$5+ROW()-1,설정!$L$7)&amp;""),"")</f>
        <v>US44891CCE12</v>
      </c>
      <c r="C181" s="83" t="str">
        <f aca="false">IFERROR(IF(INDEX(원자료_잔고!$A$1:$EZ$1500,설정!$L$5+ROW()-1,설정!$L$9)&amp;""="0","",INDEX(원자료_잔고!$A$1:$EZ$1500,설정!$L$5+ROW()-1,설정!$L$9)&amp;""),"")</f>
        <v>34578</v>
      </c>
      <c r="D18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1" s="84" t="n">
        <f aca="false">IFERROR(IF(ISNUMBER(INDEX(원자료_잔고!$A$1:$EZ$1500,설정!$L$5+ROW()-1,설정!$L$11)),INDEX(원자료_잔고!$A$1:$EZ$1500,설정!$L$5+ROW()-1,설정!$L$11),""),"")</f>
        <v>1300000</v>
      </c>
      <c r="F181" s="85" t="n">
        <f aca="false">IFERROR(IF(ISNUMBER(INDEX(원자료_잔고!$A$1:$EZ$1500,설정!$L$5+ROW()-1,설정!$L$12)),INDEX(원자료_잔고!$A$1:$EZ$1500,설정!$L$5+ROW()-1,설정!$L$12),""),"")</f>
        <v>100.0939</v>
      </c>
      <c r="G181" s="85" t="n">
        <f aca="false">IFERROR(IF(ISNUMBER(INDEX(원자료_잔고!$A$1:$EZ$1500,설정!$L$5+ROW()-1,설정!$L$13)),INDEX(원자료_잔고!$A$1:$EZ$1500,설정!$L$5+ROW()-1,설정!$L$13),""),"")</f>
        <v>5.7699</v>
      </c>
      <c r="H181" s="85" t="n">
        <f aca="false">IFERROR(IF(ISNUMBER(INDEX(원자료_잔고!$A$1:$EZ$1500,설정!$L$5+ROW()-1,설정!$L$14)),INDEX(원자료_잔고!$A$1:$EZ$1500,설정!$L$5+ROW()-1,설정!$L$14),""),"")</f>
        <v>2.9581</v>
      </c>
      <c r="I181" s="86" t="n">
        <f aca="false">IFERROR(IF(ISNUMBER(INDEX(원자료_잔고!$A$1:$EZ$1500,설정!$L$5+ROW()-1,설정!$L$15)),INDEX(원자료_잔고!$A$1:$EZ$1500,설정!$L$5+ROW()-1,설정!$L$15),""),"")</f>
        <v>47574</v>
      </c>
      <c r="J181" s="85" t="n">
        <f aca="false">IFERROR(IF(ISNUMBER(INDEX(원자료_잔고!$A$1:$EZ$1500,설정!$L$5+ROW()-1,설정!$L$16)),INDEX(원자료_잔고!$A$1:$EZ$1500,설정!$L$5+ROW()-1,설정!$L$16),""),"")</f>
        <v>5.8</v>
      </c>
      <c r="K181" s="87" t="n">
        <f aca="false">IFERROR(IF(ISNUMBER(INDEX(원자료_잔고!$A$1:$EZ$1500,설정!$L$5+ROW()-1,설정!$L$17)),INDEX(원자료_잔고!$A$1:$EZ$1500,설정!$L$5+ROW()-1,설정!$L$17),""),"")</f>
        <v>1</v>
      </c>
      <c r="L181" s="84" t="n">
        <f aca="false">IFERROR(IF(ISNUMBER(INDEX(원자료_잔고!$A$1:$EZ$1500,설정!$L$5+ROW()-1,설정!$L$18)),INDEX(원자료_잔고!$A$1:$EZ$1500,설정!$L$5+ROW()-1,설정!$L$18),""),"")</f>
        <v>1301220.7</v>
      </c>
      <c r="M181" s="88" t="n">
        <f aca="false">IFERROR(IF(ISNUMBER(INDEX(원자료_잔고!$A$1:$EZ$1500,설정!$L$5+ROW()-1,설정!$L$19)),INDEX(원자료_잔고!$A$1:$EZ$1500,설정!$L$5+ROW()-1,설정!$L$19),""),"")</f>
        <v>-63731.2</v>
      </c>
      <c r="N181" s="83" t="str">
        <f aca="false">IFERROR(IF(INDEX(원자료_잔고!$A$1:$EZ$1500,설정!$L$5+ROW()-1,설정!$L$21)&amp;""="0","",INDEX(원자료_잔고!$A$1:$EZ$1500,설정!$L$5+ROW()-1,설정!$L$21)&amp;""),"")</f>
        <v>A-</v>
      </c>
      <c r="O181" s="83" t="str">
        <f aca="false">IFERROR(IF(INDEX(원자료_잔고!$A$1:$EZ$1500,설정!$L$5+ROW()-1,설정!$L$22)&amp;""="0","",INDEX(원자료_잔고!$A$1:$EZ$1500,설정!$L$5+ROW()-1,설정!$L$22)&amp;""),"")</f>
        <v/>
      </c>
      <c r="P181" s="83" t="str">
        <f aca="false">IFERROR(IF(INDEX(원자료_잔고!$A$1:$EZ$1500,설정!$L$5+ROW()-1,설정!$L$23)&amp;""="0","",INDEX(원자료_잔고!$A$1:$EZ$1500,설정!$L$5+ROW()-1,설정!$L$23)&amp;""),"")</f>
        <v>A-</v>
      </c>
      <c r="Q181" s="89" t="n">
        <f aca="false">IF(AND($A181&lt;&gt;"",ISNUMBER(E181)),IF(E181&gt;0,1,0),0)</f>
        <v>1</v>
      </c>
      <c r="R181" s="43" t="str">
        <f aca="false">IF(Q181=1,UPPER(LEFT($A181,FIND(" ",$A181&amp;" ")-1)),"")</f>
        <v>HYNMTR</v>
      </c>
      <c r="S181" s="89" t="n">
        <f aca="false">IF(Q181=1,IF(OR(ISNUMBER(SEARCH("Float",$A181)),ISNUMBER(SEARCH("FRN",$A181))),1,0),0)</f>
        <v>0</v>
      </c>
      <c r="T181" s="43" t="str">
        <f aca="false">IF(AND(Q181=1,ISNUMBER(I181)),TEXT(I181,"yyyymmdd")&amp;"|"&amp;IF(S181=1,"F",TEXT(J181,"0.000")),"")</f>
        <v>20300401|5.800</v>
      </c>
      <c r="U181" s="90" t="n">
        <f aca="false">IF(AND(Q181=1,ISNUMBER(I181)),(I181-설정!$C$4)/365.25,"")</f>
        <v>3.49897330595483</v>
      </c>
      <c r="V181" s="43" t="str">
        <f aca="false">IF(Q181&lt;&gt;1,"",IF(ISNUMBER(U181),IF(U181&lt;=1,"1년 이하",IF(U181&lt;=2,"1-2년",IF(U181&lt;=3,"2-3년",IF(U181&lt;=4,"3-4년",IF(U181&lt;=5,"4-5년",IF(U181&lt;=7,"5-7년",IF(U181&lt;=10,"7-10년",IF(U181&lt;=20,"10-20년","20년 이상")))))))),"미분류"))</f>
        <v>3-4년</v>
      </c>
      <c r="W181" s="43" t="str">
        <f aca="false">IF(Q181&lt;&gt;1,"",IF(AB181&lt;&gt;"",INDEX(시장분석!$C:$C,AB181),IF(K181=1,"USD","비USD")))</f>
        <v>USD</v>
      </c>
      <c r="X181" s="91" t="n">
        <f aca="false">IF(Q181=1,E181*K181/1000000,0)</f>
        <v>1.3</v>
      </c>
      <c r="Y181" s="89" t="n">
        <f aca="false">IF(R181="T",1,0)</f>
        <v>0</v>
      </c>
      <c r="Z181" s="92" t="n">
        <f aca="false">IF(Q181&lt;&gt;1,"",IF(AD181=1,IF(ISNUMBER(U181),MAX(U181,0),H181),H181))</f>
        <v>2.9581</v>
      </c>
      <c r="AA181" s="91" t="n">
        <f aca="false">IF(Q181=1,IF(ISNUMBER(L181),L181,0)*K181/1000000,0)</f>
        <v>1.3012207</v>
      </c>
      <c r="AB181" s="89" t="n">
        <f aca="false">IF(Q181&lt;&gt;1,"",IFERROR(MATCH(VLOOKUP(B181,매핑!$H$4:$I$15,2,0),시장분석!$A$2:$A$601,0)+1,IFERROR(MATCH(R181&amp;"|"&amp;T181,시장분석!$V$2:$V$601,0)+1,IF(COUNTIF(시장분석!$U$2:$U$601,T181)=1,MATCH(T181,시장분석!$U$2:$U$601,0)+1,""))))</f>
        <v>57</v>
      </c>
      <c r="AC181" s="89" t="n">
        <f aca="false">IF(Q181&lt;&gt;1,0,IF(OR(설정!$C$5="전체",AND(설정!$C$5="선택펀드",IFERROR(COUNTIFS(설정!$F$16:$F$36,C181,설정!$G$16:$G$36,"Y")+COUNTIFS(설정!$F$16:$F$36,VALUE(C181),설정!$G$16:$G$36,"Y"),0)&gt;0),C181&amp;""=설정!$C$5&amp;""),1,0))</f>
        <v>1</v>
      </c>
      <c r="AD181" s="89" t="n">
        <f aca="false">IF(Q181&lt;&gt;1,0,IF(OR(S181=1,IF(AB181="",FALSE(),INDEX(시장분석!$R:$R,AB181)=1)),1,0))</f>
        <v>0</v>
      </c>
      <c r="AE181" s="43" t="str">
        <f aca="false">IF(AB181="","",INDEX(시장분석!$A:$A,AB181))</f>
        <v>HYNMTR 5.8 04/01/30</v>
      </c>
      <c r="AF181" s="93" t="n">
        <f aca="false">IF(AB181="","",IF(ISNUMBER(IF(AB181="","",INDEX(시장분석!$E:$E,AB181))),IF(AB181="","",INDEX(시장분석!$E:$E,AB181)),""))</f>
        <v>72.883</v>
      </c>
      <c r="AG181" s="43" t="str">
        <f aca="false">IF(Q181&lt;&gt;1,"",IF(AB181&lt;&gt;"",IF(AB181="","",INDEX(시장분석!$L:$L,AB181)),IFERROR(IF(VLOOKUP(R181,매핑!$A$4:$E$92,5,0)="","미분류",VLOOKUP(R181,매핑!$A$4:$E$92,5,0)),"미분류")))</f>
        <v>자유 소비재</v>
      </c>
      <c r="AH181" s="43" t="str">
        <f aca="false">IF(Q181&lt;&gt;1,"",IF(AB181&lt;&gt;"",IF(AB181="","",INDEX(시장분석!$N:$N,AB181)),IFERROR(IF(VLOOKUP(R181,매핑!$A$4:$E$92,4,0)="","미분류",VLOOKUP(R181,매핑!$A$4:$E$92,4,0)),"미분류")))</f>
        <v>미국</v>
      </c>
      <c r="AI181" s="43" t="str">
        <f aca="false">IF(Q181&lt;&gt;1,"",IFERROR(IF(VLOOKUP(R181,매핑!$A$4:$E$92,3,0)="","미분류",VLOOKUP(R181,매핑!$A$4:$E$92,3,0)),IF(AB181&lt;&gt;"",IF(AB181="","",INDEX(시장분석!$W:$W,AB181)),"미분류")))</f>
        <v>미국</v>
      </c>
      <c r="AJ181" s="43" t="str">
        <f aca="false">IF(Q181&lt;&gt;1,"",IFERROR(VLOOKUP(IF(N181&lt;&gt;"",N181,IF(P181&lt;&gt;"",P181,O181)),설정!$A$15:$D$47,2,0),""))</f>
        <v>A-</v>
      </c>
      <c r="AK181" s="43" t="str">
        <f aca="false">IF(Q181&lt;&gt;1,"",IF(AJ181="","무등급",IFERROR(VLOOKUP(AJ181,설정!$A$15:$D$47,3,0),"무등급")))</f>
        <v>A</v>
      </c>
      <c r="AL181" s="89" t="n">
        <f aca="false">IF(AJ181="",99,IFERROR(VLOOKUP(AJ181,설정!$A$15:$D$47,4,0),99))</f>
        <v>7</v>
      </c>
      <c r="AM181" s="94" t="n">
        <f aca="false">IF(ISNUMBER(H181),AA181*1000000*H181/10000,0)</f>
        <v>384.914095267</v>
      </c>
      <c r="AN181" s="94" t="n">
        <f aca="false">IF(OR(Y181=1,NOT(ISNUMBER(Z181))),0,AA181*1000000*Z181/10000)</f>
        <v>384.914095267</v>
      </c>
      <c r="AO181" s="94" t="n">
        <f aca="false">IF(ISNUMBER(G181),AA181*1000000*G181/100,0)</f>
        <v>75079.1331693</v>
      </c>
      <c r="AP181" s="94" t="n">
        <f aca="false">IF(ISNUMBER(M181),M181*K181,0)</f>
        <v>-63731.2</v>
      </c>
      <c r="AQ181" s="95" t="n">
        <f aca="false">IF(AB181="","",INDEX(시장분석!$AK:$AK,AB181))</f>
        <v>-0.226931821183097</v>
      </c>
      <c r="AR181" s="43" t="str">
        <f aca="false">IF(AB181="","-",IF(AB181="","",INDEX(시장분석!$AL:$AL,AB181)))</f>
        <v>Fair</v>
      </c>
      <c r="AS181" s="96" t="n">
        <f aca="false">IF(AB181="","",INDEX(시장분석!$AJ:$AJ,AB181))</f>
        <v>-0.984261482779374</v>
      </c>
      <c r="AT181" s="93" t="n">
        <f aca="false">IF(AB181="",0,IF(AB181="","",INDEX(시장분석!$AN:$AN,AB181)))</f>
        <v>14.9978300694792</v>
      </c>
      <c r="AU181" s="94" t="n">
        <f aca="false">IF(ISNUMBER(Z181),AT181/10000*MAX(Z181-1,0)*AA181*1000000,0)</f>
        <v>3821.32749801293</v>
      </c>
      <c r="AV181" s="94" t="n">
        <f aca="false">AO181+AU181</f>
        <v>78900.4606673129</v>
      </c>
      <c r="AW181" s="43" t="str">
        <f aca="false">IF(Q181&lt;&gt;1,"",TRIM(IF(AD181=1,"FRN ","")&amp;IF(AND(AL181&gt;=10,AL181&lt;99),"BBB0미만 ","")&amp;IF(AJ181="","등급없음 ","")&amp;IF(K181&lt;&gt;1,"비USD ","")&amp;IF(AND(AB181="",Y181=0),"시장데이터없음 ","")&amp;IF(AND(ISNUMBER(U181),U181&lt;0),"만기경과 ","")))</f>
        <v/>
      </c>
      <c r="AX181" s="90" t="n">
        <f aca="false">IF(Q181&lt;&gt;1,1,IF(스프레드쇼크!$C$4="Y",INDEX(스프레드쇼크!$B$12:$L$16,IFERROR(MATCH(AH181,스프레드쇼크!$A$12:$A$16,0),MATCH("목록외",스프레드쇼크!$A$12:$A$16,0)),IFERROR(MATCH(AG181,스프레드쇼크!$B$11:$L$11,0),MATCH("목록외",스프레드쇼크!$B$11:$L$11,0))),1))</f>
        <v>1</v>
      </c>
      <c r="AY181" s="90" t="n">
        <f aca="false">IF(스프레드쇼크!$C$5="Y",IF(ISNUMBER(AF181),MIN(스프레드쇼크!$C$7,MAX(스프레드쇼크!$C$6,AF181/스프레드쇼크!$C$8)),1),1)</f>
        <v>1.10238365991852</v>
      </c>
      <c r="AZ181" s="94" t="n">
        <f aca="false">AN181*AX181*AY181</f>
        <v>424.323009094663</v>
      </c>
      <c r="BA181" s="90" t="n">
        <f aca="false">IF(ISNUMBER(G181),AA181*G181,0)</f>
        <v>7.50791331693</v>
      </c>
      <c r="BB181" s="90" t="n">
        <f aca="false">IF(ISNUMBER(G181),AA181,0)</f>
        <v>1.3012207</v>
      </c>
      <c r="BC181" s="90" t="n">
        <f aca="false">IF(AND(Y181=0,ISNUMBER(AF181)),AA181*AF181,0)</f>
        <v>94.8368682781</v>
      </c>
      <c r="BD181" s="90" t="n">
        <f aca="false">IF(AND(Y181=0,ISNUMBER(AF181)),AA181,0)</f>
        <v>1.3012207</v>
      </c>
      <c r="BE181" s="90" t="n">
        <f aca="false">IF(ISNUMBER(H181),AA181*H181,0)</f>
        <v>3.84914095267</v>
      </c>
      <c r="BF181" s="90" t="n">
        <f aca="false">IF(ISNUMBER(H181),AA181,0)</f>
        <v>1.3012207</v>
      </c>
      <c r="BG181" s="90" t="n">
        <f aca="false">IF(AND(Y181=0,ISNUMBER(AF181),ISNUMBER(Z181)),AA181*Z181,0)</f>
        <v>3.84914095267</v>
      </c>
      <c r="BH181" s="90" t="n">
        <f aca="false">IF(AND(Y181=0,ISNUMBER(AF181),ISNUMBER(Z181)),AA181*AT181*MAX(Z181-1,0),0)</f>
        <v>38.2132749801293</v>
      </c>
      <c r="BI181" s="90" t="n">
        <f aca="false">IF(Y181=0,AA181,0)</f>
        <v>1.3012207</v>
      </c>
    </row>
    <row r="182" customFormat="false" ht="15" hidden="false" customHeight="false" outlineLevel="0" collapsed="false">
      <c r="A182" s="83" t="str">
        <f aca="false">IFERROR(IF(INDEX(원자료_잔고!$A$1:$EZ$1500,설정!$L$5+ROW()-1,설정!$L$8)&amp;""="0","",INDEX(원자료_잔고!$A$1:$EZ$1500,설정!$L$5+ROW()-1,설정!$L$8)&amp;""),"")</f>
        <v>HYNMTR 5.8 04/01/30</v>
      </c>
      <c r="B182" s="83" t="str">
        <f aca="false">IFERROR(IF(INDEX(원자료_잔고!$A$1:$EZ$1500,설정!$L$5+ROW()-1,설정!$L$7)&amp;""="0","",INDEX(원자료_잔고!$A$1:$EZ$1500,설정!$L$5+ROW()-1,설정!$L$7)&amp;""),"")</f>
        <v>US44891CCE12</v>
      </c>
      <c r="C182" s="83" t="str">
        <f aca="false">IFERROR(IF(INDEX(원자료_잔고!$A$1:$EZ$1500,설정!$L$5+ROW()-1,설정!$L$9)&amp;""="0","",INDEX(원자료_잔고!$A$1:$EZ$1500,설정!$L$5+ROW()-1,설정!$L$9)&amp;""),"")</f>
        <v>34578</v>
      </c>
      <c r="D18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2" s="84" t="n">
        <f aca="false">IFERROR(IF(ISNUMBER(INDEX(원자료_잔고!$A$1:$EZ$1500,설정!$L$5+ROW()-1,설정!$L$11)),INDEX(원자료_잔고!$A$1:$EZ$1500,설정!$L$5+ROW()-1,설정!$L$11),""),"")</f>
        <v>2700000</v>
      </c>
      <c r="F182" s="85" t="n">
        <f aca="false">IFERROR(IF(ISNUMBER(INDEX(원자료_잔고!$A$1:$EZ$1500,설정!$L$5+ROW()-1,설정!$L$12)),INDEX(원자료_잔고!$A$1:$EZ$1500,설정!$L$5+ROW()-1,설정!$L$12),""),"")</f>
        <v>100.0939</v>
      </c>
      <c r="G182" s="85" t="n">
        <f aca="false">IFERROR(IF(ISNUMBER(INDEX(원자료_잔고!$A$1:$EZ$1500,설정!$L$5+ROW()-1,설정!$L$13)),INDEX(원자료_잔고!$A$1:$EZ$1500,설정!$L$5+ROW()-1,설정!$L$13),""),"")</f>
        <v>5.7699</v>
      </c>
      <c r="H182" s="85" t="n">
        <f aca="false">IFERROR(IF(ISNUMBER(INDEX(원자료_잔고!$A$1:$EZ$1500,설정!$L$5+ROW()-1,설정!$L$14)),INDEX(원자료_잔고!$A$1:$EZ$1500,설정!$L$5+ROW()-1,설정!$L$14),""),"")</f>
        <v>2.9581</v>
      </c>
      <c r="I182" s="86" t="n">
        <f aca="false">IFERROR(IF(ISNUMBER(INDEX(원자료_잔고!$A$1:$EZ$1500,설정!$L$5+ROW()-1,설정!$L$15)),INDEX(원자료_잔고!$A$1:$EZ$1500,설정!$L$5+ROW()-1,설정!$L$15),""),"")</f>
        <v>47574</v>
      </c>
      <c r="J182" s="85" t="n">
        <f aca="false">IFERROR(IF(ISNUMBER(INDEX(원자료_잔고!$A$1:$EZ$1500,설정!$L$5+ROW()-1,설정!$L$16)),INDEX(원자료_잔고!$A$1:$EZ$1500,설정!$L$5+ROW()-1,설정!$L$16),""),"")</f>
        <v>5.8</v>
      </c>
      <c r="K182" s="87" t="n">
        <f aca="false">IFERROR(IF(ISNUMBER(INDEX(원자료_잔고!$A$1:$EZ$1500,설정!$L$5+ROW()-1,설정!$L$17)),INDEX(원자료_잔고!$A$1:$EZ$1500,설정!$L$5+ROW()-1,설정!$L$17),""),"")</f>
        <v>1</v>
      </c>
      <c r="L182" s="84" t="n">
        <f aca="false">IFERROR(IF(ISNUMBER(INDEX(원자료_잔고!$A$1:$EZ$1500,설정!$L$5+ROW()-1,설정!$L$18)),INDEX(원자료_잔고!$A$1:$EZ$1500,설정!$L$5+ROW()-1,설정!$L$18),""),"")</f>
        <v>2702535.3</v>
      </c>
      <c r="M182" s="88" t="n">
        <f aca="false">IFERROR(IF(ISNUMBER(INDEX(원자료_잔고!$A$1:$EZ$1500,설정!$L$5+ROW()-1,설정!$L$19)),INDEX(원자료_잔고!$A$1:$EZ$1500,설정!$L$5+ROW()-1,설정!$L$19),""),"")</f>
        <v>-132364.8</v>
      </c>
      <c r="N182" s="83" t="str">
        <f aca="false">IFERROR(IF(INDEX(원자료_잔고!$A$1:$EZ$1500,설정!$L$5+ROW()-1,설정!$L$21)&amp;""="0","",INDEX(원자료_잔고!$A$1:$EZ$1500,설정!$L$5+ROW()-1,설정!$L$21)&amp;""),"")</f>
        <v>A-</v>
      </c>
      <c r="O182" s="83" t="str">
        <f aca="false">IFERROR(IF(INDEX(원자료_잔고!$A$1:$EZ$1500,설정!$L$5+ROW()-1,설정!$L$22)&amp;""="0","",INDEX(원자료_잔고!$A$1:$EZ$1500,설정!$L$5+ROW()-1,설정!$L$22)&amp;""),"")</f>
        <v/>
      </c>
      <c r="P182" s="83" t="str">
        <f aca="false">IFERROR(IF(INDEX(원자료_잔고!$A$1:$EZ$1500,설정!$L$5+ROW()-1,설정!$L$23)&amp;""="0","",INDEX(원자료_잔고!$A$1:$EZ$1500,설정!$L$5+ROW()-1,설정!$L$23)&amp;""),"")</f>
        <v>A-</v>
      </c>
      <c r="Q182" s="89" t="n">
        <f aca="false">IF(AND($A182&lt;&gt;"",ISNUMBER(E182)),IF(E182&gt;0,1,0),0)</f>
        <v>1</v>
      </c>
      <c r="R182" s="43" t="str">
        <f aca="false">IF(Q182=1,UPPER(LEFT($A182,FIND(" ",$A182&amp;" ")-1)),"")</f>
        <v>HYNMTR</v>
      </c>
      <c r="S182" s="89" t="n">
        <f aca="false">IF(Q182=1,IF(OR(ISNUMBER(SEARCH("Float",$A182)),ISNUMBER(SEARCH("FRN",$A182))),1,0),0)</f>
        <v>0</v>
      </c>
      <c r="T182" s="43" t="str">
        <f aca="false">IF(AND(Q182=1,ISNUMBER(I182)),TEXT(I182,"yyyymmdd")&amp;"|"&amp;IF(S182=1,"F",TEXT(J182,"0.000")),"")</f>
        <v>20300401|5.800</v>
      </c>
      <c r="U182" s="90" t="n">
        <f aca="false">IF(AND(Q182=1,ISNUMBER(I182)),(I182-설정!$C$4)/365.25,"")</f>
        <v>3.49897330595483</v>
      </c>
      <c r="V182" s="43" t="str">
        <f aca="false">IF(Q182&lt;&gt;1,"",IF(ISNUMBER(U182),IF(U182&lt;=1,"1년 이하",IF(U182&lt;=2,"1-2년",IF(U182&lt;=3,"2-3년",IF(U182&lt;=4,"3-4년",IF(U182&lt;=5,"4-5년",IF(U182&lt;=7,"5-7년",IF(U182&lt;=10,"7-10년",IF(U182&lt;=20,"10-20년","20년 이상")))))))),"미분류"))</f>
        <v>3-4년</v>
      </c>
      <c r="W182" s="43" t="str">
        <f aca="false">IF(Q182&lt;&gt;1,"",IF(AB182&lt;&gt;"",INDEX(시장분석!$C:$C,AB182),IF(K182=1,"USD","비USD")))</f>
        <v>USD</v>
      </c>
      <c r="X182" s="91" t="n">
        <f aca="false">IF(Q182=1,E182*K182/1000000,0)</f>
        <v>2.7</v>
      </c>
      <c r="Y182" s="89" t="n">
        <f aca="false">IF(R182="T",1,0)</f>
        <v>0</v>
      </c>
      <c r="Z182" s="92" t="n">
        <f aca="false">IF(Q182&lt;&gt;1,"",IF(AD182=1,IF(ISNUMBER(U182),MAX(U182,0),H182),H182))</f>
        <v>2.9581</v>
      </c>
      <c r="AA182" s="91" t="n">
        <f aca="false">IF(Q182=1,IF(ISNUMBER(L182),L182,0)*K182/1000000,0)</f>
        <v>2.7025353</v>
      </c>
      <c r="AB182" s="89" t="n">
        <f aca="false">IF(Q182&lt;&gt;1,"",IFERROR(MATCH(VLOOKUP(B182,매핑!$H$4:$I$15,2,0),시장분석!$A$2:$A$601,0)+1,IFERROR(MATCH(R182&amp;"|"&amp;T182,시장분석!$V$2:$V$601,0)+1,IF(COUNTIF(시장분석!$U$2:$U$601,T182)=1,MATCH(T182,시장분석!$U$2:$U$601,0)+1,""))))</f>
        <v>57</v>
      </c>
      <c r="AC182" s="89" t="n">
        <f aca="false">IF(Q182&lt;&gt;1,0,IF(OR(설정!$C$5="전체",AND(설정!$C$5="선택펀드",IFERROR(COUNTIFS(설정!$F$16:$F$36,C182,설정!$G$16:$G$36,"Y")+COUNTIFS(설정!$F$16:$F$36,VALUE(C182),설정!$G$16:$G$36,"Y"),0)&gt;0),C182&amp;""=설정!$C$5&amp;""),1,0))</f>
        <v>1</v>
      </c>
      <c r="AD182" s="89" t="n">
        <f aca="false">IF(Q182&lt;&gt;1,0,IF(OR(S182=1,IF(AB182="",FALSE(),INDEX(시장분석!$R:$R,AB182)=1)),1,0))</f>
        <v>0</v>
      </c>
      <c r="AE182" s="43" t="str">
        <f aca="false">IF(AB182="","",INDEX(시장분석!$A:$A,AB182))</f>
        <v>HYNMTR 5.8 04/01/30</v>
      </c>
      <c r="AF182" s="93" t="n">
        <f aca="false">IF(AB182="","",IF(ISNUMBER(IF(AB182="","",INDEX(시장분석!$E:$E,AB182))),IF(AB182="","",INDEX(시장분석!$E:$E,AB182)),""))</f>
        <v>72.883</v>
      </c>
      <c r="AG182" s="43" t="str">
        <f aca="false">IF(Q182&lt;&gt;1,"",IF(AB182&lt;&gt;"",IF(AB182="","",INDEX(시장분석!$L:$L,AB182)),IFERROR(IF(VLOOKUP(R182,매핑!$A$4:$E$92,5,0)="","미분류",VLOOKUP(R182,매핑!$A$4:$E$92,5,0)),"미분류")))</f>
        <v>자유 소비재</v>
      </c>
      <c r="AH182" s="43" t="str">
        <f aca="false">IF(Q182&lt;&gt;1,"",IF(AB182&lt;&gt;"",IF(AB182="","",INDEX(시장분석!$N:$N,AB182)),IFERROR(IF(VLOOKUP(R182,매핑!$A$4:$E$92,4,0)="","미분류",VLOOKUP(R182,매핑!$A$4:$E$92,4,0)),"미분류")))</f>
        <v>미국</v>
      </c>
      <c r="AI182" s="43" t="str">
        <f aca="false">IF(Q182&lt;&gt;1,"",IFERROR(IF(VLOOKUP(R182,매핑!$A$4:$E$92,3,0)="","미분류",VLOOKUP(R182,매핑!$A$4:$E$92,3,0)),IF(AB182&lt;&gt;"",IF(AB182="","",INDEX(시장분석!$W:$W,AB182)),"미분류")))</f>
        <v>미국</v>
      </c>
      <c r="AJ182" s="43" t="str">
        <f aca="false">IF(Q182&lt;&gt;1,"",IFERROR(VLOOKUP(IF(N182&lt;&gt;"",N182,IF(P182&lt;&gt;"",P182,O182)),설정!$A$15:$D$47,2,0),""))</f>
        <v>A-</v>
      </c>
      <c r="AK182" s="43" t="str">
        <f aca="false">IF(Q182&lt;&gt;1,"",IF(AJ182="","무등급",IFERROR(VLOOKUP(AJ182,설정!$A$15:$D$47,3,0),"무등급")))</f>
        <v>A</v>
      </c>
      <c r="AL182" s="89" t="n">
        <f aca="false">IF(AJ182="",99,IFERROR(VLOOKUP(AJ182,설정!$A$15:$D$47,4,0),99))</f>
        <v>7</v>
      </c>
      <c r="AM182" s="94" t="n">
        <f aca="false">IF(ISNUMBER(H182),AA182*1000000*H182/10000,0)</f>
        <v>799.436967093</v>
      </c>
      <c r="AN182" s="94" t="n">
        <f aca="false">IF(OR(Y182=1,NOT(ISNUMBER(Z182))),0,AA182*1000000*Z182/10000)</f>
        <v>799.436967093</v>
      </c>
      <c r="AO182" s="94" t="n">
        <f aca="false">IF(ISNUMBER(G182),AA182*1000000*G182/100,0)</f>
        <v>155933.5842747</v>
      </c>
      <c r="AP182" s="94" t="n">
        <f aca="false">IF(ISNUMBER(M182),M182*K182,0)</f>
        <v>-132364.8</v>
      </c>
      <c r="AQ182" s="95" t="n">
        <f aca="false">IF(AB182="","",INDEX(시장분석!$AK:$AK,AB182))</f>
        <v>-0.226931821183097</v>
      </c>
      <c r="AR182" s="43" t="str">
        <f aca="false">IF(AB182="","-",IF(AB182="","",INDEX(시장분석!$AL:$AL,AB182)))</f>
        <v>Fair</v>
      </c>
      <c r="AS182" s="96" t="n">
        <f aca="false">IF(AB182="","",INDEX(시장분석!$AJ:$AJ,AB182))</f>
        <v>-0.984261482779374</v>
      </c>
      <c r="AT182" s="93" t="n">
        <f aca="false">IF(AB182="",0,IF(AB182="","",INDEX(시장분석!$AN:$AN,AB182)))</f>
        <v>14.9978300694792</v>
      </c>
      <c r="AU182" s="94" t="n">
        <f aca="false">IF(ISNUMBER(Z182),AT182/10000*MAX(Z182-1,0)*AA182*1000000,0)</f>
        <v>7936.60326510377</v>
      </c>
      <c r="AV182" s="94" t="n">
        <f aca="false">AO182+AU182</f>
        <v>163870.187539804</v>
      </c>
      <c r="AW182" s="43" t="str">
        <f aca="false">IF(Q182&lt;&gt;1,"",TRIM(IF(AD182=1,"FRN ","")&amp;IF(AND(AL182&gt;=10,AL182&lt;99),"BBB0미만 ","")&amp;IF(AJ182="","등급없음 ","")&amp;IF(K182&lt;&gt;1,"비USD ","")&amp;IF(AND(AB182="",Y182=0),"시장데이터없음 ","")&amp;IF(AND(ISNUMBER(U182),U182&lt;0),"만기경과 ","")))</f>
        <v/>
      </c>
      <c r="AX182" s="90" t="n">
        <f aca="false">IF(Q182&lt;&gt;1,1,IF(스프레드쇼크!$C$4="Y",INDEX(스프레드쇼크!$B$12:$L$16,IFERROR(MATCH(AH182,스프레드쇼크!$A$12:$A$16,0),MATCH("목록외",스프레드쇼크!$A$12:$A$16,0)),IFERROR(MATCH(AG182,스프레드쇼크!$B$11:$L$11,0),MATCH("목록외",스프레드쇼크!$B$11:$L$11,0))),1))</f>
        <v>1</v>
      </c>
      <c r="AY182" s="90" t="n">
        <f aca="false">IF(스프레드쇼크!$C$5="Y",IF(ISNUMBER(AF182),MIN(스프레드쇼크!$C$7,MAX(스프레드쇼크!$C$6,AF182/스프레드쇼크!$C$8)),1),1)</f>
        <v>1.10238365991852</v>
      </c>
      <c r="AZ182" s="94" t="n">
        <f aca="false">AN182*AX182*AY182</f>
        <v>881.286249658145</v>
      </c>
      <c r="BA182" s="90" t="n">
        <f aca="false">IF(ISNUMBER(G182),AA182*G182,0)</f>
        <v>15.59335842747</v>
      </c>
      <c r="BB182" s="90" t="n">
        <f aca="false">IF(ISNUMBER(G182),AA182,0)</f>
        <v>2.7025353</v>
      </c>
      <c r="BC182" s="90" t="n">
        <f aca="false">IF(AND(Y182=0,ISNUMBER(AF182)),AA182*AF182,0)</f>
        <v>196.9688802699</v>
      </c>
      <c r="BD182" s="90" t="n">
        <f aca="false">IF(AND(Y182=0,ISNUMBER(AF182)),AA182,0)</f>
        <v>2.7025353</v>
      </c>
      <c r="BE182" s="90" t="n">
        <f aca="false">IF(ISNUMBER(H182),AA182*H182,0)</f>
        <v>7.99436967093</v>
      </c>
      <c r="BF182" s="90" t="n">
        <f aca="false">IF(ISNUMBER(H182),AA182,0)</f>
        <v>2.7025353</v>
      </c>
      <c r="BG182" s="90" t="n">
        <f aca="false">IF(AND(Y182=0,ISNUMBER(AF182),ISNUMBER(Z182)),AA182*Z182,0)</f>
        <v>7.99436967093</v>
      </c>
      <c r="BH182" s="90" t="n">
        <f aca="false">IF(AND(Y182=0,ISNUMBER(AF182),ISNUMBER(Z182)),AA182*AT182*MAX(Z182-1,0),0)</f>
        <v>79.3660326510377</v>
      </c>
      <c r="BI182" s="90" t="n">
        <f aca="false">IF(Y182=0,AA182,0)</f>
        <v>2.7025353</v>
      </c>
    </row>
    <row r="183" customFormat="false" ht="15" hidden="false" customHeight="false" outlineLevel="0" collapsed="false">
      <c r="A183" s="83" t="str">
        <f aca="false">IFERROR(IF(INDEX(원자료_잔고!$A$1:$EZ$1500,설정!$L$5+ROW()-1,설정!$L$8)&amp;""="0","",INDEX(원자료_잔고!$A$1:$EZ$1500,설정!$L$5+ROW()-1,설정!$L$8)&amp;""),"")</f>
        <v>HYNMTR 5.8 04/01/30</v>
      </c>
      <c r="B183" s="83" t="str">
        <f aca="false">IFERROR(IF(INDEX(원자료_잔고!$A$1:$EZ$1500,설정!$L$5+ROW()-1,설정!$L$7)&amp;""="0","",INDEX(원자료_잔고!$A$1:$EZ$1500,설정!$L$5+ROW()-1,설정!$L$7)&amp;""),"")</f>
        <v>US44891CCE12</v>
      </c>
      <c r="C183" s="83" t="str">
        <f aca="false">IFERROR(IF(INDEX(원자료_잔고!$A$1:$EZ$1500,설정!$L$5+ROW()-1,설정!$L$9)&amp;""="0","",INDEX(원자료_잔고!$A$1:$EZ$1500,설정!$L$5+ROW()-1,설정!$L$9)&amp;""),"")</f>
        <v>34578</v>
      </c>
      <c r="D18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3" s="84" t="n">
        <f aca="false">IFERROR(IF(ISNUMBER(INDEX(원자료_잔고!$A$1:$EZ$1500,설정!$L$5+ROW()-1,설정!$L$11)),INDEX(원자료_잔고!$A$1:$EZ$1500,설정!$L$5+ROW()-1,설정!$L$11),""),"")</f>
        <v>11000000</v>
      </c>
      <c r="F183" s="85" t="n">
        <f aca="false">IFERROR(IF(ISNUMBER(INDEX(원자료_잔고!$A$1:$EZ$1500,설정!$L$5+ROW()-1,설정!$L$12)),INDEX(원자료_잔고!$A$1:$EZ$1500,설정!$L$5+ROW()-1,설정!$L$12),""),"")</f>
        <v>100.0939</v>
      </c>
      <c r="G183" s="85" t="n">
        <f aca="false">IFERROR(IF(ISNUMBER(INDEX(원자료_잔고!$A$1:$EZ$1500,설정!$L$5+ROW()-1,설정!$L$13)),INDEX(원자료_잔고!$A$1:$EZ$1500,설정!$L$5+ROW()-1,설정!$L$13),""),"")</f>
        <v>5.7699</v>
      </c>
      <c r="H183" s="85" t="n">
        <f aca="false">IFERROR(IF(ISNUMBER(INDEX(원자료_잔고!$A$1:$EZ$1500,설정!$L$5+ROW()-1,설정!$L$14)),INDEX(원자료_잔고!$A$1:$EZ$1500,설정!$L$5+ROW()-1,설정!$L$14),""),"")</f>
        <v>2.9581</v>
      </c>
      <c r="I183" s="86" t="n">
        <f aca="false">IFERROR(IF(ISNUMBER(INDEX(원자료_잔고!$A$1:$EZ$1500,설정!$L$5+ROW()-1,설정!$L$15)),INDEX(원자료_잔고!$A$1:$EZ$1500,설정!$L$5+ROW()-1,설정!$L$15),""),"")</f>
        <v>47574</v>
      </c>
      <c r="J183" s="85" t="n">
        <f aca="false">IFERROR(IF(ISNUMBER(INDEX(원자료_잔고!$A$1:$EZ$1500,설정!$L$5+ROW()-1,설정!$L$16)),INDEX(원자료_잔고!$A$1:$EZ$1500,설정!$L$5+ROW()-1,설정!$L$16),""),"")</f>
        <v>5.8</v>
      </c>
      <c r="K183" s="87" t="n">
        <f aca="false">IFERROR(IF(ISNUMBER(INDEX(원자료_잔고!$A$1:$EZ$1500,설정!$L$5+ROW()-1,설정!$L$17)),INDEX(원자료_잔고!$A$1:$EZ$1500,설정!$L$5+ROW()-1,설정!$L$17),""),"")</f>
        <v>1</v>
      </c>
      <c r="L183" s="84" t="n">
        <f aca="false">IFERROR(IF(ISNUMBER(INDEX(원자료_잔고!$A$1:$EZ$1500,설정!$L$5+ROW()-1,설정!$L$18)),INDEX(원자료_잔고!$A$1:$EZ$1500,설정!$L$5+ROW()-1,설정!$L$18),""),"")</f>
        <v>11010329</v>
      </c>
      <c r="M183" s="88" t="n">
        <f aca="false">IFERROR(IF(ISNUMBER(INDEX(원자료_잔고!$A$1:$EZ$1500,설정!$L$5+ROW()-1,설정!$L$19)),INDEX(원자료_잔고!$A$1:$EZ$1500,설정!$L$5+ROW()-1,설정!$L$19),""),"")</f>
        <v>-539264</v>
      </c>
      <c r="N183" s="83" t="str">
        <f aca="false">IFERROR(IF(INDEX(원자료_잔고!$A$1:$EZ$1500,설정!$L$5+ROW()-1,설정!$L$21)&amp;""="0","",INDEX(원자료_잔고!$A$1:$EZ$1500,설정!$L$5+ROW()-1,설정!$L$21)&amp;""),"")</f>
        <v>A-</v>
      </c>
      <c r="O183" s="83" t="str">
        <f aca="false">IFERROR(IF(INDEX(원자료_잔고!$A$1:$EZ$1500,설정!$L$5+ROW()-1,설정!$L$22)&amp;""="0","",INDEX(원자료_잔고!$A$1:$EZ$1500,설정!$L$5+ROW()-1,설정!$L$22)&amp;""),"")</f>
        <v/>
      </c>
      <c r="P183" s="83" t="str">
        <f aca="false">IFERROR(IF(INDEX(원자료_잔고!$A$1:$EZ$1500,설정!$L$5+ROW()-1,설정!$L$23)&amp;""="0","",INDEX(원자료_잔고!$A$1:$EZ$1500,설정!$L$5+ROW()-1,설정!$L$23)&amp;""),"")</f>
        <v>A-</v>
      </c>
      <c r="Q183" s="89" t="n">
        <f aca="false">IF(AND($A183&lt;&gt;"",ISNUMBER(E183)),IF(E183&gt;0,1,0),0)</f>
        <v>1</v>
      </c>
      <c r="R183" s="43" t="str">
        <f aca="false">IF(Q183=1,UPPER(LEFT($A183,FIND(" ",$A183&amp;" ")-1)),"")</f>
        <v>HYNMTR</v>
      </c>
      <c r="S183" s="89" t="n">
        <f aca="false">IF(Q183=1,IF(OR(ISNUMBER(SEARCH("Float",$A183)),ISNUMBER(SEARCH("FRN",$A183))),1,0),0)</f>
        <v>0</v>
      </c>
      <c r="T183" s="43" t="str">
        <f aca="false">IF(AND(Q183=1,ISNUMBER(I183)),TEXT(I183,"yyyymmdd")&amp;"|"&amp;IF(S183=1,"F",TEXT(J183,"0.000")),"")</f>
        <v>20300401|5.800</v>
      </c>
      <c r="U183" s="90" t="n">
        <f aca="false">IF(AND(Q183=1,ISNUMBER(I183)),(I183-설정!$C$4)/365.25,"")</f>
        <v>3.49897330595483</v>
      </c>
      <c r="V183" s="43" t="str">
        <f aca="false">IF(Q183&lt;&gt;1,"",IF(ISNUMBER(U183),IF(U183&lt;=1,"1년 이하",IF(U183&lt;=2,"1-2년",IF(U183&lt;=3,"2-3년",IF(U183&lt;=4,"3-4년",IF(U183&lt;=5,"4-5년",IF(U183&lt;=7,"5-7년",IF(U183&lt;=10,"7-10년",IF(U183&lt;=20,"10-20년","20년 이상")))))))),"미분류"))</f>
        <v>3-4년</v>
      </c>
      <c r="W183" s="43" t="str">
        <f aca="false">IF(Q183&lt;&gt;1,"",IF(AB183&lt;&gt;"",INDEX(시장분석!$C:$C,AB183),IF(K183=1,"USD","비USD")))</f>
        <v>USD</v>
      </c>
      <c r="X183" s="91" t="n">
        <f aca="false">IF(Q183=1,E183*K183/1000000,0)</f>
        <v>11</v>
      </c>
      <c r="Y183" s="89" t="n">
        <f aca="false">IF(R183="T",1,0)</f>
        <v>0</v>
      </c>
      <c r="Z183" s="92" t="n">
        <f aca="false">IF(Q183&lt;&gt;1,"",IF(AD183=1,IF(ISNUMBER(U183),MAX(U183,0),H183),H183))</f>
        <v>2.9581</v>
      </c>
      <c r="AA183" s="91" t="n">
        <f aca="false">IF(Q183=1,IF(ISNUMBER(L183),L183,0)*K183/1000000,0)</f>
        <v>11.010329</v>
      </c>
      <c r="AB183" s="89" t="n">
        <f aca="false">IF(Q183&lt;&gt;1,"",IFERROR(MATCH(VLOOKUP(B183,매핑!$H$4:$I$15,2,0),시장분석!$A$2:$A$601,0)+1,IFERROR(MATCH(R183&amp;"|"&amp;T183,시장분석!$V$2:$V$601,0)+1,IF(COUNTIF(시장분석!$U$2:$U$601,T183)=1,MATCH(T183,시장분석!$U$2:$U$601,0)+1,""))))</f>
        <v>57</v>
      </c>
      <c r="AC183" s="89" t="n">
        <f aca="false">IF(Q183&lt;&gt;1,0,IF(OR(설정!$C$5="전체",AND(설정!$C$5="선택펀드",IFERROR(COUNTIFS(설정!$F$16:$F$36,C183,설정!$G$16:$G$36,"Y")+COUNTIFS(설정!$F$16:$F$36,VALUE(C183),설정!$G$16:$G$36,"Y"),0)&gt;0),C183&amp;""=설정!$C$5&amp;""),1,0))</f>
        <v>1</v>
      </c>
      <c r="AD183" s="89" t="n">
        <f aca="false">IF(Q183&lt;&gt;1,0,IF(OR(S183=1,IF(AB183="",FALSE(),INDEX(시장분석!$R:$R,AB183)=1)),1,0))</f>
        <v>0</v>
      </c>
      <c r="AE183" s="43" t="str">
        <f aca="false">IF(AB183="","",INDEX(시장분석!$A:$A,AB183))</f>
        <v>HYNMTR 5.8 04/01/30</v>
      </c>
      <c r="AF183" s="93" t="n">
        <f aca="false">IF(AB183="","",IF(ISNUMBER(IF(AB183="","",INDEX(시장분석!$E:$E,AB183))),IF(AB183="","",INDEX(시장분석!$E:$E,AB183)),""))</f>
        <v>72.883</v>
      </c>
      <c r="AG183" s="43" t="str">
        <f aca="false">IF(Q183&lt;&gt;1,"",IF(AB183&lt;&gt;"",IF(AB183="","",INDEX(시장분석!$L:$L,AB183)),IFERROR(IF(VLOOKUP(R183,매핑!$A$4:$E$92,5,0)="","미분류",VLOOKUP(R183,매핑!$A$4:$E$92,5,0)),"미분류")))</f>
        <v>자유 소비재</v>
      </c>
      <c r="AH183" s="43" t="str">
        <f aca="false">IF(Q183&lt;&gt;1,"",IF(AB183&lt;&gt;"",IF(AB183="","",INDEX(시장분석!$N:$N,AB183)),IFERROR(IF(VLOOKUP(R183,매핑!$A$4:$E$92,4,0)="","미분류",VLOOKUP(R183,매핑!$A$4:$E$92,4,0)),"미분류")))</f>
        <v>미국</v>
      </c>
      <c r="AI183" s="43" t="str">
        <f aca="false">IF(Q183&lt;&gt;1,"",IFERROR(IF(VLOOKUP(R183,매핑!$A$4:$E$92,3,0)="","미분류",VLOOKUP(R183,매핑!$A$4:$E$92,3,0)),IF(AB183&lt;&gt;"",IF(AB183="","",INDEX(시장분석!$W:$W,AB183)),"미분류")))</f>
        <v>미국</v>
      </c>
      <c r="AJ183" s="43" t="str">
        <f aca="false">IF(Q183&lt;&gt;1,"",IFERROR(VLOOKUP(IF(N183&lt;&gt;"",N183,IF(P183&lt;&gt;"",P183,O183)),설정!$A$15:$D$47,2,0),""))</f>
        <v>A-</v>
      </c>
      <c r="AK183" s="43" t="str">
        <f aca="false">IF(Q183&lt;&gt;1,"",IF(AJ183="","무등급",IFERROR(VLOOKUP(AJ183,설정!$A$15:$D$47,3,0),"무등급")))</f>
        <v>A</v>
      </c>
      <c r="AL183" s="89" t="n">
        <f aca="false">IF(AJ183="",99,IFERROR(VLOOKUP(AJ183,설정!$A$15:$D$47,4,0),99))</f>
        <v>7</v>
      </c>
      <c r="AM183" s="94" t="n">
        <f aca="false">IF(ISNUMBER(H183),AA183*1000000*H183/10000,0)</f>
        <v>3256.96542149</v>
      </c>
      <c r="AN183" s="94" t="n">
        <f aca="false">IF(OR(Y183=1,NOT(ISNUMBER(Z183))),0,AA183*1000000*Z183/10000)</f>
        <v>3256.96542149</v>
      </c>
      <c r="AO183" s="94" t="n">
        <f aca="false">IF(ISNUMBER(G183),AA183*1000000*G183/100,0)</f>
        <v>635284.972971</v>
      </c>
      <c r="AP183" s="94" t="n">
        <f aca="false">IF(ISNUMBER(M183),M183*K183,0)</f>
        <v>-539264</v>
      </c>
      <c r="AQ183" s="95" t="n">
        <f aca="false">IF(AB183="","",INDEX(시장분석!$AK:$AK,AB183))</f>
        <v>-0.226931821183097</v>
      </c>
      <c r="AR183" s="43" t="str">
        <f aca="false">IF(AB183="","-",IF(AB183="","",INDEX(시장분석!$AL:$AL,AB183)))</f>
        <v>Fair</v>
      </c>
      <c r="AS183" s="96" t="n">
        <f aca="false">IF(AB183="","",INDEX(시장분석!$AJ:$AJ,AB183))</f>
        <v>-0.984261482779374</v>
      </c>
      <c r="AT183" s="93" t="n">
        <f aca="false">IF(AB183="",0,IF(AB183="","",INDEX(시장분석!$AN:$AN,AB183)))</f>
        <v>14.9978300694792</v>
      </c>
      <c r="AU183" s="94" t="n">
        <f aca="false">IF(ISNUMBER(Z183),AT183/10000*MAX(Z183-1,0)*AA183*1000000,0)</f>
        <v>32334.3095985709</v>
      </c>
      <c r="AV183" s="94" t="n">
        <f aca="false">AO183+AU183</f>
        <v>667619.282569571</v>
      </c>
      <c r="AW183" s="43" t="str">
        <f aca="false">IF(Q183&lt;&gt;1,"",TRIM(IF(AD183=1,"FRN ","")&amp;IF(AND(AL183&gt;=10,AL183&lt;99),"BBB0미만 ","")&amp;IF(AJ183="","등급없음 ","")&amp;IF(K183&lt;&gt;1,"비USD ","")&amp;IF(AND(AB183="",Y183=0),"시장데이터없음 ","")&amp;IF(AND(ISNUMBER(U183),U183&lt;0),"만기경과 ","")))</f>
        <v/>
      </c>
      <c r="AX183" s="90" t="n">
        <f aca="false">IF(Q183&lt;&gt;1,1,IF(스프레드쇼크!$C$4="Y",INDEX(스프레드쇼크!$B$12:$L$16,IFERROR(MATCH(AH183,스프레드쇼크!$A$12:$A$16,0),MATCH("목록외",스프레드쇼크!$A$12:$A$16,0)),IFERROR(MATCH(AG183,스프레드쇼크!$B$11:$L$11,0),MATCH("목록외",스프레드쇼크!$B$11:$L$11,0))),1))</f>
        <v>1</v>
      </c>
      <c r="AY183" s="90" t="n">
        <f aca="false">IF(스프레드쇼크!$C$5="Y",IF(ISNUMBER(AF183),MIN(스프레드쇼크!$C$7,MAX(스프레드쇼크!$C$6,AF183/스프레드쇼크!$C$8)),1),1)</f>
        <v>1.10238365991852</v>
      </c>
      <c r="AZ183" s="94" t="n">
        <f aca="false">AN183*AX183*AY183</f>
        <v>3590.42546157022</v>
      </c>
      <c r="BA183" s="90" t="n">
        <f aca="false">IF(ISNUMBER(G183),AA183*G183,0)</f>
        <v>63.5284972971</v>
      </c>
      <c r="BB183" s="90" t="n">
        <f aca="false">IF(ISNUMBER(G183),AA183,0)</f>
        <v>11.010329</v>
      </c>
      <c r="BC183" s="90" t="n">
        <f aca="false">IF(AND(Y183=0,ISNUMBER(AF183)),AA183*AF183,0)</f>
        <v>802.465808507</v>
      </c>
      <c r="BD183" s="90" t="n">
        <f aca="false">IF(AND(Y183=0,ISNUMBER(AF183)),AA183,0)</f>
        <v>11.010329</v>
      </c>
      <c r="BE183" s="90" t="n">
        <f aca="false">IF(ISNUMBER(H183),AA183*H183,0)</f>
        <v>32.5696542149</v>
      </c>
      <c r="BF183" s="90" t="n">
        <f aca="false">IF(ISNUMBER(H183),AA183,0)</f>
        <v>11.010329</v>
      </c>
      <c r="BG183" s="90" t="n">
        <f aca="false">IF(AND(Y183=0,ISNUMBER(AF183),ISNUMBER(Z183)),AA183*Z183,0)</f>
        <v>32.5696542149</v>
      </c>
      <c r="BH183" s="90" t="n">
        <f aca="false">IF(AND(Y183=0,ISNUMBER(AF183),ISNUMBER(Z183)),AA183*AT183*MAX(Z183-1,0),0)</f>
        <v>323.343095985709</v>
      </c>
      <c r="BI183" s="90" t="n">
        <f aca="false">IF(Y183=0,AA183,0)</f>
        <v>11.010329</v>
      </c>
    </row>
    <row r="184" customFormat="false" ht="15" hidden="false" customHeight="false" outlineLevel="0" collapsed="false">
      <c r="A184" s="83" t="str">
        <f aca="false">IFERROR(IF(INDEX(원자료_잔고!$A$1:$EZ$1500,설정!$L$5+ROW()-1,설정!$L$8)&amp;""="0","",INDEX(원자료_잔고!$A$1:$EZ$1500,설정!$L$5+ROW()-1,설정!$L$8)&amp;""),"")</f>
        <v>HYNMTR 5.7 06/26/30</v>
      </c>
      <c r="B184" s="83" t="str">
        <f aca="false">IFERROR(IF(INDEX(원자료_잔고!$A$1:$EZ$1500,설정!$L$5+ROW()-1,설정!$L$7)&amp;""="0","",INDEX(원자료_잔고!$A$1:$EZ$1500,설정!$L$5+ROW()-1,설정!$L$7)&amp;""),"")</f>
        <v>US44891CCJ09</v>
      </c>
      <c r="C184" s="83" t="str">
        <f aca="false">IFERROR(IF(INDEX(원자료_잔고!$A$1:$EZ$1500,설정!$L$5+ROW()-1,설정!$L$9)&amp;""="0","",INDEX(원자료_잔고!$A$1:$EZ$1500,설정!$L$5+ROW()-1,설정!$L$9)&amp;""),"")</f>
        <v>34578</v>
      </c>
      <c r="D18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4" s="84" t="n">
        <f aca="false">IFERROR(IF(ISNUMBER(INDEX(원자료_잔고!$A$1:$EZ$1500,설정!$L$5+ROW()-1,설정!$L$11)),INDEX(원자료_잔고!$A$1:$EZ$1500,설정!$L$5+ROW()-1,설정!$L$11),""),"")</f>
        <v>2000000</v>
      </c>
      <c r="F184" s="85" t="n">
        <f aca="false">IFERROR(IF(ISNUMBER(INDEX(원자료_잔고!$A$1:$EZ$1500,설정!$L$5+ROW()-1,설정!$L$12)),INDEX(원자료_잔고!$A$1:$EZ$1500,설정!$L$5+ROW()-1,설정!$L$12),""),"")</f>
        <v>99.7393</v>
      </c>
      <c r="G184" s="85" t="n">
        <f aca="false">IFERROR(IF(ISNUMBER(INDEX(원자료_잔고!$A$1:$EZ$1500,설정!$L$5+ROW()-1,설정!$L$13)),INDEX(원자료_잔고!$A$1:$EZ$1500,설정!$L$5+ROW()-1,설정!$L$13),""),"")</f>
        <v>5.7751</v>
      </c>
      <c r="H184" s="85" t="n">
        <f aca="false">IFERROR(IF(ISNUMBER(INDEX(원자료_잔고!$A$1:$EZ$1500,설정!$L$5+ROW()-1,설정!$L$14)),INDEX(원자료_잔고!$A$1:$EZ$1500,설정!$L$5+ROW()-1,설정!$L$14),""),"")</f>
        <v>3.2</v>
      </c>
      <c r="I184" s="86" t="n">
        <f aca="false">IFERROR(IF(ISNUMBER(INDEX(원자료_잔고!$A$1:$EZ$1500,설정!$L$5+ROW()-1,설정!$L$15)),INDEX(원자료_잔고!$A$1:$EZ$1500,설정!$L$5+ROW()-1,설정!$L$15),""),"")</f>
        <v>47660</v>
      </c>
      <c r="J184" s="85" t="n">
        <f aca="false">IFERROR(IF(ISNUMBER(INDEX(원자료_잔고!$A$1:$EZ$1500,설정!$L$5+ROW()-1,설정!$L$16)),INDEX(원자료_잔고!$A$1:$EZ$1500,설정!$L$5+ROW()-1,설정!$L$16),""),"")</f>
        <v>5.7</v>
      </c>
      <c r="K184" s="87" t="n">
        <f aca="false">IFERROR(IF(ISNUMBER(INDEX(원자료_잔고!$A$1:$EZ$1500,설정!$L$5+ROW()-1,설정!$L$17)),INDEX(원자료_잔고!$A$1:$EZ$1500,설정!$L$5+ROW()-1,설정!$L$17),""),"")</f>
        <v>1</v>
      </c>
      <c r="L184" s="84" t="n">
        <f aca="false">IFERROR(IF(ISNUMBER(INDEX(원자료_잔고!$A$1:$EZ$1500,설정!$L$5+ROW()-1,설정!$L$18)),INDEX(원자료_잔고!$A$1:$EZ$1500,설정!$L$5+ROW()-1,설정!$L$18),""),"")</f>
        <v>1994786</v>
      </c>
      <c r="M184" s="88" t="n">
        <f aca="false">IFERROR(IF(ISNUMBER(INDEX(원자료_잔고!$A$1:$EZ$1500,설정!$L$5+ROW()-1,설정!$L$19)),INDEX(원자료_잔고!$A$1:$EZ$1500,설정!$L$5+ROW()-1,설정!$L$19),""),"")</f>
        <v>-101628</v>
      </c>
      <c r="N184" s="83" t="str">
        <f aca="false">IFERROR(IF(INDEX(원자료_잔고!$A$1:$EZ$1500,설정!$L$5+ROW()-1,설정!$L$21)&amp;""="0","",INDEX(원자료_잔고!$A$1:$EZ$1500,설정!$L$5+ROW()-1,설정!$L$21)&amp;""),"")</f>
        <v>A-</v>
      </c>
      <c r="O184" s="83" t="str">
        <f aca="false">IFERROR(IF(INDEX(원자료_잔고!$A$1:$EZ$1500,설정!$L$5+ROW()-1,설정!$L$22)&amp;""="0","",INDEX(원자료_잔고!$A$1:$EZ$1500,설정!$L$5+ROW()-1,설정!$L$22)&amp;""),"")</f>
        <v/>
      </c>
      <c r="P184" s="83" t="str">
        <f aca="false">IFERROR(IF(INDEX(원자료_잔고!$A$1:$EZ$1500,설정!$L$5+ROW()-1,설정!$L$23)&amp;""="0","",INDEX(원자료_잔고!$A$1:$EZ$1500,설정!$L$5+ROW()-1,설정!$L$23)&amp;""),"")</f>
        <v>N/A</v>
      </c>
      <c r="Q184" s="89" t="n">
        <f aca="false">IF(AND($A184&lt;&gt;"",ISNUMBER(E184)),IF(E184&gt;0,1,0),0)</f>
        <v>1</v>
      </c>
      <c r="R184" s="43" t="str">
        <f aca="false">IF(Q184=1,UPPER(LEFT($A184,FIND(" ",$A184&amp;" ")-1)),"")</f>
        <v>HYNMTR</v>
      </c>
      <c r="S184" s="89" t="n">
        <f aca="false">IF(Q184=1,IF(OR(ISNUMBER(SEARCH("Float",$A184)),ISNUMBER(SEARCH("FRN",$A184))),1,0),0)</f>
        <v>0</v>
      </c>
      <c r="T184" s="43" t="str">
        <f aca="false">IF(AND(Q184=1,ISNUMBER(I184)),TEXT(I184,"yyyymmdd")&amp;"|"&amp;IF(S184=1,"F",TEXT(J184,"0.000")),"")</f>
        <v>20300626|5.700</v>
      </c>
      <c r="U184" s="90" t="n">
        <f aca="false">IF(AND(Q184=1,ISNUMBER(I184)),(I184-설정!$C$4)/365.25,"")</f>
        <v>3.73442847364819</v>
      </c>
      <c r="V184" s="43" t="str">
        <f aca="false">IF(Q184&lt;&gt;1,"",IF(ISNUMBER(U184),IF(U184&lt;=1,"1년 이하",IF(U184&lt;=2,"1-2년",IF(U184&lt;=3,"2-3년",IF(U184&lt;=4,"3-4년",IF(U184&lt;=5,"4-5년",IF(U184&lt;=7,"5-7년",IF(U184&lt;=10,"7-10년",IF(U184&lt;=20,"10-20년","20년 이상")))))))),"미분류"))</f>
        <v>3-4년</v>
      </c>
      <c r="W184" s="43" t="str">
        <f aca="false">IF(Q184&lt;&gt;1,"",IF(AB184&lt;&gt;"",INDEX(시장분석!$C:$C,AB184),IF(K184=1,"USD","비USD")))</f>
        <v>USD</v>
      </c>
      <c r="X184" s="91" t="n">
        <f aca="false">IF(Q184=1,E184*K184/1000000,0)</f>
        <v>2</v>
      </c>
      <c r="Y184" s="89" t="n">
        <f aca="false">IF(R184="T",1,0)</f>
        <v>0</v>
      </c>
      <c r="Z184" s="92" t="n">
        <f aca="false">IF(Q184&lt;&gt;1,"",IF(AD184=1,IF(ISNUMBER(U184),MAX(U184,0),H184),H184))</f>
        <v>3.2</v>
      </c>
      <c r="AA184" s="91" t="n">
        <f aca="false">IF(Q184=1,IF(ISNUMBER(L184),L184,0)*K184/1000000,0)</f>
        <v>1.994786</v>
      </c>
      <c r="AB184" s="89" t="n">
        <f aca="false">IF(Q184&lt;&gt;1,"",IFERROR(MATCH(VLOOKUP(B184,매핑!$H$4:$I$15,2,0),시장분석!$A$2:$A$601,0)+1,IFERROR(MATCH(R184&amp;"|"&amp;T184,시장분석!$V$2:$V$601,0)+1,IF(COUNTIF(시장분석!$U$2:$U$601,T184)=1,MATCH(T184,시장분석!$U$2:$U$601,0)+1,""))))</f>
        <v>58</v>
      </c>
      <c r="AC184" s="89" t="n">
        <f aca="false">IF(Q184&lt;&gt;1,0,IF(OR(설정!$C$5="전체",AND(설정!$C$5="선택펀드",IFERROR(COUNTIFS(설정!$F$16:$F$36,C184,설정!$G$16:$G$36,"Y")+COUNTIFS(설정!$F$16:$F$36,VALUE(C184),설정!$G$16:$G$36,"Y"),0)&gt;0),C184&amp;""=설정!$C$5&amp;""),1,0))</f>
        <v>1</v>
      </c>
      <c r="AD184" s="89" t="n">
        <f aca="false">IF(Q184&lt;&gt;1,0,IF(OR(S184=1,IF(AB184="",FALSE(),INDEX(시장분석!$R:$R,AB184)=1)),1,0))</f>
        <v>0</v>
      </c>
      <c r="AE184" s="43" t="str">
        <f aca="false">IF(AB184="","",INDEX(시장분석!$A:$A,AB184))</f>
        <v>HYNMTR 5.7 06/26/30</v>
      </c>
      <c r="AF184" s="93" t="n">
        <f aca="false">IF(AB184="","",IF(ISNUMBER(IF(AB184="","",INDEX(시장분석!$E:$E,AB184))),IF(AB184="","",INDEX(시장분석!$E:$E,AB184)),""))</f>
        <v>72.998</v>
      </c>
      <c r="AG184" s="43" t="str">
        <f aca="false">IF(Q184&lt;&gt;1,"",IF(AB184&lt;&gt;"",IF(AB184="","",INDEX(시장분석!$L:$L,AB184)),IFERROR(IF(VLOOKUP(R184,매핑!$A$4:$E$92,5,0)="","미분류",VLOOKUP(R184,매핑!$A$4:$E$92,5,0)),"미분류")))</f>
        <v>자유 소비재</v>
      </c>
      <c r="AH184" s="43" t="str">
        <f aca="false">IF(Q184&lt;&gt;1,"",IF(AB184&lt;&gt;"",IF(AB184="","",INDEX(시장분석!$N:$N,AB184)),IFERROR(IF(VLOOKUP(R184,매핑!$A$4:$E$92,4,0)="","미분류",VLOOKUP(R184,매핑!$A$4:$E$92,4,0)),"미분류")))</f>
        <v>미국</v>
      </c>
      <c r="AI184" s="43" t="str">
        <f aca="false">IF(Q184&lt;&gt;1,"",IFERROR(IF(VLOOKUP(R184,매핑!$A$4:$E$92,3,0)="","미분류",VLOOKUP(R184,매핑!$A$4:$E$92,3,0)),IF(AB184&lt;&gt;"",IF(AB184="","",INDEX(시장분석!$W:$W,AB184)),"미분류")))</f>
        <v>미국</v>
      </c>
      <c r="AJ184" s="43" t="str">
        <f aca="false">IF(Q184&lt;&gt;1,"",IFERROR(VLOOKUP(IF(N184&lt;&gt;"",N184,IF(P184&lt;&gt;"",P184,O184)),설정!$A$15:$D$47,2,0),""))</f>
        <v>A-</v>
      </c>
      <c r="AK184" s="43" t="str">
        <f aca="false">IF(Q184&lt;&gt;1,"",IF(AJ184="","무등급",IFERROR(VLOOKUP(AJ184,설정!$A$15:$D$47,3,0),"무등급")))</f>
        <v>A</v>
      </c>
      <c r="AL184" s="89" t="n">
        <f aca="false">IF(AJ184="",99,IFERROR(VLOOKUP(AJ184,설정!$A$15:$D$47,4,0),99))</f>
        <v>7</v>
      </c>
      <c r="AM184" s="94" t="n">
        <f aca="false">IF(ISNUMBER(H184),AA184*1000000*H184/10000,0)</f>
        <v>638.33152</v>
      </c>
      <c r="AN184" s="94" t="n">
        <f aca="false">IF(OR(Y184=1,NOT(ISNUMBER(Z184))),0,AA184*1000000*Z184/10000)</f>
        <v>638.33152</v>
      </c>
      <c r="AO184" s="94" t="n">
        <f aca="false">IF(ISNUMBER(G184),AA184*1000000*G184/100,0)</f>
        <v>115200.886286</v>
      </c>
      <c r="AP184" s="94" t="n">
        <f aca="false">IF(ISNUMBER(M184),M184*K184,0)</f>
        <v>-101628</v>
      </c>
      <c r="AQ184" s="95" t="n">
        <f aca="false">IF(AB184="","",INDEX(시장분석!$AK:$AK,AB184))</f>
        <v>-0.623641364668618</v>
      </c>
      <c r="AR184" s="43" t="str">
        <f aca="false">IF(AB184="","-",IF(AB184="","",INDEX(시장분석!$AL:$AL,AB184)))</f>
        <v>Fair</v>
      </c>
      <c r="AS184" s="96" t="n">
        <f aca="false">IF(AB184="","",INDEX(시장분석!$AJ:$AJ,AB184))</f>
        <v>-2.70489246995479</v>
      </c>
      <c r="AT184" s="93" t="n">
        <f aca="false">IF(AB184="",0,IF(AB184="","",INDEX(시장분석!$AN:$AN,AB184)))</f>
        <v>14.1957580130011</v>
      </c>
      <c r="AU184" s="94" t="n">
        <f aca="false">IF(ISNUMBER(Z184),AT184/10000*MAX(Z184-1,0)*AA184*1000000,0)</f>
        <v>6229.84985561893</v>
      </c>
      <c r="AV184" s="94" t="n">
        <f aca="false">AO184+AU184</f>
        <v>121430.736141619</v>
      </c>
      <c r="AW184" s="43" t="str">
        <f aca="false">IF(Q184&lt;&gt;1,"",TRIM(IF(AD184=1,"FRN ","")&amp;IF(AND(AL184&gt;=10,AL184&lt;99),"BBB0미만 ","")&amp;IF(AJ184="","등급없음 ","")&amp;IF(K184&lt;&gt;1,"비USD ","")&amp;IF(AND(AB184="",Y184=0),"시장데이터없음 ","")&amp;IF(AND(ISNUMBER(U184),U184&lt;0),"만기경과 ","")))</f>
        <v/>
      </c>
      <c r="AX184" s="90" t="n">
        <f aca="false">IF(Q184&lt;&gt;1,1,IF(스프레드쇼크!$C$4="Y",INDEX(스프레드쇼크!$B$12:$L$16,IFERROR(MATCH(AH184,스프레드쇼크!$A$12:$A$16,0),MATCH("목록외",스프레드쇼크!$A$12:$A$16,0)),IFERROR(MATCH(AG184,스프레드쇼크!$B$11:$L$11,0),MATCH("목록외",스프레드쇼크!$B$11:$L$11,0))),1))</f>
        <v>1</v>
      </c>
      <c r="AY184" s="90" t="n">
        <f aca="false">IF(스프레드쇼크!$C$5="Y",IF(ISNUMBER(AF184),MIN(스프레드쇼크!$C$7,MAX(스프레드쇼크!$C$6,AF184/스프레드쇼크!$C$8)),1),1)</f>
        <v>1.10412307954849</v>
      </c>
      <c r="AZ184" s="94" t="n">
        <f aca="false">AN184*AX184*AY184</f>
        <v>704.796563635267</v>
      </c>
      <c r="BA184" s="90" t="n">
        <f aca="false">IF(ISNUMBER(G184),AA184*G184,0)</f>
        <v>11.5200886286</v>
      </c>
      <c r="BB184" s="90" t="n">
        <f aca="false">IF(ISNUMBER(G184),AA184,0)</f>
        <v>1.994786</v>
      </c>
      <c r="BC184" s="90" t="n">
        <f aca="false">IF(AND(Y184=0,ISNUMBER(AF184)),AA184*AF184,0)</f>
        <v>145.615388428</v>
      </c>
      <c r="BD184" s="90" t="n">
        <f aca="false">IF(AND(Y184=0,ISNUMBER(AF184)),AA184,0)</f>
        <v>1.994786</v>
      </c>
      <c r="BE184" s="90" t="n">
        <f aca="false">IF(ISNUMBER(H184),AA184*H184,0)</f>
        <v>6.3833152</v>
      </c>
      <c r="BF184" s="90" t="n">
        <f aca="false">IF(ISNUMBER(H184),AA184,0)</f>
        <v>1.994786</v>
      </c>
      <c r="BG184" s="90" t="n">
        <f aca="false">IF(AND(Y184=0,ISNUMBER(AF184),ISNUMBER(Z184)),AA184*Z184,0)</f>
        <v>6.3833152</v>
      </c>
      <c r="BH184" s="90" t="n">
        <f aca="false">IF(AND(Y184=0,ISNUMBER(AF184),ISNUMBER(Z184)),AA184*AT184*MAX(Z184-1,0),0)</f>
        <v>62.2984985561893</v>
      </c>
      <c r="BI184" s="90" t="n">
        <f aca="false">IF(Y184=0,AA184,0)</f>
        <v>1.994786</v>
      </c>
    </row>
    <row r="185" customFormat="false" ht="15" hidden="false" customHeight="false" outlineLevel="0" collapsed="false">
      <c r="A185" s="83" t="str">
        <f aca="false">IFERROR(IF(INDEX(원자료_잔고!$A$1:$EZ$1500,설정!$L$5+ROW()-1,설정!$L$8)&amp;""="0","",INDEX(원자료_잔고!$A$1:$EZ$1500,설정!$L$5+ROW()-1,설정!$L$8)&amp;""),"")</f>
        <v>HYNMTR 5.7 06/26/30</v>
      </c>
      <c r="B185" s="83" t="str">
        <f aca="false">IFERROR(IF(INDEX(원자료_잔고!$A$1:$EZ$1500,설정!$L$5+ROW()-1,설정!$L$7)&amp;""="0","",INDEX(원자료_잔고!$A$1:$EZ$1500,설정!$L$5+ROW()-1,설정!$L$7)&amp;""),"")</f>
        <v>US44891CCJ09</v>
      </c>
      <c r="C185" s="83" t="str">
        <f aca="false">IFERROR(IF(INDEX(원자료_잔고!$A$1:$EZ$1500,설정!$L$5+ROW()-1,설정!$L$9)&amp;""="0","",INDEX(원자료_잔고!$A$1:$EZ$1500,설정!$L$5+ROW()-1,설정!$L$9)&amp;""),"")</f>
        <v>34578</v>
      </c>
      <c r="D18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5" s="84" t="n">
        <f aca="false">IFERROR(IF(ISNUMBER(INDEX(원자료_잔고!$A$1:$EZ$1500,설정!$L$5+ROW()-1,설정!$L$11)),INDEX(원자료_잔고!$A$1:$EZ$1500,설정!$L$5+ROW()-1,설정!$L$11),""),"")</f>
        <v>5000000</v>
      </c>
      <c r="F185" s="85" t="n">
        <f aca="false">IFERROR(IF(ISNUMBER(INDEX(원자료_잔고!$A$1:$EZ$1500,설정!$L$5+ROW()-1,설정!$L$12)),INDEX(원자료_잔고!$A$1:$EZ$1500,설정!$L$5+ROW()-1,설정!$L$12),""),"")</f>
        <v>99.7393</v>
      </c>
      <c r="G185" s="85" t="n">
        <f aca="false">IFERROR(IF(ISNUMBER(INDEX(원자료_잔고!$A$1:$EZ$1500,설정!$L$5+ROW()-1,설정!$L$13)),INDEX(원자료_잔고!$A$1:$EZ$1500,설정!$L$5+ROW()-1,설정!$L$13),""),"")</f>
        <v>5.7751</v>
      </c>
      <c r="H185" s="85" t="n">
        <f aca="false">IFERROR(IF(ISNUMBER(INDEX(원자료_잔고!$A$1:$EZ$1500,설정!$L$5+ROW()-1,설정!$L$14)),INDEX(원자료_잔고!$A$1:$EZ$1500,설정!$L$5+ROW()-1,설정!$L$14),""),"")</f>
        <v>3.2</v>
      </c>
      <c r="I185" s="86" t="n">
        <f aca="false">IFERROR(IF(ISNUMBER(INDEX(원자료_잔고!$A$1:$EZ$1500,설정!$L$5+ROW()-1,설정!$L$15)),INDEX(원자료_잔고!$A$1:$EZ$1500,설정!$L$5+ROW()-1,설정!$L$15),""),"")</f>
        <v>47660</v>
      </c>
      <c r="J185" s="85" t="n">
        <f aca="false">IFERROR(IF(ISNUMBER(INDEX(원자료_잔고!$A$1:$EZ$1500,설정!$L$5+ROW()-1,설정!$L$16)),INDEX(원자료_잔고!$A$1:$EZ$1500,설정!$L$5+ROW()-1,설정!$L$16),""),"")</f>
        <v>5.7</v>
      </c>
      <c r="K185" s="87" t="n">
        <f aca="false">IFERROR(IF(ISNUMBER(INDEX(원자료_잔고!$A$1:$EZ$1500,설정!$L$5+ROW()-1,설정!$L$17)),INDEX(원자료_잔고!$A$1:$EZ$1500,설정!$L$5+ROW()-1,설정!$L$17),""),"")</f>
        <v>1</v>
      </c>
      <c r="L185" s="84" t="n">
        <f aca="false">IFERROR(IF(ISNUMBER(INDEX(원자료_잔고!$A$1:$EZ$1500,설정!$L$5+ROW()-1,설정!$L$18)),INDEX(원자료_잔고!$A$1:$EZ$1500,설정!$L$5+ROW()-1,설정!$L$18),""),"")</f>
        <v>4986965</v>
      </c>
      <c r="M185" s="88" t="n">
        <f aca="false">IFERROR(IF(ISNUMBER(INDEX(원자료_잔고!$A$1:$EZ$1500,설정!$L$5+ROW()-1,설정!$L$19)),INDEX(원자료_잔고!$A$1:$EZ$1500,설정!$L$5+ROW()-1,설정!$L$19),""),"")</f>
        <v>-254070</v>
      </c>
      <c r="N185" s="83" t="str">
        <f aca="false">IFERROR(IF(INDEX(원자료_잔고!$A$1:$EZ$1500,설정!$L$5+ROW()-1,설정!$L$21)&amp;""="0","",INDEX(원자료_잔고!$A$1:$EZ$1500,설정!$L$5+ROW()-1,설정!$L$21)&amp;""),"")</f>
        <v>A-</v>
      </c>
      <c r="O185" s="83" t="str">
        <f aca="false">IFERROR(IF(INDEX(원자료_잔고!$A$1:$EZ$1500,설정!$L$5+ROW()-1,설정!$L$22)&amp;""="0","",INDEX(원자료_잔고!$A$1:$EZ$1500,설정!$L$5+ROW()-1,설정!$L$22)&amp;""),"")</f>
        <v/>
      </c>
      <c r="P185" s="83" t="str">
        <f aca="false">IFERROR(IF(INDEX(원자료_잔고!$A$1:$EZ$1500,설정!$L$5+ROW()-1,설정!$L$23)&amp;""="0","",INDEX(원자료_잔고!$A$1:$EZ$1500,설정!$L$5+ROW()-1,설정!$L$23)&amp;""),"")</f>
        <v>N/A</v>
      </c>
      <c r="Q185" s="89" t="n">
        <f aca="false">IF(AND($A185&lt;&gt;"",ISNUMBER(E185)),IF(E185&gt;0,1,0),0)</f>
        <v>1</v>
      </c>
      <c r="R185" s="43" t="str">
        <f aca="false">IF(Q185=1,UPPER(LEFT($A185,FIND(" ",$A185&amp;" ")-1)),"")</f>
        <v>HYNMTR</v>
      </c>
      <c r="S185" s="89" t="n">
        <f aca="false">IF(Q185=1,IF(OR(ISNUMBER(SEARCH("Float",$A185)),ISNUMBER(SEARCH("FRN",$A185))),1,0),0)</f>
        <v>0</v>
      </c>
      <c r="T185" s="43" t="str">
        <f aca="false">IF(AND(Q185=1,ISNUMBER(I185)),TEXT(I185,"yyyymmdd")&amp;"|"&amp;IF(S185=1,"F",TEXT(J185,"0.000")),"")</f>
        <v>20300626|5.700</v>
      </c>
      <c r="U185" s="90" t="n">
        <f aca="false">IF(AND(Q185=1,ISNUMBER(I185)),(I185-설정!$C$4)/365.25,"")</f>
        <v>3.73442847364819</v>
      </c>
      <c r="V185" s="43" t="str">
        <f aca="false">IF(Q185&lt;&gt;1,"",IF(ISNUMBER(U185),IF(U185&lt;=1,"1년 이하",IF(U185&lt;=2,"1-2년",IF(U185&lt;=3,"2-3년",IF(U185&lt;=4,"3-4년",IF(U185&lt;=5,"4-5년",IF(U185&lt;=7,"5-7년",IF(U185&lt;=10,"7-10년",IF(U185&lt;=20,"10-20년","20년 이상")))))))),"미분류"))</f>
        <v>3-4년</v>
      </c>
      <c r="W185" s="43" t="str">
        <f aca="false">IF(Q185&lt;&gt;1,"",IF(AB185&lt;&gt;"",INDEX(시장분석!$C:$C,AB185),IF(K185=1,"USD","비USD")))</f>
        <v>USD</v>
      </c>
      <c r="X185" s="91" t="n">
        <f aca="false">IF(Q185=1,E185*K185/1000000,0)</f>
        <v>5</v>
      </c>
      <c r="Y185" s="89" t="n">
        <f aca="false">IF(R185="T",1,0)</f>
        <v>0</v>
      </c>
      <c r="Z185" s="92" t="n">
        <f aca="false">IF(Q185&lt;&gt;1,"",IF(AD185=1,IF(ISNUMBER(U185),MAX(U185,0),H185),H185))</f>
        <v>3.2</v>
      </c>
      <c r="AA185" s="91" t="n">
        <f aca="false">IF(Q185=1,IF(ISNUMBER(L185),L185,0)*K185/1000000,0)</f>
        <v>4.986965</v>
      </c>
      <c r="AB185" s="89" t="n">
        <f aca="false">IF(Q185&lt;&gt;1,"",IFERROR(MATCH(VLOOKUP(B185,매핑!$H$4:$I$15,2,0),시장분석!$A$2:$A$601,0)+1,IFERROR(MATCH(R185&amp;"|"&amp;T185,시장분석!$V$2:$V$601,0)+1,IF(COUNTIF(시장분석!$U$2:$U$601,T185)=1,MATCH(T185,시장분석!$U$2:$U$601,0)+1,""))))</f>
        <v>58</v>
      </c>
      <c r="AC185" s="89" t="n">
        <f aca="false">IF(Q185&lt;&gt;1,0,IF(OR(설정!$C$5="전체",AND(설정!$C$5="선택펀드",IFERROR(COUNTIFS(설정!$F$16:$F$36,C185,설정!$G$16:$G$36,"Y")+COUNTIFS(설정!$F$16:$F$36,VALUE(C185),설정!$G$16:$G$36,"Y"),0)&gt;0),C185&amp;""=설정!$C$5&amp;""),1,0))</f>
        <v>1</v>
      </c>
      <c r="AD185" s="89" t="n">
        <f aca="false">IF(Q185&lt;&gt;1,0,IF(OR(S185=1,IF(AB185="",FALSE(),INDEX(시장분석!$R:$R,AB185)=1)),1,0))</f>
        <v>0</v>
      </c>
      <c r="AE185" s="43" t="str">
        <f aca="false">IF(AB185="","",INDEX(시장분석!$A:$A,AB185))</f>
        <v>HYNMTR 5.7 06/26/30</v>
      </c>
      <c r="AF185" s="93" t="n">
        <f aca="false">IF(AB185="","",IF(ISNUMBER(IF(AB185="","",INDEX(시장분석!$E:$E,AB185))),IF(AB185="","",INDEX(시장분석!$E:$E,AB185)),""))</f>
        <v>72.998</v>
      </c>
      <c r="AG185" s="43" t="str">
        <f aca="false">IF(Q185&lt;&gt;1,"",IF(AB185&lt;&gt;"",IF(AB185="","",INDEX(시장분석!$L:$L,AB185)),IFERROR(IF(VLOOKUP(R185,매핑!$A$4:$E$92,5,0)="","미분류",VLOOKUP(R185,매핑!$A$4:$E$92,5,0)),"미분류")))</f>
        <v>자유 소비재</v>
      </c>
      <c r="AH185" s="43" t="str">
        <f aca="false">IF(Q185&lt;&gt;1,"",IF(AB185&lt;&gt;"",IF(AB185="","",INDEX(시장분석!$N:$N,AB185)),IFERROR(IF(VLOOKUP(R185,매핑!$A$4:$E$92,4,0)="","미분류",VLOOKUP(R185,매핑!$A$4:$E$92,4,0)),"미분류")))</f>
        <v>미국</v>
      </c>
      <c r="AI185" s="43" t="str">
        <f aca="false">IF(Q185&lt;&gt;1,"",IFERROR(IF(VLOOKUP(R185,매핑!$A$4:$E$92,3,0)="","미분류",VLOOKUP(R185,매핑!$A$4:$E$92,3,0)),IF(AB185&lt;&gt;"",IF(AB185="","",INDEX(시장분석!$W:$W,AB185)),"미분류")))</f>
        <v>미국</v>
      </c>
      <c r="AJ185" s="43" t="str">
        <f aca="false">IF(Q185&lt;&gt;1,"",IFERROR(VLOOKUP(IF(N185&lt;&gt;"",N185,IF(P185&lt;&gt;"",P185,O185)),설정!$A$15:$D$47,2,0),""))</f>
        <v>A-</v>
      </c>
      <c r="AK185" s="43" t="str">
        <f aca="false">IF(Q185&lt;&gt;1,"",IF(AJ185="","무등급",IFERROR(VLOOKUP(AJ185,설정!$A$15:$D$47,3,0),"무등급")))</f>
        <v>A</v>
      </c>
      <c r="AL185" s="89" t="n">
        <f aca="false">IF(AJ185="",99,IFERROR(VLOOKUP(AJ185,설정!$A$15:$D$47,4,0),99))</f>
        <v>7</v>
      </c>
      <c r="AM185" s="94" t="n">
        <f aca="false">IF(ISNUMBER(H185),AA185*1000000*H185/10000,0)</f>
        <v>1595.8288</v>
      </c>
      <c r="AN185" s="94" t="n">
        <f aca="false">IF(OR(Y185=1,NOT(ISNUMBER(Z185))),0,AA185*1000000*Z185/10000)</f>
        <v>1595.8288</v>
      </c>
      <c r="AO185" s="94" t="n">
        <f aca="false">IF(ISNUMBER(G185),AA185*1000000*G185/100,0)</f>
        <v>288002.215715</v>
      </c>
      <c r="AP185" s="94" t="n">
        <f aca="false">IF(ISNUMBER(M185),M185*K185,0)</f>
        <v>-254070</v>
      </c>
      <c r="AQ185" s="95" t="n">
        <f aca="false">IF(AB185="","",INDEX(시장분석!$AK:$AK,AB185))</f>
        <v>-0.623641364668618</v>
      </c>
      <c r="AR185" s="43" t="str">
        <f aca="false">IF(AB185="","-",IF(AB185="","",INDEX(시장분석!$AL:$AL,AB185)))</f>
        <v>Fair</v>
      </c>
      <c r="AS185" s="96" t="n">
        <f aca="false">IF(AB185="","",INDEX(시장분석!$AJ:$AJ,AB185))</f>
        <v>-2.70489246995479</v>
      </c>
      <c r="AT185" s="93" t="n">
        <f aca="false">IF(AB185="",0,IF(AB185="","",INDEX(시장분석!$AN:$AN,AB185)))</f>
        <v>14.1957580130011</v>
      </c>
      <c r="AU185" s="94" t="n">
        <f aca="false">IF(ISNUMBER(Z185),AT185/10000*MAX(Z185-1,0)*AA185*1000000,0)</f>
        <v>15574.6246390473</v>
      </c>
      <c r="AV185" s="94" t="n">
        <f aca="false">AO185+AU185</f>
        <v>303576.840354047</v>
      </c>
      <c r="AW185" s="43" t="str">
        <f aca="false">IF(Q185&lt;&gt;1,"",TRIM(IF(AD185=1,"FRN ","")&amp;IF(AND(AL185&gt;=10,AL185&lt;99),"BBB0미만 ","")&amp;IF(AJ185="","등급없음 ","")&amp;IF(K185&lt;&gt;1,"비USD ","")&amp;IF(AND(AB185="",Y185=0),"시장데이터없음 ","")&amp;IF(AND(ISNUMBER(U185),U185&lt;0),"만기경과 ","")))</f>
        <v/>
      </c>
      <c r="AX185" s="90" t="n">
        <f aca="false">IF(Q185&lt;&gt;1,1,IF(스프레드쇼크!$C$4="Y",INDEX(스프레드쇼크!$B$12:$L$16,IFERROR(MATCH(AH185,스프레드쇼크!$A$12:$A$16,0),MATCH("목록외",스프레드쇼크!$A$12:$A$16,0)),IFERROR(MATCH(AG185,스프레드쇼크!$B$11:$L$11,0),MATCH("목록외",스프레드쇼크!$B$11:$L$11,0))),1))</f>
        <v>1</v>
      </c>
      <c r="AY185" s="90" t="n">
        <f aca="false">IF(스프레드쇼크!$C$5="Y",IF(ISNUMBER(AF185),MIN(스프레드쇼크!$C$7,MAX(스프레드쇼크!$C$6,AF185/스프레드쇼크!$C$8)),1),1)</f>
        <v>1.10412307954849</v>
      </c>
      <c r="AZ185" s="94" t="n">
        <f aca="false">AN185*AX185*AY185</f>
        <v>1761.99140908817</v>
      </c>
      <c r="BA185" s="90" t="n">
        <f aca="false">IF(ISNUMBER(G185),AA185*G185,0)</f>
        <v>28.8002215715</v>
      </c>
      <c r="BB185" s="90" t="n">
        <f aca="false">IF(ISNUMBER(G185),AA185,0)</f>
        <v>4.986965</v>
      </c>
      <c r="BC185" s="90" t="n">
        <f aca="false">IF(AND(Y185=0,ISNUMBER(AF185)),AA185*AF185,0)</f>
        <v>364.03847107</v>
      </c>
      <c r="BD185" s="90" t="n">
        <f aca="false">IF(AND(Y185=0,ISNUMBER(AF185)),AA185,0)</f>
        <v>4.986965</v>
      </c>
      <c r="BE185" s="90" t="n">
        <f aca="false">IF(ISNUMBER(H185),AA185*H185,0)</f>
        <v>15.958288</v>
      </c>
      <c r="BF185" s="90" t="n">
        <f aca="false">IF(ISNUMBER(H185),AA185,0)</f>
        <v>4.986965</v>
      </c>
      <c r="BG185" s="90" t="n">
        <f aca="false">IF(AND(Y185=0,ISNUMBER(AF185),ISNUMBER(Z185)),AA185*Z185,0)</f>
        <v>15.958288</v>
      </c>
      <c r="BH185" s="90" t="n">
        <f aca="false">IF(AND(Y185=0,ISNUMBER(AF185),ISNUMBER(Z185)),AA185*AT185*MAX(Z185-1,0),0)</f>
        <v>155.746246390473</v>
      </c>
      <c r="BI185" s="90" t="n">
        <f aca="false">IF(Y185=0,AA185,0)</f>
        <v>4.986965</v>
      </c>
    </row>
    <row r="186" customFormat="false" ht="15" hidden="false" customHeight="false" outlineLevel="0" collapsed="false">
      <c r="A186" s="83" t="str">
        <f aca="false">IFERROR(IF(INDEX(원자료_잔고!$A$1:$EZ$1500,설정!$L$5+ROW()-1,설정!$L$8)&amp;""="0","",INDEX(원자료_잔고!$A$1:$EZ$1500,설정!$L$5+ROW()-1,설정!$L$8)&amp;""),"")</f>
        <v>HYNMTR 5.7 06/26/30</v>
      </c>
      <c r="B186" s="83" t="str">
        <f aca="false">IFERROR(IF(INDEX(원자료_잔고!$A$1:$EZ$1500,설정!$L$5+ROW()-1,설정!$L$7)&amp;""="0","",INDEX(원자료_잔고!$A$1:$EZ$1500,설정!$L$5+ROW()-1,설정!$L$7)&amp;""),"")</f>
        <v>US44891CCJ09</v>
      </c>
      <c r="C186" s="83" t="str">
        <f aca="false">IFERROR(IF(INDEX(원자료_잔고!$A$1:$EZ$1500,설정!$L$5+ROW()-1,설정!$L$9)&amp;""="0","",INDEX(원자료_잔고!$A$1:$EZ$1500,설정!$L$5+ROW()-1,설정!$L$9)&amp;""),"")</f>
        <v>34578</v>
      </c>
      <c r="D18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6" s="84" t="n">
        <f aca="false">IFERROR(IF(ISNUMBER(INDEX(원자료_잔고!$A$1:$EZ$1500,설정!$L$5+ROW()-1,설정!$L$11)),INDEX(원자료_잔고!$A$1:$EZ$1500,설정!$L$5+ROW()-1,설정!$L$11),""),"")</f>
        <v>1200000</v>
      </c>
      <c r="F186" s="85" t="n">
        <f aca="false">IFERROR(IF(ISNUMBER(INDEX(원자료_잔고!$A$1:$EZ$1500,설정!$L$5+ROW()-1,설정!$L$12)),INDEX(원자료_잔고!$A$1:$EZ$1500,설정!$L$5+ROW()-1,설정!$L$12),""),"")</f>
        <v>99.7393</v>
      </c>
      <c r="G186" s="85" t="n">
        <f aca="false">IFERROR(IF(ISNUMBER(INDEX(원자료_잔고!$A$1:$EZ$1500,설정!$L$5+ROW()-1,설정!$L$13)),INDEX(원자료_잔고!$A$1:$EZ$1500,설정!$L$5+ROW()-1,설정!$L$13),""),"")</f>
        <v>5.7751</v>
      </c>
      <c r="H186" s="85" t="n">
        <f aca="false">IFERROR(IF(ISNUMBER(INDEX(원자료_잔고!$A$1:$EZ$1500,설정!$L$5+ROW()-1,설정!$L$14)),INDEX(원자료_잔고!$A$1:$EZ$1500,설정!$L$5+ROW()-1,설정!$L$14),""),"")</f>
        <v>3.2</v>
      </c>
      <c r="I186" s="86" t="n">
        <f aca="false">IFERROR(IF(ISNUMBER(INDEX(원자료_잔고!$A$1:$EZ$1500,설정!$L$5+ROW()-1,설정!$L$15)),INDEX(원자료_잔고!$A$1:$EZ$1500,설정!$L$5+ROW()-1,설정!$L$15),""),"")</f>
        <v>47660</v>
      </c>
      <c r="J186" s="85" t="n">
        <f aca="false">IFERROR(IF(ISNUMBER(INDEX(원자료_잔고!$A$1:$EZ$1500,설정!$L$5+ROW()-1,설정!$L$16)),INDEX(원자료_잔고!$A$1:$EZ$1500,설정!$L$5+ROW()-1,설정!$L$16),""),"")</f>
        <v>5.7</v>
      </c>
      <c r="K186" s="87" t="n">
        <f aca="false">IFERROR(IF(ISNUMBER(INDEX(원자료_잔고!$A$1:$EZ$1500,설정!$L$5+ROW()-1,설정!$L$17)),INDEX(원자료_잔고!$A$1:$EZ$1500,설정!$L$5+ROW()-1,설정!$L$17),""),"")</f>
        <v>1</v>
      </c>
      <c r="L186" s="84" t="n">
        <f aca="false">IFERROR(IF(ISNUMBER(INDEX(원자료_잔고!$A$1:$EZ$1500,설정!$L$5+ROW()-1,설정!$L$18)),INDEX(원자료_잔고!$A$1:$EZ$1500,설정!$L$5+ROW()-1,설정!$L$18),""),"")</f>
        <v>1196871.6</v>
      </c>
      <c r="M186" s="88" t="n">
        <f aca="false">IFERROR(IF(ISNUMBER(INDEX(원자료_잔고!$A$1:$EZ$1500,설정!$L$5+ROW()-1,설정!$L$19)),INDEX(원자료_잔고!$A$1:$EZ$1500,설정!$L$5+ROW()-1,설정!$L$19),""),"")</f>
        <v>-60976.8</v>
      </c>
      <c r="N186" s="83" t="str">
        <f aca="false">IFERROR(IF(INDEX(원자료_잔고!$A$1:$EZ$1500,설정!$L$5+ROW()-1,설정!$L$21)&amp;""="0","",INDEX(원자료_잔고!$A$1:$EZ$1500,설정!$L$5+ROW()-1,설정!$L$21)&amp;""),"")</f>
        <v>A-</v>
      </c>
      <c r="O186" s="83" t="str">
        <f aca="false">IFERROR(IF(INDEX(원자료_잔고!$A$1:$EZ$1500,설정!$L$5+ROW()-1,설정!$L$22)&amp;""="0","",INDEX(원자료_잔고!$A$1:$EZ$1500,설정!$L$5+ROW()-1,설정!$L$22)&amp;""),"")</f>
        <v/>
      </c>
      <c r="P186" s="83" t="str">
        <f aca="false">IFERROR(IF(INDEX(원자료_잔고!$A$1:$EZ$1500,설정!$L$5+ROW()-1,설정!$L$23)&amp;""="0","",INDEX(원자료_잔고!$A$1:$EZ$1500,설정!$L$5+ROW()-1,설정!$L$23)&amp;""),"")</f>
        <v>N/A</v>
      </c>
      <c r="Q186" s="89" t="n">
        <f aca="false">IF(AND($A186&lt;&gt;"",ISNUMBER(E186)),IF(E186&gt;0,1,0),0)</f>
        <v>1</v>
      </c>
      <c r="R186" s="43" t="str">
        <f aca="false">IF(Q186=1,UPPER(LEFT($A186,FIND(" ",$A186&amp;" ")-1)),"")</f>
        <v>HYNMTR</v>
      </c>
      <c r="S186" s="89" t="n">
        <f aca="false">IF(Q186=1,IF(OR(ISNUMBER(SEARCH("Float",$A186)),ISNUMBER(SEARCH("FRN",$A186))),1,0),0)</f>
        <v>0</v>
      </c>
      <c r="T186" s="43" t="str">
        <f aca="false">IF(AND(Q186=1,ISNUMBER(I186)),TEXT(I186,"yyyymmdd")&amp;"|"&amp;IF(S186=1,"F",TEXT(J186,"0.000")),"")</f>
        <v>20300626|5.700</v>
      </c>
      <c r="U186" s="90" t="n">
        <f aca="false">IF(AND(Q186=1,ISNUMBER(I186)),(I186-설정!$C$4)/365.25,"")</f>
        <v>3.73442847364819</v>
      </c>
      <c r="V186" s="43" t="str">
        <f aca="false">IF(Q186&lt;&gt;1,"",IF(ISNUMBER(U186),IF(U186&lt;=1,"1년 이하",IF(U186&lt;=2,"1-2년",IF(U186&lt;=3,"2-3년",IF(U186&lt;=4,"3-4년",IF(U186&lt;=5,"4-5년",IF(U186&lt;=7,"5-7년",IF(U186&lt;=10,"7-10년",IF(U186&lt;=20,"10-20년","20년 이상")))))))),"미분류"))</f>
        <v>3-4년</v>
      </c>
      <c r="W186" s="43" t="str">
        <f aca="false">IF(Q186&lt;&gt;1,"",IF(AB186&lt;&gt;"",INDEX(시장분석!$C:$C,AB186),IF(K186=1,"USD","비USD")))</f>
        <v>USD</v>
      </c>
      <c r="X186" s="91" t="n">
        <f aca="false">IF(Q186=1,E186*K186/1000000,0)</f>
        <v>1.2</v>
      </c>
      <c r="Y186" s="89" t="n">
        <f aca="false">IF(R186="T",1,0)</f>
        <v>0</v>
      </c>
      <c r="Z186" s="92" t="n">
        <f aca="false">IF(Q186&lt;&gt;1,"",IF(AD186=1,IF(ISNUMBER(U186),MAX(U186,0),H186),H186))</f>
        <v>3.2</v>
      </c>
      <c r="AA186" s="91" t="n">
        <f aca="false">IF(Q186=1,IF(ISNUMBER(L186),L186,0)*K186/1000000,0)</f>
        <v>1.1968716</v>
      </c>
      <c r="AB186" s="89" t="n">
        <f aca="false">IF(Q186&lt;&gt;1,"",IFERROR(MATCH(VLOOKUP(B186,매핑!$H$4:$I$15,2,0),시장분석!$A$2:$A$601,0)+1,IFERROR(MATCH(R186&amp;"|"&amp;T186,시장분석!$V$2:$V$601,0)+1,IF(COUNTIF(시장분석!$U$2:$U$601,T186)=1,MATCH(T186,시장분석!$U$2:$U$601,0)+1,""))))</f>
        <v>58</v>
      </c>
      <c r="AC186" s="89" t="n">
        <f aca="false">IF(Q186&lt;&gt;1,0,IF(OR(설정!$C$5="전체",AND(설정!$C$5="선택펀드",IFERROR(COUNTIFS(설정!$F$16:$F$36,C186,설정!$G$16:$G$36,"Y")+COUNTIFS(설정!$F$16:$F$36,VALUE(C186),설정!$G$16:$G$36,"Y"),0)&gt;0),C186&amp;""=설정!$C$5&amp;""),1,0))</f>
        <v>1</v>
      </c>
      <c r="AD186" s="89" t="n">
        <f aca="false">IF(Q186&lt;&gt;1,0,IF(OR(S186=1,IF(AB186="",FALSE(),INDEX(시장분석!$R:$R,AB186)=1)),1,0))</f>
        <v>0</v>
      </c>
      <c r="AE186" s="43" t="str">
        <f aca="false">IF(AB186="","",INDEX(시장분석!$A:$A,AB186))</f>
        <v>HYNMTR 5.7 06/26/30</v>
      </c>
      <c r="AF186" s="93" t="n">
        <f aca="false">IF(AB186="","",IF(ISNUMBER(IF(AB186="","",INDEX(시장분석!$E:$E,AB186))),IF(AB186="","",INDEX(시장분석!$E:$E,AB186)),""))</f>
        <v>72.998</v>
      </c>
      <c r="AG186" s="43" t="str">
        <f aca="false">IF(Q186&lt;&gt;1,"",IF(AB186&lt;&gt;"",IF(AB186="","",INDEX(시장분석!$L:$L,AB186)),IFERROR(IF(VLOOKUP(R186,매핑!$A$4:$E$92,5,0)="","미분류",VLOOKUP(R186,매핑!$A$4:$E$92,5,0)),"미분류")))</f>
        <v>자유 소비재</v>
      </c>
      <c r="AH186" s="43" t="str">
        <f aca="false">IF(Q186&lt;&gt;1,"",IF(AB186&lt;&gt;"",IF(AB186="","",INDEX(시장분석!$N:$N,AB186)),IFERROR(IF(VLOOKUP(R186,매핑!$A$4:$E$92,4,0)="","미분류",VLOOKUP(R186,매핑!$A$4:$E$92,4,0)),"미분류")))</f>
        <v>미국</v>
      </c>
      <c r="AI186" s="43" t="str">
        <f aca="false">IF(Q186&lt;&gt;1,"",IFERROR(IF(VLOOKUP(R186,매핑!$A$4:$E$92,3,0)="","미분류",VLOOKUP(R186,매핑!$A$4:$E$92,3,0)),IF(AB186&lt;&gt;"",IF(AB186="","",INDEX(시장분석!$W:$W,AB186)),"미분류")))</f>
        <v>미국</v>
      </c>
      <c r="AJ186" s="43" t="str">
        <f aca="false">IF(Q186&lt;&gt;1,"",IFERROR(VLOOKUP(IF(N186&lt;&gt;"",N186,IF(P186&lt;&gt;"",P186,O186)),설정!$A$15:$D$47,2,0),""))</f>
        <v>A-</v>
      </c>
      <c r="AK186" s="43" t="str">
        <f aca="false">IF(Q186&lt;&gt;1,"",IF(AJ186="","무등급",IFERROR(VLOOKUP(AJ186,설정!$A$15:$D$47,3,0),"무등급")))</f>
        <v>A</v>
      </c>
      <c r="AL186" s="89" t="n">
        <f aca="false">IF(AJ186="",99,IFERROR(VLOOKUP(AJ186,설정!$A$15:$D$47,4,0),99))</f>
        <v>7</v>
      </c>
      <c r="AM186" s="94" t="n">
        <f aca="false">IF(ISNUMBER(H186),AA186*1000000*H186/10000,0)</f>
        <v>382.998912</v>
      </c>
      <c r="AN186" s="94" t="n">
        <f aca="false">IF(OR(Y186=1,NOT(ISNUMBER(Z186))),0,AA186*1000000*Z186/10000)</f>
        <v>382.998912</v>
      </c>
      <c r="AO186" s="94" t="n">
        <f aca="false">IF(ISNUMBER(G186),AA186*1000000*G186/100,0)</f>
        <v>69120.5317716</v>
      </c>
      <c r="AP186" s="94" t="n">
        <f aca="false">IF(ISNUMBER(M186),M186*K186,0)</f>
        <v>-60976.8</v>
      </c>
      <c r="AQ186" s="95" t="n">
        <f aca="false">IF(AB186="","",INDEX(시장분석!$AK:$AK,AB186))</f>
        <v>-0.623641364668618</v>
      </c>
      <c r="AR186" s="43" t="str">
        <f aca="false">IF(AB186="","-",IF(AB186="","",INDEX(시장분석!$AL:$AL,AB186)))</f>
        <v>Fair</v>
      </c>
      <c r="AS186" s="96" t="n">
        <f aca="false">IF(AB186="","",INDEX(시장분석!$AJ:$AJ,AB186))</f>
        <v>-2.70489246995479</v>
      </c>
      <c r="AT186" s="93" t="n">
        <f aca="false">IF(AB186="",0,IF(AB186="","",INDEX(시장분석!$AN:$AN,AB186)))</f>
        <v>14.1957580130011</v>
      </c>
      <c r="AU186" s="94" t="n">
        <f aca="false">IF(ISNUMBER(Z186),AT186/10000*MAX(Z186-1,0)*AA186*1000000,0)</f>
        <v>3737.90991337136</v>
      </c>
      <c r="AV186" s="94" t="n">
        <f aca="false">AO186+AU186</f>
        <v>72858.4416849714</v>
      </c>
      <c r="AW186" s="43" t="str">
        <f aca="false">IF(Q186&lt;&gt;1,"",TRIM(IF(AD186=1,"FRN ","")&amp;IF(AND(AL186&gt;=10,AL186&lt;99),"BBB0미만 ","")&amp;IF(AJ186="","등급없음 ","")&amp;IF(K186&lt;&gt;1,"비USD ","")&amp;IF(AND(AB186="",Y186=0),"시장데이터없음 ","")&amp;IF(AND(ISNUMBER(U186),U186&lt;0),"만기경과 ","")))</f>
        <v/>
      </c>
      <c r="AX186" s="90" t="n">
        <f aca="false">IF(Q186&lt;&gt;1,1,IF(스프레드쇼크!$C$4="Y",INDEX(스프레드쇼크!$B$12:$L$16,IFERROR(MATCH(AH186,스프레드쇼크!$A$12:$A$16,0),MATCH("목록외",스프레드쇼크!$A$12:$A$16,0)),IFERROR(MATCH(AG186,스프레드쇼크!$B$11:$L$11,0),MATCH("목록외",스프레드쇼크!$B$11:$L$11,0))),1))</f>
        <v>1</v>
      </c>
      <c r="AY186" s="90" t="n">
        <f aca="false">IF(스프레드쇼크!$C$5="Y",IF(ISNUMBER(AF186),MIN(스프레드쇼크!$C$7,MAX(스프레드쇼크!$C$6,AF186/스프레드쇼크!$C$8)),1),1)</f>
        <v>1.10412307954849</v>
      </c>
      <c r="AZ186" s="94" t="n">
        <f aca="false">AN186*AX186*AY186</f>
        <v>422.87793818116</v>
      </c>
      <c r="BA186" s="90" t="n">
        <f aca="false">IF(ISNUMBER(G186),AA186*G186,0)</f>
        <v>6.91205317716</v>
      </c>
      <c r="BB186" s="90" t="n">
        <f aca="false">IF(ISNUMBER(G186),AA186,0)</f>
        <v>1.1968716</v>
      </c>
      <c r="BC186" s="90" t="n">
        <f aca="false">IF(AND(Y186=0,ISNUMBER(AF186)),AA186*AF186,0)</f>
        <v>87.3692330568</v>
      </c>
      <c r="BD186" s="90" t="n">
        <f aca="false">IF(AND(Y186=0,ISNUMBER(AF186)),AA186,0)</f>
        <v>1.1968716</v>
      </c>
      <c r="BE186" s="90" t="n">
        <f aca="false">IF(ISNUMBER(H186),AA186*H186,0)</f>
        <v>3.82998912</v>
      </c>
      <c r="BF186" s="90" t="n">
        <f aca="false">IF(ISNUMBER(H186),AA186,0)</f>
        <v>1.1968716</v>
      </c>
      <c r="BG186" s="90" t="n">
        <f aca="false">IF(AND(Y186=0,ISNUMBER(AF186),ISNUMBER(Z186)),AA186*Z186,0)</f>
        <v>3.82998912</v>
      </c>
      <c r="BH186" s="90" t="n">
        <f aca="false">IF(AND(Y186=0,ISNUMBER(AF186),ISNUMBER(Z186)),AA186*AT186*MAX(Z186-1,0),0)</f>
        <v>37.3790991337136</v>
      </c>
      <c r="BI186" s="90" t="n">
        <f aca="false">IF(Y186=0,AA186,0)</f>
        <v>1.1968716</v>
      </c>
    </row>
    <row r="187" customFormat="false" ht="15" hidden="false" customHeight="false" outlineLevel="0" collapsed="false">
      <c r="A187" s="83" t="str">
        <f aca="false">IFERROR(IF(INDEX(원자료_잔고!$A$1:$EZ$1500,설정!$L$5+ROW()-1,설정!$L$8)&amp;""="0","",INDEX(원자료_잔고!$A$1:$EZ$1500,설정!$L$5+ROW()-1,설정!$L$8)&amp;""),"")</f>
        <v>HYNMTR 6.2 09/21/30</v>
      </c>
      <c r="B187" s="83" t="str">
        <f aca="false">IFERROR(IF(INDEX(원자료_잔고!$A$1:$EZ$1500,설정!$L$5+ROW()-1,설정!$L$7)&amp;""="0","",INDEX(원자료_잔고!$A$1:$EZ$1500,설정!$L$5+ROW()-1,설정!$L$7)&amp;""),"")</f>
        <v>US44891CCP68</v>
      </c>
      <c r="C187" s="83" t="str">
        <f aca="false">IFERROR(IF(INDEX(원자료_잔고!$A$1:$EZ$1500,설정!$L$5+ROW()-1,설정!$L$9)&amp;""="0","",INDEX(원자료_잔고!$A$1:$EZ$1500,설정!$L$5+ROW()-1,설정!$L$9)&amp;""),"")</f>
        <v>34578</v>
      </c>
      <c r="D18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7" s="84" t="n">
        <f aca="false">IFERROR(IF(ISNUMBER(INDEX(원자료_잔고!$A$1:$EZ$1500,설정!$L$5+ROW()-1,설정!$L$11)),INDEX(원자료_잔고!$A$1:$EZ$1500,설정!$L$5+ROW()-1,설정!$L$11),""),"")</f>
        <v>2400000</v>
      </c>
      <c r="F187" s="85" t="n">
        <f aca="false">IFERROR(IF(ISNUMBER(INDEX(원자료_잔고!$A$1:$EZ$1500,설정!$L$5+ROW()-1,설정!$L$12)),INDEX(원자료_잔고!$A$1:$EZ$1500,설정!$L$5+ROW()-1,설정!$L$12),""),"")</f>
        <v>101.3473</v>
      </c>
      <c r="G187" s="85" t="n">
        <f aca="false">IFERROR(IF(ISNUMBER(INDEX(원자료_잔고!$A$1:$EZ$1500,설정!$L$5+ROW()-1,설정!$L$13)),INDEX(원자료_잔고!$A$1:$EZ$1500,설정!$L$5+ROW()-1,설정!$L$13),""),"")</f>
        <v>5.8146</v>
      </c>
      <c r="H187" s="85" t="n">
        <f aca="false">IFERROR(IF(ISNUMBER(INDEX(원자료_잔고!$A$1:$EZ$1500,설정!$L$5+ROW()-1,설정!$L$14)),INDEX(원자료_잔고!$A$1:$EZ$1500,설정!$L$5+ROW()-1,설정!$L$14),""),"")</f>
        <v>3.4127</v>
      </c>
      <c r="I187" s="86" t="n">
        <f aca="false">IFERROR(IF(ISNUMBER(INDEX(원자료_잔고!$A$1:$EZ$1500,설정!$L$5+ROW()-1,설정!$L$15)),INDEX(원자료_잔고!$A$1:$EZ$1500,설정!$L$5+ROW()-1,설정!$L$15),""),"")</f>
        <v>47747</v>
      </c>
      <c r="J187" s="85" t="n">
        <f aca="false">IFERROR(IF(ISNUMBER(INDEX(원자료_잔고!$A$1:$EZ$1500,설정!$L$5+ROW()-1,설정!$L$16)),INDEX(원자료_잔고!$A$1:$EZ$1500,설정!$L$5+ROW()-1,설정!$L$16),""),"")</f>
        <v>6.2</v>
      </c>
      <c r="K187" s="87" t="n">
        <f aca="false">IFERROR(IF(ISNUMBER(INDEX(원자료_잔고!$A$1:$EZ$1500,설정!$L$5+ROW()-1,설정!$L$17)),INDEX(원자료_잔고!$A$1:$EZ$1500,설정!$L$5+ROW()-1,설정!$L$17),""),"")</f>
        <v>1</v>
      </c>
      <c r="L187" s="84" t="n">
        <f aca="false">IFERROR(IF(ISNUMBER(INDEX(원자료_잔고!$A$1:$EZ$1500,설정!$L$5+ROW()-1,설정!$L$18)),INDEX(원자료_잔고!$A$1:$EZ$1500,설정!$L$5+ROW()-1,설정!$L$18),""),"")</f>
        <v>2432335.2</v>
      </c>
      <c r="M187" s="88" t="n">
        <f aca="false">IFERROR(IF(ISNUMBER(INDEX(원자료_잔고!$A$1:$EZ$1500,설정!$L$5+ROW()-1,설정!$L$19)),INDEX(원자료_잔고!$A$1:$EZ$1500,설정!$L$5+ROW()-1,설정!$L$19),""),"")</f>
        <v>-134452.8</v>
      </c>
      <c r="N187" s="83" t="str">
        <f aca="false">IFERROR(IF(INDEX(원자료_잔고!$A$1:$EZ$1500,설정!$L$5+ROW()-1,설정!$L$21)&amp;""="0","",INDEX(원자료_잔고!$A$1:$EZ$1500,설정!$L$5+ROW()-1,설정!$L$21)&amp;""),"")</f>
        <v>A-</v>
      </c>
      <c r="O187" s="83" t="str">
        <f aca="false">IFERROR(IF(INDEX(원자료_잔고!$A$1:$EZ$1500,설정!$L$5+ROW()-1,설정!$L$22)&amp;""="0","",INDEX(원자료_잔고!$A$1:$EZ$1500,설정!$L$5+ROW()-1,설정!$L$22)&amp;""),"")</f>
        <v/>
      </c>
      <c r="P187" s="83" t="str">
        <f aca="false">IFERROR(IF(INDEX(원자료_잔고!$A$1:$EZ$1500,설정!$L$5+ROW()-1,설정!$L$23)&amp;""="0","",INDEX(원자료_잔고!$A$1:$EZ$1500,설정!$L$5+ROW()-1,설정!$L$23)&amp;""),"")</f>
        <v>A-</v>
      </c>
      <c r="Q187" s="89" t="n">
        <f aca="false">IF(AND($A187&lt;&gt;"",ISNUMBER(E187)),IF(E187&gt;0,1,0),0)</f>
        <v>1</v>
      </c>
      <c r="R187" s="43" t="str">
        <f aca="false">IF(Q187=1,UPPER(LEFT($A187,FIND(" ",$A187&amp;" ")-1)),"")</f>
        <v>HYNMTR</v>
      </c>
      <c r="S187" s="89" t="n">
        <f aca="false">IF(Q187=1,IF(OR(ISNUMBER(SEARCH("Float",$A187)),ISNUMBER(SEARCH("FRN",$A187))),1,0),0)</f>
        <v>0</v>
      </c>
      <c r="T187" s="43" t="str">
        <f aca="false">IF(AND(Q187=1,ISNUMBER(I187)),TEXT(I187,"yyyymmdd")&amp;"|"&amp;IF(S187=1,"F",TEXT(J187,"0.000")),"")</f>
        <v>20300921|6.200</v>
      </c>
      <c r="U187" s="90" t="n">
        <f aca="false">IF(AND(Q187=1,ISNUMBER(I187)),(I187-설정!$C$4)/365.25,"")</f>
        <v>3.97262149212868</v>
      </c>
      <c r="V187" s="43" t="str">
        <f aca="false">IF(Q187&lt;&gt;1,"",IF(ISNUMBER(U187),IF(U187&lt;=1,"1년 이하",IF(U187&lt;=2,"1-2년",IF(U187&lt;=3,"2-3년",IF(U187&lt;=4,"3-4년",IF(U187&lt;=5,"4-5년",IF(U187&lt;=7,"5-7년",IF(U187&lt;=10,"7-10년",IF(U187&lt;=20,"10-20년","20년 이상")))))))),"미분류"))</f>
        <v>3-4년</v>
      </c>
      <c r="W187" s="43" t="str">
        <f aca="false">IF(Q187&lt;&gt;1,"",IF(AB187&lt;&gt;"",INDEX(시장분석!$C:$C,AB187),IF(K187=1,"USD","비USD")))</f>
        <v>USD</v>
      </c>
      <c r="X187" s="91" t="n">
        <f aca="false">IF(Q187=1,E187*K187/1000000,0)</f>
        <v>2.4</v>
      </c>
      <c r="Y187" s="89" t="n">
        <f aca="false">IF(R187="T",1,0)</f>
        <v>0</v>
      </c>
      <c r="Z187" s="92" t="n">
        <f aca="false">IF(Q187&lt;&gt;1,"",IF(AD187=1,IF(ISNUMBER(U187),MAX(U187,0),H187),H187))</f>
        <v>3.4127</v>
      </c>
      <c r="AA187" s="91" t="n">
        <f aca="false">IF(Q187=1,IF(ISNUMBER(L187),L187,0)*K187/1000000,0)</f>
        <v>2.4323352</v>
      </c>
      <c r="AB187" s="89" t="n">
        <f aca="false">IF(Q187&lt;&gt;1,"",IFERROR(MATCH(VLOOKUP(B187,매핑!$H$4:$I$15,2,0),시장분석!$A$2:$A$601,0)+1,IFERROR(MATCH(R187&amp;"|"&amp;T187,시장분석!$V$2:$V$601,0)+1,IF(COUNTIF(시장분석!$U$2:$U$601,T187)=1,MATCH(T187,시장분석!$U$2:$U$601,0)+1,""))))</f>
        <v>59</v>
      </c>
      <c r="AC187" s="89" t="n">
        <f aca="false">IF(Q187&lt;&gt;1,0,IF(OR(설정!$C$5="전체",AND(설정!$C$5="선택펀드",IFERROR(COUNTIFS(설정!$F$16:$F$36,C187,설정!$G$16:$G$36,"Y")+COUNTIFS(설정!$F$16:$F$36,VALUE(C187),설정!$G$16:$G$36,"Y"),0)&gt;0),C187&amp;""=설정!$C$5&amp;""),1,0))</f>
        <v>1</v>
      </c>
      <c r="AD187" s="89" t="n">
        <f aca="false">IF(Q187&lt;&gt;1,0,IF(OR(S187=1,IF(AB187="",FALSE(),INDEX(시장분석!$R:$R,AB187)=1)),1,0))</f>
        <v>0</v>
      </c>
      <c r="AE187" s="43" t="str">
        <f aca="false">IF(AB187="","",INDEX(시장분석!$A:$A,AB187))</f>
        <v>HYNMTR 6.2 09/21/30</v>
      </c>
      <c r="AF187" s="93" t="n">
        <f aca="false">IF(AB187="","",IF(ISNUMBER(IF(AB187="","",INDEX(시장분석!$E:$E,AB187))),IF(AB187="","",INDEX(시장분석!$E:$E,AB187)),""))</f>
        <v>75.317</v>
      </c>
      <c r="AG187" s="43" t="str">
        <f aca="false">IF(Q187&lt;&gt;1,"",IF(AB187&lt;&gt;"",IF(AB187="","",INDEX(시장분석!$L:$L,AB187)),IFERROR(IF(VLOOKUP(R187,매핑!$A$4:$E$92,5,0)="","미분류",VLOOKUP(R187,매핑!$A$4:$E$92,5,0)),"미분류")))</f>
        <v>자유 소비재</v>
      </c>
      <c r="AH187" s="43" t="str">
        <f aca="false">IF(Q187&lt;&gt;1,"",IF(AB187&lt;&gt;"",IF(AB187="","",INDEX(시장분석!$N:$N,AB187)),IFERROR(IF(VLOOKUP(R187,매핑!$A$4:$E$92,4,0)="","미분류",VLOOKUP(R187,매핑!$A$4:$E$92,4,0)),"미분류")))</f>
        <v>미국</v>
      </c>
      <c r="AI187" s="43" t="str">
        <f aca="false">IF(Q187&lt;&gt;1,"",IFERROR(IF(VLOOKUP(R187,매핑!$A$4:$E$92,3,0)="","미분류",VLOOKUP(R187,매핑!$A$4:$E$92,3,0)),IF(AB187&lt;&gt;"",IF(AB187="","",INDEX(시장분석!$W:$W,AB187)),"미분류")))</f>
        <v>미국</v>
      </c>
      <c r="AJ187" s="43" t="str">
        <f aca="false">IF(Q187&lt;&gt;1,"",IFERROR(VLOOKUP(IF(N187&lt;&gt;"",N187,IF(P187&lt;&gt;"",P187,O187)),설정!$A$15:$D$47,2,0),""))</f>
        <v>A-</v>
      </c>
      <c r="AK187" s="43" t="str">
        <f aca="false">IF(Q187&lt;&gt;1,"",IF(AJ187="","무등급",IFERROR(VLOOKUP(AJ187,설정!$A$15:$D$47,3,0),"무등급")))</f>
        <v>A</v>
      </c>
      <c r="AL187" s="89" t="n">
        <f aca="false">IF(AJ187="",99,IFERROR(VLOOKUP(AJ187,설정!$A$15:$D$47,4,0),99))</f>
        <v>7</v>
      </c>
      <c r="AM187" s="94" t="n">
        <f aca="false">IF(ISNUMBER(H187),AA187*1000000*H187/10000,0)</f>
        <v>830.083033704</v>
      </c>
      <c r="AN187" s="94" t="n">
        <f aca="false">IF(OR(Y187=1,NOT(ISNUMBER(Z187))),0,AA187*1000000*Z187/10000)</f>
        <v>830.083033704</v>
      </c>
      <c r="AO187" s="94" t="n">
        <f aca="false">IF(ISNUMBER(G187),AA187*1000000*G187/100,0)</f>
        <v>141430.5625392</v>
      </c>
      <c r="AP187" s="94" t="n">
        <f aca="false">IF(ISNUMBER(M187),M187*K187,0)</f>
        <v>-134452.8</v>
      </c>
      <c r="AQ187" s="95" t="n">
        <f aca="false">IF(AB187="","",INDEX(시장분석!$AK:$AK,AB187))</f>
        <v>-0.296257277219332</v>
      </c>
      <c r="AR187" s="43" t="str">
        <f aca="false">IF(AB187="","-",IF(AB187="","",INDEX(시장분석!$AL:$AL,AB187)))</f>
        <v>Fair</v>
      </c>
      <c r="AS187" s="96" t="n">
        <f aca="false">IF(AB187="","",INDEX(시장분석!$AJ:$AJ,AB187))</f>
        <v>-1.2849437572918</v>
      </c>
      <c r="AT187" s="93" t="n">
        <f aca="false">IF(AB187="",0,IF(AB187="","",INDEX(시장분석!$AN:$AN,AB187)))</f>
        <v>13.8215677625919</v>
      </c>
      <c r="AU187" s="94" t="n">
        <f aca="false">IF(ISNUMBER(Z187),AT187/10000*MAX(Z187-1,0)*AA187*1000000,0)</f>
        <v>8111.18032010392</v>
      </c>
      <c r="AV187" s="94" t="n">
        <f aca="false">AO187+AU187</f>
        <v>149541.742859304</v>
      </c>
      <c r="AW187" s="43" t="str">
        <f aca="false">IF(Q187&lt;&gt;1,"",TRIM(IF(AD187=1,"FRN ","")&amp;IF(AND(AL187&gt;=10,AL187&lt;99),"BBB0미만 ","")&amp;IF(AJ187="","등급없음 ","")&amp;IF(K187&lt;&gt;1,"비USD ","")&amp;IF(AND(AB187="",Y187=0),"시장데이터없음 ","")&amp;IF(AND(ISNUMBER(U187),U187&lt;0),"만기경과 ","")))</f>
        <v/>
      </c>
      <c r="AX187" s="90" t="n">
        <f aca="false">IF(Q187&lt;&gt;1,1,IF(스프레드쇼크!$C$4="Y",INDEX(스프레드쇼크!$B$12:$L$16,IFERROR(MATCH(AH187,스프레드쇼크!$A$12:$A$16,0),MATCH("목록외",스프레드쇼크!$A$12:$A$16,0)),IFERROR(MATCH(AG187,스프레드쇼크!$B$11:$L$11,0),MATCH("목록외",스프레드쇼크!$B$11:$L$11,0))),1))</f>
        <v>1</v>
      </c>
      <c r="AY187" s="90" t="n">
        <f aca="false">IF(스프레드쇼크!$C$5="Y",IF(ISNUMBER(AF187),MIN(스프레드쇼크!$C$7,MAX(스프레드쇼크!$C$6,AF187/스프레드쇼크!$C$8)),1),1)</f>
        <v>1.1391988545214</v>
      </c>
      <c r="AZ187" s="94" t="n">
        <f aca="false">AN187*AX187*AY187</f>
        <v>945.629641153248</v>
      </c>
      <c r="BA187" s="90" t="n">
        <f aca="false">IF(ISNUMBER(G187),AA187*G187,0)</f>
        <v>14.14305625392</v>
      </c>
      <c r="BB187" s="90" t="n">
        <f aca="false">IF(ISNUMBER(G187),AA187,0)</f>
        <v>2.4323352</v>
      </c>
      <c r="BC187" s="90" t="n">
        <f aca="false">IF(AND(Y187=0,ISNUMBER(AF187)),AA187*AF187,0)</f>
        <v>183.1961902584</v>
      </c>
      <c r="BD187" s="90" t="n">
        <f aca="false">IF(AND(Y187=0,ISNUMBER(AF187)),AA187,0)</f>
        <v>2.4323352</v>
      </c>
      <c r="BE187" s="90" t="n">
        <f aca="false">IF(ISNUMBER(H187),AA187*H187,0)</f>
        <v>8.30083033704</v>
      </c>
      <c r="BF187" s="90" t="n">
        <f aca="false">IF(ISNUMBER(H187),AA187,0)</f>
        <v>2.4323352</v>
      </c>
      <c r="BG187" s="90" t="n">
        <f aca="false">IF(AND(Y187=0,ISNUMBER(AF187),ISNUMBER(Z187)),AA187*Z187,0)</f>
        <v>8.30083033704</v>
      </c>
      <c r="BH187" s="90" t="n">
        <f aca="false">IF(AND(Y187=0,ISNUMBER(AF187),ISNUMBER(Z187)),AA187*AT187*MAX(Z187-1,0),0)</f>
        <v>81.1118032010392</v>
      </c>
      <c r="BI187" s="90" t="n">
        <f aca="false">IF(Y187=0,AA187,0)</f>
        <v>2.4323352</v>
      </c>
    </row>
    <row r="188" customFormat="false" ht="15" hidden="false" customHeight="false" outlineLevel="0" collapsed="false">
      <c r="A188" s="83" t="str">
        <f aca="false">IFERROR(IF(INDEX(원자료_잔고!$A$1:$EZ$1500,설정!$L$5+ROW()-1,설정!$L$8)&amp;""="0","",INDEX(원자료_잔고!$A$1:$EZ$1500,설정!$L$5+ROW()-1,설정!$L$8)&amp;""),"")</f>
        <v>HYNMTR 6.2 09/21/30</v>
      </c>
      <c r="B188" s="83" t="str">
        <f aca="false">IFERROR(IF(INDEX(원자료_잔고!$A$1:$EZ$1500,설정!$L$5+ROW()-1,설정!$L$7)&amp;""="0","",INDEX(원자료_잔고!$A$1:$EZ$1500,설정!$L$5+ROW()-1,설정!$L$7)&amp;""),"")</f>
        <v>US44891CCP68</v>
      </c>
      <c r="C188" s="83" t="str">
        <f aca="false">IFERROR(IF(INDEX(원자료_잔고!$A$1:$EZ$1500,설정!$L$5+ROW()-1,설정!$L$9)&amp;""="0","",INDEX(원자료_잔고!$A$1:$EZ$1500,설정!$L$5+ROW()-1,설정!$L$9)&amp;""),"")</f>
        <v>34578</v>
      </c>
      <c r="D18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8" s="84" t="n">
        <f aca="false">IFERROR(IF(ISNUMBER(INDEX(원자료_잔고!$A$1:$EZ$1500,설정!$L$5+ROW()-1,설정!$L$11)),INDEX(원자료_잔고!$A$1:$EZ$1500,설정!$L$5+ROW()-1,설정!$L$11),""),"")</f>
        <v>5000000</v>
      </c>
      <c r="F188" s="85" t="n">
        <f aca="false">IFERROR(IF(ISNUMBER(INDEX(원자료_잔고!$A$1:$EZ$1500,설정!$L$5+ROW()-1,설정!$L$12)),INDEX(원자료_잔고!$A$1:$EZ$1500,설정!$L$5+ROW()-1,설정!$L$12),""),"")</f>
        <v>101.3473</v>
      </c>
      <c r="G188" s="85" t="n">
        <f aca="false">IFERROR(IF(ISNUMBER(INDEX(원자료_잔고!$A$1:$EZ$1500,설정!$L$5+ROW()-1,설정!$L$13)),INDEX(원자료_잔고!$A$1:$EZ$1500,설정!$L$5+ROW()-1,설정!$L$13),""),"")</f>
        <v>5.8146</v>
      </c>
      <c r="H188" s="85" t="n">
        <f aca="false">IFERROR(IF(ISNUMBER(INDEX(원자료_잔고!$A$1:$EZ$1500,설정!$L$5+ROW()-1,설정!$L$14)),INDEX(원자료_잔고!$A$1:$EZ$1500,설정!$L$5+ROW()-1,설정!$L$14),""),"")</f>
        <v>3.4127</v>
      </c>
      <c r="I188" s="86" t="n">
        <f aca="false">IFERROR(IF(ISNUMBER(INDEX(원자료_잔고!$A$1:$EZ$1500,설정!$L$5+ROW()-1,설정!$L$15)),INDEX(원자료_잔고!$A$1:$EZ$1500,설정!$L$5+ROW()-1,설정!$L$15),""),"")</f>
        <v>47747</v>
      </c>
      <c r="J188" s="85" t="n">
        <f aca="false">IFERROR(IF(ISNUMBER(INDEX(원자료_잔고!$A$1:$EZ$1500,설정!$L$5+ROW()-1,설정!$L$16)),INDEX(원자료_잔고!$A$1:$EZ$1500,설정!$L$5+ROW()-1,설정!$L$16),""),"")</f>
        <v>6.2</v>
      </c>
      <c r="K188" s="87" t="n">
        <f aca="false">IFERROR(IF(ISNUMBER(INDEX(원자료_잔고!$A$1:$EZ$1500,설정!$L$5+ROW()-1,설정!$L$17)),INDEX(원자료_잔고!$A$1:$EZ$1500,설정!$L$5+ROW()-1,설정!$L$17),""),"")</f>
        <v>1</v>
      </c>
      <c r="L188" s="84" t="n">
        <f aca="false">IFERROR(IF(ISNUMBER(INDEX(원자료_잔고!$A$1:$EZ$1500,설정!$L$5+ROW()-1,설정!$L$18)),INDEX(원자료_잔고!$A$1:$EZ$1500,설정!$L$5+ROW()-1,설정!$L$18),""),"")</f>
        <v>5067365</v>
      </c>
      <c r="M188" s="88" t="n">
        <f aca="false">IFERROR(IF(ISNUMBER(INDEX(원자료_잔고!$A$1:$EZ$1500,설정!$L$5+ROW()-1,설정!$L$19)),INDEX(원자료_잔고!$A$1:$EZ$1500,설정!$L$5+ROW()-1,설정!$L$19),""),"")</f>
        <v>-280110</v>
      </c>
      <c r="N188" s="83" t="str">
        <f aca="false">IFERROR(IF(INDEX(원자료_잔고!$A$1:$EZ$1500,설정!$L$5+ROW()-1,설정!$L$21)&amp;""="0","",INDEX(원자료_잔고!$A$1:$EZ$1500,설정!$L$5+ROW()-1,설정!$L$21)&amp;""),"")</f>
        <v>A-</v>
      </c>
      <c r="O188" s="83" t="str">
        <f aca="false">IFERROR(IF(INDEX(원자료_잔고!$A$1:$EZ$1500,설정!$L$5+ROW()-1,설정!$L$22)&amp;""="0","",INDEX(원자료_잔고!$A$1:$EZ$1500,설정!$L$5+ROW()-1,설정!$L$22)&amp;""),"")</f>
        <v/>
      </c>
      <c r="P188" s="83" t="str">
        <f aca="false">IFERROR(IF(INDEX(원자료_잔고!$A$1:$EZ$1500,설정!$L$5+ROW()-1,설정!$L$23)&amp;""="0","",INDEX(원자료_잔고!$A$1:$EZ$1500,설정!$L$5+ROW()-1,설정!$L$23)&amp;""),"")</f>
        <v>A-</v>
      </c>
      <c r="Q188" s="89" t="n">
        <f aca="false">IF(AND($A188&lt;&gt;"",ISNUMBER(E188)),IF(E188&gt;0,1,0),0)</f>
        <v>1</v>
      </c>
      <c r="R188" s="43" t="str">
        <f aca="false">IF(Q188=1,UPPER(LEFT($A188,FIND(" ",$A188&amp;" ")-1)),"")</f>
        <v>HYNMTR</v>
      </c>
      <c r="S188" s="89" t="n">
        <f aca="false">IF(Q188=1,IF(OR(ISNUMBER(SEARCH("Float",$A188)),ISNUMBER(SEARCH("FRN",$A188))),1,0),0)</f>
        <v>0</v>
      </c>
      <c r="T188" s="43" t="str">
        <f aca="false">IF(AND(Q188=1,ISNUMBER(I188)),TEXT(I188,"yyyymmdd")&amp;"|"&amp;IF(S188=1,"F",TEXT(J188,"0.000")),"")</f>
        <v>20300921|6.200</v>
      </c>
      <c r="U188" s="90" t="n">
        <f aca="false">IF(AND(Q188=1,ISNUMBER(I188)),(I188-설정!$C$4)/365.25,"")</f>
        <v>3.97262149212868</v>
      </c>
      <c r="V188" s="43" t="str">
        <f aca="false">IF(Q188&lt;&gt;1,"",IF(ISNUMBER(U188),IF(U188&lt;=1,"1년 이하",IF(U188&lt;=2,"1-2년",IF(U188&lt;=3,"2-3년",IF(U188&lt;=4,"3-4년",IF(U188&lt;=5,"4-5년",IF(U188&lt;=7,"5-7년",IF(U188&lt;=10,"7-10년",IF(U188&lt;=20,"10-20년","20년 이상")))))))),"미분류"))</f>
        <v>3-4년</v>
      </c>
      <c r="W188" s="43" t="str">
        <f aca="false">IF(Q188&lt;&gt;1,"",IF(AB188&lt;&gt;"",INDEX(시장분석!$C:$C,AB188),IF(K188=1,"USD","비USD")))</f>
        <v>USD</v>
      </c>
      <c r="X188" s="91" t="n">
        <f aca="false">IF(Q188=1,E188*K188/1000000,0)</f>
        <v>5</v>
      </c>
      <c r="Y188" s="89" t="n">
        <f aca="false">IF(R188="T",1,0)</f>
        <v>0</v>
      </c>
      <c r="Z188" s="92" t="n">
        <f aca="false">IF(Q188&lt;&gt;1,"",IF(AD188=1,IF(ISNUMBER(U188),MAX(U188,0),H188),H188))</f>
        <v>3.4127</v>
      </c>
      <c r="AA188" s="91" t="n">
        <f aca="false">IF(Q188=1,IF(ISNUMBER(L188),L188,0)*K188/1000000,0)</f>
        <v>5.067365</v>
      </c>
      <c r="AB188" s="89" t="n">
        <f aca="false">IF(Q188&lt;&gt;1,"",IFERROR(MATCH(VLOOKUP(B188,매핑!$H$4:$I$15,2,0),시장분석!$A$2:$A$601,0)+1,IFERROR(MATCH(R188&amp;"|"&amp;T188,시장분석!$V$2:$V$601,0)+1,IF(COUNTIF(시장분석!$U$2:$U$601,T188)=1,MATCH(T188,시장분석!$U$2:$U$601,0)+1,""))))</f>
        <v>59</v>
      </c>
      <c r="AC188" s="89" t="n">
        <f aca="false">IF(Q188&lt;&gt;1,0,IF(OR(설정!$C$5="전체",AND(설정!$C$5="선택펀드",IFERROR(COUNTIFS(설정!$F$16:$F$36,C188,설정!$G$16:$G$36,"Y")+COUNTIFS(설정!$F$16:$F$36,VALUE(C188),설정!$G$16:$G$36,"Y"),0)&gt;0),C188&amp;""=설정!$C$5&amp;""),1,0))</f>
        <v>1</v>
      </c>
      <c r="AD188" s="89" t="n">
        <f aca="false">IF(Q188&lt;&gt;1,0,IF(OR(S188=1,IF(AB188="",FALSE(),INDEX(시장분석!$R:$R,AB188)=1)),1,0))</f>
        <v>0</v>
      </c>
      <c r="AE188" s="43" t="str">
        <f aca="false">IF(AB188="","",INDEX(시장분석!$A:$A,AB188))</f>
        <v>HYNMTR 6.2 09/21/30</v>
      </c>
      <c r="AF188" s="93" t="n">
        <f aca="false">IF(AB188="","",IF(ISNUMBER(IF(AB188="","",INDEX(시장분석!$E:$E,AB188))),IF(AB188="","",INDEX(시장분석!$E:$E,AB188)),""))</f>
        <v>75.317</v>
      </c>
      <c r="AG188" s="43" t="str">
        <f aca="false">IF(Q188&lt;&gt;1,"",IF(AB188&lt;&gt;"",IF(AB188="","",INDEX(시장분석!$L:$L,AB188)),IFERROR(IF(VLOOKUP(R188,매핑!$A$4:$E$92,5,0)="","미분류",VLOOKUP(R188,매핑!$A$4:$E$92,5,0)),"미분류")))</f>
        <v>자유 소비재</v>
      </c>
      <c r="AH188" s="43" t="str">
        <f aca="false">IF(Q188&lt;&gt;1,"",IF(AB188&lt;&gt;"",IF(AB188="","",INDEX(시장분석!$N:$N,AB188)),IFERROR(IF(VLOOKUP(R188,매핑!$A$4:$E$92,4,0)="","미분류",VLOOKUP(R188,매핑!$A$4:$E$92,4,0)),"미분류")))</f>
        <v>미국</v>
      </c>
      <c r="AI188" s="43" t="str">
        <f aca="false">IF(Q188&lt;&gt;1,"",IFERROR(IF(VLOOKUP(R188,매핑!$A$4:$E$92,3,0)="","미분류",VLOOKUP(R188,매핑!$A$4:$E$92,3,0)),IF(AB188&lt;&gt;"",IF(AB188="","",INDEX(시장분석!$W:$W,AB188)),"미분류")))</f>
        <v>미국</v>
      </c>
      <c r="AJ188" s="43" t="str">
        <f aca="false">IF(Q188&lt;&gt;1,"",IFERROR(VLOOKUP(IF(N188&lt;&gt;"",N188,IF(P188&lt;&gt;"",P188,O188)),설정!$A$15:$D$47,2,0),""))</f>
        <v>A-</v>
      </c>
      <c r="AK188" s="43" t="str">
        <f aca="false">IF(Q188&lt;&gt;1,"",IF(AJ188="","무등급",IFERROR(VLOOKUP(AJ188,설정!$A$15:$D$47,3,0),"무등급")))</f>
        <v>A</v>
      </c>
      <c r="AL188" s="89" t="n">
        <f aca="false">IF(AJ188="",99,IFERROR(VLOOKUP(AJ188,설정!$A$15:$D$47,4,0),99))</f>
        <v>7</v>
      </c>
      <c r="AM188" s="94" t="n">
        <f aca="false">IF(ISNUMBER(H188),AA188*1000000*H188/10000,0)</f>
        <v>1729.33965355</v>
      </c>
      <c r="AN188" s="94" t="n">
        <f aca="false">IF(OR(Y188=1,NOT(ISNUMBER(Z188))),0,AA188*1000000*Z188/10000)</f>
        <v>1729.33965355</v>
      </c>
      <c r="AO188" s="94" t="n">
        <f aca="false">IF(ISNUMBER(G188),AA188*1000000*G188/100,0)</f>
        <v>294647.00529</v>
      </c>
      <c r="AP188" s="94" t="n">
        <f aca="false">IF(ISNUMBER(M188),M188*K188,0)</f>
        <v>-280110</v>
      </c>
      <c r="AQ188" s="95" t="n">
        <f aca="false">IF(AB188="","",INDEX(시장분석!$AK:$AK,AB188))</f>
        <v>-0.296257277219332</v>
      </c>
      <c r="AR188" s="43" t="str">
        <f aca="false">IF(AB188="","-",IF(AB188="","",INDEX(시장분석!$AL:$AL,AB188)))</f>
        <v>Fair</v>
      </c>
      <c r="AS188" s="96" t="n">
        <f aca="false">IF(AB188="","",INDEX(시장분석!$AJ:$AJ,AB188))</f>
        <v>-1.2849437572918</v>
      </c>
      <c r="AT188" s="93" t="n">
        <f aca="false">IF(AB188="",0,IF(AB188="","",INDEX(시장분석!$AN:$AN,AB188)))</f>
        <v>13.8215677625919</v>
      </c>
      <c r="AU188" s="94" t="n">
        <f aca="false">IF(ISNUMBER(Z188),AT188/10000*MAX(Z188-1,0)*AA188*1000000,0)</f>
        <v>16898.2923335498</v>
      </c>
      <c r="AV188" s="94" t="n">
        <f aca="false">AO188+AU188</f>
        <v>311545.29762355</v>
      </c>
      <c r="AW188" s="43" t="str">
        <f aca="false">IF(Q188&lt;&gt;1,"",TRIM(IF(AD188=1,"FRN ","")&amp;IF(AND(AL188&gt;=10,AL188&lt;99),"BBB0미만 ","")&amp;IF(AJ188="","등급없음 ","")&amp;IF(K188&lt;&gt;1,"비USD ","")&amp;IF(AND(AB188="",Y188=0),"시장데이터없음 ","")&amp;IF(AND(ISNUMBER(U188),U188&lt;0),"만기경과 ","")))</f>
        <v/>
      </c>
      <c r="AX188" s="90" t="n">
        <f aca="false">IF(Q188&lt;&gt;1,1,IF(스프레드쇼크!$C$4="Y",INDEX(스프레드쇼크!$B$12:$L$16,IFERROR(MATCH(AH188,스프레드쇼크!$A$12:$A$16,0),MATCH("목록외",스프레드쇼크!$A$12:$A$16,0)),IFERROR(MATCH(AG188,스프레드쇼크!$B$11:$L$11,0),MATCH("목록외",스프레드쇼크!$B$11:$L$11,0))),1))</f>
        <v>1</v>
      </c>
      <c r="AY188" s="90" t="n">
        <f aca="false">IF(스프레드쇼크!$C$5="Y",IF(ISNUMBER(AF188),MIN(스프레드쇼크!$C$7,MAX(스프레드쇼크!$C$6,AF188/스프레드쇼크!$C$8)),1),1)</f>
        <v>1.1391988545214</v>
      </c>
      <c r="AZ188" s="94" t="n">
        <f aca="false">AN188*AX188*AY188</f>
        <v>1970.0617524026</v>
      </c>
      <c r="BA188" s="90" t="n">
        <f aca="false">IF(ISNUMBER(G188),AA188*G188,0)</f>
        <v>29.464700529</v>
      </c>
      <c r="BB188" s="90" t="n">
        <f aca="false">IF(ISNUMBER(G188),AA188,0)</f>
        <v>5.067365</v>
      </c>
      <c r="BC188" s="90" t="n">
        <f aca="false">IF(AND(Y188=0,ISNUMBER(AF188)),AA188*AF188,0)</f>
        <v>381.658729705</v>
      </c>
      <c r="BD188" s="90" t="n">
        <f aca="false">IF(AND(Y188=0,ISNUMBER(AF188)),AA188,0)</f>
        <v>5.067365</v>
      </c>
      <c r="BE188" s="90" t="n">
        <f aca="false">IF(ISNUMBER(H188),AA188*H188,0)</f>
        <v>17.2933965355</v>
      </c>
      <c r="BF188" s="90" t="n">
        <f aca="false">IF(ISNUMBER(H188),AA188,0)</f>
        <v>5.067365</v>
      </c>
      <c r="BG188" s="90" t="n">
        <f aca="false">IF(AND(Y188=0,ISNUMBER(AF188),ISNUMBER(Z188)),AA188*Z188,0)</f>
        <v>17.2933965355</v>
      </c>
      <c r="BH188" s="90" t="n">
        <f aca="false">IF(AND(Y188=0,ISNUMBER(AF188),ISNUMBER(Z188)),AA188*AT188*MAX(Z188-1,0),0)</f>
        <v>168.982923335498</v>
      </c>
      <c r="BI188" s="90" t="n">
        <f aca="false">IF(Y188=0,AA188,0)</f>
        <v>5.067365</v>
      </c>
    </row>
    <row r="189" customFormat="false" ht="15" hidden="false" customHeight="false" outlineLevel="0" collapsed="false">
      <c r="A189" s="83" t="str">
        <f aca="false">IFERROR(IF(INDEX(원자료_잔고!$A$1:$EZ$1500,설정!$L$5+ROW()-1,설정!$L$8)&amp;""="0","",INDEX(원자료_잔고!$A$1:$EZ$1500,설정!$L$5+ROW()-1,설정!$L$8)&amp;""),"")</f>
        <v>HYNMTR 5.275 06/24/27</v>
      </c>
      <c r="B189" s="83" t="str">
        <f aca="false">IFERROR(IF(INDEX(원자료_잔고!$A$1:$EZ$1500,설정!$L$5+ROW()-1,설정!$L$7)&amp;""="0","",INDEX(원자료_잔고!$A$1:$EZ$1500,설정!$L$5+ROW()-1,설정!$L$7)&amp;""),"")</f>
        <v>US44891CDB63</v>
      </c>
      <c r="C189" s="83" t="str">
        <f aca="false">IFERROR(IF(INDEX(원자료_잔고!$A$1:$EZ$1500,설정!$L$5+ROW()-1,설정!$L$9)&amp;""="0","",INDEX(원자료_잔고!$A$1:$EZ$1500,설정!$L$5+ROW()-1,설정!$L$9)&amp;""),"")</f>
        <v>34578</v>
      </c>
      <c r="D18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89" s="84" t="n">
        <f aca="false">IFERROR(IF(ISNUMBER(INDEX(원자료_잔고!$A$1:$EZ$1500,설정!$L$5+ROW()-1,설정!$L$11)),INDEX(원자료_잔고!$A$1:$EZ$1500,설정!$L$5+ROW()-1,설정!$L$11),""),"")</f>
        <v>10000000</v>
      </c>
      <c r="F189" s="85" t="n">
        <f aca="false">IFERROR(IF(ISNUMBER(INDEX(원자료_잔고!$A$1:$EZ$1500,설정!$L$5+ROW()-1,설정!$L$12)),INDEX(원자료_잔고!$A$1:$EZ$1500,설정!$L$5+ROW()-1,설정!$L$12),""),"")</f>
        <v>100.1376</v>
      </c>
      <c r="G189" s="85" t="n">
        <f aca="false">IFERROR(IF(ISNUMBER(INDEX(원자료_잔고!$A$1:$EZ$1500,설정!$L$5+ROW()-1,설정!$L$13)),INDEX(원자료_잔고!$A$1:$EZ$1500,설정!$L$5+ROW()-1,설정!$L$13),""),"")</f>
        <v>5.0688</v>
      </c>
      <c r="H189" s="85" t="n">
        <f aca="false">IFERROR(IF(ISNUMBER(INDEX(원자료_잔고!$A$1:$EZ$1500,설정!$L$5+ROW()-1,설정!$L$14)),INDEX(원자료_잔고!$A$1:$EZ$1500,설정!$L$5+ROW()-1,설정!$L$14),""),"")</f>
        <v>0.6881</v>
      </c>
      <c r="I189" s="86" t="n">
        <f aca="false">IFERROR(IF(ISNUMBER(INDEX(원자료_잔고!$A$1:$EZ$1500,설정!$L$5+ROW()-1,설정!$L$15)),INDEX(원자료_잔고!$A$1:$EZ$1500,설정!$L$5+ROW()-1,설정!$L$15),""),"")</f>
        <v>46562</v>
      </c>
      <c r="J189" s="85" t="n">
        <f aca="false">IFERROR(IF(ISNUMBER(INDEX(원자료_잔고!$A$1:$EZ$1500,설정!$L$5+ROW()-1,설정!$L$16)),INDEX(원자료_잔고!$A$1:$EZ$1500,설정!$L$5+ROW()-1,설정!$L$16),""),"")</f>
        <v>5.275</v>
      </c>
      <c r="K189" s="87" t="n">
        <f aca="false">IFERROR(IF(ISNUMBER(INDEX(원자료_잔고!$A$1:$EZ$1500,설정!$L$5+ROW()-1,설정!$L$17)),INDEX(원자료_잔고!$A$1:$EZ$1500,설정!$L$5+ROW()-1,설정!$L$17),""),"")</f>
        <v>1</v>
      </c>
      <c r="L189" s="84" t="n">
        <f aca="false">IFERROR(IF(ISNUMBER(INDEX(원자료_잔고!$A$1:$EZ$1500,설정!$L$5+ROW()-1,설정!$L$18)),INDEX(원자료_잔고!$A$1:$EZ$1500,설정!$L$5+ROW()-1,설정!$L$18),""),"")</f>
        <v>10013760</v>
      </c>
      <c r="M189" s="88" t="n">
        <f aca="false">IFERROR(IF(ISNUMBER(INDEX(원자료_잔고!$A$1:$EZ$1500,설정!$L$5+ROW()-1,설정!$L$19)),INDEX(원자료_잔고!$A$1:$EZ$1500,설정!$L$5+ROW()-1,설정!$L$19),""),"")</f>
        <v>-155340</v>
      </c>
      <c r="N189" s="83" t="str">
        <f aca="false">IFERROR(IF(INDEX(원자료_잔고!$A$1:$EZ$1500,설정!$L$5+ROW()-1,설정!$L$21)&amp;""="0","",INDEX(원자료_잔고!$A$1:$EZ$1500,설정!$L$5+ROW()-1,설정!$L$21)&amp;""),"")</f>
        <v>A-</v>
      </c>
      <c r="O189" s="83" t="str">
        <f aca="false">IFERROR(IF(INDEX(원자료_잔고!$A$1:$EZ$1500,설정!$L$5+ROW()-1,설정!$L$22)&amp;""="0","",INDEX(원자료_잔고!$A$1:$EZ$1500,설정!$L$5+ROW()-1,설정!$L$22)&amp;""),"")</f>
        <v/>
      </c>
      <c r="P189" s="83" t="str">
        <f aca="false">IFERROR(IF(INDEX(원자료_잔고!$A$1:$EZ$1500,설정!$L$5+ROW()-1,설정!$L$23)&amp;""="0","",INDEX(원자료_잔고!$A$1:$EZ$1500,설정!$L$5+ROW()-1,설정!$L$23)&amp;""),"")</f>
        <v>A-</v>
      </c>
      <c r="Q189" s="89" t="n">
        <f aca="false">IF(AND($A189&lt;&gt;"",ISNUMBER(E189)),IF(E189&gt;0,1,0),0)</f>
        <v>1</v>
      </c>
      <c r="R189" s="43" t="str">
        <f aca="false">IF(Q189=1,UPPER(LEFT($A189,FIND(" ",$A189&amp;" ")-1)),"")</f>
        <v>HYNMTR</v>
      </c>
      <c r="S189" s="89" t="n">
        <f aca="false">IF(Q189=1,IF(OR(ISNUMBER(SEARCH("Float",$A189)),ISNUMBER(SEARCH("FRN",$A189))),1,0),0)</f>
        <v>0</v>
      </c>
      <c r="T189" s="43" t="str">
        <f aca="false">IF(AND(Q189=1,ISNUMBER(I189)),TEXT(I189,"yyyymmdd")&amp;"|"&amp;IF(S189=1,"F",TEXT(J189,"0.000")),"")</f>
        <v>20270624|5.275</v>
      </c>
      <c r="U189" s="90" t="n">
        <f aca="false">IF(AND(Q189=1,ISNUMBER(I189)),(I189-설정!$C$4)/365.25,"")</f>
        <v>0.728268309377139</v>
      </c>
      <c r="V189" s="43" t="str">
        <f aca="false">IF(Q189&lt;&gt;1,"",IF(ISNUMBER(U189),IF(U189&lt;=1,"1년 이하",IF(U189&lt;=2,"1-2년",IF(U189&lt;=3,"2-3년",IF(U189&lt;=4,"3-4년",IF(U189&lt;=5,"4-5년",IF(U189&lt;=7,"5-7년",IF(U189&lt;=10,"7-10년",IF(U189&lt;=20,"10-20년","20년 이상")))))))),"미분류"))</f>
        <v>1년 이하</v>
      </c>
      <c r="W189" s="43" t="str">
        <f aca="false">IF(Q189&lt;&gt;1,"",IF(AB189&lt;&gt;"",INDEX(시장분석!$C:$C,AB189),IF(K189=1,"USD","비USD")))</f>
        <v>USD</v>
      </c>
      <c r="X189" s="91" t="n">
        <f aca="false">IF(Q189=1,E189*K189/1000000,0)</f>
        <v>10</v>
      </c>
      <c r="Y189" s="89" t="n">
        <f aca="false">IF(R189="T",1,0)</f>
        <v>0</v>
      </c>
      <c r="Z189" s="92" t="n">
        <f aca="false">IF(Q189&lt;&gt;1,"",IF(AD189=1,IF(ISNUMBER(U189),MAX(U189,0),H189),H189))</f>
        <v>0.6881</v>
      </c>
      <c r="AA189" s="91" t="n">
        <f aca="false">IF(Q189=1,IF(ISNUMBER(L189),L189,0)*K189/1000000,0)</f>
        <v>10.01376</v>
      </c>
      <c r="AB189" s="89" t="n">
        <f aca="false">IF(Q189&lt;&gt;1,"",IFERROR(MATCH(VLOOKUP(B189,매핑!$H$4:$I$15,2,0),시장분석!$A$2:$A$601,0)+1,IFERROR(MATCH(R189&amp;"|"&amp;T189,시장분석!$V$2:$V$601,0)+1,IF(COUNTIF(시장분석!$U$2:$U$601,T189)=1,MATCH(T189,시장분석!$U$2:$U$601,0)+1,""))))</f>
        <v>61</v>
      </c>
      <c r="AC189" s="89" t="n">
        <f aca="false">IF(Q189&lt;&gt;1,0,IF(OR(설정!$C$5="전체",AND(설정!$C$5="선택펀드",IFERROR(COUNTIFS(설정!$F$16:$F$36,C189,설정!$G$16:$G$36,"Y")+COUNTIFS(설정!$F$16:$F$36,VALUE(C189),설정!$G$16:$G$36,"Y"),0)&gt;0),C189&amp;""=설정!$C$5&amp;""),1,0))</f>
        <v>1</v>
      </c>
      <c r="AD189" s="89" t="n">
        <f aca="false">IF(Q189&lt;&gt;1,0,IF(OR(S189=1,IF(AB189="",FALSE(),INDEX(시장분석!$R:$R,AB189)=1)),1,0))</f>
        <v>0</v>
      </c>
      <c r="AE189" s="43" t="str">
        <f aca="false">IF(AB189="","",INDEX(시장분석!$A:$A,AB189))</f>
        <v>HYNMTR 5.275 06/24/27</v>
      </c>
      <c r="AF189" s="93" t="n">
        <f aca="false">IF(AB189="","",IF(ISNUMBER(IF(AB189="","",INDEX(시장분석!$E:$E,AB189))),IF(AB189="","",INDEX(시장분석!$E:$E,AB189)),""))</f>
        <v>8.629</v>
      </c>
      <c r="AG189" s="43" t="str">
        <f aca="false">IF(Q189&lt;&gt;1,"",IF(AB189&lt;&gt;"",IF(AB189="","",INDEX(시장분석!$L:$L,AB189)),IFERROR(IF(VLOOKUP(R189,매핑!$A$4:$E$92,5,0)="","미분류",VLOOKUP(R189,매핑!$A$4:$E$92,5,0)),"미분류")))</f>
        <v>자유 소비재</v>
      </c>
      <c r="AH189" s="43" t="str">
        <f aca="false">IF(Q189&lt;&gt;1,"",IF(AB189&lt;&gt;"",IF(AB189="","",INDEX(시장분석!$N:$N,AB189)),IFERROR(IF(VLOOKUP(R189,매핑!$A$4:$E$92,4,0)="","미분류",VLOOKUP(R189,매핑!$A$4:$E$92,4,0)),"미분류")))</f>
        <v>미국</v>
      </c>
      <c r="AI189" s="43" t="str">
        <f aca="false">IF(Q189&lt;&gt;1,"",IFERROR(IF(VLOOKUP(R189,매핑!$A$4:$E$92,3,0)="","미분류",VLOOKUP(R189,매핑!$A$4:$E$92,3,0)),IF(AB189&lt;&gt;"",IF(AB189="","",INDEX(시장분석!$W:$W,AB189)),"미분류")))</f>
        <v>미국</v>
      </c>
      <c r="AJ189" s="43" t="str">
        <f aca="false">IF(Q189&lt;&gt;1,"",IFERROR(VLOOKUP(IF(N189&lt;&gt;"",N189,IF(P189&lt;&gt;"",P189,O189)),설정!$A$15:$D$47,2,0),""))</f>
        <v>A-</v>
      </c>
      <c r="AK189" s="43" t="str">
        <f aca="false">IF(Q189&lt;&gt;1,"",IF(AJ189="","무등급",IFERROR(VLOOKUP(AJ189,설정!$A$15:$D$47,3,0),"무등급")))</f>
        <v>A</v>
      </c>
      <c r="AL189" s="89" t="n">
        <f aca="false">IF(AJ189="",99,IFERROR(VLOOKUP(AJ189,설정!$A$15:$D$47,4,0),99))</f>
        <v>7</v>
      </c>
      <c r="AM189" s="94" t="n">
        <f aca="false">IF(ISNUMBER(H189),AA189*1000000*H189/10000,0)</f>
        <v>689.0468256</v>
      </c>
      <c r="AN189" s="94" t="n">
        <f aca="false">IF(OR(Y189=1,NOT(ISNUMBER(Z189))),0,AA189*1000000*Z189/10000)</f>
        <v>689.0468256</v>
      </c>
      <c r="AO189" s="94" t="n">
        <f aca="false">IF(ISNUMBER(G189),AA189*1000000*G189/100,0)</f>
        <v>507577.46688</v>
      </c>
      <c r="AP189" s="94" t="n">
        <f aca="false">IF(ISNUMBER(M189),M189*K189,0)</f>
        <v>-155340</v>
      </c>
      <c r="AQ189" s="95" t="n">
        <f aca="false">IF(AB189="","",INDEX(시장분석!$AK:$AK,AB189))</f>
        <v>-1.08908045992486</v>
      </c>
      <c r="AR189" s="43" t="str">
        <f aca="false">IF(AB189="","-",IF(AB189="","",INDEX(시장분석!$AL:$AL,AB189)))</f>
        <v>Rich</v>
      </c>
      <c r="AS189" s="96" t="n">
        <f aca="false">IF(AB189="","",INDEX(시장분석!$AJ:$AJ,AB189))</f>
        <v>-4.72362114208215</v>
      </c>
      <c r="AT189" s="93" t="n">
        <f aca="false">IF(AB189="",0,IF(AB189="","",INDEX(시장분석!$AN:$AN,AB189)))</f>
        <v>0</v>
      </c>
      <c r="AU189" s="94" t="n">
        <f aca="false">IF(ISNUMBER(Z189),AT189/10000*MAX(Z189-1,0)*AA189*1000000,0)</f>
        <v>0</v>
      </c>
      <c r="AV189" s="94" t="n">
        <f aca="false">AO189+AU189</f>
        <v>507577.46688</v>
      </c>
      <c r="AW189" s="43" t="str">
        <f aca="false">IF(Q189&lt;&gt;1,"",TRIM(IF(AD189=1,"FRN ","")&amp;IF(AND(AL189&gt;=10,AL189&lt;99),"BBB0미만 ","")&amp;IF(AJ189="","등급없음 ","")&amp;IF(K189&lt;&gt;1,"비USD ","")&amp;IF(AND(AB189="",Y189=0),"시장데이터없음 ","")&amp;IF(AND(ISNUMBER(U189),U189&lt;0),"만기경과 ","")))</f>
        <v/>
      </c>
      <c r="AX189" s="90" t="n">
        <f aca="false">IF(Q189&lt;&gt;1,1,IF(스프레드쇼크!$C$4="Y",INDEX(스프레드쇼크!$B$12:$L$16,IFERROR(MATCH(AH189,스프레드쇼크!$A$12:$A$16,0),MATCH("목록외",스프레드쇼크!$A$12:$A$16,0)),IFERROR(MATCH(AG189,스프레드쇼크!$B$11:$L$11,0),MATCH("목록외",스프레드쇼크!$B$11:$L$11,0))),1))</f>
        <v>1</v>
      </c>
      <c r="AY189" s="90" t="n">
        <f aca="false">IF(스프레드쇼크!$C$5="Y",IF(ISNUMBER(AF189),MIN(스프레드쇼크!$C$7,MAX(스프레드쇼크!$C$6,AF189/스프레드쇼크!$C$8)),1),1)</f>
        <v>0.25</v>
      </c>
      <c r="AZ189" s="94" t="n">
        <f aca="false">AN189*AX189*AY189</f>
        <v>172.2617064</v>
      </c>
      <c r="BA189" s="90" t="n">
        <f aca="false">IF(ISNUMBER(G189),AA189*G189,0)</f>
        <v>50.757746688</v>
      </c>
      <c r="BB189" s="90" t="n">
        <f aca="false">IF(ISNUMBER(G189),AA189,0)</f>
        <v>10.01376</v>
      </c>
      <c r="BC189" s="90" t="n">
        <f aca="false">IF(AND(Y189=0,ISNUMBER(AF189)),AA189*AF189,0)</f>
        <v>86.40873504</v>
      </c>
      <c r="BD189" s="90" t="n">
        <f aca="false">IF(AND(Y189=0,ISNUMBER(AF189)),AA189,0)</f>
        <v>10.01376</v>
      </c>
      <c r="BE189" s="90" t="n">
        <f aca="false">IF(ISNUMBER(H189),AA189*H189,0)</f>
        <v>6.890468256</v>
      </c>
      <c r="BF189" s="90" t="n">
        <f aca="false">IF(ISNUMBER(H189),AA189,0)</f>
        <v>10.01376</v>
      </c>
      <c r="BG189" s="90" t="n">
        <f aca="false">IF(AND(Y189=0,ISNUMBER(AF189),ISNUMBER(Z189)),AA189*Z189,0)</f>
        <v>6.890468256</v>
      </c>
      <c r="BH189" s="90" t="n">
        <f aca="false">IF(AND(Y189=0,ISNUMBER(AF189),ISNUMBER(Z189)),AA189*AT189*MAX(Z189-1,0),0)</f>
        <v>0</v>
      </c>
      <c r="BI189" s="90" t="n">
        <f aca="false">IF(Y189=0,AA189,0)</f>
        <v>10.01376</v>
      </c>
    </row>
    <row r="190" customFormat="false" ht="15" hidden="false" customHeight="false" outlineLevel="0" collapsed="false">
      <c r="A190" s="83" t="str">
        <f aca="false">IFERROR(IF(INDEX(원자료_잔고!$A$1:$EZ$1500,설정!$L$5+ROW()-1,설정!$L$8)&amp;""="0","",INDEX(원자료_잔고!$A$1:$EZ$1500,설정!$L$5+ROW()-1,설정!$L$8)&amp;""),"")</f>
        <v>HYNMTR 5 01/07/28</v>
      </c>
      <c r="B190" s="83" t="str">
        <f aca="false">IFERROR(IF(INDEX(원자료_잔고!$A$1:$EZ$1500,설정!$L$5+ROW()-1,설정!$L$7)&amp;""="0","",INDEX(원자료_잔고!$A$1:$EZ$1500,설정!$L$5+ROW()-1,설정!$L$7)&amp;""),"")</f>
        <v>US44891CDL46</v>
      </c>
      <c r="C190" s="83" t="str">
        <f aca="false">IFERROR(IF(INDEX(원자료_잔고!$A$1:$EZ$1500,설정!$L$5+ROW()-1,설정!$L$9)&amp;""="0","",INDEX(원자료_잔고!$A$1:$EZ$1500,설정!$L$5+ROW()-1,설정!$L$9)&amp;""),"")</f>
        <v>34578</v>
      </c>
      <c r="D19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0" s="84" t="n">
        <f aca="false">IFERROR(IF(ISNUMBER(INDEX(원자료_잔고!$A$1:$EZ$1500,설정!$L$5+ROW()-1,설정!$L$11)),INDEX(원자료_잔고!$A$1:$EZ$1500,설정!$L$5+ROW()-1,설정!$L$11),""),"")</f>
        <v>10000000</v>
      </c>
      <c r="F190" s="85" t="n">
        <f aca="false">IFERROR(IF(ISNUMBER(INDEX(원자료_잔고!$A$1:$EZ$1500,설정!$L$5+ROW()-1,설정!$L$12)),INDEX(원자료_잔고!$A$1:$EZ$1500,설정!$L$5+ROW()-1,설정!$L$12),""),"")</f>
        <v>99.6459</v>
      </c>
      <c r="G190" s="85" t="n">
        <f aca="false">IFERROR(IF(ISNUMBER(INDEX(원자료_잔고!$A$1:$EZ$1500,설정!$L$5+ROW()-1,설정!$L$13)),INDEX(원자료_잔고!$A$1:$EZ$1500,설정!$L$5+ROW()-1,설정!$L$13),""),"")</f>
        <v>5.2836</v>
      </c>
      <c r="H190" s="85" t="n">
        <f aca="false">IFERROR(IF(ISNUMBER(INDEX(원자료_잔고!$A$1:$EZ$1500,설정!$L$5+ROW()-1,설정!$L$14)),INDEX(원자료_잔고!$A$1:$EZ$1500,설정!$L$5+ROW()-1,설정!$L$14),""),"")</f>
        <v>1.1791</v>
      </c>
      <c r="I190" s="86" t="n">
        <f aca="false">IFERROR(IF(ISNUMBER(INDEX(원자료_잔고!$A$1:$EZ$1500,설정!$L$5+ROW()-1,설정!$L$15)),INDEX(원자료_잔고!$A$1:$EZ$1500,설정!$L$5+ROW()-1,설정!$L$15),""),"")</f>
        <v>46759</v>
      </c>
      <c r="J190" s="85" t="n">
        <f aca="false">IFERROR(IF(ISNUMBER(INDEX(원자료_잔고!$A$1:$EZ$1500,설정!$L$5+ROW()-1,설정!$L$16)),INDEX(원자료_잔고!$A$1:$EZ$1500,설정!$L$5+ROW()-1,설정!$L$16),""),"")</f>
        <v>5</v>
      </c>
      <c r="K190" s="87" t="n">
        <f aca="false">IFERROR(IF(ISNUMBER(INDEX(원자료_잔고!$A$1:$EZ$1500,설정!$L$5+ROW()-1,설정!$L$17)),INDEX(원자료_잔고!$A$1:$EZ$1500,설정!$L$5+ROW()-1,설정!$L$17),""),"")</f>
        <v>1</v>
      </c>
      <c r="L190" s="84" t="n">
        <f aca="false">IFERROR(IF(ISNUMBER(INDEX(원자료_잔고!$A$1:$EZ$1500,설정!$L$5+ROW()-1,설정!$L$18)),INDEX(원자료_잔고!$A$1:$EZ$1500,설정!$L$5+ROW()-1,설정!$L$18),""),"")</f>
        <v>9964590</v>
      </c>
      <c r="M190" s="88" t="n">
        <f aca="false">IFERROR(IF(ISNUMBER(INDEX(원자료_잔고!$A$1:$EZ$1500,설정!$L$5+ROW()-1,설정!$L$19)),INDEX(원자료_잔고!$A$1:$EZ$1500,설정!$L$5+ROW()-1,설정!$L$19),""),"")</f>
        <v>-198910</v>
      </c>
      <c r="N190" s="83" t="str">
        <f aca="false">IFERROR(IF(INDEX(원자료_잔고!$A$1:$EZ$1500,설정!$L$5+ROW()-1,설정!$L$21)&amp;""="0","",INDEX(원자료_잔고!$A$1:$EZ$1500,설정!$L$5+ROW()-1,설정!$L$21)&amp;""),"")</f>
        <v>A-</v>
      </c>
      <c r="O190" s="83" t="str">
        <f aca="false">IFERROR(IF(INDEX(원자료_잔고!$A$1:$EZ$1500,설정!$L$5+ROW()-1,설정!$L$22)&amp;""="0","",INDEX(원자료_잔고!$A$1:$EZ$1500,설정!$L$5+ROW()-1,설정!$L$22)&amp;""),"")</f>
        <v/>
      </c>
      <c r="P190" s="83" t="str">
        <f aca="false">IFERROR(IF(INDEX(원자료_잔고!$A$1:$EZ$1500,설정!$L$5+ROW()-1,설정!$L$23)&amp;""="0","",INDEX(원자료_잔고!$A$1:$EZ$1500,설정!$L$5+ROW()-1,설정!$L$23)&amp;""),"")</f>
        <v>A-</v>
      </c>
      <c r="Q190" s="89" t="n">
        <f aca="false">IF(AND($A190&lt;&gt;"",ISNUMBER(E190)),IF(E190&gt;0,1,0),0)</f>
        <v>1</v>
      </c>
      <c r="R190" s="43" t="str">
        <f aca="false">IF(Q190=1,UPPER(LEFT($A190,FIND(" ",$A190&amp;" ")-1)),"")</f>
        <v>HYNMTR</v>
      </c>
      <c r="S190" s="89" t="n">
        <f aca="false">IF(Q190=1,IF(OR(ISNUMBER(SEARCH("Float",$A190)),ISNUMBER(SEARCH("FRN",$A190))),1,0),0)</f>
        <v>0</v>
      </c>
      <c r="T190" s="43" t="str">
        <f aca="false">IF(AND(Q190=1,ISNUMBER(I190)),TEXT(I190,"yyyymmdd")&amp;"|"&amp;IF(S190=1,"F",TEXT(J190,"0.000")),"")</f>
        <v>20280107|5.000</v>
      </c>
      <c r="U190" s="90" t="n">
        <f aca="false">IF(AND(Q190=1,ISNUMBER(I190)),(I190-설정!$C$4)/365.25,"")</f>
        <v>1.26762491444216</v>
      </c>
      <c r="V190" s="43" t="str">
        <f aca="false">IF(Q190&lt;&gt;1,"",IF(ISNUMBER(U190),IF(U190&lt;=1,"1년 이하",IF(U190&lt;=2,"1-2년",IF(U190&lt;=3,"2-3년",IF(U190&lt;=4,"3-4년",IF(U190&lt;=5,"4-5년",IF(U190&lt;=7,"5-7년",IF(U190&lt;=10,"7-10년",IF(U190&lt;=20,"10-20년","20년 이상")))))))),"미분류"))</f>
        <v>1-2년</v>
      </c>
      <c r="W190" s="43" t="str">
        <f aca="false">IF(Q190&lt;&gt;1,"",IF(AB190&lt;&gt;"",INDEX(시장분석!$C:$C,AB190),IF(K190=1,"USD","비USD")))</f>
        <v>USD</v>
      </c>
      <c r="X190" s="91" t="n">
        <f aca="false">IF(Q190=1,E190*K190/1000000,0)</f>
        <v>10</v>
      </c>
      <c r="Y190" s="89" t="n">
        <f aca="false">IF(R190="T",1,0)</f>
        <v>0</v>
      </c>
      <c r="Z190" s="92" t="n">
        <f aca="false">IF(Q190&lt;&gt;1,"",IF(AD190=1,IF(ISNUMBER(U190),MAX(U190,0),H190),H190))</f>
        <v>1.1791</v>
      </c>
      <c r="AA190" s="91" t="n">
        <f aca="false">IF(Q190=1,IF(ISNUMBER(L190),L190,0)*K190/1000000,0)</f>
        <v>9.96459</v>
      </c>
      <c r="AB190" s="89" t="n">
        <f aca="false">IF(Q190&lt;&gt;1,"",IFERROR(MATCH(VLOOKUP(B190,매핑!$H$4:$I$15,2,0),시장분석!$A$2:$A$601,0)+1,IFERROR(MATCH(R190&amp;"|"&amp;T190,시장분석!$V$2:$V$601,0)+1,IF(COUNTIF(시장분석!$U$2:$U$601,T190)=1,MATCH(T190,시장분석!$U$2:$U$601,0)+1,""))))</f>
        <v>66</v>
      </c>
      <c r="AC190" s="89" t="n">
        <f aca="false">IF(Q190&lt;&gt;1,0,IF(OR(설정!$C$5="전체",AND(설정!$C$5="선택펀드",IFERROR(COUNTIFS(설정!$F$16:$F$36,C190,설정!$G$16:$G$36,"Y")+COUNTIFS(설정!$F$16:$F$36,VALUE(C190),설정!$G$16:$G$36,"Y"),0)&gt;0),C190&amp;""=설정!$C$5&amp;""),1,0))</f>
        <v>1</v>
      </c>
      <c r="AD190" s="89" t="n">
        <f aca="false">IF(Q190&lt;&gt;1,0,IF(OR(S190=1,IF(AB190="",FALSE(),INDEX(시장분석!$R:$R,AB190)=1)),1,0))</f>
        <v>0</v>
      </c>
      <c r="AE190" s="43" t="str">
        <f aca="false">IF(AB190="","",INDEX(시장분석!$A:$A,AB190))</f>
        <v>HYNMTR 5 01/07/28</v>
      </c>
      <c r="AF190" s="93" t="n">
        <f aca="false">IF(AB190="","",IF(ISNUMBER(IF(AB190="","",INDEX(시장분석!$E:$E,AB190))),IF(AB190="","",INDEX(시장분석!$E:$E,AB190)),""))</f>
        <v>40.564</v>
      </c>
      <c r="AG190" s="43" t="str">
        <f aca="false">IF(Q190&lt;&gt;1,"",IF(AB190&lt;&gt;"",IF(AB190="","",INDEX(시장분석!$L:$L,AB190)),IFERROR(IF(VLOOKUP(R190,매핑!$A$4:$E$92,5,0)="","미분류",VLOOKUP(R190,매핑!$A$4:$E$92,5,0)),"미분류")))</f>
        <v>자유 소비재</v>
      </c>
      <c r="AH190" s="43" t="str">
        <f aca="false">IF(Q190&lt;&gt;1,"",IF(AB190&lt;&gt;"",IF(AB190="","",INDEX(시장분석!$N:$N,AB190)),IFERROR(IF(VLOOKUP(R190,매핑!$A$4:$E$92,4,0)="","미분류",VLOOKUP(R190,매핑!$A$4:$E$92,4,0)),"미분류")))</f>
        <v>미국</v>
      </c>
      <c r="AI190" s="43" t="str">
        <f aca="false">IF(Q190&lt;&gt;1,"",IFERROR(IF(VLOOKUP(R190,매핑!$A$4:$E$92,3,0)="","미분류",VLOOKUP(R190,매핑!$A$4:$E$92,3,0)),IF(AB190&lt;&gt;"",IF(AB190="","",INDEX(시장분석!$W:$W,AB190)),"미분류")))</f>
        <v>미국</v>
      </c>
      <c r="AJ190" s="43" t="str">
        <f aca="false">IF(Q190&lt;&gt;1,"",IFERROR(VLOOKUP(IF(N190&lt;&gt;"",N190,IF(P190&lt;&gt;"",P190,O190)),설정!$A$15:$D$47,2,0),""))</f>
        <v>A-</v>
      </c>
      <c r="AK190" s="43" t="str">
        <f aca="false">IF(Q190&lt;&gt;1,"",IF(AJ190="","무등급",IFERROR(VLOOKUP(AJ190,설정!$A$15:$D$47,3,0),"무등급")))</f>
        <v>A</v>
      </c>
      <c r="AL190" s="89" t="n">
        <f aca="false">IF(AJ190="",99,IFERROR(VLOOKUP(AJ190,설정!$A$15:$D$47,4,0),99))</f>
        <v>7</v>
      </c>
      <c r="AM190" s="94" t="n">
        <f aca="false">IF(ISNUMBER(H190),AA190*1000000*H190/10000,0)</f>
        <v>1174.9248069</v>
      </c>
      <c r="AN190" s="94" t="n">
        <f aca="false">IF(OR(Y190=1,NOT(ISNUMBER(Z190))),0,AA190*1000000*Z190/10000)</f>
        <v>1174.9248069</v>
      </c>
      <c r="AO190" s="94" t="n">
        <f aca="false">IF(ISNUMBER(G190),AA190*1000000*G190/100,0)</f>
        <v>526489.07724</v>
      </c>
      <c r="AP190" s="94" t="n">
        <f aca="false">IF(ISNUMBER(M190),M190*K190,0)</f>
        <v>-198910</v>
      </c>
      <c r="AQ190" s="95" t="n">
        <f aca="false">IF(AB190="","",INDEX(시장분석!$AK:$AK,AB190))</f>
        <v>1.25409480383417</v>
      </c>
      <c r="AR190" s="43" t="str">
        <f aca="false">IF(AB190="","-",IF(AB190="","",INDEX(시장분석!$AL:$AL,AB190)))</f>
        <v>Cheap</v>
      </c>
      <c r="AS190" s="96" t="n">
        <f aca="false">IF(AB190="","",INDEX(시장분석!$AJ:$AJ,AB190))</f>
        <v>5.43933065328814</v>
      </c>
      <c r="AT190" s="93" t="n">
        <f aca="false">IF(AB190="",0,IF(AB190="","",INDEX(시장분석!$AN:$AN,AB190)))</f>
        <v>0</v>
      </c>
      <c r="AU190" s="94" t="n">
        <f aca="false">IF(ISNUMBER(Z190),AT190/10000*MAX(Z190-1,0)*AA190*1000000,0)</f>
        <v>0</v>
      </c>
      <c r="AV190" s="94" t="n">
        <f aca="false">AO190+AU190</f>
        <v>526489.07724</v>
      </c>
      <c r="AW190" s="43" t="str">
        <f aca="false">IF(Q190&lt;&gt;1,"",TRIM(IF(AD190=1,"FRN ","")&amp;IF(AND(AL190&gt;=10,AL190&lt;99),"BBB0미만 ","")&amp;IF(AJ190="","등급없음 ","")&amp;IF(K190&lt;&gt;1,"비USD ","")&amp;IF(AND(AB190="",Y190=0),"시장데이터없음 ","")&amp;IF(AND(ISNUMBER(U190),U190&lt;0),"만기경과 ","")))</f>
        <v/>
      </c>
      <c r="AX190" s="90" t="n">
        <f aca="false">IF(Q190&lt;&gt;1,1,IF(스프레드쇼크!$C$4="Y",INDEX(스프레드쇼크!$B$12:$L$16,IFERROR(MATCH(AH190,스프레드쇼크!$A$12:$A$16,0),MATCH("목록외",스프레드쇼크!$A$12:$A$16,0)),IFERROR(MATCH(AG190,스프레드쇼크!$B$11:$L$11,0),MATCH("목록외",스프레드쇼크!$B$11:$L$11,0))),1))</f>
        <v>1</v>
      </c>
      <c r="AY190" s="90" t="n">
        <f aca="false">IF(스프레드쇼크!$C$5="Y",IF(ISNUMBER(AF190),MIN(스프레드쇼크!$C$7,MAX(스프레드쇼크!$C$6,AF190/스프레드쇼크!$C$8)),1),1)</f>
        <v>0.613546242346432</v>
      </c>
      <c r="AZ190" s="94" t="n">
        <f aca="false">AN190*AX190*AY190</f>
        <v>720.870700313102</v>
      </c>
      <c r="BA190" s="90" t="n">
        <f aca="false">IF(ISNUMBER(G190),AA190*G190,0)</f>
        <v>52.648907724</v>
      </c>
      <c r="BB190" s="90" t="n">
        <f aca="false">IF(ISNUMBER(G190),AA190,0)</f>
        <v>9.96459</v>
      </c>
      <c r="BC190" s="90" t="n">
        <f aca="false">IF(AND(Y190=0,ISNUMBER(AF190)),AA190*AF190,0)</f>
        <v>404.20362876</v>
      </c>
      <c r="BD190" s="90" t="n">
        <f aca="false">IF(AND(Y190=0,ISNUMBER(AF190)),AA190,0)</f>
        <v>9.96459</v>
      </c>
      <c r="BE190" s="90" t="n">
        <f aca="false">IF(ISNUMBER(H190),AA190*H190,0)</f>
        <v>11.749248069</v>
      </c>
      <c r="BF190" s="90" t="n">
        <f aca="false">IF(ISNUMBER(H190),AA190,0)</f>
        <v>9.96459</v>
      </c>
      <c r="BG190" s="90" t="n">
        <f aca="false">IF(AND(Y190=0,ISNUMBER(AF190),ISNUMBER(Z190)),AA190*Z190,0)</f>
        <v>11.749248069</v>
      </c>
      <c r="BH190" s="90" t="n">
        <f aca="false">IF(AND(Y190=0,ISNUMBER(AF190),ISNUMBER(Z190)),AA190*AT190*MAX(Z190-1,0),0)</f>
        <v>0</v>
      </c>
      <c r="BI190" s="90" t="n">
        <f aca="false">IF(Y190=0,AA190,0)</f>
        <v>9.96459</v>
      </c>
    </row>
    <row r="191" customFormat="false" ht="15" hidden="false" customHeight="false" outlineLevel="0" collapsed="false">
      <c r="A191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191" s="83" t="str">
        <f aca="false">IFERROR(IF(INDEX(원자료_잔고!$A$1:$EZ$1500,설정!$L$5+ROW()-1,설정!$L$7)&amp;""="0","",INDEX(원자료_잔고!$A$1:$EZ$1500,설정!$L$5+ROW()-1,설정!$L$7)&amp;""),"")</f>
        <v>US44891CDM29</v>
      </c>
      <c r="C191" s="83" t="str">
        <f aca="false">IFERROR(IF(INDEX(원자료_잔고!$A$1:$EZ$1500,설정!$L$5+ROW()-1,설정!$L$9)&amp;""="0","",INDEX(원자료_잔고!$A$1:$EZ$1500,설정!$L$5+ROW()-1,설정!$L$9)&amp;""),"")</f>
        <v>34578</v>
      </c>
      <c r="D19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1" s="84" t="n">
        <f aca="false">IFERROR(IF(ISNUMBER(INDEX(원자료_잔고!$A$1:$EZ$1500,설정!$L$5+ROW()-1,설정!$L$11)),INDEX(원자료_잔고!$A$1:$EZ$1500,설정!$L$5+ROW()-1,설정!$L$11),""),"")</f>
        <v>10000000</v>
      </c>
      <c r="F191" s="85" t="n">
        <f aca="false">IFERROR(IF(ISNUMBER(INDEX(원자료_잔고!$A$1:$EZ$1500,설정!$L$5+ROW()-1,설정!$L$12)),INDEX(원자료_잔고!$A$1:$EZ$1500,설정!$L$5+ROW()-1,설정!$L$12),""),"")</f>
        <v>98.8254</v>
      </c>
      <c r="G191" s="85" t="n">
        <f aca="false">IFERROR(IF(ISNUMBER(INDEX(원자료_잔고!$A$1:$EZ$1500,설정!$L$5+ROW()-1,설정!$L$13)),INDEX(원자료_잔고!$A$1:$EZ$1500,설정!$L$5+ROW()-1,설정!$L$13),""),"")</f>
        <v>5.6945</v>
      </c>
      <c r="H191" s="85" t="n">
        <f aca="false">IFERROR(IF(ISNUMBER(INDEX(원자료_잔고!$A$1:$EZ$1500,설정!$L$5+ROW()-1,설정!$L$14)),INDEX(원자료_잔고!$A$1:$EZ$1500,설정!$L$5+ROW()-1,설정!$L$14),""),"")</f>
        <v>2.8642</v>
      </c>
      <c r="I191" s="86" t="n">
        <f aca="false">IFERROR(IF(ISNUMBER(INDEX(원자료_잔고!$A$1:$EZ$1500,설정!$L$5+ROW()-1,설정!$L$15)),INDEX(원자료_잔고!$A$1:$EZ$1500,설정!$L$5+ROW()-1,설정!$L$15),""),"")</f>
        <v>47491</v>
      </c>
      <c r="J191" s="85" t="n">
        <f aca="false">IFERROR(IF(ISNUMBER(INDEX(원자료_잔고!$A$1:$EZ$1500,설정!$L$5+ROW()-1,설정!$L$16)),INDEX(원자료_잔고!$A$1:$EZ$1500,설정!$L$5+ROW()-1,설정!$L$16),""),"")</f>
        <v>5.3</v>
      </c>
      <c r="K191" s="87" t="n">
        <f aca="false">IFERROR(IF(ISNUMBER(INDEX(원자료_잔고!$A$1:$EZ$1500,설정!$L$5+ROW()-1,설정!$L$17)),INDEX(원자료_잔고!$A$1:$EZ$1500,설정!$L$5+ROW()-1,설정!$L$17),""),"")</f>
        <v>1</v>
      </c>
      <c r="L191" s="84" t="n">
        <f aca="false">IFERROR(IF(ISNUMBER(INDEX(원자료_잔고!$A$1:$EZ$1500,설정!$L$5+ROW()-1,설정!$L$18)),INDEX(원자료_잔고!$A$1:$EZ$1500,설정!$L$5+ROW()-1,설정!$L$18),""),"")</f>
        <v>9882540</v>
      </c>
      <c r="M191" s="88" t="n">
        <f aca="false">IFERROR(IF(ISNUMBER(INDEX(원자료_잔고!$A$1:$EZ$1500,설정!$L$5+ROW()-1,설정!$L$19)),INDEX(원자료_잔고!$A$1:$EZ$1500,설정!$L$5+ROW()-1,설정!$L$19),""),"")</f>
        <v>-443420</v>
      </c>
      <c r="N191" s="83" t="str">
        <f aca="false">IFERROR(IF(INDEX(원자료_잔고!$A$1:$EZ$1500,설정!$L$5+ROW()-1,설정!$L$21)&amp;""="0","",INDEX(원자료_잔고!$A$1:$EZ$1500,설정!$L$5+ROW()-1,설정!$L$21)&amp;""),"")</f>
        <v>A-</v>
      </c>
      <c r="O191" s="83" t="str">
        <f aca="false">IFERROR(IF(INDEX(원자료_잔고!$A$1:$EZ$1500,설정!$L$5+ROW()-1,설정!$L$22)&amp;""="0","",INDEX(원자료_잔고!$A$1:$EZ$1500,설정!$L$5+ROW()-1,설정!$L$22)&amp;""),"")</f>
        <v/>
      </c>
      <c r="P191" s="83" t="str">
        <f aca="false">IFERROR(IF(INDEX(원자료_잔고!$A$1:$EZ$1500,설정!$L$5+ROW()-1,설정!$L$23)&amp;""="0","",INDEX(원자료_잔고!$A$1:$EZ$1500,설정!$L$5+ROW()-1,설정!$L$23)&amp;""),"")</f>
        <v>A-</v>
      </c>
      <c r="Q191" s="89" t="n">
        <f aca="false">IF(AND($A191&lt;&gt;"",ISNUMBER(E191)),IF(E191&gt;0,1,0),0)</f>
        <v>1</v>
      </c>
      <c r="R191" s="43" t="str">
        <f aca="false">IF(Q191=1,UPPER(LEFT($A191,FIND(" ",$A191&amp;" ")-1)),"")</f>
        <v>HYNMTR</v>
      </c>
      <c r="S191" s="89" t="n">
        <f aca="false">IF(Q191=1,IF(OR(ISNUMBER(SEARCH("Float",$A191)),ISNUMBER(SEARCH("FRN",$A191))),1,0),0)</f>
        <v>0</v>
      </c>
      <c r="T191" s="43" t="str">
        <f aca="false">IF(AND(Q191=1,ISNUMBER(I191)),TEXT(I191,"yyyymmdd")&amp;"|"&amp;IF(S191=1,"F",TEXT(J191,"0.000")),"")</f>
        <v>20300108|5.300</v>
      </c>
      <c r="U191" s="90" t="n">
        <f aca="false">IF(AND(Q191=1,ISNUMBER(I191)),(I191-설정!$C$4)/365.25,"")</f>
        <v>3.27173169062286</v>
      </c>
      <c r="V191" s="43" t="str">
        <f aca="false">IF(Q191&lt;&gt;1,"",IF(ISNUMBER(U191),IF(U191&lt;=1,"1년 이하",IF(U191&lt;=2,"1-2년",IF(U191&lt;=3,"2-3년",IF(U191&lt;=4,"3-4년",IF(U191&lt;=5,"4-5년",IF(U191&lt;=7,"5-7년",IF(U191&lt;=10,"7-10년",IF(U191&lt;=20,"10-20년","20년 이상")))))))),"미분류"))</f>
        <v>3-4년</v>
      </c>
      <c r="W191" s="43" t="str">
        <f aca="false">IF(Q191&lt;&gt;1,"",IF(AB191&lt;&gt;"",INDEX(시장분석!$C:$C,AB191),IF(K191=1,"USD","비USD")))</f>
        <v>USD</v>
      </c>
      <c r="X191" s="91" t="n">
        <f aca="false">IF(Q191=1,E191*K191/1000000,0)</f>
        <v>10</v>
      </c>
      <c r="Y191" s="89" t="n">
        <f aca="false">IF(R191="T",1,0)</f>
        <v>0</v>
      </c>
      <c r="Z191" s="92" t="n">
        <f aca="false">IF(Q191&lt;&gt;1,"",IF(AD191=1,IF(ISNUMBER(U191),MAX(U191,0),H191),H191))</f>
        <v>2.8642</v>
      </c>
      <c r="AA191" s="91" t="n">
        <f aca="false">IF(Q191=1,IF(ISNUMBER(L191),L191,0)*K191/1000000,0)</f>
        <v>9.88254</v>
      </c>
      <c r="AB191" s="89" t="n">
        <f aca="false">IF(Q191&lt;&gt;1,"",IFERROR(MATCH(VLOOKUP(B191,매핑!$H$4:$I$15,2,0),시장분석!$A$2:$A$601,0)+1,IFERROR(MATCH(R191&amp;"|"&amp;T191,시장분석!$V$2:$V$601,0)+1,IF(COUNTIF(시장분석!$U$2:$U$601,T191)=1,MATCH(T191,시장분석!$U$2:$U$601,0)+1,""))))</f>
        <v>67</v>
      </c>
      <c r="AC191" s="89" t="n">
        <f aca="false">IF(Q191&lt;&gt;1,0,IF(OR(설정!$C$5="전체",AND(설정!$C$5="선택펀드",IFERROR(COUNTIFS(설정!$F$16:$F$36,C191,설정!$G$16:$G$36,"Y")+COUNTIFS(설정!$F$16:$F$36,VALUE(C191),설정!$G$16:$G$36,"Y"),0)&gt;0),C191&amp;""=설정!$C$5&amp;""),1,0))</f>
        <v>1</v>
      </c>
      <c r="AD191" s="89" t="n">
        <f aca="false">IF(Q191&lt;&gt;1,0,IF(OR(S191=1,IF(AB191="",FALSE(),INDEX(시장분석!$R:$R,AB191)=1)),1,0))</f>
        <v>0</v>
      </c>
      <c r="AE191" s="43" t="str">
        <f aca="false">IF(AB191="","",INDEX(시장분석!$A:$A,AB191))</f>
        <v>HYNMTR 5.3 01/08/30</v>
      </c>
      <c r="AF191" s="93" t="n">
        <f aca="false">IF(AB191="","",IF(ISNUMBER(IF(AB191="","",INDEX(시장분석!$E:$E,AB191))),IF(AB191="","",INDEX(시장분석!$E:$E,AB191)),""))</f>
        <v>69.464</v>
      </c>
      <c r="AG191" s="43" t="str">
        <f aca="false">IF(Q191&lt;&gt;1,"",IF(AB191&lt;&gt;"",IF(AB191="","",INDEX(시장분석!$L:$L,AB191)),IFERROR(IF(VLOOKUP(R191,매핑!$A$4:$E$92,5,0)="","미분류",VLOOKUP(R191,매핑!$A$4:$E$92,5,0)),"미분류")))</f>
        <v>자유 소비재</v>
      </c>
      <c r="AH191" s="43" t="str">
        <f aca="false">IF(Q191&lt;&gt;1,"",IF(AB191&lt;&gt;"",IF(AB191="","",INDEX(시장분석!$N:$N,AB191)),IFERROR(IF(VLOOKUP(R191,매핑!$A$4:$E$92,4,0)="","미분류",VLOOKUP(R191,매핑!$A$4:$E$92,4,0)),"미분류")))</f>
        <v>미국</v>
      </c>
      <c r="AI191" s="43" t="str">
        <f aca="false">IF(Q191&lt;&gt;1,"",IFERROR(IF(VLOOKUP(R191,매핑!$A$4:$E$92,3,0)="","미분류",VLOOKUP(R191,매핑!$A$4:$E$92,3,0)),IF(AB191&lt;&gt;"",IF(AB191="","",INDEX(시장분석!$W:$W,AB191)),"미분류")))</f>
        <v>미국</v>
      </c>
      <c r="AJ191" s="43" t="str">
        <f aca="false">IF(Q191&lt;&gt;1,"",IFERROR(VLOOKUP(IF(N191&lt;&gt;"",N191,IF(P191&lt;&gt;"",P191,O191)),설정!$A$15:$D$47,2,0),""))</f>
        <v>A-</v>
      </c>
      <c r="AK191" s="43" t="str">
        <f aca="false">IF(Q191&lt;&gt;1,"",IF(AJ191="","무등급",IFERROR(VLOOKUP(AJ191,설정!$A$15:$D$47,3,0),"무등급")))</f>
        <v>A</v>
      </c>
      <c r="AL191" s="89" t="n">
        <f aca="false">IF(AJ191="",99,IFERROR(VLOOKUP(AJ191,설정!$A$15:$D$47,4,0),99))</f>
        <v>7</v>
      </c>
      <c r="AM191" s="94" t="n">
        <f aca="false">IF(ISNUMBER(H191),AA191*1000000*H191/10000,0)</f>
        <v>2830.5571068</v>
      </c>
      <c r="AN191" s="94" t="n">
        <f aca="false">IF(OR(Y191=1,NOT(ISNUMBER(Z191))),0,AA191*1000000*Z191/10000)</f>
        <v>2830.5571068</v>
      </c>
      <c r="AO191" s="94" t="n">
        <f aca="false">IF(ISNUMBER(G191),AA191*1000000*G191/100,0)</f>
        <v>562761.2403</v>
      </c>
      <c r="AP191" s="94" t="n">
        <f aca="false">IF(ISNUMBER(M191),M191*K191,0)</f>
        <v>-443420</v>
      </c>
      <c r="AQ191" s="95" t="n">
        <f aca="false">IF(AB191="","",INDEX(시장분석!$AK:$AK,AB191))</f>
        <v>-0.38828149363381</v>
      </c>
      <c r="AR191" s="43" t="str">
        <f aca="false">IF(AB191="","-",IF(AB191="","",INDEX(시장분석!$AL:$AL,AB191)))</f>
        <v>Fair</v>
      </c>
      <c r="AS191" s="96" t="n">
        <f aca="false">IF(AB191="","",INDEX(시장분석!$AJ:$AJ,AB191))</f>
        <v>-1.68407637442549</v>
      </c>
      <c r="AT191" s="93" t="n">
        <f aca="false">IF(AB191="",0,IF(AB191="","",INDEX(시장분석!$AN:$AN,AB191)))</f>
        <v>16.2883320887353</v>
      </c>
      <c r="AU191" s="94" t="n">
        <f aca="false">IF(ISNUMBER(Z191),AT191/10000*MAX(Z191-1,0)*AA191*1000000,0)</f>
        <v>30008.0448116672</v>
      </c>
      <c r="AV191" s="94" t="n">
        <f aca="false">AO191+AU191</f>
        <v>592769.285111667</v>
      </c>
      <c r="AW191" s="43" t="str">
        <f aca="false">IF(Q191&lt;&gt;1,"",TRIM(IF(AD191=1,"FRN ","")&amp;IF(AND(AL191&gt;=10,AL191&lt;99),"BBB0미만 ","")&amp;IF(AJ191="","등급없음 ","")&amp;IF(K191&lt;&gt;1,"비USD ","")&amp;IF(AND(AB191="",Y191=0),"시장데이터없음 ","")&amp;IF(AND(ISNUMBER(U191),U191&lt;0),"만기경과 ","")))</f>
        <v/>
      </c>
      <c r="AX191" s="90" t="n">
        <f aca="false">IF(Q191&lt;&gt;1,1,IF(스프레드쇼크!$C$4="Y",INDEX(스프레드쇼크!$B$12:$L$16,IFERROR(MATCH(AH191,스프레드쇼크!$A$12:$A$16,0),MATCH("목록외",스프레드쇼크!$A$12:$A$16,0)),IFERROR(MATCH(AG191,스프레드쇼크!$B$11:$L$11,0),MATCH("목록외",스프레드쇼크!$B$11:$L$11,0))),1))</f>
        <v>1</v>
      </c>
      <c r="AY191" s="90" t="n">
        <f aca="false">IF(스프레드쇼크!$C$5="Y",IF(ISNUMBER(AF191),MIN(스프레드쇼크!$C$7,MAX(스프레드쇼크!$C$6,AF191/스프레드쇼크!$C$8)),1),1)</f>
        <v>1.0506699580503</v>
      </c>
      <c r="AZ191" s="94" t="n">
        <f aca="false">AN191*AX191*AY191</f>
        <v>2973.98131666054</v>
      </c>
      <c r="BA191" s="90" t="n">
        <f aca="false">IF(ISNUMBER(G191),AA191*G191,0)</f>
        <v>56.27612403</v>
      </c>
      <c r="BB191" s="90" t="n">
        <f aca="false">IF(ISNUMBER(G191),AA191,0)</f>
        <v>9.88254</v>
      </c>
      <c r="BC191" s="90" t="n">
        <f aca="false">IF(AND(Y191=0,ISNUMBER(AF191)),AA191*AF191,0)</f>
        <v>686.48075856</v>
      </c>
      <c r="BD191" s="90" t="n">
        <f aca="false">IF(AND(Y191=0,ISNUMBER(AF191)),AA191,0)</f>
        <v>9.88254</v>
      </c>
      <c r="BE191" s="90" t="n">
        <f aca="false">IF(ISNUMBER(H191),AA191*H191,0)</f>
        <v>28.305571068</v>
      </c>
      <c r="BF191" s="90" t="n">
        <f aca="false">IF(ISNUMBER(H191),AA191,0)</f>
        <v>9.88254</v>
      </c>
      <c r="BG191" s="90" t="n">
        <f aca="false">IF(AND(Y191=0,ISNUMBER(AF191),ISNUMBER(Z191)),AA191*Z191,0)</f>
        <v>28.305571068</v>
      </c>
      <c r="BH191" s="90" t="n">
        <f aca="false">IF(AND(Y191=0,ISNUMBER(AF191),ISNUMBER(Z191)),AA191*AT191*MAX(Z191-1,0),0)</f>
        <v>300.080448116672</v>
      </c>
      <c r="BI191" s="90" t="n">
        <f aca="false">IF(Y191=0,AA191,0)</f>
        <v>9.88254</v>
      </c>
    </row>
    <row r="192" customFormat="false" ht="15" hidden="false" customHeight="false" outlineLevel="0" collapsed="false">
      <c r="A192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192" s="83" t="str">
        <f aca="false">IFERROR(IF(INDEX(원자료_잔고!$A$1:$EZ$1500,설정!$L$5+ROW()-1,설정!$L$7)&amp;""="0","",INDEX(원자료_잔고!$A$1:$EZ$1500,설정!$L$5+ROW()-1,설정!$L$7)&amp;""),"")</f>
        <v>US44891CDM29</v>
      </c>
      <c r="C192" s="83" t="str">
        <f aca="false">IFERROR(IF(INDEX(원자료_잔고!$A$1:$EZ$1500,설정!$L$5+ROW()-1,설정!$L$9)&amp;""="0","",INDEX(원자료_잔고!$A$1:$EZ$1500,설정!$L$5+ROW()-1,설정!$L$9)&amp;""),"")</f>
        <v>34578</v>
      </c>
      <c r="D19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2" s="84" t="n">
        <f aca="false">IFERROR(IF(ISNUMBER(INDEX(원자료_잔고!$A$1:$EZ$1500,설정!$L$5+ROW()-1,설정!$L$11)),INDEX(원자료_잔고!$A$1:$EZ$1500,설정!$L$5+ROW()-1,설정!$L$11),""),"")</f>
        <v>10000000</v>
      </c>
      <c r="F192" s="85" t="n">
        <f aca="false">IFERROR(IF(ISNUMBER(INDEX(원자료_잔고!$A$1:$EZ$1500,설정!$L$5+ROW()-1,설정!$L$12)),INDEX(원자료_잔고!$A$1:$EZ$1500,설정!$L$5+ROW()-1,설정!$L$12),""),"")</f>
        <v>98.8254</v>
      </c>
      <c r="G192" s="85" t="n">
        <f aca="false">IFERROR(IF(ISNUMBER(INDEX(원자료_잔고!$A$1:$EZ$1500,설정!$L$5+ROW()-1,설정!$L$13)),INDEX(원자료_잔고!$A$1:$EZ$1500,설정!$L$5+ROW()-1,설정!$L$13),""),"")</f>
        <v>5.6945</v>
      </c>
      <c r="H192" s="85" t="n">
        <f aca="false">IFERROR(IF(ISNUMBER(INDEX(원자료_잔고!$A$1:$EZ$1500,설정!$L$5+ROW()-1,설정!$L$14)),INDEX(원자료_잔고!$A$1:$EZ$1500,설정!$L$5+ROW()-1,설정!$L$14),""),"")</f>
        <v>2.8642</v>
      </c>
      <c r="I192" s="86" t="n">
        <f aca="false">IFERROR(IF(ISNUMBER(INDEX(원자료_잔고!$A$1:$EZ$1500,설정!$L$5+ROW()-1,설정!$L$15)),INDEX(원자료_잔고!$A$1:$EZ$1500,설정!$L$5+ROW()-1,설정!$L$15),""),"")</f>
        <v>47491</v>
      </c>
      <c r="J192" s="85" t="n">
        <f aca="false">IFERROR(IF(ISNUMBER(INDEX(원자료_잔고!$A$1:$EZ$1500,설정!$L$5+ROW()-1,설정!$L$16)),INDEX(원자료_잔고!$A$1:$EZ$1500,설정!$L$5+ROW()-1,설정!$L$16),""),"")</f>
        <v>5.3</v>
      </c>
      <c r="K192" s="87" t="n">
        <f aca="false">IFERROR(IF(ISNUMBER(INDEX(원자료_잔고!$A$1:$EZ$1500,설정!$L$5+ROW()-1,설정!$L$17)),INDEX(원자료_잔고!$A$1:$EZ$1500,설정!$L$5+ROW()-1,설정!$L$17),""),"")</f>
        <v>1</v>
      </c>
      <c r="L192" s="84" t="n">
        <f aca="false">IFERROR(IF(ISNUMBER(INDEX(원자료_잔고!$A$1:$EZ$1500,설정!$L$5+ROW()-1,설정!$L$18)),INDEX(원자료_잔고!$A$1:$EZ$1500,설정!$L$5+ROW()-1,설정!$L$18),""),"")</f>
        <v>9882540</v>
      </c>
      <c r="M192" s="88" t="n">
        <f aca="false">IFERROR(IF(ISNUMBER(INDEX(원자료_잔고!$A$1:$EZ$1500,설정!$L$5+ROW()-1,설정!$L$19)),INDEX(원자료_잔고!$A$1:$EZ$1500,설정!$L$5+ROW()-1,설정!$L$19),""),"")</f>
        <v>-443420</v>
      </c>
      <c r="N192" s="83" t="str">
        <f aca="false">IFERROR(IF(INDEX(원자료_잔고!$A$1:$EZ$1500,설정!$L$5+ROW()-1,설정!$L$21)&amp;""="0","",INDEX(원자료_잔고!$A$1:$EZ$1500,설정!$L$5+ROW()-1,설정!$L$21)&amp;""),"")</f>
        <v>A-</v>
      </c>
      <c r="O192" s="83" t="str">
        <f aca="false">IFERROR(IF(INDEX(원자료_잔고!$A$1:$EZ$1500,설정!$L$5+ROW()-1,설정!$L$22)&amp;""="0","",INDEX(원자료_잔고!$A$1:$EZ$1500,설정!$L$5+ROW()-1,설정!$L$22)&amp;""),"")</f>
        <v/>
      </c>
      <c r="P192" s="83" t="str">
        <f aca="false">IFERROR(IF(INDEX(원자료_잔고!$A$1:$EZ$1500,설정!$L$5+ROW()-1,설정!$L$23)&amp;""="0","",INDEX(원자료_잔고!$A$1:$EZ$1500,설정!$L$5+ROW()-1,설정!$L$23)&amp;""),"")</f>
        <v>A-</v>
      </c>
      <c r="Q192" s="89" t="n">
        <f aca="false">IF(AND($A192&lt;&gt;"",ISNUMBER(E192)),IF(E192&gt;0,1,0),0)</f>
        <v>1</v>
      </c>
      <c r="R192" s="43" t="str">
        <f aca="false">IF(Q192=1,UPPER(LEFT($A192,FIND(" ",$A192&amp;" ")-1)),"")</f>
        <v>HYNMTR</v>
      </c>
      <c r="S192" s="89" t="n">
        <f aca="false">IF(Q192=1,IF(OR(ISNUMBER(SEARCH("Float",$A192)),ISNUMBER(SEARCH("FRN",$A192))),1,0),0)</f>
        <v>0</v>
      </c>
      <c r="T192" s="43" t="str">
        <f aca="false">IF(AND(Q192=1,ISNUMBER(I192)),TEXT(I192,"yyyymmdd")&amp;"|"&amp;IF(S192=1,"F",TEXT(J192,"0.000")),"")</f>
        <v>20300108|5.300</v>
      </c>
      <c r="U192" s="90" t="n">
        <f aca="false">IF(AND(Q192=1,ISNUMBER(I192)),(I192-설정!$C$4)/365.25,"")</f>
        <v>3.27173169062286</v>
      </c>
      <c r="V192" s="43" t="str">
        <f aca="false">IF(Q192&lt;&gt;1,"",IF(ISNUMBER(U192),IF(U192&lt;=1,"1년 이하",IF(U192&lt;=2,"1-2년",IF(U192&lt;=3,"2-3년",IF(U192&lt;=4,"3-4년",IF(U192&lt;=5,"4-5년",IF(U192&lt;=7,"5-7년",IF(U192&lt;=10,"7-10년",IF(U192&lt;=20,"10-20년","20년 이상")))))))),"미분류"))</f>
        <v>3-4년</v>
      </c>
      <c r="W192" s="43" t="str">
        <f aca="false">IF(Q192&lt;&gt;1,"",IF(AB192&lt;&gt;"",INDEX(시장분석!$C:$C,AB192),IF(K192=1,"USD","비USD")))</f>
        <v>USD</v>
      </c>
      <c r="X192" s="91" t="n">
        <f aca="false">IF(Q192=1,E192*K192/1000000,0)</f>
        <v>10</v>
      </c>
      <c r="Y192" s="89" t="n">
        <f aca="false">IF(R192="T",1,0)</f>
        <v>0</v>
      </c>
      <c r="Z192" s="92" t="n">
        <f aca="false">IF(Q192&lt;&gt;1,"",IF(AD192=1,IF(ISNUMBER(U192),MAX(U192,0),H192),H192))</f>
        <v>2.8642</v>
      </c>
      <c r="AA192" s="91" t="n">
        <f aca="false">IF(Q192=1,IF(ISNUMBER(L192),L192,0)*K192/1000000,0)</f>
        <v>9.88254</v>
      </c>
      <c r="AB192" s="89" t="n">
        <f aca="false">IF(Q192&lt;&gt;1,"",IFERROR(MATCH(VLOOKUP(B192,매핑!$H$4:$I$15,2,0),시장분석!$A$2:$A$601,0)+1,IFERROR(MATCH(R192&amp;"|"&amp;T192,시장분석!$V$2:$V$601,0)+1,IF(COUNTIF(시장분석!$U$2:$U$601,T192)=1,MATCH(T192,시장분석!$U$2:$U$601,0)+1,""))))</f>
        <v>67</v>
      </c>
      <c r="AC192" s="89" t="n">
        <f aca="false">IF(Q192&lt;&gt;1,0,IF(OR(설정!$C$5="전체",AND(설정!$C$5="선택펀드",IFERROR(COUNTIFS(설정!$F$16:$F$36,C192,설정!$G$16:$G$36,"Y")+COUNTIFS(설정!$F$16:$F$36,VALUE(C192),설정!$G$16:$G$36,"Y"),0)&gt;0),C192&amp;""=설정!$C$5&amp;""),1,0))</f>
        <v>1</v>
      </c>
      <c r="AD192" s="89" t="n">
        <f aca="false">IF(Q192&lt;&gt;1,0,IF(OR(S192=1,IF(AB192="",FALSE(),INDEX(시장분석!$R:$R,AB192)=1)),1,0))</f>
        <v>0</v>
      </c>
      <c r="AE192" s="43" t="str">
        <f aca="false">IF(AB192="","",INDEX(시장분석!$A:$A,AB192))</f>
        <v>HYNMTR 5.3 01/08/30</v>
      </c>
      <c r="AF192" s="93" t="n">
        <f aca="false">IF(AB192="","",IF(ISNUMBER(IF(AB192="","",INDEX(시장분석!$E:$E,AB192))),IF(AB192="","",INDEX(시장분석!$E:$E,AB192)),""))</f>
        <v>69.464</v>
      </c>
      <c r="AG192" s="43" t="str">
        <f aca="false">IF(Q192&lt;&gt;1,"",IF(AB192&lt;&gt;"",IF(AB192="","",INDEX(시장분석!$L:$L,AB192)),IFERROR(IF(VLOOKUP(R192,매핑!$A$4:$E$92,5,0)="","미분류",VLOOKUP(R192,매핑!$A$4:$E$92,5,0)),"미분류")))</f>
        <v>자유 소비재</v>
      </c>
      <c r="AH192" s="43" t="str">
        <f aca="false">IF(Q192&lt;&gt;1,"",IF(AB192&lt;&gt;"",IF(AB192="","",INDEX(시장분석!$N:$N,AB192)),IFERROR(IF(VLOOKUP(R192,매핑!$A$4:$E$92,4,0)="","미분류",VLOOKUP(R192,매핑!$A$4:$E$92,4,0)),"미분류")))</f>
        <v>미국</v>
      </c>
      <c r="AI192" s="43" t="str">
        <f aca="false">IF(Q192&lt;&gt;1,"",IFERROR(IF(VLOOKUP(R192,매핑!$A$4:$E$92,3,0)="","미분류",VLOOKUP(R192,매핑!$A$4:$E$92,3,0)),IF(AB192&lt;&gt;"",IF(AB192="","",INDEX(시장분석!$W:$W,AB192)),"미분류")))</f>
        <v>미국</v>
      </c>
      <c r="AJ192" s="43" t="str">
        <f aca="false">IF(Q192&lt;&gt;1,"",IFERROR(VLOOKUP(IF(N192&lt;&gt;"",N192,IF(P192&lt;&gt;"",P192,O192)),설정!$A$15:$D$47,2,0),""))</f>
        <v>A-</v>
      </c>
      <c r="AK192" s="43" t="str">
        <f aca="false">IF(Q192&lt;&gt;1,"",IF(AJ192="","무등급",IFERROR(VLOOKUP(AJ192,설정!$A$15:$D$47,3,0),"무등급")))</f>
        <v>A</v>
      </c>
      <c r="AL192" s="89" t="n">
        <f aca="false">IF(AJ192="",99,IFERROR(VLOOKUP(AJ192,설정!$A$15:$D$47,4,0),99))</f>
        <v>7</v>
      </c>
      <c r="AM192" s="94" t="n">
        <f aca="false">IF(ISNUMBER(H192),AA192*1000000*H192/10000,0)</f>
        <v>2830.5571068</v>
      </c>
      <c r="AN192" s="94" t="n">
        <f aca="false">IF(OR(Y192=1,NOT(ISNUMBER(Z192))),0,AA192*1000000*Z192/10000)</f>
        <v>2830.5571068</v>
      </c>
      <c r="AO192" s="94" t="n">
        <f aca="false">IF(ISNUMBER(G192),AA192*1000000*G192/100,0)</f>
        <v>562761.2403</v>
      </c>
      <c r="AP192" s="94" t="n">
        <f aca="false">IF(ISNUMBER(M192),M192*K192,0)</f>
        <v>-443420</v>
      </c>
      <c r="AQ192" s="95" t="n">
        <f aca="false">IF(AB192="","",INDEX(시장분석!$AK:$AK,AB192))</f>
        <v>-0.38828149363381</v>
      </c>
      <c r="AR192" s="43" t="str">
        <f aca="false">IF(AB192="","-",IF(AB192="","",INDEX(시장분석!$AL:$AL,AB192)))</f>
        <v>Fair</v>
      </c>
      <c r="AS192" s="96" t="n">
        <f aca="false">IF(AB192="","",INDEX(시장분석!$AJ:$AJ,AB192))</f>
        <v>-1.68407637442549</v>
      </c>
      <c r="AT192" s="93" t="n">
        <f aca="false">IF(AB192="",0,IF(AB192="","",INDEX(시장분석!$AN:$AN,AB192)))</f>
        <v>16.2883320887353</v>
      </c>
      <c r="AU192" s="94" t="n">
        <f aca="false">IF(ISNUMBER(Z192),AT192/10000*MAX(Z192-1,0)*AA192*1000000,0)</f>
        <v>30008.0448116672</v>
      </c>
      <c r="AV192" s="94" t="n">
        <f aca="false">AO192+AU192</f>
        <v>592769.285111667</v>
      </c>
      <c r="AW192" s="43" t="str">
        <f aca="false">IF(Q192&lt;&gt;1,"",TRIM(IF(AD192=1,"FRN ","")&amp;IF(AND(AL192&gt;=10,AL192&lt;99),"BBB0미만 ","")&amp;IF(AJ192="","등급없음 ","")&amp;IF(K192&lt;&gt;1,"비USD ","")&amp;IF(AND(AB192="",Y192=0),"시장데이터없음 ","")&amp;IF(AND(ISNUMBER(U192),U192&lt;0),"만기경과 ","")))</f>
        <v/>
      </c>
      <c r="AX192" s="90" t="n">
        <f aca="false">IF(Q192&lt;&gt;1,1,IF(스프레드쇼크!$C$4="Y",INDEX(스프레드쇼크!$B$12:$L$16,IFERROR(MATCH(AH192,스프레드쇼크!$A$12:$A$16,0),MATCH("목록외",스프레드쇼크!$A$12:$A$16,0)),IFERROR(MATCH(AG192,스프레드쇼크!$B$11:$L$11,0),MATCH("목록외",스프레드쇼크!$B$11:$L$11,0))),1))</f>
        <v>1</v>
      </c>
      <c r="AY192" s="90" t="n">
        <f aca="false">IF(스프레드쇼크!$C$5="Y",IF(ISNUMBER(AF192),MIN(스프레드쇼크!$C$7,MAX(스프레드쇼크!$C$6,AF192/스프레드쇼크!$C$8)),1),1)</f>
        <v>1.0506699580503</v>
      </c>
      <c r="AZ192" s="94" t="n">
        <f aca="false">AN192*AX192*AY192</f>
        <v>2973.98131666054</v>
      </c>
      <c r="BA192" s="90" t="n">
        <f aca="false">IF(ISNUMBER(G192),AA192*G192,0)</f>
        <v>56.27612403</v>
      </c>
      <c r="BB192" s="90" t="n">
        <f aca="false">IF(ISNUMBER(G192),AA192,0)</f>
        <v>9.88254</v>
      </c>
      <c r="BC192" s="90" t="n">
        <f aca="false">IF(AND(Y192=0,ISNUMBER(AF192)),AA192*AF192,0)</f>
        <v>686.48075856</v>
      </c>
      <c r="BD192" s="90" t="n">
        <f aca="false">IF(AND(Y192=0,ISNUMBER(AF192)),AA192,0)</f>
        <v>9.88254</v>
      </c>
      <c r="BE192" s="90" t="n">
        <f aca="false">IF(ISNUMBER(H192),AA192*H192,0)</f>
        <v>28.305571068</v>
      </c>
      <c r="BF192" s="90" t="n">
        <f aca="false">IF(ISNUMBER(H192),AA192,0)</f>
        <v>9.88254</v>
      </c>
      <c r="BG192" s="90" t="n">
        <f aca="false">IF(AND(Y192=0,ISNUMBER(AF192),ISNUMBER(Z192)),AA192*Z192,0)</f>
        <v>28.305571068</v>
      </c>
      <c r="BH192" s="90" t="n">
        <f aca="false">IF(AND(Y192=0,ISNUMBER(AF192),ISNUMBER(Z192)),AA192*AT192*MAX(Z192-1,0),0)</f>
        <v>300.080448116672</v>
      </c>
      <c r="BI192" s="90" t="n">
        <f aca="false">IF(Y192=0,AA192,0)</f>
        <v>9.88254</v>
      </c>
    </row>
    <row r="193" customFormat="false" ht="15" hidden="false" customHeight="false" outlineLevel="0" collapsed="false">
      <c r="A193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193" s="83" t="str">
        <f aca="false">IFERROR(IF(INDEX(원자료_잔고!$A$1:$EZ$1500,설정!$L$5+ROW()-1,설정!$L$7)&amp;""="0","",INDEX(원자료_잔고!$A$1:$EZ$1500,설정!$L$5+ROW()-1,설정!$L$7)&amp;""),"")</f>
        <v>US44891CDM29</v>
      </c>
      <c r="C193" s="83" t="str">
        <f aca="false">IFERROR(IF(INDEX(원자료_잔고!$A$1:$EZ$1500,설정!$L$5+ROW()-1,설정!$L$9)&amp;""="0","",INDEX(원자료_잔고!$A$1:$EZ$1500,설정!$L$5+ROW()-1,설정!$L$9)&amp;""),"")</f>
        <v>34578</v>
      </c>
      <c r="D19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3" s="84" t="n">
        <f aca="false">IFERROR(IF(ISNUMBER(INDEX(원자료_잔고!$A$1:$EZ$1500,설정!$L$5+ROW()-1,설정!$L$11)),INDEX(원자료_잔고!$A$1:$EZ$1500,설정!$L$5+ROW()-1,설정!$L$11),""),"")</f>
        <v>2000000</v>
      </c>
      <c r="F193" s="85" t="n">
        <f aca="false">IFERROR(IF(ISNUMBER(INDEX(원자료_잔고!$A$1:$EZ$1500,설정!$L$5+ROW()-1,설정!$L$12)),INDEX(원자료_잔고!$A$1:$EZ$1500,설정!$L$5+ROW()-1,설정!$L$12),""),"")</f>
        <v>98.8254</v>
      </c>
      <c r="G193" s="85" t="n">
        <f aca="false">IFERROR(IF(ISNUMBER(INDEX(원자료_잔고!$A$1:$EZ$1500,설정!$L$5+ROW()-1,설정!$L$13)),INDEX(원자료_잔고!$A$1:$EZ$1500,설정!$L$5+ROW()-1,설정!$L$13),""),"")</f>
        <v>5.6945</v>
      </c>
      <c r="H193" s="85" t="n">
        <f aca="false">IFERROR(IF(ISNUMBER(INDEX(원자료_잔고!$A$1:$EZ$1500,설정!$L$5+ROW()-1,설정!$L$14)),INDEX(원자료_잔고!$A$1:$EZ$1500,설정!$L$5+ROW()-1,설정!$L$14),""),"")</f>
        <v>2.8642</v>
      </c>
      <c r="I193" s="86" t="n">
        <f aca="false">IFERROR(IF(ISNUMBER(INDEX(원자료_잔고!$A$1:$EZ$1500,설정!$L$5+ROW()-1,설정!$L$15)),INDEX(원자료_잔고!$A$1:$EZ$1500,설정!$L$5+ROW()-1,설정!$L$15),""),"")</f>
        <v>47491</v>
      </c>
      <c r="J193" s="85" t="n">
        <f aca="false">IFERROR(IF(ISNUMBER(INDEX(원자료_잔고!$A$1:$EZ$1500,설정!$L$5+ROW()-1,설정!$L$16)),INDEX(원자료_잔고!$A$1:$EZ$1500,설정!$L$5+ROW()-1,설정!$L$16),""),"")</f>
        <v>5.3</v>
      </c>
      <c r="K193" s="87" t="n">
        <f aca="false">IFERROR(IF(ISNUMBER(INDEX(원자료_잔고!$A$1:$EZ$1500,설정!$L$5+ROW()-1,설정!$L$17)),INDEX(원자료_잔고!$A$1:$EZ$1500,설정!$L$5+ROW()-1,설정!$L$17),""),"")</f>
        <v>1</v>
      </c>
      <c r="L193" s="84" t="n">
        <f aca="false">IFERROR(IF(ISNUMBER(INDEX(원자료_잔고!$A$1:$EZ$1500,설정!$L$5+ROW()-1,설정!$L$18)),INDEX(원자료_잔고!$A$1:$EZ$1500,설정!$L$5+ROW()-1,설정!$L$18),""),"")</f>
        <v>1976508</v>
      </c>
      <c r="M193" s="88" t="n">
        <f aca="false">IFERROR(IF(ISNUMBER(INDEX(원자료_잔고!$A$1:$EZ$1500,설정!$L$5+ROW()-1,설정!$L$19)),INDEX(원자료_잔고!$A$1:$EZ$1500,설정!$L$5+ROW()-1,설정!$L$19),""),"")</f>
        <v>-88684</v>
      </c>
      <c r="N193" s="83" t="str">
        <f aca="false">IFERROR(IF(INDEX(원자료_잔고!$A$1:$EZ$1500,설정!$L$5+ROW()-1,설정!$L$21)&amp;""="0","",INDEX(원자료_잔고!$A$1:$EZ$1500,설정!$L$5+ROW()-1,설정!$L$21)&amp;""),"")</f>
        <v>A-</v>
      </c>
      <c r="O193" s="83" t="str">
        <f aca="false">IFERROR(IF(INDEX(원자료_잔고!$A$1:$EZ$1500,설정!$L$5+ROW()-1,설정!$L$22)&amp;""="0","",INDEX(원자료_잔고!$A$1:$EZ$1500,설정!$L$5+ROW()-1,설정!$L$22)&amp;""),"")</f>
        <v/>
      </c>
      <c r="P193" s="83" t="str">
        <f aca="false">IFERROR(IF(INDEX(원자료_잔고!$A$1:$EZ$1500,설정!$L$5+ROW()-1,설정!$L$23)&amp;""="0","",INDEX(원자료_잔고!$A$1:$EZ$1500,설정!$L$5+ROW()-1,설정!$L$23)&amp;""),"")</f>
        <v>A-</v>
      </c>
      <c r="Q193" s="89" t="n">
        <f aca="false">IF(AND($A193&lt;&gt;"",ISNUMBER(E193)),IF(E193&gt;0,1,0),0)</f>
        <v>1</v>
      </c>
      <c r="R193" s="43" t="str">
        <f aca="false">IF(Q193=1,UPPER(LEFT($A193,FIND(" ",$A193&amp;" ")-1)),"")</f>
        <v>HYNMTR</v>
      </c>
      <c r="S193" s="89" t="n">
        <f aca="false">IF(Q193=1,IF(OR(ISNUMBER(SEARCH("Float",$A193)),ISNUMBER(SEARCH("FRN",$A193))),1,0),0)</f>
        <v>0</v>
      </c>
      <c r="T193" s="43" t="str">
        <f aca="false">IF(AND(Q193=1,ISNUMBER(I193)),TEXT(I193,"yyyymmdd")&amp;"|"&amp;IF(S193=1,"F",TEXT(J193,"0.000")),"")</f>
        <v>20300108|5.300</v>
      </c>
      <c r="U193" s="90" t="n">
        <f aca="false">IF(AND(Q193=1,ISNUMBER(I193)),(I193-설정!$C$4)/365.25,"")</f>
        <v>3.27173169062286</v>
      </c>
      <c r="V193" s="43" t="str">
        <f aca="false">IF(Q193&lt;&gt;1,"",IF(ISNUMBER(U193),IF(U193&lt;=1,"1년 이하",IF(U193&lt;=2,"1-2년",IF(U193&lt;=3,"2-3년",IF(U193&lt;=4,"3-4년",IF(U193&lt;=5,"4-5년",IF(U193&lt;=7,"5-7년",IF(U193&lt;=10,"7-10년",IF(U193&lt;=20,"10-20년","20년 이상")))))))),"미분류"))</f>
        <v>3-4년</v>
      </c>
      <c r="W193" s="43" t="str">
        <f aca="false">IF(Q193&lt;&gt;1,"",IF(AB193&lt;&gt;"",INDEX(시장분석!$C:$C,AB193),IF(K193=1,"USD","비USD")))</f>
        <v>USD</v>
      </c>
      <c r="X193" s="91" t="n">
        <f aca="false">IF(Q193=1,E193*K193/1000000,0)</f>
        <v>2</v>
      </c>
      <c r="Y193" s="89" t="n">
        <f aca="false">IF(R193="T",1,0)</f>
        <v>0</v>
      </c>
      <c r="Z193" s="92" t="n">
        <f aca="false">IF(Q193&lt;&gt;1,"",IF(AD193=1,IF(ISNUMBER(U193),MAX(U193,0),H193),H193))</f>
        <v>2.8642</v>
      </c>
      <c r="AA193" s="91" t="n">
        <f aca="false">IF(Q193=1,IF(ISNUMBER(L193),L193,0)*K193/1000000,0)</f>
        <v>1.976508</v>
      </c>
      <c r="AB193" s="89" t="n">
        <f aca="false">IF(Q193&lt;&gt;1,"",IFERROR(MATCH(VLOOKUP(B193,매핑!$H$4:$I$15,2,0),시장분석!$A$2:$A$601,0)+1,IFERROR(MATCH(R193&amp;"|"&amp;T193,시장분석!$V$2:$V$601,0)+1,IF(COUNTIF(시장분석!$U$2:$U$601,T193)=1,MATCH(T193,시장분석!$U$2:$U$601,0)+1,""))))</f>
        <v>67</v>
      </c>
      <c r="AC193" s="89" t="n">
        <f aca="false">IF(Q193&lt;&gt;1,0,IF(OR(설정!$C$5="전체",AND(설정!$C$5="선택펀드",IFERROR(COUNTIFS(설정!$F$16:$F$36,C193,설정!$G$16:$G$36,"Y")+COUNTIFS(설정!$F$16:$F$36,VALUE(C193),설정!$G$16:$G$36,"Y"),0)&gt;0),C193&amp;""=설정!$C$5&amp;""),1,0))</f>
        <v>1</v>
      </c>
      <c r="AD193" s="89" t="n">
        <f aca="false">IF(Q193&lt;&gt;1,0,IF(OR(S193=1,IF(AB193="",FALSE(),INDEX(시장분석!$R:$R,AB193)=1)),1,0))</f>
        <v>0</v>
      </c>
      <c r="AE193" s="43" t="str">
        <f aca="false">IF(AB193="","",INDEX(시장분석!$A:$A,AB193))</f>
        <v>HYNMTR 5.3 01/08/30</v>
      </c>
      <c r="AF193" s="93" t="n">
        <f aca="false">IF(AB193="","",IF(ISNUMBER(IF(AB193="","",INDEX(시장분석!$E:$E,AB193))),IF(AB193="","",INDEX(시장분석!$E:$E,AB193)),""))</f>
        <v>69.464</v>
      </c>
      <c r="AG193" s="43" t="str">
        <f aca="false">IF(Q193&lt;&gt;1,"",IF(AB193&lt;&gt;"",IF(AB193="","",INDEX(시장분석!$L:$L,AB193)),IFERROR(IF(VLOOKUP(R193,매핑!$A$4:$E$92,5,0)="","미분류",VLOOKUP(R193,매핑!$A$4:$E$92,5,0)),"미분류")))</f>
        <v>자유 소비재</v>
      </c>
      <c r="AH193" s="43" t="str">
        <f aca="false">IF(Q193&lt;&gt;1,"",IF(AB193&lt;&gt;"",IF(AB193="","",INDEX(시장분석!$N:$N,AB193)),IFERROR(IF(VLOOKUP(R193,매핑!$A$4:$E$92,4,0)="","미분류",VLOOKUP(R193,매핑!$A$4:$E$92,4,0)),"미분류")))</f>
        <v>미국</v>
      </c>
      <c r="AI193" s="43" t="str">
        <f aca="false">IF(Q193&lt;&gt;1,"",IFERROR(IF(VLOOKUP(R193,매핑!$A$4:$E$92,3,0)="","미분류",VLOOKUP(R193,매핑!$A$4:$E$92,3,0)),IF(AB193&lt;&gt;"",IF(AB193="","",INDEX(시장분석!$W:$W,AB193)),"미분류")))</f>
        <v>미국</v>
      </c>
      <c r="AJ193" s="43" t="str">
        <f aca="false">IF(Q193&lt;&gt;1,"",IFERROR(VLOOKUP(IF(N193&lt;&gt;"",N193,IF(P193&lt;&gt;"",P193,O193)),설정!$A$15:$D$47,2,0),""))</f>
        <v>A-</v>
      </c>
      <c r="AK193" s="43" t="str">
        <f aca="false">IF(Q193&lt;&gt;1,"",IF(AJ193="","무등급",IFERROR(VLOOKUP(AJ193,설정!$A$15:$D$47,3,0),"무등급")))</f>
        <v>A</v>
      </c>
      <c r="AL193" s="89" t="n">
        <f aca="false">IF(AJ193="",99,IFERROR(VLOOKUP(AJ193,설정!$A$15:$D$47,4,0),99))</f>
        <v>7</v>
      </c>
      <c r="AM193" s="94" t="n">
        <f aca="false">IF(ISNUMBER(H193),AA193*1000000*H193/10000,0)</f>
        <v>566.11142136</v>
      </c>
      <c r="AN193" s="94" t="n">
        <f aca="false">IF(OR(Y193=1,NOT(ISNUMBER(Z193))),0,AA193*1000000*Z193/10000)</f>
        <v>566.11142136</v>
      </c>
      <c r="AO193" s="94" t="n">
        <f aca="false">IF(ISNUMBER(G193),AA193*1000000*G193/100,0)</f>
        <v>112552.24806</v>
      </c>
      <c r="AP193" s="94" t="n">
        <f aca="false">IF(ISNUMBER(M193),M193*K193,0)</f>
        <v>-88684</v>
      </c>
      <c r="AQ193" s="95" t="n">
        <f aca="false">IF(AB193="","",INDEX(시장분석!$AK:$AK,AB193))</f>
        <v>-0.38828149363381</v>
      </c>
      <c r="AR193" s="43" t="str">
        <f aca="false">IF(AB193="","-",IF(AB193="","",INDEX(시장분석!$AL:$AL,AB193)))</f>
        <v>Fair</v>
      </c>
      <c r="AS193" s="96" t="n">
        <f aca="false">IF(AB193="","",INDEX(시장분석!$AJ:$AJ,AB193))</f>
        <v>-1.68407637442549</v>
      </c>
      <c r="AT193" s="93" t="n">
        <f aca="false">IF(AB193="",0,IF(AB193="","",INDEX(시장분석!$AN:$AN,AB193)))</f>
        <v>16.2883320887353</v>
      </c>
      <c r="AU193" s="94" t="n">
        <f aca="false">IF(ISNUMBER(Z193),AT193/10000*MAX(Z193-1,0)*AA193*1000000,0)</f>
        <v>6001.60896233344</v>
      </c>
      <c r="AV193" s="94" t="n">
        <f aca="false">AO193+AU193</f>
        <v>118553.857022333</v>
      </c>
      <c r="AW193" s="43" t="str">
        <f aca="false">IF(Q193&lt;&gt;1,"",TRIM(IF(AD193=1,"FRN ","")&amp;IF(AND(AL193&gt;=10,AL193&lt;99),"BBB0미만 ","")&amp;IF(AJ193="","등급없음 ","")&amp;IF(K193&lt;&gt;1,"비USD ","")&amp;IF(AND(AB193="",Y193=0),"시장데이터없음 ","")&amp;IF(AND(ISNUMBER(U193),U193&lt;0),"만기경과 ","")))</f>
        <v/>
      </c>
      <c r="AX193" s="90" t="n">
        <f aca="false">IF(Q193&lt;&gt;1,1,IF(스프레드쇼크!$C$4="Y",INDEX(스프레드쇼크!$B$12:$L$16,IFERROR(MATCH(AH193,스프레드쇼크!$A$12:$A$16,0),MATCH("목록외",스프레드쇼크!$A$12:$A$16,0)),IFERROR(MATCH(AG193,스프레드쇼크!$B$11:$L$11,0),MATCH("목록외",스프레드쇼크!$B$11:$L$11,0))),1))</f>
        <v>1</v>
      </c>
      <c r="AY193" s="90" t="n">
        <f aca="false">IF(스프레드쇼크!$C$5="Y",IF(ISNUMBER(AF193),MIN(스프레드쇼크!$C$7,MAX(스프레드쇼크!$C$6,AF193/스프레드쇼크!$C$8)),1),1)</f>
        <v>1.0506699580503</v>
      </c>
      <c r="AZ193" s="94" t="n">
        <f aca="false">AN193*AX193*AY193</f>
        <v>594.796263332109</v>
      </c>
      <c r="BA193" s="90" t="n">
        <f aca="false">IF(ISNUMBER(G193),AA193*G193,0)</f>
        <v>11.255224806</v>
      </c>
      <c r="BB193" s="90" t="n">
        <f aca="false">IF(ISNUMBER(G193),AA193,0)</f>
        <v>1.976508</v>
      </c>
      <c r="BC193" s="90" t="n">
        <f aca="false">IF(AND(Y193=0,ISNUMBER(AF193)),AA193*AF193,0)</f>
        <v>137.296151712</v>
      </c>
      <c r="BD193" s="90" t="n">
        <f aca="false">IF(AND(Y193=0,ISNUMBER(AF193)),AA193,0)</f>
        <v>1.976508</v>
      </c>
      <c r="BE193" s="90" t="n">
        <f aca="false">IF(ISNUMBER(H193),AA193*H193,0)</f>
        <v>5.6611142136</v>
      </c>
      <c r="BF193" s="90" t="n">
        <f aca="false">IF(ISNUMBER(H193),AA193,0)</f>
        <v>1.976508</v>
      </c>
      <c r="BG193" s="90" t="n">
        <f aca="false">IF(AND(Y193=0,ISNUMBER(AF193),ISNUMBER(Z193)),AA193*Z193,0)</f>
        <v>5.6611142136</v>
      </c>
      <c r="BH193" s="90" t="n">
        <f aca="false">IF(AND(Y193=0,ISNUMBER(AF193),ISNUMBER(Z193)),AA193*AT193*MAX(Z193-1,0),0)</f>
        <v>60.0160896233343</v>
      </c>
      <c r="BI193" s="90" t="n">
        <f aca="false">IF(Y193=0,AA193,0)</f>
        <v>1.976508</v>
      </c>
    </row>
    <row r="194" customFormat="false" ht="15" hidden="false" customHeight="false" outlineLevel="0" collapsed="false">
      <c r="A194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194" s="83" t="str">
        <f aca="false">IFERROR(IF(INDEX(원자료_잔고!$A$1:$EZ$1500,설정!$L$5+ROW()-1,설정!$L$7)&amp;""="0","",INDEX(원자료_잔고!$A$1:$EZ$1500,설정!$L$5+ROW()-1,설정!$L$7)&amp;""),"")</f>
        <v>US44891CDM29</v>
      </c>
      <c r="C194" s="83" t="str">
        <f aca="false">IFERROR(IF(INDEX(원자료_잔고!$A$1:$EZ$1500,설정!$L$5+ROW()-1,설정!$L$9)&amp;""="0","",INDEX(원자료_잔고!$A$1:$EZ$1500,설정!$L$5+ROW()-1,설정!$L$9)&amp;""),"")</f>
        <v>34578</v>
      </c>
      <c r="D19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4" s="84" t="n">
        <f aca="false">IFERROR(IF(ISNUMBER(INDEX(원자료_잔고!$A$1:$EZ$1500,설정!$L$5+ROW()-1,설정!$L$11)),INDEX(원자료_잔고!$A$1:$EZ$1500,설정!$L$5+ROW()-1,설정!$L$11),""),"")</f>
        <v>4000000</v>
      </c>
      <c r="F194" s="85" t="n">
        <f aca="false">IFERROR(IF(ISNUMBER(INDEX(원자료_잔고!$A$1:$EZ$1500,설정!$L$5+ROW()-1,설정!$L$12)),INDEX(원자료_잔고!$A$1:$EZ$1500,설정!$L$5+ROW()-1,설정!$L$12),""),"")</f>
        <v>98.8254</v>
      </c>
      <c r="G194" s="85" t="n">
        <f aca="false">IFERROR(IF(ISNUMBER(INDEX(원자료_잔고!$A$1:$EZ$1500,설정!$L$5+ROW()-1,설정!$L$13)),INDEX(원자료_잔고!$A$1:$EZ$1500,설정!$L$5+ROW()-1,설정!$L$13),""),"")</f>
        <v>5.6945</v>
      </c>
      <c r="H194" s="85" t="n">
        <f aca="false">IFERROR(IF(ISNUMBER(INDEX(원자료_잔고!$A$1:$EZ$1500,설정!$L$5+ROW()-1,설정!$L$14)),INDEX(원자료_잔고!$A$1:$EZ$1500,설정!$L$5+ROW()-1,설정!$L$14),""),"")</f>
        <v>2.8642</v>
      </c>
      <c r="I194" s="86" t="n">
        <f aca="false">IFERROR(IF(ISNUMBER(INDEX(원자료_잔고!$A$1:$EZ$1500,설정!$L$5+ROW()-1,설정!$L$15)),INDEX(원자료_잔고!$A$1:$EZ$1500,설정!$L$5+ROW()-1,설정!$L$15),""),"")</f>
        <v>47491</v>
      </c>
      <c r="J194" s="85" t="n">
        <f aca="false">IFERROR(IF(ISNUMBER(INDEX(원자료_잔고!$A$1:$EZ$1500,설정!$L$5+ROW()-1,설정!$L$16)),INDEX(원자료_잔고!$A$1:$EZ$1500,설정!$L$5+ROW()-1,설정!$L$16),""),"")</f>
        <v>5.3</v>
      </c>
      <c r="K194" s="87" t="n">
        <f aca="false">IFERROR(IF(ISNUMBER(INDEX(원자료_잔고!$A$1:$EZ$1500,설정!$L$5+ROW()-1,설정!$L$17)),INDEX(원자료_잔고!$A$1:$EZ$1500,설정!$L$5+ROW()-1,설정!$L$17),""),"")</f>
        <v>1</v>
      </c>
      <c r="L194" s="84" t="n">
        <f aca="false">IFERROR(IF(ISNUMBER(INDEX(원자료_잔고!$A$1:$EZ$1500,설정!$L$5+ROW()-1,설정!$L$18)),INDEX(원자료_잔고!$A$1:$EZ$1500,설정!$L$5+ROW()-1,설정!$L$18),""),"")</f>
        <v>3953016</v>
      </c>
      <c r="M194" s="88" t="n">
        <f aca="false">IFERROR(IF(ISNUMBER(INDEX(원자료_잔고!$A$1:$EZ$1500,설정!$L$5+ROW()-1,설정!$L$19)),INDEX(원자료_잔고!$A$1:$EZ$1500,설정!$L$5+ROW()-1,설정!$L$19),""),"")</f>
        <v>-177368</v>
      </c>
      <c r="N194" s="83" t="str">
        <f aca="false">IFERROR(IF(INDEX(원자료_잔고!$A$1:$EZ$1500,설정!$L$5+ROW()-1,설정!$L$21)&amp;""="0","",INDEX(원자료_잔고!$A$1:$EZ$1500,설정!$L$5+ROW()-1,설정!$L$21)&amp;""),"")</f>
        <v>A-</v>
      </c>
      <c r="O194" s="83" t="str">
        <f aca="false">IFERROR(IF(INDEX(원자료_잔고!$A$1:$EZ$1500,설정!$L$5+ROW()-1,설정!$L$22)&amp;""="0","",INDEX(원자료_잔고!$A$1:$EZ$1500,설정!$L$5+ROW()-1,설정!$L$22)&amp;""),"")</f>
        <v/>
      </c>
      <c r="P194" s="83" t="str">
        <f aca="false">IFERROR(IF(INDEX(원자료_잔고!$A$1:$EZ$1500,설정!$L$5+ROW()-1,설정!$L$23)&amp;""="0","",INDEX(원자료_잔고!$A$1:$EZ$1500,설정!$L$5+ROW()-1,설정!$L$23)&amp;""),"")</f>
        <v>A-</v>
      </c>
      <c r="Q194" s="89" t="n">
        <f aca="false">IF(AND($A194&lt;&gt;"",ISNUMBER(E194)),IF(E194&gt;0,1,0),0)</f>
        <v>1</v>
      </c>
      <c r="R194" s="43" t="str">
        <f aca="false">IF(Q194=1,UPPER(LEFT($A194,FIND(" ",$A194&amp;" ")-1)),"")</f>
        <v>HYNMTR</v>
      </c>
      <c r="S194" s="89" t="n">
        <f aca="false">IF(Q194=1,IF(OR(ISNUMBER(SEARCH("Float",$A194)),ISNUMBER(SEARCH("FRN",$A194))),1,0),0)</f>
        <v>0</v>
      </c>
      <c r="T194" s="43" t="str">
        <f aca="false">IF(AND(Q194=1,ISNUMBER(I194)),TEXT(I194,"yyyymmdd")&amp;"|"&amp;IF(S194=1,"F",TEXT(J194,"0.000")),"")</f>
        <v>20300108|5.300</v>
      </c>
      <c r="U194" s="90" t="n">
        <f aca="false">IF(AND(Q194=1,ISNUMBER(I194)),(I194-설정!$C$4)/365.25,"")</f>
        <v>3.27173169062286</v>
      </c>
      <c r="V194" s="43" t="str">
        <f aca="false">IF(Q194&lt;&gt;1,"",IF(ISNUMBER(U194),IF(U194&lt;=1,"1년 이하",IF(U194&lt;=2,"1-2년",IF(U194&lt;=3,"2-3년",IF(U194&lt;=4,"3-4년",IF(U194&lt;=5,"4-5년",IF(U194&lt;=7,"5-7년",IF(U194&lt;=10,"7-10년",IF(U194&lt;=20,"10-20년","20년 이상")))))))),"미분류"))</f>
        <v>3-4년</v>
      </c>
      <c r="W194" s="43" t="str">
        <f aca="false">IF(Q194&lt;&gt;1,"",IF(AB194&lt;&gt;"",INDEX(시장분석!$C:$C,AB194),IF(K194=1,"USD","비USD")))</f>
        <v>USD</v>
      </c>
      <c r="X194" s="91" t="n">
        <f aca="false">IF(Q194=1,E194*K194/1000000,0)</f>
        <v>4</v>
      </c>
      <c r="Y194" s="89" t="n">
        <f aca="false">IF(R194="T",1,0)</f>
        <v>0</v>
      </c>
      <c r="Z194" s="92" t="n">
        <f aca="false">IF(Q194&lt;&gt;1,"",IF(AD194=1,IF(ISNUMBER(U194),MAX(U194,0),H194),H194))</f>
        <v>2.8642</v>
      </c>
      <c r="AA194" s="91" t="n">
        <f aca="false">IF(Q194=1,IF(ISNUMBER(L194),L194,0)*K194/1000000,0)</f>
        <v>3.953016</v>
      </c>
      <c r="AB194" s="89" t="n">
        <f aca="false">IF(Q194&lt;&gt;1,"",IFERROR(MATCH(VLOOKUP(B194,매핑!$H$4:$I$15,2,0),시장분석!$A$2:$A$601,0)+1,IFERROR(MATCH(R194&amp;"|"&amp;T194,시장분석!$V$2:$V$601,0)+1,IF(COUNTIF(시장분석!$U$2:$U$601,T194)=1,MATCH(T194,시장분석!$U$2:$U$601,0)+1,""))))</f>
        <v>67</v>
      </c>
      <c r="AC194" s="89" t="n">
        <f aca="false">IF(Q194&lt;&gt;1,0,IF(OR(설정!$C$5="전체",AND(설정!$C$5="선택펀드",IFERROR(COUNTIFS(설정!$F$16:$F$36,C194,설정!$G$16:$G$36,"Y")+COUNTIFS(설정!$F$16:$F$36,VALUE(C194),설정!$G$16:$G$36,"Y"),0)&gt;0),C194&amp;""=설정!$C$5&amp;""),1,0))</f>
        <v>1</v>
      </c>
      <c r="AD194" s="89" t="n">
        <f aca="false">IF(Q194&lt;&gt;1,0,IF(OR(S194=1,IF(AB194="",FALSE(),INDEX(시장분석!$R:$R,AB194)=1)),1,0))</f>
        <v>0</v>
      </c>
      <c r="AE194" s="43" t="str">
        <f aca="false">IF(AB194="","",INDEX(시장분석!$A:$A,AB194))</f>
        <v>HYNMTR 5.3 01/08/30</v>
      </c>
      <c r="AF194" s="93" t="n">
        <f aca="false">IF(AB194="","",IF(ISNUMBER(IF(AB194="","",INDEX(시장분석!$E:$E,AB194))),IF(AB194="","",INDEX(시장분석!$E:$E,AB194)),""))</f>
        <v>69.464</v>
      </c>
      <c r="AG194" s="43" t="str">
        <f aca="false">IF(Q194&lt;&gt;1,"",IF(AB194&lt;&gt;"",IF(AB194="","",INDEX(시장분석!$L:$L,AB194)),IFERROR(IF(VLOOKUP(R194,매핑!$A$4:$E$92,5,0)="","미분류",VLOOKUP(R194,매핑!$A$4:$E$92,5,0)),"미분류")))</f>
        <v>자유 소비재</v>
      </c>
      <c r="AH194" s="43" t="str">
        <f aca="false">IF(Q194&lt;&gt;1,"",IF(AB194&lt;&gt;"",IF(AB194="","",INDEX(시장분석!$N:$N,AB194)),IFERROR(IF(VLOOKUP(R194,매핑!$A$4:$E$92,4,0)="","미분류",VLOOKUP(R194,매핑!$A$4:$E$92,4,0)),"미분류")))</f>
        <v>미국</v>
      </c>
      <c r="AI194" s="43" t="str">
        <f aca="false">IF(Q194&lt;&gt;1,"",IFERROR(IF(VLOOKUP(R194,매핑!$A$4:$E$92,3,0)="","미분류",VLOOKUP(R194,매핑!$A$4:$E$92,3,0)),IF(AB194&lt;&gt;"",IF(AB194="","",INDEX(시장분석!$W:$W,AB194)),"미분류")))</f>
        <v>미국</v>
      </c>
      <c r="AJ194" s="43" t="str">
        <f aca="false">IF(Q194&lt;&gt;1,"",IFERROR(VLOOKUP(IF(N194&lt;&gt;"",N194,IF(P194&lt;&gt;"",P194,O194)),설정!$A$15:$D$47,2,0),""))</f>
        <v>A-</v>
      </c>
      <c r="AK194" s="43" t="str">
        <f aca="false">IF(Q194&lt;&gt;1,"",IF(AJ194="","무등급",IFERROR(VLOOKUP(AJ194,설정!$A$15:$D$47,3,0),"무등급")))</f>
        <v>A</v>
      </c>
      <c r="AL194" s="89" t="n">
        <f aca="false">IF(AJ194="",99,IFERROR(VLOOKUP(AJ194,설정!$A$15:$D$47,4,0),99))</f>
        <v>7</v>
      </c>
      <c r="AM194" s="94" t="n">
        <f aca="false">IF(ISNUMBER(H194),AA194*1000000*H194/10000,0)</f>
        <v>1132.22284272</v>
      </c>
      <c r="AN194" s="94" t="n">
        <f aca="false">IF(OR(Y194=1,NOT(ISNUMBER(Z194))),0,AA194*1000000*Z194/10000)</f>
        <v>1132.22284272</v>
      </c>
      <c r="AO194" s="94" t="n">
        <f aca="false">IF(ISNUMBER(G194),AA194*1000000*G194/100,0)</f>
        <v>225104.49612</v>
      </c>
      <c r="AP194" s="94" t="n">
        <f aca="false">IF(ISNUMBER(M194),M194*K194,0)</f>
        <v>-177368</v>
      </c>
      <c r="AQ194" s="95" t="n">
        <f aca="false">IF(AB194="","",INDEX(시장분석!$AK:$AK,AB194))</f>
        <v>-0.38828149363381</v>
      </c>
      <c r="AR194" s="43" t="str">
        <f aca="false">IF(AB194="","-",IF(AB194="","",INDEX(시장분석!$AL:$AL,AB194)))</f>
        <v>Fair</v>
      </c>
      <c r="AS194" s="96" t="n">
        <f aca="false">IF(AB194="","",INDEX(시장분석!$AJ:$AJ,AB194))</f>
        <v>-1.68407637442549</v>
      </c>
      <c r="AT194" s="93" t="n">
        <f aca="false">IF(AB194="",0,IF(AB194="","",INDEX(시장분석!$AN:$AN,AB194)))</f>
        <v>16.2883320887353</v>
      </c>
      <c r="AU194" s="94" t="n">
        <f aca="false">IF(ISNUMBER(Z194),AT194/10000*MAX(Z194-1,0)*AA194*1000000,0)</f>
        <v>12003.2179246669</v>
      </c>
      <c r="AV194" s="94" t="n">
        <f aca="false">AO194+AU194</f>
        <v>237107.714044667</v>
      </c>
      <c r="AW194" s="43" t="str">
        <f aca="false">IF(Q194&lt;&gt;1,"",TRIM(IF(AD194=1,"FRN ","")&amp;IF(AND(AL194&gt;=10,AL194&lt;99),"BBB0미만 ","")&amp;IF(AJ194="","등급없음 ","")&amp;IF(K194&lt;&gt;1,"비USD ","")&amp;IF(AND(AB194="",Y194=0),"시장데이터없음 ","")&amp;IF(AND(ISNUMBER(U194),U194&lt;0),"만기경과 ","")))</f>
        <v/>
      </c>
      <c r="AX194" s="90" t="n">
        <f aca="false">IF(Q194&lt;&gt;1,1,IF(스프레드쇼크!$C$4="Y",INDEX(스프레드쇼크!$B$12:$L$16,IFERROR(MATCH(AH194,스프레드쇼크!$A$12:$A$16,0),MATCH("목록외",스프레드쇼크!$A$12:$A$16,0)),IFERROR(MATCH(AG194,스프레드쇼크!$B$11:$L$11,0),MATCH("목록외",스프레드쇼크!$B$11:$L$11,0))),1))</f>
        <v>1</v>
      </c>
      <c r="AY194" s="90" t="n">
        <f aca="false">IF(스프레드쇼크!$C$5="Y",IF(ISNUMBER(AF194),MIN(스프레드쇼크!$C$7,MAX(스프레드쇼크!$C$6,AF194/스프레드쇼크!$C$8)),1),1)</f>
        <v>1.0506699580503</v>
      </c>
      <c r="AZ194" s="94" t="n">
        <f aca="false">AN194*AX194*AY194</f>
        <v>1189.59252666422</v>
      </c>
      <c r="BA194" s="90" t="n">
        <f aca="false">IF(ISNUMBER(G194),AA194*G194,0)</f>
        <v>22.510449612</v>
      </c>
      <c r="BB194" s="90" t="n">
        <f aca="false">IF(ISNUMBER(G194),AA194,0)</f>
        <v>3.953016</v>
      </c>
      <c r="BC194" s="90" t="n">
        <f aca="false">IF(AND(Y194=0,ISNUMBER(AF194)),AA194*AF194,0)</f>
        <v>274.592303424</v>
      </c>
      <c r="BD194" s="90" t="n">
        <f aca="false">IF(AND(Y194=0,ISNUMBER(AF194)),AA194,0)</f>
        <v>3.953016</v>
      </c>
      <c r="BE194" s="90" t="n">
        <f aca="false">IF(ISNUMBER(H194),AA194*H194,0)</f>
        <v>11.3222284272</v>
      </c>
      <c r="BF194" s="90" t="n">
        <f aca="false">IF(ISNUMBER(H194),AA194,0)</f>
        <v>3.953016</v>
      </c>
      <c r="BG194" s="90" t="n">
        <f aca="false">IF(AND(Y194=0,ISNUMBER(AF194),ISNUMBER(Z194)),AA194*Z194,0)</f>
        <v>11.3222284272</v>
      </c>
      <c r="BH194" s="90" t="n">
        <f aca="false">IF(AND(Y194=0,ISNUMBER(AF194),ISNUMBER(Z194)),AA194*AT194*MAX(Z194-1,0),0)</f>
        <v>120.032179246669</v>
      </c>
      <c r="BI194" s="90" t="n">
        <f aca="false">IF(Y194=0,AA194,0)</f>
        <v>3.953016</v>
      </c>
    </row>
    <row r="195" customFormat="false" ht="15" hidden="false" customHeight="false" outlineLevel="0" collapsed="false">
      <c r="A195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195" s="83" t="str">
        <f aca="false">IFERROR(IF(INDEX(원자료_잔고!$A$1:$EZ$1500,설정!$L$5+ROW()-1,설정!$L$7)&amp;""="0","",INDEX(원자료_잔고!$A$1:$EZ$1500,설정!$L$5+ROW()-1,설정!$L$7)&amp;""),"")</f>
        <v>US44891CDM29</v>
      </c>
      <c r="C195" s="83" t="str">
        <f aca="false">IFERROR(IF(INDEX(원자료_잔고!$A$1:$EZ$1500,설정!$L$5+ROW()-1,설정!$L$9)&amp;""="0","",INDEX(원자료_잔고!$A$1:$EZ$1500,설정!$L$5+ROW()-1,설정!$L$9)&amp;""),"")</f>
        <v>34578</v>
      </c>
      <c r="D19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5" s="84" t="n">
        <f aca="false">IFERROR(IF(ISNUMBER(INDEX(원자료_잔고!$A$1:$EZ$1500,설정!$L$5+ROW()-1,설정!$L$11)),INDEX(원자료_잔고!$A$1:$EZ$1500,설정!$L$5+ROW()-1,설정!$L$11),""),"")</f>
        <v>2000000</v>
      </c>
      <c r="F195" s="85" t="n">
        <f aca="false">IFERROR(IF(ISNUMBER(INDEX(원자료_잔고!$A$1:$EZ$1500,설정!$L$5+ROW()-1,설정!$L$12)),INDEX(원자료_잔고!$A$1:$EZ$1500,설정!$L$5+ROW()-1,설정!$L$12),""),"")</f>
        <v>98.8254</v>
      </c>
      <c r="G195" s="85" t="n">
        <f aca="false">IFERROR(IF(ISNUMBER(INDEX(원자료_잔고!$A$1:$EZ$1500,설정!$L$5+ROW()-1,설정!$L$13)),INDEX(원자료_잔고!$A$1:$EZ$1500,설정!$L$5+ROW()-1,설정!$L$13),""),"")</f>
        <v>5.6945</v>
      </c>
      <c r="H195" s="85" t="n">
        <f aca="false">IFERROR(IF(ISNUMBER(INDEX(원자료_잔고!$A$1:$EZ$1500,설정!$L$5+ROW()-1,설정!$L$14)),INDEX(원자료_잔고!$A$1:$EZ$1500,설정!$L$5+ROW()-1,설정!$L$14),""),"")</f>
        <v>2.8642</v>
      </c>
      <c r="I195" s="86" t="n">
        <f aca="false">IFERROR(IF(ISNUMBER(INDEX(원자료_잔고!$A$1:$EZ$1500,설정!$L$5+ROW()-1,설정!$L$15)),INDEX(원자료_잔고!$A$1:$EZ$1500,설정!$L$5+ROW()-1,설정!$L$15),""),"")</f>
        <v>47491</v>
      </c>
      <c r="J195" s="85" t="n">
        <f aca="false">IFERROR(IF(ISNUMBER(INDEX(원자료_잔고!$A$1:$EZ$1500,설정!$L$5+ROW()-1,설정!$L$16)),INDEX(원자료_잔고!$A$1:$EZ$1500,설정!$L$5+ROW()-1,설정!$L$16),""),"")</f>
        <v>5.3</v>
      </c>
      <c r="K195" s="87" t="n">
        <f aca="false">IFERROR(IF(ISNUMBER(INDEX(원자료_잔고!$A$1:$EZ$1500,설정!$L$5+ROW()-1,설정!$L$17)),INDEX(원자료_잔고!$A$1:$EZ$1500,설정!$L$5+ROW()-1,설정!$L$17),""),"")</f>
        <v>1</v>
      </c>
      <c r="L195" s="84" t="n">
        <f aca="false">IFERROR(IF(ISNUMBER(INDEX(원자료_잔고!$A$1:$EZ$1500,설정!$L$5+ROW()-1,설정!$L$18)),INDEX(원자료_잔고!$A$1:$EZ$1500,설정!$L$5+ROW()-1,설정!$L$18),""),"")</f>
        <v>1976508</v>
      </c>
      <c r="M195" s="88" t="n">
        <f aca="false">IFERROR(IF(ISNUMBER(INDEX(원자료_잔고!$A$1:$EZ$1500,설정!$L$5+ROW()-1,설정!$L$19)),INDEX(원자료_잔고!$A$1:$EZ$1500,설정!$L$5+ROW()-1,설정!$L$19),""),"")</f>
        <v>-88684</v>
      </c>
      <c r="N195" s="83" t="str">
        <f aca="false">IFERROR(IF(INDEX(원자료_잔고!$A$1:$EZ$1500,설정!$L$5+ROW()-1,설정!$L$21)&amp;""="0","",INDEX(원자료_잔고!$A$1:$EZ$1500,설정!$L$5+ROW()-1,설정!$L$21)&amp;""),"")</f>
        <v>A-</v>
      </c>
      <c r="O195" s="83" t="str">
        <f aca="false">IFERROR(IF(INDEX(원자료_잔고!$A$1:$EZ$1500,설정!$L$5+ROW()-1,설정!$L$22)&amp;""="0","",INDEX(원자료_잔고!$A$1:$EZ$1500,설정!$L$5+ROW()-1,설정!$L$22)&amp;""),"")</f>
        <v/>
      </c>
      <c r="P195" s="83" t="str">
        <f aca="false">IFERROR(IF(INDEX(원자료_잔고!$A$1:$EZ$1500,설정!$L$5+ROW()-1,설정!$L$23)&amp;""="0","",INDEX(원자료_잔고!$A$1:$EZ$1500,설정!$L$5+ROW()-1,설정!$L$23)&amp;""),"")</f>
        <v>A-</v>
      </c>
      <c r="Q195" s="89" t="n">
        <f aca="false">IF(AND($A195&lt;&gt;"",ISNUMBER(E195)),IF(E195&gt;0,1,0),0)</f>
        <v>1</v>
      </c>
      <c r="R195" s="43" t="str">
        <f aca="false">IF(Q195=1,UPPER(LEFT($A195,FIND(" ",$A195&amp;" ")-1)),"")</f>
        <v>HYNMTR</v>
      </c>
      <c r="S195" s="89" t="n">
        <f aca="false">IF(Q195=1,IF(OR(ISNUMBER(SEARCH("Float",$A195)),ISNUMBER(SEARCH("FRN",$A195))),1,0),0)</f>
        <v>0</v>
      </c>
      <c r="T195" s="43" t="str">
        <f aca="false">IF(AND(Q195=1,ISNUMBER(I195)),TEXT(I195,"yyyymmdd")&amp;"|"&amp;IF(S195=1,"F",TEXT(J195,"0.000")),"")</f>
        <v>20300108|5.300</v>
      </c>
      <c r="U195" s="90" t="n">
        <f aca="false">IF(AND(Q195=1,ISNUMBER(I195)),(I195-설정!$C$4)/365.25,"")</f>
        <v>3.27173169062286</v>
      </c>
      <c r="V195" s="43" t="str">
        <f aca="false">IF(Q195&lt;&gt;1,"",IF(ISNUMBER(U195),IF(U195&lt;=1,"1년 이하",IF(U195&lt;=2,"1-2년",IF(U195&lt;=3,"2-3년",IF(U195&lt;=4,"3-4년",IF(U195&lt;=5,"4-5년",IF(U195&lt;=7,"5-7년",IF(U195&lt;=10,"7-10년",IF(U195&lt;=20,"10-20년","20년 이상")))))))),"미분류"))</f>
        <v>3-4년</v>
      </c>
      <c r="W195" s="43" t="str">
        <f aca="false">IF(Q195&lt;&gt;1,"",IF(AB195&lt;&gt;"",INDEX(시장분석!$C:$C,AB195),IF(K195=1,"USD","비USD")))</f>
        <v>USD</v>
      </c>
      <c r="X195" s="91" t="n">
        <f aca="false">IF(Q195=1,E195*K195/1000000,0)</f>
        <v>2</v>
      </c>
      <c r="Y195" s="89" t="n">
        <f aca="false">IF(R195="T",1,0)</f>
        <v>0</v>
      </c>
      <c r="Z195" s="92" t="n">
        <f aca="false">IF(Q195&lt;&gt;1,"",IF(AD195=1,IF(ISNUMBER(U195),MAX(U195,0),H195),H195))</f>
        <v>2.8642</v>
      </c>
      <c r="AA195" s="91" t="n">
        <f aca="false">IF(Q195=1,IF(ISNUMBER(L195),L195,0)*K195/1000000,0)</f>
        <v>1.976508</v>
      </c>
      <c r="AB195" s="89" t="n">
        <f aca="false">IF(Q195&lt;&gt;1,"",IFERROR(MATCH(VLOOKUP(B195,매핑!$H$4:$I$15,2,0),시장분석!$A$2:$A$601,0)+1,IFERROR(MATCH(R195&amp;"|"&amp;T195,시장분석!$V$2:$V$601,0)+1,IF(COUNTIF(시장분석!$U$2:$U$601,T195)=1,MATCH(T195,시장분석!$U$2:$U$601,0)+1,""))))</f>
        <v>67</v>
      </c>
      <c r="AC195" s="89" t="n">
        <f aca="false">IF(Q195&lt;&gt;1,0,IF(OR(설정!$C$5="전체",AND(설정!$C$5="선택펀드",IFERROR(COUNTIFS(설정!$F$16:$F$36,C195,설정!$G$16:$G$36,"Y")+COUNTIFS(설정!$F$16:$F$36,VALUE(C195),설정!$G$16:$G$36,"Y"),0)&gt;0),C195&amp;""=설정!$C$5&amp;""),1,0))</f>
        <v>1</v>
      </c>
      <c r="AD195" s="89" t="n">
        <f aca="false">IF(Q195&lt;&gt;1,0,IF(OR(S195=1,IF(AB195="",FALSE(),INDEX(시장분석!$R:$R,AB195)=1)),1,0))</f>
        <v>0</v>
      </c>
      <c r="AE195" s="43" t="str">
        <f aca="false">IF(AB195="","",INDEX(시장분석!$A:$A,AB195))</f>
        <v>HYNMTR 5.3 01/08/30</v>
      </c>
      <c r="AF195" s="93" t="n">
        <f aca="false">IF(AB195="","",IF(ISNUMBER(IF(AB195="","",INDEX(시장분석!$E:$E,AB195))),IF(AB195="","",INDEX(시장분석!$E:$E,AB195)),""))</f>
        <v>69.464</v>
      </c>
      <c r="AG195" s="43" t="str">
        <f aca="false">IF(Q195&lt;&gt;1,"",IF(AB195&lt;&gt;"",IF(AB195="","",INDEX(시장분석!$L:$L,AB195)),IFERROR(IF(VLOOKUP(R195,매핑!$A$4:$E$92,5,0)="","미분류",VLOOKUP(R195,매핑!$A$4:$E$92,5,0)),"미분류")))</f>
        <v>자유 소비재</v>
      </c>
      <c r="AH195" s="43" t="str">
        <f aca="false">IF(Q195&lt;&gt;1,"",IF(AB195&lt;&gt;"",IF(AB195="","",INDEX(시장분석!$N:$N,AB195)),IFERROR(IF(VLOOKUP(R195,매핑!$A$4:$E$92,4,0)="","미분류",VLOOKUP(R195,매핑!$A$4:$E$92,4,0)),"미분류")))</f>
        <v>미국</v>
      </c>
      <c r="AI195" s="43" t="str">
        <f aca="false">IF(Q195&lt;&gt;1,"",IFERROR(IF(VLOOKUP(R195,매핑!$A$4:$E$92,3,0)="","미분류",VLOOKUP(R195,매핑!$A$4:$E$92,3,0)),IF(AB195&lt;&gt;"",IF(AB195="","",INDEX(시장분석!$W:$W,AB195)),"미분류")))</f>
        <v>미국</v>
      </c>
      <c r="AJ195" s="43" t="str">
        <f aca="false">IF(Q195&lt;&gt;1,"",IFERROR(VLOOKUP(IF(N195&lt;&gt;"",N195,IF(P195&lt;&gt;"",P195,O195)),설정!$A$15:$D$47,2,0),""))</f>
        <v>A-</v>
      </c>
      <c r="AK195" s="43" t="str">
        <f aca="false">IF(Q195&lt;&gt;1,"",IF(AJ195="","무등급",IFERROR(VLOOKUP(AJ195,설정!$A$15:$D$47,3,0),"무등급")))</f>
        <v>A</v>
      </c>
      <c r="AL195" s="89" t="n">
        <f aca="false">IF(AJ195="",99,IFERROR(VLOOKUP(AJ195,설정!$A$15:$D$47,4,0),99))</f>
        <v>7</v>
      </c>
      <c r="AM195" s="94" t="n">
        <f aca="false">IF(ISNUMBER(H195),AA195*1000000*H195/10000,0)</f>
        <v>566.11142136</v>
      </c>
      <c r="AN195" s="94" t="n">
        <f aca="false">IF(OR(Y195=1,NOT(ISNUMBER(Z195))),0,AA195*1000000*Z195/10000)</f>
        <v>566.11142136</v>
      </c>
      <c r="AO195" s="94" t="n">
        <f aca="false">IF(ISNUMBER(G195),AA195*1000000*G195/100,0)</f>
        <v>112552.24806</v>
      </c>
      <c r="AP195" s="94" t="n">
        <f aca="false">IF(ISNUMBER(M195),M195*K195,0)</f>
        <v>-88684</v>
      </c>
      <c r="AQ195" s="95" t="n">
        <f aca="false">IF(AB195="","",INDEX(시장분석!$AK:$AK,AB195))</f>
        <v>-0.38828149363381</v>
      </c>
      <c r="AR195" s="43" t="str">
        <f aca="false">IF(AB195="","-",IF(AB195="","",INDEX(시장분석!$AL:$AL,AB195)))</f>
        <v>Fair</v>
      </c>
      <c r="AS195" s="96" t="n">
        <f aca="false">IF(AB195="","",INDEX(시장분석!$AJ:$AJ,AB195))</f>
        <v>-1.68407637442549</v>
      </c>
      <c r="AT195" s="93" t="n">
        <f aca="false">IF(AB195="",0,IF(AB195="","",INDEX(시장분석!$AN:$AN,AB195)))</f>
        <v>16.2883320887353</v>
      </c>
      <c r="AU195" s="94" t="n">
        <f aca="false">IF(ISNUMBER(Z195),AT195/10000*MAX(Z195-1,0)*AA195*1000000,0)</f>
        <v>6001.60896233344</v>
      </c>
      <c r="AV195" s="94" t="n">
        <f aca="false">AO195+AU195</f>
        <v>118553.857022333</v>
      </c>
      <c r="AW195" s="43" t="str">
        <f aca="false">IF(Q195&lt;&gt;1,"",TRIM(IF(AD195=1,"FRN ","")&amp;IF(AND(AL195&gt;=10,AL195&lt;99),"BBB0미만 ","")&amp;IF(AJ195="","등급없음 ","")&amp;IF(K195&lt;&gt;1,"비USD ","")&amp;IF(AND(AB195="",Y195=0),"시장데이터없음 ","")&amp;IF(AND(ISNUMBER(U195),U195&lt;0),"만기경과 ","")))</f>
        <v/>
      </c>
      <c r="AX195" s="90" t="n">
        <f aca="false">IF(Q195&lt;&gt;1,1,IF(스프레드쇼크!$C$4="Y",INDEX(스프레드쇼크!$B$12:$L$16,IFERROR(MATCH(AH195,스프레드쇼크!$A$12:$A$16,0),MATCH("목록외",스프레드쇼크!$A$12:$A$16,0)),IFERROR(MATCH(AG195,스프레드쇼크!$B$11:$L$11,0),MATCH("목록외",스프레드쇼크!$B$11:$L$11,0))),1))</f>
        <v>1</v>
      </c>
      <c r="AY195" s="90" t="n">
        <f aca="false">IF(스프레드쇼크!$C$5="Y",IF(ISNUMBER(AF195),MIN(스프레드쇼크!$C$7,MAX(스프레드쇼크!$C$6,AF195/스프레드쇼크!$C$8)),1),1)</f>
        <v>1.0506699580503</v>
      </c>
      <c r="AZ195" s="94" t="n">
        <f aca="false">AN195*AX195*AY195</f>
        <v>594.796263332109</v>
      </c>
      <c r="BA195" s="90" t="n">
        <f aca="false">IF(ISNUMBER(G195),AA195*G195,0)</f>
        <v>11.255224806</v>
      </c>
      <c r="BB195" s="90" t="n">
        <f aca="false">IF(ISNUMBER(G195),AA195,0)</f>
        <v>1.976508</v>
      </c>
      <c r="BC195" s="90" t="n">
        <f aca="false">IF(AND(Y195=0,ISNUMBER(AF195)),AA195*AF195,0)</f>
        <v>137.296151712</v>
      </c>
      <c r="BD195" s="90" t="n">
        <f aca="false">IF(AND(Y195=0,ISNUMBER(AF195)),AA195,0)</f>
        <v>1.976508</v>
      </c>
      <c r="BE195" s="90" t="n">
        <f aca="false">IF(ISNUMBER(H195),AA195*H195,0)</f>
        <v>5.6611142136</v>
      </c>
      <c r="BF195" s="90" t="n">
        <f aca="false">IF(ISNUMBER(H195),AA195,0)</f>
        <v>1.976508</v>
      </c>
      <c r="BG195" s="90" t="n">
        <f aca="false">IF(AND(Y195=0,ISNUMBER(AF195),ISNUMBER(Z195)),AA195*Z195,0)</f>
        <v>5.6611142136</v>
      </c>
      <c r="BH195" s="90" t="n">
        <f aca="false">IF(AND(Y195=0,ISNUMBER(AF195),ISNUMBER(Z195)),AA195*AT195*MAX(Z195-1,0),0)</f>
        <v>60.0160896233343</v>
      </c>
      <c r="BI195" s="90" t="n">
        <f aca="false">IF(Y195=0,AA195,0)</f>
        <v>1.976508</v>
      </c>
    </row>
    <row r="196" customFormat="false" ht="15" hidden="false" customHeight="false" outlineLevel="0" collapsed="false">
      <c r="A196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196" s="83" t="str">
        <f aca="false">IFERROR(IF(INDEX(원자료_잔고!$A$1:$EZ$1500,설정!$L$5+ROW()-1,설정!$L$7)&amp;""="0","",INDEX(원자료_잔고!$A$1:$EZ$1500,설정!$L$5+ROW()-1,설정!$L$7)&amp;""),"")</f>
        <v>US44891CDM29</v>
      </c>
      <c r="C196" s="83" t="str">
        <f aca="false">IFERROR(IF(INDEX(원자료_잔고!$A$1:$EZ$1500,설정!$L$5+ROW()-1,설정!$L$9)&amp;""="0","",INDEX(원자료_잔고!$A$1:$EZ$1500,설정!$L$5+ROW()-1,설정!$L$9)&amp;""),"")</f>
        <v>34578</v>
      </c>
      <c r="D19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6" s="84" t="n">
        <f aca="false">IFERROR(IF(ISNUMBER(INDEX(원자료_잔고!$A$1:$EZ$1500,설정!$L$5+ROW()-1,설정!$L$11)),INDEX(원자료_잔고!$A$1:$EZ$1500,설정!$L$5+ROW()-1,설정!$L$11),""),"")</f>
        <v>5000000</v>
      </c>
      <c r="F196" s="85" t="n">
        <f aca="false">IFERROR(IF(ISNUMBER(INDEX(원자료_잔고!$A$1:$EZ$1500,설정!$L$5+ROW()-1,설정!$L$12)),INDEX(원자료_잔고!$A$1:$EZ$1500,설정!$L$5+ROW()-1,설정!$L$12),""),"")</f>
        <v>98.8254</v>
      </c>
      <c r="G196" s="85" t="n">
        <f aca="false">IFERROR(IF(ISNUMBER(INDEX(원자료_잔고!$A$1:$EZ$1500,설정!$L$5+ROW()-1,설정!$L$13)),INDEX(원자료_잔고!$A$1:$EZ$1500,설정!$L$5+ROW()-1,설정!$L$13),""),"")</f>
        <v>5.6945</v>
      </c>
      <c r="H196" s="85" t="n">
        <f aca="false">IFERROR(IF(ISNUMBER(INDEX(원자료_잔고!$A$1:$EZ$1500,설정!$L$5+ROW()-1,설정!$L$14)),INDEX(원자료_잔고!$A$1:$EZ$1500,설정!$L$5+ROW()-1,설정!$L$14),""),"")</f>
        <v>2.8642</v>
      </c>
      <c r="I196" s="86" t="n">
        <f aca="false">IFERROR(IF(ISNUMBER(INDEX(원자료_잔고!$A$1:$EZ$1500,설정!$L$5+ROW()-1,설정!$L$15)),INDEX(원자료_잔고!$A$1:$EZ$1500,설정!$L$5+ROW()-1,설정!$L$15),""),"")</f>
        <v>47491</v>
      </c>
      <c r="J196" s="85" t="n">
        <f aca="false">IFERROR(IF(ISNUMBER(INDEX(원자료_잔고!$A$1:$EZ$1500,설정!$L$5+ROW()-1,설정!$L$16)),INDEX(원자료_잔고!$A$1:$EZ$1500,설정!$L$5+ROW()-1,설정!$L$16),""),"")</f>
        <v>5.3</v>
      </c>
      <c r="K196" s="87" t="n">
        <f aca="false">IFERROR(IF(ISNUMBER(INDEX(원자료_잔고!$A$1:$EZ$1500,설정!$L$5+ROW()-1,설정!$L$17)),INDEX(원자료_잔고!$A$1:$EZ$1500,설정!$L$5+ROW()-1,설정!$L$17),""),"")</f>
        <v>1</v>
      </c>
      <c r="L196" s="84" t="n">
        <f aca="false">IFERROR(IF(ISNUMBER(INDEX(원자료_잔고!$A$1:$EZ$1500,설정!$L$5+ROW()-1,설정!$L$18)),INDEX(원자료_잔고!$A$1:$EZ$1500,설정!$L$5+ROW()-1,설정!$L$18),""),"")</f>
        <v>4941270</v>
      </c>
      <c r="M196" s="88" t="n">
        <f aca="false">IFERROR(IF(ISNUMBER(INDEX(원자료_잔고!$A$1:$EZ$1500,설정!$L$5+ROW()-1,설정!$L$19)),INDEX(원자료_잔고!$A$1:$EZ$1500,설정!$L$5+ROW()-1,설정!$L$19),""),"")</f>
        <v>-221710</v>
      </c>
      <c r="N196" s="83" t="str">
        <f aca="false">IFERROR(IF(INDEX(원자료_잔고!$A$1:$EZ$1500,설정!$L$5+ROW()-1,설정!$L$21)&amp;""="0","",INDEX(원자료_잔고!$A$1:$EZ$1500,설정!$L$5+ROW()-1,설정!$L$21)&amp;""),"")</f>
        <v>A-</v>
      </c>
      <c r="O196" s="83" t="str">
        <f aca="false">IFERROR(IF(INDEX(원자료_잔고!$A$1:$EZ$1500,설정!$L$5+ROW()-1,설정!$L$22)&amp;""="0","",INDEX(원자료_잔고!$A$1:$EZ$1500,설정!$L$5+ROW()-1,설정!$L$22)&amp;""),"")</f>
        <v/>
      </c>
      <c r="P196" s="83" t="str">
        <f aca="false">IFERROR(IF(INDEX(원자료_잔고!$A$1:$EZ$1500,설정!$L$5+ROW()-1,설정!$L$23)&amp;""="0","",INDEX(원자료_잔고!$A$1:$EZ$1500,설정!$L$5+ROW()-1,설정!$L$23)&amp;""),"")</f>
        <v>A-</v>
      </c>
      <c r="Q196" s="89" t="n">
        <f aca="false">IF(AND($A196&lt;&gt;"",ISNUMBER(E196)),IF(E196&gt;0,1,0),0)</f>
        <v>1</v>
      </c>
      <c r="R196" s="43" t="str">
        <f aca="false">IF(Q196=1,UPPER(LEFT($A196,FIND(" ",$A196&amp;" ")-1)),"")</f>
        <v>HYNMTR</v>
      </c>
      <c r="S196" s="89" t="n">
        <f aca="false">IF(Q196=1,IF(OR(ISNUMBER(SEARCH("Float",$A196)),ISNUMBER(SEARCH("FRN",$A196))),1,0),0)</f>
        <v>0</v>
      </c>
      <c r="T196" s="43" t="str">
        <f aca="false">IF(AND(Q196=1,ISNUMBER(I196)),TEXT(I196,"yyyymmdd")&amp;"|"&amp;IF(S196=1,"F",TEXT(J196,"0.000")),"")</f>
        <v>20300108|5.300</v>
      </c>
      <c r="U196" s="90" t="n">
        <f aca="false">IF(AND(Q196=1,ISNUMBER(I196)),(I196-설정!$C$4)/365.25,"")</f>
        <v>3.27173169062286</v>
      </c>
      <c r="V196" s="43" t="str">
        <f aca="false">IF(Q196&lt;&gt;1,"",IF(ISNUMBER(U196),IF(U196&lt;=1,"1년 이하",IF(U196&lt;=2,"1-2년",IF(U196&lt;=3,"2-3년",IF(U196&lt;=4,"3-4년",IF(U196&lt;=5,"4-5년",IF(U196&lt;=7,"5-7년",IF(U196&lt;=10,"7-10년",IF(U196&lt;=20,"10-20년","20년 이상")))))))),"미분류"))</f>
        <v>3-4년</v>
      </c>
      <c r="W196" s="43" t="str">
        <f aca="false">IF(Q196&lt;&gt;1,"",IF(AB196&lt;&gt;"",INDEX(시장분석!$C:$C,AB196),IF(K196=1,"USD","비USD")))</f>
        <v>USD</v>
      </c>
      <c r="X196" s="91" t="n">
        <f aca="false">IF(Q196=1,E196*K196/1000000,0)</f>
        <v>5</v>
      </c>
      <c r="Y196" s="89" t="n">
        <f aca="false">IF(R196="T",1,0)</f>
        <v>0</v>
      </c>
      <c r="Z196" s="92" t="n">
        <f aca="false">IF(Q196&lt;&gt;1,"",IF(AD196=1,IF(ISNUMBER(U196),MAX(U196,0),H196),H196))</f>
        <v>2.8642</v>
      </c>
      <c r="AA196" s="91" t="n">
        <f aca="false">IF(Q196=1,IF(ISNUMBER(L196),L196,0)*K196/1000000,0)</f>
        <v>4.94127</v>
      </c>
      <c r="AB196" s="89" t="n">
        <f aca="false">IF(Q196&lt;&gt;1,"",IFERROR(MATCH(VLOOKUP(B196,매핑!$H$4:$I$15,2,0),시장분석!$A$2:$A$601,0)+1,IFERROR(MATCH(R196&amp;"|"&amp;T196,시장분석!$V$2:$V$601,0)+1,IF(COUNTIF(시장분석!$U$2:$U$601,T196)=1,MATCH(T196,시장분석!$U$2:$U$601,0)+1,""))))</f>
        <v>67</v>
      </c>
      <c r="AC196" s="89" t="n">
        <f aca="false">IF(Q196&lt;&gt;1,0,IF(OR(설정!$C$5="전체",AND(설정!$C$5="선택펀드",IFERROR(COUNTIFS(설정!$F$16:$F$36,C196,설정!$G$16:$G$36,"Y")+COUNTIFS(설정!$F$16:$F$36,VALUE(C196),설정!$G$16:$G$36,"Y"),0)&gt;0),C196&amp;""=설정!$C$5&amp;""),1,0))</f>
        <v>1</v>
      </c>
      <c r="AD196" s="89" t="n">
        <f aca="false">IF(Q196&lt;&gt;1,0,IF(OR(S196=1,IF(AB196="",FALSE(),INDEX(시장분석!$R:$R,AB196)=1)),1,0))</f>
        <v>0</v>
      </c>
      <c r="AE196" s="43" t="str">
        <f aca="false">IF(AB196="","",INDEX(시장분석!$A:$A,AB196))</f>
        <v>HYNMTR 5.3 01/08/30</v>
      </c>
      <c r="AF196" s="93" t="n">
        <f aca="false">IF(AB196="","",IF(ISNUMBER(IF(AB196="","",INDEX(시장분석!$E:$E,AB196))),IF(AB196="","",INDEX(시장분석!$E:$E,AB196)),""))</f>
        <v>69.464</v>
      </c>
      <c r="AG196" s="43" t="str">
        <f aca="false">IF(Q196&lt;&gt;1,"",IF(AB196&lt;&gt;"",IF(AB196="","",INDEX(시장분석!$L:$L,AB196)),IFERROR(IF(VLOOKUP(R196,매핑!$A$4:$E$92,5,0)="","미분류",VLOOKUP(R196,매핑!$A$4:$E$92,5,0)),"미분류")))</f>
        <v>자유 소비재</v>
      </c>
      <c r="AH196" s="43" t="str">
        <f aca="false">IF(Q196&lt;&gt;1,"",IF(AB196&lt;&gt;"",IF(AB196="","",INDEX(시장분석!$N:$N,AB196)),IFERROR(IF(VLOOKUP(R196,매핑!$A$4:$E$92,4,0)="","미분류",VLOOKUP(R196,매핑!$A$4:$E$92,4,0)),"미분류")))</f>
        <v>미국</v>
      </c>
      <c r="AI196" s="43" t="str">
        <f aca="false">IF(Q196&lt;&gt;1,"",IFERROR(IF(VLOOKUP(R196,매핑!$A$4:$E$92,3,0)="","미분류",VLOOKUP(R196,매핑!$A$4:$E$92,3,0)),IF(AB196&lt;&gt;"",IF(AB196="","",INDEX(시장분석!$W:$W,AB196)),"미분류")))</f>
        <v>미국</v>
      </c>
      <c r="AJ196" s="43" t="str">
        <f aca="false">IF(Q196&lt;&gt;1,"",IFERROR(VLOOKUP(IF(N196&lt;&gt;"",N196,IF(P196&lt;&gt;"",P196,O196)),설정!$A$15:$D$47,2,0),""))</f>
        <v>A-</v>
      </c>
      <c r="AK196" s="43" t="str">
        <f aca="false">IF(Q196&lt;&gt;1,"",IF(AJ196="","무등급",IFERROR(VLOOKUP(AJ196,설정!$A$15:$D$47,3,0),"무등급")))</f>
        <v>A</v>
      </c>
      <c r="AL196" s="89" t="n">
        <f aca="false">IF(AJ196="",99,IFERROR(VLOOKUP(AJ196,설정!$A$15:$D$47,4,0),99))</f>
        <v>7</v>
      </c>
      <c r="AM196" s="94" t="n">
        <f aca="false">IF(ISNUMBER(H196),AA196*1000000*H196/10000,0)</f>
        <v>1415.2785534</v>
      </c>
      <c r="AN196" s="94" t="n">
        <f aca="false">IF(OR(Y196=1,NOT(ISNUMBER(Z196))),0,AA196*1000000*Z196/10000)</f>
        <v>1415.2785534</v>
      </c>
      <c r="AO196" s="94" t="n">
        <f aca="false">IF(ISNUMBER(G196),AA196*1000000*G196/100,0)</f>
        <v>281380.62015</v>
      </c>
      <c r="AP196" s="94" t="n">
        <f aca="false">IF(ISNUMBER(M196),M196*K196,0)</f>
        <v>-221710</v>
      </c>
      <c r="AQ196" s="95" t="n">
        <f aca="false">IF(AB196="","",INDEX(시장분석!$AK:$AK,AB196))</f>
        <v>-0.38828149363381</v>
      </c>
      <c r="AR196" s="43" t="str">
        <f aca="false">IF(AB196="","-",IF(AB196="","",INDEX(시장분석!$AL:$AL,AB196)))</f>
        <v>Fair</v>
      </c>
      <c r="AS196" s="96" t="n">
        <f aca="false">IF(AB196="","",INDEX(시장분석!$AJ:$AJ,AB196))</f>
        <v>-1.68407637442549</v>
      </c>
      <c r="AT196" s="93" t="n">
        <f aca="false">IF(AB196="",0,IF(AB196="","",INDEX(시장분석!$AN:$AN,AB196)))</f>
        <v>16.2883320887353</v>
      </c>
      <c r="AU196" s="94" t="n">
        <f aca="false">IF(ISNUMBER(Z196),AT196/10000*MAX(Z196-1,0)*AA196*1000000,0)</f>
        <v>15004.0224058336</v>
      </c>
      <c r="AV196" s="94" t="n">
        <f aca="false">AO196+AU196</f>
        <v>296384.642555834</v>
      </c>
      <c r="AW196" s="43" t="str">
        <f aca="false">IF(Q196&lt;&gt;1,"",TRIM(IF(AD196=1,"FRN ","")&amp;IF(AND(AL196&gt;=10,AL196&lt;99),"BBB0미만 ","")&amp;IF(AJ196="","등급없음 ","")&amp;IF(K196&lt;&gt;1,"비USD ","")&amp;IF(AND(AB196="",Y196=0),"시장데이터없음 ","")&amp;IF(AND(ISNUMBER(U196),U196&lt;0),"만기경과 ","")))</f>
        <v/>
      </c>
      <c r="AX196" s="90" t="n">
        <f aca="false">IF(Q196&lt;&gt;1,1,IF(스프레드쇼크!$C$4="Y",INDEX(스프레드쇼크!$B$12:$L$16,IFERROR(MATCH(AH196,스프레드쇼크!$A$12:$A$16,0),MATCH("목록외",스프레드쇼크!$A$12:$A$16,0)),IFERROR(MATCH(AG196,스프레드쇼크!$B$11:$L$11,0),MATCH("목록외",스프레드쇼크!$B$11:$L$11,0))),1))</f>
        <v>1</v>
      </c>
      <c r="AY196" s="90" t="n">
        <f aca="false">IF(스프레드쇼크!$C$5="Y",IF(ISNUMBER(AF196),MIN(스프레드쇼크!$C$7,MAX(스프레드쇼크!$C$6,AF196/스프레드쇼크!$C$8)),1),1)</f>
        <v>1.0506699580503</v>
      </c>
      <c r="AZ196" s="94" t="n">
        <f aca="false">AN196*AX196*AY196</f>
        <v>1486.99065833027</v>
      </c>
      <c r="BA196" s="90" t="n">
        <f aca="false">IF(ISNUMBER(G196),AA196*G196,0)</f>
        <v>28.138062015</v>
      </c>
      <c r="BB196" s="90" t="n">
        <f aca="false">IF(ISNUMBER(G196),AA196,0)</f>
        <v>4.94127</v>
      </c>
      <c r="BC196" s="90" t="n">
        <f aca="false">IF(AND(Y196=0,ISNUMBER(AF196)),AA196*AF196,0)</f>
        <v>343.24037928</v>
      </c>
      <c r="BD196" s="90" t="n">
        <f aca="false">IF(AND(Y196=0,ISNUMBER(AF196)),AA196,0)</f>
        <v>4.94127</v>
      </c>
      <c r="BE196" s="90" t="n">
        <f aca="false">IF(ISNUMBER(H196),AA196*H196,0)</f>
        <v>14.152785534</v>
      </c>
      <c r="BF196" s="90" t="n">
        <f aca="false">IF(ISNUMBER(H196),AA196,0)</f>
        <v>4.94127</v>
      </c>
      <c r="BG196" s="90" t="n">
        <f aca="false">IF(AND(Y196=0,ISNUMBER(AF196),ISNUMBER(Z196)),AA196*Z196,0)</f>
        <v>14.152785534</v>
      </c>
      <c r="BH196" s="90" t="n">
        <f aca="false">IF(AND(Y196=0,ISNUMBER(AF196),ISNUMBER(Z196)),AA196*AT196*MAX(Z196-1,0),0)</f>
        <v>150.040224058336</v>
      </c>
      <c r="BI196" s="90" t="n">
        <f aca="false">IF(Y196=0,AA196,0)</f>
        <v>4.94127</v>
      </c>
    </row>
    <row r="197" customFormat="false" ht="15" hidden="false" customHeight="false" outlineLevel="0" collapsed="false">
      <c r="A197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197" s="83" t="str">
        <f aca="false">IFERROR(IF(INDEX(원자료_잔고!$A$1:$EZ$1500,설정!$L$5+ROW()-1,설정!$L$7)&amp;""="0","",INDEX(원자료_잔고!$A$1:$EZ$1500,설정!$L$5+ROW()-1,설정!$L$7)&amp;""),"")</f>
        <v>US44891CDM29</v>
      </c>
      <c r="C197" s="83" t="str">
        <f aca="false">IFERROR(IF(INDEX(원자료_잔고!$A$1:$EZ$1500,설정!$L$5+ROW()-1,설정!$L$9)&amp;""="0","",INDEX(원자료_잔고!$A$1:$EZ$1500,설정!$L$5+ROW()-1,설정!$L$9)&amp;""),"")</f>
        <v>34578</v>
      </c>
      <c r="D19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7" s="84" t="n">
        <f aca="false">IFERROR(IF(ISNUMBER(INDEX(원자료_잔고!$A$1:$EZ$1500,설정!$L$5+ROW()-1,설정!$L$11)),INDEX(원자료_잔고!$A$1:$EZ$1500,설정!$L$5+ROW()-1,설정!$L$11),""),"")</f>
        <v>5200000</v>
      </c>
      <c r="F197" s="85" t="n">
        <f aca="false">IFERROR(IF(ISNUMBER(INDEX(원자료_잔고!$A$1:$EZ$1500,설정!$L$5+ROW()-1,설정!$L$12)),INDEX(원자료_잔고!$A$1:$EZ$1500,설정!$L$5+ROW()-1,설정!$L$12),""),"")</f>
        <v>98.8254</v>
      </c>
      <c r="G197" s="85" t="n">
        <f aca="false">IFERROR(IF(ISNUMBER(INDEX(원자료_잔고!$A$1:$EZ$1500,설정!$L$5+ROW()-1,설정!$L$13)),INDEX(원자료_잔고!$A$1:$EZ$1500,설정!$L$5+ROW()-1,설정!$L$13),""),"")</f>
        <v>5.6945</v>
      </c>
      <c r="H197" s="85" t="n">
        <f aca="false">IFERROR(IF(ISNUMBER(INDEX(원자료_잔고!$A$1:$EZ$1500,설정!$L$5+ROW()-1,설정!$L$14)),INDEX(원자료_잔고!$A$1:$EZ$1500,설정!$L$5+ROW()-1,설정!$L$14),""),"")</f>
        <v>2.8642</v>
      </c>
      <c r="I197" s="86" t="n">
        <f aca="false">IFERROR(IF(ISNUMBER(INDEX(원자료_잔고!$A$1:$EZ$1500,설정!$L$5+ROW()-1,설정!$L$15)),INDEX(원자료_잔고!$A$1:$EZ$1500,설정!$L$5+ROW()-1,설정!$L$15),""),"")</f>
        <v>47491</v>
      </c>
      <c r="J197" s="85" t="n">
        <f aca="false">IFERROR(IF(ISNUMBER(INDEX(원자료_잔고!$A$1:$EZ$1500,설정!$L$5+ROW()-1,설정!$L$16)),INDEX(원자료_잔고!$A$1:$EZ$1500,설정!$L$5+ROW()-1,설정!$L$16),""),"")</f>
        <v>5.3</v>
      </c>
      <c r="K197" s="87" t="n">
        <f aca="false">IFERROR(IF(ISNUMBER(INDEX(원자료_잔고!$A$1:$EZ$1500,설정!$L$5+ROW()-1,설정!$L$17)),INDEX(원자료_잔고!$A$1:$EZ$1500,설정!$L$5+ROW()-1,설정!$L$17),""),"")</f>
        <v>1</v>
      </c>
      <c r="L197" s="84" t="n">
        <f aca="false">IFERROR(IF(ISNUMBER(INDEX(원자료_잔고!$A$1:$EZ$1500,설정!$L$5+ROW()-1,설정!$L$18)),INDEX(원자료_잔고!$A$1:$EZ$1500,설정!$L$5+ROW()-1,설정!$L$18),""),"")</f>
        <v>5138920.8</v>
      </c>
      <c r="M197" s="88" t="n">
        <f aca="false">IFERROR(IF(ISNUMBER(INDEX(원자료_잔고!$A$1:$EZ$1500,설정!$L$5+ROW()-1,설정!$L$19)),INDEX(원자료_잔고!$A$1:$EZ$1500,설정!$L$5+ROW()-1,설정!$L$19),""),"")</f>
        <v>-230578.4</v>
      </c>
      <c r="N197" s="83" t="str">
        <f aca="false">IFERROR(IF(INDEX(원자료_잔고!$A$1:$EZ$1500,설정!$L$5+ROW()-1,설정!$L$21)&amp;""="0","",INDEX(원자료_잔고!$A$1:$EZ$1500,설정!$L$5+ROW()-1,설정!$L$21)&amp;""),"")</f>
        <v>A-</v>
      </c>
      <c r="O197" s="83" t="str">
        <f aca="false">IFERROR(IF(INDEX(원자료_잔고!$A$1:$EZ$1500,설정!$L$5+ROW()-1,설정!$L$22)&amp;""="0","",INDEX(원자료_잔고!$A$1:$EZ$1500,설정!$L$5+ROW()-1,설정!$L$22)&amp;""),"")</f>
        <v/>
      </c>
      <c r="P197" s="83" t="str">
        <f aca="false">IFERROR(IF(INDEX(원자료_잔고!$A$1:$EZ$1500,설정!$L$5+ROW()-1,설정!$L$23)&amp;""="0","",INDEX(원자료_잔고!$A$1:$EZ$1500,설정!$L$5+ROW()-1,설정!$L$23)&amp;""),"")</f>
        <v>A-</v>
      </c>
      <c r="Q197" s="89" t="n">
        <f aca="false">IF(AND($A197&lt;&gt;"",ISNUMBER(E197)),IF(E197&gt;0,1,0),0)</f>
        <v>1</v>
      </c>
      <c r="R197" s="43" t="str">
        <f aca="false">IF(Q197=1,UPPER(LEFT($A197,FIND(" ",$A197&amp;" ")-1)),"")</f>
        <v>HYNMTR</v>
      </c>
      <c r="S197" s="89" t="n">
        <f aca="false">IF(Q197=1,IF(OR(ISNUMBER(SEARCH("Float",$A197)),ISNUMBER(SEARCH("FRN",$A197))),1,0),0)</f>
        <v>0</v>
      </c>
      <c r="T197" s="43" t="str">
        <f aca="false">IF(AND(Q197=1,ISNUMBER(I197)),TEXT(I197,"yyyymmdd")&amp;"|"&amp;IF(S197=1,"F",TEXT(J197,"0.000")),"")</f>
        <v>20300108|5.300</v>
      </c>
      <c r="U197" s="90" t="n">
        <f aca="false">IF(AND(Q197=1,ISNUMBER(I197)),(I197-설정!$C$4)/365.25,"")</f>
        <v>3.27173169062286</v>
      </c>
      <c r="V197" s="43" t="str">
        <f aca="false">IF(Q197&lt;&gt;1,"",IF(ISNUMBER(U197),IF(U197&lt;=1,"1년 이하",IF(U197&lt;=2,"1-2년",IF(U197&lt;=3,"2-3년",IF(U197&lt;=4,"3-4년",IF(U197&lt;=5,"4-5년",IF(U197&lt;=7,"5-7년",IF(U197&lt;=10,"7-10년",IF(U197&lt;=20,"10-20년","20년 이상")))))))),"미분류"))</f>
        <v>3-4년</v>
      </c>
      <c r="W197" s="43" t="str">
        <f aca="false">IF(Q197&lt;&gt;1,"",IF(AB197&lt;&gt;"",INDEX(시장분석!$C:$C,AB197),IF(K197=1,"USD","비USD")))</f>
        <v>USD</v>
      </c>
      <c r="X197" s="91" t="n">
        <f aca="false">IF(Q197=1,E197*K197/1000000,0)</f>
        <v>5.2</v>
      </c>
      <c r="Y197" s="89" t="n">
        <f aca="false">IF(R197="T",1,0)</f>
        <v>0</v>
      </c>
      <c r="Z197" s="92" t="n">
        <f aca="false">IF(Q197&lt;&gt;1,"",IF(AD197=1,IF(ISNUMBER(U197),MAX(U197,0),H197),H197))</f>
        <v>2.8642</v>
      </c>
      <c r="AA197" s="91" t="n">
        <f aca="false">IF(Q197=1,IF(ISNUMBER(L197),L197,0)*K197/1000000,0)</f>
        <v>5.1389208</v>
      </c>
      <c r="AB197" s="89" t="n">
        <f aca="false">IF(Q197&lt;&gt;1,"",IFERROR(MATCH(VLOOKUP(B197,매핑!$H$4:$I$15,2,0),시장분석!$A$2:$A$601,0)+1,IFERROR(MATCH(R197&amp;"|"&amp;T197,시장분석!$V$2:$V$601,0)+1,IF(COUNTIF(시장분석!$U$2:$U$601,T197)=1,MATCH(T197,시장분석!$U$2:$U$601,0)+1,""))))</f>
        <v>67</v>
      </c>
      <c r="AC197" s="89" t="n">
        <f aca="false">IF(Q197&lt;&gt;1,0,IF(OR(설정!$C$5="전체",AND(설정!$C$5="선택펀드",IFERROR(COUNTIFS(설정!$F$16:$F$36,C197,설정!$G$16:$G$36,"Y")+COUNTIFS(설정!$F$16:$F$36,VALUE(C197),설정!$G$16:$G$36,"Y"),0)&gt;0),C197&amp;""=설정!$C$5&amp;""),1,0))</f>
        <v>1</v>
      </c>
      <c r="AD197" s="89" t="n">
        <f aca="false">IF(Q197&lt;&gt;1,0,IF(OR(S197=1,IF(AB197="",FALSE(),INDEX(시장분석!$R:$R,AB197)=1)),1,0))</f>
        <v>0</v>
      </c>
      <c r="AE197" s="43" t="str">
        <f aca="false">IF(AB197="","",INDEX(시장분석!$A:$A,AB197))</f>
        <v>HYNMTR 5.3 01/08/30</v>
      </c>
      <c r="AF197" s="93" t="n">
        <f aca="false">IF(AB197="","",IF(ISNUMBER(IF(AB197="","",INDEX(시장분석!$E:$E,AB197))),IF(AB197="","",INDEX(시장분석!$E:$E,AB197)),""))</f>
        <v>69.464</v>
      </c>
      <c r="AG197" s="43" t="str">
        <f aca="false">IF(Q197&lt;&gt;1,"",IF(AB197&lt;&gt;"",IF(AB197="","",INDEX(시장분석!$L:$L,AB197)),IFERROR(IF(VLOOKUP(R197,매핑!$A$4:$E$92,5,0)="","미분류",VLOOKUP(R197,매핑!$A$4:$E$92,5,0)),"미분류")))</f>
        <v>자유 소비재</v>
      </c>
      <c r="AH197" s="43" t="str">
        <f aca="false">IF(Q197&lt;&gt;1,"",IF(AB197&lt;&gt;"",IF(AB197="","",INDEX(시장분석!$N:$N,AB197)),IFERROR(IF(VLOOKUP(R197,매핑!$A$4:$E$92,4,0)="","미분류",VLOOKUP(R197,매핑!$A$4:$E$92,4,0)),"미분류")))</f>
        <v>미국</v>
      </c>
      <c r="AI197" s="43" t="str">
        <f aca="false">IF(Q197&lt;&gt;1,"",IFERROR(IF(VLOOKUP(R197,매핑!$A$4:$E$92,3,0)="","미분류",VLOOKUP(R197,매핑!$A$4:$E$92,3,0)),IF(AB197&lt;&gt;"",IF(AB197="","",INDEX(시장분석!$W:$W,AB197)),"미분류")))</f>
        <v>미국</v>
      </c>
      <c r="AJ197" s="43" t="str">
        <f aca="false">IF(Q197&lt;&gt;1,"",IFERROR(VLOOKUP(IF(N197&lt;&gt;"",N197,IF(P197&lt;&gt;"",P197,O197)),설정!$A$15:$D$47,2,0),""))</f>
        <v>A-</v>
      </c>
      <c r="AK197" s="43" t="str">
        <f aca="false">IF(Q197&lt;&gt;1,"",IF(AJ197="","무등급",IFERROR(VLOOKUP(AJ197,설정!$A$15:$D$47,3,0),"무등급")))</f>
        <v>A</v>
      </c>
      <c r="AL197" s="89" t="n">
        <f aca="false">IF(AJ197="",99,IFERROR(VLOOKUP(AJ197,설정!$A$15:$D$47,4,0),99))</f>
        <v>7</v>
      </c>
      <c r="AM197" s="94" t="n">
        <f aca="false">IF(ISNUMBER(H197),AA197*1000000*H197/10000,0)</f>
        <v>1471.889695536</v>
      </c>
      <c r="AN197" s="94" t="n">
        <f aca="false">IF(OR(Y197=1,NOT(ISNUMBER(Z197))),0,AA197*1000000*Z197/10000)</f>
        <v>1471.889695536</v>
      </c>
      <c r="AO197" s="94" t="n">
        <f aca="false">IF(ISNUMBER(G197),AA197*1000000*G197/100,0)</f>
        <v>292635.844956</v>
      </c>
      <c r="AP197" s="94" t="n">
        <f aca="false">IF(ISNUMBER(M197),M197*K197,0)</f>
        <v>-230578.4</v>
      </c>
      <c r="AQ197" s="95" t="n">
        <f aca="false">IF(AB197="","",INDEX(시장분석!$AK:$AK,AB197))</f>
        <v>-0.38828149363381</v>
      </c>
      <c r="AR197" s="43" t="str">
        <f aca="false">IF(AB197="","-",IF(AB197="","",INDEX(시장분석!$AL:$AL,AB197)))</f>
        <v>Fair</v>
      </c>
      <c r="AS197" s="96" t="n">
        <f aca="false">IF(AB197="","",INDEX(시장분석!$AJ:$AJ,AB197))</f>
        <v>-1.68407637442549</v>
      </c>
      <c r="AT197" s="93" t="n">
        <f aca="false">IF(AB197="",0,IF(AB197="","",INDEX(시장분석!$AN:$AN,AB197)))</f>
        <v>16.2883320887353</v>
      </c>
      <c r="AU197" s="94" t="n">
        <f aca="false">IF(ISNUMBER(Z197),AT197/10000*MAX(Z197-1,0)*AA197*1000000,0)</f>
        <v>15604.1833020669</v>
      </c>
      <c r="AV197" s="94" t="n">
        <f aca="false">AO197+AU197</f>
        <v>308240.028258067</v>
      </c>
      <c r="AW197" s="43" t="str">
        <f aca="false">IF(Q197&lt;&gt;1,"",TRIM(IF(AD197=1,"FRN ","")&amp;IF(AND(AL197&gt;=10,AL197&lt;99),"BBB0미만 ","")&amp;IF(AJ197="","등급없음 ","")&amp;IF(K197&lt;&gt;1,"비USD ","")&amp;IF(AND(AB197="",Y197=0),"시장데이터없음 ","")&amp;IF(AND(ISNUMBER(U197),U197&lt;0),"만기경과 ","")))</f>
        <v/>
      </c>
      <c r="AX197" s="90" t="n">
        <f aca="false">IF(Q197&lt;&gt;1,1,IF(스프레드쇼크!$C$4="Y",INDEX(스프레드쇼크!$B$12:$L$16,IFERROR(MATCH(AH197,스프레드쇼크!$A$12:$A$16,0),MATCH("목록외",스프레드쇼크!$A$12:$A$16,0)),IFERROR(MATCH(AG197,스프레드쇼크!$B$11:$L$11,0),MATCH("목록외",스프레드쇼크!$B$11:$L$11,0))),1))</f>
        <v>1</v>
      </c>
      <c r="AY197" s="90" t="n">
        <f aca="false">IF(스프레드쇼크!$C$5="Y",IF(ISNUMBER(AF197),MIN(스프레드쇼크!$C$7,MAX(스프레드쇼크!$C$6,AF197/스프레드쇼크!$C$8)),1),1)</f>
        <v>1.0506699580503</v>
      </c>
      <c r="AZ197" s="94" t="n">
        <f aca="false">AN197*AX197*AY197</f>
        <v>1546.47028466348</v>
      </c>
      <c r="BA197" s="90" t="n">
        <f aca="false">IF(ISNUMBER(G197),AA197*G197,0)</f>
        <v>29.2635844956</v>
      </c>
      <c r="BB197" s="90" t="n">
        <f aca="false">IF(ISNUMBER(G197),AA197,0)</f>
        <v>5.1389208</v>
      </c>
      <c r="BC197" s="90" t="n">
        <f aca="false">IF(AND(Y197=0,ISNUMBER(AF197)),AA197*AF197,0)</f>
        <v>356.9699944512</v>
      </c>
      <c r="BD197" s="90" t="n">
        <f aca="false">IF(AND(Y197=0,ISNUMBER(AF197)),AA197,0)</f>
        <v>5.1389208</v>
      </c>
      <c r="BE197" s="90" t="n">
        <f aca="false">IF(ISNUMBER(H197),AA197*H197,0)</f>
        <v>14.71889695536</v>
      </c>
      <c r="BF197" s="90" t="n">
        <f aca="false">IF(ISNUMBER(H197),AA197,0)</f>
        <v>5.1389208</v>
      </c>
      <c r="BG197" s="90" t="n">
        <f aca="false">IF(AND(Y197=0,ISNUMBER(AF197),ISNUMBER(Z197)),AA197*Z197,0)</f>
        <v>14.71889695536</v>
      </c>
      <c r="BH197" s="90" t="n">
        <f aca="false">IF(AND(Y197=0,ISNUMBER(AF197),ISNUMBER(Z197)),AA197*AT197*MAX(Z197-1,0),0)</f>
        <v>156.041833020669</v>
      </c>
      <c r="BI197" s="90" t="n">
        <f aca="false">IF(Y197=0,AA197,0)</f>
        <v>5.1389208</v>
      </c>
    </row>
    <row r="198" customFormat="false" ht="15" hidden="false" customHeight="false" outlineLevel="0" collapsed="false">
      <c r="A198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198" s="83" t="str">
        <f aca="false">IFERROR(IF(INDEX(원자료_잔고!$A$1:$EZ$1500,설정!$L$5+ROW()-1,설정!$L$7)&amp;""="0","",INDEX(원자료_잔고!$A$1:$EZ$1500,설정!$L$5+ROW()-1,설정!$L$7)&amp;""),"")</f>
        <v>US44891CDM29</v>
      </c>
      <c r="C198" s="83" t="str">
        <f aca="false">IFERROR(IF(INDEX(원자료_잔고!$A$1:$EZ$1500,설정!$L$5+ROW()-1,설정!$L$9)&amp;""="0","",INDEX(원자료_잔고!$A$1:$EZ$1500,설정!$L$5+ROW()-1,설정!$L$9)&amp;""),"")</f>
        <v>34578</v>
      </c>
      <c r="D19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8" s="84" t="n">
        <f aca="false">IFERROR(IF(ISNUMBER(INDEX(원자료_잔고!$A$1:$EZ$1500,설정!$L$5+ROW()-1,설정!$L$11)),INDEX(원자료_잔고!$A$1:$EZ$1500,설정!$L$5+ROW()-1,설정!$L$11),""),"")</f>
        <v>1300000</v>
      </c>
      <c r="F198" s="85" t="n">
        <f aca="false">IFERROR(IF(ISNUMBER(INDEX(원자료_잔고!$A$1:$EZ$1500,설정!$L$5+ROW()-1,설정!$L$12)),INDEX(원자료_잔고!$A$1:$EZ$1500,설정!$L$5+ROW()-1,설정!$L$12),""),"")</f>
        <v>98.8254</v>
      </c>
      <c r="G198" s="85" t="n">
        <f aca="false">IFERROR(IF(ISNUMBER(INDEX(원자료_잔고!$A$1:$EZ$1500,설정!$L$5+ROW()-1,설정!$L$13)),INDEX(원자료_잔고!$A$1:$EZ$1500,설정!$L$5+ROW()-1,설정!$L$13),""),"")</f>
        <v>5.6945</v>
      </c>
      <c r="H198" s="85" t="n">
        <f aca="false">IFERROR(IF(ISNUMBER(INDEX(원자료_잔고!$A$1:$EZ$1500,설정!$L$5+ROW()-1,설정!$L$14)),INDEX(원자료_잔고!$A$1:$EZ$1500,설정!$L$5+ROW()-1,설정!$L$14),""),"")</f>
        <v>2.8642</v>
      </c>
      <c r="I198" s="86" t="n">
        <f aca="false">IFERROR(IF(ISNUMBER(INDEX(원자료_잔고!$A$1:$EZ$1500,설정!$L$5+ROW()-1,설정!$L$15)),INDEX(원자료_잔고!$A$1:$EZ$1500,설정!$L$5+ROW()-1,설정!$L$15),""),"")</f>
        <v>47491</v>
      </c>
      <c r="J198" s="85" t="n">
        <f aca="false">IFERROR(IF(ISNUMBER(INDEX(원자료_잔고!$A$1:$EZ$1500,설정!$L$5+ROW()-1,설정!$L$16)),INDEX(원자료_잔고!$A$1:$EZ$1500,설정!$L$5+ROW()-1,설정!$L$16),""),"")</f>
        <v>5.3</v>
      </c>
      <c r="K198" s="87" t="n">
        <f aca="false">IFERROR(IF(ISNUMBER(INDEX(원자료_잔고!$A$1:$EZ$1500,설정!$L$5+ROW()-1,설정!$L$17)),INDEX(원자료_잔고!$A$1:$EZ$1500,설정!$L$5+ROW()-1,설정!$L$17),""),"")</f>
        <v>1</v>
      </c>
      <c r="L198" s="84" t="n">
        <f aca="false">IFERROR(IF(ISNUMBER(INDEX(원자료_잔고!$A$1:$EZ$1500,설정!$L$5+ROW()-1,설정!$L$18)),INDEX(원자료_잔고!$A$1:$EZ$1500,설정!$L$5+ROW()-1,설정!$L$18),""),"")</f>
        <v>1284730.2</v>
      </c>
      <c r="M198" s="88" t="n">
        <f aca="false">IFERROR(IF(ISNUMBER(INDEX(원자료_잔고!$A$1:$EZ$1500,설정!$L$5+ROW()-1,설정!$L$19)),INDEX(원자료_잔고!$A$1:$EZ$1500,설정!$L$5+ROW()-1,설정!$L$19),""),"")</f>
        <v>-57644.6</v>
      </c>
      <c r="N198" s="83" t="str">
        <f aca="false">IFERROR(IF(INDEX(원자료_잔고!$A$1:$EZ$1500,설정!$L$5+ROW()-1,설정!$L$21)&amp;""="0","",INDEX(원자료_잔고!$A$1:$EZ$1500,설정!$L$5+ROW()-1,설정!$L$21)&amp;""),"")</f>
        <v>A-</v>
      </c>
      <c r="O198" s="83" t="str">
        <f aca="false">IFERROR(IF(INDEX(원자료_잔고!$A$1:$EZ$1500,설정!$L$5+ROW()-1,설정!$L$22)&amp;""="0","",INDEX(원자료_잔고!$A$1:$EZ$1500,설정!$L$5+ROW()-1,설정!$L$22)&amp;""),"")</f>
        <v/>
      </c>
      <c r="P198" s="83" t="str">
        <f aca="false">IFERROR(IF(INDEX(원자료_잔고!$A$1:$EZ$1500,설정!$L$5+ROW()-1,설정!$L$23)&amp;""="0","",INDEX(원자료_잔고!$A$1:$EZ$1500,설정!$L$5+ROW()-1,설정!$L$23)&amp;""),"")</f>
        <v>A-</v>
      </c>
      <c r="Q198" s="89" t="n">
        <f aca="false">IF(AND($A198&lt;&gt;"",ISNUMBER(E198)),IF(E198&gt;0,1,0),0)</f>
        <v>1</v>
      </c>
      <c r="R198" s="43" t="str">
        <f aca="false">IF(Q198=1,UPPER(LEFT($A198,FIND(" ",$A198&amp;" ")-1)),"")</f>
        <v>HYNMTR</v>
      </c>
      <c r="S198" s="89" t="n">
        <f aca="false">IF(Q198=1,IF(OR(ISNUMBER(SEARCH("Float",$A198)),ISNUMBER(SEARCH("FRN",$A198))),1,0),0)</f>
        <v>0</v>
      </c>
      <c r="T198" s="43" t="str">
        <f aca="false">IF(AND(Q198=1,ISNUMBER(I198)),TEXT(I198,"yyyymmdd")&amp;"|"&amp;IF(S198=1,"F",TEXT(J198,"0.000")),"")</f>
        <v>20300108|5.300</v>
      </c>
      <c r="U198" s="90" t="n">
        <f aca="false">IF(AND(Q198=1,ISNUMBER(I198)),(I198-설정!$C$4)/365.25,"")</f>
        <v>3.27173169062286</v>
      </c>
      <c r="V198" s="43" t="str">
        <f aca="false">IF(Q198&lt;&gt;1,"",IF(ISNUMBER(U198),IF(U198&lt;=1,"1년 이하",IF(U198&lt;=2,"1-2년",IF(U198&lt;=3,"2-3년",IF(U198&lt;=4,"3-4년",IF(U198&lt;=5,"4-5년",IF(U198&lt;=7,"5-7년",IF(U198&lt;=10,"7-10년",IF(U198&lt;=20,"10-20년","20년 이상")))))))),"미분류"))</f>
        <v>3-4년</v>
      </c>
      <c r="W198" s="43" t="str">
        <f aca="false">IF(Q198&lt;&gt;1,"",IF(AB198&lt;&gt;"",INDEX(시장분석!$C:$C,AB198),IF(K198=1,"USD","비USD")))</f>
        <v>USD</v>
      </c>
      <c r="X198" s="91" t="n">
        <f aca="false">IF(Q198=1,E198*K198/1000000,0)</f>
        <v>1.3</v>
      </c>
      <c r="Y198" s="89" t="n">
        <f aca="false">IF(R198="T",1,0)</f>
        <v>0</v>
      </c>
      <c r="Z198" s="92" t="n">
        <f aca="false">IF(Q198&lt;&gt;1,"",IF(AD198=1,IF(ISNUMBER(U198),MAX(U198,0),H198),H198))</f>
        <v>2.8642</v>
      </c>
      <c r="AA198" s="91" t="n">
        <f aca="false">IF(Q198=1,IF(ISNUMBER(L198),L198,0)*K198/1000000,0)</f>
        <v>1.2847302</v>
      </c>
      <c r="AB198" s="89" t="n">
        <f aca="false">IF(Q198&lt;&gt;1,"",IFERROR(MATCH(VLOOKUP(B198,매핑!$H$4:$I$15,2,0),시장분석!$A$2:$A$601,0)+1,IFERROR(MATCH(R198&amp;"|"&amp;T198,시장분석!$V$2:$V$601,0)+1,IF(COUNTIF(시장분석!$U$2:$U$601,T198)=1,MATCH(T198,시장분석!$U$2:$U$601,0)+1,""))))</f>
        <v>67</v>
      </c>
      <c r="AC198" s="89" t="n">
        <f aca="false">IF(Q198&lt;&gt;1,0,IF(OR(설정!$C$5="전체",AND(설정!$C$5="선택펀드",IFERROR(COUNTIFS(설정!$F$16:$F$36,C198,설정!$G$16:$G$36,"Y")+COUNTIFS(설정!$F$16:$F$36,VALUE(C198),설정!$G$16:$G$36,"Y"),0)&gt;0),C198&amp;""=설정!$C$5&amp;""),1,0))</f>
        <v>1</v>
      </c>
      <c r="AD198" s="89" t="n">
        <f aca="false">IF(Q198&lt;&gt;1,0,IF(OR(S198=1,IF(AB198="",FALSE(),INDEX(시장분석!$R:$R,AB198)=1)),1,0))</f>
        <v>0</v>
      </c>
      <c r="AE198" s="43" t="str">
        <f aca="false">IF(AB198="","",INDEX(시장분석!$A:$A,AB198))</f>
        <v>HYNMTR 5.3 01/08/30</v>
      </c>
      <c r="AF198" s="93" t="n">
        <f aca="false">IF(AB198="","",IF(ISNUMBER(IF(AB198="","",INDEX(시장분석!$E:$E,AB198))),IF(AB198="","",INDEX(시장분석!$E:$E,AB198)),""))</f>
        <v>69.464</v>
      </c>
      <c r="AG198" s="43" t="str">
        <f aca="false">IF(Q198&lt;&gt;1,"",IF(AB198&lt;&gt;"",IF(AB198="","",INDEX(시장분석!$L:$L,AB198)),IFERROR(IF(VLOOKUP(R198,매핑!$A$4:$E$92,5,0)="","미분류",VLOOKUP(R198,매핑!$A$4:$E$92,5,0)),"미분류")))</f>
        <v>자유 소비재</v>
      </c>
      <c r="AH198" s="43" t="str">
        <f aca="false">IF(Q198&lt;&gt;1,"",IF(AB198&lt;&gt;"",IF(AB198="","",INDEX(시장분석!$N:$N,AB198)),IFERROR(IF(VLOOKUP(R198,매핑!$A$4:$E$92,4,0)="","미분류",VLOOKUP(R198,매핑!$A$4:$E$92,4,0)),"미분류")))</f>
        <v>미국</v>
      </c>
      <c r="AI198" s="43" t="str">
        <f aca="false">IF(Q198&lt;&gt;1,"",IFERROR(IF(VLOOKUP(R198,매핑!$A$4:$E$92,3,0)="","미분류",VLOOKUP(R198,매핑!$A$4:$E$92,3,0)),IF(AB198&lt;&gt;"",IF(AB198="","",INDEX(시장분석!$W:$W,AB198)),"미분류")))</f>
        <v>미국</v>
      </c>
      <c r="AJ198" s="43" t="str">
        <f aca="false">IF(Q198&lt;&gt;1,"",IFERROR(VLOOKUP(IF(N198&lt;&gt;"",N198,IF(P198&lt;&gt;"",P198,O198)),설정!$A$15:$D$47,2,0),""))</f>
        <v>A-</v>
      </c>
      <c r="AK198" s="43" t="str">
        <f aca="false">IF(Q198&lt;&gt;1,"",IF(AJ198="","무등급",IFERROR(VLOOKUP(AJ198,설정!$A$15:$D$47,3,0),"무등급")))</f>
        <v>A</v>
      </c>
      <c r="AL198" s="89" t="n">
        <f aca="false">IF(AJ198="",99,IFERROR(VLOOKUP(AJ198,설정!$A$15:$D$47,4,0),99))</f>
        <v>7</v>
      </c>
      <c r="AM198" s="94" t="n">
        <f aca="false">IF(ISNUMBER(H198),AA198*1000000*H198/10000,0)</f>
        <v>367.972423884</v>
      </c>
      <c r="AN198" s="94" t="n">
        <f aca="false">IF(OR(Y198=1,NOT(ISNUMBER(Z198))),0,AA198*1000000*Z198/10000)</f>
        <v>367.972423884</v>
      </c>
      <c r="AO198" s="94" t="n">
        <f aca="false">IF(ISNUMBER(G198),AA198*1000000*G198/100,0)</f>
        <v>73158.961239</v>
      </c>
      <c r="AP198" s="94" t="n">
        <f aca="false">IF(ISNUMBER(M198),M198*K198,0)</f>
        <v>-57644.6</v>
      </c>
      <c r="AQ198" s="95" t="n">
        <f aca="false">IF(AB198="","",INDEX(시장분석!$AK:$AK,AB198))</f>
        <v>-0.38828149363381</v>
      </c>
      <c r="AR198" s="43" t="str">
        <f aca="false">IF(AB198="","-",IF(AB198="","",INDEX(시장분석!$AL:$AL,AB198)))</f>
        <v>Fair</v>
      </c>
      <c r="AS198" s="96" t="n">
        <f aca="false">IF(AB198="","",INDEX(시장분석!$AJ:$AJ,AB198))</f>
        <v>-1.68407637442549</v>
      </c>
      <c r="AT198" s="93" t="n">
        <f aca="false">IF(AB198="",0,IF(AB198="","",INDEX(시장분석!$AN:$AN,AB198)))</f>
        <v>16.2883320887353</v>
      </c>
      <c r="AU198" s="94" t="n">
        <f aca="false">IF(ISNUMBER(Z198),AT198/10000*MAX(Z198-1,0)*AA198*1000000,0)</f>
        <v>3901.04582551673</v>
      </c>
      <c r="AV198" s="94" t="n">
        <f aca="false">AO198+AU198</f>
        <v>77060.0070645167</v>
      </c>
      <c r="AW198" s="43" t="str">
        <f aca="false">IF(Q198&lt;&gt;1,"",TRIM(IF(AD198=1,"FRN ","")&amp;IF(AND(AL198&gt;=10,AL198&lt;99),"BBB0미만 ","")&amp;IF(AJ198="","등급없음 ","")&amp;IF(K198&lt;&gt;1,"비USD ","")&amp;IF(AND(AB198="",Y198=0),"시장데이터없음 ","")&amp;IF(AND(ISNUMBER(U198),U198&lt;0),"만기경과 ","")))</f>
        <v/>
      </c>
      <c r="AX198" s="90" t="n">
        <f aca="false">IF(Q198&lt;&gt;1,1,IF(스프레드쇼크!$C$4="Y",INDEX(스프레드쇼크!$B$12:$L$16,IFERROR(MATCH(AH198,스프레드쇼크!$A$12:$A$16,0),MATCH("목록외",스프레드쇼크!$A$12:$A$16,0)),IFERROR(MATCH(AG198,스프레드쇼크!$B$11:$L$11,0),MATCH("목록외",스프레드쇼크!$B$11:$L$11,0))),1))</f>
        <v>1</v>
      </c>
      <c r="AY198" s="90" t="n">
        <f aca="false">IF(스프레드쇼크!$C$5="Y",IF(ISNUMBER(AF198),MIN(스프레드쇼크!$C$7,MAX(스프레드쇼크!$C$6,AF198/스프레드쇼크!$C$8)),1),1)</f>
        <v>1.0506699580503</v>
      </c>
      <c r="AZ198" s="94" t="n">
        <f aca="false">AN198*AX198*AY198</f>
        <v>386.617571165871</v>
      </c>
      <c r="BA198" s="90" t="n">
        <f aca="false">IF(ISNUMBER(G198),AA198*G198,0)</f>
        <v>7.3158961239</v>
      </c>
      <c r="BB198" s="90" t="n">
        <f aca="false">IF(ISNUMBER(G198),AA198,0)</f>
        <v>1.2847302</v>
      </c>
      <c r="BC198" s="90" t="n">
        <f aca="false">IF(AND(Y198=0,ISNUMBER(AF198)),AA198*AF198,0)</f>
        <v>89.2424986128</v>
      </c>
      <c r="BD198" s="90" t="n">
        <f aca="false">IF(AND(Y198=0,ISNUMBER(AF198)),AA198,0)</f>
        <v>1.2847302</v>
      </c>
      <c r="BE198" s="90" t="n">
        <f aca="false">IF(ISNUMBER(H198),AA198*H198,0)</f>
        <v>3.67972423884</v>
      </c>
      <c r="BF198" s="90" t="n">
        <f aca="false">IF(ISNUMBER(H198),AA198,0)</f>
        <v>1.2847302</v>
      </c>
      <c r="BG198" s="90" t="n">
        <f aca="false">IF(AND(Y198=0,ISNUMBER(AF198),ISNUMBER(Z198)),AA198*Z198,0)</f>
        <v>3.67972423884</v>
      </c>
      <c r="BH198" s="90" t="n">
        <f aca="false">IF(AND(Y198=0,ISNUMBER(AF198),ISNUMBER(Z198)),AA198*AT198*MAX(Z198-1,0),0)</f>
        <v>39.0104582551673</v>
      </c>
      <c r="BI198" s="90" t="n">
        <f aca="false">IF(Y198=0,AA198,0)</f>
        <v>1.2847302</v>
      </c>
    </row>
    <row r="199" customFormat="false" ht="15" hidden="false" customHeight="false" outlineLevel="0" collapsed="false">
      <c r="A199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199" s="83" t="str">
        <f aca="false">IFERROR(IF(INDEX(원자료_잔고!$A$1:$EZ$1500,설정!$L$5+ROW()-1,설정!$L$7)&amp;""="0","",INDEX(원자료_잔고!$A$1:$EZ$1500,설정!$L$5+ROW()-1,설정!$L$7)&amp;""),"")</f>
        <v>US44891CDM29</v>
      </c>
      <c r="C199" s="83" t="str">
        <f aca="false">IFERROR(IF(INDEX(원자료_잔고!$A$1:$EZ$1500,설정!$L$5+ROW()-1,설정!$L$9)&amp;""="0","",INDEX(원자료_잔고!$A$1:$EZ$1500,설정!$L$5+ROW()-1,설정!$L$9)&amp;""),"")</f>
        <v>34578</v>
      </c>
      <c r="D19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199" s="84" t="n">
        <f aca="false">IFERROR(IF(ISNUMBER(INDEX(원자료_잔고!$A$1:$EZ$1500,설정!$L$5+ROW()-1,설정!$L$11)),INDEX(원자료_잔고!$A$1:$EZ$1500,설정!$L$5+ROW()-1,설정!$L$11),""),"")</f>
        <v>2000000</v>
      </c>
      <c r="F199" s="85" t="n">
        <f aca="false">IFERROR(IF(ISNUMBER(INDEX(원자료_잔고!$A$1:$EZ$1500,설정!$L$5+ROW()-1,설정!$L$12)),INDEX(원자료_잔고!$A$1:$EZ$1500,설정!$L$5+ROW()-1,설정!$L$12),""),"")</f>
        <v>98.8254</v>
      </c>
      <c r="G199" s="85" t="n">
        <f aca="false">IFERROR(IF(ISNUMBER(INDEX(원자료_잔고!$A$1:$EZ$1500,설정!$L$5+ROW()-1,설정!$L$13)),INDEX(원자료_잔고!$A$1:$EZ$1500,설정!$L$5+ROW()-1,설정!$L$13),""),"")</f>
        <v>5.6945</v>
      </c>
      <c r="H199" s="85" t="n">
        <f aca="false">IFERROR(IF(ISNUMBER(INDEX(원자료_잔고!$A$1:$EZ$1500,설정!$L$5+ROW()-1,설정!$L$14)),INDEX(원자료_잔고!$A$1:$EZ$1500,설정!$L$5+ROW()-1,설정!$L$14),""),"")</f>
        <v>2.8642</v>
      </c>
      <c r="I199" s="86" t="n">
        <f aca="false">IFERROR(IF(ISNUMBER(INDEX(원자료_잔고!$A$1:$EZ$1500,설정!$L$5+ROW()-1,설정!$L$15)),INDEX(원자료_잔고!$A$1:$EZ$1500,설정!$L$5+ROW()-1,설정!$L$15),""),"")</f>
        <v>47491</v>
      </c>
      <c r="J199" s="85" t="n">
        <f aca="false">IFERROR(IF(ISNUMBER(INDEX(원자료_잔고!$A$1:$EZ$1500,설정!$L$5+ROW()-1,설정!$L$16)),INDEX(원자료_잔고!$A$1:$EZ$1500,설정!$L$5+ROW()-1,설정!$L$16),""),"")</f>
        <v>5.3</v>
      </c>
      <c r="K199" s="87" t="n">
        <f aca="false">IFERROR(IF(ISNUMBER(INDEX(원자료_잔고!$A$1:$EZ$1500,설정!$L$5+ROW()-1,설정!$L$17)),INDEX(원자료_잔고!$A$1:$EZ$1500,설정!$L$5+ROW()-1,설정!$L$17),""),"")</f>
        <v>1</v>
      </c>
      <c r="L199" s="84" t="n">
        <f aca="false">IFERROR(IF(ISNUMBER(INDEX(원자료_잔고!$A$1:$EZ$1500,설정!$L$5+ROW()-1,설정!$L$18)),INDEX(원자료_잔고!$A$1:$EZ$1500,설정!$L$5+ROW()-1,설정!$L$18),""),"")</f>
        <v>1976508</v>
      </c>
      <c r="M199" s="88" t="n">
        <f aca="false">IFERROR(IF(ISNUMBER(INDEX(원자료_잔고!$A$1:$EZ$1500,설정!$L$5+ROW()-1,설정!$L$19)),INDEX(원자료_잔고!$A$1:$EZ$1500,설정!$L$5+ROW()-1,설정!$L$19),""),"")</f>
        <v>-88684</v>
      </c>
      <c r="N199" s="83" t="str">
        <f aca="false">IFERROR(IF(INDEX(원자료_잔고!$A$1:$EZ$1500,설정!$L$5+ROW()-1,설정!$L$21)&amp;""="0","",INDEX(원자료_잔고!$A$1:$EZ$1500,설정!$L$5+ROW()-1,설정!$L$21)&amp;""),"")</f>
        <v>A-</v>
      </c>
      <c r="O199" s="83" t="str">
        <f aca="false">IFERROR(IF(INDEX(원자료_잔고!$A$1:$EZ$1500,설정!$L$5+ROW()-1,설정!$L$22)&amp;""="0","",INDEX(원자료_잔고!$A$1:$EZ$1500,설정!$L$5+ROW()-1,설정!$L$22)&amp;""),"")</f>
        <v/>
      </c>
      <c r="P199" s="83" t="str">
        <f aca="false">IFERROR(IF(INDEX(원자료_잔고!$A$1:$EZ$1500,설정!$L$5+ROW()-1,설정!$L$23)&amp;""="0","",INDEX(원자료_잔고!$A$1:$EZ$1500,설정!$L$5+ROW()-1,설정!$L$23)&amp;""),"")</f>
        <v>A-</v>
      </c>
      <c r="Q199" s="89" t="n">
        <f aca="false">IF(AND($A199&lt;&gt;"",ISNUMBER(E199)),IF(E199&gt;0,1,0),0)</f>
        <v>1</v>
      </c>
      <c r="R199" s="43" t="str">
        <f aca="false">IF(Q199=1,UPPER(LEFT($A199,FIND(" ",$A199&amp;" ")-1)),"")</f>
        <v>HYNMTR</v>
      </c>
      <c r="S199" s="89" t="n">
        <f aca="false">IF(Q199=1,IF(OR(ISNUMBER(SEARCH("Float",$A199)),ISNUMBER(SEARCH("FRN",$A199))),1,0),0)</f>
        <v>0</v>
      </c>
      <c r="T199" s="43" t="str">
        <f aca="false">IF(AND(Q199=1,ISNUMBER(I199)),TEXT(I199,"yyyymmdd")&amp;"|"&amp;IF(S199=1,"F",TEXT(J199,"0.000")),"")</f>
        <v>20300108|5.300</v>
      </c>
      <c r="U199" s="90" t="n">
        <f aca="false">IF(AND(Q199=1,ISNUMBER(I199)),(I199-설정!$C$4)/365.25,"")</f>
        <v>3.27173169062286</v>
      </c>
      <c r="V199" s="43" t="str">
        <f aca="false">IF(Q199&lt;&gt;1,"",IF(ISNUMBER(U199),IF(U199&lt;=1,"1년 이하",IF(U199&lt;=2,"1-2년",IF(U199&lt;=3,"2-3년",IF(U199&lt;=4,"3-4년",IF(U199&lt;=5,"4-5년",IF(U199&lt;=7,"5-7년",IF(U199&lt;=10,"7-10년",IF(U199&lt;=20,"10-20년","20년 이상")))))))),"미분류"))</f>
        <v>3-4년</v>
      </c>
      <c r="W199" s="43" t="str">
        <f aca="false">IF(Q199&lt;&gt;1,"",IF(AB199&lt;&gt;"",INDEX(시장분석!$C:$C,AB199),IF(K199=1,"USD","비USD")))</f>
        <v>USD</v>
      </c>
      <c r="X199" s="91" t="n">
        <f aca="false">IF(Q199=1,E199*K199/1000000,0)</f>
        <v>2</v>
      </c>
      <c r="Y199" s="89" t="n">
        <f aca="false">IF(R199="T",1,0)</f>
        <v>0</v>
      </c>
      <c r="Z199" s="92" t="n">
        <f aca="false">IF(Q199&lt;&gt;1,"",IF(AD199=1,IF(ISNUMBER(U199),MAX(U199,0),H199),H199))</f>
        <v>2.8642</v>
      </c>
      <c r="AA199" s="91" t="n">
        <f aca="false">IF(Q199=1,IF(ISNUMBER(L199),L199,0)*K199/1000000,0)</f>
        <v>1.976508</v>
      </c>
      <c r="AB199" s="89" t="n">
        <f aca="false">IF(Q199&lt;&gt;1,"",IFERROR(MATCH(VLOOKUP(B199,매핑!$H$4:$I$15,2,0),시장분석!$A$2:$A$601,0)+1,IFERROR(MATCH(R199&amp;"|"&amp;T199,시장분석!$V$2:$V$601,0)+1,IF(COUNTIF(시장분석!$U$2:$U$601,T199)=1,MATCH(T199,시장분석!$U$2:$U$601,0)+1,""))))</f>
        <v>67</v>
      </c>
      <c r="AC199" s="89" t="n">
        <f aca="false">IF(Q199&lt;&gt;1,0,IF(OR(설정!$C$5="전체",AND(설정!$C$5="선택펀드",IFERROR(COUNTIFS(설정!$F$16:$F$36,C199,설정!$G$16:$G$36,"Y")+COUNTIFS(설정!$F$16:$F$36,VALUE(C199),설정!$G$16:$G$36,"Y"),0)&gt;0),C199&amp;""=설정!$C$5&amp;""),1,0))</f>
        <v>1</v>
      </c>
      <c r="AD199" s="89" t="n">
        <f aca="false">IF(Q199&lt;&gt;1,0,IF(OR(S199=1,IF(AB199="",FALSE(),INDEX(시장분석!$R:$R,AB199)=1)),1,0))</f>
        <v>0</v>
      </c>
      <c r="AE199" s="43" t="str">
        <f aca="false">IF(AB199="","",INDEX(시장분석!$A:$A,AB199))</f>
        <v>HYNMTR 5.3 01/08/30</v>
      </c>
      <c r="AF199" s="93" t="n">
        <f aca="false">IF(AB199="","",IF(ISNUMBER(IF(AB199="","",INDEX(시장분석!$E:$E,AB199))),IF(AB199="","",INDEX(시장분석!$E:$E,AB199)),""))</f>
        <v>69.464</v>
      </c>
      <c r="AG199" s="43" t="str">
        <f aca="false">IF(Q199&lt;&gt;1,"",IF(AB199&lt;&gt;"",IF(AB199="","",INDEX(시장분석!$L:$L,AB199)),IFERROR(IF(VLOOKUP(R199,매핑!$A$4:$E$92,5,0)="","미분류",VLOOKUP(R199,매핑!$A$4:$E$92,5,0)),"미분류")))</f>
        <v>자유 소비재</v>
      </c>
      <c r="AH199" s="43" t="str">
        <f aca="false">IF(Q199&lt;&gt;1,"",IF(AB199&lt;&gt;"",IF(AB199="","",INDEX(시장분석!$N:$N,AB199)),IFERROR(IF(VLOOKUP(R199,매핑!$A$4:$E$92,4,0)="","미분류",VLOOKUP(R199,매핑!$A$4:$E$92,4,0)),"미분류")))</f>
        <v>미국</v>
      </c>
      <c r="AI199" s="43" t="str">
        <f aca="false">IF(Q199&lt;&gt;1,"",IFERROR(IF(VLOOKUP(R199,매핑!$A$4:$E$92,3,0)="","미분류",VLOOKUP(R199,매핑!$A$4:$E$92,3,0)),IF(AB199&lt;&gt;"",IF(AB199="","",INDEX(시장분석!$W:$W,AB199)),"미분류")))</f>
        <v>미국</v>
      </c>
      <c r="AJ199" s="43" t="str">
        <f aca="false">IF(Q199&lt;&gt;1,"",IFERROR(VLOOKUP(IF(N199&lt;&gt;"",N199,IF(P199&lt;&gt;"",P199,O199)),설정!$A$15:$D$47,2,0),""))</f>
        <v>A-</v>
      </c>
      <c r="AK199" s="43" t="str">
        <f aca="false">IF(Q199&lt;&gt;1,"",IF(AJ199="","무등급",IFERROR(VLOOKUP(AJ199,설정!$A$15:$D$47,3,0),"무등급")))</f>
        <v>A</v>
      </c>
      <c r="AL199" s="89" t="n">
        <f aca="false">IF(AJ199="",99,IFERROR(VLOOKUP(AJ199,설정!$A$15:$D$47,4,0),99))</f>
        <v>7</v>
      </c>
      <c r="AM199" s="94" t="n">
        <f aca="false">IF(ISNUMBER(H199),AA199*1000000*H199/10000,0)</f>
        <v>566.11142136</v>
      </c>
      <c r="AN199" s="94" t="n">
        <f aca="false">IF(OR(Y199=1,NOT(ISNUMBER(Z199))),0,AA199*1000000*Z199/10000)</f>
        <v>566.11142136</v>
      </c>
      <c r="AO199" s="94" t="n">
        <f aca="false">IF(ISNUMBER(G199),AA199*1000000*G199/100,0)</f>
        <v>112552.24806</v>
      </c>
      <c r="AP199" s="94" t="n">
        <f aca="false">IF(ISNUMBER(M199),M199*K199,0)</f>
        <v>-88684</v>
      </c>
      <c r="AQ199" s="95" t="n">
        <f aca="false">IF(AB199="","",INDEX(시장분석!$AK:$AK,AB199))</f>
        <v>-0.38828149363381</v>
      </c>
      <c r="AR199" s="43" t="str">
        <f aca="false">IF(AB199="","-",IF(AB199="","",INDEX(시장분석!$AL:$AL,AB199)))</f>
        <v>Fair</v>
      </c>
      <c r="AS199" s="96" t="n">
        <f aca="false">IF(AB199="","",INDEX(시장분석!$AJ:$AJ,AB199))</f>
        <v>-1.68407637442549</v>
      </c>
      <c r="AT199" s="93" t="n">
        <f aca="false">IF(AB199="",0,IF(AB199="","",INDEX(시장분석!$AN:$AN,AB199)))</f>
        <v>16.2883320887353</v>
      </c>
      <c r="AU199" s="94" t="n">
        <f aca="false">IF(ISNUMBER(Z199),AT199/10000*MAX(Z199-1,0)*AA199*1000000,0)</f>
        <v>6001.60896233344</v>
      </c>
      <c r="AV199" s="94" t="n">
        <f aca="false">AO199+AU199</f>
        <v>118553.857022333</v>
      </c>
      <c r="AW199" s="43" t="str">
        <f aca="false">IF(Q199&lt;&gt;1,"",TRIM(IF(AD199=1,"FRN ","")&amp;IF(AND(AL199&gt;=10,AL199&lt;99),"BBB0미만 ","")&amp;IF(AJ199="","등급없음 ","")&amp;IF(K199&lt;&gt;1,"비USD ","")&amp;IF(AND(AB199="",Y199=0),"시장데이터없음 ","")&amp;IF(AND(ISNUMBER(U199),U199&lt;0),"만기경과 ","")))</f>
        <v/>
      </c>
      <c r="AX199" s="90" t="n">
        <f aca="false">IF(Q199&lt;&gt;1,1,IF(스프레드쇼크!$C$4="Y",INDEX(스프레드쇼크!$B$12:$L$16,IFERROR(MATCH(AH199,스프레드쇼크!$A$12:$A$16,0),MATCH("목록외",스프레드쇼크!$A$12:$A$16,0)),IFERROR(MATCH(AG199,스프레드쇼크!$B$11:$L$11,0),MATCH("목록외",스프레드쇼크!$B$11:$L$11,0))),1))</f>
        <v>1</v>
      </c>
      <c r="AY199" s="90" t="n">
        <f aca="false">IF(스프레드쇼크!$C$5="Y",IF(ISNUMBER(AF199),MIN(스프레드쇼크!$C$7,MAX(스프레드쇼크!$C$6,AF199/스프레드쇼크!$C$8)),1),1)</f>
        <v>1.0506699580503</v>
      </c>
      <c r="AZ199" s="94" t="n">
        <f aca="false">AN199*AX199*AY199</f>
        <v>594.796263332109</v>
      </c>
      <c r="BA199" s="90" t="n">
        <f aca="false">IF(ISNUMBER(G199),AA199*G199,0)</f>
        <v>11.255224806</v>
      </c>
      <c r="BB199" s="90" t="n">
        <f aca="false">IF(ISNUMBER(G199),AA199,0)</f>
        <v>1.976508</v>
      </c>
      <c r="BC199" s="90" t="n">
        <f aca="false">IF(AND(Y199=0,ISNUMBER(AF199)),AA199*AF199,0)</f>
        <v>137.296151712</v>
      </c>
      <c r="BD199" s="90" t="n">
        <f aca="false">IF(AND(Y199=0,ISNUMBER(AF199)),AA199,0)</f>
        <v>1.976508</v>
      </c>
      <c r="BE199" s="90" t="n">
        <f aca="false">IF(ISNUMBER(H199),AA199*H199,0)</f>
        <v>5.6611142136</v>
      </c>
      <c r="BF199" s="90" t="n">
        <f aca="false">IF(ISNUMBER(H199),AA199,0)</f>
        <v>1.976508</v>
      </c>
      <c r="BG199" s="90" t="n">
        <f aca="false">IF(AND(Y199=0,ISNUMBER(AF199),ISNUMBER(Z199)),AA199*Z199,0)</f>
        <v>5.6611142136</v>
      </c>
      <c r="BH199" s="90" t="n">
        <f aca="false">IF(AND(Y199=0,ISNUMBER(AF199),ISNUMBER(Z199)),AA199*AT199*MAX(Z199-1,0),0)</f>
        <v>60.0160896233343</v>
      </c>
      <c r="BI199" s="90" t="n">
        <f aca="false">IF(Y199=0,AA199,0)</f>
        <v>1.976508</v>
      </c>
    </row>
    <row r="200" customFormat="false" ht="15" hidden="false" customHeight="false" outlineLevel="0" collapsed="false">
      <c r="A200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200" s="83" t="str">
        <f aca="false">IFERROR(IF(INDEX(원자료_잔고!$A$1:$EZ$1500,설정!$L$5+ROW()-1,설정!$L$7)&amp;""="0","",INDEX(원자료_잔고!$A$1:$EZ$1500,설정!$L$5+ROW()-1,설정!$L$7)&amp;""),"")</f>
        <v>US44891CDM29</v>
      </c>
      <c r="C200" s="83" t="str">
        <f aca="false">IFERROR(IF(INDEX(원자료_잔고!$A$1:$EZ$1500,설정!$L$5+ROW()-1,설정!$L$9)&amp;""="0","",INDEX(원자료_잔고!$A$1:$EZ$1500,설정!$L$5+ROW()-1,설정!$L$9)&amp;""),"")</f>
        <v>34578</v>
      </c>
      <c r="D20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0" s="84" t="n">
        <f aca="false">IFERROR(IF(ISNUMBER(INDEX(원자료_잔고!$A$1:$EZ$1500,설정!$L$5+ROW()-1,설정!$L$11)),INDEX(원자료_잔고!$A$1:$EZ$1500,설정!$L$5+ROW()-1,설정!$L$11),""),"")</f>
        <v>1000000</v>
      </c>
      <c r="F200" s="85" t="n">
        <f aca="false">IFERROR(IF(ISNUMBER(INDEX(원자료_잔고!$A$1:$EZ$1500,설정!$L$5+ROW()-1,설정!$L$12)),INDEX(원자료_잔고!$A$1:$EZ$1500,설정!$L$5+ROW()-1,설정!$L$12),""),"")</f>
        <v>98.8254</v>
      </c>
      <c r="G200" s="85" t="n">
        <f aca="false">IFERROR(IF(ISNUMBER(INDEX(원자료_잔고!$A$1:$EZ$1500,설정!$L$5+ROW()-1,설정!$L$13)),INDEX(원자료_잔고!$A$1:$EZ$1500,설정!$L$5+ROW()-1,설정!$L$13),""),"")</f>
        <v>5.6945</v>
      </c>
      <c r="H200" s="85" t="n">
        <f aca="false">IFERROR(IF(ISNUMBER(INDEX(원자료_잔고!$A$1:$EZ$1500,설정!$L$5+ROW()-1,설정!$L$14)),INDEX(원자료_잔고!$A$1:$EZ$1500,설정!$L$5+ROW()-1,설정!$L$14),""),"")</f>
        <v>2.8642</v>
      </c>
      <c r="I200" s="86" t="n">
        <f aca="false">IFERROR(IF(ISNUMBER(INDEX(원자료_잔고!$A$1:$EZ$1500,설정!$L$5+ROW()-1,설정!$L$15)),INDEX(원자료_잔고!$A$1:$EZ$1500,설정!$L$5+ROW()-1,설정!$L$15),""),"")</f>
        <v>47491</v>
      </c>
      <c r="J200" s="85" t="n">
        <f aca="false">IFERROR(IF(ISNUMBER(INDEX(원자료_잔고!$A$1:$EZ$1500,설정!$L$5+ROW()-1,설정!$L$16)),INDEX(원자료_잔고!$A$1:$EZ$1500,설정!$L$5+ROW()-1,설정!$L$16),""),"")</f>
        <v>5.3</v>
      </c>
      <c r="K200" s="87" t="n">
        <f aca="false">IFERROR(IF(ISNUMBER(INDEX(원자료_잔고!$A$1:$EZ$1500,설정!$L$5+ROW()-1,설정!$L$17)),INDEX(원자료_잔고!$A$1:$EZ$1500,설정!$L$5+ROW()-1,설정!$L$17),""),"")</f>
        <v>1</v>
      </c>
      <c r="L200" s="84" t="n">
        <f aca="false">IFERROR(IF(ISNUMBER(INDEX(원자료_잔고!$A$1:$EZ$1500,설정!$L$5+ROW()-1,설정!$L$18)),INDEX(원자료_잔고!$A$1:$EZ$1500,설정!$L$5+ROW()-1,설정!$L$18),""),"")</f>
        <v>988254</v>
      </c>
      <c r="M200" s="88" t="n">
        <f aca="false">IFERROR(IF(ISNUMBER(INDEX(원자료_잔고!$A$1:$EZ$1500,설정!$L$5+ROW()-1,설정!$L$19)),INDEX(원자료_잔고!$A$1:$EZ$1500,설정!$L$5+ROW()-1,설정!$L$19),""),"")</f>
        <v>-44342</v>
      </c>
      <c r="N200" s="83" t="str">
        <f aca="false">IFERROR(IF(INDEX(원자료_잔고!$A$1:$EZ$1500,설정!$L$5+ROW()-1,설정!$L$21)&amp;""="0","",INDEX(원자료_잔고!$A$1:$EZ$1500,설정!$L$5+ROW()-1,설정!$L$21)&amp;""),"")</f>
        <v>A-</v>
      </c>
      <c r="O200" s="83" t="str">
        <f aca="false">IFERROR(IF(INDEX(원자료_잔고!$A$1:$EZ$1500,설정!$L$5+ROW()-1,설정!$L$22)&amp;""="0","",INDEX(원자료_잔고!$A$1:$EZ$1500,설정!$L$5+ROW()-1,설정!$L$22)&amp;""),"")</f>
        <v/>
      </c>
      <c r="P200" s="83" t="str">
        <f aca="false">IFERROR(IF(INDEX(원자료_잔고!$A$1:$EZ$1500,설정!$L$5+ROW()-1,설정!$L$23)&amp;""="0","",INDEX(원자료_잔고!$A$1:$EZ$1500,설정!$L$5+ROW()-1,설정!$L$23)&amp;""),"")</f>
        <v>A-</v>
      </c>
      <c r="Q200" s="89" t="n">
        <f aca="false">IF(AND($A200&lt;&gt;"",ISNUMBER(E200)),IF(E200&gt;0,1,0),0)</f>
        <v>1</v>
      </c>
      <c r="R200" s="43" t="str">
        <f aca="false">IF(Q200=1,UPPER(LEFT($A200,FIND(" ",$A200&amp;" ")-1)),"")</f>
        <v>HYNMTR</v>
      </c>
      <c r="S200" s="89" t="n">
        <f aca="false">IF(Q200=1,IF(OR(ISNUMBER(SEARCH("Float",$A200)),ISNUMBER(SEARCH("FRN",$A200))),1,0),0)</f>
        <v>0</v>
      </c>
      <c r="T200" s="43" t="str">
        <f aca="false">IF(AND(Q200=1,ISNUMBER(I200)),TEXT(I200,"yyyymmdd")&amp;"|"&amp;IF(S200=1,"F",TEXT(J200,"0.000")),"")</f>
        <v>20300108|5.300</v>
      </c>
      <c r="U200" s="90" t="n">
        <f aca="false">IF(AND(Q200=1,ISNUMBER(I200)),(I200-설정!$C$4)/365.25,"")</f>
        <v>3.27173169062286</v>
      </c>
      <c r="V200" s="43" t="str">
        <f aca="false">IF(Q200&lt;&gt;1,"",IF(ISNUMBER(U200),IF(U200&lt;=1,"1년 이하",IF(U200&lt;=2,"1-2년",IF(U200&lt;=3,"2-3년",IF(U200&lt;=4,"3-4년",IF(U200&lt;=5,"4-5년",IF(U200&lt;=7,"5-7년",IF(U200&lt;=10,"7-10년",IF(U200&lt;=20,"10-20년","20년 이상")))))))),"미분류"))</f>
        <v>3-4년</v>
      </c>
      <c r="W200" s="43" t="str">
        <f aca="false">IF(Q200&lt;&gt;1,"",IF(AB200&lt;&gt;"",INDEX(시장분석!$C:$C,AB200),IF(K200=1,"USD","비USD")))</f>
        <v>USD</v>
      </c>
      <c r="X200" s="91" t="n">
        <f aca="false">IF(Q200=1,E200*K200/1000000,0)</f>
        <v>1</v>
      </c>
      <c r="Y200" s="89" t="n">
        <f aca="false">IF(R200="T",1,0)</f>
        <v>0</v>
      </c>
      <c r="Z200" s="92" t="n">
        <f aca="false">IF(Q200&lt;&gt;1,"",IF(AD200=1,IF(ISNUMBER(U200),MAX(U200,0),H200),H200))</f>
        <v>2.8642</v>
      </c>
      <c r="AA200" s="91" t="n">
        <f aca="false">IF(Q200=1,IF(ISNUMBER(L200),L200,0)*K200/1000000,0)</f>
        <v>0.988254</v>
      </c>
      <c r="AB200" s="89" t="n">
        <f aca="false">IF(Q200&lt;&gt;1,"",IFERROR(MATCH(VLOOKUP(B200,매핑!$H$4:$I$15,2,0),시장분석!$A$2:$A$601,0)+1,IFERROR(MATCH(R200&amp;"|"&amp;T200,시장분석!$V$2:$V$601,0)+1,IF(COUNTIF(시장분석!$U$2:$U$601,T200)=1,MATCH(T200,시장분석!$U$2:$U$601,0)+1,""))))</f>
        <v>67</v>
      </c>
      <c r="AC200" s="89" t="n">
        <f aca="false">IF(Q200&lt;&gt;1,0,IF(OR(설정!$C$5="전체",AND(설정!$C$5="선택펀드",IFERROR(COUNTIFS(설정!$F$16:$F$36,C200,설정!$G$16:$G$36,"Y")+COUNTIFS(설정!$F$16:$F$36,VALUE(C200),설정!$G$16:$G$36,"Y"),0)&gt;0),C200&amp;""=설정!$C$5&amp;""),1,0))</f>
        <v>1</v>
      </c>
      <c r="AD200" s="89" t="n">
        <f aca="false">IF(Q200&lt;&gt;1,0,IF(OR(S200=1,IF(AB200="",FALSE(),INDEX(시장분석!$R:$R,AB200)=1)),1,0))</f>
        <v>0</v>
      </c>
      <c r="AE200" s="43" t="str">
        <f aca="false">IF(AB200="","",INDEX(시장분석!$A:$A,AB200))</f>
        <v>HYNMTR 5.3 01/08/30</v>
      </c>
      <c r="AF200" s="93" t="n">
        <f aca="false">IF(AB200="","",IF(ISNUMBER(IF(AB200="","",INDEX(시장분석!$E:$E,AB200))),IF(AB200="","",INDEX(시장분석!$E:$E,AB200)),""))</f>
        <v>69.464</v>
      </c>
      <c r="AG200" s="43" t="str">
        <f aca="false">IF(Q200&lt;&gt;1,"",IF(AB200&lt;&gt;"",IF(AB200="","",INDEX(시장분석!$L:$L,AB200)),IFERROR(IF(VLOOKUP(R200,매핑!$A$4:$E$92,5,0)="","미분류",VLOOKUP(R200,매핑!$A$4:$E$92,5,0)),"미분류")))</f>
        <v>자유 소비재</v>
      </c>
      <c r="AH200" s="43" t="str">
        <f aca="false">IF(Q200&lt;&gt;1,"",IF(AB200&lt;&gt;"",IF(AB200="","",INDEX(시장분석!$N:$N,AB200)),IFERROR(IF(VLOOKUP(R200,매핑!$A$4:$E$92,4,0)="","미분류",VLOOKUP(R200,매핑!$A$4:$E$92,4,0)),"미분류")))</f>
        <v>미국</v>
      </c>
      <c r="AI200" s="43" t="str">
        <f aca="false">IF(Q200&lt;&gt;1,"",IFERROR(IF(VLOOKUP(R200,매핑!$A$4:$E$92,3,0)="","미분류",VLOOKUP(R200,매핑!$A$4:$E$92,3,0)),IF(AB200&lt;&gt;"",IF(AB200="","",INDEX(시장분석!$W:$W,AB200)),"미분류")))</f>
        <v>미국</v>
      </c>
      <c r="AJ200" s="43" t="str">
        <f aca="false">IF(Q200&lt;&gt;1,"",IFERROR(VLOOKUP(IF(N200&lt;&gt;"",N200,IF(P200&lt;&gt;"",P200,O200)),설정!$A$15:$D$47,2,0),""))</f>
        <v>A-</v>
      </c>
      <c r="AK200" s="43" t="str">
        <f aca="false">IF(Q200&lt;&gt;1,"",IF(AJ200="","무등급",IFERROR(VLOOKUP(AJ200,설정!$A$15:$D$47,3,0),"무등급")))</f>
        <v>A</v>
      </c>
      <c r="AL200" s="89" t="n">
        <f aca="false">IF(AJ200="",99,IFERROR(VLOOKUP(AJ200,설정!$A$15:$D$47,4,0),99))</f>
        <v>7</v>
      </c>
      <c r="AM200" s="94" t="n">
        <f aca="false">IF(ISNUMBER(H200),AA200*1000000*H200/10000,0)</f>
        <v>283.05571068</v>
      </c>
      <c r="AN200" s="94" t="n">
        <f aca="false">IF(OR(Y200=1,NOT(ISNUMBER(Z200))),0,AA200*1000000*Z200/10000)</f>
        <v>283.05571068</v>
      </c>
      <c r="AO200" s="94" t="n">
        <f aca="false">IF(ISNUMBER(G200),AA200*1000000*G200/100,0)</f>
        <v>56276.12403</v>
      </c>
      <c r="AP200" s="94" t="n">
        <f aca="false">IF(ISNUMBER(M200),M200*K200,0)</f>
        <v>-44342</v>
      </c>
      <c r="AQ200" s="95" t="n">
        <f aca="false">IF(AB200="","",INDEX(시장분석!$AK:$AK,AB200))</f>
        <v>-0.38828149363381</v>
      </c>
      <c r="AR200" s="43" t="str">
        <f aca="false">IF(AB200="","-",IF(AB200="","",INDEX(시장분석!$AL:$AL,AB200)))</f>
        <v>Fair</v>
      </c>
      <c r="AS200" s="96" t="n">
        <f aca="false">IF(AB200="","",INDEX(시장분석!$AJ:$AJ,AB200))</f>
        <v>-1.68407637442549</v>
      </c>
      <c r="AT200" s="93" t="n">
        <f aca="false">IF(AB200="",0,IF(AB200="","",INDEX(시장분석!$AN:$AN,AB200)))</f>
        <v>16.2883320887353</v>
      </c>
      <c r="AU200" s="94" t="n">
        <f aca="false">IF(ISNUMBER(Z200),AT200/10000*MAX(Z200-1,0)*AA200*1000000,0)</f>
        <v>3000.80448116672</v>
      </c>
      <c r="AV200" s="94" t="n">
        <f aca="false">AO200+AU200</f>
        <v>59276.9285111667</v>
      </c>
      <c r="AW200" s="43" t="str">
        <f aca="false">IF(Q200&lt;&gt;1,"",TRIM(IF(AD200=1,"FRN ","")&amp;IF(AND(AL200&gt;=10,AL200&lt;99),"BBB0미만 ","")&amp;IF(AJ200="","등급없음 ","")&amp;IF(K200&lt;&gt;1,"비USD ","")&amp;IF(AND(AB200="",Y200=0),"시장데이터없음 ","")&amp;IF(AND(ISNUMBER(U200),U200&lt;0),"만기경과 ","")))</f>
        <v/>
      </c>
      <c r="AX200" s="90" t="n">
        <f aca="false">IF(Q200&lt;&gt;1,1,IF(스프레드쇼크!$C$4="Y",INDEX(스프레드쇼크!$B$12:$L$16,IFERROR(MATCH(AH200,스프레드쇼크!$A$12:$A$16,0),MATCH("목록외",스프레드쇼크!$A$12:$A$16,0)),IFERROR(MATCH(AG200,스프레드쇼크!$B$11:$L$11,0),MATCH("목록외",스프레드쇼크!$B$11:$L$11,0))),1))</f>
        <v>1</v>
      </c>
      <c r="AY200" s="90" t="n">
        <f aca="false">IF(스프레드쇼크!$C$5="Y",IF(ISNUMBER(AF200),MIN(스프레드쇼크!$C$7,MAX(스프레드쇼크!$C$6,AF200/스프레드쇼크!$C$8)),1),1)</f>
        <v>1.0506699580503</v>
      </c>
      <c r="AZ200" s="94" t="n">
        <f aca="false">AN200*AX200*AY200</f>
        <v>297.398131666054</v>
      </c>
      <c r="BA200" s="90" t="n">
        <f aca="false">IF(ISNUMBER(G200),AA200*G200,0)</f>
        <v>5.627612403</v>
      </c>
      <c r="BB200" s="90" t="n">
        <f aca="false">IF(ISNUMBER(G200),AA200,0)</f>
        <v>0.988254</v>
      </c>
      <c r="BC200" s="90" t="n">
        <f aca="false">IF(AND(Y200=0,ISNUMBER(AF200)),AA200*AF200,0)</f>
        <v>68.648075856</v>
      </c>
      <c r="BD200" s="90" t="n">
        <f aca="false">IF(AND(Y200=0,ISNUMBER(AF200)),AA200,0)</f>
        <v>0.988254</v>
      </c>
      <c r="BE200" s="90" t="n">
        <f aca="false">IF(ISNUMBER(H200),AA200*H200,0)</f>
        <v>2.8305571068</v>
      </c>
      <c r="BF200" s="90" t="n">
        <f aca="false">IF(ISNUMBER(H200),AA200,0)</f>
        <v>0.988254</v>
      </c>
      <c r="BG200" s="90" t="n">
        <f aca="false">IF(AND(Y200=0,ISNUMBER(AF200),ISNUMBER(Z200)),AA200*Z200,0)</f>
        <v>2.8305571068</v>
      </c>
      <c r="BH200" s="90" t="n">
        <f aca="false">IF(AND(Y200=0,ISNUMBER(AF200),ISNUMBER(Z200)),AA200*AT200*MAX(Z200-1,0),0)</f>
        <v>30.0080448116672</v>
      </c>
      <c r="BI200" s="90" t="n">
        <f aca="false">IF(Y200=0,AA200,0)</f>
        <v>0.988254</v>
      </c>
    </row>
    <row r="201" customFormat="false" ht="15" hidden="false" customHeight="false" outlineLevel="0" collapsed="false">
      <c r="A201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201" s="83" t="str">
        <f aca="false">IFERROR(IF(INDEX(원자료_잔고!$A$1:$EZ$1500,설정!$L$5+ROW()-1,설정!$L$7)&amp;""="0","",INDEX(원자료_잔고!$A$1:$EZ$1500,설정!$L$5+ROW()-1,설정!$L$7)&amp;""),"")</f>
        <v>US44891CDM29</v>
      </c>
      <c r="C201" s="83" t="str">
        <f aca="false">IFERROR(IF(INDEX(원자료_잔고!$A$1:$EZ$1500,설정!$L$5+ROW()-1,설정!$L$9)&amp;""="0","",INDEX(원자료_잔고!$A$1:$EZ$1500,설정!$L$5+ROW()-1,설정!$L$9)&amp;""),"")</f>
        <v>34578</v>
      </c>
      <c r="D20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1" s="84" t="n">
        <f aca="false">IFERROR(IF(ISNUMBER(INDEX(원자료_잔고!$A$1:$EZ$1500,설정!$L$5+ROW()-1,설정!$L$11)),INDEX(원자료_잔고!$A$1:$EZ$1500,설정!$L$5+ROW()-1,설정!$L$11),""),"")</f>
        <v>5000000</v>
      </c>
      <c r="F201" s="85" t="n">
        <f aca="false">IFERROR(IF(ISNUMBER(INDEX(원자료_잔고!$A$1:$EZ$1500,설정!$L$5+ROW()-1,설정!$L$12)),INDEX(원자료_잔고!$A$1:$EZ$1500,설정!$L$5+ROW()-1,설정!$L$12),""),"")</f>
        <v>98.8254</v>
      </c>
      <c r="G201" s="85" t="n">
        <f aca="false">IFERROR(IF(ISNUMBER(INDEX(원자료_잔고!$A$1:$EZ$1500,설정!$L$5+ROW()-1,설정!$L$13)),INDEX(원자료_잔고!$A$1:$EZ$1500,설정!$L$5+ROW()-1,설정!$L$13),""),"")</f>
        <v>5.6945</v>
      </c>
      <c r="H201" s="85" t="n">
        <f aca="false">IFERROR(IF(ISNUMBER(INDEX(원자료_잔고!$A$1:$EZ$1500,설정!$L$5+ROW()-1,설정!$L$14)),INDEX(원자료_잔고!$A$1:$EZ$1500,설정!$L$5+ROW()-1,설정!$L$14),""),"")</f>
        <v>2.8642</v>
      </c>
      <c r="I201" s="86" t="n">
        <f aca="false">IFERROR(IF(ISNUMBER(INDEX(원자료_잔고!$A$1:$EZ$1500,설정!$L$5+ROW()-1,설정!$L$15)),INDEX(원자료_잔고!$A$1:$EZ$1500,설정!$L$5+ROW()-1,설정!$L$15),""),"")</f>
        <v>47491</v>
      </c>
      <c r="J201" s="85" t="n">
        <f aca="false">IFERROR(IF(ISNUMBER(INDEX(원자료_잔고!$A$1:$EZ$1500,설정!$L$5+ROW()-1,설정!$L$16)),INDEX(원자료_잔고!$A$1:$EZ$1500,설정!$L$5+ROW()-1,설정!$L$16),""),"")</f>
        <v>5.3</v>
      </c>
      <c r="K201" s="87" t="n">
        <f aca="false">IFERROR(IF(ISNUMBER(INDEX(원자료_잔고!$A$1:$EZ$1500,설정!$L$5+ROW()-1,설정!$L$17)),INDEX(원자료_잔고!$A$1:$EZ$1500,설정!$L$5+ROW()-1,설정!$L$17),""),"")</f>
        <v>1</v>
      </c>
      <c r="L201" s="84" t="n">
        <f aca="false">IFERROR(IF(ISNUMBER(INDEX(원자료_잔고!$A$1:$EZ$1500,설정!$L$5+ROW()-1,설정!$L$18)),INDEX(원자료_잔고!$A$1:$EZ$1500,설정!$L$5+ROW()-1,설정!$L$18),""),"")</f>
        <v>4941270</v>
      </c>
      <c r="M201" s="88" t="n">
        <f aca="false">IFERROR(IF(ISNUMBER(INDEX(원자료_잔고!$A$1:$EZ$1500,설정!$L$5+ROW()-1,설정!$L$19)),INDEX(원자료_잔고!$A$1:$EZ$1500,설정!$L$5+ROW()-1,설정!$L$19),""),"")</f>
        <v>-221710</v>
      </c>
      <c r="N201" s="83" t="str">
        <f aca="false">IFERROR(IF(INDEX(원자료_잔고!$A$1:$EZ$1500,설정!$L$5+ROW()-1,설정!$L$21)&amp;""="0","",INDEX(원자료_잔고!$A$1:$EZ$1500,설정!$L$5+ROW()-1,설정!$L$21)&amp;""),"")</f>
        <v>A-</v>
      </c>
      <c r="O201" s="83" t="str">
        <f aca="false">IFERROR(IF(INDEX(원자료_잔고!$A$1:$EZ$1500,설정!$L$5+ROW()-1,설정!$L$22)&amp;""="0","",INDEX(원자료_잔고!$A$1:$EZ$1500,설정!$L$5+ROW()-1,설정!$L$22)&amp;""),"")</f>
        <v/>
      </c>
      <c r="P201" s="83" t="str">
        <f aca="false">IFERROR(IF(INDEX(원자료_잔고!$A$1:$EZ$1500,설정!$L$5+ROW()-1,설정!$L$23)&amp;""="0","",INDEX(원자료_잔고!$A$1:$EZ$1500,설정!$L$5+ROW()-1,설정!$L$23)&amp;""),"")</f>
        <v>A-</v>
      </c>
      <c r="Q201" s="89" t="n">
        <f aca="false">IF(AND($A201&lt;&gt;"",ISNUMBER(E201)),IF(E201&gt;0,1,0),0)</f>
        <v>1</v>
      </c>
      <c r="R201" s="43" t="str">
        <f aca="false">IF(Q201=1,UPPER(LEFT($A201,FIND(" ",$A201&amp;" ")-1)),"")</f>
        <v>HYNMTR</v>
      </c>
      <c r="S201" s="89" t="n">
        <f aca="false">IF(Q201=1,IF(OR(ISNUMBER(SEARCH("Float",$A201)),ISNUMBER(SEARCH("FRN",$A201))),1,0),0)</f>
        <v>0</v>
      </c>
      <c r="T201" s="43" t="str">
        <f aca="false">IF(AND(Q201=1,ISNUMBER(I201)),TEXT(I201,"yyyymmdd")&amp;"|"&amp;IF(S201=1,"F",TEXT(J201,"0.000")),"")</f>
        <v>20300108|5.300</v>
      </c>
      <c r="U201" s="90" t="n">
        <f aca="false">IF(AND(Q201=1,ISNUMBER(I201)),(I201-설정!$C$4)/365.25,"")</f>
        <v>3.27173169062286</v>
      </c>
      <c r="V201" s="43" t="str">
        <f aca="false">IF(Q201&lt;&gt;1,"",IF(ISNUMBER(U201),IF(U201&lt;=1,"1년 이하",IF(U201&lt;=2,"1-2년",IF(U201&lt;=3,"2-3년",IF(U201&lt;=4,"3-4년",IF(U201&lt;=5,"4-5년",IF(U201&lt;=7,"5-7년",IF(U201&lt;=10,"7-10년",IF(U201&lt;=20,"10-20년","20년 이상")))))))),"미분류"))</f>
        <v>3-4년</v>
      </c>
      <c r="W201" s="43" t="str">
        <f aca="false">IF(Q201&lt;&gt;1,"",IF(AB201&lt;&gt;"",INDEX(시장분석!$C:$C,AB201),IF(K201=1,"USD","비USD")))</f>
        <v>USD</v>
      </c>
      <c r="X201" s="91" t="n">
        <f aca="false">IF(Q201=1,E201*K201/1000000,0)</f>
        <v>5</v>
      </c>
      <c r="Y201" s="89" t="n">
        <f aca="false">IF(R201="T",1,0)</f>
        <v>0</v>
      </c>
      <c r="Z201" s="92" t="n">
        <f aca="false">IF(Q201&lt;&gt;1,"",IF(AD201=1,IF(ISNUMBER(U201),MAX(U201,0),H201),H201))</f>
        <v>2.8642</v>
      </c>
      <c r="AA201" s="91" t="n">
        <f aca="false">IF(Q201=1,IF(ISNUMBER(L201),L201,0)*K201/1000000,0)</f>
        <v>4.94127</v>
      </c>
      <c r="AB201" s="89" t="n">
        <f aca="false">IF(Q201&lt;&gt;1,"",IFERROR(MATCH(VLOOKUP(B201,매핑!$H$4:$I$15,2,0),시장분석!$A$2:$A$601,0)+1,IFERROR(MATCH(R201&amp;"|"&amp;T201,시장분석!$V$2:$V$601,0)+1,IF(COUNTIF(시장분석!$U$2:$U$601,T201)=1,MATCH(T201,시장분석!$U$2:$U$601,0)+1,""))))</f>
        <v>67</v>
      </c>
      <c r="AC201" s="89" t="n">
        <f aca="false">IF(Q201&lt;&gt;1,0,IF(OR(설정!$C$5="전체",AND(설정!$C$5="선택펀드",IFERROR(COUNTIFS(설정!$F$16:$F$36,C201,설정!$G$16:$G$36,"Y")+COUNTIFS(설정!$F$16:$F$36,VALUE(C201),설정!$G$16:$G$36,"Y"),0)&gt;0),C201&amp;""=설정!$C$5&amp;""),1,0))</f>
        <v>1</v>
      </c>
      <c r="AD201" s="89" t="n">
        <f aca="false">IF(Q201&lt;&gt;1,0,IF(OR(S201=1,IF(AB201="",FALSE(),INDEX(시장분석!$R:$R,AB201)=1)),1,0))</f>
        <v>0</v>
      </c>
      <c r="AE201" s="43" t="str">
        <f aca="false">IF(AB201="","",INDEX(시장분석!$A:$A,AB201))</f>
        <v>HYNMTR 5.3 01/08/30</v>
      </c>
      <c r="AF201" s="93" t="n">
        <f aca="false">IF(AB201="","",IF(ISNUMBER(IF(AB201="","",INDEX(시장분석!$E:$E,AB201))),IF(AB201="","",INDEX(시장분석!$E:$E,AB201)),""))</f>
        <v>69.464</v>
      </c>
      <c r="AG201" s="43" t="str">
        <f aca="false">IF(Q201&lt;&gt;1,"",IF(AB201&lt;&gt;"",IF(AB201="","",INDEX(시장분석!$L:$L,AB201)),IFERROR(IF(VLOOKUP(R201,매핑!$A$4:$E$92,5,0)="","미분류",VLOOKUP(R201,매핑!$A$4:$E$92,5,0)),"미분류")))</f>
        <v>자유 소비재</v>
      </c>
      <c r="AH201" s="43" t="str">
        <f aca="false">IF(Q201&lt;&gt;1,"",IF(AB201&lt;&gt;"",IF(AB201="","",INDEX(시장분석!$N:$N,AB201)),IFERROR(IF(VLOOKUP(R201,매핑!$A$4:$E$92,4,0)="","미분류",VLOOKUP(R201,매핑!$A$4:$E$92,4,0)),"미분류")))</f>
        <v>미국</v>
      </c>
      <c r="AI201" s="43" t="str">
        <f aca="false">IF(Q201&lt;&gt;1,"",IFERROR(IF(VLOOKUP(R201,매핑!$A$4:$E$92,3,0)="","미분류",VLOOKUP(R201,매핑!$A$4:$E$92,3,0)),IF(AB201&lt;&gt;"",IF(AB201="","",INDEX(시장분석!$W:$W,AB201)),"미분류")))</f>
        <v>미국</v>
      </c>
      <c r="AJ201" s="43" t="str">
        <f aca="false">IF(Q201&lt;&gt;1,"",IFERROR(VLOOKUP(IF(N201&lt;&gt;"",N201,IF(P201&lt;&gt;"",P201,O201)),설정!$A$15:$D$47,2,0),""))</f>
        <v>A-</v>
      </c>
      <c r="AK201" s="43" t="str">
        <f aca="false">IF(Q201&lt;&gt;1,"",IF(AJ201="","무등급",IFERROR(VLOOKUP(AJ201,설정!$A$15:$D$47,3,0),"무등급")))</f>
        <v>A</v>
      </c>
      <c r="AL201" s="89" t="n">
        <f aca="false">IF(AJ201="",99,IFERROR(VLOOKUP(AJ201,설정!$A$15:$D$47,4,0),99))</f>
        <v>7</v>
      </c>
      <c r="AM201" s="94" t="n">
        <f aca="false">IF(ISNUMBER(H201),AA201*1000000*H201/10000,0)</f>
        <v>1415.2785534</v>
      </c>
      <c r="AN201" s="94" t="n">
        <f aca="false">IF(OR(Y201=1,NOT(ISNUMBER(Z201))),0,AA201*1000000*Z201/10000)</f>
        <v>1415.2785534</v>
      </c>
      <c r="AO201" s="94" t="n">
        <f aca="false">IF(ISNUMBER(G201),AA201*1000000*G201/100,0)</f>
        <v>281380.62015</v>
      </c>
      <c r="AP201" s="94" t="n">
        <f aca="false">IF(ISNUMBER(M201),M201*K201,0)</f>
        <v>-221710</v>
      </c>
      <c r="AQ201" s="95" t="n">
        <f aca="false">IF(AB201="","",INDEX(시장분석!$AK:$AK,AB201))</f>
        <v>-0.38828149363381</v>
      </c>
      <c r="AR201" s="43" t="str">
        <f aca="false">IF(AB201="","-",IF(AB201="","",INDEX(시장분석!$AL:$AL,AB201)))</f>
        <v>Fair</v>
      </c>
      <c r="AS201" s="96" t="n">
        <f aca="false">IF(AB201="","",INDEX(시장분석!$AJ:$AJ,AB201))</f>
        <v>-1.68407637442549</v>
      </c>
      <c r="AT201" s="93" t="n">
        <f aca="false">IF(AB201="",0,IF(AB201="","",INDEX(시장분석!$AN:$AN,AB201)))</f>
        <v>16.2883320887353</v>
      </c>
      <c r="AU201" s="94" t="n">
        <f aca="false">IF(ISNUMBER(Z201),AT201/10000*MAX(Z201-1,0)*AA201*1000000,0)</f>
        <v>15004.0224058336</v>
      </c>
      <c r="AV201" s="94" t="n">
        <f aca="false">AO201+AU201</f>
        <v>296384.642555834</v>
      </c>
      <c r="AW201" s="43" t="str">
        <f aca="false">IF(Q201&lt;&gt;1,"",TRIM(IF(AD201=1,"FRN ","")&amp;IF(AND(AL201&gt;=10,AL201&lt;99),"BBB0미만 ","")&amp;IF(AJ201="","등급없음 ","")&amp;IF(K201&lt;&gt;1,"비USD ","")&amp;IF(AND(AB201="",Y201=0),"시장데이터없음 ","")&amp;IF(AND(ISNUMBER(U201),U201&lt;0),"만기경과 ","")))</f>
        <v/>
      </c>
      <c r="AX201" s="90" t="n">
        <f aca="false">IF(Q201&lt;&gt;1,1,IF(스프레드쇼크!$C$4="Y",INDEX(스프레드쇼크!$B$12:$L$16,IFERROR(MATCH(AH201,스프레드쇼크!$A$12:$A$16,0),MATCH("목록외",스프레드쇼크!$A$12:$A$16,0)),IFERROR(MATCH(AG201,스프레드쇼크!$B$11:$L$11,0),MATCH("목록외",스프레드쇼크!$B$11:$L$11,0))),1))</f>
        <v>1</v>
      </c>
      <c r="AY201" s="90" t="n">
        <f aca="false">IF(스프레드쇼크!$C$5="Y",IF(ISNUMBER(AF201),MIN(스프레드쇼크!$C$7,MAX(스프레드쇼크!$C$6,AF201/스프레드쇼크!$C$8)),1),1)</f>
        <v>1.0506699580503</v>
      </c>
      <c r="AZ201" s="94" t="n">
        <f aca="false">AN201*AX201*AY201</f>
        <v>1486.99065833027</v>
      </c>
      <c r="BA201" s="90" t="n">
        <f aca="false">IF(ISNUMBER(G201),AA201*G201,0)</f>
        <v>28.138062015</v>
      </c>
      <c r="BB201" s="90" t="n">
        <f aca="false">IF(ISNUMBER(G201),AA201,0)</f>
        <v>4.94127</v>
      </c>
      <c r="BC201" s="90" t="n">
        <f aca="false">IF(AND(Y201=0,ISNUMBER(AF201)),AA201*AF201,0)</f>
        <v>343.24037928</v>
      </c>
      <c r="BD201" s="90" t="n">
        <f aca="false">IF(AND(Y201=0,ISNUMBER(AF201)),AA201,0)</f>
        <v>4.94127</v>
      </c>
      <c r="BE201" s="90" t="n">
        <f aca="false">IF(ISNUMBER(H201),AA201*H201,0)</f>
        <v>14.152785534</v>
      </c>
      <c r="BF201" s="90" t="n">
        <f aca="false">IF(ISNUMBER(H201),AA201,0)</f>
        <v>4.94127</v>
      </c>
      <c r="BG201" s="90" t="n">
        <f aca="false">IF(AND(Y201=0,ISNUMBER(AF201),ISNUMBER(Z201)),AA201*Z201,0)</f>
        <v>14.152785534</v>
      </c>
      <c r="BH201" s="90" t="n">
        <f aca="false">IF(AND(Y201=0,ISNUMBER(AF201),ISNUMBER(Z201)),AA201*AT201*MAX(Z201-1,0),0)</f>
        <v>150.040224058336</v>
      </c>
      <c r="BI201" s="90" t="n">
        <f aca="false">IF(Y201=0,AA201,0)</f>
        <v>4.94127</v>
      </c>
    </row>
    <row r="202" customFormat="false" ht="15" hidden="false" customHeight="false" outlineLevel="0" collapsed="false">
      <c r="A202" s="83" t="str">
        <f aca="false">IFERROR(IF(INDEX(원자료_잔고!$A$1:$EZ$1500,설정!$L$5+ROW()-1,설정!$L$8)&amp;""="0","",INDEX(원자료_잔고!$A$1:$EZ$1500,설정!$L$5+ROW()-1,설정!$L$8)&amp;""),"")</f>
        <v>HYNMTR 5.3 01/08/30</v>
      </c>
      <c r="B202" s="83" t="str">
        <f aca="false">IFERROR(IF(INDEX(원자료_잔고!$A$1:$EZ$1500,설정!$L$5+ROW()-1,설정!$L$7)&amp;""="0","",INDEX(원자료_잔고!$A$1:$EZ$1500,설정!$L$5+ROW()-1,설정!$L$7)&amp;""),"")</f>
        <v>US44891CDM29</v>
      </c>
      <c r="C202" s="83" t="str">
        <f aca="false">IFERROR(IF(INDEX(원자료_잔고!$A$1:$EZ$1500,설정!$L$5+ROW()-1,설정!$L$9)&amp;""="0","",INDEX(원자료_잔고!$A$1:$EZ$1500,설정!$L$5+ROW()-1,설정!$L$9)&amp;""),"")</f>
        <v>34578</v>
      </c>
      <c r="D20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2" s="84" t="n">
        <f aca="false">IFERROR(IF(ISNUMBER(INDEX(원자료_잔고!$A$1:$EZ$1500,설정!$L$5+ROW()-1,설정!$L$11)),INDEX(원자료_잔고!$A$1:$EZ$1500,설정!$L$5+ROW()-1,설정!$L$11),""),"")</f>
        <v>1000000</v>
      </c>
      <c r="F202" s="85" t="n">
        <f aca="false">IFERROR(IF(ISNUMBER(INDEX(원자료_잔고!$A$1:$EZ$1500,설정!$L$5+ROW()-1,설정!$L$12)),INDEX(원자료_잔고!$A$1:$EZ$1500,설정!$L$5+ROW()-1,설정!$L$12),""),"")</f>
        <v>98.8254</v>
      </c>
      <c r="G202" s="85" t="n">
        <f aca="false">IFERROR(IF(ISNUMBER(INDEX(원자료_잔고!$A$1:$EZ$1500,설정!$L$5+ROW()-1,설정!$L$13)),INDEX(원자료_잔고!$A$1:$EZ$1500,설정!$L$5+ROW()-1,설정!$L$13),""),"")</f>
        <v>5.6945</v>
      </c>
      <c r="H202" s="85" t="n">
        <f aca="false">IFERROR(IF(ISNUMBER(INDEX(원자료_잔고!$A$1:$EZ$1500,설정!$L$5+ROW()-1,설정!$L$14)),INDEX(원자료_잔고!$A$1:$EZ$1500,설정!$L$5+ROW()-1,설정!$L$14),""),"")</f>
        <v>2.8642</v>
      </c>
      <c r="I202" s="86" t="n">
        <f aca="false">IFERROR(IF(ISNUMBER(INDEX(원자료_잔고!$A$1:$EZ$1500,설정!$L$5+ROW()-1,설정!$L$15)),INDEX(원자료_잔고!$A$1:$EZ$1500,설정!$L$5+ROW()-1,설정!$L$15),""),"")</f>
        <v>47491</v>
      </c>
      <c r="J202" s="85" t="n">
        <f aca="false">IFERROR(IF(ISNUMBER(INDEX(원자료_잔고!$A$1:$EZ$1500,설정!$L$5+ROW()-1,설정!$L$16)),INDEX(원자료_잔고!$A$1:$EZ$1500,설정!$L$5+ROW()-1,설정!$L$16),""),"")</f>
        <v>5.3</v>
      </c>
      <c r="K202" s="87" t="n">
        <f aca="false">IFERROR(IF(ISNUMBER(INDEX(원자료_잔고!$A$1:$EZ$1500,설정!$L$5+ROW()-1,설정!$L$17)),INDEX(원자료_잔고!$A$1:$EZ$1500,설정!$L$5+ROW()-1,설정!$L$17),""),"")</f>
        <v>1</v>
      </c>
      <c r="L202" s="84" t="n">
        <f aca="false">IFERROR(IF(ISNUMBER(INDEX(원자료_잔고!$A$1:$EZ$1500,설정!$L$5+ROW()-1,설정!$L$18)),INDEX(원자료_잔고!$A$1:$EZ$1500,설정!$L$5+ROW()-1,설정!$L$18),""),"")</f>
        <v>988254</v>
      </c>
      <c r="M202" s="88" t="n">
        <f aca="false">IFERROR(IF(ISNUMBER(INDEX(원자료_잔고!$A$1:$EZ$1500,설정!$L$5+ROW()-1,설정!$L$19)),INDEX(원자료_잔고!$A$1:$EZ$1500,설정!$L$5+ROW()-1,설정!$L$19),""),"")</f>
        <v>-26186</v>
      </c>
      <c r="N202" s="83" t="str">
        <f aca="false">IFERROR(IF(INDEX(원자료_잔고!$A$1:$EZ$1500,설정!$L$5+ROW()-1,설정!$L$21)&amp;""="0","",INDEX(원자료_잔고!$A$1:$EZ$1500,설정!$L$5+ROW()-1,설정!$L$21)&amp;""),"")</f>
        <v>A-</v>
      </c>
      <c r="O202" s="83" t="str">
        <f aca="false">IFERROR(IF(INDEX(원자료_잔고!$A$1:$EZ$1500,설정!$L$5+ROW()-1,설정!$L$22)&amp;""="0","",INDEX(원자료_잔고!$A$1:$EZ$1500,설정!$L$5+ROW()-1,설정!$L$22)&amp;""),"")</f>
        <v/>
      </c>
      <c r="P202" s="83" t="str">
        <f aca="false">IFERROR(IF(INDEX(원자료_잔고!$A$1:$EZ$1500,설정!$L$5+ROW()-1,설정!$L$23)&amp;""="0","",INDEX(원자료_잔고!$A$1:$EZ$1500,설정!$L$5+ROW()-1,설정!$L$23)&amp;""),"")</f>
        <v>A-</v>
      </c>
      <c r="Q202" s="89" t="n">
        <f aca="false">IF(AND($A202&lt;&gt;"",ISNUMBER(E202)),IF(E202&gt;0,1,0),0)</f>
        <v>1</v>
      </c>
      <c r="R202" s="43" t="str">
        <f aca="false">IF(Q202=1,UPPER(LEFT($A202,FIND(" ",$A202&amp;" ")-1)),"")</f>
        <v>HYNMTR</v>
      </c>
      <c r="S202" s="89" t="n">
        <f aca="false">IF(Q202=1,IF(OR(ISNUMBER(SEARCH("Float",$A202)),ISNUMBER(SEARCH("FRN",$A202))),1,0),0)</f>
        <v>0</v>
      </c>
      <c r="T202" s="43" t="str">
        <f aca="false">IF(AND(Q202=1,ISNUMBER(I202)),TEXT(I202,"yyyymmdd")&amp;"|"&amp;IF(S202=1,"F",TEXT(J202,"0.000")),"")</f>
        <v>20300108|5.300</v>
      </c>
      <c r="U202" s="90" t="n">
        <f aca="false">IF(AND(Q202=1,ISNUMBER(I202)),(I202-설정!$C$4)/365.25,"")</f>
        <v>3.27173169062286</v>
      </c>
      <c r="V202" s="43" t="str">
        <f aca="false">IF(Q202&lt;&gt;1,"",IF(ISNUMBER(U202),IF(U202&lt;=1,"1년 이하",IF(U202&lt;=2,"1-2년",IF(U202&lt;=3,"2-3년",IF(U202&lt;=4,"3-4년",IF(U202&lt;=5,"4-5년",IF(U202&lt;=7,"5-7년",IF(U202&lt;=10,"7-10년",IF(U202&lt;=20,"10-20년","20년 이상")))))))),"미분류"))</f>
        <v>3-4년</v>
      </c>
      <c r="W202" s="43" t="str">
        <f aca="false">IF(Q202&lt;&gt;1,"",IF(AB202&lt;&gt;"",INDEX(시장분석!$C:$C,AB202),IF(K202=1,"USD","비USD")))</f>
        <v>USD</v>
      </c>
      <c r="X202" s="91" t="n">
        <f aca="false">IF(Q202=1,E202*K202/1000000,0)</f>
        <v>1</v>
      </c>
      <c r="Y202" s="89" t="n">
        <f aca="false">IF(R202="T",1,0)</f>
        <v>0</v>
      </c>
      <c r="Z202" s="92" t="n">
        <f aca="false">IF(Q202&lt;&gt;1,"",IF(AD202=1,IF(ISNUMBER(U202),MAX(U202,0),H202),H202))</f>
        <v>2.8642</v>
      </c>
      <c r="AA202" s="91" t="n">
        <f aca="false">IF(Q202=1,IF(ISNUMBER(L202),L202,0)*K202/1000000,0)</f>
        <v>0.988254</v>
      </c>
      <c r="AB202" s="89" t="n">
        <f aca="false">IF(Q202&lt;&gt;1,"",IFERROR(MATCH(VLOOKUP(B202,매핑!$H$4:$I$15,2,0),시장분석!$A$2:$A$601,0)+1,IFERROR(MATCH(R202&amp;"|"&amp;T202,시장분석!$V$2:$V$601,0)+1,IF(COUNTIF(시장분석!$U$2:$U$601,T202)=1,MATCH(T202,시장분석!$U$2:$U$601,0)+1,""))))</f>
        <v>67</v>
      </c>
      <c r="AC202" s="89" t="n">
        <f aca="false">IF(Q202&lt;&gt;1,0,IF(OR(설정!$C$5="전체",AND(설정!$C$5="선택펀드",IFERROR(COUNTIFS(설정!$F$16:$F$36,C202,설정!$G$16:$G$36,"Y")+COUNTIFS(설정!$F$16:$F$36,VALUE(C202),설정!$G$16:$G$36,"Y"),0)&gt;0),C202&amp;""=설정!$C$5&amp;""),1,0))</f>
        <v>1</v>
      </c>
      <c r="AD202" s="89" t="n">
        <f aca="false">IF(Q202&lt;&gt;1,0,IF(OR(S202=1,IF(AB202="",FALSE(),INDEX(시장분석!$R:$R,AB202)=1)),1,0))</f>
        <v>0</v>
      </c>
      <c r="AE202" s="43" t="str">
        <f aca="false">IF(AB202="","",INDEX(시장분석!$A:$A,AB202))</f>
        <v>HYNMTR 5.3 01/08/30</v>
      </c>
      <c r="AF202" s="93" t="n">
        <f aca="false">IF(AB202="","",IF(ISNUMBER(IF(AB202="","",INDEX(시장분석!$E:$E,AB202))),IF(AB202="","",INDEX(시장분석!$E:$E,AB202)),""))</f>
        <v>69.464</v>
      </c>
      <c r="AG202" s="43" t="str">
        <f aca="false">IF(Q202&lt;&gt;1,"",IF(AB202&lt;&gt;"",IF(AB202="","",INDEX(시장분석!$L:$L,AB202)),IFERROR(IF(VLOOKUP(R202,매핑!$A$4:$E$92,5,0)="","미분류",VLOOKUP(R202,매핑!$A$4:$E$92,5,0)),"미분류")))</f>
        <v>자유 소비재</v>
      </c>
      <c r="AH202" s="43" t="str">
        <f aca="false">IF(Q202&lt;&gt;1,"",IF(AB202&lt;&gt;"",IF(AB202="","",INDEX(시장분석!$N:$N,AB202)),IFERROR(IF(VLOOKUP(R202,매핑!$A$4:$E$92,4,0)="","미분류",VLOOKUP(R202,매핑!$A$4:$E$92,4,0)),"미분류")))</f>
        <v>미국</v>
      </c>
      <c r="AI202" s="43" t="str">
        <f aca="false">IF(Q202&lt;&gt;1,"",IFERROR(IF(VLOOKUP(R202,매핑!$A$4:$E$92,3,0)="","미분류",VLOOKUP(R202,매핑!$A$4:$E$92,3,0)),IF(AB202&lt;&gt;"",IF(AB202="","",INDEX(시장분석!$W:$W,AB202)),"미분류")))</f>
        <v>미국</v>
      </c>
      <c r="AJ202" s="43" t="str">
        <f aca="false">IF(Q202&lt;&gt;1,"",IFERROR(VLOOKUP(IF(N202&lt;&gt;"",N202,IF(P202&lt;&gt;"",P202,O202)),설정!$A$15:$D$47,2,0),""))</f>
        <v>A-</v>
      </c>
      <c r="AK202" s="43" t="str">
        <f aca="false">IF(Q202&lt;&gt;1,"",IF(AJ202="","무등급",IFERROR(VLOOKUP(AJ202,설정!$A$15:$D$47,3,0),"무등급")))</f>
        <v>A</v>
      </c>
      <c r="AL202" s="89" t="n">
        <f aca="false">IF(AJ202="",99,IFERROR(VLOOKUP(AJ202,설정!$A$15:$D$47,4,0),99))</f>
        <v>7</v>
      </c>
      <c r="AM202" s="94" t="n">
        <f aca="false">IF(ISNUMBER(H202),AA202*1000000*H202/10000,0)</f>
        <v>283.05571068</v>
      </c>
      <c r="AN202" s="94" t="n">
        <f aca="false">IF(OR(Y202=1,NOT(ISNUMBER(Z202))),0,AA202*1000000*Z202/10000)</f>
        <v>283.05571068</v>
      </c>
      <c r="AO202" s="94" t="n">
        <f aca="false">IF(ISNUMBER(G202),AA202*1000000*G202/100,0)</f>
        <v>56276.12403</v>
      </c>
      <c r="AP202" s="94" t="n">
        <f aca="false">IF(ISNUMBER(M202),M202*K202,0)</f>
        <v>-26186</v>
      </c>
      <c r="AQ202" s="95" t="n">
        <f aca="false">IF(AB202="","",INDEX(시장분석!$AK:$AK,AB202))</f>
        <v>-0.38828149363381</v>
      </c>
      <c r="AR202" s="43" t="str">
        <f aca="false">IF(AB202="","-",IF(AB202="","",INDEX(시장분석!$AL:$AL,AB202)))</f>
        <v>Fair</v>
      </c>
      <c r="AS202" s="96" t="n">
        <f aca="false">IF(AB202="","",INDEX(시장분석!$AJ:$AJ,AB202))</f>
        <v>-1.68407637442549</v>
      </c>
      <c r="AT202" s="93" t="n">
        <f aca="false">IF(AB202="",0,IF(AB202="","",INDEX(시장분석!$AN:$AN,AB202)))</f>
        <v>16.2883320887353</v>
      </c>
      <c r="AU202" s="94" t="n">
        <f aca="false">IF(ISNUMBER(Z202),AT202/10000*MAX(Z202-1,0)*AA202*1000000,0)</f>
        <v>3000.80448116672</v>
      </c>
      <c r="AV202" s="94" t="n">
        <f aca="false">AO202+AU202</f>
        <v>59276.9285111667</v>
      </c>
      <c r="AW202" s="43" t="str">
        <f aca="false">IF(Q202&lt;&gt;1,"",TRIM(IF(AD202=1,"FRN ","")&amp;IF(AND(AL202&gt;=10,AL202&lt;99),"BBB0미만 ","")&amp;IF(AJ202="","등급없음 ","")&amp;IF(K202&lt;&gt;1,"비USD ","")&amp;IF(AND(AB202="",Y202=0),"시장데이터없음 ","")&amp;IF(AND(ISNUMBER(U202),U202&lt;0),"만기경과 ","")))</f>
        <v/>
      </c>
      <c r="AX202" s="90" t="n">
        <f aca="false">IF(Q202&lt;&gt;1,1,IF(스프레드쇼크!$C$4="Y",INDEX(스프레드쇼크!$B$12:$L$16,IFERROR(MATCH(AH202,스프레드쇼크!$A$12:$A$16,0),MATCH("목록외",스프레드쇼크!$A$12:$A$16,0)),IFERROR(MATCH(AG202,스프레드쇼크!$B$11:$L$11,0),MATCH("목록외",스프레드쇼크!$B$11:$L$11,0))),1))</f>
        <v>1</v>
      </c>
      <c r="AY202" s="90" t="n">
        <f aca="false">IF(스프레드쇼크!$C$5="Y",IF(ISNUMBER(AF202),MIN(스프레드쇼크!$C$7,MAX(스프레드쇼크!$C$6,AF202/스프레드쇼크!$C$8)),1),1)</f>
        <v>1.0506699580503</v>
      </c>
      <c r="AZ202" s="94" t="n">
        <f aca="false">AN202*AX202*AY202</f>
        <v>297.398131666054</v>
      </c>
      <c r="BA202" s="90" t="n">
        <f aca="false">IF(ISNUMBER(G202),AA202*G202,0)</f>
        <v>5.627612403</v>
      </c>
      <c r="BB202" s="90" t="n">
        <f aca="false">IF(ISNUMBER(G202),AA202,0)</f>
        <v>0.988254</v>
      </c>
      <c r="BC202" s="90" t="n">
        <f aca="false">IF(AND(Y202=0,ISNUMBER(AF202)),AA202*AF202,0)</f>
        <v>68.648075856</v>
      </c>
      <c r="BD202" s="90" t="n">
        <f aca="false">IF(AND(Y202=0,ISNUMBER(AF202)),AA202,0)</f>
        <v>0.988254</v>
      </c>
      <c r="BE202" s="90" t="n">
        <f aca="false">IF(ISNUMBER(H202),AA202*H202,0)</f>
        <v>2.8305571068</v>
      </c>
      <c r="BF202" s="90" t="n">
        <f aca="false">IF(ISNUMBER(H202),AA202,0)</f>
        <v>0.988254</v>
      </c>
      <c r="BG202" s="90" t="n">
        <f aca="false">IF(AND(Y202=0,ISNUMBER(AF202),ISNUMBER(Z202)),AA202*Z202,0)</f>
        <v>2.8305571068</v>
      </c>
      <c r="BH202" s="90" t="n">
        <f aca="false">IF(AND(Y202=0,ISNUMBER(AF202),ISNUMBER(Z202)),AA202*AT202*MAX(Z202-1,0),0)</f>
        <v>30.0080448116672</v>
      </c>
      <c r="BI202" s="90" t="n">
        <f aca="false">IF(Y202=0,AA202,0)</f>
        <v>0.988254</v>
      </c>
    </row>
    <row r="203" customFormat="false" ht="15" hidden="false" customHeight="false" outlineLevel="0" collapsed="false">
      <c r="A203" s="83" t="str">
        <f aca="false">IFERROR(IF(INDEX(원자료_잔고!$A$1:$EZ$1500,설정!$L$5+ROW()-1,설정!$L$8)&amp;""="0","",INDEX(원자료_잔고!$A$1:$EZ$1500,설정!$L$5+ROW()-1,설정!$L$8)&amp;""),"")</f>
        <v>HYNMTR 5.15 03/27/30</v>
      </c>
      <c r="B203" s="83" t="str">
        <f aca="false">IFERROR(IF(INDEX(원자료_잔고!$A$1:$EZ$1500,설정!$L$5+ROW()-1,설정!$L$7)&amp;""="0","",INDEX(원자료_잔고!$A$1:$EZ$1500,설정!$L$5+ROW()-1,설정!$L$7)&amp;""),"")</f>
        <v>US44891CDQ33</v>
      </c>
      <c r="C203" s="83" t="str">
        <f aca="false">IFERROR(IF(INDEX(원자료_잔고!$A$1:$EZ$1500,설정!$L$5+ROW()-1,설정!$L$9)&amp;""="0","",INDEX(원자료_잔고!$A$1:$EZ$1500,설정!$L$5+ROW()-1,설정!$L$9)&amp;""),"")</f>
        <v>34578</v>
      </c>
      <c r="D20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3" s="84" t="n">
        <f aca="false">IFERROR(IF(ISNUMBER(INDEX(원자료_잔고!$A$1:$EZ$1500,설정!$L$5+ROW()-1,설정!$L$11)),INDEX(원자료_잔고!$A$1:$EZ$1500,설정!$L$5+ROW()-1,설정!$L$11),""),"")</f>
        <v>2000000</v>
      </c>
      <c r="F203" s="85" t="n">
        <f aca="false">IFERROR(IF(ISNUMBER(INDEX(원자료_잔고!$A$1:$EZ$1500,설정!$L$5+ROW()-1,설정!$L$12)),INDEX(원자료_잔고!$A$1:$EZ$1500,설정!$L$5+ROW()-1,설정!$L$12),""),"")</f>
        <v>98.03</v>
      </c>
      <c r="G203" s="85" t="n">
        <f aca="false">IFERROR(IF(ISNUMBER(INDEX(원자료_잔고!$A$1:$EZ$1500,설정!$L$5+ROW()-1,설정!$L$13)),INDEX(원자료_잔고!$A$1:$EZ$1500,설정!$L$5+ROW()-1,설정!$L$13),""),"")</f>
        <v>5.7806</v>
      </c>
      <c r="H203" s="85" t="n">
        <f aca="false">IFERROR(IF(ISNUMBER(INDEX(원자료_잔고!$A$1:$EZ$1500,설정!$L$5+ROW()-1,설정!$L$14)),INDEX(원자료_잔고!$A$1:$EZ$1500,설정!$L$5+ROW()-1,설정!$L$14),""),"")</f>
        <v>3.0832</v>
      </c>
      <c r="I203" s="86" t="n">
        <f aca="false">IFERROR(IF(ISNUMBER(INDEX(원자료_잔고!$A$1:$EZ$1500,설정!$L$5+ROW()-1,설정!$L$15)),INDEX(원자료_잔고!$A$1:$EZ$1500,설정!$L$5+ROW()-1,설정!$L$15),""),"")</f>
        <v>47569</v>
      </c>
      <c r="J203" s="85" t="n">
        <f aca="false">IFERROR(IF(ISNUMBER(INDEX(원자료_잔고!$A$1:$EZ$1500,설정!$L$5+ROW()-1,설정!$L$16)),INDEX(원자료_잔고!$A$1:$EZ$1500,설정!$L$5+ROW()-1,설정!$L$16),""),"")</f>
        <v>5.15</v>
      </c>
      <c r="K203" s="87" t="n">
        <f aca="false">IFERROR(IF(ISNUMBER(INDEX(원자료_잔고!$A$1:$EZ$1500,설정!$L$5+ROW()-1,설정!$L$17)),INDEX(원자료_잔고!$A$1:$EZ$1500,설정!$L$5+ROW()-1,설정!$L$17),""),"")</f>
        <v>1</v>
      </c>
      <c r="L203" s="84" t="n">
        <f aca="false">IFERROR(IF(ISNUMBER(INDEX(원자료_잔고!$A$1:$EZ$1500,설정!$L$5+ROW()-1,설정!$L$18)),INDEX(원자료_잔고!$A$1:$EZ$1500,설정!$L$5+ROW()-1,설정!$L$18),""),"")</f>
        <v>1960600</v>
      </c>
      <c r="M203" s="88" t="n">
        <f aca="false">IFERROR(IF(ISNUMBER(INDEX(원자료_잔고!$A$1:$EZ$1500,설정!$L$5+ROW()-1,설정!$L$19)),INDEX(원자료_잔고!$A$1:$EZ$1500,설정!$L$5+ROW()-1,설정!$L$19),""),"")</f>
        <v>-92864</v>
      </c>
      <c r="N203" s="83" t="str">
        <f aca="false">IFERROR(IF(INDEX(원자료_잔고!$A$1:$EZ$1500,설정!$L$5+ROW()-1,설정!$L$21)&amp;""="0","",INDEX(원자료_잔고!$A$1:$EZ$1500,설정!$L$5+ROW()-1,설정!$L$21)&amp;""),"")</f>
        <v>A-</v>
      </c>
      <c r="O203" s="83" t="str">
        <f aca="false">IFERROR(IF(INDEX(원자료_잔고!$A$1:$EZ$1500,설정!$L$5+ROW()-1,설정!$L$22)&amp;""="0","",INDEX(원자료_잔고!$A$1:$EZ$1500,설정!$L$5+ROW()-1,설정!$L$22)&amp;""),"")</f>
        <v/>
      </c>
      <c r="P203" s="83" t="str">
        <f aca="false">IFERROR(IF(INDEX(원자료_잔고!$A$1:$EZ$1500,설정!$L$5+ROW()-1,설정!$L$23)&amp;""="0","",INDEX(원자료_잔고!$A$1:$EZ$1500,설정!$L$5+ROW()-1,설정!$L$23)&amp;""),"")</f>
        <v>A-</v>
      </c>
      <c r="Q203" s="89" t="n">
        <f aca="false">IF(AND($A203&lt;&gt;"",ISNUMBER(E203)),IF(E203&gt;0,1,0),0)</f>
        <v>1</v>
      </c>
      <c r="R203" s="43" t="str">
        <f aca="false">IF(Q203=1,UPPER(LEFT($A203,FIND(" ",$A203&amp;" ")-1)),"")</f>
        <v>HYNMTR</v>
      </c>
      <c r="S203" s="89" t="n">
        <f aca="false">IF(Q203=1,IF(OR(ISNUMBER(SEARCH("Float",$A203)),ISNUMBER(SEARCH("FRN",$A203))),1,0),0)</f>
        <v>0</v>
      </c>
      <c r="T203" s="43" t="str">
        <f aca="false">IF(AND(Q203=1,ISNUMBER(I203)),TEXT(I203,"yyyymmdd")&amp;"|"&amp;IF(S203=1,"F",TEXT(J203,"0.000")),"")</f>
        <v>20300327|5.150</v>
      </c>
      <c r="U203" s="90" t="n">
        <f aca="false">IF(AND(Q203=1,ISNUMBER(I203)),(I203-설정!$C$4)/365.25,"")</f>
        <v>3.48528405201917</v>
      </c>
      <c r="V203" s="43" t="str">
        <f aca="false">IF(Q203&lt;&gt;1,"",IF(ISNUMBER(U203),IF(U203&lt;=1,"1년 이하",IF(U203&lt;=2,"1-2년",IF(U203&lt;=3,"2-3년",IF(U203&lt;=4,"3-4년",IF(U203&lt;=5,"4-5년",IF(U203&lt;=7,"5-7년",IF(U203&lt;=10,"7-10년",IF(U203&lt;=20,"10-20년","20년 이상")))))))),"미분류"))</f>
        <v>3-4년</v>
      </c>
      <c r="W203" s="43" t="str">
        <f aca="false">IF(Q203&lt;&gt;1,"",IF(AB203&lt;&gt;"",INDEX(시장분석!$C:$C,AB203),IF(K203=1,"USD","비USD")))</f>
        <v>USD</v>
      </c>
      <c r="X203" s="91" t="n">
        <f aca="false">IF(Q203=1,E203*K203/1000000,0)</f>
        <v>2</v>
      </c>
      <c r="Y203" s="89" t="n">
        <f aca="false">IF(R203="T",1,0)</f>
        <v>0</v>
      </c>
      <c r="Z203" s="92" t="n">
        <f aca="false">IF(Q203&lt;&gt;1,"",IF(AD203=1,IF(ISNUMBER(U203),MAX(U203,0),H203),H203))</f>
        <v>3.0832</v>
      </c>
      <c r="AA203" s="91" t="n">
        <f aca="false">IF(Q203=1,IF(ISNUMBER(L203),L203,0)*K203/1000000,0)</f>
        <v>1.9606</v>
      </c>
      <c r="AB203" s="89" t="n">
        <f aca="false">IF(Q203&lt;&gt;1,"",IFERROR(MATCH(VLOOKUP(B203,매핑!$H$4:$I$15,2,0),시장분석!$A$2:$A$601,0)+1,IFERROR(MATCH(R203&amp;"|"&amp;T203,시장분석!$V$2:$V$601,0)+1,IF(COUNTIF(시장분석!$U$2:$U$601,T203)=1,MATCH(T203,시장분석!$U$2:$U$601,0)+1,""))))</f>
        <v>68</v>
      </c>
      <c r="AC203" s="89" t="n">
        <f aca="false">IF(Q203&lt;&gt;1,0,IF(OR(설정!$C$5="전체",AND(설정!$C$5="선택펀드",IFERROR(COUNTIFS(설정!$F$16:$F$36,C203,설정!$G$16:$G$36,"Y")+COUNTIFS(설정!$F$16:$F$36,VALUE(C203),설정!$G$16:$G$36,"Y"),0)&gt;0),C203&amp;""=설정!$C$5&amp;""),1,0))</f>
        <v>1</v>
      </c>
      <c r="AD203" s="89" t="n">
        <f aca="false">IF(Q203&lt;&gt;1,0,IF(OR(S203=1,IF(AB203="",FALSE(),INDEX(시장분석!$R:$R,AB203)=1)),1,0))</f>
        <v>0</v>
      </c>
      <c r="AE203" s="43" t="str">
        <f aca="false">IF(AB203="","",INDEX(시장분석!$A:$A,AB203))</f>
        <v>HYNMTR 5.15 03/27/30</v>
      </c>
      <c r="AF203" s="93" t="n">
        <f aca="false">IF(AB203="","",IF(ISNUMBER(IF(AB203="","",INDEX(시장분석!$E:$E,AB203))),IF(AB203="","",INDEX(시장분석!$E:$E,AB203)),""))</f>
        <v>74.094</v>
      </c>
      <c r="AG203" s="43" t="str">
        <f aca="false">IF(Q203&lt;&gt;1,"",IF(AB203&lt;&gt;"",IF(AB203="","",INDEX(시장분석!$L:$L,AB203)),IFERROR(IF(VLOOKUP(R203,매핑!$A$4:$E$92,5,0)="","미분류",VLOOKUP(R203,매핑!$A$4:$E$92,5,0)),"미분류")))</f>
        <v>자유 소비재</v>
      </c>
      <c r="AH203" s="43" t="str">
        <f aca="false">IF(Q203&lt;&gt;1,"",IF(AB203&lt;&gt;"",IF(AB203="","",INDEX(시장분석!$N:$N,AB203)),IFERROR(IF(VLOOKUP(R203,매핑!$A$4:$E$92,4,0)="","미분류",VLOOKUP(R203,매핑!$A$4:$E$92,4,0)),"미분류")))</f>
        <v>미국</v>
      </c>
      <c r="AI203" s="43" t="str">
        <f aca="false">IF(Q203&lt;&gt;1,"",IFERROR(IF(VLOOKUP(R203,매핑!$A$4:$E$92,3,0)="","미분류",VLOOKUP(R203,매핑!$A$4:$E$92,3,0)),IF(AB203&lt;&gt;"",IF(AB203="","",INDEX(시장분석!$W:$W,AB203)),"미분류")))</f>
        <v>미국</v>
      </c>
      <c r="AJ203" s="43" t="str">
        <f aca="false">IF(Q203&lt;&gt;1,"",IFERROR(VLOOKUP(IF(N203&lt;&gt;"",N203,IF(P203&lt;&gt;"",P203,O203)),설정!$A$15:$D$47,2,0),""))</f>
        <v>A-</v>
      </c>
      <c r="AK203" s="43" t="str">
        <f aca="false">IF(Q203&lt;&gt;1,"",IF(AJ203="","무등급",IFERROR(VLOOKUP(AJ203,설정!$A$15:$D$47,3,0),"무등급")))</f>
        <v>A</v>
      </c>
      <c r="AL203" s="89" t="n">
        <f aca="false">IF(AJ203="",99,IFERROR(VLOOKUP(AJ203,설정!$A$15:$D$47,4,0),99))</f>
        <v>7</v>
      </c>
      <c r="AM203" s="94" t="n">
        <f aca="false">IF(ISNUMBER(H203),AA203*1000000*H203/10000,0)</f>
        <v>604.492192</v>
      </c>
      <c r="AN203" s="94" t="n">
        <f aca="false">IF(OR(Y203=1,NOT(ISNUMBER(Z203))),0,AA203*1000000*Z203/10000)</f>
        <v>604.492192</v>
      </c>
      <c r="AO203" s="94" t="n">
        <f aca="false">IF(ISNUMBER(G203),AA203*1000000*G203/100,0)</f>
        <v>113334.4436</v>
      </c>
      <c r="AP203" s="94" t="n">
        <f aca="false">IF(ISNUMBER(M203),M203*K203,0)</f>
        <v>-92864</v>
      </c>
      <c r="AQ203" s="95" t="n">
        <f aca="false">IF(AB203="","",INDEX(시장분석!$AK:$AK,AB203))</f>
        <v>0.00907544913486067</v>
      </c>
      <c r="AR203" s="43" t="str">
        <f aca="false">IF(AB203="","-",IF(AB203="","",INDEX(시장분석!$AL:$AL,AB203)))</f>
        <v>Fair</v>
      </c>
      <c r="AS203" s="96" t="n">
        <f aca="false">IF(AB203="","",INDEX(시장분석!$AJ:$AJ,AB203))</f>
        <v>0.0393625494027106</v>
      </c>
      <c r="AT203" s="93" t="n">
        <f aca="false">IF(AB203="",0,IF(AB203="","",INDEX(시장분석!$AN:$AN,AB203)))</f>
        <v>14.9135208817897</v>
      </c>
      <c r="AU203" s="94" t="n">
        <f aca="false">IF(ISNUMBER(Z203),AT203/10000*MAX(Z203-1,0)*AA203*1000000,0)</f>
        <v>6091.16202418714</v>
      </c>
      <c r="AV203" s="94" t="n">
        <f aca="false">AO203+AU203</f>
        <v>119425.605624187</v>
      </c>
      <c r="AW203" s="43" t="str">
        <f aca="false">IF(Q203&lt;&gt;1,"",TRIM(IF(AD203=1,"FRN ","")&amp;IF(AND(AL203&gt;=10,AL203&lt;99),"BBB0미만 ","")&amp;IF(AJ203="","등급없음 ","")&amp;IF(K203&lt;&gt;1,"비USD ","")&amp;IF(AND(AB203="",Y203=0),"시장데이터없음 ","")&amp;IF(AND(ISNUMBER(U203),U203&lt;0),"만기경과 ","")))</f>
        <v/>
      </c>
      <c r="AX203" s="90" t="n">
        <f aca="false">IF(Q203&lt;&gt;1,1,IF(스프레드쇼크!$C$4="Y",INDEX(스프레드쇼크!$B$12:$L$16,IFERROR(MATCH(AH203,스프레드쇼크!$A$12:$A$16,0),MATCH("목록외",스프레드쇼크!$A$12:$A$16,0)),IFERROR(MATCH(AG203,스프레드쇼크!$B$11:$L$11,0),MATCH("목록외",스프레드쇼크!$B$11:$L$11,0))),1))</f>
        <v>1</v>
      </c>
      <c r="AY203" s="90" t="n">
        <f aca="false">IF(스프레드쇼크!$C$5="Y",IF(ISNUMBER(AF203),MIN(스프레드쇼크!$C$7,MAX(스프레드쇼크!$C$6,AF203/스프레드쇼크!$C$8)),1),1)</f>
        <v>1.12070050489144</v>
      </c>
      <c r="AZ203" s="94" t="n">
        <f aca="false">AN203*AX203*AY203</f>
        <v>677.454704777335</v>
      </c>
      <c r="BA203" s="90" t="n">
        <f aca="false">IF(ISNUMBER(G203),AA203*G203,0)</f>
        <v>11.33344436</v>
      </c>
      <c r="BB203" s="90" t="n">
        <f aca="false">IF(ISNUMBER(G203),AA203,0)</f>
        <v>1.9606</v>
      </c>
      <c r="BC203" s="90" t="n">
        <f aca="false">IF(AND(Y203=0,ISNUMBER(AF203)),AA203*AF203,0)</f>
        <v>145.2686964</v>
      </c>
      <c r="BD203" s="90" t="n">
        <f aca="false">IF(AND(Y203=0,ISNUMBER(AF203)),AA203,0)</f>
        <v>1.9606</v>
      </c>
      <c r="BE203" s="90" t="n">
        <f aca="false">IF(ISNUMBER(H203),AA203*H203,0)</f>
        <v>6.04492192</v>
      </c>
      <c r="BF203" s="90" t="n">
        <f aca="false">IF(ISNUMBER(H203),AA203,0)</f>
        <v>1.9606</v>
      </c>
      <c r="BG203" s="90" t="n">
        <f aca="false">IF(AND(Y203=0,ISNUMBER(AF203),ISNUMBER(Z203)),AA203*Z203,0)</f>
        <v>6.04492192</v>
      </c>
      <c r="BH203" s="90" t="n">
        <f aca="false">IF(AND(Y203=0,ISNUMBER(AF203),ISNUMBER(Z203)),AA203*AT203*MAX(Z203-1,0),0)</f>
        <v>60.9116202418714</v>
      </c>
      <c r="BI203" s="90" t="n">
        <f aca="false">IF(Y203=0,AA203,0)</f>
        <v>1.9606</v>
      </c>
    </row>
    <row r="204" customFormat="false" ht="15" hidden="false" customHeight="false" outlineLevel="0" collapsed="false">
      <c r="A204" s="83" t="str">
        <f aca="false">IFERROR(IF(INDEX(원자료_잔고!$A$1:$EZ$1500,설정!$L$5+ROW()-1,설정!$L$8)&amp;""="0","",INDEX(원자료_잔고!$A$1:$EZ$1500,설정!$L$5+ROW()-1,설정!$L$8)&amp;""),"")</f>
        <v>HYNMTR 5.15 03/27/30</v>
      </c>
      <c r="B204" s="83" t="str">
        <f aca="false">IFERROR(IF(INDEX(원자료_잔고!$A$1:$EZ$1500,설정!$L$5+ROW()-1,설정!$L$7)&amp;""="0","",INDEX(원자료_잔고!$A$1:$EZ$1500,설정!$L$5+ROW()-1,설정!$L$7)&amp;""),"")</f>
        <v>US44891CDQ33</v>
      </c>
      <c r="C204" s="83" t="str">
        <f aca="false">IFERROR(IF(INDEX(원자료_잔고!$A$1:$EZ$1500,설정!$L$5+ROW()-1,설정!$L$9)&amp;""="0","",INDEX(원자료_잔고!$A$1:$EZ$1500,설정!$L$5+ROW()-1,설정!$L$9)&amp;""),"")</f>
        <v>34578</v>
      </c>
      <c r="D20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4" s="84" t="n">
        <f aca="false">IFERROR(IF(ISNUMBER(INDEX(원자료_잔고!$A$1:$EZ$1500,설정!$L$5+ROW()-1,설정!$L$11)),INDEX(원자료_잔고!$A$1:$EZ$1500,설정!$L$5+ROW()-1,설정!$L$11),""),"")</f>
        <v>5000000</v>
      </c>
      <c r="F204" s="85" t="n">
        <f aca="false">IFERROR(IF(ISNUMBER(INDEX(원자료_잔고!$A$1:$EZ$1500,설정!$L$5+ROW()-1,설정!$L$12)),INDEX(원자료_잔고!$A$1:$EZ$1500,설정!$L$5+ROW()-1,설정!$L$12),""),"")</f>
        <v>98.03</v>
      </c>
      <c r="G204" s="85" t="n">
        <f aca="false">IFERROR(IF(ISNUMBER(INDEX(원자료_잔고!$A$1:$EZ$1500,설정!$L$5+ROW()-1,설정!$L$13)),INDEX(원자료_잔고!$A$1:$EZ$1500,설정!$L$5+ROW()-1,설정!$L$13),""),"")</f>
        <v>5.7806</v>
      </c>
      <c r="H204" s="85" t="n">
        <f aca="false">IFERROR(IF(ISNUMBER(INDEX(원자료_잔고!$A$1:$EZ$1500,설정!$L$5+ROW()-1,설정!$L$14)),INDEX(원자료_잔고!$A$1:$EZ$1500,설정!$L$5+ROW()-1,설정!$L$14),""),"")</f>
        <v>3.0832</v>
      </c>
      <c r="I204" s="86" t="n">
        <f aca="false">IFERROR(IF(ISNUMBER(INDEX(원자료_잔고!$A$1:$EZ$1500,설정!$L$5+ROW()-1,설정!$L$15)),INDEX(원자료_잔고!$A$1:$EZ$1500,설정!$L$5+ROW()-1,설정!$L$15),""),"")</f>
        <v>47569</v>
      </c>
      <c r="J204" s="85" t="n">
        <f aca="false">IFERROR(IF(ISNUMBER(INDEX(원자료_잔고!$A$1:$EZ$1500,설정!$L$5+ROW()-1,설정!$L$16)),INDEX(원자료_잔고!$A$1:$EZ$1500,설정!$L$5+ROW()-1,설정!$L$16),""),"")</f>
        <v>5.15</v>
      </c>
      <c r="K204" s="87" t="n">
        <f aca="false">IFERROR(IF(ISNUMBER(INDEX(원자료_잔고!$A$1:$EZ$1500,설정!$L$5+ROW()-1,설정!$L$17)),INDEX(원자료_잔고!$A$1:$EZ$1500,설정!$L$5+ROW()-1,설정!$L$17),""),"")</f>
        <v>1</v>
      </c>
      <c r="L204" s="84" t="n">
        <f aca="false">IFERROR(IF(ISNUMBER(INDEX(원자료_잔고!$A$1:$EZ$1500,설정!$L$5+ROW()-1,설정!$L$18)),INDEX(원자료_잔고!$A$1:$EZ$1500,설정!$L$5+ROW()-1,설정!$L$18),""),"")</f>
        <v>4901500</v>
      </c>
      <c r="M204" s="88" t="n">
        <f aca="false">IFERROR(IF(ISNUMBER(INDEX(원자료_잔고!$A$1:$EZ$1500,설정!$L$5+ROW()-1,설정!$L$19)),INDEX(원자료_잔고!$A$1:$EZ$1500,설정!$L$5+ROW()-1,설정!$L$19),""),"")</f>
        <v>-232160</v>
      </c>
      <c r="N204" s="83" t="str">
        <f aca="false">IFERROR(IF(INDEX(원자료_잔고!$A$1:$EZ$1500,설정!$L$5+ROW()-1,설정!$L$21)&amp;""="0","",INDEX(원자료_잔고!$A$1:$EZ$1500,설정!$L$5+ROW()-1,설정!$L$21)&amp;""),"")</f>
        <v>A-</v>
      </c>
      <c r="O204" s="83" t="str">
        <f aca="false">IFERROR(IF(INDEX(원자료_잔고!$A$1:$EZ$1500,설정!$L$5+ROW()-1,설정!$L$22)&amp;""="0","",INDEX(원자료_잔고!$A$1:$EZ$1500,설정!$L$5+ROW()-1,설정!$L$22)&amp;""),"")</f>
        <v/>
      </c>
      <c r="P204" s="83" t="str">
        <f aca="false">IFERROR(IF(INDEX(원자료_잔고!$A$1:$EZ$1500,설정!$L$5+ROW()-1,설정!$L$23)&amp;""="0","",INDEX(원자료_잔고!$A$1:$EZ$1500,설정!$L$5+ROW()-1,설정!$L$23)&amp;""),"")</f>
        <v>A-</v>
      </c>
      <c r="Q204" s="89" t="n">
        <f aca="false">IF(AND($A204&lt;&gt;"",ISNUMBER(E204)),IF(E204&gt;0,1,0),0)</f>
        <v>1</v>
      </c>
      <c r="R204" s="43" t="str">
        <f aca="false">IF(Q204=1,UPPER(LEFT($A204,FIND(" ",$A204&amp;" ")-1)),"")</f>
        <v>HYNMTR</v>
      </c>
      <c r="S204" s="89" t="n">
        <f aca="false">IF(Q204=1,IF(OR(ISNUMBER(SEARCH("Float",$A204)),ISNUMBER(SEARCH("FRN",$A204))),1,0),0)</f>
        <v>0</v>
      </c>
      <c r="T204" s="43" t="str">
        <f aca="false">IF(AND(Q204=1,ISNUMBER(I204)),TEXT(I204,"yyyymmdd")&amp;"|"&amp;IF(S204=1,"F",TEXT(J204,"0.000")),"")</f>
        <v>20300327|5.150</v>
      </c>
      <c r="U204" s="90" t="n">
        <f aca="false">IF(AND(Q204=1,ISNUMBER(I204)),(I204-설정!$C$4)/365.25,"")</f>
        <v>3.48528405201917</v>
      </c>
      <c r="V204" s="43" t="str">
        <f aca="false">IF(Q204&lt;&gt;1,"",IF(ISNUMBER(U204),IF(U204&lt;=1,"1년 이하",IF(U204&lt;=2,"1-2년",IF(U204&lt;=3,"2-3년",IF(U204&lt;=4,"3-4년",IF(U204&lt;=5,"4-5년",IF(U204&lt;=7,"5-7년",IF(U204&lt;=10,"7-10년",IF(U204&lt;=20,"10-20년","20년 이상")))))))),"미분류"))</f>
        <v>3-4년</v>
      </c>
      <c r="W204" s="43" t="str">
        <f aca="false">IF(Q204&lt;&gt;1,"",IF(AB204&lt;&gt;"",INDEX(시장분석!$C:$C,AB204),IF(K204=1,"USD","비USD")))</f>
        <v>USD</v>
      </c>
      <c r="X204" s="91" t="n">
        <f aca="false">IF(Q204=1,E204*K204/1000000,0)</f>
        <v>5</v>
      </c>
      <c r="Y204" s="89" t="n">
        <f aca="false">IF(R204="T",1,0)</f>
        <v>0</v>
      </c>
      <c r="Z204" s="92" t="n">
        <f aca="false">IF(Q204&lt;&gt;1,"",IF(AD204=1,IF(ISNUMBER(U204),MAX(U204,0),H204),H204))</f>
        <v>3.0832</v>
      </c>
      <c r="AA204" s="91" t="n">
        <f aca="false">IF(Q204=1,IF(ISNUMBER(L204),L204,0)*K204/1000000,0)</f>
        <v>4.9015</v>
      </c>
      <c r="AB204" s="89" t="n">
        <f aca="false">IF(Q204&lt;&gt;1,"",IFERROR(MATCH(VLOOKUP(B204,매핑!$H$4:$I$15,2,0),시장분석!$A$2:$A$601,0)+1,IFERROR(MATCH(R204&amp;"|"&amp;T204,시장분석!$V$2:$V$601,0)+1,IF(COUNTIF(시장분석!$U$2:$U$601,T204)=1,MATCH(T204,시장분석!$U$2:$U$601,0)+1,""))))</f>
        <v>68</v>
      </c>
      <c r="AC204" s="89" t="n">
        <f aca="false">IF(Q204&lt;&gt;1,0,IF(OR(설정!$C$5="전체",AND(설정!$C$5="선택펀드",IFERROR(COUNTIFS(설정!$F$16:$F$36,C204,설정!$G$16:$G$36,"Y")+COUNTIFS(설정!$F$16:$F$36,VALUE(C204),설정!$G$16:$G$36,"Y"),0)&gt;0),C204&amp;""=설정!$C$5&amp;""),1,0))</f>
        <v>1</v>
      </c>
      <c r="AD204" s="89" t="n">
        <f aca="false">IF(Q204&lt;&gt;1,0,IF(OR(S204=1,IF(AB204="",FALSE(),INDEX(시장분석!$R:$R,AB204)=1)),1,0))</f>
        <v>0</v>
      </c>
      <c r="AE204" s="43" t="str">
        <f aca="false">IF(AB204="","",INDEX(시장분석!$A:$A,AB204))</f>
        <v>HYNMTR 5.15 03/27/30</v>
      </c>
      <c r="AF204" s="93" t="n">
        <f aca="false">IF(AB204="","",IF(ISNUMBER(IF(AB204="","",INDEX(시장분석!$E:$E,AB204))),IF(AB204="","",INDEX(시장분석!$E:$E,AB204)),""))</f>
        <v>74.094</v>
      </c>
      <c r="AG204" s="43" t="str">
        <f aca="false">IF(Q204&lt;&gt;1,"",IF(AB204&lt;&gt;"",IF(AB204="","",INDEX(시장분석!$L:$L,AB204)),IFERROR(IF(VLOOKUP(R204,매핑!$A$4:$E$92,5,0)="","미분류",VLOOKUP(R204,매핑!$A$4:$E$92,5,0)),"미분류")))</f>
        <v>자유 소비재</v>
      </c>
      <c r="AH204" s="43" t="str">
        <f aca="false">IF(Q204&lt;&gt;1,"",IF(AB204&lt;&gt;"",IF(AB204="","",INDEX(시장분석!$N:$N,AB204)),IFERROR(IF(VLOOKUP(R204,매핑!$A$4:$E$92,4,0)="","미분류",VLOOKUP(R204,매핑!$A$4:$E$92,4,0)),"미분류")))</f>
        <v>미국</v>
      </c>
      <c r="AI204" s="43" t="str">
        <f aca="false">IF(Q204&lt;&gt;1,"",IFERROR(IF(VLOOKUP(R204,매핑!$A$4:$E$92,3,0)="","미분류",VLOOKUP(R204,매핑!$A$4:$E$92,3,0)),IF(AB204&lt;&gt;"",IF(AB204="","",INDEX(시장분석!$W:$W,AB204)),"미분류")))</f>
        <v>미국</v>
      </c>
      <c r="AJ204" s="43" t="str">
        <f aca="false">IF(Q204&lt;&gt;1,"",IFERROR(VLOOKUP(IF(N204&lt;&gt;"",N204,IF(P204&lt;&gt;"",P204,O204)),설정!$A$15:$D$47,2,0),""))</f>
        <v>A-</v>
      </c>
      <c r="AK204" s="43" t="str">
        <f aca="false">IF(Q204&lt;&gt;1,"",IF(AJ204="","무등급",IFERROR(VLOOKUP(AJ204,설정!$A$15:$D$47,3,0),"무등급")))</f>
        <v>A</v>
      </c>
      <c r="AL204" s="89" t="n">
        <f aca="false">IF(AJ204="",99,IFERROR(VLOOKUP(AJ204,설정!$A$15:$D$47,4,0),99))</f>
        <v>7</v>
      </c>
      <c r="AM204" s="94" t="n">
        <f aca="false">IF(ISNUMBER(H204),AA204*1000000*H204/10000,0)</f>
        <v>1511.23048</v>
      </c>
      <c r="AN204" s="94" t="n">
        <f aca="false">IF(OR(Y204=1,NOT(ISNUMBER(Z204))),0,AA204*1000000*Z204/10000)</f>
        <v>1511.23048</v>
      </c>
      <c r="AO204" s="94" t="n">
        <f aca="false">IF(ISNUMBER(G204),AA204*1000000*G204/100,0)</f>
        <v>283336.109</v>
      </c>
      <c r="AP204" s="94" t="n">
        <f aca="false">IF(ISNUMBER(M204),M204*K204,0)</f>
        <v>-232160</v>
      </c>
      <c r="AQ204" s="95" t="n">
        <f aca="false">IF(AB204="","",INDEX(시장분석!$AK:$AK,AB204))</f>
        <v>0.00907544913486067</v>
      </c>
      <c r="AR204" s="43" t="str">
        <f aca="false">IF(AB204="","-",IF(AB204="","",INDEX(시장분석!$AL:$AL,AB204)))</f>
        <v>Fair</v>
      </c>
      <c r="AS204" s="96" t="n">
        <f aca="false">IF(AB204="","",INDEX(시장분석!$AJ:$AJ,AB204))</f>
        <v>0.0393625494027106</v>
      </c>
      <c r="AT204" s="93" t="n">
        <f aca="false">IF(AB204="",0,IF(AB204="","",INDEX(시장분석!$AN:$AN,AB204)))</f>
        <v>14.9135208817897</v>
      </c>
      <c r="AU204" s="94" t="n">
        <f aca="false">IF(ISNUMBER(Z204),AT204/10000*MAX(Z204-1,0)*AA204*1000000,0)</f>
        <v>15227.9050604679</v>
      </c>
      <c r="AV204" s="94" t="n">
        <f aca="false">AO204+AU204</f>
        <v>298564.014060468</v>
      </c>
      <c r="AW204" s="43" t="str">
        <f aca="false">IF(Q204&lt;&gt;1,"",TRIM(IF(AD204=1,"FRN ","")&amp;IF(AND(AL204&gt;=10,AL204&lt;99),"BBB0미만 ","")&amp;IF(AJ204="","등급없음 ","")&amp;IF(K204&lt;&gt;1,"비USD ","")&amp;IF(AND(AB204="",Y204=0),"시장데이터없음 ","")&amp;IF(AND(ISNUMBER(U204),U204&lt;0),"만기경과 ","")))</f>
        <v/>
      </c>
      <c r="AX204" s="90" t="n">
        <f aca="false">IF(Q204&lt;&gt;1,1,IF(스프레드쇼크!$C$4="Y",INDEX(스프레드쇼크!$B$12:$L$16,IFERROR(MATCH(AH204,스프레드쇼크!$A$12:$A$16,0),MATCH("목록외",스프레드쇼크!$A$12:$A$16,0)),IFERROR(MATCH(AG204,스프레드쇼크!$B$11:$L$11,0),MATCH("목록외",스프레드쇼크!$B$11:$L$11,0))),1))</f>
        <v>1</v>
      </c>
      <c r="AY204" s="90" t="n">
        <f aca="false">IF(스프레드쇼크!$C$5="Y",IF(ISNUMBER(AF204),MIN(스프레드쇼크!$C$7,MAX(스프레드쇼크!$C$6,AF204/스프레드쇼크!$C$8)),1),1)</f>
        <v>1.12070050489144</v>
      </c>
      <c r="AZ204" s="94" t="n">
        <f aca="false">AN204*AX204*AY204</f>
        <v>1693.63676194334</v>
      </c>
      <c r="BA204" s="90" t="n">
        <f aca="false">IF(ISNUMBER(G204),AA204*G204,0)</f>
        <v>28.3336109</v>
      </c>
      <c r="BB204" s="90" t="n">
        <f aca="false">IF(ISNUMBER(G204),AA204,0)</f>
        <v>4.9015</v>
      </c>
      <c r="BC204" s="90" t="n">
        <f aca="false">IF(AND(Y204=0,ISNUMBER(AF204)),AA204*AF204,0)</f>
        <v>363.171741</v>
      </c>
      <c r="BD204" s="90" t="n">
        <f aca="false">IF(AND(Y204=0,ISNUMBER(AF204)),AA204,0)</f>
        <v>4.9015</v>
      </c>
      <c r="BE204" s="90" t="n">
        <f aca="false">IF(ISNUMBER(H204),AA204*H204,0)</f>
        <v>15.1123048</v>
      </c>
      <c r="BF204" s="90" t="n">
        <f aca="false">IF(ISNUMBER(H204),AA204,0)</f>
        <v>4.9015</v>
      </c>
      <c r="BG204" s="90" t="n">
        <f aca="false">IF(AND(Y204=0,ISNUMBER(AF204),ISNUMBER(Z204)),AA204*Z204,0)</f>
        <v>15.1123048</v>
      </c>
      <c r="BH204" s="90" t="n">
        <f aca="false">IF(AND(Y204=0,ISNUMBER(AF204),ISNUMBER(Z204)),AA204*AT204*MAX(Z204-1,0),0)</f>
        <v>152.279050604679</v>
      </c>
      <c r="BI204" s="90" t="n">
        <f aca="false">IF(Y204=0,AA204,0)</f>
        <v>4.9015</v>
      </c>
    </row>
    <row r="205" customFormat="false" ht="15" hidden="false" customHeight="false" outlineLevel="0" collapsed="false">
      <c r="A205" s="83" t="str">
        <f aca="false">IFERROR(IF(INDEX(원자료_잔고!$A$1:$EZ$1500,설정!$L$5+ROW()-1,설정!$L$8)&amp;""="0","",INDEX(원자료_잔고!$A$1:$EZ$1500,설정!$L$5+ROW()-1,설정!$L$8)&amp;""),"")</f>
        <v>HYNMTR 5.15 03/27/30</v>
      </c>
      <c r="B205" s="83" t="str">
        <f aca="false">IFERROR(IF(INDEX(원자료_잔고!$A$1:$EZ$1500,설정!$L$5+ROW()-1,설정!$L$7)&amp;""="0","",INDEX(원자료_잔고!$A$1:$EZ$1500,설정!$L$5+ROW()-1,설정!$L$7)&amp;""),"")</f>
        <v>US44891CDQ33</v>
      </c>
      <c r="C205" s="83" t="str">
        <f aca="false">IFERROR(IF(INDEX(원자료_잔고!$A$1:$EZ$1500,설정!$L$5+ROW()-1,설정!$L$9)&amp;""="0","",INDEX(원자료_잔고!$A$1:$EZ$1500,설정!$L$5+ROW()-1,설정!$L$9)&amp;""),"")</f>
        <v>34578</v>
      </c>
      <c r="D20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5" s="84" t="n">
        <f aca="false">IFERROR(IF(ISNUMBER(INDEX(원자료_잔고!$A$1:$EZ$1500,설정!$L$5+ROW()-1,설정!$L$11)),INDEX(원자료_잔고!$A$1:$EZ$1500,설정!$L$5+ROW()-1,설정!$L$11),""),"")</f>
        <v>10000000</v>
      </c>
      <c r="F205" s="85" t="n">
        <f aca="false">IFERROR(IF(ISNUMBER(INDEX(원자료_잔고!$A$1:$EZ$1500,설정!$L$5+ROW()-1,설정!$L$12)),INDEX(원자료_잔고!$A$1:$EZ$1500,설정!$L$5+ROW()-1,설정!$L$12),""),"")</f>
        <v>98.03</v>
      </c>
      <c r="G205" s="85" t="n">
        <f aca="false">IFERROR(IF(ISNUMBER(INDEX(원자료_잔고!$A$1:$EZ$1500,설정!$L$5+ROW()-1,설정!$L$13)),INDEX(원자료_잔고!$A$1:$EZ$1500,설정!$L$5+ROW()-1,설정!$L$13),""),"")</f>
        <v>5.7806</v>
      </c>
      <c r="H205" s="85" t="n">
        <f aca="false">IFERROR(IF(ISNUMBER(INDEX(원자료_잔고!$A$1:$EZ$1500,설정!$L$5+ROW()-1,설정!$L$14)),INDEX(원자료_잔고!$A$1:$EZ$1500,설정!$L$5+ROW()-1,설정!$L$14),""),"")</f>
        <v>3.0832</v>
      </c>
      <c r="I205" s="86" t="n">
        <f aca="false">IFERROR(IF(ISNUMBER(INDEX(원자료_잔고!$A$1:$EZ$1500,설정!$L$5+ROW()-1,설정!$L$15)),INDEX(원자료_잔고!$A$1:$EZ$1500,설정!$L$5+ROW()-1,설정!$L$15),""),"")</f>
        <v>47569</v>
      </c>
      <c r="J205" s="85" t="n">
        <f aca="false">IFERROR(IF(ISNUMBER(INDEX(원자료_잔고!$A$1:$EZ$1500,설정!$L$5+ROW()-1,설정!$L$16)),INDEX(원자료_잔고!$A$1:$EZ$1500,설정!$L$5+ROW()-1,설정!$L$16),""),"")</f>
        <v>5.15</v>
      </c>
      <c r="K205" s="87" t="n">
        <f aca="false">IFERROR(IF(ISNUMBER(INDEX(원자료_잔고!$A$1:$EZ$1500,설정!$L$5+ROW()-1,설정!$L$17)),INDEX(원자료_잔고!$A$1:$EZ$1500,설정!$L$5+ROW()-1,설정!$L$17),""),"")</f>
        <v>1</v>
      </c>
      <c r="L205" s="84" t="n">
        <f aca="false">IFERROR(IF(ISNUMBER(INDEX(원자료_잔고!$A$1:$EZ$1500,설정!$L$5+ROW()-1,설정!$L$18)),INDEX(원자료_잔고!$A$1:$EZ$1500,설정!$L$5+ROW()-1,설정!$L$18),""),"")</f>
        <v>9803000</v>
      </c>
      <c r="M205" s="88" t="n">
        <f aca="false">IFERROR(IF(ISNUMBER(INDEX(원자료_잔고!$A$1:$EZ$1500,설정!$L$5+ROW()-1,설정!$L$19)),INDEX(원자료_잔고!$A$1:$EZ$1500,설정!$L$5+ROW()-1,설정!$L$19),""),"")</f>
        <v>-65300</v>
      </c>
      <c r="N205" s="83" t="str">
        <f aca="false">IFERROR(IF(INDEX(원자료_잔고!$A$1:$EZ$1500,설정!$L$5+ROW()-1,설정!$L$21)&amp;""="0","",INDEX(원자료_잔고!$A$1:$EZ$1500,설정!$L$5+ROW()-1,설정!$L$21)&amp;""),"")</f>
        <v>A-</v>
      </c>
      <c r="O205" s="83" t="str">
        <f aca="false">IFERROR(IF(INDEX(원자료_잔고!$A$1:$EZ$1500,설정!$L$5+ROW()-1,설정!$L$22)&amp;""="0","",INDEX(원자료_잔고!$A$1:$EZ$1500,설정!$L$5+ROW()-1,설정!$L$22)&amp;""),"")</f>
        <v/>
      </c>
      <c r="P205" s="83" t="str">
        <f aca="false">IFERROR(IF(INDEX(원자료_잔고!$A$1:$EZ$1500,설정!$L$5+ROW()-1,설정!$L$23)&amp;""="0","",INDEX(원자료_잔고!$A$1:$EZ$1500,설정!$L$5+ROW()-1,설정!$L$23)&amp;""),"")</f>
        <v>A-</v>
      </c>
      <c r="Q205" s="89" t="n">
        <f aca="false">IF(AND($A205&lt;&gt;"",ISNUMBER(E205)),IF(E205&gt;0,1,0),0)</f>
        <v>1</v>
      </c>
      <c r="R205" s="43" t="str">
        <f aca="false">IF(Q205=1,UPPER(LEFT($A205,FIND(" ",$A205&amp;" ")-1)),"")</f>
        <v>HYNMTR</v>
      </c>
      <c r="S205" s="89" t="n">
        <f aca="false">IF(Q205=1,IF(OR(ISNUMBER(SEARCH("Float",$A205)),ISNUMBER(SEARCH("FRN",$A205))),1,0),0)</f>
        <v>0</v>
      </c>
      <c r="T205" s="43" t="str">
        <f aca="false">IF(AND(Q205=1,ISNUMBER(I205)),TEXT(I205,"yyyymmdd")&amp;"|"&amp;IF(S205=1,"F",TEXT(J205,"0.000")),"")</f>
        <v>20300327|5.150</v>
      </c>
      <c r="U205" s="90" t="n">
        <f aca="false">IF(AND(Q205=1,ISNUMBER(I205)),(I205-설정!$C$4)/365.25,"")</f>
        <v>3.48528405201917</v>
      </c>
      <c r="V205" s="43" t="str">
        <f aca="false">IF(Q205&lt;&gt;1,"",IF(ISNUMBER(U205),IF(U205&lt;=1,"1년 이하",IF(U205&lt;=2,"1-2년",IF(U205&lt;=3,"2-3년",IF(U205&lt;=4,"3-4년",IF(U205&lt;=5,"4-5년",IF(U205&lt;=7,"5-7년",IF(U205&lt;=10,"7-10년",IF(U205&lt;=20,"10-20년","20년 이상")))))))),"미분류"))</f>
        <v>3-4년</v>
      </c>
      <c r="W205" s="43" t="str">
        <f aca="false">IF(Q205&lt;&gt;1,"",IF(AB205&lt;&gt;"",INDEX(시장분석!$C:$C,AB205),IF(K205=1,"USD","비USD")))</f>
        <v>USD</v>
      </c>
      <c r="X205" s="91" t="n">
        <f aca="false">IF(Q205=1,E205*K205/1000000,0)</f>
        <v>10</v>
      </c>
      <c r="Y205" s="89" t="n">
        <f aca="false">IF(R205="T",1,0)</f>
        <v>0</v>
      </c>
      <c r="Z205" s="92" t="n">
        <f aca="false">IF(Q205&lt;&gt;1,"",IF(AD205=1,IF(ISNUMBER(U205),MAX(U205,0),H205),H205))</f>
        <v>3.0832</v>
      </c>
      <c r="AA205" s="91" t="n">
        <f aca="false">IF(Q205=1,IF(ISNUMBER(L205),L205,0)*K205/1000000,0)</f>
        <v>9.803</v>
      </c>
      <c r="AB205" s="89" t="n">
        <f aca="false">IF(Q205&lt;&gt;1,"",IFERROR(MATCH(VLOOKUP(B205,매핑!$H$4:$I$15,2,0),시장분석!$A$2:$A$601,0)+1,IFERROR(MATCH(R205&amp;"|"&amp;T205,시장분석!$V$2:$V$601,0)+1,IF(COUNTIF(시장분석!$U$2:$U$601,T205)=1,MATCH(T205,시장분석!$U$2:$U$601,0)+1,""))))</f>
        <v>68</v>
      </c>
      <c r="AC205" s="89" t="n">
        <f aca="false">IF(Q205&lt;&gt;1,0,IF(OR(설정!$C$5="전체",AND(설정!$C$5="선택펀드",IFERROR(COUNTIFS(설정!$F$16:$F$36,C205,설정!$G$16:$G$36,"Y")+COUNTIFS(설정!$F$16:$F$36,VALUE(C205),설정!$G$16:$G$36,"Y"),0)&gt;0),C205&amp;""=설정!$C$5&amp;""),1,0))</f>
        <v>1</v>
      </c>
      <c r="AD205" s="89" t="n">
        <f aca="false">IF(Q205&lt;&gt;1,0,IF(OR(S205=1,IF(AB205="",FALSE(),INDEX(시장분석!$R:$R,AB205)=1)),1,0))</f>
        <v>0</v>
      </c>
      <c r="AE205" s="43" t="str">
        <f aca="false">IF(AB205="","",INDEX(시장분석!$A:$A,AB205))</f>
        <v>HYNMTR 5.15 03/27/30</v>
      </c>
      <c r="AF205" s="93" t="n">
        <f aca="false">IF(AB205="","",IF(ISNUMBER(IF(AB205="","",INDEX(시장분석!$E:$E,AB205))),IF(AB205="","",INDEX(시장분석!$E:$E,AB205)),""))</f>
        <v>74.094</v>
      </c>
      <c r="AG205" s="43" t="str">
        <f aca="false">IF(Q205&lt;&gt;1,"",IF(AB205&lt;&gt;"",IF(AB205="","",INDEX(시장분석!$L:$L,AB205)),IFERROR(IF(VLOOKUP(R205,매핑!$A$4:$E$92,5,0)="","미분류",VLOOKUP(R205,매핑!$A$4:$E$92,5,0)),"미분류")))</f>
        <v>자유 소비재</v>
      </c>
      <c r="AH205" s="43" t="str">
        <f aca="false">IF(Q205&lt;&gt;1,"",IF(AB205&lt;&gt;"",IF(AB205="","",INDEX(시장분석!$N:$N,AB205)),IFERROR(IF(VLOOKUP(R205,매핑!$A$4:$E$92,4,0)="","미분류",VLOOKUP(R205,매핑!$A$4:$E$92,4,0)),"미분류")))</f>
        <v>미국</v>
      </c>
      <c r="AI205" s="43" t="str">
        <f aca="false">IF(Q205&lt;&gt;1,"",IFERROR(IF(VLOOKUP(R205,매핑!$A$4:$E$92,3,0)="","미분류",VLOOKUP(R205,매핑!$A$4:$E$92,3,0)),IF(AB205&lt;&gt;"",IF(AB205="","",INDEX(시장분석!$W:$W,AB205)),"미분류")))</f>
        <v>미국</v>
      </c>
      <c r="AJ205" s="43" t="str">
        <f aca="false">IF(Q205&lt;&gt;1,"",IFERROR(VLOOKUP(IF(N205&lt;&gt;"",N205,IF(P205&lt;&gt;"",P205,O205)),설정!$A$15:$D$47,2,0),""))</f>
        <v>A-</v>
      </c>
      <c r="AK205" s="43" t="str">
        <f aca="false">IF(Q205&lt;&gt;1,"",IF(AJ205="","무등급",IFERROR(VLOOKUP(AJ205,설정!$A$15:$D$47,3,0),"무등급")))</f>
        <v>A</v>
      </c>
      <c r="AL205" s="89" t="n">
        <f aca="false">IF(AJ205="",99,IFERROR(VLOOKUP(AJ205,설정!$A$15:$D$47,4,0),99))</f>
        <v>7</v>
      </c>
      <c r="AM205" s="94" t="n">
        <f aca="false">IF(ISNUMBER(H205),AA205*1000000*H205/10000,0)</f>
        <v>3022.46096</v>
      </c>
      <c r="AN205" s="94" t="n">
        <f aca="false">IF(OR(Y205=1,NOT(ISNUMBER(Z205))),0,AA205*1000000*Z205/10000)</f>
        <v>3022.46096</v>
      </c>
      <c r="AO205" s="94" t="n">
        <f aca="false">IF(ISNUMBER(G205),AA205*1000000*G205/100,0)</f>
        <v>566672.218</v>
      </c>
      <c r="AP205" s="94" t="n">
        <f aca="false">IF(ISNUMBER(M205),M205*K205,0)</f>
        <v>-65300</v>
      </c>
      <c r="AQ205" s="95" t="n">
        <f aca="false">IF(AB205="","",INDEX(시장분석!$AK:$AK,AB205))</f>
        <v>0.00907544913486067</v>
      </c>
      <c r="AR205" s="43" t="str">
        <f aca="false">IF(AB205="","-",IF(AB205="","",INDEX(시장분석!$AL:$AL,AB205)))</f>
        <v>Fair</v>
      </c>
      <c r="AS205" s="96" t="n">
        <f aca="false">IF(AB205="","",INDEX(시장분석!$AJ:$AJ,AB205))</f>
        <v>0.0393625494027106</v>
      </c>
      <c r="AT205" s="93" t="n">
        <f aca="false">IF(AB205="",0,IF(AB205="","",INDEX(시장분석!$AN:$AN,AB205)))</f>
        <v>14.9135208817897</v>
      </c>
      <c r="AU205" s="94" t="n">
        <f aca="false">IF(ISNUMBER(Z205),AT205/10000*MAX(Z205-1,0)*AA205*1000000,0)</f>
        <v>30455.8101209357</v>
      </c>
      <c r="AV205" s="94" t="n">
        <f aca="false">AO205+AU205</f>
        <v>597128.028120936</v>
      </c>
      <c r="AW205" s="43" t="str">
        <f aca="false">IF(Q205&lt;&gt;1,"",TRIM(IF(AD205=1,"FRN ","")&amp;IF(AND(AL205&gt;=10,AL205&lt;99),"BBB0미만 ","")&amp;IF(AJ205="","등급없음 ","")&amp;IF(K205&lt;&gt;1,"비USD ","")&amp;IF(AND(AB205="",Y205=0),"시장데이터없음 ","")&amp;IF(AND(ISNUMBER(U205),U205&lt;0),"만기경과 ","")))</f>
        <v/>
      </c>
      <c r="AX205" s="90" t="n">
        <f aca="false">IF(Q205&lt;&gt;1,1,IF(스프레드쇼크!$C$4="Y",INDEX(스프레드쇼크!$B$12:$L$16,IFERROR(MATCH(AH205,스프레드쇼크!$A$12:$A$16,0),MATCH("목록외",스프레드쇼크!$A$12:$A$16,0)),IFERROR(MATCH(AG205,스프레드쇼크!$B$11:$L$11,0),MATCH("목록외",스프레드쇼크!$B$11:$L$11,0))),1))</f>
        <v>1</v>
      </c>
      <c r="AY205" s="90" t="n">
        <f aca="false">IF(스프레드쇼크!$C$5="Y",IF(ISNUMBER(AF205),MIN(스프레드쇼크!$C$7,MAX(스프레드쇼크!$C$6,AF205/스프레드쇼크!$C$8)),1),1)</f>
        <v>1.12070050489144</v>
      </c>
      <c r="AZ205" s="94" t="n">
        <f aca="false">AN205*AX205*AY205</f>
        <v>3387.27352388668</v>
      </c>
      <c r="BA205" s="90" t="n">
        <f aca="false">IF(ISNUMBER(G205),AA205*G205,0)</f>
        <v>56.6672218</v>
      </c>
      <c r="BB205" s="90" t="n">
        <f aca="false">IF(ISNUMBER(G205),AA205,0)</f>
        <v>9.803</v>
      </c>
      <c r="BC205" s="90" t="n">
        <f aca="false">IF(AND(Y205=0,ISNUMBER(AF205)),AA205*AF205,0)</f>
        <v>726.343482</v>
      </c>
      <c r="BD205" s="90" t="n">
        <f aca="false">IF(AND(Y205=0,ISNUMBER(AF205)),AA205,0)</f>
        <v>9.803</v>
      </c>
      <c r="BE205" s="90" t="n">
        <f aca="false">IF(ISNUMBER(H205),AA205*H205,0)</f>
        <v>30.2246096</v>
      </c>
      <c r="BF205" s="90" t="n">
        <f aca="false">IF(ISNUMBER(H205),AA205,0)</f>
        <v>9.803</v>
      </c>
      <c r="BG205" s="90" t="n">
        <f aca="false">IF(AND(Y205=0,ISNUMBER(AF205),ISNUMBER(Z205)),AA205*Z205,0)</f>
        <v>30.2246096</v>
      </c>
      <c r="BH205" s="90" t="n">
        <f aca="false">IF(AND(Y205=0,ISNUMBER(AF205),ISNUMBER(Z205)),AA205*AT205*MAX(Z205-1,0),0)</f>
        <v>304.558101209357</v>
      </c>
      <c r="BI205" s="90" t="n">
        <f aca="false">IF(Y205=0,AA205,0)</f>
        <v>9.803</v>
      </c>
    </row>
    <row r="206" customFormat="false" ht="15" hidden="false" customHeight="false" outlineLevel="0" collapsed="false">
      <c r="A206" s="83" t="str">
        <f aca="false">IFERROR(IF(INDEX(원자료_잔고!$A$1:$EZ$1500,설정!$L$5+ROW()-1,설정!$L$8)&amp;""="0","",INDEX(원자료_잔고!$A$1:$EZ$1500,설정!$L$5+ROW()-1,설정!$L$8)&amp;""),"")</f>
        <v>HYNMTR 5.1 06/24/30</v>
      </c>
      <c r="B206" s="83" t="str">
        <f aca="false">IFERROR(IF(INDEX(원자료_잔고!$A$1:$EZ$1500,설정!$L$5+ROW()-1,설정!$L$7)&amp;""="0","",INDEX(원자료_잔고!$A$1:$EZ$1500,설정!$L$5+ROW()-1,설정!$L$7)&amp;""),"")</f>
        <v>US44891CDW01</v>
      </c>
      <c r="C206" s="83" t="str">
        <f aca="false">IFERROR(IF(INDEX(원자료_잔고!$A$1:$EZ$1500,설정!$L$5+ROW()-1,설정!$L$9)&amp;""="0","",INDEX(원자료_잔고!$A$1:$EZ$1500,설정!$L$5+ROW()-1,설정!$L$9)&amp;""),"")</f>
        <v>34578</v>
      </c>
      <c r="D20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6" s="84" t="n">
        <f aca="false">IFERROR(IF(ISNUMBER(INDEX(원자료_잔고!$A$1:$EZ$1500,설정!$L$5+ROW()-1,설정!$L$11)),INDEX(원자료_잔고!$A$1:$EZ$1500,설정!$L$5+ROW()-1,설정!$L$11),""),"")</f>
        <v>500000</v>
      </c>
      <c r="F206" s="85" t="n">
        <f aca="false">IFERROR(IF(ISNUMBER(INDEX(원자료_잔고!$A$1:$EZ$1500,설정!$L$5+ROW()-1,설정!$L$12)),INDEX(원자료_잔고!$A$1:$EZ$1500,설정!$L$5+ROW()-1,설정!$L$12),""),"")</f>
        <v>97.699</v>
      </c>
      <c r="G206" s="85" t="n">
        <f aca="false">IFERROR(IF(ISNUMBER(INDEX(원자료_잔고!$A$1:$EZ$1500,설정!$L$5+ROW()-1,설정!$L$13)),INDEX(원자료_잔고!$A$1:$EZ$1500,설정!$L$5+ROW()-1,설정!$L$13),""),"")</f>
        <v>5.791</v>
      </c>
      <c r="H206" s="85" t="n">
        <f aca="false">IFERROR(IF(ISNUMBER(INDEX(원자료_잔고!$A$1:$EZ$1500,설정!$L$5+ROW()-1,설정!$L$14)),INDEX(원자료_잔고!$A$1:$EZ$1500,설정!$L$5+ROW()-1,설정!$L$14),""),"")</f>
        <v>3.2253</v>
      </c>
      <c r="I206" s="86" t="n">
        <f aca="false">IFERROR(IF(ISNUMBER(INDEX(원자료_잔고!$A$1:$EZ$1500,설정!$L$5+ROW()-1,설정!$L$15)),INDEX(원자료_잔고!$A$1:$EZ$1500,설정!$L$5+ROW()-1,설정!$L$15),""),"")</f>
        <v>47658</v>
      </c>
      <c r="J206" s="85" t="n">
        <f aca="false">IFERROR(IF(ISNUMBER(INDEX(원자료_잔고!$A$1:$EZ$1500,설정!$L$5+ROW()-1,설정!$L$16)),INDEX(원자료_잔고!$A$1:$EZ$1500,설정!$L$5+ROW()-1,설정!$L$16),""),"")</f>
        <v>5.1</v>
      </c>
      <c r="K206" s="87" t="n">
        <f aca="false">IFERROR(IF(ISNUMBER(INDEX(원자료_잔고!$A$1:$EZ$1500,설정!$L$5+ROW()-1,설정!$L$17)),INDEX(원자료_잔고!$A$1:$EZ$1500,설정!$L$5+ROW()-1,설정!$L$17),""),"")</f>
        <v>1</v>
      </c>
      <c r="L206" s="84" t="n">
        <f aca="false">IFERROR(IF(ISNUMBER(INDEX(원자료_잔고!$A$1:$EZ$1500,설정!$L$5+ROW()-1,설정!$L$18)),INDEX(원자료_잔고!$A$1:$EZ$1500,설정!$L$5+ROW()-1,설정!$L$18),""),"")</f>
        <v>488495</v>
      </c>
      <c r="M206" s="88" t="n">
        <f aca="false">IFERROR(IF(ISNUMBER(INDEX(원자료_잔고!$A$1:$EZ$1500,설정!$L$5+ROW()-1,설정!$L$19)),INDEX(원자료_잔고!$A$1:$EZ$1500,설정!$L$5+ROW()-1,설정!$L$19),""),"")</f>
        <v>-23786.5</v>
      </c>
      <c r="N206" s="83" t="str">
        <f aca="false">IFERROR(IF(INDEX(원자료_잔고!$A$1:$EZ$1500,설정!$L$5+ROW()-1,설정!$L$21)&amp;""="0","",INDEX(원자료_잔고!$A$1:$EZ$1500,설정!$L$5+ROW()-1,설정!$L$21)&amp;""),"")</f>
        <v>A-</v>
      </c>
      <c r="O206" s="83" t="str">
        <f aca="false">IFERROR(IF(INDEX(원자료_잔고!$A$1:$EZ$1500,설정!$L$5+ROW()-1,설정!$L$22)&amp;""="0","",INDEX(원자료_잔고!$A$1:$EZ$1500,설정!$L$5+ROW()-1,설정!$L$22)&amp;""),"")</f>
        <v/>
      </c>
      <c r="P206" s="83" t="str">
        <f aca="false">IFERROR(IF(INDEX(원자료_잔고!$A$1:$EZ$1500,설정!$L$5+ROW()-1,설정!$L$23)&amp;""="0","",INDEX(원자료_잔고!$A$1:$EZ$1500,설정!$L$5+ROW()-1,설정!$L$23)&amp;""),"")</f>
        <v>A-</v>
      </c>
      <c r="Q206" s="89" t="n">
        <f aca="false">IF(AND($A206&lt;&gt;"",ISNUMBER(E206)),IF(E206&gt;0,1,0),0)</f>
        <v>1</v>
      </c>
      <c r="R206" s="43" t="str">
        <f aca="false">IF(Q206=1,UPPER(LEFT($A206,FIND(" ",$A206&amp;" ")-1)),"")</f>
        <v>HYNMTR</v>
      </c>
      <c r="S206" s="89" t="n">
        <f aca="false">IF(Q206=1,IF(OR(ISNUMBER(SEARCH("Float",$A206)),ISNUMBER(SEARCH("FRN",$A206))),1,0),0)</f>
        <v>0</v>
      </c>
      <c r="T206" s="43" t="str">
        <f aca="false">IF(AND(Q206=1,ISNUMBER(I206)),TEXT(I206,"yyyymmdd")&amp;"|"&amp;IF(S206=1,"F",TEXT(J206,"0.000")),"")</f>
        <v>20300624|5.100</v>
      </c>
      <c r="U206" s="90" t="n">
        <f aca="false">IF(AND(Q206=1,ISNUMBER(I206)),(I206-설정!$C$4)/365.25,"")</f>
        <v>3.72895277207392</v>
      </c>
      <c r="V206" s="43" t="str">
        <f aca="false">IF(Q206&lt;&gt;1,"",IF(ISNUMBER(U206),IF(U206&lt;=1,"1년 이하",IF(U206&lt;=2,"1-2년",IF(U206&lt;=3,"2-3년",IF(U206&lt;=4,"3-4년",IF(U206&lt;=5,"4-5년",IF(U206&lt;=7,"5-7년",IF(U206&lt;=10,"7-10년",IF(U206&lt;=20,"10-20년","20년 이상")))))))),"미분류"))</f>
        <v>3-4년</v>
      </c>
      <c r="W206" s="43" t="str">
        <f aca="false">IF(Q206&lt;&gt;1,"",IF(AB206&lt;&gt;"",INDEX(시장분석!$C:$C,AB206),IF(K206=1,"USD","비USD")))</f>
        <v>USD</v>
      </c>
      <c r="X206" s="91" t="n">
        <f aca="false">IF(Q206=1,E206*K206/1000000,0)</f>
        <v>0.5</v>
      </c>
      <c r="Y206" s="89" t="n">
        <f aca="false">IF(R206="T",1,0)</f>
        <v>0</v>
      </c>
      <c r="Z206" s="92" t="n">
        <f aca="false">IF(Q206&lt;&gt;1,"",IF(AD206=1,IF(ISNUMBER(U206),MAX(U206,0),H206),H206))</f>
        <v>3.2253</v>
      </c>
      <c r="AA206" s="91" t="n">
        <f aca="false">IF(Q206=1,IF(ISNUMBER(L206),L206,0)*K206/1000000,0)</f>
        <v>0.488495</v>
      </c>
      <c r="AB206" s="89" t="n">
        <f aca="false">IF(Q206&lt;&gt;1,"",IFERROR(MATCH(VLOOKUP(B206,매핑!$H$4:$I$15,2,0),시장분석!$A$2:$A$601,0)+1,IFERROR(MATCH(R206&amp;"|"&amp;T206,시장분석!$V$2:$V$601,0)+1,IF(COUNTIF(시장분석!$U$2:$U$601,T206)=1,MATCH(T206,시장분석!$U$2:$U$601,0)+1,""))))</f>
        <v>69</v>
      </c>
      <c r="AC206" s="89" t="n">
        <f aca="false">IF(Q206&lt;&gt;1,0,IF(OR(설정!$C$5="전체",AND(설정!$C$5="선택펀드",IFERROR(COUNTIFS(설정!$F$16:$F$36,C206,설정!$G$16:$G$36,"Y")+COUNTIFS(설정!$F$16:$F$36,VALUE(C206),설정!$G$16:$G$36,"Y"),0)&gt;0),C206&amp;""=설정!$C$5&amp;""),1,0))</f>
        <v>1</v>
      </c>
      <c r="AD206" s="89" t="n">
        <f aca="false">IF(Q206&lt;&gt;1,0,IF(OR(S206=1,IF(AB206="",FALSE(),INDEX(시장분석!$R:$R,AB206)=1)),1,0))</f>
        <v>0</v>
      </c>
      <c r="AE206" s="43" t="str">
        <f aca="false">IF(AB206="","",INDEX(시장분석!$A:$A,AB206))</f>
        <v>HYNMTR 5.1 06/24/30</v>
      </c>
      <c r="AF206" s="93" t="n">
        <f aca="false">IF(AB206="","",IF(ISNUMBER(IF(AB206="","",INDEX(시장분석!$E:$E,AB206))),IF(AB206="","",INDEX(시장분석!$E:$E,AB206)),""))</f>
        <v>75.882</v>
      </c>
      <c r="AG206" s="43" t="str">
        <f aca="false">IF(Q206&lt;&gt;1,"",IF(AB206&lt;&gt;"",IF(AB206="","",INDEX(시장분석!$L:$L,AB206)),IFERROR(IF(VLOOKUP(R206,매핑!$A$4:$E$92,5,0)="","미분류",VLOOKUP(R206,매핑!$A$4:$E$92,5,0)),"미분류")))</f>
        <v>자유 소비재</v>
      </c>
      <c r="AH206" s="43" t="str">
        <f aca="false">IF(Q206&lt;&gt;1,"",IF(AB206&lt;&gt;"",IF(AB206="","",INDEX(시장분석!$N:$N,AB206)),IFERROR(IF(VLOOKUP(R206,매핑!$A$4:$E$92,4,0)="","미분류",VLOOKUP(R206,매핑!$A$4:$E$92,4,0)),"미분류")))</f>
        <v>미국</v>
      </c>
      <c r="AI206" s="43" t="str">
        <f aca="false">IF(Q206&lt;&gt;1,"",IFERROR(IF(VLOOKUP(R206,매핑!$A$4:$E$92,3,0)="","미분류",VLOOKUP(R206,매핑!$A$4:$E$92,3,0)),IF(AB206&lt;&gt;"",IF(AB206="","",INDEX(시장분석!$W:$W,AB206)),"미분류")))</f>
        <v>미국</v>
      </c>
      <c r="AJ206" s="43" t="str">
        <f aca="false">IF(Q206&lt;&gt;1,"",IFERROR(VLOOKUP(IF(N206&lt;&gt;"",N206,IF(P206&lt;&gt;"",P206,O206)),설정!$A$15:$D$47,2,0),""))</f>
        <v>A-</v>
      </c>
      <c r="AK206" s="43" t="str">
        <f aca="false">IF(Q206&lt;&gt;1,"",IF(AJ206="","무등급",IFERROR(VLOOKUP(AJ206,설정!$A$15:$D$47,3,0),"무등급")))</f>
        <v>A</v>
      </c>
      <c r="AL206" s="89" t="n">
        <f aca="false">IF(AJ206="",99,IFERROR(VLOOKUP(AJ206,설정!$A$15:$D$47,4,0),99))</f>
        <v>7</v>
      </c>
      <c r="AM206" s="94" t="n">
        <f aca="false">IF(ISNUMBER(H206),AA206*1000000*H206/10000,0)</f>
        <v>157.55429235</v>
      </c>
      <c r="AN206" s="94" t="n">
        <f aca="false">IF(OR(Y206=1,NOT(ISNUMBER(Z206))),0,AA206*1000000*Z206/10000)</f>
        <v>157.55429235</v>
      </c>
      <c r="AO206" s="94" t="n">
        <f aca="false">IF(ISNUMBER(G206),AA206*1000000*G206/100,0)</f>
        <v>28288.74545</v>
      </c>
      <c r="AP206" s="94" t="n">
        <f aca="false">IF(ISNUMBER(M206),M206*K206,0)</f>
        <v>-23786.5</v>
      </c>
      <c r="AQ206" s="95" t="n">
        <f aca="false">IF(AB206="","",INDEX(시장분석!$AK:$AK,AB206))</f>
        <v>-0.0301406145818188</v>
      </c>
      <c r="AR206" s="43" t="str">
        <f aca="false">IF(AB206="","-",IF(AB206="","",INDEX(시장분석!$AL:$AL,AB206)))</f>
        <v>Fair</v>
      </c>
      <c r="AS206" s="96" t="n">
        <f aca="false">IF(AB206="","",INDEX(시장분석!$AJ:$AJ,AB206))</f>
        <v>-0.130727572032512</v>
      </c>
      <c r="AT206" s="93" t="n">
        <f aca="false">IF(AB206="",0,IF(AB206="","",INDEX(시장분석!$AN:$AN,AB206)))</f>
        <v>14.0654634959447</v>
      </c>
      <c r="AU206" s="94" t="n">
        <f aca="false">IF(ISNUMBER(Z206),AT206/10000*MAX(Z206-1,0)*AA206*1000000,0)</f>
        <v>1528.98328863317</v>
      </c>
      <c r="AV206" s="94" t="n">
        <f aca="false">AO206+AU206</f>
        <v>29817.7287386332</v>
      </c>
      <c r="AW206" s="43" t="str">
        <f aca="false">IF(Q206&lt;&gt;1,"",TRIM(IF(AD206=1,"FRN ","")&amp;IF(AND(AL206&gt;=10,AL206&lt;99),"BBB0미만 ","")&amp;IF(AJ206="","등급없음 ","")&amp;IF(K206&lt;&gt;1,"비USD ","")&amp;IF(AND(AB206="",Y206=0),"시장데이터없음 ","")&amp;IF(AND(ISNUMBER(U206),U206&lt;0),"만기경과 ","")))</f>
        <v/>
      </c>
      <c r="AX206" s="90" t="n">
        <f aca="false">IF(Q206&lt;&gt;1,1,IF(스프레드쇼크!$C$4="Y",INDEX(스프레드쇼크!$B$12:$L$16,IFERROR(MATCH(AH206,스프레드쇼크!$A$12:$A$16,0),MATCH("목록외",스프레드쇼크!$A$12:$A$16,0)),IFERROR(MATCH(AG206,스프레드쇼크!$B$11:$L$11,0),MATCH("목록외",스프레드쇼크!$B$11:$L$11,0))),1))</f>
        <v>1</v>
      </c>
      <c r="AY206" s="90" t="n">
        <f aca="false">IF(스프레드쇼크!$C$5="Y",IF(ISNUMBER(AF206),MIN(스프레드쇼크!$C$7,MAX(스프레드쇼크!$C$6,AF206/스프레드쇼크!$C$8)),1),1)</f>
        <v>1.14774469879035</v>
      </c>
      <c r="AZ206" s="94" t="n">
        <f aca="false">AN206*AX206*AY206</f>
        <v>180.832103816378</v>
      </c>
      <c r="BA206" s="90" t="n">
        <f aca="false">IF(ISNUMBER(G206),AA206*G206,0)</f>
        <v>2.828874545</v>
      </c>
      <c r="BB206" s="90" t="n">
        <f aca="false">IF(ISNUMBER(G206),AA206,0)</f>
        <v>0.488495</v>
      </c>
      <c r="BC206" s="90" t="n">
        <f aca="false">IF(AND(Y206=0,ISNUMBER(AF206)),AA206*AF206,0)</f>
        <v>37.06797759</v>
      </c>
      <c r="BD206" s="90" t="n">
        <f aca="false">IF(AND(Y206=0,ISNUMBER(AF206)),AA206,0)</f>
        <v>0.488495</v>
      </c>
      <c r="BE206" s="90" t="n">
        <f aca="false">IF(ISNUMBER(H206),AA206*H206,0)</f>
        <v>1.5755429235</v>
      </c>
      <c r="BF206" s="90" t="n">
        <f aca="false">IF(ISNUMBER(H206),AA206,0)</f>
        <v>0.488495</v>
      </c>
      <c r="BG206" s="90" t="n">
        <f aca="false">IF(AND(Y206=0,ISNUMBER(AF206),ISNUMBER(Z206)),AA206*Z206,0)</f>
        <v>1.5755429235</v>
      </c>
      <c r="BH206" s="90" t="n">
        <f aca="false">IF(AND(Y206=0,ISNUMBER(AF206),ISNUMBER(Z206)),AA206*AT206*MAX(Z206-1,0),0)</f>
        <v>15.2898328863317</v>
      </c>
      <c r="BI206" s="90" t="n">
        <f aca="false">IF(Y206=0,AA206,0)</f>
        <v>0.488495</v>
      </c>
    </row>
    <row r="207" customFormat="false" ht="15" hidden="false" customHeight="false" outlineLevel="0" collapsed="false">
      <c r="A207" s="83" t="str">
        <f aca="false">IFERROR(IF(INDEX(원자료_잔고!$A$1:$EZ$1500,설정!$L$5+ROW()-1,설정!$L$8)&amp;""="0","",INDEX(원자료_잔고!$A$1:$EZ$1500,설정!$L$5+ROW()-1,설정!$L$8)&amp;""),"")</f>
        <v>HYNMTR 4.55 01/08/31</v>
      </c>
      <c r="B207" s="83" t="str">
        <f aca="false">IFERROR(IF(INDEX(원자료_잔고!$A$1:$EZ$1500,설정!$L$5+ROW()-1,설정!$L$7)&amp;""="0","",INDEX(원자료_잔고!$A$1:$EZ$1500,설정!$L$5+ROW()-1,설정!$L$7)&amp;""),"")</f>
        <v>US44891CEE93</v>
      </c>
      <c r="C207" s="83" t="str">
        <f aca="false">IFERROR(IF(INDEX(원자료_잔고!$A$1:$EZ$1500,설정!$L$5+ROW()-1,설정!$L$9)&amp;""="0","",INDEX(원자료_잔고!$A$1:$EZ$1500,설정!$L$5+ROW()-1,설정!$L$9)&amp;""),"")</f>
        <v>34578</v>
      </c>
      <c r="D20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7" s="84" t="n">
        <f aca="false">IFERROR(IF(ISNUMBER(INDEX(원자료_잔고!$A$1:$EZ$1500,설정!$L$5+ROW()-1,설정!$L$11)),INDEX(원자료_잔고!$A$1:$EZ$1500,설정!$L$5+ROW()-1,설정!$L$11),""),"")</f>
        <v>3000000</v>
      </c>
      <c r="F207" s="85" t="n">
        <f aca="false">IFERROR(IF(ISNUMBER(INDEX(원자료_잔고!$A$1:$EZ$1500,설정!$L$5+ROW()-1,설정!$L$12)),INDEX(원자료_잔고!$A$1:$EZ$1500,설정!$L$5+ROW()-1,설정!$L$12),""),"")</f>
        <v>95.2402</v>
      </c>
      <c r="G207" s="85" t="n">
        <f aca="false">IFERROR(IF(ISNUMBER(INDEX(원자료_잔고!$A$1:$EZ$1500,설정!$L$5+ROW()-1,설정!$L$13)),INDEX(원자료_잔고!$A$1:$EZ$1500,설정!$L$5+ROW()-1,설정!$L$13),""),"")</f>
        <v>5.8216</v>
      </c>
      <c r="H207" s="85" t="n">
        <f aca="false">IFERROR(IF(ISNUMBER(INDEX(원자료_잔고!$A$1:$EZ$1500,설정!$L$5+ROW()-1,설정!$L$14)),INDEX(원자료_잔고!$A$1:$EZ$1500,설정!$L$5+ROW()-1,설정!$L$14),""),"")</f>
        <v>3.6885</v>
      </c>
      <c r="I207" s="86" t="n">
        <f aca="false">IFERROR(IF(ISNUMBER(INDEX(원자료_잔고!$A$1:$EZ$1500,설정!$L$5+ROW()-1,설정!$L$15)),INDEX(원자료_잔고!$A$1:$EZ$1500,설정!$L$5+ROW()-1,설정!$L$15),""),"")</f>
        <v>47856</v>
      </c>
      <c r="J207" s="85" t="n">
        <f aca="false">IFERROR(IF(ISNUMBER(INDEX(원자료_잔고!$A$1:$EZ$1500,설정!$L$5+ROW()-1,설정!$L$16)),INDEX(원자료_잔고!$A$1:$EZ$1500,설정!$L$5+ROW()-1,설정!$L$16),""),"")</f>
        <v>4.55</v>
      </c>
      <c r="K207" s="87" t="n">
        <f aca="false">IFERROR(IF(ISNUMBER(INDEX(원자료_잔고!$A$1:$EZ$1500,설정!$L$5+ROW()-1,설정!$L$17)),INDEX(원자료_잔고!$A$1:$EZ$1500,설정!$L$5+ROW()-1,설정!$L$17),""),"")</f>
        <v>1</v>
      </c>
      <c r="L207" s="84" t="n">
        <f aca="false">IFERROR(IF(ISNUMBER(INDEX(원자료_잔고!$A$1:$EZ$1500,설정!$L$5+ROW()-1,설정!$L$18)),INDEX(원자료_잔고!$A$1:$EZ$1500,설정!$L$5+ROW()-1,설정!$L$18),""),"")</f>
        <v>2857206</v>
      </c>
      <c r="M207" s="88" t="n">
        <f aca="false">IFERROR(IF(ISNUMBER(INDEX(원자료_잔고!$A$1:$EZ$1500,설정!$L$5+ROW()-1,설정!$L$19)),INDEX(원자료_잔고!$A$1:$EZ$1500,설정!$L$5+ROW()-1,설정!$L$19),""),"")</f>
        <v>-142704</v>
      </c>
      <c r="N207" s="83" t="str">
        <f aca="false">IFERROR(IF(INDEX(원자료_잔고!$A$1:$EZ$1500,설정!$L$5+ROW()-1,설정!$L$21)&amp;""="0","",INDEX(원자료_잔고!$A$1:$EZ$1500,설정!$L$5+ROW()-1,설정!$L$21)&amp;""),"")</f>
        <v>A-</v>
      </c>
      <c r="O207" s="83" t="str">
        <f aca="false">IFERROR(IF(INDEX(원자료_잔고!$A$1:$EZ$1500,설정!$L$5+ROW()-1,설정!$L$22)&amp;""="0","",INDEX(원자료_잔고!$A$1:$EZ$1500,설정!$L$5+ROW()-1,설정!$L$22)&amp;""),"")</f>
        <v/>
      </c>
      <c r="P207" s="83" t="str">
        <f aca="false">IFERROR(IF(INDEX(원자료_잔고!$A$1:$EZ$1500,설정!$L$5+ROW()-1,설정!$L$23)&amp;""="0","",INDEX(원자료_잔고!$A$1:$EZ$1500,설정!$L$5+ROW()-1,설정!$L$23)&amp;""),"")</f>
        <v>A-</v>
      </c>
      <c r="Q207" s="89" t="n">
        <f aca="false">IF(AND($A207&lt;&gt;"",ISNUMBER(E207)),IF(E207&gt;0,1,0),0)</f>
        <v>1</v>
      </c>
      <c r="R207" s="43" t="str">
        <f aca="false">IF(Q207=1,UPPER(LEFT($A207,FIND(" ",$A207&amp;" ")-1)),"")</f>
        <v>HYNMTR</v>
      </c>
      <c r="S207" s="89" t="n">
        <f aca="false">IF(Q207=1,IF(OR(ISNUMBER(SEARCH("Float",$A207)),ISNUMBER(SEARCH("FRN",$A207))),1,0),0)</f>
        <v>0</v>
      </c>
      <c r="T207" s="43" t="str">
        <f aca="false">IF(AND(Q207=1,ISNUMBER(I207)),TEXT(I207,"yyyymmdd")&amp;"|"&amp;IF(S207=1,"F",TEXT(J207,"0.000")),"")</f>
        <v>20310108|4.550</v>
      </c>
      <c r="U207" s="90" t="n">
        <f aca="false">IF(AND(Q207=1,ISNUMBER(I207)),(I207-설정!$C$4)/365.25,"")</f>
        <v>4.27104722792608</v>
      </c>
      <c r="V207" s="43" t="str">
        <f aca="false">IF(Q207&lt;&gt;1,"",IF(ISNUMBER(U207),IF(U207&lt;=1,"1년 이하",IF(U207&lt;=2,"1-2년",IF(U207&lt;=3,"2-3년",IF(U207&lt;=4,"3-4년",IF(U207&lt;=5,"4-5년",IF(U207&lt;=7,"5-7년",IF(U207&lt;=10,"7-10년",IF(U207&lt;=20,"10-20년","20년 이상")))))))),"미분류"))</f>
        <v>4-5년</v>
      </c>
      <c r="W207" s="43" t="str">
        <f aca="false">IF(Q207&lt;&gt;1,"",IF(AB207&lt;&gt;"",INDEX(시장분석!$C:$C,AB207),IF(K207=1,"USD","비USD")))</f>
        <v>USD</v>
      </c>
      <c r="X207" s="91" t="n">
        <f aca="false">IF(Q207=1,E207*K207/1000000,0)</f>
        <v>3</v>
      </c>
      <c r="Y207" s="89" t="n">
        <f aca="false">IF(R207="T",1,0)</f>
        <v>0</v>
      </c>
      <c r="Z207" s="92" t="n">
        <f aca="false">IF(Q207&lt;&gt;1,"",IF(AD207=1,IF(ISNUMBER(U207),MAX(U207,0),H207),H207))</f>
        <v>3.6885</v>
      </c>
      <c r="AA207" s="91" t="n">
        <f aca="false">IF(Q207=1,IF(ISNUMBER(L207),L207,0)*K207/1000000,0)</f>
        <v>2.857206</v>
      </c>
      <c r="AB207" s="89" t="n">
        <f aca="false">IF(Q207&lt;&gt;1,"",IFERROR(MATCH(VLOOKUP(B207,매핑!$H$4:$I$15,2,0),시장분석!$A$2:$A$601,0)+1,IFERROR(MATCH(R207&amp;"|"&amp;T207,시장분석!$V$2:$V$601,0)+1,IF(COUNTIF(시장분석!$U$2:$U$601,T207)=1,MATCH(T207,시장분석!$U$2:$U$601,0)+1,""))))</f>
        <v>72</v>
      </c>
      <c r="AC207" s="89" t="n">
        <f aca="false">IF(Q207&lt;&gt;1,0,IF(OR(설정!$C$5="전체",AND(설정!$C$5="선택펀드",IFERROR(COUNTIFS(설정!$F$16:$F$36,C207,설정!$G$16:$G$36,"Y")+COUNTIFS(설정!$F$16:$F$36,VALUE(C207),설정!$G$16:$G$36,"Y"),0)&gt;0),C207&amp;""=설정!$C$5&amp;""),1,0))</f>
        <v>1</v>
      </c>
      <c r="AD207" s="89" t="n">
        <f aca="false">IF(Q207&lt;&gt;1,0,IF(OR(S207=1,IF(AB207="",FALSE(),INDEX(시장분석!$R:$R,AB207)=1)),1,0))</f>
        <v>0</v>
      </c>
      <c r="AE207" s="43" t="str">
        <f aca="false">IF(AB207="","",INDEX(시장분석!$A:$A,AB207))</f>
        <v>HYNMTR 4.55 01/08/31</v>
      </c>
      <c r="AF207" s="93" t="n">
        <f aca="false">IF(AB207="","",IF(ISNUMBER(IF(AB207="","",INDEX(시장분석!$E:$E,AB207))),IF(AB207="","",INDEX(시장분석!$E:$E,AB207)),""))</f>
        <v>77.629</v>
      </c>
      <c r="AG207" s="43" t="str">
        <f aca="false">IF(Q207&lt;&gt;1,"",IF(AB207&lt;&gt;"",IF(AB207="","",INDEX(시장분석!$L:$L,AB207)),IFERROR(IF(VLOOKUP(R207,매핑!$A$4:$E$92,5,0)="","미분류",VLOOKUP(R207,매핑!$A$4:$E$92,5,0)),"미분류")))</f>
        <v>자유 소비재</v>
      </c>
      <c r="AH207" s="43" t="str">
        <f aca="false">IF(Q207&lt;&gt;1,"",IF(AB207&lt;&gt;"",IF(AB207="","",INDEX(시장분석!$N:$N,AB207)),IFERROR(IF(VLOOKUP(R207,매핑!$A$4:$E$92,4,0)="","미분류",VLOOKUP(R207,매핑!$A$4:$E$92,4,0)),"미분류")))</f>
        <v>미국</v>
      </c>
      <c r="AI207" s="43" t="str">
        <f aca="false">IF(Q207&lt;&gt;1,"",IFERROR(IF(VLOOKUP(R207,매핑!$A$4:$E$92,3,0)="","미분류",VLOOKUP(R207,매핑!$A$4:$E$92,3,0)),IF(AB207&lt;&gt;"",IF(AB207="","",INDEX(시장분석!$W:$W,AB207)),"미분류")))</f>
        <v>미국</v>
      </c>
      <c r="AJ207" s="43" t="str">
        <f aca="false">IF(Q207&lt;&gt;1,"",IFERROR(VLOOKUP(IF(N207&lt;&gt;"",N207,IF(P207&lt;&gt;"",P207,O207)),설정!$A$15:$D$47,2,0),""))</f>
        <v>A-</v>
      </c>
      <c r="AK207" s="43" t="str">
        <f aca="false">IF(Q207&lt;&gt;1,"",IF(AJ207="","무등급",IFERROR(VLOOKUP(AJ207,설정!$A$15:$D$47,3,0),"무등급")))</f>
        <v>A</v>
      </c>
      <c r="AL207" s="89" t="n">
        <f aca="false">IF(AJ207="",99,IFERROR(VLOOKUP(AJ207,설정!$A$15:$D$47,4,0),99))</f>
        <v>7</v>
      </c>
      <c r="AM207" s="94" t="n">
        <f aca="false">IF(ISNUMBER(H207),AA207*1000000*H207/10000,0)</f>
        <v>1053.8804331</v>
      </c>
      <c r="AN207" s="94" t="n">
        <f aca="false">IF(OR(Y207=1,NOT(ISNUMBER(Z207))),0,AA207*1000000*Z207/10000)</f>
        <v>1053.8804331</v>
      </c>
      <c r="AO207" s="94" t="n">
        <f aca="false">IF(ISNUMBER(G207),AA207*1000000*G207/100,0)</f>
        <v>166335.104496</v>
      </c>
      <c r="AP207" s="94" t="n">
        <f aca="false">IF(ISNUMBER(M207),M207*K207,0)</f>
        <v>-142704</v>
      </c>
      <c r="AQ207" s="95" t="n">
        <f aca="false">IF(AB207="","",INDEX(시장분석!$AK:$AK,AB207))</f>
        <v>-0.863248419568908</v>
      </c>
      <c r="AR207" s="43" t="str">
        <f aca="false">IF(AB207="","-",IF(AB207="","",INDEX(시장분석!$AL:$AL,AB207)))</f>
        <v>Fair</v>
      </c>
      <c r="AS207" s="96" t="n">
        <f aca="false">IF(AB207="","",INDEX(시장분석!$AJ:$AJ,AB207))</f>
        <v>-3.74412969068055</v>
      </c>
      <c r="AT207" s="93" t="n">
        <f aca="false">IF(AB207="",0,IF(AB207="","",INDEX(시장분석!$AN:$AN,AB207)))</f>
        <v>12.019309686943</v>
      </c>
      <c r="AU207" s="94" t="n">
        <f aca="false">IF(ISNUMBER(Z207),AT207/10000*MAX(Z207-1,0)*AA207*1000000,0)</f>
        <v>9232.75092309935</v>
      </c>
      <c r="AV207" s="94" t="n">
        <f aca="false">AO207+AU207</f>
        <v>175567.855419099</v>
      </c>
      <c r="AW207" s="43" t="str">
        <f aca="false">IF(Q207&lt;&gt;1,"",TRIM(IF(AD207=1,"FRN ","")&amp;IF(AND(AL207&gt;=10,AL207&lt;99),"BBB0미만 ","")&amp;IF(AJ207="","등급없음 ","")&amp;IF(K207&lt;&gt;1,"비USD ","")&amp;IF(AND(AB207="",Y207=0),"시장데이터없음 ","")&amp;IF(AND(ISNUMBER(U207),U207&lt;0),"만기경과 ","")))</f>
        <v/>
      </c>
      <c r="AX207" s="90" t="n">
        <f aca="false">IF(Q207&lt;&gt;1,1,IF(스프레드쇼크!$C$4="Y",INDEX(스프레드쇼크!$B$12:$L$16,IFERROR(MATCH(AH207,스프레드쇼크!$A$12:$A$16,0),MATCH("목록외",스프레드쇼크!$A$12:$A$16,0)),IFERROR(MATCH(AG207,스프레드쇼크!$B$11:$L$11,0),MATCH("목록외",스프레드쇼크!$B$11:$L$11,0))),1))</f>
        <v>1</v>
      </c>
      <c r="AY207" s="90" t="n">
        <f aca="false">IF(스프레드쇼크!$C$5="Y",IF(ISNUMBER(AF207),MIN(스프레드쇼크!$C$7,MAX(스프레드쇼크!$C$6,AF207/스프레드쇼크!$C$8)),1),1)</f>
        <v>1.17416875177771</v>
      </c>
      <c r="AZ207" s="94" t="n">
        <f aca="false">AN207*AX207*AY207</f>
        <v>1237.43347265598</v>
      </c>
      <c r="BA207" s="90" t="n">
        <f aca="false">IF(ISNUMBER(G207),AA207*G207,0)</f>
        <v>16.6335104496</v>
      </c>
      <c r="BB207" s="90" t="n">
        <f aca="false">IF(ISNUMBER(G207),AA207,0)</f>
        <v>2.857206</v>
      </c>
      <c r="BC207" s="90" t="n">
        <f aca="false">IF(AND(Y207=0,ISNUMBER(AF207)),AA207*AF207,0)</f>
        <v>221.802044574</v>
      </c>
      <c r="BD207" s="90" t="n">
        <f aca="false">IF(AND(Y207=0,ISNUMBER(AF207)),AA207,0)</f>
        <v>2.857206</v>
      </c>
      <c r="BE207" s="90" t="n">
        <f aca="false">IF(ISNUMBER(H207),AA207*H207,0)</f>
        <v>10.538804331</v>
      </c>
      <c r="BF207" s="90" t="n">
        <f aca="false">IF(ISNUMBER(H207),AA207,0)</f>
        <v>2.857206</v>
      </c>
      <c r="BG207" s="90" t="n">
        <f aca="false">IF(AND(Y207=0,ISNUMBER(AF207),ISNUMBER(Z207)),AA207*Z207,0)</f>
        <v>10.538804331</v>
      </c>
      <c r="BH207" s="90" t="n">
        <f aca="false">IF(AND(Y207=0,ISNUMBER(AF207),ISNUMBER(Z207)),AA207*AT207*MAX(Z207-1,0),0)</f>
        <v>92.3275092309935</v>
      </c>
      <c r="BI207" s="90" t="n">
        <f aca="false">IF(Y207=0,AA207,0)</f>
        <v>2.857206</v>
      </c>
    </row>
    <row r="208" customFormat="false" ht="15" hidden="false" customHeight="false" outlineLevel="0" collapsed="false">
      <c r="A208" s="83" t="str">
        <f aca="false">IFERROR(IF(INDEX(원자료_잔고!$A$1:$EZ$1500,설정!$L$5+ROW()-1,설정!$L$8)&amp;""="0","",INDEX(원자료_잔고!$A$1:$EZ$1500,설정!$L$5+ROW()-1,설정!$L$8)&amp;""),"")</f>
        <v>HYNMTR 4.55 01/08/31</v>
      </c>
      <c r="B208" s="83" t="str">
        <f aca="false">IFERROR(IF(INDEX(원자료_잔고!$A$1:$EZ$1500,설정!$L$5+ROW()-1,설정!$L$7)&amp;""="0","",INDEX(원자료_잔고!$A$1:$EZ$1500,설정!$L$5+ROW()-1,설정!$L$7)&amp;""),"")</f>
        <v>US44891CEE93</v>
      </c>
      <c r="C208" s="83" t="str">
        <f aca="false">IFERROR(IF(INDEX(원자료_잔고!$A$1:$EZ$1500,설정!$L$5+ROW()-1,설정!$L$9)&amp;""="0","",INDEX(원자료_잔고!$A$1:$EZ$1500,설정!$L$5+ROW()-1,설정!$L$9)&amp;""),"")</f>
        <v>34578</v>
      </c>
      <c r="D20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8" s="84" t="n">
        <f aca="false">IFERROR(IF(ISNUMBER(INDEX(원자료_잔고!$A$1:$EZ$1500,설정!$L$5+ROW()-1,설정!$L$11)),INDEX(원자료_잔고!$A$1:$EZ$1500,설정!$L$5+ROW()-1,설정!$L$11),""),"")</f>
        <v>1000000</v>
      </c>
      <c r="F208" s="85" t="n">
        <f aca="false">IFERROR(IF(ISNUMBER(INDEX(원자료_잔고!$A$1:$EZ$1500,설정!$L$5+ROW()-1,설정!$L$12)),INDEX(원자료_잔고!$A$1:$EZ$1500,설정!$L$5+ROW()-1,설정!$L$12),""),"")</f>
        <v>95.2402</v>
      </c>
      <c r="G208" s="85" t="n">
        <f aca="false">IFERROR(IF(ISNUMBER(INDEX(원자료_잔고!$A$1:$EZ$1500,설정!$L$5+ROW()-1,설정!$L$13)),INDEX(원자료_잔고!$A$1:$EZ$1500,설정!$L$5+ROW()-1,설정!$L$13),""),"")</f>
        <v>5.8216</v>
      </c>
      <c r="H208" s="85" t="n">
        <f aca="false">IFERROR(IF(ISNUMBER(INDEX(원자료_잔고!$A$1:$EZ$1500,설정!$L$5+ROW()-1,설정!$L$14)),INDEX(원자료_잔고!$A$1:$EZ$1500,설정!$L$5+ROW()-1,설정!$L$14),""),"")</f>
        <v>3.6885</v>
      </c>
      <c r="I208" s="86" t="n">
        <f aca="false">IFERROR(IF(ISNUMBER(INDEX(원자료_잔고!$A$1:$EZ$1500,설정!$L$5+ROW()-1,설정!$L$15)),INDEX(원자료_잔고!$A$1:$EZ$1500,설정!$L$5+ROW()-1,설정!$L$15),""),"")</f>
        <v>47856</v>
      </c>
      <c r="J208" s="85" t="n">
        <f aca="false">IFERROR(IF(ISNUMBER(INDEX(원자료_잔고!$A$1:$EZ$1500,설정!$L$5+ROW()-1,설정!$L$16)),INDEX(원자료_잔고!$A$1:$EZ$1500,설정!$L$5+ROW()-1,설정!$L$16),""),"")</f>
        <v>4.55</v>
      </c>
      <c r="K208" s="87" t="n">
        <f aca="false">IFERROR(IF(ISNUMBER(INDEX(원자료_잔고!$A$1:$EZ$1500,설정!$L$5+ROW()-1,설정!$L$17)),INDEX(원자료_잔고!$A$1:$EZ$1500,설정!$L$5+ROW()-1,설정!$L$17),""),"")</f>
        <v>1</v>
      </c>
      <c r="L208" s="84" t="n">
        <f aca="false">IFERROR(IF(ISNUMBER(INDEX(원자료_잔고!$A$1:$EZ$1500,설정!$L$5+ROW()-1,설정!$L$18)),INDEX(원자료_잔고!$A$1:$EZ$1500,설정!$L$5+ROW()-1,설정!$L$18),""),"")</f>
        <v>952402</v>
      </c>
      <c r="M208" s="88" t="n">
        <f aca="false">IFERROR(IF(ISNUMBER(INDEX(원자료_잔고!$A$1:$EZ$1500,설정!$L$5+ROW()-1,설정!$L$19)),INDEX(원자료_잔고!$A$1:$EZ$1500,설정!$L$5+ROW()-1,설정!$L$19),""),"")</f>
        <v>-52298</v>
      </c>
      <c r="N208" s="83" t="str">
        <f aca="false">IFERROR(IF(INDEX(원자료_잔고!$A$1:$EZ$1500,설정!$L$5+ROW()-1,설정!$L$21)&amp;""="0","",INDEX(원자료_잔고!$A$1:$EZ$1500,설정!$L$5+ROW()-1,설정!$L$21)&amp;""),"")</f>
        <v>A-</v>
      </c>
      <c r="O208" s="83" t="str">
        <f aca="false">IFERROR(IF(INDEX(원자료_잔고!$A$1:$EZ$1500,설정!$L$5+ROW()-1,설정!$L$22)&amp;""="0","",INDEX(원자료_잔고!$A$1:$EZ$1500,설정!$L$5+ROW()-1,설정!$L$22)&amp;""),"")</f>
        <v/>
      </c>
      <c r="P208" s="83" t="str">
        <f aca="false">IFERROR(IF(INDEX(원자료_잔고!$A$1:$EZ$1500,설정!$L$5+ROW()-1,설정!$L$23)&amp;""="0","",INDEX(원자료_잔고!$A$1:$EZ$1500,설정!$L$5+ROW()-1,설정!$L$23)&amp;""),"")</f>
        <v>A-</v>
      </c>
      <c r="Q208" s="89" t="n">
        <f aca="false">IF(AND($A208&lt;&gt;"",ISNUMBER(E208)),IF(E208&gt;0,1,0),0)</f>
        <v>1</v>
      </c>
      <c r="R208" s="43" t="str">
        <f aca="false">IF(Q208=1,UPPER(LEFT($A208,FIND(" ",$A208&amp;" ")-1)),"")</f>
        <v>HYNMTR</v>
      </c>
      <c r="S208" s="89" t="n">
        <f aca="false">IF(Q208=1,IF(OR(ISNUMBER(SEARCH("Float",$A208)),ISNUMBER(SEARCH("FRN",$A208))),1,0),0)</f>
        <v>0</v>
      </c>
      <c r="T208" s="43" t="str">
        <f aca="false">IF(AND(Q208=1,ISNUMBER(I208)),TEXT(I208,"yyyymmdd")&amp;"|"&amp;IF(S208=1,"F",TEXT(J208,"0.000")),"")</f>
        <v>20310108|4.550</v>
      </c>
      <c r="U208" s="90" t="n">
        <f aca="false">IF(AND(Q208=1,ISNUMBER(I208)),(I208-설정!$C$4)/365.25,"")</f>
        <v>4.27104722792608</v>
      </c>
      <c r="V208" s="43" t="str">
        <f aca="false">IF(Q208&lt;&gt;1,"",IF(ISNUMBER(U208),IF(U208&lt;=1,"1년 이하",IF(U208&lt;=2,"1-2년",IF(U208&lt;=3,"2-3년",IF(U208&lt;=4,"3-4년",IF(U208&lt;=5,"4-5년",IF(U208&lt;=7,"5-7년",IF(U208&lt;=10,"7-10년",IF(U208&lt;=20,"10-20년","20년 이상")))))))),"미분류"))</f>
        <v>4-5년</v>
      </c>
      <c r="W208" s="43" t="str">
        <f aca="false">IF(Q208&lt;&gt;1,"",IF(AB208&lt;&gt;"",INDEX(시장분석!$C:$C,AB208),IF(K208=1,"USD","비USD")))</f>
        <v>USD</v>
      </c>
      <c r="X208" s="91" t="n">
        <f aca="false">IF(Q208=1,E208*K208/1000000,0)</f>
        <v>1</v>
      </c>
      <c r="Y208" s="89" t="n">
        <f aca="false">IF(R208="T",1,0)</f>
        <v>0</v>
      </c>
      <c r="Z208" s="92" t="n">
        <f aca="false">IF(Q208&lt;&gt;1,"",IF(AD208=1,IF(ISNUMBER(U208),MAX(U208,0),H208),H208))</f>
        <v>3.6885</v>
      </c>
      <c r="AA208" s="91" t="n">
        <f aca="false">IF(Q208=1,IF(ISNUMBER(L208),L208,0)*K208/1000000,0)</f>
        <v>0.952402</v>
      </c>
      <c r="AB208" s="89" t="n">
        <f aca="false">IF(Q208&lt;&gt;1,"",IFERROR(MATCH(VLOOKUP(B208,매핑!$H$4:$I$15,2,0),시장분석!$A$2:$A$601,0)+1,IFERROR(MATCH(R208&amp;"|"&amp;T208,시장분석!$V$2:$V$601,0)+1,IF(COUNTIF(시장분석!$U$2:$U$601,T208)=1,MATCH(T208,시장분석!$U$2:$U$601,0)+1,""))))</f>
        <v>72</v>
      </c>
      <c r="AC208" s="89" t="n">
        <f aca="false">IF(Q208&lt;&gt;1,0,IF(OR(설정!$C$5="전체",AND(설정!$C$5="선택펀드",IFERROR(COUNTIFS(설정!$F$16:$F$36,C208,설정!$G$16:$G$36,"Y")+COUNTIFS(설정!$F$16:$F$36,VALUE(C208),설정!$G$16:$G$36,"Y"),0)&gt;0),C208&amp;""=설정!$C$5&amp;""),1,0))</f>
        <v>1</v>
      </c>
      <c r="AD208" s="89" t="n">
        <f aca="false">IF(Q208&lt;&gt;1,0,IF(OR(S208=1,IF(AB208="",FALSE(),INDEX(시장분석!$R:$R,AB208)=1)),1,0))</f>
        <v>0</v>
      </c>
      <c r="AE208" s="43" t="str">
        <f aca="false">IF(AB208="","",INDEX(시장분석!$A:$A,AB208))</f>
        <v>HYNMTR 4.55 01/08/31</v>
      </c>
      <c r="AF208" s="93" t="n">
        <f aca="false">IF(AB208="","",IF(ISNUMBER(IF(AB208="","",INDEX(시장분석!$E:$E,AB208))),IF(AB208="","",INDEX(시장분석!$E:$E,AB208)),""))</f>
        <v>77.629</v>
      </c>
      <c r="AG208" s="43" t="str">
        <f aca="false">IF(Q208&lt;&gt;1,"",IF(AB208&lt;&gt;"",IF(AB208="","",INDEX(시장분석!$L:$L,AB208)),IFERROR(IF(VLOOKUP(R208,매핑!$A$4:$E$92,5,0)="","미분류",VLOOKUP(R208,매핑!$A$4:$E$92,5,0)),"미분류")))</f>
        <v>자유 소비재</v>
      </c>
      <c r="AH208" s="43" t="str">
        <f aca="false">IF(Q208&lt;&gt;1,"",IF(AB208&lt;&gt;"",IF(AB208="","",INDEX(시장분석!$N:$N,AB208)),IFERROR(IF(VLOOKUP(R208,매핑!$A$4:$E$92,4,0)="","미분류",VLOOKUP(R208,매핑!$A$4:$E$92,4,0)),"미분류")))</f>
        <v>미국</v>
      </c>
      <c r="AI208" s="43" t="str">
        <f aca="false">IF(Q208&lt;&gt;1,"",IFERROR(IF(VLOOKUP(R208,매핑!$A$4:$E$92,3,0)="","미분류",VLOOKUP(R208,매핑!$A$4:$E$92,3,0)),IF(AB208&lt;&gt;"",IF(AB208="","",INDEX(시장분석!$W:$W,AB208)),"미분류")))</f>
        <v>미국</v>
      </c>
      <c r="AJ208" s="43" t="str">
        <f aca="false">IF(Q208&lt;&gt;1,"",IFERROR(VLOOKUP(IF(N208&lt;&gt;"",N208,IF(P208&lt;&gt;"",P208,O208)),설정!$A$15:$D$47,2,0),""))</f>
        <v>A-</v>
      </c>
      <c r="AK208" s="43" t="str">
        <f aca="false">IF(Q208&lt;&gt;1,"",IF(AJ208="","무등급",IFERROR(VLOOKUP(AJ208,설정!$A$15:$D$47,3,0),"무등급")))</f>
        <v>A</v>
      </c>
      <c r="AL208" s="89" t="n">
        <f aca="false">IF(AJ208="",99,IFERROR(VLOOKUP(AJ208,설정!$A$15:$D$47,4,0),99))</f>
        <v>7</v>
      </c>
      <c r="AM208" s="94" t="n">
        <f aca="false">IF(ISNUMBER(H208),AA208*1000000*H208/10000,0)</f>
        <v>351.2934777</v>
      </c>
      <c r="AN208" s="94" t="n">
        <f aca="false">IF(OR(Y208=1,NOT(ISNUMBER(Z208))),0,AA208*1000000*Z208/10000)</f>
        <v>351.2934777</v>
      </c>
      <c r="AO208" s="94" t="n">
        <f aca="false">IF(ISNUMBER(G208),AA208*1000000*G208/100,0)</f>
        <v>55445.034832</v>
      </c>
      <c r="AP208" s="94" t="n">
        <f aca="false">IF(ISNUMBER(M208),M208*K208,0)</f>
        <v>-52298</v>
      </c>
      <c r="AQ208" s="95" t="n">
        <f aca="false">IF(AB208="","",INDEX(시장분석!$AK:$AK,AB208))</f>
        <v>-0.863248419568908</v>
      </c>
      <c r="AR208" s="43" t="str">
        <f aca="false">IF(AB208="","-",IF(AB208="","",INDEX(시장분석!$AL:$AL,AB208)))</f>
        <v>Fair</v>
      </c>
      <c r="AS208" s="96" t="n">
        <f aca="false">IF(AB208="","",INDEX(시장분석!$AJ:$AJ,AB208))</f>
        <v>-3.74412969068055</v>
      </c>
      <c r="AT208" s="93" t="n">
        <f aca="false">IF(AB208="",0,IF(AB208="","",INDEX(시장분석!$AN:$AN,AB208)))</f>
        <v>12.019309686943</v>
      </c>
      <c r="AU208" s="94" t="n">
        <f aca="false">IF(ISNUMBER(Z208),AT208/10000*MAX(Z208-1,0)*AA208*1000000,0)</f>
        <v>3077.58364103312</v>
      </c>
      <c r="AV208" s="94" t="n">
        <f aca="false">AO208+AU208</f>
        <v>58522.6184730331</v>
      </c>
      <c r="AW208" s="43" t="str">
        <f aca="false">IF(Q208&lt;&gt;1,"",TRIM(IF(AD208=1,"FRN ","")&amp;IF(AND(AL208&gt;=10,AL208&lt;99),"BBB0미만 ","")&amp;IF(AJ208="","등급없음 ","")&amp;IF(K208&lt;&gt;1,"비USD ","")&amp;IF(AND(AB208="",Y208=0),"시장데이터없음 ","")&amp;IF(AND(ISNUMBER(U208),U208&lt;0),"만기경과 ","")))</f>
        <v/>
      </c>
      <c r="AX208" s="90" t="n">
        <f aca="false">IF(Q208&lt;&gt;1,1,IF(스프레드쇼크!$C$4="Y",INDEX(스프레드쇼크!$B$12:$L$16,IFERROR(MATCH(AH208,스프레드쇼크!$A$12:$A$16,0),MATCH("목록외",스프레드쇼크!$A$12:$A$16,0)),IFERROR(MATCH(AG208,스프레드쇼크!$B$11:$L$11,0),MATCH("목록외",스프레드쇼크!$B$11:$L$11,0))),1))</f>
        <v>1</v>
      </c>
      <c r="AY208" s="90" t="n">
        <f aca="false">IF(스프레드쇼크!$C$5="Y",IF(ISNUMBER(AF208),MIN(스프레드쇼크!$C$7,MAX(스프레드쇼크!$C$6,AF208/스프레드쇼크!$C$8)),1),1)</f>
        <v>1.17416875177771</v>
      </c>
      <c r="AZ208" s="94" t="n">
        <f aca="false">AN208*AX208*AY208</f>
        <v>412.477824218661</v>
      </c>
      <c r="BA208" s="90" t="n">
        <f aca="false">IF(ISNUMBER(G208),AA208*G208,0)</f>
        <v>5.5445034832</v>
      </c>
      <c r="BB208" s="90" t="n">
        <f aca="false">IF(ISNUMBER(G208),AA208,0)</f>
        <v>0.952402</v>
      </c>
      <c r="BC208" s="90" t="n">
        <f aca="false">IF(AND(Y208=0,ISNUMBER(AF208)),AA208*AF208,0)</f>
        <v>73.934014858</v>
      </c>
      <c r="BD208" s="90" t="n">
        <f aca="false">IF(AND(Y208=0,ISNUMBER(AF208)),AA208,0)</f>
        <v>0.952402</v>
      </c>
      <c r="BE208" s="90" t="n">
        <f aca="false">IF(ISNUMBER(H208),AA208*H208,0)</f>
        <v>3.512934777</v>
      </c>
      <c r="BF208" s="90" t="n">
        <f aca="false">IF(ISNUMBER(H208),AA208,0)</f>
        <v>0.952402</v>
      </c>
      <c r="BG208" s="90" t="n">
        <f aca="false">IF(AND(Y208=0,ISNUMBER(AF208),ISNUMBER(Z208)),AA208*Z208,0)</f>
        <v>3.512934777</v>
      </c>
      <c r="BH208" s="90" t="n">
        <f aca="false">IF(AND(Y208=0,ISNUMBER(AF208),ISNUMBER(Z208)),AA208*AT208*MAX(Z208-1,0),0)</f>
        <v>30.7758364103312</v>
      </c>
      <c r="BI208" s="90" t="n">
        <f aca="false">IF(Y208=0,AA208,0)</f>
        <v>0.952402</v>
      </c>
    </row>
    <row r="209" customFormat="false" ht="15" hidden="false" customHeight="false" outlineLevel="0" collapsed="false">
      <c r="A209" s="83" t="str">
        <f aca="false">IFERROR(IF(INDEX(원자료_잔고!$A$1:$EZ$1500,설정!$L$5+ROW()-1,설정!$L$8)&amp;""="0","",INDEX(원자료_잔고!$A$1:$EZ$1500,설정!$L$5+ROW()-1,설정!$L$8)&amp;""),"")</f>
        <v>CITNAT 2.5 11/04/30</v>
      </c>
      <c r="B209" s="83" t="str">
        <f aca="false">IFERROR(IF(INDEX(원자료_잔고!$A$1:$EZ$1500,설정!$L$5+ROW()-1,설정!$L$7)&amp;""="0","",INDEX(원자료_잔고!$A$1:$EZ$1500,설정!$L$5+ROW()-1,설정!$L$7)&amp;""),"")</f>
        <v>US50050HAN61</v>
      </c>
      <c r="C209" s="83" t="str">
        <f aca="false">IFERROR(IF(INDEX(원자료_잔고!$A$1:$EZ$1500,설정!$L$5+ROW()-1,설정!$L$9)&amp;""="0","",INDEX(원자료_잔고!$A$1:$EZ$1500,설정!$L$5+ROW()-1,설정!$L$9)&amp;""),"")</f>
        <v>34578</v>
      </c>
      <c r="D20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09" s="84" t="n">
        <f aca="false">IFERROR(IF(ISNUMBER(INDEX(원자료_잔고!$A$1:$EZ$1500,설정!$L$5+ROW()-1,설정!$L$11)),INDEX(원자료_잔고!$A$1:$EZ$1500,설정!$L$5+ROW()-1,설정!$L$11),""),"")</f>
        <v>6300000</v>
      </c>
      <c r="F209" s="85" t="n">
        <f aca="false">IFERROR(IF(ISNUMBER(INDEX(원자료_잔고!$A$1:$EZ$1500,설정!$L$5+ROW()-1,설정!$L$12)),INDEX(원자료_잔고!$A$1:$EZ$1500,설정!$L$5+ROW()-1,설정!$L$12),""),"")</f>
        <v>88.1904</v>
      </c>
      <c r="G209" s="85" t="n">
        <f aca="false">IFERROR(IF(ISNUMBER(INDEX(원자료_잔고!$A$1:$EZ$1500,설정!$L$5+ROW()-1,설정!$L$13)),INDEX(원자료_잔고!$A$1:$EZ$1500,설정!$L$5+ROW()-1,설정!$L$13),""),"")</f>
        <v>5.7785</v>
      </c>
      <c r="H209" s="85" t="n">
        <f aca="false">IFERROR(IF(ISNUMBER(INDEX(원자료_잔고!$A$1:$EZ$1500,설정!$L$5+ROW()-1,설정!$L$14)),INDEX(원자료_잔고!$A$1:$EZ$1500,설정!$L$5+ROW()-1,설정!$L$14),""),"")</f>
        <v>3.6695</v>
      </c>
      <c r="I209" s="86" t="n">
        <f aca="false">IFERROR(IF(ISNUMBER(INDEX(원자료_잔고!$A$1:$EZ$1500,설정!$L$5+ROW()-1,설정!$L$15)),INDEX(원자료_잔고!$A$1:$EZ$1500,설정!$L$5+ROW()-1,설정!$L$15),""),"")</f>
        <v>47791</v>
      </c>
      <c r="J209" s="85" t="n">
        <f aca="false">IFERROR(IF(ISNUMBER(INDEX(원자료_잔고!$A$1:$EZ$1500,설정!$L$5+ROW()-1,설정!$L$16)),INDEX(원자료_잔고!$A$1:$EZ$1500,설정!$L$5+ROW()-1,설정!$L$16),""),"")</f>
        <v>2.5</v>
      </c>
      <c r="K209" s="87" t="n">
        <f aca="false">IFERROR(IF(ISNUMBER(INDEX(원자료_잔고!$A$1:$EZ$1500,설정!$L$5+ROW()-1,설정!$L$17)),INDEX(원자료_잔고!$A$1:$EZ$1500,설정!$L$5+ROW()-1,설정!$L$17),""),"")</f>
        <v>1</v>
      </c>
      <c r="L209" s="84" t="n">
        <f aca="false">IFERROR(IF(ISNUMBER(INDEX(원자료_잔고!$A$1:$EZ$1500,설정!$L$5+ROW()-1,설정!$L$18)),INDEX(원자료_잔고!$A$1:$EZ$1500,설정!$L$5+ROW()-1,설정!$L$18),""),"")</f>
        <v>5555995.2</v>
      </c>
      <c r="M209" s="88" t="n">
        <f aca="false">IFERROR(IF(ISNUMBER(INDEX(원자료_잔고!$A$1:$EZ$1500,설정!$L$5+ROW()-1,설정!$L$19)),INDEX(원자료_잔고!$A$1:$EZ$1500,설정!$L$5+ROW()-1,설정!$L$19),""),"")</f>
        <v>-197820</v>
      </c>
      <c r="N209" s="83" t="str">
        <f aca="false">IFERROR(IF(INDEX(원자료_잔고!$A$1:$EZ$1500,설정!$L$5+ROW()-1,설정!$L$21)&amp;""="0","",INDEX(원자료_잔고!$A$1:$EZ$1500,설정!$L$5+ROW()-1,설정!$L$21)&amp;""),"")</f>
        <v>BBB+</v>
      </c>
      <c r="O209" s="83" t="str">
        <f aca="false">IFERROR(IF(INDEX(원자료_잔고!$A$1:$EZ$1500,설정!$L$5+ROW()-1,설정!$L$22)&amp;""="0","",INDEX(원자료_잔고!$A$1:$EZ$1500,설정!$L$5+ROW()-1,설정!$L$22)&amp;""),"")</f>
        <v/>
      </c>
      <c r="P209" s="83" t="str">
        <f aca="false">IFERROR(IF(INDEX(원자료_잔고!$A$1:$EZ$1500,설정!$L$5+ROW()-1,설정!$L$23)&amp;""="0","",INDEX(원자료_잔고!$A$1:$EZ$1500,설정!$L$5+ROW()-1,설정!$L$23)&amp;""),"")</f>
        <v>BBB+</v>
      </c>
      <c r="Q209" s="89" t="n">
        <f aca="false">IF(AND($A209&lt;&gt;"",ISNUMBER(E209)),IF(E209&gt;0,1,0),0)</f>
        <v>1</v>
      </c>
      <c r="R209" s="43" t="str">
        <f aca="false">IF(Q209=1,UPPER(LEFT($A209,FIND(" ",$A209&amp;" ")-1)),"")</f>
        <v>CITNAT</v>
      </c>
      <c r="S209" s="89" t="n">
        <f aca="false">IF(Q209=1,IF(OR(ISNUMBER(SEARCH("Float",$A209)),ISNUMBER(SEARCH("FRN",$A209))),1,0),0)</f>
        <v>0</v>
      </c>
      <c r="T209" s="43" t="str">
        <f aca="false">IF(AND(Q209=1,ISNUMBER(I209)),TEXT(I209,"yyyymmdd")&amp;"|"&amp;IF(S209=1,"F",TEXT(J209,"0.000")),"")</f>
        <v>20301104|2.500</v>
      </c>
      <c r="U209" s="90" t="n">
        <f aca="false">IF(AND(Q209=1,ISNUMBER(I209)),(I209-설정!$C$4)/365.25,"")</f>
        <v>4.09308692676249</v>
      </c>
      <c r="V209" s="43" t="str">
        <f aca="false">IF(Q209&lt;&gt;1,"",IF(ISNUMBER(U209),IF(U209&lt;=1,"1년 이하",IF(U209&lt;=2,"1-2년",IF(U209&lt;=3,"2-3년",IF(U209&lt;=4,"3-4년",IF(U209&lt;=5,"4-5년",IF(U209&lt;=7,"5-7년",IF(U209&lt;=10,"7-10년",IF(U209&lt;=20,"10-20년","20년 이상")))))))),"미분류"))</f>
        <v>4-5년</v>
      </c>
      <c r="W209" s="43" t="str">
        <f aca="false">IF(Q209&lt;&gt;1,"",IF(AB209&lt;&gt;"",INDEX(시장분석!$C:$C,AB209),IF(K209=1,"USD","비USD")))</f>
        <v>USD</v>
      </c>
      <c r="X209" s="91" t="n">
        <f aca="false">IF(Q209=1,E209*K209/1000000,0)</f>
        <v>6.3</v>
      </c>
      <c r="Y209" s="89" t="n">
        <f aca="false">IF(R209="T",1,0)</f>
        <v>0</v>
      </c>
      <c r="Z209" s="92" t="n">
        <f aca="false">IF(Q209&lt;&gt;1,"",IF(AD209=1,IF(ISNUMBER(U209),MAX(U209,0),H209),H209))</f>
        <v>3.6695</v>
      </c>
      <c r="AA209" s="91" t="n">
        <f aca="false">IF(Q209=1,IF(ISNUMBER(L209),L209,0)*K209/1000000,0)</f>
        <v>5.5559952</v>
      </c>
      <c r="AB209" s="89" t="n">
        <f aca="false">IF(Q209&lt;&gt;1,"",IFERROR(MATCH(VLOOKUP(B209,매핑!$H$4:$I$15,2,0),시장분석!$A$2:$A$601,0)+1,IFERROR(MATCH(R209&amp;"|"&amp;T209,시장분석!$V$2:$V$601,0)+1,IF(COUNTIF(시장분석!$U$2:$U$601,T209)=1,MATCH(T209,시장분석!$U$2:$U$601,0)+1,""))))</f>
        <v>84</v>
      </c>
      <c r="AC209" s="89" t="n">
        <f aca="false">IF(Q209&lt;&gt;1,0,IF(OR(설정!$C$5="전체",AND(설정!$C$5="선택펀드",IFERROR(COUNTIFS(설정!$F$16:$F$36,C209,설정!$G$16:$G$36,"Y")+COUNTIFS(설정!$F$16:$F$36,VALUE(C209),설정!$G$16:$G$36,"Y"),0)&gt;0),C209&amp;""=설정!$C$5&amp;""),1,0))</f>
        <v>1</v>
      </c>
      <c r="AD209" s="89" t="n">
        <f aca="false">IF(Q209&lt;&gt;1,0,IF(OR(S209=1,IF(AB209="",FALSE(),INDEX(시장분석!$R:$R,AB209)=1)),1,0))</f>
        <v>0</v>
      </c>
      <c r="AE209" s="43" t="str">
        <f aca="false">IF(AB209="","",INDEX(시장분석!$A:$A,AB209))</f>
        <v>CITNAT 2 1/2 11/04/30</v>
      </c>
      <c r="AF209" s="93" t="n">
        <f aca="false">IF(AB209="","",IF(ISNUMBER(IF(AB209="","",INDEX(시장분석!$E:$E,AB209))),IF(AB209="","",INDEX(시장분석!$E:$E,AB209)),""))</f>
        <v>75.23</v>
      </c>
      <c r="AG209" s="43" t="str">
        <f aca="false">IF(Q209&lt;&gt;1,"",IF(AB209&lt;&gt;"",IF(AB209="","",INDEX(시장분석!$L:$L,AB209)),IFERROR(IF(VLOOKUP(R209,매핑!$A$4:$E$92,5,0)="","미분류",VLOOKUP(R209,매핑!$A$4:$E$92,5,0)),"미분류")))</f>
        <v>금융기관</v>
      </c>
      <c r="AH209" s="43" t="str">
        <f aca="false">IF(Q209&lt;&gt;1,"",IF(AB209&lt;&gt;"",IF(AB209="","",INDEX(시장분석!$N:$N,AB209)),IFERROR(IF(VLOOKUP(R209,매핑!$A$4:$E$92,4,0)="","미분류",VLOOKUP(R209,매핑!$A$4:$E$92,4,0)),"미분류")))</f>
        <v>아시아/기타</v>
      </c>
      <c r="AI209" s="43" t="str">
        <f aca="false">IF(Q209&lt;&gt;1,"",IFERROR(IF(VLOOKUP(R209,매핑!$A$4:$E$92,3,0)="","미분류",VLOOKUP(R209,매핑!$A$4:$E$92,3,0)),IF(AB209&lt;&gt;"",IF(AB209="","",INDEX(시장분석!$W:$W,AB209)),"미분류")))</f>
        <v>한국</v>
      </c>
      <c r="AJ209" s="43" t="str">
        <f aca="false">IF(Q209&lt;&gt;1,"",IFERROR(VLOOKUP(IF(N209&lt;&gt;"",N209,IF(P209&lt;&gt;"",P209,O209)),설정!$A$15:$D$47,2,0),""))</f>
        <v>BBB+</v>
      </c>
      <c r="AK209" s="43" t="str">
        <f aca="false">IF(Q209&lt;&gt;1,"",IF(AJ209="","무등급",IFERROR(VLOOKUP(AJ209,설정!$A$15:$D$47,3,0),"무등급")))</f>
        <v>BBB</v>
      </c>
      <c r="AL209" s="89" t="n">
        <f aca="false">IF(AJ209="",99,IFERROR(VLOOKUP(AJ209,설정!$A$15:$D$47,4,0),99))</f>
        <v>8</v>
      </c>
      <c r="AM209" s="94" t="n">
        <f aca="false">IF(ISNUMBER(H209),AA209*1000000*H209/10000,0)</f>
        <v>2038.77243864</v>
      </c>
      <c r="AN209" s="94" t="n">
        <f aca="false">IF(OR(Y209=1,NOT(ISNUMBER(Z209))),0,AA209*1000000*Z209/10000)</f>
        <v>2038.77243864</v>
      </c>
      <c r="AO209" s="94" t="n">
        <f aca="false">IF(ISNUMBER(G209),AA209*1000000*G209/100,0)</f>
        <v>321053.182632</v>
      </c>
      <c r="AP209" s="94" t="n">
        <f aca="false">IF(ISNUMBER(M209),M209*K209,0)</f>
        <v>-197820</v>
      </c>
      <c r="AQ209" s="95" t="n">
        <f aca="false">IF(AB209="","",INDEX(시장분석!$AK:$AK,AB209))</f>
        <v>0.309609654990839</v>
      </c>
      <c r="AR209" s="43" t="str">
        <f aca="false">IF(AB209="","-",IF(AB209="","",INDEX(시장분석!$AL:$AL,AB209)))</f>
        <v>Fair</v>
      </c>
      <c r="AS209" s="96" t="n">
        <f aca="false">IF(AB209="","",INDEX(시장분석!$AJ:$AJ,AB209))</f>
        <v>6.33882037674123</v>
      </c>
      <c r="AT209" s="93" t="n">
        <f aca="false">IF(AB209="",0,IF(AB209="","",INDEX(시장분석!$AN:$AN,AB209)))</f>
        <v>4.1821894279753</v>
      </c>
      <c r="AU209" s="94" t="n">
        <f aca="false">IF(ISNUMBER(Z209),AT209/10000*MAX(Z209-1,0)*AA209*1000000,0)</f>
        <v>6202.91010019548</v>
      </c>
      <c r="AV209" s="94" t="n">
        <f aca="false">AO209+AU209</f>
        <v>327256.092732196</v>
      </c>
      <c r="AW209" s="43" t="str">
        <f aca="false">IF(Q209&lt;&gt;1,"",TRIM(IF(AD209=1,"FRN ","")&amp;IF(AND(AL209&gt;=10,AL209&lt;99),"BBB0미만 ","")&amp;IF(AJ209="","등급없음 ","")&amp;IF(K209&lt;&gt;1,"비USD ","")&amp;IF(AND(AB209="",Y209=0),"시장데이터없음 ","")&amp;IF(AND(ISNUMBER(U209),U209&lt;0),"만기경과 ","")))</f>
        <v/>
      </c>
      <c r="AX209" s="90" t="n">
        <f aca="false">IF(Q209&lt;&gt;1,1,IF(스프레드쇼크!$C$4="Y",INDEX(스프레드쇼크!$B$12:$L$16,IFERROR(MATCH(AH209,스프레드쇼크!$A$12:$A$16,0),MATCH("목록외",스프레드쇼크!$A$12:$A$16,0)),IFERROR(MATCH(AG209,스프레드쇼크!$B$11:$L$11,0),MATCH("목록외",스프레드쇼크!$B$11:$L$11,0))),1))</f>
        <v>1</v>
      </c>
      <c r="AY209" s="90" t="n">
        <f aca="false">IF(스프레드쇼크!$C$5="Y",IF(ISNUMBER(AF209),MIN(스프레드쇼크!$C$7,MAX(스프레드쇼크!$C$6,AF209/스프레드쇼크!$C$8)),1),1)</f>
        <v>1.13788294575787</v>
      </c>
      <c r="AZ209" s="94" t="n">
        <f aca="false">AN209*AX209*AY209</f>
        <v>2319.88438820963</v>
      </c>
      <c r="BA209" s="90" t="n">
        <f aca="false">IF(ISNUMBER(G209),AA209*G209,0)</f>
        <v>32.1053182632</v>
      </c>
      <c r="BB209" s="90" t="n">
        <f aca="false">IF(ISNUMBER(G209),AA209,0)</f>
        <v>5.5559952</v>
      </c>
      <c r="BC209" s="90" t="n">
        <f aca="false">IF(AND(Y209=0,ISNUMBER(AF209)),AA209*AF209,0)</f>
        <v>417.977518896</v>
      </c>
      <c r="BD209" s="90" t="n">
        <f aca="false">IF(AND(Y209=0,ISNUMBER(AF209)),AA209,0)</f>
        <v>5.5559952</v>
      </c>
      <c r="BE209" s="90" t="n">
        <f aca="false">IF(ISNUMBER(H209),AA209*H209,0)</f>
        <v>20.3877243864</v>
      </c>
      <c r="BF209" s="90" t="n">
        <f aca="false">IF(ISNUMBER(H209),AA209,0)</f>
        <v>5.5559952</v>
      </c>
      <c r="BG209" s="90" t="n">
        <f aca="false">IF(AND(Y209=0,ISNUMBER(AF209),ISNUMBER(Z209)),AA209*Z209,0)</f>
        <v>20.3877243864</v>
      </c>
      <c r="BH209" s="90" t="n">
        <f aca="false">IF(AND(Y209=0,ISNUMBER(AF209),ISNUMBER(Z209)),AA209*AT209*MAX(Z209-1,0),0)</f>
        <v>62.0291010019548</v>
      </c>
      <c r="BI209" s="90" t="n">
        <f aca="false">IF(Y209=0,AA209,0)</f>
        <v>5.5559952</v>
      </c>
    </row>
    <row r="210" customFormat="false" ht="15" hidden="false" customHeight="false" outlineLevel="0" collapsed="false">
      <c r="A210" s="83" t="str">
        <f aca="false">IFERROR(IF(INDEX(원자료_잔고!$A$1:$EZ$1500,설정!$L$5+ROW()-1,설정!$L$8)&amp;""="0","",INDEX(원자료_잔고!$A$1:$EZ$1500,설정!$L$5+ROW()-1,설정!$L$8)&amp;""),"")</f>
        <v>CITNAT 2.5 11/04/30</v>
      </c>
      <c r="B210" s="83" t="str">
        <f aca="false">IFERROR(IF(INDEX(원자료_잔고!$A$1:$EZ$1500,설정!$L$5+ROW()-1,설정!$L$7)&amp;""="0","",INDEX(원자료_잔고!$A$1:$EZ$1500,설정!$L$5+ROW()-1,설정!$L$7)&amp;""),"")</f>
        <v>US50050HAN61</v>
      </c>
      <c r="C210" s="83" t="str">
        <f aca="false">IFERROR(IF(INDEX(원자료_잔고!$A$1:$EZ$1500,설정!$L$5+ROW()-1,설정!$L$9)&amp;""="0","",INDEX(원자료_잔고!$A$1:$EZ$1500,설정!$L$5+ROW()-1,설정!$L$9)&amp;""),"")</f>
        <v>34578</v>
      </c>
      <c r="D21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0" s="84" t="n">
        <f aca="false">IFERROR(IF(ISNUMBER(INDEX(원자료_잔고!$A$1:$EZ$1500,설정!$L$5+ROW()-1,설정!$L$11)),INDEX(원자료_잔고!$A$1:$EZ$1500,설정!$L$5+ROW()-1,설정!$L$11),""),"")</f>
        <v>4200000</v>
      </c>
      <c r="F210" s="85" t="n">
        <f aca="false">IFERROR(IF(ISNUMBER(INDEX(원자료_잔고!$A$1:$EZ$1500,설정!$L$5+ROW()-1,설정!$L$12)),INDEX(원자료_잔고!$A$1:$EZ$1500,설정!$L$5+ROW()-1,설정!$L$12),""),"")</f>
        <v>88.1904</v>
      </c>
      <c r="G210" s="85" t="n">
        <f aca="false">IFERROR(IF(ISNUMBER(INDEX(원자료_잔고!$A$1:$EZ$1500,설정!$L$5+ROW()-1,설정!$L$13)),INDEX(원자료_잔고!$A$1:$EZ$1500,설정!$L$5+ROW()-1,설정!$L$13),""),"")</f>
        <v>5.7785</v>
      </c>
      <c r="H210" s="85" t="n">
        <f aca="false">IFERROR(IF(ISNUMBER(INDEX(원자료_잔고!$A$1:$EZ$1500,설정!$L$5+ROW()-1,설정!$L$14)),INDEX(원자료_잔고!$A$1:$EZ$1500,설정!$L$5+ROW()-1,설정!$L$14),""),"")</f>
        <v>3.6695</v>
      </c>
      <c r="I210" s="86" t="n">
        <f aca="false">IFERROR(IF(ISNUMBER(INDEX(원자료_잔고!$A$1:$EZ$1500,설정!$L$5+ROW()-1,설정!$L$15)),INDEX(원자료_잔고!$A$1:$EZ$1500,설정!$L$5+ROW()-1,설정!$L$15),""),"")</f>
        <v>47791</v>
      </c>
      <c r="J210" s="85" t="n">
        <f aca="false">IFERROR(IF(ISNUMBER(INDEX(원자료_잔고!$A$1:$EZ$1500,설정!$L$5+ROW()-1,설정!$L$16)),INDEX(원자료_잔고!$A$1:$EZ$1500,설정!$L$5+ROW()-1,설정!$L$16),""),"")</f>
        <v>2.5</v>
      </c>
      <c r="K210" s="87" t="n">
        <f aca="false">IFERROR(IF(ISNUMBER(INDEX(원자료_잔고!$A$1:$EZ$1500,설정!$L$5+ROW()-1,설정!$L$17)),INDEX(원자료_잔고!$A$1:$EZ$1500,설정!$L$5+ROW()-1,설정!$L$17),""),"")</f>
        <v>1</v>
      </c>
      <c r="L210" s="84" t="n">
        <f aca="false">IFERROR(IF(ISNUMBER(INDEX(원자료_잔고!$A$1:$EZ$1500,설정!$L$5+ROW()-1,설정!$L$18)),INDEX(원자료_잔고!$A$1:$EZ$1500,설정!$L$5+ROW()-1,설정!$L$18),""),"")</f>
        <v>3703996.8</v>
      </c>
      <c r="M210" s="88" t="n">
        <f aca="false">IFERROR(IF(ISNUMBER(INDEX(원자료_잔고!$A$1:$EZ$1500,설정!$L$5+ROW()-1,설정!$L$19)),INDEX(원자료_잔고!$A$1:$EZ$1500,설정!$L$5+ROW()-1,설정!$L$19),""),"")</f>
        <v>-131880</v>
      </c>
      <c r="N210" s="83" t="str">
        <f aca="false">IFERROR(IF(INDEX(원자료_잔고!$A$1:$EZ$1500,설정!$L$5+ROW()-1,설정!$L$21)&amp;""="0","",INDEX(원자료_잔고!$A$1:$EZ$1500,설정!$L$5+ROW()-1,설정!$L$21)&amp;""),"")</f>
        <v>BBB+</v>
      </c>
      <c r="O210" s="83" t="str">
        <f aca="false">IFERROR(IF(INDEX(원자료_잔고!$A$1:$EZ$1500,설정!$L$5+ROW()-1,설정!$L$22)&amp;""="0","",INDEX(원자료_잔고!$A$1:$EZ$1500,설정!$L$5+ROW()-1,설정!$L$22)&amp;""),"")</f>
        <v/>
      </c>
      <c r="P210" s="83" t="str">
        <f aca="false">IFERROR(IF(INDEX(원자료_잔고!$A$1:$EZ$1500,설정!$L$5+ROW()-1,설정!$L$23)&amp;""="0","",INDEX(원자료_잔고!$A$1:$EZ$1500,설정!$L$5+ROW()-1,설정!$L$23)&amp;""),"")</f>
        <v>BBB+</v>
      </c>
      <c r="Q210" s="89" t="n">
        <f aca="false">IF(AND($A210&lt;&gt;"",ISNUMBER(E210)),IF(E210&gt;0,1,0),0)</f>
        <v>1</v>
      </c>
      <c r="R210" s="43" t="str">
        <f aca="false">IF(Q210=1,UPPER(LEFT($A210,FIND(" ",$A210&amp;" ")-1)),"")</f>
        <v>CITNAT</v>
      </c>
      <c r="S210" s="89" t="n">
        <f aca="false">IF(Q210=1,IF(OR(ISNUMBER(SEARCH("Float",$A210)),ISNUMBER(SEARCH("FRN",$A210))),1,0),0)</f>
        <v>0</v>
      </c>
      <c r="T210" s="43" t="str">
        <f aca="false">IF(AND(Q210=1,ISNUMBER(I210)),TEXT(I210,"yyyymmdd")&amp;"|"&amp;IF(S210=1,"F",TEXT(J210,"0.000")),"")</f>
        <v>20301104|2.500</v>
      </c>
      <c r="U210" s="90" t="n">
        <f aca="false">IF(AND(Q210=1,ISNUMBER(I210)),(I210-설정!$C$4)/365.25,"")</f>
        <v>4.09308692676249</v>
      </c>
      <c r="V210" s="43" t="str">
        <f aca="false">IF(Q210&lt;&gt;1,"",IF(ISNUMBER(U210),IF(U210&lt;=1,"1년 이하",IF(U210&lt;=2,"1-2년",IF(U210&lt;=3,"2-3년",IF(U210&lt;=4,"3-4년",IF(U210&lt;=5,"4-5년",IF(U210&lt;=7,"5-7년",IF(U210&lt;=10,"7-10년",IF(U210&lt;=20,"10-20년","20년 이상")))))))),"미분류"))</f>
        <v>4-5년</v>
      </c>
      <c r="W210" s="43" t="str">
        <f aca="false">IF(Q210&lt;&gt;1,"",IF(AB210&lt;&gt;"",INDEX(시장분석!$C:$C,AB210),IF(K210=1,"USD","비USD")))</f>
        <v>USD</v>
      </c>
      <c r="X210" s="91" t="n">
        <f aca="false">IF(Q210=1,E210*K210/1000000,0)</f>
        <v>4.2</v>
      </c>
      <c r="Y210" s="89" t="n">
        <f aca="false">IF(R210="T",1,0)</f>
        <v>0</v>
      </c>
      <c r="Z210" s="92" t="n">
        <f aca="false">IF(Q210&lt;&gt;1,"",IF(AD210=1,IF(ISNUMBER(U210),MAX(U210,0),H210),H210))</f>
        <v>3.6695</v>
      </c>
      <c r="AA210" s="91" t="n">
        <f aca="false">IF(Q210=1,IF(ISNUMBER(L210),L210,0)*K210/1000000,0)</f>
        <v>3.7039968</v>
      </c>
      <c r="AB210" s="89" t="n">
        <f aca="false">IF(Q210&lt;&gt;1,"",IFERROR(MATCH(VLOOKUP(B210,매핑!$H$4:$I$15,2,0),시장분석!$A$2:$A$601,0)+1,IFERROR(MATCH(R210&amp;"|"&amp;T210,시장분석!$V$2:$V$601,0)+1,IF(COUNTIF(시장분석!$U$2:$U$601,T210)=1,MATCH(T210,시장분석!$U$2:$U$601,0)+1,""))))</f>
        <v>84</v>
      </c>
      <c r="AC210" s="89" t="n">
        <f aca="false">IF(Q210&lt;&gt;1,0,IF(OR(설정!$C$5="전체",AND(설정!$C$5="선택펀드",IFERROR(COUNTIFS(설정!$F$16:$F$36,C210,설정!$G$16:$G$36,"Y")+COUNTIFS(설정!$F$16:$F$36,VALUE(C210),설정!$G$16:$G$36,"Y"),0)&gt;0),C210&amp;""=설정!$C$5&amp;""),1,0))</f>
        <v>1</v>
      </c>
      <c r="AD210" s="89" t="n">
        <f aca="false">IF(Q210&lt;&gt;1,0,IF(OR(S210=1,IF(AB210="",FALSE(),INDEX(시장분석!$R:$R,AB210)=1)),1,0))</f>
        <v>0</v>
      </c>
      <c r="AE210" s="43" t="str">
        <f aca="false">IF(AB210="","",INDEX(시장분석!$A:$A,AB210))</f>
        <v>CITNAT 2 1/2 11/04/30</v>
      </c>
      <c r="AF210" s="93" t="n">
        <f aca="false">IF(AB210="","",IF(ISNUMBER(IF(AB210="","",INDEX(시장분석!$E:$E,AB210))),IF(AB210="","",INDEX(시장분석!$E:$E,AB210)),""))</f>
        <v>75.23</v>
      </c>
      <c r="AG210" s="43" t="str">
        <f aca="false">IF(Q210&lt;&gt;1,"",IF(AB210&lt;&gt;"",IF(AB210="","",INDEX(시장분석!$L:$L,AB210)),IFERROR(IF(VLOOKUP(R210,매핑!$A$4:$E$92,5,0)="","미분류",VLOOKUP(R210,매핑!$A$4:$E$92,5,0)),"미분류")))</f>
        <v>금융기관</v>
      </c>
      <c r="AH210" s="43" t="str">
        <f aca="false">IF(Q210&lt;&gt;1,"",IF(AB210&lt;&gt;"",IF(AB210="","",INDEX(시장분석!$N:$N,AB210)),IFERROR(IF(VLOOKUP(R210,매핑!$A$4:$E$92,4,0)="","미분류",VLOOKUP(R210,매핑!$A$4:$E$92,4,0)),"미분류")))</f>
        <v>아시아/기타</v>
      </c>
      <c r="AI210" s="43" t="str">
        <f aca="false">IF(Q210&lt;&gt;1,"",IFERROR(IF(VLOOKUP(R210,매핑!$A$4:$E$92,3,0)="","미분류",VLOOKUP(R210,매핑!$A$4:$E$92,3,0)),IF(AB210&lt;&gt;"",IF(AB210="","",INDEX(시장분석!$W:$W,AB210)),"미분류")))</f>
        <v>한국</v>
      </c>
      <c r="AJ210" s="43" t="str">
        <f aca="false">IF(Q210&lt;&gt;1,"",IFERROR(VLOOKUP(IF(N210&lt;&gt;"",N210,IF(P210&lt;&gt;"",P210,O210)),설정!$A$15:$D$47,2,0),""))</f>
        <v>BBB+</v>
      </c>
      <c r="AK210" s="43" t="str">
        <f aca="false">IF(Q210&lt;&gt;1,"",IF(AJ210="","무등급",IFERROR(VLOOKUP(AJ210,설정!$A$15:$D$47,3,0),"무등급")))</f>
        <v>BBB</v>
      </c>
      <c r="AL210" s="89" t="n">
        <f aca="false">IF(AJ210="",99,IFERROR(VLOOKUP(AJ210,설정!$A$15:$D$47,4,0),99))</f>
        <v>8</v>
      </c>
      <c r="AM210" s="94" t="n">
        <f aca="false">IF(ISNUMBER(H210),AA210*1000000*H210/10000,0)</f>
        <v>1359.18162576</v>
      </c>
      <c r="AN210" s="94" t="n">
        <f aca="false">IF(OR(Y210=1,NOT(ISNUMBER(Z210))),0,AA210*1000000*Z210/10000)</f>
        <v>1359.18162576</v>
      </c>
      <c r="AO210" s="94" t="n">
        <f aca="false">IF(ISNUMBER(G210),AA210*1000000*G210/100,0)</f>
        <v>214035.455088</v>
      </c>
      <c r="AP210" s="94" t="n">
        <f aca="false">IF(ISNUMBER(M210),M210*K210,0)</f>
        <v>-131880</v>
      </c>
      <c r="AQ210" s="95" t="n">
        <f aca="false">IF(AB210="","",INDEX(시장분석!$AK:$AK,AB210))</f>
        <v>0.309609654990839</v>
      </c>
      <c r="AR210" s="43" t="str">
        <f aca="false">IF(AB210="","-",IF(AB210="","",INDEX(시장분석!$AL:$AL,AB210)))</f>
        <v>Fair</v>
      </c>
      <c r="AS210" s="96" t="n">
        <f aca="false">IF(AB210="","",INDEX(시장분석!$AJ:$AJ,AB210))</f>
        <v>6.33882037674123</v>
      </c>
      <c r="AT210" s="93" t="n">
        <f aca="false">IF(AB210="",0,IF(AB210="","",INDEX(시장분석!$AN:$AN,AB210)))</f>
        <v>4.1821894279753</v>
      </c>
      <c r="AU210" s="94" t="n">
        <f aca="false">IF(ISNUMBER(Z210),AT210/10000*MAX(Z210-1,0)*AA210*1000000,0)</f>
        <v>4135.27340013032</v>
      </c>
      <c r="AV210" s="94" t="n">
        <f aca="false">AO210+AU210</f>
        <v>218170.72848813</v>
      </c>
      <c r="AW210" s="43" t="str">
        <f aca="false">IF(Q210&lt;&gt;1,"",TRIM(IF(AD210=1,"FRN ","")&amp;IF(AND(AL210&gt;=10,AL210&lt;99),"BBB0미만 ","")&amp;IF(AJ210="","등급없음 ","")&amp;IF(K210&lt;&gt;1,"비USD ","")&amp;IF(AND(AB210="",Y210=0),"시장데이터없음 ","")&amp;IF(AND(ISNUMBER(U210),U210&lt;0),"만기경과 ","")))</f>
        <v/>
      </c>
      <c r="AX210" s="90" t="n">
        <f aca="false">IF(Q210&lt;&gt;1,1,IF(스프레드쇼크!$C$4="Y",INDEX(스프레드쇼크!$B$12:$L$16,IFERROR(MATCH(AH210,스프레드쇼크!$A$12:$A$16,0),MATCH("목록외",스프레드쇼크!$A$12:$A$16,0)),IFERROR(MATCH(AG210,스프레드쇼크!$B$11:$L$11,0),MATCH("목록외",스프레드쇼크!$B$11:$L$11,0))),1))</f>
        <v>1</v>
      </c>
      <c r="AY210" s="90" t="n">
        <f aca="false">IF(스프레드쇼크!$C$5="Y",IF(ISNUMBER(AF210),MIN(스프레드쇼크!$C$7,MAX(스프레드쇼크!$C$6,AF210/스프레드쇼크!$C$8)),1),1)</f>
        <v>1.13788294575787</v>
      </c>
      <c r="AZ210" s="94" t="n">
        <f aca="false">AN210*AX210*AY210</f>
        <v>1546.58959213975</v>
      </c>
      <c r="BA210" s="90" t="n">
        <f aca="false">IF(ISNUMBER(G210),AA210*G210,0)</f>
        <v>21.4035455088</v>
      </c>
      <c r="BB210" s="90" t="n">
        <f aca="false">IF(ISNUMBER(G210),AA210,0)</f>
        <v>3.7039968</v>
      </c>
      <c r="BC210" s="90" t="n">
        <f aca="false">IF(AND(Y210=0,ISNUMBER(AF210)),AA210*AF210,0)</f>
        <v>278.651679264</v>
      </c>
      <c r="BD210" s="90" t="n">
        <f aca="false">IF(AND(Y210=0,ISNUMBER(AF210)),AA210,0)</f>
        <v>3.7039968</v>
      </c>
      <c r="BE210" s="90" t="n">
        <f aca="false">IF(ISNUMBER(H210),AA210*H210,0)</f>
        <v>13.5918162576</v>
      </c>
      <c r="BF210" s="90" t="n">
        <f aca="false">IF(ISNUMBER(H210),AA210,0)</f>
        <v>3.7039968</v>
      </c>
      <c r="BG210" s="90" t="n">
        <f aca="false">IF(AND(Y210=0,ISNUMBER(AF210),ISNUMBER(Z210)),AA210*Z210,0)</f>
        <v>13.5918162576</v>
      </c>
      <c r="BH210" s="90" t="n">
        <f aca="false">IF(AND(Y210=0,ISNUMBER(AF210),ISNUMBER(Z210)),AA210*AT210*MAX(Z210-1,0),0)</f>
        <v>41.3527340013032</v>
      </c>
      <c r="BI210" s="90" t="n">
        <f aca="false">IF(Y210=0,AA210,0)</f>
        <v>3.7039968</v>
      </c>
    </row>
    <row r="211" customFormat="false" ht="15" hidden="false" customHeight="false" outlineLevel="0" collapsed="false">
      <c r="A211" s="83" t="str">
        <f aca="false">IFERROR(IF(INDEX(원자료_잔고!$A$1:$EZ$1500,설정!$L$5+ROW()-1,설정!$L$8)&amp;""="0","",INDEX(원자료_잔고!$A$1:$EZ$1500,설정!$L$5+ROW()-1,설정!$L$8)&amp;""),"")</f>
        <v>KDB 4.5 02/15/29</v>
      </c>
      <c r="B211" s="83" t="str">
        <f aca="false">IFERROR(IF(INDEX(원자료_잔고!$A$1:$EZ$1500,설정!$L$5+ROW()-1,설정!$L$7)&amp;""="0","",INDEX(원자료_잔고!$A$1:$EZ$1500,설정!$L$5+ROW()-1,설정!$L$7)&amp;""),"")</f>
        <v>US500630ED65</v>
      </c>
      <c r="C211" s="83" t="str">
        <f aca="false">IFERROR(IF(INDEX(원자료_잔고!$A$1:$EZ$1500,설정!$L$5+ROW()-1,설정!$L$9)&amp;""="0","",INDEX(원자료_잔고!$A$1:$EZ$1500,설정!$L$5+ROW()-1,설정!$L$9)&amp;""),"")</f>
        <v>34578</v>
      </c>
      <c r="D21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1" s="84" t="n">
        <f aca="false">IFERROR(IF(ISNUMBER(INDEX(원자료_잔고!$A$1:$EZ$1500,설정!$L$5+ROW()-1,설정!$L$11)),INDEX(원자료_잔고!$A$1:$EZ$1500,설정!$L$5+ROW()-1,설정!$L$11),""),"")</f>
        <v>1000000</v>
      </c>
      <c r="F211" s="85" t="n">
        <f aca="false">IFERROR(IF(ISNUMBER(INDEX(원자료_잔고!$A$1:$EZ$1500,설정!$L$5+ROW()-1,설정!$L$12)),INDEX(원자료_잔고!$A$1:$EZ$1500,설정!$L$5+ROW()-1,설정!$L$12),""),"")</f>
        <v>98.7419</v>
      </c>
      <c r="G211" s="85" t="n">
        <f aca="false">IFERROR(IF(ISNUMBER(INDEX(원자료_잔고!$A$1:$EZ$1500,설정!$L$5+ROW()-1,설정!$L$13)),INDEX(원자료_잔고!$A$1:$EZ$1500,설정!$L$5+ROW()-1,설정!$L$13),""),"")</f>
        <v>5.0654</v>
      </c>
      <c r="H211" s="85" t="n">
        <f aca="false">IFERROR(IF(ISNUMBER(INDEX(원자료_잔고!$A$1:$EZ$1500,설정!$L$5+ROW()-1,설정!$L$14)),INDEX(원자료_잔고!$A$1:$EZ$1500,설정!$L$5+ROW()-1,설정!$L$14),""),"")</f>
        <v>2.173</v>
      </c>
      <c r="I211" s="86" t="n">
        <f aca="false">IFERROR(IF(ISNUMBER(INDEX(원자료_잔고!$A$1:$EZ$1500,설정!$L$5+ROW()-1,설정!$L$15)),INDEX(원자료_잔고!$A$1:$EZ$1500,설정!$L$5+ROW()-1,설정!$L$15),""),"")</f>
        <v>47164</v>
      </c>
      <c r="J211" s="85" t="n">
        <f aca="false">IFERROR(IF(ISNUMBER(INDEX(원자료_잔고!$A$1:$EZ$1500,설정!$L$5+ROW()-1,설정!$L$16)),INDEX(원자료_잔고!$A$1:$EZ$1500,설정!$L$5+ROW()-1,설정!$L$16),""),"")</f>
        <v>4.5</v>
      </c>
      <c r="K211" s="87" t="n">
        <f aca="false">IFERROR(IF(ISNUMBER(INDEX(원자료_잔고!$A$1:$EZ$1500,설정!$L$5+ROW()-1,설정!$L$17)),INDEX(원자료_잔고!$A$1:$EZ$1500,설정!$L$5+ROW()-1,설정!$L$17),""),"")</f>
        <v>1</v>
      </c>
      <c r="L211" s="84" t="n">
        <f aca="false">IFERROR(IF(ISNUMBER(INDEX(원자료_잔고!$A$1:$EZ$1500,설정!$L$5+ROW()-1,설정!$L$18)),INDEX(원자료_잔고!$A$1:$EZ$1500,설정!$L$5+ROW()-1,설정!$L$18),""),"")</f>
        <v>987419</v>
      </c>
      <c r="M211" s="88" t="n">
        <f aca="false">IFERROR(IF(ISNUMBER(INDEX(원자료_잔고!$A$1:$EZ$1500,설정!$L$5+ROW()-1,설정!$L$19)),INDEX(원자료_잔고!$A$1:$EZ$1500,설정!$L$5+ROW()-1,설정!$L$19),""),"")</f>
        <v>-31351</v>
      </c>
      <c r="N211" s="83" t="str">
        <f aca="false">IFERROR(IF(INDEX(원자료_잔고!$A$1:$EZ$1500,설정!$L$5+ROW()-1,설정!$L$21)&amp;""="0","",INDEX(원자료_잔고!$A$1:$EZ$1500,설정!$L$5+ROW()-1,설정!$L$21)&amp;""),"")</f>
        <v>AA</v>
      </c>
      <c r="O211" s="83" t="str">
        <f aca="false">IFERROR(IF(INDEX(원자료_잔고!$A$1:$EZ$1500,설정!$L$5+ROW()-1,설정!$L$22)&amp;""="0","",INDEX(원자료_잔고!$A$1:$EZ$1500,설정!$L$5+ROW()-1,설정!$L$22)&amp;""),"")</f>
        <v/>
      </c>
      <c r="P211" s="83" t="str">
        <f aca="false">IFERROR(IF(INDEX(원자료_잔고!$A$1:$EZ$1500,설정!$L$5+ROW()-1,설정!$L$23)&amp;""="0","",INDEX(원자료_잔고!$A$1:$EZ$1500,설정!$L$5+ROW()-1,설정!$L$23)&amp;""),"")</f>
        <v>AA-</v>
      </c>
      <c r="Q211" s="89" t="n">
        <f aca="false">IF(AND($A211&lt;&gt;"",ISNUMBER(E211)),IF(E211&gt;0,1,0),0)</f>
        <v>1</v>
      </c>
      <c r="R211" s="43" t="str">
        <f aca="false">IF(Q211=1,UPPER(LEFT($A211,FIND(" ",$A211&amp;" ")-1)),"")</f>
        <v>KDB</v>
      </c>
      <c r="S211" s="89" t="n">
        <f aca="false">IF(Q211=1,IF(OR(ISNUMBER(SEARCH("Float",$A211)),ISNUMBER(SEARCH("FRN",$A211))),1,0),0)</f>
        <v>0</v>
      </c>
      <c r="T211" s="43" t="str">
        <f aca="false">IF(AND(Q211=1,ISNUMBER(I211)),TEXT(I211,"yyyymmdd")&amp;"|"&amp;IF(S211=1,"F",TEXT(J211,"0.000")),"")</f>
        <v>20290215|4.500</v>
      </c>
      <c r="U211" s="90" t="n">
        <f aca="false">IF(AND(Q211=1,ISNUMBER(I211)),(I211-설정!$C$4)/365.25,"")</f>
        <v>2.37645448323066</v>
      </c>
      <c r="V211" s="43" t="str">
        <f aca="false">IF(Q211&lt;&gt;1,"",IF(ISNUMBER(U211),IF(U211&lt;=1,"1년 이하",IF(U211&lt;=2,"1-2년",IF(U211&lt;=3,"2-3년",IF(U211&lt;=4,"3-4년",IF(U211&lt;=5,"4-5년",IF(U211&lt;=7,"5-7년",IF(U211&lt;=10,"7-10년",IF(U211&lt;=20,"10-20년","20년 이상")))))))),"미분류"))</f>
        <v>2-3년</v>
      </c>
      <c r="W211" s="43" t="str">
        <f aca="false">IF(Q211&lt;&gt;1,"",IF(AB211&lt;&gt;"",INDEX(시장분석!$C:$C,AB211),IF(K211=1,"USD","비USD")))</f>
        <v>USD</v>
      </c>
      <c r="X211" s="91" t="n">
        <f aca="false">IF(Q211=1,E211*K211/1000000,0)</f>
        <v>1</v>
      </c>
      <c r="Y211" s="89" t="n">
        <f aca="false">IF(R211="T",1,0)</f>
        <v>0</v>
      </c>
      <c r="Z211" s="92" t="n">
        <f aca="false">IF(Q211&lt;&gt;1,"",IF(AD211=1,IF(ISNUMBER(U211),MAX(U211,0),H211),H211))</f>
        <v>2.173</v>
      </c>
      <c r="AA211" s="91" t="n">
        <f aca="false">IF(Q211=1,IF(ISNUMBER(L211),L211,0)*K211/1000000,0)</f>
        <v>0.987419</v>
      </c>
      <c r="AB211" s="89" t="n">
        <f aca="false">IF(Q211&lt;&gt;1,"",IFERROR(MATCH(VLOOKUP(B211,매핑!$H$4:$I$15,2,0),시장분석!$A$2:$A$601,0)+1,IFERROR(MATCH(R211&amp;"|"&amp;T211,시장분석!$V$2:$V$601,0)+1,IF(COUNTIF(시장분석!$U$2:$U$601,T211)=1,MATCH(T211,시장분석!$U$2:$U$601,0)+1,""))))</f>
        <v>85</v>
      </c>
      <c r="AC211" s="89" t="n">
        <f aca="false">IF(Q211&lt;&gt;1,0,IF(OR(설정!$C$5="전체",AND(설정!$C$5="선택펀드",IFERROR(COUNTIFS(설정!$F$16:$F$36,C211,설정!$G$16:$G$36,"Y")+COUNTIFS(설정!$F$16:$F$36,VALUE(C211),설정!$G$16:$G$36,"Y"),0)&gt;0),C211&amp;""=설정!$C$5&amp;""),1,0))</f>
        <v>1</v>
      </c>
      <c r="AD211" s="89" t="n">
        <f aca="false">IF(Q211&lt;&gt;1,0,IF(OR(S211=1,IF(AB211="",FALSE(),INDEX(시장분석!$R:$R,AB211)=1)),1,0))</f>
        <v>0</v>
      </c>
      <c r="AE211" s="43" t="str">
        <f aca="false">IF(AB211="","",INDEX(시장분석!$A:$A,AB211))</f>
        <v>KDB 4 1/2 02/15/29</v>
      </c>
      <c r="AF211" s="93" t="n">
        <f aca="false">IF(AB211="","",IF(ISNUMBER(IF(AB211="","",INDEX(시장분석!$E:$E,AB211))),IF(AB211="","",INDEX(시장분석!$E:$E,AB211)),""))</f>
        <v>6.195</v>
      </c>
      <c r="AG211" s="43" t="str">
        <f aca="false">IF(Q211&lt;&gt;1,"",IF(AB211&lt;&gt;"",IF(AB211="","",INDEX(시장분석!$L:$L,AB211)),IFERROR(IF(VLOOKUP(R211,매핑!$A$4:$E$92,5,0)="","미분류",VLOOKUP(R211,매핑!$A$4:$E$92,5,0)),"미분류")))</f>
        <v>정부</v>
      </c>
      <c r="AH211" s="43" t="str">
        <f aca="false">IF(Q211&lt;&gt;1,"",IF(AB211&lt;&gt;"",IF(AB211="","",INDEX(시장분석!$N:$N,AB211)),IFERROR(IF(VLOOKUP(R211,매핑!$A$4:$E$92,4,0)="","미분류",VLOOKUP(R211,매핑!$A$4:$E$92,4,0)),"미분류")))</f>
        <v>아시아/기타</v>
      </c>
      <c r="AI211" s="43" t="str">
        <f aca="false">IF(Q211&lt;&gt;1,"",IFERROR(IF(VLOOKUP(R211,매핑!$A$4:$E$92,3,0)="","미분류",VLOOKUP(R211,매핑!$A$4:$E$92,3,0)),IF(AB211&lt;&gt;"",IF(AB211="","",INDEX(시장분석!$W:$W,AB211)),"미분류")))</f>
        <v>한국</v>
      </c>
      <c r="AJ211" s="43" t="str">
        <f aca="false">IF(Q211&lt;&gt;1,"",IFERROR(VLOOKUP(IF(N211&lt;&gt;"",N211,IF(P211&lt;&gt;"",P211,O211)),설정!$A$15:$D$47,2,0),""))</f>
        <v>AA</v>
      </c>
      <c r="AK211" s="43" t="str">
        <f aca="false">IF(Q211&lt;&gt;1,"",IF(AJ211="","무등급",IFERROR(VLOOKUP(AJ211,설정!$A$15:$D$47,3,0),"무등급")))</f>
        <v>AA이상</v>
      </c>
      <c r="AL211" s="89" t="n">
        <f aca="false">IF(AJ211="",99,IFERROR(VLOOKUP(AJ211,설정!$A$15:$D$47,4,0),99))</f>
        <v>3</v>
      </c>
      <c r="AM211" s="94" t="n">
        <f aca="false">IF(ISNUMBER(H211),AA211*1000000*H211/10000,0)</f>
        <v>214.5661487</v>
      </c>
      <c r="AN211" s="94" t="n">
        <f aca="false">IF(OR(Y211=1,NOT(ISNUMBER(Z211))),0,AA211*1000000*Z211/10000)</f>
        <v>214.5661487</v>
      </c>
      <c r="AO211" s="94" t="n">
        <f aca="false">IF(ISNUMBER(G211),AA211*1000000*G211/100,0)</f>
        <v>50016.722026</v>
      </c>
      <c r="AP211" s="94" t="n">
        <f aca="false">IF(ISNUMBER(M211),M211*K211,0)</f>
        <v>-31351</v>
      </c>
      <c r="AQ211" s="95" t="n">
        <f aca="false">IF(AB211="","",INDEX(시장분석!$AK:$AK,AB211))</f>
        <v>-0.61815764091644</v>
      </c>
      <c r="AR211" s="43" t="str">
        <f aca="false">IF(AB211="","-",IF(AB211="","",INDEX(시장분석!$AL:$AL,AB211)))</f>
        <v>Fair</v>
      </c>
      <c r="AS211" s="96" t="n">
        <f aca="false">IF(AB211="","",INDEX(시장분석!$AJ:$AJ,AB211))</f>
        <v>-8.46444748374116</v>
      </c>
      <c r="AT211" s="93" t="n">
        <f aca="false">IF(AB211="",0,IF(AB211="","",INDEX(시장분석!$AN:$AN,AB211)))</f>
        <v>11.600675366795</v>
      </c>
      <c r="AU211" s="94" t="n">
        <f aca="false">IF(ISNUMBER(Z211),AT211/10000*MAX(Z211-1,0)*AA211*1000000,0)</f>
        <v>1343.63950877163</v>
      </c>
      <c r="AV211" s="94" t="n">
        <f aca="false">AO211+AU211</f>
        <v>51360.3615347716</v>
      </c>
      <c r="AW211" s="43" t="str">
        <f aca="false">IF(Q211&lt;&gt;1,"",TRIM(IF(AD211=1,"FRN ","")&amp;IF(AND(AL211&gt;=10,AL211&lt;99),"BBB0미만 ","")&amp;IF(AJ211="","등급없음 ","")&amp;IF(K211&lt;&gt;1,"비USD ","")&amp;IF(AND(AB211="",Y211=0),"시장데이터없음 ","")&amp;IF(AND(ISNUMBER(U211),U211&lt;0),"만기경과 ","")))</f>
        <v/>
      </c>
      <c r="AX211" s="90" t="n">
        <f aca="false">IF(Q211&lt;&gt;1,1,IF(스프레드쇼크!$C$4="Y",INDEX(스프레드쇼크!$B$12:$L$16,IFERROR(MATCH(AH211,스프레드쇼크!$A$12:$A$16,0),MATCH("목록외",스프레드쇼크!$A$12:$A$16,0)),IFERROR(MATCH(AG211,스프레드쇼크!$B$11:$L$11,0),MATCH("목록외",스프레드쇼크!$B$11:$L$11,0))),1))</f>
        <v>1</v>
      </c>
      <c r="AY211" s="90" t="n">
        <f aca="false">IF(스프레드쇼크!$C$5="Y",IF(ISNUMBER(AF211),MIN(스프레드쇼크!$C$7,MAX(스프레드쇼크!$C$6,AF211/스프레드쇼크!$C$8)),1),1)</f>
        <v>0.25</v>
      </c>
      <c r="AZ211" s="94" t="n">
        <f aca="false">AN211*AX211*AY211</f>
        <v>53.641537175</v>
      </c>
      <c r="BA211" s="90" t="n">
        <f aca="false">IF(ISNUMBER(G211),AA211*G211,0)</f>
        <v>5.0016722026</v>
      </c>
      <c r="BB211" s="90" t="n">
        <f aca="false">IF(ISNUMBER(G211),AA211,0)</f>
        <v>0.987419</v>
      </c>
      <c r="BC211" s="90" t="n">
        <f aca="false">IF(AND(Y211=0,ISNUMBER(AF211)),AA211*AF211,0)</f>
        <v>6.117060705</v>
      </c>
      <c r="BD211" s="90" t="n">
        <f aca="false">IF(AND(Y211=0,ISNUMBER(AF211)),AA211,0)</f>
        <v>0.987419</v>
      </c>
      <c r="BE211" s="90" t="n">
        <f aca="false">IF(ISNUMBER(H211),AA211*H211,0)</f>
        <v>2.145661487</v>
      </c>
      <c r="BF211" s="90" t="n">
        <f aca="false">IF(ISNUMBER(H211),AA211,0)</f>
        <v>0.987419</v>
      </c>
      <c r="BG211" s="90" t="n">
        <f aca="false">IF(AND(Y211=0,ISNUMBER(AF211),ISNUMBER(Z211)),AA211*Z211,0)</f>
        <v>2.145661487</v>
      </c>
      <c r="BH211" s="90" t="n">
        <f aca="false">IF(AND(Y211=0,ISNUMBER(AF211),ISNUMBER(Z211)),AA211*AT211*MAX(Z211-1,0),0)</f>
        <v>13.4363950877163</v>
      </c>
      <c r="BI211" s="90" t="n">
        <f aca="false">IF(Y211=0,AA211,0)</f>
        <v>0.987419</v>
      </c>
    </row>
    <row r="212" customFormat="false" ht="15" hidden="false" customHeight="false" outlineLevel="0" collapsed="false">
      <c r="A212" s="83" t="str">
        <f aca="false">IFERROR(IF(INDEX(원자료_잔고!$A$1:$EZ$1500,설정!$L$5+ROW()-1,설정!$L$8)&amp;""="0","",INDEX(원자료_잔고!$A$1:$EZ$1500,설정!$L$5+ROW()-1,설정!$L$8)&amp;""),"")</f>
        <v>KOREA 3.625 10/29/30</v>
      </c>
      <c r="B212" s="83" t="str">
        <f aca="false">IFERROR(IF(INDEX(원자료_잔고!$A$1:$EZ$1500,설정!$L$5+ROW()-1,설정!$L$7)&amp;""="0","",INDEX(원자료_잔고!$A$1:$EZ$1500,설정!$L$5+ROW()-1,설정!$L$7)&amp;""),"")</f>
        <v>US50064FAY07</v>
      </c>
      <c r="C212" s="83" t="str">
        <f aca="false">IFERROR(IF(INDEX(원자료_잔고!$A$1:$EZ$1500,설정!$L$5+ROW()-1,설정!$L$9)&amp;""="0","",INDEX(원자료_잔고!$A$1:$EZ$1500,설정!$L$5+ROW()-1,설정!$L$9)&amp;""),"")</f>
        <v>34578</v>
      </c>
      <c r="D21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2" s="84" t="n">
        <f aca="false">IFERROR(IF(ISNUMBER(INDEX(원자료_잔고!$A$1:$EZ$1500,설정!$L$5+ROW()-1,설정!$L$11)),INDEX(원자료_잔고!$A$1:$EZ$1500,설정!$L$5+ROW()-1,설정!$L$11),""),"")</f>
        <v>500000</v>
      </c>
      <c r="F212" s="85" t="n">
        <f aca="false">IFERROR(IF(ISNUMBER(INDEX(원자료_잔고!$A$1:$EZ$1500,설정!$L$5+ROW()-1,설정!$L$12)),INDEX(원자료_잔고!$A$1:$EZ$1500,설정!$L$5+ROW()-1,설정!$L$12),""),"")</f>
        <v>94.6362</v>
      </c>
      <c r="G212" s="85" t="n">
        <f aca="false">IFERROR(IF(ISNUMBER(INDEX(원자료_잔고!$A$1:$EZ$1500,설정!$L$5+ROW()-1,설정!$L$13)),INDEX(원자료_잔고!$A$1:$EZ$1500,설정!$L$5+ROW()-1,설정!$L$13),""),"")</f>
        <v>5.0965</v>
      </c>
      <c r="H212" s="85" t="n">
        <f aca="false">IFERROR(IF(ISNUMBER(INDEX(원자료_잔고!$A$1:$EZ$1500,설정!$L$5+ROW()-1,설정!$L$14)),INDEX(원자료_잔고!$A$1:$EZ$1500,설정!$L$5+ROW()-1,설정!$L$14),""),"")</f>
        <v>3.5888</v>
      </c>
      <c r="I212" s="86" t="n">
        <f aca="false">IFERROR(IF(ISNUMBER(INDEX(원자료_잔고!$A$1:$EZ$1500,설정!$L$5+ROW()-1,설정!$L$15)),INDEX(원자료_잔고!$A$1:$EZ$1500,설정!$L$5+ROW()-1,설정!$L$15),""),"")</f>
        <v>47785</v>
      </c>
      <c r="J212" s="85" t="n">
        <f aca="false">IFERROR(IF(ISNUMBER(INDEX(원자료_잔고!$A$1:$EZ$1500,설정!$L$5+ROW()-1,설정!$L$16)),INDEX(원자료_잔고!$A$1:$EZ$1500,설정!$L$5+ROW()-1,설정!$L$16),""),"")</f>
        <v>3.625</v>
      </c>
      <c r="K212" s="87" t="n">
        <f aca="false">IFERROR(IF(ISNUMBER(INDEX(원자료_잔고!$A$1:$EZ$1500,설정!$L$5+ROW()-1,설정!$L$17)),INDEX(원자료_잔고!$A$1:$EZ$1500,설정!$L$5+ROW()-1,설정!$L$17),""),"")</f>
        <v>1</v>
      </c>
      <c r="L212" s="84" t="n">
        <f aca="false">IFERROR(IF(ISNUMBER(INDEX(원자료_잔고!$A$1:$EZ$1500,설정!$L$5+ROW()-1,설정!$L$18)),INDEX(원자료_잔고!$A$1:$EZ$1500,설정!$L$5+ROW()-1,설정!$L$18),""),"")</f>
        <v>473181</v>
      </c>
      <c r="M212" s="88" t="n">
        <f aca="false">IFERROR(IF(ISNUMBER(INDEX(원자료_잔고!$A$1:$EZ$1500,설정!$L$5+ROW()-1,설정!$L$19)),INDEX(원자료_잔고!$A$1:$EZ$1500,설정!$L$5+ROW()-1,설정!$L$19),""),"")</f>
        <v>-24333.5</v>
      </c>
      <c r="N212" s="83" t="str">
        <f aca="false">IFERROR(IF(INDEX(원자료_잔고!$A$1:$EZ$1500,설정!$L$5+ROW()-1,설정!$L$21)&amp;""="0","",INDEX(원자료_잔고!$A$1:$EZ$1500,설정!$L$5+ROW()-1,설정!$L$21)&amp;""),"")</f>
        <v>AA</v>
      </c>
      <c r="O212" s="83" t="str">
        <f aca="false">IFERROR(IF(INDEX(원자료_잔고!$A$1:$EZ$1500,설정!$L$5+ROW()-1,설정!$L$22)&amp;""="0","",INDEX(원자료_잔고!$A$1:$EZ$1500,설정!$L$5+ROW()-1,설정!$L$22)&amp;""),"")</f>
        <v/>
      </c>
      <c r="P212" s="83" t="str">
        <f aca="false">IFERROR(IF(INDEX(원자료_잔고!$A$1:$EZ$1500,설정!$L$5+ROW()-1,설정!$L$23)&amp;""="0","",INDEX(원자료_잔고!$A$1:$EZ$1500,설정!$L$5+ROW()-1,설정!$L$23)&amp;""),"")</f>
        <v>AA-</v>
      </c>
      <c r="Q212" s="89" t="n">
        <f aca="false">IF(AND($A212&lt;&gt;"",ISNUMBER(E212)),IF(E212&gt;0,1,0),0)</f>
        <v>1</v>
      </c>
      <c r="R212" s="43" t="str">
        <f aca="false">IF(Q212=1,UPPER(LEFT($A212,FIND(" ",$A212&amp;" ")-1)),"")</f>
        <v>KOREA</v>
      </c>
      <c r="S212" s="89" t="n">
        <f aca="false">IF(Q212=1,IF(OR(ISNUMBER(SEARCH("Float",$A212)),ISNUMBER(SEARCH("FRN",$A212))),1,0),0)</f>
        <v>0</v>
      </c>
      <c r="T212" s="43" t="str">
        <f aca="false">IF(AND(Q212=1,ISNUMBER(I212)),TEXT(I212,"yyyymmdd")&amp;"|"&amp;IF(S212=1,"F",TEXT(J212,"0.000")),"")</f>
        <v>20301029|3.625</v>
      </c>
      <c r="U212" s="90" t="n">
        <f aca="false">IF(AND(Q212=1,ISNUMBER(I212)),(I212-설정!$C$4)/365.25,"")</f>
        <v>4.0766598220397</v>
      </c>
      <c r="V212" s="43" t="str">
        <f aca="false">IF(Q212&lt;&gt;1,"",IF(ISNUMBER(U212),IF(U212&lt;=1,"1년 이하",IF(U212&lt;=2,"1-2년",IF(U212&lt;=3,"2-3년",IF(U212&lt;=4,"3-4년",IF(U212&lt;=5,"4-5년",IF(U212&lt;=7,"5-7년",IF(U212&lt;=10,"7-10년",IF(U212&lt;=20,"10-20년","20년 이상")))))))),"미분류"))</f>
        <v>4-5년</v>
      </c>
      <c r="W212" s="43" t="str">
        <f aca="false">IF(Q212&lt;&gt;1,"",IF(AB212&lt;&gt;"",INDEX(시장분석!$C:$C,AB212),IF(K212=1,"USD","비USD")))</f>
        <v>USD</v>
      </c>
      <c r="X212" s="91" t="n">
        <f aca="false">IF(Q212=1,E212*K212/1000000,0)</f>
        <v>0.5</v>
      </c>
      <c r="Y212" s="89" t="n">
        <f aca="false">IF(R212="T",1,0)</f>
        <v>0</v>
      </c>
      <c r="Z212" s="92" t="n">
        <f aca="false">IF(Q212&lt;&gt;1,"",IF(AD212=1,IF(ISNUMBER(U212),MAX(U212,0),H212),H212))</f>
        <v>3.5888</v>
      </c>
      <c r="AA212" s="91" t="n">
        <f aca="false">IF(Q212=1,IF(ISNUMBER(L212),L212,0)*K212/1000000,0)</f>
        <v>0.473181</v>
      </c>
      <c r="AB212" s="89" t="n">
        <f aca="false">IF(Q212&lt;&gt;1,"",IFERROR(MATCH(VLOOKUP(B212,매핑!$H$4:$I$15,2,0),시장분석!$A$2:$A$601,0)+1,IFERROR(MATCH(R212&amp;"|"&amp;T212,시장분석!$V$2:$V$601,0)+1,IF(COUNTIF(시장분석!$U$2:$U$601,T212)=1,MATCH(T212,시장분석!$U$2:$U$601,0)+1,""))))</f>
        <v>93</v>
      </c>
      <c r="AC212" s="89" t="n">
        <f aca="false">IF(Q212&lt;&gt;1,0,IF(OR(설정!$C$5="전체",AND(설정!$C$5="선택펀드",IFERROR(COUNTIFS(설정!$F$16:$F$36,C212,설정!$G$16:$G$36,"Y")+COUNTIFS(설정!$F$16:$F$36,VALUE(C212),설정!$G$16:$G$36,"Y"),0)&gt;0),C212&amp;""=설정!$C$5&amp;""),1,0))</f>
        <v>1</v>
      </c>
      <c r="AD212" s="89" t="n">
        <f aca="false">IF(Q212&lt;&gt;1,0,IF(OR(S212=1,IF(AB212="",FALSE(),INDEX(시장분석!$R:$R,AB212)=1)),1,0))</f>
        <v>0</v>
      </c>
      <c r="AE212" s="43" t="str">
        <f aca="false">IF(AB212="","",INDEX(시장분석!$A:$A,AB212))</f>
        <v>KOREA 3 5/8 10/29/30</v>
      </c>
      <c r="AF212" s="93" t="n">
        <f aca="false">IF(AB212="","",IF(ISNUMBER(IF(AB212="","",INDEX(시장분석!$E:$E,AB212))),IF(AB212="","",INDEX(시장분석!$E:$E,AB212)),""))</f>
        <v>4.069</v>
      </c>
      <c r="AG212" s="43" t="str">
        <f aca="false">IF(Q212&lt;&gt;1,"",IF(AB212&lt;&gt;"",IF(AB212="","",INDEX(시장분석!$L:$L,AB212)),IFERROR(IF(VLOOKUP(R212,매핑!$A$4:$E$92,5,0)="","미분류",VLOOKUP(R212,매핑!$A$4:$E$92,5,0)),"미분류")))</f>
        <v>정부</v>
      </c>
      <c r="AH212" s="43" t="str">
        <f aca="false">IF(Q212&lt;&gt;1,"",IF(AB212&lt;&gt;"",IF(AB212="","",INDEX(시장분석!$N:$N,AB212)),IFERROR(IF(VLOOKUP(R212,매핑!$A$4:$E$92,4,0)="","미분류",VLOOKUP(R212,매핑!$A$4:$E$92,4,0)),"미분류")))</f>
        <v>아시아/기타</v>
      </c>
      <c r="AI212" s="43" t="str">
        <f aca="false">IF(Q212&lt;&gt;1,"",IFERROR(IF(VLOOKUP(R212,매핑!$A$4:$E$92,3,0)="","미분류",VLOOKUP(R212,매핑!$A$4:$E$92,3,0)),IF(AB212&lt;&gt;"",IF(AB212="","",INDEX(시장분석!$W:$W,AB212)),"미분류")))</f>
        <v>한국</v>
      </c>
      <c r="AJ212" s="43" t="str">
        <f aca="false">IF(Q212&lt;&gt;1,"",IFERROR(VLOOKUP(IF(N212&lt;&gt;"",N212,IF(P212&lt;&gt;"",P212,O212)),설정!$A$15:$D$47,2,0),""))</f>
        <v>AA</v>
      </c>
      <c r="AK212" s="43" t="str">
        <f aca="false">IF(Q212&lt;&gt;1,"",IF(AJ212="","무등급",IFERROR(VLOOKUP(AJ212,설정!$A$15:$D$47,3,0),"무등급")))</f>
        <v>AA이상</v>
      </c>
      <c r="AL212" s="89" t="n">
        <f aca="false">IF(AJ212="",99,IFERROR(VLOOKUP(AJ212,설정!$A$15:$D$47,4,0),99))</f>
        <v>3</v>
      </c>
      <c r="AM212" s="94" t="n">
        <f aca="false">IF(ISNUMBER(H212),AA212*1000000*H212/10000,0)</f>
        <v>169.81519728</v>
      </c>
      <c r="AN212" s="94" t="n">
        <f aca="false">IF(OR(Y212=1,NOT(ISNUMBER(Z212))),0,AA212*1000000*Z212/10000)</f>
        <v>169.81519728</v>
      </c>
      <c r="AO212" s="94" t="n">
        <f aca="false">IF(ISNUMBER(G212),AA212*1000000*G212/100,0)</f>
        <v>24115.669665</v>
      </c>
      <c r="AP212" s="94" t="n">
        <f aca="false">IF(ISNUMBER(M212),M212*K212,0)</f>
        <v>-24333.5</v>
      </c>
      <c r="AQ212" s="95" t="n">
        <f aca="false">IF(AB212="","",INDEX(시장분석!$AK:$AK,AB212))</f>
        <v>-1.50983043348295</v>
      </c>
      <c r="AR212" s="43" t="str">
        <f aca="false">IF(AB212="","-",IF(AB212="","",INDEX(시장분석!$AL:$AL,AB212)))</f>
        <v>Rich</v>
      </c>
      <c r="AS212" s="96" t="n">
        <f aca="false">IF(AB212="","",INDEX(시장분석!$AJ:$AJ,AB212))</f>
        <v>-20.6741445347564</v>
      </c>
      <c r="AT212" s="93" t="n">
        <f aca="false">IF(AB212="",0,IF(AB212="","",INDEX(시장분석!$AN:$AN,AB212)))</f>
        <v>6.15046540825263</v>
      </c>
      <c r="AU212" s="94" t="n">
        <f aca="false">IF(ISNUMBER(Z212),AT212/10000*MAX(Z212-1,0)*AA212*1000000,0)</f>
        <v>753.414159431998</v>
      </c>
      <c r="AV212" s="94" t="n">
        <f aca="false">AO212+AU212</f>
        <v>24869.083824432</v>
      </c>
      <c r="AW212" s="43" t="str">
        <f aca="false">IF(Q212&lt;&gt;1,"",TRIM(IF(AD212=1,"FRN ","")&amp;IF(AND(AL212&gt;=10,AL212&lt;99),"BBB0미만 ","")&amp;IF(AJ212="","등급없음 ","")&amp;IF(K212&lt;&gt;1,"비USD ","")&amp;IF(AND(AB212="",Y212=0),"시장데이터없음 ","")&amp;IF(AND(ISNUMBER(U212),U212&lt;0),"만기경과 ","")))</f>
        <v/>
      </c>
      <c r="AX212" s="90" t="n">
        <f aca="false">IF(Q212&lt;&gt;1,1,IF(스프레드쇼크!$C$4="Y",INDEX(스프레드쇼크!$B$12:$L$16,IFERROR(MATCH(AH212,스프레드쇼크!$A$12:$A$16,0),MATCH("목록외",스프레드쇼크!$A$12:$A$16,0)),IFERROR(MATCH(AG212,스프레드쇼크!$B$11:$L$11,0),MATCH("목록외",스프레드쇼크!$B$11:$L$11,0))),1))</f>
        <v>1</v>
      </c>
      <c r="AY212" s="90" t="n">
        <f aca="false">IF(스프레드쇼크!$C$5="Y",IF(ISNUMBER(AF212),MIN(스프레드쇼크!$C$7,MAX(스프레드쇼크!$C$6,AF212/스프레드쇼크!$C$8)),1),1)</f>
        <v>0.25</v>
      </c>
      <c r="AZ212" s="94" t="n">
        <f aca="false">AN212*AX212*AY212</f>
        <v>42.45379932</v>
      </c>
      <c r="BA212" s="90" t="n">
        <f aca="false">IF(ISNUMBER(G212),AA212*G212,0)</f>
        <v>2.4115669665</v>
      </c>
      <c r="BB212" s="90" t="n">
        <f aca="false">IF(ISNUMBER(G212),AA212,0)</f>
        <v>0.473181</v>
      </c>
      <c r="BC212" s="90" t="n">
        <f aca="false">IF(AND(Y212=0,ISNUMBER(AF212)),AA212*AF212,0)</f>
        <v>1.925373489</v>
      </c>
      <c r="BD212" s="90" t="n">
        <f aca="false">IF(AND(Y212=0,ISNUMBER(AF212)),AA212,0)</f>
        <v>0.473181</v>
      </c>
      <c r="BE212" s="90" t="n">
        <f aca="false">IF(ISNUMBER(H212),AA212*H212,0)</f>
        <v>1.6981519728</v>
      </c>
      <c r="BF212" s="90" t="n">
        <f aca="false">IF(ISNUMBER(H212),AA212,0)</f>
        <v>0.473181</v>
      </c>
      <c r="BG212" s="90" t="n">
        <f aca="false">IF(AND(Y212=0,ISNUMBER(AF212),ISNUMBER(Z212)),AA212*Z212,0)</f>
        <v>1.6981519728</v>
      </c>
      <c r="BH212" s="90" t="n">
        <f aca="false">IF(AND(Y212=0,ISNUMBER(AF212),ISNUMBER(Z212)),AA212*AT212*MAX(Z212-1,0),0)</f>
        <v>7.53414159431998</v>
      </c>
      <c r="BI212" s="90" t="n">
        <f aca="false">IF(Y212=0,AA212,0)</f>
        <v>0.473181</v>
      </c>
    </row>
    <row r="213" customFormat="false" ht="15" hidden="false" customHeight="false" outlineLevel="0" collapsed="false">
      <c r="A213" s="83" t="str">
        <f aca="false">IFERROR(IF(INDEX(원자료_잔고!$A$1:$EZ$1500,설정!$L$5+ROW()-1,설정!$L$8)&amp;""="0","",INDEX(원자료_잔고!$A$1:$EZ$1500,설정!$L$5+ROW()-1,설정!$L$8)&amp;""),"")</f>
        <v>KOREA 3.875 02/12/31</v>
      </c>
      <c r="B213" s="83" t="str">
        <f aca="false">IFERROR(IF(INDEX(원자료_잔고!$A$1:$EZ$1500,설정!$L$5+ROW()-1,설정!$L$7)&amp;""="0","",INDEX(원자료_잔고!$A$1:$EZ$1500,설정!$L$5+ROW()-1,설정!$L$7)&amp;""),"")</f>
        <v>US50064FBA12</v>
      </c>
      <c r="C213" s="83" t="str">
        <f aca="false">IFERROR(IF(INDEX(원자료_잔고!$A$1:$EZ$1500,설정!$L$5+ROW()-1,설정!$L$9)&amp;""="0","",INDEX(원자료_잔고!$A$1:$EZ$1500,설정!$L$5+ROW()-1,설정!$L$9)&amp;""),"")</f>
        <v>34578</v>
      </c>
      <c r="D21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3" s="84" t="n">
        <f aca="false">IFERROR(IF(ISNUMBER(INDEX(원자료_잔고!$A$1:$EZ$1500,설정!$L$5+ROW()-1,설정!$L$11)),INDEX(원자료_잔고!$A$1:$EZ$1500,설정!$L$5+ROW()-1,설정!$L$11),""),"")</f>
        <v>500000</v>
      </c>
      <c r="F213" s="85" t="n">
        <f aca="false">IFERROR(IF(ISNUMBER(INDEX(원자료_잔고!$A$1:$EZ$1500,설정!$L$5+ROW()-1,설정!$L$12)),INDEX(원자료_잔고!$A$1:$EZ$1500,설정!$L$5+ROW()-1,설정!$L$12),""),"")</f>
        <v>95.2014</v>
      </c>
      <c r="G213" s="85" t="n">
        <f aca="false">IFERROR(IF(ISNUMBER(INDEX(원자료_잔고!$A$1:$EZ$1500,설정!$L$5+ROW()-1,설정!$L$13)),INDEX(원자료_잔고!$A$1:$EZ$1500,설정!$L$5+ROW()-1,설정!$L$13),""),"")</f>
        <v>5.1132</v>
      </c>
      <c r="H213" s="85" t="n">
        <f aca="false">IFERROR(IF(ISNUMBER(INDEX(원자료_잔고!$A$1:$EZ$1500,설정!$L$5+ROW()-1,설정!$L$14)),INDEX(원자료_잔고!$A$1:$EZ$1500,설정!$L$5+ROW()-1,설정!$L$14),""),"")</f>
        <v>3.8593</v>
      </c>
      <c r="I213" s="86" t="n">
        <f aca="false">IFERROR(IF(ISNUMBER(INDEX(원자료_잔고!$A$1:$EZ$1500,설정!$L$5+ROW()-1,설정!$L$15)),INDEX(원자료_잔고!$A$1:$EZ$1500,설정!$L$5+ROW()-1,설정!$L$15),""),"")</f>
        <v>47891</v>
      </c>
      <c r="J213" s="85" t="n">
        <f aca="false">IFERROR(IF(ISNUMBER(INDEX(원자료_잔고!$A$1:$EZ$1500,설정!$L$5+ROW()-1,설정!$L$16)),INDEX(원자료_잔고!$A$1:$EZ$1500,설정!$L$5+ROW()-1,설정!$L$16),""),"")</f>
        <v>3.875</v>
      </c>
      <c r="K213" s="87" t="n">
        <f aca="false">IFERROR(IF(ISNUMBER(INDEX(원자료_잔고!$A$1:$EZ$1500,설정!$L$5+ROW()-1,설정!$L$17)),INDEX(원자료_잔고!$A$1:$EZ$1500,설정!$L$5+ROW()-1,설정!$L$17),""),"")</f>
        <v>1</v>
      </c>
      <c r="L213" s="84" t="n">
        <f aca="false">IFERROR(IF(ISNUMBER(INDEX(원자료_잔고!$A$1:$EZ$1500,설정!$L$5+ROW()-1,설정!$L$18)),INDEX(원자료_잔고!$A$1:$EZ$1500,설정!$L$5+ROW()-1,설정!$L$18),""),"")</f>
        <v>476007</v>
      </c>
      <c r="M213" s="88" t="n">
        <f aca="false">IFERROR(IF(ISNUMBER(INDEX(원자료_잔고!$A$1:$EZ$1500,설정!$L$5+ROW()-1,설정!$L$19)),INDEX(원자료_잔고!$A$1:$EZ$1500,설정!$L$5+ROW()-1,설정!$L$19),""),"")</f>
        <v>-17983</v>
      </c>
      <c r="N213" s="83" t="str">
        <f aca="false">IFERROR(IF(INDEX(원자료_잔고!$A$1:$EZ$1500,설정!$L$5+ROW()-1,설정!$L$21)&amp;""="0","",INDEX(원자료_잔고!$A$1:$EZ$1500,설정!$L$5+ROW()-1,설정!$L$21)&amp;""),"")</f>
        <v>AA</v>
      </c>
      <c r="O213" s="83" t="str">
        <f aca="false">IFERROR(IF(INDEX(원자료_잔고!$A$1:$EZ$1500,설정!$L$5+ROW()-1,설정!$L$22)&amp;""="0","",INDEX(원자료_잔고!$A$1:$EZ$1500,설정!$L$5+ROW()-1,설정!$L$22)&amp;""),"")</f>
        <v/>
      </c>
      <c r="P213" s="83" t="str">
        <f aca="false">IFERROR(IF(INDEX(원자료_잔고!$A$1:$EZ$1500,설정!$L$5+ROW()-1,설정!$L$23)&amp;""="0","",INDEX(원자료_잔고!$A$1:$EZ$1500,설정!$L$5+ROW()-1,설정!$L$23)&amp;""),"")</f>
        <v>AA-</v>
      </c>
      <c r="Q213" s="89" t="n">
        <f aca="false">IF(AND($A213&lt;&gt;"",ISNUMBER(E213)),IF(E213&gt;0,1,0),0)</f>
        <v>1</v>
      </c>
      <c r="R213" s="43" t="str">
        <f aca="false">IF(Q213=1,UPPER(LEFT($A213,FIND(" ",$A213&amp;" ")-1)),"")</f>
        <v>KOREA</v>
      </c>
      <c r="S213" s="89" t="n">
        <f aca="false">IF(Q213=1,IF(OR(ISNUMBER(SEARCH("Float",$A213)),ISNUMBER(SEARCH("FRN",$A213))),1,0),0)</f>
        <v>0</v>
      </c>
      <c r="T213" s="43" t="str">
        <f aca="false">IF(AND(Q213=1,ISNUMBER(I213)),TEXT(I213,"yyyymmdd")&amp;"|"&amp;IF(S213=1,"F",TEXT(J213,"0.000")),"")</f>
        <v>20310212|3.875</v>
      </c>
      <c r="U213" s="90" t="n">
        <f aca="false">IF(AND(Q213=1,ISNUMBER(I213)),(I213-설정!$C$4)/365.25,"")</f>
        <v>4.3668720054757</v>
      </c>
      <c r="V213" s="43" t="str">
        <f aca="false">IF(Q213&lt;&gt;1,"",IF(ISNUMBER(U213),IF(U213&lt;=1,"1년 이하",IF(U213&lt;=2,"1-2년",IF(U213&lt;=3,"2-3년",IF(U213&lt;=4,"3-4년",IF(U213&lt;=5,"4-5년",IF(U213&lt;=7,"5-7년",IF(U213&lt;=10,"7-10년",IF(U213&lt;=20,"10-20년","20년 이상")))))))),"미분류"))</f>
        <v>4-5년</v>
      </c>
      <c r="W213" s="43" t="str">
        <f aca="false">IF(Q213&lt;&gt;1,"",IF(AB213&lt;&gt;"",INDEX(시장분석!$C:$C,AB213),IF(K213=1,"USD","비USD")))</f>
        <v>USD</v>
      </c>
      <c r="X213" s="91" t="n">
        <f aca="false">IF(Q213=1,E213*K213/1000000,0)</f>
        <v>0.5</v>
      </c>
      <c r="Y213" s="89" t="n">
        <f aca="false">IF(R213="T",1,0)</f>
        <v>0</v>
      </c>
      <c r="Z213" s="92" t="n">
        <f aca="false">IF(Q213&lt;&gt;1,"",IF(AD213=1,IF(ISNUMBER(U213),MAX(U213,0),H213),H213))</f>
        <v>3.8593</v>
      </c>
      <c r="AA213" s="91" t="n">
        <f aca="false">IF(Q213=1,IF(ISNUMBER(L213),L213,0)*K213/1000000,0)</f>
        <v>0.476007</v>
      </c>
      <c r="AB213" s="89" t="n">
        <f aca="false">IF(Q213&lt;&gt;1,"",IFERROR(MATCH(VLOOKUP(B213,매핑!$H$4:$I$15,2,0),시장분석!$A$2:$A$601,0)+1,IFERROR(MATCH(R213&amp;"|"&amp;T213,시장분석!$V$2:$V$601,0)+1,IF(COUNTIF(시장분석!$U$2:$U$601,T213)=1,MATCH(T213,시장분석!$U$2:$U$601,0)+1,""))))</f>
        <v>94</v>
      </c>
      <c r="AC213" s="89" t="n">
        <f aca="false">IF(Q213&lt;&gt;1,0,IF(OR(설정!$C$5="전체",AND(설정!$C$5="선택펀드",IFERROR(COUNTIFS(설정!$F$16:$F$36,C213,설정!$G$16:$G$36,"Y")+COUNTIFS(설정!$F$16:$F$36,VALUE(C213),설정!$G$16:$G$36,"Y"),0)&gt;0),C213&amp;""=설정!$C$5&amp;""),1,0))</f>
        <v>1</v>
      </c>
      <c r="AD213" s="89" t="n">
        <f aca="false">IF(Q213&lt;&gt;1,0,IF(OR(S213=1,IF(AB213="",FALSE(),INDEX(시장분석!$R:$R,AB213)=1)),1,0))</f>
        <v>0</v>
      </c>
      <c r="AE213" s="43" t="str">
        <f aca="false">IF(AB213="","",INDEX(시장분석!$A:$A,AB213))</f>
        <v>KOREA 3 7/8 02/12/31</v>
      </c>
      <c r="AF213" s="93" t="n">
        <f aca="false">IF(AB213="","",IF(ISNUMBER(IF(AB213="","",INDEX(시장분석!$E:$E,AB213))),IF(AB213="","",INDEX(시장분석!$E:$E,AB213)),""))</f>
        <v>7.352</v>
      </c>
      <c r="AG213" s="43" t="str">
        <f aca="false">IF(Q213&lt;&gt;1,"",IF(AB213&lt;&gt;"",IF(AB213="","",INDEX(시장분석!$L:$L,AB213)),IFERROR(IF(VLOOKUP(R213,매핑!$A$4:$E$92,5,0)="","미분류",VLOOKUP(R213,매핑!$A$4:$E$92,5,0)),"미분류")))</f>
        <v>정부</v>
      </c>
      <c r="AH213" s="43" t="str">
        <f aca="false">IF(Q213&lt;&gt;1,"",IF(AB213&lt;&gt;"",IF(AB213="","",INDEX(시장분석!$N:$N,AB213)),IFERROR(IF(VLOOKUP(R213,매핑!$A$4:$E$92,4,0)="","미분류",VLOOKUP(R213,매핑!$A$4:$E$92,4,0)),"미분류")))</f>
        <v>아시아/기타</v>
      </c>
      <c r="AI213" s="43" t="str">
        <f aca="false">IF(Q213&lt;&gt;1,"",IFERROR(IF(VLOOKUP(R213,매핑!$A$4:$E$92,3,0)="","미분류",VLOOKUP(R213,매핑!$A$4:$E$92,3,0)),IF(AB213&lt;&gt;"",IF(AB213="","",INDEX(시장분석!$W:$W,AB213)),"미분류")))</f>
        <v>한국</v>
      </c>
      <c r="AJ213" s="43" t="str">
        <f aca="false">IF(Q213&lt;&gt;1,"",IFERROR(VLOOKUP(IF(N213&lt;&gt;"",N213,IF(P213&lt;&gt;"",P213,O213)),설정!$A$15:$D$47,2,0),""))</f>
        <v>AA</v>
      </c>
      <c r="AK213" s="43" t="str">
        <f aca="false">IF(Q213&lt;&gt;1,"",IF(AJ213="","무등급",IFERROR(VLOOKUP(AJ213,설정!$A$15:$D$47,3,0),"무등급")))</f>
        <v>AA이상</v>
      </c>
      <c r="AL213" s="89" t="n">
        <f aca="false">IF(AJ213="",99,IFERROR(VLOOKUP(AJ213,설정!$A$15:$D$47,4,0),99))</f>
        <v>3</v>
      </c>
      <c r="AM213" s="94" t="n">
        <f aca="false">IF(ISNUMBER(H213),AA213*1000000*H213/10000,0)</f>
        <v>183.70538151</v>
      </c>
      <c r="AN213" s="94" t="n">
        <f aca="false">IF(OR(Y213=1,NOT(ISNUMBER(Z213))),0,AA213*1000000*Z213/10000)</f>
        <v>183.70538151</v>
      </c>
      <c r="AO213" s="94" t="n">
        <f aca="false">IF(ISNUMBER(G213),AA213*1000000*G213/100,0)</f>
        <v>24339.189924</v>
      </c>
      <c r="AP213" s="94" t="n">
        <f aca="false">IF(ISNUMBER(M213),M213*K213,0)</f>
        <v>-17983</v>
      </c>
      <c r="AQ213" s="95" t="n">
        <f aca="false">IF(AB213="","",INDEX(시장분석!$AK:$AK,AB213))</f>
        <v>-1.36971291040495</v>
      </c>
      <c r="AR213" s="43" t="str">
        <f aca="false">IF(AB213="","-",IF(AB213="","",INDEX(시장분석!$AL:$AL,AB213)))</f>
        <v>Rich</v>
      </c>
      <c r="AS213" s="96" t="n">
        <f aca="false">IF(AB213="","",INDEX(시장분석!$AJ:$AJ,AB213))</f>
        <v>-18.7555119123605</v>
      </c>
      <c r="AT213" s="93" t="n">
        <f aca="false">IF(AB213="",0,IF(AB213="","",INDEX(시장분석!$AN:$AN,AB213)))</f>
        <v>5.67769777517998</v>
      </c>
      <c r="AU213" s="94" t="n">
        <f aca="false">IF(ISNUMBER(Z213),AT213/10000*MAX(Z213-1,0)*AA213*1000000,0)</f>
        <v>772.761247400907</v>
      </c>
      <c r="AV213" s="94" t="n">
        <f aca="false">AO213+AU213</f>
        <v>25111.9511714009</v>
      </c>
      <c r="AW213" s="43" t="str">
        <f aca="false">IF(Q213&lt;&gt;1,"",TRIM(IF(AD213=1,"FRN ","")&amp;IF(AND(AL213&gt;=10,AL213&lt;99),"BBB0미만 ","")&amp;IF(AJ213="","등급없음 ","")&amp;IF(K213&lt;&gt;1,"비USD ","")&amp;IF(AND(AB213="",Y213=0),"시장데이터없음 ","")&amp;IF(AND(ISNUMBER(U213),U213&lt;0),"만기경과 ","")))</f>
        <v/>
      </c>
      <c r="AX213" s="90" t="n">
        <f aca="false">IF(Q213&lt;&gt;1,1,IF(스프레드쇼크!$C$4="Y",INDEX(스프레드쇼크!$B$12:$L$16,IFERROR(MATCH(AH213,스프레드쇼크!$A$12:$A$16,0),MATCH("목록외",스프레드쇼크!$A$12:$A$16,0)),IFERROR(MATCH(AG213,스프레드쇼크!$B$11:$L$11,0),MATCH("목록외",스프레드쇼크!$B$11:$L$11,0))),1))</f>
        <v>1</v>
      </c>
      <c r="AY213" s="90" t="n">
        <f aca="false">IF(스프레드쇼크!$C$5="Y",IF(ISNUMBER(AF213),MIN(스프레드쇼크!$C$7,MAX(스프레드쇼크!$C$6,AF213/스프레드쇼크!$C$8)),1),1)</f>
        <v>0.25</v>
      </c>
      <c r="AZ213" s="94" t="n">
        <f aca="false">AN213*AX213*AY213</f>
        <v>45.9263453775</v>
      </c>
      <c r="BA213" s="90" t="n">
        <f aca="false">IF(ISNUMBER(G213),AA213*G213,0)</f>
        <v>2.4339189924</v>
      </c>
      <c r="BB213" s="90" t="n">
        <f aca="false">IF(ISNUMBER(G213),AA213,0)</f>
        <v>0.476007</v>
      </c>
      <c r="BC213" s="90" t="n">
        <f aca="false">IF(AND(Y213=0,ISNUMBER(AF213)),AA213*AF213,0)</f>
        <v>3.499603464</v>
      </c>
      <c r="BD213" s="90" t="n">
        <f aca="false">IF(AND(Y213=0,ISNUMBER(AF213)),AA213,0)</f>
        <v>0.476007</v>
      </c>
      <c r="BE213" s="90" t="n">
        <f aca="false">IF(ISNUMBER(H213),AA213*H213,0)</f>
        <v>1.8370538151</v>
      </c>
      <c r="BF213" s="90" t="n">
        <f aca="false">IF(ISNUMBER(H213),AA213,0)</f>
        <v>0.476007</v>
      </c>
      <c r="BG213" s="90" t="n">
        <f aca="false">IF(AND(Y213=0,ISNUMBER(AF213),ISNUMBER(Z213)),AA213*Z213,0)</f>
        <v>1.8370538151</v>
      </c>
      <c r="BH213" s="90" t="n">
        <f aca="false">IF(AND(Y213=0,ISNUMBER(AF213),ISNUMBER(Z213)),AA213*AT213*MAX(Z213-1,0),0)</f>
        <v>7.72761247400907</v>
      </c>
      <c r="BI213" s="90" t="n">
        <f aca="false">IF(Y213=0,AA213,0)</f>
        <v>0.476007</v>
      </c>
    </row>
    <row r="214" customFormat="false" ht="15" hidden="false" customHeight="false" outlineLevel="0" collapsed="false">
      <c r="A214" s="83" t="str">
        <f aca="false">IFERROR(IF(INDEX(원자료_잔고!$A$1:$EZ$1500,설정!$L$5+ROW()-1,설정!$L$8)&amp;""="0","",INDEX(원자료_잔고!$A$1:$EZ$1500,설정!$L$5+ROW()-1,설정!$L$8)&amp;""),"")</f>
        <v>KOHNPW 4 5/8 07/29/29</v>
      </c>
      <c r="B214" s="83" t="str">
        <f aca="false">IFERROR(IF(INDEX(원자료_잔고!$A$1:$EZ$1500,설정!$L$5+ROW()-1,설정!$L$7)&amp;""="0","",INDEX(원자료_잔고!$A$1:$EZ$1500,설정!$L$5+ROW()-1,설정!$L$7)&amp;""),"")</f>
        <v>USY4899GGX52</v>
      </c>
      <c r="C214" s="83" t="str">
        <f aca="false">IFERROR(IF(INDEX(원자료_잔고!$A$1:$EZ$1500,설정!$L$5+ROW()-1,설정!$L$9)&amp;""="0","",INDEX(원자료_잔고!$A$1:$EZ$1500,설정!$L$5+ROW()-1,설정!$L$9)&amp;""),"")</f>
        <v>34578</v>
      </c>
      <c r="D21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4" s="84" t="n">
        <f aca="false">IFERROR(IF(ISNUMBER(INDEX(원자료_잔고!$A$1:$EZ$1500,설정!$L$5+ROW()-1,설정!$L$11)),INDEX(원자료_잔고!$A$1:$EZ$1500,설정!$L$5+ROW()-1,설정!$L$11),""),"")</f>
        <v>300000</v>
      </c>
      <c r="F214" s="85" t="n">
        <f aca="false">IFERROR(IF(ISNUMBER(INDEX(원자료_잔고!$A$1:$EZ$1500,설정!$L$5+ROW()-1,설정!$L$12)),INDEX(원자료_잔고!$A$1:$EZ$1500,설정!$L$5+ROW()-1,설정!$L$12),""),"")</f>
        <v>98.2976</v>
      </c>
      <c r="G214" s="85" t="n">
        <f aca="false">IFERROR(IF(ISNUMBER(INDEX(원자료_잔고!$A$1:$EZ$1500,설정!$L$5+ROW()-1,설정!$L$13)),INDEX(원자료_잔고!$A$1:$EZ$1500,설정!$L$5+ROW()-1,설정!$L$13),""),"")</f>
        <v>5.2779</v>
      </c>
      <c r="H214" s="85" t="n">
        <f aca="false">IFERROR(IF(ISNUMBER(INDEX(원자료_잔고!$A$1:$EZ$1500,설정!$L$5+ROW()-1,설정!$L$14)),INDEX(원자료_잔고!$A$1:$EZ$1500,설정!$L$5+ROW()-1,설정!$L$14),""),"")</f>
        <v>2.5444</v>
      </c>
      <c r="I214" s="86" t="n">
        <f aca="false">IFERROR(IF(ISNUMBER(INDEX(원자료_잔고!$A$1:$EZ$1500,설정!$L$5+ROW()-1,설정!$L$15)),INDEX(원자료_잔고!$A$1:$EZ$1500,설정!$L$5+ROW()-1,설정!$L$15),""),"")</f>
        <v>47328</v>
      </c>
      <c r="J214" s="85" t="n">
        <f aca="false">IFERROR(IF(ISNUMBER(INDEX(원자료_잔고!$A$1:$EZ$1500,설정!$L$5+ROW()-1,설정!$L$16)),INDEX(원자료_잔고!$A$1:$EZ$1500,설정!$L$5+ROW()-1,설정!$L$16),""),"")</f>
        <v>4.625</v>
      </c>
      <c r="K214" s="87" t="n">
        <f aca="false">IFERROR(IF(ISNUMBER(INDEX(원자료_잔고!$A$1:$EZ$1500,설정!$L$5+ROW()-1,설정!$L$17)),INDEX(원자료_잔고!$A$1:$EZ$1500,설정!$L$5+ROW()-1,설정!$L$17),""),"")</f>
        <v>1</v>
      </c>
      <c r="L214" s="84" t="n">
        <f aca="false">IFERROR(IF(ISNUMBER(INDEX(원자료_잔고!$A$1:$EZ$1500,설정!$L$5+ROW()-1,설정!$L$18)),INDEX(원자료_잔고!$A$1:$EZ$1500,설정!$L$5+ROW()-1,설정!$L$18),""),"")</f>
        <v>294892.8</v>
      </c>
      <c r="M214" s="88" t="n">
        <f aca="false">IFERROR(IF(ISNUMBER(INDEX(원자료_잔고!$A$1:$EZ$1500,설정!$L$5+ROW()-1,설정!$L$19)),INDEX(원자료_잔고!$A$1:$EZ$1500,설정!$L$5+ROW()-1,설정!$L$19),""),"")</f>
        <v>-7723.2</v>
      </c>
      <c r="N214" s="83" t="str">
        <f aca="false">IFERROR(IF(INDEX(원자료_잔고!$A$1:$EZ$1500,설정!$L$5+ROW()-1,설정!$L$21)&amp;""="0","",INDEX(원자료_잔고!$A$1:$EZ$1500,설정!$L$5+ROW()-1,설정!$L$21)&amp;""),"")</f>
        <v>AA</v>
      </c>
      <c r="O214" s="83" t="str">
        <f aca="false">IFERROR(IF(INDEX(원자료_잔고!$A$1:$EZ$1500,설정!$L$5+ROW()-1,설정!$L$22)&amp;""="0","",INDEX(원자료_잔고!$A$1:$EZ$1500,설정!$L$5+ROW()-1,설정!$L$22)&amp;""),"")</f>
        <v/>
      </c>
      <c r="P214" s="83" t="str">
        <f aca="false">IFERROR(IF(INDEX(원자료_잔고!$A$1:$EZ$1500,설정!$L$5+ROW()-1,설정!$L$23)&amp;""="0","",INDEX(원자료_잔고!$A$1:$EZ$1500,설정!$L$5+ROW()-1,설정!$L$23)&amp;""),"")</f>
        <v>AA-</v>
      </c>
      <c r="Q214" s="89" t="n">
        <f aca="false">IF(AND($A214&lt;&gt;"",ISNUMBER(E214)),IF(E214&gt;0,1,0),0)</f>
        <v>1</v>
      </c>
      <c r="R214" s="43" t="str">
        <f aca="false">IF(Q214=1,UPPER(LEFT($A214,FIND(" ",$A214&amp;" ")-1)),"")</f>
        <v>KOHNPW</v>
      </c>
      <c r="S214" s="89" t="n">
        <f aca="false">IF(Q214=1,IF(OR(ISNUMBER(SEARCH("Float",$A214)),ISNUMBER(SEARCH("FRN",$A214))),1,0),0)</f>
        <v>0</v>
      </c>
      <c r="T214" s="43" t="str">
        <f aca="false">IF(AND(Q214=1,ISNUMBER(I214)),TEXT(I214,"yyyymmdd")&amp;"|"&amp;IF(S214=1,"F",TEXT(J214,"0.000")),"")</f>
        <v>20290729|4.625</v>
      </c>
      <c r="U214" s="90" t="n">
        <f aca="false">IF(AND(Q214=1,ISNUMBER(I214)),(I214-설정!$C$4)/365.25,"")</f>
        <v>2.82546201232033</v>
      </c>
      <c r="V214" s="43" t="str">
        <f aca="false">IF(Q214&lt;&gt;1,"",IF(ISNUMBER(U214),IF(U214&lt;=1,"1년 이하",IF(U214&lt;=2,"1-2년",IF(U214&lt;=3,"2-3년",IF(U214&lt;=4,"3-4년",IF(U214&lt;=5,"4-5년",IF(U214&lt;=7,"5-7년",IF(U214&lt;=10,"7-10년",IF(U214&lt;=20,"10-20년","20년 이상")))))))),"미분류"))</f>
        <v>2-3년</v>
      </c>
      <c r="W214" s="43" t="str">
        <f aca="false">IF(Q214&lt;&gt;1,"",IF(AB214&lt;&gt;"",INDEX(시장분석!$C:$C,AB214),IF(K214=1,"USD","비USD")))</f>
        <v>USD</v>
      </c>
      <c r="X214" s="91" t="n">
        <f aca="false">IF(Q214=1,E214*K214/1000000,0)</f>
        <v>0.3</v>
      </c>
      <c r="Y214" s="89" t="n">
        <f aca="false">IF(R214="T",1,0)</f>
        <v>0</v>
      </c>
      <c r="Z214" s="92" t="n">
        <f aca="false">IF(Q214&lt;&gt;1,"",IF(AD214=1,IF(ISNUMBER(U214),MAX(U214,0),H214),H214))</f>
        <v>2.5444</v>
      </c>
      <c r="AA214" s="91" t="n">
        <f aca="false">IF(Q214=1,IF(ISNUMBER(L214),L214,0)*K214/1000000,0)</f>
        <v>0.2948928</v>
      </c>
      <c r="AB214" s="89" t="n">
        <f aca="false">IF(Q214&lt;&gt;1,"",IFERROR(MATCH(VLOOKUP(B214,매핑!$H$4:$I$15,2,0),시장분석!$A$2:$A$601,0)+1,IFERROR(MATCH(R214&amp;"|"&amp;T214,시장분석!$V$2:$V$601,0)+1,IF(COUNTIF(시장분석!$U$2:$U$601,T214)=1,MATCH(T214,시장분석!$U$2:$U$601,0)+1,""))))</f>
        <v>164</v>
      </c>
      <c r="AC214" s="89" t="n">
        <f aca="false">IF(Q214&lt;&gt;1,0,IF(OR(설정!$C$5="전체",AND(설정!$C$5="선택펀드",IFERROR(COUNTIFS(설정!$F$16:$F$36,C214,설정!$G$16:$G$36,"Y")+COUNTIFS(설정!$F$16:$F$36,VALUE(C214),설정!$G$16:$G$36,"Y"),0)&gt;0),C214&amp;""=설정!$C$5&amp;""),1,0))</f>
        <v>1</v>
      </c>
      <c r="AD214" s="89" t="n">
        <f aca="false">IF(Q214&lt;&gt;1,0,IF(OR(S214=1,IF(AB214="",FALSE(),INDEX(시장분석!$R:$R,AB214)=1)),1,0))</f>
        <v>0</v>
      </c>
      <c r="AE214" s="43" t="str">
        <f aca="false">IF(AB214="","",INDEX(시장분석!$A:$A,AB214))</f>
        <v>KOHNPW 4 5/8 07/29/29</v>
      </c>
      <c r="AF214" s="93" t="n">
        <f aca="false">IF(AB214="","",IF(ISNUMBER(IF(AB214="","",INDEX(시장분석!$E:$E,AB214))),IF(AB214="","",INDEX(시장분석!$E:$E,AB214)),""))</f>
        <v>28.554</v>
      </c>
      <c r="AG214" s="43" t="str">
        <f aca="false">IF(Q214&lt;&gt;1,"",IF(AB214&lt;&gt;"",IF(AB214="","",INDEX(시장분석!$L:$L,AB214)),IFERROR(IF(VLOOKUP(R214,매핑!$A$4:$E$92,5,0)="","미분류",VLOOKUP(R214,매핑!$A$4:$E$92,5,0)),"미분류")))</f>
        <v>유틸리티</v>
      </c>
      <c r="AH214" s="43" t="str">
        <f aca="false">IF(Q214&lt;&gt;1,"",IF(AB214&lt;&gt;"",IF(AB214="","",INDEX(시장분석!$N:$N,AB214)),IFERROR(IF(VLOOKUP(R214,매핑!$A$4:$E$92,4,0)="","미분류",VLOOKUP(R214,매핑!$A$4:$E$92,4,0)),"미분류")))</f>
        <v>아시아/기타</v>
      </c>
      <c r="AI214" s="43" t="str">
        <f aca="false">IF(Q214&lt;&gt;1,"",IFERROR(IF(VLOOKUP(R214,매핑!$A$4:$E$92,3,0)="","미분류",VLOOKUP(R214,매핑!$A$4:$E$92,3,0)),IF(AB214&lt;&gt;"",IF(AB214="","",INDEX(시장분석!$W:$W,AB214)),"미분류")))</f>
        <v>한국</v>
      </c>
      <c r="AJ214" s="43" t="str">
        <f aca="false">IF(Q214&lt;&gt;1,"",IFERROR(VLOOKUP(IF(N214&lt;&gt;"",N214,IF(P214&lt;&gt;"",P214,O214)),설정!$A$15:$D$47,2,0),""))</f>
        <v>AA</v>
      </c>
      <c r="AK214" s="43" t="str">
        <f aca="false">IF(Q214&lt;&gt;1,"",IF(AJ214="","무등급",IFERROR(VLOOKUP(AJ214,설정!$A$15:$D$47,3,0),"무등급")))</f>
        <v>AA이상</v>
      </c>
      <c r="AL214" s="89" t="n">
        <f aca="false">IF(AJ214="",99,IFERROR(VLOOKUP(AJ214,설정!$A$15:$D$47,4,0),99))</f>
        <v>3</v>
      </c>
      <c r="AM214" s="94" t="n">
        <f aca="false">IF(ISNUMBER(H214),AA214*1000000*H214/10000,0)</f>
        <v>75.032524032</v>
      </c>
      <c r="AN214" s="94" t="n">
        <f aca="false">IF(OR(Y214=1,NOT(ISNUMBER(Z214))),0,AA214*1000000*Z214/10000)</f>
        <v>75.032524032</v>
      </c>
      <c r="AO214" s="94" t="n">
        <f aca="false">IF(ISNUMBER(G214),AA214*1000000*G214/100,0)</f>
        <v>15564.1470912</v>
      </c>
      <c r="AP214" s="94" t="n">
        <f aca="false">IF(ISNUMBER(M214),M214*K214,0)</f>
        <v>-7723.2</v>
      </c>
      <c r="AQ214" s="95" t="n">
        <f aca="false">IF(AB214="","",INDEX(시장분석!$AK:$AK,AB214))</f>
        <v>-0.48858769451918</v>
      </c>
      <c r="AR214" s="43" t="str">
        <f aca="false">IF(AB214="","-",IF(AB214="","",INDEX(시장분석!$AL:$AL,AB214)))</f>
        <v>Fair</v>
      </c>
      <c r="AS214" s="96" t="n">
        <f aca="false">IF(AB214="","",INDEX(시장분석!$AJ:$AJ,AB214))</f>
        <v>-2.61747699774211</v>
      </c>
      <c r="AT214" s="93" t="n">
        <f aca="false">IF(AB214="",0,IF(AB214="","",INDEX(시장분석!$AN:$AN,AB214)))</f>
        <v>17.8112909028577</v>
      </c>
      <c r="AU214" s="94" t="n">
        <f aca="false">IF(ISNUMBER(Z214),AT214/10000*MAX(Z214-1,0)*AA214*1000000,0)</f>
        <v>811.183968113788</v>
      </c>
      <c r="AV214" s="94" t="n">
        <f aca="false">AO214+AU214</f>
        <v>16375.3310593138</v>
      </c>
      <c r="AW214" s="43" t="str">
        <f aca="false">IF(Q214&lt;&gt;1,"",TRIM(IF(AD214=1,"FRN ","")&amp;IF(AND(AL214&gt;=10,AL214&lt;99),"BBB0미만 ","")&amp;IF(AJ214="","등급없음 ","")&amp;IF(K214&lt;&gt;1,"비USD ","")&amp;IF(AND(AB214="",Y214=0),"시장데이터없음 ","")&amp;IF(AND(ISNUMBER(U214),U214&lt;0),"만기경과 ","")))</f>
        <v/>
      </c>
      <c r="AX214" s="90" t="n">
        <f aca="false">IF(Q214&lt;&gt;1,1,IF(스프레드쇼크!$C$4="Y",INDEX(스프레드쇼크!$B$12:$L$16,IFERROR(MATCH(AH214,스프레드쇼크!$A$12:$A$16,0),MATCH("목록외",스프레드쇼크!$A$12:$A$16,0)),IFERROR(MATCH(AG214,스프레드쇼크!$B$11:$L$11,0),MATCH("목록외",스프레드쇼크!$B$11:$L$11,0))),1))</f>
        <v>1</v>
      </c>
      <c r="AY214" s="90" t="n">
        <f aca="false">IF(스프레드쇼크!$C$5="Y",IF(ISNUMBER(AF214),MIN(스프레드쇼크!$C$7,MAX(스프레드쇼크!$C$6,AF214/스프레드쇼크!$C$8)),1),1)</f>
        <v>0.431890331425895</v>
      </c>
      <c r="AZ214" s="94" t="n">
        <f aca="false">AN214*AX214*AY214</f>
        <v>32.4058216719019</v>
      </c>
      <c r="BA214" s="90" t="n">
        <f aca="false">IF(ISNUMBER(G214),AA214*G214,0)</f>
        <v>1.55641470912</v>
      </c>
      <c r="BB214" s="90" t="n">
        <f aca="false">IF(ISNUMBER(G214),AA214,0)</f>
        <v>0.2948928</v>
      </c>
      <c r="BC214" s="90" t="n">
        <f aca="false">IF(AND(Y214=0,ISNUMBER(AF214)),AA214*AF214,0)</f>
        <v>8.4203690112</v>
      </c>
      <c r="BD214" s="90" t="n">
        <f aca="false">IF(AND(Y214=0,ISNUMBER(AF214)),AA214,0)</f>
        <v>0.2948928</v>
      </c>
      <c r="BE214" s="90" t="n">
        <f aca="false">IF(ISNUMBER(H214),AA214*H214,0)</f>
        <v>0.75032524032</v>
      </c>
      <c r="BF214" s="90" t="n">
        <f aca="false">IF(ISNUMBER(H214),AA214,0)</f>
        <v>0.2948928</v>
      </c>
      <c r="BG214" s="90" t="n">
        <f aca="false">IF(AND(Y214=0,ISNUMBER(AF214),ISNUMBER(Z214)),AA214*Z214,0)</f>
        <v>0.75032524032</v>
      </c>
      <c r="BH214" s="90" t="n">
        <f aca="false">IF(AND(Y214=0,ISNUMBER(AF214),ISNUMBER(Z214)),AA214*AT214*MAX(Z214-1,0),0)</f>
        <v>8.11183968113788</v>
      </c>
      <c r="BI214" s="90" t="n">
        <f aca="false">IF(Y214=0,AA214,0)</f>
        <v>0.2948928</v>
      </c>
    </row>
    <row r="215" customFormat="false" ht="15" hidden="false" customHeight="false" outlineLevel="0" collapsed="false">
      <c r="A215" s="83" t="str">
        <f aca="false">IFERROR(IF(INDEX(원자료_잔고!$A$1:$EZ$1500,설정!$L$5+ROW()-1,설정!$L$8)&amp;""="0","",INDEX(원자료_잔고!$A$1:$EZ$1500,설정!$L$5+ROW()-1,설정!$L$8)&amp;""),"")</f>
        <v>KOHNPW 4 5/8 07/29/29</v>
      </c>
      <c r="B215" s="83" t="str">
        <f aca="false">IFERROR(IF(INDEX(원자료_잔고!$A$1:$EZ$1500,설정!$L$5+ROW()-1,설정!$L$7)&amp;""="0","",INDEX(원자료_잔고!$A$1:$EZ$1500,설정!$L$5+ROW()-1,설정!$L$7)&amp;""),"")</f>
        <v>USY4899GGX52</v>
      </c>
      <c r="C215" s="83" t="str">
        <f aca="false">IFERROR(IF(INDEX(원자료_잔고!$A$1:$EZ$1500,설정!$L$5+ROW()-1,설정!$L$9)&amp;""="0","",INDEX(원자료_잔고!$A$1:$EZ$1500,설정!$L$5+ROW()-1,설정!$L$9)&amp;""),"")</f>
        <v>34578</v>
      </c>
      <c r="D21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5" s="84" t="n">
        <f aca="false">IFERROR(IF(ISNUMBER(INDEX(원자료_잔고!$A$1:$EZ$1500,설정!$L$5+ROW()-1,설정!$L$11)),INDEX(원자료_잔고!$A$1:$EZ$1500,설정!$L$5+ROW()-1,설정!$L$11),""),"")</f>
        <v>5000000</v>
      </c>
      <c r="F215" s="85" t="n">
        <f aca="false">IFERROR(IF(ISNUMBER(INDEX(원자료_잔고!$A$1:$EZ$1500,설정!$L$5+ROW()-1,설정!$L$12)),INDEX(원자료_잔고!$A$1:$EZ$1500,설정!$L$5+ROW()-1,설정!$L$12),""),"")</f>
        <v>98.2976</v>
      </c>
      <c r="G215" s="85" t="n">
        <f aca="false">IFERROR(IF(ISNUMBER(INDEX(원자료_잔고!$A$1:$EZ$1500,설정!$L$5+ROW()-1,설정!$L$13)),INDEX(원자료_잔고!$A$1:$EZ$1500,설정!$L$5+ROW()-1,설정!$L$13),""),"")</f>
        <v>5.2779</v>
      </c>
      <c r="H215" s="85" t="n">
        <f aca="false">IFERROR(IF(ISNUMBER(INDEX(원자료_잔고!$A$1:$EZ$1500,설정!$L$5+ROW()-1,설정!$L$14)),INDEX(원자료_잔고!$A$1:$EZ$1500,설정!$L$5+ROW()-1,설정!$L$14),""),"")</f>
        <v>2.5444</v>
      </c>
      <c r="I215" s="86" t="n">
        <f aca="false">IFERROR(IF(ISNUMBER(INDEX(원자료_잔고!$A$1:$EZ$1500,설정!$L$5+ROW()-1,설정!$L$15)),INDEX(원자료_잔고!$A$1:$EZ$1500,설정!$L$5+ROW()-1,설정!$L$15),""),"")</f>
        <v>47328</v>
      </c>
      <c r="J215" s="85" t="n">
        <f aca="false">IFERROR(IF(ISNUMBER(INDEX(원자료_잔고!$A$1:$EZ$1500,설정!$L$5+ROW()-1,설정!$L$16)),INDEX(원자료_잔고!$A$1:$EZ$1500,설정!$L$5+ROW()-1,설정!$L$16),""),"")</f>
        <v>4.625</v>
      </c>
      <c r="K215" s="87" t="n">
        <f aca="false">IFERROR(IF(ISNUMBER(INDEX(원자료_잔고!$A$1:$EZ$1500,설정!$L$5+ROW()-1,설정!$L$17)),INDEX(원자료_잔고!$A$1:$EZ$1500,설정!$L$5+ROW()-1,설정!$L$17),""),"")</f>
        <v>1</v>
      </c>
      <c r="L215" s="84" t="n">
        <f aca="false">IFERROR(IF(ISNUMBER(INDEX(원자료_잔고!$A$1:$EZ$1500,설정!$L$5+ROW()-1,설정!$L$18)),INDEX(원자료_잔고!$A$1:$EZ$1500,설정!$L$5+ROW()-1,설정!$L$18),""),"")</f>
        <v>4914880</v>
      </c>
      <c r="M215" s="88" t="n">
        <f aca="false">IFERROR(IF(ISNUMBER(INDEX(원자료_잔고!$A$1:$EZ$1500,설정!$L$5+ROW()-1,설정!$L$19)),INDEX(원자료_잔고!$A$1:$EZ$1500,설정!$L$5+ROW()-1,설정!$L$19),""),"")</f>
        <v>-118120</v>
      </c>
      <c r="N215" s="83" t="str">
        <f aca="false">IFERROR(IF(INDEX(원자료_잔고!$A$1:$EZ$1500,설정!$L$5+ROW()-1,설정!$L$21)&amp;""="0","",INDEX(원자료_잔고!$A$1:$EZ$1500,설정!$L$5+ROW()-1,설정!$L$21)&amp;""),"")</f>
        <v>AA</v>
      </c>
      <c r="O215" s="83" t="str">
        <f aca="false">IFERROR(IF(INDEX(원자료_잔고!$A$1:$EZ$1500,설정!$L$5+ROW()-1,설정!$L$22)&amp;""="0","",INDEX(원자료_잔고!$A$1:$EZ$1500,설정!$L$5+ROW()-1,설정!$L$22)&amp;""),"")</f>
        <v/>
      </c>
      <c r="P215" s="83" t="str">
        <f aca="false">IFERROR(IF(INDEX(원자료_잔고!$A$1:$EZ$1500,설정!$L$5+ROW()-1,설정!$L$23)&amp;""="0","",INDEX(원자료_잔고!$A$1:$EZ$1500,설정!$L$5+ROW()-1,설정!$L$23)&amp;""),"")</f>
        <v>AA-</v>
      </c>
      <c r="Q215" s="89" t="n">
        <f aca="false">IF(AND($A215&lt;&gt;"",ISNUMBER(E215)),IF(E215&gt;0,1,0),0)</f>
        <v>1</v>
      </c>
      <c r="R215" s="43" t="str">
        <f aca="false">IF(Q215=1,UPPER(LEFT($A215,FIND(" ",$A215&amp;" ")-1)),"")</f>
        <v>KOHNPW</v>
      </c>
      <c r="S215" s="89" t="n">
        <f aca="false">IF(Q215=1,IF(OR(ISNUMBER(SEARCH("Float",$A215)),ISNUMBER(SEARCH("FRN",$A215))),1,0),0)</f>
        <v>0</v>
      </c>
      <c r="T215" s="43" t="str">
        <f aca="false">IF(AND(Q215=1,ISNUMBER(I215)),TEXT(I215,"yyyymmdd")&amp;"|"&amp;IF(S215=1,"F",TEXT(J215,"0.000")),"")</f>
        <v>20290729|4.625</v>
      </c>
      <c r="U215" s="90" t="n">
        <f aca="false">IF(AND(Q215=1,ISNUMBER(I215)),(I215-설정!$C$4)/365.25,"")</f>
        <v>2.82546201232033</v>
      </c>
      <c r="V215" s="43" t="str">
        <f aca="false">IF(Q215&lt;&gt;1,"",IF(ISNUMBER(U215),IF(U215&lt;=1,"1년 이하",IF(U215&lt;=2,"1-2년",IF(U215&lt;=3,"2-3년",IF(U215&lt;=4,"3-4년",IF(U215&lt;=5,"4-5년",IF(U215&lt;=7,"5-7년",IF(U215&lt;=10,"7-10년",IF(U215&lt;=20,"10-20년","20년 이상")))))))),"미분류"))</f>
        <v>2-3년</v>
      </c>
      <c r="W215" s="43" t="str">
        <f aca="false">IF(Q215&lt;&gt;1,"",IF(AB215&lt;&gt;"",INDEX(시장분석!$C:$C,AB215),IF(K215=1,"USD","비USD")))</f>
        <v>USD</v>
      </c>
      <c r="X215" s="91" t="n">
        <f aca="false">IF(Q215=1,E215*K215/1000000,0)</f>
        <v>5</v>
      </c>
      <c r="Y215" s="89" t="n">
        <f aca="false">IF(R215="T",1,0)</f>
        <v>0</v>
      </c>
      <c r="Z215" s="92" t="n">
        <f aca="false">IF(Q215&lt;&gt;1,"",IF(AD215=1,IF(ISNUMBER(U215),MAX(U215,0),H215),H215))</f>
        <v>2.5444</v>
      </c>
      <c r="AA215" s="91" t="n">
        <f aca="false">IF(Q215=1,IF(ISNUMBER(L215),L215,0)*K215/1000000,0)</f>
        <v>4.91488</v>
      </c>
      <c r="AB215" s="89" t="n">
        <f aca="false">IF(Q215&lt;&gt;1,"",IFERROR(MATCH(VLOOKUP(B215,매핑!$H$4:$I$15,2,0),시장분석!$A$2:$A$601,0)+1,IFERROR(MATCH(R215&amp;"|"&amp;T215,시장분석!$V$2:$V$601,0)+1,IF(COUNTIF(시장분석!$U$2:$U$601,T215)=1,MATCH(T215,시장분석!$U$2:$U$601,0)+1,""))))</f>
        <v>164</v>
      </c>
      <c r="AC215" s="89" t="n">
        <f aca="false">IF(Q215&lt;&gt;1,0,IF(OR(설정!$C$5="전체",AND(설정!$C$5="선택펀드",IFERROR(COUNTIFS(설정!$F$16:$F$36,C215,설정!$G$16:$G$36,"Y")+COUNTIFS(설정!$F$16:$F$36,VALUE(C215),설정!$G$16:$G$36,"Y"),0)&gt;0),C215&amp;""=설정!$C$5&amp;""),1,0))</f>
        <v>1</v>
      </c>
      <c r="AD215" s="89" t="n">
        <f aca="false">IF(Q215&lt;&gt;1,0,IF(OR(S215=1,IF(AB215="",FALSE(),INDEX(시장분석!$R:$R,AB215)=1)),1,0))</f>
        <v>0</v>
      </c>
      <c r="AE215" s="43" t="str">
        <f aca="false">IF(AB215="","",INDEX(시장분석!$A:$A,AB215))</f>
        <v>KOHNPW 4 5/8 07/29/29</v>
      </c>
      <c r="AF215" s="93" t="n">
        <f aca="false">IF(AB215="","",IF(ISNUMBER(IF(AB215="","",INDEX(시장분석!$E:$E,AB215))),IF(AB215="","",INDEX(시장분석!$E:$E,AB215)),""))</f>
        <v>28.554</v>
      </c>
      <c r="AG215" s="43" t="str">
        <f aca="false">IF(Q215&lt;&gt;1,"",IF(AB215&lt;&gt;"",IF(AB215="","",INDEX(시장분석!$L:$L,AB215)),IFERROR(IF(VLOOKUP(R215,매핑!$A$4:$E$92,5,0)="","미분류",VLOOKUP(R215,매핑!$A$4:$E$92,5,0)),"미분류")))</f>
        <v>유틸리티</v>
      </c>
      <c r="AH215" s="43" t="str">
        <f aca="false">IF(Q215&lt;&gt;1,"",IF(AB215&lt;&gt;"",IF(AB215="","",INDEX(시장분석!$N:$N,AB215)),IFERROR(IF(VLOOKUP(R215,매핑!$A$4:$E$92,4,0)="","미분류",VLOOKUP(R215,매핑!$A$4:$E$92,4,0)),"미분류")))</f>
        <v>아시아/기타</v>
      </c>
      <c r="AI215" s="43" t="str">
        <f aca="false">IF(Q215&lt;&gt;1,"",IFERROR(IF(VLOOKUP(R215,매핑!$A$4:$E$92,3,0)="","미분류",VLOOKUP(R215,매핑!$A$4:$E$92,3,0)),IF(AB215&lt;&gt;"",IF(AB215="","",INDEX(시장분석!$W:$W,AB215)),"미분류")))</f>
        <v>한국</v>
      </c>
      <c r="AJ215" s="43" t="str">
        <f aca="false">IF(Q215&lt;&gt;1,"",IFERROR(VLOOKUP(IF(N215&lt;&gt;"",N215,IF(P215&lt;&gt;"",P215,O215)),설정!$A$15:$D$47,2,0),""))</f>
        <v>AA</v>
      </c>
      <c r="AK215" s="43" t="str">
        <f aca="false">IF(Q215&lt;&gt;1,"",IF(AJ215="","무등급",IFERROR(VLOOKUP(AJ215,설정!$A$15:$D$47,3,0),"무등급")))</f>
        <v>AA이상</v>
      </c>
      <c r="AL215" s="89" t="n">
        <f aca="false">IF(AJ215="",99,IFERROR(VLOOKUP(AJ215,설정!$A$15:$D$47,4,0),99))</f>
        <v>3</v>
      </c>
      <c r="AM215" s="94" t="n">
        <f aca="false">IF(ISNUMBER(H215),AA215*1000000*H215/10000,0)</f>
        <v>1250.5420672</v>
      </c>
      <c r="AN215" s="94" t="n">
        <f aca="false">IF(OR(Y215=1,NOT(ISNUMBER(Z215))),0,AA215*1000000*Z215/10000)</f>
        <v>1250.5420672</v>
      </c>
      <c r="AO215" s="94" t="n">
        <f aca="false">IF(ISNUMBER(G215),AA215*1000000*G215/100,0)</f>
        <v>259402.45152</v>
      </c>
      <c r="AP215" s="94" t="n">
        <f aca="false">IF(ISNUMBER(M215),M215*K215,0)</f>
        <v>-118120</v>
      </c>
      <c r="AQ215" s="95" t="n">
        <f aca="false">IF(AB215="","",INDEX(시장분석!$AK:$AK,AB215))</f>
        <v>-0.48858769451918</v>
      </c>
      <c r="AR215" s="43" t="str">
        <f aca="false">IF(AB215="","-",IF(AB215="","",INDEX(시장분석!$AL:$AL,AB215)))</f>
        <v>Fair</v>
      </c>
      <c r="AS215" s="96" t="n">
        <f aca="false">IF(AB215="","",INDEX(시장분석!$AJ:$AJ,AB215))</f>
        <v>-2.61747699774211</v>
      </c>
      <c r="AT215" s="93" t="n">
        <f aca="false">IF(AB215="",0,IF(AB215="","",INDEX(시장분석!$AN:$AN,AB215)))</f>
        <v>17.8112909028577</v>
      </c>
      <c r="AU215" s="94" t="n">
        <f aca="false">IF(ISNUMBER(Z215),AT215/10000*MAX(Z215-1,0)*AA215*1000000,0)</f>
        <v>13519.7328018965</v>
      </c>
      <c r="AV215" s="94" t="n">
        <f aca="false">AO215+AU215</f>
        <v>272922.184321896</v>
      </c>
      <c r="AW215" s="43" t="str">
        <f aca="false">IF(Q215&lt;&gt;1,"",TRIM(IF(AD215=1,"FRN ","")&amp;IF(AND(AL215&gt;=10,AL215&lt;99),"BBB0미만 ","")&amp;IF(AJ215="","등급없음 ","")&amp;IF(K215&lt;&gt;1,"비USD ","")&amp;IF(AND(AB215="",Y215=0),"시장데이터없음 ","")&amp;IF(AND(ISNUMBER(U215),U215&lt;0),"만기경과 ","")))</f>
        <v/>
      </c>
      <c r="AX215" s="90" t="n">
        <f aca="false">IF(Q215&lt;&gt;1,1,IF(스프레드쇼크!$C$4="Y",INDEX(스프레드쇼크!$B$12:$L$16,IFERROR(MATCH(AH215,스프레드쇼크!$A$12:$A$16,0),MATCH("목록외",스프레드쇼크!$A$12:$A$16,0)),IFERROR(MATCH(AG215,스프레드쇼크!$B$11:$L$11,0),MATCH("목록외",스프레드쇼크!$B$11:$L$11,0))),1))</f>
        <v>1</v>
      </c>
      <c r="AY215" s="90" t="n">
        <f aca="false">IF(스프레드쇼크!$C$5="Y",IF(ISNUMBER(AF215),MIN(스프레드쇼크!$C$7,MAX(스프레드쇼크!$C$6,AF215/스프레드쇼크!$C$8)),1),1)</f>
        <v>0.431890331425895</v>
      </c>
      <c r="AZ215" s="94" t="n">
        <f aca="false">AN215*AX215*AY215</f>
        <v>540.097027865032</v>
      </c>
      <c r="BA215" s="90" t="n">
        <f aca="false">IF(ISNUMBER(G215),AA215*G215,0)</f>
        <v>25.940245152</v>
      </c>
      <c r="BB215" s="90" t="n">
        <f aca="false">IF(ISNUMBER(G215),AA215,0)</f>
        <v>4.91488</v>
      </c>
      <c r="BC215" s="90" t="n">
        <f aca="false">IF(AND(Y215=0,ISNUMBER(AF215)),AA215*AF215,0)</f>
        <v>140.33948352</v>
      </c>
      <c r="BD215" s="90" t="n">
        <f aca="false">IF(AND(Y215=0,ISNUMBER(AF215)),AA215,0)</f>
        <v>4.91488</v>
      </c>
      <c r="BE215" s="90" t="n">
        <f aca="false">IF(ISNUMBER(H215),AA215*H215,0)</f>
        <v>12.505420672</v>
      </c>
      <c r="BF215" s="90" t="n">
        <f aca="false">IF(ISNUMBER(H215),AA215,0)</f>
        <v>4.91488</v>
      </c>
      <c r="BG215" s="90" t="n">
        <f aca="false">IF(AND(Y215=0,ISNUMBER(AF215),ISNUMBER(Z215)),AA215*Z215,0)</f>
        <v>12.505420672</v>
      </c>
      <c r="BH215" s="90" t="n">
        <f aca="false">IF(AND(Y215=0,ISNUMBER(AF215),ISNUMBER(Z215)),AA215*AT215*MAX(Z215-1,0),0)</f>
        <v>135.197328018965</v>
      </c>
      <c r="BI215" s="90" t="n">
        <f aca="false">IF(Y215=0,AA215,0)</f>
        <v>4.91488</v>
      </c>
    </row>
    <row r="216" customFormat="false" ht="15" hidden="false" customHeight="false" outlineLevel="0" collapsed="false">
      <c r="A216" s="83" t="str">
        <f aca="false">IFERROR(IF(INDEX(원자료_잔고!$A$1:$EZ$1500,설정!$L$5+ROW()-1,설정!$L$8)&amp;""="0","",INDEX(원자료_잔고!$A$1:$EZ$1500,설정!$L$5+ROW()-1,설정!$L$8)&amp;""),"")</f>
        <v>KOHNPW 4 5/8 07/29/29</v>
      </c>
      <c r="B216" s="83" t="str">
        <f aca="false">IFERROR(IF(INDEX(원자료_잔고!$A$1:$EZ$1500,설정!$L$5+ROW()-1,설정!$L$7)&amp;""="0","",INDEX(원자료_잔고!$A$1:$EZ$1500,설정!$L$5+ROW()-1,설정!$L$7)&amp;""),"")</f>
        <v>USY4899GGX52</v>
      </c>
      <c r="C216" s="83" t="str">
        <f aca="false">IFERROR(IF(INDEX(원자료_잔고!$A$1:$EZ$1500,설정!$L$5+ROW()-1,설정!$L$9)&amp;""="0","",INDEX(원자료_잔고!$A$1:$EZ$1500,설정!$L$5+ROW()-1,설정!$L$9)&amp;""),"")</f>
        <v>34578</v>
      </c>
      <c r="D21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6" s="84" t="n">
        <f aca="false">IFERROR(IF(ISNUMBER(INDEX(원자료_잔고!$A$1:$EZ$1500,설정!$L$5+ROW()-1,설정!$L$11)),INDEX(원자료_잔고!$A$1:$EZ$1500,설정!$L$5+ROW()-1,설정!$L$11),""),"")</f>
        <v>15800000</v>
      </c>
      <c r="F216" s="85" t="n">
        <f aca="false">IFERROR(IF(ISNUMBER(INDEX(원자료_잔고!$A$1:$EZ$1500,설정!$L$5+ROW()-1,설정!$L$12)),INDEX(원자료_잔고!$A$1:$EZ$1500,설정!$L$5+ROW()-1,설정!$L$12),""),"")</f>
        <v>98.2976</v>
      </c>
      <c r="G216" s="85" t="n">
        <f aca="false">IFERROR(IF(ISNUMBER(INDEX(원자료_잔고!$A$1:$EZ$1500,설정!$L$5+ROW()-1,설정!$L$13)),INDEX(원자료_잔고!$A$1:$EZ$1500,설정!$L$5+ROW()-1,설정!$L$13),""),"")</f>
        <v>5.2779</v>
      </c>
      <c r="H216" s="85" t="n">
        <f aca="false">IFERROR(IF(ISNUMBER(INDEX(원자료_잔고!$A$1:$EZ$1500,설정!$L$5+ROW()-1,설정!$L$14)),INDEX(원자료_잔고!$A$1:$EZ$1500,설정!$L$5+ROW()-1,설정!$L$14),""),"")</f>
        <v>2.5444</v>
      </c>
      <c r="I216" s="86" t="n">
        <f aca="false">IFERROR(IF(ISNUMBER(INDEX(원자료_잔고!$A$1:$EZ$1500,설정!$L$5+ROW()-1,설정!$L$15)),INDEX(원자료_잔고!$A$1:$EZ$1500,설정!$L$5+ROW()-1,설정!$L$15),""),"")</f>
        <v>47328</v>
      </c>
      <c r="J216" s="85" t="n">
        <f aca="false">IFERROR(IF(ISNUMBER(INDEX(원자료_잔고!$A$1:$EZ$1500,설정!$L$5+ROW()-1,설정!$L$16)),INDEX(원자료_잔고!$A$1:$EZ$1500,설정!$L$5+ROW()-1,설정!$L$16),""),"")</f>
        <v>4.625</v>
      </c>
      <c r="K216" s="87" t="n">
        <f aca="false">IFERROR(IF(ISNUMBER(INDEX(원자료_잔고!$A$1:$EZ$1500,설정!$L$5+ROW()-1,설정!$L$17)),INDEX(원자료_잔고!$A$1:$EZ$1500,설정!$L$5+ROW()-1,설정!$L$17),""),"")</f>
        <v>1</v>
      </c>
      <c r="L216" s="84" t="n">
        <f aca="false">IFERROR(IF(ISNUMBER(INDEX(원자료_잔고!$A$1:$EZ$1500,설정!$L$5+ROW()-1,설정!$L$18)),INDEX(원자료_잔고!$A$1:$EZ$1500,설정!$L$5+ROW()-1,설정!$L$18),""),"")</f>
        <v>15531020.8</v>
      </c>
      <c r="M216" s="88" t="n">
        <f aca="false">IFERROR(IF(ISNUMBER(INDEX(원자료_잔고!$A$1:$EZ$1500,설정!$L$5+ROW()-1,설정!$L$19)),INDEX(원자료_잔고!$A$1:$EZ$1500,설정!$L$5+ROW()-1,설정!$L$19),""),"")</f>
        <v>-359039.2</v>
      </c>
      <c r="N216" s="83" t="str">
        <f aca="false">IFERROR(IF(INDEX(원자료_잔고!$A$1:$EZ$1500,설정!$L$5+ROW()-1,설정!$L$21)&amp;""="0","",INDEX(원자료_잔고!$A$1:$EZ$1500,설정!$L$5+ROW()-1,설정!$L$21)&amp;""),"")</f>
        <v>AA</v>
      </c>
      <c r="O216" s="83" t="str">
        <f aca="false">IFERROR(IF(INDEX(원자료_잔고!$A$1:$EZ$1500,설정!$L$5+ROW()-1,설정!$L$22)&amp;""="0","",INDEX(원자료_잔고!$A$1:$EZ$1500,설정!$L$5+ROW()-1,설정!$L$22)&amp;""),"")</f>
        <v/>
      </c>
      <c r="P216" s="83" t="str">
        <f aca="false">IFERROR(IF(INDEX(원자료_잔고!$A$1:$EZ$1500,설정!$L$5+ROW()-1,설정!$L$23)&amp;""="0","",INDEX(원자료_잔고!$A$1:$EZ$1500,설정!$L$5+ROW()-1,설정!$L$23)&amp;""),"")</f>
        <v>AA-</v>
      </c>
      <c r="Q216" s="89" t="n">
        <f aca="false">IF(AND($A216&lt;&gt;"",ISNUMBER(E216)),IF(E216&gt;0,1,0),0)</f>
        <v>1</v>
      </c>
      <c r="R216" s="43" t="str">
        <f aca="false">IF(Q216=1,UPPER(LEFT($A216,FIND(" ",$A216&amp;" ")-1)),"")</f>
        <v>KOHNPW</v>
      </c>
      <c r="S216" s="89" t="n">
        <f aca="false">IF(Q216=1,IF(OR(ISNUMBER(SEARCH("Float",$A216)),ISNUMBER(SEARCH("FRN",$A216))),1,0),0)</f>
        <v>0</v>
      </c>
      <c r="T216" s="43" t="str">
        <f aca="false">IF(AND(Q216=1,ISNUMBER(I216)),TEXT(I216,"yyyymmdd")&amp;"|"&amp;IF(S216=1,"F",TEXT(J216,"0.000")),"")</f>
        <v>20290729|4.625</v>
      </c>
      <c r="U216" s="90" t="n">
        <f aca="false">IF(AND(Q216=1,ISNUMBER(I216)),(I216-설정!$C$4)/365.25,"")</f>
        <v>2.82546201232033</v>
      </c>
      <c r="V216" s="43" t="str">
        <f aca="false">IF(Q216&lt;&gt;1,"",IF(ISNUMBER(U216),IF(U216&lt;=1,"1년 이하",IF(U216&lt;=2,"1-2년",IF(U216&lt;=3,"2-3년",IF(U216&lt;=4,"3-4년",IF(U216&lt;=5,"4-5년",IF(U216&lt;=7,"5-7년",IF(U216&lt;=10,"7-10년",IF(U216&lt;=20,"10-20년","20년 이상")))))))),"미분류"))</f>
        <v>2-3년</v>
      </c>
      <c r="W216" s="43" t="str">
        <f aca="false">IF(Q216&lt;&gt;1,"",IF(AB216&lt;&gt;"",INDEX(시장분석!$C:$C,AB216),IF(K216=1,"USD","비USD")))</f>
        <v>USD</v>
      </c>
      <c r="X216" s="91" t="n">
        <f aca="false">IF(Q216=1,E216*K216/1000000,0)</f>
        <v>15.8</v>
      </c>
      <c r="Y216" s="89" t="n">
        <f aca="false">IF(R216="T",1,0)</f>
        <v>0</v>
      </c>
      <c r="Z216" s="92" t="n">
        <f aca="false">IF(Q216&lt;&gt;1,"",IF(AD216=1,IF(ISNUMBER(U216),MAX(U216,0),H216),H216))</f>
        <v>2.5444</v>
      </c>
      <c r="AA216" s="91" t="n">
        <f aca="false">IF(Q216=1,IF(ISNUMBER(L216),L216,0)*K216/1000000,0)</f>
        <v>15.5310208</v>
      </c>
      <c r="AB216" s="89" t="n">
        <f aca="false">IF(Q216&lt;&gt;1,"",IFERROR(MATCH(VLOOKUP(B216,매핑!$H$4:$I$15,2,0),시장분석!$A$2:$A$601,0)+1,IFERROR(MATCH(R216&amp;"|"&amp;T216,시장분석!$V$2:$V$601,0)+1,IF(COUNTIF(시장분석!$U$2:$U$601,T216)=1,MATCH(T216,시장분석!$U$2:$U$601,0)+1,""))))</f>
        <v>164</v>
      </c>
      <c r="AC216" s="89" t="n">
        <f aca="false">IF(Q216&lt;&gt;1,0,IF(OR(설정!$C$5="전체",AND(설정!$C$5="선택펀드",IFERROR(COUNTIFS(설정!$F$16:$F$36,C216,설정!$G$16:$G$36,"Y")+COUNTIFS(설정!$F$16:$F$36,VALUE(C216),설정!$G$16:$G$36,"Y"),0)&gt;0),C216&amp;""=설정!$C$5&amp;""),1,0))</f>
        <v>1</v>
      </c>
      <c r="AD216" s="89" t="n">
        <f aca="false">IF(Q216&lt;&gt;1,0,IF(OR(S216=1,IF(AB216="",FALSE(),INDEX(시장분석!$R:$R,AB216)=1)),1,0))</f>
        <v>0</v>
      </c>
      <c r="AE216" s="43" t="str">
        <f aca="false">IF(AB216="","",INDEX(시장분석!$A:$A,AB216))</f>
        <v>KOHNPW 4 5/8 07/29/29</v>
      </c>
      <c r="AF216" s="93" t="n">
        <f aca="false">IF(AB216="","",IF(ISNUMBER(IF(AB216="","",INDEX(시장분석!$E:$E,AB216))),IF(AB216="","",INDEX(시장분석!$E:$E,AB216)),""))</f>
        <v>28.554</v>
      </c>
      <c r="AG216" s="43" t="str">
        <f aca="false">IF(Q216&lt;&gt;1,"",IF(AB216&lt;&gt;"",IF(AB216="","",INDEX(시장분석!$L:$L,AB216)),IFERROR(IF(VLOOKUP(R216,매핑!$A$4:$E$92,5,0)="","미분류",VLOOKUP(R216,매핑!$A$4:$E$92,5,0)),"미분류")))</f>
        <v>유틸리티</v>
      </c>
      <c r="AH216" s="43" t="str">
        <f aca="false">IF(Q216&lt;&gt;1,"",IF(AB216&lt;&gt;"",IF(AB216="","",INDEX(시장분석!$N:$N,AB216)),IFERROR(IF(VLOOKUP(R216,매핑!$A$4:$E$92,4,0)="","미분류",VLOOKUP(R216,매핑!$A$4:$E$92,4,0)),"미분류")))</f>
        <v>아시아/기타</v>
      </c>
      <c r="AI216" s="43" t="str">
        <f aca="false">IF(Q216&lt;&gt;1,"",IFERROR(IF(VLOOKUP(R216,매핑!$A$4:$E$92,3,0)="","미분류",VLOOKUP(R216,매핑!$A$4:$E$92,3,0)),IF(AB216&lt;&gt;"",IF(AB216="","",INDEX(시장분석!$W:$W,AB216)),"미분류")))</f>
        <v>한국</v>
      </c>
      <c r="AJ216" s="43" t="str">
        <f aca="false">IF(Q216&lt;&gt;1,"",IFERROR(VLOOKUP(IF(N216&lt;&gt;"",N216,IF(P216&lt;&gt;"",P216,O216)),설정!$A$15:$D$47,2,0),""))</f>
        <v>AA</v>
      </c>
      <c r="AK216" s="43" t="str">
        <f aca="false">IF(Q216&lt;&gt;1,"",IF(AJ216="","무등급",IFERROR(VLOOKUP(AJ216,설정!$A$15:$D$47,3,0),"무등급")))</f>
        <v>AA이상</v>
      </c>
      <c r="AL216" s="89" t="n">
        <f aca="false">IF(AJ216="",99,IFERROR(VLOOKUP(AJ216,설정!$A$15:$D$47,4,0),99))</f>
        <v>3</v>
      </c>
      <c r="AM216" s="94" t="n">
        <f aca="false">IF(ISNUMBER(H216),AA216*1000000*H216/10000,0)</f>
        <v>3951.712932352</v>
      </c>
      <c r="AN216" s="94" t="n">
        <f aca="false">IF(OR(Y216=1,NOT(ISNUMBER(Z216))),0,AA216*1000000*Z216/10000)</f>
        <v>3951.712932352</v>
      </c>
      <c r="AO216" s="94" t="n">
        <f aca="false">IF(ISNUMBER(G216),AA216*1000000*G216/100,0)</f>
        <v>819711.7468032</v>
      </c>
      <c r="AP216" s="94" t="n">
        <f aca="false">IF(ISNUMBER(M216),M216*K216,0)</f>
        <v>-359039.2</v>
      </c>
      <c r="AQ216" s="95" t="n">
        <f aca="false">IF(AB216="","",INDEX(시장분석!$AK:$AK,AB216))</f>
        <v>-0.48858769451918</v>
      </c>
      <c r="AR216" s="43" t="str">
        <f aca="false">IF(AB216="","-",IF(AB216="","",INDEX(시장분석!$AL:$AL,AB216)))</f>
        <v>Fair</v>
      </c>
      <c r="AS216" s="96" t="n">
        <f aca="false">IF(AB216="","",INDEX(시장분석!$AJ:$AJ,AB216))</f>
        <v>-2.61747699774211</v>
      </c>
      <c r="AT216" s="93" t="n">
        <f aca="false">IF(AB216="",0,IF(AB216="","",INDEX(시장분석!$AN:$AN,AB216)))</f>
        <v>17.8112909028577</v>
      </c>
      <c r="AU216" s="94" t="n">
        <f aca="false">IF(ISNUMBER(Z216),AT216/10000*MAX(Z216-1,0)*AA216*1000000,0)</f>
        <v>42722.3556539928</v>
      </c>
      <c r="AV216" s="94" t="n">
        <f aca="false">AO216+AU216</f>
        <v>862434.102457193</v>
      </c>
      <c r="AW216" s="43" t="str">
        <f aca="false">IF(Q216&lt;&gt;1,"",TRIM(IF(AD216=1,"FRN ","")&amp;IF(AND(AL216&gt;=10,AL216&lt;99),"BBB0미만 ","")&amp;IF(AJ216="","등급없음 ","")&amp;IF(K216&lt;&gt;1,"비USD ","")&amp;IF(AND(AB216="",Y216=0),"시장데이터없음 ","")&amp;IF(AND(ISNUMBER(U216),U216&lt;0),"만기경과 ","")))</f>
        <v/>
      </c>
      <c r="AX216" s="90" t="n">
        <f aca="false">IF(Q216&lt;&gt;1,1,IF(스프레드쇼크!$C$4="Y",INDEX(스프레드쇼크!$B$12:$L$16,IFERROR(MATCH(AH216,스프레드쇼크!$A$12:$A$16,0),MATCH("목록외",스프레드쇼크!$A$12:$A$16,0)),IFERROR(MATCH(AG216,스프레드쇼크!$B$11:$L$11,0),MATCH("목록외",스프레드쇼크!$B$11:$L$11,0))),1))</f>
        <v>1</v>
      </c>
      <c r="AY216" s="90" t="n">
        <f aca="false">IF(스프레드쇼크!$C$5="Y",IF(ISNUMBER(AF216),MIN(스프레드쇼크!$C$7,MAX(스프레드쇼크!$C$6,AF216/스프레드쇼크!$C$8)),1),1)</f>
        <v>0.431890331425895</v>
      </c>
      <c r="AZ216" s="94" t="n">
        <f aca="false">AN216*AX216*AY216</f>
        <v>1706.7066080535</v>
      </c>
      <c r="BA216" s="90" t="n">
        <f aca="false">IF(ISNUMBER(G216),AA216*G216,0)</f>
        <v>81.97117468032</v>
      </c>
      <c r="BB216" s="90" t="n">
        <f aca="false">IF(ISNUMBER(G216),AA216,0)</f>
        <v>15.5310208</v>
      </c>
      <c r="BC216" s="90" t="n">
        <f aca="false">IF(AND(Y216=0,ISNUMBER(AF216)),AA216*AF216,0)</f>
        <v>443.4727679232</v>
      </c>
      <c r="BD216" s="90" t="n">
        <f aca="false">IF(AND(Y216=0,ISNUMBER(AF216)),AA216,0)</f>
        <v>15.5310208</v>
      </c>
      <c r="BE216" s="90" t="n">
        <f aca="false">IF(ISNUMBER(H216),AA216*H216,0)</f>
        <v>39.51712932352</v>
      </c>
      <c r="BF216" s="90" t="n">
        <f aca="false">IF(ISNUMBER(H216),AA216,0)</f>
        <v>15.5310208</v>
      </c>
      <c r="BG216" s="90" t="n">
        <f aca="false">IF(AND(Y216=0,ISNUMBER(AF216),ISNUMBER(Z216)),AA216*Z216,0)</f>
        <v>39.51712932352</v>
      </c>
      <c r="BH216" s="90" t="n">
        <f aca="false">IF(AND(Y216=0,ISNUMBER(AF216),ISNUMBER(Z216)),AA216*AT216*MAX(Z216-1,0),0)</f>
        <v>427.223556539929</v>
      </c>
      <c r="BI216" s="90" t="n">
        <f aca="false">IF(Y216=0,AA216,0)</f>
        <v>15.5310208</v>
      </c>
    </row>
    <row r="217" customFormat="false" ht="15" hidden="false" customHeight="false" outlineLevel="0" collapsed="false">
      <c r="A217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17" s="83" t="str">
        <f aca="false">IFERROR(IF(INDEX(원자료_잔고!$A$1:$EZ$1500,설정!$L$5+ROW()-1,설정!$L$7)&amp;""="0","",INDEX(원자료_잔고!$A$1:$EZ$1500,설정!$L$5+ROW()-1,설정!$L$7)&amp;""),"")</f>
        <v>USY5S5CGAL65</v>
      </c>
      <c r="C217" s="83" t="str">
        <f aca="false">IFERROR(IF(INDEX(원자료_잔고!$A$1:$EZ$1500,설정!$L$5+ROW()-1,설정!$L$9)&amp;""="0","",INDEX(원자료_잔고!$A$1:$EZ$1500,설정!$L$5+ROW()-1,설정!$L$9)&amp;""),"")</f>
        <v>34578</v>
      </c>
      <c r="D21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7" s="84" t="n">
        <f aca="false">IFERROR(IF(ISNUMBER(INDEX(원자료_잔고!$A$1:$EZ$1500,설정!$L$5+ROW()-1,설정!$L$11)),INDEX(원자료_잔고!$A$1:$EZ$1500,설정!$L$5+ROW()-1,설정!$L$11),""),"")</f>
        <v>10000000</v>
      </c>
      <c r="F217" s="85" t="n">
        <f aca="false">IFERROR(IF(ISNUMBER(INDEX(원자료_잔고!$A$1:$EZ$1500,설정!$L$5+ROW()-1,설정!$L$12)),INDEX(원자료_잔고!$A$1:$EZ$1500,설정!$L$5+ROW()-1,설정!$L$12),""),"")</f>
        <v>99.1271</v>
      </c>
      <c r="G217" s="85" t="n">
        <f aca="false">IFERROR(IF(ISNUMBER(INDEX(원자료_잔고!$A$1:$EZ$1500,설정!$L$5+ROW()-1,설정!$L$13)),INDEX(원자료_잔고!$A$1:$EZ$1500,설정!$L$5+ROW()-1,설정!$L$13),""),"")</f>
        <v>5.7166</v>
      </c>
      <c r="H217" s="85" t="n">
        <f aca="false">IFERROR(IF(ISNUMBER(INDEX(원자료_잔고!$A$1:$EZ$1500,설정!$L$5+ROW()-1,설정!$L$14)),INDEX(원자료_잔고!$A$1:$EZ$1500,설정!$L$5+ROW()-1,설정!$L$14),""),"")</f>
        <v>2.4377</v>
      </c>
      <c r="I217" s="86" t="n">
        <f aca="false">IFERROR(IF(ISNUMBER(INDEX(원자료_잔고!$A$1:$EZ$1500,설정!$L$5+ROW()-1,설정!$L$15)),INDEX(원자료_잔고!$A$1:$EZ$1500,설정!$L$5+ROW()-1,설정!$L$15),""),"")</f>
        <v>47301</v>
      </c>
      <c r="J217" s="85" t="n">
        <f aca="false">IFERROR(IF(ISNUMBER(INDEX(원자료_잔고!$A$1:$EZ$1500,설정!$L$5+ROW()-1,설정!$L$16)),INDEX(원자료_잔고!$A$1:$EZ$1500,설정!$L$5+ROW()-1,설정!$L$16),""),"")</f>
        <v>5.375</v>
      </c>
      <c r="K217" s="87" t="n">
        <f aca="false">IFERROR(IF(ISNUMBER(INDEX(원자료_잔고!$A$1:$EZ$1500,설정!$L$5+ROW()-1,설정!$L$17)),INDEX(원자료_잔고!$A$1:$EZ$1500,설정!$L$5+ROW()-1,설정!$L$17),""),"")</f>
        <v>1</v>
      </c>
      <c r="L217" s="84" t="n">
        <f aca="false">IFERROR(IF(ISNUMBER(INDEX(원자료_잔고!$A$1:$EZ$1500,설정!$L$5+ROW()-1,설정!$L$18)),INDEX(원자료_잔고!$A$1:$EZ$1500,설정!$L$5+ROW()-1,설정!$L$18),""),"")</f>
        <v>9912710</v>
      </c>
      <c r="M217" s="88" t="n">
        <f aca="false">IFERROR(IF(ISNUMBER(INDEX(원자료_잔고!$A$1:$EZ$1500,설정!$L$5+ROW()-1,설정!$L$19)),INDEX(원자료_잔고!$A$1:$EZ$1500,설정!$L$5+ROW()-1,설정!$L$19),""),"")</f>
        <v>-360030</v>
      </c>
      <c r="N217" s="83" t="str">
        <f aca="false">IFERROR(IF(INDEX(원자료_잔고!$A$1:$EZ$1500,설정!$L$5+ROW()-1,설정!$L$21)&amp;""="0","",INDEX(원자료_잔고!$A$1:$EZ$1500,설정!$L$5+ROW()-1,설정!$L$21)&amp;""),"")</f>
        <v>BBB</v>
      </c>
      <c r="O217" s="83" t="str">
        <f aca="false">IFERROR(IF(INDEX(원자료_잔고!$A$1:$EZ$1500,설정!$L$5+ROW()-1,설정!$L$22)&amp;""="0","",INDEX(원자료_잔고!$A$1:$EZ$1500,설정!$L$5+ROW()-1,설정!$L$22)&amp;""),"")</f>
        <v/>
      </c>
      <c r="P217" s="83" t="str">
        <f aca="false">IFERROR(IF(INDEX(원자료_잔고!$A$1:$EZ$1500,설정!$L$5+ROW()-1,설정!$L$23)&amp;""="0","",INDEX(원자료_잔고!$A$1:$EZ$1500,설정!$L$5+ROW()-1,설정!$L$23)&amp;""),"")</f>
        <v>N/A</v>
      </c>
      <c r="Q217" s="89" t="n">
        <f aca="false">IF(AND($A217&lt;&gt;"",ISNUMBER(E217)),IF(E217&gt;0,1,0),0)</f>
        <v>1</v>
      </c>
      <c r="R217" s="43" t="str">
        <f aca="false">IF(Q217=1,UPPER(LEFT($A217,FIND(" ",$A217&amp;" ")-1)),"")</f>
        <v>LGENSO</v>
      </c>
      <c r="S217" s="89" t="n">
        <f aca="false">IF(Q217=1,IF(OR(ISNUMBER(SEARCH("Float",$A217)),ISNUMBER(SEARCH("FRN",$A217))),1,0),0)</f>
        <v>0</v>
      </c>
      <c r="T217" s="43" t="str">
        <f aca="false">IF(AND(Q217=1,ISNUMBER(I217)),TEXT(I217,"yyyymmdd")&amp;"|"&amp;IF(S217=1,"F",TEXT(J217,"0.000")),"")</f>
        <v>20290702|5.375</v>
      </c>
      <c r="U217" s="90" t="n">
        <f aca="false">IF(AND(Q217=1,ISNUMBER(I217)),(I217-설정!$C$4)/365.25,"")</f>
        <v>2.75154004106776</v>
      </c>
      <c r="V217" s="43" t="str">
        <f aca="false">IF(Q217&lt;&gt;1,"",IF(ISNUMBER(U217),IF(U217&lt;=1,"1년 이하",IF(U217&lt;=2,"1-2년",IF(U217&lt;=3,"2-3년",IF(U217&lt;=4,"3-4년",IF(U217&lt;=5,"4-5년",IF(U217&lt;=7,"5-7년",IF(U217&lt;=10,"7-10년",IF(U217&lt;=20,"10-20년","20년 이상")))))))),"미분류"))</f>
        <v>2-3년</v>
      </c>
      <c r="W217" s="43" t="str">
        <f aca="false">IF(Q217&lt;&gt;1,"",IF(AB217&lt;&gt;"",INDEX(시장분석!$C:$C,AB217),IF(K217=1,"USD","비USD")))</f>
        <v>USD</v>
      </c>
      <c r="X217" s="91" t="n">
        <f aca="false">IF(Q217=1,E217*K217/1000000,0)</f>
        <v>10</v>
      </c>
      <c r="Y217" s="89" t="n">
        <f aca="false">IF(R217="T",1,0)</f>
        <v>0</v>
      </c>
      <c r="Z217" s="92" t="n">
        <f aca="false">IF(Q217&lt;&gt;1,"",IF(AD217=1,IF(ISNUMBER(U217),MAX(U217,0),H217),H217))</f>
        <v>2.4377</v>
      </c>
      <c r="AA217" s="91" t="n">
        <f aca="false">IF(Q217=1,IF(ISNUMBER(L217),L217,0)*K217/1000000,0)</f>
        <v>9.91271</v>
      </c>
      <c r="AB217" s="89" t="n">
        <f aca="false">IF(Q217&lt;&gt;1,"",IFERROR(MATCH(VLOOKUP(B217,매핑!$H$4:$I$15,2,0),시장분석!$A$2:$A$601,0)+1,IFERROR(MATCH(R217&amp;"|"&amp;T217,시장분석!$V$2:$V$601,0)+1,IF(COUNTIF(시장분석!$U$2:$U$601,T217)=1,MATCH(T217,시장분석!$U$2:$U$601,0)+1,""))))</f>
        <v>179</v>
      </c>
      <c r="AC217" s="89" t="n">
        <f aca="false">IF(Q217&lt;&gt;1,0,IF(OR(설정!$C$5="전체",AND(설정!$C$5="선택펀드",IFERROR(COUNTIFS(설정!$F$16:$F$36,C217,설정!$G$16:$G$36,"Y")+COUNTIFS(설정!$F$16:$F$36,VALUE(C217),설정!$G$16:$G$36,"Y"),0)&gt;0),C217&amp;""=설정!$C$5&amp;""),1,0))</f>
        <v>1</v>
      </c>
      <c r="AD217" s="89" t="n">
        <f aca="false">IF(Q217&lt;&gt;1,0,IF(OR(S217=1,IF(AB217="",FALSE(),INDEX(시장분석!$R:$R,AB217)=1)),1,0))</f>
        <v>0</v>
      </c>
      <c r="AE217" s="43" t="str">
        <f aca="false">IF(AB217="","",INDEX(시장분석!$A:$A,AB217))</f>
        <v>LGENSO 5 3/8 07/02/29</v>
      </c>
      <c r="AF217" s="93" t="n">
        <f aca="false">IF(AB217="","",IF(ISNUMBER(IF(AB217="","",INDEX(시장분석!$E:$E,AB217))),IF(AB217="","",INDEX(시장분석!$E:$E,AB217)),""))</f>
        <v>73.376</v>
      </c>
      <c r="AG217" s="43" t="str">
        <f aca="false">IF(Q217&lt;&gt;1,"",IF(AB217&lt;&gt;"",IF(AB217="","",INDEX(시장분석!$L:$L,AB217)),IFERROR(IF(VLOOKUP(R217,매핑!$A$4:$E$92,5,0)="","미분류",VLOOKUP(R217,매핑!$A$4:$E$92,5,0)),"미분류")))</f>
        <v>자유 소비재</v>
      </c>
      <c r="AH217" s="43" t="str">
        <f aca="false">IF(Q217&lt;&gt;1,"",IF(AB217&lt;&gt;"",IF(AB217="","",INDEX(시장분석!$N:$N,AB217)),IFERROR(IF(VLOOKUP(R217,매핑!$A$4:$E$92,4,0)="","미분류",VLOOKUP(R217,매핑!$A$4:$E$92,4,0)),"미분류")))</f>
        <v>아시아/기타</v>
      </c>
      <c r="AI217" s="43" t="str">
        <f aca="false">IF(Q217&lt;&gt;1,"",IFERROR(IF(VLOOKUP(R217,매핑!$A$4:$E$92,3,0)="","미분류",VLOOKUP(R217,매핑!$A$4:$E$92,3,0)),IF(AB217&lt;&gt;"",IF(AB217="","",INDEX(시장분석!$W:$W,AB217)),"미분류")))</f>
        <v>한국</v>
      </c>
      <c r="AJ217" s="43" t="str">
        <f aca="false">IF(Q217&lt;&gt;1,"",IFERROR(VLOOKUP(IF(N217&lt;&gt;"",N217,IF(P217&lt;&gt;"",P217,O217)),설정!$A$15:$D$47,2,0),""))</f>
        <v>BBB</v>
      </c>
      <c r="AK217" s="43" t="str">
        <f aca="false">IF(Q217&lt;&gt;1,"",IF(AJ217="","무등급",IFERROR(VLOOKUP(AJ217,설정!$A$15:$D$47,3,0),"무등급")))</f>
        <v>BBB</v>
      </c>
      <c r="AL217" s="89" t="n">
        <f aca="false">IF(AJ217="",99,IFERROR(VLOOKUP(AJ217,설정!$A$15:$D$47,4,0),99))</f>
        <v>9</v>
      </c>
      <c r="AM217" s="94" t="n">
        <f aca="false">IF(ISNUMBER(H217),AA217*1000000*H217/10000,0)</f>
        <v>2416.4213167</v>
      </c>
      <c r="AN217" s="94" t="n">
        <f aca="false">IF(OR(Y217=1,NOT(ISNUMBER(Z217))),0,AA217*1000000*Z217/10000)</f>
        <v>2416.4213167</v>
      </c>
      <c r="AO217" s="94" t="n">
        <f aca="false">IF(ISNUMBER(G217),AA217*1000000*G217/100,0)</f>
        <v>566669.97986</v>
      </c>
      <c r="AP217" s="94" t="n">
        <f aca="false">IF(ISNUMBER(M217),M217*K217,0)</f>
        <v>-360030</v>
      </c>
      <c r="AQ217" s="95" t="n">
        <f aca="false">IF(AB217="","",INDEX(시장분석!$AK:$AK,AB217))</f>
        <v>0.0343903053062221</v>
      </c>
      <c r="AR217" s="43" t="str">
        <f aca="false">IF(AB217="","-",IF(AB217="","",INDEX(시장분석!$AL:$AL,AB217)))</f>
        <v>Fair</v>
      </c>
      <c r="AS217" s="96" t="n">
        <f aca="false">IF(AB217="","",INDEX(시장분석!$AJ:$AJ,AB217))</f>
        <v>0.712393143760181</v>
      </c>
      <c r="AT217" s="93" t="n">
        <f aca="false">IF(AB217="",0,IF(AB217="","",INDEX(시장분석!$AN:$AN,AB217)))</f>
        <v>19.8721156888579</v>
      </c>
      <c r="AU217" s="94" t="n">
        <f aca="false">IF(ISNUMBER(Z217),AT217/10000*MAX(Z217-1,0)*AA217*1000000,0)</f>
        <v>28320.7519674748</v>
      </c>
      <c r="AV217" s="94" t="n">
        <f aca="false">AO217+AU217</f>
        <v>594990.731827475</v>
      </c>
      <c r="AW217" s="43" t="str">
        <f aca="false">IF(Q217&lt;&gt;1,"",TRIM(IF(AD217=1,"FRN ","")&amp;IF(AND(AL217&gt;=10,AL217&lt;99),"BBB0미만 ","")&amp;IF(AJ217="","등급없음 ","")&amp;IF(K217&lt;&gt;1,"비USD ","")&amp;IF(AND(AB217="",Y217=0),"시장데이터없음 ","")&amp;IF(AND(ISNUMBER(U217),U217&lt;0),"만기경과 ","")))</f>
        <v/>
      </c>
      <c r="AX217" s="90" t="n">
        <f aca="false">IF(Q217&lt;&gt;1,1,IF(스프레드쇼크!$C$4="Y",INDEX(스프레드쇼크!$B$12:$L$16,IFERROR(MATCH(AH217,스프레드쇼크!$A$12:$A$16,0),MATCH("목록외",스프레드쇼크!$A$12:$A$16,0)),IFERROR(MATCH(AG217,스프레드쇼크!$B$11:$L$11,0),MATCH("목록외",스프레드쇼크!$B$11:$L$11,0))),1))</f>
        <v>1</v>
      </c>
      <c r="AY217" s="90" t="n">
        <f aca="false">IF(스프레드쇼크!$C$5="Y",IF(ISNUMBER(AF217),MIN(스프레드쇼크!$C$7,MAX(스프레드쇼크!$C$6,AF217/스프레드쇼크!$C$8)),1),1)</f>
        <v>1.10984047624524</v>
      </c>
      <c r="AZ217" s="94" t="n">
        <f aca="false">AN217*AX217*AY217</f>
        <v>2681.84218493547</v>
      </c>
      <c r="BA217" s="90" t="n">
        <f aca="false">IF(ISNUMBER(G217),AA217*G217,0)</f>
        <v>56.666997986</v>
      </c>
      <c r="BB217" s="90" t="n">
        <f aca="false">IF(ISNUMBER(G217),AA217,0)</f>
        <v>9.91271</v>
      </c>
      <c r="BC217" s="90" t="n">
        <f aca="false">IF(AND(Y217=0,ISNUMBER(AF217)),AA217*AF217,0)</f>
        <v>727.35500896</v>
      </c>
      <c r="BD217" s="90" t="n">
        <f aca="false">IF(AND(Y217=0,ISNUMBER(AF217)),AA217,0)</f>
        <v>9.91271</v>
      </c>
      <c r="BE217" s="90" t="n">
        <f aca="false">IF(ISNUMBER(H217),AA217*H217,0)</f>
        <v>24.164213167</v>
      </c>
      <c r="BF217" s="90" t="n">
        <f aca="false">IF(ISNUMBER(H217),AA217,0)</f>
        <v>9.91271</v>
      </c>
      <c r="BG217" s="90" t="n">
        <f aca="false">IF(AND(Y217=0,ISNUMBER(AF217),ISNUMBER(Z217)),AA217*Z217,0)</f>
        <v>24.164213167</v>
      </c>
      <c r="BH217" s="90" t="n">
        <f aca="false">IF(AND(Y217=0,ISNUMBER(AF217),ISNUMBER(Z217)),AA217*AT217*MAX(Z217-1,0),0)</f>
        <v>283.207519674748</v>
      </c>
      <c r="BI217" s="90" t="n">
        <f aca="false">IF(Y217=0,AA217,0)</f>
        <v>9.91271</v>
      </c>
    </row>
    <row r="218" customFormat="false" ht="15" hidden="false" customHeight="false" outlineLevel="0" collapsed="false">
      <c r="A218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18" s="83" t="str">
        <f aca="false">IFERROR(IF(INDEX(원자료_잔고!$A$1:$EZ$1500,설정!$L$5+ROW()-1,설정!$L$7)&amp;""="0","",INDEX(원자료_잔고!$A$1:$EZ$1500,설정!$L$5+ROW()-1,설정!$L$7)&amp;""),"")</f>
        <v>USY5S5CGAL65</v>
      </c>
      <c r="C218" s="83" t="str">
        <f aca="false">IFERROR(IF(INDEX(원자료_잔고!$A$1:$EZ$1500,설정!$L$5+ROW()-1,설정!$L$9)&amp;""="0","",INDEX(원자료_잔고!$A$1:$EZ$1500,설정!$L$5+ROW()-1,설정!$L$9)&amp;""),"")</f>
        <v>34578</v>
      </c>
      <c r="D21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8" s="84" t="n">
        <f aca="false">IFERROR(IF(ISNUMBER(INDEX(원자료_잔고!$A$1:$EZ$1500,설정!$L$5+ROW()-1,설정!$L$11)),INDEX(원자료_잔고!$A$1:$EZ$1500,설정!$L$5+ROW()-1,설정!$L$11),""),"")</f>
        <v>3000000</v>
      </c>
      <c r="F218" s="85" t="n">
        <f aca="false">IFERROR(IF(ISNUMBER(INDEX(원자료_잔고!$A$1:$EZ$1500,설정!$L$5+ROW()-1,설정!$L$12)),INDEX(원자료_잔고!$A$1:$EZ$1500,설정!$L$5+ROW()-1,설정!$L$12),""),"")</f>
        <v>99.1271</v>
      </c>
      <c r="G218" s="85" t="n">
        <f aca="false">IFERROR(IF(ISNUMBER(INDEX(원자료_잔고!$A$1:$EZ$1500,설정!$L$5+ROW()-1,설정!$L$13)),INDEX(원자료_잔고!$A$1:$EZ$1500,설정!$L$5+ROW()-1,설정!$L$13),""),"")</f>
        <v>5.7166</v>
      </c>
      <c r="H218" s="85" t="n">
        <f aca="false">IFERROR(IF(ISNUMBER(INDEX(원자료_잔고!$A$1:$EZ$1500,설정!$L$5+ROW()-1,설정!$L$14)),INDEX(원자료_잔고!$A$1:$EZ$1500,설정!$L$5+ROW()-1,설정!$L$14),""),"")</f>
        <v>2.4377</v>
      </c>
      <c r="I218" s="86" t="n">
        <f aca="false">IFERROR(IF(ISNUMBER(INDEX(원자료_잔고!$A$1:$EZ$1500,설정!$L$5+ROW()-1,설정!$L$15)),INDEX(원자료_잔고!$A$1:$EZ$1500,설정!$L$5+ROW()-1,설정!$L$15),""),"")</f>
        <v>47301</v>
      </c>
      <c r="J218" s="85" t="n">
        <f aca="false">IFERROR(IF(ISNUMBER(INDEX(원자료_잔고!$A$1:$EZ$1500,설정!$L$5+ROW()-1,설정!$L$16)),INDEX(원자료_잔고!$A$1:$EZ$1500,설정!$L$5+ROW()-1,설정!$L$16),""),"")</f>
        <v>5.375</v>
      </c>
      <c r="K218" s="87" t="n">
        <f aca="false">IFERROR(IF(ISNUMBER(INDEX(원자료_잔고!$A$1:$EZ$1500,설정!$L$5+ROW()-1,설정!$L$17)),INDEX(원자료_잔고!$A$1:$EZ$1500,설정!$L$5+ROW()-1,설정!$L$17),""),"")</f>
        <v>1</v>
      </c>
      <c r="L218" s="84" t="n">
        <f aca="false">IFERROR(IF(ISNUMBER(INDEX(원자료_잔고!$A$1:$EZ$1500,설정!$L$5+ROW()-1,설정!$L$18)),INDEX(원자료_잔고!$A$1:$EZ$1500,설정!$L$5+ROW()-1,설정!$L$18),""),"")</f>
        <v>2973813</v>
      </c>
      <c r="M218" s="88" t="n">
        <f aca="false">IFERROR(IF(ISNUMBER(INDEX(원자료_잔고!$A$1:$EZ$1500,설정!$L$5+ROW()-1,설정!$L$19)),INDEX(원자료_잔고!$A$1:$EZ$1500,설정!$L$5+ROW()-1,설정!$L$19),""),"")</f>
        <v>-108009</v>
      </c>
      <c r="N218" s="83" t="str">
        <f aca="false">IFERROR(IF(INDEX(원자료_잔고!$A$1:$EZ$1500,설정!$L$5+ROW()-1,설정!$L$21)&amp;""="0","",INDEX(원자료_잔고!$A$1:$EZ$1500,설정!$L$5+ROW()-1,설정!$L$21)&amp;""),"")</f>
        <v>BBB</v>
      </c>
      <c r="O218" s="83" t="str">
        <f aca="false">IFERROR(IF(INDEX(원자료_잔고!$A$1:$EZ$1500,설정!$L$5+ROW()-1,설정!$L$22)&amp;""="0","",INDEX(원자료_잔고!$A$1:$EZ$1500,설정!$L$5+ROW()-1,설정!$L$22)&amp;""),"")</f>
        <v/>
      </c>
      <c r="P218" s="83" t="str">
        <f aca="false">IFERROR(IF(INDEX(원자료_잔고!$A$1:$EZ$1500,설정!$L$5+ROW()-1,설정!$L$23)&amp;""="0","",INDEX(원자료_잔고!$A$1:$EZ$1500,설정!$L$5+ROW()-1,설정!$L$23)&amp;""),"")</f>
        <v>N/A</v>
      </c>
      <c r="Q218" s="89" t="n">
        <f aca="false">IF(AND($A218&lt;&gt;"",ISNUMBER(E218)),IF(E218&gt;0,1,0),0)</f>
        <v>1</v>
      </c>
      <c r="R218" s="43" t="str">
        <f aca="false">IF(Q218=1,UPPER(LEFT($A218,FIND(" ",$A218&amp;" ")-1)),"")</f>
        <v>LGENSO</v>
      </c>
      <c r="S218" s="89" t="n">
        <f aca="false">IF(Q218=1,IF(OR(ISNUMBER(SEARCH("Float",$A218)),ISNUMBER(SEARCH("FRN",$A218))),1,0),0)</f>
        <v>0</v>
      </c>
      <c r="T218" s="43" t="str">
        <f aca="false">IF(AND(Q218=1,ISNUMBER(I218)),TEXT(I218,"yyyymmdd")&amp;"|"&amp;IF(S218=1,"F",TEXT(J218,"0.000")),"")</f>
        <v>20290702|5.375</v>
      </c>
      <c r="U218" s="90" t="n">
        <f aca="false">IF(AND(Q218=1,ISNUMBER(I218)),(I218-설정!$C$4)/365.25,"")</f>
        <v>2.75154004106776</v>
      </c>
      <c r="V218" s="43" t="str">
        <f aca="false">IF(Q218&lt;&gt;1,"",IF(ISNUMBER(U218),IF(U218&lt;=1,"1년 이하",IF(U218&lt;=2,"1-2년",IF(U218&lt;=3,"2-3년",IF(U218&lt;=4,"3-4년",IF(U218&lt;=5,"4-5년",IF(U218&lt;=7,"5-7년",IF(U218&lt;=10,"7-10년",IF(U218&lt;=20,"10-20년","20년 이상")))))))),"미분류"))</f>
        <v>2-3년</v>
      </c>
      <c r="W218" s="43" t="str">
        <f aca="false">IF(Q218&lt;&gt;1,"",IF(AB218&lt;&gt;"",INDEX(시장분석!$C:$C,AB218),IF(K218=1,"USD","비USD")))</f>
        <v>USD</v>
      </c>
      <c r="X218" s="91" t="n">
        <f aca="false">IF(Q218=1,E218*K218/1000000,0)</f>
        <v>3</v>
      </c>
      <c r="Y218" s="89" t="n">
        <f aca="false">IF(R218="T",1,0)</f>
        <v>0</v>
      </c>
      <c r="Z218" s="92" t="n">
        <f aca="false">IF(Q218&lt;&gt;1,"",IF(AD218=1,IF(ISNUMBER(U218),MAX(U218,0),H218),H218))</f>
        <v>2.4377</v>
      </c>
      <c r="AA218" s="91" t="n">
        <f aca="false">IF(Q218=1,IF(ISNUMBER(L218),L218,0)*K218/1000000,0)</f>
        <v>2.973813</v>
      </c>
      <c r="AB218" s="89" t="n">
        <f aca="false">IF(Q218&lt;&gt;1,"",IFERROR(MATCH(VLOOKUP(B218,매핑!$H$4:$I$15,2,0),시장분석!$A$2:$A$601,0)+1,IFERROR(MATCH(R218&amp;"|"&amp;T218,시장분석!$V$2:$V$601,0)+1,IF(COUNTIF(시장분석!$U$2:$U$601,T218)=1,MATCH(T218,시장분석!$U$2:$U$601,0)+1,""))))</f>
        <v>179</v>
      </c>
      <c r="AC218" s="89" t="n">
        <f aca="false">IF(Q218&lt;&gt;1,0,IF(OR(설정!$C$5="전체",AND(설정!$C$5="선택펀드",IFERROR(COUNTIFS(설정!$F$16:$F$36,C218,설정!$G$16:$G$36,"Y")+COUNTIFS(설정!$F$16:$F$36,VALUE(C218),설정!$G$16:$G$36,"Y"),0)&gt;0),C218&amp;""=설정!$C$5&amp;""),1,0))</f>
        <v>1</v>
      </c>
      <c r="AD218" s="89" t="n">
        <f aca="false">IF(Q218&lt;&gt;1,0,IF(OR(S218=1,IF(AB218="",FALSE(),INDEX(시장분석!$R:$R,AB218)=1)),1,0))</f>
        <v>0</v>
      </c>
      <c r="AE218" s="43" t="str">
        <f aca="false">IF(AB218="","",INDEX(시장분석!$A:$A,AB218))</f>
        <v>LGENSO 5 3/8 07/02/29</v>
      </c>
      <c r="AF218" s="93" t="n">
        <f aca="false">IF(AB218="","",IF(ISNUMBER(IF(AB218="","",INDEX(시장분석!$E:$E,AB218))),IF(AB218="","",INDEX(시장분석!$E:$E,AB218)),""))</f>
        <v>73.376</v>
      </c>
      <c r="AG218" s="43" t="str">
        <f aca="false">IF(Q218&lt;&gt;1,"",IF(AB218&lt;&gt;"",IF(AB218="","",INDEX(시장분석!$L:$L,AB218)),IFERROR(IF(VLOOKUP(R218,매핑!$A$4:$E$92,5,0)="","미분류",VLOOKUP(R218,매핑!$A$4:$E$92,5,0)),"미분류")))</f>
        <v>자유 소비재</v>
      </c>
      <c r="AH218" s="43" t="str">
        <f aca="false">IF(Q218&lt;&gt;1,"",IF(AB218&lt;&gt;"",IF(AB218="","",INDEX(시장분석!$N:$N,AB218)),IFERROR(IF(VLOOKUP(R218,매핑!$A$4:$E$92,4,0)="","미분류",VLOOKUP(R218,매핑!$A$4:$E$92,4,0)),"미분류")))</f>
        <v>아시아/기타</v>
      </c>
      <c r="AI218" s="43" t="str">
        <f aca="false">IF(Q218&lt;&gt;1,"",IFERROR(IF(VLOOKUP(R218,매핑!$A$4:$E$92,3,0)="","미분류",VLOOKUP(R218,매핑!$A$4:$E$92,3,0)),IF(AB218&lt;&gt;"",IF(AB218="","",INDEX(시장분석!$W:$W,AB218)),"미분류")))</f>
        <v>한국</v>
      </c>
      <c r="AJ218" s="43" t="str">
        <f aca="false">IF(Q218&lt;&gt;1,"",IFERROR(VLOOKUP(IF(N218&lt;&gt;"",N218,IF(P218&lt;&gt;"",P218,O218)),설정!$A$15:$D$47,2,0),""))</f>
        <v>BBB</v>
      </c>
      <c r="AK218" s="43" t="str">
        <f aca="false">IF(Q218&lt;&gt;1,"",IF(AJ218="","무등급",IFERROR(VLOOKUP(AJ218,설정!$A$15:$D$47,3,0),"무등급")))</f>
        <v>BBB</v>
      </c>
      <c r="AL218" s="89" t="n">
        <f aca="false">IF(AJ218="",99,IFERROR(VLOOKUP(AJ218,설정!$A$15:$D$47,4,0),99))</f>
        <v>9</v>
      </c>
      <c r="AM218" s="94" t="n">
        <f aca="false">IF(ISNUMBER(H218),AA218*1000000*H218/10000,0)</f>
        <v>724.92639501</v>
      </c>
      <c r="AN218" s="94" t="n">
        <f aca="false">IF(OR(Y218=1,NOT(ISNUMBER(Z218))),0,AA218*1000000*Z218/10000)</f>
        <v>724.92639501</v>
      </c>
      <c r="AO218" s="94" t="n">
        <f aca="false">IF(ISNUMBER(G218),AA218*1000000*G218/100,0)</f>
        <v>170000.993958</v>
      </c>
      <c r="AP218" s="94" t="n">
        <f aca="false">IF(ISNUMBER(M218),M218*K218,0)</f>
        <v>-108009</v>
      </c>
      <c r="AQ218" s="95" t="n">
        <f aca="false">IF(AB218="","",INDEX(시장분석!$AK:$AK,AB218))</f>
        <v>0.0343903053062221</v>
      </c>
      <c r="AR218" s="43" t="str">
        <f aca="false">IF(AB218="","-",IF(AB218="","",INDEX(시장분석!$AL:$AL,AB218)))</f>
        <v>Fair</v>
      </c>
      <c r="AS218" s="96" t="n">
        <f aca="false">IF(AB218="","",INDEX(시장분석!$AJ:$AJ,AB218))</f>
        <v>0.712393143760181</v>
      </c>
      <c r="AT218" s="93" t="n">
        <f aca="false">IF(AB218="",0,IF(AB218="","",INDEX(시장분석!$AN:$AN,AB218)))</f>
        <v>19.8721156888579</v>
      </c>
      <c r="AU218" s="94" t="n">
        <f aca="false">IF(ISNUMBER(Z218),AT218/10000*MAX(Z218-1,0)*AA218*1000000,0)</f>
        <v>8496.22559024244</v>
      </c>
      <c r="AV218" s="94" t="n">
        <f aca="false">AO218+AU218</f>
        <v>178497.219548242</v>
      </c>
      <c r="AW218" s="43" t="str">
        <f aca="false">IF(Q218&lt;&gt;1,"",TRIM(IF(AD218=1,"FRN ","")&amp;IF(AND(AL218&gt;=10,AL218&lt;99),"BBB0미만 ","")&amp;IF(AJ218="","등급없음 ","")&amp;IF(K218&lt;&gt;1,"비USD ","")&amp;IF(AND(AB218="",Y218=0),"시장데이터없음 ","")&amp;IF(AND(ISNUMBER(U218),U218&lt;0),"만기경과 ","")))</f>
        <v/>
      </c>
      <c r="AX218" s="90" t="n">
        <f aca="false">IF(Q218&lt;&gt;1,1,IF(스프레드쇼크!$C$4="Y",INDEX(스프레드쇼크!$B$12:$L$16,IFERROR(MATCH(AH218,스프레드쇼크!$A$12:$A$16,0),MATCH("목록외",스프레드쇼크!$A$12:$A$16,0)),IFERROR(MATCH(AG218,스프레드쇼크!$B$11:$L$11,0),MATCH("목록외",스프레드쇼크!$B$11:$L$11,0))),1))</f>
        <v>1</v>
      </c>
      <c r="AY218" s="90" t="n">
        <f aca="false">IF(스프레드쇼크!$C$5="Y",IF(ISNUMBER(AF218),MIN(스프레드쇼크!$C$7,MAX(스프레드쇼크!$C$6,AF218/스프레드쇼크!$C$8)),1),1)</f>
        <v>1.10984047624524</v>
      </c>
      <c r="AZ218" s="94" t="n">
        <f aca="false">AN218*AX218*AY218</f>
        <v>804.552655480641</v>
      </c>
      <c r="BA218" s="90" t="n">
        <f aca="false">IF(ISNUMBER(G218),AA218*G218,0)</f>
        <v>17.0000993958</v>
      </c>
      <c r="BB218" s="90" t="n">
        <f aca="false">IF(ISNUMBER(G218),AA218,0)</f>
        <v>2.973813</v>
      </c>
      <c r="BC218" s="90" t="n">
        <f aca="false">IF(AND(Y218=0,ISNUMBER(AF218)),AA218*AF218,0)</f>
        <v>218.206502688</v>
      </c>
      <c r="BD218" s="90" t="n">
        <f aca="false">IF(AND(Y218=0,ISNUMBER(AF218)),AA218,0)</f>
        <v>2.973813</v>
      </c>
      <c r="BE218" s="90" t="n">
        <f aca="false">IF(ISNUMBER(H218),AA218*H218,0)</f>
        <v>7.2492639501</v>
      </c>
      <c r="BF218" s="90" t="n">
        <f aca="false">IF(ISNUMBER(H218),AA218,0)</f>
        <v>2.973813</v>
      </c>
      <c r="BG218" s="90" t="n">
        <f aca="false">IF(AND(Y218=0,ISNUMBER(AF218),ISNUMBER(Z218)),AA218*Z218,0)</f>
        <v>7.2492639501</v>
      </c>
      <c r="BH218" s="90" t="n">
        <f aca="false">IF(AND(Y218=0,ISNUMBER(AF218),ISNUMBER(Z218)),AA218*AT218*MAX(Z218-1,0),0)</f>
        <v>84.9622559024245</v>
      </c>
      <c r="BI218" s="90" t="n">
        <f aca="false">IF(Y218=0,AA218,0)</f>
        <v>2.973813</v>
      </c>
    </row>
    <row r="219" customFormat="false" ht="15" hidden="false" customHeight="false" outlineLevel="0" collapsed="false">
      <c r="A219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19" s="83" t="str">
        <f aca="false">IFERROR(IF(INDEX(원자료_잔고!$A$1:$EZ$1500,설정!$L$5+ROW()-1,설정!$L$7)&amp;""="0","",INDEX(원자료_잔고!$A$1:$EZ$1500,설정!$L$5+ROW()-1,설정!$L$7)&amp;""),"")</f>
        <v>USY5S5CGAL65</v>
      </c>
      <c r="C219" s="83" t="str">
        <f aca="false">IFERROR(IF(INDEX(원자료_잔고!$A$1:$EZ$1500,설정!$L$5+ROW()-1,설정!$L$9)&amp;""="0","",INDEX(원자료_잔고!$A$1:$EZ$1500,설정!$L$5+ROW()-1,설정!$L$9)&amp;""),"")</f>
        <v>34578</v>
      </c>
      <c r="D21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19" s="84" t="n">
        <f aca="false">IFERROR(IF(ISNUMBER(INDEX(원자료_잔고!$A$1:$EZ$1500,설정!$L$5+ROW()-1,설정!$L$11)),INDEX(원자료_잔고!$A$1:$EZ$1500,설정!$L$5+ROW()-1,설정!$L$11),""),"")</f>
        <v>2000000</v>
      </c>
      <c r="F219" s="85" t="n">
        <f aca="false">IFERROR(IF(ISNUMBER(INDEX(원자료_잔고!$A$1:$EZ$1500,설정!$L$5+ROW()-1,설정!$L$12)),INDEX(원자료_잔고!$A$1:$EZ$1500,설정!$L$5+ROW()-1,설정!$L$12),""),"")</f>
        <v>99.1271</v>
      </c>
      <c r="G219" s="85" t="n">
        <f aca="false">IFERROR(IF(ISNUMBER(INDEX(원자료_잔고!$A$1:$EZ$1500,설정!$L$5+ROW()-1,설정!$L$13)),INDEX(원자료_잔고!$A$1:$EZ$1500,설정!$L$5+ROW()-1,설정!$L$13),""),"")</f>
        <v>5.7166</v>
      </c>
      <c r="H219" s="85" t="n">
        <f aca="false">IFERROR(IF(ISNUMBER(INDEX(원자료_잔고!$A$1:$EZ$1500,설정!$L$5+ROW()-1,설정!$L$14)),INDEX(원자료_잔고!$A$1:$EZ$1500,설정!$L$5+ROW()-1,설정!$L$14),""),"")</f>
        <v>2.4377</v>
      </c>
      <c r="I219" s="86" t="n">
        <f aca="false">IFERROR(IF(ISNUMBER(INDEX(원자료_잔고!$A$1:$EZ$1500,설정!$L$5+ROW()-1,설정!$L$15)),INDEX(원자료_잔고!$A$1:$EZ$1500,설정!$L$5+ROW()-1,설정!$L$15),""),"")</f>
        <v>47301</v>
      </c>
      <c r="J219" s="85" t="n">
        <f aca="false">IFERROR(IF(ISNUMBER(INDEX(원자료_잔고!$A$1:$EZ$1500,설정!$L$5+ROW()-1,설정!$L$16)),INDEX(원자료_잔고!$A$1:$EZ$1500,설정!$L$5+ROW()-1,설정!$L$16),""),"")</f>
        <v>5.375</v>
      </c>
      <c r="K219" s="87" t="n">
        <f aca="false">IFERROR(IF(ISNUMBER(INDEX(원자료_잔고!$A$1:$EZ$1500,설정!$L$5+ROW()-1,설정!$L$17)),INDEX(원자료_잔고!$A$1:$EZ$1500,설정!$L$5+ROW()-1,설정!$L$17),""),"")</f>
        <v>1</v>
      </c>
      <c r="L219" s="84" t="n">
        <f aca="false">IFERROR(IF(ISNUMBER(INDEX(원자료_잔고!$A$1:$EZ$1500,설정!$L$5+ROW()-1,설정!$L$18)),INDEX(원자료_잔고!$A$1:$EZ$1500,설정!$L$5+ROW()-1,설정!$L$18),""),"")</f>
        <v>1982542</v>
      </c>
      <c r="M219" s="88" t="n">
        <f aca="false">IFERROR(IF(ISNUMBER(INDEX(원자료_잔고!$A$1:$EZ$1500,설정!$L$5+ROW()-1,설정!$L$19)),INDEX(원자료_잔고!$A$1:$EZ$1500,설정!$L$5+ROW()-1,설정!$L$19),""),"")</f>
        <v>-72006</v>
      </c>
      <c r="N219" s="83" t="str">
        <f aca="false">IFERROR(IF(INDEX(원자료_잔고!$A$1:$EZ$1500,설정!$L$5+ROW()-1,설정!$L$21)&amp;""="0","",INDEX(원자료_잔고!$A$1:$EZ$1500,설정!$L$5+ROW()-1,설정!$L$21)&amp;""),"")</f>
        <v>BBB</v>
      </c>
      <c r="O219" s="83" t="str">
        <f aca="false">IFERROR(IF(INDEX(원자료_잔고!$A$1:$EZ$1500,설정!$L$5+ROW()-1,설정!$L$22)&amp;""="0","",INDEX(원자료_잔고!$A$1:$EZ$1500,설정!$L$5+ROW()-1,설정!$L$22)&amp;""),"")</f>
        <v/>
      </c>
      <c r="P219" s="83" t="str">
        <f aca="false">IFERROR(IF(INDEX(원자료_잔고!$A$1:$EZ$1500,설정!$L$5+ROW()-1,설정!$L$23)&amp;""="0","",INDEX(원자료_잔고!$A$1:$EZ$1500,설정!$L$5+ROW()-1,설정!$L$23)&amp;""),"")</f>
        <v>N/A</v>
      </c>
      <c r="Q219" s="89" t="n">
        <f aca="false">IF(AND($A219&lt;&gt;"",ISNUMBER(E219)),IF(E219&gt;0,1,0),0)</f>
        <v>1</v>
      </c>
      <c r="R219" s="43" t="str">
        <f aca="false">IF(Q219=1,UPPER(LEFT($A219,FIND(" ",$A219&amp;" ")-1)),"")</f>
        <v>LGENSO</v>
      </c>
      <c r="S219" s="89" t="n">
        <f aca="false">IF(Q219=1,IF(OR(ISNUMBER(SEARCH("Float",$A219)),ISNUMBER(SEARCH("FRN",$A219))),1,0),0)</f>
        <v>0</v>
      </c>
      <c r="T219" s="43" t="str">
        <f aca="false">IF(AND(Q219=1,ISNUMBER(I219)),TEXT(I219,"yyyymmdd")&amp;"|"&amp;IF(S219=1,"F",TEXT(J219,"0.000")),"")</f>
        <v>20290702|5.375</v>
      </c>
      <c r="U219" s="90" t="n">
        <f aca="false">IF(AND(Q219=1,ISNUMBER(I219)),(I219-설정!$C$4)/365.25,"")</f>
        <v>2.75154004106776</v>
      </c>
      <c r="V219" s="43" t="str">
        <f aca="false">IF(Q219&lt;&gt;1,"",IF(ISNUMBER(U219),IF(U219&lt;=1,"1년 이하",IF(U219&lt;=2,"1-2년",IF(U219&lt;=3,"2-3년",IF(U219&lt;=4,"3-4년",IF(U219&lt;=5,"4-5년",IF(U219&lt;=7,"5-7년",IF(U219&lt;=10,"7-10년",IF(U219&lt;=20,"10-20년","20년 이상")))))))),"미분류"))</f>
        <v>2-3년</v>
      </c>
      <c r="W219" s="43" t="str">
        <f aca="false">IF(Q219&lt;&gt;1,"",IF(AB219&lt;&gt;"",INDEX(시장분석!$C:$C,AB219),IF(K219=1,"USD","비USD")))</f>
        <v>USD</v>
      </c>
      <c r="X219" s="91" t="n">
        <f aca="false">IF(Q219=1,E219*K219/1000000,0)</f>
        <v>2</v>
      </c>
      <c r="Y219" s="89" t="n">
        <f aca="false">IF(R219="T",1,0)</f>
        <v>0</v>
      </c>
      <c r="Z219" s="92" t="n">
        <f aca="false">IF(Q219&lt;&gt;1,"",IF(AD219=1,IF(ISNUMBER(U219),MAX(U219,0),H219),H219))</f>
        <v>2.4377</v>
      </c>
      <c r="AA219" s="91" t="n">
        <f aca="false">IF(Q219=1,IF(ISNUMBER(L219),L219,0)*K219/1000000,0)</f>
        <v>1.982542</v>
      </c>
      <c r="AB219" s="89" t="n">
        <f aca="false">IF(Q219&lt;&gt;1,"",IFERROR(MATCH(VLOOKUP(B219,매핑!$H$4:$I$15,2,0),시장분석!$A$2:$A$601,0)+1,IFERROR(MATCH(R219&amp;"|"&amp;T219,시장분석!$V$2:$V$601,0)+1,IF(COUNTIF(시장분석!$U$2:$U$601,T219)=1,MATCH(T219,시장분석!$U$2:$U$601,0)+1,""))))</f>
        <v>179</v>
      </c>
      <c r="AC219" s="89" t="n">
        <f aca="false">IF(Q219&lt;&gt;1,0,IF(OR(설정!$C$5="전체",AND(설정!$C$5="선택펀드",IFERROR(COUNTIFS(설정!$F$16:$F$36,C219,설정!$G$16:$G$36,"Y")+COUNTIFS(설정!$F$16:$F$36,VALUE(C219),설정!$G$16:$G$36,"Y"),0)&gt;0),C219&amp;""=설정!$C$5&amp;""),1,0))</f>
        <v>1</v>
      </c>
      <c r="AD219" s="89" t="n">
        <f aca="false">IF(Q219&lt;&gt;1,0,IF(OR(S219=1,IF(AB219="",FALSE(),INDEX(시장분석!$R:$R,AB219)=1)),1,0))</f>
        <v>0</v>
      </c>
      <c r="AE219" s="43" t="str">
        <f aca="false">IF(AB219="","",INDEX(시장분석!$A:$A,AB219))</f>
        <v>LGENSO 5 3/8 07/02/29</v>
      </c>
      <c r="AF219" s="93" t="n">
        <f aca="false">IF(AB219="","",IF(ISNUMBER(IF(AB219="","",INDEX(시장분석!$E:$E,AB219))),IF(AB219="","",INDEX(시장분석!$E:$E,AB219)),""))</f>
        <v>73.376</v>
      </c>
      <c r="AG219" s="43" t="str">
        <f aca="false">IF(Q219&lt;&gt;1,"",IF(AB219&lt;&gt;"",IF(AB219="","",INDEX(시장분석!$L:$L,AB219)),IFERROR(IF(VLOOKUP(R219,매핑!$A$4:$E$92,5,0)="","미분류",VLOOKUP(R219,매핑!$A$4:$E$92,5,0)),"미분류")))</f>
        <v>자유 소비재</v>
      </c>
      <c r="AH219" s="43" t="str">
        <f aca="false">IF(Q219&lt;&gt;1,"",IF(AB219&lt;&gt;"",IF(AB219="","",INDEX(시장분석!$N:$N,AB219)),IFERROR(IF(VLOOKUP(R219,매핑!$A$4:$E$92,4,0)="","미분류",VLOOKUP(R219,매핑!$A$4:$E$92,4,0)),"미분류")))</f>
        <v>아시아/기타</v>
      </c>
      <c r="AI219" s="43" t="str">
        <f aca="false">IF(Q219&lt;&gt;1,"",IFERROR(IF(VLOOKUP(R219,매핑!$A$4:$E$92,3,0)="","미분류",VLOOKUP(R219,매핑!$A$4:$E$92,3,0)),IF(AB219&lt;&gt;"",IF(AB219="","",INDEX(시장분석!$W:$W,AB219)),"미분류")))</f>
        <v>한국</v>
      </c>
      <c r="AJ219" s="43" t="str">
        <f aca="false">IF(Q219&lt;&gt;1,"",IFERROR(VLOOKUP(IF(N219&lt;&gt;"",N219,IF(P219&lt;&gt;"",P219,O219)),설정!$A$15:$D$47,2,0),""))</f>
        <v>BBB</v>
      </c>
      <c r="AK219" s="43" t="str">
        <f aca="false">IF(Q219&lt;&gt;1,"",IF(AJ219="","무등급",IFERROR(VLOOKUP(AJ219,설정!$A$15:$D$47,3,0),"무등급")))</f>
        <v>BBB</v>
      </c>
      <c r="AL219" s="89" t="n">
        <f aca="false">IF(AJ219="",99,IFERROR(VLOOKUP(AJ219,설정!$A$15:$D$47,4,0),99))</f>
        <v>9</v>
      </c>
      <c r="AM219" s="94" t="n">
        <f aca="false">IF(ISNUMBER(H219),AA219*1000000*H219/10000,0)</f>
        <v>483.28426334</v>
      </c>
      <c r="AN219" s="94" t="n">
        <f aca="false">IF(OR(Y219=1,NOT(ISNUMBER(Z219))),0,AA219*1000000*Z219/10000)</f>
        <v>483.28426334</v>
      </c>
      <c r="AO219" s="94" t="n">
        <f aca="false">IF(ISNUMBER(G219),AA219*1000000*G219/100,0)</f>
        <v>113333.995972</v>
      </c>
      <c r="AP219" s="94" t="n">
        <f aca="false">IF(ISNUMBER(M219),M219*K219,0)</f>
        <v>-72006</v>
      </c>
      <c r="AQ219" s="95" t="n">
        <f aca="false">IF(AB219="","",INDEX(시장분석!$AK:$AK,AB219))</f>
        <v>0.0343903053062221</v>
      </c>
      <c r="AR219" s="43" t="str">
        <f aca="false">IF(AB219="","-",IF(AB219="","",INDEX(시장분석!$AL:$AL,AB219)))</f>
        <v>Fair</v>
      </c>
      <c r="AS219" s="96" t="n">
        <f aca="false">IF(AB219="","",INDEX(시장분석!$AJ:$AJ,AB219))</f>
        <v>0.712393143760181</v>
      </c>
      <c r="AT219" s="93" t="n">
        <f aca="false">IF(AB219="",0,IF(AB219="","",INDEX(시장분석!$AN:$AN,AB219)))</f>
        <v>19.8721156888579</v>
      </c>
      <c r="AU219" s="94" t="n">
        <f aca="false">IF(ISNUMBER(Z219),AT219/10000*MAX(Z219-1,0)*AA219*1000000,0)</f>
        <v>5664.15039349496</v>
      </c>
      <c r="AV219" s="94" t="n">
        <f aca="false">AO219+AU219</f>
        <v>118998.146365495</v>
      </c>
      <c r="AW219" s="43" t="str">
        <f aca="false">IF(Q219&lt;&gt;1,"",TRIM(IF(AD219=1,"FRN ","")&amp;IF(AND(AL219&gt;=10,AL219&lt;99),"BBB0미만 ","")&amp;IF(AJ219="","등급없음 ","")&amp;IF(K219&lt;&gt;1,"비USD ","")&amp;IF(AND(AB219="",Y219=0),"시장데이터없음 ","")&amp;IF(AND(ISNUMBER(U219),U219&lt;0),"만기경과 ","")))</f>
        <v/>
      </c>
      <c r="AX219" s="90" t="n">
        <f aca="false">IF(Q219&lt;&gt;1,1,IF(스프레드쇼크!$C$4="Y",INDEX(스프레드쇼크!$B$12:$L$16,IFERROR(MATCH(AH219,스프레드쇼크!$A$12:$A$16,0),MATCH("목록외",스프레드쇼크!$A$12:$A$16,0)),IFERROR(MATCH(AG219,스프레드쇼크!$B$11:$L$11,0),MATCH("목록외",스프레드쇼크!$B$11:$L$11,0))),1))</f>
        <v>1</v>
      </c>
      <c r="AY219" s="90" t="n">
        <f aca="false">IF(스프레드쇼크!$C$5="Y",IF(ISNUMBER(AF219),MIN(스프레드쇼크!$C$7,MAX(스프레드쇼크!$C$6,AF219/스프레드쇼크!$C$8)),1),1)</f>
        <v>1.10984047624524</v>
      </c>
      <c r="AZ219" s="94" t="n">
        <f aca="false">AN219*AX219*AY219</f>
        <v>536.368436987094</v>
      </c>
      <c r="BA219" s="90" t="n">
        <f aca="false">IF(ISNUMBER(G219),AA219*G219,0)</f>
        <v>11.3333995972</v>
      </c>
      <c r="BB219" s="90" t="n">
        <f aca="false">IF(ISNUMBER(G219),AA219,0)</f>
        <v>1.982542</v>
      </c>
      <c r="BC219" s="90" t="n">
        <f aca="false">IF(AND(Y219=0,ISNUMBER(AF219)),AA219*AF219,0)</f>
        <v>145.471001792</v>
      </c>
      <c r="BD219" s="90" t="n">
        <f aca="false">IF(AND(Y219=0,ISNUMBER(AF219)),AA219,0)</f>
        <v>1.982542</v>
      </c>
      <c r="BE219" s="90" t="n">
        <f aca="false">IF(ISNUMBER(H219),AA219*H219,0)</f>
        <v>4.8328426334</v>
      </c>
      <c r="BF219" s="90" t="n">
        <f aca="false">IF(ISNUMBER(H219),AA219,0)</f>
        <v>1.982542</v>
      </c>
      <c r="BG219" s="90" t="n">
        <f aca="false">IF(AND(Y219=0,ISNUMBER(AF219),ISNUMBER(Z219)),AA219*Z219,0)</f>
        <v>4.8328426334</v>
      </c>
      <c r="BH219" s="90" t="n">
        <f aca="false">IF(AND(Y219=0,ISNUMBER(AF219),ISNUMBER(Z219)),AA219*AT219*MAX(Z219-1,0),0)</f>
        <v>56.6415039349496</v>
      </c>
      <c r="BI219" s="90" t="n">
        <f aca="false">IF(Y219=0,AA219,0)</f>
        <v>1.982542</v>
      </c>
    </row>
    <row r="220" customFormat="false" ht="15" hidden="false" customHeight="false" outlineLevel="0" collapsed="false">
      <c r="A220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20" s="83" t="str">
        <f aca="false">IFERROR(IF(INDEX(원자료_잔고!$A$1:$EZ$1500,설정!$L$5+ROW()-1,설정!$L$7)&amp;""="0","",INDEX(원자료_잔고!$A$1:$EZ$1500,설정!$L$5+ROW()-1,설정!$L$7)&amp;""),"")</f>
        <v>USY5S5CGAL65</v>
      </c>
      <c r="C220" s="83" t="str">
        <f aca="false">IFERROR(IF(INDEX(원자료_잔고!$A$1:$EZ$1500,설정!$L$5+ROW()-1,설정!$L$9)&amp;""="0","",INDEX(원자료_잔고!$A$1:$EZ$1500,설정!$L$5+ROW()-1,설정!$L$9)&amp;""),"")</f>
        <v>34578</v>
      </c>
      <c r="D22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0" s="84" t="n">
        <f aca="false">IFERROR(IF(ISNUMBER(INDEX(원자료_잔고!$A$1:$EZ$1500,설정!$L$5+ROW()-1,설정!$L$11)),INDEX(원자료_잔고!$A$1:$EZ$1500,설정!$L$5+ROW()-1,설정!$L$11),""),"")</f>
        <v>1000000</v>
      </c>
      <c r="F220" s="85" t="n">
        <f aca="false">IFERROR(IF(ISNUMBER(INDEX(원자료_잔고!$A$1:$EZ$1500,설정!$L$5+ROW()-1,설정!$L$12)),INDEX(원자료_잔고!$A$1:$EZ$1500,설정!$L$5+ROW()-1,설정!$L$12),""),"")</f>
        <v>99.1271</v>
      </c>
      <c r="G220" s="85" t="n">
        <f aca="false">IFERROR(IF(ISNUMBER(INDEX(원자료_잔고!$A$1:$EZ$1500,설정!$L$5+ROW()-1,설정!$L$13)),INDEX(원자료_잔고!$A$1:$EZ$1500,설정!$L$5+ROW()-1,설정!$L$13),""),"")</f>
        <v>5.7166</v>
      </c>
      <c r="H220" s="85" t="n">
        <f aca="false">IFERROR(IF(ISNUMBER(INDEX(원자료_잔고!$A$1:$EZ$1500,설정!$L$5+ROW()-1,설정!$L$14)),INDEX(원자료_잔고!$A$1:$EZ$1500,설정!$L$5+ROW()-1,설정!$L$14),""),"")</f>
        <v>2.4377</v>
      </c>
      <c r="I220" s="86" t="n">
        <f aca="false">IFERROR(IF(ISNUMBER(INDEX(원자료_잔고!$A$1:$EZ$1500,설정!$L$5+ROW()-1,설정!$L$15)),INDEX(원자료_잔고!$A$1:$EZ$1500,설정!$L$5+ROW()-1,설정!$L$15),""),"")</f>
        <v>47301</v>
      </c>
      <c r="J220" s="85" t="n">
        <f aca="false">IFERROR(IF(ISNUMBER(INDEX(원자료_잔고!$A$1:$EZ$1500,설정!$L$5+ROW()-1,설정!$L$16)),INDEX(원자료_잔고!$A$1:$EZ$1500,설정!$L$5+ROW()-1,설정!$L$16),""),"")</f>
        <v>5.375</v>
      </c>
      <c r="K220" s="87" t="n">
        <f aca="false">IFERROR(IF(ISNUMBER(INDEX(원자료_잔고!$A$1:$EZ$1500,설정!$L$5+ROW()-1,설정!$L$17)),INDEX(원자료_잔고!$A$1:$EZ$1500,설정!$L$5+ROW()-1,설정!$L$17),""),"")</f>
        <v>1</v>
      </c>
      <c r="L220" s="84" t="n">
        <f aca="false">IFERROR(IF(ISNUMBER(INDEX(원자료_잔고!$A$1:$EZ$1500,설정!$L$5+ROW()-1,설정!$L$18)),INDEX(원자료_잔고!$A$1:$EZ$1500,설정!$L$5+ROW()-1,설정!$L$18),""),"")</f>
        <v>991271</v>
      </c>
      <c r="M220" s="88" t="n">
        <f aca="false">IFERROR(IF(ISNUMBER(INDEX(원자료_잔고!$A$1:$EZ$1500,설정!$L$5+ROW()-1,설정!$L$19)),INDEX(원자료_잔고!$A$1:$EZ$1500,설정!$L$5+ROW()-1,설정!$L$19),""),"")</f>
        <v>-36003</v>
      </c>
      <c r="N220" s="83" t="str">
        <f aca="false">IFERROR(IF(INDEX(원자료_잔고!$A$1:$EZ$1500,설정!$L$5+ROW()-1,설정!$L$21)&amp;""="0","",INDEX(원자료_잔고!$A$1:$EZ$1500,설정!$L$5+ROW()-1,설정!$L$21)&amp;""),"")</f>
        <v>BBB</v>
      </c>
      <c r="O220" s="83" t="str">
        <f aca="false">IFERROR(IF(INDEX(원자료_잔고!$A$1:$EZ$1500,설정!$L$5+ROW()-1,설정!$L$22)&amp;""="0","",INDEX(원자료_잔고!$A$1:$EZ$1500,설정!$L$5+ROW()-1,설정!$L$22)&amp;""),"")</f>
        <v/>
      </c>
      <c r="P220" s="83" t="str">
        <f aca="false">IFERROR(IF(INDEX(원자료_잔고!$A$1:$EZ$1500,설정!$L$5+ROW()-1,설정!$L$23)&amp;""="0","",INDEX(원자료_잔고!$A$1:$EZ$1500,설정!$L$5+ROW()-1,설정!$L$23)&amp;""),"")</f>
        <v>N/A</v>
      </c>
      <c r="Q220" s="89" t="n">
        <f aca="false">IF(AND($A220&lt;&gt;"",ISNUMBER(E220)),IF(E220&gt;0,1,0),0)</f>
        <v>1</v>
      </c>
      <c r="R220" s="43" t="str">
        <f aca="false">IF(Q220=1,UPPER(LEFT($A220,FIND(" ",$A220&amp;" ")-1)),"")</f>
        <v>LGENSO</v>
      </c>
      <c r="S220" s="89" t="n">
        <f aca="false">IF(Q220=1,IF(OR(ISNUMBER(SEARCH("Float",$A220)),ISNUMBER(SEARCH("FRN",$A220))),1,0),0)</f>
        <v>0</v>
      </c>
      <c r="T220" s="43" t="str">
        <f aca="false">IF(AND(Q220=1,ISNUMBER(I220)),TEXT(I220,"yyyymmdd")&amp;"|"&amp;IF(S220=1,"F",TEXT(J220,"0.000")),"")</f>
        <v>20290702|5.375</v>
      </c>
      <c r="U220" s="90" t="n">
        <f aca="false">IF(AND(Q220=1,ISNUMBER(I220)),(I220-설정!$C$4)/365.25,"")</f>
        <v>2.75154004106776</v>
      </c>
      <c r="V220" s="43" t="str">
        <f aca="false">IF(Q220&lt;&gt;1,"",IF(ISNUMBER(U220),IF(U220&lt;=1,"1년 이하",IF(U220&lt;=2,"1-2년",IF(U220&lt;=3,"2-3년",IF(U220&lt;=4,"3-4년",IF(U220&lt;=5,"4-5년",IF(U220&lt;=7,"5-7년",IF(U220&lt;=10,"7-10년",IF(U220&lt;=20,"10-20년","20년 이상")))))))),"미분류"))</f>
        <v>2-3년</v>
      </c>
      <c r="W220" s="43" t="str">
        <f aca="false">IF(Q220&lt;&gt;1,"",IF(AB220&lt;&gt;"",INDEX(시장분석!$C:$C,AB220),IF(K220=1,"USD","비USD")))</f>
        <v>USD</v>
      </c>
      <c r="X220" s="91" t="n">
        <f aca="false">IF(Q220=1,E220*K220/1000000,0)</f>
        <v>1</v>
      </c>
      <c r="Y220" s="89" t="n">
        <f aca="false">IF(R220="T",1,0)</f>
        <v>0</v>
      </c>
      <c r="Z220" s="92" t="n">
        <f aca="false">IF(Q220&lt;&gt;1,"",IF(AD220=1,IF(ISNUMBER(U220),MAX(U220,0),H220),H220))</f>
        <v>2.4377</v>
      </c>
      <c r="AA220" s="91" t="n">
        <f aca="false">IF(Q220=1,IF(ISNUMBER(L220),L220,0)*K220/1000000,0)</f>
        <v>0.991271</v>
      </c>
      <c r="AB220" s="89" t="n">
        <f aca="false">IF(Q220&lt;&gt;1,"",IFERROR(MATCH(VLOOKUP(B220,매핑!$H$4:$I$15,2,0),시장분석!$A$2:$A$601,0)+1,IFERROR(MATCH(R220&amp;"|"&amp;T220,시장분석!$V$2:$V$601,0)+1,IF(COUNTIF(시장분석!$U$2:$U$601,T220)=1,MATCH(T220,시장분석!$U$2:$U$601,0)+1,""))))</f>
        <v>179</v>
      </c>
      <c r="AC220" s="89" t="n">
        <f aca="false">IF(Q220&lt;&gt;1,0,IF(OR(설정!$C$5="전체",AND(설정!$C$5="선택펀드",IFERROR(COUNTIFS(설정!$F$16:$F$36,C220,설정!$G$16:$G$36,"Y")+COUNTIFS(설정!$F$16:$F$36,VALUE(C220),설정!$G$16:$G$36,"Y"),0)&gt;0),C220&amp;""=설정!$C$5&amp;""),1,0))</f>
        <v>1</v>
      </c>
      <c r="AD220" s="89" t="n">
        <f aca="false">IF(Q220&lt;&gt;1,0,IF(OR(S220=1,IF(AB220="",FALSE(),INDEX(시장분석!$R:$R,AB220)=1)),1,0))</f>
        <v>0</v>
      </c>
      <c r="AE220" s="43" t="str">
        <f aca="false">IF(AB220="","",INDEX(시장분석!$A:$A,AB220))</f>
        <v>LGENSO 5 3/8 07/02/29</v>
      </c>
      <c r="AF220" s="93" t="n">
        <f aca="false">IF(AB220="","",IF(ISNUMBER(IF(AB220="","",INDEX(시장분석!$E:$E,AB220))),IF(AB220="","",INDEX(시장분석!$E:$E,AB220)),""))</f>
        <v>73.376</v>
      </c>
      <c r="AG220" s="43" t="str">
        <f aca="false">IF(Q220&lt;&gt;1,"",IF(AB220&lt;&gt;"",IF(AB220="","",INDEX(시장분석!$L:$L,AB220)),IFERROR(IF(VLOOKUP(R220,매핑!$A$4:$E$92,5,0)="","미분류",VLOOKUP(R220,매핑!$A$4:$E$92,5,0)),"미분류")))</f>
        <v>자유 소비재</v>
      </c>
      <c r="AH220" s="43" t="str">
        <f aca="false">IF(Q220&lt;&gt;1,"",IF(AB220&lt;&gt;"",IF(AB220="","",INDEX(시장분석!$N:$N,AB220)),IFERROR(IF(VLOOKUP(R220,매핑!$A$4:$E$92,4,0)="","미분류",VLOOKUP(R220,매핑!$A$4:$E$92,4,0)),"미분류")))</f>
        <v>아시아/기타</v>
      </c>
      <c r="AI220" s="43" t="str">
        <f aca="false">IF(Q220&lt;&gt;1,"",IFERROR(IF(VLOOKUP(R220,매핑!$A$4:$E$92,3,0)="","미분류",VLOOKUP(R220,매핑!$A$4:$E$92,3,0)),IF(AB220&lt;&gt;"",IF(AB220="","",INDEX(시장분석!$W:$W,AB220)),"미분류")))</f>
        <v>한국</v>
      </c>
      <c r="AJ220" s="43" t="str">
        <f aca="false">IF(Q220&lt;&gt;1,"",IFERROR(VLOOKUP(IF(N220&lt;&gt;"",N220,IF(P220&lt;&gt;"",P220,O220)),설정!$A$15:$D$47,2,0),""))</f>
        <v>BBB</v>
      </c>
      <c r="AK220" s="43" t="str">
        <f aca="false">IF(Q220&lt;&gt;1,"",IF(AJ220="","무등급",IFERROR(VLOOKUP(AJ220,설정!$A$15:$D$47,3,0),"무등급")))</f>
        <v>BBB</v>
      </c>
      <c r="AL220" s="89" t="n">
        <f aca="false">IF(AJ220="",99,IFERROR(VLOOKUP(AJ220,설정!$A$15:$D$47,4,0),99))</f>
        <v>9</v>
      </c>
      <c r="AM220" s="94" t="n">
        <f aca="false">IF(ISNUMBER(H220),AA220*1000000*H220/10000,0)</f>
        <v>241.64213167</v>
      </c>
      <c r="AN220" s="94" t="n">
        <f aca="false">IF(OR(Y220=1,NOT(ISNUMBER(Z220))),0,AA220*1000000*Z220/10000)</f>
        <v>241.64213167</v>
      </c>
      <c r="AO220" s="94" t="n">
        <f aca="false">IF(ISNUMBER(G220),AA220*1000000*G220/100,0)</f>
        <v>56666.997986</v>
      </c>
      <c r="AP220" s="94" t="n">
        <f aca="false">IF(ISNUMBER(M220),M220*K220,0)</f>
        <v>-36003</v>
      </c>
      <c r="AQ220" s="95" t="n">
        <f aca="false">IF(AB220="","",INDEX(시장분석!$AK:$AK,AB220))</f>
        <v>0.0343903053062221</v>
      </c>
      <c r="AR220" s="43" t="str">
        <f aca="false">IF(AB220="","-",IF(AB220="","",INDEX(시장분석!$AL:$AL,AB220)))</f>
        <v>Fair</v>
      </c>
      <c r="AS220" s="96" t="n">
        <f aca="false">IF(AB220="","",INDEX(시장분석!$AJ:$AJ,AB220))</f>
        <v>0.712393143760181</v>
      </c>
      <c r="AT220" s="93" t="n">
        <f aca="false">IF(AB220="",0,IF(AB220="","",INDEX(시장분석!$AN:$AN,AB220)))</f>
        <v>19.8721156888579</v>
      </c>
      <c r="AU220" s="94" t="n">
        <f aca="false">IF(ISNUMBER(Z220),AT220/10000*MAX(Z220-1,0)*AA220*1000000,0)</f>
        <v>2832.07519674748</v>
      </c>
      <c r="AV220" s="94" t="n">
        <f aca="false">AO220+AU220</f>
        <v>59499.0731827475</v>
      </c>
      <c r="AW220" s="43" t="str">
        <f aca="false">IF(Q220&lt;&gt;1,"",TRIM(IF(AD220=1,"FRN ","")&amp;IF(AND(AL220&gt;=10,AL220&lt;99),"BBB0미만 ","")&amp;IF(AJ220="","등급없음 ","")&amp;IF(K220&lt;&gt;1,"비USD ","")&amp;IF(AND(AB220="",Y220=0),"시장데이터없음 ","")&amp;IF(AND(ISNUMBER(U220),U220&lt;0),"만기경과 ","")))</f>
        <v/>
      </c>
      <c r="AX220" s="90" t="n">
        <f aca="false">IF(Q220&lt;&gt;1,1,IF(스프레드쇼크!$C$4="Y",INDEX(스프레드쇼크!$B$12:$L$16,IFERROR(MATCH(AH220,스프레드쇼크!$A$12:$A$16,0),MATCH("목록외",스프레드쇼크!$A$12:$A$16,0)),IFERROR(MATCH(AG220,스프레드쇼크!$B$11:$L$11,0),MATCH("목록외",스프레드쇼크!$B$11:$L$11,0))),1))</f>
        <v>1</v>
      </c>
      <c r="AY220" s="90" t="n">
        <f aca="false">IF(스프레드쇼크!$C$5="Y",IF(ISNUMBER(AF220),MIN(스프레드쇼크!$C$7,MAX(스프레드쇼크!$C$6,AF220/스프레드쇼크!$C$8)),1),1)</f>
        <v>1.10984047624524</v>
      </c>
      <c r="AZ220" s="94" t="n">
        <f aca="false">AN220*AX220*AY220</f>
        <v>268.184218493547</v>
      </c>
      <c r="BA220" s="90" t="n">
        <f aca="false">IF(ISNUMBER(G220),AA220*G220,0)</f>
        <v>5.6666997986</v>
      </c>
      <c r="BB220" s="90" t="n">
        <f aca="false">IF(ISNUMBER(G220),AA220,0)</f>
        <v>0.991271</v>
      </c>
      <c r="BC220" s="90" t="n">
        <f aca="false">IF(AND(Y220=0,ISNUMBER(AF220)),AA220*AF220,0)</f>
        <v>72.735500896</v>
      </c>
      <c r="BD220" s="90" t="n">
        <f aca="false">IF(AND(Y220=0,ISNUMBER(AF220)),AA220,0)</f>
        <v>0.991271</v>
      </c>
      <c r="BE220" s="90" t="n">
        <f aca="false">IF(ISNUMBER(H220),AA220*H220,0)</f>
        <v>2.4164213167</v>
      </c>
      <c r="BF220" s="90" t="n">
        <f aca="false">IF(ISNUMBER(H220),AA220,0)</f>
        <v>0.991271</v>
      </c>
      <c r="BG220" s="90" t="n">
        <f aca="false">IF(AND(Y220=0,ISNUMBER(AF220),ISNUMBER(Z220)),AA220*Z220,0)</f>
        <v>2.4164213167</v>
      </c>
      <c r="BH220" s="90" t="n">
        <f aca="false">IF(AND(Y220=0,ISNUMBER(AF220),ISNUMBER(Z220)),AA220*AT220*MAX(Z220-1,0),0)</f>
        <v>28.3207519674748</v>
      </c>
      <c r="BI220" s="90" t="n">
        <f aca="false">IF(Y220=0,AA220,0)</f>
        <v>0.991271</v>
      </c>
    </row>
    <row r="221" customFormat="false" ht="15" hidden="false" customHeight="false" outlineLevel="0" collapsed="false">
      <c r="A221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21" s="83" t="str">
        <f aca="false">IFERROR(IF(INDEX(원자료_잔고!$A$1:$EZ$1500,설정!$L$5+ROW()-1,설정!$L$7)&amp;""="0","",INDEX(원자료_잔고!$A$1:$EZ$1500,설정!$L$5+ROW()-1,설정!$L$7)&amp;""),"")</f>
        <v>USY5S5CGAL65</v>
      </c>
      <c r="C221" s="83" t="str">
        <f aca="false">IFERROR(IF(INDEX(원자료_잔고!$A$1:$EZ$1500,설정!$L$5+ROW()-1,설정!$L$9)&amp;""="0","",INDEX(원자료_잔고!$A$1:$EZ$1500,설정!$L$5+ROW()-1,설정!$L$9)&amp;""),"")</f>
        <v>34578</v>
      </c>
      <c r="D22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1" s="84" t="n">
        <f aca="false">IFERROR(IF(ISNUMBER(INDEX(원자료_잔고!$A$1:$EZ$1500,설정!$L$5+ROW()-1,설정!$L$11)),INDEX(원자료_잔고!$A$1:$EZ$1500,설정!$L$5+ROW()-1,설정!$L$11),""),"")</f>
        <v>58000000</v>
      </c>
      <c r="F221" s="85" t="n">
        <f aca="false">IFERROR(IF(ISNUMBER(INDEX(원자료_잔고!$A$1:$EZ$1500,설정!$L$5+ROW()-1,설정!$L$12)),INDEX(원자료_잔고!$A$1:$EZ$1500,설정!$L$5+ROW()-1,설정!$L$12),""),"")</f>
        <v>99.1271</v>
      </c>
      <c r="G221" s="85" t="n">
        <f aca="false">IFERROR(IF(ISNUMBER(INDEX(원자료_잔고!$A$1:$EZ$1500,설정!$L$5+ROW()-1,설정!$L$13)),INDEX(원자료_잔고!$A$1:$EZ$1500,설정!$L$5+ROW()-1,설정!$L$13),""),"")</f>
        <v>5.7166</v>
      </c>
      <c r="H221" s="85" t="n">
        <f aca="false">IFERROR(IF(ISNUMBER(INDEX(원자료_잔고!$A$1:$EZ$1500,설정!$L$5+ROW()-1,설정!$L$14)),INDEX(원자료_잔고!$A$1:$EZ$1500,설정!$L$5+ROW()-1,설정!$L$14),""),"")</f>
        <v>2.4377</v>
      </c>
      <c r="I221" s="86" t="n">
        <f aca="false">IFERROR(IF(ISNUMBER(INDEX(원자료_잔고!$A$1:$EZ$1500,설정!$L$5+ROW()-1,설정!$L$15)),INDEX(원자료_잔고!$A$1:$EZ$1500,설정!$L$5+ROW()-1,설정!$L$15),""),"")</f>
        <v>47301</v>
      </c>
      <c r="J221" s="85" t="n">
        <f aca="false">IFERROR(IF(ISNUMBER(INDEX(원자료_잔고!$A$1:$EZ$1500,설정!$L$5+ROW()-1,설정!$L$16)),INDEX(원자료_잔고!$A$1:$EZ$1500,설정!$L$5+ROW()-1,설정!$L$16),""),"")</f>
        <v>5.375</v>
      </c>
      <c r="K221" s="87" t="n">
        <f aca="false">IFERROR(IF(ISNUMBER(INDEX(원자료_잔고!$A$1:$EZ$1500,설정!$L$5+ROW()-1,설정!$L$17)),INDEX(원자료_잔고!$A$1:$EZ$1500,설정!$L$5+ROW()-1,설정!$L$17),""),"")</f>
        <v>1</v>
      </c>
      <c r="L221" s="84" t="n">
        <f aca="false">IFERROR(IF(ISNUMBER(INDEX(원자료_잔고!$A$1:$EZ$1500,설정!$L$5+ROW()-1,설정!$L$18)),INDEX(원자료_잔고!$A$1:$EZ$1500,설정!$L$5+ROW()-1,설정!$L$18),""),"")</f>
        <v>57493718</v>
      </c>
      <c r="M221" s="88" t="n">
        <f aca="false">IFERROR(IF(ISNUMBER(INDEX(원자료_잔고!$A$1:$EZ$1500,설정!$L$5+ROW()-1,설정!$L$19)),INDEX(원자료_잔고!$A$1:$EZ$1500,설정!$L$5+ROW()-1,설정!$L$19),""),"")</f>
        <v>-2088174</v>
      </c>
      <c r="N221" s="83" t="str">
        <f aca="false">IFERROR(IF(INDEX(원자료_잔고!$A$1:$EZ$1500,설정!$L$5+ROW()-1,설정!$L$21)&amp;""="0","",INDEX(원자료_잔고!$A$1:$EZ$1500,설정!$L$5+ROW()-1,설정!$L$21)&amp;""),"")</f>
        <v>BBB</v>
      </c>
      <c r="O221" s="83" t="str">
        <f aca="false">IFERROR(IF(INDEX(원자료_잔고!$A$1:$EZ$1500,설정!$L$5+ROW()-1,설정!$L$22)&amp;""="0","",INDEX(원자료_잔고!$A$1:$EZ$1500,설정!$L$5+ROW()-1,설정!$L$22)&amp;""),"")</f>
        <v/>
      </c>
      <c r="P221" s="83" t="str">
        <f aca="false">IFERROR(IF(INDEX(원자료_잔고!$A$1:$EZ$1500,설정!$L$5+ROW()-1,설정!$L$23)&amp;""="0","",INDEX(원자료_잔고!$A$1:$EZ$1500,설정!$L$5+ROW()-1,설정!$L$23)&amp;""),"")</f>
        <v>N/A</v>
      </c>
      <c r="Q221" s="89" t="n">
        <f aca="false">IF(AND($A221&lt;&gt;"",ISNUMBER(E221)),IF(E221&gt;0,1,0),0)</f>
        <v>1</v>
      </c>
      <c r="R221" s="43" t="str">
        <f aca="false">IF(Q221=1,UPPER(LEFT($A221,FIND(" ",$A221&amp;" ")-1)),"")</f>
        <v>LGENSO</v>
      </c>
      <c r="S221" s="89" t="n">
        <f aca="false">IF(Q221=1,IF(OR(ISNUMBER(SEARCH("Float",$A221)),ISNUMBER(SEARCH("FRN",$A221))),1,0),0)</f>
        <v>0</v>
      </c>
      <c r="T221" s="43" t="str">
        <f aca="false">IF(AND(Q221=1,ISNUMBER(I221)),TEXT(I221,"yyyymmdd")&amp;"|"&amp;IF(S221=1,"F",TEXT(J221,"0.000")),"")</f>
        <v>20290702|5.375</v>
      </c>
      <c r="U221" s="90" t="n">
        <f aca="false">IF(AND(Q221=1,ISNUMBER(I221)),(I221-설정!$C$4)/365.25,"")</f>
        <v>2.75154004106776</v>
      </c>
      <c r="V221" s="43" t="str">
        <f aca="false">IF(Q221&lt;&gt;1,"",IF(ISNUMBER(U221),IF(U221&lt;=1,"1년 이하",IF(U221&lt;=2,"1-2년",IF(U221&lt;=3,"2-3년",IF(U221&lt;=4,"3-4년",IF(U221&lt;=5,"4-5년",IF(U221&lt;=7,"5-7년",IF(U221&lt;=10,"7-10년",IF(U221&lt;=20,"10-20년","20년 이상")))))))),"미분류"))</f>
        <v>2-3년</v>
      </c>
      <c r="W221" s="43" t="str">
        <f aca="false">IF(Q221&lt;&gt;1,"",IF(AB221&lt;&gt;"",INDEX(시장분석!$C:$C,AB221),IF(K221=1,"USD","비USD")))</f>
        <v>USD</v>
      </c>
      <c r="X221" s="91" t="n">
        <f aca="false">IF(Q221=1,E221*K221/1000000,0)</f>
        <v>58</v>
      </c>
      <c r="Y221" s="89" t="n">
        <f aca="false">IF(R221="T",1,0)</f>
        <v>0</v>
      </c>
      <c r="Z221" s="92" t="n">
        <f aca="false">IF(Q221&lt;&gt;1,"",IF(AD221=1,IF(ISNUMBER(U221),MAX(U221,0),H221),H221))</f>
        <v>2.4377</v>
      </c>
      <c r="AA221" s="91" t="n">
        <f aca="false">IF(Q221=1,IF(ISNUMBER(L221),L221,0)*K221/1000000,0)</f>
        <v>57.493718</v>
      </c>
      <c r="AB221" s="89" t="n">
        <f aca="false">IF(Q221&lt;&gt;1,"",IFERROR(MATCH(VLOOKUP(B221,매핑!$H$4:$I$15,2,0),시장분석!$A$2:$A$601,0)+1,IFERROR(MATCH(R221&amp;"|"&amp;T221,시장분석!$V$2:$V$601,0)+1,IF(COUNTIF(시장분석!$U$2:$U$601,T221)=1,MATCH(T221,시장분석!$U$2:$U$601,0)+1,""))))</f>
        <v>179</v>
      </c>
      <c r="AC221" s="89" t="n">
        <f aca="false">IF(Q221&lt;&gt;1,0,IF(OR(설정!$C$5="전체",AND(설정!$C$5="선택펀드",IFERROR(COUNTIFS(설정!$F$16:$F$36,C221,설정!$G$16:$G$36,"Y")+COUNTIFS(설정!$F$16:$F$36,VALUE(C221),설정!$G$16:$G$36,"Y"),0)&gt;0),C221&amp;""=설정!$C$5&amp;""),1,0))</f>
        <v>1</v>
      </c>
      <c r="AD221" s="89" t="n">
        <f aca="false">IF(Q221&lt;&gt;1,0,IF(OR(S221=1,IF(AB221="",FALSE(),INDEX(시장분석!$R:$R,AB221)=1)),1,0))</f>
        <v>0</v>
      </c>
      <c r="AE221" s="43" t="str">
        <f aca="false">IF(AB221="","",INDEX(시장분석!$A:$A,AB221))</f>
        <v>LGENSO 5 3/8 07/02/29</v>
      </c>
      <c r="AF221" s="93" t="n">
        <f aca="false">IF(AB221="","",IF(ISNUMBER(IF(AB221="","",INDEX(시장분석!$E:$E,AB221))),IF(AB221="","",INDEX(시장분석!$E:$E,AB221)),""))</f>
        <v>73.376</v>
      </c>
      <c r="AG221" s="43" t="str">
        <f aca="false">IF(Q221&lt;&gt;1,"",IF(AB221&lt;&gt;"",IF(AB221="","",INDEX(시장분석!$L:$L,AB221)),IFERROR(IF(VLOOKUP(R221,매핑!$A$4:$E$92,5,0)="","미분류",VLOOKUP(R221,매핑!$A$4:$E$92,5,0)),"미분류")))</f>
        <v>자유 소비재</v>
      </c>
      <c r="AH221" s="43" t="str">
        <f aca="false">IF(Q221&lt;&gt;1,"",IF(AB221&lt;&gt;"",IF(AB221="","",INDEX(시장분석!$N:$N,AB221)),IFERROR(IF(VLOOKUP(R221,매핑!$A$4:$E$92,4,0)="","미분류",VLOOKUP(R221,매핑!$A$4:$E$92,4,0)),"미분류")))</f>
        <v>아시아/기타</v>
      </c>
      <c r="AI221" s="43" t="str">
        <f aca="false">IF(Q221&lt;&gt;1,"",IFERROR(IF(VLOOKUP(R221,매핑!$A$4:$E$92,3,0)="","미분류",VLOOKUP(R221,매핑!$A$4:$E$92,3,0)),IF(AB221&lt;&gt;"",IF(AB221="","",INDEX(시장분석!$W:$W,AB221)),"미분류")))</f>
        <v>한국</v>
      </c>
      <c r="AJ221" s="43" t="str">
        <f aca="false">IF(Q221&lt;&gt;1,"",IFERROR(VLOOKUP(IF(N221&lt;&gt;"",N221,IF(P221&lt;&gt;"",P221,O221)),설정!$A$15:$D$47,2,0),""))</f>
        <v>BBB</v>
      </c>
      <c r="AK221" s="43" t="str">
        <f aca="false">IF(Q221&lt;&gt;1,"",IF(AJ221="","무등급",IFERROR(VLOOKUP(AJ221,설정!$A$15:$D$47,3,0),"무등급")))</f>
        <v>BBB</v>
      </c>
      <c r="AL221" s="89" t="n">
        <f aca="false">IF(AJ221="",99,IFERROR(VLOOKUP(AJ221,설정!$A$15:$D$47,4,0),99))</f>
        <v>9</v>
      </c>
      <c r="AM221" s="94" t="n">
        <f aca="false">IF(ISNUMBER(H221),AA221*1000000*H221/10000,0)</f>
        <v>14015.24363686</v>
      </c>
      <c r="AN221" s="94" t="n">
        <f aca="false">IF(OR(Y221=1,NOT(ISNUMBER(Z221))),0,AA221*1000000*Z221/10000)</f>
        <v>14015.24363686</v>
      </c>
      <c r="AO221" s="94" t="n">
        <f aca="false">IF(ISNUMBER(G221),AA221*1000000*G221/100,0)</f>
        <v>3286685.883188</v>
      </c>
      <c r="AP221" s="94" t="n">
        <f aca="false">IF(ISNUMBER(M221),M221*K221,0)</f>
        <v>-2088174</v>
      </c>
      <c r="AQ221" s="95" t="n">
        <f aca="false">IF(AB221="","",INDEX(시장분석!$AK:$AK,AB221))</f>
        <v>0.0343903053062221</v>
      </c>
      <c r="AR221" s="43" t="str">
        <f aca="false">IF(AB221="","-",IF(AB221="","",INDEX(시장분석!$AL:$AL,AB221)))</f>
        <v>Fair</v>
      </c>
      <c r="AS221" s="96" t="n">
        <f aca="false">IF(AB221="","",INDEX(시장분석!$AJ:$AJ,AB221))</f>
        <v>0.712393143760181</v>
      </c>
      <c r="AT221" s="93" t="n">
        <f aca="false">IF(AB221="",0,IF(AB221="","",INDEX(시장분석!$AN:$AN,AB221)))</f>
        <v>19.8721156888579</v>
      </c>
      <c r="AU221" s="94" t="n">
        <f aca="false">IF(ISNUMBER(Z221),AT221/10000*MAX(Z221-1,0)*AA221*1000000,0)</f>
        <v>164260.361411354</v>
      </c>
      <c r="AV221" s="94" t="n">
        <f aca="false">AO221+AU221</f>
        <v>3450946.24459935</v>
      </c>
      <c r="AW221" s="43" t="str">
        <f aca="false">IF(Q221&lt;&gt;1,"",TRIM(IF(AD221=1,"FRN ","")&amp;IF(AND(AL221&gt;=10,AL221&lt;99),"BBB0미만 ","")&amp;IF(AJ221="","등급없음 ","")&amp;IF(K221&lt;&gt;1,"비USD ","")&amp;IF(AND(AB221="",Y221=0),"시장데이터없음 ","")&amp;IF(AND(ISNUMBER(U221),U221&lt;0),"만기경과 ","")))</f>
        <v/>
      </c>
      <c r="AX221" s="90" t="n">
        <f aca="false">IF(Q221&lt;&gt;1,1,IF(스프레드쇼크!$C$4="Y",INDEX(스프레드쇼크!$B$12:$L$16,IFERROR(MATCH(AH221,스프레드쇼크!$A$12:$A$16,0),MATCH("목록외",스프레드쇼크!$A$12:$A$16,0)),IFERROR(MATCH(AG221,스프레드쇼크!$B$11:$L$11,0),MATCH("목록외",스프레드쇼크!$B$11:$L$11,0))),1))</f>
        <v>1</v>
      </c>
      <c r="AY221" s="90" t="n">
        <f aca="false">IF(스프레드쇼크!$C$5="Y",IF(ISNUMBER(AF221),MIN(스프레드쇼크!$C$7,MAX(스프레드쇼크!$C$6,AF221/스프레드쇼크!$C$8)),1),1)</f>
        <v>1.10984047624524</v>
      </c>
      <c r="AZ221" s="94" t="n">
        <f aca="false">AN221*AX221*AY221</f>
        <v>15554.6846726257</v>
      </c>
      <c r="BA221" s="90" t="n">
        <f aca="false">IF(ISNUMBER(G221),AA221*G221,0)</f>
        <v>328.6685883188</v>
      </c>
      <c r="BB221" s="90" t="n">
        <f aca="false">IF(ISNUMBER(G221),AA221,0)</f>
        <v>57.493718</v>
      </c>
      <c r="BC221" s="90" t="n">
        <f aca="false">IF(AND(Y221=0,ISNUMBER(AF221)),AA221*AF221,0)</f>
        <v>4218.659051968</v>
      </c>
      <c r="BD221" s="90" t="n">
        <f aca="false">IF(AND(Y221=0,ISNUMBER(AF221)),AA221,0)</f>
        <v>57.493718</v>
      </c>
      <c r="BE221" s="90" t="n">
        <f aca="false">IF(ISNUMBER(H221),AA221*H221,0)</f>
        <v>140.1524363686</v>
      </c>
      <c r="BF221" s="90" t="n">
        <f aca="false">IF(ISNUMBER(H221),AA221,0)</f>
        <v>57.493718</v>
      </c>
      <c r="BG221" s="90" t="n">
        <f aca="false">IF(AND(Y221=0,ISNUMBER(AF221),ISNUMBER(Z221)),AA221*Z221,0)</f>
        <v>140.1524363686</v>
      </c>
      <c r="BH221" s="90" t="n">
        <f aca="false">IF(AND(Y221=0,ISNUMBER(AF221),ISNUMBER(Z221)),AA221*AT221*MAX(Z221-1,0),0)</f>
        <v>1642.60361411354</v>
      </c>
      <c r="BI221" s="90" t="n">
        <f aca="false">IF(Y221=0,AA221,0)</f>
        <v>57.493718</v>
      </c>
    </row>
    <row r="222" customFormat="false" ht="15" hidden="false" customHeight="false" outlineLevel="0" collapsed="false">
      <c r="A222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22" s="83" t="str">
        <f aca="false">IFERROR(IF(INDEX(원자료_잔고!$A$1:$EZ$1500,설정!$L$5+ROW()-1,설정!$L$7)&amp;""="0","",INDEX(원자료_잔고!$A$1:$EZ$1500,설정!$L$5+ROW()-1,설정!$L$7)&amp;""),"")</f>
        <v>USY5S5CGAL65</v>
      </c>
      <c r="C222" s="83" t="str">
        <f aca="false">IFERROR(IF(INDEX(원자료_잔고!$A$1:$EZ$1500,설정!$L$5+ROW()-1,설정!$L$9)&amp;""="0","",INDEX(원자료_잔고!$A$1:$EZ$1500,설정!$L$5+ROW()-1,설정!$L$9)&amp;""),"")</f>
        <v>34578</v>
      </c>
      <c r="D22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2" s="84" t="n">
        <f aca="false">IFERROR(IF(ISNUMBER(INDEX(원자료_잔고!$A$1:$EZ$1500,설정!$L$5+ROW()-1,설정!$L$11)),INDEX(원자료_잔고!$A$1:$EZ$1500,설정!$L$5+ROW()-1,설정!$L$11),""),"")</f>
        <v>3000000</v>
      </c>
      <c r="F222" s="85" t="n">
        <f aca="false">IFERROR(IF(ISNUMBER(INDEX(원자료_잔고!$A$1:$EZ$1500,설정!$L$5+ROW()-1,설정!$L$12)),INDEX(원자료_잔고!$A$1:$EZ$1500,설정!$L$5+ROW()-1,설정!$L$12),""),"")</f>
        <v>99.1271</v>
      </c>
      <c r="G222" s="85" t="n">
        <f aca="false">IFERROR(IF(ISNUMBER(INDEX(원자료_잔고!$A$1:$EZ$1500,설정!$L$5+ROW()-1,설정!$L$13)),INDEX(원자료_잔고!$A$1:$EZ$1500,설정!$L$5+ROW()-1,설정!$L$13),""),"")</f>
        <v>5.7166</v>
      </c>
      <c r="H222" s="85" t="n">
        <f aca="false">IFERROR(IF(ISNUMBER(INDEX(원자료_잔고!$A$1:$EZ$1500,설정!$L$5+ROW()-1,설정!$L$14)),INDEX(원자료_잔고!$A$1:$EZ$1500,설정!$L$5+ROW()-1,설정!$L$14),""),"")</f>
        <v>2.4377</v>
      </c>
      <c r="I222" s="86" t="n">
        <f aca="false">IFERROR(IF(ISNUMBER(INDEX(원자료_잔고!$A$1:$EZ$1500,설정!$L$5+ROW()-1,설정!$L$15)),INDEX(원자료_잔고!$A$1:$EZ$1500,설정!$L$5+ROW()-1,설정!$L$15),""),"")</f>
        <v>47301</v>
      </c>
      <c r="J222" s="85" t="n">
        <f aca="false">IFERROR(IF(ISNUMBER(INDEX(원자료_잔고!$A$1:$EZ$1500,설정!$L$5+ROW()-1,설정!$L$16)),INDEX(원자료_잔고!$A$1:$EZ$1500,설정!$L$5+ROW()-1,설정!$L$16),""),"")</f>
        <v>5.375</v>
      </c>
      <c r="K222" s="87" t="n">
        <f aca="false">IFERROR(IF(ISNUMBER(INDEX(원자료_잔고!$A$1:$EZ$1500,설정!$L$5+ROW()-1,설정!$L$17)),INDEX(원자료_잔고!$A$1:$EZ$1500,설정!$L$5+ROW()-1,설정!$L$17),""),"")</f>
        <v>1</v>
      </c>
      <c r="L222" s="84" t="n">
        <f aca="false">IFERROR(IF(ISNUMBER(INDEX(원자료_잔고!$A$1:$EZ$1500,설정!$L$5+ROW()-1,설정!$L$18)),INDEX(원자료_잔고!$A$1:$EZ$1500,설정!$L$5+ROW()-1,설정!$L$18),""),"")</f>
        <v>2973813</v>
      </c>
      <c r="M222" s="88" t="n">
        <f aca="false">IFERROR(IF(ISNUMBER(INDEX(원자료_잔고!$A$1:$EZ$1500,설정!$L$5+ROW()-1,설정!$L$19)),INDEX(원자료_잔고!$A$1:$EZ$1500,설정!$L$5+ROW()-1,설정!$L$19),""),"")</f>
        <v>-108009</v>
      </c>
      <c r="N222" s="83" t="str">
        <f aca="false">IFERROR(IF(INDEX(원자료_잔고!$A$1:$EZ$1500,설정!$L$5+ROW()-1,설정!$L$21)&amp;""="0","",INDEX(원자료_잔고!$A$1:$EZ$1500,설정!$L$5+ROW()-1,설정!$L$21)&amp;""),"")</f>
        <v>BBB</v>
      </c>
      <c r="O222" s="83" t="str">
        <f aca="false">IFERROR(IF(INDEX(원자료_잔고!$A$1:$EZ$1500,설정!$L$5+ROW()-1,설정!$L$22)&amp;""="0","",INDEX(원자료_잔고!$A$1:$EZ$1500,설정!$L$5+ROW()-1,설정!$L$22)&amp;""),"")</f>
        <v/>
      </c>
      <c r="P222" s="83" t="str">
        <f aca="false">IFERROR(IF(INDEX(원자료_잔고!$A$1:$EZ$1500,설정!$L$5+ROW()-1,설정!$L$23)&amp;""="0","",INDEX(원자료_잔고!$A$1:$EZ$1500,설정!$L$5+ROW()-1,설정!$L$23)&amp;""),"")</f>
        <v>N/A</v>
      </c>
      <c r="Q222" s="89" t="n">
        <f aca="false">IF(AND($A222&lt;&gt;"",ISNUMBER(E222)),IF(E222&gt;0,1,0),0)</f>
        <v>1</v>
      </c>
      <c r="R222" s="43" t="str">
        <f aca="false">IF(Q222=1,UPPER(LEFT($A222,FIND(" ",$A222&amp;" ")-1)),"")</f>
        <v>LGENSO</v>
      </c>
      <c r="S222" s="89" t="n">
        <f aca="false">IF(Q222=1,IF(OR(ISNUMBER(SEARCH("Float",$A222)),ISNUMBER(SEARCH("FRN",$A222))),1,0),0)</f>
        <v>0</v>
      </c>
      <c r="T222" s="43" t="str">
        <f aca="false">IF(AND(Q222=1,ISNUMBER(I222)),TEXT(I222,"yyyymmdd")&amp;"|"&amp;IF(S222=1,"F",TEXT(J222,"0.000")),"")</f>
        <v>20290702|5.375</v>
      </c>
      <c r="U222" s="90" t="n">
        <f aca="false">IF(AND(Q222=1,ISNUMBER(I222)),(I222-설정!$C$4)/365.25,"")</f>
        <v>2.75154004106776</v>
      </c>
      <c r="V222" s="43" t="str">
        <f aca="false">IF(Q222&lt;&gt;1,"",IF(ISNUMBER(U222),IF(U222&lt;=1,"1년 이하",IF(U222&lt;=2,"1-2년",IF(U222&lt;=3,"2-3년",IF(U222&lt;=4,"3-4년",IF(U222&lt;=5,"4-5년",IF(U222&lt;=7,"5-7년",IF(U222&lt;=10,"7-10년",IF(U222&lt;=20,"10-20년","20년 이상")))))))),"미분류"))</f>
        <v>2-3년</v>
      </c>
      <c r="W222" s="43" t="str">
        <f aca="false">IF(Q222&lt;&gt;1,"",IF(AB222&lt;&gt;"",INDEX(시장분석!$C:$C,AB222),IF(K222=1,"USD","비USD")))</f>
        <v>USD</v>
      </c>
      <c r="X222" s="91" t="n">
        <f aca="false">IF(Q222=1,E222*K222/1000000,0)</f>
        <v>3</v>
      </c>
      <c r="Y222" s="89" t="n">
        <f aca="false">IF(R222="T",1,0)</f>
        <v>0</v>
      </c>
      <c r="Z222" s="92" t="n">
        <f aca="false">IF(Q222&lt;&gt;1,"",IF(AD222=1,IF(ISNUMBER(U222),MAX(U222,0),H222),H222))</f>
        <v>2.4377</v>
      </c>
      <c r="AA222" s="91" t="n">
        <f aca="false">IF(Q222=1,IF(ISNUMBER(L222),L222,0)*K222/1000000,0)</f>
        <v>2.973813</v>
      </c>
      <c r="AB222" s="89" t="n">
        <f aca="false">IF(Q222&lt;&gt;1,"",IFERROR(MATCH(VLOOKUP(B222,매핑!$H$4:$I$15,2,0),시장분석!$A$2:$A$601,0)+1,IFERROR(MATCH(R222&amp;"|"&amp;T222,시장분석!$V$2:$V$601,0)+1,IF(COUNTIF(시장분석!$U$2:$U$601,T222)=1,MATCH(T222,시장분석!$U$2:$U$601,0)+1,""))))</f>
        <v>179</v>
      </c>
      <c r="AC222" s="89" t="n">
        <f aca="false">IF(Q222&lt;&gt;1,0,IF(OR(설정!$C$5="전체",AND(설정!$C$5="선택펀드",IFERROR(COUNTIFS(설정!$F$16:$F$36,C222,설정!$G$16:$G$36,"Y")+COUNTIFS(설정!$F$16:$F$36,VALUE(C222),설정!$G$16:$G$36,"Y"),0)&gt;0),C222&amp;""=설정!$C$5&amp;""),1,0))</f>
        <v>1</v>
      </c>
      <c r="AD222" s="89" t="n">
        <f aca="false">IF(Q222&lt;&gt;1,0,IF(OR(S222=1,IF(AB222="",FALSE(),INDEX(시장분석!$R:$R,AB222)=1)),1,0))</f>
        <v>0</v>
      </c>
      <c r="AE222" s="43" t="str">
        <f aca="false">IF(AB222="","",INDEX(시장분석!$A:$A,AB222))</f>
        <v>LGENSO 5 3/8 07/02/29</v>
      </c>
      <c r="AF222" s="93" t="n">
        <f aca="false">IF(AB222="","",IF(ISNUMBER(IF(AB222="","",INDEX(시장분석!$E:$E,AB222))),IF(AB222="","",INDEX(시장분석!$E:$E,AB222)),""))</f>
        <v>73.376</v>
      </c>
      <c r="AG222" s="43" t="str">
        <f aca="false">IF(Q222&lt;&gt;1,"",IF(AB222&lt;&gt;"",IF(AB222="","",INDEX(시장분석!$L:$L,AB222)),IFERROR(IF(VLOOKUP(R222,매핑!$A$4:$E$92,5,0)="","미분류",VLOOKUP(R222,매핑!$A$4:$E$92,5,0)),"미분류")))</f>
        <v>자유 소비재</v>
      </c>
      <c r="AH222" s="43" t="str">
        <f aca="false">IF(Q222&lt;&gt;1,"",IF(AB222&lt;&gt;"",IF(AB222="","",INDEX(시장분석!$N:$N,AB222)),IFERROR(IF(VLOOKUP(R222,매핑!$A$4:$E$92,4,0)="","미분류",VLOOKUP(R222,매핑!$A$4:$E$92,4,0)),"미분류")))</f>
        <v>아시아/기타</v>
      </c>
      <c r="AI222" s="43" t="str">
        <f aca="false">IF(Q222&lt;&gt;1,"",IFERROR(IF(VLOOKUP(R222,매핑!$A$4:$E$92,3,0)="","미분류",VLOOKUP(R222,매핑!$A$4:$E$92,3,0)),IF(AB222&lt;&gt;"",IF(AB222="","",INDEX(시장분석!$W:$W,AB222)),"미분류")))</f>
        <v>한국</v>
      </c>
      <c r="AJ222" s="43" t="str">
        <f aca="false">IF(Q222&lt;&gt;1,"",IFERROR(VLOOKUP(IF(N222&lt;&gt;"",N222,IF(P222&lt;&gt;"",P222,O222)),설정!$A$15:$D$47,2,0),""))</f>
        <v>BBB</v>
      </c>
      <c r="AK222" s="43" t="str">
        <f aca="false">IF(Q222&lt;&gt;1,"",IF(AJ222="","무등급",IFERROR(VLOOKUP(AJ222,설정!$A$15:$D$47,3,0),"무등급")))</f>
        <v>BBB</v>
      </c>
      <c r="AL222" s="89" t="n">
        <f aca="false">IF(AJ222="",99,IFERROR(VLOOKUP(AJ222,설정!$A$15:$D$47,4,0),99))</f>
        <v>9</v>
      </c>
      <c r="AM222" s="94" t="n">
        <f aca="false">IF(ISNUMBER(H222),AA222*1000000*H222/10000,0)</f>
        <v>724.92639501</v>
      </c>
      <c r="AN222" s="94" t="n">
        <f aca="false">IF(OR(Y222=1,NOT(ISNUMBER(Z222))),0,AA222*1000000*Z222/10000)</f>
        <v>724.92639501</v>
      </c>
      <c r="AO222" s="94" t="n">
        <f aca="false">IF(ISNUMBER(G222),AA222*1000000*G222/100,0)</f>
        <v>170000.993958</v>
      </c>
      <c r="AP222" s="94" t="n">
        <f aca="false">IF(ISNUMBER(M222),M222*K222,0)</f>
        <v>-108009</v>
      </c>
      <c r="AQ222" s="95" t="n">
        <f aca="false">IF(AB222="","",INDEX(시장분석!$AK:$AK,AB222))</f>
        <v>0.0343903053062221</v>
      </c>
      <c r="AR222" s="43" t="str">
        <f aca="false">IF(AB222="","-",IF(AB222="","",INDEX(시장분석!$AL:$AL,AB222)))</f>
        <v>Fair</v>
      </c>
      <c r="AS222" s="96" t="n">
        <f aca="false">IF(AB222="","",INDEX(시장분석!$AJ:$AJ,AB222))</f>
        <v>0.712393143760181</v>
      </c>
      <c r="AT222" s="93" t="n">
        <f aca="false">IF(AB222="",0,IF(AB222="","",INDEX(시장분석!$AN:$AN,AB222)))</f>
        <v>19.8721156888579</v>
      </c>
      <c r="AU222" s="94" t="n">
        <f aca="false">IF(ISNUMBER(Z222),AT222/10000*MAX(Z222-1,0)*AA222*1000000,0)</f>
        <v>8496.22559024244</v>
      </c>
      <c r="AV222" s="94" t="n">
        <f aca="false">AO222+AU222</f>
        <v>178497.219548242</v>
      </c>
      <c r="AW222" s="43" t="str">
        <f aca="false">IF(Q222&lt;&gt;1,"",TRIM(IF(AD222=1,"FRN ","")&amp;IF(AND(AL222&gt;=10,AL222&lt;99),"BBB0미만 ","")&amp;IF(AJ222="","등급없음 ","")&amp;IF(K222&lt;&gt;1,"비USD ","")&amp;IF(AND(AB222="",Y222=0),"시장데이터없음 ","")&amp;IF(AND(ISNUMBER(U222),U222&lt;0),"만기경과 ","")))</f>
        <v/>
      </c>
      <c r="AX222" s="90" t="n">
        <f aca="false">IF(Q222&lt;&gt;1,1,IF(스프레드쇼크!$C$4="Y",INDEX(스프레드쇼크!$B$12:$L$16,IFERROR(MATCH(AH222,스프레드쇼크!$A$12:$A$16,0),MATCH("목록외",스프레드쇼크!$A$12:$A$16,0)),IFERROR(MATCH(AG222,스프레드쇼크!$B$11:$L$11,0),MATCH("목록외",스프레드쇼크!$B$11:$L$11,0))),1))</f>
        <v>1</v>
      </c>
      <c r="AY222" s="90" t="n">
        <f aca="false">IF(스프레드쇼크!$C$5="Y",IF(ISNUMBER(AF222),MIN(스프레드쇼크!$C$7,MAX(스프레드쇼크!$C$6,AF222/스프레드쇼크!$C$8)),1),1)</f>
        <v>1.10984047624524</v>
      </c>
      <c r="AZ222" s="94" t="n">
        <f aca="false">AN222*AX222*AY222</f>
        <v>804.552655480641</v>
      </c>
      <c r="BA222" s="90" t="n">
        <f aca="false">IF(ISNUMBER(G222),AA222*G222,0)</f>
        <v>17.0000993958</v>
      </c>
      <c r="BB222" s="90" t="n">
        <f aca="false">IF(ISNUMBER(G222),AA222,0)</f>
        <v>2.973813</v>
      </c>
      <c r="BC222" s="90" t="n">
        <f aca="false">IF(AND(Y222=0,ISNUMBER(AF222)),AA222*AF222,0)</f>
        <v>218.206502688</v>
      </c>
      <c r="BD222" s="90" t="n">
        <f aca="false">IF(AND(Y222=0,ISNUMBER(AF222)),AA222,0)</f>
        <v>2.973813</v>
      </c>
      <c r="BE222" s="90" t="n">
        <f aca="false">IF(ISNUMBER(H222),AA222*H222,0)</f>
        <v>7.2492639501</v>
      </c>
      <c r="BF222" s="90" t="n">
        <f aca="false">IF(ISNUMBER(H222),AA222,0)</f>
        <v>2.973813</v>
      </c>
      <c r="BG222" s="90" t="n">
        <f aca="false">IF(AND(Y222=0,ISNUMBER(AF222),ISNUMBER(Z222)),AA222*Z222,0)</f>
        <v>7.2492639501</v>
      </c>
      <c r="BH222" s="90" t="n">
        <f aca="false">IF(AND(Y222=0,ISNUMBER(AF222),ISNUMBER(Z222)),AA222*AT222*MAX(Z222-1,0),0)</f>
        <v>84.9622559024245</v>
      </c>
      <c r="BI222" s="90" t="n">
        <f aca="false">IF(Y222=0,AA222,0)</f>
        <v>2.973813</v>
      </c>
    </row>
    <row r="223" customFormat="false" ht="15" hidden="false" customHeight="false" outlineLevel="0" collapsed="false">
      <c r="A223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23" s="83" t="str">
        <f aca="false">IFERROR(IF(INDEX(원자료_잔고!$A$1:$EZ$1500,설정!$L$5+ROW()-1,설정!$L$7)&amp;""="0","",INDEX(원자료_잔고!$A$1:$EZ$1500,설정!$L$5+ROW()-1,설정!$L$7)&amp;""),"")</f>
        <v>USY5S5CGAL65</v>
      </c>
      <c r="C223" s="83" t="str">
        <f aca="false">IFERROR(IF(INDEX(원자료_잔고!$A$1:$EZ$1500,설정!$L$5+ROW()-1,설정!$L$9)&amp;""="0","",INDEX(원자료_잔고!$A$1:$EZ$1500,설정!$L$5+ROW()-1,설정!$L$9)&amp;""),"")</f>
        <v>34578</v>
      </c>
      <c r="D22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3" s="84" t="n">
        <f aca="false">IFERROR(IF(ISNUMBER(INDEX(원자료_잔고!$A$1:$EZ$1500,설정!$L$5+ROW()-1,설정!$L$11)),INDEX(원자료_잔고!$A$1:$EZ$1500,설정!$L$5+ROW()-1,설정!$L$11),""),"")</f>
        <v>2000000</v>
      </c>
      <c r="F223" s="85" t="n">
        <f aca="false">IFERROR(IF(ISNUMBER(INDEX(원자료_잔고!$A$1:$EZ$1500,설정!$L$5+ROW()-1,설정!$L$12)),INDEX(원자료_잔고!$A$1:$EZ$1500,설정!$L$5+ROW()-1,설정!$L$12),""),"")</f>
        <v>99.1271</v>
      </c>
      <c r="G223" s="85" t="n">
        <f aca="false">IFERROR(IF(ISNUMBER(INDEX(원자료_잔고!$A$1:$EZ$1500,설정!$L$5+ROW()-1,설정!$L$13)),INDEX(원자료_잔고!$A$1:$EZ$1500,설정!$L$5+ROW()-1,설정!$L$13),""),"")</f>
        <v>5.7166</v>
      </c>
      <c r="H223" s="85" t="n">
        <f aca="false">IFERROR(IF(ISNUMBER(INDEX(원자료_잔고!$A$1:$EZ$1500,설정!$L$5+ROW()-1,설정!$L$14)),INDEX(원자료_잔고!$A$1:$EZ$1500,설정!$L$5+ROW()-1,설정!$L$14),""),"")</f>
        <v>2.4377</v>
      </c>
      <c r="I223" s="86" t="n">
        <f aca="false">IFERROR(IF(ISNUMBER(INDEX(원자료_잔고!$A$1:$EZ$1500,설정!$L$5+ROW()-1,설정!$L$15)),INDEX(원자료_잔고!$A$1:$EZ$1500,설정!$L$5+ROW()-1,설정!$L$15),""),"")</f>
        <v>47301</v>
      </c>
      <c r="J223" s="85" t="n">
        <f aca="false">IFERROR(IF(ISNUMBER(INDEX(원자료_잔고!$A$1:$EZ$1500,설정!$L$5+ROW()-1,설정!$L$16)),INDEX(원자료_잔고!$A$1:$EZ$1500,설정!$L$5+ROW()-1,설정!$L$16),""),"")</f>
        <v>5.375</v>
      </c>
      <c r="K223" s="87" t="n">
        <f aca="false">IFERROR(IF(ISNUMBER(INDEX(원자료_잔고!$A$1:$EZ$1500,설정!$L$5+ROW()-1,설정!$L$17)),INDEX(원자료_잔고!$A$1:$EZ$1500,설정!$L$5+ROW()-1,설정!$L$17),""),"")</f>
        <v>1</v>
      </c>
      <c r="L223" s="84" t="n">
        <f aca="false">IFERROR(IF(ISNUMBER(INDEX(원자료_잔고!$A$1:$EZ$1500,설정!$L$5+ROW()-1,설정!$L$18)),INDEX(원자료_잔고!$A$1:$EZ$1500,설정!$L$5+ROW()-1,설정!$L$18),""),"")</f>
        <v>1982542</v>
      </c>
      <c r="M223" s="88" t="n">
        <f aca="false">IFERROR(IF(ISNUMBER(INDEX(원자료_잔고!$A$1:$EZ$1500,설정!$L$5+ROW()-1,설정!$L$19)),INDEX(원자료_잔고!$A$1:$EZ$1500,설정!$L$5+ROW()-1,설정!$L$19),""),"")</f>
        <v>-72006</v>
      </c>
      <c r="N223" s="83" t="str">
        <f aca="false">IFERROR(IF(INDEX(원자료_잔고!$A$1:$EZ$1500,설정!$L$5+ROW()-1,설정!$L$21)&amp;""="0","",INDEX(원자료_잔고!$A$1:$EZ$1500,설정!$L$5+ROW()-1,설정!$L$21)&amp;""),"")</f>
        <v>BBB</v>
      </c>
      <c r="O223" s="83" t="str">
        <f aca="false">IFERROR(IF(INDEX(원자료_잔고!$A$1:$EZ$1500,설정!$L$5+ROW()-1,설정!$L$22)&amp;""="0","",INDEX(원자료_잔고!$A$1:$EZ$1500,설정!$L$5+ROW()-1,설정!$L$22)&amp;""),"")</f>
        <v/>
      </c>
      <c r="P223" s="83" t="str">
        <f aca="false">IFERROR(IF(INDEX(원자료_잔고!$A$1:$EZ$1500,설정!$L$5+ROW()-1,설정!$L$23)&amp;""="0","",INDEX(원자료_잔고!$A$1:$EZ$1500,설정!$L$5+ROW()-1,설정!$L$23)&amp;""),"")</f>
        <v>N/A</v>
      </c>
      <c r="Q223" s="89" t="n">
        <f aca="false">IF(AND($A223&lt;&gt;"",ISNUMBER(E223)),IF(E223&gt;0,1,0),0)</f>
        <v>1</v>
      </c>
      <c r="R223" s="43" t="str">
        <f aca="false">IF(Q223=1,UPPER(LEFT($A223,FIND(" ",$A223&amp;" ")-1)),"")</f>
        <v>LGENSO</v>
      </c>
      <c r="S223" s="89" t="n">
        <f aca="false">IF(Q223=1,IF(OR(ISNUMBER(SEARCH("Float",$A223)),ISNUMBER(SEARCH("FRN",$A223))),1,0),0)</f>
        <v>0</v>
      </c>
      <c r="T223" s="43" t="str">
        <f aca="false">IF(AND(Q223=1,ISNUMBER(I223)),TEXT(I223,"yyyymmdd")&amp;"|"&amp;IF(S223=1,"F",TEXT(J223,"0.000")),"")</f>
        <v>20290702|5.375</v>
      </c>
      <c r="U223" s="90" t="n">
        <f aca="false">IF(AND(Q223=1,ISNUMBER(I223)),(I223-설정!$C$4)/365.25,"")</f>
        <v>2.75154004106776</v>
      </c>
      <c r="V223" s="43" t="str">
        <f aca="false">IF(Q223&lt;&gt;1,"",IF(ISNUMBER(U223),IF(U223&lt;=1,"1년 이하",IF(U223&lt;=2,"1-2년",IF(U223&lt;=3,"2-3년",IF(U223&lt;=4,"3-4년",IF(U223&lt;=5,"4-5년",IF(U223&lt;=7,"5-7년",IF(U223&lt;=10,"7-10년",IF(U223&lt;=20,"10-20년","20년 이상")))))))),"미분류"))</f>
        <v>2-3년</v>
      </c>
      <c r="W223" s="43" t="str">
        <f aca="false">IF(Q223&lt;&gt;1,"",IF(AB223&lt;&gt;"",INDEX(시장분석!$C:$C,AB223),IF(K223=1,"USD","비USD")))</f>
        <v>USD</v>
      </c>
      <c r="X223" s="91" t="n">
        <f aca="false">IF(Q223=1,E223*K223/1000000,0)</f>
        <v>2</v>
      </c>
      <c r="Y223" s="89" t="n">
        <f aca="false">IF(R223="T",1,0)</f>
        <v>0</v>
      </c>
      <c r="Z223" s="92" t="n">
        <f aca="false">IF(Q223&lt;&gt;1,"",IF(AD223=1,IF(ISNUMBER(U223),MAX(U223,0),H223),H223))</f>
        <v>2.4377</v>
      </c>
      <c r="AA223" s="91" t="n">
        <f aca="false">IF(Q223=1,IF(ISNUMBER(L223),L223,0)*K223/1000000,0)</f>
        <v>1.982542</v>
      </c>
      <c r="AB223" s="89" t="n">
        <f aca="false">IF(Q223&lt;&gt;1,"",IFERROR(MATCH(VLOOKUP(B223,매핑!$H$4:$I$15,2,0),시장분석!$A$2:$A$601,0)+1,IFERROR(MATCH(R223&amp;"|"&amp;T223,시장분석!$V$2:$V$601,0)+1,IF(COUNTIF(시장분석!$U$2:$U$601,T223)=1,MATCH(T223,시장분석!$U$2:$U$601,0)+1,""))))</f>
        <v>179</v>
      </c>
      <c r="AC223" s="89" t="n">
        <f aca="false">IF(Q223&lt;&gt;1,0,IF(OR(설정!$C$5="전체",AND(설정!$C$5="선택펀드",IFERROR(COUNTIFS(설정!$F$16:$F$36,C223,설정!$G$16:$G$36,"Y")+COUNTIFS(설정!$F$16:$F$36,VALUE(C223),설정!$G$16:$G$36,"Y"),0)&gt;0),C223&amp;""=설정!$C$5&amp;""),1,0))</f>
        <v>1</v>
      </c>
      <c r="AD223" s="89" t="n">
        <f aca="false">IF(Q223&lt;&gt;1,0,IF(OR(S223=1,IF(AB223="",FALSE(),INDEX(시장분석!$R:$R,AB223)=1)),1,0))</f>
        <v>0</v>
      </c>
      <c r="AE223" s="43" t="str">
        <f aca="false">IF(AB223="","",INDEX(시장분석!$A:$A,AB223))</f>
        <v>LGENSO 5 3/8 07/02/29</v>
      </c>
      <c r="AF223" s="93" t="n">
        <f aca="false">IF(AB223="","",IF(ISNUMBER(IF(AB223="","",INDEX(시장분석!$E:$E,AB223))),IF(AB223="","",INDEX(시장분석!$E:$E,AB223)),""))</f>
        <v>73.376</v>
      </c>
      <c r="AG223" s="43" t="str">
        <f aca="false">IF(Q223&lt;&gt;1,"",IF(AB223&lt;&gt;"",IF(AB223="","",INDEX(시장분석!$L:$L,AB223)),IFERROR(IF(VLOOKUP(R223,매핑!$A$4:$E$92,5,0)="","미분류",VLOOKUP(R223,매핑!$A$4:$E$92,5,0)),"미분류")))</f>
        <v>자유 소비재</v>
      </c>
      <c r="AH223" s="43" t="str">
        <f aca="false">IF(Q223&lt;&gt;1,"",IF(AB223&lt;&gt;"",IF(AB223="","",INDEX(시장분석!$N:$N,AB223)),IFERROR(IF(VLOOKUP(R223,매핑!$A$4:$E$92,4,0)="","미분류",VLOOKUP(R223,매핑!$A$4:$E$92,4,0)),"미분류")))</f>
        <v>아시아/기타</v>
      </c>
      <c r="AI223" s="43" t="str">
        <f aca="false">IF(Q223&lt;&gt;1,"",IFERROR(IF(VLOOKUP(R223,매핑!$A$4:$E$92,3,0)="","미분류",VLOOKUP(R223,매핑!$A$4:$E$92,3,0)),IF(AB223&lt;&gt;"",IF(AB223="","",INDEX(시장분석!$W:$W,AB223)),"미분류")))</f>
        <v>한국</v>
      </c>
      <c r="AJ223" s="43" t="str">
        <f aca="false">IF(Q223&lt;&gt;1,"",IFERROR(VLOOKUP(IF(N223&lt;&gt;"",N223,IF(P223&lt;&gt;"",P223,O223)),설정!$A$15:$D$47,2,0),""))</f>
        <v>BBB</v>
      </c>
      <c r="AK223" s="43" t="str">
        <f aca="false">IF(Q223&lt;&gt;1,"",IF(AJ223="","무등급",IFERROR(VLOOKUP(AJ223,설정!$A$15:$D$47,3,0),"무등급")))</f>
        <v>BBB</v>
      </c>
      <c r="AL223" s="89" t="n">
        <f aca="false">IF(AJ223="",99,IFERROR(VLOOKUP(AJ223,설정!$A$15:$D$47,4,0),99))</f>
        <v>9</v>
      </c>
      <c r="AM223" s="94" t="n">
        <f aca="false">IF(ISNUMBER(H223),AA223*1000000*H223/10000,0)</f>
        <v>483.28426334</v>
      </c>
      <c r="AN223" s="94" t="n">
        <f aca="false">IF(OR(Y223=1,NOT(ISNUMBER(Z223))),0,AA223*1000000*Z223/10000)</f>
        <v>483.28426334</v>
      </c>
      <c r="AO223" s="94" t="n">
        <f aca="false">IF(ISNUMBER(G223),AA223*1000000*G223/100,0)</f>
        <v>113333.995972</v>
      </c>
      <c r="AP223" s="94" t="n">
        <f aca="false">IF(ISNUMBER(M223),M223*K223,0)</f>
        <v>-72006</v>
      </c>
      <c r="AQ223" s="95" t="n">
        <f aca="false">IF(AB223="","",INDEX(시장분석!$AK:$AK,AB223))</f>
        <v>0.0343903053062221</v>
      </c>
      <c r="AR223" s="43" t="str">
        <f aca="false">IF(AB223="","-",IF(AB223="","",INDEX(시장분석!$AL:$AL,AB223)))</f>
        <v>Fair</v>
      </c>
      <c r="AS223" s="96" t="n">
        <f aca="false">IF(AB223="","",INDEX(시장분석!$AJ:$AJ,AB223))</f>
        <v>0.712393143760181</v>
      </c>
      <c r="AT223" s="93" t="n">
        <f aca="false">IF(AB223="",0,IF(AB223="","",INDEX(시장분석!$AN:$AN,AB223)))</f>
        <v>19.8721156888579</v>
      </c>
      <c r="AU223" s="94" t="n">
        <f aca="false">IF(ISNUMBER(Z223),AT223/10000*MAX(Z223-1,0)*AA223*1000000,0)</f>
        <v>5664.15039349496</v>
      </c>
      <c r="AV223" s="94" t="n">
        <f aca="false">AO223+AU223</f>
        <v>118998.146365495</v>
      </c>
      <c r="AW223" s="43" t="str">
        <f aca="false">IF(Q223&lt;&gt;1,"",TRIM(IF(AD223=1,"FRN ","")&amp;IF(AND(AL223&gt;=10,AL223&lt;99),"BBB0미만 ","")&amp;IF(AJ223="","등급없음 ","")&amp;IF(K223&lt;&gt;1,"비USD ","")&amp;IF(AND(AB223="",Y223=0),"시장데이터없음 ","")&amp;IF(AND(ISNUMBER(U223),U223&lt;0),"만기경과 ","")))</f>
        <v/>
      </c>
      <c r="AX223" s="90" t="n">
        <f aca="false">IF(Q223&lt;&gt;1,1,IF(스프레드쇼크!$C$4="Y",INDEX(스프레드쇼크!$B$12:$L$16,IFERROR(MATCH(AH223,스프레드쇼크!$A$12:$A$16,0),MATCH("목록외",스프레드쇼크!$A$12:$A$16,0)),IFERROR(MATCH(AG223,스프레드쇼크!$B$11:$L$11,0),MATCH("목록외",스프레드쇼크!$B$11:$L$11,0))),1))</f>
        <v>1</v>
      </c>
      <c r="AY223" s="90" t="n">
        <f aca="false">IF(스프레드쇼크!$C$5="Y",IF(ISNUMBER(AF223),MIN(스프레드쇼크!$C$7,MAX(스프레드쇼크!$C$6,AF223/스프레드쇼크!$C$8)),1),1)</f>
        <v>1.10984047624524</v>
      </c>
      <c r="AZ223" s="94" t="n">
        <f aca="false">AN223*AX223*AY223</f>
        <v>536.368436987094</v>
      </c>
      <c r="BA223" s="90" t="n">
        <f aca="false">IF(ISNUMBER(G223),AA223*G223,0)</f>
        <v>11.3333995972</v>
      </c>
      <c r="BB223" s="90" t="n">
        <f aca="false">IF(ISNUMBER(G223),AA223,0)</f>
        <v>1.982542</v>
      </c>
      <c r="BC223" s="90" t="n">
        <f aca="false">IF(AND(Y223=0,ISNUMBER(AF223)),AA223*AF223,0)</f>
        <v>145.471001792</v>
      </c>
      <c r="BD223" s="90" t="n">
        <f aca="false">IF(AND(Y223=0,ISNUMBER(AF223)),AA223,0)</f>
        <v>1.982542</v>
      </c>
      <c r="BE223" s="90" t="n">
        <f aca="false">IF(ISNUMBER(H223),AA223*H223,0)</f>
        <v>4.8328426334</v>
      </c>
      <c r="BF223" s="90" t="n">
        <f aca="false">IF(ISNUMBER(H223),AA223,0)</f>
        <v>1.982542</v>
      </c>
      <c r="BG223" s="90" t="n">
        <f aca="false">IF(AND(Y223=0,ISNUMBER(AF223),ISNUMBER(Z223)),AA223*Z223,0)</f>
        <v>4.8328426334</v>
      </c>
      <c r="BH223" s="90" t="n">
        <f aca="false">IF(AND(Y223=0,ISNUMBER(AF223),ISNUMBER(Z223)),AA223*AT223*MAX(Z223-1,0),0)</f>
        <v>56.6415039349496</v>
      </c>
      <c r="BI223" s="90" t="n">
        <f aca="false">IF(Y223=0,AA223,0)</f>
        <v>1.982542</v>
      </c>
    </row>
    <row r="224" customFormat="false" ht="15" hidden="false" customHeight="false" outlineLevel="0" collapsed="false">
      <c r="A224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24" s="83" t="str">
        <f aca="false">IFERROR(IF(INDEX(원자료_잔고!$A$1:$EZ$1500,설정!$L$5+ROW()-1,설정!$L$7)&amp;""="0","",INDEX(원자료_잔고!$A$1:$EZ$1500,설정!$L$5+ROW()-1,설정!$L$7)&amp;""),"")</f>
        <v>USY5S5CGAL65</v>
      </c>
      <c r="C224" s="83" t="str">
        <f aca="false">IFERROR(IF(INDEX(원자료_잔고!$A$1:$EZ$1500,설정!$L$5+ROW()-1,설정!$L$9)&amp;""="0","",INDEX(원자료_잔고!$A$1:$EZ$1500,설정!$L$5+ROW()-1,설정!$L$9)&amp;""),"")</f>
        <v>34578</v>
      </c>
      <c r="D22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4" s="84" t="n">
        <f aca="false">IFERROR(IF(ISNUMBER(INDEX(원자료_잔고!$A$1:$EZ$1500,설정!$L$5+ROW()-1,설정!$L$11)),INDEX(원자료_잔고!$A$1:$EZ$1500,설정!$L$5+ROW()-1,설정!$L$11),""),"")</f>
        <v>10000000</v>
      </c>
      <c r="F224" s="85" t="n">
        <f aca="false">IFERROR(IF(ISNUMBER(INDEX(원자료_잔고!$A$1:$EZ$1500,설정!$L$5+ROW()-1,설정!$L$12)),INDEX(원자료_잔고!$A$1:$EZ$1500,설정!$L$5+ROW()-1,설정!$L$12),""),"")</f>
        <v>99.1271</v>
      </c>
      <c r="G224" s="85" t="n">
        <f aca="false">IFERROR(IF(ISNUMBER(INDEX(원자료_잔고!$A$1:$EZ$1500,설정!$L$5+ROW()-1,설정!$L$13)),INDEX(원자료_잔고!$A$1:$EZ$1500,설정!$L$5+ROW()-1,설정!$L$13),""),"")</f>
        <v>5.7166</v>
      </c>
      <c r="H224" s="85" t="n">
        <f aca="false">IFERROR(IF(ISNUMBER(INDEX(원자료_잔고!$A$1:$EZ$1500,설정!$L$5+ROW()-1,설정!$L$14)),INDEX(원자료_잔고!$A$1:$EZ$1500,설정!$L$5+ROW()-1,설정!$L$14),""),"")</f>
        <v>2.4377</v>
      </c>
      <c r="I224" s="86" t="n">
        <f aca="false">IFERROR(IF(ISNUMBER(INDEX(원자료_잔고!$A$1:$EZ$1500,설정!$L$5+ROW()-1,설정!$L$15)),INDEX(원자료_잔고!$A$1:$EZ$1500,설정!$L$5+ROW()-1,설정!$L$15),""),"")</f>
        <v>47301</v>
      </c>
      <c r="J224" s="85" t="n">
        <f aca="false">IFERROR(IF(ISNUMBER(INDEX(원자료_잔고!$A$1:$EZ$1500,설정!$L$5+ROW()-1,설정!$L$16)),INDEX(원자료_잔고!$A$1:$EZ$1500,설정!$L$5+ROW()-1,설정!$L$16),""),"")</f>
        <v>5.375</v>
      </c>
      <c r="K224" s="87" t="n">
        <f aca="false">IFERROR(IF(ISNUMBER(INDEX(원자료_잔고!$A$1:$EZ$1500,설정!$L$5+ROW()-1,설정!$L$17)),INDEX(원자료_잔고!$A$1:$EZ$1500,설정!$L$5+ROW()-1,설정!$L$17),""),"")</f>
        <v>1</v>
      </c>
      <c r="L224" s="84" t="n">
        <f aca="false">IFERROR(IF(ISNUMBER(INDEX(원자료_잔고!$A$1:$EZ$1500,설정!$L$5+ROW()-1,설정!$L$18)),INDEX(원자료_잔고!$A$1:$EZ$1500,설정!$L$5+ROW()-1,설정!$L$18),""),"")</f>
        <v>9912710</v>
      </c>
      <c r="M224" s="88" t="n">
        <f aca="false">IFERROR(IF(ISNUMBER(INDEX(원자료_잔고!$A$1:$EZ$1500,설정!$L$5+ROW()-1,설정!$L$19)),INDEX(원자료_잔고!$A$1:$EZ$1500,설정!$L$5+ROW()-1,설정!$L$19),""),"")</f>
        <v>-360030</v>
      </c>
      <c r="N224" s="83" t="str">
        <f aca="false">IFERROR(IF(INDEX(원자료_잔고!$A$1:$EZ$1500,설정!$L$5+ROW()-1,설정!$L$21)&amp;""="0","",INDEX(원자료_잔고!$A$1:$EZ$1500,설정!$L$5+ROW()-1,설정!$L$21)&amp;""),"")</f>
        <v>BBB</v>
      </c>
      <c r="O224" s="83" t="str">
        <f aca="false">IFERROR(IF(INDEX(원자료_잔고!$A$1:$EZ$1500,설정!$L$5+ROW()-1,설정!$L$22)&amp;""="0","",INDEX(원자료_잔고!$A$1:$EZ$1500,설정!$L$5+ROW()-1,설정!$L$22)&amp;""),"")</f>
        <v/>
      </c>
      <c r="P224" s="83" t="str">
        <f aca="false">IFERROR(IF(INDEX(원자료_잔고!$A$1:$EZ$1500,설정!$L$5+ROW()-1,설정!$L$23)&amp;""="0","",INDEX(원자료_잔고!$A$1:$EZ$1500,설정!$L$5+ROW()-1,설정!$L$23)&amp;""),"")</f>
        <v>N/A</v>
      </c>
      <c r="Q224" s="89" t="n">
        <f aca="false">IF(AND($A224&lt;&gt;"",ISNUMBER(E224)),IF(E224&gt;0,1,0),0)</f>
        <v>1</v>
      </c>
      <c r="R224" s="43" t="str">
        <f aca="false">IF(Q224=1,UPPER(LEFT($A224,FIND(" ",$A224&amp;" ")-1)),"")</f>
        <v>LGENSO</v>
      </c>
      <c r="S224" s="89" t="n">
        <f aca="false">IF(Q224=1,IF(OR(ISNUMBER(SEARCH("Float",$A224)),ISNUMBER(SEARCH("FRN",$A224))),1,0),0)</f>
        <v>0</v>
      </c>
      <c r="T224" s="43" t="str">
        <f aca="false">IF(AND(Q224=1,ISNUMBER(I224)),TEXT(I224,"yyyymmdd")&amp;"|"&amp;IF(S224=1,"F",TEXT(J224,"0.000")),"")</f>
        <v>20290702|5.375</v>
      </c>
      <c r="U224" s="90" t="n">
        <f aca="false">IF(AND(Q224=1,ISNUMBER(I224)),(I224-설정!$C$4)/365.25,"")</f>
        <v>2.75154004106776</v>
      </c>
      <c r="V224" s="43" t="str">
        <f aca="false">IF(Q224&lt;&gt;1,"",IF(ISNUMBER(U224),IF(U224&lt;=1,"1년 이하",IF(U224&lt;=2,"1-2년",IF(U224&lt;=3,"2-3년",IF(U224&lt;=4,"3-4년",IF(U224&lt;=5,"4-5년",IF(U224&lt;=7,"5-7년",IF(U224&lt;=10,"7-10년",IF(U224&lt;=20,"10-20년","20년 이상")))))))),"미분류"))</f>
        <v>2-3년</v>
      </c>
      <c r="W224" s="43" t="str">
        <f aca="false">IF(Q224&lt;&gt;1,"",IF(AB224&lt;&gt;"",INDEX(시장분석!$C:$C,AB224),IF(K224=1,"USD","비USD")))</f>
        <v>USD</v>
      </c>
      <c r="X224" s="91" t="n">
        <f aca="false">IF(Q224=1,E224*K224/1000000,0)</f>
        <v>10</v>
      </c>
      <c r="Y224" s="89" t="n">
        <f aca="false">IF(R224="T",1,0)</f>
        <v>0</v>
      </c>
      <c r="Z224" s="92" t="n">
        <f aca="false">IF(Q224&lt;&gt;1,"",IF(AD224=1,IF(ISNUMBER(U224),MAX(U224,0),H224),H224))</f>
        <v>2.4377</v>
      </c>
      <c r="AA224" s="91" t="n">
        <f aca="false">IF(Q224=1,IF(ISNUMBER(L224),L224,0)*K224/1000000,0)</f>
        <v>9.91271</v>
      </c>
      <c r="AB224" s="89" t="n">
        <f aca="false">IF(Q224&lt;&gt;1,"",IFERROR(MATCH(VLOOKUP(B224,매핑!$H$4:$I$15,2,0),시장분석!$A$2:$A$601,0)+1,IFERROR(MATCH(R224&amp;"|"&amp;T224,시장분석!$V$2:$V$601,0)+1,IF(COUNTIF(시장분석!$U$2:$U$601,T224)=1,MATCH(T224,시장분석!$U$2:$U$601,0)+1,""))))</f>
        <v>179</v>
      </c>
      <c r="AC224" s="89" t="n">
        <f aca="false">IF(Q224&lt;&gt;1,0,IF(OR(설정!$C$5="전체",AND(설정!$C$5="선택펀드",IFERROR(COUNTIFS(설정!$F$16:$F$36,C224,설정!$G$16:$G$36,"Y")+COUNTIFS(설정!$F$16:$F$36,VALUE(C224),설정!$G$16:$G$36,"Y"),0)&gt;0),C224&amp;""=설정!$C$5&amp;""),1,0))</f>
        <v>1</v>
      </c>
      <c r="AD224" s="89" t="n">
        <f aca="false">IF(Q224&lt;&gt;1,0,IF(OR(S224=1,IF(AB224="",FALSE(),INDEX(시장분석!$R:$R,AB224)=1)),1,0))</f>
        <v>0</v>
      </c>
      <c r="AE224" s="43" t="str">
        <f aca="false">IF(AB224="","",INDEX(시장분석!$A:$A,AB224))</f>
        <v>LGENSO 5 3/8 07/02/29</v>
      </c>
      <c r="AF224" s="93" t="n">
        <f aca="false">IF(AB224="","",IF(ISNUMBER(IF(AB224="","",INDEX(시장분석!$E:$E,AB224))),IF(AB224="","",INDEX(시장분석!$E:$E,AB224)),""))</f>
        <v>73.376</v>
      </c>
      <c r="AG224" s="43" t="str">
        <f aca="false">IF(Q224&lt;&gt;1,"",IF(AB224&lt;&gt;"",IF(AB224="","",INDEX(시장분석!$L:$L,AB224)),IFERROR(IF(VLOOKUP(R224,매핑!$A$4:$E$92,5,0)="","미분류",VLOOKUP(R224,매핑!$A$4:$E$92,5,0)),"미분류")))</f>
        <v>자유 소비재</v>
      </c>
      <c r="AH224" s="43" t="str">
        <f aca="false">IF(Q224&lt;&gt;1,"",IF(AB224&lt;&gt;"",IF(AB224="","",INDEX(시장분석!$N:$N,AB224)),IFERROR(IF(VLOOKUP(R224,매핑!$A$4:$E$92,4,0)="","미분류",VLOOKUP(R224,매핑!$A$4:$E$92,4,0)),"미분류")))</f>
        <v>아시아/기타</v>
      </c>
      <c r="AI224" s="43" t="str">
        <f aca="false">IF(Q224&lt;&gt;1,"",IFERROR(IF(VLOOKUP(R224,매핑!$A$4:$E$92,3,0)="","미분류",VLOOKUP(R224,매핑!$A$4:$E$92,3,0)),IF(AB224&lt;&gt;"",IF(AB224="","",INDEX(시장분석!$W:$W,AB224)),"미분류")))</f>
        <v>한국</v>
      </c>
      <c r="AJ224" s="43" t="str">
        <f aca="false">IF(Q224&lt;&gt;1,"",IFERROR(VLOOKUP(IF(N224&lt;&gt;"",N224,IF(P224&lt;&gt;"",P224,O224)),설정!$A$15:$D$47,2,0),""))</f>
        <v>BBB</v>
      </c>
      <c r="AK224" s="43" t="str">
        <f aca="false">IF(Q224&lt;&gt;1,"",IF(AJ224="","무등급",IFERROR(VLOOKUP(AJ224,설정!$A$15:$D$47,3,0),"무등급")))</f>
        <v>BBB</v>
      </c>
      <c r="AL224" s="89" t="n">
        <f aca="false">IF(AJ224="",99,IFERROR(VLOOKUP(AJ224,설정!$A$15:$D$47,4,0),99))</f>
        <v>9</v>
      </c>
      <c r="AM224" s="94" t="n">
        <f aca="false">IF(ISNUMBER(H224),AA224*1000000*H224/10000,0)</f>
        <v>2416.4213167</v>
      </c>
      <c r="AN224" s="94" t="n">
        <f aca="false">IF(OR(Y224=1,NOT(ISNUMBER(Z224))),0,AA224*1000000*Z224/10000)</f>
        <v>2416.4213167</v>
      </c>
      <c r="AO224" s="94" t="n">
        <f aca="false">IF(ISNUMBER(G224),AA224*1000000*G224/100,0)</f>
        <v>566669.97986</v>
      </c>
      <c r="AP224" s="94" t="n">
        <f aca="false">IF(ISNUMBER(M224),M224*K224,0)</f>
        <v>-360030</v>
      </c>
      <c r="AQ224" s="95" t="n">
        <f aca="false">IF(AB224="","",INDEX(시장분석!$AK:$AK,AB224))</f>
        <v>0.0343903053062221</v>
      </c>
      <c r="AR224" s="43" t="str">
        <f aca="false">IF(AB224="","-",IF(AB224="","",INDEX(시장분석!$AL:$AL,AB224)))</f>
        <v>Fair</v>
      </c>
      <c r="AS224" s="96" t="n">
        <f aca="false">IF(AB224="","",INDEX(시장분석!$AJ:$AJ,AB224))</f>
        <v>0.712393143760181</v>
      </c>
      <c r="AT224" s="93" t="n">
        <f aca="false">IF(AB224="",0,IF(AB224="","",INDEX(시장분석!$AN:$AN,AB224)))</f>
        <v>19.8721156888579</v>
      </c>
      <c r="AU224" s="94" t="n">
        <f aca="false">IF(ISNUMBER(Z224),AT224/10000*MAX(Z224-1,0)*AA224*1000000,0)</f>
        <v>28320.7519674748</v>
      </c>
      <c r="AV224" s="94" t="n">
        <f aca="false">AO224+AU224</f>
        <v>594990.731827475</v>
      </c>
      <c r="AW224" s="43" t="str">
        <f aca="false">IF(Q224&lt;&gt;1,"",TRIM(IF(AD224=1,"FRN ","")&amp;IF(AND(AL224&gt;=10,AL224&lt;99),"BBB0미만 ","")&amp;IF(AJ224="","등급없음 ","")&amp;IF(K224&lt;&gt;1,"비USD ","")&amp;IF(AND(AB224="",Y224=0),"시장데이터없음 ","")&amp;IF(AND(ISNUMBER(U224),U224&lt;0),"만기경과 ","")))</f>
        <v/>
      </c>
      <c r="AX224" s="90" t="n">
        <f aca="false">IF(Q224&lt;&gt;1,1,IF(스프레드쇼크!$C$4="Y",INDEX(스프레드쇼크!$B$12:$L$16,IFERROR(MATCH(AH224,스프레드쇼크!$A$12:$A$16,0),MATCH("목록외",스프레드쇼크!$A$12:$A$16,0)),IFERROR(MATCH(AG224,스프레드쇼크!$B$11:$L$11,0),MATCH("목록외",스프레드쇼크!$B$11:$L$11,0))),1))</f>
        <v>1</v>
      </c>
      <c r="AY224" s="90" t="n">
        <f aca="false">IF(스프레드쇼크!$C$5="Y",IF(ISNUMBER(AF224),MIN(스프레드쇼크!$C$7,MAX(스프레드쇼크!$C$6,AF224/스프레드쇼크!$C$8)),1),1)</f>
        <v>1.10984047624524</v>
      </c>
      <c r="AZ224" s="94" t="n">
        <f aca="false">AN224*AX224*AY224</f>
        <v>2681.84218493547</v>
      </c>
      <c r="BA224" s="90" t="n">
        <f aca="false">IF(ISNUMBER(G224),AA224*G224,0)</f>
        <v>56.666997986</v>
      </c>
      <c r="BB224" s="90" t="n">
        <f aca="false">IF(ISNUMBER(G224),AA224,0)</f>
        <v>9.91271</v>
      </c>
      <c r="BC224" s="90" t="n">
        <f aca="false">IF(AND(Y224=0,ISNUMBER(AF224)),AA224*AF224,0)</f>
        <v>727.35500896</v>
      </c>
      <c r="BD224" s="90" t="n">
        <f aca="false">IF(AND(Y224=0,ISNUMBER(AF224)),AA224,0)</f>
        <v>9.91271</v>
      </c>
      <c r="BE224" s="90" t="n">
        <f aca="false">IF(ISNUMBER(H224),AA224*H224,0)</f>
        <v>24.164213167</v>
      </c>
      <c r="BF224" s="90" t="n">
        <f aca="false">IF(ISNUMBER(H224),AA224,0)</f>
        <v>9.91271</v>
      </c>
      <c r="BG224" s="90" t="n">
        <f aca="false">IF(AND(Y224=0,ISNUMBER(AF224),ISNUMBER(Z224)),AA224*Z224,0)</f>
        <v>24.164213167</v>
      </c>
      <c r="BH224" s="90" t="n">
        <f aca="false">IF(AND(Y224=0,ISNUMBER(AF224),ISNUMBER(Z224)),AA224*AT224*MAX(Z224-1,0),0)</f>
        <v>283.207519674748</v>
      </c>
      <c r="BI224" s="90" t="n">
        <f aca="false">IF(Y224=0,AA224,0)</f>
        <v>9.91271</v>
      </c>
    </row>
    <row r="225" customFormat="false" ht="15" hidden="false" customHeight="false" outlineLevel="0" collapsed="false">
      <c r="A225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25" s="83" t="str">
        <f aca="false">IFERROR(IF(INDEX(원자료_잔고!$A$1:$EZ$1500,설정!$L$5+ROW()-1,설정!$L$7)&amp;""="0","",INDEX(원자료_잔고!$A$1:$EZ$1500,설정!$L$5+ROW()-1,설정!$L$7)&amp;""),"")</f>
        <v>USY5S5CGAL65</v>
      </c>
      <c r="C225" s="83" t="str">
        <f aca="false">IFERROR(IF(INDEX(원자료_잔고!$A$1:$EZ$1500,설정!$L$5+ROW()-1,설정!$L$9)&amp;""="0","",INDEX(원자료_잔고!$A$1:$EZ$1500,설정!$L$5+ROW()-1,설정!$L$9)&amp;""),"")</f>
        <v>34578</v>
      </c>
      <c r="D22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5" s="84" t="n">
        <f aca="false">IFERROR(IF(ISNUMBER(INDEX(원자료_잔고!$A$1:$EZ$1500,설정!$L$5+ROW()-1,설정!$L$11)),INDEX(원자료_잔고!$A$1:$EZ$1500,설정!$L$5+ROW()-1,설정!$L$11),""),"")</f>
        <v>5000000</v>
      </c>
      <c r="F225" s="85" t="n">
        <f aca="false">IFERROR(IF(ISNUMBER(INDEX(원자료_잔고!$A$1:$EZ$1500,설정!$L$5+ROW()-1,설정!$L$12)),INDEX(원자료_잔고!$A$1:$EZ$1500,설정!$L$5+ROW()-1,설정!$L$12),""),"")</f>
        <v>99.1271</v>
      </c>
      <c r="G225" s="85" t="n">
        <f aca="false">IFERROR(IF(ISNUMBER(INDEX(원자료_잔고!$A$1:$EZ$1500,설정!$L$5+ROW()-1,설정!$L$13)),INDEX(원자료_잔고!$A$1:$EZ$1500,설정!$L$5+ROW()-1,설정!$L$13),""),"")</f>
        <v>5.7166</v>
      </c>
      <c r="H225" s="85" t="n">
        <f aca="false">IFERROR(IF(ISNUMBER(INDEX(원자료_잔고!$A$1:$EZ$1500,설정!$L$5+ROW()-1,설정!$L$14)),INDEX(원자료_잔고!$A$1:$EZ$1500,설정!$L$5+ROW()-1,설정!$L$14),""),"")</f>
        <v>2.4377</v>
      </c>
      <c r="I225" s="86" t="n">
        <f aca="false">IFERROR(IF(ISNUMBER(INDEX(원자료_잔고!$A$1:$EZ$1500,설정!$L$5+ROW()-1,설정!$L$15)),INDEX(원자료_잔고!$A$1:$EZ$1500,설정!$L$5+ROW()-1,설정!$L$15),""),"")</f>
        <v>47301</v>
      </c>
      <c r="J225" s="85" t="n">
        <f aca="false">IFERROR(IF(ISNUMBER(INDEX(원자료_잔고!$A$1:$EZ$1500,설정!$L$5+ROW()-1,설정!$L$16)),INDEX(원자료_잔고!$A$1:$EZ$1500,설정!$L$5+ROW()-1,설정!$L$16),""),"")</f>
        <v>5.375</v>
      </c>
      <c r="K225" s="87" t="n">
        <f aca="false">IFERROR(IF(ISNUMBER(INDEX(원자료_잔고!$A$1:$EZ$1500,설정!$L$5+ROW()-1,설정!$L$17)),INDEX(원자료_잔고!$A$1:$EZ$1500,설정!$L$5+ROW()-1,설정!$L$17),""),"")</f>
        <v>1</v>
      </c>
      <c r="L225" s="84" t="n">
        <f aca="false">IFERROR(IF(ISNUMBER(INDEX(원자료_잔고!$A$1:$EZ$1500,설정!$L$5+ROW()-1,설정!$L$18)),INDEX(원자료_잔고!$A$1:$EZ$1500,설정!$L$5+ROW()-1,설정!$L$18),""),"")</f>
        <v>4956355</v>
      </c>
      <c r="M225" s="88" t="n">
        <f aca="false">IFERROR(IF(ISNUMBER(INDEX(원자료_잔고!$A$1:$EZ$1500,설정!$L$5+ROW()-1,설정!$L$19)),INDEX(원자료_잔고!$A$1:$EZ$1500,설정!$L$5+ROW()-1,설정!$L$19),""),"")</f>
        <v>-180015</v>
      </c>
      <c r="N225" s="83" t="str">
        <f aca="false">IFERROR(IF(INDEX(원자료_잔고!$A$1:$EZ$1500,설정!$L$5+ROW()-1,설정!$L$21)&amp;""="0","",INDEX(원자료_잔고!$A$1:$EZ$1500,설정!$L$5+ROW()-1,설정!$L$21)&amp;""),"")</f>
        <v>BBB</v>
      </c>
      <c r="O225" s="83" t="str">
        <f aca="false">IFERROR(IF(INDEX(원자료_잔고!$A$1:$EZ$1500,설정!$L$5+ROW()-1,설정!$L$22)&amp;""="0","",INDEX(원자료_잔고!$A$1:$EZ$1500,설정!$L$5+ROW()-1,설정!$L$22)&amp;""),"")</f>
        <v/>
      </c>
      <c r="P225" s="83" t="str">
        <f aca="false">IFERROR(IF(INDEX(원자료_잔고!$A$1:$EZ$1500,설정!$L$5+ROW()-1,설정!$L$23)&amp;""="0","",INDEX(원자료_잔고!$A$1:$EZ$1500,설정!$L$5+ROW()-1,설정!$L$23)&amp;""),"")</f>
        <v>N/A</v>
      </c>
      <c r="Q225" s="89" t="n">
        <f aca="false">IF(AND($A225&lt;&gt;"",ISNUMBER(E225)),IF(E225&gt;0,1,0),0)</f>
        <v>1</v>
      </c>
      <c r="R225" s="43" t="str">
        <f aca="false">IF(Q225=1,UPPER(LEFT($A225,FIND(" ",$A225&amp;" ")-1)),"")</f>
        <v>LGENSO</v>
      </c>
      <c r="S225" s="89" t="n">
        <f aca="false">IF(Q225=1,IF(OR(ISNUMBER(SEARCH("Float",$A225)),ISNUMBER(SEARCH("FRN",$A225))),1,0),0)</f>
        <v>0</v>
      </c>
      <c r="T225" s="43" t="str">
        <f aca="false">IF(AND(Q225=1,ISNUMBER(I225)),TEXT(I225,"yyyymmdd")&amp;"|"&amp;IF(S225=1,"F",TEXT(J225,"0.000")),"")</f>
        <v>20290702|5.375</v>
      </c>
      <c r="U225" s="90" t="n">
        <f aca="false">IF(AND(Q225=1,ISNUMBER(I225)),(I225-설정!$C$4)/365.25,"")</f>
        <v>2.75154004106776</v>
      </c>
      <c r="V225" s="43" t="str">
        <f aca="false">IF(Q225&lt;&gt;1,"",IF(ISNUMBER(U225),IF(U225&lt;=1,"1년 이하",IF(U225&lt;=2,"1-2년",IF(U225&lt;=3,"2-3년",IF(U225&lt;=4,"3-4년",IF(U225&lt;=5,"4-5년",IF(U225&lt;=7,"5-7년",IF(U225&lt;=10,"7-10년",IF(U225&lt;=20,"10-20년","20년 이상")))))))),"미분류"))</f>
        <v>2-3년</v>
      </c>
      <c r="W225" s="43" t="str">
        <f aca="false">IF(Q225&lt;&gt;1,"",IF(AB225&lt;&gt;"",INDEX(시장분석!$C:$C,AB225),IF(K225=1,"USD","비USD")))</f>
        <v>USD</v>
      </c>
      <c r="X225" s="91" t="n">
        <f aca="false">IF(Q225=1,E225*K225/1000000,0)</f>
        <v>5</v>
      </c>
      <c r="Y225" s="89" t="n">
        <f aca="false">IF(R225="T",1,0)</f>
        <v>0</v>
      </c>
      <c r="Z225" s="92" t="n">
        <f aca="false">IF(Q225&lt;&gt;1,"",IF(AD225=1,IF(ISNUMBER(U225),MAX(U225,0),H225),H225))</f>
        <v>2.4377</v>
      </c>
      <c r="AA225" s="91" t="n">
        <f aca="false">IF(Q225=1,IF(ISNUMBER(L225),L225,0)*K225/1000000,0)</f>
        <v>4.956355</v>
      </c>
      <c r="AB225" s="89" t="n">
        <f aca="false">IF(Q225&lt;&gt;1,"",IFERROR(MATCH(VLOOKUP(B225,매핑!$H$4:$I$15,2,0),시장분석!$A$2:$A$601,0)+1,IFERROR(MATCH(R225&amp;"|"&amp;T225,시장분석!$V$2:$V$601,0)+1,IF(COUNTIF(시장분석!$U$2:$U$601,T225)=1,MATCH(T225,시장분석!$U$2:$U$601,0)+1,""))))</f>
        <v>179</v>
      </c>
      <c r="AC225" s="89" t="n">
        <f aca="false">IF(Q225&lt;&gt;1,0,IF(OR(설정!$C$5="전체",AND(설정!$C$5="선택펀드",IFERROR(COUNTIFS(설정!$F$16:$F$36,C225,설정!$G$16:$G$36,"Y")+COUNTIFS(설정!$F$16:$F$36,VALUE(C225),설정!$G$16:$G$36,"Y"),0)&gt;0),C225&amp;""=설정!$C$5&amp;""),1,0))</f>
        <v>1</v>
      </c>
      <c r="AD225" s="89" t="n">
        <f aca="false">IF(Q225&lt;&gt;1,0,IF(OR(S225=1,IF(AB225="",FALSE(),INDEX(시장분석!$R:$R,AB225)=1)),1,0))</f>
        <v>0</v>
      </c>
      <c r="AE225" s="43" t="str">
        <f aca="false">IF(AB225="","",INDEX(시장분석!$A:$A,AB225))</f>
        <v>LGENSO 5 3/8 07/02/29</v>
      </c>
      <c r="AF225" s="93" t="n">
        <f aca="false">IF(AB225="","",IF(ISNUMBER(IF(AB225="","",INDEX(시장분석!$E:$E,AB225))),IF(AB225="","",INDEX(시장분석!$E:$E,AB225)),""))</f>
        <v>73.376</v>
      </c>
      <c r="AG225" s="43" t="str">
        <f aca="false">IF(Q225&lt;&gt;1,"",IF(AB225&lt;&gt;"",IF(AB225="","",INDEX(시장분석!$L:$L,AB225)),IFERROR(IF(VLOOKUP(R225,매핑!$A$4:$E$92,5,0)="","미분류",VLOOKUP(R225,매핑!$A$4:$E$92,5,0)),"미분류")))</f>
        <v>자유 소비재</v>
      </c>
      <c r="AH225" s="43" t="str">
        <f aca="false">IF(Q225&lt;&gt;1,"",IF(AB225&lt;&gt;"",IF(AB225="","",INDEX(시장분석!$N:$N,AB225)),IFERROR(IF(VLOOKUP(R225,매핑!$A$4:$E$92,4,0)="","미분류",VLOOKUP(R225,매핑!$A$4:$E$92,4,0)),"미분류")))</f>
        <v>아시아/기타</v>
      </c>
      <c r="AI225" s="43" t="str">
        <f aca="false">IF(Q225&lt;&gt;1,"",IFERROR(IF(VLOOKUP(R225,매핑!$A$4:$E$92,3,0)="","미분류",VLOOKUP(R225,매핑!$A$4:$E$92,3,0)),IF(AB225&lt;&gt;"",IF(AB225="","",INDEX(시장분석!$W:$W,AB225)),"미분류")))</f>
        <v>한국</v>
      </c>
      <c r="AJ225" s="43" t="str">
        <f aca="false">IF(Q225&lt;&gt;1,"",IFERROR(VLOOKUP(IF(N225&lt;&gt;"",N225,IF(P225&lt;&gt;"",P225,O225)),설정!$A$15:$D$47,2,0),""))</f>
        <v>BBB</v>
      </c>
      <c r="AK225" s="43" t="str">
        <f aca="false">IF(Q225&lt;&gt;1,"",IF(AJ225="","무등급",IFERROR(VLOOKUP(AJ225,설정!$A$15:$D$47,3,0),"무등급")))</f>
        <v>BBB</v>
      </c>
      <c r="AL225" s="89" t="n">
        <f aca="false">IF(AJ225="",99,IFERROR(VLOOKUP(AJ225,설정!$A$15:$D$47,4,0),99))</f>
        <v>9</v>
      </c>
      <c r="AM225" s="94" t="n">
        <f aca="false">IF(ISNUMBER(H225),AA225*1000000*H225/10000,0)</f>
        <v>1208.21065835</v>
      </c>
      <c r="AN225" s="94" t="n">
        <f aca="false">IF(OR(Y225=1,NOT(ISNUMBER(Z225))),0,AA225*1000000*Z225/10000)</f>
        <v>1208.21065835</v>
      </c>
      <c r="AO225" s="94" t="n">
        <f aca="false">IF(ISNUMBER(G225),AA225*1000000*G225/100,0)</f>
        <v>283334.98993</v>
      </c>
      <c r="AP225" s="94" t="n">
        <f aca="false">IF(ISNUMBER(M225),M225*K225,0)</f>
        <v>-180015</v>
      </c>
      <c r="AQ225" s="95" t="n">
        <f aca="false">IF(AB225="","",INDEX(시장분석!$AK:$AK,AB225))</f>
        <v>0.0343903053062221</v>
      </c>
      <c r="AR225" s="43" t="str">
        <f aca="false">IF(AB225="","-",IF(AB225="","",INDEX(시장분석!$AL:$AL,AB225)))</f>
        <v>Fair</v>
      </c>
      <c r="AS225" s="96" t="n">
        <f aca="false">IF(AB225="","",INDEX(시장분석!$AJ:$AJ,AB225))</f>
        <v>0.712393143760181</v>
      </c>
      <c r="AT225" s="93" t="n">
        <f aca="false">IF(AB225="",0,IF(AB225="","",INDEX(시장분석!$AN:$AN,AB225)))</f>
        <v>19.8721156888579</v>
      </c>
      <c r="AU225" s="94" t="n">
        <f aca="false">IF(ISNUMBER(Z225),AT225/10000*MAX(Z225-1,0)*AA225*1000000,0)</f>
        <v>14160.3759837374</v>
      </c>
      <c r="AV225" s="94" t="n">
        <f aca="false">AO225+AU225</f>
        <v>297495.365913737</v>
      </c>
      <c r="AW225" s="43" t="str">
        <f aca="false">IF(Q225&lt;&gt;1,"",TRIM(IF(AD225=1,"FRN ","")&amp;IF(AND(AL225&gt;=10,AL225&lt;99),"BBB0미만 ","")&amp;IF(AJ225="","등급없음 ","")&amp;IF(K225&lt;&gt;1,"비USD ","")&amp;IF(AND(AB225="",Y225=0),"시장데이터없음 ","")&amp;IF(AND(ISNUMBER(U225),U225&lt;0),"만기경과 ","")))</f>
        <v/>
      </c>
      <c r="AX225" s="90" t="n">
        <f aca="false">IF(Q225&lt;&gt;1,1,IF(스프레드쇼크!$C$4="Y",INDEX(스프레드쇼크!$B$12:$L$16,IFERROR(MATCH(AH225,스프레드쇼크!$A$12:$A$16,0),MATCH("목록외",스프레드쇼크!$A$12:$A$16,0)),IFERROR(MATCH(AG225,스프레드쇼크!$B$11:$L$11,0),MATCH("목록외",스프레드쇼크!$B$11:$L$11,0))),1))</f>
        <v>1</v>
      </c>
      <c r="AY225" s="90" t="n">
        <f aca="false">IF(스프레드쇼크!$C$5="Y",IF(ISNUMBER(AF225),MIN(스프레드쇼크!$C$7,MAX(스프레드쇼크!$C$6,AF225/스프레드쇼크!$C$8)),1),1)</f>
        <v>1.10984047624524</v>
      </c>
      <c r="AZ225" s="94" t="n">
        <f aca="false">AN225*AX225*AY225</f>
        <v>1340.92109246773</v>
      </c>
      <c r="BA225" s="90" t="n">
        <f aca="false">IF(ISNUMBER(G225),AA225*G225,0)</f>
        <v>28.333498993</v>
      </c>
      <c r="BB225" s="90" t="n">
        <f aca="false">IF(ISNUMBER(G225),AA225,0)</f>
        <v>4.956355</v>
      </c>
      <c r="BC225" s="90" t="n">
        <f aca="false">IF(AND(Y225=0,ISNUMBER(AF225)),AA225*AF225,0)</f>
        <v>363.67750448</v>
      </c>
      <c r="BD225" s="90" t="n">
        <f aca="false">IF(AND(Y225=0,ISNUMBER(AF225)),AA225,0)</f>
        <v>4.956355</v>
      </c>
      <c r="BE225" s="90" t="n">
        <f aca="false">IF(ISNUMBER(H225),AA225*H225,0)</f>
        <v>12.0821065835</v>
      </c>
      <c r="BF225" s="90" t="n">
        <f aca="false">IF(ISNUMBER(H225),AA225,0)</f>
        <v>4.956355</v>
      </c>
      <c r="BG225" s="90" t="n">
        <f aca="false">IF(AND(Y225=0,ISNUMBER(AF225),ISNUMBER(Z225)),AA225*Z225,0)</f>
        <v>12.0821065835</v>
      </c>
      <c r="BH225" s="90" t="n">
        <f aca="false">IF(AND(Y225=0,ISNUMBER(AF225),ISNUMBER(Z225)),AA225*AT225*MAX(Z225-1,0),0)</f>
        <v>141.603759837374</v>
      </c>
      <c r="BI225" s="90" t="n">
        <f aca="false">IF(Y225=0,AA225,0)</f>
        <v>4.956355</v>
      </c>
    </row>
    <row r="226" customFormat="false" ht="15" hidden="false" customHeight="false" outlineLevel="0" collapsed="false">
      <c r="A226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26" s="83" t="str">
        <f aca="false">IFERROR(IF(INDEX(원자료_잔고!$A$1:$EZ$1500,설정!$L$5+ROW()-1,설정!$L$7)&amp;""="0","",INDEX(원자료_잔고!$A$1:$EZ$1500,설정!$L$5+ROW()-1,설정!$L$7)&amp;""),"")</f>
        <v>USY5S5CGAL65</v>
      </c>
      <c r="C226" s="83" t="str">
        <f aca="false">IFERROR(IF(INDEX(원자료_잔고!$A$1:$EZ$1500,설정!$L$5+ROW()-1,설정!$L$9)&amp;""="0","",INDEX(원자료_잔고!$A$1:$EZ$1500,설정!$L$5+ROW()-1,설정!$L$9)&amp;""),"")</f>
        <v>34578</v>
      </c>
      <c r="D22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6" s="84" t="n">
        <f aca="false">IFERROR(IF(ISNUMBER(INDEX(원자료_잔고!$A$1:$EZ$1500,설정!$L$5+ROW()-1,설정!$L$11)),INDEX(원자료_잔고!$A$1:$EZ$1500,설정!$L$5+ROW()-1,설정!$L$11),""),"")</f>
        <v>3000000</v>
      </c>
      <c r="F226" s="85" t="n">
        <f aca="false">IFERROR(IF(ISNUMBER(INDEX(원자료_잔고!$A$1:$EZ$1500,설정!$L$5+ROW()-1,설정!$L$12)),INDEX(원자료_잔고!$A$1:$EZ$1500,설정!$L$5+ROW()-1,설정!$L$12),""),"")</f>
        <v>99.1271</v>
      </c>
      <c r="G226" s="85" t="n">
        <f aca="false">IFERROR(IF(ISNUMBER(INDEX(원자료_잔고!$A$1:$EZ$1500,설정!$L$5+ROW()-1,설정!$L$13)),INDEX(원자료_잔고!$A$1:$EZ$1500,설정!$L$5+ROW()-1,설정!$L$13),""),"")</f>
        <v>5.7166</v>
      </c>
      <c r="H226" s="85" t="n">
        <f aca="false">IFERROR(IF(ISNUMBER(INDEX(원자료_잔고!$A$1:$EZ$1500,설정!$L$5+ROW()-1,설정!$L$14)),INDEX(원자료_잔고!$A$1:$EZ$1500,설정!$L$5+ROW()-1,설정!$L$14),""),"")</f>
        <v>2.4377</v>
      </c>
      <c r="I226" s="86" t="n">
        <f aca="false">IFERROR(IF(ISNUMBER(INDEX(원자료_잔고!$A$1:$EZ$1500,설정!$L$5+ROW()-1,설정!$L$15)),INDEX(원자료_잔고!$A$1:$EZ$1500,설정!$L$5+ROW()-1,설정!$L$15),""),"")</f>
        <v>47301</v>
      </c>
      <c r="J226" s="85" t="n">
        <f aca="false">IFERROR(IF(ISNUMBER(INDEX(원자료_잔고!$A$1:$EZ$1500,설정!$L$5+ROW()-1,설정!$L$16)),INDEX(원자료_잔고!$A$1:$EZ$1500,설정!$L$5+ROW()-1,설정!$L$16),""),"")</f>
        <v>5.375</v>
      </c>
      <c r="K226" s="87" t="n">
        <f aca="false">IFERROR(IF(ISNUMBER(INDEX(원자료_잔고!$A$1:$EZ$1500,설정!$L$5+ROW()-1,설정!$L$17)),INDEX(원자료_잔고!$A$1:$EZ$1500,설정!$L$5+ROW()-1,설정!$L$17),""),"")</f>
        <v>1</v>
      </c>
      <c r="L226" s="84" t="n">
        <f aca="false">IFERROR(IF(ISNUMBER(INDEX(원자료_잔고!$A$1:$EZ$1500,설정!$L$5+ROW()-1,설정!$L$18)),INDEX(원자료_잔고!$A$1:$EZ$1500,설정!$L$5+ROW()-1,설정!$L$18),""),"")</f>
        <v>2973813</v>
      </c>
      <c r="M226" s="88" t="n">
        <f aca="false">IFERROR(IF(ISNUMBER(INDEX(원자료_잔고!$A$1:$EZ$1500,설정!$L$5+ROW()-1,설정!$L$19)),INDEX(원자료_잔고!$A$1:$EZ$1500,설정!$L$5+ROW()-1,설정!$L$19),""),"")</f>
        <v>-108009</v>
      </c>
      <c r="N226" s="83" t="str">
        <f aca="false">IFERROR(IF(INDEX(원자료_잔고!$A$1:$EZ$1500,설정!$L$5+ROW()-1,설정!$L$21)&amp;""="0","",INDEX(원자료_잔고!$A$1:$EZ$1500,설정!$L$5+ROW()-1,설정!$L$21)&amp;""),"")</f>
        <v>BBB</v>
      </c>
      <c r="O226" s="83" t="str">
        <f aca="false">IFERROR(IF(INDEX(원자료_잔고!$A$1:$EZ$1500,설정!$L$5+ROW()-1,설정!$L$22)&amp;""="0","",INDEX(원자료_잔고!$A$1:$EZ$1500,설정!$L$5+ROW()-1,설정!$L$22)&amp;""),"")</f>
        <v/>
      </c>
      <c r="P226" s="83" t="str">
        <f aca="false">IFERROR(IF(INDEX(원자료_잔고!$A$1:$EZ$1500,설정!$L$5+ROW()-1,설정!$L$23)&amp;""="0","",INDEX(원자료_잔고!$A$1:$EZ$1500,설정!$L$5+ROW()-1,설정!$L$23)&amp;""),"")</f>
        <v>N/A</v>
      </c>
      <c r="Q226" s="89" t="n">
        <f aca="false">IF(AND($A226&lt;&gt;"",ISNUMBER(E226)),IF(E226&gt;0,1,0),0)</f>
        <v>1</v>
      </c>
      <c r="R226" s="43" t="str">
        <f aca="false">IF(Q226=1,UPPER(LEFT($A226,FIND(" ",$A226&amp;" ")-1)),"")</f>
        <v>LGENSO</v>
      </c>
      <c r="S226" s="89" t="n">
        <f aca="false">IF(Q226=1,IF(OR(ISNUMBER(SEARCH("Float",$A226)),ISNUMBER(SEARCH("FRN",$A226))),1,0),0)</f>
        <v>0</v>
      </c>
      <c r="T226" s="43" t="str">
        <f aca="false">IF(AND(Q226=1,ISNUMBER(I226)),TEXT(I226,"yyyymmdd")&amp;"|"&amp;IF(S226=1,"F",TEXT(J226,"0.000")),"")</f>
        <v>20290702|5.375</v>
      </c>
      <c r="U226" s="90" t="n">
        <f aca="false">IF(AND(Q226=1,ISNUMBER(I226)),(I226-설정!$C$4)/365.25,"")</f>
        <v>2.75154004106776</v>
      </c>
      <c r="V226" s="43" t="str">
        <f aca="false">IF(Q226&lt;&gt;1,"",IF(ISNUMBER(U226),IF(U226&lt;=1,"1년 이하",IF(U226&lt;=2,"1-2년",IF(U226&lt;=3,"2-3년",IF(U226&lt;=4,"3-4년",IF(U226&lt;=5,"4-5년",IF(U226&lt;=7,"5-7년",IF(U226&lt;=10,"7-10년",IF(U226&lt;=20,"10-20년","20년 이상")))))))),"미분류"))</f>
        <v>2-3년</v>
      </c>
      <c r="W226" s="43" t="str">
        <f aca="false">IF(Q226&lt;&gt;1,"",IF(AB226&lt;&gt;"",INDEX(시장분석!$C:$C,AB226),IF(K226=1,"USD","비USD")))</f>
        <v>USD</v>
      </c>
      <c r="X226" s="91" t="n">
        <f aca="false">IF(Q226=1,E226*K226/1000000,0)</f>
        <v>3</v>
      </c>
      <c r="Y226" s="89" t="n">
        <f aca="false">IF(R226="T",1,0)</f>
        <v>0</v>
      </c>
      <c r="Z226" s="92" t="n">
        <f aca="false">IF(Q226&lt;&gt;1,"",IF(AD226=1,IF(ISNUMBER(U226),MAX(U226,0),H226),H226))</f>
        <v>2.4377</v>
      </c>
      <c r="AA226" s="91" t="n">
        <f aca="false">IF(Q226=1,IF(ISNUMBER(L226),L226,0)*K226/1000000,0)</f>
        <v>2.973813</v>
      </c>
      <c r="AB226" s="89" t="n">
        <f aca="false">IF(Q226&lt;&gt;1,"",IFERROR(MATCH(VLOOKUP(B226,매핑!$H$4:$I$15,2,0),시장분석!$A$2:$A$601,0)+1,IFERROR(MATCH(R226&amp;"|"&amp;T226,시장분석!$V$2:$V$601,0)+1,IF(COUNTIF(시장분석!$U$2:$U$601,T226)=1,MATCH(T226,시장분석!$U$2:$U$601,0)+1,""))))</f>
        <v>179</v>
      </c>
      <c r="AC226" s="89" t="n">
        <f aca="false">IF(Q226&lt;&gt;1,0,IF(OR(설정!$C$5="전체",AND(설정!$C$5="선택펀드",IFERROR(COUNTIFS(설정!$F$16:$F$36,C226,설정!$G$16:$G$36,"Y")+COUNTIFS(설정!$F$16:$F$36,VALUE(C226),설정!$G$16:$G$36,"Y"),0)&gt;0),C226&amp;""=설정!$C$5&amp;""),1,0))</f>
        <v>1</v>
      </c>
      <c r="AD226" s="89" t="n">
        <f aca="false">IF(Q226&lt;&gt;1,0,IF(OR(S226=1,IF(AB226="",FALSE(),INDEX(시장분석!$R:$R,AB226)=1)),1,0))</f>
        <v>0</v>
      </c>
      <c r="AE226" s="43" t="str">
        <f aca="false">IF(AB226="","",INDEX(시장분석!$A:$A,AB226))</f>
        <v>LGENSO 5 3/8 07/02/29</v>
      </c>
      <c r="AF226" s="93" t="n">
        <f aca="false">IF(AB226="","",IF(ISNUMBER(IF(AB226="","",INDEX(시장분석!$E:$E,AB226))),IF(AB226="","",INDEX(시장분석!$E:$E,AB226)),""))</f>
        <v>73.376</v>
      </c>
      <c r="AG226" s="43" t="str">
        <f aca="false">IF(Q226&lt;&gt;1,"",IF(AB226&lt;&gt;"",IF(AB226="","",INDEX(시장분석!$L:$L,AB226)),IFERROR(IF(VLOOKUP(R226,매핑!$A$4:$E$92,5,0)="","미분류",VLOOKUP(R226,매핑!$A$4:$E$92,5,0)),"미분류")))</f>
        <v>자유 소비재</v>
      </c>
      <c r="AH226" s="43" t="str">
        <f aca="false">IF(Q226&lt;&gt;1,"",IF(AB226&lt;&gt;"",IF(AB226="","",INDEX(시장분석!$N:$N,AB226)),IFERROR(IF(VLOOKUP(R226,매핑!$A$4:$E$92,4,0)="","미분류",VLOOKUP(R226,매핑!$A$4:$E$92,4,0)),"미분류")))</f>
        <v>아시아/기타</v>
      </c>
      <c r="AI226" s="43" t="str">
        <f aca="false">IF(Q226&lt;&gt;1,"",IFERROR(IF(VLOOKUP(R226,매핑!$A$4:$E$92,3,0)="","미분류",VLOOKUP(R226,매핑!$A$4:$E$92,3,0)),IF(AB226&lt;&gt;"",IF(AB226="","",INDEX(시장분석!$W:$W,AB226)),"미분류")))</f>
        <v>한국</v>
      </c>
      <c r="AJ226" s="43" t="str">
        <f aca="false">IF(Q226&lt;&gt;1,"",IFERROR(VLOOKUP(IF(N226&lt;&gt;"",N226,IF(P226&lt;&gt;"",P226,O226)),설정!$A$15:$D$47,2,0),""))</f>
        <v>BBB</v>
      </c>
      <c r="AK226" s="43" t="str">
        <f aca="false">IF(Q226&lt;&gt;1,"",IF(AJ226="","무등급",IFERROR(VLOOKUP(AJ226,설정!$A$15:$D$47,3,0),"무등급")))</f>
        <v>BBB</v>
      </c>
      <c r="AL226" s="89" t="n">
        <f aca="false">IF(AJ226="",99,IFERROR(VLOOKUP(AJ226,설정!$A$15:$D$47,4,0),99))</f>
        <v>9</v>
      </c>
      <c r="AM226" s="94" t="n">
        <f aca="false">IF(ISNUMBER(H226),AA226*1000000*H226/10000,0)</f>
        <v>724.92639501</v>
      </c>
      <c r="AN226" s="94" t="n">
        <f aca="false">IF(OR(Y226=1,NOT(ISNUMBER(Z226))),0,AA226*1000000*Z226/10000)</f>
        <v>724.92639501</v>
      </c>
      <c r="AO226" s="94" t="n">
        <f aca="false">IF(ISNUMBER(G226),AA226*1000000*G226/100,0)</f>
        <v>170000.993958</v>
      </c>
      <c r="AP226" s="94" t="n">
        <f aca="false">IF(ISNUMBER(M226),M226*K226,0)</f>
        <v>-108009</v>
      </c>
      <c r="AQ226" s="95" t="n">
        <f aca="false">IF(AB226="","",INDEX(시장분석!$AK:$AK,AB226))</f>
        <v>0.0343903053062221</v>
      </c>
      <c r="AR226" s="43" t="str">
        <f aca="false">IF(AB226="","-",IF(AB226="","",INDEX(시장분석!$AL:$AL,AB226)))</f>
        <v>Fair</v>
      </c>
      <c r="AS226" s="96" t="n">
        <f aca="false">IF(AB226="","",INDEX(시장분석!$AJ:$AJ,AB226))</f>
        <v>0.712393143760181</v>
      </c>
      <c r="AT226" s="93" t="n">
        <f aca="false">IF(AB226="",0,IF(AB226="","",INDEX(시장분석!$AN:$AN,AB226)))</f>
        <v>19.8721156888579</v>
      </c>
      <c r="AU226" s="94" t="n">
        <f aca="false">IF(ISNUMBER(Z226),AT226/10000*MAX(Z226-1,0)*AA226*1000000,0)</f>
        <v>8496.22559024244</v>
      </c>
      <c r="AV226" s="94" t="n">
        <f aca="false">AO226+AU226</f>
        <v>178497.219548242</v>
      </c>
      <c r="AW226" s="43" t="str">
        <f aca="false">IF(Q226&lt;&gt;1,"",TRIM(IF(AD226=1,"FRN ","")&amp;IF(AND(AL226&gt;=10,AL226&lt;99),"BBB0미만 ","")&amp;IF(AJ226="","등급없음 ","")&amp;IF(K226&lt;&gt;1,"비USD ","")&amp;IF(AND(AB226="",Y226=0),"시장데이터없음 ","")&amp;IF(AND(ISNUMBER(U226),U226&lt;0),"만기경과 ","")))</f>
        <v/>
      </c>
      <c r="AX226" s="90" t="n">
        <f aca="false">IF(Q226&lt;&gt;1,1,IF(스프레드쇼크!$C$4="Y",INDEX(스프레드쇼크!$B$12:$L$16,IFERROR(MATCH(AH226,스프레드쇼크!$A$12:$A$16,0),MATCH("목록외",스프레드쇼크!$A$12:$A$16,0)),IFERROR(MATCH(AG226,스프레드쇼크!$B$11:$L$11,0),MATCH("목록외",스프레드쇼크!$B$11:$L$11,0))),1))</f>
        <v>1</v>
      </c>
      <c r="AY226" s="90" t="n">
        <f aca="false">IF(스프레드쇼크!$C$5="Y",IF(ISNUMBER(AF226),MIN(스프레드쇼크!$C$7,MAX(스프레드쇼크!$C$6,AF226/스프레드쇼크!$C$8)),1),1)</f>
        <v>1.10984047624524</v>
      </c>
      <c r="AZ226" s="94" t="n">
        <f aca="false">AN226*AX226*AY226</f>
        <v>804.552655480641</v>
      </c>
      <c r="BA226" s="90" t="n">
        <f aca="false">IF(ISNUMBER(G226),AA226*G226,0)</f>
        <v>17.0000993958</v>
      </c>
      <c r="BB226" s="90" t="n">
        <f aca="false">IF(ISNUMBER(G226),AA226,0)</f>
        <v>2.973813</v>
      </c>
      <c r="BC226" s="90" t="n">
        <f aca="false">IF(AND(Y226=0,ISNUMBER(AF226)),AA226*AF226,0)</f>
        <v>218.206502688</v>
      </c>
      <c r="BD226" s="90" t="n">
        <f aca="false">IF(AND(Y226=0,ISNUMBER(AF226)),AA226,0)</f>
        <v>2.973813</v>
      </c>
      <c r="BE226" s="90" t="n">
        <f aca="false">IF(ISNUMBER(H226),AA226*H226,0)</f>
        <v>7.2492639501</v>
      </c>
      <c r="BF226" s="90" t="n">
        <f aca="false">IF(ISNUMBER(H226),AA226,0)</f>
        <v>2.973813</v>
      </c>
      <c r="BG226" s="90" t="n">
        <f aca="false">IF(AND(Y226=0,ISNUMBER(AF226),ISNUMBER(Z226)),AA226*Z226,0)</f>
        <v>7.2492639501</v>
      </c>
      <c r="BH226" s="90" t="n">
        <f aca="false">IF(AND(Y226=0,ISNUMBER(AF226),ISNUMBER(Z226)),AA226*AT226*MAX(Z226-1,0),0)</f>
        <v>84.9622559024245</v>
      </c>
      <c r="BI226" s="90" t="n">
        <f aca="false">IF(Y226=0,AA226,0)</f>
        <v>2.973813</v>
      </c>
    </row>
    <row r="227" customFormat="false" ht="15" hidden="false" customHeight="false" outlineLevel="0" collapsed="false">
      <c r="A227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27" s="83" t="str">
        <f aca="false">IFERROR(IF(INDEX(원자료_잔고!$A$1:$EZ$1500,설정!$L$5+ROW()-1,설정!$L$7)&amp;""="0","",INDEX(원자료_잔고!$A$1:$EZ$1500,설정!$L$5+ROW()-1,설정!$L$7)&amp;""),"")</f>
        <v>USY5S5CGAL65</v>
      </c>
      <c r="C227" s="83" t="str">
        <f aca="false">IFERROR(IF(INDEX(원자료_잔고!$A$1:$EZ$1500,설정!$L$5+ROW()-1,설정!$L$9)&amp;""="0","",INDEX(원자료_잔고!$A$1:$EZ$1500,설정!$L$5+ROW()-1,설정!$L$9)&amp;""),"")</f>
        <v>34578</v>
      </c>
      <c r="D22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7" s="84" t="n">
        <f aca="false">IFERROR(IF(ISNUMBER(INDEX(원자료_잔고!$A$1:$EZ$1500,설정!$L$5+ROW()-1,설정!$L$11)),INDEX(원자료_잔고!$A$1:$EZ$1500,설정!$L$5+ROW()-1,설정!$L$11),""),"")</f>
        <v>3000000</v>
      </c>
      <c r="F227" s="85" t="n">
        <f aca="false">IFERROR(IF(ISNUMBER(INDEX(원자료_잔고!$A$1:$EZ$1500,설정!$L$5+ROW()-1,설정!$L$12)),INDEX(원자료_잔고!$A$1:$EZ$1500,설정!$L$5+ROW()-1,설정!$L$12),""),"")</f>
        <v>99.1271</v>
      </c>
      <c r="G227" s="85" t="n">
        <f aca="false">IFERROR(IF(ISNUMBER(INDEX(원자료_잔고!$A$1:$EZ$1500,설정!$L$5+ROW()-1,설정!$L$13)),INDEX(원자료_잔고!$A$1:$EZ$1500,설정!$L$5+ROW()-1,설정!$L$13),""),"")</f>
        <v>5.7166</v>
      </c>
      <c r="H227" s="85" t="n">
        <f aca="false">IFERROR(IF(ISNUMBER(INDEX(원자료_잔고!$A$1:$EZ$1500,설정!$L$5+ROW()-1,설정!$L$14)),INDEX(원자료_잔고!$A$1:$EZ$1500,설정!$L$5+ROW()-1,설정!$L$14),""),"")</f>
        <v>2.4377</v>
      </c>
      <c r="I227" s="86" t="n">
        <f aca="false">IFERROR(IF(ISNUMBER(INDEX(원자료_잔고!$A$1:$EZ$1500,설정!$L$5+ROW()-1,설정!$L$15)),INDEX(원자료_잔고!$A$1:$EZ$1500,설정!$L$5+ROW()-1,설정!$L$15),""),"")</f>
        <v>47301</v>
      </c>
      <c r="J227" s="85" t="n">
        <f aca="false">IFERROR(IF(ISNUMBER(INDEX(원자료_잔고!$A$1:$EZ$1500,설정!$L$5+ROW()-1,설정!$L$16)),INDEX(원자료_잔고!$A$1:$EZ$1500,설정!$L$5+ROW()-1,설정!$L$16),""),"")</f>
        <v>5.375</v>
      </c>
      <c r="K227" s="87" t="n">
        <f aca="false">IFERROR(IF(ISNUMBER(INDEX(원자료_잔고!$A$1:$EZ$1500,설정!$L$5+ROW()-1,설정!$L$17)),INDEX(원자료_잔고!$A$1:$EZ$1500,설정!$L$5+ROW()-1,설정!$L$17),""),"")</f>
        <v>1</v>
      </c>
      <c r="L227" s="84" t="n">
        <f aca="false">IFERROR(IF(ISNUMBER(INDEX(원자료_잔고!$A$1:$EZ$1500,설정!$L$5+ROW()-1,설정!$L$18)),INDEX(원자료_잔고!$A$1:$EZ$1500,설정!$L$5+ROW()-1,설정!$L$18),""),"")</f>
        <v>2973813</v>
      </c>
      <c r="M227" s="88" t="n">
        <f aca="false">IFERROR(IF(ISNUMBER(INDEX(원자료_잔고!$A$1:$EZ$1500,설정!$L$5+ROW()-1,설정!$L$19)),INDEX(원자료_잔고!$A$1:$EZ$1500,설정!$L$5+ROW()-1,설정!$L$19),""),"")</f>
        <v>-108009</v>
      </c>
      <c r="N227" s="83" t="str">
        <f aca="false">IFERROR(IF(INDEX(원자료_잔고!$A$1:$EZ$1500,설정!$L$5+ROW()-1,설정!$L$21)&amp;""="0","",INDEX(원자료_잔고!$A$1:$EZ$1500,설정!$L$5+ROW()-1,설정!$L$21)&amp;""),"")</f>
        <v>BBB</v>
      </c>
      <c r="O227" s="83" t="str">
        <f aca="false">IFERROR(IF(INDEX(원자료_잔고!$A$1:$EZ$1500,설정!$L$5+ROW()-1,설정!$L$22)&amp;""="0","",INDEX(원자료_잔고!$A$1:$EZ$1500,설정!$L$5+ROW()-1,설정!$L$22)&amp;""),"")</f>
        <v/>
      </c>
      <c r="P227" s="83" t="str">
        <f aca="false">IFERROR(IF(INDEX(원자료_잔고!$A$1:$EZ$1500,설정!$L$5+ROW()-1,설정!$L$23)&amp;""="0","",INDEX(원자료_잔고!$A$1:$EZ$1500,설정!$L$5+ROW()-1,설정!$L$23)&amp;""),"")</f>
        <v>N/A</v>
      </c>
      <c r="Q227" s="89" t="n">
        <f aca="false">IF(AND($A227&lt;&gt;"",ISNUMBER(E227)),IF(E227&gt;0,1,0),0)</f>
        <v>1</v>
      </c>
      <c r="R227" s="43" t="str">
        <f aca="false">IF(Q227=1,UPPER(LEFT($A227,FIND(" ",$A227&amp;" ")-1)),"")</f>
        <v>LGENSO</v>
      </c>
      <c r="S227" s="89" t="n">
        <f aca="false">IF(Q227=1,IF(OR(ISNUMBER(SEARCH("Float",$A227)),ISNUMBER(SEARCH("FRN",$A227))),1,0),0)</f>
        <v>0</v>
      </c>
      <c r="T227" s="43" t="str">
        <f aca="false">IF(AND(Q227=1,ISNUMBER(I227)),TEXT(I227,"yyyymmdd")&amp;"|"&amp;IF(S227=1,"F",TEXT(J227,"0.000")),"")</f>
        <v>20290702|5.375</v>
      </c>
      <c r="U227" s="90" t="n">
        <f aca="false">IF(AND(Q227=1,ISNUMBER(I227)),(I227-설정!$C$4)/365.25,"")</f>
        <v>2.75154004106776</v>
      </c>
      <c r="V227" s="43" t="str">
        <f aca="false">IF(Q227&lt;&gt;1,"",IF(ISNUMBER(U227),IF(U227&lt;=1,"1년 이하",IF(U227&lt;=2,"1-2년",IF(U227&lt;=3,"2-3년",IF(U227&lt;=4,"3-4년",IF(U227&lt;=5,"4-5년",IF(U227&lt;=7,"5-7년",IF(U227&lt;=10,"7-10년",IF(U227&lt;=20,"10-20년","20년 이상")))))))),"미분류"))</f>
        <v>2-3년</v>
      </c>
      <c r="W227" s="43" t="str">
        <f aca="false">IF(Q227&lt;&gt;1,"",IF(AB227&lt;&gt;"",INDEX(시장분석!$C:$C,AB227),IF(K227=1,"USD","비USD")))</f>
        <v>USD</v>
      </c>
      <c r="X227" s="91" t="n">
        <f aca="false">IF(Q227=1,E227*K227/1000000,0)</f>
        <v>3</v>
      </c>
      <c r="Y227" s="89" t="n">
        <f aca="false">IF(R227="T",1,0)</f>
        <v>0</v>
      </c>
      <c r="Z227" s="92" t="n">
        <f aca="false">IF(Q227&lt;&gt;1,"",IF(AD227=1,IF(ISNUMBER(U227),MAX(U227,0),H227),H227))</f>
        <v>2.4377</v>
      </c>
      <c r="AA227" s="91" t="n">
        <f aca="false">IF(Q227=1,IF(ISNUMBER(L227),L227,0)*K227/1000000,0)</f>
        <v>2.973813</v>
      </c>
      <c r="AB227" s="89" t="n">
        <f aca="false">IF(Q227&lt;&gt;1,"",IFERROR(MATCH(VLOOKUP(B227,매핑!$H$4:$I$15,2,0),시장분석!$A$2:$A$601,0)+1,IFERROR(MATCH(R227&amp;"|"&amp;T227,시장분석!$V$2:$V$601,0)+1,IF(COUNTIF(시장분석!$U$2:$U$601,T227)=1,MATCH(T227,시장분석!$U$2:$U$601,0)+1,""))))</f>
        <v>179</v>
      </c>
      <c r="AC227" s="89" t="n">
        <f aca="false">IF(Q227&lt;&gt;1,0,IF(OR(설정!$C$5="전체",AND(설정!$C$5="선택펀드",IFERROR(COUNTIFS(설정!$F$16:$F$36,C227,설정!$G$16:$G$36,"Y")+COUNTIFS(설정!$F$16:$F$36,VALUE(C227),설정!$G$16:$G$36,"Y"),0)&gt;0),C227&amp;""=설정!$C$5&amp;""),1,0))</f>
        <v>1</v>
      </c>
      <c r="AD227" s="89" t="n">
        <f aca="false">IF(Q227&lt;&gt;1,0,IF(OR(S227=1,IF(AB227="",FALSE(),INDEX(시장분석!$R:$R,AB227)=1)),1,0))</f>
        <v>0</v>
      </c>
      <c r="AE227" s="43" t="str">
        <f aca="false">IF(AB227="","",INDEX(시장분석!$A:$A,AB227))</f>
        <v>LGENSO 5 3/8 07/02/29</v>
      </c>
      <c r="AF227" s="93" t="n">
        <f aca="false">IF(AB227="","",IF(ISNUMBER(IF(AB227="","",INDEX(시장분석!$E:$E,AB227))),IF(AB227="","",INDEX(시장분석!$E:$E,AB227)),""))</f>
        <v>73.376</v>
      </c>
      <c r="AG227" s="43" t="str">
        <f aca="false">IF(Q227&lt;&gt;1,"",IF(AB227&lt;&gt;"",IF(AB227="","",INDEX(시장분석!$L:$L,AB227)),IFERROR(IF(VLOOKUP(R227,매핑!$A$4:$E$92,5,0)="","미분류",VLOOKUP(R227,매핑!$A$4:$E$92,5,0)),"미분류")))</f>
        <v>자유 소비재</v>
      </c>
      <c r="AH227" s="43" t="str">
        <f aca="false">IF(Q227&lt;&gt;1,"",IF(AB227&lt;&gt;"",IF(AB227="","",INDEX(시장분석!$N:$N,AB227)),IFERROR(IF(VLOOKUP(R227,매핑!$A$4:$E$92,4,0)="","미분류",VLOOKUP(R227,매핑!$A$4:$E$92,4,0)),"미분류")))</f>
        <v>아시아/기타</v>
      </c>
      <c r="AI227" s="43" t="str">
        <f aca="false">IF(Q227&lt;&gt;1,"",IFERROR(IF(VLOOKUP(R227,매핑!$A$4:$E$92,3,0)="","미분류",VLOOKUP(R227,매핑!$A$4:$E$92,3,0)),IF(AB227&lt;&gt;"",IF(AB227="","",INDEX(시장분석!$W:$W,AB227)),"미분류")))</f>
        <v>한국</v>
      </c>
      <c r="AJ227" s="43" t="str">
        <f aca="false">IF(Q227&lt;&gt;1,"",IFERROR(VLOOKUP(IF(N227&lt;&gt;"",N227,IF(P227&lt;&gt;"",P227,O227)),설정!$A$15:$D$47,2,0),""))</f>
        <v>BBB</v>
      </c>
      <c r="AK227" s="43" t="str">
        <f aca="false">IF(Q227&lt;&gt;1,"",IF(AJ227="","무등급",IFERROR(VLOOKUP(AJ227,설정!$A$15:$D$47,3,0),"무등급")))</f>
        <v>BBB</v>
      </c>
      <c r="AL227" s="89" t="n">
        <f aca="false">IF(AJ227="",99,IFERROR(VLOOKUP(AJ227,설정!$A$15:$D$47,4,0),99))</f>
        <v>9</v>
      </c>
      <c r="AM227" s="94" t="n">
        <f aca="false">IF(ISNUMBER(H227),AA227*1000000*H227/10000,0)</f>
        <v>724.92639501</v>
      </c>
      <c r="AN227" s="94" t="n">
        <f aca="false">IF(OR(Y227=1,NOT(ISNUMBER(Z227))),0,AA227*1000000*Z227/10000)</f>
        <v>724.92639501</v>
      </c>
      <c r="AO227" s="94" t="n">
        <f aca="false">IF(ISNUMBER(G227),AA227*1000000*G227/100,0)</f>
        <v>170000.993958</v>
      </c>
      <c r="AP227" s="94" t="n">
        <f aca="false">IF(ISNUMBER(M227),M227*K227,0)</f>
        <v>-108009</v>
      </c>
      <c r="AQ227" s="95" t="n">
        <f aca="false">IF(AB227="","",INDEX(시장분석!$AK:$AK,AB227))</f>
        <v>0.0343903053062221</v>
      </c>
      <c r="AR227" s="43" t="str">
        <f aca="false">IF(AB227="","-",IF(AB227="","",INDEX(시장분석!$AL:$AL,AB227)))</f>
        <v>Fair</v>
      </c>
      <c r="AS227" s="96" t="n">
        <f aca="false">IF(AB227="","",INDEX(시장분석!$AJ:$AJ,AB227))</f>
        <v>0.712393143760181</v>
      </c>
      <c r="AT227" s="93" t="n">
        <f aca="false">IF(AB227="",0,IF(AB227="","",INDEX(시장분석!$AN:$AN,AB227)))</f>
        <v>19.8721156888579</v>
      </c>
      <c r="AU227" s="94" t="n">
        <f aca="false">IF(ISNUMBER(Z227),AT227/10000*MAX(Z227-1,0)*AA227*1000000,0)</f>
        <v>8496.22559024244</v>
      </c>
      <c r="AV227" s="94" t="n">
        <f aca="false">AO227+AU227</f>
        <v>178497.219548242</v>
      </c>
      <c r="AW227" s="43" t="str">
        <f aca="false">IF(Q227&lt;&gt;1,"",TRIM(IF(AD227=1,"FRN ","")&amp;IF(AND(AL227&gt;=10,AL227&lt;99),"BBB0미만 ","")&amp;IF(AJ227="","등급없음 ","")&amp;IF(K227&lt;&gt;1,"비USD ","")&amp;IF(AND(AB227="",Y227=0),"시장데이터없음 ","")&amp;IF(AND(ISNUMBER(U227),U227&lt;0),"만기경과 ","")))</f>
        <v/>
      </c>
      <c r="AX227" s="90" t="n">
        <f aca="false">IF(Q227&lt;&gt;1,1,IF(스프레드쇼크!$C$4="Y",INDEX(스프레드쇼크!$B$12:$L$16,IFERROR(MATCH(AH227,스프레드쇼크!$A$12:$A$16,0),MATCH("목록외",스프레드쇼크!$A$12:$A$16,0)),IFERROR(MATCH(AG227,스프레드쇼크!$B$11:$L$11,0),MATCH("목록외",스프레드쇼크!$B$11:$L$11,0))),1))</f>
        <v>1</v>
      </c>
      <c r="AY227" s="90" t="n">
        <f aca="false">IF(스프레드쇼크!$C$5="Y",IF(ISNUMBER(AF227),MIN(스프레드쇼크!$C$7,MAX(스프레드쇼크!$C$6,AF227/스프레드쇼크!$C$8)),1),1)</f>
        <v>1.10984047624524</v>
      </c>
      <c r="AZ227" s="94" t="n">
        <f aca="false">AN227*AX227*AY227</f>
        <v>804.552655480641</v>
      </c>
      <c r="BA227" s="90" t="n">
        <f aca="false">IF(ISNUMBER(G227),AA227*G227,0)</f>
        <v>17.0000993958</v>
      </c>
      <c r="BB227" s="90" t="n">
        <f aca="false">IF(ISNUMBER(G227),AA227,0)</f>
        <v>2.973813</v>
      </c>
      <c r="BC227" s="90" t="n">
        <f aca="false">IF(AND(Y227=0,ISNUMBER(AF227)),AA227*AF227,0)</f>
        <v>218.206502688</v>
      </c>
      <c r="BD227" s="90" t="n">
        <f aca="false">IF(AND(Y227=0,ISNUMBER(AF227)),AA227,0)</f>
        <v>2.973813</v>
      </c>
      <c r="BE227" s="90" t="n">
        <f aca="false">IF(ISNUMBER(H227),AA227*H227,0)</f>
        <v>7.2492639501</v>
      </c>
      <c r="BF227" s="90" t="n">
        <f aca="false">IF(ISNUMBER(H227),AA227,0)</f>
        <v>2.973813</v>
      </c>
      <c r="BG227" s="90" t="n">
        <f aca="false">IF(AND(Y227=0,ISNUMBER(AF227),ISNUMBER(Z227)),AA227*Z227,0)</f>
        <v>7.2492639501</v>
      </c>
      <c r="BH227" s="90" t="n">
        <f aca="false">IF(AND(Y227=0,ISNUMBER(AF227),ISNUMBER(Z227)),AA227*AT227*MAX(Z227-1,0),0)</f>
        <v>84.9622559024245</v>
      </c>
      <c r="BI227" s="90" t="n">
        <f aca="false">IF(Y227=0,AA227,0)</f>
        <v>2.973813</v>
      </c>
    </row>
    <row r="228" customFormat="false" ht="15" hidden="false" customHeight="false" outlineLevel="0" collapsed="false">
      <c r="A228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28" s="83" t="str">
        <f aca="false">IFERROR(IF(INDEX(원자료_잔고!$A$1:$EZ$1500,설정!$L$5+ROW()-1,설정!$L$7)&amp;""="0","",INDEX(원자료_잔고!$A$1:$EZ$1500,설정!$L$5+ROW()-1,설정!$L$7)&amp;""),"")</f>
        <v>USY5S5CGAL65</v>
      </c>
      <c r="C228" s="83" t="str">
        <f aca="false">IFERROR(IF(INDEX(원자료_잔고!$A$1:$EZ$1500,설정!$L$5+ROW()-1,설정!$L$9)&amp;""="0","",INDEX(원자료_잔고!$A$1:$EZ$1500,설정!$L$5+ROW()-1,설정!$L$9)&amp;""),"")</f>
        <v>34578</v>
      </c>
      <c r="D22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8" s="84" t="n">
        <f aca="false">IFERROR(IF(ISNUMBER(INDEX(원자료_잔고!$A$1:$EZ$1500,설정!$L$5+ROW()-1,설정!$L$11)),INDEX(원자료_잔고!$A$1:$EZ$1500,설정!$L$5+ROW()-1,설정!$L$11),""),"")</f>
        <v>4000000</v>
      </c>
      <c r="F228" s="85" t="n">
        <f aca="false">IFERROR(IF(ISNUMBER(INDEX(원자료_잔고!$A$1:$EZ$1500,설정!$L$5+ROW()-1,설정!$L$12)),INDEX(원자료_잔고!$A$1:$EZ$1500,설정!$L$5+ROW()-1,설정!$L$12),""),"")</f>
        <v>99.1271</v>
      </c>
      <c r="G228" s="85" t="n">
        <f aca="false">IFERROR(IF(ISNUMBER(INDEX(원자료_잔고!$A$1:$EZ$1500,설정!$L$5+ROW()-1,설정!$L$13)),INDEX(원자료_잔고!$A$1:$EZ$1500,설정!$L$5+ROW()-1,설정!$L$13),""),"")</f>
        <v>5.7166</v>
      </c>
      <c r="H228" s="85" t="n">
        <f aca="false">IFERROR(IF(ISNUMBER(INDEX(원자료_잔고!$A$1:$EZ$1500,설정!$L$5+ROW()-1,설정!$L$14)),INDEX(원자료_잔고!$A$1:$EZ$1500,설정!$L$5+ROW()-1,설정!$L$14),""),"")</f>
        <v>2.4377</v>
      </c>
      <c r="I228" s="86" t="n">
        <f aca="false">IFERROR(IF(ISNUMBER(INDEX(원자료_잔고!$A$1:$EZ$1500,설정!$L$5+ROW()-1,설정!$L$15)),INDEX(원자료_잔고!$A$1:$EZ$1500,설정!$L$5+ROW()-1,설정!$L$15),""),"")</f>
        <v>47301</v>
      </c>
      <c r="J228" s="85" t="n">
        <f aca="false">IFERROR(IF(ISNUMBER(INDEX(원자료_잔고!$A$1:$EZ$1500,설정!$L$5+ROW()-1,설정!$L$16)),INDEX(원자료_잔고!$A$1:$EZ$1500,설정!$L$5+ROW()-1,설정!$L$16),""),"")</f>
        <v>5.375</v>
      </c>
      <c r="K228" s="87" t="n">
        <f aca="false">IFERROR(IF(ISNUMBER(INDEX(원자료_잔고!$A$1:$EZ$1500,설정!$L$5+ROW()-1,설정!$L$17)),INDEX(원자료_잔고!$A$1:$EZ$1500,설정!$L$5+ROW()-1,설정!$L$17),""),"")</f>
        <v>1</v>
      </c>
      <c r="L228" s="84" t="n">
        <f aca="false">IFERROR(IF(ISNUMBER(INDEX(원자료_잔고!$A$1:$EZ$1500,설정!$L$5+ROW()-1,설정!$L$18)),INDEX(원자료_잔고!$A$1:$EZ$1500,설정!$L$5+ROW()-1,설정!$L$18),""),"")</f>
        <v>3965084</v>
      </c>
      <c r="M228" s="88" t="n">
        <f aca="false">IFERROR(IF(ISNUMBER(INDEX(원자료_잔고!$A$1:$EZ$1500,설정!$L$5+ROW()-1,설정!$L$19)),INDEX(원자료_잔고!$A$1:$EZ$1500,설정!$L$5+ROW()-1,설정!$L$19),""),"")</f>
        <v>-144012</v>
      </c>
      <c r="N228" s="83" t="str">
        <f aca="false">IFERROR(IF(INDEX(원자료_잔고!$A$1:$EZ$1500,설정!$L$5+ROW()-1,설정!$L$21)&amp;""="0","",INDEX(원자료_잔고!$A$1:$EZ$1500,설정!$L$5+ROW()-1,설정!$L$21)&amp;""),"")</f>
        <v>BBB</v>
      </c>
      <c r="O228" s="83" t="str">
        <f aca="false">IFERROR(IF(INDEX(원자료_잔고!$A$1:$EZ$1500,설정!$L$5+ROW()-1,설정!$L$22)&amp;""="0","",INDEX(원자료_잔고!$A$1:$EZ$1500,설정!$L$5+ROW()-1,설정!$L$22)&amp;""),"")</f>
        <v/>
      </c>
      <c r="P228" s="83" t="str">
        <f aca="false">IFERROR(IF(INDEX(원자료_잔고!$A$1:$EZ$1500,설정!$L$5+ROW()-1,설정!$L$23)&amp;""="0","",INDEX(원자료_잔고!$A$1:$EZ$1500,설정!$L$5+ROW()-1,설정!$L$23)&amp;""),"")</f>
        <v>N/A</v>
      </c>
      <c r="Q228" s="89" t="n">
        <f aca="false">IF(AND($A228&lt;&gt;"",ISNUMBER(E228)),IF(E228&gt;0,1,0),0)</f>
        <v>1</v>
      </c>
      <c r="R228" s="43" t="str">
        <f aca="false">IF(Q228=1,UPPER(LEFT($A228,FIND(" ",$A228&amp;" ")-1)),"")</f>
        <v>LGENSO</v>
      </c>
      <c r="S228" s="89" t="n">
        <f aca="false">IF(Q228=1,IF(OR(ISNUMBER(SEARCH("Float",$A228)),ISNUMBER(SEARCH("FRN",$A228))),1,0),0)</f>
        <v>0</v>
      </c>
      <c r="T228" s="43" t="str">
        <f aca="false">IF(AND(Q228=1,ISNUMBER(I228)),TEXT(I228,"yyyymmdd")&amp;"|"&amp;IF(S228=1,"F",TEXT(J228,"0.000")),"")</f>
        <v>20290702|5.375</v>
      </c>
      <c r="U228" s="90" t="n">
        <f aca="false">IF(AND(Q228=1,ISNUMBER(I228)),(I228-설정!$C$4)/365.25,"")</f>
        <v>2.75154004106776</v>
      </c>
      <c r="V228" s="43" t="str">
        <f aca="false">IF(Q228&lt;&gt;1,"",IF(ISNUMBER(U228),IF(U228&lt;=1,"1년 이하",IF(U228&lt;=2,"1-2년",IF(U228&lt;=3,"2-3년",IF(U228&lt;=4,"3-4년",IF(U228&lt;=5,"4-5년",IF(U228&lt;=7,"5-7년",IF(U228&lt;=10,"7-10년",IF(U228&lt;=20,"10-20년","20년 이상")))))))),"미분류"))</f>
        <v>2-3년</v>
      </c>
      <c r="W228" s="43" t="str">
        <f aca="false">IF(Q228&lt;&gt;1,"",IF(AB228&lt;&gt;"",INDEX(시장분석!$C:$C,AB228),IF(K228=1,"USD","비USD")))</f>
        <v>USD</v>
      </c>
      <c r="X228" s="91" t="n">
        <f aca="false">IF(Q228=1,E228*K228/1000000,0)</f>
        <v>4</v>
      </c>
      <c r="Y228" s="89" t="n">
        <f aca="false">IF(R228="T",1,0)</f>
        <v>0</v>
      </c>
      <c r="Z228" s="92" t="n">
        <f aca="false">IF(Q228&lt;&gt;1,"",IF(AD228=1,IF(ISNUMBER(U228),MAX(U228,0),H228),H228))</f>
        <v>2.4377</v>
      </c>
      <c r="AA228" s="91" t="n">
        <f aca="false">IF(Q228=1,IF(ISNUMBER(L228),L228,0)*K228/1000000,0)</f>
        <v>3.965084</v>
      </c>
      <c r="AB228" s="89" t="n">
        <f aca="false">IF(Q228&lt;&gt;1,"",IFERROR(MATCH(VLOOKUP(B228,매핑!$H$4:$I$15,2,0),시장분석!$A$2:$A$601,0)+1,IFERROR(MATCH(R228&amp;"|"&amp;T228,시장분석!$V$2:$V$601,0)+1,IF(COUNTIF(시장분석!$U$2:$U$601,T228)=1,MATCH(T228,시장분석!$U$2:$U$601,0)+1,""))))</f>
        <v>179</v>
      </c>
      <c r="AC228" s="89" t="n">
        <f aca="false">IF(Q228&lt;&gt;1,0,IF(OR(설정!$C$5="전체",AND(설정!$C$5="선택펀드",IFERROR(COUNTIFS(설정!$F$16:$F$36,C228,설정!$G$16:$G$36,"Y")+COUNTIFS(설정!$F$16:$F$36,VALUE(C228),설정!$G$16:$G$36,"Y"),0)&gt;0),C228&amp;""=설정!$C$5&amp;""),1,0))</f>
        <v>1</v>
      </c>
      <c r="AD228" s="89" t="n">
        <f aca="false">IF(Q228&lt;&gt;1,0,IF(OR(S228=1,IF(AB228="",FALSE(),INDEX(시장분석!$R:$R,AB228)=1)),1,0))</f>
        <v>0</v>
      </c>
      <c r="AE228" s="43" t="str">
        <f aca="false">IF(AB228="","",INDEX(시장분석!$A:$A,AB228))</f>
        <v>LGENSO 5 3/8 07/02/29</v>
      </c>
      <c r="AF228" s="93" t="n">
        <f aca="false">IF(AB228="","",IF(ISNUMBER(IF(AB228="","",INDEX(시장분석!$E:$E,AB228))),IF(AB228="","",INDEX(시장분석!$E:$E,AB228)),""))</f>
        <v>73.376</v>
      </c>
      <c r="AG228" s="43" t="str">
        <f aca="false">IF(Q228&lt;&gt;1,"",IF(AB228&lt;&gt;"",IF(AB228="","",INDEX(시장분석!$L:$L,AB228)),IFERROR(IF(VLOOKUP(R228,매핑!$A$4:$E$92,5,0)="","미분류",VLOOKUP(R228,매핑!$A$4:$E$92,5,0)),"미분류")))</f>
        <v>자유 소비재</v>
      </c>
      <c r="AH228" s="43" t="str">
        <f aca="false">IF(Q228&lt;&gt;1,"",IF(AB228&lt;&gt;"",IF(AB228="","",INDEX(시장분석!$N:$N,AB228)),IFERROR(IF(VLOOKUP(R228,매핑!$A$4:$E$92,4,0)="","미분류",VLOOKUP(R228,매핑!$A$4:$E$92,4,0)),"미분류")))</f>
        <v>아시아/기타</v>
      </c>
      <c r="AI228" s="43" t="str">
        <f aca="false">IF(Q228&lt;&gt;1,"",IFERROR(IF(VLOOKUP(R228,매핑!$A$4:$E$92,3,0)="","미분류",VLOOKUP(R228,매핑!$A$4:$E$92,3,0)),IF(AB228&lt;&gt;"",IF(AB228="","",INDEX(시장분석!$W:$W,AB228)),"미분류")))</f>
        <v>한국</v>
      </c>
      <c r="AJ228" s="43" t="str">
        <f aca="false">IF(Q228&lt;&gt;1,"",IFERROR(VLOOKUP(IF(N228&lt;&gt;"",N228,IF(P228&lt;&gt;"",P228,O228)),설정!$A$15:$D$47,2,0),""))</f>
        <v>BBB</v>
      </c>
      <c r="AK228" s="43" t="str">
        <f aca="false">IF(Q228&lt;&gt;1,"",IF(AJ228="","무등급",IFERROR(VLOOKUP(AJ228,설정!$A$15:$D$47,3,0),"무등급")))</f>
        <v>BBB</v>
      </c>
      <c r="AL228" s="89" t="n">
        <f aca="false">IF(AJ228="",99,IFERROR(VLOOKUP(AJ228,설정!$A$15:$D$47,4,0),99))</f>
        <v>9</v>
      </c>
      <c r="AM228" s="94" t="n">
        <f aca="false">IF(ISNUMBER(H228),AA228*1000000*H228/10000,0)</f>
        <v>966.56852668</v>
      </c>
      <c r="AN228" s="94" t="n">
        <f aca="false">IF(OR(Y228=1,NOT(ISNUMBER(Z228))),0,AA228*1000000*Z228/10000)</f>
        <v>966.56852668</v>
      </c>
      <c r="AO228" s="94" t="n">
        <f aca="false">IF(ISNUMBER(G228),AA228*1000000*G228/100,0)</f>
        <v>226667.991944</v>
      </c>
      <c r="AP228" s="94" t="n">
        <f aca="false">IF(ISNUMBER(M228),M228*K228,0)</f>
        <v>-144012</v>
      </c>
      <c r="AQ228" s="95" t="n">
        <f aca="false">IF(AB228="","",INDEX(시장분석!$AK:$AK,AB228))</f>
        <v>0.0343903053062221</v>
      </c>
      <c r="AR228" s="43" t="str">
        <f aca="false">IF(AB228="","-",IF(AB228="","",INDEX(시장분석!$AL:$AL,AB228)))</f>
        <v>Fair</v>
      </c>
      <c r="AS228" s="96" t="n">
        <f aca="false">IF(AB228="","",INDEX(시장분석!$AJ:$AJ,AB228))</f>
        <v>0.712393143760181</v>
      </c>
      <c r="AT228" s="93" t="n">
        <f aca="false">IF(AB228="",0,IF(AB228="","",INDEX(시장분석!$AN:$AN,AB228)))</f>
        <v>19.8721156888579</v>
      </c>
      <c r="AU228" s="94" t="n">
        <f aca="false">IF(ISNUMBER(Z228),AT228/10000*MAX(Z228-1,0)*AA228*1000000,0)</f>
        <v>11328.3007869899</v>
      </c>
      <c r="AV228" s="94" t="n">
        <f aca="false">AO228+AU228</f>
        <v>237996.29273099</v>
      </c>
      <c r="AW228" s="43" t="str">
        <f aca="false">IF(Q228&lt;&gt;1,"",TRIM(IF(AD228=1,"FRN ","")&amp;IF(AND(AL228&gt;=10,AL228&lt;99),"BBB0미만 ","")&amp;IF(AJ228="","등급없음 ","")&amp;IF(K228&lt;&gt;1,"비USD ","")&amp;IF(AND(AB228="",Y228=0),"시장데이터없음 ","")&amp;IF(AND(ISNUMBER(U228),U228&lt;0),"만기경과 ","")))</f>
        <v/>
      </c>
      <c r="AX228" s="90" t="n">
        <f aca="false">IF(Q228&lt;&gt;1,1,IF(스프레드쇼크!$C$4="Y",INDEX(스프레드쇼크!$B$12:$L$16,IFERROR(MATCH(AH228,스프레드쇼크!$A$12:$A$16,0),MATCH("목록외",스프레드쇼크!$A$12:$A$16,0)),IFERROR(MATCH(AG228,스프레드쇼크!$B$11:$L$11,0),MATCH("목록외",스프레드쇼크!$B$11:$L$11,0))),1))</f>
        <v>1</v>
      </c>
      <c r="AY228" s="90" t="n">
        <f aca="false">IF(스프레드쇼크!$C$5="Y",IF(ISNUMBER(AF228),MIN(스프레드쇼크!$C$7,MAX(스프레드쇼크!$C$6,AF228/스프레드쇼크!$C$8)),1),1)</f>
        <v>1.10984047624524</v>
      </c>
      <c r="AZ228" s="94" t="n">
        <f aca="false">AN228*AX228*AY228</f>
        <v>1072.73687397419</v>
      </c>
      <c r="BA228" s="90" t="n">
        <f aca="false">IF(ISNUMBER(G228),AA228*G228,0)</f>
        <v>22.6667991944</v>
      </c>
      <c r="BB228" s="90" t="n">
        <f aca="false">IF(ISNUMBER(G228),AA228,0)</f>
        <v>3.965084</v>
      </c>
      <c r="BC228" s="90" t="n">
        <f aca="false">IF(AND(Y228=0,ISNUMBER(AF228)),AA228*AF228,0)</f>
        <v>290.942003584</v>
      </c>
      <c r="BD228" s="90" t="n">
        <f aca="false">IF(AND(Y228=0,ISNUMBER(AF228)),AA228,0)</f>
        <v>3.965084</v>
      </c>
      <c r="BE228" s="90" t="n">
        <f aca="false">IF(ISNUMBER(H228),AA228*H228,0)</f>
        <v>9.6656852668</v>
      </c>
      <c r="BF228" s="90" t="n">
        <f aca="false">IF(ISNUMBER(H228),AA228,0)</f>
        <v>3.965084</v>
      </c>
      <c r="BG228" s="90" t="n">
        <f aca="false">IF(AND(Y228=0,ISNUMBER(AF228),ISNUMBER(Z228)),AA228*Z228,0)</f>
        <v>9.6656852668</v>
      </c>
      <c r="BH228" s="90" t="n">
        <f aca="false">IF(AND(Y228=0,ISNUMBER(AF228),ISNUMBER(Z228)),AA228*AT228*MAX(Z228-1,0),0)</f>
        <v>113.283007869899</v>
      </c>
      <c r="BI228" s="90" t="n">
        <f aca="false">IF(Y228=0,AA228,0)</f>
        <v>3.965084</v>
      </c>
    </row>
    <row r="229" customFormat="false" ht="15" hidden="false" customHeight="false" outlineLevel="0" collapsed="false">
      <c r="A229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29" s="83" t="str">
        <f aca="false">IFERROR(IF(INDEX(원자료_잔고!$A$1:$EZ$1500,설정!$L$5+ROW()-1,설정!$L$7)&amp;""="0","",INDEX(원자료_잔고!$A$1:$EZ$1500,설정!$L$5+ROW()-1,설정!$L$7)&amp;""),"")</f>
        <v>USY5S5CGAL65</v>
      </c>
      <c r="C229" s="83" t="str">
        <f aca="false">IFERROR(IF(INDEX(원자료_잔고!$A$1:$EZ$1500,설정!$L$5+ROW()-1,설정!$L$9)&amp;""="0","",INDEX(원자료_잔고!$A$1:$EZ$1500,설정!$L$5+ROW()-1,설정!$L$9)&amp;""),"")</f>
        <v>34578</v>
      </c>
      <c r="D22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29" s="84" t="n">
        <f aca="false">IFERROR(IF(ISNUMBER(INDEX(원자료_잔고!$A$1:$EZ$1500,설정!$L$5+ROW()-1,설정!$L$11)),INDEX(원자료_잔고!$A$1:$EZ$1500,설정!$L$5+ROW()-1,설정!$L$11),""),"")</f>
        <v>2000000</v>
      </c>
      <c r="F229" s="85" t="n">
        <f aca="false">IFERROR(IF(ISNUMBER(INDEX(원자료_잔고!$A$1:$EZ$1500,설정!$L$5+ROW()-1,설정!$L$12)),INDEX(원자료_잔고!$A$1:$EZ$1500,설정!$L$5+ROW()-1,설정!$L$12),""),"")</f>
        <v>99.1271</v>
      </c>
      <c r="G229" s="85" t="n">
        <f aca="false">IFERROR(IF(ISNUMBER(INDEX(원자료_잔고!$A$1:$EZ$1500,설정!$L$5+ROW()-1,설정!$L$13)),INDEX(원자료_잔고!$A$1:$EZ$1500,설정!$L$5+ROW()-1,설정!$L$13),""),"")</f>
        <v>5.7166</v>
      </c>
      <c r="H229" s="85" t="n">
        <f aca="false">IFERROR(IF(ISNUMBER(INDEX(원자료_잔고!$A$1:$EZ$1500,설정!$L$5+ROW()-1,설정!$L$14)),INDEX(원자료_잔고!$A$1:$EZ$1500,설정!$L$5+ROW()-1,설정!$L$14),""),"")</f>
        <v>2.4377</v>
      </c>
      <c r="I229" s="86" t="n">
        <f aca="false">IFERROR(IF(ISNUMBER(INDEX(원자료_잔고!$A$1:$EZ$1500,설정!$L$5+ROW()-1,설정!$L$15)),INDEX(원자료_잔고!$A$1:$EZ$1500,설정!$L$5+ROW()-1,설정!$L$15),""),"")</f>
        <v>47301</v>
      </c>
      <c r="J229" s="85" t="n">
        <f aca="false">IFERROR(IF(ISNUMBER(INDEX(원자료_잔고!$A$1:$EZ$1500,설정!$L$5+ROW()-1,설정!$L$16)),INDEX(원자료_잔고!$A$1:$EZ$1500,설정!$L$5+ROW()-1,설정!$L$16),""),"")</f>
        <v>5.375</v>
      </c>
      <c r="K229" s="87" t="n">
        <f aca="false">IFERROR(IF(ISNUMBER(INDEX(원자료_잔고!$A$1:$EZ$1500,설정!$L$5+ROW()-1,설정!$L$17)),INDEX(원자료_잔고!$A$1:$EZ$1500,설정!$L$5+ROW()-1,설정!$L$17),""),"")</f>
        <v>1</v>
      </c>
      <c r="L229" s="84" t="n">
        <f aca="false">IFERROR(IF(ISNUMBER(INDEX(원자료_잔고!$A$1:$EZ$1500,설정!$L$5+ROW()-1,설정!$L$18)),INDEX(원자료_잔고!$A$1:$EZ$1500,설정!$L$5+ROW()-1,설정!$L$18),""),"")</f>
        <v>1982542</v>
      </c>
      <c r="M229" s="88" t="n">
        <f aca="false">IFERROR(IF(ISNUMBER(INDEX(원자료_잔고!$A$1:$EZ$1500,설정!$L$5+ROW()-1,설정!$L$19)),INDEX(원자료_잔고!$A$1:$EZ$1500,설정!$L$5+ROW()-1,설정!$L$19),""),"")</f>
        <v>-72006</v>
      </c>
      <c r="N229" s="83" t="str">
        <f aca="false">IFERROR(IF(INDEX(원자료_잔고!$A$1:$EZ$1500,설정!$L$5+ROW()-1,설정!$L$21)&amp;""="0","",INDEX(원자료_잔고!$A$1:$EZ$1500,설정!$L$5+ROW()-1,설정!$L$21)&amp;""),"")</f>
        <v>BBB</v>
      </c>
      <c r="O229" s="83" t="str">
        <f aca="false">IFERROR(IF(INDEX(원자료_잔고!$A$1:$EZ$1500,설정!$L$5+ROW()-1,설정!$L$22)&amp;""="0","",INDEX(원자료_잔고!$A$1:$EZ$1500,설정!$L$5+ROW()-1,설정!$L$22)&amp;""),"")</f>
        <v/>
      </c>
      <c r="P229" s="83" t="str">
        <f aca="false">IFERROR(IF(INDEX(원자료_잔고!$A$1:$EZ$1500,설정!$L$5+ROW()-1,설정!$L$23)&amp;""="0","",INDEX(원자료_잔고!$A$1:$EZ$1500,설정!$L$5+ROW()-1,설정!$L$23)&amp;""),"")</f>
        <v>N/A</v>
      </c>
      <c r="Q229" s="89" t="n">
        <f aca="false">IF(AND($A229&lt;&gt;"",ISNUMBER(E229)),IF(E229&gt;0,1,0),0)</f>
        <v>1</v>
      </c>
      <c r="R229" s="43" t="str">
        <f aca="false">IF(Q229=1,UPPER(LEFT($A229,FIND(" ",$A229&amp;" ")-1)),"")</f>
        <v>LGENSO</v>
      </c>
      <c r="S229" s="89" t="n">
        <f aca="false">IF(Q229=1,IF(OR(ISNUMBER(SEARCH("Float",$A229)),ISNUMBER(SEARCH("FRN",$A229))),1,0),0)</f>
        <v>0</v>
      </c>
      <c r="T229" s="43" t="str">
        <f aca="false">IF(AND(Q229=1,ISNUMBER(I229)),TEXT(I229,"yyyymmdd")&amp;"|"&amp;IF(S229=1,"F",TEXT(J229,"0.000")),"")</f>
        <v>20290702|5.375</v>
      </c>
      <c r="U229" s="90" t="n">
        <f aca="false">IF(AND(Q229=1,ISNUMBER(I229)),(I229-설정!$C$4)/365.25,"")</f>
        <v>2.75154004106776</v>
      </c>
      <c r="V229" s="43" t="str">
        <f aca="false">IF(Q229&lt;&gt;1,"",IF(ISNUMBER(U229),IF(U229&lt;=1,"1년 이하",IF(U229&lt;=2,"1-2년",IF(U229&lt;=3,"2-3년",IF(U229&lt;=4,"3-4년",IF(U229&lt;=5,"4-5년",IF(U229&lt;=7,"5-7년",IF(U229&lt;=10,"7-10년",IF(U229&lt;=20,"10-20년","20년 이상")))))))),"미분류"))</f>
        <v>2-3년</v>
      </c>
      <c r="W229" s="43" t="str">
        <f aca="false">IF(Q229&lt;&gt;1,"",IF(AB229&lt;&gt;"",INDEX(시장분석!$C:$C,AB229),IF(K229=1,"USD","비USD")))</f>
        <v>USD</v>
      </c>
      <c r="X229" s="91" t="n">
        <f aca="false">IF(Q229=1,E229*K229/1000000,0)</f>
        <v>2</v>
      </c>
      <c r="Y229" s="89" t="n">
        <f aca="false">IF(R229="T",1,0)</f>
        <v>0</v>
      </c>
      <c r="Z229" s="92" t="n">
        <f aca="false">IF(Q229&lt;&gt;1,"",IF(AD229=1,IF(ISNUMBER(U229),MAX(U229,0),H229),H229))</f>
        <v>2.4377</v>
      </c>
      <c r="AA229" s="91" t="n">
        <f aca="false">IF(Q229=1,IF(ISNUMBER(L229),L229,0)*K229/1000000,0)</f>
        <v>1.982542</v>
      </c>
      <c r="AB229" s="89" t="n">
        <f aca="false">IF(Q229&lt;&gt;1,"",IFERROR(MATCH(VLOOKUP(B229,매핑!$H$4:$I$15,2,0),시장분석!$A$2:$A$601,0)+1,IFERROR(MATCH(R229&amp;"|"&amp;T229,시장분석!$V$2:$V$601,0)+1,IF(COUNTIF(시장분석!$U$2:$U$601,T229)=1,MATCH(T229,시장분석!$U$2:$U$601,0)+1,""))))</f>
        <v>179</v>
      </c>
      <c r="AC229" s="89" t="n">
        <f aca="false">IF(Q229&lt;&gt;1,0,IF(OR(설정!$C$5="전체",AND(설정!$C$5="선택펀드",IFERROR(COUNTIFS(설정!$F$16:$F$36,C229,설정!$G$16:$G$36,"Y")+COUNTIFS(설정!$F$16:$F$36,VALUE(C229),설정!$G$16:$G$36,"Y"),0)&gt;0),C229&amp;""=설정!$C$5&amp;""),1,0))</f>
        <v>1</v>
      </c>
      <c r="AD229" s="89" t="n">
        <f aca="false">IF(Q229&lt;&gt;1,0,IF(OR(S229=1,IF(AB229="",FALSE(),INDEX(시장분석!$R:$R,AB229)=1)),1,0))</f>
        <v>0</v>
      </c>
      <c r="AE229" s="43" t="str">
        <f aca="false">IF(AB229="","",INDEX(시장분석!$A:$A,AB229))</f>
        <v>LGENSO 5 3/8 07/02/29</v>
      </c>
      <c r="AF229" s="93" t="n">
        <f aca="false">IF(AB229="","",IF(ISNUMBER(IF(AB229="","",INDEX(시장분석!$E:$E,AB229))),IF(AB229="","",INDEX(시장분석!$E:$E,AB229)),""))</f>
        <v>73.376</v>
      </c>
      <c r="AG229" s="43" t="str">
        <f aca="false">IF(Q229&lt;&gt;1,"",IF(AB229&lt;&gt;"",IF(AB229="","",INDEX(시장분석!$L:$L,AB229)),IFERROR(IF(VLOOKUP(R229,매핑!$A$4:$E$92,5,0)="","미분류",VLOOKUP(R229,매핑!$A$4:$E$92,5,0)),"미분류")))</f>
        <v>자유 소비재</v>
      </c>
      <c r="AH229" s="43" t="str">
        <f aca="false">IF(Q229&lt;&gt;1,"",IF(AB229&lt;&gt;"",IF(AB229="","",INDEX(시장분석!$N:$N,AB229)),IFERROR(IF(VLOOKUP(R229,매핑!$A$4:$E$92,4,0)="","미분류",VLOOKUP(R229,매핑!$A$4:$E$92,4,0)),"미분류")))</f>
        <v>아시아/기타</v>
      </c>
      <c r="AI229" s="43" t="str">
        <f aca="false">IF(Q229&lt;&gt;1,"",IFERROR(IF(VLOOKUP(R229,매핑!$A$4:$E$92,3,0)="","미분류",VLOOKUP(R229,매핑!$A$4:$E$92,3,0)),IF(AB229&lt;&gt;"",IF(AB229="","",INDEX(시장분석!$W:$W,AB229)),"미분류")))</f>
        <v>한국</v>
      </c>
      <c r="AJ229" s="43" t="str">
        <f aca="false">IF(Q229&lt;&gt;1,"",IFERROR(VLOOKUP(IF(N229&lt;&gt;"",N229,IF(P229&lt;&gt;"",P229,O229)),설정!$A$15:$D$47,2,0),""))</f>
        <v>BBB</v>
      </c>
      <c r="AK229" s="43" t="str">
        <f aca="false">IF(Q229&lt;&gt;1,"",IF(AJ229="","무등급",IFERROR(VLOOKUP(AJ229,설정!$A$15:$D$47,3,0),"무등급")))</f>
        <v>BBB</v>
      </c>
      <c r="AL229" s="89" t="n">
        <f aca="false">IF(AJ229="",99,IFERROR(VLOOKUP(AJ229,설정!$A$15:$D$47,4,0),99))</f>
        <v>9</v>
      </c>
      <c r="AM229" s="94" t="n">
        <f aca="false">IF(ISNUMBER(H229),AA229*1000000*H229/10000,0)</f>
        <v>483.28426334</v>
      </c>
      <c r="AN229" s="94" t="n">
        <f aca="false">IF(OR(Y229=1,NOT(ISNUMBER(Z229))),0,AA229*1000000*Z229/10000)</f>
        <v>483.28426334</v>
      </c>
      <c r="AO229" s="94" t="n">
        <f aca="false">IF(ISNUMBER(G229),AA229*1000000*G229/100,0)</f>
        <v>113333.995972</v>
      </c>
      <c r="AP229" s="94" t="n">
        <f aca="false">IF(ISNUMBER(M229),M229*K229,0)</f>
        <v>-72006</v>
      </c>
      <c r="AQ229" s="95" t="n">
        <f aca="false">IF(AB229="","",INDEX(시장분석!$AK:$AK,AB229))</f>
        <v>0.0343903053062221</v>
      </c>
      <c r="AR229" s="43" t="str">
        <f aca="false">IF(AB229="","-",IF(AB229="","",INDEX(시장분석!$AL:$AL,AB229)))</f>
        <v>Fair</v>
      </c>
      <c r="AS229" s="96" t="n">
        <f aca="false">IF(AB229="","",INDEX(시장분석!$AJ:$AJ,AB229))</f>
        <v>0.712393143760181</v>
      </c>
      <c r="AT229" s="93" t="n">
        <f aca="false">IF(AB229="",0,IF(AB229="","",INDEX(시장분석!$AN:$AN,AB229)))</f>
        <v>19.8721156888579</v>
      </c>
      <c r="AU229" s="94" t="n">
        <f aca="false">IF(ISNUMBER(Z229),AT229/10000*MAX(Z229-1,0)*AA229*1000000,0)</f>
        <v>5664.15039349496</v>
      </c>
      <c r="AV229" s="94" t="n">
        <f aca="false">AO229+AU229</f>
        <v>118998.146365495</v>
      </c>
      <c r="AW229" s="43" t="str">
        <f aca="false">IF(Q229&lt;&gt;1,"",TRIM(IF(AD229=1,"FRN ","")&amp;IF(AND(AL229&gt;=10,AL229&lt;99),"BBB0미만 ","")&amp;IF(AJ229="","등급없음 ","")&amp;IF(K229&lt;&gt;1,"비USD ","")&amp;IF(AND(AB229="",Y229=0),"시장데이터없음 ","")&amp;IF(AND(ISNUMBER(U229),U229&lt;0),"만기경과 ","")))</f>
        <v/>
      </c>
      <c r="AX229" s="90" t="n">
        <f aca="false">IF(Q229&lt;&gt;1,1,IF(스프레드쇼크!$C$4="Y",INDEX(스프레드쇼크!$B$12:$L$16,IFERROR(MATCH(AH229,스프레드쇼크!$A$12:$A$16,0),MATCH("목록외",스프레드쇼크!$A$12:$A$16,0)),IFERROR(MATCH(AG229,스프레드쇼크!$B$11:$L$11,0),MATCH("목록외",스프레드쇼크!$B$11:$L$11,0))),1))</f>
        <v>1</v>
      </c>
      <c r="AY229" s="90" t="n">
        <f aca="false">IF(스프레드쇼크!$C$5="Y",IF(ISNUMBER(AF229),MIN(스프레드쇼크!$C$7,MAX(스프레드쇼크!$C$6,AF229/스프레드쇼크!$C$8)),1),1)</f>
        <v>1.10984047624524</v>
      </c>
      <c r="AZ229" s="94" t="n">
        <f aca="false">AN229*AX229*AY229</f>
        <v>536.368436987094</v>
      </c>
      <c r="BA229" s="90" t="n">
        <f aca="false">IF(ISNUMBER(G229),AA229*G229,0)</f>
        <v>11.3333995972</v>
      </c>
      <c r="BB229" s="90" t="n">
        <f aca="false">IF(ISNUMBER(G229),AA229,0)</f>
        <v>1.982542</v>
      </c>
      <c r="BC229" s="90" t="n">
        <f aca="false">IF(AND(Y229=0,ISNUMBER(AF229)),AA229*AF229,0)</f>
        <v>145.471001792</v>
      </c>
      <c r="BD229" s="90" t="n">
        <f aca="false">IF(AND(Y229=0,ISNUMBER(AF229)),AA229,0)</f>
        <v>1.982542</v>
      </c>
      <c r="BE229" s="90" t="n">
        <f aca="false">IF(ISNUMBER(H229),AA229*H229,0)</f>
        <v>4.8328426334</v>
      </c>
      <c r="BF229" s="90" t="n">
        <f aca="false">IF(ISNUMBER(H229),AA229,0)</f>
        <v>1.982542</v>
      </c>
      <c r="BG229" s="90" t="n">
        <f aca="false">IF(AND(Y229=0,ISNUMBER(AF229),ISNUMBER(Z229)),AA229*Z229,0)</f>
        <v>4.8328426334</v>
      </c>
      <c r="BH229" s="90" t="n">
        <f aca="false">IF(AND(Y229=0,ISNUMBER(AF229),ISNUMBER(Z229)),AA229*AT229*MAX(Z229-1,0),0)</f>
        <v>56.6415039349496</v>
      </c>
      <c r="BI229" s="90" t="n">
        <f aca="false">IF(Y229=0,AA229,0)</f>
        <v>1.982542</v>
      </c>
    </row>
    <row r="230" customFormat="false" ht="15" hidden="false" customHeight="false" outlineLevel="0" collapsed="false">
      <c r="A230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30" s="83" t="str">
        <f aca="false">IFERROR(IF(INDEX(원자료_잔고!$A$1:$EZ$1500,설정!$L$5+ROW()-1,설정!$L$7)&amp;""="0","",INDEX(원자료_잔고!$A$1:$EZ$1500,설정!$L$5+ROW()-1,설정!$L$7)&amp;""),"")</f>
        <v>USY5S5CGAL65</v>
      </c>
      <c r="C230" s="83" t="str">
        <f aca="false">IFERROR(IF(INDEX(원자료_잔고!$A$1:$EZ$1500,설정!$L$5+ROW()-1,설정!$L$9)&amp;""="0","",INDEX(원자료_잔고!$A$1:$EZ$1500,설정!$L$5+ROW()-1,설정!$L$9)&amp;""),"")</f>
        <v>34578</v>
      </c>
      <c r="D23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0" s="84" t="n">
        <f aca="false">IFERROR(IF(ISNUMBER(INDEX(원자료_잔고!$A$1:$EZ$1500,설정!$L$5+ROW()-1,설정!$L$11)),INDEX(원자료_잔고!$A$1:$EZ$1500,설정!$L$5+ROW()-1,설정!$L$11),""),"")</f>
        <v>2000000</v>
      </c>
      <c r="F230" s="85" t="n">
        <f aca="false">IFERROR(IF(ISNUMBER(INDEX(원자료_잔고!$A$1:$EZ$1500,설정!$L$5+ROW()-1,설정!$L$12)),INDEX(원자료_잔고!$A$1:$EZ$1500,설정!$L$5+ROW()-1,설정!$L$12),""),"")</f>
        <v>99.1271</v>
      </c>
      <c r="G230" s="85" t="n">
        <f aca="false">IFERROR(IF(ISNUMBER(INDEX(원자료_잔고!$A$1:$EZ$1500,설정!$L$5+ROW()-1,설정!$L$13)),INDEX(원자료_잔고!$A$1:$EZ$1500,설정!$L$5+ROW()-1,설정!$L$13),""),"")</f>
        <v>5.7166</v>
      </c>
      <c r="H230" s="85" t="n">
        <f aca="false">IFERROR(IF(ISNUMBER(INDEX(원자료_잔고!$A$1:$EZ$1500,설정!$L$5+ROW()-1,설정!$L$14)),INDEX(원자료_잔고!$A$1:$EZ$1500,설정!$L$5+ROW()-1,설정!$L$14),""),"")</f>
        <v>2.4377</v>
      </c>
      <c r="I230" s="86" t="n">
        <f aca="false">IFERROR(IF(ISNUMBER(INDEX(원자료_잔고!$A$1:$EZ$1500,설정!$L$5+ROW()-1,설정!$L$15)),INDEX(원자료_잔고!$A$1:$EZ$1500,설정!$L$5+ROW()-1,설정!$L$15),""),"")</f>
        <v>47301</v>
      </c>
      <c r="J230" s="85" t="n">
        <f aca="false">IFERROR(IF(ISNUMBER(INDEX(원자료_잔고!$A$1:$EZ$1500,설정!$L$5+ROW()-1,설정!$L$16)),INDEX(원자료_잔고!$A$1:$EZ$1500,설정!$L$5+ROW()-1,설정!$L$16),""),"")</f>
        <v>5.375</v>
      </c>
      <c r="K230" s="87" t="n">
        <f aca="false">IFERROR(IF(ISNUMBER(INDEX(원자료_잔고!$A$1:$EZ$1500,설정!$L$5+ROW()-1,설정!$L$17)),INDEX(원자료_잔고!$A$1:$EZ$1500,설정!$L$5+ROW()-1,설정!$L$17),""),"")</f>
        <v>1</v>
      </c>
      <c r="L230" s="84" t="n">
        <f aca="false">IFERROR(IF(ISNUMBER(INDEX(원자료_잔고!$A$1:$EZ$1500,설정!$L$5+ROW()-1,설정!$L$18)),INDEX(원자료_잔고!$A$1:$EZ$1500,설정!$L$5+ROW()-1,설정!$L$18),""),"")</f>
        <v>1982542</v>
      </c>
      <c r="M230" s="88" t="n">
        <f aca="false">IFERROR(IF(ISNUMBER(INDEX(원자료_잔고!$A$1:$EZ$1500,설정!$L$5+ROW()-1,설정!$L$19)),INDEX(원자료_잔고!$A$1:$EZ$1500,설정!$L$5+ROW()-1,설정!$L$19),""),"")</f>
        <v>-72006</v>
      </c>
      <c r="N230" s="83" t="str">
        <f aca="false">IFERROR(IF(INDEX(원자료_잔고!$A$1:$EZ$1500,설정!$L$5+ROW()-1,설정!$L$21)&amp;""="0","",INDEX(원자료_잔고!$A$1:$EZ$1500,설정!$L$5+ROW()-1,설정!$L$21)&amp;""),"")</f>
        <v>BBB</v>
      </c>
      <c r="O230" s="83" t="str">
        <f aca="false">IFERROR(IF(INDEX(원자료_잔고!$A$1:$EZ$1500,설정!$L$5+ROW()-1,설정!$L$22)&amp;""="0","",INDEX(원자료_잔고!$A$1:$EZ$1500,설정!$L$5+ROW()-1,설정!$L$22)&amp;""),"")</f>
        <v/>
      </c>
      <c r="P230" s="83" t="str">
        <f aca="false">IFERROR(IF(INDEX(원자료_잔고!$A$1:$EZ$1500,설정!$L$5+ROW()-1,설정!$L$23)&amp;""="0","",INDEX(원자료_잔고!$A$1:$EZ$1500,설정!$L$5+ROW()-1,설정!$L$23)&amp;""),"")</f>
        <v>N/A</v>
      </c>
      <c r="Q230" s="89" t="n">
        <f aca="false">IF(AND($A230&lt;&gt;"",ISNUMBER(E230)),IF(E230&gt;0,1,0),0)</f>
        <v>1</v>
      </c>
      <c r="R230" s="43" t="str">
        <f aca="false">IF(Q230=1,UPPER(LEFT($A230,FIND(" ",$A230&amp;" ")-1)),"")</f>
        <v>LGENSO</v>
      </c>
      <c r="S230" s="89" t="n">
        <f aca="false">IF(Q230=1,IF(OR(ISNUMBER(SEARCH("Float",$A230)),ISNUMBER(SEARCH("FRN",$A230))),1,0),0)</f>
        <v>0</v>
      </c>
      <c r="T230" s="43" t="str">
        <f aca="false">IF(AND(Q230=1,ISNUMBER(I230)),TEXT(I230,"yyyymmdd")&amp;"|"&amp;IF(S230=1,"F",TEXT(J230,"0.000")),"")</f>
        <v>20290702|5.375</v>
      </c>
      <c r="U230" s="90" t="n">
        <f aca="false">IF(AND(Q230=1,ISNUMBER(I230)),(I230-설정!$C$4)/365.25,"")</f>
        <v>2.75154004106776</v>
      </c>
      <c r="V230" s="43" t="str">
        <f aca="false">IF(Q230&lt;&gt;1,"",IF(ISNUMBER(U230),IF(U230&lt;=1,"1년 이하",IF(U230&lt;=2,"1-2년",IF(U230&lt;=3,"2-3년",IF(U230&lt;=4,"3-4년",IF(U230&lt;=5,"4-5년",IF(U230&lt;=7,"5-7년",IF(U230&lt;=10,"7-10년",IF(U230&lt;=20,"10-20년","20년 이상")))))))),"미분류"))</f>
        <v>2-3년</v>
      </c>
      <c r="W230" s="43" t="str">
        <f aca="false">IF(Q230&lt;&gt;1,"",IF(AB230&lt;&gt;"",INDEX(시장분석!$C:$C,AB230),IF(K230=1,"USD","비USD")))</f>
        <v>USD</v>
      </c>
      <c r="X230" s="91" t="n">
        <f aca="false">IF(Q230=1,E230*K230/1000000,0)</f>
        <v>2</v>
      </c>
      <c r="Y230" s="89" t="n">
        <f aca="false">IF(R230="T",1,0)</f>
        <v>0</v>
      </c>
      <c r="Z230" s="92" t="n">
        <f aca="false">IF(Q230&lt;&gt;1,"",IF(AD230=1,IF(ISNUMBER(U230),MAX(U230,0),H230),H230))</f>
        <v>2.4377</v>
      </c>
      <c r="AA230" s="91" t="n">
        <f aca="false">IF(Q230=1,IF(ISNUMBER(L230),L230,0)*K230/1000000,0)</f>
        <v>1.982542</v>
      </c>
      <c r="AB230" s="89" t="n">
        <f aca="false">IF(Q230&lt;&gt;1,"",IFERROR(MATCH(VLOOKUP(B230,매핑!$H$4:$I$15,2,0),시장분석!$A$2:$A$601,0)+1,IFERROR(MATCH(R230&amp;"|"&amp;T230,시장분석!$V$2:$V$601,0)+1,IF(COUNTIF(시장분석!$U$2:$U$601,T230)=1,MATCH(T230,시장분석!$U$2:$U$601,0)+1,""))))</f>
        <v>179</v>
      </c>
      <c r="AC230" s="89" t="n">
        <f aca="false">IF(Q230&lt;&gt;1,0,IF(OR(설정!$C$5="전체",AND(설정!$C$5="선택펀드",IFERROR(COUNTIFS(설정!$F$16:$F$36,C230,설정!$G$16:$G$36,"Y")+COUNTIFS(설정!$F$16:$F$36,VALUE(C230),설정!$G$16:$G$36,"Y"),0)&gt;0),C230&amp;""=설정!$C$5&amp;""),1,0))</f>
        <v>1</v>
      </c>
      <c r="AD230" s="89" t="n">
        <f aca="false">IF(Q230&lt;&gt;1,0,IF(OR(S230=1,IF(AB230="",FALSE(),INDEX(시장분석!$R:$R,AB230)=1)),1,0))</f>
        <v>0</v>
      </c>
      <c r="AE230" s="43" t="str">
        <f aca="false">IF(AB230="","",INDEX(시장분석!$A:$A,AB230))</f>
        <v>LGENSO 5 3/8 07/02/29</v>
      </c>
      <c r="AF230" s="93" t="n">
        <f aca="false">IF(AB230="","",IF(ISNUMBER(IF(AB230="","",INDEX(시장분석!$E:$E,AB230))),IF(AB230="","",INDEX(시장분석!$E:$E,AB230)),""))</f>
        <v>73.376</v>
      </c>
      <c r="AG230" s="43" t="str">
        <f aca="false">IF(Q230&lt;&gt;1,"",IF(AB230&lt;&gt;"",IF(AB230="","",INDEX(시장분석!$L:$L,AB230)),IFERROR(IF(VLOOKUP(R230,매핑!$A$4:$E$92,5,0)="","미분류",VLOOKUP(R230,매핑!$A$4:$E$92,5,0)),"미분류")))</f>
        <v>자유 소비재</v>
      </c>
      <c r="AH230" s="43" t="str">
        <f aca="false">IF(Q230&lt;&gt;1,"",IF(AB230&lt;&gt;"",IF(AB230="","",INDEX(시장분석!$N:$N,AB230)),IFERROR(IF(VLOOKUP(R230,매핑!$A$4:$E$92,4,0)="","미분류",VLOOKUP(R230,매핑!$A$4:$E$92,4,0)),"미분류")))</f>
        <v>아시아/기타</v>
      </c>
      <c r="AI230" s="43" t="str">
        <f aca="false">IF(Q230&lt;&gt;1,"",IFERROR(IF(VLOOKUP(R230,매핑!$A$4:$E$92,3,0)="","미분류",VLOOKUP(R230,매핑!$A$4:$E$92,3,0)),IF(AB230&lt;&gt;"",IF(AB230="","",INDEX(시장분석!$W:$W,AB230)),"미분류")))</f>
        <v>한국</v>
      </c>
      <c r="AJ230" s="43" t="str">
        <f aca="false">IF(Q230&lt;&gt;1,"",IFERROR(VLOOKUP(IF(N230&lt;&gt;"",N230,IF(P230&lt;&gt;"",P230,O230)),설정!$A$15:$D$47,2,0),""))</f>
        <v>BBB</v>
      </c>
      <c r="AK230" s="43" t="str">
        <f aca="false">IF(Q230&lt;&gt;1,"",IF(AJ230="","무등급",IFERROR(VLOOKUP(AJ230,설정!$A$15:$D$47,3,0),"무등급")))</f>
        <v>BBB</v>
      </c>
      <c r="AL230" s="89" t="n">
        <f aca="false">IF(AJ230="",99,IFERROR(VLOOKUP(AJ230,설정!$A$15:$D$47,4,0),99))</f>
        <v>9</v>
      </c>
      <c r="AM230" s="94" t="n">
        <f aca="false">IF(ISNUMBER(H230),AA230*1000000*H230/10000,0)</f>
        <v>483.28426334</v>
      </c>
      <c r="AN230" s="94" t="n">
        <f aca="false">IF(OR(Y230=1,NOT(ISNUMBER(Z230))),0,AA230*1000000*Z230/10000)</f>
        <v>483.28426334</v>
      </c>
      <c r="AO230" s="94" t="n">
        <f aca="false">IF(ISNUMBER(G230),AA230*1000000*G230/100,0)</f>
        <v>113333.995972</v>
      </c>
      <c r="AP230" s="94" t="n">
        <f aca="false">IF(ISNUMBER(M230),M230*K230,0)</f>
        <v>-72006</v>
      </c>
      <c r="AQ230" s="95" t="n">
        <f aca="false">IF(AB230="","",INDEX(시장분석!$AK:$AK,AB230))</f>
        <v>0.0343903053062221</v>
      </c>
      <c r="AR230" s="43" t="str">
        <f aca="false">IF(AB230="","-",IF(AB230="","",INDEX(시장분석!$AL:$AL,AB230)))</f>
        <v>Fair</v>
      </c>
      <c r="AS230" s="96" t="n">
        <f aca="false">IF(AB230="","",INDEX(시장분석!$AJ:$AJ,AB230))</f>
        <v>0.712393143760181</v>
      </c>
      <c r="AT230" s="93" t="n">
        <f aca="false">IF(AB230="",0,IF(AB230="","",INDEX(시장분석!$AN:$AN,AB230)))</f>
        <v>19.8721156888579</v>
      </c>
      <c r="AU230" s="94" t="n">
        <f aca="false">IF(ISNUMBER(Z230),AT230/10000*MAX(Z230-1,0)*AA230*1000000,0)</f>
        <v>5664.15039349496</v>
      </c>
      <c r="AV230" s="94" t="n">
        <f aca="false">AO230+AU230</f>
        <v>118998.146365495</v>
      </c>
      <c r="AW230" s="43" t="str">
        <f aca="false">IF(Q230&lt;&gt;1,"",TRIM(IF(AD230=1,"FRN ","")&amp;IF(AND(AL230&gt;=10,AL230&lt;99),"BBB0미만 ","")&amp;IF(AJ230="","등급없음 ","")&amp;IF(K230&lt;&gt;1,"비USD ","")&amp;IF(AND(AB230="",Y230=0),"시장데이터없음 ","")&amp;IF(AND(ISNUMBER(U230),U230&lt;0),"만기경과 ","")))</f>
        <v/>
      </c>
      <c r="AX230" s="90" t="n">
        <f aca="false">IF(Q230&lt;&gt;1,1,IF(스프레드쇼크!$C$4="Y",INDEX(스프레드쇼크!$B$12:$L$16,IFERROR(MATCH(AH230,스프레드쇼크!$A$12:$A$16,0),MATCH("목록외",스프레드쇼크!$A$12:$A$16,0)),IFERROR(MATCH(AG230,스프레드쇼크!$B$11:$L$11,0),MATCH("목록외",스프레드쇼크!$B$11:$L$11,0))),1))</f>
        <v>1</v>
      </c>
      <c r="AY230" s="90" t="n">
        <f aca="false">IF(스프레드쇼크!$C$5="Y",IF(ISNUMBER(AF230),MIN(스프레드쇼크!$C$7,MAX(스프레드쇼크!$C$6,AF230/스프레드쇼크!$C$8)),1),1)</f>
        <v>1.10984047624524</v>
      </c>
      <c r="AZ230" s="94" t="n">
        <f aca="false">AN230*AX230*AY230</f>
        <v>536.368436987094</v>
      </c>
      <c r="BA230" s="90" t="n">
        <f aca="false">IF(ISNUMBER(G230),AA230*G230,0)</f>
        <v>11.3333995972</v>
      </c>
      <c r="BB230" s="90" t="n">
        <f aca="false">IF(ISNUMBER(G230),AA230,0)</f>
        <v>1.982542</v>
      </c>
      <c r="BC230" s="90" t="n">
        <f aca="false">IF(AND(Y230=0,ISNUMBER(AF230)),AA230*AF230,0)</f>
        <v>145.471001792</v>
      </c>
      <c r="BD230" s="90" t="n">
        <f aca="false">IF(AND(Y230=0,ISNUMBER(AF230)),AA230,0)</f>
        <v>1.982542</v>
      </c>
      <c r="BE230" s="90" t="n">
        <f aca="false">IF(ISNUMBER(H230),AA230*H230,0)</f>
        <v>4.8328426334</v>
      </c>
      <c r="BF230" s="90" t="n">
        <f aca="false">IF(ISNUMBER(H230),AA230,0)</f>
        <v>1.982542</v>
      </c>
      <c r="BG230" s="90" t="n">
        <f aca="false">IF(AND(Y230=0,ISNUMBER(AF230),ISNUMBER(Z230)),AA230*Z230,0)</f>
        <v>4.8328426334</v>
      </c>
      <c r="BH230" s="90" t="n">
        <f aca="false">IF(AND(Y230=0,ISNUMBER(AF230),ISNUMBER(Z230)),AA230*AT230*MAX(Z230-1,0),0)</f>
        <v>56.6415039349496</v>
      </c>
      <c r="BI230" s="90" t="n">
        <f aca="false">IF(Y230=0,AA230,0)</f>
        <v>1.982542</v>
      </c>
    </row>
    <row r="231" customFormat="false" ht="15" hidden="false" customHeight="false" outlineLevel="0" collapsed="false">
      <c r="A231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31" s="83" t="str">
        <f aca="false">IFERROR(IF(INDEX(원자료_잔고!$A$1:$EZ$1500,설정!$L$5+ROW()-1,설정!$L$7)&amp;""="0","",INDEX(원자료_잔고!$A$1:$EZ$1500,설정!$L$5+ROW()-1,설정!$L$7)&amp;""),"")</f>
        <v>USY5S5CGAL65</v>
      </c>
      <c r="C231" s="83" t="str">
        <f aca="false">IFERROR(IF(INDEX(원자료_잔고!$A$1:$EZ$1500,설정!$L$5+ROW()-1,설정!$L$9)&amp;""="0","",INDEX(원자료_잔고!$A$1:$EZ$1500,설정!$L$5+ROW()-1,설정!$L$9)&amp;""),"")</f>
        <v>34578</v>
      </c>
      <c r="D23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1" s="84" t="n">
        <f aca="false">IFERROR(IF(ISNUMBER(INDEX(원자료_잔고!$A$1:$EZ$1500,설정!$L$5+ROW()-1,설정!$L$11)),INDEX(원자료_잔고!$A$1:$EZ$1500,설정!$L$5+ROW()-1,설정!$L$11),""),"")</f>
        <v>1000000</v>
      </c>
      <c r="F231" s="85" t="n">
        <f aca="false">IFERROR(IF(ISNUMBER(INDEX(원자료_잔고!$A$1:$EZ$1500,설정!$L$5+ROW()-1,설정!$L$12)),INDEX(원자료_잔고!$A$1:$EZ$1500,설정!$L$5+ROW()-1,설정!$L$12),""),"")</f>
        <v>99.1271</v>
      </c>
      <c r="G231" s="85" t="n">
        <f aca="false">IFERROR(IF(ISNUMBER(INDEX(원자료_잔고!$A$1:$EZ$1500,설정!$L$5+ROW()-1,설정!$L$13)),INDEX(원자료_잔고!$A$1:$EZ$1500,설정!$L$5+ROW()-1,설정!$L$13),""),"")</f>
        <v>5.7166</v>
      </c>
      <c r="H231" s="85" t="n">
        <f aca="false">IFERROR(IF(ISNUMBER(INDEX(원자료_잔고!$A$1:$EZ$1500,설정!$L$5+ROW()-1,설정!$L$14)),INDEX(원자료_잔고!$A$1:$EZ$1500,설정!$L$5+ROW()-1,설정!$L$14),""),"")</f>
        <v>2.4377</v>
      </c>
      <c r="I231" s="86" t="n">
        <f aca="false">IFERROR(IF(ISNUMBER(INDEX(원자료_잔고!$A$1:$EZ$1500,설정!$L$5+ROW()-1,설정!$L$15)),INDEX(원자료_잔고!$A$1:$EZ$1500,설정!$L$5+ROW()-1,설정!$L$15),""),"")</f>
        <v>47301</v>
      </c>
      <c r="J231" s="85" t="n">
        <f aca="false">IFERROR(IF(ISNUMBER(INDEX(원자료_잔고!$A$1:$EZ$1500,설정!$L$5+ROW()-1,설정!$L$16)),INDEX(원자료_잔고!$A$1:$EZ$1500,설정!$L$5+ROW()-1,설정!$L$16),""),"")</f>
        <v>5.375</v>
      </c>
      <c r="K231" s="87" t="n">
        <f aca="false">IFERROR(IF(ISNUMBER(INDEX(원자료_잔고!$A$1:$EZ$1500,설정!$L$5+ROW()-1,설정!$L$17)),INDEX(원자료_잔고!$A$1:$EZ$1500,설정!$L$5+ROW()-1,설정!$L$17),""),"")</f>
        <v>1</v>
      </c>
      <c r="L231" s="84" t="n">
        <f aca="false">IFERROR(IF(ISNUMBER(INDEX(원자료_잔고!$A$1:$EZ$1500,설정!$L$5+ROW()-1,설정!$L$18)),INDEX(원자료_잔고!$A$1:$EZ$1500,설정!$L$5+ROW()-1,설정!$L$18),""),"")</f>
        <v>991271</v>
      </c>
      <c r="M231" s="88" t="n">
        <f aca="false">IFERROR(IF(ISNUMBER(INDEX(원자료_잔고!$A$1:$EZ$1500,설정!$L$5+ROW()-1,설정!$L$19)),INDEX(원자료_잔고!$A$1:$EZ$1500,설정!$L$5+ROW()-1,설정!$L$19),""),"")</f>
        <v>-36003</v>
      </c>
      <c r="N231" s="83" t="str">
        <f aca="false">IFERROR(IF(INDEX(원자료_잔고!$A$1:$EZ$1500,설정!$L$5+ROW()-1,설정!$L$21)&amp;""="0","",INDEX(원자료_잔고!$A$1:$EZ$1500,설정!$L$5+ROW()-1,설정!$L$21)&amp;""),"")</f>
        <v>BBB</v>
      </c>
      <c r="O231" s="83" t="str">
        <f aca="false">IFERROR(IF(INDEX(원자료_잔고!$A$1:$EZ$1500,설정!$L$5+ROW()-1,설정!$L$22)&amp;""="0","",INDEX(원자료_잔고!$A$1:$EZ$1500,설정!$L$5+ROW()-1,설정!$L$22)&amp;""),"")</f>
        <v/>
      </c>
      <c r="P231" s="83" t="str">
        <f aca="false">IFERROR(IF(INDEX(원자료_잔고!$A$1:$EZ$1500,설정!$L$5+ROW()-1,설정!$L$23)&amp;""="0","",INDEX(원자료_잔고!$A$1:$EZ$1500,설정!$L$5+ROW()-1,설정!$L$23)&amp;""),"")</f>
        <v>N/A</v>
      </c>
      <c r="Q231" s="89" t="n">
        <f aca="false">IF(AND($A231&lt;&gt;"",ISNUMBER(E231)),IF(E231&gt;0,1,0),0)</f>
        <v>1</v>
      </c>
      <c r="R231" s="43" t="str">
        <f aca="false">IF(Q231=1,UPPER(LEFT($A231,FIND(" ",$A231&amp;" ")-1)),"")</f>
        <v>LGENSO</v>
      </c>
      <c r="S231" s="89" t="n">
        <f aca="false">IF(Q231=1,IF(OR(ISNUMBER(SEARCH("Float",$A231)),ISNUMBER(SEARCH("FRN",$A231))),1,0),0)</f>
        <v>0</v>
      </c>
      <c r="T231" s="43" t="str">
        <f aca="false">IF(AND(Q231=1,ISNUMBER(I231)),TEXT(I231,"yyyymmdd")&amp;"|"&amp;IF(S231=1,"F",TEXT(J231,"0.000")),"")</f>
        <v>20290702|5.375</v>
      </c>
      <c r="U231" s="90" t="n">
        <f aca="false">IF(AND(Q231=1,ISNUMBER(I231)),(I231-설정!$C$4)/365.25,"")</f>
        <v>2.75154004106776</v>
      </c>
      <c r="V231" s="43" t="str">
        <f aca="false">IF(Q231&lt;&gt;1,"",IF(ISNUMBER(U231),IF(U231&lt;=1,"1년 이하",IF(U231&lt;=2,"1-2년",IF(U231&lt;=3,"2-3년",IF(U231&lt;=4,"3-4년",IF(U231&lt;=5,"4-5년",IF(U231&lt;=7,"5-7년",IF(U231&lt;=10,"7-10년",IF(U231&lt;=20,"10-20년","20년 이상")))))))),"미분류"))</f>
        <v>2-3년</v>
      </c>
      <c r="W231" s="43" t="str">
        <f aca="false">IF(Q231&lt;&gt;1,"",IF(AB231&lt;&gt;"",INDEX(시장분석!$C:$C,AB231),IF(K231=1,"USD","비USD")))</f>
        <v>USD</v>
      </c>
      <c r="X231" s="91" t="n">
        <f aca="false">IF(Q231=1,E231*K231/1000000,0)</f>
        <v>1</v>
      </c>
      <c r="Y231" s="89" t="n">
        <f aca="false">IF(R231="T",1,0)</f>
        <v>0</v>
      </c>
      <c r="Z231" s="92" t="n">
        <f aca="false">IF(Q231&lt;&gt;1,"",IF(AD231=1,IF(ISNUMBER(U231),MAX(U231,0),H231),H231))</f>
        <v>2.4377</v>
      </c>
      <c r="AA231" s="91" t="n">
        <f aca="false">IF(Q231=1,IF(ISNUMBER(L231),L231,0)*K231/1000000,0)</f>
        <v>0.991271</v>
      </c>
      <c r="AB231" s="89" t="n">
        <f aca="false">IF(Q231&lt;&gt;1,"",IFERROR(MATCH(VLOOKUP(B231,매핑!$H$4:$I$15,2,0),시장분석!$A$2:$A$601,0)+1,IFERROR(MATCH(R231&amp;"|"&amp;T231,시장분석!$V$2:$V$601,0)+1,IF(COUNTIF(시장분석!$U$2:$U$601,T231)=1,MATCH(T231,시장분석!$U$2:$U$601,0)+1,""))))</f>
        <v>179</v>
      </c>
      <c r="AC231" s="89" t="n">
        <f aca="false">IF(Q231&lt;&gt;1,0,IF(OR(설정!$C$5="전체",AND(설정!$C$5="선택펀드",IFERROR(COUNTIFS(설정!$F$16:$F$36,C231,설정!$G$16:$G$36,"Y")+COUNTIFS(설정!$F$16:$F$36,VALUE(C231),설정!$G$16:$G$36,"Y"),0)&gt;0),C231&amp;""=설정!$C$5&amp;""),1,0))</f>
        <v>1</v>
      </c>
      <c r="AD231" s="89" t="n">
        <f aca="false">IF(Q231&lt;&gt;1,0,IF(OR(S231=1,IF(AB231="",FALSE(),INDEX(시장분석!$R:$R,AB231)=1)),1,0))</f>
        <v>0</v>
      </c>
      <c r="AE231" s="43" t="str">
        <f aca="false">IF(AB231="","",INDEX(시장분석!$A:$A,AB231))</f>
        <v>LGENSO 5 3/8 07/02/29</v>
      </c>
      <c r="AF231" s="93" t="n">
        <f aca="false">IF(AB231="","",IF(ISNUMBER(IF(AB231="","",INDEX(시장분석!$E:$E,AB231))),IF(AB231="","",INDEX(시장분석!$E:$E,AB231)),""))</f>
        <v>73.376</v>
      </c>
      <c r="AG231" s="43" t="str">
        <f aca="false">IF(Q231&lt;&gt;1,"",IF(AB231&lt;&gt;"",IF(AB231="","",INDEX(시장분석!$L:$L,AB231)),IFERROR(IF(VLOOKUP(R231,매핑!$A$4:$E$92,5,0)="","미분류",VLOOKUP(R231,매핑!$A$4:$E$92,5,0)),"미분류")))</f>
        <v>자유 소비재</v>
      </c>
      <c r="AH231" s="43" t="str">
        <f aca="false">IF(Q231&lt;&gt;1,"",IF(AB231&lt;&gt;"",IF(AB231="","",INDEX(시장분석!$N:$N,AB231)),IFERROR(IF(VLOOKUP(R231,매핑!$A$4:$E$92,4,0)="","미분류",VLOOKUP(R231,매핑!$A$4:$E$92,4,0)),"미분류")))</f>
        <v>아시아/기타</v>
      </c>
      <c r="AI231" s="43" t="str">
        <f aca="false">IF(Q231&lt;&gt;1,"",IFERROR(IF(VLOOKUP(R231,매핑!$A$4:$E$92,3,0)="","미분류",VLOOKUP(R231,매핑!$A$4:$E$92,3,0)),IF(AB231&lt;&gt;"",IF(AB231="","",INDEX(시장분석!$W:$W,AB231)),"미분류")))</f>
        <v>한국</v>
      </c>
      <c r="AJ231" s="43" t="str">
        <f aca="false">IF(Q231&lt;&gt;1,"",IFERROR(VLOOKUP(IF(N231&lt;&gt;"",N231,IF(P231&lt;&gt;"",P231,O231)),설정!$A$15:$D$47,2,0),""))</f>
        <v>BBB</v>
      </c>
      <c r="AK231" s="43" t="str">
        <f aca="false">IF(Q231&lt;&gt;1,"",IF(AJ231="","무등급",IFERROR(VLOOKUP(AJ231,설정!$A$15:$D$47,3,0),"무등급")))</f>
        <v>BBB</v>
      </c>
      <c r="AL231" s="89" t="n">
        <f aca="false">IF(AJ231="",99,IFERROR(VLOOKUP(AJ231,설정!$A$15:$D$47,4,0),99))</f>
        <v>9</v>
      </c>
      <c r="AM231" s="94" t="n">
        <f aca="false">IF(ISNUMBER(H231),AA231*1000000*H231/10000,0)</f>
        <v>241.64213167</v>
      </c>
      <c r="AN231" s="94" t="n">
        <f aca="false">IF(OR(Y231=1,NOT(ISNUMBER(Z231))),0,AA231*1000000*Z231/10000)</f>
        <v>241.64213167</v>
      </c>
      <c r="AO231" s="94" t="n">
        <f aca="false">IF(ISNUMBER(G231),AA231*1000000*G231/100,0)</f>
        <v>56666.997986</v>
      </c>
      <c r="AP231" s="94" t="n">
        <f aca="false">IF(ISNUMBER(M231),M231*K231,0)</f>
        <v>-36003</v>
      </c>
      <c r="AQ231" s="95" t="n">
        <f aca="false">IF(AB231="","",INDEX(시장분석!$AK:$AK,AB231))</f>
        <v>0.0343903053062221</v>
      </c>
      <c r="AR231" s="43" t="str">
        <f aca="false">IF(AB231="","-",IF(AB231="","",INDEX(시장분석!$AL:$AL,AB231)))</f>
        <v>Fair</v>
      </c>
      <c r="AS231" s="96" t="n">
        <f aca="false">IF(AB231="","",INDEX(시장분석!$AJ:$AJ,AB231))</f>
        <v>0.712393143760181</v>
      </c>
      <c r="AT231" s="93" t="n">
        <f aca="false">IF(AB231="",0,IF(AB231="","",INDEX(시장분석!$AN:$AN,AB231)))</f>
        <v>19.8721156888579</v>
      </c>
      <c r="AU231" s="94" t="n">
        <f aca="false">IF(ISNUMBER(Z231),AT231/10000*MAX(Z231-1,0)*AA231*1000000,0)</f>
        <v>2832.07519674748</v>
      </c>
      <c r="AV231" s="94" t="n">
        <f aca="false">AO231+AU231</f>
        <v>59499.0731827475</v>
      </c>
      <c r="AW231" s="43" t="str">
        <f aca="false">IF(Q231&lt;&gt;1,"",TRIM(IF(AD231=1,"FRN ","")&amp;IF(AND(AL231&gt;=10,AL231&lt;99),"BBB0미만 ","")&amp;IF(AJ231="","등급없음 ","")&amp;IF(K231&lt;&gt;1,"비USD ","")&amp;IF(AND(AB231="",Y231=0),"시장데이터없음 ","")&amp;IF(AND(ISNUMBER(U231),U231&lt;0),"만기경과 ","")))</f>
        <v/>
      </c>
      <c r="AX231" s="90" t="n">
        <f aca="false">IF(Q231&lt;&gt;1,1,IF(스프레드쇼크!$C$4="Y",INDEX(스프레드쇼크!$B$12:$L$16,IFERROR(MATCH(AH231,스프레드쇼크!$A$12:$A$16,0),MATCH("목록외",스프레드쇼크!$A$12:$A$16,0)),IFERROR(MATCH(AG231,스프레드쇼크!$B$11:$L$11,0),MATCH("목록외",스프레드쇼크!$B$11:$L$11,0))),1))</f>
        <v>1</v>
      </c>
      <c r="AY231" s="90" t="n">
        <f aca="false">IF(스프레드쇼크!$C$5="Y",IF(ISNUMBER(AF231),MIN(스프레드쇼크!$C$7,MAX(스프레드쇼크!$C$6,AF231/스프레드쇼크!$C$8)),1),1)</f>
        <v>1.10984047624524</v>
      </c>
      <c r="AZ231" s="94" t="n">
        <f aca="false">AN231*AX231*AY231</f>
        <v>268.184218493547</v>
      </c>
      <c r="BA231" s="90" t="n">
        <f aca="false">IF(ISNUMBER(G231),AA231*G231,0)</f>
        <v>5.6666997986</v>
      </c>
      <c r="BB231" s="90" t="n">
        <f aca="false">IF(ISNUMBER(G231),AA231,0)</f>
        <v>0.991271</v>
      </c>
      <c r="BC231" s="90" t="n">
        <f aca="false">IF(AND(Y231=0,ISNUMBER(AF231)),AA231*AF231,0)</f>
        <v>72.735500896</v>
      </c>
      <c r="BD231" s="90" t="n">
        <f aca="false">IF(AND(Y231=0,ISNUMBER(AF231)),AA231,0)</f>
        <v>0.991271</v>
      </c>
      <c r="BE231" s="90" t="n">
        <f aca="false">IF(ISNUMBER(H231),AA231*H231,0)</f>
        <v>2.4164213167</v>
      </c>
      <c r="BF231" s="90" t="n">
        <f aca="false">IF(ISNUMBER(H231),AA231,0)</f>
        <v>0.991271</v>
      </c>
      <c r="BG231" s="90" t="n">
        <f aca="false">IF(AND(Y231=0,ISNUMBER(AF231),ISNUMBER(Z231)),AA231*Z231,0)</f>
        <v>2.4164213167</v>
      </c>
      <c r="BH231" s="90" t="n">
        <f aca="false">IF(AND(Y231=0,ISNUMBER(AF231),ISNUMBER(Z231)),AA231*AT231*MAX(Z231-1,0),0)</f>
        <v>28.3207519674748</v>
      </c>
      <c r="BI231" s="90" t="n">
        <f aca="false">IF(Y231=0,AA231,0)</f>
        <v>0.991271</v>
      </c>
    </row>
    <row r="232" customFormat="false" ht="15" hidden="false" customHeight="false" outlineLevel="0" collapsed="false">
      <c r="A232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32" s="83" t="str">
        <f aca="false">IFERROR(IF(INDEX(원자료_잔고!$A$1:$EZ$1500,설정!$L$5+ROW()-1,설정!$L$7)&amp;""="0","",INDEX(원자료_잔고!$A$1:$EZ$1500,설정!$L$5+ROW()-1,설정!$L$7)&amp;""),"")</f>
        <v>USY5S5CGAL65</v>
      </c>
      <c r="C232" s="83" t="str">
        <f aca="false">IFERROR(IF(INDEX(원자료_잔고!$A$1:$EZ$1500,설정!$L$5+ROW()-1,설정!$L$9)&amp;""="0","",INDEX(원자료_잔고!$A$1:$EZ$1500,설정!$L$5+ROW()-1,설정!$L$9)&amp;""),"")</f>
        <v>34578</v>
      </c>
      <c r="D23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2" s="84" t="n">
        <f aca="false">IFERROR(IF(ISNUMBER(INDEX(원자료_잔고!$A$1:$EZ$1500,설정!$L$5+ROW()-1,설정!$L$11)),INDEX(원자료_잔고!$A$1:$EZ$1500,설정!$L$5+ROW()-1,설정!$L$11),""),"")</f>
        <v>1000000</v>
      </c>
      <c r="F232" s="85" t="n">
        <f aca="false">IFERROR(IF(ISNUMBER(INDEX(원자료_잔고!$A$1:$EZ$1500,설정!$L$5+ROW()-1,설정!$L$12)),INDEX(원자료_잔고!$A$1:$EZ$1500,설정!$L$5+ROW()-1,설정!$L$12),""),"")</f>
        <v>99.1271</v>
      </c>
      <c r="G232" s="85" t="n">
        <f aca="false">IFERROR(IF(ISNUMBER(INDEX(원자료_잔고!$A$1:$EZ$1500,설정!$L$5+ROW()-1,설정!$L$13)),INDEX(원자료_잔고!$A$1:$EZ$1500,설정!$L$5+ROW()-1,설정!$L$13),""),"")</f>
        <v>5.7166</v>
      </c>
      <c r="H232" s="85" t="n">
        <f aca="false">IFERROR(IF(ISNUMBER(INDEX(원자료_잔고!$A$1:$EZ$1500,설정!$L$5+ROW()-1,설정!$L$14)),INDEX(원자료_잔고!$A$1:$EZ$1500,설정!$L$5+ROW()-1,설정!$L$14),""),"")</f>
        <v>2.4377</v>
      </c>
      <c r="I232" s="86" t="n">
        <f aca="false">IFERROR(IF(ISNUMBER(INDEX(원자료_잔고!$A$1:$EZ$1500,설정!$L$5+ROW()-1,설정!$L$15)),INDEX(원자료_잔고!$A$1:$EZ$1500,설정!$L$5+ROW()-1,설정!$L$15),""),"")</f>
        <v>47301</v>
      </c>
      <c r="J232" s="85" t="n">
        <f aca="false">IFERROR(IF(ISNUMBER(INDEX(원자료_잔고!$A$1:$EZ$1500,설정!$L$5+ROW()-1,설정!$L$16)),INDEX(원자료_잔고!$A$1:$EZ$1500,설정!$L$5+ROW()-1,설정!$L$16),""),"")</f>
        <v>5.375</v>
      </c>
      <c r="K232" s="87" t="n">
        <f aca="false">IFERROR(IF(ISNUMBER(INDEX(원자료_잔고!$A$1:$EZ$1500,설정!$L$5+ROW()-1,설정!$L$17)),INDEX(원자료_잔고!$A$1:$EZ$1500,설정!$L$5+ROW()-1,설정!$L$17),""),"")</f>
        <v>1</v>
      </c>
      <c r="L232" s="84" t="n">
        <f aca="false">IFERROR(IF(ISNUMBER(INDEX(원자료_잔고!$A$1:$EZ$1500,설정!$L$5+ROW()-1,설정!$L$18)),INDEX(원자료_잔고!$A$1:$EZ$1500,설정!$L$5+ROW()-1,설정!$L$18),""),"")</f>
        <v>991271</v>
      </c>
      <c r="M232" s="88" t="n">
        <f aca="false">IFERROR(IF(ISNUMBER(INDEX(원자료_잔고!$A$1:$EZ$1500,설정!$L$5+ROW()-1,설정!$L$19)),INDEX(원자료_잔고!$A$1:$EZ$1500,설정!$L$5+ROW()-1,설정!$L$19),""),"")</f>
        <v>-36003</v>
      </c>
      <c r="N232" s="83" t="str">
        <f aca="false">IFERROR(IF(INDEX(원자료_잔고!$A$1:$EZ$1500,설정!$L$5+ROW()-1,설정!$L$21)&amp;""="0","",INDEX(원자료_잔고!$A$1:$EZ$1500,설정!$L$5+ROW()-1,설정!$L$21)&amp;""),"")</f>
        <v>BBB</v>
      </c>
      <c r="O232" s="83" t="str">
        <f aca="false">IFERROR(IF(INDEX(원자료_잔고!$A$1:$EZ$1500,설정!$L$5+ROW()-1,설정!$L$22)&amp;""="0","",INDEX(원자료_잔고!$A$1:$EZ$1500,설정!$L$5+ROW()-1,설정!$L$22)&amp;""),"")</f>
        <v/>
      </c>
      <c r="P232" s="83" t="str">
        <f aca="false">IFERROR(IF(INDEX(원자료_잔고!$A$1:$EZ$1500,설정!$L$5+ROW()-1,설정!$L$23)&amp;""="0","",INDEX(원자료_잔고!$A$1:$EZ$1500,설정!$L$5+ROW()-1,설정!$L$23)&amp;""),"")</f>
        <v>N/A</v>
      </c>
      <c r="Q232" s="89" t="n">
        <f aca="false">IF(AND($A232&lt;&gt;"",ISNUMBER(E232)),IF(E232&gt;0,1,0),0)</f>
        <v>1</v>
      </c>
      <c r="R232" s="43" t="str">
        <f aca="false">IF(Q232=1,UPPER(LEFT($A232,FIND(" ",$A232&amp;" ")-1)),"")</f>
        <v>LGENSO</v>
      </c>
      <c r="S232" s="89" t="n">
        <f aca="false">IF(Q232=1,IF(OR(ISNUMBER(SEARCH("Float",$A232)),ISNUMBER(SEARCH("FRN",$A232))),1,0),0)</f>
        <v>0</v>
      </c>
      <c r="T232" s="43" t="str">
        <f aca="false">IF(AND(Q232=1,ISNUMBER(I232)),TEXT(I232,"yyyymmdd")&amp;"|"&amp;IF(S232=1,"F",TEXT(J232,"0.000")),"")</f>
        <v>20290702|5.375</v>
      </c>
      <c r="U232" s="90" t="n">
        <f aca="false">IF(AND(Q232=1,ISNUMBER(I232)),(I232-설정!$C$4)/365.25,"")</f>
        <v>2.75154004106776</v>
      </c>
      <c r="V232" s="43" t="str">
        <f aca="false">IF(Q232&lt;&gt;1,"",IF(ISNUMBER(U232),IF(U232&lt;=1,"1년 이하",IF(U232&lt;=2,"1-2년",IF(U232&lt;=3,"2-3년",IF(U232&lt;=4,"3-4년",IF(U232&lt;=5,"4-5년",IF(U232&lt;=7,"5-7년",IF(U232&lt;=10,"7-10년",IF(U232&lt;=20,"10-20년","20년 이상")))))))),"미분류"))</f>
        <v>2-3년</v>
      </c>
      <c r="W232" s="43" t="str">
        <f aca="false">IF(Q232&lt;&gt;1,"",IF(AB232&lt;&gt;"",INDEX(시장분석!$C:$C,AB232),IF(K232=1,"USD","비USD")))</f>
        <v>USD</v>
      </c>
      <c r="X232" s="91" t="n">
        <f aca="false">IF(Q232=1,E232*K232/1000000,0)</f>
        <v>1</v>
      </c>
      <c r="Y232" s="89" t="n">
        <f aca="false">IF(R232="T",1,0)</f>
        <v>0</v>
      </c>
      <c r="Z232" s="92" t="n">
        <f aca="false">IF(Q232&lt;&gt;1,"",IF(AD232=1,IF(ISNUMBER(U232),MAX(U232,0),H232),H232))</f>
        <v>2.4377</v>
      </c>
      <c r="AA232" s="91" t="n">
        <f aca="false">IF(Q232=1,IF(ISNUMBER(L232),L232,0)*K232/1000000,0)</f>
        <v>0.991271</v>
      </c>
      <c r="AB232" s="89" t="n">
        <f aca="false">IF(Q232&lt;&gt;1,"",IFERROR(MATCH(VLOOKUP(B232,매핑!$H$4:$I$15,2,0),시장분석!$A$2:$A$601,0)+1,IFERROR(MATCH(R232&amp;"|"&amp;T232,시장분석!$V$2:$V$601,0)+1,IF(COUNTIF(시장분석!$U$2:$U$601,T232)=1,MATCH(T232,시장분석!$U$2:$U$601,0)+1,""))))</f>
        <v>179</v>
      </c>
      <c r="AC232" s="89" t="n">
        <f aca="false">IF(Q232&lt;&gt;1,0,IF(OR(설정!$C$5="전체",AND(설정!$C$5="선택펀드",IFERROR(COUNTIFS(설정!$F$16:$F$36,C232,설정!$G$16:$G$36,"Y")+COUNTIFS(설정!$F$16:$F$36,VALUE(C232),설정!$G$16:$G$36,"Y"),0)&gt;0),C232&amp;""=설정!$C$5&amp;""),1,0))</f>
        <v>1</v>
      </c>
      <c r="AD232" s="89" t="n">
        <f aca="false">IF(Q232&lt;&gt;1,0,IF(OR(S232=1,IF(AB232="",FALSE(),INDEX(시장분석!$R:$R,AB232)=1)),1,0))</f>
        <v>0</v>
      </c>
      <c r="AE232" s="43" t="str">
        <f aca="false">IF(AB232="","",INDEX(시장분석!$A:$A,AB232))</f>
        <v>LGENSO 5 3/8 07/02/29</v>
      </c>
      <c r="AF232" s="93" t="n">
        <f aca="false">IF(AB232="","",IF(ISNUMBER(IF(AB232="","",INDEX(시장분석!$E:$E,AB232))),IF(AB232="","",INDEX(시장분석!$E:$E,AB232)),""))</f>
        <v>73.376</v>
      </c>
      <c r="AG232" s="43" t="str">
        <f aca="false">IF(Q232&lt;&gt;1,"",IF(AB232&lt;&gt;"",IF(AB232="","",INDEX(시장분석!$L:$L,AB232)),IFERROR(IF(VLOOKUP(R232,매핑!$A$4:$E$92,5,0)="","미분류",VLOOKUP(R232,매핑!$A$4:$E$92,5,0)),"미분류")))</f>
        <v>자유 소비재</v>
      </c>
      <c r="AH232" s="43" t="str">
        <f aca="false">IF(Q232&lt;&gt;1,"",IF(AB232&lt;&gt;"",IF(AB232="","",INDEX(시장분석!$N:$N,AB232)),IFERROR(IF(VLOOKUP(R232,매핑!$A$4:$E$92,4,0)="","미분류",VLOOKUP(R232,매핑!$A$4:$E$92,4,0)),"미분류")))</f>
        <v>아시아/기타</v>
      </c>
      <c r="AI232" s="43" t="str">
        <f aca="false">IF(Q232&lt;&gt;1,"",IFERROR(IF(VLOOKUP(R232,매핑!$A$4:$E$92,3,0)="","미분류",VLOOKUP(R232,매핑!$A$4:$E$92,3,0)),IF(AB232&lt;&gt;"",IF(AB232="","",INDEX(시장분석!$W:$W,AB232)),"미분류")))</f>
        <v>한국</v>
      </c>
      <c r="AJ232" s="43" t="str">
        <f aca="false">IF(Q232&lt;&gt;1,"",IFERROR(VLOOKUP(IF(N232&lt;&gt;"",N232,IF(P232&lt;&gt;"",P232,O232)),설정!$A$15:$D$47,2,0),""))</f>
        <v>BBB</v>
      </c>
      <c r="AK232" s="43" t="str">
        <f aca="false">IF(Q232&lt;&gt;1,"",IF(AJ232="","무등급",IFERROR(VLOOKUP(AJ232,설정!$A$15:$D$47,3,0),"무등급")))</f>
        <v>BBB</v>
      </c>
      <c r="AL232" s="89" t="n">
        <f aca="false">IF(AJ232="",99,IFERROR(VLOOKUP(AJ232,설정!$A$15:$D$47,4,0),99))</f>
        <v>9</v>
      </c>
      <c r="AM232" s="94" t="n">
        <f aca="false">IF(ISNUMBER(H232),AA232*1000000*H232/10000,0)</f>
        <v>241.64213167</v>
      </c>
      <c r="AN232" s="94" t="n">
        <f aca="false">IF(OR(Y232=1,NOT(ISNUMBER(Z232))),0,AA232*1000000*Z232/10000)</f>
        <v>241.64213167</v>
      </c>
      <c r="AO232" s="94" t="n">
        <f aca="false">IF(ISNUMBER(G232),AA232*1000000*G232/100,0)</f>
        <v>56666.997986</v>
      </c>
      <c r="AP232" s="94" t="n">
        <f aca="false">IF(ISNUMBER(M232),M232*K232,0)</f>
        <v>-36003</v>
      </c>
      <c r="AQ232" s="95" t="n">
        <f aca="false">IF(AB232="","",INDEX(시장분석!$AK:$AK,AB232))</f>
        <v>0.0343903053062221</v>
      </c>
      <c r="AR232" s="43" t="str">
        <f aca="false">IF(AB232="","-",IF(AB232="","",INDEX(시장분석!$AL:$AL,AB232)))</f>
        <v>Fair</v>
      </c>
      <c r="AS232" s="96" t="n">
        <f aca="false">IF(AB232="","",INDEX(시장분석!$AJ:$AJ,AB232))</f>
        <v>0.712393143760181</v>
      </c>
      <c r="AT232" s="93" t="n">
        <f aca="false">IF(AB232="",0,IF(AB232="","",INDEX(시장분석!$AN:$AN,AB232)))</f>
        <v>19.8721156888579</v>
      </c>
      <c r="AU232" s="94" t="n">
        <f aca="false">IF(ISNUMBER(Z232),AT232/10000*MAX(Z232-1,0)*AA232*1000000,0)</f>
        <v>2832.07519674748</v>
      </c>
      <c r="AV232" s="94" t="n">
        <f aca="false">AO232+AU232</f>
        <v>59499.0731827475</v>
      </c>
      <c r="AW232" s="43" t="str">
        <f aca="false">IF(Q232&lt;&gt;1,"",TRIM(IF(AD232=1,"FRN ","")&amp;IF(AND(AL232&gt;=10,AL232&lt;99),"BBB0미만 ","")&amp;IF(AJ232="","등급없음 ","")&amp;IF(K232&lt;&gt;1,"비USD ","")&amp;IF(AND(AB232="",Y232=0),"시장데이터없음 ","")&amp;IF(AND(ISNUMBER(U232),U232&lt;0),"만기경과 ","")))</f>
        <v/>
      </c>
      <c r="AX232" s="90" t="n">
        <f aca="false">IF(Q232&lt;&gt;1,1,IF(스프레드쇼크!$C$4="Y",INDEX(스프레드쇼크!$B$12:$L$16,IFERROR(MATCH(AH232,스프레드쇼크!$A$12:$A$16,0),MATCH("목록외",스프레드쇼크!$A$12:$A$16,0)),IFERROR(MATCH(AG232,스프레드쇼크!$B$11:$L$11,0),MATCH("목록외",스프레드쇼크!$B$11:$L$11,0))),1))</f>
        <v>1</v>
      </c>
      <c r="AY232" s="90" t="n">
        <f aca="false">IF(스프레드쇼크!$C$5="Y",IF(ISNUMBER(AF232),MIN(스프레드쇼크!$C$7,MAX(스프레드쇼크!$C$6,AF232/스프레드쇼크!$C$8)),1),1)</f>
        <v>1.10984047624524</v>
      </c>
      <c r="AZ232" s="94" t="n">
        <f aca="false">AN232*AX232*AY232</f>
        <v>268.184218493547</v>
      </c>
      <c r="BA232" s="90" t="n">
        <f aca="false">IF(ISNUMBER(G232),AA232*G232,0)</f>
        <v>5.6666997986</v>
      </c>
      <c r="BB232" s="90" t="n">
        <f aca="false">IF(ISNUMBER(G232),AA232,0)</f>
        <v>0.991271</v>
      </c>
      <c r="BC232" s="90" t="n">
        <f aca="false">IF(AND(Y232=0,ISNUMBER(AF232)),AA232*AF232,0)</f>
        <v>72.735500896</v>
      </c>
      <c r="BD232" s="90" t="n">
        <f aca="false">IF(AND(Y232=0,ISNUMBER(AF232)),AA232,0)</f>
        <v>0.991271</v>
      </c>
      <c r="BE232" s="90" t="n">
        <f aca="false">IF(ISNUMBER(H232),AA232*H232,0)</f>
        <v>2.4164213167</v>
      </c>
      <c r="BF232" s="90" t="n">
        <f aca="false">IF(ISNUMBER(H232),AA232,0)</f>
        <v>0.991271</v>
      </c>
      <c r="BG232" s="90" t="n">
        <f aca="false">IF(AND(Y232=0,ISNUMBER(AF232),ISNUMBER(Z232)),AA232*Z232,0)</f>
        <v>2.4164213167</v>
      </c>
      <c r="BH232" s="90" t="n">
        <f aca="false">IF(AND(Y232=0,ISNUMBER(AF232),ISNUMBER(Z232)),AA232*AT232*MAX(Z232-1,0),0)</f>
        <v>28.3207519674748</v>
      </c>
      <c r="BI232" s="90" t="n">
        <f aca="false">IF(Y232=0,AA232,0)</f>
        <v>0.991271</v>
      </c>
    </row>
    <row r="233" customFormat="false" ht="15" hidden="false" customHeight="false" outlineLevel="0" collapsed="false">
      <c r="A233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33" s="83" t="str">
        <f aca="false">IFERROR(IF(INDEX(원자료_잔고!$A$1:$EZ$1500,설정!$L$5+ROW()-1,설정!$L$7)&amp;""="0","",INDEX(원자료_잔고!$A$1:$EZ$1500,설정!$L$5+ROW()-1,설정!$L$7)&amp;""),"")</f>
        <v>USY5S5CGAL65</v>
      </c>
      <c r="C233" s="83" t="str">
        <f aca="false">IFERROR(IF(INDEX(원자료_잔고!$A$1:$EZ$1500,설정!$L$5+ROW()-1,설정!$L$9)&amp;""="0","",INDEX(원자료_잔고!$A$1:$EZ$1500,설정!$L$5+ROW()-1,설정!$L$9)&amp;""),"")</f>
        <v>34578</v>
      </c>
      <c r="D23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3" s="84" t="n">
        <f aca="false">IFERROR(IF(ISNUMBER(INDEX(원자료_잔고!$A$1:$EZ$1500,설정!$L$5+ROW()-1,설정!$L$11)),INDEX(원자료_잔고!$A$1:$EZ$1500,설정!$L$5+ROW()-1,설정!$L$11),""),"")</f>
        <v>3000000</v>
      </c>
      <c r="F233" s="85" t="n">
        <f aca="false">IFERROR(IF(ISNUMBER(INDEX(원자료_잔고!$A$1:$EZ$1500,설정!$L$5+ROW()-1,설정!$L$12)),INDEX(원자료_잔고!$A$1:$EZ$1500,설정!$L$5+ROW()-1,설정!$L$12),""),"")</f>
        <v>99.1271</v>
      </c>
      <c r="G233" s="85" t="n">
        <f aca="false">IFERROR(IF(ISNUMBER(INDEX(원자료_잔고!$A$1:$EZ$1500,설정!$L$5+ROW()-1,설정!$L$13)),INDEX(원자료_잔고!$A$1:$EZ$1500,설정!$L$5+ROW()-1,설정!$L$13),""),"")</f>
        <v>5.7166</v>
      </c>
      <c r="H233" s="85" t="n">
        <f aca="false">IFERROR(IF(ISNUMBER(INDEX(원자료_잔고!$A$1:$EZ$1500,설정!$L$5+ROW()-1,설정!$L$14)),INDEX(원자료_잔고!$A$1:$EZ$1500,설정!$L$5+ROW()-1,설정!$L$14),""),"")</f>
        <v>2.4377</v>
      </c>
      <c r="I233" s="86" t="n">
        <f aca="false">IFERROR(IF(ISNUMBER(INDEX(원자료_잔고!$A$1:$EZ$1500,설정!$L$5+ROW()-1,설정!$L$15)),INDEX(원자료_잔고!$A$1:$EZ$1500,설정!$L$5+ROW()-1,설정!$L$15),""),"")</f>
        <v>47301</v>
      </c>
      <c r="J233" s="85" t="n">
        <f aca="false">IFERROR(IF(ISNUMBER(INDEX(원자료_잔고!$A$1:$EZ$1500,설정!$L$5+ROW()-1,설정!$L$16)),INDEX(원자료_잔고!$A$1:$EZ$1500,설정!$L$5+ROW()-1,설정!$L$16),""),"")</f>
        <v>5.375</v>
      </c>
      <c r="K233" s="87" t="n">
        <f aca="false">IFERROR(IF(ISNUMBER(INDEX(원자료_잔고!$A$1:$EZ$1500,설정!$L$5+ROW()-1,설정!$L$17)),INDEX(원자료_잔고!$A$1:$EZ$1500,설정!$L$5+ROW()-1,설정!$L$17),""),"")</f>
        <v>1</v>
      </c>
      <c r="L233" s="84" t="n">
        <f aca="false">IFERROR(IF(ISNUMBER(INDEX(원자료_잔고!$A$1:$EZ$1500,설정!$L$5+ROW()-1,설정!$L$18)),INDEX(원자료_잔고!$A$1:$EZ$1500,설정!$L$5+ROW()-1,설정!$L$18),""),"")</f>
        <v>2973813</v>
      </c>
      <c r="M233" s="88" t="n">
        <f aca="false">IFERROR(IF(ISNUMBER(INDEX(원자료_잔고!$A$1:$EZ$1500,설정!$L$5+ROW()-1,설정!$L$19)),INDEX(원자료_잔고!$A$1:$EZ$1500,설정!$L$5+ROW()-1,설정!$L$19),""),"")</f>
        <v>-108009</v>
      </c>
      <c r="N233" s="83" t="str">
        <f aca="false">IFERROR(IF(INDEX(원자료_잔고!$A$1:$EZ$1500,설정!$L$5+ROW()-1,설정!$L$21)&amp;""="0","",INDEX(원자료_잔고!$A$1:$EZ$1500,설정!$L$5+ROW()-1,설정!$L$21)&amp;""),"")</f>
        <v>BBB</v>
      </c>
      <c r="O233" s="83" t="str">
        <f aca="false">IFERROR(IF(INDEX(원자료_잔고!$A$1:$EZ$1500,설정!$L$5+ROW()-1,설정!$L$22)&amp;""="0","",INDEX(원자료_잔고!$A$1:$EZ$1500,설정!$L$5+ROW()-1,설정!$L$22)&amp;""),"")</f>
        <v/>
      </c>
      <c r="P233" s="83" t="str">
        <f aca="false">IFERROR(IF(INDEX(원자료_잔고!$A$1:$EZ$1500,설정!$L$5+ROW()-1,설정!$L$23)&amp;""="0","",INDEX(원자료_잔고!$A$1:$EZ$1500,설정!$L$5+ROW()-1,설정!$L$23)&amp;""),"")</f>
        <v>N/A</v>
      </c>
      <c r="Q233" s="89" t="n">
        <f aca="false">IF(AND($A233&lt;&gt;"",ISNUMBER(E233)),IF(E233&gt;0,1,0),0)</f>
        <v>1</v>
      </c>
      <c r="R233" s="43" t="str">
        <f aca="false">IF(Q233=1,UPPER(LEFT($A233,FIND(" ",$A233&amp;" ")-1)),"")</f>
        <v>LGENSO</v>
      </c>
      <c r="S233" s="89" t="n">
        <f aca="false">IF(Q233=1,IF(OR(ISNUMBER(SEARCH("Float",$A233)),ISNUMBER(SEARCH("FRN",$A233))),1,0),0)</f>
        <v>0</v>
      </c>
      <c r="T233" s="43" t="str">
        <f aca="false">IF(AND(Q233=1,ISNUMBER(I233)),TEXT(I233,"yyyymmdd")&amp;"|"&amp;IF(S233=1,"F",TEXT(J233,"0.000")),"")</f>
        <v>20290702|5.375</v>
      </c>
      <c r="U233" s="90" t="n">
        <f aca="false">IF(AND(Q233=1,ISNUMBER(I233)),(I233-설정!$C$4)/365.25,"")</f>
        <v>2.75154004106776</v>
      </c>
      <c r="V233" s="43" t="str">
        <f aca="false">IF(Q233&lt;&gt;1,"",IF(ISNUMBER(U233),IF(U233&lt;=1,"1년 이하",IF(U233&lt;=2,"1-2년",IF(U233&lt;=3,"2-3년",IF(U233&lt;=4,"3-4년",IF(U233&lt;=5,"4-5년",IF(U233&lt;=7,"5-7년",IF(U233&lt;=10,"7-10년",IF(U233&lt;=20,"10-20년","20년 이상")))))))),"미분류"))</f>
        <v>2-3년</v>
      </c>
      <c r="W233" s="43" t="str">
        <f aca="false">IF(Q233&lt;&gt;1,"",IF(AB233&lt;&gt;"",INDEX(시장분석!$C:$C,AB233),IF(K233=1,"USD","비USD")))</f>
        <v>USD</v>
      </c>
      <c r="X233" s="91" t="n">
        <f aca="false">IF(Q233=1,E233*K233/1000000,0)</f>
        <v>3</v>
      </c>
      <c r="Y233" s="89" t="n">
        <f aca="false">IF(R233="T",1,0)</f>
        <v>0</v>
      </c>
      <c r="Z233" s="92" t="n">
        <f aca="false">IF(Q233&lt;&gt;1,"",IF(AD233=1,IF(ISNUMBER(U233),MAX(U233,0),H233),H233))</f>
        <v>2.4377</v>
      </c>
      <c r="AA233" s="91" t="n">
        <f aca="false">IF(Q233=1,IF(ISNUMBER(L233),L233,0)*K233/1000000,0)</f>
        <v>2.973813</v>
      </c>
      <c r="AB233" s="89" t="n">
        <f aca="false">IF(Q233&lt;&gt;1,"",IFERROR(MATCH(VLOOKUP(B233,매핑!$H$4:$I$15,2,0),시장분석!$A$2:$A$601,0)+1,IFERROR(MATCH(R233&amp;"|"&amp;T233,시장분석!$V$2:$V$601,0)+1,IF(COUNTIF(시장분석!$U$2:$U$601,T233)=1,MATCH(T233,시장분석!$U$2:$U$601,0)+1,""))))</f>
        <v>179</v>
      </c>
      <c r="AC233" s="89" t="n">
        <f aca="false">IF(Q233&lt;&gt;1,0,IF(OR(설정!$C$5="전체",AND(설정!$C$5="선택펀드",IFERROR(COUNTIFS(설정!$F$16:$F$36,C233,설정!$G$16:$G$36,"Y")+COUNTIFS(설정!$F$16:$F$36,VALUE(C233),설정!$G$16:$G$36,"Y"),0)&gt;0),C233&amp;""=설정!$C$5&amp;""),1,0))</f>
        <v>1</v>
      </c>
      <c r="AD233" s="89" t="n">
        <f aca="false">IF(Q233&lt;&gt;1,0,IF(OR(S233=1,IF(AB233="",FALSE(),INDEX(시장분석!$R:$R,AB233)=1)),1,0))</f>
        <v>0</v>
      </c>
      <c r="AE233" s="43" t="str">
        <f aca="false">IF(AB233="","",INDEX(시장분석!$A:$A,AB233))</f>
        <v>LGENSO 5 3/8 07/02/29</v>
      </c>
      <c r="AF233" s="93" t="n">
        <f aca="false">IF(AB233="","",IF(ISNUMBER(IF(AB233="","",INDEX(시장분석!$E:$E,AB233))),IF(AB233="","",INDEX(시장분석!$E:$E,AB233)),""))</f>
        <v>73.376</v>
      </c>
      <c r="AG233" s="43" t="str">
        <f aca="false">IF(Q233&lt;&gt;1,"",IF(AB233&lt;&gt;"",IF(AB233="","",INDEX(시장분석!$L:$L,AB233)),IFERROR(IF(VLOOKUP(R233,매핑!$A$4:$E$92,5,0)="","미분류",VLOOKUP(R233,매핑!$A$4:$E$92,5,0)),"미분류")))</f>
        <v>자유 소비재</v>
      </c>
      <c r="AH233" s="43" t="str">
        <f aca="false">IF(Q233&lt;&gt;1,"",IF(AB233&lt;&gt;"",IF(AB233="","",INDEX(시장분석!$N:$N,AB233)),IFERROR(IF(VLOOKUP(R233,매핑!$A$4:$E$92,4,0)="","미분류",VLOOKUP(R233,매핑!$A$4:$E$92,4,0)),"미분류")))</f>
        <v>아시아/기타</v>
      </c>
      <c r="AI233" s="43" t="str">
        <f aca="false">IF(Q233&lt;&gt;1,"",IFERROR(IF(VLOOKUP(R233,매핑!$A$4:$E$92,3,0)="","미분류",VLOOKUP(R233,매핑!$A$4:$E$92,3,0)),IF(AB233&lt;&gt;"",IF(AB233="","",INDEX(시장분석!$W:$W,AB233)),"미분류")))</f>
        <v>한국</v>
      </c>
      <c r="AJ233" s="43" t="str">
        <f aca="false">IF(Q233&lt;&gt;1,"",IFERROR(VLOOKUP(IF(N233&lt;&gt;"",N233,IF(P233&lt;&gt;"",P233,O233)),설정!$A$15:$D$47,2,0),""))</f>
        <v>BBB</v>
      </c>
      <c r="AK233" s="43" t="str">
        <f aca="false">IF(Q233&lt;&gt;1,"",IF(AJ233="","무등급",IFERROR(VLOOKUP(AJ233,설정!$A$15:$D$47,3,0),"무등급")))</f>
        <v>BBB</v>
      </c>
      <c r="AL233" s="89" t="n">
        <f aca="false">IF(AJ233="",99,IFERROR(VLOOKUP(AJ233,설정!$A$15:$D$47,4,0),99))</f>
        <v>9</v>
      </c>
      <c r="AM233" s="94" t="n">
        <f aca="false">IF(ISNUMBER(H233),AA233*1000000*H233/10000,0)</f>
        <v>724.92639501</v>
      </c>
      <c r="AN233" s="94" t="n">
        <f aca="false">IF(OR(Y233=1,NOT(ISNUMBER(Z233))),0,AA233*1000000*Z233/10000)</f>
        <v>724.92639501</v>
      </c>
      <c r="AO233" s="94" t="n">
        <f aca="false">IF(ISNUMBER(G233),AA233*1000000*G233/100,0)</f>
        <v>170000.993958</v>
      </c>
      <c r="AP233" s="94" t="n">
        <f aca="false">IF(ISNUMBER(M233),M233*K233,0)</f>
        <v>-108009</v>
      </c>
      <c r="AQ233" s="95" t="n">
        <f aca="false">IF(AB233="","",INDEX(시장분석!$AK:$AK,AB233))</f>
        <v>0.0343903053062221</v>
      </c>
      <c r="AR233" s="43" t="str">
        <f aca="false">IF(AB233="","-",IF(AB233="","",INDEX(시장분석!$AL:$AL,AB233)))</f>
        <v>Fair</v>
      </c>
      <c r="AS233" s="96" t="n">
        <f aca="false">IF(AB233="","",INDEX(시장분석!$AJ:$AJ,AB233))</f>
        <v>0.712393143760181</v>
      </c>
      <c r="AT233" s="93" t="n">
        <f aca="false">IF(AB233="",0,IF(AB233="","",INDEX(시장분석!$AN:$AN,AB233)))</f>
        <v>19.8721156888579</v>
      </c>
      <c r="AU233" s="94" t="n">
        <f aca="false">IF(ISNUMBER(Z233),AT233/10000*MAX(Z233-1,0)*AA233*1000000,0)</f>
        <v>8496.22559024244</v>
      </c>
      <c r="AV233" s="94" t="n">
        <f aca="false">AO233+AU233</f>
        <v>178497.219548242</v>
      </c>
      <c r="AW233" s="43" t="str">
        <f aca="false">IF(Q233&lt;&gt;1,"",TRIM(IF(AD233=1,"FRN ","")&amp;IF(AND(AL233&gt;=10,AL233&lt;99),"BBB0미만 ","")&amp;IF(AJ233="","등급없음 ","")&amp;IF(K233&lt;&gt;1,"비USD ","")&amp;IF(AND(AB233="",Y233=0),"시장데이터없음 ","")&amp;IF(AND(ISNUMBER(U233),U233&lt;0),"만기경과 ","")))</f>
        <v/>
      </c>
      <c r="AX233" s="90" t="n">
        <f aca="false">IF(Q233&lt;&gt;1,1,IF(스프레드쇼크!$C$4="Y",INDEX(스프레드쇼크!$B$12:$L$16,IFERROR(MATCH(AH233,스프레드쇼크!$A$12:$A$16,0),MATCH("목록외",스프레드쇼크!$A$12:$A$16,0)),IFERROR(MATCH(AG233,스프레드쇼크!$B$11:$L$11,0),MATCH("목록외",스프레드쇼크!$B$11:$L$11,0))),1))</f>
        <v>1</v>
      </c>
      <c r="AY233" s="90" t="n">
        <f aca="false">IF(스프레드쇼크!$C$5="Y",IF(ISNUMBER(AF233),MIN(스프레드쇼크!$C$7,MAX(스프레드쇼크!$C$6,AF233/스프레드쇼크!$C$8)),1),1)</f>
        <v>1.10984047624524</v>
      </c>
      <c r="AZ233" s="94" t="n">
        <f aca="false">AN233*AX233*AY233</f>
        <v>804.552655480641</v>
      </c>
      <c r="BA233" s="90" t="n">
        <f aca="false">IF(ISNUMBER(G233),AA233*G233,0)</f>
        <v>17.0000993958</v>
      </c>
      <c r="BB233" s="90" t="n">
        <f aca="false">IF(ISNUMBER(G233),AA233,0)</f>
        <v>2.973813</v>
      </c>
      <c r="BC233" s="90" t="n">
        <f aca="false">IF(AND(Y233=0,ISNUMBER(AF233)),AA233*AF233,0)</f>
        <v>218.206502688</v>
      </c>
      <c r="BD233" s="90" t="n">
        <f aca="false">IF(AND(Y233=0,ISNUMBER(AF233)),AA233,0)</f>
        <v>2.973813</v>
      </c>
      <c r="BE233" s="90" t="n">
        <f aca="false">IF(ISNUMBER(H233),AA233*H233,0)</f>
        <v>7.2492639501</v>
      </c>
      <c r="BF233" s="90" t="n">
        <f aca="false">IF(ISNUMBER(H233),AA233,0)</f>
        <v>2.973813</v>
      </c>
      <c r="BG233" s="90" t="n">
        <f aca="false">IF(AND(Y233=0,ISNUMBER(AF233),ISNUMBER(Z233)),AA233*Z233,0)</f>
        <v>7.2492639501</v>
      </c>
      <c r="BH233" s="90" t="n">
        <f aca="false">IF(AND(Y233=0,ISNUMBER(AF233),ISNUMBER(Z233)),AA233*AT233*MAX(Z233-1,0),0)</f>
        <v>84.9622559024245</v>
      </c>
      <c r="BI233" s="90" t="n">
        <f aca="false">IF(Y233=0,AA233,0)</f>
        <v>2.973813</v>
      </c>
    </row>
    <row r="234" customFormat="false" ht="15" hidden="false" customHeight="false" outlineLevel="0" collapsed="false">
      <c r="A234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34" s="83" t="str">
        <f aca="false">IFERROR(IF(INDEX(원자료_잔고!$A$1:$EZ$1500,설정!$L$5+ROW()-1,설정!$L$7)&amp;""="0","",INDEX(원자료_잔고!$A$1:$EZ$1500,설정!$L$5+ROW()-1,설정!$L$7)&amp;""),"")</f>
        <v>USY5S5CGAL65</v>
      </c>
      <c r="C234" s="83" t="str">
        <f aca="false">IFERROR(IF(INDEX(원자료_잔고!$A$1:$EZ$1500,설정!$L$5+ROW()-1,설정!$L$9)&amp;""="0","",INDEX(원자료_잔고!$A$1:$EZ$1500,설정!$L$5+ROW()-1,설정!$L$9)&amp;""),"")</f>
        <v>34578</v>
      </c>
      <c r="D23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4" s="84" t="n">
        <f aca="false">IFERROR(IF(ISNUMBER(INDEX(원자료_잔고!$A$1:$EZ$1500,설정!$L$5+ROW()-1,설정!$L$11)),INDEX(원자료_잔고!$A$1:$EZ$1500,설정!$L$5+ROW()-1,설정!$L$11),""),"")</f>
        <v>3000000</v>
      </c>
      <c r="F234" s="85" t="n">
        <f aca="false">IFERROR(IF(ISNUMBER(INDEX(원자료_잔고!$A$1:$EZ$1500,설정!$L$5+ROW()-1,설정!$L$12)),INDEX(원자료_잔고!$A$1:$EZ$1500,설정!$L$5+ROW()-1,설정!$L$12),""),"")</f>
        <v>99.1271</v>
      </c>
      <c r="G234" s="85" t="n">
        <f aca="false">IFERROR(IF(ISNUMBER(INDEX(원자료_잔고!$A$1:$EZ$1500,설정!$L$5+ROW()-1,설정!$L$13)),INDEX(원자료_잔고!$A$1:$EZ$1500,설정!$L$5+ROW()-1,설정!$L$13),""),"")</f>
        <v>5.7166</v>
      </c>
      <c r="H234" s="85" t="n">
        <f aca="false">IFERROR(IF(ISNUMBER(INDEX(원자료_잔고!$A$1:$EZ$1500,설정!$L$5+ROW()-1,설정!$L$14)),INDEX(원자료_잔고!$A$1:$EZ$1500,설정!$L$5+ROW()-1,설정!$L$14),""),"")</f>
        <v>2.4377</v>
      </c>
      <c r="I234" s="86" t="n">
        <f aca="false">IFERROR(IF(ISNUMBER(INDEX(원자료_잔고!$A$1:$EZ$1500,설정!$L$5+ROW()-1,설정!$L$15)),INDEX(원자료_잔고!$A$1:$EZ$1500,설정!$L$5+ROW()-1,설정!$L$15),""),"")</f>
        <v>47301</v>
      </c>
      <c r="J234" s="85" t="n">
        <f aca="false">IFERROR(IF(ISNUMBER(INDEX(원자료_잔고!$A$1:$EZ$1500,설정!$L$5+ROW()-1,설정!$L$16)),INDEX(원자료_잔고!$A$1:$EZ$1500,설정!$L$5+ROW()-1,설정!$L$16),""),"")</f>
        <v>5.375</v>
      </c>
      <c r="K234" s="87" t="n">
        <f aca="false">IFERROR(IF(ISNUMBER(INDEX(원자료_잔고!$A$1:$EZ$1500,설정!$L$5+ROW()-1,설정!$L$17)),INDEX(원자료_잔고!$A$1:$EZ$1500,설정!$L$5+ROW()-1,설정!$L$17),""),"")</f>
        <v>1</v>
      </c>
      <c r="L234" s="84" t="n">
        <f aca="false">IFERROR(IF(ISNUMBER(INDEX(원자료_잔고!$A$1:$EZ$1500,설정!$L$5+ROW()-1,설정!$L$18)),INDEX(원자료_잔고!$A$1:$EZ$1500,설정!$L$5+ROW()-1,설정!$L$18),""),"")</f>
        <v>2973813</v>
      </c>
      <c r="M234" s="88" t="n">
        <f aca="false">IFERROR(IF(ISNUMBER(INDEX(원자료_잔고!$A$1:$EZ$1500,설정!$L$5+ROW()-1,설정!$L$19)),INDEX(원자료_잔고!$A$1:$EZ$1500,설정!$L$5+ROW()-1,설정!$L$19),""),"")</f>
        <v>-108009</v>
      </c>
      <c r="N234" s="83" t="str">
        <f aca="false">IFERROR(IF(INDEX(원자료_잔고!$A$1:$EZ$1500,설정!$L$5+ROW()-1,설정!$L$21)&amp;""="0","",INDEX(원자료_잔고!$A$1:$EZ$1500,설정!$L$5+ROW()-1,설정!$L$21)&amp;""),"")</f>
        <v>BBB</v>
      </c>
      <c r="O234" s="83" t="str">
        <f aca="false">IFERROR(IF(INDEX(원자료_잔고!$A$1:$EZ$1500,설정!$L$5+ROW()-1,설정!$L$22)&amp;""="0","",INDEX(원자료_잔고!$A$1:$EZ$1500,설정!$L$5+ROW()-1,설정!$L$22)&amp;""),"")</f>
        <v/>
      </c>
      <c r="P234" s="83" t="str">
        <f aca="false">IFERROR(IF(INDEX(원자료_잔고!$A$1:$EZ$1500,설정!$L$5+ROW()-1,설정!$L$23)&amp;""="0","",INDEX(원자료_잔고!$A$1:$EZ$1500,설정!$L$5+ROW()-1,설정!$L$23)&amp;""),"")</f>
        <v>N/A</v>
      </c>
      <c r="Q234" s="89" t="n">
        <f aca="false">IF(AND($A234&lt;&gt;"",ISNUMBER(E234)),IF(E234&gt;0,1,0),0)</f>
        <v>1</v>
      </c>
      <c r="R234" s="43" t="str">
        <f aca="false">IF(Q234=1,UPPER(LEFT($A234,FIND(" ",$A234&amp;" ")-1)),"")</f>
        <v>LGENSO</v>
      </c>
      <c r="S234" s="89" t="n">
        <f aca="false">IF(Q234=1,IF(OR(ISNUMBER(SEARCH("Float",$A234)),ISNUMBER(SEARCH("FRN",$A234))),1,0),0)</f>
        <v>0</v>
      </c>
      <c r="T234" s="43" t="str">
        <f aca="false">IF(AND(Q234=1,ISNUMBER(I234)),TEXT(I234,"yyyymmdd")&amp;"|"&amp;IF(S234=1,"F",TEXT(J234,"0.000")),"")</f>
        <v>20290702|5.375</v>
      </c>
      <c r="U234" s="90" t="n">
        <f aca="false">IF(AND(Q234=1,ISNUMBER(I234)),(I234-설정!$C$4)/365.25,"")</f>
        <v>2.75154004106776</v>
      </c>
      <c r="V234" s="43" t="str">
        <f aca="false">IF(Q234&lt;&gt;1,"",IF(ISNUMBER(U234),IF(U234&lt;=1,"1년 이하",IF(U234&lt;=2,"1-2년",IF(U234&lt;=3,"2-3년",IF(U234&lt;=4,"3-4년",IF(U234&lt;=5,"4-5년",IF(U234&lt;=7,"5-7년",IF(U234&lt;=10,"7-10년",IF(U234&lt;=20,"10-20년","20년 이상")))))))),"미분류"))</f>
        <v>2-3년</v>
      </c>
      <c r="W234" s="43" t="str">
        <f aca="false">IF(Q234&lt;&gt;1,"",IF(AB234&lt;&gt;"",INDEX(시장분석!$C:$C,AB234),IF(K234=1,"USD","비USD")))</f>
        <v>USD</v>
      </c>
      <c r="X234" s="91" t="n">
        <f aca="false">IF(Q234=1,E234*K234/1000000,0)</f>
        <v>3</v>
      </c>
      <c r="Y234" s="89" t="n">
        <f aca="false">IF(R234="T",1,0)</f>
        <v>0</v>
      </c>
      <c r="Z234" s="92" t="n">
        <f aca="false">IF(Q234&lt;&gt;1,"",IF(AD234=1,IF(ISNUMBER(U234),MAX(U234,0),H234),H234))</f>
        <v>2.4377</v>
      </c>
      <c r="AA234" s="91" t="n">
        <f aca="false">IF(Q234=1,IF(ISNUMBER(L234),L234,0)*K234/1000000,0)</f>
        <v>2.973813</v>
      </c>
      <c r="AB234" s="89" t="n">
        <f aca="false">IF(Q234&lt;&gt;1,"",IFERROR(MATCH(VLOOKUP(B234,매핑!$H$4:$I$15,2,0),시장분석!$A$2:$A$601,0)+1,IFERROR(MATCH(R234&amp;"|"&amp;T234,시장분석!$V$2:$V$601,0)+1,IF(COUNTIF(시장분석!$U$2:$U$601,T234)=1,MATCH(T234,시장분석!$U$2:$U$601,0)+1,""))))</f>
        <v>179</v>
      </c>
      <c r="AC234" s="89" t="n">
        <f aca="false">IF(Q234&lt;&gt;1,0,IF(OR(설정!$C$5="전체",AND(설정!$C$5="선택펀드",IFERROR(COUNTIFS(설정!$F$16:$F$36,C234,설정!$G$16:$G$36,"Y")+COUNTIFS(설정!$F$16:$F$36,VALUE(C234),설정!$G$16:$G$36,"Y"),0)&gt;0),C234&amp;""=설정!$C$5&amp;""),1,0))</f>
        <v>1</v>
      </c>
      <c r="AD234" s="89" t="n">
        <f aca="false">IF(Q234&lt;&gt;1,0,IF(OR(S234=1,IF(AB234="",FALSE(),INDEX(시장분석!$R:$R,AB234)=1)),1,0))</f>
        <v>0</v>
      </c>
      <c r="AE234" s="43" t="str">
        <f aca="false">IF(AB234="","",INDEX(시장분석!$A:$A,AB234))</f>
        <v>LGENSO 5 3/8 07/02/29</v>
      </c>
      <c r="AF234" s="93" t="n">
        <f aca="false">IF(AB234="","",IF(ISNUMBER(IF(AB234="","",INDEX(시장분석!$E:$E,AB234))),IF(AB234="","",INDEX(시장분석!$E:$E,AB234)),""))</f>
        <v>73.376</v>
      </c>
      <c r="AG234" s="43" t="str">
        <f aca="false">IF(Q234&lt;&gt;1,"",IF(AB234&lt;&gt;"",IF(AB234="","",INDEX(시장분석!$L:$L,AB234)),IFERROR(IF(VLOOKUP(R234,매핑!$A$4:$E$92,5,0)="","미분류",VLOOKUP(R234,매핑!$A$4:$E$92,5,0)),"미분류")))</f>
        <v>자유 소비재</v>
      </c>
      <c r="AH234" s="43" t="str">
        <f aca="false">IF(Q234&lt;&gt;1,"",IF(AB234&lt;&gt;"",IF(AB234="","",INDEX(시장분석!$N:$N,AB234)),IFERROR(IF(VLOOKUP(R234,매핑!$A$4:$E$92,4,0)="","미분류",VLOOKUP(R234,매핑!$A$4:$E$92,4,0)),"미분류")))</f>
        <v>아시아/기타</v>
      </c>
      <c r="AI234" s="43" t="str">
        <f aca="false">IF(Q234&lt;&gt;1,"",IFERROR(IF(VLOOKUP(R234,매핑!$A$4:$E$92,3,0)="","미분류",VLOOKUP(R234,매핑!$A$4:$E$92,3,0)),IF(AB234&lt;&gt;"",IF(AB234="","",INDEX(시장분석!$W:$W,AB234)),"미분류")))</f>
        <v>한국</v>
      </c>
      <c r="AJ234" s="43" t="str">
        <f aca="false">IF(Q234&lt;&gt;1,"",IFERROR(VLOOKUP(IF(N234&lt;&gt;"",N234,IF(P234&lt;&gt;"",P234,O234)),설정!$A$15:$D$47,2,0),""))</f>
        <v>BBB</v>
      </c>
      <c r="AK234" s="43" t="str">
        <f aca="false">IF(Q234&lt;&gt;1,"",IF(AJ234="","무등급",IFERROR(VLOOKUP(AJ234,설정!$A$15:$D$47,3,0),"무등급")))</f>
        <v>BBB</v>
      </c>
      <c r="AL234" s="89" t="n">
        <f aca="false">IF(AJ234="",99,IFERROR(VLOOKUP(AJ234,설정!$A$15:$D$47,4,0),99))</f>
        <v>9</v>
      </c>
      <c r="AM234" s="94" t="n">
        <f aca="false">IF(ISNUMBER(H234),AA234*1000000*H234/10000,0)</f>
        <v>724.92639501</v>
      </c>
      <c r="AN234" s="94" t="n">
        <f aca="false">IF(OR(Y234=1,NOT(ISNUMBER(Z234))),0,AA234*1000000*Z234/10000)</f>
        <v>724.92639501</v>
      </c>
      <c r="AO234" s="94" t="n">
        <f aca="false">IF(ISNUMBER(G234),AA234*1000000*G234/100,0)</f>
        <v>170000.993958</v>
      </c>
      <c r="AP234" s="94" t="n">
        <f aca="false">IF(ISNUMBER(M234),M234*K234,0)</f>
        <v>-108009</v>
      </c>
      <c r="AQ234" s="95" t="n">
        <f aca="false">IF(AB234="","",INDEX(시장분석!$AK:$AK,AB234))</f>
        <v>0.0343903053062221</v>
      </c>
      <c r="AR234" s="43" t="str">
        <f aca="false">IF(AB234="","-",IF(AB234="","",INDEX(시장분석!$AL:$AL,AB234)))</f>
        <v>Fair</v>
      </c>
      <c r="AS234" s="96" t="n">
        <f aca="false">IF(AB234="","",INDEX(시장분석!$AJ:$AJ,AB234))</f>
        <v>0.712393143760181</v>
      </c>
      <c r="AT234" s="93" t="n">
        <f aca="false">IF(AB234="",0,IF(AB234="","",INDEX(시장분석!$AN:$AN,AB234)))</f>
        <v>19.8721156888579</v>
      </c>
      <c r="AU234" s="94" t="n">
        <f aca="false">IF(ISNUMBER(Z234),AT234/10000*MAX(Z234-1,0)*AA234*1000000,0)</f>
        <v>8496.22559024244</v>
      </c>
      <c r="AV234" s="94" t="n">
        <f aca="false">AO234+AU234</f>
        <v>178497.219548242</v>
      </c>
      <c r="AW234" s="43" t="str">
        <f aca="false">IF(Q234&lt;&gt;1,"",TRIM(IF(AD234=1,"FRN ","")&amp;IF(AND(AL234&gt;=10,AL234&lt;99),"BBB0미만 ","")&amp;IF(AJ234="","등급없음 ","")&amp;IF(K234&lt;&gt;1,"비USD ","")&amp;IF(AND(AB234="",Y234=0),"시장데이터없음 ","")&amp;IF(AND(ISNUMBER(U234),U234&lt;0),"만기경과 ","")))</f>
        <v/>
      </c>
      <c r="AX234" s="90" t="n">
        <f aca="false">IF(Q234&lt;&gt;1,1,IF(스프레드쇼크!$C$4="Y",INDEX(스프레드쇼크!$B$12:$L$16,IFERROR(MATCH(AH234,스프레드쇼크!$A$12:$A$16,0),MATCH("목록외",스프레드쇼크!$A$12:$A$16,0)),IFERROR(MATCH(AG234,스프레드쇼크!$B$11:$L$11,0),MATCH("목록외",스프레드쇼크!$B$11:$L$11,0))),1))</f>
        <v>1</v>
      </c>
      <c r="AY234" s="90" t="n">
        <f aca="false">IF(스프레드쇼크!$C$5="Y",IF(ISNUMBER(AF234),MIN(스프레드쇼크!$C$7,MAX(스프레드쇼크!$C$6,AF234/스프레드쇼크!$C$8)),1),1)</f>
        <v>1.10984047624524</v>
      </c>
      <c r="AZ234" s="94" t="n">
        <f aca="false">AN234*AX234*AY234</f>
        <v>804.552655480641</v>
      </c>
      <c r="BA234" s="90" t="n">
        <f aca="false">IF(ISNUMBER(G234),AA234*G234,0)</f>
        <v>17.0000993958</v>
      </c>
      <c r="BB234" s="90" t="n">
        <f aca="false">IF(ISNUMBER(G234),AA234,0)</f>
        <v>2.973813</v>
      </c>
      <c r="BC234" s="90" t="n">
        <f aca="false">IF(AND(Y234=0,ISNUMBER(AF234)),AA234*AF234,0)</f>
        <v>218.206502688</v>
      </c>
      <c r="BD234" s="90" t="n">
        <f aca="false">IF(AND(Y234=0,ISNUMBER(AF234)),AA234,0)</f>
        <v>2.973813</v>
      </c>
      <c r="BE234" s="90" t="n">
        <f aca="false">IF(ISNUMBER(H234),AA234*H234,0)</f>
        <v>7.2492639501</v>
      </c>
      <c r="BF234" s="90" t="n">
        <f aca="false">IF(ISNUMBER(H234),AA234,0)</f>
        <v>2.973813</v>
      </c>
      <c r="BG234" s="90" t="n">
        <f aca="false">IF(AND(Y234=0,ISNUMBER(AF234),ISNUMBER(Z234)),AA234*Z234,0)</f>
        <v>7.2492639501</v>
      </c>
      <c r="BH234" s="90" t="n">
        <f aca="false">IF(AND(Y234=0,ISNUMBER(AF234),ISNUMBER(Z234)),AA234*AT234*MAX(Z234-1,0),0)</f>
        <v>84.9622559024245</v>
      </c>
      <c r="BI234" s="90" t="n">
        <f aca="false">IF(Y234=0,AA234,0)</f>
        <v>2.973813</v>
      </c>
    </row>
    <row r="235" customFormat="false" ht="15" hidden="false" customHeight="false" outlineLevel="0" collapsed="false">
      <c r="A235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35" s="83" t="str">
        <f aca="false">IFERROR(IF(INDEX(원자료_잔고!$A$1:$EZ$1500,설정!$L$5+ROW()-1,설정!$L$7)&amp;""="0","",INDEX(원자료_잔고!$A$1:$EZ$1500,설정!$L$5+ROW()-1,설정!$L$7)&amp;""),"")</f>
        <v>USY5S5CGAL65</v>
      </c>
      <c r="C235" s="83" t="str">
        <f aca="false">IFERROR(IF(INDEX(원자료_잔고!$A$1:$EZ$1500,설정!$L$5+ROW()-1,설정!$L$9)&amp;""="0","",INDEX(원자료_잔고!$A$1:$EZ$1500,설정!$L$5+ROW()-1,설정!$L$9)&amp;""),"")</f>
        <v>34578</v>
      </c>
      <c r="D23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5" s="84" t="n">
        <f aca="false">IFERROR(IF(ISNUMBER(INDEX(원자료_잔고!$A$1:$EZ$1500,설정!$L$5+ROW()-1,설정!$L$11)),INDEX(원자료_잔고!$A$1:$EZ$1500,설정!$L$5+ROW()-1,설정!$L$11),""),"")</f>
        <v>5000000</v>
      </c>
      <c r="F235" s="85" t="n">
        <f aca="false">IFERROR(IF(ISNUMBER(INDEX(원자료_잔고!$A$1:$EZ$1500,설정!$L$5+ROW()-1,설정!$L$12)),INDEX(원자료_잔고!$A$1:$EZ$1500,설정!$L$5+ROW()-1,설정!$L$12),""),"")</f>
        <v>99.1271</v>
      </c>
      <c r="G235" s="85" t="n">
        <f aca="false">IFERROR(IF(ISNUMBER(INDEX(원자료_잔고!$A$1:$EZ$1500,설정!$L$5+ROW()-1,설정!$L$13)),INDEX(원자료_잔고!$A$1:$EZ$1500,설정!$L$5+ROW()-1,설정!$L$13),""),"")</f>
        <v>5.7166</v>
      </c>
      <c r="H235" s="85" t="n">
        <f aca="false">IFERROR(IF(ISNUMBER(INDEX(원자료_잔고!$A$1:$EZ$1500,설정!$L$5+ROW()-1,설정!$L$14)),INDEX(원자료_잔고!$A$1:$EZ$1500,설정!$L$5+ROW()-1,설정!$L$14),""),"")</f>
        <v>2.4377</v>
      </c>
      <c r="I235" s="86" t="n">
        <f aca="false">IFERROR(IF(ISNUMBER(INDEX(원자료_잔고!$A$1:$EZ$1500,설정!$L$5+ROW()-1,설정!$L$15)),INDEX(원자료_잔고!$A$1:$EZ$1500,설정!$L$5+ROW()-1,설정!$L$15),""),"")</f>
        <v>47301</v>
      </c>
      <c r="J235" s="85" t="n">
        <f aca="false">IFERROR(IF(ISNUMBER(INDEX(원자료_잔고!$A$1:$EZ$1500,설정!$L$5+ROW()-1,설정!$L$16)),INDEX(원자료_잔고!$A$1:$EZ$1500,설정!$L$5+ROW()-1,설정!$L$16),""),"")</f>
        <v>5.375</v>
      </c>
      <c r="K235" s="87" t="n">
        <f aca="false">IFERROR(IF(ISNUMBER(INDEX(원자료_잔고!$A$1:$EZ$1500,설정!$L$5+ROW()-1,설정!$L$17)),INDEX(원자료_잔고!$A$1:$EZ$1500,설정!$L$5+ROW()-1,설정!$L$17),""),"")</f>
        <v>1</v>
      </c>
      <c r="L235" s="84" t="n">
        <f aca="false">IFERROR(IF(ISNUMBER(INDEX(원자료_잔고!$A$1:$EZ$1500,설정!$L$5+ROW()-1,설정!$L$18)),INDEX(원자료_잔고!$A$1:$EZ$1500,설정!$L$5+ROW()-1,설정!$L$18),""),"")</f>
        <v>4956355</v>
      </c>
      <c r="M235" s="88" t="n">
        <f aca="false">IFERROR(IF(ISNUMBER(INDEX(원자료_잔고!$A$1:$EZ$1500,설정!$L$5+ROW()-1,설정!$L$19)),INDEX(원자료_잔고!$A$1:$EZ$1500,설정!$L$5+ROW()-1,설정!$L$19),""),"")</f>
        <v>-180015</v>
      </c>
      <c r="N235" s="83" t="str">
        <f aca="false">IFERROR(IF(INDEX(원자료_잔고!$A$1:$EZ$1500,설정!$L$5+ROW()-1,설정!$L$21)&amp;""="0","",INDEX(원자료_잔고!$A$1:$EZ$1500,설정!$L$5+ROW()-1,설정!$L$21)&amp;""),"")</f>
        <v>BBB</v>
      </c>
      <c r="O235" s="83" t="str">
        <f aca="false">IFERROR(IF(INDEX(원자료_잔고!$A$1:$EZ$1500,설정!$L$5+ROW()-1,설정!$L$22)&amp;""="0","",INDEX(원자료_잔고!$A$1:$EZ$1500,설정!$L$5+ROW()-1,설정!$L$22)&amp;""),"")</f>
        <v/>
      </c>
      <c r="P235" s="83" t="str">
        <f aca="false">IFERROR(IF(INDEX(원자료_잔고!$A$1:$EZ$1500,설정!$L$5+ROW()-1,설정!$L$23)&amp;""="0","",INDEX(원자료_잔고!$A$1:$EZ$1500,설정!$L$5+ROW()-1,설정!$L$23)&amp;""),"")</f>
        <v>N/A</v>
      </c>
      <c r="Q235" s="89" t="n">
        <f aca="false">IF(AND($A235&lt;&gt;"",ISNUMBER(E235)),IF(E235&gt;0,1,0),0)</f>
        <v>1</v>
      </c>
      <c r="R235" s="43" t="str">
        <f aca="false">IF(Q235=1,UPPER(LEFT($A235,FIND(" ",$A235&amp;" ")-1)),"")</f>
        <v>LGENSO</v>
      </c>
      <c r="S235" s="89" t="n">
        <f aca="false">IF(Q235=1,IF(OR(ISNUMBER(SEARCH("Float",$A235)),ISNUMBER(SEARCH("FRN",$A235))),1,0),0)</f>
        <v>0</v>
      </c>
      <c r="T235" s="43" t="str">
        <f aca="false">IF(AND(Q235=1,ISNUMBER(I235)),TEXT(I235,"yyyymmdd")&amp;"|"&amp;IF(S235=1,"F",TEXT(J235,"0.000")),"")</f>
        <v>20290702|5.375</v>
      </c>
      <c r="U235" s="90" t="n">
        <f aca="false">IF(AND(Q235=1,ISNUMBER(I235)),(I235-설정!$C$4)/365.25,"")</f>
        <v>2.75154004106776</v>
      </c>
      <c r="V235" s="43" t="str">
        <f aca="false">IF(Q235&lt;&gt;1,"",IF(ISNUMBER(U235),IF(U235&lt;=1,"1년 이하",IF(U235&lt;=2,"1-2년",IF(U235&lt;=3,"2-3년",IF(U235&lt;=4,"3-4년",IF(U235&lt;=5,"4-5년",IF(U235&lt;=7,"5-7년",IF(U235&lt;=10,"7-10년",IF(U235&lt;=20,"10-20년","20년 이상")))))))),"미분류"))</f>
        <v>2-3년</v>
      </c>
      <c r="W235" s="43" t="str">
        <f aca="false">IF(Q235&lt;&gt;1,"",IF(AB235&lt;&gt;"",INDEX(시장분석!$C:$C,AB235),IF(K235=1,"USD","비USD")))</f>
        <v>USD</v>
      </c>
      <c r="X235" s="91" t="n">
        <f aca="false">IF(Q235=1,E235*K235/1000000,0)</f>
        <v>5</v>
      </c>
      <c r="Y235" s="89" t="n">
        <f aca="false">IF(R235="T",1,0)</f>
        <v>0</v>
      </c>
      <c r="Z235" s="92" t="n">
        <f aca="false">IF(Q235&lt;&gt;1,"",IF(AD235=1,IF(ISNUMBER(U235),MAX(U235,0),H235),H235))</f>
        <v>2.4377</v>
      </c>
      <c r="AA235" s="91" t="n">
        <f aca="false">IF(Q235=1,IF(ISNUMBER(L235),L235,0)*K235/1000000,0)</f>
        <v>4.956355</v>
      </c>
      <c r="AB235" s="89" t="n">
        <f aca="false">IF(Q235&lt;&gt;1,"",IFERROR(MATCH(VLOOKUP(B235,매핑!$H$4:$I$15,2,0),시장분석!$A$2:$A$601,0)+1,IFERROR(MATCH(R235&amp;"|"&amp;T235,시장분석!$V$2:$V$601,0)+1,IF(COUNTIF(시장분석!$U$2:$U$601,T235)=1,MATCH(T235,시장분석!$U$2:$U$601,0)+1,""))))</f>
        <v>179</v>
      </c>
      <c r="AC235" s="89" t="n">
        <f aca="false">IF(Q235&lt;&gt;1,0,IF(OR(설정!$C$5="전체",AND(설정!$C$5="선택펀드",IFERROR(COUNTIFS(설정!$F$16:$F$36,C235,설정!$G$16:$G$36,"Y")+COUNTIFS(설정!$F$16:$F$36,VALUE(C235),설정!$G$16:$G$36,"Y"),0)&gt;0),C235&amp;""=설정!$C$5&amp;""),1,0))</f>
        <v>1</v>
      </c>
      <c r="AD235" s="89" t="n">
        <f aca="false">IF(Q235&lt;&gt;1,0,IF(OR(S235=1,IF(AB235="",FALSE(),INDEX(시장분석!$R:$R,AB235)=1)),1,0))</f>
        <v>0</v>
      </c>
      <c r="AE235" s="43" t="str">
        <f aca="false">IF(AB235="","",INDEX(시장분석!$A:$A,AB235))</f>
        <v>LGENSO 5 3/8 07/02/29</v>
      </c>
      <c r="AF235" s="93" t="n">
        <f aca="false">IF(AB235="","",IF(ISNUMBER(IF(AB235="","",INDEX(시장분석!$E:$E,AB235))),IF(AB235="","",INDEX(시장분석!$E:$E,AB235)),""))</f>
        <v>73.376</v>
      </c>
      <c r="AG235" s="43" t="str">
        <f aca="false">IF(Q235&lt;&gt;1,"",IF(AB235&lt;&gt;"",IF(AB235="","",INDEX(시장분석!$L:$L,AB235)),IFERROR(IF(VLOOKUP(R235,매핑!$A$4:$E$92,5,0)="","미분류",VLOOKUP(R235,매핑!$A$4:$E$92,5,0)),"미분류")))</f>
        <v>자유 소비재</v>
      </c>
      <c r="AH235" s="43" t="str">
        <f aca="false">IF(Q235&lt;&gt;1,"",IF(AB235&lt;&gt;"",IF(AB235="","",INDEX(시장분석!$N:$N,AB235)),IFERROR(IF(VLOOKUP(R235,매핑!$A$4:$E$92,4,0)="","미분류",VLOOKUP(R235,매핑!$A$4:$E$92,4,0)),"미분류")))</f>
        <v>아시아/기타</v>
      </c>
      <c r="AI235" s="43" t="str">
        <f aca="false">IF(Q235&lt;&gt;1,"",IFERROR(IF(VLOOKUP(R235,매핑!$A$4:$E$92,3,0)="","미분류",VLOOKUP(R235,매핑!$A$4:$E$92,3,0)),IF(AB235&lt;&gt;"",IF(AB235="","",INDEX(시장분석!$W:$W,AB235)),"미분류")))</f>
        <v>한국</v>
      </c>
      <c r="AJ235" s="43" t="str">
        <f aca="false">IF(Q235&lt;&gt;1,"",IFERROR(VLOOKUP(IF(N235&lt;&gt;"",N235,IF(P235&lt;&gt;"",P235,O235)),설정!$A$15:$D$47,2,0),""))</f>
        <v>BBB</v>
      </c>
      <c r="AK235" s="43" t="str">
        <f aca="false">IF(Q235&lt;&gt;1,"",IF(AJ235="","무등급",IFERROR(VLOOKUP(AJ235,설정!$A$15:$D$47,3,0),"무등급")))</f>
        <v>BBB</v>
      </c>
      <c r="AL235" s="89" t="n">
        <f aca="false">IF(AJ235="",99,IFERROR(VLOOKUP(AJ235,설정!$A$15:$D$47,4,0),99))</f>
        <v>9</v>
      </c>
      <c r="AM235" s="94" t="n">
        <f aca="false">IF(ISNUMBER(H235),AA235*1000000*H235/10000,0)</f>
        <v>1208.21065835</v>
      </c>
      <c r="AN235" s="94" t="n">
        <f aca="false">IF(OR(Y235=1,NOT(ISNUMBER(Z235))),0,AA235*1000000*Z235/10000)</f>
        <v>1208.21065835</v>
      </c>
      <c r="AO235" s="94" t="n">
        <f aca="false">IF(ISNUMBER(G235),AA235*1000000*G235/100,0)</f>
        <v>283334.98993</v>
      </c>
      <c r="AP235" s="94" t="n">
        <f aca="false">IF(ISNUMBER(M235),M235*K235,0)</f>
        <v>-180015</v>
      </c>
      <c r="AQ235" s="95" t="n">
        <f aca="false">IF(AB235="","",INDEX(시장분석!$AK:$AK,AB235))</f>
        <v>0.0343903053062221</v>
      </c>
      <c r="AR235" s="43" t="str">
        <f aca="false">IF(AB235="","-",IF(AB235="","",INDEX(시장분석!$AL:$AL,AB235)))</f>
        <v>Fair</v>
      </c>
      <c r="AS235" s="96" t="n">
        <f aca="false">IF(AB235="","",INDEX(시장분석!$AJ:$AJ,AB235))</f>
        <v>0.712393143760181</v>
      </c>
      <c r="AT235" s="93" t="n">
        <f aca="false">IF(AB235="",0,IF(AB235="","",INDEX(시장분석!$AN:$AN,AB235)))</f>
        <v>19.8721156888579</v>
      </c>
      <c r="AU235" s="94" t="n">
        <f aca="false">IF(ISNUMBER(Z235),AT235/10000*MAX(Z235-1,0)*AA235*1000000,0)</f>
        <v>14160.3759837374</v>
      </c>
      <c r="AV235" s="94" t="n">
        <f aca="false">AO235+AU235</f>
        <v>297495.365913737</v>
      </c>
      <c r="AW235" s="43" t="str">
        <f aca="false">IF(Q235&lt;&gt;1,"",TRIM(IF(AD235=1,"FRN ","")&amp;IF(AND(AL235&gt;=10,AL235&lt;99),"BBB0미만 ","")&amp;IF(AJ235="","등급없음 ","")&amp;IF(K235&lt;&gt;1,"비USD ","")&amp;IF(AND(AB235="",Y235=0),"시장데이터없음 ","")&amp;IF(AND(ISNUMBER(U235),U235&lt;0),"만기경과 ","")))</f>
        <v/>
      </c>
      <c r="AX235" s="90" t="n">
        <f aca="false">IF(Q235&lt;&gt;1,1,IF(스프레드쇼크!$C$4="Y",INDEX(스프레드쇼크!$B$12:$L$16,IFERROR(MATCH(AH235,스프레드쇼크!$A$12:$A$16,0),MATCH("목록외",스프레드쇼크!$A$12:$A$16,0)),IFERROR(MATCH(AG235,스프레드쇼크!$B$11:$L$11,0),MATCH("목록외",스프레드쇼크!$B$11:$L$11,0))),1))</f>
        <v>1</v>
      </c>
      <c r="AY235" s="90" t="n">
        <f aca="false">IF(스프레드쇼크!$C$5="Y",IF(ISNUMBER(AF235),MIN(스프레드쇼크!$C$7,MAX(스프레드쇼크!$C$6,AF235/스프레드쇼크!$C$8)),1),1)</f>
        <v>1.10984047624524</v>
      </c>
      <c r="AZ235" s="94" t="n">
        <f aca="false">AN235*AX235*AY235</f>
        <v>1340.92109246773</v>
      </c>
      <c r="BA235" s="90" t="n">
        <f aca="false">IF(ISNUMBER(G235),AA235*G235,0)</f>
        <v>28.333498993</v>
      </c>
      <c r="BB235" s="90" t="n">
        <f aca="false">IF(ISNUMBER(G235),AA235,0)</f>
        <v>4.956355</v>
      </c>
      <c r="BC235" s="90" t="n">
        <f aca="false">IF(AND(Y235=0,ISNUMBER(AF235)),AA235*AF235,0)</f>
        <v>363.67750448</v>
      </c>
      <c r="BD235" s="90" t="n">
        <f aca="false">IF(AND(Y235=0,ISNUMBER(AF235)),AA235,0)</f>
        <v>4.956355</v>
      </c>
      <c r="BE235" s="90" t="n">
        <f aca="false">IF(ISNUMBER(H235),AA235*H235,0)</f>
        <v>12.0821065835</v>
      </c>
      <c r="BF235" s="90" t="n">
        <f aca="false">IF(ISNUMBER(H235),AA235,0)</f>
        <v>4.956355</v>
      </c>
      <c r="BG235" s="90" t="n">
        <f aca="false">IF(AND(Y235=0,ISNUMBER(AF235),ISNUMBER(Z235)),AA235*Z235,0)</f>
        <v>12.0821065835</v>
      </c>
      <c r="BH235" s="90" t="n">
        <f aca="false">IF(AND(Y235=0,ISNUMBER(AF235),ISNUMBER(Z235)),AA235*AT235*MAX(Z235-1,0),0)</f>
        <v>141.603759837374</v>
      </c>
      <c r="BI235" s="90" t="n">
        <f aca="false">IF(Y235=0,AA235,0)</f>
        <v>4.956355</v>
      </c>
    </row>
    <row r="236" customFormat="false" ht="15" hidden="false" customHeight="false" outlineLevel="0" collapsed="false">
      <c r="A236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36" s="83" t="str">
        <f aca="false">IFERROR(IF(INDEX(원자료_잔고!$A$1:$EZ$1500,설정!$L$5+ROW()-1,설정!$L$7)&amp;""="0","",INDEX(원자료_잔고!$A$1:$EZ$1500,설정!$L$5+ROW()-1,설정!$L$7)&amp;""),"")</f>
        <v>USY5S5CGAL65</v>
      </c>
      <c r="C236" s="83" t="str">
        <f aca="false">IFERROR(IF(INDEX(원자료_잔고!$A$1:$EZ$1500,설정!$L$5+ROW()-1,설정!$L$9)&amp;""="0","",INDEX(원자료_잔고!$A$1:$EZ$1500,설정!$L$5+ROW()-1,설정!$L$9)&amp;""),"")</f>
        <v>34578</v>
      </c>
      <c r="D23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6" s="84" t="n">
        <f aca="false">IFERROR(IF(ISNUMBER(INDEX(원자료_잔고!$A$1:$EZ$1500,설정!$L$5+ROW()-1,설정!$L$11)),INDEX(원자료_잔고!$A$1:$EZ$1500,설정!$L$5+ROW()-1,설정!$L$11),""),"")</f>
        <v>5000000</v>
      </c>
      <c r="F236" s="85" t="n">
        <f aca="false">IFERROR(IF(ISNUMBER(INDEX(원자료_잔고!$A$1:$EZ$1500,설정!$L$5+ROW()-1,설정!$L$12)),INDEX(원자료_잔고!$A$1:$EZ$1500,설정!$L$5+ROW()-1,설정!$L$12),""),"")</f>
        <v>99.1271</v>
      </c>
      <c r="G236" s="85" t="n">
        <f aca="false">IFERROR(IF(ISNUMBER(INDEX(원자료_잔고!$A$1:$EZ$1500,설정!$L$5+ROW()-1,설정!$L$13)),INDEX(원자료_잔고!$A$1:$EZ$1500,설정!$L$5+ROW()-1,설정!$L$13),""),"")</f>
        <v>5.7166</v>
      </c>
      <c r="H236" s="85" t="n">
        <f aca="false">IFERROR(IF(ISNUMBER(INDEX(원자료_잔고!$A$1:$EZ$1500,설정!$L$5+ROW()-1,설정!$L$14)),INDEX(원자료_잔고!$A$1:$EZ$1500,설정!$L$5+ROW()-1,설정!$L$14),""),"")</f>
        <v>2.4377</v>
      </c>
      <c r="I236" s="86" t="n">
        <f aca="false">IFERROR(IF(ISNUMBER(INDEX(원자료_잔고!$A$1:$EZ$1500,설정!$L$5+ROW()-1,설정!$L$15)),INDEX(원자료_잔고!$A$1:$EZ$1500,설정!$L$5+ROW()-1,설정!$L$15),""),"")</f>
        <v>47301</v>
      </c>
      <c r="J236" s="85" t="n">
        <f aca="false">IFERROR(IF(ISNUMBER(INDEX(원자료_잔고!$A$1:$EZ$1500,설정!$L$5+ROW()-1,설정!$L$16)),INDEX(원자료_잔고!$A$1:$EZ$1500,설정!$L$5+ROW()-1,설정!$L$16),""),"")</f>
        <v>5.375</v>
      </c>
      <c r="K236" s="87" t="n">
        <f aca="false">IFERROR(IF(ISNUMBER(INDEX(원자료_잔고!$A$1:$EZ$1500,설정!$L$5+ROW()-1,설정!$L$17)),INDEX(원자료_잔고!$A$1:$EZ$1500,설정!$L$5+ROW()-1,설정!$L$17),""),"")</f>
        <v>1</v>
      </c>
      <c r="L236" s="84" t="n">
        <f aca="false">IFERROR(IF(ISNUMBER(INDEX(원자료_잔고!$A$1:$EZ$1500,설정!$L$5+ROW()-1,설정!$L$18)),INDEX(원자료_잔고!$A$1:$EZ$1500,설정!$L$5+ROW()-1,설정!$L$18),""),"")</f>
        <v>4956355</v>
      </c>
      <c r="M236" s="88" t="n">
        <f aca="false">IFERROR(IF(ISNUMBER(INDEX(원자료_잔고!$A$1:$EZ$1500,설정!$L$5+ROW()-1,설정!$L$19)),INDEX(원자료_잔고!$A$1:$EZ$1500,설정!$L$5+ROW()-1,설정!$L$19),""),"")</f>
        <v>-186595</v>
      </c>
      <c r="N236" s="83" t="str">
        <f aca="false">IFERROR(IF(INDEX(원자료_잔고!$A$1:$EZ$1500,설정!$L$5+ROW()-1,설정!$L$21)&amp;""="0","",INDEX(원자료_잔고!$A$1:$EZ$1500,설정!$L$5+ROW()-1,설정!$L$21)&amp;""),"")</f>
        <v>BBB</v>
      </c>
      <c r="O236" s="83" t="str">
        <f aca="false">IFERROR(IF(INDEX(원자료_잔고!$A$1:$EZ$1500,설정!$L$5+ROW()-1,설정!$L$22)&amp;""="0","",INDEX(원자료_잔고!$A$1:$EZ$1500,설정!$L$5+ROW()-1,설정!$L$22)&amp;""),"")</f>
        <v/>
      </c>
      <c r="P236" s="83" t="str">
        <f aca="false">IFERROR(IF(INDEX(원자료_잔고!$A$1:$EZ$1500,설정!$L$5+ROW()-1,설정!$L$23)&amp;""="0","",INDEX(원자료_잔고!$A$1:$EZ$1500,설정!$L$5+ROW()-1,설정!$L$23)&amp;""),"")</f>
        <v>N/A</v>
      </c>
      <c r="Q236" s="89" t="n">
        <f aca="false">IF(AND($A236&lt;&gt;"",ISNUMBER(E236)),IF(E236&gt;0,1,0),0)</f>
        <v>1</v>
      </c>
      <c r="R236" s="43" t="str">
        <f aca="false">IF(Q236=1,UPPER(LEFT($A236,FIND(" ",$A236&amp;" ")-1)),"")</f>
        <v>LGENSO</v>
      </c>
      <c r="S236" s="89" t="n">
        <f aca="false">IF(Q236=1,IF(OR(ISNUMBER(SEARCH("Float",$A236)),ISNUMBER(SEARCH("FRN",$A236))),1,0),0)</f>
        <v>0</v>
      </c>
      <c r="T236" s="43" t="str">
        <f aca="false">IF(AND(Q236=1,ISNUMBER(I236)),TEXT(I236,"yyyymmdd")&amp;"|"&amp;IF(S236=1,"F",TEXT(J236,"0.000")),"")</f>
        <v>20290702|5.375</v>
      </c>
      <c r="U236" s="90" t="n">
        <f aca="false">IF(AND(Q236=1,ISNUMBER(I236)),(I236-설정!$C$4)/365.25,"")</f>
        <v>2.75154004106776</v>
      </c>
      <c r="V236" s="43" t="str">
        <f aca="false">IF(Q236&lt;&gt;1,"",IF(ISNUMBER(U236),IF(U236&lt;=1,"1년 이하",IF(U236&lt;=2,"1-2년",IF(U236&lt;=3,"2-3년",IF(U236&lt;=4,"3-4년",IF(U236&lt;=5,"4-5년",IF(U236&lt;=7,"5-7년",IF(U236&lt;=10,"7-10년",IF(U236&lt;=20,"10-20년","20년 이상")))))))),"미분류"))</f>
        <v>2-3년</v>
      </c>
      <c r="W236" s="43" t="str">
        <f aca="false">IF(Q236&lt;&gt;1,"",IF(AB236&lt;&gt;"",INDEX(시장분석!$C:$C,AB236),IF(K236=1,"USD","비USD")))</f>
        <v>USD</v>
      </c>
      <c r="X236" s="91" t="n">
        <f aca="false">IF(Q236=1,E236*K236/1000000,0)</f>
        <v>5</v>
      </c>
      <c r="Y236" s="89" t="n">
        <f aca="false">IF(R236="T",1,0)</f>
        <v>0</v>
      </c>
      <c r="Z236" s="92" t="n">
        <f aca="false">IF(Q236&lt;&gt;1,"",IF(AD236=1,IF(ISNUMBER(U236),MAX(U236,0),H236),H236))</f>
        <v>2.4377</v>
      </c>
      <c r="AA236" s="91" t="n">
        <f aca="false">IF(Q236=1,IF(ISNUMBER(L236),L236,0)*K236/1000000,0)</f>
        <v>4.956355</v>
      </c>
      <c r="AB236" s="89" t="n">
        <f aca="false">IF(Q236&lt;&gt;1,"",IFERROR(MATCH(VLOOKUP(B236,매핑!$H$4:$I$15,2,0),시장분석!$A$2:$A$601,0)+1,IFERROR(MATCH(R236&amp;"|"&amp;T236,시장분석!$V$2:$V$601,0)+1,IF(COUNTIF(시장분석!$U$2:$U$601,T236)=1,MATCH(T236,시장분석!$U$2:$U$601,0)+1,""))))</f>
        <v>179</v>
      </c>
      <c r="AC236" s="89" t="n">
        <f aca="false">IF(Q236&lt;&gt;1,0,IF(OR(설정!$C$5="전체",AND(설정!$C$5="선택펀드",IFERROR(COUNTIFS(설정!$F$16:$F$36,C236,설정!$G$16:$G$36,"Y")+COUNTIFS(설정!$F$16:$F$36,VALUE(C236),설정!$G$16:$G$36,"Y"),0)&gt;0),C236&amp;""=설정!$C$5&amp;""),1,0))</f>
        <v>1</v>
      </c>
      <c r="AD236" s="89" t="n">
        <f aca="false">IF(Q236&lt;&gt;1,0,IF(OR(S236=1,IF(AB236="",FALSE(),INDEX(시장분석!$R:$R,AB236)=1)),1,0))</f>
        <v>0</v>
      </c>
      <c r="AE236" s="43" t="str">
        <f aca="false">IF(AB236="","",INDEX(시장분석!$A:$A,AB236))</f>
        <v>LGENSO 5 3/8 07/02/29</v>
      </c>
      <c r="AF236" s="93" t="n">
        <f aca="false">IF(AB236="","",IF(ISNUMBER(IF(AB236="","",INDEX(시장분석!$E:$E,AB236))),IF(AB236="","",INDEX(시장분석!$E:$E,AB236)),""))</f>
        <v>73.376</v>
      </c>
      <c r="AG236" s="43" t="str">
        <f aca="false">IF(Q236&lt;&gt;1,"",IF(AB236&lt;&gt;"",IF(AB236="","",INDEX(시장분석!$L:$L,AB236)),IFERROR(IF(VLOOKUP(R236,매핑!$A$4:$E$92,5,0)="","미분류",VLOOKUP(R236,매핑!$A$4:$E$92,5,0)),"미분류")))</f>
        <v>자유 소비재</v>
      </c>
      <c r="AH236" s="43" t="str">
        <f aca="false">IF(Q236&lt;&gt;1,"",IF(AB236&lt;&gt;"",IF(AB236="","",INDEX(시장분석!$N:$N,AB236)),IFERROR(IF(VLOOKUP(R236,매핑!$A$4:$E$92,4,0)="","미분류",VLOOKUP(R236,매핑!$A$4:$E$92,4,0)),"미분류")))</f>
        <v>아시아/기타</v>
      </c>
      <c r="AI236" s="43" t="str">
        <f aca="false">IF(Q236&lt;&gt;1,"",IFERROR(IF(VLOOKUP(R236,매핑!$A$4:$E$92,3,0)="","미분류",VLOOKUP(R236,매핑!$A$4:$E$92,3,0)),IF(AB236&lt;&gt;"",IF(AB236="","",INDEX(시장분석!$W:$W,AB236)),"미분류")))</f>
        <v>한국</v>
      </c>
      <c r="AJ236" s="43" t="str">
        <f aca="false">IF(Q236&lt;&gt;1,"",IFERROR(VLOOKUP(IF(N236&lt;&gt;"",N236,IF(P236&lt;&gt;"",P236,O236)),설정!$A$15:$D$47,2,0),""))</f>
        <v>BBB</v>
      </c>
      <c r="AK236" s="43" t="str">
        <f aca="false">IF(Q236&lt;&gt;1,"",IF(AJ236="","무등급",IFERROR(VLOOKUP(AJ236,설정!$A$15:$D$47,3,0),"무등급")))</f>
        <v>BBB</v>
      </c>
      <c r="AL236" s="89" t="n">
        <f aca="false">IF(AJ236="",99,IFERROR(VLOOKUP(AJ236,설정!$A$15:$D$47,4,0),99))</f>
        <v>9</v>
      </c>
      <c r="AM236" s="94" t="n">
        <f aca="false">IF(ISNUMBER(H236),AA236*1000000*H236/10000,0)</f>
        <v>1208.21065835</v>
      </c>
      <c r="AN236" s="94" t="n">
        <f aca="false">IF(OR(Y236=1,NOT(ISNUMBER(Z236))),0,AA236*1000000*Z236/10000)</f>
        <v>1208.21065835</v>
      </c>
      <c r="AO236" s="94" t="n">
        <f aca="false">IF(ISNUMBER(G236),AA236*1000000*G236/100,0)</f>
        <v>283334.98993</v>
      </c>
      <c r="AP236" s="94" t="n">
        <f aca="false">IF(ISNUMBER(M236),M236*K236,0)</f>
        <v>-186595</v>
      </c>
      <c r="AQ236" s="95" t="n">
        <f aca="false">IF(AB236="","",INDEX(시장분석!$AK:$AK,AB236))</f>
        <v>0.0343903053062221</v>
      </c>
      <c r="AR236" s="43" t="str">
        <f aca="false">IF(AB236="","-",IF(AB236="","",INDEX(시장분석!$AL:$AL,AB236)))</f>
        <v>Fair</v>
      </c>
      <c r="AS236" s="96" t="n">
        <f aca="false">IF(AB236="","",INDEX(시장분석!$AJ:$AJ,AB236))</f>
        <v>0.712393143760181</v>
      </c>
      <c r="AT236" s="93" t="n">
        <f aca="false">IF(AB236="",0,IF(AB236="","",INDEX(시장분석!$AN:$AN,AB236)))</f>
        <v>19.8721156888579</v>
      </c>
      <c r="AU236" s="94" t="n">
        <f aca="false">IF(ISNUMBER(Z236),AT236/10000*MAX(Z236-1,0)*AA236*1000000,0)</f>
        <v>14160.3759837374</v>
      </c>
      <c r="AV236" s="94" t="n">
        <f aca="false">AO236+AU236</f>
        <v>297495.365913737</v>
      </c>
      <c r="AW236" s="43" t="str">
        <f aca="false">IF(Q236&lt;&gt;1,"",TRIM(IF(AD236=1,"FRN ","")&amp;IF(AND(AL236&gt;=10,AL236&lt;99),"BBB0미만 ","")&amp;IF(AJ236="","등급없음 ","")&amp;IF(K236&lt;&gt;1,"비USD ","")&amp;IF(AND(AB236="",Y236=0),"시장데이터없음 ","")&amp;IF(AND(ISNUMBER(U236),U236&lt;0),"만기경과 ","")))</f>
        <v/>
      </c>
      <c r="AX236" s="90" t="n">
        <f aca="false">IF(Q236&lt;&gt;1,1,IF(스프레드쇼크!$C$4="Y",INDEX(스프레드쇼크!$B$12:$L$16,IFERROR(MATCH(AH236,스프레드쇼크!$A$12:$A$16,0),MATCH("목록외",스프레드쇼크!$A$12:$A$16,0)),IFERROR(MATCH(AG236,스프레드쇼크!$B$11:$L$11,0),MATCH("목록외",스프레드쇼크!$B$11:$L$11,0))),1))</f>
        <v>1</v>
      </c>
      <c r="AY236" s="90" t="n">
        <f aca="false">IF(스프레드쇼크!$C$5="Y",IF(ISNUMBER(AF236),MIN(스프레드쇼크!$C$7,MAX(스프레드쇼크!$C$6,AF236/스프레드쇼크!$C$8)),1),1)</f>
        <v>1.10984047624524</v>
      </c>
      <c r="AZ236" s="94" t="n">
        <f aca="false">AN236*AX236*AY236</f>
        <v>1340.92109246773</v>
      </c>
      <c r="BA236" s="90" t="n">
        <f aca="false">IF(ISNUMBER(G236),AA236*G236,0)</f>
        <v>28.333498993</v>
      </c>
      <c r="BB236" s="90" t="n">
        <f aca="false">IF(ISNUMBER(G236),AA236,0)</f>
        <v>4.956355</v>
      </c>
      <c r="BC236" s="90" t="n">
        <f aca="false">IF(AND(Y236=0,ISNUMBER(AF236)),AA236*AF236,0)</f>
        <v>363.67750448</v>
      </c>
      <c r="BD236" s="90" t="n">
        <f aca="false">IF(AND(Y236=0,ISNUMBER(AF236)),AA236,0)</f>
        <v>4.956355</v>
      </c>
      <c r="BE236" s="90" t="n">
        <f aca="false">IF(ISNUMBER(H236),AA236*H236,0)</f>
        <v>12.0821065835</v>
      </c>
      <c r="BF236" s="90" t="n">
        <f aca="false">IF(ISNUMBER(H236),AA236,0)</f>
        <v>4.956355</v>
      </c>
      <c r="BG236" s="90" t="n">
        <f aca="false">IF(AND(Y236=0,ISNUMBER(AF236),ISNUMBER(Z236)),AA236*Z236,0)</f>
        <v>12.0821065835</v>
      </c>
      <c r="BH236" s="90" t="n">
        <f aca="false">IF(AND(Y236=0,ISNUMBER(AF236),ISNUMBER(Z236)),AA236*AT236*MAX(Z236-1,0),0)</f>
        <v>141.603759837374</v>
      </c>
      <c r="BI236" s="90" t="n">
        <f aca="false">IF(Y236=0,AA236,0)</f>
        <v>4.956355</v>
      </c>
    </row>
    <row r="237" customFormat="false" ht="15" hidden="false" customHeight="false" outlineLevel="0" collapsed="false">
      <c r="A237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37" s="83" t="str">
        <f aca="false">IFERROR(IF(INDEX(원자료_잔고!$A$1:$EZ$1500,설정!$L$5+ROW()-1,설정!$L$7)&amp;""="0","",INDEX(원자료_잔고!$A$1:$EZ$1500,설정!$L$5+ROW()-1,설정!$L$7)&amp;""),"")</f>
        <v>USY5S5CGAL65</v>
      </c>
      <c r="C237" s="83" t="str">
        <f aca="false">IFERROR(IF(INDEX(원자료_잔고!$A$1:$EZ$1500,설정!$L$5+ROW()-1,설정!$L$9)&amp;""="0","",INDEX(원자료_잔고!$A$1:$EZ$1500,설정!$L$5+ROW()-1,설정!$L$9)&amp;""),"")</f>
        <v>34578</v>
      </c>
      <c r="D23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7" s="84" t="n">
        <f aca="false">IFERROR(IF(ISNUMBER(INDEX(원자료_잔고!$A$1:$EZ$1500,설정!$L$5+ROW()-1,설정!$L$11)),INDEX(원자료_잔고!$A$1:$EZ$1500,설정!$L$5+ROW()-1,설정!$L$11),""),"")</f>
        <v>3400000</v>
      </c>
      <c r="F237" s="85" t="n">
        <f aca="false">IFERROR(IF(ISNUMBER(INDEX(원자료_잔고!$A$1:$EZ$1500,설정!$L$5+ROW()-1,설정!$L$12)),INDEX(원자료_잔고!$A$1:$EZ$1500,설정!$L$5+ROW()-1,설정!$L$12),""),"")</f>
        <v>99.1271</v>
      </c>
      <c r="G237" s="85" t="n">
        <f aca="false">IFERROR(IF(ISNUMBER(INDEX(원자료_잔고!$A$1:$EZ$1500,설정!$L$5+ROW()-1,설정!$L$13)),INDEX(원자료_잔고!$A$1:$EZ$1500,설정!$L$5+ROW()-1,설정!$L$13),""),"")</f>
        <v>5.7166</v>
      </c>
      <c r="H237" s="85" t="n">
        <f aca="false">IFERROR(IF(ISNUMBER(INDEX(원자료_잔고!$A$1:$EZ$1500,설정!$L$5+ROW()-1,설정!$L$14)),INDEX(원자료_잔고!$A$1:$EZ$1500,설정!$L$5+ROW()-1,설정!$L$14),""),"")</f>
        <v>2.4377</v>
      </c>
      <c r="I237" s="86" t="n">
        <f aca="false">IFERROR(IF(ISNUMBER(INDEX(원자료_잔고!$A$1:$EZ$1500,설정!$L$5+ROW()-1,설정!$L$15)),INDEX(원자료_잔고!$A$1:$EZ$1500,설정!$L$5+ROW()-1,설정!$L$15),""),"")</f>
        <v>47301</v>
      </c>
      <c r="J237" s="85" t="n">
        <f aca="false">IFERROR(IF(ISNUMBER(INDEX(원자료_잔고!$A$1:$EZ$1500,설정!$L$5+ROW()-1,설정!$L$16)),INDEX(원자료_잔고!$A$1:$EZ$1500,설정!$L$5+ROW()-1,설정!$L$16),""),"")</f>
        <v>5.375</v>
      </c>
      <c r="K237" s="87" t="n">
        <f aca="false">IFERROR(IF(ISNUMBER(INDEX(원자료_잔고!$A$1:$EZ$1500,설정!$L$5+ROW()-1,설정!$L$17)),INDEX(원자료_잔고!$A$1:$EZ$1500,설정!$L$5+ROW()-1,설정!$L$17),""),"")</f>
        <v>1</v>
      </c>
      <c r="L237" s="84" t="n">
        <f aca="false">IFERROR(IF(ISNUMBER(INDEX(원자료_잔고!$A$1:$EZ$1500,설정!$L$5+ROW()-1,설정!$L$18)),INDEX(원자료_잔고!$A$1:$EZ$1500,설정!$L$5+ROW()-1,설정!$L$18),""),"")</f>
        <v>3370321.4</v>
      </c>
      <c r="M237" s="88" t="n">
        <f aca="false">IFERROR(IF(ISNUMBER(INDEX(원자료_잔고!$A$1:$EZ$1500,설정!$L$5+ROW()-1,설정!$L$19)),INDEX(원자료_잔고!$A$1:$EZ$1500,설정!$L$5+ROW()-1,설정!$L$19),""),"")</f>
        <v>-105906.6</v>
      </c>
      <c r="N237" s="83" t="str">
        <f aca="false">IFERROR(IF(INDEX(원자료_잔고!$A$1:$EZ$1500,설정!$L$5+ROW()-1,설정!$L$21)&amp;""="0","",INDEX(원자료_잔고!$A$1:$EZ$1500,설정!$L$5+ROW()-1,설정!$L$21)&amp;""),"")</f>
        <v>BBB</v>
      </c>
      <c r="O237" s="83" t="str">
        <f aca="false">IFERROR(IF(INDEX(원자료_잔고!$A$1:$EZ$1500,설정!$L$5+ROW()-1,설정!$L$22)&amp;""="0","",INDEX(원자료_잔고!$A$1:$EZ$1500,설정!$L$5+ROW()-1,설정!$L$22)&amp;""),"")</f>
        <v/>
      </c>
      <c r="P237" s="83" t="str">
        <f aca="false">IFERROR(IF(INDEX(원자료_잔고!$A$1:$EZ$1500,설정!$L$5+ROW()-1,설정!$L$23)&amp;""="0","",INDEX(원자료_잔고!$A$1:$EZ$1500,설정!$L$5+ROW()-1,설정!$L$23)&amp;""),"")</f>
        <v>N/A</v>
      </c>
      <c r="Q237" s="89" t="n">
        <f aca="false">IF(AND($A237&lt;&gt;"",ISNUMBER(E237)),IF(E237&gt;0,1,0),0)</f>
        <v>1</v>
      </c>
      <c r="R237" s="43" t="str">
        <f aca="false">IF(Q237=1,UPPER(LEFT($A237,FIND(" ",$A237&amp;" ")-1)),"")</f>
        <v>LGENSO</v>
      </c>
      <c r="S237" s="89" t="n">
        <f aca="false">IF(Q237=1,IF(OR(ISNUMBER(SEARCH("Float",$A237)),ISNUMBER(SEARCH("FRN",$A237))),1,0),0)</f>
        <v>0</v>
      </c>
      <c r="T237" s="43" t="str">
        <f aca="false">IF(AND(Q237=1,ISNUMBER(I237)),TEXT(I237,"yyyymmdd")&amp;"|"&amp;IF(S237=1,"F",TEXT(J237,"0.000")),"")</f>
        <v>20290702|5.375</v>
      </c>
      <c r="U237" s="90" t="n">
        <f aca="false">IF(AND(Q237=1,ISNUMBER(I237)),(I237-설정!$C$4)/365.25,"")</f>
        <v>2.75154004106776</v>
      </c>
      <c r="V237" s="43" t="str">
        <f aca="false">IF(Q237&lt;&gt;1,"",IF(ISNUMBER(U237),IF(U237&lt;=1,"1년 이하",IF(U237&lt;=2,"1-2년",IF(U237&lt;=3,"2-3년",IF(U237&lt;=4,"3-4년",IF(U237&lt;=5,"4-5년",IF(U237&lt;=7,"5-7년",IF(U237&lt;=10,"7-10년",IF(U237&lt;=20,"10-20년","20년 이상")))))))),"미분류"))</f>
        <v>2-3년</v>
      </c>
      <c r="W237" s="43" t="str">
        <f aca="false">IF(Q237&lt;&gt;1,"",IF(AB237&lt;&gt;"",INDEX(시장분석!$C:$C,AB237),IF(K237=1,"USD","비USD")))</f>
        <v>USD</v>
      </c>
      <c r="X237" s="91" t="n">
        <f aca="false">IF(Q237=1,E237*K237/1000000,0)</f>
        <v>3.4</v>
      </c>
      <c r="Y237" s="89" t="n">
        <f aca="false">IF(R237="T",1,0)</f>
        <v>0</v>
      </c>
      <c r="Z237" s="92" t="n">
        <f aca="false">IF(Q237&lt;&gt;1,"",IF(AD237=1,IF(ISNUMBER(U237),MAX(U237,0),H237),H237))</f>
        <v>2.4377</v>
      </c>
      <c r="AA237" s="91" t="n">
        <f aca="false">IF(Q237=1,IF(ISNUMBER(L237),L237,0)*K237/1000000,0)</f>
        <v>3.3703214</v>
      </c>
      <c r="AB237" s="89" t="n">
        <f aca="false">IF(Q237&lt;&gt;1,"",IFERROR(MATCH(VLOOKUP(B237,매핑!$H$4:$I$15,2,0),시장분석!$A$2:$A$601,0)+1,IFERROR(MATCH(R237&amp;"|"&amp;T237,시장분석!$V$2:$V$601,0)+1,IF(COUNTIF(시장분석!$U$2:$U$601,T237)=1,MATCH(T237,시장분석!$U$2:$U$601,0)+1,""))))</f>
        <v>179</v>
      </c>
      <c r="AC237" s="89" t="n">
        <f aca="false">IF(Q237&lt;&gt;1,0,IF(OR(설정!$C$5="전체",AND(설정!$C$5="선택펀드",IFERROR(COUNTIFS(설정!$F$16:$F$36,C237,설정!$G$16:$G$36,"Y")+COUNTIFS(설정!$F$16:$F$36,VALUE(C237),설정!$G$16:$G$36,"Y"),0)&gt;0),C237&amp;""=설정!$C$5&amp;""),1,0))</f>
        <v>1</v>
      </c>
      <c r="AD237" s="89" t="n">
        <f aca="false">IF(Q237&lt;&gt;1,0,IF(OR(S237=1,IF(AB237="",FALSE(),INDEX(시장분석!$R:$R,AB237)=1)),1,0))</f>
        <v>0</v>
      </c>
      <c r="AE237" s="43" t="str">
        <f aca="false">IF(AB237="","",INDEX(시장분석!$A:$A,AB237))</f>
        <v>LGENSO 5 3/8 07/02/29</v>
      </c>
      <c r="AF237" s="93" t="n">
        <f aca="false">IF(AB237="","",IF(ISNUMBER(IF(AB237="","",INDEX(시장분석!$E:$E,AB237))),IF(AB237="","",INDEX(시장분석!$E:$E,AB237)),""))</f>
        <v>73.376</v>
      </c>
      <c r="AG237" s="43" t="str">
        <f aca="false">IF(Q237&lt;&gt;1,"",IF(AB237&lt;&gt;"",IF(AB237="","",INDEX(시장분석!$L:$L,AB237)),IFERROR(IF(VLOOKUP(R237,매핑!$A$4:$E$92,5,0)="","미분류",VLOOKUP(R237,매핑!$A$4:$E$92,5,0)),"미분류")))</f>
        <v>자유 소비재</v>
      </c>
      <c r="AH237" s="43" t="str">
        <f aca="false">IF(Q237&lt;&gt;1,"",IF(AB237&lt;&gt;"",IF(AB237="","",INDEX(시장분석!$N:$N,AB237)),IFERROR(IF(VLOOKUP(R237,매핑!$A$4:$E$92,4,0)="","미분류",VLOOKUP(R237,매핑!$A$4:$E$92,4,0)),"미분류")))</f>
        <v>아시아/기타</v>
      </c>
      <c r="AI237" s="43" t="str">
        <f aca="false">IF(Q237&lt;&gt;1,"",IFERROR(IF(VLOOKUP(R237,매핑!$A$4:$E$92,3,0)="","미분류",VLOOKUP(R237,매핑!$A$4:$E$92,3,0)),IF(AB237&lt;&gt;"",IF(AB237="","",INDEX(시장분석!$W:$W,AB237)),"미분류")))</f>
        <v>한국</v>
      </c>
      <c r="AJ237" s="43" t="str">
        <f aca="false">IF(Q237&lt;&gt;1,"",IFERROR(VLOOKUP(IF(N237&lt;&gt;"",N237,IF(P237&lt;&gt;"",P237,O237)),설정!$A$15:$D$47,2,0),""))</f>
        <v>BBB</v>
      </c>
      <c r="AK237" s="43" t="str">
        <f aca="false">IF(Q237&lt;&gt;1,"",IF(AJ237="","무등급",IFERROR(VLOOKUP(AJ237,설정!$A$15:$D$47,3,0),"무등급")))</f>
        <v>BBB</v>
      </c>
      <c r="AL237" s="89" t="n">
        <f aca="false">IF(AJ237="",99,IFERROR(VLOOKUP(AJ237,설정!$A$15:$D$47,4,0),99))</f>
        <v>9</v>
      </c>
      <c r="AM237" s="94" t="n">
        <f aca="false">IF(ISNUMBER(H237),AA237*1000000*H237/10000,0)</f>
        <v>821.583247678</v>
      </c>
      <c r="AN237" s="94" t="n">
        <f aca="false">IF(OR(Y237=1,NOT(ISNUMBER(Z237))),0,AA237*1000000*Z237/10000)</f>
        <v>821.583247678</v>
      </c>
      <c r="AO237" s="94" t="n">
        <f aca="false">IF(ISNUMBER(G237),AA237*1000000*G237/100,0)</f>
        <v>192667.7931524</v>
      </c>
      <c r="AP237" s="94" t="n">
        <f aca="false">IF(ISNUMBER(M237),M237*K237,0)</f>
        <v>-105906.6</v>
      </c>
      <c r="AQ237" s="95" t="n">
        <f aca="false">IF(AB237="","",INDEX(시장분석!$AK:$AK,AB237))</f>
        <v>0.0343903053062221</v>
      </c>
      <c r="AR237" s="43" t="str">
        <f aca="false">IF(AB237="","-",IF(AB237="","",INDEX(시장분석!$AL:$AL,AB237)))</f>
        <v>Fair</v>
      </c>
      <c r="AS237" s="96" t="n">
        <f aca="false">IF(AB237="","",INDEX(시장분석!$AJ:$AJ,AB237))</f>
        <v>0.712393143760181</v>
      </c>
      <c r="AT237" s="93" t="n">
        <f aca="false">IF(AB237="",0,IF(AB237="","",INDEX(시장분석!$AN:$AN,AB237)))</f>
        <v>19.8721156888579</v>
      </c>
      <c r="AU237" s="94" t="n">
        <f aca="false">IF(ISNUMBER(Z237),AT237/10000*MAX(Z237-1,0)*AA237*1000000,0)</f>
        <v>9629.05566894144</v>
      </c>
      <c r="AV237" s="94" t="n">
        <f aca="false">AO237+AU237</f>
        <v>202296.848821341</v>
      </c>
      <c r="AW237" s="43" t="str">
        <f aca="false">IF(Q237&lt;&gt;1,"",TRIM(IF(AD237=1,"FRN ","")&amp;IF(AND(AL237&gt;=10,AL237&lt;99),"BBB0미만 ","")&amp;IF(AJ237="","등급없음 ","")&amp;IF(K237&lt;&gt;1,"비USD ","")&amp;IF(AND(AB237="",Y237=0),"시장데이터없음 ","")&amp;IF(AND(ISNUMBER(U237),U237&lt;0),"만기경과 ","")))</f>
        <v/>
      </c>
      <c r="AX237" s="90" t="n">
        <f aca="false">IF(Q237&lt;&gt;1,1,IF(스프레드쇼크!$C$4="Y",INDEX(스프레드쇼크!$B$12:$L$16,IFERROR(MATCH(AH237,스프레드쇼크!$A$12:$A$16,0),MATCH("목록외",스프레드쇼크!$A$12:$A$16,0)),IFERROR(MATCH(AG237,스프레드쇼크!$B$11:$L$11,0),MATCH("목록외",스프레드쇼크!$B$11:$L$11,0))),1))</f>
        <v>1</v>
      </c>
      <c r="AY237" s="90" t="n">
        <f aca="false">IF(스프레드쇼크!$C$5="Y",IF(ISNUMBER(AF237),MIN(스프레드쇼크!$C$7,MAX(스프레드쇼크!$C$6,AF237/스프레드쇼크!$C$8)),1),1)</f>
        <v>1.10984047624524</v>
      </c>
      <c r="AZ237" s="94" t="n">
        <f aca="false">AN237*AX237*AY237</f>
        <v>911.826342878059</v>
      </c>
      <c r="BA237" s="90" t="n">
        <f aca="false">IF(ISNUMBER(G237),AA237*G237,0)</f>
        <v>19.26677931524</v>
      </c>
      <c r="BB237" s="90" t="n">
        <f aca="false">IF(ISNUMBER(G237),AA237,0)</f>
        <v>3.3703214</v>
      </c>
      <c r="BC237" s="90" t="n">
        <f aca="false">IF(AND(Y237=0,ISNUMBER(AF237)),AA237*AF237,0)</f>
        <v>247.3007030464</v>
      </c>
      <c r="BD237" s="90" t="n">
        <f aca="false">IF(AND(Y237=0,ISNUMBER(AF237)),AA237,0)</f>
        <v>3.3703214</v>
      </c>
      <c r="BE237" s="90" t="n">
        <f aca="false">IF(ISNUMBER(H237),AA237*H237,0)</f>
        <v>8.21583247678</v>
      </c>
      <c r="BF237" s="90" t="n">
        <f aca="false">IF(ISNUMBER(H237),AA237,0)</f>
        <v>3.3703214</v>
      </c>
      <c r="BG237" s="90" t="n">
        <f aca="false">IF(AND(Y237=0,ISNUMBER(AF237),ISNUMBER(Z237)),AA237*Z237,0)</f>
        <v>8.21583247678</v>
      </c>
      <c r="BH237" s="90" t="n">
        <f aca="false">IF(AND(Y237=0,ISNUMBER(AF237),ISNUMBER(Z237)),AA237*AT237*MAX(Z237-1,0),0)</f>
        <v>96.2905566894144</v>
      </c>
      <c r="BI237" s="90" t="n">
        <f aca="false">IF(Y237=0,AA237,0)</f>
        <v>3.3703214</v>
      </c>
    </row>
    <row r="238" customFormat="false" ht="15" hidden="false" customHeight="false" outlineLevel="0" collapsed="false">
      <c r="A238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38" s="83" t="str">
        <f aca="false">IFERROR(IF(INDEX(원자료_잔고!$A$1:$EZ$1500,설정!$L$5+ROW()-1,설정!$L$7)&amp;""="0","",INDEX(원자료_잔고!$A$1:$EZ$1500,설정!$L$5+ROW()-1,설정!$L$7)&amp;""),"")</f>
        <v>USY5S5CGAL65</v>
      </c>
      <c r="C238" s="83" t="str">
        <f aca="false">IFERROR(IF(INDEX(원자료_잔고!$A$1:$EZ$1500,설정!$L$5+ROW()-1,설정!$L$9)&amp;""="0","",INDEX(원자료_잔고!$A$1:$EZ$1500,설정!$L$5+ROW()-1,설정!$L$9)&amp;""),"")</f>
        <v>34578</v>
      </c>
      <c r="D23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8" s="84" t="n">
        <f aca="false">IFERROR(IF(ISNUMBER(INDEX(원자료_잔고!$A$1:$EZ$1500,설정!$L$5+ROW()-1,설정!$L$11)),INDEX(원자료_잔고!$A$1:$EZ$1500,설정!$L$5+ROW()-1,설정!$L$11),""),"")</f>
        <v>300000</v>
      </c>
      <c r="F238" s="85" t="n">
        <f aca="false">IFERROR(IF(ISNUMBER(INDEX(원자료_잔고!$A$1:$EZ$1500,설정!$L$5+ROW()-1,설정!$L$12)),INDEX(원자료_잔고!$A$1:$EZ$1500,설정!$L$5+ROW()-1,설정!$L$12),""),"")</f>
        <v>99.1271</v>
      </c>
      <c r="G238" s="85" t="n">
        <f aca="false">IFERROR(IF(ISNUMBER(INDEX(원자료_잔고!$A$1:$EZ$1500,설정!$L$5+ROW()-1,설정!$L$13)),INDEX(원자료_잔고!$A$1:$EZ$1500,설정!$L$5+ROW()-1,설정!$L$13),""),"")</f>
        <v>5.7166</v>
      </c>
      <c r="H238" s="85" t="n">
        <f aca="false">IFERROR(IF(ISNUMBER(INDEX(원자료_잔고!$A$1:$EZ$1500,설정!$L$5+ROW()-1,설정!$L$14)),INDEX(원자료_잔고!$A$1:$EZ$1500,설정!$L$5+ROW()-1,설정!$L$14),""),"")</f>
        <v>2.4377</v>
      </c>
      <c r="I238" s="86" t="n">
        <f aca="false">IFERROR(IF(ISNUMBER(INDEX(원자료_잔고!$A$1:$EZ$1500,설정!$L$5+ROW()-1,설정!$L$15)),INDEX(원자료_잔고!$A$1:$EZ$1500,설정!$L$5+ROW()-1,설정!$L$15),""),"")</f>
        <v>47301</v>
      </c>
      <c r="J238" s="85" t="n">
        <f aca="false">IFERROR(IF(ISNUMBER(INDEX(원자료_잔고!$A$1:$EZ$1500,설정!$L$5+ROW()-1,설정!$L$16)),INDEX(원자료_잔고!$A$1:$EZ$1500,설정!$L$5+ROW()-1,설정!$L$16),""),"")</f>
        <v>5.375</v>
      </c>
      <c r="K238" s="87" t="n">
        <f aca="false">IFERROR(IF(ISNUMBER(INDEX(원자료_잔고!$A$1:$EZ$1500,설정!$L$5+ROW()-1,설정!$L$17)),INDEX(원자료_잔고!$A$1:$EZ$1500,설정!$L$5+ROW()-1,설정!$L$17),""),"")</f>
        <v>1</v>
      </c>
      <c r="L238" s="84" t="n">
        <f aca="false">IFERROR(IF(ISNUMBER(INDEX(원자료_잔고!$A$1:$EZ$1500,설정!$L$5+ROW()-1,설정!$L$18)),INDEX(원자료_잔고!$A$1:$EZ$1500,설정!$L$5+ROW()-1,설정!$L$18),""),"")</f>
        <v>297381.3</v>
      </c>
      <c r="M238" s="88" t="n">
        <f aca="false">IFERROR(IF(ISNUMBER(INDEX(원자료_잔고!$A$1:$EZ$1500,설정!$L$5+ROW()-1,설정!$L$19)),INDEX(원자료_잔고!$A$1:$EZ$1500,설정!$L$5+ROW()-1,설정!$L$19),""),"")</f>
        <v>-7229.7</v>
      </c>
      <c r="N238" s="83" t="str">
        <f aca="false">IFERROR(IF(INDEX(원자료_잔고!$A$1:$EZ$1500,설정!$L$5+ROW()-1,설정!$L$21)&amp;""="0","",INDEX(원자료_잔고!$A$1:$EZ$1500,설정!$L$5+ROW()-1,설정!$L$21)&amp;""),"")</f>
        <v>BBB</v>
      </c>
      <c r="O238" s="83" t="str">
        <f aca="false">IFERROR(IF(INDEX(원자료_잔고!$A$1:$EZ$1500,설정!$L$5+ROW()-1,설정!$L$22)&amp;""="0","",INDEX(원자료_잔고!$A$1:$EZ$1500,설정!$L$5+ROW()-1,설정!$L$22)&amp;""),"")</f>
        <v/>
      </c>
      <c r="P238" s="83" t="str">
        <f aca="false">IFERROR(IF(INDEX(원자료_잔고!$A$1:$EZ$1500,설정!$L$5+ROW()-1,설정!$L$23)&amp;""="0","",INDEX(원자료_잔고!$A$1:$EZ$1500,설정!$L$5+ROW()-1,설정!$L$23)&amp;""),"")</f>
        <v>N/A</v>
      </c>
      <c r="Q238" s="89" t="n">
        <f aca="false">IF(AND($A238&lt;&gt;"",ISNUMBER(E238)),IF(E238&gt;0,1,0),0)</f>
        <v>1</v>
      </c>
      <c r="R238" s="43" t="str">
        <f aca="false">IF(Q238=1,UPPER(LEFT($A238,FIND(" ",$A238&amp;" ")-1)),"")</f>
        <v>LGENSO</v>
      </c>
      <c r="S238" s="89" t="n">
        <f aca="false">IF(Q238=1,IF(OR(ISNUMBER(SEARCH("Float",$A238)),ISNUMBER(SEARCH("FRN",$A238))),1,0),0)</f>
        <v>0</v>
      </c>
      <c r="T238" s="43" t="str">
        <f aca="false">IF(AND(Q238=1,ISNUMBER(I238)),TEXT(I238,"yyyymmdd")&amp;"|"&amp;IF(S238=1,"F",TEXT(J238,"0.000")),"")</f>
        <v>20290702|5.375</v>
      </c>
      <c r="U238" s="90" t="n">
        <f aca="false">IF(AND(Q238=1,ISNUMBER(I238)),(I238-설정!$C$4)/365.25,"")</f>
        <v>2.75154004106776</v>
      </c>
      <c r="V238" s="43" t="str">
        <f aca="false">IF(Q238&lt;&gt;1,"",IF(ISNUMBER(U238),IF(U238&lt;=1,"1년 이하",IF(U238&lt;=2,"1-2년",IF(U238&lt;=3,"2-3년",IF(U238&lt;=4,"3-4년",IF(U238&lt;=5,"4-5년",IF(U238&lt;=7,"5-7년",IF(U238&lt;=10,"7-10년",IF(U238&lt;=20,"10-20년","20년 이상")))))))),"미분류"))</f>
        <v>2-3년</v>
      </c>
      <c r="W238" s="43" t="str">
        <f aca="false">IF(Q238&lt;&gt;1,"",IF(AB238&lt;&gt;"",INDEX(시장분석!$C:$C,AB238),IF(K238=1,"USD","비USD")))</f>
        <v>USD</v>
      </c>
      <c r="X238" s="91" t="n">
        <f aca="false">IF(Q238=1,E238*K238/1000000,0)</f>
        <v>0.3</v>
      </c>
      <c r="Y238" s="89" t="n">
        <f aca="false">IF(R238="T",1,0)</f>
        <v>0</v>
      </c>
      <c r="Z238" s="92" t="n">
        <f aca="false">IF(Q238&lt;&gt;1,"",IF(AD238=1,IF(ISNUMBER(U238),MAX(U238,0),H238),H238))</f>
        <v>2.4377</v>
      </c>
      <c r="AA238" s="91" t="n">
        <f aca="false">IF(Q238=1,IF(ISNUMBER(L238),L238,0)*K238/1000000,0)</f>
        <v>0.2973813</v>
      </c>
      <c r="AB238" s="89" t="n">
        <f aca="false">IF(Q238&lt;&gt;1,"",IFERROR(MATCH(VLOOKUP(B238,매핑!$H$4:$I$15,2,0),시장분석!$A$2:$A$601,0)+1,IFERROR(MATCH(R238&amp;"|"&amp;T238,시장분석!$V$2:$V$601,0)+1,IF(COUNTIF(시장분석!$U$2:$U$601,T238)=1,MATCH(T238,시장분석!$U$2:$U$601,0)+1,""))))</f>
        <v>179</v>
      </c>
      <c r="AC238" s="89" t="n">
        <f aca="false">IF(Q238&lt;&gt;1,0,IF(OR(설정!$C$5="전체",AND(설정!$C$5="선택펀드",IFERROR(COUNTIFS(설정!$F$16:$F$36,C238,설정!$G$16:$G$36,"Y")+COUNTIFS(설정!$F$16:$F$36,VALUE(C238),설정!$G$16:$G$36,"Y"),0)&gt;0),C238&amp;""=설정!$C$5&amp;""),1,0))</f>
        <v>1</v>
      </c>
      <c r="AD238" s="89" t="n">
        <f aca="false">IF(Q238&lt;&gt;1,0,IF(OR(S238=1,IF(AB238="",FALSE(),INDEX(시장분석!$R:$R,AB238)=1)),1,0))</f>
        <v>0</v>
      </c>
      <c r="AE238" s="43" t="str">
        <f aca="false">IF(AB238="","",INDEX(시장분석!$A:$A,AB238))</f>
        <v>LGENSO 5 3/8 07/02/29</v>
      </c>
      <c r="AF238" s="93" t="n">
        <f aca="false">IF(AB238="","",IF(ISNUMBER(IF(AB238="","",INDEX(시장분석!$E:$E,AB238))),IF(AB238="","",INDEX(시장분석!$E:$E,AB238)),""))</f>
        <v>73.376</v>
      </c>
      <c r="AG238" s="43" t="str">
        <f aca="false">IF(Q238&lt;&gt;1,"",IF(AB238&lt;&gt;"",IF(AB238="","",INDEX(시장분석!$L:$L,AB238)),IFERROR(IF(VLOOKUP(R238,매핑!$A$4:$E$92,5,0)="","미분류",VLOOKUP(R238,매핑!$A$4:$E$92,5,0)),"미분류")))</f>
        <v>자유 소비재</v>
      </c>
      <c r="AH238" s="43" t="str">
        <f aca="false">IF(Q238&lt;&gt;1,"",IF(AB238&lt;&gt;"",IF(AB238="","",INDEX(시장분석!$N:$N,AB238)),IFERROR(IF(VLOOKUP(R238,매핑!$A$4:$E$92,4,0)="","미분류",VLOOKUP(R238,매핑!$A$4:$E$92,4,0)),"미분류")))</f>
        <v>아시아/기타</v>
      </c>
      <c r="AI238" s="43" t="str">
        <f aca="false">IF(Q238&lt;&gt;1,"",IFERROR(IF(VLOOKUP(R238,매핑!$A$4:$E$92,3,0)="","미분류",VLOOKUP(R238,매핑!$A$4:$E$92,3,0)),IF(AB238&lt;&gt;"",IF(AB238="","",INDEX(시장분석!$W:$W,AB238)),"미분류")))</f>
        <v>한국</v>
      </c>
      <c r="AJ238" s="43" t="str">
        <f aca="false">IF(Q238&lt;&gt;1,"",IFERROR(VLOOKUP(IF(N238&lt;&gt;"",N238,IF(P238&lt;&gt;"",P238,O238)),설정!$A$15:$D$47,2,0),""))</f>
        <v>BBB</v>
      </c>
      <c r="AK238" s="43" t="str">
        <f aca="false">IF(Q238&lt;&gt;1,"",IF(AJ238="","무등급",IFERROR(VLOOKUP(AJ238,설정!$A$15:$D$47,3,0),"무등급")))</f>
        <v>BBB</v>
      </c>
      <c r="AL238" s="89" t="n">
        <f aca="false">IF(AJ238="",99,IFERROR(VLOOKUP(AJ238,설정!$A$15:$D$47,4,0),99))</f>
        <v>9</v>
      </c>
      <c r="AM238" s="94" t="n">
        <f aca="false">IF(ISNUMBER(H238),AA238*1000000*H238/10000,0)</f>
        <v>72.492639501</v>
      </c>
      <c r="AN238" s="94" t="n">
        <f aca="false">IF(OR(Y238=1,NOT(ISNUMBER(Z238))),0,AA238*1000000*Z238/10000)</f>
        <v>72.492639501</v>
      </c>
      <c r="AO238" s="94" t="n">
        <f aca="false">IF(ISNUMBER(G238),AA238*1000000*G238/100,0)</f>
        <v>17000.0993958</v>
      </c>
      <c r="AP238" s="94" t="n">
        <f aca="false">IF(ISNUMBER(M238),M238*K238,0)</f>
        <v>-7229.7</v>
      </c>
      <c r="AQ238" s="95" t="n">
        <f aca="false">IF(AB238="","",INDEX(시장분석!$AK:$AK,AB238))</f>
        <v>0.0343903053062221</v>
      </c>
      <c r="AR238" s="43" t="str">
        <f aca="false">IF(AB238="","-",IF(AB238="","",INDEX(시장분석!$AL:$AL,AB238)))</f>
        <v>Fair</v>
      </c>
      <c r="AS238" s="96" t="n">
        <f aca="false">IF(AB238="","",INDEX(시장분석!$AJ:$AJ,AB238))</f>
        <v>0.712393143760181</v>
      </c>
      <c r="AT238" s="93" t="n">
        <f aca="false">IF(AB238="",0,IF(AB238="","",INDEX(시장분석!$AN:$AN,AB238)))</f>
        <v>19.8721156888579</v>
      </c>
      <c r="AU238" s="94" t="n">
        <f aca="false">IF(ISNUMBER(Z238),AT238/10000*MAX(Z238-1,0)*AA238*1000000,0)</f>
        <v>849.622559024245</v>
      </c>
      <c r="AV238" s="94" t="n">
        <f aca="false">AO238+AU238</f>
        <v>17849.7219548242</v>
      </c>
      <c r="AW238" s="43" t="str">
        <f aca="false">IF(Q238&lt;&gt;1,"",TRIM(IF(AD238=1,"FRN ","")&amp;IF(AND(AL238&gt;=10,AL238&lt;99),"BBB0미만 ","")&amp;IF(AJ238="","등급없음 ","")&amp;IF(K238&lt;&gt;1,"비USD ","")&amp;IF(AND(AB238="",Y238=0),"시장데이터없음 ","")&amp;IF(AND(ISNUMBER(U238),U238&lt;0),"만기경과 ","")))</f>
        <v/>
      </c>
      <c r="AX238" s="90" t="n">
        <f aca="false">IF(Q238&lt;&gt;1,1,IF(스프레드쇼크!$C$4="Y",INDEX(스프레드쇼크!$B$12:$L$16,IFERROR(MATCH(AH238,스프레드쇼크!$A$12:$A$16,0),MATCH("목록외",스프레드쇼크!$A$12:$A$16,0)),IFERROR(MATCH(AG238,스프레드쇼크!$B$11:$L$11,0),MATCH("목록외",스프레드쇼크!$B$11:$L$11,0))),1))</f>
        <v>1</v>
      </c>
      <c r="AY238" s="90" t="n">
        <f aca="false">IF(스프레드쇼크!$C$5="Y",IF(ISNUMBER(AF238),MIN(스프레드쇼크!$C$7,MAX(스프레드쇼크!$C$6,AF238/스프레드쇼크!$C$8)),1),1)</f>
        <v>1.10984047624524</v>
      </c>
      <c r="AZ238" s="94" t="n">
        <f aca="false">AN238*AX238*AY238</f>
        <v>80.4552655480641</v>
      </c>
      <c r="BA238" s="90" t="n">
        <f aca="false">IF(ISNUMBER(G238),AA238*G238,0)</f>
        <v>1.70000993958</v>
      </c>
      <c r="BB238" s="90" t="n">
        <f aca="false">IF(ISNUMBER(G238),AA238,0)</f>
        <v>0.2973813</v>
      </c>
      <c r="BC238" s="90" t="n">
        <f aca="false">IF(AND(Y238=0,ISNUMBER(AF238)),AA238*AF238,0)</f>
        <v>21.8206502688</v>
      </c>
      <c r="BD238" s="90" t="n">
        <f aca="false">IF(AND(Y238=0,ISNUMBER(AF238)),AA238,0)</f>
        <v>0.2973813</v>
      </c>
      <c r="BE238" s="90" t="n">
        <f aca="false">IF(ISNUMBER(H238),AA238*H238,0)</f>
        <v>0.72492639501</v>
      </c>
      <c r="BF238" s="90" t="n">
        <f aca="false">IF(ISNUMBER(H238),AA238,0)</f>
        <v>0.2973813</v>
      </c>
      <c r="BG238" s="90" t="n">
        <f aca="false">IF(AND(Y238=0,ISNUMBER(AF238),ISNUMBER(Z238)),AA238*Z238,0)</f>
        <v>0.72492639501</v>
      </c>
      <c r="BH238" s="90" t="n">
        <f aca="false">IF(AND(Y238=0,ISNUMBER(AF238),ISNUMBER(Z238)),AA238*AT238*MAX(Z238-1,0),0)</f>
        <v>8.49622559024245</v>
      </c>
      <c r="BI238" s="90" t="n">
        <f aca="false">IF(Y238=0,AA238,0)</f>
        <v>0.2973813</v>
      </c>
    </row>
    <row r="239" customFormat="false" ht="15" hidden="false" customHeight="false" outlineLevel="0" collapsed="false">
      <c r="A239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39" s="83" t="str">
        <f aca="false">IFERROR(IF(INDEX(원자료_잔고!$A$1:$EZ$1500,설정!$L$5+ROW()-1,설정!$L$7)&amp;""="0","",INDEX(원자료_잔고!$A$1:$EZ$1500,설정!$L$5+ROW()-1,설정!$L$7)&amp;""),"")</f>
        <v>USY5S5CGAL65</v>
      </c>
      <c r="C239" s="83" t="str">
        <f aca="false">IFERROR(IF(INDEX(원자료_잔고!$A$1:$EZ$1500,설정!$L$5+ROW()-1,설정!$L$9)&amp;""="0","",INDEX(원자료_잔고!$A$1:$EZ$1500,설정!$L$5+ROW()-1,설정!$L$9)&amp;""),"")</f>
        <v>34578</v>
      </c>
      <c r="D23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39" s="84" t="n">
        <f aca="false">IFERROR(IF(ISNUMBER(INDEX(원자료_잔고!$A$1:$EZ$1500,설정!$L$5+ROW()-1,설정!$L$11)),INDEX(원자료_잔고!$A$1:$EZ$1500,설정!$L$5+ROW()-1,설정!$L$11),""),"")</f>
        <v>200000</v>
      </c>
      <c r="F239" s="85" t="n">
        <f aca="false">IFERROR(IF(ISNUMBER(INDEX(원자료_잔고!$A$1:$EZ$1500,설정!$L$5+ROW()-1,설정!$L$12)),INDEX(원자료_잔고!$A$1:$EZ$1500,설정!$L$5+ROW()-1,설정!$L$12),""),"")</f>
        <v>99.1271</v>
      </c>
      <c r="G239" s="85" t="n">
        <f aca="false">IFERROR(IF(ISNUMBER(INDEX(원자료_잔고!$A$1:$EZ$1500,설정!$L$5+ROW()-1,설정!$L$13)),INDEX(원자료_잔고!$A$1:$EZ$1500,설정!$L$5+ROW()-1,설정!$L$13),""),"")</f>
        <v>5.7166</v>
      </c>
      <c r="H239" s="85" t="n">
        <f aca="false">IFERROR(IF(ISNUMBER(INDEX(원자료_잔고!$A$1:$EZ$1500,설정!$L$5+ROW()-1,설정!$L$14)),INDEX(원자료_잔고!$A$1:$EZ$1500,설정!$L$5+ROW()-1,설정!$L$14),""),"")</f>
        <v>2.4377</v>
      </c>
      <c r="I239" s="86" t="n">
        <f aca="false">IFERROR(IF(ISNUMBER(INDEX(원자료_잔고!$A$1:$EZ$1500,설정!$L$5+ROW()-1,설정!$L$15)),INDEX(원자료_잔고!$A$1:$EZ$1500,설정!$L$5+ROW()-1,설정!$L$15),""),"")</f>
        <v>47301</v>
      </c>
      <c r="J239" s="85" t="n">
        <f aca="false">IFERROR(IF(ISNUMBER(INDEX(원자료_잔고!$A$1:$EZ$1500,설정!$L$5+ROW()-1,설정!$L$16)),INDEX(원자료_잔고!$A$1:$EZ$1500,설정!$L$5+ROW()-1,설정!$L$16),""),"")</f>
        <v>5.375</v>
      </c>
      <c r="K239" s="87" t="n">
        <f aca="false">IFERROR(IF(ISNUMBER(INDEX(원자료_잔고!$A$1:$EZ$1500,설정!$L$5+ROW()-1,설정!$L$17)),INDEX(원자료_잔고!$A$1:$EZ$1500,설정!$L$5+ROW()-1,설정!$L$17),""),"")</f>
        <v>1</v>
      </c>
      <c r="L239" s="84" t="n">
        <f aca="false">IFERROR(IF(ISNUMBER(INDEX(원자료_잔고!$A$1:$EZ$1500,설정!$L$5+ROW()-1,설정!$L$18)),INDEX(원자료_잔고!$A$1:$EZ$1500,설정!$L$5+ROW()-1,설정!$L$18),""),"")</f>
        <v>198254.2</v>
      </c>
      <c r="M239" s="88" t="n">
        <f aca="false">IFERROR(IF(ISNUMBER(INDEX(원자료_잔고!$A$1:$EZ$1500,설정!$L$5+ROW()-1,설정!$L$19)),INDEX(원자료_잔고!$A$1:$EZ$1500,설정!$L$5+ROW()-1,설정!$L$19),""),"")</f>
        <v>-4819.8</v>
      </c>
      <c r="N239" s="83" t="str">
        <f aca="false">IFERROR(IF(INDEX(원자료_잔고!$A$1:$EZ$1500,설정!$L$5+ROW()-1,설정!$L$21)&amp;""="0","",INDEX(원자료_잔고!$A$1:$EZ$1500,설정!$L$5+ROW()-1,설정!$L$21)&amp;""),"")</f>
        <v>BBB</v>
      </c>
      <c r="O239" s="83" t="str">
        <f aca="false">IFERROR(IF(INDEX(원자료_잔고!$A$1:$EZ$1500,설정!$L$5+ROW()-1,설정!$L$22)&amp;""="0","",INDEX(원자료_잔고!$A$1:$EZ$1500,설정!$L$5+ROW()-1,설정!$L$22)&amp;""),"")</f>
        <v/>
      </c>
      <c r="P239" s="83" t="str">
        <f aca="false">IFERROR(IF(INDEX(원자료_잔고!$A$1:$EZ$1500,설정!$L$5+ROW()-1,설정!$L$23)&amp;""="0","",INDEX(원자료_잔고!$A$1:$EZ$1500,설정!$L$5+ROW()-1,설정!$L$23)&amp;""),"")</f>
        <v>N/A</v>
      </c>
      <c r="Q239" s="89" t="n">
        <f aca="false">IF(AND($A239&lt;&gt;"",ISNUMBER(E239)),IF(E239&gt;0,1,0),0)</f>
        <v>1</v>
      </c>
      <c r="R239" s="43" t="str">
        <f aca="false">IF(Q239=1,UPPER(LEFT($A239,FIND(" ",$A239&amp;" ")-1)),"")</f>
        <v>LGENSO</v>
      </c>
      <c r="S239" s="89" t="n">
        <f aca="false">IF(Q239=1,IF(OR(ISNUMBER(SEARCH("Float",$A239)),ISNUMBER(SEARCH("FRN",$A239))),1,0),0)</f>
        <v>0</v>
      </c>
      <c r="T239" s="43" t="str">
        <f aca="false">IF(AND(Q239=1,ISNUMBER(I239)),TEXT(I239,"yyyymmdd")&amp;"|"&amp;IF(S239=1,"F",TEXT(J239,"0.000")),"")</f>
        <v>20290702|5.375</v>
      </c>
      <c r="U239" s="90" t="n">
        <f aca="false">IF(AND(Q239=1,ISNUMBER(I239)),(I239-설정!$C$4)/365.25,"")</f>
        <v>2.75154004106776</v>
      </c>
      <c r="V239" s="43" t="str">
        <f aca="false">IF(Q239&lt;&gt;1,"",IF(ISNUMBER(U239),IF(U239&lt;=1,"1년 이하",IF(U239&lt;=2,"1-2년",IF(U239&lt;=3,"2-3년",IF(U239&lt;=4,"3-4년",IF(U239&lt;=5,"4-5년",IF(U239&lt;=7,"5-7년",IF(U239&lt;=10,"7-10년",IF(U239&lt;=20,"10-20년","20년 이상")))))))),"미분류"))</f>
        <v>2-3년</v>
      </c>
      <c r="W239" s="43" t="str">
        <f aca="false">IF(Q239&lt;&gt;1,"",IF(AB239&lt;&gt;"",INDEX(시장분석!$C:$C,AB239),IF(K239=1,"USD","비USD")))</f>
        <v>USD</v>
      </c>
      <c r="X239" s="91" t="n">
        <f aca="false">IF(Q239=1,E239*K239/1000000,0)</f>
        <v>0.2</v>
      </c>
      <c r="Y239" s="89" t="n">
        <f aca="false">IF(R239="T",1,0)</f>
        <v>0</v>
      </c>
      <c r="Z239" s="92" t="n">
        <f aca="false">IF(Q239&lt;&gt;1,"",IF(AD239=1,IF(ISNUMBER(U239),MAX(U239,0),H239),H239))</f>
        <v>2.4377</v>
      </c>
      <c r="AA239" s="91" t="n">
        <f aca="false">IF(Q239=1,IF(ISNUMBER(L239),L239,0)*K239/1000000,0)</f>
        <v>0.1982542</v>
      </c>
      <c r="AB239" s="89" t="n">
        <f aca="false">IF(Q239&lt;&gt;1,"",IFERROR(MATCH(VLOOKUP(B239,매핑!$H$4:$I$15,2,0),시장분석!$A$2:$A$601,0)+1,IFERROR(MATCH(R239&amp;"|"&amp;T239,시장분석!$V$2:$V$601,0)+1,IF(COUNTIF(시장분석!$U$2:$U$601,T239)=1,MATCH(T239,시장분석!$U$2:$U$601,0)+1,""))))</f>
        <v>179</v>
      </c>
      <c r="AC239" s="89" t="n">
        <f aca="false">IF(Q239&lt;&gt;1,0,IF(OR(설정!$C$5="전체",AND(설정!$C$5="선택펀드",IFERROR(COUNTIFS(설정!$F$16:$F$36,C239,설정!$G$16:$G$36,"Y")+COUNTIFS(설정!$F$16:$F$36,VALUE(C239),설정!$G$16:$G$36,"Y"),0)&gt;0),C239&amp;""=설정!$C$5&amp;""),1,0))</f>
        <v>1</v>
      </c>
      <c r="AD239" s="89" t="n">
        <f aca="false">IF(Q239&lt;&gt;1,0,IF(OR(S239=1,IF(AB239="",FALSE(),INDEX(시장분석!$R:$R,AB239)=1)),1,0))</f>
        <v>0</v>
      </c>
      <c r="AE239" s="43" t="str">
        <f aca="false">IF(AB239="","",INDEX(시장분석!$A:$A,AB239))</f>
        <v>LGENSO 5 3/8 07/02/29</v>
      </c>
      <c r="AF239" s="93" t="n">
        <f aca="false">IF(AB239="","",IF(ISNUMBER(IF(AB239="","",INDEX(시장분석!$E:$E,AB239))),IF(AB239="","",INDEX(시장분석!$E:$E,AB239)),""))</f>
        <v>73.376</v>
      </c>
      <c r="AG239" s="43" t="str">
        <f aca="false">IF(Q239&lt;&gt;1,"",IF(AB239&lt;&gt;"",IF(AB239="","",INDEX(시장분석!$L:$L,AB239)),IFERROR(IF(VLOOKUP(R239,매핑!$A$4:$E$92,5,0)="","미분류",VLOOKUP(R239,매핑!$A$4:$E$92,5,0)),"미분류")))</f>
        <v>자유 소비재</v>
      </c>
      <c r="AH239" s="43" t="str">
        <f aca="false">IF(Q239&lt;&gt;1,"",IF(AB239&lt;&gt;"",IF(AB239="","",INDEX(시장분석!$N:$N,AB239)),IFERROR(IF(VLOOKUP(R239,매핑!$A$4:$E$92,4,0)="","미분류",VLOOKUP(R239,매핑!$A$4:$E$92,4,0)),"미분류")))</f>
        <v>아시아/기타</v>
      </c>
      <c r="AI239" s="43" t="str">
        <f aca="false">IF(Q239&lt;&gt;1,"",IFERROR(IF(VLOOKUP(R239,매핑!$A$4:$E$92,3,0)="","미분류",VLOOKUP(R239,매핑!$A$4:$E$92,3,0)),IF(AB239&lt;&gt;"",IF(AB239="","",INDEX(시장분석!$W:$W,AB239)),"미분류")))</f>
        <v>한국</v>
      </c>
      <c r="AJ239" s="43" t="str">
        <f aca="false">IF(Q239&lt;&gt;1,"",IFERROR(VLOOKUP(IF(N239&lt;&gt;"",N239,IF(P239&lt;&gt;"",P239,O239)),설정!$A$15:$D$47,2,0),""))</f>
        <v>BBB</v>
      </c>
      <c r="AK239" s="43" t="str">
        <f aca="false">IF(Q239&lt;&gt;1,"",IF(AJ239="","무등급",IFERROR(VLOOKUP(AJ239,설정!$A$15:$D$47,3,0),"무등급")))</f>
        <v>BBB</v>
      </c>
      <c r="AL239" s="89" t="n">
        <f aca="false">IF(AJ239="",99,IFERROR(VLOOKUP(AJ239,설정!$A$15:$D$47,4,0),99))</f>
        <v>9</v>
      </c>
      <c r="AM239" s="94" t="n">
        <f aca="false">IF(ISNUMBER(H239),AA239*1000000*H239/10000,0)</f>
        <v>48.328426334</v>
      </c>
      <c r="AN239" s="94" t="n">
        <f aca="false">IF(OR(Y239=1,NOT(ISNUMBER(Z239))),0,AA239*1000000*Z239/10000)</f>
        <v>48.328426334</v>
      </c>
      <c r="AO239" s="94" t="n">
        <f aca="false">IF(ISNUMBER(G239),AA239*1000000*G239/100,0)</f>
        <v>11333.3995972</v>
      </c>
      <c r="AP239" s="94" t="n">
        <f aca="false">IF(ISNUMBER(M239),M239*K239,0)</f>
        <v>-4819.8</v>
      </c>
      <c r="AQ239" s="95" t="n">
        <f aca="false">IF(AB239="","",INDEX(시장분석!$AK:$AK,AB239))</f>
        <v>0.0343903053062221</v>
      </c>
      <c r="AR239" s="43" t="str">
        <f aca="false">IF(AB239="","-",IF(AB239="","",INDEX(시장분석!$AL:$AL,AB239)))</f>
        <v>Fair</v>
      </c>
      <c r="AS239" s="96" t="n">
        <f aca="false">IF(AB239="","",INDEX(시장분석!$AJ:$AJ,AB239))</f>
        <v>0.712393143760181</v>
      </c>
      <c r="AT239" s="93" t="n">
        <f aca="false">IF(AB239="",0,IF(AB239="","",INDEX(시장분석!$AN:$AN,AB239)))</f>
        <v>19.8721156888579</v>
      </c>
      <c r="AU239" s="94" t="n">
        <f aca="false">IF(ISNUMBER(Z239),AT239/10000*MAX(Z239-1,0)*AA239*1000000,0)</f>
        <v>566.415039349496</v>
      </c>
      <c r="AV239" s="94" t="n">
        <f aca="false">AO239+AU239</f>
        <v>11899.8146365495</v>
      </c>
      <c r="AW239" s="43" t="str">
        <f aca="false">IF(Q239&lt;&gt;1,"",TRIM(IF(AD239=1,"FRN ","")&amp;IF(AND(AL239&gt;=10,AL239&lt;99),"BBB0미만 ","")&amp;IF(AJ239="","등급없음 ","")&amp;IF(K239&lt;&gt;1,"비USD ","")&amp;IF(AND(AB239="",Y239=0),"시장데이터없음 ","")&amp;IF(AND(ISNUMBER(U239),U239&lt;0),"만기경과 ","")))</f>
        <v/>
      </c>
      <c r="AX239" s="90" t="n">
        <f aca="false">IF(Q239&lt;&gt;1,1,IF(스프레드쇼크!$C$4="Y",INDEX(스프레드쇼크!$B$12:$L$16,IFERROR(MATCH(AH239,스프레드쇼크!$A$12:$A$16,0),MATCH("목록외",스프레드쇼크!$A$12:$A$16,0)),IFERROR(MATCH(AG239,스프레드쇼크!$B$11:$L$11,0),MATCH("목록외",스프레드쇼크!$B$11:$L$11,0))),1))</f>
        <v>1</v>
      </c>
      <c r="AY239" s="90" t="n">
        <f aca="false">IF(스프레드쇼크!$C$5="Y",IF(ISNUMBER(AF239),MIN(스프레드쇼크!$C$7,MAX(스프레드쇼크!$C$6,AF239/스프레드쇼크!$C$8)),1),1)</f>
        <v>1.10984047624524</v>
      </c>
      <c r="AZ239" s="94" t="n">
        <f aca="false">AN239*AX239*AY239</f>
        <v>53.6368436987094</v>
      </c>
      <c r="BA239" s="90" t="n">
        <f aca="false">IF(ISNUMBER(G239),AA239*G239,0)</f>
        <v>1.13333995972</v>
      </c>
      <c r="BB239" s="90" t="n">
        <f aca="false">IF(ISNUMBER(G239),AA239,0)</f>
        <v>0.1982542</v>
      </c>
      <c r="BC239" s="90" t="n">
        <f aca="false">IF(AND(Y239=0,ISNUMBER(AF239)),AA239*AF239,0)</f>
        <v>14.5471001792</v>
      </c>
      <c r="BD239" s="90" t="n">
        <f aca="false">IF(AND(Y239=0,ISNUMBER(AF239)),AA239,0)</f>
        <v>0.1982542</v>
      </c>
      <c r="BE239" s="90" t="n">
        <f aca="false">IF(ISNUMBER(H239),AA239*H239,0)</f>
        <v>0.48328426334</v>
      </c>
      <c r="BF239" s="90" t="n">
        <f aca="false">IF(ISNUMBER(H239),AA239,0)</f>
        <v>0.1982542</v>
      </c>
      <c r="BG239" s="90" t="n">
        <f aca="false">IF(AND(Y239=0,ISNUMBER(AF239),ISNUMBER(Z239)),AA239*Z239,0)</f>
        <v>0.48328426334</v>
      </c>
      <c r="BH239" s="90" t="n">
        <f aca="false">IF(AND(Y239=0,ISNUMBER(AF239),ISNUMBER(Z239)),AA239*AT239*MAX(Z239-1,0),0)</f>
        <v>5.66415039349496</v>
      </c>
      <c r="BI239" s="90" t="n">
        <f aca="false">IF(Y239=0,AA239,0)</f>
        <v>0.1982542</v>
      </c>
    </row>
    <row r="240" customFormat="false" ht="15" hidden="false" customHeight="false" outlineLevel="0" collapsed="false">
      <c r="A240" s="83" t="str">
        <f aca="false">IFERROR(IF(INDEX(원자료_잔고!$A$1:$EZ$1500,설정!$L$5+ROW()-1,설정!$L$8)&amp;""="0","",INDEX(원자료_잔고!$A$1:$EZ$1500,설정!$L$5+ROW()-1,설정!$L$8)&amp;""),"")</f>
        <v>LGENSO 5.375 07/02/29</v>
      </c>
      <c r="B240" s="83" t="str">
        <f aca="false">IFERROR(IF(INDEX(원자료_잔고!$A$1:$EZ$1500,설정!$L$5+ROW()-1,설정!$L$7)&amp;""="0","",INDEX(원자료_잔고!$A$1:$EZ$1500,설정!$L$5+ROW()-1,설정!$L$7)&amp;""),"")</f>
        <v>USY5S5CGAL65</v>
      </c>
      <c r="C240" s="83" t="str">
        <f aca="false">IFERROR(IF(INDEX(원자료_잔고!$A$1:$EZ$1500,설정!$L$5+ROW()-1,설정!$L$9)&amp;""="0","",INDEX(원자료_잔고!$A$1:$EZ$1500,설정!$L$5+ROW()-1,설정!$L$9)&amp;""),"")</f>
        <v>34578</v>
      </c>
      <c r="D24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0" s="84" t="n">
        <f aca="false">IFERROR(IF(ISNUMBER(INDEX(원자료_잔고!$A$1:$EZ$1500,설정!$L$5+ROW()-1,설정!$L$11)),INDEX(원자료_잔고!$A$1:$EZ$1500,설정!$L$5+ROW()-1,설정!$L$11),""),"")</f>
        <v>3100000</v>
      </c>
      <c r="F240" s="85" t="n">
        <f aca="false">IFERROR(IF(ISNUMBER(INDEX(원자료_잔고!$A$1:$EZ$1500,설정!$L$5+ROW()-1,설정!$L$12)),INDEX(원자료_잔고!$A$1:$EZ$1500,설정!$L$5+ROW()-1,설정!$L$12),""),"")</f>
        <v>99.1271</v>
      </c>
      <c r="G240" s="85" t="n">
        <f aca="false">IFERROR(IF(ISNUMBER(INDEX(원자료_잔고!$A$1:$EZ$1500,설정!$L$5+ROW()-1,설정!$L$13)),INDEX(원자료_잔고!$A$1:$EZ$1500,설정!$L$5+ROW()-1,설정!$L$13),""),"")</f>
        <v>5.7166</v>
      </c>
      <c r="H240" s="85" t="n">
        <f aca="false">IFERROR(IF(ISNUMBER(INDEX(원자료_잔고!$A$1:$EZ$1500,설정!$L$5+ROW()-1,설정!$L$14)),INDEX(원자료_잔고!$A$1:$EZ$1500,설정!$L$5+ROW()-1,설정!$L$14),""),"")</f>
        <v>2.4377</v>
      </c>
      <c r="I240" s="86" t="n">
        <f aca="false">IFERROR(IF(ISNUMBER(INDEX(원자료_잔고!$A$1:$EZ$1500,설정!$L$5+ROW()-1,설정!$L$15)),INDEX(원자료_잔고!$A$1:$EZ$1500,설정!$L$5+ROW()-1,설정!$L$15),""),"")</f>
        <v>47301</v>
      </c>
      <c r="J240" s="85" t="n">
        <f aca="false">IFERROR(IF(ISNUMBER(INDEX(원자료_잔고!$A$1:$EZ$1500,설정!$L$5+ROW()-1,설정!$L$16)),INDEX(원자료_잔고!$A$1:$EZ$1500,설정!$L$5+ROW()-1,설정!$L$16),""),"")</f>
        <v>5.375</v>
      </c>
      <c r="K240" s="87" t="n">
        <f aca="false">IFERROR(IF(ISNUMBER(INDEX(원자료_잔고!$A$1:$EZ$1500,설정!$L$5+ROW()-1,설정!$L$17)),INDEX(원자료_잔고!$A$1:$EZ$1500,설정!$L$5+ROW()-1,설정!$L$17),""),"")</f>
        <v>1</v>
      </c>
      <c r="L240" s="84" t="n">
        <f aca="false">IFERROR(IF(ISNUMBER(INDEX(원자료_잔고!$A$1:$EZ$1500,설정!$L$5+ROW()-1,설정!$L$18)),INDEX(원자료_잔고!$A$1:$EZ$1500,설정!$L$5+ROW()-1,설정!$L$18),""),"")</f>
        <v>3072940.1</v>
      </c>
      <c r="M240" s="88" t="n">
        <f aca="false">IFERROR(IF(ISNUMBER(INDEX(원자료_잔고!$A$1:$EZ$1500,설정!$L$5+ROW()-1,설정!$L$19)),INDEX(원자료_잔고!$A$1:$EZ$1500,설정!$L$5+ROW()-1,설정!$L$19),""),"")</f>
        <v>-54029.9</v>
      </c>
      <c r="N240" s="83" t="str">
        <f aca="false">IFERROR(IF(INDEX(원자료_잔고!$A$1:$EZ$1500,설정!$L$5+ROW()-1,설정!$L$21)&amp;""="0","",INDEX(원자료_잔고!$A$1:$EZ$1500,설정!$L$5+ROW()-1,설정!$L$21)&amp;""),"")</f>
        <v>BBB</v>
      </c>
      <c r="O240" s="83" t="str">
        <f aca="false">IFERROR(IF(INDEX(원자료_잔고!$A$1:$EZ$1500,설정!$L$5+ROW()-1,설정!$L$22)&amp;""="0","",INDEX(원자료_잔고!$A$1:$EZ$1500,설정!$L$5+ROW()-1,설정!$L$22)&amp;""),"")</f>
        <v/>
      </c>
      <c r="P240" s="83" t="str">
        <f aca="false">IFERROR(IF(INDEX(원자료_잔고!$A$1:$EZ$1500,설정!$L$5+ROW()-1,설정!$L$23)&amp;""="0","",INDEX(원자료_잔고!$A$1:$EZ$1500,설정!$L$5+ROW()-1,설정!$L$23)&amp;""),"")</f>
        <v>N/A</v>
      </c>
      <c r="Q240" s="89" t="n">
        <f aca="false">IF(AND($A240&lt;&gt;"",ISNUMBER(E240)),IF(E240&gt;0,1,0),0)</f>
        <v>1</v>
      </c>
      <c r="R240" s="43" t="str">
        <f aca="false">IF(Q240=1,UPPER(LEFT($A240,FIND(" ",$A240&amp;" ")-1)),"")</f>
        <v>LGENSO</v>
      </c>
      <c r="S240" s="89" t="n">
        <f aca="false">IF(Q240=1,IF(OR(ISNUMBER(SEARCH("Float",$A240)),ISNUMBER(SEARCH("FRN",$A240))),1,0),0)</f>
        <v>0</v>
      </c>
      <c r="T240" s="43" t="str">
        <f aca="false">IF(AND(Q240=1,ISNUMBER(I240)),TEXT(I240,"yyyymmdd")&amp;"|"&amp;IF(S240=1,"F",TEXT(J240,"0.000")),"")</f>
        <v>20290702|5.375</v>
      </c>
      <c r="U240" s="90" t="n">
        <f aca="false">IF(AND(Q240=1,ISNUMBER(I240)),(I240-설정!$C$4)/365.25,"")</f>
        <v>2.75154004106776</v>
      </c>
      <c r="V240" s="43" t="str">
        <f aca="false">IF(Q240&lt;&gt;1,"",IF(ISNUMBER(U240),IF(U240&lt;=1,"1년 이하",IF(U240&lt;=2,"1-2년",IF(U240&lt;=3,"2-3년",IF(U240&lt;=4,"3-4년",IF(U240&lt;=5,"4-5년",IF(U240&lt;=7,"5-7년",IF(U240&lt;=10,"7-10년",IF(U240&lt;=20,"10-20년","20년 이상")))))))),"미분류"))</f>
        <v>2-3년</v>
      </c>
      <c r="W240" s="43" t="str">
        <f aca="false">IF(Q240&lt;&gt;1,"",IF(AB240&lt;&gt;"",INDEX(시장분석!$C:$C,AB240),IF(K240=1,"USD","비USD")))</f>
        <v>USD</v>
      </c>
      <c r="X240" s="91" t="n">
        <f aca="false">IF(Q240=1,E240*K240/1000000,0)</f>
        <v>3.1</v>
      </c>
      <c r="Y240" s="89" t="n">
        <f aca="false">IF(R240="T",1,0)</f>
        <v>0</v>
      </c>
      <c r="Z240" s="92" t="n">
        <f aca="false">IF(Q240&lt;&gt;1,"",IF(AD240=1,IF(ISNUMBER(U240),MAX(U240,0),H240),H240))</f>
        <v>2.4377</v>
      </c>
      <c r="AA240" s="91" t="n">
        <f aca="false">IF(Q240=1,IF(ISNUMBER(L240),L240,0)*K240/1000000,0)</f>
        <v>3.0729401</v>
      </c>
      <c r="AB240" s="89" t="n">
        <f aca="false">IF(Q240&lt;&gt;1,"",IFERROR(MATCH(VLOOKUP(B240,매핑!$H$4:$I$15,2,0),시장분석!$A$2:$A$601,0)+1,IFERROR(MATCH(R240&amp;"|"&amp;T240,시장분석!$V$2:$V$601,0)+1,IF(COUNTIF(시장분석!$U$2:$U$601,T240)=1,MATCH(T240,시장분석!$U$2:$U$601,0)+1,""))))</f>
        <v>179</v>
      </c>
      <c r="AC240" s="89" t="n">
        <f aca="false">IF(Q240&lt;&gt;1,0,IF(OR(설정!$C$5="전체",AND(설정!$C$5="선택펀드",IFERROR(COUNTIFS(설정!$F$16:$F$36,C240,설정!$G$16:$G$36,"Y")+COUNTIFS(설정!$F$16:$F$36,VALUE(C240),설정!$G$16:$G$36,"Y"),0)&gt;0),C240&amp;""=설정!$C$5&amp;""),1,0))</f>
        <v>1</v>
      </c>
      <c r="AD240" s="89" t="n">
        <f aca="false">IF(Q240&lt;&gt;1,0,IF(OR(S240=1,IF(AB240="",FALSE(),INDEX(시장분석!$R:$R,AB240)=1)),1,0))</f>
        <v>0</v>
      </c>
      <c r="AE240" s="43" t="str">
        <f aca="false">IF(AB240="","",INDEX(시장분석!$A:$A,AB240))</f>
        <v>LGENSO 5 3/8 07/02/29</v>
      </c>
      <c r="AF240" s="93" t="n">
        <f aca="false">IF(AB240="","",IF(ISNUMBER(IF(AB240="","",INDEX(시장분석!$E:$E,AB240))),IF(AB240="","",INDEX(시장분석!$E:$E,AB240)),""))</f>
        <v>73.376</v>
      </c>
      <c r="AG240" s="43" t="str">
        <f aca="false">IF(Q240&lt;&gt;1,"",IF(AB240&lt;&gt;"",IF(AB240="","",INDEX(시장분석!$L:$L,AB240)),IFERROR(IF(VLOOKUP(R240,매핑!$A$4:$E$92,5,0)="","미분류",VLOOKUP(R240,매핑!$A$4:$E$92,5,0)),"미분류")))</f>
        <v>자유 소비재</v>
      </c>
      <c r="AH240" s="43" t="str">
        <f aca="false">IF(Q240&lt;&gt;1,"",IF(AB240&lt;&gt;"",IF(AB240="","",INDEX(시장분석!$N:$N,AB240)),IFERROR(IF(VLOOKUP(R240,매핑!$A$4:$E$92,4,0)="","미분류",VLOOKUP(R240,매핑!$A$4:$E$92,4,0)),"미분류")))</f>
        <v>아시아/기타</v>
      </c>
      <c r="AI240" s="43" t="str">
        <f aca="false">IF(Q240&lt;&gt;1,"",IFERROR(IF(VLOOKUP(R240,매핑!$A$4:$E$92,3,0)="","미분류",VLOOKUP(R240,매핑!$A$4:$E$92,3,0)),IF(AB240&lt;&gt;"",IF(AB240="","",INDEX(시장분석!$W:$W,AB240)),"미분류")))</f>
        <v>한국</v>
      </c>
      <c r="AJ240" s="43" t="str">
        <f aca="false">IF(Q240&lt;&gt;1,"",IFERROR(VLOOKUP(IF(N240&lt;&gt;"",N240,IF(P240&lt;&gt;"",P240,O240)),설정!$A$15:$D$47,2,0),""))</f>
        <v>BBB</v>
      </c>
      <c r="AK240" s="43" t="str">
        <f aca="false">IF(Q240&lt;&gt;1,"",IF(AJ240="","무등급",IFERROR(VLOOKUP(AJ240,설정!$A$15:$D$47,3,0),"무등급")))</f>
        <v>BBB</v>
      </c>
      <c r="AL240" s="89" t="n">
        <f aca="false">IF(AJ240="",99,IFERROR(VLOOKUP(AJ240,설정!$A$15:$D$47,4,0),99))</f>
        <v>9</v>
      </c>
      <c r="AM240" s="94" t="n">
        <f aca="false">IF(ISNUMBER(H240),AA240*1000000*H240/10000,0)</f>
        <v>749.090608177</v>
      </c>
      <c r="AN240" s="94" t="n">
        <f aca="false">IF(OR(Y240=1,NOT(ISNUMBER(Z240))),0,AA240*1000000*Z240/10000)</f>
        <v>749.090608177</v>
      </c>
      <c r="AO240" s="94" t="n">
        <f aca="false">IF(ISNUMBER(G240),AA240*1000000*G240/100,0)</f>
        <v>175667.6937566</v>
      </c>
      <c r="AP240" s="94" t="n">
        <f aca="false">IF(ISNUMBER(M240),M240*K240,0)</f>
        <v>-54029.9</v>
      </c>
      <c r="AQ240" s="95" t="n">
        <f aca="false">IF(AB240="","",INDEX(시장분석!$AK:$AK,AB240))</f>
        <v>0.0343903053062221</v>
      </c>
      <c r="AR240" s="43" t="str">
        <f aca="false">IF(AB240="","-",IF(AB240="","",INDEX(시장분석!$AL:$AL,AB240)))</f>
        <v>Fair</v>
      </c>
      <c r="AS240" s="96" t="n">
        <f aca="false">IF(AB240="","",INDEX(시장분석!$AJ:$AJ,AB240))</f>
        <v>0.712393143760181</v>
      </c>
      <c r="AT240" s="93" t="n">
        <f aca="false">IF(AB240="",0,IF(AB240="","",INDEX(시장분석!$AN:$AN,AB240)))</f>
        <v>19.8721156888579</v>
      </c>
      <c r="AU240" s="94" t="n">
        <f aca="false">IF(ISNUMBER(Z240),AT240/10000*MAX(Z240-1,0)*AA240*1000000,0)</f>
        <v>8779.43310991719</v>
      </c>
      <c r="AV240" s="94" t="n">
        <f aca="false">AO240+AU240</f>
        <v>184447.126866517</v>
      </c>
      <c r="AW240" s="43" t="str">
        <f aca="false">IF(Q240&lt;&gt;1,"",TRIM(IF(AD240=1,"FRN ","")&amp;IF(AND(AL240&gt;=10,AL240&lt;99),"BBB0미만 ","")&amp;IF(AJ240="","등급없음 ","")&amp;IF(K240&lt;&gt;1,"비USD ","")&amp;IF(AND(AB240="",Y240=0),"시장데이터없음 ","")&amp;IF(AND(ISNUMBER(U240),U240&lt;0),"만기경과 ","")))</f>
        <v/>
      </c>
      <c r="AX240" s="90" t="n">
        <f aca="false">IF(Q240&lt;&gt;1,1,IF(스프레드쇼크!$C$4="Y",INDEX(스프레드쇼크!$B$12:$L$16,IFERROR(MATCH(AH240,스프레드쇼크!$A$12:$A$16,0),MATCH("목록외",스프레드쇼크!$A$12:$A$16,0)),IFERROR(MATCH(AG240,스프레드쇼크!$B$11:$L$11,0),MATCH("목록외",스프레드쇼크!$B$11:$L$11,0))),1))</f>
        <v>1</v>
      </c>
      <c r="AY240" s="90" t="n">
        <f aca="false">IF(스프레드쇼크!$C$5="Y",IF(ISNUMBER(AF240),MIN(스프레드쇼크!$C$7,MAX(스프레드쇼크!$C$6,AF240/스프레드쇼크!$C$8)),1),1)</f>
        <v>1.10984047624524</v>
      </c>
      <c r="AZ240" s="94" t="n">
        <f aca="false">AN240*AX240*AY240</f>
        <v>831.371077329995</v>
      </c>
      <c r="BA240" s="90" t="n">
        <f aca="false">IF(ISNUMBER(G240),AA240*G240,0)</f>
        <v>17.56676937566</v>
      </c>
      <c r="BB240" s="90" t="n">
        <f aca="false">IF(ISNUMBER(G240),AA240,0)</f>
        <v>3.0729401</v>
      </c>
      <c r="BC240" s="90" t="n">
        <f aca="false">IF(AND(Y240=0,ISNUMBER(AF240)),AA240*AF240,0)</f>
        <v>225.4800527776</v>
      </c>
      <c r="BD240" s="90" t="n">
        <f aca="false">IF(AND(Y240=0,ISNUMBER(AF240)),AA240,0)</f>
        <v>3.0729401</v>
      </c>
      <c r="BE240" s="90" t="n">
        <f aca="false">IF(ISNUMBER(H240),AA240*H240,0)</f>
        <v>7.49090608177</v>
      </c>
      <c r="BF240" s="90" t="n">
        <f aca="false">IF(ISNUMBER(H240),AA240,0)</f>
        <v>3.0729401</v>
      </c>
      <c r="BG240" s="90" t="n">
        <f aca="false">IF(AND(Y240=0,ISNUMBER(AF240),ISNUMBER(Z240)),AA240*Z240,0)</f>
        <v>7.49090608177</v>
      </c>
      <c r="BH240" s="90" t="n">
        <f aca="false">IF(AND(Y240=0,ISNUMBER(AF240),ISNUMBER(Z240)),AA240*AT240*MAX(Z240-1,0),0)</f>
        <v>87.7943310991719</v>
      </c>
      <c r="BI240" s="90" t="n">
        <f aca="false">IF(Y240=0,AA240,0)</f>
        <v>3.0729401</v>
      </c>
    </row>
    <row r="241" customFormat="false" ht="15" hidden="false" customHeight="false" outlineLevel="0" collapsed="false">
      <c r="A241" s="83" t="str">
        <f aca="false">IFERROR(IF(INDEX(원자료_잔고!$A$1:$EZ$1500,설정!$L$5+ROW()-1,설정!$L$8)&amp;""="0","",INDEX(원자료_잔고!$A$1:$EZ$1500,설정!$L$5+ROW()-1,설정!$L$8)&amp;""),"")</f>
        <v>LGENSO 5.25 04/02/28</v>
      </c>
      <c r="B241" s="83" t="str">
        <f aca="false">IFERROR(IF(INDEX(원자료_잔고!$A$1:$EZ$1500,설정!$L$5+ROW()-1,설정!$L$7)&amp;""="0","",INDEX(원자료_잔고!$A$1:$EZ$1500,설정!$L$5+ROW()-1,설정!$L$7)&amp;""),"")</f>
        <v>USY5S5CGAN22</v>
      </c>
      <c r="C241" s="83" t="str">
        <f aca="false">IFERROR(IF(INDEX(원자료_잔고!$A$1:$EZ$1500,설정!$L$5+ROW()-1,설정!$L$9)&amp;""="0","",INDEX(원자료_잔고!$A$1:$EZ$1500,설정!$L$5+ROW()-1,설정!$L$9)&amp;""),"")</f>
        <v>34578</v>
      </c>
      <c r="D24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1" s="84" t="n">
        <f aca="false">IFERROR(IF(ISNUMBER(INDEX(원자료_잔고!$A$1:$EZ$1500,설정!$L$5+ROW()-1,설정!$L$11)),INDEX(원자료_잔고!$A$1:$EZ$1500,설정!$L$5+ROW()-1,설정!$L$11),""),"")</f>
        <v>2000000</v>
      </c>
      <c r="F241" s="85" t="n">
        <f aca="false">IFERROR(IF(ISNUMBER(INDEX(원자료_잔고!$A$1:$EZ$1500,설정!$L$5+ROW()-1,설정!$L$12)),INDEX(원자료_잔고!$A$1:$EZ$1500,설정!$L$5+ROW()-1,설정!$L$12),""),"")</f>
        <v>99.5484</v>
      </c>
      <c r="G241" s="85" t="n">
        <f aca="false">IFERROR(IF(ISNUMBER(INDEX(원자료_잔고!$A$1:$EZ$1500,설정!$L$5+ROW()-1,설정!$L$13)),INDEX(원자료_잔고!$A$1:$EZ$1500,설정!$L$5+ROW()-1,설정!$L$13),""),"")</f>
        <v>5.5664</v>
      </c>
      <c r="H241" s="85" t="n">
        <f aca="false">IFERROR(IF(ISNUMBER(INDEX(원자료_잔고!$A$1:$EZ$1500,설정!$L$5+ROW()-1,설정!$L$14)),INDEX(원자료_잔고!$A$1:$EZ$1500,설정!$L$5+ROW()-1,설정!$L$14),""),"")</f>
        <v>1.3553</v>
      </c>
      <c r="I241" s="86" t="n">
        <f aca="false">IFERROR(IF(ISNUMBER(INDEX(원자료_잔고!$A$1:$EZ$1500,설정!$L$5+ROW()-1,설정!$L$15)),INDEX(원자료_잔고!$A$1:$EZ$1500,설정!$L$5+ROW()-1,설정!$L$15),""),"")</f>
        <v>46845</v>
      </c>
      <c r="J241" s="85" t="n">
        <f aca="false">IFERROR(IF(ISNUMBER(INDEX(원자료_잔고!$A$1:$EZ$1500,설정!$L$5+ROW()-1,설정!$L$16)),INDEX(원자료_잔고!$A$1:$EZ$1500,설정!$L$5+ROW()-1,설정!$L$16),""),"")</f>
        <v>5.25</v>
      </c>
      <c r="K241" s="87" t="n">
        <f aca="false">IFERROR(IF(ISNUMBER(INDEX(원자료_잔고!$A$1:$EZ$1500,설정!$L$5+ROW()-1,설정!$L$17)),INDEX(원자료_잔고!$A$1:$EZ$1500,설정!$L$5+ROW()-1,설정!$L$17),""),"")</f>
        <v>1</v>
      </c>
      <c r="L241" s="84" t="n">
        <f aca="false">IFERROR(IF(ISNUMBER(INDEX(원자료_잔고!$A$1:$EZ$1500,설정!$L$5+ROW()-1,설정!$L$18)),INDEX(원자료_잔고!$A$1:$EZ$1500,설정!$L$5+ROW()-1,설정!$L$18),""),"")</f>
        <v>1990968</v>
      </c>
      <c r="M241" s="88" t="n">
        <f aca="false">IFERROR(IF(ISNUMBER(INDEX(원자료_잔고!$A$1:$EZ$1500,설정!$L$5+ROW()-1,설정!$L$19)),INDEX(원자료_잔고!$A$1:$EZ$1500,설정!$L$5+ROW()-1,설정!$L$19),""),"")</f>
        <v>-49332</v>
      </c>
      <c r="N241" s="83" t="str">
        <f aca="false">IFERROR(IF(INDEX(원자료_잔고!$A$1:$EZ$1500,설정!$L$5+ROW()-1,설정!$L$21)&amp;""="0","",INDEX(원자료_잔고!$A$1:$EZ$1500,설정!$L$5+ROW()-1,설정!$L$21)&amp;""),"")</f>
        <v>BBB</v>
      </c>
      <c r="O241" s="83" t="str">
        <f aca="false">IFERROR(IF(INDEX(원자료_잔고!$A$1:$EZ$1500,설정!$L$5+ROW()-1,설정!$L$22)&amp;""="0","",INDEX(원자료_잔고!$A$1:$EZ$1500,설정!$L$5+ROW()-1,설정!$L$22)&amp;""),"")</f>
        <v/>
      </c>
      <c r="P241" s="83" t="str">
        <f aca="false">IFERROR(IF(INDEX(원자료_잔고!$A$1:$EZ$1500,설정!$L$5+ROW()-1,설정!$L$23)&amp;""="0","",INDEX(원자료_잔고!$A$1:$EZ$1500,설정!$L$5+ROW()-1,설정!$L$23)&amp;""),"")</f>
        <v>N/A</v>
      </c>
      <c r="Q241" s="89" t="n">
        <f aca="false">IF(AND($A241&lt;&gt;"",ISNUMBER(E241)),IF(E241&gt;0,1,0),0)</f>
        <v>1</v>
      </c>
      <c r="R241" s="43" t="str">
        <f aca="false">IF(Q241=1,UPPER(LEFT($A241,FIND(" ",$A241&amp;" ")-1)),"")</f>
        <v>LGENSO</v>
      </c>
      <c r="S241" s="89" t="n">
        <f aca="false">IF(Q241=1,IF(OR(ISNUMBER(SEARCH("Float",$A241)),ISNUMBER(SEARCH("FRN",$A241))),1,0),0)</f>
        <v>0</v>
      </c>
      <c r="T241" s="43" t="str">
        <f aca="false">IF(AND(Q241=1,ISNUMBER(I241)),TEXT(I241,"yyyymmdd")&amp;"|"&amp;IF(S241=1,"F",TEXT(J241,"0.000")),"")</f>
        <v>20280402|5.250</v>
      </c>
      <c r="U241" s="90" t="n">
        <f aca="false">IF(AND(Q241=1,ISNUMBER(I241)),(I241-설정!$C$4)/365.25,"")</f>
        <v>1.50308008213552</v>
      </c>
      <c r="V241" s="43" t="str">
        <f aca="false">IF(Q241&lt;&gt;1,"",IF(ISNUMBER(U241),IF(U241&lt;=1,"1년 이하",IF(U241&lt;=2,"1-2년",IF(U241&lt;=3,"2-3년",IF(U241&lt;=4,"3-4년",IF(U241&lt;=5,"4-5년",IF(U241&lt;=7,"5-7년",IF(U241&lt;=10,"7-10년",IF(U241&lt;=20,"10-20년","20년 이상")))))))),"미분류"))</f>
        <v>1-2년</v>
      </c>
      <c r="W241" s="43" t="str">
        <f aca="false">IF(Q241&lt;&gt;1,"",IF(AB241&lt;&gt;"",INDEX(시장분석!$C:$C,AB241),IF(K241=1,"USD","비USD")))</f>
        <v>USD</v>
      </c>
      <c r="X241" s="91" t="n">
        <f aca="false">IF(Q241=1,E241*K241/1000000,0)</f>
        <v>2</v>
      </c>
      <c r="Y241" s="89" t="n">
        <f aca="false">IF(R241="T",1,0)</f>
        <v>0</v>
      </c>
      <c r="Z241" s="92" t="n">
        <f aca="false">IF(Q241&lt;&gt;1,"",IF(AD241=1,IF(ISNUMBER(U241),MAX(U241,0),H241),H241))</f>
        <v>1.3553</v>
      </c>
      <c r="AA241" s="91" t="n">
        <f aca="false">IF(Q241=1,IF(ISNUMBER(L241),L241,0)*K241/1000000,0)</f>
        <v>1.990968</v>
      </c>
      <c r="AB241" s="89" t="n">
        <f aca="false">IF(Q241&lt;&gt;1,"",IFERROR(MATCH(VLOOKUP(B241,매핑!$H$4:$I$15,2,0),시장분석!$A$2:$A$601,0)+1,IFERROR(MATCH(R241&amp;"|"&amp;T241,시장분석!$V$2:$V$601,0)+1,IF(COUNTIF(시장분석!$U$2:$U$601,T241)=1,MATCH(T241,시장분석!$U$2:$U$601,0)+1,""))))</f>
        <v>180</v>
      </c>
      <c r="AC241" s="89" t="n">
        <f aca="false">IF(Q241&lt;&gt;1,0,IF(OR(설정!$C$5="전체",AND(설정!$C$5="선택펀드",IFERROR(COUNTIFS(설정!$F$16:$F$36,C241,설정!$G$16:$G$36,"Y")+COUNTIFS(설정!$F$16:$F$36,VALUE(C241),설정!$G$16:$G$36,"Y"),0)&gt;0),C241&amp;""=설정!$C$5&amp;""),1,0))</f>
        <v>1</v>
      </c>
      <c r="AD241" s="89" t="n">
        <f aca="false">IF(Q241&lt;&gt;1,0,IF(OR(S241=1,IF(AB241="",FALSE(),INDEX(시장분석!$R:$R,AB241)=1)),1,0))</f>
        <v>0</v>
      </c>
      <c r="AE241" s="43" t="str">
        <f aca="false">IF(AB241="","",INDEX(시장분석!$A:$A,AB241))</f>
        <v>LGENSO 5 1/4 04/02/28</v>
      </c>
      <c r="AF241" s="93" t="n">
        <f aca="false">IF(AB241="","",IF(ISNUMBER(IF(AB241="","",INDEX(시장분석!$E:$E,AB241))),IF(AB241="","",INDEX(시장분석!$E:$E,AB241)),""))</f>
        <v>69.041</v>
      </c>
      <c r="AG241" s="43" t="str">
        <f aca="false">IF(Q241&lt;&gt;1,"",IF(AB241&lt;&gt;"",IF(AB241="","",INDEX(시장분석!$L:$L,AB241)),IFERROR(IF(VLOOKUP(R241,매핑!$A$4:$E$92,5,0)="","미분류",VLOOKUP(R241,매핑!$A$4:$E$92,5,0)),"미분류")))</f>
        <v>자유 소비재</v>
      </c>
      <c r="AH241" s="43" t="str">
        <f aca="false">IF(Q241&lt;&gt;1,"",IF(AB241&lt;&gt;"",IF(AB241="","",INDEX(시장분석!$N:$N,AB241)),IFERROR(IF(VLOOKUP(R241,매핑!$A$4:$E$92,4,0)="","미분류",VLOOKUP(R241,매핑!$A$4:$E$92,4,0)),"미분류")))</f>
        <v>아시아/기타</v>
      </c>
      <c r="AI241" s="43" t="str">
        <f aca="false">IF(Q241&lt;&gt;1,"",IFERROR(IF(VLOOKUP(R241,매핑!$A$4:$E$92,3,0)="","미분류",VLOOKUP(R241,매핑!$A$4:$E$92,3,0)),IF(AB241&lt;&gt;"",IF(AB241="","",INDEX(시장분석!$W:$W,AB241)),"미분류")))</f>
        <v>한국</v>
      </c>
      <c r="AJ241" s="43" t="str">
        <f aca="false">IF(Q241&lt;&gt;1,"",IFERROR(VLOOKUP(IF(N241&lt;&gt;"",N241,IF(P241&lt;&gt;"",P241,O241)),설정!$A$15:$D$47,2,0),""))</f>
        <v>BBB</v>
      </c>
      <c r="AK241" s="43" t="str">
        <f aca="false">IF(Q241&lt;&gt;1,"",IF(AJ241="","무등급",IFERROR(VLOOKUP(AJ241,설정!$A$15:$D$47,3,0),"무등급")))</f>
        <v>BBB</v>
      </c>
      <c r="AL241" s="89" t="n">
        <f aca="false">IF(AJ241="",99,IFERROR(VLOOKUP(AJ241,설정!$A$15:$D$47,4,0),99))</f>
        <v>9</v>
      </c>
      <c r="AM241" s="94" t="n">
        <f aca="false">IF(ISNUMBER(H241),AA241*1000000*H241/10000,0)</f>
        <v>269.83589304</v>
      </c>
      <c r="AN241" s="94" t="n">
        <f aca="false">IF(OR(Y241=1,NOT(ISNUMBER(Z241))),0,AA241*1000000*Z241/10000)</f>
        <v>269.83589304</v>
      </c>
      <c r="AO241" s="94" t="n">
        <f aca="false">IF(ISNUMBER(G241),AA241*1000000*G241/100,0)</f>
        <v>110825.242752</v>
      </c>
      <c r="AP241" s="94" t="n">
        <f aca="false">IF(ISNUMBER(M241),M241*K241,0)</f>
        <v>-49332</v>
      </c>
      <c r="AQ241" s="95" t="n">
        <f aca="false">IF(AB241="","",INDEX(시장분석!$AK:$AK,AB241))</f>
        <v>0.908786582745003</v>
      </c>
      <c r="AR241" s="43" t="str">
        <f aca="false">IF(AB241="","-",IF(AB241="","",INDEX(시장분석!$AL:$AL,AB241)))</f>
        <v>Fair</v>
      </c>
      <c r="AS241" s="96" t="n">
        <f aca="false">IF(AB241="","",INDEX(시장분석!$AJ:$AJ,AB241))</f>
        <v>18.8254604000753</v>
      </c>
      <c r="AT241" s="93" t="n">
        <f aca="false">IF(AB241="",0,IF(AB241="","",INDEX(시장분석!$AN:$AN,AB241)))</f>
        <v>0</v>
      </c>
      <c r="AU241" s="94" t="n">
        <f aca="false">IF(ISNUMBER(Z241),AT241/10000*MAX(Z241-1,0)*AA241*1000000,0)</f>
        <v>0</v>
      </c>
      <c r="AV241" s="94" t="n">
        <f aca="false">AO241+AU241</f>
        <v>110825.242752</v>
      </c>
      <c r="AW241" s="43" t="str">
        <f aca="false">IF(Q241&lt;&gt;1,"",TRIM(IF(AD241=1,"FRN ","")&amp;IF(AND(AL241&gt;=10,AL241&lt;99),"BBB0미만 ","")&amp;IF(AJ241="","등급없음 ","")&amp;IF(K241&lt;&gt;1,"비USD ","")&amp;IF(AND(AB241="",Y241=0),"시장데이터없음 ","")&amp;IF(AND(ISNUMBER(U241),U241&lt;0),"만기경과 ","")))</f>
        <v/>
      </c>
      <c r="AX241" s="90" t="n">
        <f aca="false">IF(Q241&lt;&gt;1,1,IF(스프레드쇼크!$C$4="Y",INDEX(스프레드쇼크!$B$12:$L$16,IFERROR(MATCH(AH241,스프레드쇼크!$A$12:$A$16,0),MATCH("목록외",스프레드쇼크!$A$12:$A$16,0)),IFERROR(MATCH(AG241,스프레드쇼크!$B$11:$L$11,0),MATCH("목록외",스프레드쇼크!$B$11:$L$11,0))),1))</f>
        <v>1</v>
      </c>
      <c r="AY241" s="90" t="n">
        <f aca="false">IF(스프레드쇼크!$C$5="Y",IF(ISNUMBER(AF241),MIN(스프레드쇼크!$C$7,MAX(스프레드쇼크!$C$6,AF241/스프레드쇼크!$C$8)),1),1)</f>
        <v>1.04427191888966</v>
      </c>
      <c r="AZ241" s="94" t="n">
        <f aca="false">AN241*AX241*AY241</f>
        <v>281.782045810185</v>
      </c>
      <c r="BA241" s="90" t="n">
        <f aca="false">IF(ISNUMBER(G241),AA241*G241,0)</f>
        <v>11.0825242752</v>
      </c>
      <c r="BB241" s="90" t="n">
        <f aca="false">IF(ISNUMBER(G241),AA241,0)</f>
        <v>1.990968</v>
      </c>
      <c r="BC241" s="90" t="n">
        <f aca="false">IF(AND(Y241=0,ISNUMBER(AF241)),AA241*AF241,0)</f>
        <v>137.458421688</v>
      </c>
      <c r="BD241" s="90" t="n">
        <f aca="false">IF(AND(Y241=0,ISNUMBER(AF241)),AA241,0)</f>
        <v>1.990968</v>
      </c>
      <c r="BE241" s="90" t="n">
        <f aca="false">IF(ISNUMBER(H241),AA241*H241,0)</f>
        <v>2.6983589304</v>
      </c>
      <c r="BF241" s="90" t="n">
        <f aca="false">IF(ISNUMBER(H241),AA241,0)</f>
        <v>1.990968</v>
      </c>
      <c r="BG241" s="90" t="n">
        <f aca="false">IF(AND(Y241=0,ISNUMBER(AF241),ISNUMBER(Z241)),AA241*Z241,0)</f>
        <v>2.6983589304</v>
      </c>
      <c r="BH241" s="90" t="n">
        <f aca="false">IF(AND(Y241=0,ISNUMBER(AF241),ISNUMBER(Z241)),AA241*AT241*MAX(Z241-1,0),0)</f>
        <v>0</v>
      </c>
      <c r="BI241" s="90" t="n">
        <f aca="false">IF(Y241=0,AA241,0)</f>
        <v>1.990968</v>
      </c>
    </row>
    <row r="242" customFormat="false" ht="15" hidden="false" customHeight="false" outlineLevel="0" collapsed="false">
      <c r="A242" s="83" t="str">
        <f aca="false">IFERROR(IF(INDEX(원자료_잔고!$A$1:$EZ$1500,설정!$L$5+ROW()-1,설정!$L$8)&amp;""="0","",INDEX(원자료_잔고!$A$1:$EZ$1500,설정!$L$5+ROW()-1,설정!$L$8)&amp;""),"")</f>
        <v>LGENSO 5.375 04/02/30</v>
      </c>
      <c r="B242" s="83" t="str">
        <f aca="false">IFERROR(IF(INDEX(원자료_잔고!$A$1:$EZ$1500,설정!$L$5+ROW()-1,설정!$L$7)&amp;""="0","",INDEX(원자료_잔고!$A$1:$EZ$1500,설정!$L$5+ROW()-1,설정!$L$7)&amp;""),"")</f>
        <v>USY5S5CGAP79</v>
      </c>
      <c r="C242" s="83" t="str">
        <f aca="false">IFERROR(IF(INDEX(원자료_잔고!$A$1:$EZ$1500,설정!$L$5+ROW()-1,설정!$L$9)&amp;""="0","",INDEX(원자료_잔고!$A$1:$EZ$1500,설정!$L$5+ROW()-1,설정!$L$9)&amp;""),"")</f>
        <v>34578</v>
      </c>
      <c r="D24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2" s="84" t="n">
        <f aca="false">IFERROR(IF(ISNUMBER(INDEX(원자료_잔고!$A$1:$EZ$1500,설정!$L$5+ROW()-1,설정!$L$11)),INDEX(원자료_잔고!$A$1:$EZ$1500,설정!$L$5+ROW()-1,설정!$L$11),""),"")</f>
        <v>2000000</v>
      </c>
      <c r="F242" s="85" t="n">
        <f aca="false">IFERROR(IF(ISNUMBER(INDEX(원자료_잔고!$A$1:$EZ$1500,설정!$L$5+ROW()-1,설정!$L$12)),INDEX(원자료_잔고!$A$1:$EZ$1500,설정!$L$5+ROW()-1,설정!$L$12),""),"")</f>
        <v>98.1767</v>
      </c>
      <c r="G242" s="85" t="n">
        <f aca="false">IFERROR(IF(ISNUMBER(INDEX(원자료_잔고!$A$1:$EZ$1500,설정!$L$5+ROW()-1,설정!$L$13)),INDEX(원자료_잔고!$A$1:$EZ$1500,설정!$L$5+ROW()-1,설정!$L$13),""),"")</f>
        <v>5.9586</v>
      </c>
      <c r="H242" s="85" t="n">
        <f aca="false">IFERROR(IF(ISNUMBER(INDEX(원자료_잔고!$A$1:$EZ$1500,설정!$L$5+ROW()-1,설정!$L$14)),INDEX(원자료_잔고!$A$1:$EZ$1500,설정!$L$5+ROW()-1,설정!$L$14),""),"")</f>
        <v>2.9773</v>
      </c>
      <c r="I242" s="86" t="n">
        <f aca="false">IFERROR(IF(ISNUMBER(INDEX(원자료_잔고!$A$1:$EZ$1500,설정!$L$5+ROW()-1,설정!$L$15)),INDEX(원자료_잔고!$A$1:$EZ$1500,설정!$L$5+ROW()-1,설정!$L$15),""),"")</f>
        <v>47575</v>
      </c>
      <c r="J242" s="85" t="n">
        <f aca="false">IFERROR(IF(ISNUMBER(INDEX(원자료_잔고!$A$1:$EZ$1500,설정!$L$5+ROW()-1,설정!$L$16)),INDEX(원자료_잔고!$A$1:$EZ$1500,설정!$L$5+ROW()-1,설정!$L$16),""),"")</f>
        <v>5.375</v>
      </c>
      <c r="K242" s="87" t="n">
        <f aca="false">IFERROR(IF(ISNUMBER(INDEX(원자료_잔고!$A$1:$EZ$1500,설정!$L$5+ROW()-1,설정!$L$17)),INDEX(원자료_잔고!$A$1:$EZ$1500,설정!$L$5+ROW()-1,설정!$L$17),""),"")</f>
        <v>1</v>
      </c>
      <c r="L242" s="84" t="n">
        <f aca="false">IFERROR(IF(ISNUMBER(INDEX(원자료_잔고!$A$1:$EZ$1500,설정!$L$5+ROW()-1,설정!$L$18)),INDEX(원자료_잔고!$A$1:$EZ$1500,설정!$L$5+ROW()-1,설정!$L$18),""),"")</f>
        <v>1963534</v>
      </c>
      <c r="M242" s="88" t="n">
        <f aca="false">IFERROR(IF(ISNUMBER(INDEX(원자료_잔고!$A$1:$EZ$1500,설정!$L$5+ROW()-1,설정!$L$19)),INDEX(원자료_잔고!$A$1:$EZ$1500,설정!$L$5+ROW()-1,설정!$L$19),""),"")</f>
        <v>-93866</v>
      </c>
      <c r="N242" s="83" t="str">
        <f aca="false">IFERROR(IF(INDEX(원자료_잔고!$A$1:$EZ$1500,설정!$L$5+ROW()-1,설정!$L$21)&amp;""="0","",INDEX(원자료_잔고!$A$1:$EZ$1500,설정!$L$5+ROW()-1,설정!$L$21)&amp;""),"")</f>
        <v>BBB</v>
      </c>
      <c r="O242" s="83" t="str">
        <f aca="false">IFERROR(IF(INDEX(원자료_잔고!$A$1:$EZ$1500,설정!$L$5+ROW()-1,설정!$L$22)&amp;""="0","",INDEX(원자료_잔고!$A$1:$EZ$1500,설정!$L$5+ROW()-1,설정!$L$22)&amp;""),"")</f>
        <v/>
      </c>
      <c r="P242" s="83" t="str">
        <f aca="false">IFERROR(IF(INDEX(원자료_잔고!$A$1:$EZ$1500,설정!$L$5+ROW()-1,설정!$L$23)&amp;""="0","",INDEX(원자료_잔고!$A$1:$EZ$1500,설정!$L$5+ROW()-1,설정!$L$23)&amp;""),"")</f>
        <v>N/A</v>
      </c>
      <c r="Q242" s="89" t="n">
        <f aca="false">IF(AND($A242&lt;&gt;"",ISNUMBER(E242)),IF(E242&gt;0,1,0),0)</f>
        <v>1</v>
      </c>
      <c r="R242" s="43" t="str">
        <f aca="false">IF(Q242=1,UPPER(LEFT($A242,FIND(" ",$A242&amp;" ")-1)),"")</f>
        <v>LGENSO</v>
      </c>
      <c r="S242" s="89" t="n">
        <f aca="false">IF(Q242=1,IF(OR(ISNUMBER(SEARCH("Float",$A242)),ISNUMBER(SEARCH("FRN",$A242))),1,0),0)</f>
        <v>0</v>
      </c>
      <c r="T242" s="43" t="str">
        <f aca="false">IF(AND(Q242=1,ISNUMBER(I242)),TEXT(I242,"yyyymmdd")&amp;"|"&amp;IF(S242=1,"F",TEXT(J242,"0.000")),"")</f>
        <v>20300402|5.375</v>
      </c>
      <c r="U242" s="90" t="n">
        <f aca="false">IF(AND(Q242=1,ISNUMBER(I242)),(I242-설정!$C$4)/365.25,"")</f>
        <v>3.50171115674196</v>
      </c>
      <c r="V242" s="43" t="str">
        <f aca="false">IF(Q242&lt;&gt;1,"",IF(ISNUMBER(U242),IF(U242&lt;=1,"1년 이하",IF(U242&lt;=2,"1-2년",IF(U242&lt;=3,"2-3년",IF(U242&lt;=4,"3-4년",IF(U242&lt;=5,"4-5년",IF(U242&lt;=7,"5-7년",IF(U242&lt;=10,"7-10년",IF(U242&lt;=20,"10-20년","20년 이상")))))))),"미분류"))</f>
        <v>3-4년</v>
      </c>
      <c r="W242" s="43" t="str">
        <f aca="false">IF(Q242&lt;&gt;1,"",IF(AB242&lt;&gt;"",INDEX(시장분석!$C:$C,AB242),IF(K242=1,"USD","비USD")))</f>
        <v>USD</v>
      </c>
      <c r="X242" s="91" t="n">
        <f aca="false">IF(Q242=1,E242*K242/1000000,0)</f>
        <v>2</v>
      </c>
      <c r="Y242" s="89" t="n">
        <f aca="false">IF(R242="T",1,0)</f>
        <v>0</v>
      </c>
      <c r="Z242" s="92" t="n">
        <f aca="false">IF(Q242&lt;&gt;1,"",IF(AD242=1,IF(ISNUMBER(U242),MAX(U242,0),H242),H242))</f>
        <v>2.9773</v>
      </c>
      <c r="AA242" s="91" t="n">
        <f aca="false">IF(Q242=1,IF(ISNUMBER(L242),L242,0)*K242/1000000,0)</f>
        <v>1.963534</v>
      </c>
      <c r="AB242" s="89" t="n">
        <f aca="false">IF(Q242&lt;&gt;1,"",IFERROR(MATCH(VLOOKUP(B242,매핑!$H$4:$I$15,2,0),시장분석!$A$2:$A$601,0)+1,IFERROR(MATCH(R242&amp;"|"&amp;T242,시장분석!$V$2:$V$601,0)+1,IF(COUNTIF(시장분석!$U$2:$U$601,T242)=1,MATCH(T242,시장분석!$U$2:$U$601,0)+1,""))))</f>
        <v>181</v>
      </c>
      <c r="AC242" s="89" t="n">
        <f aca="false">IF(Q242&lt;&gt;1,0,IF(OR(설정!$C$5="전체",AND(설정!$C$5="선택펀드",IFERROR(COUNTIFS(설정!$F$16:$F$36,C242,설정!$G$16:$G$36,"Y")+COUNTIFS(설정!$F$16:$F$36,VALUE(C242),설정!$G$16:$G$36,"Y"),0)&gt;0),C242&amp;""=설정!$C$5&amp;""),1,0))</f>
        <v>1</v>
      </c>
      <c r="AD242" s="89" t="n">
        <f aca="false">IF(Q242&lt;&gt;1,0,IF(OR(S242=1,IF(AB242="",FALSE(),INDEX(시장분석!$R:$R,AB242)=1)),1,0))</f>
        <v>0</v>
      </c>
      <c r="AE242" s="43" t="str">
        <f aca="false">IF(AB242="","",INDEX(시장분석!$A:$A,AB242))</f>
        <v>LGENSO 5 3/8 04/02/30</v>
      </c>
      <c r="AF242" s="93" t="n">
        <f aca="false">IF(AB242="","",IF(ISNUMBER(IF(AB242="","",INDEX(시장분석!$E:$E,AB242))),IF(AB242="","",INDEX(시장분석!$E:$E,AB242)),""))</f>
        <v>89.683</v>
      </c>
      <c r="AG242" s="43" t="str">
        <f aca="false">IF(Q242&lt;&gt;1,"",IF(AB242&lt;&gt;"",IF(AB242="","",INDEX(시장분석!$L:$L,AB242)),IFERROR(IF(VLOOKUP(R242,매핑!$A$4:$E$92,5,0)="","미분류",VLOOKUP(R242,매핑!$A$4:$E$92,5,0)),"미분류")))</f>
        <v>자유 소비재</v>
      </c>
      <c r="AH242" s="43" t="str">
        <f aca="false">IF(Q242&lt;&gt;1,"",IF(AB242&lt;&gt;"",IF(AB242="","",INDEX(시장분석!$N:$N,AB242)),IFERROR(IF(VLOOKUP(R242,매핑!$A$4:$E$92,4,0)="","미분류",VLOOKUP(R242,매핑!$A$4:$E$92,4,0)),"미분류")))</f>
        <v>아시아/기타</v>
      </c>
      <c r="AI242" s="43" t="str">
        <f aca="false">IF(Q242&lt;&gt;1,"",IFERROR(IF(VLOOKUP(R242,매핑!$A$4:$E$92,3,0)="","미분류",VLOOKUP(R242,매핑!$A$4:$E$92,3,0)),IF(AB242&lt;&gt;"",IF(AB242="","",INDEX(시장분석!$W:$W,AB242)),"미분류")))</f>
        <v>한국</v>
      </c>
      <c r="AJ242" s="43" t="str">
        <f aca="false">IF(Q242&lt;&gt;1,"",IFERROR(VLOOKUP(IF(N242&lt;&gt;"",N242,IF(P242&lt;&gt;"",P242,O242)),설정!$A$15:$D$47,2,0),""))</f>
        <v>BBB</v>
      </c>
      <c r="AK242" s="43" t="str">
        <f aca="false">IF(Q242&lt;&gt;1,"",IF(AJ242="","무등급",IFERROR(VLOOKUP(AJ242,설정!$A$15:$D$47,3,0),"무등급")))</f>
        <v>BBB</v>
      </c>
      <c r="AL242" s="89" t="n">
        <f aca="false">IF(AJ242="",99,IFERROR(VLOOKUP(AJ242,설정!$A$15:$D$47,4,0),99))</f>
        <v>9</v>
      </c>
      <c r="AM242" s="94" t="n">
        <f aca="false">IF(ISNUMBER(H242),AA242*1000000*H242/10000,0)</f>
        <v>584.60297782</v>
      </c>
      <c r="AN242" s="94" t="n">
        <f aca="false">IF(OR(Y242=1,NOT(ISNUMBER(Z242))),0,AA242*1000000*Z242/10000)</f>
        <v>584.60297782</v>
      </c>
      <c r="AO242" s="94" t="n">
        <f aca="false">IF(ISNUMBER(G242),AA242*1000000*G242/100,0)</f>
        <v>116999.136924</v>
      </c>
      <c r="AP242" s="94" t="n">
        <f aca="false">IF(ISNUMBER(M242),M242*K242,0)</f>
        <v>-93866</v>
      </c>
      <c r="AQ242" s="95" t="n">
        <f aca="false">IF(AB242="","",INDEX(시장분석!$AK:$AK,AB242))</f>
        <v>0.368430010839974</v>
      </c>
      <c r="AR242" s="43" t="str">
        <f aca="false">IF(AB242="","-",IF(AB242="","",INDEX(시장분석!$AL:$AL,AB242)))</f>
        <v>Fair</v>
      </c>
      <c r="AS242" s="96" t="n">
        <f aca="false">IF(AB242="","",INDEX(시장분석!$AJ:$AJ,AB242))</f>
        <v>7.63200591971481</v>
      </c>
      <c r="AT242" s="93" t="n">
        <f aca="false">IF(AB242="",0,IF(AB242="","",INDEX(시장분석!$AN:$AN,AB242)))</f>
        <v>14.8337960149859</v>
      </c>
      <c r="AU242" s="94" t="n">
        <f aca="false">IF(ISNUMBER(Z242),AT242/10000*MAX(Z242-1,0)*AA242*1000000,0)</f>
        <v>5759.21504028627</v>
      </c>
      <c r="AV242" s="94" t="n">
        <f aca="false">AO242+AU242</f>
        <v>122758.351964286</v>
      </c>
      <c r="AW242" s="43" t="str">
        <f aca="false">IF(Q242&lt;&gt;1,"",TRIM(IF(AD242=1,"FRN ","")&amp;IF(AND(AL242&gt;=10,AL242&lt;99),"BBB0미만 ","")&amp;IF(AJ242="","등급없음 ","")&amp;IF(K242&lt;&gt;1,"비USD ","")&amp;IF(AND(AB242="",Y242=0),"시장데이터없음 ","")&amp;IF(AND(ISNUMBER(U242),U242&lt;0),"만기경과 ","")))</f>
        <v/>
      </c>
      <c r="AX242" s="90" t="n">
        <f aca="false">IF(Q242&lt;&gt;1,1,IF(스프레드쇼크!$C$4="Y",INDEX(스프레드쇼크!$B$12:$L$16,IFERROR(MATCH(AH242,스프레드쇼크!$A$12:$A$16,0),MATCH("목록외",스프레드쇼크!$A$12:$A$16,0)),IFERROR(MATCH(AG242,스프레드쇼크!$B$11:$L$11,0),MATCH("목록외",스프레드쇼크!$B$11:$L$11,0))),1))</f>
        <v>1</v>
      </c>
      <c r="AY242" s="90" t="n">
        <f aca="false">IF(스프레드쇼크!$C$5="Y",IF(ISNUMBER(AF242),MIN(스프레드쇼크!$C$7,MAX(스프레드쇼크!$C$6,AF242/스프레드쇼크!$C$8)),1),1)</f>
        <v>1.35649017977406</v>
      </c>
      <c r="AZ242" s="94" t="n">
        <f aca="false">AN242*AX242*AY242</f>
        <v>793.008198479503</v>
      </c>
      <c r="BA242" s="90" t="n">
        <f aca="false">IF(ISNUMBER(G242),AA242*G242,0)</f>
        <v>11.6999136924</v>
      </c>
      <c r="BB242" s="90" t="n">
        <f aca="false">IF(ISNUMBER(G242),AA242,0)</f>
        <v>1.963534</v>
      </c>
      <c r="BC242" s="90" t="n">
        <f aca="false">IF(AND(Y242=0,ISNUMBER(AF242)),AA242*AF242,0)</f>
        <v>176.095619722</v>
      </c>
      <c r="BD242" s="90" t="n">
        <f aca="false">IF(AND(Y242=0,ISNUMBER(AF242)),AA242,0)</f>
        <v>1.963534</v>
      </c>
      <c r="BE242" s="90" t="n">
        <f aca="false">IF(ISNUMBER(H242),AA242*H242,0)</f>
        <v>5.8460297782</v>
      </c>
      <c r="BF242" s="90" t="n">
        <f aca="false">IF(ISNUMBER(H242),AA242,0)</f>
        <v>1.963534</v>
      </c>
      <c r="BG242" s="90" t="n">
        <f aca="false">IF(AND(Y242=0,ISNUMBER(AF242),ISNUMBER(Z242)),AA242*Z242,0)</f>
        <v>5.8460297782</v>
      </c>
      <c r="BH242" s="90" t="n">
        <f aca="false">IF(AND(Y242=0,ISNUMBER(AF242),ISNUMBER(Z242)),AA242*AT242*MAX(Z242-1,0),0)</f>
        <v>57.5921504028627</v>
      </c>
      <c r="BI242" s="90" t="n">
        <f aca="false">IF(Y242=0,AA242,0)</f>
        <v>1.963534</v>
      </c>
    </row>
    <row r="243" customFormat="false" ht="15" hidden="false" customHeight="false" outlineLevel="0" collapsed="false">
      <c r="A243" s="83" t="str">
        <f aca="false">IFERROR(IF(INDEX(원자료_잔고!$A$1:$EZ$1500,설정!$L$5+ROW()-1,설정!$L$8)&amp;""="0","",INDEX(원자료_잔고!$A$1:$EZ$1500,설정!$L$5+ROW()-1,설정!$L$8)&amp;""),"")</f>
        <v>LGENSO 5.375 04/02/30</v>
      </c>
      <c r="B243" s="83" t="str">
        <f aca="false">IFERROR(IF(INDEX(원자료_잔고!$A$1:$EZ$1500,설정!$L$5+ROW()-1,설정!$L$7)&amp;""="0","",INDEX(원자료_잔고!$A$1:$EZ$1500,설정!$L$5+ROW()-1,설정!$L$7)&amp;""),"")</f>
        <v>USY5S5CGAP79</v>
      </c>
      <c r="C243" s="83" t="str">
        <f aca="false">IFERROR(IF(INDEX(원자료_잔고!$A$1:$EZ$1500,설정!$L$5+ROW()-1,설정!$L$9)&amp;""="0","",INDEX(원자료_잔고!$A$1:$EZ$1500,설정!$L$5+ROW()-1,설정!$L$9)&amp;""),"")</f>
        <v>34578</v>
      </c>
      <c r="D24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3" s="84" t="n">
        <f aca="false">IFERROR(IF(ISNUMBER(INDEX(원자료_잔고!$A$1:$EZ$1500,설정!$L$5+ROW()-1,설정!$L$11)),INDEX(원자료_잔고!$A$1:$EZ$1500,설정!$L$5+ROW()-1,설정!$L$11),""),"")</f>
        <v>3000000</v>
      </c>
      <c r="F243" s="85" t="n">
        <f aca="false">IFERROR(IF(ISNUMBER(INDEX(원자료_잔고!$A$1:$EZ$1500,설정!$L$5+ROW()-1,설정!$L$12)),INDEX(원자료_잔고!$A$1:$EZ$1500,설정!$L$5+ROW()-1,설정!$L$12),""),"")</f>
        <v>98.1767</v>
      </c>
      <c r="G243" s="85" t="n">
        <f aca="false">IFERROR(IF(ISNUMBER(INDEX(원자료_잔고!$A$1:$EZ$1500,설정!$L$5+ROW()-1,설정!$L$13)),INDEX(원자료_잔고!$A$1:$EZ$1500,설정!$L$5+ROW()-1,설정!$L$13),""),"")</f>
        <v>5.9586</v>
      </c>
      <c r="H243" s="85" t="n">
        <f aca="false">IFERROR(IF(ISNUMBER(INDEX(원자료_잔고!$A$1:$EZ$1500,설정!$L$5+ROW()-1,설정!$L$14)),INDEX(원자료_잔고!$A$1:$EZ$1500,설정!$L$5+ROW()-1,설정!$L$14),""),"")</f>
        <v>2.9773</v>
      </c>
      <c r="I243" s="86" t="n">
        <f aca="false">IFERROR(IF(ISNUMBER(INDEX(원자료_잔고!$A$1:$EZ$1500,설정!$L$5+ROW()-1,설정!$L$15)),INDEX(원자료_잔고!$A$1:$EZ$1500,설정!$L$5+ROW()-1,설정!$L$15),""),"")</f>
        <v>47575</v>
      </c>
      <c r="J243" s="85" t="n">
        <f aca="false">IFERROR(IF(ISNUMBER(INDEX(원자료_잔고!$A$1:$EZ$1500,설정!$L$5+ROW()-1,설정!$L$16)),INDEX(원자료_잔고!$A$1:$EZ$1500,설정!$L$5+ROW()-1,설정!$L$16),""),"")</f>
        <v>5.375</v>
      </c>
      <c r="K243" s="87" t="n">
        <f aca="false">IFERROR(IF(ISNUMBER(INDEX(원자료_잔고!$A$1:$EZ$1500,설정!$L$5+ROW()-1,설정!$L$17)),INDEX(원자료_잔고!$A$1:$EZ$1500,설정!$L$5+ROW()-1,설정!$L$17),""),"")</f>
        <v>1</v>
      </c>
      <c r="L243" s="84" t="n">
        <f aca="false">IFERROR(IF(ISNUMBER(INDEX(원자료_잔고!$A$1:$EZ$1500,설정!$L$5+ROW()-1,설정!$L$18)),INDEX(원자료_잔고!$A$1:$EZ$1500,설정!$L$5+ROW()-1,설정!$L$18),""),"")</f>
        <v>2945301</v>
      </c>
      <c r="M243" s="88" t="n">
        <f aca="false">IFERROR(IF(ISNUMBER(INDEX(원자료_잔고!$A$1:$EZ$1500,설정!$L$5+ROW()-1,설정!$L$19)),INDEX(원자료_잔고!$A$1:$EZ$1500,설정!$L$5+ROW()-1,설정!$L$19),""),"")</f>
        <v>-140799</v>
      </c>
      <c r="N243" s="83" t="str">
        <f aca="false">IFERROR(IF(INDEX(원자료_잔고!$A$1:$EZ$1500,설정!$L$5+ROW()-1,설정!$L$21)&amp;""="0","",INDEX(원자료_잔고!$A$1:$EZ$1500,설정!$L$5+ROW()-1,설정!$L$21)&amp;""),"")</f>
        <v>BBB</v>
      </c>
      <c r="O243" s="83" t="str">
        <f aca="false">IFERROR(IF(INDEX(원자료_잔고!$A$1:$EZ$1500,설정!$L$5+ROW()-1,설정!$L$22)&amp;""="0","",INDEX(원자료_잔고!$A$1:$EZ$1500,설정!$L$5+ROW()-1,설정!$L$22)&amp;""),"")</f>
        <v/>
      </c>
      <c r="P243" s="83" t="str">
        <f aca="false">IFERROR(IF(INDEX(원자료_잔고!$A$1:$EZ$1500,설정!$L$5+ROW()-1,설정!$L$23)&amp;""="0","",INDEX(원자료_잔고!$A$1:$EZ$1500,설정!$L$5+ROW()-1,설정!$L$23)&amp;""),"")</f>
        <v>N/A</v>
      </c>
      <c r="Q243" s="89" t="n">
        <f aca="false">IF(AND($A243&lt;&gt;"",ISNUMBER(E243)),IF(E243&gt;0,1,0),0)</f>
        <v>1</v>
      </c>
      <c r="R243" s="43" t="str">
        <f aca="false">IF(Q243=1,UPPER(LEFT($A243,FIND(" ",$A243&amp;" ")-1)),"")</f>
        <v>LGENSO</v>
      </c>
      <c r="S243" s="89" t="n">
        <f aca="false">IF(Q243=1,IF(OR(ISNUMBER(SEARCH("Float",$A243)),ISNUMBER(SEARCH("FRN",$A243))),1,0),0)</f>
        <v>0</v>
      </c>
      <c r="T243" s="43" t="str">
        <f aca="false">IF(AND(Q243=1,ISNUMBER(I243)),TEXT(I243,"yyyymmdd")&amp;"|"&amp;IF(S243=1,"F",TEXT(J243,"0.000")),"")</f>
        <v>20300402|5.375</v>
      </c>
      <c r="U243" s="90" t="n">
        <f aca="false">IF(AND(Q243=1,ISNUMBER(I243)),(I243-설정!$C$4)/365.25,"")</f>
        <v>3.50171115674196</v>
      </c>
      <c r="V243" s="43" t="str">
        <f aca="false">IF(Q243&lt;&gt;1,"",IF(ISNUMBER(U243),IF(U243&lt;=1,"1년 이하",IF(U243&lt;=2,"1-2년",IF(U243&lt;=3,"2-3년",IF(U243&lt;=4,"3-4년",IF(U243&lt;=5,"4-5년",IF(U243&lt;=7,"5-7년",IF(U243&lt;=10,"7-10년",IF(U243&lt;=20,"10-20년","20년 이상")))))))),"미분류"))</f>
        <v>3-4년</v>
      </c>
      <c r="W243" s="43" t="str">
        <f aca="false">IF(Q243&lt;&gt;1,"",IF(AB243&lt;&gt;"",INDEX(시장분석!$C:$C,AB243),IF(K243=1,"USD","비USD")))</f>
        <v>USD</v>
      </c>
      <c r="X243" s="91" t="n">
        <f aca="false">IF(Q243=1,E243*K243/1000000,0)</f>
        <v>3</v>
      </c>
      <c r="Y243" s="89" t="n">
        <f aca="false">IF(R243="T",1,0)</f>
        <v>0</v>
      </c>
      <c r="Z243" s="92" t="n">
        <f aca="false">IF(Q243&lt;&gt;1,"",IF(AD243=1,IF(ISNUMBER(U243),MAX(U243,0),H243),H243))</f>
        <v>2.9773</v>
      </c>
      <c r="AA243" s="91" t="n">
        <f aca="false">IF(Q243=1,IF(ISNUMBER(L243),L243,0)*K243/1000000,0)</f>
        <v>2.945301</v>
      </c>
      <c r="AB243" s="89" t="n">
        <f aca="false">IF(Q243&lt;&gt;1,"",IFERROR(MATCH(VLOOKUP(B243,매핑!$H$4:$I$15,2,0),시장분석!$A$2:$A$601,0)+1,IFERROR(MATCH(R243&amp;"|"&amp;T243,시장분석!$V$2:$V$601,0)+1,IF(COUNTIF(시장분석!$U$2:$U$601,T243)=1,MATCH(T243,시장분석!$U$2:$U$601,0)+1,""))))</f>
        <v>181</v>
      </c>
      <c r="AC243" s="89" t="n">
        <f aca="false">IF(Q243&lt;&gt;1,0,IF(OR(설정!$C$5="전체",AND(설정!$C$5="선택펀드",IFERROR(COUNTIFS(설정!$F$16:$F$36,C243,설정!$G$16:$G$36,"Y")+COUNTIFS(설정!$F$16:$F$36,VALUE(C243),설정!$G$16:$G$36,"Y"),0)&gt;0),C243&amp;""=설정!$C$5&amp;""),1,0))</f>
        <v>1</v>
      </c>
      <c r="AD243" s="89" t="n">
        <f aca="false">IF(Q243&lt;&gt;1,0,IF(OR(S243=1,IF(AB243="",FALSE(),INDEX(시장분석!$R:$R,AB243)=1)),1,0))</f>
        <v>0</v>
      </c>
      <c r="AE243" s="43" t="str">
        <f aca="false">IF(AB243="","",INDEX(시장분석!$A:$A,AB243))</f>
        <v>LGENSO 5 3/8 04/02/30</v>
      </c>
      <c r="AF243" s="93" t="n">
        <f aca="false">IF(AB243="","",IF(ISNUMBER(IF(AB243="","",INDEX(시장분석!$E:$E,AB243))),IF(AB243="","",INDEX(시장분석!$E:$E,AB243)),""))</f>
        <v>89.683</v>
      </c>
      <c r="AG243" s="43" t="str">
        <f aca="false">IF(Q243&lt;&gt;1,"",IF(AB243&lt;&gt;"",IF(AB243="","",INDEX(시장분석!$L:$L,AB243)),IFERROR(IF(VLOOKUP(R243,매핑!$A$4:$E$92,5,0)="","미분류",VLOOKUP(R243,매핑!$A$4:$E$92,5,0)),"미분류")))</f>
        <v>자유 소비재</v>
      </c>
      <c r="AH243" s="43" t="str">
        <f aca="false">IF(Q243&lt;&gt;1,"",IF(AB243&lt;&gt;"",IF(AB243="","",INDEX(시장분석!$N:$N,AB243)),IFERROR(IF(VLOOKUP(R243,매핑!$A$4:$E$92,4,0)="","미분류",VLOOKUP(R243,매핑!$A$4:$E$92,4,0)),"미분류")))</f>
        <v>아시아/기타</v>
      </c>
      <c r="AI243" s="43" t="str">
        <f aca="false">IF(Q243&lt;&gt;1,"",IFERROR(IF(VLOOKUP(R243,매핑!$A$4:$E$92,3,0)="","미분류",VLOOKUP(R243,매핑!$A$4:$E$92,3,0)),IF(AB243&lt;&gt;"",IF(AB243="","",INDEX(시장분석!$W:$W,AB243)),"미분류")))</f>
        <v>한국</v>
      </c>
      <c r="AJ243" s="43" t="str">
        <f aca="false">IF(Q243&lt;&gt;1,"",IFERROR(VLOOKUP(IF(N243&lt;&gt;"",N243,IF(P243&lt;&gt;"",P243,O243)),설정!$A$15:$D$47,2,0),""))</f>
        <v>BBB</v>
      </c>
      <c r="AK243" s="43" t="str">
        <f aca="false">IF(Q243&lt;&gt;1,"",IF(AJ243="","무등급",IFERROR(VLOOKUP(AJ243,설정!$A$15:$D$47,3,0),"무등급")))</f>
        <v>BBB</v>
      </c>
      <c r="AL243" s="89" t="n">
        <f aca="false">IF(AJ243="",99,IFERROR(VLOOKUP(AJ243,설정!$A$15:$D$47,4,0),99))</f>
        <v>9</v>
      </c>
      <c r="AM243" s="94" t="n">
        <f aca="false">IF(ISNUMBER(H243),AA243*1000000*H243/10000,0)</f>
        <v>876.90446673</v>
      </c>
      <c r="AN243" s="94" t="n">
        <f aca="false">IF(OR(Y243=1,NOT(ISNUMBER(Z243))),0,AA243*1000000*Z243/10000)</f>
        <v>876.90446673</v>
      </c>
      <c r="AO243" s="94" t="n">
        <f aca="false">IF(ISNUMBER(G243),AA243*1000000*G243/100,0)</f>
        <v>175498.705386</v>
      </c>
      <c r="AP243" s="94" t="n">
        <f aca="false">IF(ISNUMBER(M243),M243*K243,0)</f>
        <v>-140799</v>
      </c>
      <c r="AQ243" s="95" t="n">
        <f aca="false">IF(AB243="","",INDEX(시장분석!$AK:$AK,AB243))</f>
        <v>0.368430010839974</v>
      </c>
      <c r="AR243" s="43" t="str">
        <f aca="false">IF(AB243="","-",IF(AB243="","",INDEX(시장분석!$AL:$AL,AB243)))</f>
        <v>Fair</v>
      </c>
      <c r="AS243" s="96" t="n">
        <f aca="false">IF(AB243="","",INDEX(시장분석!$AJ:$AJ,AB243))</f>
        <v>7.63200591971481</v>
      </c>
      <c r="AT243" s="93" t="n">
        <f aca="false">IF(AB243="",0,IF(AB243="","",INDEX(시장분석!$AN:$AN,AB243)))</f>
        <v>14.8337960149859</v>
      </c>
      <c r="AU243" s="94" t="n">
        <f aca="false">IF(ISNUMBER(Z243),AT243/10000*MAX(Z243-1,0)*AA243*1000000,0)</f>
        <v>8638.8225604294</v>
      </c>
      <c r="AV243" s="94" t="n">
        <f aca="false">AO243+AU243</f>
        <v>184137.527946429</v>
      </c>
      <c r="AW243" s="43" t="str">
        <f aca="false">IF(Q243&lt;&gt;1,"",TRIM(IF(AD243=1,"FRN ","")&amp;IF(AND(AL243&gt;=10,AL243&lt;99),"BBB0미만 ","")&amp;IF(AJ243="","등급없음 ","")&amp;IF(K243&lt;&gt;1,"비USD ","")&amp;IF(AND(AB243="",Y243=0),"시장데이터없음 ","")&amp;IF(AND(ISNUMBER(U243),U243&lt;0),"만기경과 ","")))</f>
        <v/>
      </c>
      <c r="AX243" s="90" t="n">
        <f aca="false">IF(Q243&lt;&gt;1,1,IF(스프레드쇼크!$C$4="Y",INDEX(스프레드쇼크!$B$12:$L$16,IFERROR(MATCH(AH243,스프레드쇼크!$A$12:$A$16,0),MATCH("목록외",스프레드쇼크!$A$12:$A$16,0)),IFERROR(MATCH(AG243,스프레드쇼크!$B$11:$L$11,0),MATCH("목록외",스프레드쇼크!$B$11:$L$11,0))),1))</f>
        <v>1</v>
      </c>
      <c r="AY243" s="90" t="n">
        <f aca="false">IF(스프레드쇼크!$C$5="Y",IF(ISNUMBER(AF243),MIN(스프레드쇼크!$C$7,MAX(스프레드쇼크!$C$6,AF243/스프레드쇼크!$C$8)),1),1)</f>
        <v>1.35649017977406</v>
      </c>
      <c r="AZ243" s="94" t="n">
        <f aca="false">AN243*AX243*AY243</f>
        <v>1189.51229771926</v>
      </c>
      <c r="BA243" s="90" t="n">
        <f aca="false">IF(ISNUMBER(G243),AA243*G243,0)</f>
        <v>17.5498705386</v>
      </c>
      <c r="BB243" s="90" t="n">
        <f aca="false">IF(ISNUMBER(G243),AA243,0)</f>
        <v>2.945301</v>
      </c>
      <c r="BC243" s="90" t="n">
        <f aca="false">IF(AND(Y243=0,ISNUMBER(AF243)),AA243*AF243,0)</f>
        <v>264.143429583</v>
      </c>
      <c r="BD243" s="90" t="n">
        <f aca="false">IF(AND(Y243=0,ISNUMBER(AF243)),AA243,0)</f>
        <v>2.945301</v>
      </c>
      <c r="BE243" s="90" t="n">
        <f aca="false">IF(ISNUMBER(H243),AA243*H243,0)</f>
        <v>8.7690446673</v>
      </c>
      <c r="BF243" s="90" t="n">
        <f aca="false">IF(ISNUMBER(H243),AA243,0)</f>
        <v>2.945301</v>
      </c>
      <c r="BG243" s="90" t="n">
        <f aca="false">IF(AND(Y243=0,ISNUMBER(AF243),ISNUMBER(Z243)),AA243*Z243,0)</f>
        <v>8.7690446673</v>
      </c>
      <c r="BH243" s="90" t="n">
        <f aca="false">IF(AND(Y243=0,ISNUMBER(AF243),ISNUMBER(Z243)),AA243*AT243*MAX(Z243-1,0),0)</f>
        <v>86.388225604294</v>
      </c>
      <c r="BI243" s="90" t="n">
        <f aca="false">IF(Y243=0,AA243,0)</f>
        <v>2.945301</v>
      </c>
    </row>
    <row r="244" customFormat="false" ht="15" hidden="false" customHeight="false" outlineLevel="0" collapsed="false">
      <c r="A244" s="83" t="str">
        <f aca="false">IFERROR(IF(INDEX(원자료_잔고!$A$1:$EZ$1500,설정!$L$5+ROW()-1,설정!$L$8)&amp;""="0","",INDEX(원자료_잔고!$A$1:$EZ$1500,설정!$L$5+ROW()-1,설정!$L$8)&amp;""),"")</f>
        <v>LGENSO 5.375 04/02/30</v>
      </c>
      <c r="B244" s="83" t="str">
        <f aca="false">IFERROR(IF(INDEX(원자료_잔고!$A$1:$EZ$1500,설정!$L$5+ROW()-1,설정!$L$7)&amp;""="0","",INDEX(원자료_잔고!$A$1:$EZ$1500,설정!$L$5+ROW()-1,설정!$L$7)&amp;""),"")</f>
        <v>USY5S5CGAP79</v>
      </c>
      <c r="C244" s="83" t="str">
        <f aca="false">IFERROR(IF(INDEX(원자료_잔고!$A$1:$EZ$1500,설정!$L$5+ROW()-1,설정!$L$9)&amp;""="0","",INDEX(원자료_잔고!$A$1:$EZ$1500,설정!$L$5+ROW()-1,설정!$L$9)&amp;""),"")</f>
        <v>34578</v>
      </c>
      <c r="D24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4" s="84" t="n">
        <f aca="false">IFERROR(IF(ISNUMBER(INDEX(원자료_잔고!$A$1:$EZ$1500,설정!$L$5+ROW()-1,설정!$L$11)),INDEX(원자료_잔고!$A$1:$EZ$1500,설정!$L$5+ROW()-1,설정!$L$11),""),"")</f>
        <v>5000000</v>
      </c>
      <c r="F244" s="85" t="n">
        <f aca="false">IFERROR(IF(ISNUMBER(INDEX(원자료_잔고!$A$1:$EZ$1500,설정!$L$5+ROW()-1,설정!$L$12)),INDEX(원자료_잔고!$A$1:$EZ$1500,설정!$L$5+ROW()-1,설정!$L$12),""),"")</f>
        <v>98.1767</v>
      </c>
      <c r="G244" s="85" t="n">
        <f aca="false">IFERROR(IF(ISNUMBER(INDEX(원자료_잔고!$A$1:$EZ$1500,설정!$L$5+ROW()-1,설정!$L$13)),INDEX(원자료_잔고!$A$1:$EZ$1500,설정!$L$5+ROW()-1,설정!$L$13),""),"")</f>
        <v>5.9586</v>
      </c>
      <c r="H244" s="85" t="n">
        <f aca="false">IFERROR(IF(ISNUMBER(INDEX(원자료_잔고!$A$1:$EZ$1500,설정!$L$5+ROW()-1,설정!$L$14)),INDEX(원자료_잔고!$A$1:$EZ$1500,설정!$L$5+ROW()-1,설정!$L$14),""),"")</f>
        <v>2.9773</v>
      </c>
      <c r="I244" s="86" t="n">
        <f aca="false">IFERROR(IF(ISNUMBER(INDEX(원자료_잔고!$A$1:$EZ$1500,설정!$L$5+ROW()-1,설정!$L$15)),INDEX(원자료_잔고!$A$1:$EZ$1500,설정!$L$5+ROW()-1,설정!$L$15),""),"")</f>
        <v>47575</v>
      </c>
      <c r="J244" s="85" t="n">
        <f aca="false">IFERROR(IF(ISNUMBER(INDEX(원자료_잔고!$A$1:$EZ$1500,설정!$L$5+ROW()-1,설정!$L$16)),INDEX(원자료_잔고!$A$1:$EZ$1500,설정!$L$5+ROW()-1,설정!$L$16),""),"")</f>
        <v>5.375</v>
      </c>
      <c r="K244" s="87" t="n">
        <f aca="false">IFERROR(IF(ISNUMBER(INDEX(원자료_잔고!$A$1:$EZ$1500,설정!$L$5+ROW()-1,설정!$L$17)),INDEX(원자료_잔고!$A$1:$EZ$1500,설정!$L$5+ROW()-1,설정!$L$17),""),"")</f>
        <v>1</v>
      </c>
      <c r="L244" s="84" t="n">
        <f aca="false">IFERROR(IF(ISNUMBER(INDEX(원자료_잔고!$A$1:$EZ$1500,설정!$L$5+ROW()-1,설정!$L$18)),INDEX(원자료_잔고!$A$1:$EZ$1500,설정!$L$5+ROW()-1,설정!$L$18),""),"")</f>
        <v>4908835</v>
      </c>
      <c r="M244" s="88" t="n">
        <f aca="false">IFERROR(IF(ISNUMBER(INDEX(원자료_잔고!$A$1:$EZ$1500,설정!$L$5+ROW()-1,설정!$L$19)),INDEX(원자료_잔고!$A$1:$EZ$1500,설정!$L$5+ROW()-1,설정!$L$19),""),"")</f>
        <v>-234665</v>
      </c>
      <c r="N244" s="83" t="str">
        <f aca="false">IFERROR(IF(INDEX(원자료_잔고!$A$1:$EZ$1500,설정!$L$5+ROW()-1,설정!$L$21)&amp;""="0","",INDEX(원자료_잔고!$A$1:$EZ$1500,설정!$L$5+ROW()-1,설정!$L$21)&amp;""),"")</f>
        <v>BBB</v>
      </c>
      <c r="O244" s="83" t="str">
        <f aca="false">IFERROR(IF(INDEX(원자료_잔고!$A$1:$EZ$1500,설정!$L$5+ROW()-1,설정!$L$22)&amp;""="0","",INDEX(원자료_잔고!$A$1:$EZ$1500,설정!$L$5+ROW()-1,설정!$L$22)&amp;""),"")</f>
        <v/>
      </c>
      <c r="P244" s="83" t="str">
        <f aca="false">IFERROR(IF(INDEX(원자료_잔고!$A$1:$EZ$1500,설정!$L$5+ROW()-1,설정!$L$23)&amp;""="0","",INDEX(원자료_잔고!$A$1:$EZ$1500,설정!$L$5+ROW()-1,설정!$L$23)&amp;""),"")</f>
        <v>N/A</v>
      </c>
      <c r="Q244" s="89" t="n">
        <f aca="false">IF(AND($A244&lt;&gt;"",ISNUMBER(E244)),IF(E244&gt;0,1,0),0)</f>
        <v>1</v>
      </c>
      <c r="R244" s="43" t="str">
        <f aca="false">IF(Q244=1,UPPER(LEFT($A244,FIND(" ",$A244&amp;" ")-1)),"")</f>
        <v>LGENSO</v>
      </c>
      <c r="S244" s="89" t="n">
        <f aca="false">IF(Q244=1,IF(OR(ISNUMBER(SEARCH("Float",$A244)),ISNUMBER(SEARCH("FRN",$A244))),1,0),0)</f>
        <v>0</v>
      </c>
      <c r="T244" s="43" t="str">
        <f aca="false">IF(AND(Q244=1,ISNUMBER(I244)),TEXT(I244,"yyyymmdd")&amp;"|"&amp;IF(S244=1,"F",TEXT(J244,"0.000")),"")</f>
        <v>20300402|5.375</v>
      </c>
      <c r="U244" s="90" t="n">
        <f aca="false">IF(AND(Q244=1,ISNUMBER(I244)),(I244-설정!$C$4)/365.25,"")</f>
        <v>3.50171115674196</v>
      </c>
      <c r="V244" s="43" t="str">
        <f aca="false">IF(Q244&lt;&gt;1,"",IF(ISNUMBER(U244),IF(U244&lt;=1,"1년 이하",IF(U244&lt;=2,"1-2년",IF(U244&lt;=3,"2-3년",IF(U244&lt;=4,"3-4년",IF(U244&lt;=5,"4-5년",IF(U244&lt;=7,"5-7년",IF(U244&lt;=10,"7-10년",IF(U244&lt;=20,"10-20년","20년 이상")))))))),"미분류"))</f>
        <v>3-4년</v>
      </c>
      <c r="W244" s="43" t="str">
        <f aca="false">IF(Q244&lt;&gt;1,"",IF(AB244&lt;&gt;"",INDEX(시장분석!$C:$C,AB244),IF(K244=1,"USD","비USD")))</f>
        <v>USD</v>
      </c>
      <c r="X244" s="91" t="n">
        <f aca="false">IF(Q244=1,E244*K244/1000000,0)</f>
        <v>5</v>
      </c>
      <c r="Y244" s="89" t="n">
        <f aca="false">IF(R244="T",1,0)</f>
        <v>0</v>
      </c>
      <c r="Z244" s="92" t="n">
        <f aca="false">IF(Q244&lt;&gt;1,"",IF(AD244=1,IF(ISNUMBER(U244),MAX(U244,0),H244),H244))</f>
        <v>2.9773</v>
      </c>
      <c r="AA244" s="91" t="n">
        <f aca="false">IF(Q244=1,IF(ISNUMBER(L244),L244,0)*K244/1000000,0)</f>
        <v>4.908835</v>
      </c>
      <c r="AB244" s="89" t="n">
        <f aca="false">IF(Q244&lt;&gt;1,"",IFERROR(MATCH(VLOOKUP(B244,매핑!$H$4:$I$15,2,0),시장분석!$A$2:$A$601,0)+1,IFERROR(MATCH(R244&amp;"|"&amp;T244,시장분석!$V$2:$V$601,0)+1,IF(COUNTIF(시장분석!$U$2:$U$601,T244)=1,MATCH(T244,시장분석!$U$2:$U$601,0)+1,""))))</f>
        <v>181</v>
      </c>
      <c r="AC244" s="89" t="n">
        <f aca="false">IF(Q244&lt;&gt;1,0,IF(OR(설정!$C$5="전체",AND(설정!$C$5="선택펀드",IFERROR(COUNTIFS(설정!$F$16:$F$36,C244,설정!$G$16:$G$36,"Y")+COUNTIFS(설정!$F$16:$F$36,VALUE(C244),설정!$G$16:$G$36,"Y"),0)&gt;0),C244&amp;""=설정!$C$5&amp;""),1,0))</f>
        <v>1</v>
      </c>
      <c r="AD244" s="89" t="n">
        <f aca="false">IF(Q244&lt;&gt;1,0,IF(OR(S244=1,IF(AB244="",FALSE(),INDEX(시장분석!$R:$R,AB244)=1)),1,0))</f>
        <v>0</v>
      </c>
      <c r="AE244" s="43" t="str">
        <f aca="false">IF(AB244="","",INDEX(시장분석!$A:$A,AB244))</f>
        <v>LGENSO 5 3/8 04/02/30</v>
      </c>
      <c r="AF244" s="93" t="n">
        <f aca="false">IF(AB244="","",IF(ISNUMBER(IF(AB244="","",INDEX(시장분석!$E:$E,AB244))),IF(AB244="","",INDEX(시장분석!$E:$E,AB244)),""))</f>
        <v>89.683</v>
      </c>
      <c r="AG244" s="43" t="str">
        <f aca="false">IF(Q244&lt;&gt;1,"",IF(AB244&lt;&gt;"",IF(AB244="","",INDEX(시장분석!$L:$L,AB244)),IFERROR(IF(VLOOKUP(R244,매핑!$A$4:$E$92,5,0)="","미분류",VLOOKUP(R244,매핑!$A$4:$E$92,5,0)),"미분류")))</f>
        <v>자유 소비재</v>
      </c>
      <c r="AH244" s="43" t="str">
        <f aca="false">IF(Q244&lt;&gt;1,"",IF(AB244&lt;&gt;"",IF(AB244="","",INDEX(시장분석!$N:$N,AB244)),IFERROR(IF(VLOOKUP(R244,매핑!$A$4:$E$92,4,0)="","미분류",VLOOKUP(R244,매핑!$A$4:$E$92,4,0)),"미분류")))</f>
        <v>아시아/기타</v>
      </c>
      <c r="AI244" s="43" t="str">
        <f aca="false">IF(Q244&lt;&gt;1,"",IFERROR(IF(VLOOKUP(R244,매핑!$A$4:$E$92,3,0)="","미분류",VLOOKUP(R244,매핑!$A$4:$E$92,3,0)),IF(AB244&lt;&gt;"",IF(AB244="","",INDEX(시장분석!$W:$W,AB244)),"미분류")))</f>
        <v>한국</v>
      </c>
      <c r="AJ244" s="43" t="str">
        <f aca="false">IF(Q244&lt;&gt;1,"",IFERROR(VLOOKUP(IF(N244&lt;&gt;"",N244,IF(P244&lt;&gt;"",P244,O244)),설정!$A$15:$D$47,2,0),""))</f>
        <v>BBB</v>
      </c>
      <c r="AK244" s="43" t="str">
        <f aca="false">IF(Q244&lt;&gt;1,"",IF(AJ244="","무등급",IFERROR(VLOOKUP(AJ244,설정!$A$15:$D$47,3,0),"무등급")))</f>
        <v>BBB</v>
      </c>
      <c r="AL244" s="89" t="n">
        <f aca="false">IF(AJ244="",99,IFERROR(VLOOKUP(AJ244,설정!$A$15:$D$47,4,0),99))</f>
        <v>9</v>
      </c>
      <c r="AM244" s="94" t="n">
        <f aca="false">IF(ISNUMBER(H244),AA244*1000000*H244/10000,0)</f>
        <v>1461.50744455</v>
      </c>
      <c r="AN244" s="94" t="n">
        <f aca="false">IF(OR(Y244=1,NOT(ISNUMBER(Z244))),0,AA244*1000000*Z244/10000)</f>
        <v>1461.50744455</v>
      </c>
      <c r="AO244" s="94" t="n">
        <f aca="false">IF(ISNUMBER(G244),AA244*1000000*G244/100,0)</f>
        <v>292497.84231</v>
      </c>
      <c r="AP244" s="94" t="n">
        <f aca="false">IF(ISNUMBER(M244),M244*K244,0)</f>
        <v>-234665</v>
      </c>
      <c r="AQ244" s="95" t="n">
        <f aca="false">IF(AB244="","",INDEX(시장분석!$AK:$AK,AB244))</f>
        <v>0.368430010839974</v>
      </c>
      <c r="AR244" s="43" t="str">
        <f aca="false">IF(AB244="","-",IF(AB244="","",INDEX(시장분석!$AL:$AL,AB244)))</f>
        <v>Fair</v>
      </c>
      <c r="AS244" s="96" t="n">
        <f aca="false">IF(AB244="","",INDEX(시장분석!$AJ:$AJ,AB244))</f>
        <v>7.63200591971481</v>
      </c>
      <c r="AT244" s="93" t="n">
        <f aca="false">IF(AB244="",0,IF(AB244="","",INDEX(시장분석!$AN:$AN,AB244)))</f>
        <v>14.8337960149859</v>
      </c>
      <c r="AU244" s="94" t="n">
        <f aca="false">IF(ISNUMBER(Z244),AT244/10000*MAX(Z244-1,0)*AA244*1000000,0)</f>
        <v>14398.0376007157</v>
      </c>
      <c r="AV244" s="94" t="n">
        <f aca="false">AO244+AU244</f>
        <v>306895.879910716</v>
      </c>
      <c r="AW244" s="43" t="str">
        <f aca="false">IF(Q244&lt;&gt;1,"",TRIM(IF(AD244=1,"FRN ","")&amp;IF(AND(AL244&gt;=10,AL244&lt;99),"BBB0미만 ","")&amp;IF(AJ244="","등급없음 ","")&amp;IF(K244&lt;&gt;1,"비USD ","")&amp;IF(AND(AB244="",Y244=0),"시장데이터없음 ","")&amp;IF(AND(ISNUMBER(U244),U244&lt;0),"만기경과 ","")))</f>
        <v/>
      </c>
      <c r="AX244" s="90" t="n">
        <f aca="false">IF(Q244&lt;&gt;1,1,IF(스프레드쇼크!$C$4="Y",INDEX(스프레드쇼크!$B$12:$L$16,IFERROR(MATCH(AH244,스프레드쇼크!$A$12:$A$16,0),MATCH("목록외",스프레드쇼크!$A$12:$A$16,0)),IFERROR(MATCH(AG244,스프레드쇼크!$B$11:$L$11,0),MATCH("목록외",스프레드쇼크!$B$11:$L$11,0))),1))</f>
        <v>1</v>
      </c>
      <c r="AY244" s="90" t="n">
        <f aca="false">IF(스프레드쇼크!$C$5="Y",IF(ISNUMBER(AF244),MIN(스프레드쇼크!$C$7,MAX(스프레드쇼크!$C$6,AF244/스프레드쇼크!$C$8)),1),1)</f>
        <v>1.35649017977406</v>
      </c>
      <c r="AZ244" s="94" t="n">
        <f aca="false">AN244*AX244*AY244</f>
        <v>1982.52049619876</v>
      </c>
      <c r="BA244" s="90" t="n">
        <f aca="false">IF(ISNUMBER(G244),AA244*G244,0)</f>
        <v>29.249784231</v>
      </c>
      <c r="BB244" s="90" t="n">
        <f aca="false">IF(ISNUMBER(G244),AA244,0)</f>
        <v>4.908835</v>
      </c>
      <c r="BC244" s="90" t="n">
        <f aca="false">IF(AND(Y244=0,ISNUMBER(AF244)),AA244*AF244,0)</f>
        <v>440.239049305</v>
      </c>
      <c r="BD244" s="90" t="n">
        <f aca="false">IF(AND(Y244=0,ISNUMBER(AF244)),AA244,0)</f>
        <v>4.908835</v>
      </c>
      <c r="BE244" s="90" t="n">
        <f aca="false">IF(ISNUMBER(H244),AA244*H244,0)</f>
        <v>14.6150744455</v>
      </c>
      <c r="BF244" s="90" t="n">
        <f aca="false">IF(ISNUMBER(H244),AA244,0)</f>
        <v>4.908835</v>
      </c>
      <c r="BG244" s="90" t="n">
        <f aca="false">IF(AND(Y244=0,ISNUMBER(AF244),ISNUMBER(Z244)),AA244*Z244,0)</f>
        <v>14.6150744455</v>
      </c>
      <c r="BH244" s="90" t="n">
        <f aca="false">IF(AND(Y244=0,ISNUMBER(AF244),ISNUMBER(Z244)),AA244*AT244*MAX(Z244-1,0),0)</f>
        <v>143.980376007157</v>
      </c>
      <c r="BI244" s="90" t="n">
        <f aca="false">IF(Y244=0,AA244,0)</f>
        <v>4.908835</v>
      </c>
    </row>
    <row r="245" customFormat="false" ht="15" hidden="false" customHeight="false" outlineLevel="0" collapsed="false">
      <c r="A245" s="83" t="str">
        <f aca="false">IFERROR(IF(INDEX(원자료_잔고!$A$1:$EZ$1500,설정!$L$5+ROW()-1,설정!$L$8)&amp;""="0","",INDEX(원자료_잔고!$A$1:$EZ$1500,설정!$L$5+ROW()-1,설정!$L$8)&amp;""),"")</f>
        <v>LGENSO 5.375 04/02/30</v>
      </c>
      <c r="B245" s="83" t="str">
        <f aca="false">IFERROR(IF(INDEX(원자료_잔고!$A$1:$EZ$1500,설정!$L$5+ROW()-1,설정!$L$7)&amp;""="0","",INDEX(원자료_잔고!$A$1:$EZ$1500,설정!$L$5+ROW()-1,설정!$L$7)&amp;""),"")</f>
        <v>USY5S5CGAP79</v>
      </c>
      <c r="C245" s="83" t="str">
        <f aca="false">IFERROR(IF(INDEX(원자료_잔고!$A$1:$EZ$1500,설정!$L$5+ROW()-1,설정!$L$9)&amp;""="0","",INDEX(원자료_잔고!$A$1:$EZ$1500,설정!$L$5+ROW()-1,설정!$L$9)&amp;""),"")</f>
        <v>34578</v>
      </c>
      <c r="D24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5" s="84" t="n">
        <f aca="false">IFERROR(IF(ISNUMBER(INDEX(원자료_잔고!$A$1:$EZ$1500,설정!$L$5+ROW()-1,설정!$L$11)),INDEX(원자료_잔고!$A$1:$EZ$1500,설정!$L$5+ROW()-1,설정!$L$11),""),"")</f>
        <v>6500000</v>
      </c>
      <c r="F245" s="85" t="n">
        <f aca="false">IFERROR(IF(ISNUMBER(INDEX(원자료_잔고!$A$1:$EZ$1500,설정!$L$5+ROW()-1,설정!$L$12)),INDEX(원자료_잔고!$A$1:$EZ$1500,설정!$L$5+ROW()-1,설정!$L$12),""),"")</f>
        <v>98.1767</v>
      </c>
      <c r="G245" s="85" t="n">
        <f aca="false">IFERROR(IF(ISNUMBER(INDEX(원자료_잔고!$A$1:$EZ$1500,설정!$L$5+ROW()-1,설정!$L$13)),INDEX(원자료_잔고!$A$1:$EZ$1500,설정!$L$5+ROW()-1,설정!$L$13),""),"")</f>
        <v>5.9586</v>
      </c>
      <c r="H245" s="85" t="n">
        <f aca="false">IFERROR(IF(ISNUMBER(INDEX(원자료_잔고!$A$1:$EZ$1500,설정!$L$5+ROW()-1,설정!$L$14)),INDEX(원자료_잔고!$A$1:$EZ$1500,설정!$L$5+ROW()-1,설정!$L$14),""),"")</f>
        <v>2.9773</v>
      </c>
      <c r="I245" s="86" t="n">
        <f aca="false">IFERROR(IF(ISNUMBER(INDEX(원자료_잔고!$A$1:$EZ$1500,설정!$L$5+ROW()-1,설정!$L$15)),INDEX(원자료_잔고!$A$1:$EZ$1500,설정!$L$5+ROW()-1,설정!$L$15),""),"")</f>
        <v>47575</v>
      </c>
      <c r="J245" s="85" t="n">
        <f aca="false">IFERROR(IF(ISNUMBER(INDEX(원자료_잔고!$A$1:$EZ$1500,설정!$L$5+ROW()-1,설정!$L$16)),INDEX(원자료_잔고!$A$1:$EZ$1500,설정!$L$5+ROW()-1,설정!$L$16),""),"")</f>
        <v>5.375</v>
      </c>
      <c r="K245" s="87" t="n">
        <f aca="false">IFERROR(IF(ISNUMBER(INDEX(원자료_잔고!$A$1:$EZ$1500,설정!$L$5+ROW()-1,설정!$L$17)),INDEX(원자료_잔고!$A$1:$EZ$1500,설정!$L$5+ROW()-1,설정!$L$17),""),"")</f>
        <v>1</v>
      </c>
      <c r="L245" s="84" t="n">
        <f aca="false">IFERROR(IF(ISNUMBER(INDEX(원자료_잔고!$A$1:$EZ$1500,설정!$L$5+ROW()-1,설정!$L$18)),INDEX(원자료_잔고!$A$1:$EZ$1500,설정!$L$5+ROW()-1,설정!$L$18),""),"")</f>
        <v>6381485.5</v>
      </c>
      <c r="M245" s="88" t="n">
        <f aca="false">IFERROR(IF(ISNUMBER(INDEX(원자료_잔고!$A$1:$EZ$1500,설정!$L$5+ROW()-1,설정!$L$19)),INDEX(원자료_잔고!$A$1:$EZ$1500,설정!$L$5+ROW()-1,설정!$L$19),""),"")</f>
        <v>-305064.5</v>
      </c>
      <c r="N245" s="83" t="str">
        <f aca="false">IFERROR(IF(INDEX(원자료_잔고!$A$1:$EZ$1500,설정!$L$5+ROW()-1,설정!$L$21)&amp;""="0","",INDEX(원자료_잔고!$A$1:$EZ$1500,설정!$L$5+ROW()-1,설정!$L$21)&amp;""),"")</f>
        <v>BBB</v>
      </c>
      <c r="O245" s="83" t="str">
        <f aca="false">IFERROR(IF(INDEX(원자료_잔고!$A$1:$EZ$1500,설정!$L$5+ROW()-1,설정!$L$22)&amp;""="0","",INDEX(원자료_잔고!$A$1:$EZ$1500,설정!$L$5+ROW()-1,설정!$L$22)&amp;""),"")</f>
        <v/>
      </c>
      <c r="P245" s="83" t="str">
        <f aca="false">IFERROR(IF(INDEX(원자료_잔고!$A$1:$EZ$1500,설정!$L$5+ROW()-1,설정!$L$23)&amp;""="0","",INDEX(원자료_잔고!$A$1:$EZ$1500,설정!$L$5+ROW()-1,설정!$L$23)&amp;""),"")</f>
        <v>N/A</v>
      </c>
      <c r="Q245" s="89" t="n">
        <f aca="false">IF(AND($A245&lt;&gt;"",ISNUMBER(E245)),IF(E245&gt;0,1,0),0)</f>
        <v>1</v>
      </c>
      <c r="R245" s="43" t="str">
        <f aca="false">IF(Q245=1,UPPER(LEFT($A245,FIND(" ",$A245&amp;" ")-1)),"")</f>
        <v>LGENSO</v>
      </c>
      <c r="S245" s="89" t="n">
        <f aca="false">IF(Q245=1,IF(OR(ISNUMBER(SEARCH("Float",$A245)),ISNUMBER(SEARCH("FRN",$A245))),1,0),0)</f>
        <v>0</v>
      </c>
      <c r="T245" s="43" t="str">
        <f aca="false">IF(AND(Q245=1,ISNUMBER(I245)),TEXT(I245,"yyyymmdd")&amp;"|"&amp;IF(S245=1,"F",TEXT(J245,"0.000")),"")</f>
        <v>20300402|5.375</v>
      </c>
      <c r="U245" s="90" t="n">
        <f aca="false">IF(AND(Q245=1,ISNUMBER(I245)),(I245-설정!$C$4)/365.25,"")</f>
        <v>3.50171115674196</v>
      </c>
      <c r="V245" s="43" t="str">
        <f aca="false">IF(Q245&lt;&gt;1,"",IF(ISNUMBER(U245),IF(U245&lt;=1,"1년 이하",IF(U245&lt;=2,"1-2년",IF(U245&lt;=3,"2-3년",IF(U245&lt;=4,"3-4년",IF(U245&lt;=5,"4-5년",IF(U245&lt;=7,"5-7년",IF(U245&lt;=10,"7-10년",IF(U245&lt;=20,"10-20년","20년 이상")))))))),"미분류"))</f>
        <v>3-4년</v>
      </c>
      <c r="W245" s="43" t="str">
        <f aca="false">IF(Q245&lt;&gt;1,"",IF(AB245&lt;&gt;"",INDEX(시장분석!$C:$C,AB245),IF(K245=1,"USD","비USD")))</f>
        <v>USD</v>
      </c>
      <c r="X245" s="91" t="n">
        <f aca="false">IF(Q245=1,E245*K245/1000000,0)</f>
        <v>6.5</v>
      </c>
      <c r="Y245" s="89" t="n">
        <f aca="false">IF(R245="T",1,0)</f>
        <v>0</v>
      </c>
      <c r="Z245" s="92" t="n">
        <f aca="false">IF(Q245&lt;&gt;1,"",IF(AD245=1,IF(ISNUMBER(U245),MAX(U245,0),H245),H245))</f>
        <v>2.9773</v>
      </c>
      <c r="AA245" s="91" t="n">
        <f aca="false">IF(Q245=1,IF(ISNUMBER(L245),L245,0)*K245/1000000,0)</f>
        <v>6.3814855</v>
      </c>
      <c r="AB245" s="89" t="n">
        <f aca="false">IF(Q245&lt;&gt;1,"",IFERROR(MATCH(VLOOKUP(B245,매핑!$H$4:$I$15,2,0),시장분석!$A$2:$A$601,0)+1,IFERROR(MATCH(R245&amp;"|"&amp;T245,시장분석!$V$2:$V$601,0)+1,IF(COUNTIF(시장분석!$U$2:$U$601,T245)=1,MATCH(T245,시장분석!$U$2:$U$601,0)+1,""))))</f>
        <v>181</v>
      </c>
      <c r="AC245" s="89" t="n">
        <f aca="false">IF(Q245&lt;&gt;1,0,IF(OR(설정!$C$5="전체",AND(설정!$C$5="선택펀드",IFERROR(COUNTIFS(설정!$F$16:$F$36,C245,설정!$G$16:$G$36,"Y")+COUNTIFS(설정!$F$16:$F$36,VALUE(C245),설정!$G$16:$G$36,"Y"),0)&gt;0),C245&amp;""=설정!$C$5&amp;""),1,0))</f>
        <v>1</v>
      </c>
      <c r="AD245" s="89" t="n">
        <f aca="false">IF(Q245&lt;&gt;1,0,IF(OR(S245=1,IF(AB245="",FALSE(),INDEX(시장분석!$R:$R,AB245)=1)),1,0))</f>
        <v>0</v>
      </c>
      <c r="AE245" s="43" t="str">
        <f aca="false">IF(AB245="","",INDEX(시장분석!$A:$A,AB245))</f>
        <v>LGENSO 5 3/8 04/02/30</v>
      </c>
      <c r="AF245" s="93" t="n">
        <f aca="false">IF(AB245="","",IF(ISNUMBER(IF(AB245="","",INDEX(시장분석!$E:$E,AB245))),IF(AB245="","",INDEX(시장분석!$E:$E,AB245)),""))</f>
        <v>89.683</v>
      </c>
      <c r="AG245" s="43" t="str">
        <f aca="false">IF(Q245&lt;&gt;1,"",IF(AB245&lt;&gt;"",IF(AB245="","",INDEX(시장분석!$L:$L,AB245)),IFERROR(IF(VLOOKUP(R245,매핑!$A$4:$E$92,5,0)="","미분류",VLOOKUP(R245,매핑!$A$4:$E$92,5,0)),"미분류")))</f>
        <v>자유 소비재</v>
      </c>
      <c r="AH245" s="43" t="str">
        <f aca="false">IF(Q245&lt;&gt;1,"",IF(AB245&lt;&gt;"",IF(AB245="","",INDEX(시장분석!$N:$N,AB245)),IFERROR(IF(VLOOKUP(R245,매핑!$A$4:$E$92,4,0)="","미분류",VLOOKUP(R245,매핑!$A$4:$E$92,4,0)),"미분류")))</f>
        <v>아시아/기타</v>
      </c>
      <c r="AI245" s="43" t="str">
        <f aca="false">IF(Q245&lt;&gt;1,"",IFERROR(IF(VLOOKUP(R245,매핑!$A$4:$E$92,3,0)="","미분류",VLOOKUP(R245,매핑!$A$4:$E$92,3,0)),IF(AB245&lt;&gt;"",IF(AB245="","",INDEX(시장분석!$W:$W,AB245)),"미분류")))</f>
        <v>한국</v>
      </c>
      <c r="AJ245" s="43" t="str">
        <f aca="false">IF(Q245&lt;&gt;1,"",IFERROR(VLOOKUP(IF(N245&lt;&gt;"",N245,IF(P245&lt;&gt;"",P245,O245)),설정!$A$15:$D$47,2,0),""))</f>
        <v>BBB</v>
      </c>
      <c r="AK245" s="43" t="str">
        <f aca="false">IF(Q245&lt;&gt;1,"",IF(AJ245="","무등급",IFERROR(VLOOKUP(AJ245,설정!$A$15:$D$47,3,0),"무등급")))</f>
        <v>BBB</v>
      </c>
      <c r="AL245" s="89" t="n">
        <f aca="false">IF(AJ245="",99,IFERROR(VLOOKUP(AJ245,설정!$A$15:$D$47,4,0),99))</f>
        <v>9</v>
      </c>
      <c r="AM245" s="94" t="n">
        <f aca="false">IF(ISNUMBER(H245),AA245*1000000*H245/10000,0)</f>
        <v>1899.959677915</v>
      </c>
      <c r="AN245" s="94" t="n">
        <f aca="false">IF(OR(Y245=1,NOT(ISNUMBER(Z245))),0,AA245*1000000*Z245/10000)</f>
        <v>1899.959677915</v>
      </c>
      <c r="AO245" s="94" t="n">
        <f aca="false">IF(ISNUMBER(G245),AA245*1000000*G245/100,0)</f>
        <v>380247.195003</v>
      </c>
      <c r="AP245" s="94" t="n">
        <f aca="false">IF(ISNUMBER(M245),M245*K245,0)</f>
        <v>-305064.5</v>
      </c>
      <c r="AQ245" s="95" t="n">
        <f aca="false">IF(AB245="","",INDEX(시장분석!$AK:$AK,AB245))</f>
        <v>0.368430010839974</v>
      </c>
      <c r="AR245" s="43" t="str">
        <f aca="false">IF(AB245="","-",IF(AB245="","",INDEX(시장분석!$AL:$AL,AB245)))</f>
        <v>Fair</v>
      </c>
      <c r="AS245" s="96" t="n">
        <f aca="false">IF(AB245="","",INDEX(시장분석!$AJ:$AJ,AB245))</f>
        <v>7.63200591971481</v>
      </c>
      <c r="AT245" s="93" t="n">
        <f aca="false">IF(AB245="",0,IF(AB245="","",INDEX(시장분석!$AN:$AN,AB245)))</f>
        <v>14.8337960149859</v>
      </c>
      <c r="AU245" s="94" t="n">
        <f aca="false">IF(ISNUMBER(Z245),AT245/10000*MAX(Z245-1,0)*AA245*1000000,0)</f>
        <v>18717.4488809304</v>
      </c>
      <c r="AV245" s="94" t="n">
        <f aca="false">AO245+AU245</f>
        <v>398964.64388393</v>
      </c>
      <c r="AW245" s="43" t="str">
        <f aca="false">IF(Q245&lt;&gt;1,"",TRIM(IF(AD245=1,"FRN ","")&amp;IF(AND(AL245&gt;=10,AL245&lt;99),"BBB0미만 ","")&amp;IF(AJ245="","등급없음 ","")&amp;IF(K245&lt;&gt;1,"비USD ","")&amp;IF(AND(AB245="",Y245=0),"시장데이터없음 ","")&amp;IF(AND(ISNUMBER(U245),U245&lt;0),"만기경과 ","")))</f>
        <v/>
      </c>
      <c r="AX245" s="90" t="n">
        <f aca="false">IF(Q245&lt;&gt;1,1,IF(스프레드쇼크!$C$4="Y",INDEX(스프레드쇼크!$B$12:$L$16,IFERROR(MATCH(AH245,스프레드쇼크!$A$12:$A$16,0),MATCH("목록외",스프레드쇼크!$A$12:$A$16,0)),IFERROR(MATCH(AG245,스프레드쇼크!$B$11:$L$11,0),MATCH("목록외",스프레드쇼크!$B$11:$L$11,0))),1))</f>
        <v>1</v>
      </c>
      <c r="AY245" s="90" t="n">
        <f aca="false">IF(스프레드쇼크!$C$5="Y",IF(ISNUMBER(AF245),MIN(스프레드쇼크!$C$7,MAX(스프레드쇼크!$C$6,AF245/스프레드쇼크!$C$8)),1),1)</f>
        <v>1.35649017977406</v>
      </c>
      <c r="AZ245" s="94" t="n">
        <f aca="false">AN245*AX245*AY245</f>
        <v>2577.27664505839</v>
      </c>
      <c r="BA245" s="90" t="n">
        <f aca="false">IF(ISNUMBER(G245),AA245*G245,0)</f>
        <v>38.0247195003</v>
      </c>
      <c r="BB245" s="90" t="n">
        <f aca="false">IF(ISNUMBER(G245),AA245,0)</f>
        <v>6.3814855</v>
      </c>
      <c r="BC245" s="90" t="n">
        <f aca="false">IF(AND(Y245=0,ISNUMBER(AF245)),AA245*AF245,0)</f>
        <v>572.3107640965</v>
      </c>
      <c r="BD245" s="90" t="n">
        <f aca="false">IF(AND(Y245=0,ISNUMBER(AF245)),AA245,0)</f>
        <v>6.3814855</v>
      </c>
      <c r="BE245" s="90" t="n">
        <f aca="false">IF(ISNUMBER(H245),AA245*H245,0)</f>
        <v>18.99959677915</v>
      </c>
      <c r="BF245" s="90" t="n">
        <f aca="false">IF(ISNUMBER(H245),AA245,0)</f>
        <v>6.3814855</v>
      </c>
      <c r="BG245" s="90" t="n">
        <f aca="false">IF(AND(Y245=0,ISNUMBER(AF245),ISNUMBER(Z245)),AA245*Z245,0)</f>
        <v>18.99959677915</v>
      </c>
      <c r="BH245" s="90" t="n">
        <f aca="false">IF(AND(Y245=0,ISNUMBER(AF245),ISNUMBER(Z245)),AA245*AT245*MAX(Z245-1,0),0)</f>
        <v>187.174488809304</v>
      </c>
      <c r="BI245" s="90" t="n">
        <f aca="false">IF(Y245=0,AA245,0)</f>
        <v>6.3814855</v>
      </c>
    </row>
    <row r="246" customFormat="false" ht="15" hidden="false" customHeight="false" outlineLevel="0" collapsed="false">
      <c r="A246" s="83" t="str">
        <f aca="false">IFERROR(IF(INDEX(원자료_잔고!$A$1:$EZ$1500,설정!$L$5+ROW()-1,설정!$L$8)&amp;""="0","",INDEX(원자료_잔고!$A$1:$EZ$1500,설정!$L$5+ROW()-1,설정!$L$8)&amp;""),"")</f>
        <v>LGENSO 5 04/02/29</v>
      </c>
      <c r="B246" s="83" t="str">
        <f aca="false">IFERROR(IF(INDEX(원자료_잔고!$A$1:$EZ$1500,설정!$L$5+ROW()-1,설정!$L$7)&amp;""="0","",INDEX(원자료_잔고!$A$1:$EZ$1500,설정!$L$5+ROW()-1,설정!$L$7)&amp;""),"")</f>
        <v>USY5S5CGAS19</v>
      </c>
      <c r="C246" s="83" t="str">
        <f aca="false">IFERROR(IF(INDEX(원자료_잔고!$A$1:$EZ$1500,설정!$L$5+ROW()-1,설정!$L$9)&amp;""="0","",INDEX(원자료_잔고!$A$1:$EZ$1500,설정!$L$5+ROW()-1,설정!$L$9)&amp;""),"")</f>
        <v>34578</v>
      </c>
      <c r="D24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6" s="84" t="n">
        <f aca="false">IFERROR(IF(ISNUMBER(INDEX(원자료_잔고!$A$1:$EZ$1500,설정!$L$5+ROW()-1,설정!$L$11)),INDEX(원자료_잔고!$A$1:$EZ$1500,설정!$L$5+ROW()-1,설정!$L$11),""),"")</f>
        <v>1500000</v>
      </c>
      <c r="F246" s="85" t="n">
        <f aca="false">IFERROR(IF(ISNUMBER(INDEX(원자료_잔고!$A$1:$EZ$1500,설정!$L$5+ROW()-1,설정!$L$12)),INDEX(원자료_잔고!$A$1:$EZ$1500,설정!$L$5+ROW()-1,설정!$L$12),""),"")</f>
        <v>98.3775</v>
      </c>
      <c r="G246" s="85" t="n">
        <f aca="false">IFERROR(IF(ISNUMBER(INDEX(원자료_잔고!$A$1:$EZ$1500,설정!$L$5+ROW()-1,설정!$L$13)),INDEX(원자료_잔고!$A$1:$EZ$1500,설정!$L$5+ROW()-1,설정!$L$13),""),"")</f>
        <v>5.7037</v>
      </c>
      <c r="H246" s="85" t="n">
        <f aca="false">IFERROR(IF(ISNUMBER(INDEX(원자료_잔고!$A$1:$EZ$1500,설정!$L$5+ROW()-1,설정!$L$14)),INDEX(원자료_잔고!$A$1:$EZ$1500,설정!$L$5+ROW()-1,설정!$L$14),""),"")</f>
        <v>2.2022</v>
      </c>
      <c r="I246" s="86" t="n">
        <f aca="false">IFERROR(IF(ISNUMBER(INDEX(원자료_잔고!$A$1:$EZ$1500,설정!$L$5+ROW()-1,설정!$L$15)),INDEX(원자료_잔고!$A$1:$EZ$1500,설정!$L$5+ROW()-1,설정!$L$15),""),"")</f>
        <v>47210</v>
      </c>
      <c r="J246" s="85" t="n">
        <f aca="false">IFERROR(IF(ISNUMBER(INDEX(원자료_잔고!$A$1:$EZ$1500,설정!$L$5+ROW()-1,설정!$L$16)),INDEX(원자료_잔고!$A$1:$EZ$1500,설정!$L$5+ROW()-1,설정!$L$16),""),"")</f>
        <v>5</v>
      </c>
      <c r="K246" s="87" t="n">
        <f aca="false">IFERROR(IF(ISNUMBER(INDEX(원자료_잔고!$A$1:$EZ$1500,설정!$L$5+ROW()-1,설정!$L$17)),INDEX(원자료_잔고!$A$1:$EZ$1500,설정!$L$5+ROW()-1,설정!$L$17),""),"")</f>
        <v>1</v>
      </c>
      <c r="L246" s="84" t="n">
        <f aca="false">IFERROR(IF(ISNUMBER(INDEX(원자료_잔고!$A$1:$EZ$1500,설정!$L$5+ROW()-1,설정!$L$18)),INDEX(원자료_잔고!$A$1:$EZ$1500,설정!$L$5+ROW()-1,설정!$L$18),""),"")</f>
        <v>1475662.5</v>
      </c>
      <c r="M246" s="88" t="n">
        <f aca="false">IFERROR(IF(ISNUMBER(INDEX(원자료_잔고!$A$1:$EZ$1500,설정!$L$5+ROW()-1,설정!$L$19)),INDEX(원자료_잔고!$A$1:$EZ$1500,설정!$L$5+ROW()-1,설정!$L$19),""),"")</f>
        <v>-33382.5</v>
      </c>
      <c r="N246" s="83" t="str">
        <f aca="false">IFERROR(IF(INDEX(원자료_잔고!$A$1:$EZ$1500,설정!$L$5+ROW()-1,설정!$L$21)&amp;""="0","",INDEX(원자료_잔고!$A$1:$EZ$1500,설정!$L$5+ROW()-1,설정!$L$21)&amp;""),"")</f>
        <v>BBB</v>
      </c>
      <c r="O246" s="83" t="str">
        <f aca="false">IFERROR(IF(INDEX(원자료_잔고!$A$1:$EZ$1500,설정!$L$5+ROW()-1,설정!$L$22)&amp;""="0","",INDEX(원자료_잔고!$A$1:$EZ$1500,설정!$L$5+ROW()-1,설정!$L$22)&amp;""),"")</f>
        <v/>
      </c>
      <c r="P246" s="83" t="str">
        <f aca="false">IFERROR(IF(INDEX(원자료_잔고!$A$1:$EZ$1500,설정!$L$5+ROW()-1,설정!$L$23)&amp;""="0","",INDEX(원자료_잔고!$A$1:$EZ$1500,설정!$L$5+ROW()-1,설정!$L$23)&amp;""),"")</f>
        <v>N/A</v>
      </c>
      <c r="Q246" s="89" t="n">
        <f aca="false">IF(AND($A246&lt;&gt;"",ISNUMBER(E246)),IF(E246&gt;0,1,0),0)</f>
        <v>1</v>
      </c>
      <c r="R246" s="43" t="str">
        <f aca="false">IF(Q246=1,UPPER(LEFT($A246,FIND(" ",$A246&amp;" ")-1)),"")</f>
        <v>LGENSO</v>
      </c>
      <c r="S246" s="89" t="n">
        <f aca="false">IF(Q246=1,IF(OR(ISNUMBER(SEARCH("Float",$A246)),ISNUMBER(SEARCH("FRN",$A246))),1,0),0)</f>
        <v>0</v>
      </c>
      <c r="T246" s="43" t="str">
        <f aca="false">IF(AND(Q246=1,ISNUMBER(I246)),TEXT(I246,"yyyymmdd")&amp;"|"&amp;IF(S246=1,"F",TEXT(J246,"0.000")),"")</f>
        <v>20290402|5.000</v>
      </c>
      <c r="U246" s="90" t="n">
        <f aca="false">IF(AND(Q246=1,ISNUMBER(I246)),(I246-설정!$C$4)/365.25,"")</f>
        <v>2.50239561943874</v>
      </c>
      <c r="V246" s="43" t="str">
        <f aca="false">IF(Q246&lt;&gt;1,"",IF(ISNUMBER(U246),IF(U246&lt;=1,"1년 이하",IF(U246&lt;=2,"1-2년",IF(U246&lt;=3,"2-3년",IF(U246&lt;=4,"3-4년",IF(U246&lt;=5,"4-5년",IF(U246&lt;=7,"5-7년",IF(U246&lt;=10,"7-10년",IF(U246&lt;=20,"10-20년","20년 이상")))))))),"미분류"))</f>
        <v>2-3년</v>
      </c>
      <c r="W246" s="43" t="str">
        <f aca="false">IF(Q246&lt;&gt;1,"",IF(AB246&lt;&gt;"",INDEX(시장분석!$C:$C,AB246),IF(K246=1,"USD","비USD")))</f>
        <v>USD</v>
      </c>
      <c r="X246" s="91" t="n">
        <f aca="false">IF(Q246=1,E246*K246/1000000,0)</f>
        <v>1.5</v>
      </c>
      <c r="Y246" s="89" t="n">
        <f aca="false">IF(R246="T",1,0)</f>
        <v>0</v>
      </c>
      <c r="Z246" s="92" t="n">
        <f aca="false">IF(Q246&lt;&gt;1,"",IF(AD246=1,IF(ISNUMBER(U246),MAX(U246,0),H246),H246))</f>
        <v>2.2022</v>
      </c>
      <c r="AA246" s="91" t="n">
        <f aca="false">IF(Q246=1,IF(ISNUMBER(L246),L246,0)*K246/1000000,0)</f>
        <v>1.4756625</v>
      </c>
      <c r="AB246" s="89" t="n">
        <f aca="false">IF(Q246&lt;&gt;1,"",IFERROR(MATCH(VLOOKUP(B246,매핑!$H$4:$I$15,2,0),시장분석!$A$2:$A$601,0)+1,IFERROR(MATCH(R246&amp;"|"&amp;T246,시장분석!$V$2:$V$601,0)+1,IF(COUNTIF(시장분석!$U$2:$U$601,T246)=1,MATCH(T246,시장분석!$U$2:$U$601,0)+1,""))))</f>
        <v>183</v>
      </c>
      <c r="AC246" s="89" t="n">
        <f aca="false">IF(Q246&lt;&gt;1,0,IF(OR(설정!$C$5="전체",AND(설정!$C$5="선택펀드",IFERROR(COUNTIFS(설정!$F$16:$F$36,C246,설정!$G$16:$G$36,"Y")+COUNTIFS(설정!$F$16:$F$36,VALUE(C246),설정!$G$16:$G$36,"Y"),0)&gt;0),C246&amp;""=설정!$C$5&amp;""),1,0))</f>
        <v>1</v>
      </c>
      <c r="AD246" s="89" t="n">
        <f aca="false">IF(Q246&lt;&gt;1,0,IF(OR(S246=1,IF(AB246="",FALSE(),INDEX(시장분석!$R:$R,AB246)=1)),1,0))</f>
        <v>0</v>
      </c>
      <c r="AE246" s="43" t="str">
        <f aca="false">IF(AB246="","",INDEX(시장분석!$A:$A,AB246))</f>
        <v>LGENSO 5 04/02/29</v>
      </c>
      <c r="AF246" s="93" t="n">
        <f aca="false">IF(AB246="","",IF(ISNUMBER(IF(AB246="","",INDEX(시장분석!$E:$E,AB246))),IF(AB246="","",INDEX(시장분석!$E:$E,AB246)),""))</f>
        <v>68.865</v>
      </c>
      <c r="AG246" s="43" t="str">
        <f aca="false">IF(Q246&lt;&gt;1,"",IF(AB246&lt;&gt;"",IF(AB246="","",INDEX(시장분석!$L:$L,AB246)),IFERROR(IF(VLOOKUP(R246,매핑!$A$4:$E$92,5,0)="","미분류",VLOOKUP(R246,매핑!$A$4:$E$92,5,0)),"미분류")))</f>
        <v>자유 소비재</v>
      </c>
      <c r="AH246" s="43" t="str">
        <f aca="false">IF(Q246&lt;&gt;1,"",IF(AB246&lt;&gt;"",IF(AB246="","",INDEX(시장분석!$N:$N,AB246)),IFERROR(IF(VLOOKUP(R246,매핑!$A$4:$E$92,4,0)="","미분류",VLOOKUP(R246,매핑!$A$4:$E$92,4,0)),"미분류")))</f>
        <v>아시아/기타</v>
      </c>
      <c r="AI246" s="43" t="str">
        <f aca="false">IF(Q246&lt;&gt;1,"",IFERROR(IF(VLOOKUP(R246,매핑!$A$4:$E$92,3,0)="","미분류",VLOOKUP(R246,매핑!$A$4:$E$92,3,0)),IF(AB246&lt;&gt;"",IF(AB246="","",INDEX(시장분석!$W:$W,AB246)),"미분류")))</f>
        <v>한국</v>
      </c>
      <c r="AJ246" s="43" t="str">
        <f aca="false">IF(Q246&lt;&gt;1,"",IFERROR(VLOOKUP(IF(N246&lt;&gt;"",N246,IF(P246&lt;&gt;"",P246,O246)),설정!$A$15:$D$47,2,0),""))</f>
        <v>BBB</v>
      </c>
      <c r="AK246" s="43" t="str">
        <f aca="false">IF(Q246&lt;&gt;1,"",IF(AJ246="","무등급",IFERROR(VLOOKUP(AJ246,설정!$A$15:$D$47,3,0),"무등급")))</f>
        <v>BBB</v>
      </c>
      <c r="AL246" s="89" t="n">
        <f aca="false">IF(AJ246="",99,IFERROR(VLOOKUP(AJ246,설정!$A$15:$D$47,4,0),99))</f>
        <v>9</v>
      </c>
      <c r="AM246" s="94" t="n">
        <f aca="false">IF(ISNUMBER(H246),AA246*1000000*H246/10000,0)</f>
        <v>324.97039575</v>
      </c>
      <c r="AN246" s="94" t="n">
        <f aca="false">IF(OR(Y246=1,NOT(ISNUMBER(Z246))),0,AA246*1000000*Z246/10000)</f>
        <v>324.97039575</v>
      </c>
      <c r="AO246" s="94" t="n">
        <f aca="false">IF(ISNUMBER(G246),AA246*1000000*G246/100,0)</f>
        <v>84167.3620125</v>
      </c>
      <c r="AP246" s="94" t="n">
        <f aca="false">IF(ISNUMBER(M246),M246*K246,0)</f>
        <v>-33382.5</v>
      </c>
      <c r="AQ246" s="95" t="n">
        <f aca="false">IF(AB246="","",INDEX(시장분석!$AK:$AK,AB246))</f>
        <v>-0.0430008139831369</v>
      </c>
      <c r="AR246" s="43" t="str">
        <f aca="false">IF(AB246="","-",IF(AB246="","",INDEX(시장분석!$AL:$AL,AB246)))</f>
        <v>Fair</v>
      </c>
      <c r="AS246" s="96" t="n">
        <f aca="false">IF(AB246="","",INDEX(시장분석!$AJ:$AJ,AB246))</f>
        <v>-0.890759322574297</v>
      </c>
      <c r="AT246" s="93" t="n">
        <f aca="false">IF(AB246="",0,IF(AB246="","",INDEX(시장분석!$AN:$AN,AB246)))</f>
        <v>21.8548291007732</v>
      </c>
      <c r="AU246" s="94" t="n">
        <f aca="false">IF(ISNUMBER(Z246),AT246/10000*MAX(Z246-1,0)*AA246*1000000,0)</f>
        <v>3877.13728713492</v>
      </c>
      <c r="AV246" s="94" t="n">
        <f aca="false">AO246+AU246</f>
        <v>88044.4992996349</v>
      </c>
      <c r="AW246" s="43" t="str">
        <f aca="false">IF(Q246&lt;&gt;1,"",TRIM(IF(AD246=1,"FRN ","")&amp;IF(AND(AL246&gt;=10,AL246&lt;99),"BBB0미만 ","")&amp;IF(AJ246="","등급없음 ","")&amp;IF(K246&lt;&gt;1,"비USD ","")&amp;IF(AND(AB246="",Y246=0),"시장데이터없음 ","")&amp;IF(AND(ISNUMBER(U246),U246&lt;0),"만기경과 ","")))</f>
        <v/>
      </c>
      <c r="AX246" s="90" t="n">
        <f aca="false">IF(Q246&lt;&gt;1,1,IF(스프레드쇼크!$C$4="Y",INDEX(스프레드쇼크!$B$12:$L$16,IFERROR(MATCH(AH246,스프레드쇼크!$A$12:$A$16,0),MATCH("목록외",스프레드쇼크!$A$12:$A$16,0)),IFERROR(MATCH(AG246,스프레드쇼크!$B$11:$L$11,0),MATCH("목록외",스프레드쇼크!$B$11:$L$11,0))),1))</f>
        <v>1</v>
      </c>
      <c r="AY246" s="90" t="n">
        <f aca="false">IF(스프레드쇼크!$C$5="Y",IF(ISNUMBER(AF246),MIN(스프레드쇼크!$C$7,MAX(스프레드쇼크!$C$6,AF246/스프레드쇼크!$C$8)),1),1)</f>
        <v>1.04160985058641</v>
      </c>
      <c r="AZ246" s="94" t="n">
        <f aca="false">AN246*AX246*AY246</f>
        <v>338.492365362163</v>
      </c>
      <c r="BA246" s="90" t="n">
        <f aca="false">IF(ISNUMBER(G246),AA246*G246,0)</f>
        <v>8.41673620125</v>
      </c>
      <c r="BB246" s="90" t="n">
        <f aca="false">IF(ISNUMBER(G246),AA246,0)</f>
        <v>1.4756625</v>
      </c>
      <c r="BC246" s="90" t="n">
        <f aca="false">IF(AND(Y246=0,ISNUMBER(AF246)),AA246*AF246,0)</f>
        <v>101.6214980625</v>
      </c>
      <c r="BD246" s="90" t="n">
        <f aca="false">IF(AND(Y246=0,ISNUMBER(AF246)),AA246,0)</f>
        <v>1.4756625</v>
      </c>
      <c r="BE246" s="90" t="n">
        <f aca="false">IF(ISNUMBER(H246),AA246*H246,0)</f>
        <v>3.2497039575</v>
      </c>
      <c r="BF246" s="90" t="n">
        <f aca="false">IF(ISNUMBER(H246),AA246,0)</f>
        <v>1.4756625</v>
      </c>
      <c r="BG246" s="90" t="n">
        <f aca="false">IF(AND(Y246=0,ISNUMBER(AF246),ISNUMBER(Z246)),AA246*Z246,0)</f>
        <v>3.2497039575</v>
      </c>
      <c r="BH246" s="90" t="n">
        <f aca="false">IF(AND(Y246=0,ISNUMBER(AF246),ISNUMBER(Z246)),AA246*AT246*MAX(Z246-1,0),0)</f>
        <v>38.7713728713492</v>
      </c>
      <c r="BI246" s="90" t="n">
        <f aca="false">IF(Y246=0,AA246,0)</f>
        <v>1.4756625</v>
      </c>
    </row>
    <row r="247" customFormat="false" ht="15" hidden="false" customHeight="false" outlineLevel="0" collapsed="false">
      <c r="A247" s="83" t="str">
        <f aca="false">IFERROR(IF(INDEX(원자료_잔고!$A$1:$EZ$1500,설정!$L$5+ROW()-1,설정!$L$8)&amp;""="0","",INDEX(원자료_잔고!$A$1:$EZ$1500,설정!$L$5+ROW()-1,설정!$L$8)&amp;""),"")</f>
        <v>LGENSO 5 04/02/29</v>
      </c>
      <c r="B247" s="83" t="str">
        <f aca="false">IFERROR(IF(INDEX(원자료_잔고!$A$1:$EZ$1500,설정!$L$5+ROW()-1,설정!$L$7)&amp;""="0","",INDEX(원자료_잔고!$A$1:$EZ$1500,설정!$L$5+ROW()-1,설정!$L$7)&amp;""),"")</f>
        <v>USY5S5CGAS19</v>
      </c>
      <c r="C247" s="83" t="str">
        <f aca="false">IFERROR(IF(INDEX(원자료_잔고!$A$1:$EZ$1500,설정!$L$5+ROW()-1,설정!$L$9)&amp;""="0","",INDEX(원자료_잔고!$A$1:$EZ$1500,설정!$L$5+ROW()-1,설정!$L$9)&amp;""),"")</f>
        <v>34578</v>
      </c>
      <c r="D24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7" s="84" t="n">
        <f aca="false">IFERROR(IF(ISNUMBER(INDEX(원자료_잔고!$A$1:$EZ$1500,설정!$L$5+ROW()-1,설정!$L$11)),INDEX(원자료_잔고!$A$1:$EZ$1500,설정!$L$5+ROW()-1,설정!$L$11),""),"")</f>
        <v>1500000</v>
      </c>
      <c r="F247" s="85" t="n">
        <f aca="false">IFERROR(IF(ISNUMBER(INDEX(원자료_잔고!$A$1:$EZ$1500,설정!$L$5+ROW()-1,설정!$L$12)),INDEX(원자료_잔고!$A$1:$EZ$1500,설정!$L$5+ROW()-1,설정!$L$12),""),"")</f>
        <v>98.3775</v>
      </c>
      <c r="G247" s="85" t="n">
        <f aca="false">IFERROR(IF(ISNUMBER(INDEX(원자료_잔고!$A$1:$EZ$1500,설정!$L$5+ROW()-1,설정!$L$13)),INDEX(원자료_잔고!$A$1:$EZ$1500,설정!$L$5+ROW()-1,설정!$L$13),""),"")</f>
        <v>5.7037</v>
      </c>
      <c r="H247" s="85" t="n">
        <f aca="false">IFERROR(IF(ISNUMBER(INDEX(원자료_잔고!$A$1:$EZ$1500,설정!$L$5+ROW()-1,설정!$L$14)),INDEX(원자료_잔고!$A$1:$EZ$1500,설정!$L$5+ROW()-1,설정!$L$14),""),"")</f>
        <v>2.2022</v>
      </c>
      <c r="I247" s="86" t="n">
        <f aca="false">IFERROR(IF(ISNUMBER(INDEX(원자료_잔고!$A$1:$EZ$1500,설정!$L$5+ROW()-1,설정!$L$15)),INDEX(원자료_잔고!$A$1:$EZ$1500,설정!$L$5+ROW()-1,설정!$L$15),""),"")</f>
        <v>47210</v>
      </c>
      <c r="J247" s="85" t="n">
        <f aca="false">IFERROR(IF(ISNUMBER(INDEX(원자료_잔고!$A$1:$EZ$1500,설정!$L$5+ROW()-1,설정!$L$16)),INDEX(원자료_잔고!$A$1:$EZ$1500,설정!$L$5+ROW()-1,설정!$L$16),""),"")</f>
        <v>5</v>
      </c>
      <c r="K247" s="87" t="n">
        <f aca="false">IFERROR(IF(ISNUMBER(INDEX(원자료_잔고!$A$1:$EZ$1500,설정!$L$5+ROW()-1,설정!$L$17)),INDEX(원자료_잔고!$A$1:$EZ$1500,설정!$L$5+ROW()-1,설정!$L$17),""),"")</f>
        <v>1</v>
      </c>
      <c r="L247" s="84" t="n">
        <f aca="false">IFERROR(IF(ISNUMBER(INDEX(원자료_잔고!$A$1:$EZ$1500,설정!$L$5+ROW()-1,설정!$L$18)),INDEX(원자료_잔고!$A$1:$EZ$1500,설정!$L$5+ROW()-1,설정!$L$18),""),"")</f>
        <v>1475662.5</v>
      </c>
      <c r="M247" s="88" t="n">
        <f aca="false">IFERROR(IF(ISNUMBER(INDEX(원자료_잔고!$A$1:$EZ$1500,설정!$L$5+ROW()-1,설정!$L$19)),INDEX(원자료_잔고!$A$1:$EZ$1500,설정!$L$5+ROW()-1,설정!$L$19),""),"")</f>
        <v>-33577.5</v>
      </c>
      <c r="N247" s="83" t="str">
        <f aca="false">IFERROR(IF(INDEX(원자료_잔고!$A$1:$EZ$1500,설정!$L$5+ROW()-1,설정!$L$21)&amp;""="0","",INDEX(원자료_잔고!$A$1:$EZ$1500,설정!$L$5+ROW()-1,설정!$L$21)&amp;""),"")</f>
        <v>BBB</v>
      </c>
      <c r="O247" s="83" t="str">
        <f aca="false">IFERROR(IF(INDEX(원자료_잔고!$A$1:$EZ$1500,설정!$L$5+ROW()-1,설정!$L$22)&amp;""="0","",INDEX(원자료_잔고!$A$1:$EZ$1500,설정!$L$5+ROW()-1,설정!$L$22)&amp;""),"")</f>
        <v/>
      </c>
      <c r="P247" s="83" t="str">
        <f aca="false">IFERROR(IF(INDEX(원자료_잔고!$A$1:$EZ$1500,설정!$L$5+ROW()-1,설정!$L$23)&amp;""="0","",INDEX(원자료_잔고!$A$1:$EZ$1500,설정!$L$5+ROW()-1,설정!$L$23)&amp;""),"")</f>
        <v>N/A</v>
      </c>
      <c r="Q247" s="89" t="n">
        <f aca="false">IF(AND($A247&lt;&gt;"",ISNUMBER(E247)),IF(E247&gt;0,1,0),0)</f>
        <v>1</v>
      </c>
      <c r="R247" s="43" t="str">
        <f aca="false">IF(Q247=1,UPPER(LEFT($A247,FIND(" ",$A247&amp;" ")-1)),"")</f>
        <v>LGENSO</v>
      </c>
      <c r="S247" s="89" t="n">
        <f aca="false">IF(Q247=1,IF(OR(ISNUMBER(SEARCH("Float",$A247)),ISNUMBER(SEARCH("FRN",$A247))),1,0),0)</f>
        <v>0</v>
      </c>
      <c r="T247" s="43" t="str">
        <f aca="false">IF(AND(Q247=1,ISNUMBER(I247)),TEXT(I247,"yyyymmdd")&amp;"|"&amp;IF(S247=1,"F",TEXT(J247,"0.000")),"")</f>
        <v>20290402|5.000</v>
      </c>
      <c r="U247" s="90" t="n">
        <f aca="false">IF(AND(Q247=1,ISNUMBER(I247)),(I247-설정!$C$4)/365.25,"")</f>
        <v>2.50239561943874</v>
      </c>
      <c r="V247" s="43" t="str">
        <f aca="false">IF(Q247&lt;&gt;1,"",IF(ISNUMBER(U247),IF(U247&lt;=1,"1년 이하",IF(U247&lt;=2,"1-2년",IF(U247&lt;=3,"2-3년",IF(U247&lt;=4,"3-4년",IF(U247&lt;=5,"4-5년",IF(U247&lt;=7,"5-7년",IF(U247&lt;=10,"7-10년",IF(U247&lt;=20,"10-20년","20년 이상")))))))),"미분류"))</f>
        <v>2-3년</v>
      </c>
      <c r="W247" s="43" t="str">
        <f aca="false">IF(Q247&lt;&gt;1,"",IF(AB247&lt;&gt;"",INDEX(시장분석!$C:$C,AB247),IF(K247=1,"USD","비USD")))</f>
        <v>USD</v>
      </c>
      <c r="X247" s="91" t="n">
        <f aca="false">IF(Q247=1,E247*K247/1000000,0)</f>
        <v>1.5</v>
      </c>
      <c r="Y247" s="89" t="n">
        <f aca="false">IF(R247="T",1,0)</f>
        <v>0</v>
      </c>
      <c r="Z247" s="92" t="n">
        <f aca="false">IF(Q247&lt;&gt;1,"",IF(AD247=1,IF(ISNUMBER(U247),MAX(U247,0),H247),H247))</f>
        <v>2.2022</v>
      </c>
      <c r="AA247" s="91" t="n">
        <f aca="false">IF(Q247=1,IF(ISNUMBER(L247),L247,0)*K247/1000000,0)</f>
        <v>1.4756625</v>
      </c>
      <c r="AB247" s="89" t="n">
        <f aca="false">IF(Q247&lt;&gt;1,"",IFERROR(MATCH(VLOOKUP(B247,매핑!$H$4:$I$15,2,0),시장분석!$A$2:$A$601,0)+1,IFERROR(MATCH(R247&amp;"|"&amp;T247,시장분석!$V$2:$V$601,0)+1,IF(COUNTIF(시장분석!$U$2:$U$601,T247)=1,MATCH(T247,시장분석!$U$2:$U$601,0)+1,""))))</f>
        <v>183</v>
      </c>
      <c r="AC247" s="89" t="n">
        <f aca="false">IF(Q247&lt;&gt;1,0,IF(OR(설정!$C$5="전체",AND(설정!$C$5="선택펀드",IFERROR(COUNTIFS(설정!$F$16:$F$36,C247,설정!$G$16:$G$36,"Y")+COUNTIFS(설정!$F$16:$F$36,VALUE(C247),설정!$G$16:$G$36,"Y"),0)&gt;0),C247&amp;""=설정!$C$5&amp;""),1,0))</f>
        <v>1</v>
      </c>
      <c r="AD247" s="89" t="n">
        <f aca="false">IF(Q247&lt;&gt;1,0,IF(OR(S247=1,IF(AB247="",FALSE(),INDEX(시장분석!$R:$R,AB247)=1)),1,0))</f>
        <v>0</v>
      </c>
      <c r="AE247" s="43" t="str">
        <f aca="false">IF(AB247="","",INDEX(시장분석!$A:$A,AB247))</f>
        <v>LGENSO 5 04/02/29</v>
      </c>
      <c r="AF247" s="93" t="n">
        <f aca="false">IF(AB247="","",IF(ISNUMBER(IF(AB247="","",INDEX(시장분석!$E:$E,AB247))),IF(AB247="","",INDEX(시장분석!$E:$E,AB247)),""))</f>
        <v>68.865</v>
      </c>
      <c r="AG247" s="43" t="str">
        <f aca="false">IF(Q247&lt;&gt;1,"",IF(AB247&lt;&gt;"",IF(AB247="","",INDEX(시장분석!$L:$L,AB247)),IFERROR(IF(VLOOKUP(R247,매핑!$A$4:$E$92,5,0)="","미분류",VLOOKUP(R247,매핑!$A$4:$E$92,5,0)),"미분류")))</f>
        <v>자유 소비재</v>
      </c>
      <c r="AH247" s="43" t="str">
        <f aca="false">IF(Q247&lt;&gt;1,"",IF(AB247&lt;&gt;"",IF(AB247="","",INDEX(시장분석!$N:$N,AB247)),IFERROR(IF(VLOOKUP(R247,매핑!$A$4:$E$92,4,0)="","미분류",VLOOKUP(R247,매핑!$A$4:$E$92,4,0)),"미분류")))</f>
        <v>아시아/기타</v>
      </c>
      <c r="AI247" s="43" t="str">
        <f aca="false">IF(Q247&lt;&gt;1,"",IFERROR(IF(VLOOKUP(R247,매핑!$A$4:$E$92,3,0)="","미분류",VLOOKUP(R247,매핑!$A$4:$E$92,3,0)),IF(AB247&lt;&gt;"",IF(AB247="","",INDEX(시장분석!$W:$W,AB247)),"미분류")))</f>
        <v>한국</v>
      </c>
      <c r="AJ247" s="43" t="str">
        <f aca="false">IF(Q247&lt;&gt;1,"",IFERROR(VLOOKUP(IF(N247&lt;&gt;"",N247,IF(P247&lt;&gt;"",P247,O247)),설정!$A$15:$D$47,2,0),""))</f>
        <v>BBB</v>
      </c>
      <c r="AK247" s="43" t="str">
        <f aca="false">IF(Q247&lt;&gt;1,"",IF(AJ247="","무등급",IFERROR(VLOOKUP(AJ247,설정!$A$15:$D$47,3,0),"무등급")))</f>
        <v>BBB</v>
      </c>
      <c r="AL247" s="89" t="n">
        <f aca="false">IF(AJ247="",99,IFERROR(VLOOKUP(AJ247,설정!$A$15:$D$47,4,0),99))</f>
        <v>9</v>
      </c>
      <c r="AM247" s="94" t="n">
        <f aca="false">IF(ISNUMBER(H247),AA247*1000000*H247/10000,0)</f>
        <v>324.97039575</v>
      </c>
      <c r="AN247" s="94" t="n">
        <f aca="false">IF(OR(Y247=1,NOT(ISNUMBER(Z247))),0,AA247*1000000*Z247/10000)</f>
        <v>324.97039575</v>
      </c>
      <c r="AO247" s="94" t="n">
        <f aca="false">IF(ISNUMBER(G247),AA247*1000000*G247/100,0)</f>
        <v>84167.3620125</v>
      </c>
      <c r="AP247" s="94" t="n">
        <f aca="false">IF(ISNUMBER(M247),M247*K247,0)</f>
        <v>-33577.5</v>
      </c>
      <c r="AQ247" s="95" t="n">
        <f aca="false">IF(AB247="","",INDEX(시장분석!$AK:$AK,AB247))</f>
        <v>-0.0430008139831369</v>
      </c>
      <c r="AR247" s="43" t="str">
        <f aca="false">IF(AB247="","-",IF(AB247="","",INDEX(시장분석!$AL:$AL,AB247)))</f>
        <v>Fair</v>
      </c>
      <c r="AS247" s="96" t="n">
        <f aca="false">IF(AB247="","",INDEX(시장분석!$AJ:$AJ,AB247))</f>
        <v>-0.890759322574297</v>
      </c>
      <c r="AT247" s="93" t="n">
        <f aca="false">IF(AB247="",0,IF(AB247="","",INDEX(시장분석!$AN:$AN,AB247)))</f>
        <v>21.8548291007732</v>
      </c>
      <c r="AU247" s="94" t="n">
        <f aca="false">IF(ISNUMBER(Z247),AT247/10000*MAX(Z247-1,0)*AA247*1000000,0)</f>
        <v>3877.13728713492</v>
      </c>
      <c r="AV247" s="94" t="n">
        <f aca="false">AO247+AU247</f>
        <v>88044.4992996349</v>
      </c>
      <c r="AW247" s="43" t="str">
        <f aca="false">IF(Q247&lt;&gt;1,"",TRIM(IF(AD247=1,"FRN ","")&amp;IF(AND(AL247&gt;=10,AL247&lt;99),"BBB0미만 ","")&amp;IF(AJ247="","등급없음 ","")&amp;IF(K247&lt;&gt;1,"비USD ","")&amp;IF(AND(AB247="",Y247=0),"시장데이터없음 ","")&amp;IF(AND(ISNUMBER(U247),U247&lt;0),"만기경과 ","")))</f>
        <v/>
      </c>
      <c r="AX247" s="90" t="n">
        <f aca="false">IF(Q247&lt;&gt;1,1,IF(스프레드쇼크!$C$4="Y",INDEX(스프레드쇼크!$B$12:$L$16,IFERROR(MATCH(AH247,스프레드쇼크!$A$12:$A$16,0),MATCH("목록외",스프레드쇼크!$A$12:$A$16,0)),IFERROR(MATCH(AG247,스프레드쇼크!$B$11:$L$11,0),MATCH("목록외",스프레드쇼크!$B$11:$L$11,0))),1))</f>
        <v>1</v>
      </c>
      <c r="AY247" s="90" t="n">
        <f aca="false">IF(스프레드쇼크!$C$5="Y",IF(ISNUMBER(AF247),MIN(스프레드쇼크!$C$7,MAX(스프레드쇼크!$C$6,AF247/스프레드쇼크!$C$8)),1),1)</f>
        <v>1.04160985058641</v>
      </c>
      <c r="AZ247" s="94" t="n">
        <f aca="false">AN247*AX247*AY247</f>
        <v>338.492365362163</v>
      </c>
      <c r="BA247" s="90" t="n">
        <f aca="false">IF(ISNUMBER(G247),AA247*G247,0)</f>
        <v>8.41673620125</v>
      </c>
      <c r="BB247" s="90" t="n">
        <f aca="false">IF(ISNUMBER(G247),AA247,0)</f>
        <v>1.4756625</v>
      </c>
      <c r="BC247" s="90" t="n">
        <f aca="false">IF(AND(Y247=0,ISNUMBER(AF247)),AA247*AF247,0)</f>
        <v>101.6214980625</v>
      </c>
      <c r="BD247" s="90" t="n">
        <f aca="false">IF(AND(Y247=0,ISNUMBER(AF247)),AA247,0)</f>
        <v>1.4756625</v>
      </c>
      <c r="BE247" s="90" t="n">
        <f aca="false">IF(ISNUMBER(H247),AA247*H247,0)</f>
        <v>3.2497039575</v>
      </c>
      <c r="BF247" s="90" t="n">
        <f aca="false">IF(ISNUMBER(H247),AA247,0)</f>
        <v>1.4756625</v>
      </c>
      <c r="BG247" s="90" t="n">
        <f aca="false">IF(AND(Y247=0,ISNUMBER(AF247),ISNUMBER(Z247)),AA247*Z247,0)</f>
        <v>3.2497039575</v>
      </c>
      <c r="BH247" s="90" t="n">
        <f aca="false">IF(AND(Y247=0,ISNUMBER(AF247),ISNUMBER(Z247)),AA247*AT247*MAX(Z247-1,0),0)</f>
        <v>38.7713728713492</v>
      </c>
      <c r="BI247" s="90" t="n">
        <f aca="false">IF(Y247=0,AA247,0)</f>
        <v>1.4756625</v>
      </c>
    </row>
    <row r="248" customFormat="false" ht="15" hidden="false" customHeight="false" outlineLevel="0" collapsed="false">
      <c r="A248" s="83" t="str">
        <f aca="false">IFERROR(IF(INDEX(원자료_잔고!$A$1:$EZ$1500,설정!$L$5+ROW()-1,설정!$L$8)&amp;""="0","",INDEX(원자료_잔고!$A$1:$EZ$1500,설정!$L$5+ROW()-1,설정!$L$8)&amp;""),"")</f>
        <v>LGELEC 5.625 04/24/29</v>
      </c>
      <c r="B248" s="83" t="str">
        <f aca="false">IFERROR(IF(INDEX(원자료_잔고!$A$1:$EZ$1500,설정!$L$5+ROW()-1,설정!$L$7)&amp;""="0","",INDEX(원자료_잔고!$A$1:$EZ$1500,설정!$L$5+ROW()-1,설정!$L$7)&amp;""),"")</f>
        <v>USY5S80VAB27</v>
      </c>
      <c r="C248" s="83" t="str">
        <f aca="false">IFERROR(IF(INDEX(원자료_잔고!$A$1:$EZ$1500,설정!$L$5+ROW()-1,설정!$L$9)&amp;""="0","",INDEX(원자료_잔고!$A$1:$EZ$1500,설정!$L$5+ROW()-1,설정!$L$9)&amp;""),"")</f>
        <v>34578</v>
      </c>
      <c r="D24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8" s="84" t="n">
        <f aca="false">IFERROR(IF(ISNUMBER(INDEX(원자료_잔고!$A$1:$EZ$1500,설정!$L$5+ROW()-1,설정!$L$11)),INDEX(원자료_잔고!$A$1:$EZ$1500,설정!$L$5+ROW()-1,설정!$L$11),""),"")</f>
        <v>5000000</v>
      </c>
      <c r="F248" s="85" t="n">
        <f aca="false">IFERROR(IF(ISNUMBER(INDEX(원자료_잔고!$A$1:$EZ$1500,설정!$L$5+ROW()-1,설정!$L$12)),INDEX(원자료_잔고!$A$1:$EZ$1500,설정!$L$5+ROW()-1,설정!$L$12),""),"")</f>
        <v>100.2439</v>
      </c>
      <c r="G248" s="85" t="n">
        <f aca="false">IFERROR(IF(ISNUMBER(INDEX(원자료_잔고!$A$1:$EZ$1500,설정!$L$5+ROW()-1,설정!$L$13)),INDEX(원자료_잔고!$A$1:$EZ$1500,설정!$L$5+ROW()-1,설정!$L$13),""),"")</f>
        <v>5.52</v>
      </c>
      <c r="H248" s="85" t="n">
        <f aca="false">IFERROR(IF(ISNUMBER(INDEX(원자료_잔고!$A$1:$EZ$1500,설정!$L$5+ROW()-1,설정!$L$14)),INDEX(원자료_잔고!$A$1:$EZ$1500,설정!$L$5+ROW()-1,설정!$L$14),""),"")</f>
        <v>2.2465</v>
      </c>
      <c r="I248" s="86" t="n">
        <f aca="false">IFERROR(IF(ISNUMBER(INDEX(원자료_잔고!$A$1:$EZ$1500,설정!$L$5+ROW()-1,설정!$L$15)),INDEX(원자료_잔고!$A$1:$EZ$1500,설정!$L$5+ROW()-1,설정!$L$15),""),"")</f>
        <v>47232</v>
      </c>
      <c r="J248" s="85" t="n">
        <f aca="false">IFERROR(IF(ISNUMBER(INDEX(원자료_잔고!$A$1:$EZ$1500,설정!$L$5+ROW()-1,설정!$L$16)),INDEX(원자료_잔고!$A$1:$EZ$1500,설정!$L$5+ROW()-1,설정!$L$16),""),"")</f>
        <v>5.625</v>
      </c>
      <c r="K248" s="87" t="n">
        <f aca="false">IFERROR(IF(ISNUMBER(INDEX(원자료_잔고!$A$1:$EZ$1500,설정!$L$5+ROW()-1,설정!$L$17)),INDEX(원자료_잔고!$A$1:$EZ$1500,설정!$L$5+ROW()-1,설정!$L$17),""),"")</f>
        <v>1</v>
      </c>
      <c r="L248" s="84" t="n">
        <f aca="false">IFERROR(IF(ISNUMBER(INDEX(원자료_잔고!$A$1:$EZ$1500,설정!$L$5+ROW()-1,설정!$L$18)),INDEX(원자료_잔고!$A$1:$EZ$1500,설정!$L$5+ROW()-1,설정!$L$18),""),"")</f>
        <v>5012195</v>
      </c>
      <c r="M248" s="88" t="n">
        <f aca="false">IFERROR(IF(ISNUMBER(INDEX(원자료_잔고!$A$1:$EZ$1500,설정!$L$5+ROW()-1,설정!$L$19)),INDEX(원자료_잔고!$A$1:$EZ$1500,설정!$L$5+ROW()-1,설정!$L$19),""),"")</f>
        <v>-181355</v>
      </c>
      <c r="N248" s="83" t="str">
        <f aca="false">IFERROR(IF(INDEX(원자료_잔고!$A$1:$EZ$1500,설정!$L$5+ROW()-1,설정!$L$21)&amp;""="0","",INDEX(원자료_잔고!$A$1:$EZ$1500,설정!$L$5+ROW()-1,설정!$L$21)&amp;""),"")</f>
        <v>BBB</v>
      </c>
      <c r="O248" s="83" t="str">
        <f aca="false">IFERROR(IF(INDEX(원자료_잔고!$A$1:$EZ$1500,설정!$L$5+ROW()-1,설정!$L$22)&amp;""="0","",INDEX(원자료_잔고!$A$1:$EZ$1500,설정!$L$5+ROW()-1,설정!$L$22)&amp;""),"")</f>
        <v>Baa2</v>
      </c>
      <c r="P248" s="83" t="str">
        <f aca="false">IFERROR(IF(INDEX(원자료_잔고!$A$1:$EZ$1500,설정!$L$5+ROW()-1,설정!$L$23)&amp;""="0","",INDEX(원자료_잔고!$A$1:$EZ$1500,설정!$L$5+ROW()-1,설정!$L$23)&amp;""),"")</f>
        <v>BBB</v>
      </c>
      <c r="Q248" s="89" t="n">
        <f aca="false">IF(AND($A248&lt;&gt;"",ISNUMBER(E248)),IF(E248&gt;0,1,0),0)</f>
        <v>1</v>
      </c>
      <c r="R248" s="43" t="str">
        <f aca="false">IF(Q248=1,UPPER(LEFT($A248,FIND(" ",$A248&amp;" ")-1)),"")</f>
        <v>LGELEC</v>
      </c>
      <c r="S248" s="89" t="n">
        <f aca="false">IF(Q248=1,IF(OR(ISNUMBER(SEARCH("Float",$A248)),ISNUMBER(SEARCH("FRN",$A248))),1,0),0)</f>
        <v>0</v>
      </c>
      <c r="T248" s="43" t="str">
        <f aca="false">IF(AND(Q248=1,ISNUMBER(I248)),TEXT(I248,"yyyymmdd")&amp;"|"&amp;IF(S248=1,"F",TEXT(J248,"0.000")),"")</f>
        <v>20290424|5.625</v>
      </c>
      <c r="U248" s="90" t="n">
        <f aca="false">IF(AND(Q248=1,ISNUMBER(I248)),(I248-설정!$C$4)/365.25,"")</f>
        <v>2.56262833675565</v>
      </c>
      <c r="V248" s="43" t="str">
        <f aca="false">IF(Q248&lt;&gt;1,"",IF(ISNUMBER(U248),IF(U248&lt;=1,"1년 이하",IF(U248&lt;=2,"1-2년",IF(U248&lt;=3,"2-3년",IF(U248&lt;=4,"3-4년",IF(U248&lt;=5,"4-5년",IF(U248&lt;=7,"5-7년",IF(U248&lt;=10,"7-10년",IF(U248&lt;=20,"10-20년","20년 이상")))))))),"미분류"))</f>
        <v>2-3년</v>
      </c>
      <c r="W248" s="43" t="str">
        <f aca="false">IF(Q248&lt;&gt;1,"",IF(AB248&lt;&gt;"",INDEX(시장분석!$C:$C,AB248),IF(K248=1,"USD","비USD")))</f>
        <v>USD</v>
      </c>
      <c r="X248" s="91" t="n">
        <f aca="false">IF(Q248=1,E248*K248/1000000,0)</f>
        <v>5</v>
      </c>
      <c r="Y248" s="89" t="n">
        <f aca="false">IF(R248="T",1,0)</f>
        <v>0</v>
      </c>
      <c r="Z248" s="92" t="n">
        <f aca="false">IF(Q248&lt;&gt;1,"",IF(AD248=1,IF(ISNUMBER(U248),MAX(U248,0),H248),H248))</f>
        <v>2.2465</v>
      </c>
      <c r="AA248" s="91" t="n">
        <f aca="false">IF(Q248=1,IF(ISNUMBER(L248),L248,0)*K248/1000000,0)</f>
        <v>5.012195</v>
      </c>
      <c r="AB248" s="89" t="n">
        <f aca="false">IF(Q248&lt;&gt;1,"",IFERROR(MATCH(VLOOKUP(B248,매핑!$H$4:$I$15,2,0),시장분석!$A$2:$A$601,0)+1,IFERROR(MATCH(R248&amp;"|"&amp;T248,시장분석!$V$2:$V$601,0)+1,IF(COUNTIF(시장분석!$U$2:$U$601,T248)=1,MATCH(T248,시장분석!$U$2:$U$601,0)+1,""))))</f>
        <v>185</v>
      </c>
      <c r="AC248" s="89" t="n">
        <f aca="false">IF(Q248&lt;&gt;1,0,IF(OR(설정!$C$5="전체",AND(설정!$C$5="선택펀드",IFERROR(COUNTIFS(설정!$F$16:$F$36,C248,설정!$G$16:$G$36,"Y")+COUNTIFS(설정!$F$16:$F$36,VALUE(C248),설정!$G$16:$G$36,"Y"),0)&gt;0),C248&amp;""=설정!$C$5&amp;""),1,0))</f>
        <v>1</v>
      </c>
      <c r="AD248" s="89" t="n">
        <f aca="false">IF(Q248&lt;&gt;1,0,IF(OR(S248=1,IF(AB248="",FALSE(),INDEX(시장분석!$R:$R,AB248)=1)),1,0))</f>
        <v>0</v>
      </c>
      <c r="AE248" s="43" t="str">
        <f aca="false">IF(AB248="","",INDEX(시장분석!$A:$A,AB248))</f>
        <v>LGELEC 5 5/8 04/24/29</v>
      </c>
      <c r="AF248" s="93" t="n">
        <f aca="false">IF(AB248="","",IF(ISNUMBER(IF(AB248="","",INDEX(시장분석!$E:$E,AB248))),IF(AB248="","",INDEX(시장분석!$E:$E,AB248)),""))</f>
        <v>49.669</v>
      </c>
      <c r="AG248" s="43" t="str">
        <f aca="false">IF(Q248&lt;&gt;1,"",IF(AB248&lt;&gt;"",IF(AB248="","",INDEX(시장분석!$L:$L,AB248)),IFERROR(IF(VLOOKUP(R248,매핑!$A$4:$E$92,5,0)="","미분류",VLOOKUP(R248,매핑!$A$4:$E$92,5,0)),"미분류")))</f>
        <v>기술</v>
      </c>
      <c r="AH248" s="43" t="str">
        <f aca="false">IF(Q248&lt;&gt;1,"",IF(AB248&lt;&gt;"",IF(AB248="","",INDEX(시장분석!$N:$N,AB248)),IFERROR(IF(VLOOKUP(R248,매핑!$A$4:$E$92,4,0)="","미분류",VLOOKUP(R248,매핑!$A$4:$E$92,4,0)),"미분류")))</f>
        <v>아시아/기타</v>
      </c>
      <c r="AI248" s="43" t="str">
        <f aca="false">IF(Q248&lt;&gt;1,"",IFERROR(IF(VLOOKUP(R248,매핑!$A$4:$E$92,3,0)="","미분류",VLOOKUP(R248,매핑!$A$4:$E$92,3,0)),IF(AB248&lt;&gt;"",IF(AB248="","",INDEX(시장분석!$W:$W,AB248)),"미분류")))</f>
        <v>한국</v>
      </c>
      <c r="AJ248" s="43" t="str">
        <f aca="false">IF(Q248&lt;&gt;1,"",IFERROR(VLOOKUP(IF(N248&lt;&gt;"",N248,IF(P248&lt;&gt;"",P248,O248)),설정!$A$15:$D$47,2,0),""))</f>
        <v>BBB</v>
      </c>
      <c r="AK248" s="43" t="str">
        <f aca="false">IF(Q248&lt;&gt;1,"",IF(AJ248="","무등급",IFERROR(VLOOKUP(AJ248,설정!$A$15:$D$47,3,0),"무등급")))</f>
        <v>BBB</v>
      </c>
      <c r="AL248" s="89" t="n">
        <f aca="false">IF(AJ248="",99,IFERROR(VLOOKUP(AJ248,설정!$A$15:$D$47,4,0),99))</f>
        <v>9</v>
      </c>
      <c r="AM248" s="94" t="n">
        <f aca="false">IF(ISNUMBER(H248),AA248*1000000*H248/10000,0)</f>
        <v>1125.98960675</v>
      </c>
      <c r="AN248" s="94" t="n">
        <f aca="false">IF(OR(Y248=1,NOT(ISNUMBER(Z248))),0,AA248*1000000*Z248/10000)</f>
        <v>1125.98960675</v>
      </c>
      <c r="AO248" s="94" t="n">
        <f aca="false">IF(ISNUMBER(G248),AA248*1000000*G248/100,0)</f>
        <v>276673.164</v>
      </c>
      <c r="AP248" s="94" t="n">
        <f aca="false">IF(ISNUMBER(M248),M248*K248,0)</f>
        <v>-181355</v>
      </c>
      <c r="AQ248" s="95" t="n">
        <f aca="false">IF(AB248="","",INDEX(시장분석!$AK:$AK,AB248))</f>
        <v>-0.191708237045126</v>
      </c>
      <c r="AR248" s="43" t="str">
        <f aca="false">IF(AB248="","-",IF(AB248="","",INDEX(시장분석!$AL:$AL,AB248)))</f>
        <v>Fair</v>
      </c>
      <c r="AS248" s="96" t="n">
        <f aca="false">IF(AB248="","",INDEX(시장분석!$AJ:$AJ,AB248))</f>
        <v>-0.51569929727296</v>
      </c>
      <c r="AT248" s="93" t="n">
        <f aca="false">IF(AB248="",0,IF(AB248="","",INDEX(시장분석!$AN:$AN,AB248)))</f>
        <v>10.8974038721068</v>
      </c>
      <c r="AU248" s="94" t="n">
        <f aca="false">IF(ISNUMBER(Z248),AT248/10000*MAX(Z248-1,0)*AA248*1000000,0)</f>
        <v>6808.37218047401</v>
      </c>
      <c r="AV248" s="94" t="n">
        <f aca="false">AO248+AU248</f>
        <v>283481.536180474</v>
      </c>
      <c r="AW248" s="43" t="str">
        <f aca="false">IF(Q248&lt;&gt;1,"",TRIM(IF(AD248=1,"FRN ","")&amp;IF(AND(AL248&gt;=10,AL248&lt;99),"BBB0미만 ","")&amp;IF(AJ248="","등급없음 ","")&amp;IF(K248&lt;&gt;1,"비USD ","")&amp;IF(AND(AB248="",Y248=0),"시장데이터없음 ","")&amp;IF(AND(ISNUMBER(U248),U248&lt;0),"만기경과 ","")))</f>
        <v/>
      </c>
      <c r="AX248" s="90" t="n">
        <f aca="false">IF(Q248&lt;&gt;1,1,IF(스프레드쇼크!$C$4="Y",INDEX(스프레드쇼크!$B$12:$L$16,IFERROR(MATCH(AH248,스프레드쇼크!$A$12:$A$16,0),MATCH("목록외",스프레드쇼크!$A$12:$A$16,0)),IFERROR(MATCH(AG248,스프레드쇼크!$B$11:$L$11,0),MATCH("목록외",스프레드쇼크!$B$11:$L$11,0))),1))</f>
        <v>1</v>
      </c>
      <c r="AY248" s="90" t="n">
        <f aca="false">IF(스프레드쇼크!$C$5="Y",IF(ISNUMBER(AF248),MIN(스프레드쇼크!$C$7,MAX(스프레드쇼크!$C$6,AF248/스프레드쇼크!$C$8)),1),1)</f>
        <v>0.751262900875281</v>
      </c>
      <c r="AZ248" s="94" t="n">
        <f aca="false">AN248*AX248*AY248</f>
        <v>845.914218322422</v>
      </c>
      <c r="BA248" s="90" t="n">
        <f aca="false">IF(ISNUMBER(G248),AA248*G248,0)</f>
        <v>27.6673164</v>
      </c>
      <c r="BB248" s="90" t="n">
        <f aca="false">IF(ISNUMBER(G248),AA248,0)</f>
        <v>5.012195</v>
      </c>
      <c r="BC248" s="90" t="n">
        <f aca="false">IF(AND(Y248=0,ISNUMBER(AF248)),AA248*AF248,0)</f>
        <v>248.950713455</v>
      </c>
      <c r="BD248" s="90" t="n">
        <f aca="false">IF(AND(Y248=0,ISNUMBER(AF248)),AA248,0)</f>
        <v>5.012195</v>
      </c>
      <c r="BE248" s="90" t="n">
        <f aca="false">IF(ISNUMBER(H248),AA248*H248,0)</f>
        <v>11.2598960675</v>
      </c>
      <c r="BF248" s="90" t="n">
        <f aca="false">IF(ISNUMBER(H248),AA248,0)</f>
        <v>5.012195</v>
      </c>
      <c r="BG248" s="90" t="n">
        <f aca="false">IF(AND(Y248=0,ISNUMBER(AF248),ISNUMBER(Z248)),AA248*Z248,0)</f>
        <v>11.2598960675</v>
      </c>
      <c r="BH248" s="90" t="n">
        <f aca="false">IF(AND(Y248=0,ISNUMBER(AF248),ISNUMBER(Z248)),AA248*AT248*MAX(Z248-1,0),0)</f>
        <v>68.0837218047401</v>
      </c>
      <c r="BI248" s="90" t="n">
        <f aca="false">IF(Y248=0,AA248,0)</f>
        <v>5.012195</v>
      </c>
    </row>
    <row r="249" customFormat="false" ht="15" hidden="false" customHeight="false" outlineLevel="0" collapsed="false">
      <c r="A249" s="83" t="str">
        <f aca="false">IFERROR(IF(INDEX(원자료_잔고!$A$1:$EZ$1500,설정!$L$5+ROW()-1,설정!$L$8)&amp;""="0","",INDEX(원자료_잔고!$A$1:$EZ$1500,설정!$L$5+ROW()-1,설정!$L$8)&amp;""),"")</f>
        <v>PKX 5.125 05/07/30</v>
      </c>
      <c r="B249" s="83" t="str">
        <f aca="false">IFERROR(IF(INDEX(원자료_잔고!$A$1:$EZ$1500,설정!$L$5+ROW()-1,설정!$L$7)&amp;""="0","",INDEX(원자료_잔고!$A$1:$EZ$1500,설정!$L$5+ROW()-1,설정!$L$7)&amp;""),"")</f>
        <v>USY70750CB13</v>
      </c>
      <c r="C249" s="83" t="str">
        <f aca="false">IFERROR(IF(INDEX(원자료_잔고!$A$1:$EZ$1500,설정!$L$5+ROW()-1,설정!$L$9)&amp;""="0","",INDEX(원자료_잔고!$A$1:$EZ$1500,설정!$L$5+ROW()-1,설정!$L$9)&amp;""),"")</f>
        <v>34578</v>
      </c>
      <c r="D24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49" s="84" t="n">
        <f aca="false">IFERROR(IF(ISNUMBER(INDEX(원자료_잔고!$A$1:$EZ$1500,설정!$L$5+ROW()-1,설정!$L$11)),INDEX(원자료_잔고!$A$1:$EZ$1500,설정!$L$5+ROW()-1,설정!$L$11),""),"")</f>
        <v>9600000</v>
      </c>
      <c r="F249" s="85" t="n">
        <f aca="false">IFERROR(IF(ISNUMBER(INDEX(원자료_잔고!$A$1:$EZ$1500,설정!$L$5+ROW()-1,설정!$L$12)),INDEX(원자료_잔고!$A$1:$EZ$1500,설정!$L$5+ROW()-1,설정!$L$12),""),"")</f>
        <v>97.8758</v>
      </c>
      <c r="G249" s="85" t="n">
        <f aca="false">IFERROR(IF(ISNUMBER(INDEX(원자료_잔고!$A$1:$EZ$1500,설정!$L$5+ROW()-1,설정!$L$13)),INDEX(원자료_잔고!$A$1:$EZ$1500,설정!$L$5+ROW()-1,설정!$L$13),""),"")</f>
        <v>5.7836</v>
      </c>
      <c r="H249" s="85" t="n">
        <f aca="false">IFERROR(IF(ISNUMBER(INDEX(원자료_잔고!$A$1:$EZ$1500,설정!$L$5+ROW()-1,설정!$L$14)),INDEX(원자료_잔고!$A$1:$EZ$1500,설정!$L$5+ROW()-1,설정!$L$14),""),"")</f>
        <v>3.0939</v>
      </c>
      <c r="I249" s="86" t="n">
        <f aca="false">IFERROR(IF(ISNUMBER(INDEX(원자료_잔고!$A$1:$EZ$1500,설정!$L$5+ROW()-1,설정!$L$15)),INDEX(원자료_잔고!$A$1:$EZ$1500,설정!$L$5+ROW()-1,설정!$L$15),""),"")</f>
        <v>47610</v>
      </c>
      <c r="J249" s="85" t="n">
        <f aca="false">IFERROR(IF(ISNUMBER(INDEX(원자료_잔고!$A$1:$EZ$1500,설정!$L$5+ROW()-1,설정!$L$16)),INDEX(원자료_잔고!$A$1:$EZ$1500,설정!$L$5+ROW()-1,설정!$L$16),""),"")</f>
        <v>5.125</v>
      </c>
      <c r="K249" s="87" t="n">
        <f aca="false">IFERROR(IF(ISNUMBER(INDEX(원자료_잔고!$A$1:$EZ$1500,설정!$L$5+ROW()-1,설정!$L$17)),INDEX(원자료_잔고!$A$1:$EZ$1500,설정!$L$5+ROW()-1,설정!$L$17),""),"")</f>
        <v>1</v>
      </c>
      <c r="L249" s="84" t="n">
        <f aca="false">IFERROR(IF(ISNUMBER(INDEX(원자료_잔고!$A$1:$EZ$1500,설정!$L$5+ROW()-1,설정!$L$18)),INDEX(원자료_잔고!$A$1:$EZ$1500,설정!$L$5+ROW()-1,설정!$L$18),""),"")</f>
        <v>9396076.8</v>
      </c>
      <c r="M249" s="88" t="n">
        <f aca="false">IFERROR(IF(ISNUMBER(INDEX(원자료_잔고!$A$1:$EZ$1500,설정!$L$5+ROW()-1,설정!$L$19)),INDEX(원자료_잔고!$A$1:$EZ$1500,설정!$L$5+ROW()-1,설정!$L$19),""),"")</f>
        <v>-439027.2</v>
      </c>
      <c r="N249" s="83" t="str">
        <f aca="false">IFERROR(IF(INDEX(원자료_잔고!$A$1:$EZ$1500,설정!$L$5+ROW()-1,설정!$L$21)&amp;""="0","",INDEX(원자료_잔고!$A$1:$EZ$1500,설정!$L$5+ROW()-1,설정!$L$21)&amp;""),"")</f>
        <v>BBB+</v>
      </c>
      <c r="O249" s="83" t="str">
        <f aca="false">IFERROR(IF(INDEX(원자료_잔고!$A$1:$EZ$1500,설정!$L$5+ROW()-1,설정!$L$22)&amp;""="0","",INDEX(원자료_잔고!$A$1:$EZ$1500,설정!$L$5+ROW()-1,설정!$L$22)&amp;""),"")</f>
        <v/>
      </c>
      <c r="P249" s="83" t="str">
        <f aca="false">IFERROR(IF(INDEX(원자료_잔고!$A$1:$EZ$1500,설정!$L$5+ROW()-1,설정!$L$23)&amp;""="0","",INDEX(원자료_잔고!$A$1:$EZ$1500,설정!$L$5+ROW()-1,설정!$L$23)&amp;""),"")</f>
        <v>N/A</v>
      </c>
      <c r="Q249" s="89" t="n">
        <f aca="false">IF(AND($A249&lt;&gt;"",ISNUMBER(E249)),IF(E249&gt;0,1,0),0)</f>
        <v>1</v>
      </c>
      <c r="R249" s="43" t="str">
        <f aca="false">IF(Q249=1,UPPER(LEFT($A249,FIND(" ",$A249&amp;" ")-1)),"")</f>
        <v>PKX</v>
      </c>
      <c r="S249" s="89" t="n">
        <f aca="false">IF(Q249=1,IF(OR(ISNUMBER(SEARCH("Float",$A249)),ISNUMBER(SEARCH("FRN",$A249))),1,0),0)</f>
        <v>0</v>
      </c>
      <c r="T249" s="43" t="str">
        <f aca="false">IF(AND(Q249=1,ISNUMBER(I249)),TEXT(I249,"yyyymmdd")&amp;"|"&amp;IF(S249=1,"F",TEXT(J249,"0.000")),"")</f>
        <v>20300507|5.125</v>
      </c>
      <c r="U249" s="90" t="n">
        <f aca="false">IF(AND(Q249=1,ISNUMBER(I249)),(I249-설정!$C$4)/365.25,"")</f>
        <v>3.59753593429158</v>
      </c>
      <c r="V249" s="43" t="str">
        <f aca="false">IF(Q249&lt;&gt;1,"",IF(ISNUMBER(U249),IF(U249&lt;=1,"1년 이하",IF(U249&lt;=2,"1-2년",IF(U249&lt;=3,"2-3년",IF(U249&lt;=4,"3-4년",IF(U249&lt;=5,"4-5년",IF(U249&lt;=7,"5-7년",IF(U249&lt;=10,"7-10년",IF(U249&lt;=20,"10-20년","20년 이상")))))))),"미분류"))</f>
        <v>3-4년</v>
      </c>
      <c r="W249" s="43" t="str">
        <f aca="false">IF(Q249&lt;&gt;1,"",IF(AB249&lt;&gt;"",INDEX(시장분석!$C:$C,AB249),IF(K249=1,"USD","비USD")))</f>
        <v>USD</v>
      </c>
      <c r="X249" s="91" t="n">
        <f aca="false">IF(Q249=1,E249*K249/1000000,0)</f>
        <v>9.6</v>
      </c>
      <c r="Y249" s="89" t="n">
        <f aca="false">IF(R249="T",1,0)</f>
        <v>0</v>
      </c>
      <c r="Z249" s="92" t="n">
        <f aca="false">IF(Q249&lt;&gt;1,"",IF(AD249=1,IF(ISNUMBER(U249),MAX(U249,0),H249),H249))</f>
        <v>3.0939</v>
      </c>
      <c r="AA249" s="91" t="n">
        <f aca="false">IF(Q249=1,IF(ISNUMBER(L249),L249,0)*K249/1000000,0)</f>
        <v>9.3960768</v>
      </c>
      <c r="AB249" s="89" t="n">
        <f aca="false">IF(Q249&lt;&gt;1,"",IFERROR(MATCH(VLOOKUP(B249,매핑!$H$4:$I$15,2,0),시장분석!$A$2:$A$601,0)+1,IFERROR(MATCH(R249&amp;"|"&amp;T249,시장분석!$V$2:$V$601,0)+1,IF(COUNTIF(시장분석!$U$2:$U$601,T249)=1,MATCH(T249,시장분석!$U$2:$U$601,0)+1,""))))</f>
        <v>191</v>
      </c>
      <c r="AC249" s="89" t="n">
        <f aca="false">IF(Q249&lt;&gt;1,0,IF(OR(설정!$C$5="전체",AND(설정!$C$5="선택펀드",IFERROR(COUNTIFS(설정!$F$16:$F$36,C249,설정!$G$16:$G$36,"Y")+COUNTIFS(설정!$F$16:$F$36,VALUE(C249),설정!$G$16:$G$36,"Y"),0)&gt;0),C249&amp;""=설정!$C$5&amp;""),1,0))</f>
        <v>1</v>
      </c>
      <c r="AD249" s="89" t="n">
        <f aca="false">IF(Q249&lt;&gt;1,0,IF(OR(S249=1,IF(AB249="",FALSE(),INDEX(시장분석!$R:$R,AB249)=1)),1,0))</f>
        <v>0</v>
      </c>
      <c r="AE249" s="43" t="str">
        <f aca="false">IF(AB249="","",INDEX(시장분석!$A:$A,AB249))</f>
        <v>PKX 5 1/8 05/07/30</v>
      </c>
      <c r="AF249" s="93" t="n">
        <f aca="false">IF(AB249="","",IF(ISNUMBER(IF(AB249="","",INDEX(시장분석!$E:$E,AB249))),IF(AB249="","",INDEX(시장분석!$E:$E,AB249)),""))</f>
        <v>72.436</v>
      </c>
      <c r="AG249" s="43" t="str">
        <f aca="false">IF(Q249&lt;&gt;1,"",IF(AB249&lt;&gt;"",IF(AB249="","",INDEX(시장분석!$L:$L,AB249)),IFERROR(IF(VLOOKUP(R249,매핑!$A$4:$E$92,5,0)="","미분류",VLOOKUP(R249,매핑!$A$4:$E$92,5,0)),"미분류")))</f>
        <v>원자재</v>
      </c>
      <c r="AH249" s="43" t="str">
        <f aca="false">IF(Q249&lt;&gt;1,"",IF(AB249&lt;&gt;"",IF(AB249="","",INDEX(시장분석!$N:$N,AB249)),IFERROR(IF(VLOOKUP(R249,매핑!$A$4:$E$92,4,0)="","미분류",VLOOKUP(R249,매핑!$A$4:$E$92,4,0)),"미분류")))</f>
        <v>아시아/기타</v>
      </c>
      <c r="AI249" s="43" t="str">
        <f aca="false">IF(Q249&lt;&gt;1,"",IFERROR(IF(VLOOKUP(R249,매핑!$A$4:$E$92,3,0)="","미분류",VLOOKUP(R249,매핑!$A$4:$E$92,3,0)),IF(AB249&lt;&gt;"",IF(AB249="","",INDEX(시장분석!$W:$W,AB249)),"미분류")))</f>
        <v>한국</v>
      </c>
      <c r="AJ249" s="43" t="str">
        <f aca="false">IF(Q249&lt;&gt;1,"",IFERROR(VLOOKUP(IF(N249&lt;&gt;"",N249,IF(P249&lt;&gt;"",P249,O249)),설정!$A$15:$D$47,2,0),""))</f>
        <v>BBB+</v>
      </c>
      <c r="AK249" s="43" t="str">
        <f aca="false">IF(Q249&lt;&gt;1,"",IF(AJ249="","무등급",IFERROR(VLOOKUP(AJ249,설정!$A$15:$D$47,3,0),"무등급")))</f>
        <v>BBB</v>
      </c>
      <c r="AL249" s="89" t="n">
        <f aca="false">IF(AJ249="",99,IFERROR(VLOOKUP(AJ249,설정!$A$15:$D$47,4,0),99))</f>
        <v>8</v>
      </c>
      <c r="AM249" s="94" t="n">
        <f aca="false">IF(ISNUMBER(H249),AA249*1000000*H249/10000,0)</f>
        <v>2907.052201152</v>
      </c>
      <c r="AN249" s="94" t="n">
        <f aca="false">IF(OR(Y249=1,NOT(ISNUMBER(Z249))),0,AA249*1000000*Z249/10000)</f>
        <v>2907.052201152</v>
      </c>
      <c r="AO249" s="94" t="n">
        <f aca="false">IF(ISNUMBER(G249),AA249*1000000*G249/100,0)</f>
        <v>543431.4978048</v>
      </c>
      <c r="AP249" s="94" t="n">
        <f aca="false">IF(ISNUMBER(M249),M249*K249,0)</f>
        <v>-439027.2</v>
      </c>
      <c r="AQ249" s="95" t="n">
        <f aca="false">IF(AB249="","",INDEX(시장분석!$AK:$AK,AB249))</f>
        <v>-0.36285375172492</v>
      </c>
      <c r="AR249" s="43" t="str">
        <f aca="false">IF(AB249="","-",IF(AB249="","",INDEX(시장분석!$AL:$AL,AB249)))</f>
        <v>Fair</v>
      </c>
      <c r="AS249" s="96" t="n">
        <f aca="false">IF(AB249="","",INDEX(시장분석!$AJ:$AJ,AB249))</f>
        <v>-4.01680592835896</v>
      </c>
      <c r="AT249" s="93" t="n">
        <f aca="false">IF(AB249="",0,IF(AB249="","",INDEX(시장분석!$AN:$AN,AB249)))</f>
        <v>10.3182251602827</v>
      </c>
      <c r="AU249" s="94" t="n">
        <f aca="false">IF(ISNUMBER(Z249),AT249/10000*MAX(Z249-1,0)*AA249*1000000,0)</f>
        <v>20300.535559611</v>
      </c>
      <c r="AV249" s="94" t="n">
        <f aca="false">AO249+AU249</f>
        <v>563732.033364411</v>
      </c>
      <c r="AW249" s="43" t="str">
        <f aca="false">IF(Q249&lt;&gt;1,"",TRIM(IF(AD249=1,"FRN ","")&amp;IF(AND(AL249&gt;=10,AL249&lt;99),"BBB0미만 ","")&amp;IF(AJ249="","등급없음 ","")&amp;IF(K249&lt;&gt;1,"비USD ","")&amp;IF(AND(AB249="",Y249=0),"시장데이터없음 ","")&amp;IF(AND(ISNUMBER(U249),U249&lt;0),"만기경과 ","")))</f>
        <v/>
      </c>
      <c r="AX249" s="90" t="n">
        <f aca="false">IF(Q249&lt;&gt;1,1,IF(스프레드쇼크!$C$4="Y",INDEX(스프레드쇼크!$B$12:$L$16,IFERROR(MATCH(AH249,스프레드쇼크!$A$12:$A$16,0),MATCH("목록외",스프레드쇼크!$A$12:$A$16,0)),IFERROR(MATCH(AG249,스프레드쇼크!$B$11:$L$11,0),MATCH("목록외",스프레드쇼크!$B$11:$L$11,0))),1))</f>
        <v>1</v>
      </c>
      <c r="AY249" s="90" t="n">
        <f aca="false">IF(스프레드쇼크!$C$5="Y",IF(ISNUMBER(AF249),MIN(스프레드쇼크!$C$7,MAX(스프레드쇼크!$C$6,AF249/스프레드쇼크!$C$8)),1),1)</f>
        <v>1.0956226114438</v>
      </c>
      <c r="AZ249" s="94" t="n">
        <f aca="false">AN249*AX249*AY249</f>
        <v>3185.03212422959</v>
      </c>
      <c r="BA249" s="90" t="n">
        <f aca="false">IF(ISNUMBER(G249),AA249*G249,0)</f>
        <v>54.34314978048</v>
      </c>
      <c r="BB249" s="90" t="n">
        <f aca="false">IF(ISNUMBER(G249),AA249,0)</f>
        <v>9.3960768</v>
      </c>
      <c r="BC249" s="90" t="n">
        <f aca="false">IF(AND(Y249=0,ISNUMBER(AF249)),AA249*AF249,0)</f>
        <v>680.6142190848</v>
      </c>
      <c r="BD249" s="90" t="n">
        <f aca="false">IF(AND(Y249=0,ISNUMBER(AF249)),AA249,0)</f>
        <v>9.3960768</v>
      </c>
      <c r="BE249" s="90" t="n">
        <f aca="false">IF(ISNUMBER(H249),AA249*H249,0)</f>
        <v>29.07052201152</v>
      </c>
      <c r="BF249" s="90" t="n">
        <f aca="false">IF(ISNUMBER(H249),AA249,0)</f>
        <v>9.3960768</v>
      </c>
      <c r="BG249" s="90" t="n">
        <f aca="false">IF(AND(Y249=0,ISNUMBER(AF249),ISNUMBER(Z249)),AA249*Z249,0)</f>
        <v>29.07052201152</v>
      </c>
      <c r="BH249" s="90" t="n">
        <f aca="false">IF(AND(Y249=0,ISNUMBER(AF249),ISNUMBER(Z249)),AA249*AT249*MAX(Z249-1,0),0)</f>
        <v>203.00535559611</v>
      </c>
      <c r="BI249" s="90" t="n">
        <f aca="false">IF(Y249=0,AA249,0)</f>
        <v>9.3960768</v>
      </c>
    </row>
    <row r="250" customFormat="false" ht="15" hidden="false" customHeight="false" outlineLevel="0" collapsed="false">
      <c r="A250" s="83" t="str">
        <f aca="false">IFERROR(IF(INDEX(원자료_잔고!$A$1:$EZ$1500,설정!$L$5+ROW()-1,설정!$L$8)&amp;""="0","",INDEX(원자료_잔고!$A$1:$EZ$1500,설정!$L$5+ROW()-1,설정!$L$8)&amp;""),"")</f>
        <v>DAESEC 6 01/26/29</v>
      </c>
      <c r="B250" s="83" t="str">
        <f aca="false">IFERROR(IF(INDEX(원자료_잔고!$A$1:$EZ$1500,설정!$L$5+ROW()-1,설정!$L$7)&amp;""="0","",INDEX(원자료_잔고!$A$1:$EZ$1500,설정!$L$5+ROW()-1,설정!$L$7)&amp;""),"")</f>
        <v>XS2739009855</v>
      </c>
      <c r="C250" s="83" t="str">
        <f aca="false">IFERROR(IF(INDEX(원자료_잔고!$A$1:$EZ$1500,설정!$L$5+ROW()-1,설정!$L$9)&amp;""="0","",INDEX(원자료_잔고!$A$1:$EZ$1500,설정!$L$5+ROW()-1,설정!$L$9)&amp;""),"")</f>
        <v>34578</v>
      </c>
      <c r="D25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0" s="84" t="n">
        <f aca="false">IFERROR(IF(ISNUMBER(INDEX(원자료_잔고!$A$1:$EZ$1500,설정!$L$5+ROW()-1,설정!$L$11)),INDEX(원자료_잔고!$A$1:$EZ$1500,설정!$L$5+ROW()-1,설정!$L$11),""),"")</f>
        <v>9000000</v>
      </c>
      <c r="F250" s="85" t="n">
        <f aca="false">IFERROR(IF(ISNUMBER(INDEX(원자료_잔고!$A$1:$EZ$1500,설정!$L$5+ROW()-1,설정!$L$12)),INDEX(원자료_잔고!$A$1:$EZ$1500,설정!$L$5+ROW()-1,설정!$L$12),""),"")</f>
        <v>100.5778</v>
      </c>
      <c r="G250" s="85" t="n">
        <f aca="false">IFERROR(IF(ISNUMBER(INDEX(원자료_잔고!$A$1:$EZ$1500,설정!$L$5+ROW()-1,설정!$L$13)),INDEX(원자료_잔고!$A$1:$EZ$1500,설정!$L$5+ROW()-1,설정!$L$13),""),"")</f>
        <v>5.726</v>
      </c>
      <c r="H250" s="85" t="n">
        <f aca="false">IFERROR(IF(ISNUMBER(INDEX(원자료_잔고!$A$1:$EZ$1500,설정!$L$5+ROW()-1,설정!$L$14)),INDEX(원자료_잔고!$A$1:$EZ$1500,설정!$L$5+ROW()-1,설정!$L$14),""),"")</f>
        <v>2.0762</v>
      </c>
      <c r="I250" s="86" t="n">
        <f aca="false">IFERROR(IF(ISNUMBER(INDEX(원자료_잔고!$A$1:$EZ$1500,설정!$L$5+ROW()-1,설정!$L$15)),INDEX(원자료_잔고!$A$1:$EZ$1500,설정!$L$5+ROW()-1,설정!$L$15),""),"")</f>
        <v>47144</v>
      </c>
      <c r="J250" s="85" t="n">
        <f aca="false">IFERROR(IF(ISNUMBER(INDEX(원자료_잔고!$A$1:$EZ$1500,설정!$L$5+ROW()-1,설정!$L$16)),INDEX(원자료_잔고!$A$1:$EZ$1500,설정!$L$5+ROW()-1,설정!$L$16),""),"")</f>
        <v>6</v>
      </c>
      <c r="K250" s="87" t="n">
        <f aca="false">IFERROR(IF(ISNUMBER(INDEX(원자료_잔고!$A$1:$EZ$1500,설정!$L$5+ROW()-1,설정!$L$17)),INDEX(원자료_잔고!$A$1:$EZ$1500,설정!$L$5+ROW()-1,설정!$L$17),""),"")</f>
        <v>1</v>
      </c>
      <c r="L250" s="84" t="n">
        <f aca="false">IFERROR(IF(ISNUMBER(INDEX(원자료_잔고!$A$1:$EZ$1500,설정!$L$5+ROW()-1,설정!$L$18)),INDEX(원자료_잔고!$A$1:$EZ$1500,설정!$L$5+ROW()-1,설정!$L$18),""),"")</f>
        <v>9052002</v>
      </c>
      <c r="M250" s="88" t="n">
        <f aca="false">IFERROR(IF(ISNUMBER(INDEX(원자료_잔고!$A$1:$EZ$1500,설정!$L$5+ROW()-1,설정!$L$19)),INDEX(원자료_잔고!$A$1:$EZ$1500,설정!$L$5+ROW()-1,설정!$L$19),""),"")</f>
        <v>-266328</v>
      </c>
      <c r="N250" s="83" t="str">
        <f aca="false">IFERROR(IF(INDEX(원자료_잔고!$A$1:$EZ$1500,설정!$L$5+ROW()-1,설정!$L$21)&amp;""="0","",INDEX(원자료_잔고!$A$1:$EZ$1500,설정!$L$5+ROW()-1,설정!$L$21)&amp;""),"")</f>
        <v>N/A</v>
      </c>
      <c r="O250" s="83" t="str">
        <f aca="false">IFERROR(IF(INDEX(원자료_잔고!$A$1:$EZ$1500,설정!$L$5+ROW()-1,설정!$L$22)&amp;""="0","",INDEX(원자료_잔고!$A$1:$EZ$1500,설정!$L$5+ROW()-1,설정!$L$22)&amp;""),"")</f>
        <v/>
      </c>
      <c r="P250" s="83" t="str">
        <f aca="false">IFERROR(IF(INDEX(원자료_잔고!$A$1:$EZ$1500,설정!$L$5+ROW()-1,설정!$L$23)&amp;""="0","",INDEX(원자료_잔고!$A$1:$EZ$1500,설정!$L$5+ROW()-1,설정!$L$23)&amp;""),"")</f>
        <v>BBB</v>
      </c>
      <c r="Q250" s="89" t="n">
        <f aca="false">IF(AND($A250&lt;&gt;"",ISNUMBER(E250)),IF(E250&gt;0,1,0),0)</f>
        <v>1</v>
      </c>
      <c r="R250" s="43" t="str">
        <f aca="false">IF(Q250=1,UPPER(LEFT($A250,FIND(" ",$A250&amp;" ")-1)),"")</f>
        <v>DAESEC</v>
      </c>
      <c r="S250" s="89" t="n">
        <f aca="false">IF(Q250=1,IF(OR(ISNUMBER(SEARCH("Float",$A250)),ISNUMBER(SEARCH("FRN",$A250))),1,0),0)</f>
        <v>0</v>
      </c>
      <c r="T250" s="43" t="str">
        <f aca="false">IF(AND(Q250=1,ISNUMBER(I250)),TEXT(I250,"yyyymmdd")&amp;"|"&amp;IF(S250=1,"F",TEXT(J250,"0.000")),"")</f>
        <v>20290126|6.000</v>
      </c>
      <c r="U250" s="90" t="n">
        <f aca="false">IF(AND(Q250=1,ISNUMBER(I250)),(I250-설정!$C$4)/365.25,"")</f>
        <v>2.32169746748802</v>
      </c>
      <c r="V250" s="43" t="str">
        <f aca="false">IF(Q250&lt;&gt;1,"",IF(ISNUMBER(U250),IF(U250&lt;=1,"1년 이하",IF(U250&lt;=2,"1-2년",IF(U250&lt;=3,"2-3년",IF(U250&lt;=4,"3-4년",IF(U250&lt;=5,"4-5년",IF(U250&lt;=7,"5-7년",IF(U250&lt;=10,"7-10년",IF(U250&lt;=20,"10-20년","20년 이상")))))))),"미분류"))</f>
        <v>2-3년</v>
      </c>
      <c r="W250" s="43" t="str">
        <f aca="false">IF(Q250&lt;&gt;1,"",IF(AB250&lt;&gt;"",INDEX(시장분석!$C:$C,AB250),IF(K250=1,"USD","비USD")))</f>
        <v>USD</v>
      </c>
      <c r="X250" s="91" t="n">
        <f aca="false">IF(Q250=1,E250*K250/1000000,0)</f>
        <v>9</v>
      </c>
      <c r="Y250" s="89" t="n">
        <f aca="false">IF(R250="T",1,0)</f>
        <v>0</v>
      </c>
      <c r="Z250" s="92" t="n">
        <f aca="false">IF(Q250&lt;&gt;1,"",IF(AD250=1,IF(ISNUMBER(U250),MAX(U250,0),H250),H250))</f>
        <v>2.0762</v>
      </c>
      <c r="AA250" s="91" t="n">
        <f aca="false">IF(Q250=1,IF(ISNUMBER(L250),L250,0)*K250/1000000,0)</f>
        <v>9.052002</v>
      </c>
      <c r="AB250" s="89" t="n">
        <f aca="false">IF(Q250&lt;&gt;1,"",IFERROR(MATCH(VLOOKUP(B250,매핑!$H$4:$I$15,2,0),시장분석!$A$2:$A$601,0)+1,IFERROR(MATCH(R250&amp;"|"&amp;T250,시장분석!$V$2:$V$601,0)+1,IF(COUNTIF(시장분석!$U$2:$U$601,T250)=1,MATCH(T250,시장분석!$U$2:$U$601,0)+1,""))))</f>
        <v>225</v>
      </c>
      <c r="AC250" s="89" t="n">
        <f aca="false">IF(Q250&lt;&gt;1,0,IF(OR(설정!$C$5="전체",AND(설정!$C$5="선택펀드",IFERROR(COUNTIFS(설정!$F$16:$F$36,C250,설정!$G$16:$G$36,"Y")+COUNTIFS(설정!$F$16:$F$36,VALUE(C250),설정!$G$16:$G$36,"Y"),0)&gt;0),C250&amp;""=설정!$C$5&amp;""),1,0))</f>
        <v>1</v>
      </c>
      <c r="AD250" s="89" t="n">
        <f aca="false">IF(Q250&lt;&gt;1,0,IF(OR(S250=1,IF(AB250="",FALSE(),INDEX(시장분석!$R:$R,AB250)=1)),1,0))</f>
        <v>0</v>
      </c>
      <c r="AE250" s="43" t="str">
        <f aca="false">IF(AB250="","",INDEX(시장분석!$A:$A,AB250))</f>
        <v>DAESEC 6 01/26/29</v>
      </c>
      <c r="AF250" s="93" t="n">
        <f aca="false">IF(AB250="","",IF(ISNUMBER(IF(AB250="","",INDEX(시장분석!$E:$E,AB250))),IF(AB250="","",INDEX(시장분석!$E:$E,AB250)),""))</f>
        <v>75.174</v>
      </c>
      <c r="AG250" s="43" t="str">
        <f aca="false">IF(Q250&lt;&gt;1,"",IF(AB250&lt;&gt;"",IF(AB250="","",INDEX(시장분석!$L:$L,AB250)),IFERROR(IF(VLOOKUP(R250,매핑!$A$4:$E$92,5,0)="","미분류",VLOOKUP(R250,매핑!$A$4:$E$92,5,0)),"미분류")))</f>
        <v>금융기관</v>
      </c>
      <c r="AH250" s="43" t="str">
        <f aca="false">IF(Q250&lt;&gt;1,"",IF(AB250&lt;&gt;"",IF(AB250="","",INDEX(시장분석!$N:$N,AB250)),IFERROR(IF(VLOOKUP(R250,매핑!$A$4:$E$92,4,0)="","미분류",VLOOKUP(R250,매핑!$A$4:$E$92,4,0)),"미분류")))</f>
        <v>아시아/기타</v>
      </c>
      <c r="AI250" s="43" t="str">
        <f aca="false">IF(Q250&lt;&gt;1,"",IFERROR(IF(VLOOKUP(R250,매핑!$A$4:$E$92,3,0)="","미분류",VLOOKUP(R250,매핑!$A$4:$E$92,3,0)),IF(AB250&lt;&gt;"",IF(AB250="","",INDEX(시장분석!$W:$W,AB250)),"미분류")))</f>
        <v>한국</v>
      </c>
      <c r="AJ250" s="43" t="str">
        <f aca="false">IF(Q250&lt;&gt;1,"",IFERROR(VLOOKUP(IF(N250&lt;&gt;"",N250,IF(P250&lt;&gt;"",P250,O250)),설정!$A$15:$D$47,2,0),""))</f>
        <v/>
      </c>
      <c r="AK250" s="43" t="str">
        <f aca="false">IF(Q250&lt;&gt;1,"",IF(AJ250="","무등급",IFERROR(VLOOKUP(AJ250,설정!$A$15:$D$47,3,0),"무등급")))</f>
        <v>무등급</v>
      </c>
      <c r="AL250" s="89" t="n">
        <f aca="false">IF(AJ250="",99,IFERROR(VLOOKUP(AJ250,설정!$A$15:$D$47,4,0),99))</f>
        <v>99</v>
      </c>
      <c r="AM250" s="94" t="n">
        <f aca="false">IF(ISNUMBER(H250),AA250*1000000*H250/10000,0)</f>
        <v>1879.37665524</v>
      </c>
      <c r="AN250" s="94" t="n">
        <f aca="false">IF(OR(Y250=1,NOT(ISNUMBER(Z250))),0,AA250*1000000*Z250/10000)</f>
        <v>1879.37665524</v>
      </c>
      <c r="AO250" s="94" t="n">
        <f aca="false">IF(ISNUMBER(G250),AA250*1000000*G250/100,0)</f>
        <v>518317.63452</v>
      </c>
      <c r="AP250" s="94" t="n">
        <f aca="false">IF(ISNUMBER(M250),M250*K250,0)</f>
        <v>-266328</v>
      </c>
      <c r="AQ250" s="95" t="n">
        <f aca="false">IF(AB250="","",INDEX(시장분석!$AK:$AK,AB250))</f>
        <v>0.698115430060699</v>
      </c>
      <c r="AR250" s="43" t="str">
        <f aca="false">IF(AB250="","-",IF(AB250="","",INDEX(시장분석!$AL:$AL,AB250)))</f>
        <v>Fair</v>
      </c>
      <c r="AS250" s="96" t="n">
        <f aca="false">IF(AB250="","",INDEX(시장분석!$AJ:$AJ,AB250))</f>
        <v>14.2929273750109</v>
      </c>
      <c r="AT250" s="93" t="n">
        <f aca="false">IF(AB250="",0,IF(AB250="","",INDEX(시장분석!$AN:$AN,AB250)))</f>
        <v>8.61414835985263</v>
      </c>
      <c r="AU250" s="94" t="n">
        <f aca="false">IF(ISNUMBER(Z250),AT250/10000*MAX(Z250-1,0)*AA250*1000000,0)</f>
        <v>8391.70051411269</v>
      </c>
      <c r="AV250" s="94" t="n">
        <f aca="false">AO250+AU250</f>
        <v>526709.335034113</v>
      </c>
      <c r="AW250" s="43" t="str">
        <f aca="false">IF(Q250&lt;&gt;1,"",TRIM(IF(AD250=1,"FRN ","")&amp;IF(AND(AL250&gt;=10,AL250&lt;99),"BBB0미만 ","")&amp;IF(AJ250="","등급없음 ","")&amp;IF(K250&lt;&gt;1,"비USD ","")&amp;IF(AND(AB250="",Y250=0),"시장데이터없음 ","")&amp;IF(AND(ISNUMBER(U250),U250&lt;0),"만기경과 ","")))</f>
        <v>등급없음</v>
      </c>
      <c r="AX250" s="90" t="n">
        <f aca="false">IF(Q250&lt;&gt;1,1,IF(스프레드쇼크!$C$4="Y",INDEX(스프레드쇼크!$B$12:$L$16,IFERROR(MATCH(AH250,스프레드쇼크!$A$12:$A$16,0),MATCH("목록외",스프레드쇼크!$A$12:$A$16,0)),IFERROR(MATCH(AG250,스프레드쇼크!$B$11:$L$11,0),MATCH("목록외",스프레드쇼크!$B$11:$L$11,0))),1))</f>
        <v>1</v>
      </c>
      <c r="AY250" s="90" t="n">
        <f aca="false">IF(스프레드쇼크!$C$5="Y",IF(ISNUMBER(AF250),MIN(스프레드쇼크!$C$7,MAX(스프레드쇼크!$C$6,AF250/스프레드쇼크!$C$8)),1),1)</f>
        <v>1.13703592402501</v>
      </c>
      <c r="AZ250" s="94" t="n">
        <f aca="false">AN250*AX250*AY250</f>
        <v>2136.91877178185</v>
      </c>
      <c r="BA250" s="90" t="n">
        <f aca="false">IF(ISNUMBER(G250),AA250*G250,0)</f>
        <v>51.831763452</v>
      </c>
      <c r="BB250" s="90" t="n">
        <f aca="false">IF(ISNUMBER(G250),AA250,0)</f>
        <v>9.052002</v>
      </c>
      <c r="BC250" s="90" t="n">
        <f aca="false">IF(AND(Y250=0,ISNUMBER(AF250)),AA250*AF250,0)</f>
        <v>680.475198348</v>
      </c>
      <c r="BD250" s="90" t="n">
        <f aca="false">IF(AND(Y250=0,ISNUMBER(AF250)),AA250,0)</f>
        <v>9.052002</v>
      </c>
      <c r="BE250" s="90" t="n">
        <f aca="false">IF(ISNUMBER(H250),AA250*H250,0)</f>
        <v>18.7937665524</v>
      </c>
      <c r="BF250" s="90" t="n">
        <f aca="false">IF(ISNUMBER(H250),AA250,0)</f>
        <v>9.052002</v>
      </c>
      <c r="BG250" s="90" t="n">
        <f aca="false">IF(AND(Y250=0,ISNUMBER(AF250),ISNUMBER(Z250)),AA250*Z250,0)</f>
        <v>18.7937665524</v>
      </c>
      <c r="BH250" s="90" t="n">
        <f aca="false">IF(AND(Y250=0,ISNUMBER(AF250),ISNUMBER(Z250)),AA250*AT250*MAX(Z250-1,0),0)</f>
        <v>83.9170051411269</v>
      </c>
      <c r="BI250" s="90" t="n">
        <f aca="false">IF(Y250=0,AA250,0)</f>
        <v>9.052002</v>
      </c>
    </row>
    <row r="251" customFormat="false" ht="15" hidden="false" customHeight="false" outlineLevel="0" collapsed="false">
      <c r="A251" s="83" t="str">
        <f aca="false">IFERROR(IF(INDEX(원자료_잔고!$A$1:$EZ$1500,설정!$L$5+ROW()-1,설정!$L$8)&amp;""="0","",INDEX(원자료_잔고!$A$1:$EZ$1500,설정!$L$5+ROW()-1,설정!$L$8)&amp;""),"")</f>
        <v>HYNCRD 5.75 04/24/29</v>
      </c>
      <c r="B251" s="83" t="str">
        <f aca="false">IFERROR(IF(INDEX(원자료_잔고!$A$1:$EZ$1500,설정!$L$5+ROW()-1,설정!$L$7)&amp;""="0","",INDEX(원자료_잔고!$A$1:$EZ$1500,설정!$L$5+ROW()-1,설정!$L$7)&amp;""),"")</f>
        <v>XS2798085416</v>
      </c>
      <c r="C251" s="83" t="str">
        <f aca="false">IFERROR(IF(INDEX(원자료_잔고!$A$1:$EZ$1500,설정!$L$5+ROW()-1,설정!$L$9)&amp;""="0","",INDEX(원자료_잔고!$A$1:$EZ$1500,설정!$L$5+ROW()-1,설정!$L$9)&amp;""),"")</f>
        <v>34578</v>
      </c>
      <c r="D25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1" s="84" t="n">
        <f aca="false">IFERROR(IF(ISNUMBER(INDEX(원자료_잔고!$A$1:$EZ$1500,설정!$L$5+ROW()-1,설정!$L$11)),INDEX(원자료_잔고!$A$1:$EZ$1500,설정!$L$5+ROW()-1,설정!$L$11),""),"")</f>
        <v>200000</v>
      </c>
      <c r="F251" s="85" t="n">
        <f aca="false">IFERROR(IF(ISNUMBER(INDEX(원자료_잔고!$A$1:$EZ$1500,설정!$L$5+ROW()-1,설정!$L$12)),INDEX(원자료_잔고!$A$1:$EZ$1500,설정!$L$5+ROW()-1,설정!$L$12),""),"")</f>
        <v>100.2622</v>
      </c>
      <c r="G251" s="85" t="n">
        <f aca="false">IFERROR(IF(ISNUMBER(INDEX(원자료_잔고!$A$1:$EZ$1500,설정!$L$5+ROW()-1,설정!$L$13)),INDEX(원자료_잔고!$A$1:$EZ$1500,설정!$L$5+ROW()-1,설정!$L$13),""),"")</f>
        <v>5.6368</v>
      </c>
      <c r="H251" s="85" t="n">
        <f aca="false">IFERROR(IF(ISNUMBER(INDEX(원자료_잔고!$A$1:$EZ$1500,설정!$L$5+ROW()-1,설정!$L$14)),INDEX(원자료_잔고!$A$1:$EZ$1500,설정!$L$5+ROW()-1,설정!$L$14),""),"")</f>
        <v>2.2402</v>
      </c>
      <c r="I251" s="86" t="n">
        <f aca="false">IFERROR(IF(ISNUMBER(INDEX(원자료_잔고!$A$1:$EZ$1500,설정!$L$5+ROW()-1,설정!$L$15)),INDEX(원자료_잔고!$A$1:$EZ$1500,설정!$L$5+ROW()-1,설정!$L$15),""),"")</f>
        <v>47232</v>
      </c>
      <c r="J251" s="85" t="n">
        <f aca="false">IFERROR(IF(ISNUMBER(INDEX(원자료_잔고!$A$1:$EZ$1500,설정!$L$5+ROW()-1,설정!$L$16)),INDEX(원자료_잔고!$A$1:$EZ$1500,설정!$L$5+ROW()-1,설정!$L$16),""),"")</f>
        <v>5.75</v>
      </c>
      <c r="K251" s="87" t="n">
        <f aca="false">IFERROR(IF(ISNUMBER(INDEX(원자료_잔고!$A$1:$EZ$1500,설정!$L$5+ROW()-1,설정!$L$17)),INDEX(원자료_잔고!$A$1:$EZ$1500,설정!$L$5+ROW()-1,설정!$L$17),""),"")</f>
        <v>1</v>
      </c>
      <c r="L251" s="84" t="n">
        <f aca="false">IFERROR(IF(ISNUMBER(INDEX(원자료_잔고!$A$1:$EZ$1500,설정!$L$5+ROW()-1,설정!$L$18)),INDEX(원자료_잔고!$A$1:$EZ$1500,설정!$L$5+ROW()-1,설정!$L$18),""),"")</f>
        <v>200524.4</v>
      </c>
      <c r="M251" s="88" t="n">
        <f aca="false">IFERROR(IF(ISNUMBER(INDEX(원자료_잔고!$A$1:$EZ$1500,설정!$L$5+ROW()-1,설정!$L$19)),INDEX(원자료_잔고!$A$1:$EZ$1500,설정!$L$5+ROW()-1,설정!$L$19),""),"")</f>
        <v>-8195.6</v>
      </c>
      <c r="N251" s="83" t="str">
        <f aca="false">IFERROR(IF(INDEX(원자료_잔고!$A$1:$EZ$1500,설정!$L$5+ROW()-1,설정!$L$21)&amp;""="0","",INDEX(원자료_잔고!$A$1:$EZ$1500,설정!$L$5+ROW()-1,설정!$L$21)&amp;""),"")</f>
        <v/>
      </c>
      <c r="O251" s="83" t="str">
        <f aca="false">IFERROR(IF(INDEX(원자료_잔고!$A$1:$EZ$1500,설정!$L$5+ROW()-1,설정!$L$22)&amp;""="0","",INDEX(원자료_잔고!$A$1:$EZ$1500,설정!$L$5+ROW()-1,설정!$L$22)&amp;""),"")</f>
        <v/>
      </c>
      <c r="P251" s="83" t="str">
        <f aca="false">IFERROR(IF(INDEX(원자료_잔고!$A$1:$EZ$1500,설정!$L$5+ROW()-1,설정!$L$23)&amp;""="0","",INDEX(원자료_잔고!$A$1:$EZ$1500,설정!$L$5+ROW()-1,설정!$L$23)&amp;""),"")</f>
        <v>BBB+</v>
      </c>
      <c r="Q251" s="89" t="n">
        <f aca="false">IF(AND($A251&lt;&gt;"",ISNUMBER(E251)),IF(E251&gt;0,1,0),0)</f>
        <v>1</v>
      </c>
      <c r="R251" s="43" t="str">
        <f aca="false">IF(Q251=1,UPPER(LEFT($A251,FIND(" ",$A251&amp;" ")-1)),"")</f>
        <v>HYNCRD</v>
      </c>
      <c r="S251" s="89" t="n">
        <f aca="false">IF(Q251=1,IF(OR(ISNUMBER(SEARCH("Float",$A251)),ISNUMBER(SEARCH("FRN",$A251))),1,0),0)</f>
        <v>0</v>
      </c>
      <c r="T251" s="43" t="str">
        <f aca="false">IF(AND(Q251=1,ISNUMBER(I251)),TEXT(I251,"yyyymmdd")&amp;"|"&amp;IF(S251=1,"F",TEXT(J251,"0.000")),"")</f>
        <v>20290424|5.750</v>
      </c>
      <c r="U251" s="90" t="n">
        <f aca="false">IF(AND(Q251=1,ISNUMBER(I251)),(I251-설정!$C$4)/365.25,"")</f>
        <v>2.56262833675565</v>
      </c>
      <c r="V251" s="43" t="str">
        <f aca="false">IF(Q251&lt;&gt;1,"",IF(ISNUMBER(U251),IF(U251&lt;=1,"1년 이하",IF(U251&lt;=2,"1-2년",IF(U251&lt;=3,"2-3년",IF(U251&lt;=4,"3-4년",IF(U251&lt;=5,"4-5년",IF(U251&lt;=7,"5-7년",IF(U251&lt;=10,"7-10년",IF(U251&lt;=20,"10-20년","20년 이상")))))))),"미분류"))</f>
        <v>2-3년</v>
      </c>
      <c r="W251" s="43" t="str">
        <f aca="false">IF(Q251&lt;&gt;1,"",IF(AB251&lt;&gt;"",INDEX(시장분석!$C:$C,AB251),IF(K251=1,"USD","비USD")))</f>
        <v>USD</v>
      </c>
      <c r="X251" s="91" t="n">
        <f aca="false">IF(Q251=1,E251*K251/1000000,0)</f>
        <v>0.2</v>
      </c>
      <c r="Y251" s="89" t="n">
        <f aca="false">IF(R251="T",1,0)</f>
        <v>0</v>
      </c>
      <c r="Z251" s="92" t="n">
        <f aca="false">IF(Q251&lt;&gt;1,"",IF(AD251=1,IF(ISNUMBER(U251),MAX(U251,0),H251),H251))</f>
        <v>2.2402</v>
      </c>
      <c r="AA251" s="91" t="n">
        <f aca="false">IF(Q251=1,IF(ISNUMBER(L251),L251,0)*K251/1000000,0)</f>
        <v>0.2005244</v>
      </c>
      <c r="AB251" s="89" t="n">
        <f aca="false">IF(Q251&lt;&gt;1,"",IFERROR(MATCH(VLOOKUP(B251,매핑!$H$4:$I$15,2,0),시장분석!$A$2:$A$601,0)+1,IFERROR(MATCH(R251&amp;"|"&amp;T251,시장분석!$V$2:$V$601,0)+1,IF(COUNTIF(시장분석!$U$2:$U$601,T251)=1,MATCH(T251,시장분석!$U$2:$U$601,0)+1,""))))</f>
        <v>229</v>
      </c>
      <c r="AC251" s="89" t="n">
        <f aca="false">IF(Q251&lt;&gt;1,0,IF(OR(설정!$C$5="전체",AND(설정!$C$5="선택펀드",IFERROR(COUNTIFS(설정!$F$16:$F$36,C251,설정!$G$16:$G$36,"Y")+COUNTIFS(설정!$F$16:$F$36,VALUE(C251),설정!$G$16:$G$36,"Y"),0)&gt;0),C251&amp;""=설정!$C$5&amp;""),1,0))</f>
        <v>1</v>
      </c>
      <c r="AD251" s="89" t="n">
        <f aca="false">IF(Q251&lt;&gt;1,0,IF(OR(S251=1,IF(AB251="",FALSE(),INDEX(시장분석!$R:$R,AB251)=1)),1,0))</f>
        <v>0</v>
      </c>
      <c r="AE251" s="43" t="str">
        <f aca="false">IF(AB251="","",INDEX(시장분석!$A:$A,AB251))</f>
        <v>HYNCRD 5 3/4 04/24/29</v>
      </c>
      <c r="AF251" s="93" t="n">
        <f aca="false">IF(AB251="","",IF(ISNUMBER(IF(AB251="","",INDEX(시장분석!$E:$E,AB251))),IF(AB251="","",INDEX(시장분석!$E:$E,AB251)),""))</f>
        <v>63.247</v>
      </c>
      <c r="AG251" s="43" t="str">
        <f aca="false">IF(Q251&lt;&gt;1,"",IF(AB251&lt;&gt;"",IF(AB251="","",INDEX(시장분석!$L:$L,AB251)),IFERROR(IF(VLOOKUP(R251,매핑!$A$4:$E$92,5,0)="","미분류",VLOOKUP(R251,매핑!$A$4:$E$92,5,0)),"미분류")))</f>
        <v>금융기관</v>
      </c>
      <c r="AH251" s="43" t="str">
        <f aca="false">IF(Q251&lt;&gt;1,"",IF(AB251&lt;&gt;"",IF(AB251="","",INDEX(시장분석!$N:$N,AB251)),IFERROR(IF(VLOOKUP(R251,매핑!$A$4:$E$92,4,0)="","미분류",VLOOKUP(R251,매핑!$A$4:$E$92,4,0)),"미분류")))</f>
        <v>아시아/기타</v>
      </c>
      <c r="AI251" s="43" t="str">
        <f aca="false">IF(Q251&lt;&gt;1,"",IFERROR(IF(VLOOKUP(R251,매핑!$A$4:$E$92,3,0)="","미분류",VLOOKUP(R251,매핑!$A$4:$E$92,3,0)),IF(AB251&lt;&gt;"",IF(AB251="","",INDEX(시장분석!$W:$W,AB251)),"미분류")))</f>
        <v>한국</v>
      </c>
      <c r="AJ251" s="43" t="str">
        <f aca="false">IF(Q251&lt;&gt;1,"",IFERROR(VLOOKUP(IF(N251&lt;&gt;"",N251,IF(P251&lt;&gt;"",P251,O251)),설정!$A$15:$D$47,2,0),""))</f>
        <v>BBB+</v>
      </c>
      <c r="AK251" s="43" t="str">
        <f aca="false">IF(Q251&lt;&gt;1,"",IF(AJ251="","무등급",IFERROR(VLOOKUP(AJ251,설정!$A$15:$D$47,3,0),"무등급")))</f>
        <v>BBB</v>
      </c>
      <c r="AL251" s="89" t="n">
        <f aca="false">IF(AJ251="",99,IFERROR(VLOOKUP(AJ251,설정!$A$15:$D$47,4,0),99))</f>
        <v>8</v>
      </c>
      <c r="AM251" s="94" t="n">
        <f aca="false">IF(ISNUMBER(H251),AA251*1000000*H251/10000,0)</f>
        <v>44.921476088</v>
      </c>
      <c r="AN251" s="94" t="n">
        <f aca="false">IF(OR(Y251=1,NOT(ISNUMBER(Z251))),0,AA251*1000000*Z251/10000)</f>
        <v>44.921476088</v>
      </c>
      <c r="AO251" s="94" t="n">
        <f aca="false">IF(ISNUMBER(G251),AA251*1000000*G251/100,0)</f>
        <v>11303.1593792</v>
      </c>
      <c r="AP251" s="94" t="n">
        <f aca="false">IF(ISNUMBER(M251),M251*K251,0)</f>
        <v>-8195.6</v>
      </c>
      <c r="AQ251" s="95" t="n">
        <f aca="false">IF(AB251="","",INDEX(시장분석!$AK:$AK,AB251))</f>
        <v>0.0601568101496281</v>
      </c>
      <c r="AR251" s="43" t="str">
        <f aca="false">IF(AB251="","-",IF(AB251="","",INDEX(시장분석!$AL:$AL,AB251)))</f>
        <v>Fair</v>
      </c>
      <c r="AS251" s="96" t="n">
        <f aca="false">IF(AB251="","",INDEX(시장분석!$AJ:$AJ,AB251))</f>
        <v>1.23162571912526</v>
      </c>
      <c r="AT251" s="93" t="n">
        <f aca="false">IF(AB251="",0,IF(AB251="","",INDEX(시장분석!$AN:$AN,AB251)))</f>
        <v>7.71068738031269</v>
      </c>
      <c r="AU251" s="94" t="n">
        <f aca="false">IF(ISNUMBER(Z251),AT251/10000*MAX(Z251-1,0)*AA251*1000000,0)</f>
        <v>191.757362724282</v>
      </c>
      <c r="AV251" s="94" t="n">
        <f aca="false">AO251+AU251</f>
        <v>11494.9167419243</v>
      </c>
      <c r="AW251" s="43" t="str">
        <f aca="false">IF(Q251&lt;&gt;1,"",TRIM(IF(AD251=1,"FRN ","")&amp;IF(AND(AL251&gt;=10,AL251&lt;99),"BBB0미만 ","")&amp;IF(AJ251="","등급없음 ","")&amp;IF(K251&lt;&gt;1,"비USD ","")&amp;IF(AND(AB251="",Y251=0),"시장데이터없음 ","")&amp;IF(AND(ISNUMBER(U251),U251&lt;0),"만기경과 ","")))</f>
        <v/>
      </c>
      <c r="AX251" s="90" t="n">
        <f aca="false">IF(Q251&lt;&gt;1,1,IF(스프레드쇼크!$C$4="Y",INDEX(스프레드쇼크!$B$12:$L$16,IFERROR(MATCH(AH251,스프레드쇼크!$A$12:$A$16,0),MATCH("목록외",스프레드쇼크!$A$12:$A$16,0)),IFERROR(MATCH(AG251,스프레드쇼크!$B$11:$L$11,0),MATCH("목록외",스프레드쇼크!$B$11:$L$11,0))),1))</f>
        <v>1</v>
      </c>
      <c r="AY251" s="90" t="n">
        <f aca="false">IF(스프레드쇼크!$C$5="Y",IF(ISNUMBER(AF251),MIN(스프레드쇼크!$C$7,MAX(스프레드쇼크!$C$6,AF251/스프레드쇼크!$C$8)),1),1)</f>
        <v>0.956635420315668</v>
      </c>
      <c r="AZ251" s="94" t="n">
        <f aca="false">AN251*AX251*AY251</f>
        <v>42.9734751586441</v>
      </c>
      <c r="BA251" s="90" t="n">
        <f aca="false">IF(ISNUMBER(G251),AA251*G251,0)</f>
        <v>1.13031593792</v>
      </c>
      <c r="BB251" s="90" t="n">
        <f aca="false">IF(ISNUMBER(G251),AA251,0)</f>
        <v>0.2005244</v>
      </c>
      <c r="BC251" s="90" t="n">
        <f aca="false">IF(AND(Y251=0,ISNUMBER(AF251)),AA251*AF251,0)</f>
        <v>12.6825667268</v>
      </c>
      <c r="BD251" s="90" t="n">
        <f aca="false">IF(AND(Y251=0,ISNUMBER(AF251)),AA251,0)</f>
        <v>0.2005244</v>
      </c>
      <c r="BE251" s="90" t="n">
        <f aca="false">IF(ISNUMBER(H251),AA251*H251,0)</f>
        <v>0.44921476088</v>
      </c>
      <c r="BF251" s="90" t="n">
        <f aca="false">IF(ISNUMBER(H251),AA251,0)</f>
        <v>0.2005244</v>
      </c>
      <c r="BG251" s="90" t="n">
        <f aca="false">IF(AND(Y251=0,ISNUMBER(AF251),ISNUMBER(Z251)),AA251*Z251,0)</f>
        <v>0.44921476088</v>
      </c>
      <c r="BH251" s="90" t="n">
        <f aca="false">IF(AND(Y251=0,ISNUMBER(AF251),ISNUMBER(Z251)),AA251*AT251*MAX(Z251-1,0),0)</f>
        <v>1.91757362724282</v>
      </c>
      <c r="BI251" s="90" t="n">
        <f aca="false">IF(Y251=0,AA251,0)</f>
        <v>0.2005244</v>
      </c>
    </row>
    <row r="252" customFormat="false" ht="15" hidden="false" customHeight="false" outlineLevel="0" collapsed="false">
      <c r="A252" s="83" t="str">
        <f aca="false">IFERROR(IF(INDEX(원자료_잔고!$A$1:$EZ$1500,설정!$L$5+ROW()-1,설정!$L$8)&amp;""="0","",INDEX(원자료_잔고!$A$1:$EZ$1500,설정!$L$5+ROW()-1,설정!$L$8)&amp;""),"")</f>
        <v>NHSECS 4.75 07/10/30</v>
      </c>
      <c r="B252" s="83" t="str">
        <f aca="false">IFERROR(IF(INDEX(원자료_잔고!$A$1:$EZ$1500,설정!$L$5+ROW()-1,설정!$L$7)&amp;""="0","",INDEX(원자료_잔고!$A$1:$EZ$1500,설정!$L$5+ROW()-1,설정!$L$7)&amp;""),"")</f>
        <v>XS3109629371</v>
      </c>
      <c r="C252" s="83" t="str">
        <f aca="false">IFERROR(IF(INDEX(원자료_잔고!$A$1:$EZ$1500,설정!$L$5+ROW()-1,설정!$L$9)&amp;""="0","",INDEX(원자료_잔고!$A$1:$EZ$1500,설정!$L$5+ROW()-1,설정!$L$9)&amp;""),"")</f>
        <v>34578</v>
      </c>
      <c r="D25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2" s="84" t="n">
        <f aca="false">IFERROR(IF(ISNUMBER(INDEX(원자료_잔고!$A$1:$EZ$1500,설정!$L$5+ROW()-1,설정!$L$11)),INDEX(원자료_잔고!$A$1:$EZ$1500,설정!$L$5+ROW()-1,설정!$L$11),""),"")</f>
        <v>200000</v>
      </c>
      <c r="F252" s="85" t="n">
        <f aca="false">IFERROR(IF(ISNUMBER(INDEX(원자료_잔고!$A$1:$EZ$1500,설정!$L$5+ROW()-1,설정!$L$12)),INDEX(원자료_잔고!$A$1:$EZ$1500,설정!$L$5+ROW()-1,설정!$L$12),""),"")</f>
        <v>96.5325</v>
      </c>
      <c r="G252" s="85" t="n">
        <f aca="false">IFERROR(IF(ISNUMBER(INDEX(원자료_잔고!$A$1:$EZ$1500,설정!$L$5+ROW()-1,설정!$L$13)),INDEX(원자료_잔고!$A$1:$EZ$1500,설정!$L$5+ROW()-1,설정!$L$13),""),"")</f>
        <v>5.7816</v>
      </c>
      <c r="H252" s="85" t="n">
        <f aca="false">IFERROR(IF(ISNUMBER(INDEX(원자료_잔고!$A$1:$EZ$1500,설정!$L$5+ROW()-1,설정!$L$14)),INDEX(원자료_잔고!$A$1:$EZ$1500,설정!$L$5+ROW()-1,설정!$L$14),""),"")</f>
        <v>3.2894</v>
      </c>
      <c r="I252" s="86" t="n">
        <f aca="false">IFERROR(IF(ISNUMBER(INDEX(원자료_잔고!$A$1:$EZ$1500,설정!$L$5+ROW()-1,설정!$L$15)),INDEX(원자료_잔고!$A$1:$EZ$1500,설정!$L$5+ROW()-1,설정!$L$15),""),"")</f>
        <v>47674</v>
      </c>
      <c r="J252" s="85" t="n">
        <f aca="false">IFERROR(IF(ISNUMBER(INDEX(원자료_잔고!$A$1:$EZ$1500,설정!$L$5+ROW()-1,설정!$L$16)),INDEX(원자료_잔고!$A$1:$EZ$1500,설정!$L$5+ROW()-1,설정!$L$16),""),"")</f>
        <v>4.75</v>
      </c>
      <c r="K252" s="87" t="n">
        <f aca="false">IFERROR(IF(ISNUMBER(INDEX(원자료_잔고!$A$1:$EZ$1500,설정!$L$5+ROW()-1,설정!$L$17)),INDEX(원자료_잔고!$A$1:$EZ$1500,설정!$L$5+ROW()-1,설정!$L$17),""),"")</f>
        <v>1</v>
      </c>
      <c r="L252" s="84" t="n">
        <f aca="false">IFERROR(IF(ISNUMBER(INDEX(원자료_잔고!$A$1:$EZ$1500,설정!$L$5+ROW()-1,설정!$L$18)),INDEX(원자료_잔고!$A$1:$EZ$1500,설정!$L$5+ROW()-1,설정!$L$18),""),"")</f>
        <v>193065</v>
      </c>
      <c r="M252" s="88" t="n">
        <f aca="false">IFERROR(IF(ISNUMBER(INDEX(원자료_잔고!$A$1:$EZ$1500,설정!$L$5+ROW()-1,설정!$L$19)),INDEX(원자료_잔고!$A$1:$EZ$1500,설정!$L$5+ROW()-1,설정!$L$19),""),"")</f>
        <v>-9472.4</v>
      </c>
      <c r="N252" s="83" t="str">
        <f aca="false">IFERROR(IF(INDEX(원자료_잔고!$A$1:$EZ$1500,설정!$L$5+ROW()-1,설정!$L$21)&amp;""="0","",INDEX(원자료_잔고!$A$1:$EZ$1500,설정!$L$5+ROW()-1,설정!$L$21)&amp;""),"")</f>
        <v>A-</v>
      </c>
      <c r="O252" s="83" t="str">
        <f aca="false">IFERROR(IF(INDEX(원자료_잔고!$A$1:$EZ$1500,설정!$L$5+ROW()-1,설정!$L$22)&amp;""="0","",INDEX(원자료_잔고!$A$1:$EZ$1500,설정!$L$5+ROW()-1,설정!$L$22)&amp;""),"")</f>
        <v>A3</v>
      </c>
      <c r="P252" s="83" t="str">
        <f aca="false">IFERROR(IF(INDEX(원자료_잔고!$A$1:$EZ$1500,설정!$L$5+ROW()-1,설정!$L$23)&amp;""="0","",INDEX(원자료_잔고!$A$1:$EZ$1500,설정!$L$5+ROW()-1,설정!$L$23)&amp;""),"")</f>
        <v>N/A</v>
      </c>
      <c r="Q252" s="89" t="n">
        <f aca="false">IF(AND($A252&lt;&gt;"",ISNUMBER(E252)),IF(E252&gt;0,1,0),0)</f>
        <v>1</v>
      </c>
      <c r="R252" s="43" t="str">
        <f aca="false">IF(Q252=1,UPPER(LEFT($A252,FIND(" ",$A252&amp;" ")-1)),"")</f>
        <v>NHSECS</v>
      </c>
      <c r="S252" s="89" t="n">
        <f aca="false">IF(Q252=1,IF(OR(ISNUMBER(SEARCH("Float",$A252)),ISNUMBER(SEARCH("FRN",$A252))),1,0),0)</f>
        <v>0</v>
      </c>
      <c r="T252" s="43" t="str">
        <f aca="false">IF(AND(Q252=1,ISNUMBER(I252)),TEXT(I252,"yyyymmdd")&amp;"|"&amp;IF(S252=1,"F",TEXT(J252,"0.000")),"")</f>
        <v>20300710|4.750</v>
      </c>
      <c r="U252" s="90" t="n">
        <f aca="false">IF(AND(Q252=1,ISNUMBER(I252)),(I252-설정!$C$4)/365.25,"")</f>
        <v>3.77275838466804</v>
      </c>
      <c r="V252" s="43" t="str">
        <f aca="false">IF(Q252&lt;&gt;1,"",IF(ISNUMBER(U252),IF(U252&lt;=1,"1년 이하",IF(U252&lt;=2,"1-2년",IF(U252&lt;=3,"2-3년",IF(U252&lt;=4,"3-4년",IF(U252&lt;=5,"4-5년",IF(U252&lt;=7,"5-7년",IF(U252&lt;=10,"7-10년",IF(U252&lt;=20,"10-20년","20년 이상")))))))),"미분류"))</f>
        <v>3-4년</v>
      </c>
      <c r="W252" s="43" t="str">
        <f aca="false">IF(Q252&lt;&gt;1,"",IF(AB252&lt;&gt;"",INDEX(시장분석!$C:$C,AB252),IF(K252=1,"USD","비USD")))</f>
        <v>USD</v>
      </c>
      <c r="X252" s="91" t="n">
        <f aca="false">IF(Q252=1,E252*K252/1000000,0)</f>
        <v>0.2</v>
      </c>
      <c r="Y252" s="89" t="n">
        <f aca="false">IF(R252="T",1,0)</f>
        <v>0</v>
      </c>
      <c r="Z252" s="92" t="n">
        <f aca="false">IF(Q252&lt;&gt;1,"",IF(AD252=1,IF(ISNUMBER(U252),MAX(U252,0),H252),H252))</f>
        <v>3.2894</v>
      </c>
      <c r="AA252" s="91" t="n">
        <f aca="false">IF(Q252=1,IF(ISNUMBER(L252),L252,0)*K252/1000000,0)</f>
        <v>0.193065</v>
      </c>
      <c r="AB252" s="89" t="n">
        <f aca="false">IF(Q252&lt;&gt;1,"",IFERROR(MATCH(VLOOKUP(B252,매핑!$H$4:$I$15,2,0),시장분석!$A$2:$A$601,0)+1,IFERROR(MATCH(R252&amp;"|"&amp;T252,시장분석!$V$2:$V$601,0)+1,IF(COUNTIF(시장분석!$U$2:$U$601,T252)=1,MATCH(T252,시장분석!$U$2:$U$601,0)+1,""))))</f>
        <v>245</v>
      </c>
      <c r="AC252" s="89" t="n">
        <f aca="false">IF(Q252&lt;&gt;1,0,IF(OR(설정!$C$5="전체",AND(설정!$C$5="선택펀드",IFERROR(COUNTIFS(설정!$F$16:$F$36,C252,설정!$G$16:$G$36,"Y")+COUNTIFS(설정!$F$16:$F$36,VALUE(C252),설정!$G$16:$G$36,"Y"),0)&gt;0),C252&amp;""=설정!$C$5&amp;""),1,0))</f>
        <v>1</v>
      </c>
      <c r="AD252" s="89" t="n">
        <f aca="false">IF(Q252&lt;&gt;1,0,IF(OR(S252=1,IF(AB252="",FALSE(),INDEX(시장분석!$R:$R,AB252)=1)),1,0))</f>
        <v>0</v>
      </c>
      <c r="AE252" s="43" t="str">
        <f aca="false">IF(AB252="","",INDEX(시장분석!$A:$A,AB252))</f>
        <v>NHSECS 4 3/4 07/10/30</v>
      </c>
      <c r="AF252" s="93" t="n">
        <f aca="false">IF(AB252="","",IF(ISNUMBER(IF(AB252="","",INDEX(시장분석!$E:$E,AB252))),IF(AB252="","",INDEX(시장분석!$E:$E,AB252)),""))</f>
        <v>73.689</v>
      </c>
      <c r="AG252" s="43" t="str">
        <f aca="false">IF(Q252&lt;&gt;1,"",IF(AB252&lt;&gt;"",IF(AB252="","",INDEX(시장분석!$L:$L,AB252)),IFERROR(IF(VLOOKUP(R252,매핑!$A$4:$E$92,5,0)="","미분류",VLOOKUP(R252,매핑!$A$4:$E$92,5,0)),"미분류")))</f>
        <v>금융기관</v>
      </c>
      <c r="AH252" s="43" t="str">
        <f aca="false">IF(Q252&lt;&gt;1,"",IF(AB252&lt;&gt;"",IF(AB252="","",INDEX(시장분석!$N:$N,AB252)),IFERROR(IF(VLOOKUP(R252,매핑!$A$4:$E$92,4,0)="","미분류",VLOOKUP(R252,매핑!$A$4:$E$92,4,0)),"미분류")))</f>
        <v>아시아/기타</v>
      </c>
      <c r="AI252" s="43" t="str">
        <f aca="false">IF(Q252&lt;&gt;1,"",IFERROR(IF(VLOOKUP(R252,매핑!$A$4:$E$92,3,0)="","미분류",VLOOKUP(R252,매핑!$A$4:$E$92,3,0)),IF(AB252&lt;&gt;"",IF(AB252="","",INDEX(시장분석!$W:$W,AB252)),"미분류")))</f>
        <v>한국</v>
      </c>
      <c r="AJ252" s="43" t="str">
        <f aca="false">IF(Q252&lt;&gt;1,"",IFERROR(VLOOKUP(IF(N252&lt;&gt;"",N252,IF(P252&lt;&gt;"",P252,O252)),설정!$A$15:$D$47,2,0),""))</f>
        <v>A-</v>
      </c>
      <c r="AK252" s="43" t="str">
        <f aca="false">IF(Q252&lt;&gt;1,"",IF(AJ252="","무등급",IFERROR(VLOOKUP(AJ252,설정!$A$15:$D$47,3,0),"무등급")))</f>
        <v>A</v>
      </c>
      <c r="AL252" s="89" t="n">
        <f aca="false">IF(AJ252="",99,IFERROR(VLOOKUP(AJ252,설정!$A$15:$D$47,4,0),99))</f>
        <v>7</v>
      </c>
      <c r="AM252" s="94" t="n">
        <f aca="false">IF(ISNUMBER(H252),AA252*1000000*H252/10000,0)</f>
        <v>63.5068011</v>
      </c>
      <c r="AN252" s="94" t="n">
        <f aca="false">IF(OR(Y252=1,NOT(ISNUMBER(Z252))),0,AA252*1000000*Z252/10000)</f>
        <v>63.5068011</v>
      </c>
      <c r="AO252" s="94" t="n">
        <f aca="false">IF(ISNUMBER(G252),AA252*1000000*G252/100,0)</f>
        <v>11162.24604</v>
      </c>
      <c r="AP252" s="94" t="n">
        <f aca="false">IF(ISNUMBER(M252),M252*K252,0)</f>
        <v>-9472.4</v>
      </c>
      <c r="AQ252" s="95" t="n">
        <f aca="false">IF(AB252="","",INDEX(시장분석!$AK:$AK,AB252))</f>
        <v>0.3102354347485</v>
      </c>
      <c r="AR252" s="43" t="str">
        <f aca="false">IF(AB252="","-",IF(AB252="","",INDEX(시장분석!$AL:$AL,AB252)))</f>
        <v>Fair</v>
      </c>
      <c r="AS252" s="96" t="n">
        <f aca="false">IF(AB252="","",INDEX(시장분석!$AJ:$AJ,AB252))</f>
        <v>6.35163233339462</v>
      </c>
      <c r="AT252" s="93" t="n">
        <f aca="false">IF(AB252="",0,IF(AB252="","",INDEX(시장분석!$AN:$AN,AB252)))</f>
        <v>4.77064340671731</v>
      </c>
      <c r="AU252" s="94" t="n">
        <f aca="false">IF(ISNUMBER(Z252),AT252/10000*MAX(Z252-1,0)*AA252*1000000,0)</f>
        <v>210.863875017635</v>
      </c>
      <c r="AV252" s="94" t="n">
        <f aca="false">AO252+AU252</f>
        <v>11373.1099150176</v>
      </c>
      <c r="AW252" s="43" t="str">
        <f aca="false">IF(Q252&lt;&gt;1,"",TRIM(IF(AD252=1,"FRN ","")&amp;IF(AND(AL252&gt;=10,AL252&lt;99),"BBB0미만 ","")&amp;IF(AJ252="","등급없음 ","")&amp;IF(K252&lt;&gt;1,"비USD ","")&amp;IF(AND(AB252="",Y252=0),"시장데이터없음 ","")&amp;IF(AND(ISNUMBER(U252),U252&lt;0),"만기경과 ","")))</f>
        <v/>
      </c>
      <c r="AX252" s="90" t="n">
        <f aca="false">IF(Q252&lt;&gt;1,1,IF(스프레드쇼크!$C$4="Y",INDEX(스프레드쇼크!$B$12:$L$16,IFERROR(MATCH(AH252,스프레드쇼크!$A$12:$A$16,0),MATCH("목록외",스프레드쇼크!$A$12:$A$16,0)),IFERROR(MATCH(AG252,스프레드쇼크!$B$11:$L$11,0),MATCH("목록외",스프레드쇼크!$B$11:$L$11,0))),1))</f>
        <v>1</v>
      </c>
      <c r="AY252" s="90" t="n">
        <f aca="false">IF(스프레드쇼크!$C$5="Y",IF(ISNUMBER(AF252),MIN(스프레드쇼크!$C$7,MAX(스프레드쇼크!$C$6,AF252/스프레드쇼크!$C$8)),1),1)</f>
        <v>1.11457472271635</v>
      </c>
      <c r="AZ252" s="94" t="n">
        <f aca="false">AN252*AX252*AY252</f>
        <v>70.7830752266352</v>
      </c>
      <c r="BA252" s="90" t="n">
        <f aca="false">IF(ISNUMBER(G252),AA252*G252,0)</f>
        <v>1.116224604</v>
      </c>
      <c r="BB252" s="90" t="n">
        <f aca="false">IF(ISNUMBER(G252),AA252,0)</f>
        <v>0.193065</v>
      </c>
      <c r="BC252" s="90" t="n">
        <f aca="false">IF(AND(Y252=0,ISNUMBER(AF252)),AA252*AF252,0)</f>
        <v>14.226766785</v>
      </c>
      <c r="BD252" s="90" t="n">
        <f aca="false">IF(AND(Y252=0,ISNUMBER(AF252)),AA252,0)</f>
        <v>0.193065</v>
      </c>
      <c r="BE252" s="90" t="n">
        <f aca="false">IF(ISNUMBER(H252),AA252*H252,0)</f>
        <v>0.635068011</v>
      </c>
      <c r="BF252" s="90" t="n">
        <f aca="false">IF(ISNUMBER(H252),AA252,0)</f>
        <v>0.193065</v>
      </c>
      <c r="BG252" s="90" t="n">
        <f aca="false">IF(AND(Y252=0,ISNUMBER(AF252),ISNUMBER(Z252)),AA252*Z252,0)</f>
        <v>0.635068011</v>
      </c>
      <c r="BH252" s="90" t="n">
        <f aca="false">IF(AND(Y252=0,ISNUMBER(AF252),ISNUMBER(Z252)),AA252*AT252*MAX(Z252-1,0),0)</f>
        <v>2.10863875017635</v>
      </c>
      <c r="BI252" s="90" t="n">
        <f aca="false">IF(Y252=0,AA252,0)</f>
        <v>0.193065</v>
      </c>
    </row>
    <row r="253" customFormat="false" ht="15" hidden="false" customHeight="false" outlineLevel="0" collapsed="false">
      <c r="A253" s="83" t="str">
        <f aca="false">IFERROR(IF(INDEX(원자료_잔고!$A$1:$EZ$1500,설정!$L$5+ROW()-1,설정!$L$8)&amp;""="0","",INDEX(원자료_잔고!$A$1:$EZ$1500,설정!$L$5+ROW()-1,설정!$L$8)&amp;""),"")</f>
        <v>NHSECS 4.75 07/10/30</v>
      </c>
      <c r="B253" s="83" t="str">
        <f aca="false">IFERROR(IF(INDEX(원자료_잔고!$A$1:$EZ$1500,설정!$L$5+ROW()-1,설정!$L$7)&amp;""="0","",INDEX(원자료_잔고!$A$1:$EZ$1500,설정!$L$5+ROW()-1,설정!$L$7)&amp;""),"")</f>
        <v>XS3109629371</v>
      </c>
      <c r="C253" s="83" t="str">
        <f aca="false">IFERROR(IF(INDEX(원자료_잔고!$A$1:$EZ$1500,설정!$L$5+ROW()-1,설정!$L$9)&amp;""="0","",INDEX(원자료_잔고!$A$1:$EZ$1500,설정!$L$5+ROW()-1,설정!$L$9)&amp;""),"")</f>
        <v>34578</v>
      </c>
      <c r="D25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3" s="84" t="n">
        <f aca="false">IFERROR(IF(ISNUMBER(INDEX(원자료_잔고!$A$1:$EZ$1500,설정!$L$5+ROW()-1,설정!$L$11)),INDEX(원자료_잔고!$A$1:$EZ$1500,설정!$L$5+ROW()-1,설정!$L$11),""),"")</f>
        <v>1400000</v>
      </c>
      <c r="F253" s="85" t="n">
        <f aca="false">IFERROR(IF(ISNUMBER(INDEX(원자료_잔고!$A$1:$EZ$1500,설정!$L$5+ROW()-1,설정!$L$12)),INDEX(원자료_잔고!$A$1:$EZ$1500,설정!$L$5+ROW()-1,설정!$L$12),""),"")</f>
        <v>96.5325</v>
      </c>
      <c r="G253" s="85" t="n">
        <f aca="false">IFERROR(IF(ISNUMBER(INDEX(원자료_잔고!$A$1:$EZ$1500,설정!$L$5+ROW()-1,설정!$L$13)),INDEX(원자료_잔고!$A$1:$EZ$1500,설정!$L$5+ROW()-1,설정!$L$13),""),"")</f>
        <v>5.7816</v>
      </c>
      <c r="H253" s="85" t="n">
        <f aca="false">IFERROR(IF(ISNUMBER(INDEX(원자료_잔고!$A$1:$EZ$1500,설정!$L$5+ROW()-1,설정!$L$14)),INDEX(원자료_잔고!$A$1:$EZ$1500,설정!$L$5+ROW()-1,설정!$L$14),""),"")</f>
        <v>3.2894</v>
      </c>
      <c r="I253" s="86" t="n">
        <f aca="false">IFERROR(IF(ISNUMBER(INDEX(원자료_잔고!$A$1:$EZ$1500,설정!$L$5+ROW()-1,설정!$L$15)),INDEX(원자료_잔고!$A$1:$EZ$1500,설정!$L$5+ROW()-1,설정!$L$15),""),"")</f>
        <v>47674</v>
      </c>
      <c r="J253" s="85" t="n">
        <f aca="false">IFERROR(IF(ISNUMBER(INDEX(원자료_잔고!$A$1:$EZ$1500,설정!$L$5+ROW()-1,설정!$L$16)),INDEX(원자료_잔고!$A$1:$EZ$1500,설정!$L$5+ROW()-1,설정!$L$16),""),"")</f>
        <v>4.75</v>
      </c>
      <c r="K253" s="87" t="n">
        <f aca="false">IFERROR(IF(ISNUMBER(INDEX(원자료_잔고!$A$1:$EZ$1500,설정!$L$5+ROW()-1,설정!$L$17)),INDEX(원자료_잔고!$A$1:$EZ$1500,설정!$L$5+ROW()-1,설정!$L$17),""),"")</f>
        <v>1</v>
      </c>
      <c r="L253" s="84" t="n">
        <f aca="false">IFERROR(IF(ISNUMBER(INDEX(원자료_잔고!$A$1:$EZ$1500,설정!$L$5+ROW()-1,설정!$L$18)),INDEX(원자료_잔고!$A$1:$EZ$1500,설정!$L$5+ROW()-1,설정!$L$18),""),"")</f>
        <v>1351455</v>
      </c>
      <c r="M253" s="88" t="n">
        <f aca="false">IFERROR(IF(ISNUMBER(INDEX(원자료_잔고!$A$1:$EZ$1500,설정!$L$5+ROW()-1,설정!$L$19)),INDEX(원자료_잔고!$A$1:$EZ$1500,설정!$L$5+ROW()-1,설정!$L$19),""),"")</f>
        <v>-66306.8</v>
      </c>
      <c r="N253" s="83" t="str">
        <f aca="false">IFERROR(IF(INDEX(원자료_잔고!$A$1:$EZ$1500,설정!$L$5+ROW()-1,설정!$L$21)&amp;""="0","",INDEX(원자료_잔고!$A$1:$EZ$1500,설정!$L$5+ROW()-1,설정!$L$21)&amp;""),"")</f>
        <v>A-</v>
      </c>
      <c r="O253" s="83" t="str">
        <f aca="false">IFERROR(IF(INDEX(원자료_잔고!$A$1:$EZ$1500,설정!$L$5+ROW()-1,설정!$L$22)&amp;""="0","",INDEX(원자료_잔고!$A$1:$EZ$1500,설정!$L$5+ROW()-1,설정!$L$22)&amp;""),"")</f>
        <v>A3</v>
      </c>
      <c r="P253" s="83" t="str">
        <f aca="false">IFERROR(IF(INDEX(원자료_잔고!$A$1:$EZ$1500,설정!$L$5+ROW()-1,설정!$L$23)&amp;""="0","",INDEX(원자료_잔고!$A$1:$EZ$1500,설정!$L$5+ROW()-1,설정!$L$23)&amp;""),"")</f>
        <v>N/A</v>
      </c>
      <c r="Q253" s="89" t="n">
        <f aca="false">IF(AND($A253&lt;&gt;"",ISNUMBER(E253)),IF(E253&gt;0,1,0),0)</f>
        <v>1</v>
      </c>
      <c r="R253" s="43" t="str">
        <f aca="false">IF(Q253=1,UPPER(LEFT($A253,FIND(" ",$A253&amp;" ")-1)),"")</f>
        <v>NHSECS</v>
      </c>
      <c r="S253" s="89" t="n">
        <f aca="false">IF(Q253=1,IF(OR(ISNUMBER(SEARCH("Float",$A253)),ISNUMBER(SEARCH("FRN",$A253))),1,0),0)</f>
        <v>0</v>
      </c>
      <c r="T253" s="43" t="str">
        <f aca="false">IF(AND(Q253=1,ISNUMBER(I253)),TEXT(I253,"yyyymmdd")&amp;"|"&amp;IF(S253=1,"F",TEXT(J253,"0.000")),"")</f>
        <v>20300710|4.750</v>
      </c>
      <c r="U253" s="90" t="n">
        <f aca="false">IF(AND(Q253=1,ISNUMBER(I253)),(I253-설정!$C$4)/365.25,"")</f>
        <v>3.77275838466804</v>
      </c>
      <c r="V253" s="43" t="str">
        <f aca="false">IF(Q253&lt;&gt;1,"",IF(ISNUMBER(U253),IF(U253&lt;=1,"1년 이하",IF(U253&lt;=2,"1-2년",IF(U253&lt;=3,"2-3년",IF(U253&lt;=4,"3-4년",IF(U253&lt;=5,"4-5년",IF(U253&lt;=7,"5-7년",IF(U253&lt;=10,"7-10년",IF(U253&lt;=20,"10-20년","20년 이상")))))))),"미분류"))</f>
        <v>3-4년</v>
      </c>
      <c r="W253" s="43" t="str">
        <f aca="false">IF(Q253&lt;&gt;1,"",IF(AB253&lt;&gt;"",INDEX(시장분석!$C:$C,AB253),IF(K253=1,"USD","비USD")))</f>
        <v>USD</v>
      </c>
      <c r="X253" s="91" t="n">
        <f aca="false">IF(Q253=1,E253*K253/1000000,0)</f>
        <v>1.4</v>
      </c>
      <c r="Y253" s="89" t="n">
        <f aca="false">IF(R253="T",1,0)</f>
        <v>0</v>
      </c>
      <c r="Z253" s="92" t="n">
        <f aca="false">IF(Q253&lt;&gt;1,"",IF(AD253=1,IF(ISNUMBER(U253),MAX(U253,0),H253),H253))</f>
        <v>3.2894</v>
      </c>
      <c r="AA253" s="91" t="n">
        <f aca="false">IF(Q253=1,IF(ISNUMBER(L253),L253,0)*K253/1000000,0)</f>
        <v>1.351455</v>
      </c>
      <c r="AB253" s="89" t="n">
        <f aca="false">IF(Q253&lt;&gt;1,"",IFERROR(MATCH(VLOOKUP(B253,매핑!$H$4:$I$15,2,0),시장분석!$A$2:$A$601,0)+1,IFERROR(MATCH(R253&amp;"|"&amp;T253,시장분석!$V$2:$V$601,0)+1,IF(COUNTIF(시장분석!$U$2:$U$601,T253)=1,MATCH(T253,시장분석!$U$2:$U$601,0)+1,""))))</f>
        <v>245</v>
      </c>
      <c r="AC253" s="89" t="n">
        <f aca="false">IF(Q253&lt;&gt;1,0,IF(OR(설정!$C$5="전체",AND(설정!$C$5="선택펀드",IFERROR(COUNTIFS(설정!$F$16:$F$36,C253,설정!$G$16:$G$36,"Y")+COUNTIFS(설정!$F$16:$F$36,VALUE(C253),설정!$G$16:$G$36,"Y"),0)&gt;0),C253&amp;""=설정!$C$5&amp;""),1,0))</f>
        <v>1</v>
      </c>
      <c r="AD253" s="89" t="n">
        <f aca="false">IF(Q253&lt;&gt;1,0,IF(OR(S253=1,IF(AB253="",FALSE(),INDEX(시장분석!$R:$R,AB253)=1)),1,0))</f>
        <v>0</v>
      </c>
      <c r="AE253" s="43" t="str">
        <f aca="false">IF(AB253="","",INDEX(시장분석!$A:$A,AB253))</f>
        <v>NHSECS 4 3/4 07/10/30</v>
      </c>
      <c r="AF253" s="93" t="n">
        <f aca="false">IF(AB253="","",IF(ISNUMBER(IF(AB253="","",INDEX(시장분석!$E:$E,AB253))),IF(AB253="","",INDEX(시장분석!$E:$E,AB253)),""))</f>
        <v>73.689</v>
      </c>
      <c r="AG253" s="43" t="str">
        <f aca="false">IF(Q253&lt;&gt;1,"",IF(AB253&lt;&gt;"",IF(AB253="","",INDEX(시장분석!$L:$L,AB253)),IFERROR(IF(VLOOKUP(R253,매핑!$A$4:$E$92,5,0)="","미분류",VLOOKUP(R253,매핑!$A$4:$E$92,5,0)),"미분류")))</f>
        <v>금융기관</v>
      </c>
      <c r="AH253" s="43" t="str">
        <f aca="false">IF(Q253&lt;&gt;1,"",IF(AB253&lt;&gt;"",IF(AB253="","",INDEX(시장분석!$N:$N,AB253)),IFERROR(IF(VLOOKUP(R253,매핑!$A$4:$E$92,4,0)="","미분류",VLOOKUP(R253,매핑!$A$4:$E$92,4,0)),"미분류")))</f>
        <v>아시아/기타</v>
      </c>
      <c r="AI253" s="43" t="str">
        <f aca="false">IF(Q253&lt;&gt;1,"",IFERROR(IF(VLOOKUP(R253,매핑!$A$4:$E$92,3,0)="","미분류",VLOOKUP(R253,매핑!$A$4:$E$92,3,0)),IF(AB253&lt;&gt;"",IF(AB253="","",INDEX(시장분석!$W:$W,AB253)),"미분류")))</f>
        <v>한국</v>
      </c>
      <c r="AJ253" s="43" t="str">
        <f aca="false">IF(Q253&lt;&gt;1,"",IFERROR(VLOOKUP(IF(N253&lt;&gt;"",N253,IF(P253&lt;&gt;"",P253,O253)),설정!$A$15:$D$47,2,0),""))</f>
        <v>A-</v>
      </c>
      <c r="AK253" s="43" t="str">
        <f aca="false">IF(Q253&lt;&gt;1,"",IF(AJ253="","무등급",IFERROR(VLOOKUP(AJ253,설정!$A$15:$D$47,3,0),"무등급")))</f>
        <v>A</v>
      </c>
      <c r="AL253" s="89" t="n">
        <f aca="false">IF(AJ253="",99,IFERROR(VLOOKUP(AJ253,설정!$A$15:$D$47,4,0),99))</f>
        <v>7</v>
      </c>
      <c r="AM253" s="94" t="n">
        <f aca="false">IF(ISNUMBER(H253),AA253*1000000*H253/10000,0)</f>
        <v>444.5476077</v>
      </c>
      <c r="AN253" s="94" t="n">
        <f aca="false">IF(OR(Y253=1,NOT(ISNUMBER(Z253))),0,AA253*1000000*Z253/10000)</f>
        <v>444.5476077</v>
      </c>
      <c r="AO253" s="94" t="n">
        <f aca="false">IF(ISNUMBER(G253),AA253*1000000*G253/100,0)</f>
        <v>78135.72228</v>
      </c>
      <c r="AP253" s="94" t="n">
        <f aca="false">IF(ISNUMBER(M253),M253*K253,0)</f>
        <v>-66306.8</v>
      </c>
      <c r="AQ253" s="95" t="n">
        <f aca="false">IF(AB253="","",INDEX(시장분석!$AK:$AK,AB253))</f>
        <v>0.3102354347485</v>
      </c>
      <c r="AR253" s="43" t="str">
        <f aca="false">IF(AB253="","-",IF(AB253="","",INDEX(시장분석!$AL:$AL,AB253)))</f>
        <v>Fair</v>
      </c>
      <c r="AS253" s="96" t="n">
        <f aca="false">IF(AB253="","",INDEX(시장분석!$AJ:$AJ,AB253))</f>
        <v>6.35163233339462</v>
      </c>
      <c r="AT253" s="93" t="n">
        <f aca="false">IF(AB253="",0,IF(AB253="","",INDEX(시장분석!$AN:$AN,AB253)))</f>
        <v>4.77064340671731</v>
      </c>
      <c r="AU253" s="94" t="n">
        <f aca="false">IF(ISNUMBER(Z253),AT253/10000*MAX(Z253-1,0)*AA253*1000000,0)</f>
        <v>1476.04712512344</v>
      </c>
      <c r="AV253" s="94" t="n">
        <f aca="false">AO253+AU253</f>
        <v>79611.7694051234</v>
      </c>
      <c r="AW253" s="43" t="str">
        <f aca="false">IF(Q253&lt;&gt;1,"",TRIM(IF(AD253=1,"FRN ","")&amp;IF(AND(AL253&gt;=10,AL253&lt;99),"BBB0미만 ","")&amp;IF(AJ253="","등급없음 ","")&amp;IF(K253&lt;&gt;1,"비USD ","")&amp;IF(AND(AB253="",Y253=0),"시장데이터없음 ","")&amp;IF(AND(ISNUMBER(U253),U253&lt;0),"만기경과 ","")))</f>
        <v/>
      </c>
      <c r="AX253" s="90" t="n">
        <f aca="false">IF(Q253&lt;&gt;1,1,IF(스프레드쇼크!$C$4="Y",INDEX(스프레드쇼크!$B$12:$L$16,IFERROR(MATCH(AH253,스프레드쇼크!$A$12:$A$16,0),MATCH("목록외",스프레드쇼크!$A$12:$A$16,0)),IFERROR(MATCH(AG253,스프레드쇼크!$B$11:$L$11,0),MATCH("목록외",스프레드쇼크!$B$11:$L$11,0))),1))</f>
        <v>1</v>
      </c>
      <c r="AY253" s="90" t="n">
        <f aca="false">IF(스프레드쇼크!$C$5="Y",IF(ISNUMBER(AF253),MIN(스프레드쇼크!$C$7,MAX(스프레드쇼크!$C$6,AF253/스프레드쇼크!$C$8)),1),1)</f>
        <v>1.11457472271635</v>
      </c>
      <c r="AZ253" s="94" t="n">
        <f aca="false">AN253*AX253*AY253</f>
        <v>495.481526586446</v>
      </c>
      <c r="BA253" s="90" t="n">
        <f aca="false">IF(ISNUMBER(G253),AA253*G253,0)</f>
        <v>7.813572228</v>
      </c>
      <c r="BB253" s="90" t="n">
        <f aca="false">IF(ISNUMBER(G253),AA253,0)</f>
        <v>1.351455</v>
      </c>
      <c r="BC253" s="90" t="n">
        <f aca="false">IF(AND(Y253=0,ISNUMBER(AF253)),AA253*AF253,0)</f>
        <v>99.587367495</v>
      </c>
      <c r="BD253" s="90" t="n">
        <f aca="false">IF(AND(Y253=0,ISNUMBER(AF253)),AA253,0)</f>
        <v>1.351455</v>
      </c>
      <c r="BE253" s="90" t="n">
        <f aca="false">IF(ISNUMBER(H253),AA253*H253,0)</f>
        <v>4.445476077</v>
      </c>
      <c r="BF253" s="90" t="n">
        <f aca="false">IF(ISNUMBER(H253),AA253,0)</f>
        <v>1.351455</v>
      </c>
      <c r="BG253" s="90" t="n">
        <f aca="false">IF(AND(Y253=0,ISNUMBER(AF253),ISNUMBER(Z253)),AA253*Z253,0)</f>
        <v>4.445476077</v>
      </c>
      <c r="BH253" s="90" t="n">
        <f aca="false">IF(AND(Y253=0,ISNUMBER(AF253),ISNUMBER(Z253)),AA253*AT253*MAX(Z253-1,0),0)</f>
        <v>14.7604712512344</v>
      </c>
      <c r="BI253" s="90" t="n">
        <f aca="false">IF(Y253=0,AA253,0)</f>
        <v>1.351455</v>
      </c>
    </row>
    <row r="254" customFormat="false" ht="15" hidden="false" customHeight="false" outlineLevel="0" collapsed="false">
      <c r="A254" s="83" t="str">
        <f aca="false">IFERROR(IF(INDEX(원자료_잔고!$A$1:$EZ$1500,설정!$L$5+ROW()-1,설정!$L$8)&amp;""="0","",INDEX(원자료_잔고!$A$1:$EZ$1500,설정!$L$5+ROW()-1,설정!$L$8)&amp;""),"")</f>
        <v>NHSECS 4.75 07/10/30</v>
      </c>
      <c r="B254" s="83" t="str">
        <f aca="false">IFERROR(IF(INDEX(원자료_잔고!$A$1:$EZ$1500,설정!$L$5+ROW()-1,설정!$L$7)&amp;""="0","",INDEX(원자료_잔고!$A$1:$EZ$1500,설정!$L$5+ROW()-1,설정!$L$7)&amp;""),"")</f>
        <v>XS3109629371</v>
      </c>
      <c r="C254" s="83" t="str">
        <f aca="false">IFERROR(IF(INDEX(원자료_잔고!$A$1:$EZ$1500,설정!$L$5+ROW()-1,설정!$L$9)&amp;""="0","",INDEX(원자료_잔고!$A$1:$EZ$1500,설정!$L$5+ROW()-1,설정!$L$9)&amp;""),"")</f>
        <v>34578</v>
      </c>
      <c r="D25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4" s="84" t="n">
        <f aca="false">IFERROR(IF(ISNUMBER(INDEX(원자료_잔고!$A$1:$EZ$1500,설정!$L$5+ROW()-1,설정!$L$11)),INDEX(원자료_잔고!$A$1:$EZ$1500,설정!$L$5+ROW()-1,설정!$L$11),""),"")</f>
        <v>3000000</v>
      </c>
      <c r="F254" s="85" t="n">
        <f aca="false">IFERROR(IF(ISNUMBER(INDEX(원자료_잔고!$A$1:$EZ$1500,설정!$L$5+ROW()-1,설정!$L$12)),INDEX(원자료_잔고!$A$1:$EZ$1500,설정!$L$5+ROW()-1,설정!$L$12),""),"")</f>
        <v>96.5325</v>
      </c>
      <c r="G254" s="85" t="n">
        <f aca="false">IFERROR(IF(ISNUMBER(INDEX(원자료_잔고!$A$1:$EZ$1500,설정!$L$5+ROW()-1,설정!$L$13)),INDEX(원자료_잔고!$A$1:$EZ$1500,설정!$L$5+ROW()-1,설정!$L$13),""),"")</f>
        <v>5.7816</v>
      </c>
      <c r="H254" s="85" t="n">
        <f aca="false">IFERROR(IF(ISNUMBER(INDEX(원자료_잔고!$A$1:$EZ$1500,설정!$L$5+ROW()-1,설정!$L$14)),INDEX(원자료_잔고!$A$1:$EZ$1500,설정!$L$5+ROW()-1,설정!$L$14),""),"")</f>
        <v>3.2894</v>
      </c>
      <c r="I254" s="86" t="n">
        <f aca="false">IFERROR(IF(ISNUMBER(INDEX(원자료_잔고!$A$1:$EZ$1500,설정!$L$5+ROW()-1,설정!$L$15)),INDEX(원자료_잔고!$A$1:$EZ$1500,설정!$L$5+ROW()-1,설정!$L$15),""),"")</f>
        <v>47674</v>
      </c>
      <c r="J254" s="85" t="n">
        <f aca="false">IFERROR(IF(ISNUMBER(INDEX(원자료_잔고!$A$1:$EZ$1500,설정!$L$5+ROW()-1,설정!$L$16)),INDEX(원자료_잔고!$A$1:$EZ$1500,설정!$L$5+ROW()-1,설정!$L$16),""),"")</f>
        <v>4.75</v>
      </c>
      <c r="K254" s="87" t="n">
        <f aca="false">IFERROR(IF(ISNUMBER(INDEX(원자료_잔고!$A$1:$EZ$1500,설정!$L$5+ROW()-1,설정!$L$17)),INDEX(원자료_잔고!$A$1:$EZ$1500,설정!$L$5+ROW()-1,설정!$L$17),""),"")</f>
        <v>1</v>
      </c>
      <c r="L254" s="84" t="n">
        <f aca="false">IFERROR(IF(ISNUMBER(INDEX(원자료_잔고!$A$1:$EZ$1500,설정!$L$5+ROW()-1,설정!$L$18)),INDEX(원자료_잔고!$A$1:$EZ$1500,설정!$L$5+ROW()-1,설정!$L$18),""),"")</f>
        <v>2895975</v>
      </c>
      <c r="M254" s="88" t="n">
        <f aca="false">IFERROR(IF(ISNUMBER(INDEX(원자료_잔고!$A$1:$EZ$1500,설정!$L$5+ROW()-1,설정!$L$19)),INDEX(원자료_잔고!$A$1:$EZ$1500,설정!$L$5+ROW()-1,설정!$L$19),""),"")</f>
        <v>-142086</v>
      </c>
      <c r="N254" s="83" t="str">
        <f aca="false">IFERROR(IF(INDEX(원자료_잔고!$A$1:$EZ$1500,설정!$L$5+ROW()-1,설정!$L$21)&amp;""="0","",INDEX(원자료_잔고!$A$1:$EZ$1500,설정!$L$5+ROW()-1,설정!$L$21)&amp;""),"")</f>
        <v>A-</v>
      </c>
      <c r="O254" s="83" t="str">
        <f aca="false">IFERROR(IF(INDEX(원자료_잔고!$A$1:$EZ$1500,설정!$L$5+ROW()-1,설정!$L$22)&amp;""="0","",INDEX(원자료_잔고!$A$1:$EZ$1500,설정!$L$5+ROW()-1,설정!$L$22)&amp;""),"")</f>
        <v>A3</v>
      </c>
      <c r="P254" s="83" t="str">
        <f aca="false">IFERROR(IF(INDEX(원자료_잔고!$A$1:$EZ$1500,설정!$L$5+ROW()-1,설정!$L$23)&amp;""="0","",INDEX(원자료_잔고!$A$1:$EZ$1500,설정!$L$5+ROW()-1,설정!$L$23)&amp;""),"")</f>
        <v>N/A</v>
      </c>
      <c r="Q254" s="89" t="n">
        <f aca="false">IF(AND($A254&lt;&gt;"",ISNUMBER(E254)),IF(E254&gt;0,1,0),0)</f>
        <v>1</v>
      </c>
      <c r="R254" s="43" t="str">
        <f aca="false">IF(Q254=1,UPPER(LEFT($A254,FIND(" ",$A254&amp;" ")-1)),"")</f>
        <v>NHSECS</v>
      </c>
      <c r="S254" s="89" t="n">
        <f aca="false">IF(Q254=1,IF(OR(ISNUMBER(SEARCH("Float",$A254)),ISNUMBER(SEARCH("FRN",$A254))),1,0),0)</f>
        <v>0</v>
      </c>
      <c r="T254" s="43" t="str">
        <f aca="false">IF(AND(Q254=1,ISNUMBER(I254)),TEXT(I254,"yyyymmdd")&amp;"|"&amp;IF(S254=1,"F",TEXT(J254,"0.000")),"")</f>
        <v>20300710|4.750</v>
      </c>
      <c r="U254" s="90" t="n">
        <f aca="false">IF(AND(Q254=1,ISNUMBER(I254)),(I254-설정!$C$4)/365.25,"")</f>
        <v>3.77275838466804</v>
      </c>
      <c r="V254" s="43" t="str">
        <f aca="false">IF(Q254&lt;&gt;1,"",IF(ISNUMBER(U254),IF(U254&lt;=1,"1년 이하",IF(U254&lt;=2,"1-2년",IF(U254&lt;=3,"2-3년",IF(U254&lt;=4,"3-4년",IF(U254&lt;=5,"4-5년",IF(U254&lt;=7,"5-7년",IF(U254&lt;=10,"7-10년",IF(U254&lt;=20,"10-20년","20년 이상")))))))),"미분류"))</f>
        <v>3-4년</v>
      </c>
      <c r="W254" s="43" t="str">
        <f aca="false">IF(Q254&lt;&gt;1,"",IF(AB254&lt;&gt;"",INDEX(시장분석!$C:$C,AB254),IF(K254=1,"USD","비USD")))</f>
        <v>USD</v>
      </c>
      <c r="X254" s="91" t="n">
        <f aca="false">IF(Q254=1,E254*K254/1000000,0)</f>
        <v>3</v>
      </c>
      <c r="Y254" s="89" t="n">
        <f aca="false">IF(R254="T",1,0)</f>
        <v>0</v>
      </c>
      <c r="Z254" s="92" t="n">
        <f aca="false">IF(Q254&lt;&gt;1,"",IF(AD254=1,IF(ISNUMBER(U254),MAX(U254,0),H254),H254))</f>
        <v>3.2894</v>
      </c>
      <c r="AA254" s="91" t="n">
        <f aca="false">IF(Q254=1,IF(ISNUMBER(L254),L254,0)*K254/1000000,0)</f>
        <v>2.895975</v>
      </c>
      <c r="AB254" s="89" t="n">
        <f aca="false">IF(Q254&lt;&gt;1,"",IFERROR(MATCH(VLOOKUP(B254,매핑!$H$4:$I$15,2,0),시장분석!$A$2:$A$601,0)+1,IFERROR(MATCH(R254&amp;"|"&amp;T254,시장분석!$V$2:$V$601,0)+1,IF(COUNTIF(시장분석!$U$2:$U$601,T254)=1,MATCH(T254,시장분석!$U$2:$U$601,0)+1,""))))</f>
        <v>245</v>
      </c>
      <c r="AC254" s="89" t="n">
        <f aca="false">IF(Q254&lt;&gt;1,0,IF(OR(설정!$C$5="전체",AND(설정!$C$5="선택펀드",IFERROR(COUNTIFS(설정!$F$16:$F$36,C254,설정!$G$16:$G$36,"Y")+COUNTIFS(설정!$F$16:$F$36,VALUE(C254),설정!$G$16:$G$36,"Y"),0)&gt;0),C254&amp;""=설정!$C$5&amp;""),1,0))</f>
        <v>1</v>
      </c>
      <c r="AD254" s="89" t="n">
        <f aca="false">IF(Q254&lt;&gt;1,0,IF(OR(S254=1,IF(AB254="",FALSE(),INDEX(시장분석!$R:$R,AB254)=1)),1,0))</f>
        <v>0</v>
      </c>
      <c r="AE254" s="43" t="str">
        <f aca="false">IF(AB254="","",INDEX(시장분석!$A:$A,AB254))</f>
        <v>NHSECS 4 3/4 07/10/30</v>
      </c>
      <c r="AF254" s="93" t="n">
        <f aca="false">IF(AB254="","",IF(ISNUMBER(IF(AB254="","",INDEX(시장분석!$E:$E,AB254))),IF(AB254="","",INDEX(시장분석!$E:$E,AB254)),""))</f>
        <v>73.689</v>
      </c>
      <c r="AG254" s="43" t="str">
        <f aca="false">IF(Q254&lt;&gt;1,"",IF(AB254&lt;&gt;"",IF(AB254="","",INDEX(시장분석!$L:$L,AB254)),IFERROR(IF(VLOOKUP(R254,매핑!$A$4:$E$92,5,0)="","미분류",VLOOKUP(R254,매핑!$A$4:$E$92,5,0)),"미분류")))</f>
        <v>금융기관</v>
      </c>
      <c r="AH254" s="43" t="str">
        <f aca="false">IF(Q254&lt;&gt;1,"",IF(AB254&lt;&gt;"",IF(AB254="","",INDEX(시장분석!$N:$N,AB254)),IFERROR(IF(VLOOKUP(R254,매핑!$A$4:$E$92,4,0)="","미분류",VLOOKUP(R254,매핑!$A$4:$E$92,4,0)),"미분류")))</f>
        <v>아시아/기타</v>
      </c>
      <c r="AI254" s="43" t="str">
        <f aca="false">IF(Q254&lt;&gt;1,"",IFERROR(IF(VLOOKUP(R254,매핑!$A$4:$E$92,3,0)="","미분류",VLOOKUP(R254,매핑!$A$4:$E$92,3,0)),IF(AB254&lt;&gt;"",IF(AB254="","",INDEX(시장분석!$W:$W,AB254)),"미분류")))</f>
        <v>한국</v>
      </c>
      <c r="AJ254" s="43" t="str">
        <f aca="false">IF(Q254&lt;&gt;1,"",IFERROR(VLOOKUP(IF(N254&lt;&gt;"",N254,IF(P254&lt;&gt;"",P254,O254)),설정!$A$15:$D$47,2,0),""))</f>
        <v>A-</v>
      </c>
      <c r="AK254" s="43" t="str">
        <f aca="false">IF(Q254&lt;&gt;1,"",IF(AJ254="","무등급",IFERROR(VLOOKUP(AJ254,설정!$A$15:$D$47,3,0),"무등급")))</f>
        <v>A</v>
      </c>
      <c r="AL254" s="89" t="n">
        <f aca="false">IF(AJ254="",99,IFERROR(VLOOKUP(AJ254,설정!$A$15:$D$47,4,0),99))</f>
        <v>7</v>
      </c>
      <c r="AM254" s="94" t="n">
        <f aca="false">IF(ISNUMBER(H254),AA254*1000000*H254/10000,0)</f>
        <v>952.6020165</v>
      </c>
      <c r="AN254" s="94" t="n">
        <f aca="false">IF(OR(Y254=1,NOT(ISNUMBER(Z254))),0,AA254*1000000*Z254/10000)</f>
        <v>952.6020165</v>
      </c>
      <c r="AO254" s="94" t="n">
        <f aca="false">IF(ISNUMBER(G254),AA254*1000000*G254/100,0)</f>
        <v>167433.6906</v>
      </c>
      <c r="AP254" s="94" t="n">
        <f aca="false">IF(ISNUMBER(M254),M254*K254,0)</f>
        <v>-142086</v>
      </c>
      <c r="AQ254" s="95" t="n">
        <f aca="false">IF(AB254="","",INDEX(시장분석!$AK:$AK,AB254))</f>
        <v>0.3102354347485</v>
      </c>
      <c r="AR254" s="43" t="str">
        <f aca="false">IF(AB254="","-",IF(AB254="","",INDEX(시장분석!$AL:$AL,AB254)))</f>
        <v>Fair</v>
      </c>
      <c r="AS254" s="96" t="n">
        <f aca="false">IF(AB254="","",INDEX(시장분석!$AJ:$AJ,AB254))</f>
        <v>6.35163233339462</v>
      </c>
      <c r="AT254" s="93" t="n">
        <f aca="false">IF(AB254="",0,IF(AB254="","",INDEX(시장분석!$AN:$AN,AB254)))</f>
        <v>4.77064340671731</v>
      </c>
      <c r="AU254" s="94" t="n">
        <f aca="false">IF(ISNUMBER(Z254),AT254/10000*MAX(Z254-1,0)*AA254*1000000,0)</f>
        <v>3162.95812526452</v>
      </c>
      <c r="AV254" s="94" t="n">
        <f aca="false">AO254+AU254</f>
        <v>170596.648725265</v>
      </c>
      <c r="AW254" s="43" t="str">
        <f aca="false">IF(Q254&lt;&gt;1,"",TRIM(IF(AD254=1,"FRN ","")&amp;IF(AND(AL254&gt;=10,AL254&lt;99),"BBB0미만 ","")&amp;IF(AJ254="","등급없음 ","")&amp;IF(K254&lt;&gt;1,"비USD ","")&amp;IF(AND(AB254="",Y254=0),"시장데이터없음 ","")&amp;IF(AND(ISNUMBER(U254),U254&lt;0),"만기경과 ","")))</f>
        <v/>
      </c>
      <c r="AX254" s="90" t="n">
        <f aca="false">IF(Q254&lt;&gt;1,1,IF(스프레드쇼크!$C$4="Y",INDEX(스프레드쇼크!$B$12:$L$16,IFERROR(MATCH(AH254,스프레드쇼크!$A$12:$A$16,0),MATCH("목록외",스프레드쇼크!$A$12:$A$16,0)),IFERROR(MATCH(AG254,스프레드쇼크!$B$11:$L$11,0),MATCH("목록외",스프레드쇼크!$B$11:$L$11,0))),1))</f>
        <v>1</v>
      </c>
      <c r="AY254" s="90" t="n">
        <f aca="false">IF(스프레드쇼크!$C$5="Y",IF(ISNUMBER(AF254),MIN(스프레드쇼크!$C$7,MAX(스프레드쇼크!$C$6,AF254/스프레드쇼크!$C$8)),1),1)</f>
        <v>1.11457472271635</v>
      </c>
      <c r="AZ254" s="94" t="n">
        <f aca="false">AN254*AX254*AY254</f>
        <v>1061.74612839953</v>
      </c>
      <c r="BA254" s="90" t="n">
        <f aca="false">IF(ISNUMBER(G254),AA254*G254,0)</f>
        <v>16.74336906</v>
      </c>
      <c r="BB254" s="90" t="n">
        <f aca="false">IF(ISNUMBER(G254),AA254,0)</f>
        <v>2.895975</v>
      </c>
      <c r="BC254" s="90" t="n">
        <f aca="false">IF(AND(Y254=0,ISNUMBER(AF254)),AA254*AF254,0)</f>
        <v>213.401501775</v>
      </c>
      <c r="BD254" s="90" t="n">
        <f aca="false">IF(AND(Y254=0,ISNUMBER(AF254)),AA254,0)</f>
        <v>2.895975</v>
      </c>
      <c r="BE254" s="90" t="n">
        <f aca="false">IF(ISNUMBER(H254),AA254*H254,0)</f>
        <v>9.526020165</v>
      </c>
      <c r="BF254" s="90" t="n">
        <f aca="false">IF(ISNUMBER(H254),AA254,0)</f>
        <v>2.895975</v>
      </c>
      <c r="BG254" s="90" t="n">
        <f aca="false">IF(AND(Y254=0,ISNUMBER(AF254),ISNUMBER(Z254)),AA254*Z254,0)</f>
        <v>9.526020165</v>
      </c>
      <c r="BH254" s="90" t="n">
        <f aca="false">IF(AND(Y254=0,ISNUMBER(AF254),ISNUMBER(Z254)),AA254*AT254*MAX(Z254-1,0),0)</f>
        <v>31.6295812526452</v>
      </c>
      <c r="BI254" s="90" t="n">
        <f aca="false">IF(Y254=0,AA254,0)</f>
        <v>2.895975</v>
      </c>
    </row>
    <row r="255" customFormat="false" ht="15" hidden="false" customHeight="false" outlineLevel="0" collapsed="false">
      <c r="A255" s="83" t="str">
        <f aca="false">IFERROR(IF(INDEX(원자료_잔고!$A$1:$EZ$1500,설정!$L$5+ROW()-1,설정!$L$8)&amp;""="0","",INDEX(원자료_잔고!$A$1:$EZ$1500,설정!$L$5+ROW()-1,설정!$L$8)&amp;""),"")</f>
        <v>NHSECS 4.75 07/10/30</v>
      </c>
      <c r="B255" s="83" t="str">
        <f aca="false">IFERROR(IF(INDEX(원자료_잔고!$A$1:$EZ$1500,설정!$L$5+ROW()-1,설정!$L$7)&amp;""="0","",INDEX(원자료_잔고!$A$1:$EZ$1500,설정!$L$5+ROW()-1,설정!$L$7)&amp;""),"")</f>
        <v>XS3109629371</v>
      </c>
      <c r="C255" s="83" t="str">
        <f aca="false">IFERROR(IF(INDEX(원자료_잔고!$A$1:$EZ$1500,설정!$L$5+ROW()-1,설정!$L$9)&amp;""="0","",INDEX(원자료_잔고!$A$1:$EZ$1500,설정!$L$5+ROW()-1,설정!$L$9)&amp;""),"")</f>
        <v>34578</v>
      </c>
      <c r="D25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5" s="84" t="n">
        <f aca="false">IFERROR(IF(ISNUMBER(INDEX(원자료_잔고!$A$1:$EZ$1500,설정!$L$5+ROW()-1,설정!$L$11)),INDEX(원자료_잔고!$A$1:$EZ$1500,설정!$L$5+ROW()-1,설정!$L$11),""),"")</f>
        <v>2000000</v>
      </c>
      <c r="F255" s="85" t="n">
        <f aca="false">IFERROR(IF(ISNUMBER(INDEX(원자료_잔고!$A$1:$EZ$1500,설정!$L$5+ROW()-1,설정!$L$12)),INDEX(원자료_잔고!$A$1:$EZ$1500,설정!$L$5+ROW()-1,설정!$L$12),""),"")</f>
        <v>96.5325</v>
      </c>
      <c r="G255" s="85" t="n">
        <f aca="false">IFERROR(IF(ISNUMBER(INDEX(원자료_잔고!$A$1:$EZ$1500,설정!$L$5+ROW()-1,설정!$L$13)),INDEX(원자료_잔고!$A$1:$EZ$1500,설정!$L$5+ROW()-1,설정!$L$13),""),"")</f>
        <v>5.7816</v>
      </c>
      <c r="H255" s="85" t="n">
        <f aca="false">IFERROR(IF(ISNUMBER(INDEX(원자료_잔고!$A$1:$EZ$1500,설정!$L$5+ROW()-1,설정!$L$14)),INDEX(원자료_잔고!$A$1:$EZ$1500,설정!$L$5+ROW()-1,설정!$L$14),""),"")</f>
        <v>3.2894</v>
      </c>
      <c r="I255" s="86" t="n">
        <f aca="false">IFERROR(IF(ISNUMBER(INDEX(원자료_잔고!$A$1:$EZ$1500,설정!$L$5+ROW()-1,설정!$L$15)),INDEX(원자료_잔고!$A$1:$EZ$1500,설정!$L$5+ROW()-1,설정!$L$15),""),"")</f>
        <v>47674</v>
      </c>
      <c r="J255" s="85" t="n">
        <f aca="false">IFERROR(IF(ISNUMBER(INDEX(원자료_잔고!$A$1:$EZ$1500,설정!$L$5+ROW()-1,설정!$L$16)),INDEX(원자료_잔고!$A$1:$EZ$1500,설정!$L$5+ROW()-1,설정!$L$16),""),"")</f>
        <v>4.75</v>
      </c>
      <c r="K255" s="87" t="n">
        <f aca="false">IFERROR(IF(ISNUMBER(INDEX(원자료_잔고!$A$1:$EZ$1500,설정!$L$5+ROW()-1,설정!$L$17)),INDEX(원자료_잔고!$A$1:$EZ$1500,설정!$L$5+ROW()-1,설정!$L$17),""),"")</f>
        <v>1</v>
      </c>
      <c r="L255" s="84" t="n">
        <f aca="false">IFERROR(IF(ISNUMBER(INDEX(원자료_잔고!$A$1:$EZ$1500,설정!$L$5+ROW()-1,설정!$L$18)),INDEX(원자료_잔고!$A$1:$EZ$1500,설정!$L$5+ROW()-1,설정!$L$18),""),"")</f>
        <v>1930650</v>
      </c>
      <c r="M255" s="88" t="n">
        <f aca="false">IFERROR(IF(ISNUMBER(INDEX(원자료_잔고!$A$1:$EZ$1500,설정!$L$5+ROW()-1,설정!$L$19)),INDEX(원자료_잔고!$A$1:$EZ$1500,설정!$L$5+ROW()-1,설정!$L$19),""),"")</f>
        <v>-94724</v>
      </c>
      <c r="N255" s="83" t="str">
        <f aca="false">IFERROR(IF(INDEX(원자료_잔고!$A$1:$EZ$1500,설정!$L$5+ROW()-1,설정!$L$21)&amp;""="0","",INDEX(원자료_잔고!$A$1:$EZ$1500,설정!$L$5+ROW()-1,설정!$L$21)&amp;""),"")</f>
        <v>A-</v>
      </c>
      <c r="O255" s="83" t="str">
        <f aca="false">IFERROR(IF(INDEX(원자료_잔고!$A$1:$EZ$1500,설정!$L$5+ROW()-1,설정!$L$22)&amp;""="0","",INDEX(원자료_잔고!$A$1:$EZ$1500,설정!$L$5+ROW()-1,설정!$L$22)&amp;""),"")</f>
        <v>A3</v>
      </c>
      <c r="P255" s="83" t="str">
        <f aca="false">IFERROR(IF(INDEX(원자료_잔고!$A$1:$EZ$1500,설정!$L$5+ROW()-1,설정!$L$23)&amp;""="0","",INDEX(원자료_잔고!$A$1:$EZ$1500,설정!$L$5+ROW()-1,설정!$L$23)&amp;""),"")</f>
        <v>N/A</v>
      </c>
      <c r="Q255" s="89" t="n">
        <f aca="false">IF(AND($A255&lt;&gt;"",ISNUMBER(E255)),IF(E255&gt;0,1,0),0)</f>
        <v>1</v>
      </c>
      <c r="R255" s="43" t="str">
        <f aca="false">IF(Q255=1,UPPER(LEFT($A255,FIND(" ",$A255&amp;" ")-1)),"")</f>
        <v>NHSECS</v>
      </c>
      <c r="S255" s="89" t="n">
        <f aca="false">IF(Q255=1,IF(OR(ISNUMBER(SEARCH("Float",$A255)),ISNUMBER(SEARCH("FRN",$A255))),1,0),0)</f>
        <v>0</v>
      </c>
      <c r="T255" s="43" t="str">
        <f aca="false">IF(AND(Q255=1,ISNUMBER(I255)),TEXT(I255,"yyyymmdd")&amp;"|"&amp;IF(S255=1,"F",TEXT(J255,"0.000")),"")</f>
        <v>20300710|4.750</v>
      </c>
      <c r="U255" s="90" t="n">
        <f aca="false">IF(AND(Q255=1,ISNUMBER(I255)),(I255-설정!$C$4)/365.25,"")</f>
        <v>3.77275838466804</v>
      </c>
      <c r="V255" s="43" t="str">
        <f aca="false">IF(Q255&lt;&gt;1,"",IF(ISNUMBER(U255),IF(U255&lt;=1,"1년 이하",IF(U255&lt;=2,"1-2년",IF(U255&lt;=3,"2-3년",IF(U255&lt;=4,"3-4년",IF(U255&lt;=5,"4-5년",IF(U255&lt;=7,"5-7년",IF(U255&lt;=10,"7-10년",IF(U255&lt;=20,"10-20년","20년 이상")))))))),"미분류"))</f>
        <v>3-4년</v>
      </c>
      <c r="W255" s="43" t="str">
        <f aca="false">IF(Q255&lt;&gt;1,"",IF(AB255&lt;&gt;"",INDEX(시장분석!$C:$C,AB255),IF(K255=1,"USD","비USD")))</f>
        <v>USD</v>
      </c>
      <c r="X255" s="91" t="n">
        <f aca="false">IF(Q255=1,E255*K255/1000000,0)</f>
        <v>2</v>
      </c>
      <c r="Y255" s="89" t="n">
        <f aca="false">IF(R255="T",1,0)</f>
        <v>0</v>
      </c>
      <c r="Z255" s="92" t="n">
        <f aca="false">IF(Q255&lt;&gt;1,"",IF(AD255=1,IF(ISNUMBER(U255),MAX(U255,0),H255),H255))</f>
        <v>3.2894</v>
      </c>
      <c r="AA255" s="91" t="n">
        <f aca="false">IF(Q255=1,IF(ISNUMBER(L255),L255,0)*K255/1000000,0)</f>
        <v>1.93065</v>
      </c>
      <c r="AB255" s="89" t="n">
        <f aca="false">IF(Q255&lt;&gt;1,"",IFERROR(MATCH(VLOOKUP(B255,매핑!$H$4:$I$15,2,0),시장분석!$A$2:$A$601,0)+1,IFERROR(MATCH(R255&amp;"|"&amp;T255,시장분석!$V$2:$V$601,0)+1,IF(COUNTIF(시장분석!$U$2:$U$601,T255)=1,MATCH(T255,시장분석!$U$2:$U$601,0)+1,""))))</f>
        <v>245</v>
      </c>
      <c r="AC255" s="89" t="n">
        <f aca="false">IF(Q255&lt;&gt;1,0,IF(OR(설정!$C$5="전체",AND(설정!$C$5="선택펀드",IFERROR(COUNTIFS(설정!$F$16:$F$36,C255,설정!$G$16:$G$36,"Y")+COUNTIFS(설정!$F$16:$F$36,VALUE(C255),설정!$G$16:$G$36,"Y"),0)&gt;0),C255&amp;""=설정!$C$5&amp;""),1,0))</f>
        <v>1</v>
      </c>
      <c r="AD255" s="89" t="n">
        <f aca="false">IF(Q255&lt;&gt;1,0,IF(OR(S255=1,IF(AB255="",FALSE(),INDEX(시장분석!$R:$R,AB255)=1)),1,0))</f>
        <v>0</v>
      </c>
      <c r="AE255" s="43" t="str">
        <f aca="false">IF(AB255="","",INDEX(시장분석!$A:$A,AB255))</f>
        <v>NHSECS 4 3/4 07/10/30</v>
      </c>
      <c r="AF255" s="93" t="n">
        <f aca="false">IF(AB255="","",IF(ISNUMBER(IF(AB255="","",INDEX(시장분석!$E:$E,AB255))),IF(AB255="","",INDEX(시장분석!$E:$E,AB255)),""))</f>
        <v>73.689</v>
      </c>
      <c r="AG255" s="43" t="str">
        <f aca="false">IF(Q255&lt;&gt;1,"",IF(AB255&lt;&gt;"",IF(AB255="","",INDEX(시장분석!$L:$L,AB255)),IFERROR(IF(VLOOKUP(R255,매핑!$A$4:$E$92,5,0)="","미분류",VLOOKUP(R255,매핑!$A$4:$E$92,5,0)),"미분류")))</f>
        <v>금융기관</v>
      </c>
      <c r="AH255" s="43" t="str">
        <f aca="false">IF(Q255&lt;&gt;1,"",IF(AB255&lt;&gt;"",IF(AB255="","",INDEX(시장분석!$N:$N,AB255)),IFERROR(IF(VLOOKUP(R255,매핑!$A$4:$E$92,4,0)="","미분류",VLOOKUP(R255,매핑!$A$4:$E$92,4,0)),"미분류")))</f>
        <v>아시아/기타</v>
      </c>
      <c r="AI255" s="43" t="str">
        <f aca="false">IF(Q255&lt;&gt;1,"",IFERROR(IF(VLOOKUP(R255,매핑!$A$4:$E$92,3,0)="","미분류",VLOOKUP(R255,매핑!$A$4:$E$92,3,0)),IF(AB255&lt;&gt;"",IF(AB255="","",INDEX(시장분석!$W:$W,AB255)),"미분류")))</f>
        <v>한국</v>
      </c>
      <c r="AJ255" s="43" t="str">
        <f aca="false">IF(Q255&lt;&gt;1,"",IFERROR(VLOOKUP(IF(N255&lt;&gt;"",N255,IF(P255&lt;&gt;"",P255,O255)),설정!$A$15:$D$47,2,0),""))</f>
        <v>A-</v>
      </c>
      <c r="AK255" s="43" t="str">
        <f aca="false">IF(Q255&lt;&gt;1,"",IF(AJ255="","무등급",IFERROR(VLOOKUP(AJ255,설정!$A$15:$D$47,3,0),"무등급")))</f>
        <v>A</v>
      </c>
      <c r="AL255" s="89" t="n">
        <f aca="false">IF(AJ255="",99,IFERROR(VLOOKUP(AJ255,설정!$A$15:$D$47,4,0),99))</f>
        <v>7</v>
      </c>
      <c r="AM255" s="94" t="n">
        <f aca="false">IF(ISNUMBER(H255),AA255*1000000*H255/10000,0)</f>
        <v>635.068011</v>
      </c>
      <c r="AN255" s="94" t="n">
        <f aca="false">IF(OR(Y255=1,NOT(ISNUMBER(Z255))),0,AA255*1000000*Z255/10000)</f>
        <v>635.068011</v>
      </c>
      <c r="AO255" s="94" t="n">
        <f aca="false">IF(ISNUMBER(G255),AA255*1000000*G255/100,0)</f>
        <v>111622.4604</v>
      </c>
      <c r="AP255" s="94" t="n">
        <f aca="false">IF(ISNUMBER(M255),M255*K255,0)</f>
        <v>-94724</v>
      </c>
      <c r="AQ255" s="95" t="n">
        <f aca="false">IF(AB255="","",INDEX(시장분석!$AK:$AK,AB255))</f>
        <v>0.3102354347485</v>
      </c>
      <c r="AR255" s="43" t="str">
        <f aca="false">IF(AB255="","-",IF(AB255="","",INDEX(시장분석!$AL:$AL,AB255)))</f>
        <v>Fair</v>
      </c>
      <c r="AS255" s="96" t="n">
        <f aca="false">IF(AB255="","",INDEX(시장분석!$AJ:$AJ,AB255))</f>
        <v>6.35163233339462</v>
      </c>
      <c r="AT255" s="93" t="n">
        <f aca="false">IF(AB255="",0,IF(AB255="","",INDEX(시장분석!$AN:$AN,AB255)))</f>
        <v>4.77064340671731</v>
      </c>
      <c r="AU255" s="94" t="n">
        <f aca="false">IF(ISNUMBER(Z255),AT255/10000*MAX(Z255-1,0)*AA255*1000000,0)</f>
        <v>2108.63875017635</v>
      </c>
      <c r="AV255" s="94" t="n">
        <f aca="false">AO255+AU255</f>
        <v>113731.099150176</v>
      </c>
      <c r="AW255" s="43" t="str">
        <f aca="false">IF(Q255&lt;&gt;1,"",TRIM(IF(AD255=1,"FRN ","")&amp;IF(AND(AL255&gt;=10,AL255&lt;99),"BBB0미만 ","")&amp;IF(AJ255="","등급없음 ","")&amp;IF(K255&lt;&gt;1,"비USD ","")&amp;IF(AND(AB255="",Y255=0),"시장데이터없음 ","")&amp;IF(AND(ISNUMBER(U255),U255&lt;0),"만기경과 ","")))</f>
        <v/>
      </c>
      <c r="AX255" s="90" t="n">
        <f aca="false">IF(Q255&lt;&gt;1,1,IF(스프레드쇼크!$C$4="Y",INDEX(스프레드쇼크!$B$12:$L$16,IFERROR(MATCH(AH255,스프레드쇼크!$A$12:$A$16,0),MATCH("목록외",스프레드쇼크!$A$12:$A$16,0)),IFERROR(MATCH(AG255,스프레드쇼크!$B$11:$L$11,0),MATCH("목록외",스프레드쇼크!$B$11:$L$11,0))),1))</f>
        <v>1</v>
      </c>
      <c r="AY255" s="90" t="n">
        <f aca="false">IF(스프레드쇼크!$C$5="Y",IF(ISNUMBER(AF255),MIN(스프레드쇼크!$C$7,MAX(스프레드쇼크!$C$6,AF255/스프레드쇼크!$C$8)),1),1)</f>
        <v>1.11457472271635</v>
      </c>
      <c r="AZ255" s="94" t="n">
        <f aca="false">AN255*AX255*AY255</f>
        <v>707.830752266352</v>
      </c>
      <c r="BA255" s="90" t="n">
        <f aca="false">IF(ISNUMBER(G255),AA255*G255,0)</f>
        <v>11.16224604</v>
      </c>
      <c r="BB255" s="90" t="n">
        <f aca="false">IF(ISNUMBER(G255),AA255,0)</f>
        <v>1.93065</v>
      </c>
      <c r="BC255" s="90" t="n">
        <f aca="false">IF(AND(Y255=0,ISNUMBER(AF255)),AA255*AF255,0)</f>
        <v>142.26766785</v>
      </c>
      <c r="BD255" s="90" t="n">
        <f aca="false">IF(AND(Y255=0,ISNUMBER(AF255)),AA255,0)</f>
        <v>1.93065</v>
      </c>
      <c r="BE255" s="90" t="n">
        <f aca="false">IF(ISNUMBER(H255),AA255*H255,0)</f>
        <v>6.35068011</v>
      </c>
      <c r="BF255" s="90" t="n">
        <f aca="false">IF(ISNUMBER(H255),AA255,0)</f>
        <v>1.93065</v>
      </c>
      <c r="BG255" s="90" t="n">
        <f aca="false">IF(AND(Y255=0,ISNUMBER(AF255),ISNUMBER(Z255)),AA255*Z255,0)</f>
        <v>6.35068011</v>
      </c>
      <c r="BH255" s="90" t="n">
        <f aca="false">IF(AND(Y255=0,ISNUMBER(AF255),ISNUMBER(Z255)),AA255*AT255*MAX(Z255-1,0),0)</f>
        <v>21.0863875017635</v>
      </c>
      <c r="BI255" s="90" t="n">
        <f aca="false">IF(Y255=0,AA255,0)</f>
        <v>1.93065</v>
      </c>
    </row>
    <row r="256" customFormat="false" ht="15" hidden="false" customHeight="false" outlineLevel="0" collapsed="false">
      <c r="A256" s="83" t="str">
        <f aca="false">IFERROR(IF(INDEX(원자료_잔고!$A$1:$EZ$1500,설정!$L$5+ROW()-1,설정!$L$8)&amp;""="0","",INDEX(원자료_잔고!$A$1:$EZ$1500,설정!$L$5+ROW()-1,설정!$L$8)&amp;""),"")</f>
        <v>NHSECS 4.75 07/10/30</v>
      </c>
      <c r="B256" s="83" t="str">
        <f aca="false">IFERROR(IF(INDEX(원자료_잔고!$A$1:$EZ$1500,설정!$L$5+ROW()-1,설정!$L$7)&amp;""="0","",INDEX(원자료_잔고!$A$1:$EZ$1500,설정!$L$5+ROW()-1,설정!$L$7)&amp;""),"")</f>
        <v>XS3109629371</v>
      </c>
      <c r="C256" s="83" t="str">
        <f aca="false">IFERROR(IF(INDEX(원자료_잔고!$A$1:$EZ$1500,설정!$L$5+ROW()-1,설정!$L$9)&amp;""="0","",INDEX(원자료_잔고!$A$1:$EZ$1500,설정!$L$5+ROW()-1,설정!$L$9)&amp;""),"")</f>
        <v>34578</v>
      </c>
      <c r="D25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6" s="84" t="n">
        <f aca="false">IFERROR(IF(ISNUMBER(INDEX(원자료_잔고!$A$1:$EZ$1500,설정!$L$5+ROW()-1,설정!$L$11)),INDEX(원자료_잔고!$A$1:$EZ$1500,설정!$L$5+ROW()-1,설정!$L$11),""),"")</f>
        <v>3000000</v>
      </c>
      <c r="F256" s="85" t="n">
        <f aca="false">IFERROR(IF(ISNUMBER(INDEX(원자료_잔고!$A$1:$EZ$1500,설정!$L$5+ROW()-1,설정!$L$12)),INDEX(원자료_잔고!$A$1:$EZ$1500,설정!$L$5+ROW()-1,설정!$L$12),""),"")</f>
        <v>96.5325</v>
      </c>
      <c r="G256" s="85" t="n">
        <f aca="false">IFERROR(IF(ISNUMBER(INDEX(원자료_잔고!$A$1:$EZ$1500,설정!$L$5+ROW()-1,설정!$L$13)),INDEX(원자료_잔고!$A$1:$EZ$1500,설정!$L$5+ROW()-1,설정!$L$13),""),"")</f>
        <v>5.7816</v>
      </c>
      <c r="H256" s="85" t="n">
        <f aca="false">IFERROR(IF(ISNUMBER(INDEX(원자료_잔고!$A$1:$EZ$1500,설정!$L$5+ROW()-1,설정!$L$14)),INDEX(원자료_잔고!$A$1:$EZ$1500,설정!$L$5+ROW()-1,설정!$L$14),""),"")</f>
        <v>3.2894</v>
      </c>
      <c r="I256" s="86" t="n">
        <f aca="false">IFERROR(IF(ISNUMBER(INDEX(원자료_잔고!$A$1:$EZ$1500,설정!$L$5+ROW()-1,설정!$L$15)),INDEX(원자료_잔고!$A$1:$EZ$1500,설정!$L$5+ROW()-1,설정!$L$15),""),"")</f>
        <v>47674</v>
      </c>
      <c r="J256" s="85" t="n">
        <f aca="false">IFERROR(IF(ISNUMBER(INDEX(원자료_잔고!$A$1:$EZ$1500,설정!$L$5+ROW()-1,설정!$L$16)),INDEX(원자료_잔고!$A$1:$EZ$1500,설정!$L$5+ROW()-1,설정!$L$16),""),"")</f>
        <v>4.75</v>
      </c>
      <c r="K256" s="87" t="n">
        <f aca="false">IFERROR(IF(ISNUMBER(INDEX(원자료_잔고!$A$1:$EZ$1500,설정!$L$5+ROW()-1,설정!$L$17)),INDEX(원자료_잔고!$A$1:$EZ$1500,설정!$L$5+ROW()-1,설정!$L$17),""),"")</f>
        <v>1</v>
      </c>
      <c r="L256" s="84" t="n">
        <f aca="false">IFERROR(IF(ISNUMBER(INDEX(원자료_잔고!$A$1:$EZ$1500,설정!$L$5+ROW()-1,설정!$L$18)),INDEX(원자료_잔고!$A$1:$EZ$1500,설정!$L$5+ROW()-1,설정!$L$18),""),"")</f>
        <v>2895975</v>
      </c>
      <c r="M256" s="88" t="n">
        <f aca="false">IFERROR(IF(ISNUMBER(INDEX(원자료_잔고!$A$1:$EZ$1500,설정!$L$5+ROW()-1,설정!$L$19)),INDEX(원자료_잔고!$A$1:$EZ$1500,설정!$L$5+ROW()-1,설정!$L$19),""),"")</f>
        <v>-142086</v>
      </c>
      <c r="N256" s="83" t="str">
        <f aca="false">IFERROR(IF(INDEX(원자료_잔고!$A$1:$EZ$1500,설정!$L$5+ROW()-1,설정!$L$21)&amp;""="0","",INDEX(원자료_잔고!$A$1:$EZ$1500,설정!$L$5+ROW()-1,설정!$L$21)&amp;""),"")</f>
        <v>A-</v>
      </c>
      <c r="O256" s="83" t="str">
        <f aca="false">IFERROR(IF(INDEX(원자료_잔고!$A$1:$EZ$1500,설정!$L$5+ROW()-1,설정!$L$22)&amp;""="0","",INDEX(원자료_잔고!$A$1:$EZ$1500,설정!$L$5+ROW()-1,설정!$L$22)&amp;""),"")</f>
        <v>A3</v>
      </c>
      <c r="P256" s="83" t="str">
        <f aca="false">IFERROR(IF(INDEX(원자료_잔고!$A$1:$EZ$1500,설정!$L$5+ROW()-1,설정!$L$23)&amp;""="0","",INDEX(원자료_잔고!$A$1:$EZ$1500,설정!$L$5+ROW()-1,설정!$L$23)&amp;""),"")</f>
        <v>N/A</v>
      </c>
      <c r="Q256" s="89" t="n">
        <f aca="false">IF(AND($A256&lt;&gt;"",ISNUMBER(E256)),IF(E256&gt;0,1,0),0)</f>
        <v>1</v>
      </c>
      <c r="R256" s="43" t="str">
        <f aca="false">IF(Q256=1,UPPER(LEFT($A256,FIND(" ",$A256&amp;" ")-1)),"")</f>
        <v>NHSECS</v>
      </c>
      <c r="S256" s="89" t="n">
        <f aca="false">IF(Q256=1,IF(OR(ISNUMBER(SEARCH("Float",$A256)),ISNUMBER(SEARCH("FRN",$A256))),1,0),0)</f>
        <v>0</v>
      </c>
      <c r="T256" s="43" t="str">
        <f aca="false">IF(AND(Q256=1,ISNUMBER(I256)),TEXT(I256,"yyyymmdd")&amp;"|"&amp;IF(S256=1,"F",TEXT(J256,"0.000")),"")</f>
        <v>20300710|4.750</v>
      </c>
      <c r="U256" s="90" t="n">
        <f aca="false">IF(AND(Q256=1,ISNUMBER(I256)),(I256-설정!$C$4)/365.25,"")</f>
        <v>3.77275838466804</v>
      </c>
      <c r="V256" s="43" t="str">
        <f aca="false">IF(Q256&lt;&gt;1,"",IF(ISNUMBER(U256),IF(U256&lt;=1,"1년 이하",IF(U256&lt;=2,"1-2년",IF(U256&lt;=3,"2-3년",IF(U256&lt;=4,"3-4년",IF(U256&lt;=5,"4-5년",IF(U256&lt;=7,"5-7년",IF(U256&lt;=10,"7-10년",IF(U256&lt;=20,"10-20년","20년 이상")))))))),"미분류"))</f>
        <v>3-4년</v>
      </c>
      <c r="W256" s="43" t="str">
        <f aca="false">IF(Q256&lt;&gt;1,"",IF(AB256&lt;&gt;"",INDEX(시장분석!$C:$C,AB256),IF(K256=1,"USD","비USD")))</f>
        <v>USD</v>
      </c>
      <c r="X256" s="91" t="n">
        <f aca="false">IF(Q256=1,E256*K256/1000000,0)</f>
        <v>3</v>
      </c>
      <c r="Y256" s="89" t="n">
        <f aca="false">IF(R256="T",1,0)</f>
        <v>0</v>
      </c>
      <c r="Z256" s="92" t="n">
        <f aca="false">IF(Q256&lt;&gt;1,"",IF(AD256=1,IF(ISNUMBER(U256),MAX(U256,0),H256),H256))</f>
        <v>3.2894</v>
      </c>
      <c r="AA256" s="91" t="n">
        <f aca="false">IF(Q256=1,IF(ISNUMBER(L256),L256,0)*K256/1000000,0)</f>
        <v>2.895975</v>
      </c>
      <c r="AB256" s="89" t="n">
        <f aca="false">IF(Q256&lt;&gt;1,"",IFERROR(MATCH(VLOOKUP(B256,매핑!$H$4:$I$15,2,0),시장분석!$A$2:$A$601,0)+1,IFERROR(MATCH(R256&amp;"|"&amp;T256,시장분석!$V$2:$V$601,0)+1,IF(COUNTIF(시장분석!$U$2:$U$601,T256)=1,MATCH(T256,시장분석!$U$2:$U$601,0)+1,""))))</f>
        <v>245</v>
      </c>
      <c r="AC256" s="89" t="n">
        <f aca="false">IF(Q256&lt;&gt;1,0,IF(OR(설정!$C$5="전체",AND(설정!$C$5="선택펀드",IFERROR(COUNTIFS(설정!$F$16:$F$36,C256,설정!$G$16:$G$36,"Y")+COUNTIFS(설정!$F$16:$F$36,VALUE(C256),설정!$G$16:$G$36,"Y"),0)&gt;0),C256&amp;""=설정!$C$5&amp;""),1,0))</f>
        <v>1</v>
      </c>
      <c r="AD256" s="89" t="n">
        <f aca="false">IF(Q256&lt;&gt;1,0,IF(OR(S256=1,IF(AB256="",FALSE(),INDEX(시장분석!$R:$R,AB256)=1)),1,0))</f>
        <v>0</v>
      </c>
      <c r="AE256" s="43" t="str">
        <f aca="false">IF(AB256="","",INDEX(시장분석!$A:$A,AB256))</f>
        <v>NHSECS 4 3/4 07/10/30</v>
      </c>
      <c r="AF256" s="93" t="n">
        <f aca="false">IF(AB256="","",IF(ISNUMBER(IF(AB256="","",INDEX(시장분석!$E:$E,AB256))),IF(AB256="","",INDEX(시장분석!$E:$E,AB256)),""))</f>
        <v>73.689</v>
      </c>
      <c r="AG256" s="43" t="str">
        <f aca="false">IF(Q256&lt;&gt;1,"",IF(AB256&lt;&gt;"",IF(AB256="","",INDEX(시장분석!$L:$L,AB256)),IFERROR(IF(VLOOKUP(R256,매핑!$A$4:$E$92,5,0)="","미분류",VLOOKUP(R256,매핑!$A$4:$E$92,5,0)),"미분류")))</f>
        <v>금융기관</v>
      </c>
      <c r="AH256" s="43" t="str">
        <f aca="false">IF(Q256&lt;&gt;1,"",IF(AB256&lt;&gt;"",IF(AB256="","",INDEX(시장분석!$N:$N,AB256)),IFERROR(IF(VLOOKUP(R256,매핑!$A$4:$E$92,4,0)="","미분류",VLOOKUP(R256,매핑!$A$4:$E$92,4,0)),"미분류")))</f>
        <v>아시아/기타</v>
      </c>
      <c r="AI256" s="43" t="str">
        <f aca="false">IF(Q256&lt;&gt;1,"",IFERROR(IF(VLOOKUP(R256,매핑!$A$4:$E$92,3,0)="","미분류",VLOOKUP(R256,매핑!$A$4:$E$92,3,0)),IF(AB256&lt;&gt;"",IF(AB256="","",INDEX(시장분석!$W:$W,AB256)),"미분류")))</f>
        <v>한국</v>
      </c>
      <c r="AJ256" s="43" t="str">
        <f aca="false">IF(Q256&lt;&gt;1,"",IFERROR(VLOOKUP(IF(N256&lt;&gt;"",N256,IF(P256&lt;&gt;"",P256,O256)),설정!$A$15:$D$47,2,0),""))</f>
        <v>A-</v>
      </c>
      <c r="AK256" s="43" t="str">
        <f aca="false">IF(Q256&lt;&gt;1,"",IF(AJ256="","무등급",IFERROR(VLOOKUP(AJ256,설정!$A$15:$D$47,3,0),"무등급")))</f>
        <v>A</v>
      </c>
      <c r="AL256" s="89" t="n">
        <f aca="false">IF(AJ256="",99,IFERROR(VLOOKUP(AJ256,설정!$A$15:$D$47,4,0),99))</f>
        <v>7</v>
      </c>
      <c r="AM256" s="94" t="n">
        <f aca="false">IF(ISNUMBER(H256),AA256*1000000*H256/10000,0)</f>
        <v>952.6020165</v>
      </c>
      <c r="AN256" s="94" t="n">
        <f aca="false">IF(OR(Y256=1,NOT(ISNUMBER(Z256))),0,AA256*1000000*Z256/10000)</f>
        <v>952.6020165</v>
      </c>
      <c r="AO256" s="94" t="n">
        <f aca="false">IF(ISNUMBER(G256),AA256*1000000*G256/100,0)</f>
        <v>167433.6906</v>
      </c>
      <c r="AP256" s="94" t="n">
        <f aca="false">IF(ISNUMBER(M256),M256*K256,0)</f>
        <v>-142086</v>
      </c>
      <c r="AQ256" s="95" t="n">
        <f aca="false">IF(AB256="","",INDEX(시장분석!$AK:$AK,AB256))</f>
        <v>0.3102354347485</v>
      </c>
      <c r="AR256" s="43" t="str">
        <f aca="false">IF(AB256="","-",IF(AB256="","",INDEX(시장분석!$AL:$AL,AB256)))</f>
        <v>Fair</v>
      </c>
      <c r="AS256" s="96" t="n">
        <f aca="false">IF(AB256="","",INDEX(시장분석!$AJ:$AJ,AB256))</f>
        <v>6.35163233339462</v>
      </c>
      <c r="AT256" s="93" t="n">
        <f aca="false">IF(AB256="",0,IF(AB256="","",INDEX(시장분석!$AN:$AN,AB256)))</f>
        <v>4.77064340671731</v>
      </c>
      <c r="AU256" s="94" t="n">
        <f aca="false">IF(ISNUMBER(Z256),AT256/10000*MAX(Z256-1,0)*AA256*1000000,0)</f>
        <v>3162.95812526452</v>
      </c>
      <c r="AV256" s="94" t="n">
        <f aca="false">AO256+AU256</f>
        <v>170596.648725265</v>
      </c>
      <c r="AW256" s="43" t="str">
        <f aca="false">IF(Q256&lt;&gt;1,"",TRIM(IF(AD256=1,"FRN ","")&amp;IF(AND(AL256&gt;=10,AL256&lt;99),"BBB0미만 ","")&amp;IF(AJ256="","등급없음 ","")&amp;IF(K256&lt;&gt;1,"비USD ","")&amp;IF(AND(AB256="",Y256=0),"시장데이터없음 ","")&amp;IF(AND(ISNUMBER(U256),U256&lt;0),"만기경과 ","")))</f>
        <v/>
      </c>
      <c r="AX256" s="90" t="n">
        <f aca="false">IF(Q256&lt;&gt;1,1,IF(스프레드쇼크!$C$4="Y",INDEX(스프레드쇼크!$B$12:$L$16,IFERROR(MATCH(AH256,스프레드쇼크!$A$12:$A$16,0),MATCH("목록외",스프레드쇼크!$A$12:$A$16,0)),IFERROR(MATCH(AG256,스프레드쇼크!$B$11:$L$11,0),MATCH("목록외",스프레드쇼크!$B$11:$L$11,0))),1))</f>
        <v>1</v>
      </c>
      <c r="AY256" s="90" t="n">
        <f aca="false">IF(스프레드쇼크!$C$5="Y",IF(ISNUMBER(AF256),MIN(스프레드쇼크!$C$7,MAX(스프레드쇼크!$C$6,AF256/스프레드쇼크!$C$8)),1),1)</f>
        <v>1.11457472271635</v>
      </c>
      <c r="AZ256" s="94" t="n">
        <f aca="false">AN256*AX256*AY256</f>
        <v>1061.74612839953</v>
      </c>
      <c r="BA256" s="90" t="n">
        <f aca="false">IF(ISNUMBER(G256),AA256*G256,0)</f>
        <v>16.74336906</v>
      </c>
      <c r="BB256" s="90" t="n">
        <f aca="false">IF(ISNUMBER(G256),AA256,0)</f>
        <v>2.895975</v>
      </c>
      <c r="BC256" s="90" t="n">
        <f aca="false">IF(AND(Y256=0,ISNUMBER(AF256)),AA256*AF256,0)</f>
        <v>213.401501775</v>
      </c>
      <c r="BD256" s="90" t="n">
        <f aca="false">IF(AND(Y256=0,ISNUMBER(AF256)),AA256,0)</f>
        <v>2.895975</v>
      </c>
      <c r="BE256" s="90" t="n">
        <f aca="false">IF(ISNUMBER(H256),AA256*H256,0)</f>
        <v>9.526020165</v>
      </c>
      <c r="BF256" s="90" t="n">
        <f aca="false">IF(ISNUMBER(H256),AA256,0)</f>
        <v>2.895975</v>
      </c>
      <c r="BG256" s="90" t="n">
        <f aca="false">IF(AND(Y256=0,ISNUMBER(AF256),ISNUMBER(Z256)),AA256*Z256,0)</f>
        <v>9.526020165</v>
      </c>
      <c r="BH256" s="90" t="n">
        <f aca="false">IF(AND(Y256=0,ISNUMBER(AF256),ISNUMBER(Z256)),AA256*AT256*MAX(Z256-1,0),0)</f>
        <v>31.6295812526452</v>
      </c>
      <c r="BI256" s="90" t="n">
        <f aca="false">IF(Y256=0,AA256,0)</f>
        <v>2.895975</v>
      </c>
    </row>
    <row r="257" customFormat="false" ht="15" hidden="false" customHeight="false" outlineLevel="0" collapsed="false">
      <c r="A257" s="83" t="str">
        <f aca="false">IFERROR(IF(INDEX(원자료_잔고!$A$1:$EZ$1500,설정!$L$5+ROW()-1,설정!$L$8)&amp;""="0","",INDEX(원자료_잔고!$A$1:$EZ$1500,설정!$L$5+ROW()-1,설정!$L$8)&amp;""),"")</f>
        <v>NHSECS 4.75 07/10/30</v>
      </c>
      <c r="B257" s="83" t="str">
        <f aca="false">IFERROR(IF(INDEX(원자료_잔고!$A$1:$EZ$1500,설정!$L$5+ROW()-1,설정!$L$7)&amp;""="0","",INDEX(원자료_잔고!$A$1:$EZ$1500,설정!$L$5+ROW()-1,설정!$L$7)&amp;""),"")</f>
        <v>XS3109629371</v>
      </c>
      <c r="C257" s="83" t="str">
        <f aca="false">IFERROR(IF(INDEX(원자료_잔고!$A$1:$EZ$1500,설정!$L$5+ROW()-1,설정!$L$9)&amp;""="0","",INDEX(원자료_잔고!$A$1:$EZ$1500,설정!$L$5+ROW()-1,설정!$L$9)&amp;""),"")</f>
        <v>34578</v>
      </c>
      <c r="D25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7" s="84" t="n">
        <f aca="false">IFERROR(IF(ISNUMBER(INDEX(원자료_잔고!$A$1:$EZ$1500,설정!$L$5+ROW()-1,설정!$L$11)),INDEX(원자료_잔고!$A$1:$EZ$1500,설정!$L$5+ROW()-1,설정!$L$11),""),"")</f>
        <v>3000000</v>
      </c>
      <c r="F257" s="85" t="n">
        <f aca="false">IFERROR(IF(ISNUMBER(INDEX(원자료_잔고!$A$1:$EZ$1500,설정!$L$5+ROW()-1,설정!$L$12)),INDEX(원자료_잔고!$A$1:$EZ$1500,설정!$L$5+ROW()-1,설정!$L$12),""),"")</f>
        <v>96.5325</v>
      </c>
      <c r="G257" s="85" t="n">
        <f aca="false">IFERROR(IF(ISNUMBER(INDEX(원자료_잔고!$A$1:$EZ$1500,설정!$L$5+ROW()-1,설정!$L$13)),INDEX(원자료_잔고!$A$1:$EZ$1500,설정!$L$5+ROW()-1,설정!$L$13),""),"")</f>
        <v>5.7816</v>
      </c>
      <c r="H257" s="85" t="n">
        <f aca="false">IFERROR(IF(ISNUMBER(INDEX(원자료_잔고!$A$1:$EZ$1500,설정!$L$5+ROW()-1,설정!$L$14)),INDEX(원자료_잔고!$A$1:$EZ$1500,설정!$L$5+ROW()-1,설정!$L$14),""),"")</f>
        <v>3.2894</v>
      </c>
      <c r="I257" s="86" t="n">
        <f aca="false">IFERROR(IF(ISNUMBER(INDEX(원자료_잔고!$A$1:$EZ$1500,설정!$L$5+ROW()-1,설정!$L$15)),INDEX(원자료_잔고!$A$1:$EZ$1500,설정!$L$5+ROW()-1,설정!$L$15),""),"")</f>
        <v>47674</v>
      </c>
      <c r="J257" s="85" t="n">
        <f aca="false">IFERROR(IF(ISNUMBER(INDEX(원자료_잔고!$A$1:$EZ$1500,설정!$L$5+ROW()-1,설정!$L$16)),INDEX(원자료_잔고!$A$1:$EZ$1500,설정!$L$5+ROW()-1,설정!$L$16),""),"")</f>
        <v>4.75</v>
      </c>
      <c r="K257" s="87" t="n">
        <f aca="false">IFERROR(IF(ISNUMBER(INDEX(원자료_잔고!$A$1:$EZ$1500,설정!$L$5+ROW()-1,설정!$L$17)),INDEX(원자료_잔고!$A$1:$EZ$1500,설정!$L$5+ROW()-1,설정!$L$17),""),"")</f>
        <v>1</v>
      </c>
      <c r="L257" s="84" t="n">
        <f aca="false">IFERROR(IF(ISNUMBER(INDEX(원자료_잔고!$A$1:$EZ$1500,설정!$L$5+ROW()-1,설정!$L$18)),INDEX(원자료_잔고!$A$1:$EZ$1500,설정!$L$5+ROW()-1,설정!$L$18),""),"")</f>
        <v>2895975</v>
      </c>
      <c r="M257" s="88" t="n">
        <f aca="false">IFERROR(IF(ISNUMBER(INDEX(원자료_잔고!$A$1:$EZ$1500,설정!$L$5+ROW()-1,설정!$L$19)),INDEX(원자료_잔고!$A$1:$EZ$1500,설정!$L$5+ROW()-1,설정!$L$19),""),"")</f>
        <v>-142086</v>
      </c>
      <c r="N257" s="83" t="str">
        <f aca="false">IFERROR(IF(INDEX(원자료_잔고!$A$1:$EZ$1500,설정!$L$5+ROW()-1,설정!$L$21)&amp;""="0","",INDEX(원자료_잔고!$A$1:$EZ$1500,설정!$L$5+ROW()-1,설정!$L$21)&amp;""),"")</f>
        <v>A-</v>
      </c>
      <c r="O257" s="83" t="str">
        <f aca="false">IFERROR(IF(INDEX(원자료_잔고!$A$1:$EZ$1500,설정!$L$5+ROW()-1,설정!$L$22)&amp;""="0","",INDEX(원자료_잔고!$A$1:$EZ$1500,설정!$L$5+ROW()-1,설정!$L$22)&amp;""),"")</f>
        <v>A3</v>
      </c>
      <c r="P257" s="83" t="str">
        <f aca="false">IFERROR(IF(INDEX(원자료_잔고!$A$1:$EZ$1500,설정!$L$5+ROW()-1,설정!$L$23)&amp;""="0","",INDEX(원자료_잔고!$A$1:$EZ$1500,설정!$L$5+ROW()-1,설정!$L$23)&amp;""),"")</f>
        <v>N/A</v>
      </c>
      <c r="Q257" s="89" t="n">
        <f aca="false">IF(AND($A257&lt;&gt;"",ISNUMBER(E257)),IF(E257&gt;0,1,0),0)</f>
        <v>1</v>
      </c>
      <c r="R257" s="43" t="str">
        <f aca="false">IF(Q257=1,UPPER(LEFT($A257,FIND(" ",$A257&amp;" ")-1)),"")</f>
        <v>NHSECS</v>
      </c>
      <c r="S257" s="89" t="n">
        <f aca="false">IF(Q257=1,IF(OR(ISNUMBER(SEARCH("Float",$A257)),ISNUMBER(SEARCH("FRN",$A257))),1,0),0)</f>
        <v>0</v>
      </c>
      <c r="T257" s="43" t="str">
        <f aca="false">IF(AND(Q257=1,ISNUMBER(I257)),TEXT(I257,"yyyymmdd")&amp;"|"&amp;IF(S257=1,"F",TEXT(J257,"0.000")),"")</f>
        <v>20300710|4.750</v>
      </c>
      <c r="U257" s="90" t="n">
        <f aca="false">IF(AND(Q257=1,ISNUMBER(I257)),(I257-설정!$C$4)/365.25,"")</f>
        <v>3.77275838466804</v>
      </c>
      <c r="V257" s="43" t="str">
        <f aca="false">IF(Q257&lt;&gt;1,"",IF(ISNUMBER(U257),IF(U257&lt;=1,"1년 이하",IF(U257&lt;=2,"1-2년",IF(U257&lt;=3,"2-3년",IF(U257&lt;=4,"3-4년",IF(U257&lt;=5,"4-5년",IF(U257&lt;=7,"5-7년",IF(U257&lt;=10,"7-10년",IF(U257&lt;=20,"10-20년","20년 이상")))))))),"미분류"))</f>
        <v>3-4년</v>
      </c>
      <c r="W257" s="43" t="str">
        <f aca="false">IF(Q257&lt;&gt;1,"",IF(AB257&lt;&gt;"",INDEX(시장분석!$C:$C,AB257),IF(K257=1,"USD","비USD")))</f>
        <v>USD</v>
      </c>
      <c r="X257" s="91" t="n">
        <f aca="false">IF(Q257=1,E257*K257/1000000,0)</f>
        <v>3</v>
      </c>
      <c r="Y257" s="89" t="n">
        <f aca="false">IF(R257="T",1,0)</f>
        <v>0</v>
      </c>
      <c r="Z257" s="92" t="n">
        <f aca="false">IF(Q257&lt;&gt;1,"",IF(AD257=1,IF(ISNUMBER(U257),MAX(U257,0),H257),H257))</f>
        <v>3.2894</v>
      </c>
      <c r="AA257" s="91" t="n">
        <f aca="false">IF(Q257=1,IF(ISNUMBER(L257),L257,0)*K257/1000000,0)</f>
        <v>2.895975</v>
      </c>
      <c r="AB257" s="89" t="n">
        <f aca="false">IF(Q257&lt;&gt;1,"",IFERROR(MATCH(VLOOKUP(B257,매핑!$H$4:$I$15,2,0),시장분석!$A$2:$A$601,0)+1,IFERROR(MATCH(R257&amp;"|"&amp;T257,시장분석!$V$2:$V$601,0)+1,IF(COUNTIF(시장분석!$U$2:$U$601,T257)=1,MATCH(T257,시장분석!$U$2:$U$601,0)+1,""))))</f>
        <v>245</v>
      </c>
      <c r="AC257" s="89" t="n">
        <f aca="false">IF(Q257&lt;&gt;1,0,IF(OR(설정!$C$5="전체",AND(설정!$C$5="선택펀드",IFERROR(COUNTIFS(설정!$F$16:$F$36,C257,설정!$G$16:$G$36,"Y")+COUNTIFS(설정!$F$16:$F$36,VALUE(C257),설정!$G$16:$G$36,"Y"),0)&gt;0),C257&amp;""=설정!$C$5&amp;""),1,0))</f>
        <v>1</v>
      </c>
      <c r="AD257" s="89" t="n">
        <f aca="false">IF(Q257&lt;&gt;1,0,IF(OR(S257=1,IF(AB257="",FALSE(),INDEX(시장분석!$R:$R,AB257)=1)),1,0))</f>
        <v>0</v>
      </c>
      <c r="AE257" s="43" t="str">
        <f aca="false">IF(AB257="","",INDEX(시장분석!$A:$A,AB257))</f>
        <v>NHSECS 4 3/4 07/10/30</v>
      </c>
      <c r="AF257" s="93" t="n">
        <f aca="false">IF(AB257="","",IF(ISNUMBER(IF(AB257="","",INDEX(시장분석!$E:$E,AB257))),IF(AB257="","",INDEX(시장분석!$E:$E,AB257)),""))</f>
        <v>73.689</v>
      </c>
      <c r="AG257" s="43" t="str">
        <f aca="false">IF(Q257&lt;&gt;1,"",IF(AB257&lt;&gt;"",IF(AB257="","",INDEX(시장분석!$L:$L,AB257)),IFERROR(IF(VLOOKUP(R257,매핑!$A$4:$E$92,5,0)="","미분류",VLOOKUP(R257,매핑!$A$4:$E$92,5,0)),"미분류")))</f>
        <v>금융기관</v>
      </c>
      <c r="AH257" s="43" t="str">
        <f aca="false">IF(Q257&lt;&gt;1,"",IF(AB257&lt;&gt;"",IF(AB257="","",INDEX(시장분석!$N:$N,AB257)),IFERROR(IF(VLOOKUP(R257,매핑!$A$4:$E$92,4,0)="","미분류",VLOOKUP(R257,매핑!$A$4:$E$92,4,0)),"미분류")))</f>
        <v>아시아/기타</v>
      </c>
      <c r="AI257" s="43" t="str">
        <f aca="false">IF(Q257&lt;&gt;1,"",IFERROR(IF(VLOOKUP(R257,매핑!$A$4:$E$92,3,0)="","미분류",VLOOKUP(R257,매핑!$A$4:$E$92,3,0)),IF(AB257&lt;&gt;"",IF(AB257="","",INDEX(시장분석!$W:$W,AB257)),"미분류")))</f>
        <v>한국</v>
      </c>
      <c r="AJ257" s="43" t="str">
        <f aca="false">IF(Q257&lt;&gt;1,"",IFERROR(VLOOKUP(IF(N257&lt;&gt;"",N257,IF(P257&lt;&gt;"",P257,O257)),설정!$A$15:$D$47,2,0),""))</f>
        <v>A-</v>
      </c>
      <c r="AK257" s="43" t="str">
        <f aca="false">IF(Q257&lt;&gt;1,"",IF(AJ257="","무등급",IFERROR(VLOOKUP(AJ257,설정!$A$15:$D$47,3,0),"무등급")))</f>
        <v>A</v>
      </c>
      <c r="AL257" s="89" t="n">
        <f aca="false">IF(AJ257="",99,IFERROR(VLOOKUP(AJ257,설정!$A$15:$D$47,4,0),99))</f>
        <v>7</v>
      </c>
      <c r="AM257" s="94" t="n">
        <f aca="false">IF(ISNUMBER(H257),AA257*1000000*H257/10000,0)</f>
        <v>952.6020165</v>
      </c>
      <c r="AN257" s="94" t="n">
        <f aca="false">IF(OR(Y257=1,NOT(ISNUMBER(Z257))),0,AA257*1000000*Z257/10000)</f>
        <v>952.6020165</v>
      </c>
      <c r="AO257" s="94" t="n">
        <f aca="false">IF(ISNUMBER(G257),AA257*1000000*G257/100,0)</f>
        <v>167433.6906</v>
      </c>
      <c r="AP257" s="94" t="n">
        <f aca="false">IF(ISNUMBER(M257),M257*K257,0)</f>
        <v>-142086</v>
      </c>
      <c r="AQ257" s="95" t="n">
        <f aca="false">IF(AB257="","",INDEX(시장분석!$AK:$AK,AB257))</f>
        <v>0.3102354347485</v>
      </c>
      <c r="AR257" s="43" t="str">
        <f aca="false">IF(AB257="","-",IF(AB257="","",INDEX(시장분석!$AL:$AL,AB257)))</f>
        <v>Fair</v>
      </c>
      <c r="AS257" s="96" t="n">
        <f aca="false">IF(AB257="","",INDEX(시장분석!$AJ:$AJ,AB257))</f>
        <v>6.35163233339462</v>
      </c>
      <c r="AT257" s="93" t="n">
        <f aca="false">IF(AB257="",0,IF(AB257="","",INDEX(시장분석!$AN:$AN,AB257)))</f>
        <v>4.77064340671731</v>
      </c>
      <c r="AU257" s="94" t="n">
        <f aca="false">IF(ISNUMBER(Z257),AT257/10000*MAX(Z257-1,0)*AA257*1000000,0)</f>
        <v>3162.95812526452</v>
      </c>
      <c r="AV257" s="94" t="n">
        <f aca="false">AO257+AU257</f>
        <v>170596.648725265</v>
      </c>
      <c r="AW257" s="43" t="str">
        <f aca="false">IF(Q257&lt;&gt;1,"",TRIM(IF(AD257=1,"FRN ","")&amp;IF(AND(AL257&gt;=10,AL257&lt;99),"BBB0미만 ","")&amp;IF(AJ257="","등급없음 ","")&amp;IF(K257&lt;&gt;1,"비USD ","")&amp;IF(AND(AB257="",Y257=0),"시장데이터없음 ","")&amp;IF(AND(ISNUMBER(U257),U257&lt;0),"만기경과 ","")))</f>
        <v/>
      </c>
      <c r="AX257" s="90" t="n">
        <f aca="false">IF(Q257&lt;&gt;1,1,IF(스프레드쇼크!$C$4="Y",INDEX(스프레드쇼크!$B$12:$L$16,IFERROR(MATCH(AH257,스프레드쇼크!$A$12:$A$16,0),MATCH("목록외",스프레드쇼크!$A$12:$A$16,0)),IFERROR(MATCH(AG257,스프레드쇼크!$B$11:$L$11,0),MATCH("목록외",스프레드쇼크!$B$11:$L$11,0))),1))</f>
        <v>1</v>
      </c>
      <c r="AY257" s="90" t="n">
        <f aca="false">IF(스프레드쇼크!$C$5="Y",IF(ISNUMBER(AF257),MIN(스프레드쇼크!$C$7,MAX(스프레드쇼크!$C$6,AF257/스프레드쇼크!$C$8)),1),1)</f>
        <v>1.11457472271635</v>
      </c>
      <c r="AZ257" s="94" t="n">
        <f aca="false">AN257*AX257*AY257</f>
        <v>1061.74612839953</v>
      </c>
      <c r="BA257" s="90" t="n">
        <f aca="false">IF(ISNUMBER(G257),AA257*G257,0)</f>
        <v>16.74336906</v>
      </c>
      <c r="BB257" s="90" t="n">
        <f aca="false">IF(ISNUMBER(G257),AA257,0)</f>
        <v>2.895975</v>
      </c>
      <c r="BC257" s="90" t="n">
        <f aca="false">IF(AND(Y257=0,ISNUMBER(AF257)),AA257*AF257,0)</f>
        <v>213.401501775</v>
      </c>
      <c r="BD257" s="90" t="n">
        <f aca="false">IF(AND(Y257=0,ISNUMBER(AF257)),AA257,0)</f>
        <v>2.895975</v>
      </c>
      <c r="BE257" s="90" t="n">
        <f aca="false">IF(ISNUMBER(H257),AA257*H257,0)</f>
        <v>9.526020165</v>
      </c>
      <c r="BF257" s="90" t="n">
        <f aca="false">IF(ISNUMBER(H257),AA257,0)</f>
        <v>2.895975</v>
      </c>
      <c r="BG257" s="90" t="n">
        <f aca="false">IF(AND(Y257=0,ISNUMBER(AF257),ISNUMBER(Z257)),AA257*Z257,0)</f>
        <v>9.526020165</v>
      </c>
      <c r="BH257" s="90" t="n">
        <f aca="false">IF(AND(Y257=0,ISNUMBER(AF257),ISNUMBER(Z257)),AA257*AT257*MAX(Z257-1,0),0)</f>
        <v>31.6295812526452</v>
      </c>
      <c r="BI257" s="90" t="n">
        <f aca="false">IF(Y257=0,AA257,0)</f>
        <v>2.895975</v>
      </c>
    </row>
    <row r="258" customFormat="false" ht="15" hidden="false" customHeight="false" outlineLevel="0" collapsed="false">
      <c r="A258" s="83" t="str">
        <f aca="false">IFERROR(IF(INDEX(원자료_잔고!$A$1:$EZ$1500,설정!$L$5+ROW()-1,설정!$L$8)&amp;""="0","",INDEX(원자료_잔고!$A$1:$EZ$1500,설정!$L$5+ROW()-1,설정!$L$8)&amp;""),"")</f>
        <v>NHSECS 4.75 07/10/30</v>
      </c>
      <c r="B258" s="83" t="str">
        <f aca="false">IFERROR(IF(INDEX(원자료_잔고!$A$1:$EZ$1500,설정!$L$5+ROW()-1,설정!$L$7)&amp;""="0","",INDEX(원자료_잔고!$A$1:$EZ$1500,설정!$L$5+ROW()-1,설정!$L$7)&amp;""),"")</f>
        <v>XS3109629371</v>
      </c>
      <c r="C258" s="83" t="str">
        <f aca="false">IFERROR(IF(INDEX(원자료_잔고!$A$1:$EZ$1500,설정!$L$5+ROW()-1,설정!$L$9)&amp;""="0","",INDEX(원자료_잔고!$A$1:$EZ$1500,설정!$L$5+ROW()-1,설정!$L$9)&amp;""),"")</f>
        <v>34578</v>
      </c>
      <c r="D25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8" s="84" t="n">
        <f aca="false">IFERROR(IF(ISNUMBER(INDEX(원자료_잔고!$A$1:$EZ$1500,설정!$L$5+ROW()-1,설정!$L$11)),INDEX(원자료_잔고!$A$1:$EZ$1500,설정!$L$5+ROW()-1,설정!$L$11),""),"")</f>
        <v>5000000</v>
      </c>
      <c r="F258" s="85" t="n">
        <f aca="false">IFERROR(IF(ISNUMBER(INDEX(원자료_잔고!$A$1:$EZ$1500,설정!$L$5+ROW()-1,설정!$L$12)),INDEX(원자료_잔고!$A$1:$EZ$1500,설정!$L$5+ROW()-1,설정!$L$12),""),"")</f>
        <v>96.5325</v>
      </c>
      <c r="G258" s="85" t="n">
        <f aca="false">IFERROR(IF(ISNUMBER(INDEX(원자료_잔고!$A$1:$EZ$1500,설정!$L$5+ROW()-1,설정!$L$13)),INDEX(원자료_잔고!$A$1:$EZ$1500,설정!$L$5+ROW()-1,설정!$L$13),""),"")</f>
        <v>5.7816</v>
      </c>
      <c r="H258" s="85" t="n">
        <f aca="false">IFERROR(IF(ISNUMBER(INDEX(원자료_잔고!$A$1:$EZ$1500,설정!$L$5+ROW()-1,설정!$L$14)),INDEX(원자료_잔고!$A$1:$EZ$1500,설정!$L$5+ROW()-1,설정!$L$14),""),"")</f>
        <v>3.2894</v>
      </c>
      <c r="I258" s="86" t="n">
        <f aca="false">IFERROR(IF(ISNUMBER(INDEX(원자료_잔고!$A$1:$EZ$1500,설정!$L$5+ROW()-1,설정!$L$15)),INDEX(원자료_잔고!$A$1:$EZ$1500,설정!$L$5+ROW()-1,설정!$L$15),""),"")</f>
        <v>47674</v>
      </c>
      <c r="J258" s="85" t="n">
        <f aca="false">IFERROR(IF(ISNUMBER(INDEX(원자료_잔고!$A$1:$EZ$1500,설정!$L$5+ROW()-1,설정!$L$16)),INDEX(원자료_잔고!$A$1:$EZ$1500,설정!$L$5+ROW()-1,설정!$L$16),""),"")</f>
        <v>4.75</v>
      </c>
      <c r="K258" s="87" t="n">
        <f aca="false">IFERROR(IF(ISNUMBER(INDEX(원자료_잔고!$A$1:$EZ$1500,설정!$L$5+ROW()-1,설정!$L$17)),INDEX(원자료_잔고!$A$1:$EZ$1500,설정!$L$5+ROW()-1,설정!$L$17),""),"")</f>
        <v>1</v>
      </c>
      <c r="L258" s="84" t="n">
        <f aca="false">IFERROR(IF(ISNUMBER(INDEX(원자료_잔고!$A$1:$EZ$1500,설정!$L$5+ROW()-1,설정!$L$18)),INDEX(원자료_잔고!$A$1:$EZ$1500,설정!$L$5+ROW()-1,설정!$L$18),""),"")</f>
        <v>4826625</v>
      </c>
      <c r="M258" s="88" t="n">
        <f aca="false">IFERROR(IF(ISNUMBER(INDEX(원자료_잔고!$A$1:$EZ$1500,설정!$L$5+ROW()-1,설정!$L$19)),INDEX(원자료_잔고!$A$1:$EZ$1500,설정!$L$5+ROW()-1,설정!$L$19),""),"")</f>
        <v>-236810</v>
      </c>
      <c r="N258" s="83" t="str">
        <f aca="false">IFERROR(IF(INDEX(원자료_잔고!$A$1:$EZ$1500,설정!$L$5+ROW()-1,설정!$L$21)&amp;""="0","",INDEX(원자료_잔고!$A$1:$EZ$1500,설정!$L$5+ROW()-1,설정!$L$21)&amp;""),"")</f>
        <v>A-</v>
      </c>
      <c r="O258" s="83" t="str">
        <f aca="false">IFERROR(IF(INDEX(원자료_잔고!$A$1:$EZ$1500,설정!$L$5+ROW()-1,설정!$L$22)&amp;""="0","",INDEX(원자료_잔고!$A$1:$EZ$1500,설정!$L$5+ROW()-1,설정!$L$22)&amp;""),"")</f>
        <v>A3</v>
      </c>
      <c r="P258" s="83" t="str">
        <f aca="false">IFERROR(IF(INDEX(원자료_잔고!$A$1:$EZ$1500,설정!$L$5+ROW()-1,설정!$L$23)&amp;""="0","",INDEX(원자료_잔고!$A$1:$EZ$1500,설정!$L$5+ROW()-1,설정!$L$23)&amp;""),"")</f>
        <v>N/A</v>
      </c>
      <c r="Q258" s="89" t="n">
        <f aca="false">IF(AND($A258&lt;&gt;"",ISNUMBER(E258)),IF(E258&gt;0,1,0),0)</f>
        <v>1</v>
      </c>
      <c r="R258" s="43" t="str">
        <f aca="false">IF(Q258=1,UPPER(LEFT($A258,FIND(" ",$A258&amp;" ")-1)),"")</f>
        <v>NHSECS</v>
      </c>
      <c r="S258" s="89" t="n">
        <f aca="false">IF(Q258=1,IF(OR(ISNUMBER(SEARCH("Float",$A258)),ISNUMBER(SEARCH("FRN",$A258))),1,0),0)</f>
        <v>0</v>
      </c>
      <c r="T258" s="43" t="str">
        <f aca="false">IF(AND(Q258=1,ISNUMBER(I258)),TEXT(I258,"yyyymmdd")&amp;"|"&amp;IF(S258=1,"F",TEXT(J258,"0.000")),"")</f>
        <v>20300710|4.750</v>
      </c>
      <c r="U258" s="90" t="n">
        <f aca="false">IF(AND(Q258=1,ISNUMBER(I258)),(I258-설정!$C$4)/365.25,"")</f>
        <v>3.77275838466804</v>
      </c>
      <c r="V258" s="43" t="str">
        <f aca="false">IF(Q258&lt;&gt;1,"",IF(ISNUMBER(U258),IF(U258&lt;=1,"1년 이하",IF(U258&lt;=2,"1-2년",IF(U258&lt;=3,"2-3년",IF(U258&lt;=4,"3-4년",IF(U258&lt;=5,"4-5년",IF(U258&lt;=7,"5-7년",IF(U258&lt;=10,"7-10년",IF(U258&lt;=20,"10-20년","20년 이상")))))))),"미분류"))</f>
        <v>3-4년</v>
      </c>
      <c r="W258" s="43" t="str">
        <f aca="false">IF(Q258&lt;&gt;1,"",IF(AB258&lt;&gt;"",INDEX(시장분석!$C:$C,AB258),IF(K258=1,"USD","비USD")))</f>
        <v>USD</v>
      </c>
      <c r="X258" s="91" t="n">
        <f aca="false">IF(Q258=1,E258*K258/1000000,0)</f>
        <v>5</v>
      </c>
      <c r="Y258" s="89" t="n">
        <f aca="false">IF(R258="T",1,0)</f>
        <v>0</v>
      </c>
      <c r="Z258" s="92" t="n">
        <f aca="false">IF(Q258&lt;&gt;1,"",IF(AD258=1,IF(ISNUMBER(U258),MAX(U258,0),H258),H258))</f>
        <v>3.2894</v>
      </c>
      <c r="AA258" s="91" t="n">
        <f aca="false">IF(Q258=1,IF(ISNUMBER(L258),L258,0)*K258/1000000,0)</f>
        <v>4.826625</v>
      </c>
      <c r="AB258" s="89" t="n">
        <f aca="false">IF(Q258&lt;&gt;1,"",IFERROR(MATCH(VLOOKUP(B258,매핑!$H$4:$I$15,2,0),시장분석!$A$2:$A$601,0)+1,IFERROR(MATCH(R258&amp;"|"&amp;T258,시장분석!$V$2:$V$601,0)+1,IF(COUNTIF(시장분석!$U$2:$U$601,T258)=1,MATCH(T258,시장분석!$U$2:$U$601,0)+1,""))))</f>
        <v>245</v>
      </c>
      <c r="AC258" s="89" t="n">
        <f aca="false">IF(Q258&lt;&gt;1,0,IF(OR(설정!$C$5="전체",AND(설정!$C$5="선택펀드",IFERROR(COUNTIFS(설정!$F$16:$F$36,C258,설정!$G$16:$G$36,"Y")+COUNTIFS(설정!$F$16:$F$36,VALUE(C258),설정!$G$16:$G$36,"Y"),0)&gt;0),C258&amp;""=설정!$C$5&amp;""),1,0))</f>
        <v>1</v>
      </c>
      <c r="AD258" s="89" t="n">
        <f aca="false">IF(Q258&lt;&gt;1,0,IF(OR(S258=1,IF(AB258="",FALSE(),INDEX(시장분석!$R:$R,AB258)=1)),1,0))</f>
        <v>0</v>
      </c>
      <c r="AE258" s="43" t="str">
        <f aca="false">IF(AB258="","",INDEX(시장분석!$A:$A,AB258))</f>
        <v>NHSECS 4 3/4 07/10/30</v>
      </c>
      <c r="AF258" s="93" t="n">
        <f aca="false">IF(AB258="","",IF(ISNUMBER(IF(AB258="","",INDEX(시장분석!$E:$E,AB258))),IF(AB258="","",INDEX(시장분석!$E:$E,AB258)),""))</f>
        <v>73.689</v>
      </c>
      <c r="AG258" s="43" t="str">
        <f aca="false">IF(Q258&lt;&gt;1,"",IF(AB258&lt;&gt;"",IF(AB258="","",INDEX(시장분석!$L:$L,AB258)),IFERROR(IF(VLOOKUP(R258,매핑!$A$4:$E$92,5,0)="","미분류",VLOOKUP(R258,매핑!$A$4:$E$92,5,0)),"미분류")))</f>
        <v>금융기관</v>
      </c>
      <c r="AH258" s="43" t="str">
        <f aca="false">IF(Q258&lt;&gt;1,"",IF(AB258&lt;&gt;"",IF(AB258="","",INDEX(시장분석!$N:$N,AB258)),IFERROR(IF(VLOOKUP(R258,매핑!$A$4:$E$92,4,0)="","미분류",VLOOKUP(R258,매핑!$A$4:$E$92,4,0)),"미분류")))</f>
        <v>아시아/기타</v>
      </c>
      <c r="AI258" s="43" t="str">
        <f aca="false">IF(Q258&lt;&gt;1,"",IFERROR(IF(VLOOKUP(R258,매핑!$A$4:$E$92,3,0)="","미분류",VLOOKUP(R258,매핑!$A$4:$E$92,3,0)),IF(AB258&lt;&gt;"",IF(AB258="","",INDEX(시장분석!$W:$W,AB258)),"미분류")))</f>
        <v>한국</v>
      </c>
      <c r="AJ258" s="43" t="str">
        <f aca="false">IF(Q258&lt;&gt;1,"",IFERROR(VLOOKUP(IF(N258&lt;&gt;"",N258,IF(P258&lt;&gt;"",P258,O258)),설정!$A$15:$D$47,2,0),""))</f>
        <v>A-</v>
      </c>
      <c r="AK258" s="43" t="str">
        <f aca="false">IF(Q258&lt;&gt;1,"",IF(AJ258="","무등급",IFERROR(VLOOKUP(AJ258,설정!$A$15:$D$47,3,0),"무등급")))</f>
        <v>A</v>
      </c>
      <c r="AL258" s="89" t="n">
        <f aca="false">IF(AJ258="",99,IFERROR(VLOOKUP(AJ258,설정!$A$15:$D$47,4,0),99))</f>
        <v>7</v>
      </c>
      <c r="AM258" s="94" t="n">
        <f aca="false">IF(ISNUMBER(H258),AA258*1000000*H258/10000,0)</f>
        <v>1587.6700275</v>
      </c>
      <c r="AN258" s="94" t="n">
        <f aca="false">IF(OR(Y258=1,NOT(ISNUMBER(Z258))),0,AA258*1000000*Z258/10000)</f>
        <v>1587.6700275</v>
      </c>
      <c r="AO258" s="94" t="n">
        <f aca="false">IF(ISNUMBER(G258),AA258*1000000*G258/100,0)</f>
        <v>279056.151</v>
      </c>
      <c r="AP258" s="94" t="n">
        <f aca="false">IF(ISNUMBER(M258),M258*K258,0)</f>
        <v>-236810</v>
      </c>
      <c r="AQ258" s="95" t="n">
        <f aca="false">IF(AB258="","",INDEX(시장분석!$AK:$AK,AB258))</f>
        <v>0.3102354347485</v>
      </c>
      <c r="AR258" s="43" t="str">
        <f aca="false">IF(AB258="","-",IF(AB258="","",INDEX(시장분석!$AL:$AL,AB258)))</f>
        <v>Fair</v>
      </c>
      <c r="AS258" s="96" t="n">
        <f aca="false">IF(AB258="","",INDEX(시장분석!$AJ:$AJ,AB258))</f>
        <v>6.35163233339462</v>
      </c>
      <c r="AT258" s="93" t="n">
        <f aca="false">IF(AB258="",0,IF(AB258="","",INDEX(시장분석!$AN:$AN,AB258)))</f>
        <v>4.77064340671731</v>
      </c>
      <c r="AU258" s="94" t="n">
        <f aca="false">IF(ISNUMBER(Z258),AT258/10000*MAX(Z258-1,0)*AA258*1000000,0)</f>
        <v>5271.59687544087</v>
      </c>
      <c r="AV258" s="94" t="n">
        <f aca="false">AO258+AU258</f>
        <v>284327.747875441</v>
      </c>
      <c r="AW258" s="43" t="str">
        <f aca="false">IF(Q258&lt;&gt;1,"",TRIM(IF(AD258=1,"FRN ","")&amp;IF(AND(AL258&gt;=10,AL258&lt;99),"BBB0미만 ","")&amp;IF(AJ258="","등급없음 ","")&amp;IF(K258&lt;&gt;1,"비USD ","")&amp;IF(AND(AB258="",Y258=0),"시장데이터없음 ","")&amp;IF(AND(ISNUMBER(U258),U258&lt;0),"만기경과 ","")))</f>
        <v/>
      </c>
      <c r="AX258" s="90" t="n">
        <f aca="false">IF(Q258&lt;&gt;1,1,IF(스프레드쇼크!$C$4="Y",INDEX(스프레드쇼크!$B$12:$L$16,IFERROR(MATCH(AH258,스프레드쇼크!$A$12:$A$16,0),MATCH("목록외",스프레드쇼크!$A$12:$A$16,0)),IFERROR(MATCH(AG258,스프레드쇼크!$B$11:$L$11,0),MATCH("목록외",스프레드쇼크!$B$11:$L$11,0))),1))</f>
        <v>1</v>
      </c>
      <c r="AY258" s="90" t="n">
        <f aca="false">IF(스프레드쇼크!$C$5="Y",IF(ISNUMBER(AF258),MIN(스프레드쇼크!$C$7,MAX(스프레드쇼크!$C$6,AF258/스프레드쇼크!$C$8)),1),1)</f>
        <v>1.11457472271635</v>
      </c>
      <c r="AZ258" s="94" t="n">
        <f aca="false">AN258*AX258*AY258</f>
        <v>1769.57688066588</v>
      </c>
      <c r="BA258" s="90" t="n">
        <f aca="false">IF(ISNUMBER(G258),AA258*G258,0)</f>
        <v>27.9056151</v>
      </c>
      <c r="BB258" s="90" t="n">
        <f aca="false">IF(ISNUMBER(G258),AA258,0)</f>
        <v>4.826625</v>
      </c>
      <c r="BC258" s="90" t="n">
        <f aca="false">IF(AND(Y258=0,ISNUMBER(AF258)),AA258*AF258,0)</f>
        <v>355.669169625</v>
      </c>
      <c r="BD258" s="90" t="n">
        <f aca="false">IF(AND(Y258=0,ISNUMBER(AF258)),AA258,0)</f>
        <v>4.826625</v>
      </c>
      <c r="BE258" s="90" t="n">
        <f aca="false">IF(ISNUMBER(H258),AA258*H258,0)</f>
        <v>15.876700275</v>
      </c>
      <c r="BF258" s="90" t="n">
        <f aca="false">IF(ISNUMBER(H258),AA258,0)</f>
        <v>4.826625</v>
      </c>
      <c r="BG258" s="90" t="n">
        <f aca="false">IF(AND(Y258=0,ISNUMBER(AF258),ISNUMBER(Z258)),AA258*Z258,0)</f>
        <v>15.876700275</v>
      </c>
      <c r="BH258" s="90" t="n">
        <f aca="false">IF(AND(Y258=0,ISNUMBER(AF258),ISNUMBER(Z258)),AA258*AT258*MAX(Z258-1,0),0)</f>
        <v>52.7159687544087</v>
      </c>
      <c r="BI258" s="90" t="n">
        <f aca="false">IF(Y258=0,AA258,0)</f>
        <v>4.826625</v>
      </c>
    </row>
    <row r="259" customFormat="false" ht="15" hidden="false" customHeight="false" outlineLevel="0" collapsed="false">
      <c r="A259" s="83" t="str">
        <f aca="false">IFERROR(IF(INDEX(원자료_잔고!$A$1:$EZ$1500,설정!$L$5+ROW()-1,설정!$L$8)&amp;""="0","",INDEX(원자료_잔고!$A$1:$EZ$1500,설정!$L$5+ROW()-1,설정!$L$8)&amp;""),"")</f>
        <v>HANMIL 4.25 10/01/30</v>
      </c>
      <c r="B259" s="83" t="str">
        <f aca="false">IFERROR(IF(INDEX(원자료_잔고!$A$1:$EZ$1500,설정!$L$5+ROW()-1,설정!$L$7)&amp;""="0","",INDEX(원자료_잔고!$A$1:$EZ$1500,설정!$L$5+ROW()-1,설정!$L$7)&amp;""),"")</f>
        <v>XS3187679041</v>
      </c>
      <c r="C259" s="83" t="str">
        <f aca="false">IFERROR(IF(INDEX(원자료_잔고!$A$1:$EZ$1500,설정!$L$5+ROW()-1,설정!$L$9)&amp;""="0","",INDEX(원자료_잔고!$A$1:$EZ$1500,설정!$L$5+ROW()-1,설정!$L$9)&amp;""),"")</f>
        <v>34578</v>
      </c>
      <c r="D25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59" s="84" t="n">
        <f aca="false">IFERROR(IF(ISNUMBER(INDEX(원자료_잔고!$A$1:$EZ$1500,설정!$L$5+ROW()-1,설정!$L$11)),INDEX(원자료_잔고!$A$1:$EZ$1500,설정!$L$5+ROW()-1,설정!$L$11),""),"")</f>
        <v>200000</v>
      </c>
      <c r="F259" s="85" t="n">
        <f aca="false">IFERROR(IF(ISNUMBER(INDEX(원자료_잔고!$A$1:$EZ$1500,설정!$L$5+ROW()-1,설정!$L$12)),INDEX(원자료_잔고!$A$1:$EZ$1500,설정!$L$5+ROW()-1,설정!$L$12),""),"")</f>
        <v>94.5294</v>
      </c>
      <c r="G259" s="85" t="n">
        <f aca="false">IFERROR(IF(ISNUMBER(INDEX(원자료_잔고!$A$1:$EZ$1500,설정!$L$5+ROW()-1,설정!$L$13)),INDEX(원자료_잔고!$A$1:$EZ$1500,설정!$L$5+ROW()-1,설정!$L$13),""),"")</f>
        <v>5.8009</v>
      </c>
      <c r="H259" s="85" t="n">
        <f aca="false">IFERROR(IF(ISNUMBER(INDEX(원자료_잔고!$A$1:$EZ$1500,설정!$L$5+ROW()-1,설정!$L$14)),INDEX(원자료_잔고!$A$1:$EZ$1500,설정!$L$5+ROW()-1,설정!$L$14),""),"")</f>
        <v>3.4391</v>
      </c>
      <c r="I259" s="86" t="n">
        <f aca="false">IFERROR(IF(ISNUMBER(INDEX(원자료_잔고!$A$1:$EZ$1500,설정!$L$5+ROW()-1,설정!$L$15)),INDEX(원자료_잔고!$A$1:$EZ$1500,설정!$L$5+ROW()-1,설정!$L$15),""),"")</f>
        <v>47757</v>
      </c>
      <c r="J259" s="85" t="n">
        <f aca="false">IFERROR(IF(ISNUMBER(INDEX(원자료_잔고!$A$1:$EZ$1500,설정!$L$5+ROW()-1,설정!$L$16)),INDEX(원자료_잔고!$A$1:$EZ$1500,설정!$L$5+ROW()-1,설정!$L$16),""),"")</f>
        <v>4.25</v>
      </c>
      <c r="K259" s="87" t="n">
        <f aca="false">IFERROR(IF(ISNUMBER(INDEX(원자료_잔고!$A$1:$EZ$1500,설정!$L$5+ROW()-1,설정!$L$17)),INDEX(원자료_잔고!$A$1:$EZ$1500,설정!$L$5+ROW()-1,설정!$L$17),""),"")</f>
        <v>1</v>
      </c>
      <c r="L259" s="84" t="n">
        <f aca="false">IFERROR(IF(ISNUMBER(INDEX(원자료_잔고!$A$1:$EZ$1500,설정!$L$5+ROW()-1,설정!$L$18)),INDEX(원자료_잔고!$A$1:$EZ$1500,설정!$L$5+ROW()-1,설정!$L$18),""),"")</f>
        <v>189058.8</v>
      </c>
      <c r="M259" s="88" t="n">
        <f aca="false">IFERROR(IF(ISNUMBER(INDEX(원자료_잔고!$A$1:$EZ$1500,설정!$L$5+ROW()-1,설정!$L$19)),INDEX(원자료_잔고!$A$1:$EZ$1500,설정!$L$5+ROW()-1,설정!$L$19),""),"")</f>
        <v>-8687.8</v>
      </c>
      <c r="N259" s="83" t="str">
        <f aca="false">IFERROR(IF(INDEX(원자료_잔고!$A$1:$EZ$1500,설정!$L$5+ROW()-1,설정!$L$21)&amp;""="0","",INDEX(원자료_잔고!$A$1:$EZ$1500,설정!$L$5+ROW()-1,설정!$L$21)&amp;""),"")</f>
        <v/>
      </c>
      <c r="O259" s="83" t="str">
        <f aca="false">IFERROR(IF(INDEX(원자료_잔고!$A$1:$EZ$1500,설정!$L$5+ROW()-1,설정!$L$22)&amp;""="0","",INDEX(원자료_잔고!$A$1:$EZ$1500,설정!$L$5+ROW()-1,설정!$L$22)&amp;""),"")</f>
        <v/>
      </c>
      <c r="P259" s="83" t="str">
        <f aca="false">IFERROR(IF(INDEX(원자료_잔고!$A$1:$EZ$1500,설정!$L$5+ROW()-1,설정!$L$23)&amp;""="0","",INDEX(원자료_잔고!$A$1:$EZ$1500,설정!$L$5+ROW()-1,설정!$L$23)&amp;""),"")</f>
        <v>N/A</v>
      </c>
      <c r="Q259" s="89" t="n">
        <f aca="false">IF(AND($A259&lt;&gt;"",ISNUMBER(E259)),IF(E259&gt;0,1,0),0)</f>
        <v>1</v>
      </c>
      <c r="R259" s="43" t="str">
        <f aca="false">IF(Q259=1,UPPER(LEFT($A259,FIND(" ",$A259&amp;" ")-1)),"")</f>
        <v>HANMIL</v>
      </c>
      <c r="S259" s="89" t="n">
        <f aca="false">IF(Q259=1,IF(OR(ISNUMBER(SEARCH("Float",$A259)),ISNUMBER(SEARCH("FRN",$A259))),1,0),0)</f>
        <v>0</v>
      </c>
      <c r="T259" s="43" t="str">
        <f aca="false">IF(AND(Q259=1,ISNUMBER(I259)),TEXT(I259,"yyyymmdd")&amp;"|"&amp;IF(S259=1,"F",TEXT(J259,"0.000")),"")</f>
        <v>20301001|4.250</v>
      </c>
      <c r="U259" s="90" t="n">
        <f aca="false">IF(AND(Q259=1,ISNUMBER(I259)),(I259-설정!$C$4)/365.25,"")</f>
        <v>4</v>
      </c>
      <c r="V259" s="43" t="str">
        <f aca="false">IF(Q259&lt;&gt;1,"",IF(ISNUMBER(U259),IF(U259&lt;=1,"1년 이하",IF(U259&lt;=2,"1-2년",IF(U259&lt;=3,"2-3년",IF(U259&lt;=4,"3-4년",IF(U259&lt;=5,"4-5년",IF(U259&lt;=7,"5-7년",IF(U259&lt;=10,"7-10년",IF(U259&lt;=20,"10-20년","20년 이상")))))))),"미분류"))</f>
        <v>3-4년</v>
      </c>
      <c r="W259" s="43" t="str">
        <f aca="false">IF(Q259&lt;&gt;1,"",IF(AB259&lt;&gt;"",INDEX(시장분석!$C:$C,AB259),IF(K259=1,"USD","비USD")))</f>
        <v>USD</v>
      </c>
      <c r="X259" s="91" t="n">
        <f aca="false">IF(Q259=1,E259*K259/1000000,0)</f>
        <v>0.2</v>
      </c>
      <c r="Y259" s="89" t="n">
        <f aca="false">IF(R259="T",1,0)</f>
        <v>0</v>
      </c>
      <c r="Z259" s="92" t="n">
        <f aca="false">IF(Q259&lt;&gt;1,"",IF(AD259=1,IF(ISNUMBER(U259),MAX(U259,0),H259),H259))</f>
        <v>3.4391</v>
      </c>
      <c r="AA259" s="91" t="n">
        <f aca="false">IF(Q259=1,IF(ISNUMBER(L259),L259,0)*K259/1000000,0)</f>
        <v>0.1890588</v>
      </c>
      <c r="AB259" s="89" t="n">
        <f aca="false">IF(Q259&lt;&gt;1,"",IFERROR(MATCH(VLOOKUP(B259,매핑!$H$4:$I$15,2,0),시장분석!$A$2:$A$601,0)+1,IFERROR(MATCH(R259&amp;"|"&amp;T259,시장분석!$V$2:$V$601,0)+1,IF(COUNTIF(시장분석!$U$2:$U$601,T259)=1,MATCH(T259,시장분석!$U$2:$U$601,0)+1,""))))</f>
        <v>249</v>
      </c>
      <c r="AC259" s="89" t="n">
        <f aca="false">IF(Q259&lt;&gt;1,0,IF(OR(설정!$C$5="전체",AND(설정!$C$5="선택펀드",IFERROR(COUNTIFS(설정!$F$16:$F$36,C259,설정!$G$16:$G$36,"Y")+COUNTIFS(설정!$F$16:$F$36,VALUE(C259),설정!$G$16:$G$36,"Y"),0)&gt;0),C259&amp;""=설정!$C$5&amp;""),1,0))</f>
        <v>1</v>
      </c>
      <c r="AD259" s="89" t="n">
        <f aca="false">IF(Q259&lt;&gt;1,0,IF(OR(S259=1,IF(AB259="",FALSE(),INDEX(시장분석!$R:$R,AB259)=1)),1,0))</f>
        <v>0</v>
      </c>
      <c r="AE259" s="43" t="str">
        <f aca="false">IF(AB259="","",INDEX(시장분석!$A:$A,AB259))</f>
        <v>HANMIL 4 1/4 10/01/30</v>
      </c>
      <c r="AF259" s="93" t="n">
        <f aca="false">IF(AB259="","",IF(ISNUMBER(IF(AB259="","",INDEX(시장분석!$E:$E,AB259))),IF(AB259="","",INDEX(시장분석!$E:$E,AB259)),""))</f>
        <v>77.27</v>
      </c>
      <c r="AG259" s="43" t="str">
        <f aca="false">IF(Q259&lt;&gt;1,"",IF(AB259&lt;&gt;"",IF(AB259="","",INDEX(시장분석!$L:$L,AB259)),IFERROR(IF(VLOOKUP(R259,매핑!$A$4:$E$92,5,0)="","미분류",VLOOKUP(R259,매핑!$A$4:$E$92,5,0)),"미분류")))</f>
        <v>금융기관</v>
      </c>
      <c r="AH259" s="43" t="str">
        <f aca="false">IF(Q259&lt;&gt;1,"",IF(AB259&lt;&gt;"",IF(AB259="","",INDEX(시장분석!$N:$N,AB259)),IFERROR(IF(VLOOKUP(R259,매핑!$A$4:$E$92,4,0)="","미분류",VLOOKUP(R259,매핑!$A$4:$E$92,4,0)),"미분류")))</f>
        <v>아시아/기타</v>
      </c>
      <c r="AI259" s="43" t="str">
        <f aca="false">IF(Q259&lt;&gt;1,"",IFERROR(IF(VLOOKUP(R259,매핑!$A$4:$E$92,3,0)="","미분류",VLOOKUP(R259,매핑!$A$4:$E$92,3,0)),IF(AB259&lt;&gt;"",IF(AB259="","",INDEX(시장분석!$W:$W,AB259)),"미분류")))</f>
        <v>한국</v>
      </c>
      <c r="AJ259" s="43" t="str">
        <f aca="false">IF(Q259&lt;&gt;1,"",IFERROR(VLOOKUP(IF(N259&lt;&gt;"",N259,IF(P259&lt;&gt;"",P259,O259)),설정!$A$15:$D$47,2,0),""))</f>
        <v/>
      </c>
      <c r="AK259" s="43" t="str">
        <f aca="false">IF(Q259&lt;&gt;1,"",IF(AJ259="","무등급",IFERROR(VLOOKUP(AJ259,설정!$A$15:$D$47,3,0),"무등급")))</f>
        <v>무등급</v>
      </c>
      <c r="AL259" s="89" t="n">
        <f aca="false">IF(AJ259="",99,IFERROR(VLOOKUP(AJ259,설정!$A$15:$D$47,4,0),99))</f>
        <v>99</v>
      </c>
      <c r="AM259" s="94" t="n">
        <f aca="false">IF(ISNUMBER(H259),AA259*1000000*H259/10000,0)</f>
        <v>65.019211908</v>
      </c>
      <c r="AN259" s="94" t="n">
        <f aca="false">IF(OR(Y259=1,NOT(ISNUMBER(Z259))),0,AA259*1000000*Z259/10000)</f>
        <v>65.019211908</v>
      </c>
      <c r="AO259" s="94" t="n">
        <f aca="false">IF(ISNUMBER(G259),AA259*1000000*G259/100,0)</f>
        <v>10967.1119292</v>
      </c>
      <c r="AP259" s="94" t="n">
        <f aca="false">IF(ISNUMBER(M259),M259*K259,0)</f>
        <v>-8687.8</v>
      </c>
      <c r="AQ259" s="95" t="n">
        <f aca="false">IF(AB259="","",INDEX(시장분석!$AK:$AK,AB259))</f>
        <v>0.436979705825957</v>
      </c>
      <c r="AR259" s="43" t="str">
        <f aca="false">IF(AB259="","-",IF(AB259="","",INDEX(시장분석!$AL:$AL,AB259)))</f>
        <v>Fair</v>
      </c>
      <c r="AS259" s="96" t="n">
        <f aca="false">IF(AB259="","",INDEX(시장분석!$AJ:$AJ,AB259))</f>
        <v>8.94654226333454</v>
      </c>
      <c r="AT259" s="93" t="n">
        <f aca="false">IF(AB259="",0,IF(AB259="","",INDEX(시장분석!$AN:$AN,AB259)))</f>
        <v>4.38679125412881</v>
      </c>
      <c r="AU259" s="94" t="n">
        <f aca="false">IF(ISNUMBER(Z259),AT259/10000*MAX(Z259-1,0)*AA259*1000000,0)</f>
        <v>202.289561112753</v>
      </c>
      <c r="AV259" s="94" t="n">
        <f aca="false">AO259+AU259</f>
        <v>11169.4014903128</v>
      </c>
      <c r="AW259" s="43" t="str">
        <f aca="false">IF(Q259&lt;&gt;1,"",TRIM(IF(AD259=1,"FRN ","")&amp;IF(AND(AL259&gt;=10,AL259&lt;99),"BBB0미만 ","")&amp;IF(AJ259="","등급없음 ","")&amp;IF(K259&lt;&gt;1,"비USD ","")&amp;IF(AND(AB259="",Y259=0),"시장데이터없음 ","")&amp;IF(AND(ISNUMBER(U259),U259&lt;0),"만기경과 ","")))</f>
        <v>등급없음</v>
      </c>
      <c r="AX259" s="90" t="n">
        <f aca="false">IF(Q259&lt;&gt;1,1,IF(스프레드쇼크!$C$4="Y",INDEX(스프레드쇼크!$B$12:$L$16,IFERROR(MATCH(AH259,스프레드쇼크!$A$12:$A$16,0),MATCH("목록외",스프레드쇼크!$A$12:$A$16,0)),IFERROR(MATCH(AG259,스프레드쇼크!$B$11:$L$11,0),MATCH("목록외",스프레드쇼크!$B$11:$L$11,0))),1))</f>
        <v>1</v>
      </c>
      <c r="AY259" s="90" t="n">
        <f aca="false">IF(스프레드쇼크!$C$5="Y",IF(ISNUMBER(AF259),MIN(스프레드쇼크!$C$7,MAX(스프레드쇼크!$C$6,AF259/스프레드쇼크!$C$8)),1),1)</f>
        <v>1.16873873745461</v>
      </c>
      <c r="AZ259" s="94" t="n">
        <f aca="false">AN259*AX259*AY259</f>
        <v>75.9904716356496</v>
      </c>
      <c r="BA259" s="90" t="n">
        <f aca="false">IF(ISNUMBER(G259),AA259*G259,0)</f>
        <v>1.09671119292</v>
      </c>
      <c r="BB259" s="90" t="n">
        <f aca="false">IF(ISNUMBER(G259),AA259,0)</f>
        <v>0.1890588</v>
      </c>
      <c r="BC259" s="90" t="n">
        <f aca="false">IF(AND(Y259=0,ISNUMBER(AF259)),AA259*AF259,0)</f>
        <v>14.608573476</v>
      </c>
      <c r="BD259" s="90" t="n">
        <f aca="false">IF(AND(Y259=0,ISNUMBER(AF259)),AA259,0)</f>
        <v>0.1890588</v>
      </c>
      <c r="BE259" s="90" t="n">
        <f aca="false">IF(ISNUMBER(H259),AA259*H259,0)</f>
        <v>0.65019211908</v>
      </c>
      <c r="BF259" s="90" t="n">
        <f aca="false">IF(ISNUMBER(H259),AA259,0)</f>
        <v>0.1890588</v>
      </c>
      <c r="BG259" s="90" t="n">
        <f aca="false">IF(AND(Y259=0,ISNUMBER(AF259),ISNUMBER(Z259)),AA259*Z259,0)</f>
        <v>0.65019211908</v>
      </c>
      <c r="BH259" s="90" t="n">
        <f aca="false">IF(AND(Y259=0,ISNUMBER(AF259),ISNUMBER(Z259)),AA259*AT259*MAX(Z259-1,0),0)</f>
        <v>2.02289561112753</v>
      </c>
      <c r="BI259" s="90" t="n">
        <f aca="false">IF(Y259=0,AA259,0)</f>
        <v>0.1890588</v>
      </c>
    </row>
    <row r="260" customFormat="false" ht="15" hidden="false" customHeight="false" outlineLevel="0" collapsed="false">
      <c r="A260" s="83" t="str">
        <f aca="false">IFERROR(IF(INDEX(원자료_잔고!$A$1:$EZ$1500,설정!$L$5+ROW()-1,설정!$L$8)&amp;""="0","",INDEX(원자료_잔고!$A$1:$EZ$1500,설정!$L$5+ROW()-1,설정!$L$8)&amp;""),"")</f>
        <v>HANMIL 4.25 10/01/30</v>
      </c>
      <c r="B260" s="83" t="str">
        <f aca="false">IFERROR(IF(INDEX(원자료_잔고!$A$1:$EZ$1500,설정!$L$5+ROW()-1,설정!$L$7)&amp;""="0","",INDEX(원자료_잔고!$A$1:$EZ$1500,설정!$L$5+ROW()-1,설정!$L$7)&amp;""),"")</f>
        <v>XS3187679041</v>
      </c>
      <c r="C260" s="83" t="str">
        <f aca="false">IFERROR(IF(INDEX(원자료_잔고!$A$1:$EZ$1500,설정!$L$5+ROW()-1,설정!$L$9)&amp;""="0","",INDEX(원자료_잔고!$A$1:$EZ$1500,설정!$L$5+ROW()-1,설정!$L$9)&amp;""),"")</f>
        <v>34578</v>
      </c>
      <c r="D26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0" s="84" t="n">
        <f aca="false">IFERROR(IF(ISNUMBER(INDEX(원자료_잔고!$A$1:$EZ$1500,설정!$L$5+ROW()-1,설정!$L$11)),INDEX(원자료_잔고!$A$1:$EZ$1500,설정!$L$5+ROW()-1,설정!$L$11),""),"")</f>
        <v>5000000</v>
      </c>
      <c r="F260" s="85" t="n">
        <f aca="false">IFERROR(IF(ISNUMBER(INDEX(원자료_잔고!$A$1:$EZ$1500,설정!$L$5+ROW()-1,설정!$L$12)),INDEX(원자료_잔고!$A$1:$EZ$1500,설정!$L$5+ROW()-1,설정!$L$12),""),"")</f>
        <v>94.5294</v>
      </c>
      <c r="G260" s="85" t="n">
        <f aca="false">IFERROR(IF(ISNUMBER(INDEX(원자료_잔고!$A$1:$EZ$1500,설정!$L$5+ROW()-1,설정!$L$13)),INDEX(원자료_잔고!$A$1:$EZ$1500,설정!$L$5+ROW()-1,설정!$L$13),""),"")</f>
        <v>5.8009</v>
      </c>
      <c r="H260" s="85" t="n">
        <f aca="false">IFERROR(IF(ISNUMBER(INDEX(원자료_잔고!$A$1:$EZ$1500,설정!$L$5+ROW()-1,설정!$L$14)),INDEX(원자료_잔고!$A$1:$EZ$1500,설정!$L$5+ROW()-1,설정!$L$14),""),"")</f>
        <v>3.4391</v>
      </c>
      <c r="I260" s="86" t="n">
        <f aca="false">IFERROR(IF(ISNUMBER(INDEX(원자료_잔고!$A$1:$EZ$1500,설정!$L$5+ROW()-1,설정!$L$15)),INDEX(원자료_잔고!$A$1:$EZ$1500,설정!$L$5+ROW()-1,설정!$L$15),""),"")</f>
        <v>47757</v>
      </c>
      <c r="J260" s="85" t="n">
        <f aca="false">IFERROR(IF(ISNUMBER(INDEX(원자료_잔고!$A$1:$EZ$1500,설정!$L$5+ROW()-1,설정!$L$16)),INDEX(원자료_잔고!$A$1:$EZ$1500,설정!$L$5+ROW()-1,설정!$L$16),""),"")</f>
        <v>4.25</v>
      </c>
      <c r="K260" s="87" t="n">
        <f aca="false">IFERROR(IF(ISNUMBER(INDEX(원자료_잔고!$A$1:$EZ$1500,설정!$L$5+ROW()-1,설정!$L$17)),INDEX(원자료_잔고!$A$1:$EZ$1500,설정!$L$5+ROW()-1,설정!$L$17),""),"")</f>
        <v>1</v>
      </c>
      <c r="L260" s="84" t="n">
        <f aca="false">IFERROR(IF(ISNUMBER(INDEX(원자료_잔고!$A$1:$EZ$1500,설정!$L$5+ROW()-1,설정!$L$18)),INDEX(원자료_잔고!$A$1:$EZ$1500,설정!$L$5+ROW()-1,설정!$L$18),""),"")</f>
        <v>4726470</v>
      </c>
      <c r="M260" s="88" t="n">
        <f aca="false">IFERROR(IF(ISNUMBER(INDEX(원자료_잔고!$A$1:$EZ$1500,설정!$L$5+ROW()-1,설정!$L$19)),INDEX(원자료_잔고!$A$1:$EZ$1500,설정!$L$5+ROW()-1,설정!$L$19),""),"")</f>
        <v>-217195</v>
      </c>
      <c r="N260" s="83" t="str">
        <f aca="false">IFERROR(IF(INDEX(원자료_잔고!$A$1:$EZ$1500,설정!$L$5+ROW()-1,설정!$L$21)&amp;""="0","",INDEX(원자료_잔고!$A$1:$EZ$1500,설정!$L$5+ROW()-1,설정!$L$21)&amp;""),"")</f>
        <v/>
      </c>
      <c r="O260" s="83" t="str">
        <f aca="false">IFERROR(IF(INDEX(원자료_잔고!$A$1:$EZ$1500,설정!$L$5+ROW()-1,설정!$L$22)&amp;""="0","",INDEX(원자료_잔고!$A$1:$EZ$1500,설정!$L$5+ROW()-1,설정!$L$22)&amp;""),"")</f>
        <v/>
      </c>
      <c r="P260" s="83" t="str">
        <f aca="false">IFERROR(IF(INDEX(원자료_잔고!$A$1:$EZ$1500,설정!$L$5+ROW()-1,설정!$L$23)&amp;""="0","",INDEX(원자료_잔고!$A$1:$EZ$1500,설정!$L$5+ROW()-1,설정!$L$23)&amp;""),"")</f>
        <v>N/A</v>
      </c>
      <c r="Q260" s="89" t="n">
        <f aca="false">IF(AND($A260&lt;&gt;"",ISNUMBER(E260)),IF(E260&gt;0,1,0),0)</f>
        <v>1</v>
      </c>
      <c r="R260" s="43" t="str">
        <f aca="false">IF(Q260=1,UPPER(LEFT($A260,FIND(" ",$A260&amp;" ")-1)),"")</f>
        <v>HANMIL</v>
      </c>
      <c r="S260" s="89" t="n">
        <f aca="false">IF(Q260=1,IF(OR(ISNUMBER(SEARCH("Float",$A260)),ISNUMBER(SEARCH("FRN",$A260))),1,0),0)</f>
        <v>0</v>
      </c>
      <c r="T260" s="43" t="str">
        <f aca="false">IF(AND(Q260=1,ISNUMBER(I260)),TEXT(I260,"yyyymmdd")&amp;"|"&amp;IF(S260=1,"F",TEXT(J260,"0.000")),"")</f>
        <v>20301001|4.250</v>
      </c>
      <c r="U260" s="90" t="n">
        <f aca="false">IF(AND(Q260=1,ISNUMBER(I260)),(I260-설정!$C$4)/365.25,"")</f>
        <v>4</v>
      </c>
      <c r="V260" s="43" t="str">
        <f aca="false">IF(Q260&lt;&gt;1,"",IF(ISNUMBER(U260),IF(U260&lt;=1,"1년 이하",IF(U260&lt;=2,"1-2년",IF(U260&lt;=3,"2-3년",IF(U260&lt;=4,"3-4년",IF(U260&lt;=5,"4-5년",IF(U260&lt;=7,"5-7년",IF(U260&lt;=10,"7-10년",IF(U260&lt;=20,"10-20년","20년 이상")))))))),"미분류"))</f>
        <v>3-4년</v>
      </c>
      <c r="W260" s="43" t="str">
        <f aca="false">IF(Q260&lt;&gt;1,"",IF(AB260&lt;&gt;"",INDEX(시장분석!$C:$C,AB260),IF(K260=1,"USD","비USD")))</f>
        <v>USD</v>
      </c>
      <c r="X260" s="91" t="n">
        <f aca="false">IF(Q260=1,E260*K260/1000000,0)</f>
        <v>5</v>
      </c>
      <c r="Y260" s="89" t="n">
        <f aca="false">IF(R260="T",1,0)</f>
        <v>0</v>
      </c>
      <c r="Z260" s="92" t="n">
        <f aca="false">IF(Q260&lt;&gt;1,"",IF(AD260=1,IF(ISNUMBER(U260),MAX(U260,0),H260),H260))</f>
        <v>3.4391</v>
      </c>
      <c r="AA260" s="91" t="n">
        <f aca="false">IF(Q260=1,IF(ISNUMBER(L260),L260,0)*K260/1000000,0)</f>
        <v>4.72647</v>
      </c>
      <c r="AB260" s="89" t="n">
        <f aca="false">IF(Q260&lt;&gt;1,"",IFERROR(MATCH(VLOOKUP(B260,매핑!$H$4:$I$15,2,0),시장분석!$A$2:$A$601,0)+1,IFERROR(MATCH(R260&amp;"|"&amp;T260,시장분석!$V$2:$V$601,0)+1,IF(COUNTIF(시장분석!$U$2:$U$601,T260)=1,MATCH(T260,시장분석!$U$2:$U$601,0)+1,""))))</f>
        <v>249</v>
      </c>
      <c r="AC260" s="89" t="n">
        <f aca="false">IF(Q260&lt;&gt;1,0,IF(OR(설정!$C$5="전체",AND(설정!$C$5="선택펀드",IFERROR(COUNTIFS(설정!$F$16:$F$36,C260,설정!$G$16:$G$36,"Y")+COUNTIFS(설정!$F$16:$F$36,VALUE(C260),설정!$G$16:$G$36,"Y"),0)&gt;0),C260&amp;""=설정!$C$5&amp;""),1,0))</f>
        <v>1</v>
      </c>
      <c r="AD260" s="89" t="n">
        <f aca="false">IF(Q260&lt;&gt;1,0,IF(OR(S260=1,IF(AB260="",FALSE(),INDEX(시장분석!$R:$R,AB260)=1)),1,0))</f>
        <v>0</v>
      </c>
      <c r="AE260" s="43" t="str">
        <f aca="false">IF(AB260="","",INDEX(시장분석!$A:$A,AB260))</f>
        <v>HANMIL 4 1/4 10/01/30</v>
      </c>
      <c r="AF260" s="93" t="n">
        <f aca="false">IF(AB260="","",IF(ISNUMBER(IF(AB260="","",INDEX(시장분석!$E:$E,AB260))),IF(AB260="","",INDEX(시장분석!$E:$E,AB260)),""))</f>
        <v>77.27</v>
      </c>
      <c r="AG260" s="43" t="str">
        <f aca="false">IF(Q260&lt;&gt;1,"",IF(AB260&lt;&gt;"",IF(AB260="","",INDEX(시장분석!$L:$L,AB260)),IFERROR(IF(VLOOKUP(R260,매핑!$A$4:$E$92,5,0)="","미분류",VLOOKUP(R260,매핑!$A$4:$E$92,5,0)),"미분류")))</f>
        <v>금융기관</v>
      </c>
      <c r="AH260" s="43" t="str">
        <f aca="false">IF(Q260&lt;&gt;1,"",IF(AB260&lt;&gt;"",IF(AB260="","",INDEX(시장분석!$N:$N,AB260)),IFERROR(IF(VLOOKUP(R260,매핑!$A$4:$E$92,4,0)="","미분류",VLOOKUP(R260,매핑!$A$4:$E$92,4,0)),"미분류")))</f>
        <v>아시아/기타</v>
      </c>
      <c r="AI260" s="43" t="str">
        <f aca="false">IF(Q260&lt;&gt;1,"",IFERROR(IF(VLOOKUP(R260,매핑!$A$4:$E$92,3,0)="","미분류",VLOOKUP(R260,매핑!$A$4:$E$92,3,0)),IF(AB260&lt;&gt;"",IF(AB260="","",INDEX(시장분석!$W:$W,AB260)),"미분류")))</f>
        <v>한국</v>
      </c>
      <c r="AJ260" s="43" t="str">
        <f aca="false">IF(Q260&lt;&gt;1,"",IFERROR(VLOOKUP(IF(N260&lt;&gt;"",N260,IF(P260&lt;&gt;"",P260,O260)),설정!$A$15:$D$47,2,0),""))</f>
        <v/>
      </c>
      <c r="AK260" s="43" t="str">
        <f aca="false">IF(Q260&lt;&gt;1,"",IF(AJ260="","무등급",IFERROR(VLOOKUP(AJ260,설정!$A$15:$D$47,3,0),"무등급")))</f>
        <v>무등급</v>
      </c>
      <c r="AL260" s="89" t="n">
        <f aca="false">IF(AJ260="",99,IFERROR(VLOOKUP(AJ260,설정!$A$15:$D$47,4,0),99))</f>
        <v>99</v>
      </c>
      <c r="AM260" s="94" t="n">
        <f aca="false">IF(ISNUMBER(H260),AA260*1000000*H260/10000,0)</f>
        <v>1625.4802977</v>
      </c>
      <c r="AN260" s="94" t="n">
        <f aca="false">IF(OR(Y260=1,NOT(ISNUMBER(Z260))),0,AA260*1000000*Z260/10000)</f>
        <v>1625.4802977</v>
      </c>
      <c r="AO260" s="94" t="n">
        <f aca="false">IF(ISNUMBER(G260),AA260*1000000*G260/100,0)</f>
        <v>274177.79823</v>
      </c>
      <c r="AP260" s="94" t="n">
        <f aca="false">IF(ISNUMBER(M260),M260*K260,0)</f>
        <v>-217195</v>
      </c>
      <c r="AQ260" s="95" t="n">
        <f aca="false">IF(AB260="","",INDEX(시장분석!$AK:$AK,AB260))</f>
        <v>0.436979705825957</v>
      </c>
      <c r="AR260" s="43" t="str">
        <f aca="false">IF(AB260="","-",IF(AB260="","",INDEX(시장분석!$AL:$AL,AB260)))</f>
        <v>Fair</v>
      </c>
      <c r="AS260" s="96" t="n">
        <f aca="false">IF(AB260="","",INDEX(시장분석!$AJ:$AJ,AB260))</f>
        <v>8.94654226333454</v>
      </c>
      <c r="AT260" s="93" t="n">
        <f aca="false">IF(AB260="",0,IF(AB260="","",INDEX(시장분석!$AN:$AN,AB260)))</f>
        <v>4.38679125412881</v>
      </c>
      <c r="AU260" s="94" t="n">
        <f aca="false">IF(ISNUMBER(Z260),AT260/10000*MAX(Z260-1,0)*AA260*1000000,0)</f>
        <v>5057.23902781884</v>
      </c>
      <c r="AV260" s="94" t="n">
        <f aca="false">AO260+AU260</f>
        <v>279235.037257819</v>
      </c>
      <c r="AW260" s="43" t="str">
        <f aca="false">IF(Q260&lt;&gt;1,"",TRIM(IF(AD260=1,"FRN ","")&amp;IF(AND(AL260&gt;=10,AL260&lt;99),"BBB0미만 ","")&amp;IF(AJ260="","등급없음 ","")&amp;IF(K260&lt;&gt;1,"비USD ","")&amp;IF(AND(AB260="",Y260=0),"시장데이터없음 ","")&amp;IF(AND(ISNUMBER(U260),U260&lt;0),"만기경과 ","")))</f>
        <v>등급없음</v>
      </c>
      <c r="AX260" s="90" t="n">
        <f aca="false">IF(Q260&lt;&gt;1,1,IF(스프레드쇼크!$C$4="Y",INDEX(스프레드쇼크!$B$12:$L$16,IFERROR(MATCH(AH260,스프레드쇼크!$A$12:$A$16,0),MATCH("목록외",스프레드쇼크!$A$12:$A$16,0)),IFERROR(MATCH(AG260,스프레드쇼크!$B$11:$L$11,0),MATCH("목록외",스프레드쇼크!$B$11:$L$11,0))),1))</f>
        <v>1</v>
      </c>
      <c r="AY260" s="90" t="n">
        <f aca="false">IF(스프레드쇼크!$C$5="Y",IF(ISNUMBER(AF260),MIN(스프레드쇼크!$C$7,MAX(스프레드쇼크!$C$6,AF260/스프레드쇼크!$C$8)),1),1)</f>
        <v>1.16873873745461</v>
      </c>
      <c r="AZ260" s="94" t="n">
        <f aca="false">AN260*AX260*AY260</f>
        <v>1899.76179089124</v>
      </c>
      <c r="BA260" s="90" t="n">
        <f aca="false">IF(ISNUMBER(G260),AA260*G260,0)</f>
        <v>27.417779823</v>
      </c>
      <c r="BB260" s="90" t="n">
        <f aca="false">IF(ISNUMBER(G260),AA260,0)</f>
        <v>4.72647</v>
      </c>
      <c r="BC260" s="90" t="n">
        <f aca="false">IF(AND(Y260=0,ISNUMBER(AF260)),AA260*AF260,0)</f>
        <v>365.2143369</v>
      </c>
      <c r="BD260" s="90" t="n">
        <f aca="false">IF(AND(Y260=0,ISNUMBER(AF260)),AA260,0)</f>
        <v>4.72647</v>
      </c>
      <c r="BE260" s="90" t="n">
        <f aca="false">IF(ISNUMBER(H260),AA260*H260,0)</f>
        <v>16.254802977</v>
      </c>
      <c r="BF260" s="90" t="n">
        <f aca="false">IF(ISNUMBER(H260),AA260,0)</f>
        <v>4.72647</v>
      </c>
      <c r="BG260" s="90" t="n">
        <f aca="false">IF(AND(Y260=0,ISNUMBER(AF260),ISNUMBER(Z260)),AA260*Z260,0)</f>
        <v>16.254802977</v>
      </c>
      <c r="BH260" s="90" t="n">
        <f aca="false">IF(AND(Y260=0,ISNUMBER(AF260),ISNUMBER(Z260)),AA260*AT260*MAX(Z260-1,0),0)</f>
        <v>50.5723902781884</v>
      </c>
      <c r="BI260" s="90" t="n">
        <f aca="false">IF(Y260=0,AA260,0)</f>
        <v>4.72647</v>
      </c>
    </row>
    <row r="261" customFormat="false" ht="15" hidden="false" customHeight="false" outlineLevel="0" collapsed="false">
      <c r="A261" s="83" t="str">
        <f aca="false">IFERROR(IF(INDEX(원자료_잔고!$A$1:$EZ$1500,설정!$L$5+ROW()-1,설정!$L$8)&amp;""="0","",INDEX(원자료_잔고!$A$1:$EZ$1500,설정!$L$5+ROW()-1,설정!$L$8)&amp;""),"")</f>
        <v>KOEWPW 4 05/04/31</v>
      </c>
      <c r="B261" s="83" t="str">
        <f aca="false">IFERROR(IF(INDEX(원자료_잔고!$A$1:$EZ$1500,설정!$L$5+ROW()-1,설정!$L$7)&amp;""="0","",INDEX(원자료_잔고!$A$1:$EZ$1500,설정!$L$5+ROW()-1,설정!$L$7)&amp;""),"")</f>
        <v>XS3219365635</v>
      </c>
      <c r="C261" s="83" t="str">
        <f aca="false">IFERROR(IF(INDEX(원자료_잔고!$A$1:$EZ$1500,설정!$L$5+ROW()-1,설정!$L$9)&amp;""="0","",INDEX(원자료_잔고!$A$1:$EZ$1500,설정!$L$5+ROW()-1,설정!$L$9)&amp;""),"")</f>
        <v>34578</v>
      </c>
      <c r="D26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1" s="84" t="n">
        <f aca="false">IFERROR(IF(ISNUMBER(INDEX(원자료_잔고!$A$1:$EZ$1500,설정!$L$5+ROW()-1,설정!$L$11)),INDEX(원자료_잔고!$A$1:$EZ$1500,설정!$L$5+ROW()-1,설정!$L$11),""),"")</f>
        <v>4200000</v>
      </c>
      <c r="F261" s="85" t="n">
        <f aca="false">IFERROR(IF(ISNUMBER(INDEX(원자료_잔고!$A$1:$EZ$1500,설정!$L$5+ROW()-1,설정!$L$12)),INDEX(원자료_잔고!$A$1:$EZ$1500,설정!$L$5+ROW()-1,설정!$L$12),""),"")</f>
        <v>94.0724</v>
      </c>
      <c r="G261" s="85" t="n">
        <f aca="false">IFERROR(IF(ISNUMBER(INDEX(원자료_잔고!$A$1:$EZ$1500,설정!$L$5+ROW()-1,설정!$L$13)),INDEX(원자료_잔고!$A$1:$EZ$1500,설정!$L$5+ROW()-1,설정!$L$13),""),"")</f>
        <v>5.4747</v>
      </c>
      <c r="H261" s="85" t="n">
        <f aca="false">IFERROR(IF(ISNUMBER(INDEX(원자료_잔고!$A$1:$EZ$1500,설정!$L$5+ROW()-1,설정!$L$14)),INDEX(원자료_잔고!$A$1:$EZ$1500,설정!$L$5+ROW()-1,설정!$L$14),""),"")</f>
        <v>3.9541</v>
      </c>
      <c r="I261" s="86" t="n">
        <f aca="false">IFERROR(IF(ISNUMBER(INDEX(원자료_잔고!$A$1:$EZ$1500,설정!$L$5+ROW()-1,설정!$L$15)),INDEX(원자료_잔고!$A$1:$EZ$1500,설정!$L$5+ROW()-1,설정!$L$15),""),"")</f>
        <v>47972</v>
      </c>
      <c r="J261" s="85" t="n">
        <f aca="false">IFERROR(IF(ISNUMBER(INDEX(원자료_잔고!$A$1:$EZ$1500,설정!$L$5+ROW()-1,설정!$L$16)),INDEX(원자료_잔고!$A$1:$EZ$1500,설정!$L$5+ROW()-1,설정!$L$16),""),"")</f>
        <v>4</v>
      </c>
      <c r="K261" s="87" t="n">
        <f aca="false">IFERROR(IF(ISNUMBER(INDEX(원자료_잔고!$A$1:$EZ$1500,설정!$L$5+ROW()-1,설정!$L$17)),INDEX(원자료_잔고!$A$1:$EZ$1500,설정!$L$5+ROW()-1,설정!$L$17),""),"")</f>
        <v>1</v>
      </c>
      <c r="L261" s="84" t="n">
        <f aca="false">IFERROR(IF(ISNUMBER(INDEX(원자료_잔고!$A$1:$EZ$1500,설정!$L$5+ROW()-1,설정!$L$18)),INDEX(원자료_잔고!$A$1:$EZ$1500,설정!$L$5+ROW()-1,설정!$L$18),""),"")</f>
        <v>3951040.8</v>
      </c>
      <c r="M261" s="88" t="n">
        <f aca="false">IFERROR(IF(ISNUMBER(INDEX(원자료_잔고!$A$1:$EZ$1500,설정!$L$5+ROW()-1,설정!$L$19)),INDEX(원자료_잔고!$A$1:$EZ$1500,설정!$L$5+ROW()-1,설정!$L$19),""),"")</f>
        <v>-201163.2</v>
      </c>
      <c r="N261" s="83" t="str">
        <f aca="false">IFERROR(IF(INDEX(원자료_잔고!$A$1:$EZ$1500,설정!$L$5+ROW()-1,설정!$L$21)&amp;""="0","",INDEX(원자료_잔고!$A$1:$EZ$1500,설정!$L$5+ROW()-1,설정!$L$21)&amp;""),"")</f>
        <v/>
      </c>
      <c r="O261" s="83" t="str">
        <f aca="false">IFERROR(IF(INDEX(원자료_잔고!$A$1:$EZ$1500,설정!$L$5+ROW()-1,설정!$L$22)&amp;""="0","",INDEX(원자료_잔고!$A$1:$EZ$1500,설정!$L$5+ROW()-1,설정!$L$22)&amp;""),"")</f>
        <v/>
      </c>
      <c r="P261" s="83" t="str">
        <f aca="false">IFERROR(IF(INDEX(원자료_잔고!$A$1:$EZ$1500,설정!$L$5+ROW()-1,설정!$L$23)&amp;""="0","",INDEX(원자료_잔고!$A$1:$EZ$1500,설정!$L$5+ROW()-1,설정!$L$23)&amp;""),"")</f>
        <v>AA-</v>
      </c>
      <c r="Q261" s="89" t="n">
        <f aca="false">IF(AND($A261&lt;&gt;"",ISNUMBER(E261)),IF(E261&gt;0,1,0),0)</f>
        <v>1</v>
      </c>
      <c r="R261" s="43" t="str">
        <f aca="false">IF(Q261=1,UPPER(LEFT($A261,FIND(" ",$A261&amp;" ")-1)),"")</f>
        <v>KOEWPW</v>
      </c>
      <c r="S261" s="89" t="n">
        <f aca="false">IF(Q261=1,IF(OR(ISNUMBER(SEARCH("Float",$A261)),ISNUMBER(SEARCH("FRN",$A261))),1,0),0)</f>
        <v>0</v>
      </c>
      <c r="T261" s="43" t="str">
        <f aca="false">IF(AND(Q261=1,ISNUMBER(I261)),TEXT(I261,"yyyymmdd")&amp;"|"&amp;IF(S261=1,"F",TEXT(J261,"0.000")),"")</f>
        <v>20310504|4.000</v>
      </c>
      <c r="U261" s="90" t="n">
        <f aca="false">IF(AND(Q261=1,ISNUMBER(I261)),(I261-설정!$C$4)/365.25,"")</f>
        <v>4.5886379192334</v>
      </c>
      <c r="V261" s="43" t="str">
        <f aca="false">IF(Q261&lt;&gt;1,"",IF(ISNUMBER(U261),IF(U261&lt;=1,"1년 이하",IF(U261&lt;=2,"1-2년",IF(U261&lt;=3,"2-3년",IF(U261&lt;=4,"3-4년",IF(U261&lt;=5,"4-5년",IF(U261&lt;=7,"5-7년",IF(U261&lt;=10,"7-10년",IF(U261&lt;=20,"10-20년","20년 이상")))))))),"미분류"))</f>
        <v>4-5년</v>
      </c>
      <c r="W261" s="43" t="str">
        <f aca="false">IF(Q261&lt;&gt;1,"",IF(AB261&lt;&gt;"",INDEX(시장분석!$C:$C,AB261),IF(K261=1,"USD","비USD")))</f>
        <v>USD</v>
      </c>
      <c r="X261" s="91" t="n">
        <f aca="false">IF(Q261=1,E261*K261/1000000,0)</f>
        <v>4.2</v>
      </c>
      <c r="Y261" s="89" t="n">
        <f aca="false">IF(R261="T",1,0)</f>
        <v>0</v>
      </c>
      <c r="Z261" s="92" t="n">
        <f aca="false">IF(Q261&lt;&gt;1,"",IF(AD261=1,IF(ISNUMBER(U261),MAX(U261,0),H261),H261))</f>
        <v>3.9541</v>
      </c>
      <c r="AA261" s="91" t="n">
        <f aca="false">IF(Q261=1,IF(ISNUMBER(L261),L261,0)*K261/1000000,0)</f>
        <v>3.9510408</v>
      </c>
      <c r="AB261" s="89" t="n">
        <f aca="false">IF(Q261&lt;&gt;1,"",IFERROR(MATCH(VLOOKUP(B261,매핑!$H$4:$I$15,2,0),시장분석!$A$2:$A$601,0)+1,IFERROR(MATCH(R261&amp;"|"&amp;T261,시장분석!$V$2:$V$601,0)+1,IF(COUNTIF(시장분석!$U$2:$U$601,T261)=1,MATCH(T261,시장분석!$U$2:$U$601,0)+1,""))))</f>
        <v>251</v>
      </c>
      <c r="AC261" s="89" t="n">
        <f aca="false">IF(Q261&lt;&gt;1,0,IF(OR(설정!$C$5="전체",AND(설정!$C$5="선택펀드",IFERROR(COUNTIFS(설정!$F$16:$F$36,C261,설정!$G$16:$G$36,"Y")+COUNTIFS(설정!$F$16:$F$36,VALUE(C261),설정!$G$16:$G$36,"Y"),0)&gt;0),C261&amp;""=설정!$C$5&amp;""),1,0))</f>
        <v>1</v>
      </c>
      <c r="AD261" s="89" t="n">
        <f aca="false">IF(Q261&lt;&gt;1,0,IF(OR(S261=1,IF(AB261="",FALSE(),INDEX(시장분석!$R:$R,AB261)=1)),1,0))</f>
        <v>0</v>
      </c>
      <c r="AE261" s="43" t="str">
        <f aca="false">IF(AB261="","",INDEX(시장분석!$A:$A,AB261))</f>
        <v>KOEWPW 4 05/04/31</v>
      </c>
      <c r="AF261" s="93" t="n">
        <f aca="false">IF(AB261="","",IF(ISNUMBER(IF(AB261="","",INDEX(시장분석!$E:$E,AB261))),IF(AB261="","",INDEX(시장분석!$E:$E,AB261)),""))</f>
        <v>44.963</v>
      </c>
      <c r="AG261" s="43" t="str">
        <f aca="false">IF(Q261&lt;&gt;1,"",IF(AB261&lt;&gt;"",IF(AB261="","",INDEX(시장분석!$L:$L,AB261)),IFERROR(IF(VLOOKUP(R261,매핑!$A$4:$E$92,5,0)="","미분류",VLOOKUP(R261,매핑!$A$4:$E$92,5,0)),"미분류")))</f>
        <v>유틸리티</v>
      </c>
      <c r="AH261" s="43" t="str">
        <f aca="false">IF(Q261&lt;&gt;1,"",IF(AB261&lt;&gt;"",IF(AB261="","",INDEX(시장분석!$N:$N,AB261)),IFERROR(IF(VLOOKUP(R261,매핑!$A$4:$E$92,4,0)="","미분류",VLOOKUP(R261,매핑!$A$4:$E$92,4,0)),"미분류")))</f>
        <v>아시아/기타</v>
      </c>
      <c r="AI261" s="43" t="str">
        <f aca="false">IF(Q261&lt;&gt;1,"",IFERROR(IF(VLOOKUP(R261,매핑!$A$4:$E$92,3,0)="","미분류",VLOOKUP(R261,매핑!$A$4:$E$92,3,0)),IF(AB261&lt;&gt;"",IF(AB261="","",INDEX(시장분석!$W:$W,AB261)),"미분류")))</f>
        <v>한국</v>
      </c>
      <c r="AJ261" s="43" t="str">
        <f aca="false">IF(Q261&lt;&gt;1,"",IFERROR(VLOOKUP(IF(N261&lt;&gt;"",N261,IF(P261&lt;&gt;"",P261,O261)),설정!$A$15:$D$47,2,0),""))</f>
        <v>AA-</v>
      </c>
      <c r="AK261" s="43" t="str">
        <f aca="false">IF(Q261&lt;&gt;1,"",IF(AJ261="","무등급",IFERROR(VLOOKUP(AJ261,설정!$A$15:$D$47,3,0),"무등급")))</f>
        <v>AA이상</v>
      </c>
      <c r="AL261" s="89" t="n">
        <f aca="false">IF(AJ261="",99,IFERROR(VLOOKUP(AJ261,설정!$A$15:$D$47,4,0),99))</f>
        <v>4</v>
      </c>
      <c r="AM261" s="94" t="n">
        <f aca="false">IF(ISNUMBER(H261),AA261*1000000*H261/10000,0)</f>
        <v>1562.281042728</v>
      </c>
      <c r="AN261" s="94" t="n">
        <f aca="false">IF(OR(Y261=1,NOT(ISNUMBER(Z261))),0,AA261*1000000*Z261/10000)</f>
        <v>1562.281042728</v>
      </c>
      <c r="AO261" s="94" t="n">
        <f aca="false">IF(ISNUMBER(G261),AA261*1000000*G261/100,0)</f>
        <v>216307.6306776</v>
      </c>
      <c r="AP261" s="94" t="n">
        <f aca="false">IF(ISNUMBER(M261),M261*K261,0)</f>
        <v>-201163.2</v>
      </c>
      <c r="AQ261" s="95" t="n">
        <f aca="false">IF(AB261="","",INDEX(시장분석!$AK:$AK,AB261))</f>
        <v>-0.552837385698105</v>
      </c>
      <c r="AR261" s="43" t="str">
        <f aca="false">IF(AB261="","-",IF(AB261="","",INDEX(시장분석!$AL:$AL,AB261)))</f>
        <v>Fair</v>
      </c>
      <c r="AS261" s="96" t="n">
        <f aca="false">IF(AB261="","",INDEX(시장분석!$AJ:$AJ,AB261))</f>
        <v>-2.96167741592573</v>
      </c>
      <c r="AT261" s="93" t="n">
        <f aca="false">IF(AB261="",0,IF(AB261="","",INDEX(시장분석!$AN:$AN,AB261)))</f>
        <v>10.4271790868984</v>
      </c>
      <c r="AU261" s="94" t="n">
        <f aca="false">IF(ISNUMBER(Z261),AT261/10000*MAX(Z261-1,0)*AA261*1000000,0)</f>
        <v>12170.363216467</v>
      </c>
      <c r="AV261" s="94" t="n">
        <f aca="false">AO261+AU261</f>
        <v>228477.993894067</v>
      </c>
      <c r="AW261" s="43" t="str">
        <f aca="false">IF(Q261&lt;&gt;1,"",TRIM(IF(AD261=1,"FRN ","")&amp;IF(AND(AL261&gt;=10,AL261&lt;99),"BBB0미만 ","")&amp;IF(AJ261="","등급없음 ","")&amp;IF(K261&lt;&gt;1,"비USD ","")&amp;IF(AND(AB261="",Y261=0),"시장데이터없음 ","")&amp;IF(AND(ISNUMBER(U261),U261&lt;0),"만기경과 ","")))</f>
        <v/>
      </c>
      <c r="AX261" s="90" t="n">
        <f aca="false">IF(Q261&lt;&gt;1,1,IF(스프레드쇼크!$C$4="Y",INDEX(스프레드쇼크!$B$12:$L$16,IFERROR(MATCH(AH261,스프레드쇼크!$A$12:$A$16,0),MATCH("목록외",스프레드쇼크!$A$12:$A$16,0)),IFERROR(MATCH(AG261,스프레드쇼크!$B$11:$L$11,0),MATCH("목록외",스프레드쇼크!$B$11:$L$11,0))),1))</f>
        <v>1</v>
      </c>
      <c r="AY261" s="90" t="n">
        <f aca="false">IF(스프레드쇼크!$C$5="Y",IF(ISNUMBER(AF261),MIN(스프레드쇼크!$C$7,MAX(스프레드쇼크!$C$6,AF261/스프레드쇼크!$C$8)),1),1)</f>
        <v>0.680082824539557</v>
      </c>
      <c r="AZ261" s="94" t="n">
        <f aca="false">AN261*AX261*AY261</f>
        <v>1062.48050426306</v>
      </c>
      <c r="BA261" s="90" t="n">
        <f aca="false">IF(ISNUMBER(G261),AA261*G261,0)</f>
        <v>21.63076306776</v>
      </c>
      <c r="BB261" s="90" t="n">
        <f aca="false">IF(ISNUMBER(G261),AA261,0)</f>
        <v>3.9510408</v>
      </c>
      <c r="BC261" s="90" t="n">
        <f aca="false">IF(AND(Y261=0,ISNUMBER(AF261)),AA261*AF261,0)</f>
        <v>177.6506474904</v>
      </c>
      <c r="BD261" s="90" t="n">
        <f aca="false">IF(AND(Y261=0,ISNUMBER(AF261)),AA261,0)</f>
        <v>3.9510408</v>
      </c>
      <c r="BE261" s="90" t="n">
        <f aca="false">IF(ISNUMBER(H261),AA261*H261,0)</f>
        <v>15.62281042728</v>
      </c>
      <c r="BF261" s="90" t="n">
        <f aca="false">IF(ISNUMBER(H261),AA261,0)</f>
        <v>3.9510408</v>
      </c>
      <c r="BG261" s="90" t="n">
        <f aca="false">IF(AND(Y261=0,ISNUMBER(AF261),ISNUMBER(Z261)),AA261*Z261,0)</f>
        <v>15.62281042728</v>
      </c>
      <c r="BH261" s="90" t="n">
        <f aca="false">IF(AND(Y261=0,ISNUMBER(AF261),ISNUMBER(Z261)),AA261*AT261*MAX(Z261-1,0),0)</f>
        <v>121.70363216467</v>
      </c>
      <c r="BI261" s="90" t="n">
        <f aca="false">IF(Y261=0,AA261,0)</f>
        <v>3.9510408</v>
      </c>
    </row>
    <row r="262" customFormat="false" ht="15" hidden="false" customHeight="false" outlineLevel="0" collapsed="false">
      <c r="A262" s="83" t="str">
        <f aca="false">IFERROR(IF(INDEX(원자료_잔고!$A$1:$EZ$1500,설정!$L$5+ROW()-1,설정!$L$8)&amp;""="0","",INDEX(원자료_잔고!$A$1:$EZ$1500,설정!$L$5+ROW()-1,설정!$L$8)&amp;""),"")</f>
        <v>KOEWPW 4 05/04/31</v>
      </c>
      <c r="B262" s="83" t="str">
        <f aca="false">IFERROR(IF(INDEX(원자료_잔고!$A$1:$EZ$1500,설정!$L$5+ROW()-1,설정!$L$7)&amp;""="0","",INDEX(원자료_잔고!$A$1:$EZ$1500,설정!$L$5+ROW()-1,설정!$L$7)&amp;""),"")</f>
        <v>XS3219365635</v>
      </c>
      <c r="C262" s="83" t="str">
        <f aca="false">IFERROR(IF(INDEX(원자료_잔고!$A$1:$EZ$1500,설정!$L$5+ROW()-1,설정!$L$9)&amp;""="0","",INDEX(원자료_잔고!$A$1:$EZ$1500,설정!$L$5+ROW()-1,설정!$L$9)&amp;""),"")</f>
        <v>34578</v>
      </c>
      <c r="D26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2" s="84" t="n">
        <f aca="false">IFERROR(IF(ISNUMBER(INDEX(원자료_잔고!$A$1:$EZ$1500,설정!$L$5+ROW()-1,설정!$L$11)),INDEX(원자료_잔고!$A$1:$EZ$1500,설정!$L$5+ROW()-1,설정!$L$11),""),"")</f>
        <v>3800000</v>
      </c>
      <c r="F262" s="85" t="n">
        <f aca="false">IFERROR(IF(ISNUMBER(INDEX(원자료_잔고!$A$1:$EZ$1500,설정!$L$5+ROW()-1,설정!$L$12)),INDEX(원자료_잔고!$A$1:$EZ$1500,설정!$L$5+ROW()-1,설정!$L$12),""),"")</f>
        <v>94.0724</v>
      </c>
      <c r="G262" s="85" t="n">
        <f aca="false">IFERROR(IF(ISNUMBER(INDEX(원자료_잔고!$A$1:$EZ$1500,설정!$L$5+ROW()-1,설정!$L$13)),INDEX(원자료_잔고!$A$1:$EZ$1500,설정!$L$5+ROW()-1,설정!$L$13),""),"")</f>
        <v>5.4747</v>
      </c>
      <c r="H262" s="85" t="n">
        <f aca="false">IFERROR(IF(ISNUMBER(INDEX(원자료_잔고!$A$1:$EZ$1500,설정!$L$5+ROW()-1,설정!$L$14)),INDEX(원자료_잔고!$A$1:$EZ$1500,설정!$L$5+ROW()-1,설정!$L$14),""),"")</f>
        <v>3.9541</v>
      </c>
      <c r="I262" s="86" t="n">
        <f aca="false">IFERROR(IF(ISNUMBER(INDEX(원자료_잔고!$A$1:$EZ$1500,설정!$L$5+ROW()-1,설정!$L$15)),INDEX(원자료_잔고!$A$1:$EZ$1500,설정!$L$5+ROW()-1,설정!$L$15),""),"")</f>
        <v>47972</v>
      </c>
      <c r="J262" s="85" t="n">
        <f aca="false">IFERROR(IF(ISNUMBER(INDEX(원자료_잔고!$A$1:$EZ$1500,설정!$L$5+ROW()-1,설정!$L$16)),INDEX(원자료_잔고!$A$1:$EZ$1500,설정!$L$5+ROW()-1,설정!$L$16),""),"")</f>
        <v>4</v>
      </c>
      <c r="K262" s="87" t="n">
        <f aca="false">IFERROR(IF(ISNUMBER(INDEX(원자료_잔고!$A$1:$EZ$1500,설정!$L$5+ROW()-1,설정!$L$17)),INDEX(원자료_잔고!$A$1:$EZ$1500,설정!$L$5+ROW()-1,설정!$L$17),""),"")</f>
        <v>1</v>
      </c>
      <c r="L262" s="84" t="n">
        <f aca="false">IFERROR(IF(ISNUMBER(INDEX(원자료_잔고!$A$1:$EZ$1500,설정!$L$5+ROW()-1,설정!$L$18)),INDEX(원자료_잔고!$A$1:$EZ$1500,설정!$L$5+ROW()-1,설정!$L$18),""),"")</f>
        <v>3574751.2</v>
      </c>
      <c r="M262" s="88" t="n">
        <f aca="false">IFERROR(IF(ISNUMBER(INDEX(원자료_잔고!$A$1:$EZ$1500,설정!$L$5+ROW()-1,설정!$L$19)),INDEX(원자료_잔고!$A$1:$EZ$1500,설정!$L$5+ROW()-1,설정!$L$19),""),"")</f>
        <v>-175848.8</v>
      </c>
      <c r="N262" s="83" t="str">
        <f aca="false">IFERROR(IF(INDEX(원자료_잔고!$A$1:$EZ$1500,설정!$L$5+ROW()-1,설정!$L$21)&amp;""="0","",INDEX(원자료_잔고!$A$1:$EZ$1500,설정!$L$5+ROW()-1,설정!$L$21)&amp;""),"")</f>
        <v/>
      </c>
      <c r="O262" s="83" t="str">
        <f aca="false">IFERROR(IF(INDEX(원자료_잔고!$A$1:$EZ$1500,설정!$L$5+ROW()-1,설정!$L$22)&amp;""="0","",INDEX(원자료_잔고!$A$1:$EZ$1500,설정!$L$5+ROW()-1,설정!$L$22)&amp;""),"")</f>
        <v/>
      </c>
      <c r="P262" s="83" t="str">
        <f aca="false">IFERROR(IF(INDEX(원자료_잔고!$A$1:$EZ$1500,설정!$L$5+ROW()-1,설정!$L$23)&amp;""="0","",INDEX(원자료_잔고!$A$1:$EZ$1500,설정!$L$5+ROW()-1,설정!$L$23)&amp;""),"")</f>
        <v>AA-</v>
      </c>
      <c r="Q262" s="89" t="n">
        <f aca="false">IF(AND($A262&lt;&gt;"",ISNUMBER(E262)),IF(E262&gt;0,1,0),0)</f>
        <v>1</v>
      </c>
      <c r="R262" s="43" t="str">
        <f aca="false">IF(Q262=1,UPPER(LEFT($A262,FIND(" ",$A262&amp;" ")-1)),"")</f>
        <v>KOEWPW</v>
      </c>
      <c r="S262" s="89" t="n">
        <f aca="false">IF(Q262=1,IF(OR(ISNUMBER(SEARCH("Float",$A262)),ISNUMBER(SEARCH("FRN",$A262))),1,0),0)</f>
        <v>0</v>
      </c>
      <c r="T262" s="43" t="str">
        <f aca="false">IF(AND(Q262=1,ISNUMBER(I262)),TEXT(I262,"yyyymmdd")&amp;"|"&amp;IF(S262=1,"F",TEXT(J262,"0.000")),"")</f>
        <v>20310504|4.000</v>
      </c>
      <c r="U262" s="90" t="n">
        <f aca="false">IF(AND(Q262=1,ISNUMBER(I262)),(I262-설정!$C$4)/365.25,"")</f>
        <v>4.5886379192334</v>
      </c>
      <c r="V262" s="43" t="str">
        <f aca="false">IF(Q262&lt;&gt;1,"",IF(ISNUMBER(U262),IF(U262&lt;=1,"1년 이하",IF(U262&lt;=2,"1-2년",IF(U262&lt;=3,"2-3년",IF(U262&lt;=4,"3-4년",IF(U262&lt;=5,"4-5년",IF(U262&lt;=7,"5-7년",IF(U262&lt;=10,"7-10년",IF(U262&lt;=20,"10-20년","20년 이상")))))))),"미분류"))</f>
        <v>4-5년</v>
      </c>
      <c r="W262" s="43" t="str">
        <f aca="false">IF(Q262&lt;&gt;1,"",IF(AB262&lt;&gt;"",INDEX(시장분석!$C:$C,AB262),IF(K262=1,"USD","비USD")))</f>
        <v>USD</v>
      </c>
      <c r="X262" s="91" t="n">
        <f aca="false">IF(Q262=1,E262*K262/1000000,0)</f>
        <v>3.8</v>
      </c>
      <c r="Y262" s="89" t="n">
        <f aca="false">IF(R262="T",1,0)</f>
        <v>0</v>
      </c>
      <c r="Z262" s="92" t="n">
        <f aca="false">IF(Q262&lt;&gt;1,"",IF(AD262=1,IF(ISNUMBER(U262),MAX(U262,0),H262),H262))</f>
        <v>3.9541</v>
      </c>
      <c r="AA262" s="91" t="n">
        <f aca="false">IF(Q262=1,IF(ISNUMBER(L262),L262,0)*K262/1000000,0)</f>
        <v>3.5747512</v>
      </c>
      <c r="AB262" s="89" t="n">
        <f aca="false">IF(Q262&lt;&gt;1,"",IFERROR(MATCH(VLOOKUP(B262,매핑!$H$4:$I$15,2,0),시장분석!$A$2:$A$601,0)+1,IFERROR(MATCH(R262&amp;"|"&amp;T262,시장분석!$V$2:$V$601,0)+1,IF(COUNTIF(시장분석!$U$2:$U$601,T262)=1,MATCH(T262,시장분석!$U$2:$U$601,0)+1,""))))</f>
        <v>251</v>
      </c>
      <c r="AC262" s="89" t="n">
        <f aca="false">IF(Q262&lt;&gt;1,0,IF(OR(설정!$C$5="전체",AND(설정!$C$5="선택펀드",IFERROR(COUNTIFS(설정!$F$16:$F$36,C262,설정!$G$16:$G$36,"Y")+COUNTIFS(설정!$F$16:$F$36,VALUE(C262),설정!$G$16:$G$36,"Y"),0)&gt;0),C262&amp;""=설정!$C$5&amp;""),1,0))</f>
        <v>1</v>
      </c>
      <c r="AD262" s="89" t="n">
        <f aca="false">IF(Q262&lt;&gt;1,0,IF(OR(S262=1,IF(AB262="",FALSE(),INDEX(시장분석!$R:$R,AB262)=1)),1,0))</f>
        <v>0</v>
      </c>
      <c r="AE262" s="43" t="str">
        <f aca="false">IF(AB262="","",INDEX(시장분석!$A:$A,AB262))</f>
        <v>KOEWPW 4 05/04/31</v>
      </c>
      <c r="AF262" s="93" t="n">
        <f aca="false">IF(AB262="","",IF(ISNUMBER(IF(AB262="","",INDEX(시장분석!$E:$E,AB262))),IF(AB262="","",INDEX(시장분석!$E:$E,AB262)),""))</f>
        <v>44.963</v>
      </c>
      <c r="AG262" s="43" t="str">
        <f aca="false">IF(Q262&lt;&gt;1,"",IF(AB262&lt;&gt;"",IF(AB262="","",INDEX(시장분석!$L:$L,AB262)),IFERROR(IF(VLOOKUP(R262,매핑!$A$4:$E$92,5,0)="","미분류",VLOOKUP(R262,매핑!$A$4:$E$92,5,0)),"미분류")))</f>
        <v>유틸리티</v>
      </c>
      <c r="AH262" s="43" t="str">
        <f aca="false">IF(Q262&lt;&gt;1,"",IF(AB262&lt;&gt;"",IF(AB262="","",INDEX(시장분석!$N:$N,AB262)),IFERROR(IF(VLOOKUP(R262,매핑!$A$4:$E$92,4,0)="","미분류",VLOOKUP(R262,매핑!$A$4:$E$92,4,0)),"미분류")))</f>
        <v>아시아/기타</v>
      </c>
      <c r="AI262" s="43" t="str">
        <f aca="false">IF(Q262&lt;&gt;1,"",IFERROR(IF(VLOOKUP(R262,매핑!$A$4:$E$92,3,0)="","미분류",VLOOKUP(R262,매핑!$A$4:$E$92,3,0)),IF(AB262&lt;&gt;"",IF(AB262="","",INDEX(시장분석!$W:$W,AB262)),"미분류")))</f>
        <v>한국</v>
      </c>
      <c r="AJ262" s="43" t="str">
        <f aca="false">IF(Q262&lt;&gt;1,"",IFERROR(VLOOKUP(IF(N262&lt;&gt;"",N262,IF(P262&lt;&gt;"",P262,O262)),설정!$A$15:$D$47,2,0),""))</f>
        <v>AA-</v>
      </c>
      <c r="AK262" s="43" t="str">
        <f aca="false">IF(Q262&lt;&gt;1,"",IF(AJ262="","무등급",IFERROR(VLOOKUP(AJ262,설정!$A$15:$D$47,3,0),"무등급")))</f>
        <v>AA이상</v>
      </c>
      <c r="AL262" s="89" t="n">
        <f aca="false">IF(AJ262="",99,IFERROR(VLOOKUP(AJ262,설정!$A$15:$D$47,4,0),99))</f>
        <v>4</v>
      </c>
      <c r="AM262" s="94" t="n">
        <f aca="false">IF(ISNUMBER(H262),AA262*1000000*H262/10000,0)</f>
        <v>1413.492371992</v>
      </c>
      <c r="AN262" s="94" t="n">
        <f aca="false">IF(OR(Y262=1,NOT(ISNUMBER(Z262))),0,AA262*1000000*Z262/10000)</f>
        <v>1413.492371992</v>
      </c>
      <c r="AO262" s="94" t="n">
        <f aca="false">IF(ISNUMBER(G262),AA262*1000000*G262/100,0)</f>
        <v>195706.9039464</v>
      </c>
      <c r="AP262" s="94" t="n">
        <f aca="false">IF(ISNUMBER(M262),M262*K262,0)</f>
        <v>-175848.8</v>
      </c>
      <c r="AQ262" s="95" t="n">
        <f aca="false">IF(AB262="","",INDEX(시장분석!$AK:$AK,AB262))</f>
        <v>-0.552837385698105</v>
      </c>
      <c r="AR262" s="43" t="str">
        <f aca="false">IF(AB262="","-",IF(AB262="","",INDEX(시장분석!$AL:$AL,AB262)))</f>
        <v>Fair</v>
      </c>
      <c r="AS262" s="96" t="n">
        <f aca="false">IF(AB262="","",INDEX(시장분석!$AJ:$AJ,AB262))</f>
        <v>-2.96167741592573</v>
      </c>
      <c r="AT262" s="93" t="n">
        <f aca="false">IF(AB262="",0,IF(AB262="","",INDEX(시장분석!$AN:$AN,AB262)))</f>
        <v>10.4271790868984</v>
      </c>
      <c r="AU262" s="94" t="n">
        <f aca="false">IF(ISNUMBER(Z262),AT262/10000*MAX(Z262-1,0)*AA262*1000000,0)</f>
        <v>11011.2810053749</v>
      </c>
      <c r="AV262" s="94" t="n">
        <f aca="false">AO262+AU262</f>
        <v>206718.184951775</v>
      </c>
      <c r="AW262" s="43" t="str">
        <f aca="false">IF(Q262&lt;&gt;1,"",TRIM(IF(AD262=1,"FRN ","")&amp;IF(AND(AL262&gt;=10,AL262&lt;99),"BBB0미만 ","")&amp;IF(AJ262="","등급없음 ","")&amp;IF(K262&lt;&gt;1,"비USD ","")&amp;IF(AND(AB262="",Y262=0),"시장데이터없음 ","")&amp;IF(AND(ISNUMBER(U262),U262&lt;0),"만기경과 ","")))</f>
        <v/>
      </c>
      <c r="AX262" s="90" t="n">
        <f aca="false">IF(Q262&lt;&gt;1,1,IF(스프레드쇼크!$C$4="Y",INDEX(스프레드쇼크!$B$12:$L$16,IFERROR(MATCH(AH262,스프레드쇼크!$A$12:$A$16,0),MATCH("목록외",스프레드쇼크!$A$12:$A$16,0)),IFERROR(MATCH(AG262,스프레드쇼크!$B$11:$L$11,0),MATCH("목록외",스프레드쇼크!$B$11:$L$11,0))),1))</f>
        <v>1</v>
      </c>
      <c r="AY262" s="90" t="n">
        <f aca="false">IF(스프레드쇼크!$C$5="Y",IF(ISNUMBER(AF262),MIN(스프레드쇼크!$C$7,MAX(스프레드쇼크!$C$6,AF262/스프레드쇼크!$C$8)),1),1)</f>
        <v>0.680082824539557</v>
      </c>
      <c r="AZ262" s="94" t="n">
        <f aca="false">AN262*AX262*AY262</f>
        <v>961.291884809438</v>
      </c>
      <c r="BA262" s="90" t="n">
        <f aca="false">IF(ISNUMBER(G262),AA262*G262,0)</f>
        <v>19.57069039464</v>
      </c>
      <c r="BB262" s="90" t="n">
        <f aca="false">IF(ISNUMBER(G262),AA262,0)</f>
        <v>3.5747512</v>
      </c>
      <c r="BC262" s="90" t="n">
        <f aca="false">IF(AND(Y262=0,ISNUMBER(AF262)),AA262*AF262,0)</f>
        <v>160.7315382056</v>
      </c>
      <c r="BD262" s="90" t="n">
        <f aca="false">IF(AND(Y262=0,ISNUMBER(AF262)),AA262,0)</f>
        <v>3.5747512</v>
      </c>
      <c r="BE262" s="90" t="n">
        <f aca="false">IF(ISNUMBER(H262),AA262*H262,0)</f>
        <v>14.13492371992</v>
      </c>
      <c r="BF262" s="90" t="n">
        <f aca="false">IF(ISNUMBER(H262),AA262,0)</f>
        <v>3.5747512</v>
      </c>
      <c r="BG262" s="90" t="n">
        <f aca="false">IF(AND(Y262=0,ISNUMBER(AF262),ISNUMBER(Z262)),AA262*Z262,0)</f>
        <v>14.13492371992</v>
      </c>
      <c r="BH262" s="90" t="n">
        <f aca="false">IF(AND(Y262=0,ISNUMBER(AF262),ISNUMBER(Z262)),AA262*AT262*MAX(Z262-1,0),0)</f>
        <v>110.112810053749</v>
      </c>
      <c r="BI262" s="90" t="n">
        <f aca="false">IF(Y262=0,AA262,0)</f>
        <v>3.5747512</v>
      </c>
    </row>
    <row r="263" customFormat="false" ht="15" hidden="false" customHeight="false" outlineLevel="0" collapsed="false">
      <c r="A263" s="83" t="str">
        <f aca="false">IFERROR(IF(INDEX(원자료_잔고!$A$1:$EZ$1500,설정!$L$5+ROW()-1,설정!$L$8)&amp;""="0","",INDEX(원자료_잔고!$A$1:$EZ$1500,설정!$L$5+ROW()-1,설정!$L$8)&amp;""),"")</f>
        <v>KOEWPW 4 05/04/31</v>
      </c>
      <c r="B263" s="83" t="str">
        <f aca="false">IFERROR(IF(INDEX(원자료_잔고!$A$1:$EZ$1500,설정!$L$5+ROW()-1,설정!$L$7)&amp;""="0","",INDEX(원자료_잔고!$A$1:$EZ$1500,설정!$L$5+ROW()-1,설정!$L$7)&amp;""),"")</f>
        <v>XS3219365635</v>
      </c>
      <c r="C263" s="83" t="str">
        <f aca="false">IFERROR(IF(INDEX(원자료_잔고!$A$1:$EZ$1500,설정!$L$5+ROW()-1,설정!$L$9)&amp;""="0","",INDEX(원자료_잔고!$A$1:$EZ$1500,설정!$L$5+ROW()-1,설정!$L$9)&amp;""),"")</f>
        <v>34578</v>
      </c>
      <c r="D26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3" s="84" t="n">
        <f aca="false">IFERROR(IF(ISNUMBER(INDEX(원자료_잔고!$A$1:$EZ$1500,설정!$L$5+ROW()-1,설정!$L$11)),INDEX(원자료_잔고!$A$1:$EZ$1500,설정!$L$5+ROW()-1,설정!$L$11),""),"")</f>
        <v>5000000</v>
      </c>
      <c r="F263" s="85" t="n">
        <f aca="false">IFERROR(IF(ISNUMBER(INDEX(원자료_잔고!$A$1:$EZ$1500,설정!$L$5+ROW()-1,설정!$L$12)),INDEX(원자료_잔고!$A$1:$EZ$1500,설정!$L$5+ROW()-1,설정!$L$12),""),"")</f>
        <v>94.0724</v>
      </c>
      <c r="G263" s="85" t="n">
        <f aca="false">IFERROR(IF(ISNUMBER(INDEX(원자료_잔고!$A$1:$EZ$1500,설정!$L$5+ROW()-1,설정!$L$13)),INDEX(원자료_잔고!$A$1:$EZ$1500,설정!$L$5+ROW()-1,설정!$L$13),""),"")</f>
        <v>5.4747</v>
      </c>
      <c r="H263" s="85" t="n">
        <f aca="false">IFERROR(IF(ISNUMBER(INDEX(원자료_잔고!$A$1:$EZ$1500,설정!$L$5+ROW()-1,설정!$L$14)),INDEX(원자료_잔고!$A$1:$EZ$1500,설정!$L$5+ROW()-1,설정!$L$14),""),"")</f>
        <v>3.9541</v>
      </c>
      <c r="I263" s="86" t="n">
        <f aca="false">IFERROR(IF(ISNUMBER(INDEX(원자료_잔고!$A$1:$EZ$1500,설정!$L$5+ROW()-1,설정!$L$15)),INDEX(원자료_잔고!$A$1:$EZ$1500,설정!$L$5+ROW()-1,설정!$L$15),""),"")</f>
        <v>47972</v>
      </c>
      <c r="J263" s="85" t="n">
        <f aca="false">IFERROR(IF(ISNUMBER(INDEX(원자료_잔고!$A$1:$EZ$1500,설정!$L$5+ROW()-1,설정!$L$16)),INDEX(원자료_잔고!$A$1:$EZ$1500,설정!$L$5+ROW()-1,설정!$L$16),""),"")</f>
        <v>4</v>
      </c>
      <c r="K263" s="87" t="n">
        <f aca="false">IFERROR(IF(ISNUMBER(INDEX(원자료_잔고!$A$1:$EZ$1500,설정!$L$5+ROW()-1,설정!$L$17)),INDEX(원자료_잔고!$A$1:$EZ$1500,설정!$L$5+ROW()-1,설정!$L$17),""),"")</f>
        <v>1</v>
      </c>
      <c r="L263" s="84" t="n">
        <f aca="false">IFERROR(IF(ISNUMBER(INDEX(원자료_잔고!$A$1:$EZ$1500,설정!$L$5+ROW()-1,설정!$L$18)),INDEX(원자료_잔고!$A$1:$EZ$1500,설정!$L$5+ROW()-1,설정!$L$18),""),"")</f>
        <v>4703620</v>
      </c>
      <c r="M263" s="88" t="n">
        <f aca="false">IFERROR(IF(ISNUMBER(INDEX(원자료_잔고!$A$1:$EZ$1500,설정!$L$5+ROW()-1,설정!$L$19)),INDEX(원자료_잔고!$A$1:$EZ$1500,설정!$L$5+ROW()-1,설정!$L$19),""),"")</f>
        <v>-225380</v>
      </c>
      <c r="N263" s="83" t="str">
        <f aca="false">IFERROR(IF(INDEX(원자료_잔고!$A$1:$EZ$1500,설정!$L$5+ROW()-1,설정!$L$21)&amp;""="0","",INDEX(원자료_잔고!$A$1:$EZ$1500,설정!$L$5+ROW()-1,설정!$L$21)&amp;""),"")</f>
        <v/>
      </c>
      <c r="O263" s="83" t="str">
        <f aca="false">IFERROR(IF(INDEX(원자료_잔고!$A$1:$EZ$1500,설정!$L$5+ROW()-1,설정!$L$22)&amp;""="0","",INDEX(원자료_잔고!$A$1:$EZ$1500,설정!$L$5+ROW()-1,설정!$L$22)&amp;""),"")</f>
        <v/>
      </c>
      <c r="P263" s="83" t="str">
        <f aca="false">IFERROR(IF(INDEX(원자료_잔고!$A$1:$EZ$1500,설정!$L$5+ROW()-1,설정!$L$23)&amp;""="0","",INDEX(원자료_잔고!$A$1:$EZ$1500,설정!$L$5+ROW()-1,설정!$L$23)&amp;""),"")</f>
        <v>AA-</v>
      </c>
      <c r="Q263" s="89" t="n">
        <f aca="false">IF(AND($A263&lt;&gt;"",ISNUMBER(E263)),IF(E263&gt;0,1,0),0)</f>
        <v>1</v>
      </c>
      <c r="R263" s="43" t="str">
        <f aca="false">IF(Q263=1,UPPER(LEFT($A263,FIND(" ",$A263&amp;" ")-1)),"")</f>
        <v>KOEWPW</v>
      </c>
      <c r="S263" s="89" t="n">
        <f aca="false">IF(Q263=1,IF(OR(ISNUMBER(SEARCH("Float",$A263)),ISNUMBER(SEARCH("FRN",$A263))),1,0),0)</f>
        <v>0</v>
      </c>
      <c r="T263" s="43" t="str">
        <f aca="false">IF(AND(Q263=1,ISNUMBER(I263)),TEXT(I263,"yyyymmdd")&amp;"|"&amp;IF(S263=1,"F",TEXT(J263,"0.000")),"")</f>
        <v>20310504|4.000</v>
      </c>
      <c r="U263" s="90" t="n">
        <f aca="false">IF(AND(Q263=1,ISNUMBER(I263)),(I263-설정!$C$4)/365.25,"")</f>
        <v>4.5886379192334</v>
      </c>
      <c r="V263" s="43" t="str">
        <f aca="false">IF(Q263&lt;&gt;1,"",IF(ISNUMBER(U263),IF(U263&lt;=1,"1년 이하",IF(U263&lt;=2,"1-2년",IF(U263&lt;=3,"2-3년",IF(U263&lt;=4,"3-4년",IF(U263&lt;=5,"4-5년",IF(U263&lt;=7,"5-7년",IF(U263&lt;=10,"7-10년",IF(U263&lt;=20,"10-20년","20년 이상")))))))),"미분류"))</f>
        <v>4-5년</v>
      </c>
      <c r="W263" s="43" t="str">
        <f aca="false">IF(Q263&lt;&gt;1,"",IF(AB263&lt;&gt;"",INDEX(시장분석!$C:$C,AB263),IF(K263=1,"USD","비USD")))</f>
        <v>USD</v>
      </c>
      <c r="X263" s="91" t="n">
        <f aca="false">IF(Q263=1,E263*K263/1000000,0)</f>
        <v>5</v>
      </c>
      <c r="Y263" s="89" t="n">
        <f aca="false">IF(R263="T",1,0)</f>
        <v>0</v>
      </c>
      <c r="Z263" s="92" t="n">
        <f aca="false">IF(Q263&lt;&gt;1,"",IF(AD263=1,IF(ISNUMBER(U263),MAX(U263,0),H263),H263))</f>
        <v>3.9541</v>
      </c>
      <c r="AA263" s="91" t="n">
        <f aca="false">IF(Q263=1,IF(ISNUMBER(L263),L263,0)*K263/1000000,0)</f>
        <v>4.70362</v>
      </c>
      <c r="AB263" s="89" t="n">
        <f aca="false">IF(Q263&lt;&gt;1,"",IFERROR(MATCH(VLOOKUP(B263,매핑!$H$4:$I$15,2,0),시장분석!$A$2:$A$601,0)+1,IFERROR(MATCH(R263&amp;"|"&amp;T263,시장분석!$V$2:$V$601,0)+1,IF(COUNTIF(시장분석!$U$2:$U$601,T263)=1,MATCH(T263,시장분석!$U$2:$U$601,0)+1,""))))</f>
        <v>251</v>
      </c>
      <c r="AC263" s="89" t="n">
        <f aca="false">IF(Q263&lt;&gt;1,0,IF(OR(설정!$C$5="전체",AND(설정!$C$5="선택펀드",IFERROR(COUNTIFS(설정!$F$16:$F$36,C263,설정!$G$16:$G$36,"Y")+COUNTIFS(설정!$F$16:$F$36,VALUE(C263),설정!$G$16:$G$36,"Y"),0)&gt;0),C263&amp;""=설정!$C$5&amp;""),1,0))</f>
        <v>1</v>
      </c>
      <c r="AD263" s="89" t="n">
        <f aca="false">IF(Q263&lt;&gt;1,0,IF(OR(S263=1,IF(AB263="",FALSE(),INDEX(시장분석!$R:$R,AB263)=1)),1,0))</f>
        <v>0</v>
      </c>
      <c r="AE263" s="43" t="str">
        <f aca="false">IF(AB263="","",INDEX(시장분석!$A:$A,AB263))</f>
        <v>KOEWPW 4 05/04/31</v>
      </c>
      <c r="AF263" s="93" t="n">
        <f aca="false">IF(AB263="","",IF(ISNUMBER(IF(AB263="","",INDEX(시장분석!$E:$E,AB263))),IF(AB263="","",INDEX(시장분석!$E:$E,AB263)),""))</f>
        <v>44.963</v>
      </c>
      <c r="AG263" s="43" t="str">
        <f aca="false">IF(Q263&lt;&gt;1,"",IF(AB263&lt;&gt;"",IF(AB263="","",INDEX(시장분석!$L:$L,AB263)),IFERROR(IF(VLOOKUP(R263,매핑!$A$4:$E$92,5,0)="","미분류",VLOOKUP(R263,매핑!$A$4:$E$92,5,0)),"미분류")))</f>
        <v>유틸리티</v>
      </c>
      <c r="AH263" s="43" t="str">
        <f aca="false">IF(Q263&lt;&gt;1,"",IF(AB263&lt;&gt;"",IF(AB263="","",INDEX(시장분석!$N:$N,AB263)),IFERROR(IF(VLOOKUP(R263,매핑!$A$4:$E$92,4,0)="","미분류",VLOOKUP(R263,매핑!$A$4:$E$92,4,0)),"미분류")))</f>
        <v>아시아/기타</v>
      </c>
      <c r="AI263" s="43" t="str">
        <f aca="false">IF(Q263&lt;&gt;1,"",IFERROR(IF(VLOOKUP(R263,매핑!$A$4:$E$92,3,0)="","미분류",VLOOKUP(R263,매핑!$A$4:$E$92,3,0)),IF(AB263&lt;&gt;"",IF(AB263="","",INDEX(시장분석!$W:$W,AB263)),"미분류")))</f>
        <v>한국</v>
      </c>
      <c r="AJ263" s="43" t="str">
        <f aca="false">IF(Q263&lt;&gt;1,"",IFERROR(VLOOKUP(IF(N263&lt;&gt;"",N263,IF(P263&lt;&gt;"",P263,O263)),설정!$A$15:$D$47,2,0),""))</f>
        <v>AA-</v>
      </c>
      <c r="AK263" s="43" t="str">
        <f aca="false">IF(Q263&lt;&gt;1,"",IF(AJ263="","무등급",IFERROR(VLOOKUP(AJ263,설정!$A$15:$D$47,3,0),"무등급")))</f>
        <v>AA이상</v>
      </c>
      <c r="AL263" s="89" t="n">
        <f aca="false">IF(AJ263="",99,IFERROR(VLOOKUP(AJ263,설정!$A$15:$D$47,4,0),99))</f>
        <v>4</v>
      </c>
      <c r="AM263" s="94" t="n">
        <f aca="false">IF(ISNUMBER(H263),AA263*1000000*H263/10000,0)</f>
        <v>1859.8583842</v>
      </c>
      <c r="AN263" s="94" t="n">
        <f aca="false">IF(OR(Y263=1,NOT(ISNUMBER(Z263))),0,AA263*1000000*Z263/10000)</f>
        <v>1859.8583842</v>
      </c>
      <c r="AO263" s="94" t="n">
        <f aca="false">IF(ISNUMBER(G263),AA263*1000000*G263/100,0)</f>
        <v>257509.08414</v>
      </c>
      <c r="AP263" s="94" t="n">
        <f aca="false">IF(ISNUMBER(M263),M263*K263,0)</f>
        <v>-225380</v>
      </c>
      <c r="AQ263" s="95" t="n">
        <f aca="false">IF(AB263="","",INDEX(시장분석!$AK:$AK,AB263))</f>
        <v>-0.552837385698105</v>
      </c>
      <c r="AR263" s="43" t="str">
        <f aca="false">IF(AB263="","-",IF(AB263="","",INDEX(시장분석!$AL:$AL,AB263)))</f>
        <v>Fair</v>
      </c>
      <c r="AS263" s="96" t="n">
        <f aca="false">IF(AB263="","",INDEX(시장분석!$AJ:$AJ,AB263))</f>
        <v>-2.96167741592573</v>
      </c>
      <c r="AT263" s="93" t="n">
        <f aca="false">IF(AB263="",0,IF(AB263="","",INDEX(시장분석!$AN:$AN,AB263)))</f>
        <v>10.4271790868984</v>
      </c>
      <c r="AU263" s="94" t="n">
        <f aca="false">IF(ISNUMBER(Z263),AT263/10000*MAX(Z263-1,0)*AA263*1000000,0)</f>
        <v>14488.5276386512</v>
      </c>
      <c r="AV263" s="94" t="n">
        <f aca="false">AO263+AU263</f>
        <v>271997.611778651</v>
      </c>
      <c r="AW263" s="43" t="str">
        <f aca="false">IF(Q263&lt;&gt;1,"",TRIM(IF(AD263=1,"FRN ","")&amp;IF(AND(AL263&gt;=10,AL263&lt;99),"BBB0미만 ","")&amp;IF(AJ263="","등급없음 ","")&amp;IF(K263&lt;&gt;1,"비USD ","")&amp;IF(AND(AB263="",Y263=0),"시장데이터없음 ","")&amp;IF(AND(ISNUMBER(U263),U263&lt;0),"만기경과 ","")))</f>
        <v/>
      </c>
      <c r="AX263" s="90" t="n">
        <f aca="false">IF(Q263&lt;&gt;1,1,IF(스프레드쇼크!$C$4="Y",INDEX(스프레드쇼크!$B$12:$L$16,IFERROR(MATCH(AH263,스프레드쇼크!$A$12:$A$16,0),MATCH("목록외",스프레드쇼크!$A$12:$A$16,0)),IFERROR(MATCH(AG263,스프레드쇼크!$B$11:$L$11,0),MATCH("목록외",스프레드쇼크!$B$11:$L$11,0))),1))</f>
        <v>1</v>
      </c>
      <c r="AY263" s="90" t="n">
        <f aca="false">IF(스프레드쇼크!$C$5="Y",IF(ISNUMBER(AF263),MIN(스프레드쇼크!$C$7,MAX(스프레드쇼크!$C$6,AF263/스프레드쇼크!$C$8)),1),1)</f>
        <v>0.680082824539557</v>
      </c>
      <c r="AZ263" s="94" t="n">
        <f aca="false">AN263*AX263*AY263</f>
        <v>1264.85774317031</v>
      </c>
      <c r="BA263" s="90" t="n">
        <f aca="false">IF(ISNUMBER(G263),AA263*G263,0)</f>
        <v>25.750908414</v>
      </c>
      <c r="BB263" s="90" t="n">
        <f aca="false">IF(ISNUMBER(G263),AA263,0)</f>
        <v>4.70362</v>
      </c>
      <c r="BC263" s="90" t="n">
        <f aca="false">IF(AND(Y263=0,ISNUMBER(AF263)),AA263*AF263,0)</f>
        <v>211.48886606</v>
      </c>
      <c r="BD263" s="90" t="n">
        <f aca="false">IF(AND(Y263=0,ISNUMBER(AF263)),AA263,0)</f>
        <v>4.70362</v>
      </c>
      <c r="BE263" s="90" t="n">
        <f aca="false">IF(ISNUMBER(H263),AA263*H263,0)</f>
        <v>18.598583842</v>
      </c>
      <c r="BF263" s="90" t="n">
        <f aca="false">IF(ISNUMBER(H263),AA263,0)</f>
        <v>4.70362</v>
      </c>
      <c r="BG263" s="90" t="n">
        <f aca="false">IF(AND(Y263=0,ISNUMBER(AF263),ISNUMBER(Z263)),AA263*Z263,0)</f>
        <v>18.598583842</v>
      </c>
      <c r="BH263" s="90" t="n">
        <f aca="false">IF(AND(Y263=0,ISNUMBER(AF263),ISNUMBER(Z263)),AA263*AT263*MAX(Z263-1,0),0)</f>
        <v>144.885276386512</v>
      </c>
      <c r="BI263" s="90" t="n">
        <f aca="false">IF(Y263=0,AA263,0)</f>
        <v>4.70362</v>
      </c>
    </row>
    <row r="264" customFormat="false" ht="15" hidden="false" customHeight="false" outlineLevel="0" collapsed="false">
      <c r="A264" s="83" t="str">
        <f aca="false">IFERROR(IF(INDEX(원자료_잔고!$A$1:$EZ$1500,설정!$L$5+ROW()-1,설정!$L$8)&amp;""="0","",INDEX(원자료_잔고!$A$1:$EZ$1500,설정!$L$5+ROW()-1,설정!$L$8)&amp;""),"")</f>
        <v>KOEWPW 4 05/04/31</v>
      </c>
      <c r="B264" s="83" t="str">
        <f aca="false">IFERROR(IF(INDEX(원자료_잔고!$A$1:$EZ$1500,설정!$L$5+ROW()-1,설정!$L$7)&amp;""="0","",INDEX(원자료_잔고!$A$1:$EZ$1500,설정!$L$5+ROW()-1,설정!$L$7)&amp;""),"")</f>
        <v>XS3219365635</v>
      </c>
      <c r="C264" s="83" t="str">
        <f aca="false">IFERROR(IF(INDEX(원자료_잔고!$A$1:$EZ$1500,설정!$L$5+ROW()-1,설정!$L$9)&amp;""="0","",INDEX(원자료_잔고!$A$1:$EZ$1500,설정!$L$5+ROW()-1,설정!$L$9)&amp;""),"")</f>
        <v>34578</v>
      </c>
      <c r="D26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4" s="84" t="n">
        <f aca="false">IFERROR(IF(ISNUMBER(INDEX(원자료_잔고!$A$1:$EZ$1500,설정!$L$5+ROW()-1,설정!$L$11)),INDEX(원자료_잔고!$A$1:$EZ$1500,설정!$L$5+ROW()-1,설정!$L$11),""),"")</f>
        <v>2500000</v>
      </c>
      <c r="F264" s="85" t="n">
        <f aca="false">IFERROR(IF(ISNUMBER(INDEX(원자료_잔고!$A$1:$EZ$1500,설정!$L$5+ROW()-1,설정!$L$12)),INDEX(원자료_잔고!$A$1:$EZ$1500,설정!$L$5+ROW()-1,설정!$L$12),""),"")</f>
        <v>94.0724</v>
      </c>
      <c r="G264" s="85" t="n">
        <f aca="false">IFERROR(IF(ISNUMBER(INDEX(원자료_잔고!$A$1:$EZ$1500,설정!$L$5+ROW()-1,설정!$L$13)),INDEX(원자료_잔고!$A$1:$EZ$1500,설정!$L$5+ROW()-1,설정!$L$13),""),"")</f>
        <v>5.4747</v>
      </c>
      <c r="H264" s="85" t="n">
        <f aca="false">IFERROR(IF(ISNUMBER(INDEX(원자료_잔고!$A$1:$EZ$1500,설정!$L$5+ROW()-1,설정!$L$14)),INDEX(원자료_잔고!$A$1:$EZ$1500,설정!$L$5+ROW()-1,설정!$L$14),""),"")</f>
        <v>3.9541</v>
      </c>
      <c r="I264" s="86" t="n">
        <f aca="false">IFERROR(IF(ISNUMBER(INDEX(원자료_잔고!$A$1:$EZ$1500,설정!$L$5+ROW()-1,설정!$L$15)),INDEX(원자료_잔고!$A$1:$EZ$1500,설정!$L$5+ROW()-1,설정!$L$15),""),"")</f>
        <v>47972</v>
      </c>
      <c r="J264" s="85" t="n">
        <f aca="false">IFERROR(IF(ISNUMBER(INDEX(원자료_잔고!$A$1:$EZ$1500,설정!$L$5+ROW()-1,설정!$L$16)),INDEX(원자료_잔고!$A$1:$EZ$1500,설정!$L$5+ROW()-1,설정!$L$16),""),"")</f>
        <v>4</v>
      </c>
      <c r="K264" s="87" t="n">
        <f aca="false">IFERROR(IF(ISNUMBER(INDEX(원자료_잔고!$A$1:$EZ$1500,설정!$L$5+ROW()-1,설정!$L$17)),INDEX(원자료_잔고!$A$1:$EZ$1500,설정!$L$5+ROW()-1,설정!$L$17),""),"")</f>
        <v>1</v>
      </c>
      <c r="L264" s="84" t="n">
        <f aca="false">IFERROR(IF(ISNUMBER(INDEX(원자료_잔고!$A$1:$EZ$1500,설정!$L$5+ROW()-1,설정!$L$18)),INDEX(원자료_잔고!$A$1:$EZ$1500,설정!$L$5+ROW()-1,설정!$L$18),""),"")</f>
        <v>2351810</v>
      </c>
      <c r="M264" s="88" t="n">
        <f aca="false">IFERROR(IF(ISNUMBER(INDEX(원자료_잔고!$A$1:$EZ$1500,설정!$L$5+ROW()-1,설정!$L$19)),INDEX(원자료_잔고!$A$1:$EZ$1500,설정!$L$5+ROW()-1,설정!$L$19),""),"")</f>
        <v>-119715</v>
      </c>
      <c r="N264" s="83" t="str">
        <f aca="false">IFERROR(IF(INDEX(원자료_잔고!$A$1:$EZ$1500,설정!$L$5+ROW()-1,설정!$L$21)&amp;""="0","",INDEX(원자료_잔고!$A$1:$EZ$1500,설정!$L$5+ROW()-1,설정!$L$21)&amp;""),"")</f>
        <v/>
      </c>
      <c r="O264" s="83" t="str">
        <f aca="false">IFERROR(IF(INDEX(원자료_잔고!$A$1:$EZ$1500,설정!$L$5+ROW()-1,설정!$L$22)&amp;""="0","",INDEX(원자료_잔고!$A$1:$EZ$1500,설정!$L$5+ROW()-1,설정!$L$22)&amp;""),"")</f>
        <v/>
      </c>
      <c r="P264" s="83" t="str">
        <f aca="false">IFERROR(IF(INDEX(원자료_잔고!$A$1:$EZ$1500,설정!$L$5+ROW()-1,설정!$L$23)&amp;""="0","",INDEX(원자료_잔고!$A$1:$EZ$1500,설정!$L$5+ROW()-1,설정!$L$23)&amp;""),"")</f>
        <v>AA-</v>
      </c>
      <c r="Q264" s="89" t="n">
        <f aca="false">IF(AND($A264&lt;&gt;"",ISNUMBER(E264)),IF(E264&gt;0,1,0),0)</f>
        <v>1</v>
      </c>
      <c r="R264" s="43" t="str">
        <f aca="false">IF(Q264=1,UPPER(LEFT($A264,FIND(" ",$A264&amp;" ")-1)),"")</f>
        <v>KOEWPW</v>
      </c>
      <c r="S264" s="89" t="n">
        <f aca="false">IF(Q264=1,IF(OR(ISNUMBER(SEARCH("Float",$A264)),ISNUMBER(SEARCH("FRN",$A264))),1,0),0)</f>
        <v>0</v>
      </c>
      <c r="T264" s="43" t="str">
        <f aca="false">IF(AND(Q264=1,ISNUMBER(I264)),TEXT(I264,"yyyymmdd")&amp;"|"&amp;IF(S264=1,"F",TEXT(J264,"0.000")),"")</f>
        <v>20310504|4.000</v>
      </c>
      <c r="U264" s="90" t="n">
        <f aca="false">IF(AND(Q264=1,ISNUMBER(I264)),(I264-설정!$C$4)/365.25,"")</f>
        <v>4.5886379192334</v>
      </c>
      <c r="V264" s="43" t="str">
        <f aca="false">IF(Q264&lt;&gt;1,"",IF(ISNUMBER(U264),IF(U264&lt;=1,"1년 이하",IF(U264&lt;=2,"1-2년",IF(U264&lt;=3,"2-3년",IF(U264&lt;=4,"3-4년",IF(U264&lt;=5,"4-5년",IF(U264&lt;=7,"5-7년",IF(U264&lt;=10,"7-10년",IF(U264&lt;=20,"10-20년","20년 이상")))))))),"미분류"))</f>
        <v>4-5년</v>
      </c>
      <c r="W264" s="43" t="str">
        <f aca="false">IF(Q264&lt;&gt;1,"",IF(AB264&lt;&gt;"",INDEX(시장분석!$C:$C,AB264),IF(K264=1,"USD","비USD")))</f>
        <v>USD</v>
      </c>
      <c r="X264" s="91" t="n">
        <f aca="false">IF(Q264=1,E264*K264/1000000,0)</f>
        <v>2.5</v>
      </c>
      <c r="Y264" s="89" t="n">
        <f aca="false">IF(R264="T",1,0)</f>
        <v>0</v>
      </c>
      <c r="Z264" s="92" t="n">
        <f aca="false">IF(Q264&lt;&gt;1,"",IF(AD264=1,IF(ISNUMBER(U264),MAX(U264,0),H264),H264))</f>
        <v>3.9541</v>
      </c>
      <c r="AA264" s="91" t="n">
        <f aca="false">IF(Q264=1,IF(ISNUMBER(L264),L264,0)*K264/1000000,0)</f>
        <v>2.35181</v>
      </c>
      <c r="AB264" s="89" t="n">
        <f aca="false">IF(Q264&lt;&gt;1,"",IFERROR(MATCH(VLOOKUP(B264,매핑!$H$4:$I$15,2,0),시장분석!$A$2:$A$601,0)+1,IFERROR(MATCH(R264&amp;"|"&amp;T264,시장분석!$V$2:$V$601,0)+1,IF(COUNTIF(시장분석!$U$2:$U$601,T264)=1,MATCH(T264,시장분석!$U$2:$U$601,0)+1,""))))</f>
        <v>251</v>
      </c>
      <c r="AC264" s="89" t="n">
        <f aca="false">IF(Q264&lt;&gt;1,0,IF(OR(설정!$C$5="전체",AND(설정!$C$5="선택펀드",IFERROR(COUNTIFS(설정!$F$16:$F$36,C264,설정!$G$16:$G$36,"Y")+COUNTIFS(설정!$F$16:$F$36,VALUE(C264),설정!$G$16:$G$36,"Y"),0)&gt;0),C264&amp;""=설정!$C$5&amp;""),1,0))</f>
        <v>1</v>
      </c>
      <c r="AD264" s="89" t="n">
        <f aca="false">IF(Q264&lt;&gt;1,0,IF(OR(S264=1,IF(AB264="",FALSE(),INDEX(시장분석!$R:$R,AB264)=1)),1,0))</f>
        <v>0</v>
      </c>
      <c r="AE264" s="43" t="str">
        <f aca="false">IF(AB264="","",INDEX(시장분석!$A:$A,AB264))</f>
        <v>KOEWPW 4 05/04/31</v>
      </c>
      <c r="AF264" s="93" t="n">
        <f aca="false">IF(AB264="","",IF(ISNUMBER(IF(AB264="","",INDEX(시장분석!$E:$E,AB264))),IF(AB264="","",INDEX(시장분석!$E:$E,AB264)),""))</f>
        <v>44.963</v>
      </c>
      <c r="AG264" s="43" t="str">
        <f aca="false">IF(Q264&lt;&gt;1,"",IF(AB264&lt;&gt;"",IF(AB264="","",INDEX(시장분석!$L:$L,AB264)),IFERROR(IF(VLOOKUP(R264,매핑!$A$4:$E$92,5,0)="","미분류",VLOOKUP(R264,매핑!$A$4:$E$92,5,0)),"미분류")))</f>
        <v>유틸리티</v>
      </c>
      <c r="AH264" s="43" t="str">
        <f aca="false">IF(Q264&lt;&gt;1,"",IF(AB264&lt;&gt;"",IF(AB264="","",INDEX(시장분석!$N:$N,AB264)),IFERROR(IF(VLOOKUP(R264,매핑!$A$4:$E$92,4,0)="","미분류",VLOOKUP(R264,매핑!$A$4:$E$92,4,0)),"미분류")))</f>
        <v>아시아/기타</v>
      </c>
      <c r="AI264" s="43" t="str">
        <f aca="false">IF(Q264&lt;&gt;1,"",IFERROR(IF(VLOOKUP(R264,매핑!$A$4:$E$92,3,0)="","미분류",VLOOKUP(R264,매핑!$A$4:$E$92,3,0)),IF(AB264&lt;&gt;"",IF(AB264="","",INDEX(시장분석!$W:$W,AB264)),"미분류")))</f>
        <v>한국</v>
      </c>
      <c r="AJ264" s="43" t="str">
        <f aca="false">IF(Q264&lt;&gt;1,"",IFERROR(VLOOKUP(IF(N264&lt;&gt;"",N264,IF(P264&lt;&gt;"",P264,O264)),설정!$A$15:$D$47,2,0),""))</f>
        <v>AA-</v>
      </c>
      <c r="AK264" s="43" t="str">
        <f aca="false">IF(Q264&lt;&gt;1,"",IF(AJ264="","무등급",IFERROR(VLOOKUP(AJ264,설정!$A$15:$D$47,3,0),"무등급")))</f>
        <v>AA이상</v>
      </c>
      <c r="AL264" s="89" t="n">
        <f aca="false">IF(AJ264="",99,IFERROR(VLOOKUP(AJ264,설정!$A$15:$D$47,4,0),99))</f>
        <v>4</v>
      </c>
      <c r="AM264" s="94" t="n">
        <f aca="false">IF(ISNUMBER(H264),AA264*1000000*H264/10000,0)</f>
        <v>929.9291921</v>
      </c>
      <c r="AN264" s="94" t="n">
        <f aca="false">IF(OR(Y264=1,NOT(ISNUMBER(Z264))),0,AA264*1000000*Z264/10000)</f>
        <v>929.9291921</v>
      </c>
      <c r="AO264" s="94" t="n">
        <f aca="false">IF(ISNUMBER(G264),AA264*1000000*G264/100,0)</f>
        <v>128754.54207</v>
      </c>
      <c r="AP264" s="94" t="n">
        <f aca="false">IF(ISNUMBER(M264),M264*K264,0)</f>
        <v>-119715</v>
      </c>
      <c r="AQ264" s="95" t="n">
        <f aca="false">IF(AB264="","",INDEX(시장분석!$AK:$AK,AB264))</f>
        <v>-0.552837385698105</v>
      </c>
      <c r="AR264" s="43" t="str">
        <f aca="false">IF(AB264="","-",IF(AB264="","",INDEX(시장분석!$AL:$AL,AB264)))</f>
        <v>Fair</v>
      </c>
      <c r="AS264" s="96" t="n">
        <f aca="false">IF(AB264="","",INDEX(시장분석!$AJ:$AJ,AB264))</f>
        <v>-2.96167741592573</v>
      </c>
      <c r="AT264" s="93" t="n">
        <f aca="false">IF(AB264="",0,IF(AB264="","",INDEX(시장분석!$AN:$AN,AB264)))</f>
        <v>10.4271790868984</v>
      </c>
      <c r="AU264" s="94" t="n">
        <f aca="false">IF(ISNUMBER(Z264),AT264/10000*MAX(Z264-1,0)*AA264*1000000,0)</f>
        <v>7244.26381932558</v>
      </c>
      <c r="AV264" s="94" t="n">
        <f aca="false">AO264+AU264</f>
        <v>135998.805889326</v>
      </c>
      <c r="AW264" s="43" t="str">
        <f aca="false">IF(Q264&lt;&gt;1,"",TRIM(IF(AD264=1,"FRN ","")&amp;IF(AND(AL264&gt;=10,AL264&lt;99),"BBB0미만 ","")&amp;IF(AJ264="","등급없음 ","")&amp;IF(K264&lt;&gt;1,"비USD ","")&amp;IF(AND(AB264="",Y264=0),"시장데이터없음 ","")&amp;IF(AND(ISNUMBER(U264),U264&lt;0),"만기경과 ","")))</f>
        <v/>
      </c>
      <c r="AX264" s="90" t="n">
        <f aca="false">IF(Q264&lt;&gt;1,1,IF(스프레드쇼크!$C$4="Y",INDEX(스프레드쇼크!$B$12:$L$16,IFERROR(MATCH(AH264,스프레드쇼크!$A$12:$A$16,0),MATCH("목록외",스프레드쇼크!$A$12:$A$16,0)),IFERROR(MATCH(AG264,스프레드쇼크!$B$11:$L$11,0),MATCH("목록외",스프레드쇼크!$B$11:$L$11,0))),1))</f>
        <v>1</v>
      </c>
      <c r="AY264" s="90" t="n">
        <f aca="false">IF(스프레드쇼크!$C$5="Y",IF(ISNUMBER(AF264),MIN(스프레드쇼크!$C$7,MAX(스프레드쇼크!$C$6,AF264/스프레드쇼크!$C$8)),1),1)</f>
        <v>0.680082824539557</v>
      </c>
      <c r="AZ264" s="94" t="n">
        <f aca="false">AN264*AX264*AY264</f>
        <v>632.428871585157</v>
      </c>
      <c r="BA264" s="90" t="n">
        <f aca="false">IF(ISNUMBER(G264),AA264*G264,0)</f>
        <v>12.875454207</v>
      </c>
      <c r="BB264" s="90" t="n">
        <f aca="false">IF(ISNUMBER(G264),AA264,0)</f>
        <v>2.35181</v>
      </c>
      <c r="BC264" s="90" t="n">
        <f aca="false">IF(AND(Y264=0,ISNUMBER(AF264)),AA264*AF264,0)</f>
        <v>105.74443303</v>
      </c>
      <c r="BD264" s="90" t="n">
        <f aca="false">IF(AND(Y264=0,ISNUMBER(AF264)),AA264,0)</f>
        <v>2.35181</v>
      </c>
      <c r="BE264" s="90" t="n">
        <f aca="false">IF(ISNUMBER(H264),AA264*H264,0)</f>
        <v>9.299291921</v>
      </c>
      <c r="BF264" s="90" t="n">
        <f aca="false">IF(ISNUMBER(H264),AA264,0)</f>
        <v>2.35181</v>
      </c>
      <c r="BG264" s="90" t="n">
        <f aca="false">IF(AND(Y264=0,ISNUMBER(AF264),ISNUMBER(Z264)),AA264*Z264,0)</f>
        <v>9.299291921</v>
      </c>
      <c r="BH264" s="90" t="n">
        <f aca="false">IF(AND(Y264=0,ISNUMBER(AF264),ISNUMBER(Z264)),AA264*AT264*MAX(Z264-1,0),0)</f>
        <v>72.4426381932558</v>
      </c>
      <c r="BI264" s="90" t="n">
        <f aca="false">IF(Y264=0,AA264,0)</f>
        <v>2.35181</v>
      </c>
    </row>
    <row r="265" customFormat="false" ht="15" hidden="false" customHeight="false" outlineLevel="0" collapsed="false">
      <c r="A265" s="83" t="str">
        <f aca="false">IFERROR(IF(INDEX(원자료_잔고!$A$1:$EZ$1500,설정!$L$5+ROW()-1,설정!$L$8)&amp;""="0","",INDEX(원자료_잔고!$A$1:$EZ$1500,설정!$L$5+ROW()-1,설정!$L$8)&amp;""),"")</f>
        <v>KOEWPW 4 05/04/31</v>
      </c>
      <c r="B265" s="83" t="str">
        <f aca="false">IFERROR(IF(INDEX(원자료_잔고!$A$1:$EZ$1500,설정!$L$5+ROW()-1,설정!$L$7)&amp;""="0","",INDEX(원자료_잔고!$A$1:$EZ$1500,설정!$L$5+ROW()-1,설정!$L$7)&amp;""),"")</f>
        <v>XS3219365635</v>
      </c>
      <c r="C265" s="83" t="str">
        <f aca="false">IFERROR(IF(INDEX(원자료_잔고!$A$1:$EZ$1500,설정!$L$5+ROW()-1,설정!$L$9)&amp;""="0","",INDEX(원자료_잔고!$A$1:$EZ$1500,설정!$L$5+ROW()-1,설정!$L$9)&amp;""),"")</f>
        <v>34578</v>
      </c>
      <c r="D26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5" s="84" t="n">
        <f aca="false">IFERROR(IF(ISNUMBER(INDEX(원자료_잔고!$A$1:$EZ$1500,설정!$L$5+ROW()-1,설정!$L$11)),INDEX(원자료_잔고!$A$1:$EZ$1500,설정!$L$5+ROW()-1,설정!$L$11),""),"")</f>
        <v>1000000</v>
      </c>
      <c r="F265" s="85" t="n">
        <f aca="false">IFERROR(IF(ISNUMBER(INDEX(원자료_잔고!$A$1:$EZ$1500,설정!$L$5+ROW()-1,설정!$L$12)),INDEX(원자료_잔고!$A$1:$EZ$1500,설정!$L$5+ROW()-1,설정!$L$12),""),"")</f>
        <v>94.0724</v>
      </c>
      <c r="G265" s="85" t="n">
        <f aca="false">IFERROR(IF(ISNUMBER(INDEX(원자료_잔고!$A$1:$EZ$1500,설정!$L$5+ROW()-1,설정!$L$13)),INDEX(원자료_잔고!$A$1:$EZ$1500,설정!$L$5+ROW()-1,설정!$L$13),""),"")</f>
        <v>5.4747</v>
      </c>
      <c r="H265" s="85" t="n">
        <f aca="false">IFERROR(IF(ISNUMBER(INDEX(원자료_잔고!$A$1:$EZ$1500,설정!$L$5+ROW()-1,설정!$L$14)),INDEX(원자료_잔고!$A$1:$EZ$1500,설정!$L$5+ROW()-1,설정!$L$14),""),"")</f>
        <v>3.9541</v>
      </c>
      <c r="I265" s="86" t="n">
        <f aca="false">IFERROR(IF(ISNUMBER(INDEX(원자료_잔고!$A$1:$EZ$1500,설정!$L$5+ROW()-1,설정!$L$15)),INDEX(원자료_잔고!$A$1:$EZ$1500,설정!$L$5+ROW()-1,설정!$L$15),""),"")</f>
        <v>47972</v>
      </c>
      <c r="J265" s="85" t="n">
        <f aca="false">IFERROR(IF(ISNUMBER(INDEX(원자료_잔고!$A$1:$EZ$1500,설정!$L$5+ROW()-1,설정!$L$16)),INDEX(원자료_잔고!$A$1:$EZ$1500,설정!$L$5+ROW()-1,설정!$L$16),""),"")</f>
        <v>4</v>
      </c>
      <c r="K265" s="87" t="n">
        <f aca="false">IFERROR(IF(ISNUMBER(INDEX(원자료_잔고!$A$1:$EZ$1500,설정!$L$5+ROW()-1,설정!$L$17)),INDEX(원자료_잔고!$A$1:$EZ$1500,설정!$L$5+ROW()-1,설정!$L$17),""),"")</f>
        <v>1</v>
      </c>
      <c r="L265" s="84" t="n">
        <f aca="false">IFERROR(IF(ISNUMBER(INDEX(원자료_잔고!$A$1:$EZ$1500,설정!$L$5+ROW()-1,설정!$L$18)),INDEX(원자료_잔고!$A$1:$EZ$1500,설정!$L$5+ROW()-1,설정!$L$18),""),"")</f>
        <v>940724</v>
      </c>
      <c r="M265" s="88" t="n">
        <f aca="false">IFERROR(IF(ISNUMBER(INDEX(원자료_잔고!$A$1:$EZ$1500,설정!$L$5+ROW()-1,설정!$L$19)),INDEX(원자료_잔고!$A$1:$EZ$1500,설정!$L$5+ROW()-1,설정!$L$19),""),"")</f>
        <v>-47586</v>
      </c>
      <c r="N265" s="83" t="str">
        <f aca="false">IFERROR(IF(INDEX(원자료_잔고!$A$1:$EZ$1500,설정!$L$5+ROW()-1,설정!$L$21)&amp;""="0","",INDEX(원자료_잔고!$A$1:$EZ$1500,설정!$L$5+ROW()-1,설정!$L$21)&amp;""),"")</f>
        <v/>
      </c>
      <c r="O265" s="83" t="str">
        <f aca="false">IFERROR(IF(INDEX(원자료_잔고!$A$1:$EZ$1500,설정!$L$5+ROW()-1,설정!$L$22)&amp;""="0","",INDEX(원자료_잔고!$A$1:$EZ$1500,설정!$L$5+ROW()-1,설정!$L$22)&amp;""),"")</f>
        <v/>
      </c>
      <c r="P265" s="83" t="str">
        <f aca="false">IFERROR(IF(INDEX(원자료_잔고!$A$1:$EZ$1500,설정!$L$5+ROW()-1,설정!$L$23)&amp;""="0","",INDEX(원자료_잔고!$A$1:$EZ$1500,설정!$L$5+ROW()-1,설정!$L$23)&amp;""),"")</f>
        <v>AA-</v>
      </c>
      <c r="Q265" s="89" t="n">
        <f aca="false">IF(AND($A265&lt;&gt;"",ISNUMBER(E265)),IF(E265&gt;0,1,0),0)</f>
        <v>1</v>
      </c>
      <c r="R265" s="43" t="str">
        <f aca="false">IF(Q265=1,UPPER(LEFT($A265,FIND(" ",$A265&amp;" ")-1)),"")</f>
        <v>KOEWPW</v>
      </c>
      <c r="S265" s="89" t="n">
        <f aca="false">IF(Q265=1,IF(OR(ISNUMBER(SEARCH("Float",$A265)),ISNUMBER(SEARCH("FRN",$A265))),1,0),0)</f>
        <v>0</v>
      </c>
      <c r="T265" s="43" t="str">
        <f aca="false">IF(AND(Q265=1,ISNUMBER(I265)),TEXT(I265,"yyyymmdd")&amp;"|"&amp;IF(S265=1,"F",TEXT(J265,"0.000")),"")</f>
        <v>20310504|4.000</v>
      </c>
      <c r="U265" s="90" t="n">
        <f aca="false">IF(AND(Q265=1,ISNUMBER(I265)),(I265-설정!$C$4)/365.25,"")</f>
        <v>4.5886379192334</v>
      </c>
      <c r="V265" s="43" t="str">
        <f aca="false">IF(Q265&lt;&gt;1,"",IF(ISNUMBER(U265),IF(U265&lt;=1,"1년 이하",IF(U265&lt;=2,"1-2년",IF(U265&lt;=3,"2-3년",IF(U265&lt;=4,"3-4년",IF(U265&lt;=5,"4-5년",IF(U265&lt;=7,"5-7년",IF(U265&lt;=10,"7-10년",IF(U265&lt;=20,"10-20년","20년 이상")))))))),"미분류"))</f>
        <v>4-5년</v>
      </c>
      <c r="W265" s="43" t="str">
        <f aca="false">IF(Q265&lt;&gt;1,"",IF(AB265&lt;&gt;"",INDEX(시장분석!$C:$C,AB265),IF(K265=1,"USD","비USD")))</f>
        <v>USD</v>
      </c>
      <c r="X265" s="91" t="n">
        <f aca="false">IF(Q265=1,E265*K265/1000000,0)</f>
        <v>1</v>
      </c>
      <c r="Y265" s="89" t="n">
        <f aca="false">IF(R265="T",1,0)</f>
        <v>0</v>
      </c>
      <c r="Z265" s="92" t="n">
        <f aca="false">IF(Q265&lt;&gt;1,"",IF(AD265=1,IF(ISNUMBER(U265),MAX(U265,0),H265),H265))</f>
        <v>3.9541</v>
      </c>
      <c r="AA265" s="91" t="n">
        <f aca="false">IF(Q265=1,IF(ISNUMBER(L265),L265,0)*K265/1000000,0)</f>
        <v>0.940724</v>
      </c>
      <c r="AB265" s="89" t="n">
        <f aca="false">IF(Q265&lt;&gt;1,"",IFERROR(MATCH(VLOOKUP(B265,매핑!$H$4:$I$15,2,0),시장분석!$A$2:$A$601,0)+1,IFERROR(MATCH(R265&amp;"|"&amp;T265,시장분석!$V$2:$V$601,0)+1,IF(COUNTIF(시장분석!$U$2:$U$601,T265)=1,MATCH(T265,시장분석!$U$2:$U$601,0)+1,""))))</f>
        <v>251</v>
      </c>
      <c r="AC265" s="89" t="n">
        <f aca="false">IF(Q265&lt;&gt;1,0,IF(OR(설정!$C$5="전체",AND(설정!$C$5="선택펀드",IFERROR(COUNTIFS(설정!$F$16:$F$36,C265,설정!$G$16:$G$36,"Y")+COUNTIFS(설정!$F$16:$F$36,VALUE(C265),설정!$G$16:$G$36,"Y"),0)&gt;0),C265&amp;""=설정!$C$5&amp;""),1,0))</f>
        <v>1</v>
      </c>
      <c r="AD265" s="89" t="n">
        <f aca="false">IF(Q265&lt;&gt;1,0,IF(OR(S265=1,IF(AB265="",FALSE(),INDEX(시장분석!$R:$R,AB265)=1)),1,0))</f>
        <v>0</v>
      </c>
      <c r="AE265" s="43" t="str">
        <f aca="false">IF(AB265="","",INDEX(시장분석!$A:$A,AB265))</f>
        <v>KOEWPW 4 05/04/31</v>
      </c>
      <c r="AF265" s="93" t="n">
        <f aca="false">IF(AB265="","",IF(ISNUMBER(IF(AB265="","",INDEX(시장분석!$E:$E,AB265))),IF(AB265="","",INDEX(시장분석!$E:$E,AB265)),""))</f>
        <v>44.963</v>
      </c>
      <c r="AG265" s="43" t="str">
        <f aca="false">IF(Q265&lt;&gt;1,"",IF(AB265&lt;&gt;"",IF(AB265="","",INDEX(시장분석!$L:$L,AB265)),IFERROR(IF(VLOOKUP(R265,매핑!$A$4:$E$92,5,0)="","미분류",VLOOKUP(R265,매핑!$A$4:$E$92,5,0)),"미분류")))</f>
        <v>유틸리티</v>
      </c>
      <c r="AH265" s="43" t="str">
        <f aca="false">IF(Q265&lt;&gt;1,"",IF(AB265&lt;&gt;"",IF(AB265="","",INDEX(시장분석!$N:$N,AB265)),IFERROR(IF(VLOOKUP(R265,매핑!$A$4:$E$92,4,0)="","미분류",VLOOKUP(R265,매핑!$A$4:$E$92,4,0)),"미분류")))</f>
        <v>아시아/기타</v>
      </c>
      <c r="AI265" s="43" t="str">
        <f aca="false">IF(Q265&lt;&gt;1,"",IFERROR(IF(VLOOKUP(R265,매핑!$A$4:$E$92,3,0)="","미분류",VLOOKUP(R265,매핑!$A$4:$E$92,3,0)),IF(AB265&lt;&gt;"",IF(AB265="","",INDEX(시장분석!$W:$W,AB265)),"미분류")))</f>
        <v>한국</v>
      </c>
      <c r="AJ265" s="43" t="str">
        <f aca="false">IF(Q265&lt;&gt;1,"",IFERROR(VLOOKUP(IF(N265&lt;&gt;"",N265,IF(P265&lt;&gt;"",P265,O265)),설정!$A$15:$D$47,2,0),""))</f>
        <v>AA-</v>
      </c>
      <c r="AK265" s="43" t="str">
        <f aca="false">IF(Q265&lt;&gt;1,"",IF(AJ265="","무등급",IFERROR(VLOOKUP(AJ265,설정!$A$15:$D$47,3,0),"무등급")))</f>
        <v>AA이상</v>
      </c>
      <c r="AL265" s="89" t="n">
        <f aca="false">IF(AJ265="",99,IFERROR(VLOOKUP(AJ265,설정!$A$15:$D$47,4,0),99))</f>
        <v>4</v>
      </c>
      <c r="AM265" s="94" t="n">
        <f aca="false">IF(ISNUMBER(H265),AA265*1000000*H265/10000,0)</f>
        <v>371.97167684</v>
      </c>
      <c r="AN265" s="94" t="n">
        <f aca="false">IF(OR(Y265=1,NOT(ISNUMBER(Z265))),0,AA265*1000000*Z265/10000)</f>
        <v>371.97167684</v>
      </c>
      <c r="AO265" s="94" t="n">
        <f aca="false">IF(ISNUMBER(G265),AA265*1000000*G265/100,0)</f>
        <v>51501.816828</v>
      </c>
      <c r="AP265" s="94" t="n">
        <f aca="false">IF(ISNUMBER(M265),M265*K265,0)</f>
        <v>-47586</v>
      </c>
      <c r="AQ265" s="95" t="n">
        <f aca="false">IF(AB265="","",INDEX(시장분석!$AK:$AK,AB265))</f>
        <v>-0.552837385698105</v>
      </c>
      <c r="AR265" s="43" t="str">
        <f aca="false">IF(AB265="","-",IF(AB265="","",INDEX(시장분석!$AL:$AL,AB265)))</f>
        <v>Fair</v>
      </c>
      <c r="AS265" s="96" t="n">
        <f aca="false">IF(AB265="","",INDEX(시장분석!$AJ:$AJ,AB265))</f>
        <v>-2.96167741592573</v>
      </c>
      <c r="AT265" s="93" t="n">
        <f aca="false">IF(AB265="",0,IF(AB265="","",INDEX(시장분석!$AN:$AN,AB265)))</f>
        <v>10.4271790868984</v>
      </c>
      <c r="AU265" s="94" t="n">
        <f aca="false">IF(ISNUMBER(Z265),AT265/10000*MAX(Z265-1,0)*AA265*1000000,0)</f>
        <v>2897.70552773023</v>
      </c>
      <c r="AV265" s="94" t="n">
        <f aca="false">AO265+AU265</f>
        <v>54399.5223557302</v>
      </c>
      <c r="AW265" s="43" t="str">
        <f aca="false">IF(Q265&lt;&gt;1,"",TRIM(IF(AD265=1,"FRN ","")&amp;IF(AND(AL265&gt;=10,AL265&lt;99),"BBB0미만 ","")&amp;IF(AJ265="","등급없음 ","")&amp;IF(K265&lt;&gt;1,"비USD ","")&amp;IF(AND(AB265="",Y265=0),"시장데이터없음 ","")&amp;IF(AND(ISNUMBER(U265),U265&lt;0),"만기경과 ","")))</f>
        <v/>
      </c>
      <c r="AX265" s="90" t="n">
        <f aca="false">IF(Q265&lt;&gt;1,1,IF(스프레드쇼크!$C$4="Y",INDEX(스프레드쇼크!$B$12:$L$16,IFERROR(MATCH(AH265,스프레드쇼크!$A$12:$A$16,0),MATCH("목록외",스프레드쇼크!$A$12:$A$16,0)),IFERROR(MATCH(AG265,스프레드쇼크!$B$11:$L$11,0),MATCH("목록외",스프레드쇼크!$B$11:$L$11,0))),1))</f>
        <v>1</v>
      </c>
      <c r="AY265" s="90" t="n">
        <f aca="false">IF(스프레드쇼크!$C$5="Y",IF(ISNUMBER(AF265),MIN(스프레드쇼크!$C$7,MAX(스프레드쇼크!$C$6,AF265/스프레드쇼크!$C$8)),1),1)</f>
        <v>0.680082824539557</v>
      </c>
      <c r="AZ265" s="94" t="n">
        <f aca="false">AN265*AX265*AY265</f>
        <v>252.971548634063</v>
      </c>
      <c r="BA265" s="90" t="n">
        <f aca="false">IF(ISNUMBER(G265),AA265*G265,0)</f>
        <v>5.1501816828</v>
      </c>
      <c r="BB265" s="90" t="n">
        <f aca="false">IF(ISNUMBER(G265),AA265,0)</f>
        <v>0.940724</v>
      </c>
      <c r="BC265" s="90" t="n">
        <f aca="false">IF(AND(Y265=0,ISNUMBER(AF265)),AA265*AF265,0)</f>
        <v>42.297773212</v>
      </c>
      <c r="BD265" s="90" t="n">
        <f aca="false">IF(AND(Y265=0,ISNUMBER(AF265)),AA265,0)</f>
        <v>0.940724</v>
      </c>
      <c r="BE265" s="90" t="n">
        <f aca="false">IF(ISNUMBER(H265),AA265*H265,0)</f>
        <v>3.7197167684</v>
      </c>
      <c r="BF265" s="90" t="n">
        <f aca="false">IF(ISNUMBER(H265),AA265,0)</f>
        <v>0.940724</v>
      </c>
      <c r="BG265" s="90" t="n">
        <f aca="false">IF(AND(Y265=0,ISNUMBER(AF265),ISNUMBER(Z265)),AA265*Z265,0)</f>
        <v>3.7197167684</v>
      </c>
      <c r="BH265" s="90" t="n">
        <f aca="false">IF(AND(Y265=0,ISNUMBER(AF265),ISNUMBER(Z265)),AA265*AT265*MAX(Z265-1,0),0)</f>
        <v>28.9770552773023</v>
      </c>
      <c r="BI265" s="90" t="n">
        <f aca="false">IF(Y265=0,AA265,0)</f>
        <v>0.940724</v>
      </c>
    </row>
    <row r="266" customFormat="false" ht="15" hidden="false" customHeight="false" outlineLevel="0" collapsed="false">
      <c r="A266" s="83" t="str">
        <f aca="false">IFERROR(IF(INDEX(원자료_잔고!$A$1:$EZ$1500,설정!$L$5+ROW()-1,설정!$L$8)&amp;""="0","",INDEX(원자료_잔고!$A$1:$EZ$1500,설정!$L$5+ROW()-1,설정!$L$8)&amp;""),"")</f>
        <v>KOEWPW 4 05/04/31</v>
      </c>
      <c r="B266" s="83" t="str">
        <f aca="false">IFERROR(IF(INDEX(원자료_잔고!$A$1:$EZ$1500,설정!$L$5+ROW()-1,설정!$L$7)&amp;""="0","",INDEX(원자료_잔고!$A$1:$EZ$1500,설정!$L$5+ROW()-1,설정!$L$7)&amp;""),"")</f>
        <v>XS3219365635</v>
      </c>
      <c r="C266" s="83" t="str">
        <f aca="false">IFERROR(IF(INDEX(원자료_잔고!$A$1:$EZ$1500,설정!$L$5+ROW()-1,설정!$L$9)&amp;""="0","",INDEX(원자료_잔고!$A$1:$EZ$1500,설정!$L$5+ROW()-1,설정!$L$9)&amp;""),"")</f>
        <v>34578</v>
      </c>
      <c r="D26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6" s="84" t="n">
        <f aca="false">IFERROR(IF(ISNUMBER(INDEX(원자료_잔고!$A$1:$EZ$1500,설정!$L$5+ROW()-1,설정!$L$11)),INDEX(원자료_잔고!$A$1:$EZ$1500,설정!$L$5+ROW()-1,설정!$L$11),""),"")</f>
        <v>1000000</v>
      </c>
      <c r="F266" s="85" t="n">
        <f aca="false">IFERROR(IF(ISNUMBER(INDEX(원자료_잔고!$A$1:$EZ$1500,설정!$L$5+ROW()-1,설정!$L$12)),INDEX(원자료_잔고!$A$1:$EZ$1500,설정!$L$5+ROW()-1,설정!$L$12),""),"")</f>
        <v>94.0724</v>
      </c>
      <c r="G266" s="85" t="n">
        <f aca="false">IFERROR(IF(ISNUMBER(INDEX(원자료_잔고!$A$1:$EZ$1500,설정!$L$5+ROW()-1,설정!$L$13)),INDEX(원자료_잔고!$A$1:$EZ$1500,설정!$L$5+ROW()-1,설정!$L$13),""),"")</f>
        <v>5.4747</v>
      </c>
      <c r="H266" s="85" t="n">
        <f aca="false">IFERROR(IF(ISNUMBER(INDEX(원자료_잔고!$A$1:$EZ$1500,설정!$L$5+ROW()-1,설정!$L$14)),INDEX(원자료_잔고!$A$1:$EZ$1500,설정!$L$5+ROW()-1,설정!$L$14),""),"")</f>
        <v>3.9541</v>
      </c>
      <c r="I266" s="86" t="n">
        <f aca="false">IFERROR(IF(ISNUMBER(INDEX(원자료_잔고!$A$1:$EZ$1500,설정!$L$5+ROW()-1,설정!$L$15)),INDEX(원자료_잔고!$A$1:$EZ$1500,설정!$L$5+ROW()-1,설정!$L$15),""),"")</f>
        <v>47972</v>
      </c>
      <c r="J266" s="85" t="n">
        <f aca="false">IFERROR(IF(ISNUMBER(INDEX(원자료_잔고!$A$1:$EZ$1500,설정!$L$5+ROW()-1,설정!$L$16)),INDEX(원자료_잔고!$A$1:$EZ$1500,설정!$L$5+ROW()-1,설정!$L$16),""),"")</f>
        <v>4</v>
      </c>
      <c r="K266" s="87" t="n">
        <f aca="false">IFERROR(IF(ISNUMBER(INDEX(원자료_잔고!$A$1:$EZ$1500,설정!$L$5+ROW()-1,설정!$L$17)),INDEX(원자료_잔고!$A$1:$EZ$1500,설정!$L$5+ROW()-1,설정!$L$17),""),"")</f>
        <v>1</v>
      </c>
      <c r="L266" s="84" t="n">
        <f aca="false">IFERROR(IF(ISNUMBER(INDEX(원자료_잔고!$A$1:$EZ$1500,설정!$L$5+ROW()-1,설정!$L$18)),INDEX(원자료_잔고!$A$1:$EZ$1500,설정!$L$5+ROW()-1,설정!$L$18),""),"")</f>
        <v>940724</v>
      </c>
      <c r="M266" s="88" t="n">
        <f aca="false">IFERROR(IF(ISNUMBER(INDEX(원자료_잔고!$A$1:$EZ$1500,설정!$L$5+ROW()-1,설정!$L$19)),INDEX(원자료_잔고!$A$1:$EZ$1500,설정!$L$5+ROW()-1,설정!$L$19),""),"")</f>
        <v>-48946</v>
      </c>
      <c r="N266" s="83" t="str">
        <f aca="false">IFERROR(IF(INDEX(원자료_잔고!$A$1:$EZ$1500,설정!$L$5+ROW()-1,설정!$L$21)&amp;""="0","",INDEX(원자료_잔고!$A$1:$EZ$1500,설정!$L$5+ROW()-1,설정!$L$21)&amp;""),"")</f>
        <v/>
      </c>
      <c r="O266" s="83" t="str">
        <f aca="false">IFERROR(IF(INDEX(원자료_잔고!$A$1:$EZ$1500,설정!$L$5+ROW()-1,설정!$L$22)&amp;""="0","",INDEX(원자료_잔고!$A$1:$EZ$1500,설정!$L$5+ROW()-1,설정!$L$22)&amp;""),"")</f>
        <v/>
      </c>
      <c r="P266" s="83" t="str">
        <f aca="false">IFERROR(IF(INDEX(원자료_잔고!$A$1:$EZ$1500,설정!$L$5+ROW()-1,설정!$L$23)&amp;""="0","",INDEX(원자료_잔고!$A$1:$EZ$1500,설정!$L$5+ROW()-1,설정!$L$23)&amp;""),"")</f>
        <v>AA-</v>
      </c>
      <c r="Q266" s="89" t="n">
        <f aca="false">IF(AND($A266&lt;&gt;"",ISNUMBER(E266)),IF(E266&gt;0,1,0),0)</f>
        <v>1</v>
      </c>
      <c r="R266" s="43" t="str">
        <f aca="false">IF(Q266=1,UPPER(LEFT($A266,FIND(" ",$A266&amp;" ")-1)),"")</f>
        <v>KOEWPW</v>
      </c>
      <c r="S266" s="89" t="n">
        <f aca="false">IF(Q266=1,IF(OR(ISNUMBER(SEARCH("Float",$A266)),ISNUMBER(SEARCH("FRN",$A266))),1,0),0)</f>
        <v>0</v>
      </c>
      <c r="T266" s="43" t="str">
        <f aca="false">IF(AND(Q266=1,ISNUMBER(I266)),TEXT(I266,"yyyymmdd")&amp;"|"&amp;IF(S266=1,"F",TEXT(J266,"0.000")),"")</f>
        <v>20310504|4.000</v>
      </c>
      <c r="U266" s="90" t="n">
        <f aca="false">IF(AND(Q266=1,ISNUMBER(I266)),(I266-설정!$C$4)/365.25,"")</f>
        <v>4.5886379192334</v>
      </c>
      <c r="V266" s="43" t="str">
        <f aca="false">IF(Q266&lt;&gt;1,"",IF(ISNUMBER(U266),IF(U266&lt;=1,"1년 이하",IF(U266&lt;=2,"1-2년",IF(U266&lt;=3,"2-3년",IF(U266&lt;=4,"3-4년",IF(U266&lt;=5,"4-5년",IF(U266&lt;=7,"5-7년",IF(U266&lt;=10,"7-10년",IF(U266&lt;=20,"10-20년","20년 이상")))))))),"미분류"))</f>
        <v>4-5년</v>
      </c>
      <c r="W266" s="43" t="str">
        <f aca="false">IF(Q266&lt;&gt;1,"",IF(AB266&lt;&gt;"",INDEX(시장분석!$C:$C,AB266),IF(K266=1,"USD","비USD")))</f>
        <v>USD</v>
      </c>
      <c r="X266" s="91" t="n">
        <f aca="false">IF(Q266=1,E266*K266/1000000,0)</f>
        <v>1</v>
      </c>
      <c r="Y266" s="89" t="n">
        <f aca="false">IF(R266="T",1,0)</f>
        <v>0</v>
      </c>
      <c r="Z266" s="92" t="n">
        <f aca="false">IF(Q266&lt;&gt;1,"",IF(AD266=1,IF(ISNUMBER(U266),MAX(U266,0),H266),H266))</f>
        <v>3.9541</v>
      </c>
      <c r="AA266" s="91" t="n">
        <f aca="false">IF(Q266=1,IF(ISNUMBER(L266),L266,0)*K266/1000000,0)</f>
        <v>0.940724</v>
      </c>
      <c r="AB266" s="89" t="n">
        <f aca="false">IF(Q266&lt;&gt;1,"",IFERROR(MATCH(VLOOKUP(B266,매핑!$H$4:$I$15,2,0),시장분석!$A$2:$A$601,0)+1,IFERROR(MATCH(R266&amp;"|"&amp;T266,시장분석!$V$2:$V$601,0)+1,IF(COUNTIF(시장분석!$U$2:$U$601,T266)=1,MATCH(T266,시장분석!$U$2:$U$601,0)+1,""))))</f>
        <v>251</v>
      </c>
      <c r="AC266" s="89" t="n">
        <f aca="false">IF(Q266&lt;&gt;1,0,IF(OR(설정!$C$5="전체",AND(설정!$C$5="선택펀드",IFERROR(COUNTIFS(설정!$F$16:$F$36,C266,설정!$G$16:$G$36,"Y")+COUNTIFS(설정!$F$16:$F$36,VALUE(C266),설정!$G$16:$G$36,"Y"),0)&gt;0),C266&amp;""=설정!$C$5&amp;""),1,0))</f>
        <v>1</v>
      </c>
      <c r="AD266" s="89" t="n">
        <f aca="false">IF(Q266&lt;&gt;1,0,IF(OR(S266=1,IF(AB266="",FALSE(),INDEX(시장분석!$R:$R,AB266)=1)),1,0))</f>
        <v>0</v>
      </c>
      <c r="AE266" s="43" t="str">
        <f aca="false">IF(AB266="","",INDEX(시장분석!$A:$A,AB266))</f>
        <v>KOEWPW 4 05/04/31</v>
      </c>
      <c r="AF266" s="93" t="n">
        <f aca="false">IF(AB266="","",IF(ISNUMBER(IF(AB266="","",INDEX(시장분석!$E:$E,AB266))),IF(AB266="","",INDEX(시장분석!$E:$E,AB266)),""))</f>
        <v>44.963</v>
      </c>
      <c r="AG266" s="43" t="str">
        <f aca="false">IF(Q266&lt;&gt;1,"",IF(AB266&lt;&gt;"",IF(AB266="","",INDEX(시장분석!$L:$L,AB266)),IFERROR(IF(VLOOKUP(R266,매핑!$A$4:$E$92,5,0)="","미분류",VLOOKUP(R266,매핑!$A$4:$E$92,5,0)),"미분류")))</f>
        <v>유틸리티</v>
      </c>
      <c r="AH266" s="43" t="str">
        <f aca="false">IF(Q266&lt;&gt;1,"",IF(AB266&lt;&gt;"",IF(AB266="","",INDEX(시장분석!$N:$N,AB266)),IFERROR(IF(VLOOKUP(R266,매핑!$A$4:$E$92,4,0)="","미분류",VLOOKUP(R266,매핑!$A$4:$E$92,4,0)),"미분류")))</f>
        <v>아시아/기타</v>
      </c>
      <c r="AI266" s="43" t="str">
        <f aca="false">IF(Q266&lt;&gt;1,"",IFERROR(IF(VLOOKUP(R266,매핑!$A$4:$E$92,3,0)="","미분류",VLOOKUP(R266,매핑!$A$4:$E$92,3,0)),IF(AB266&lt;&gt;"",IF(AB266="","",INDEX(시장분석!$W:$W,AB266)),"미분류")))</f>
        <v>한국</v>
      </c>
      <c r="AJ266" s="43" t="str">
        <f aca="false">IF(Q266&lt;&gt;1,"",IFERROR(VLOOKUP(IF(N266&lt;&gt;"",N266,IF(P266&lt;&gt;"",P266,O266)),설정!$A$15:$D$47,2,0),""))</f>
        <v>AA-</v>
      </c>
      <c r="AK266" s="43" t="str">
        <f aca="false">IF(Q266&lt;&gt;1,"",IF(AJ266="","무등급",IFERROR(VLOOKUP(AJ266,설정!$A$15:$D$47,3,0),"무등급")))</f>
        <v>AA이상</v>
      </c>
      <c r="AL266" s="89" t="n">
        <f aca="false">IF(AJ266="",99,IFERROR(VLOOKUP(AJ266,설정!$A$15:$D$47,4,0),99))</f>
        <v>4</v>
      </c>
      <c r="AM266" s="94" t="n">
        <f aca="false">IF(ISNUMBER(H266),AA266*1000000*H266/10000,0)</f>
        <v>371.97167684</v>
      </c>
      <c r="AN266" s="94" t="n">
        <f aca="false">IF(OR(Y266=1,NOT(ISNUMBER(Z266))),0,AA266*1000000*Z266/10000)</f>
        <v>371.97167684</v>
      </c>
      <c r="AO266" s="94" t="n">
        <f aca="false">IF(ISNUMBER(G266),AA266*1000000*G266/100,0)</f>
        <v>51501.816828</v>
      </c>
      <c r="AP266" s="94" t="n">
        <f aca="false">IF(ISNUMBER(M266),M266*K266,0)</f>
        <v>-48946</v>
      </c>
      <c r="AQ266" s="95" t="n">
        <f aca="false">IF(AB266="","",INDEX(시장분석!$AK:$AK,AB266))</f>
        <v>-0.552837385698105</v>
      </c>
      <c r="AR266" s="43" t="str">
        <f aca="false">IF(AB266="","-",IF(AB266="","",INDEX(시장분석!$AL:$AL,AB266)))</f>
        <v>Fair</v>
      </c>
      <c r="AS266" s="96" t="n">
        <f aca="false">IF(AB266="","",INDEX(시장분석!$AJ:$AJ,AB266))</f>
        <v>-2.96167741592573</v>
      </c>
      <c r="AT266" s="93" t="n">
        <f aca="false">IF(AB266="",0,IF(AB266="","",INDEX(시장분석!$AN:$AN,AB266)))</f>
        <v>10.4271790868984</v>
      </c>
      <c r="AU266" s="94" t="n">
        <f aca="false">IF(ISNUMBER(Z266),AT266/10000*MAX(Z266-1,0)*AA266*1000000,0)</f>
        <v>2897.70552773023</v>
      </c>
      <c r="AV266" s="94" t="n">
        <f aca="false">AO266+AU266</f>
        <v>54399.5223557302</v>
      </c>
      <c r="AW266" s="43" t="str">
        <f aca="false">IF(Q266&lt;&gt;1,"",TRIM(IF(AD266=1,"FRN ","")&amp;IF(AND(AL266&gt;=10,AL266&lt;99),"BBB0미만 ","")&amp;IF(AJ266="","등급없음 ","")&amp;IF(K266&lt;&gt;1,"비USD ","")&amp;IF(AND(AB266="",Y266=0),"시장데이터없음 ","")&amp;IF(AND(ISNUMBER(U266),U266&lt;0),"만기경과 ","")))</f>
        <v/>
      </c>
      <c r="AX266" s="90" t="n">
        <f aca="false">IF(Q266&lt;&gt;1,1,IF(스프레드쇼크!$C$4="Y",INDEX(스프레드쇼크!$B$12:$L$16,IFERROR(MATCH(AH266,스프레드쇼크!$A$12:$A$16,0),MATCH("목록외",스프레드쇼크!$A$12:$A$16,0)),IFERROR(MATCH(AG266,스프레드쇼크!$B$11:$L$11,0),MATCH("목록외",스프레드쇼크!$B$11:$L$11,0))),1))</f>
        <v>1</v>
      </c>
      <c r="AY266" s="90" t="n">
        <f aca="false">IF(스프레드쇼크!$C$5="Y",IF(ISNUMBER(AF266),MIN(스프레드쇼크!$C$7,MAX(스프레드쇼크!$C$6,AF266/스프레드쇼크!$C$8)),1),1)</f>
        <v>0.680082824539557</v>
      </c>
      <c r="AZ266" s="94" t="n">
        <f aca="false">AN266*AX266*AY266</f>
        <v>252.971548634063</v>
      </c>
      <c r="BA266" s="90" t="n">
        <f aca="false">IF(ISNUMBER(G266),AA266*G266,0)</f>
        <v>5.1501816828</v>
      </c>
      <c r="BB266" s="90" t="n">
        <f aca="false">IF(ISNUMBER(G266),AA266,0)</f>
        <v>0.940724</v>
      </c>
      <c r="BC266" s="90" t="n">
        <f aca="false">IF(AND(Y266=0,ISNUMBER(AF266)),AA266*AF266,0)</f>
        <v>42.297773212</v>
      </c>
      <c r="BD266" s="90" t="n">
        <f aca="false">IF(AND(Y266=0,ISNUMBER(AF266)),AA266,0)</f>
        <v>0.940724</v>
      </c>
      <c r="BE266" s="90" t="n">
        <f aca="false">IF(ISNUMBER(H266),AA266*H266,0)</f>
        <v>3.7197167684</v>
      </c>
      <c r="BF266" s="90" t="n">
        <f aca="false">IF(ISNUMBER(H266),AA266,0)</f>
        <v>0.940724</v>
      </c>
      <c r="BG266" s="90" t="n">
        <f aca="false">IF(AND(Y266=0,ISNUMBER(AF266),ISNUMBER(Z266)),AA266*Z266,0)</f>
        <v>3.7197167684</v>
      </c>
      <c r="BH266" s="90" t="n">
        <f aca="false">IF(AND(Y266=0,ISNUMBER(AF266),ISNUMBER(Z266)),AA266*AT266*MAX(Z266-1,0),0)</f>
        <v>28.9770552773023</v>
      </c>
      <c r="BI266" s="90" t="n">
        <f aca="false">IF(Y266=0,AA266,0)</f>
        <v>0.940724</v>
      </c>
    </row>
    <row r="267" customFormat="false" ht="15" hidden="false" customHeight="false" outlineLevel="0" collapsed="false">
      <c r="A267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67" s="83" t="str">
        <f aca="false">IFERROR(IF(INDEX(원자료_잔고!$A$1:$EZ$1500,설정!$L$5+ROW()-1,설정!$L$7)&amp;""="0","",INDEX(원자료_잔고!$A$1:$EZ$1500,설정!$L$5+ROW()-1,설정!$L$7)&amp;""),"")</f>
        <v>XS3299373996</v>
      </c>
      <c r="C267" s="83" t="str">
        <f aca="false">IFERROR(IF(INDEX(원자료_잔고!$A$1:$EZ$1500,설정!$L$5+ROW()-1,설정!$L$9)&amp;""="0","",INDEX(원자료_잔고!$A$1:$EZ$1500,설정!$L$5+ROW()-1,설정!$L$9)&amp;""),"")</f>
        <v>34578</v>
      </c>
      <c r="D26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7" s="84" t="n">
        <f aca="false">IFERROR(IF(ISNUMBER(INDEX(원자료_잔고!$A$1:$EZ$1500,설정!$L$5+ROW()-1,설정!$L$11)),INDEX(원자료_잔고!$A$1:$EZ$1500,설정!$L$5+ROW()-1,설정!$L$11),""),"")</f>
        <v>5000000</v>
      </c>
      <c r="F267" s="85" t="n">
        <f aca="false">IFERROR(IF(ISNUMBER(INDEX(원자료_잔고!$A$1:$EZ$1500,설정!$L$5+ROW()-1,설정!$L$12)),INDEX(원자료_잔고!$A$1:$EZ$1500,설정!$L$5+ROW()-1,설정!$L$12),""),"")</f>
        <v>96.6151</v>
      </c>
      <c r="G267" s="85" t="n">
        <f aca="false">IFERROR(IF(ISNUMBER(INDEX(원자료_잔고!$A$1:$EZ$1500,설정!$L$5+ROW()-1,설정!$L$13)),INDEX(원자료_잔고!$A$1:$EZ$1500,설정!$L$5+ROW()-1,설정!$L$13),""),"")</f>
        <v>5.7501</v>
      </c>
      <c r="H267" s="85" t="n">
        <f aca="false">IFERROR(IF(ISNUMBER(INDEX(원자료_잔고!$A$1:$EZ$1500,설정!$L$5+ROW()-1,설정!$L$14)),INDEX(원자료_잔고!$A$1:$EZ$1500,설정!$L$5+ROW()-1,설정!$L$14),""),"")</f>
        <v>2.2316</v>
      </c>
      <c r="I267" s="86" t="n">
        <f aca="false">IFERROR(IF(ISNUMBER(INDEX(원자료_잔고!$A$1:$EZ$1500,설정!$L$5+ROW()-1,설정!$L$15)),INDEX(원자료_잔고!$A$1:$EZ$1500,설정!$L$5+ROW()-1,설정!$L$15),""),"")</f>
        <v>47188</v>
      </c>
      <c r="J267" s="85" t="n">
        <f aca="false">IFERROR(IF(ISNUMBER(INDEX(원자료_잔고!$A$1:$EZ$1500,설정!$L$5+ROW()-1,설정!$L$16)),INDEX(원자료_잔고!$A$1:$EZ$1500,설정!$L$5+ROW()-1,설정!$L$16),""),"")</f>
        <v>4.25</v>
      </c>
      <c r="K267" s="87" t="n">
        <f aca="false">IFERROR(IF(ISNUMBER(INDEX(원자료_잔고!$A$1:$EZ$1500,설정!$L$5+ROW()-1,설정!$L$17)),INDEX(원자료_잔고!$A$1:$EZ$1500,설정!$L$5+ROW()-1,설정!$L$17),""),"")</f>
        <v>1</v>
      </c>
      <c r="L267" s="84" t="n">
        <f aca="false">IFERROR(IF(ISNUMBER(INDEX(원자료_잔고!$A$1:$EZ$1500,설정!$L$5+ROW()-1,설정!$L$18)),INDEX(원자료_잔고!$A$1:$EZ$1500,설정!$L$5+ROW()-1,설정!$L$18),""),"")</f>
        <v>4830755</v>
      </c>
      <c r="M267" s="88" t="n">
        <f aca="false">IFERROR(IF(ISNUMBER(INDEX(원자료_잔고!$A$1:$EZ$1500,설정!$L$5+ROW()-1,설정!$L$19)),INDEX(원자료_잔고!$A$1:$EZ$1500,설정!$L$5+ROW()-1,설정!$L$19),""),"")</f>
        <v>-116302.85</v>
      </c>
      <c r="N267" s="83" t="str">
        <f aca="false">IFERROR(IF(INDEX(원자료_잔고!$A$1:$EZ$1500,설정!$L$5+ROW()-1,설정!$L$21)&amp;""="0","",INDEX(원자료_잔고!$A$1:$EZ$1500,설정!$L$5+ROW()-1,설정!$L$21)&amp;""),"")</f>
        <v/>
      </c>
      <c r="O267" s="83" t="str">
        <f aca="false">IFERROR(IF(INDEX(원자료_잔고!$A$1:$EZ$1500,설정!$L$5+ROW()-1,설정!$L$22)&amp;""="0","",INDEX(원자료_잔고!$A$1:$EZ$1500,설정!$L$5+ROW()-1,설정!$L$22)&amp;""),"")</f>
        <v/>
      </c>
      <c r="P267" s="83" t="str">
        <f aca="false">IFERROR(IF(INDEX(원자료_잔고!$A$1:$EZ$1500,설정!$L$5+ROW()-1,설정!$L$23)&amp;""="0","",INDEX(원자료_잔고!$A$1:$EZ$1500,설정!$L$5+ROW()-1,설정!$L$23)&amp;""),"")</f>
        <v>BBB</v>
      </c>
      <c r="Q267" s="89" t="n">
        <f aca="false">IF(AND($A267&lt;&gt;"",ISNUMBER(E267)),IF(E267&gt;0,1,0),0)</f>
        <v>1</v>
      </c>
      <c r="R267" s="43" t="str">
        <f aca="false">IF(Q267=1,UPPER(LEFT($A267,FIND(" ",$A267&amp;" ")-1)),"")</f>
        <v>DAESEC</v>
      </c>
      <c r="S267" s="89" t="n">
        <f aca="false">IF(Q267=1,IF(OR(ISNUMBER(SEARCH("Float",$A267)),ISNUMBER(SEARCH("FRN",$A267))),1,0),0)</f>
        <v>0</v>
      </c>
      <c r="T267" s="43" t="str">
        <f aca="false">IF(AND(Q267=1,ISNUMBER(I267)),TEXT(I267,"yyyymmdd")&amp;"|"&amp;IF(S267=1,"F",TEXT(J267,"0.000")),"")</f>
        <v>20290311|4.250</v>
      </c>
      <c r="U267" s="90" t="n">
        <f aca="false">IF(AND(Q267=1,ISNUMBER(I267)),(I267-설정!$C$4)/365.25,"")</f>
        <v>2.44216290212183</v>
      </c>
      <c r="V267" s="43" t="str">
        <f aca="false">IF(Q267&lt;&gt;1,"",IF(ISNUMBER(U267),IF(U267&lt;=1,"1년 이하",IF(U267&lt;=2,"1-2년",IF(U267&lt;=3,"2-3년",IF(U267&lt;=4,"3-4년",IF(U267&lt;=5,"4-5년",IF(U267&lt;=7,"5-7년",IF(U267&lt;=10,"7-10년",IF(U267&lt;=20,"10-20년","20년 이상")))))))),"미분류"))</f>
        <v>2-3년</v>
      </c>
      <c r="W267" s="43" t="str">
        <f aca="false">IF(Q267&lt;&gt;1,"",IF(AB267&lt;&gt;"",INDEX(시장분석!$C:$C,AB267),IF(K267=1,"USD","비USD")))</f>
        <v>USD</v>
      </c>
      <c r="X267" s="91" t="n">
        <f aca="false">IF(Q267=1,E267*K267/1000000,0)</f>
        <v>5</v>
      </c>
      <c r="Y267" s="89" t="n">
        <f aca="false">IF(R267="T",1,0)</f>
        <v>0</v>
      </c>
      <c r="Z267" s="92" t="n">
        <f aca="false">IF(Q267&lt;&gt;1,"",IF(AD267=1,IF(ISNUMBER(U267),MAX(U267,0),H267),H267))</f>
        <v>2.2316</v>
      </c>
      <c r="AA267" s="91" t="n">
        <f aca="false">IF(Q267=1,IF(ISNUMBER(L267),L267,0)*K267/1000000,0)</f>
        <v>4.830755</v>
      </c>
      <c r="AB267" s="89" t="n">
        <f aca="false">IF(Q267&lt;&gt;1,"",IFERROR(MATCH(VLOOKUP(B267,매핑!$H$4:$I$15,2,0),시장분석!$A$2:$A$601,0)+1,IFERROR(MATCH(R267&amp;"|"&amp;T267,시장분석!$V$2:$V$601,0)+1,IF(COUNTIF(시장분석!$U$2:$U$601,T267)=1,MATCH(T267,시장분석!$U$2:$U$601,0)+1,""))))</f>
        <v>253</v>
      </c>
      <c r="AC267" s="89" t="n">
        <f aca="false">IF(Q267&lt;&gt;1,0,IF(OR(설정!$C$5="전체",AND(설정!$C$5="선택펀드",IFERROR(COUNTIFS(설정!$F$16:$F$36,C267,설정!$G$16:$G$36,"Y")+COUNTIFS(설정!$F$16:$F$36,VALUE(C267),설정!$G$16:$G$36,"Y"),0)&gt;0),C267&amp;""=설정!$C$5&amp;""),1,0))</f>
        <v>1</v>
      </c>
      <c r="AD267" s="89" t="n">
        <f aca="false">IF(Q267&lt;&gt;1,0,IF(OR(S267=1,IF(AB267="",FALSE(),INDEX(시장분석!$R:$R,AB267)=1)),1,0))</f>
        <v>0</v>
      </c>
      <c r="AE267" s="43" t="str">
        <f aca="false">IF(AB267="","",INDEX(시장분석!$A:$A,AB267))</f>
        <v>DAESEC 4 1/4 03/11/29</v>
      </c>
      <c r="AF267" s="93" t="n">
        <f aca="false">IF(AB267="","",IF(ISNUMBER(IF(AB267="","",INDEX(시장분석!$E:$E,AB267))),IF(AB267="","",INDEX(시장분석!$E:$E,AB267)),""))</f>
        <v>76.351</v>
      </c>
      <c r="AG267" s="43" t="str">
        <f aca="false">IF(Q267&lt;&gt;1,"",IF(AB267&lt;&gt;"",IF(AB267="","",INDEX(시장분석!$L:$L,AB267)),IFERROR(IF(VLOOKUP(R267,매핑!$A$4:$E$92,5,0)="","미분류",VLOOKUP(R267,매핑!$A$4:$E$92,5,0)),"미분류")))</f>
        <v>금융기관</v>
      </c>
      <c r="AH267" s="43" t="str">
        <f aca="false">IF(Q267&lt;&gt;1,"",IF(AB267&lt;&gt;"",IF(AB267="","",INDEX(시장분석!$N:$N,AB267)),IFERROR(IF(VLOOKUP(R267,매핑!$A$4:$E$92,4,0)="","미분류",VLOOKUP(R267,매핑!$A$4:$E$92,4,0)),"미분류")))</f>
        <v>아시아/기타</v>
      </c>
      <c r="AI267" s="43" t="str">
        <f aca="false">IF(Q267&lt;&gt;1,"",IFERROR(IF(VLOOKUP(R267,매핑!$A$4:$E$92,3,0)="","미분류",VLOOKUP(R267,매핑!$A$4:$E$92,3,0)),IF(AB267&lt;&gt;"",IF(AB267="","",INDEX(시장분석!$W:$W,AB267)),"미분류")))</f>
        <v>한국</v>
      </c>
      <c r="AJ267" s="43" t="str">
        <f aca="false">IF(Q267&lt;&gt;1,"",IFERROR(VLOOKUP(IF(N267&lt;&gt;"",N267,IF(P267&lt;&gt;"",P267,O267)),설정!$A$15:$D$47,2,0),""))</f>
        <v>BBB</v>
      </c>
      <c r="AK267" s="43" t="str">
        <f aca="false">IF(Q267&lt;&gt;1,"",IF(AJ267="","무등급",IFERROR(VLOOKUP(AJ267,설정!$A$15:$D$47,3,0),"무등급")))</f>
        <v>BBB</v>
      </c>
      <c r="AL267" s="89" t="n">
        <f aca="false">IF(AJ267="",99,IFERROR(VLOOKUP(AJ267,설정!$A$15:$D$47,4,0),99))</f>
        <v>9</v>
      </c>
      <c r="AM267" s="94" t="n">
        <f aca="false">IF(ISNUMBER(H267),AA267*1000000*H267/10000,0)</f>
        <v>1078.0312858</v>
      </c>
      <c r="AN267" s="94" t="n">
        <f aca="false">IF(OR(Y267=1,NOT(ISNUMBER(Z267))),0,AA267*1000000*Z267/10000)</f>
        <v>1078.0312858</v>
      </c>
      <c r="AO267" s="94" t="n">
        <f aca="false">IF(ISNUMBER(G267),AA267*1000000*G267/100,0)</f>
        <v>277773.243255</v>
      </c>
      <c r="AP267" s="94" t="n">
        <f aca="false">IF(ISNUMBER(M267),M267*K267,0)</f>
        <v>-116302.85</v>
      </c>
      <c r="AQ267" s="95" t="n">
        <f aca="false">IF(AB267="","",INDEX(시장분석!$AK:$AK,AB267))</f>
        <v>0.706592462740676</v>
      </c>
      <c r="AR267" s="43" t="str">
        <f aca="false">IF(AB267="","-",IF(AB267="","",INDEX(시장분석!$AL:$AL,AB267)))</f>
        <v>Fair</v>
      </c>
      <c r="AS267" s="96" t="n">
        <f aca="false">IF(AB267="","",INDEX(시장분석!$AJ:$AJ,AB267))</f>
        <v>14.4664826457201</v>
      </c>
      <c r="AT267" s="93" t="n">
        <f aca="false">IF(AB267="",0,IF(AB267="","",INDEX(시장분석!$AN:$AN,AB267)))</f>
        <v>7.80834525298121</v>
      </c>
      <c r="AU267" s="94" t="n">
        <f aca="false">IF(ISNUMBER(Z267),AT267/10000*MAX(Z267-1,0)*AA267*1000000,0)</f>
        <v>4645.62018578513</v>
      </c>
      <c r="AV267" s="94" t="n">
        <f aca="false">AO267+AU267</f>
        <v>282418.863440785</v>
      </c>
      <c r="AW267" s="43" t="str">
        <f aca="false">IF(Q267&lt;&gt;1,"",TRIM(IF(AD267=1,"FRN ","")&amp;IF(AND(AL267&gt;=10,AL267&lt;99),"BBB0미만 ","")&amp;IF(AJ267="","등급없음 ","")&amp;IF(K267&lt;&gt;1,"비USD ","")&amp;IF(AND(AB267="",Y267=0),"시장데이터없음 ","")&amp;IF(AND(ISNUMBER(U267),U267&lt;0),"만기경과 ","")))</f>
        <v/>
      </c>
      <c r="AX267" s="90" t="n">
        <f aca="false">IF(Q267&lt;&gt;1,1,IF(스프레드쇼크!$C$4="Y",INDEX(스프레드쇼크!$B$12:$L$16,IFERROR(MATCH(AH267,스프레드쇼크!$A$12:$A$16,0),MATCH("목록외",스프레드쇼크!$A$12:$A$16,0)),IFERROR(MATCH(AG267,스프레드쇼크!$B$11:$L$11,0),MATCH("목록외",스프레드쇼크!$B$11:$L$11,0))),1))</f>
        <v>1</v>
      </c>
      <c r="AY267" s="90" t="n">
        <f aca="false">IF(스프레드쇼크!$C$5="Y",IF(ISNUMBER(AF267),MIN(스프레드쇼크!$C$7,MAX(스프레드쇼크!$C$6,AF267/스프레드쇼크!$C$8)),1),1)</f>
        <v>1.15483850580299</v>
      </c>
      <c r="AZ267" s="94" t="n">
        <f aca="false">AN267*AX267*AY267</f>
        <v>1244.95203930215</v>
      </c>
      <c r="BA267" s="90" t="n">
        <f aca="false">IF(ISNUMBER(G267),AA267*G267,0)</f>
        <v>27.7773243255</v>
      </c>
      <c r="BB267" s="90" t="n">
        <f aca="false">IF(ISNUMBER(G267),AA267,0)</f>
        <v>4.830755</v>
      </c>
      <c r="BC267" s="90" t="n">
        <f aca="false">IF(AND(Y267=0,ISNUMBER(AF267)),AA267*AF267,0)</f>
        <v>368.832975005</v>
      </c>
      <c r="BD267" s="90" t="n">
        <f aca="false">IF(AND(Y267=0,ISNUMBER(AF267)),AA267,0)</f>
        <v>4.830755</v>
      </c>
      <c r="BE267" s="90" t="n">
        <f aca="false">IF(ISNUMBER(H267),AA267*H267,0)</f>
        <v>10.780312858</v>
      </c>
      <c r="BF267" s="90" t="n">
        <f aca="false">IF(ISNUMBER(H267),AA267,0)</f>
        <v>4.830755</v>
      </c>
      <c r="BG267" s="90" t="n">
        <f aca="false">IF(AND(Y267=0,ISNUMBER(AF267),ISNUMBER(Z267)),AA267*Z267,0)</f>
        <v>10.780312858</v>
      </c>
      <c r="BH267" s="90" t="n">
        <f aca="false">IF(AND(Y267=0,ISNUMBER(AF267),ISNUMBER(Z267)),AA267*AT267*MAX(Z267-1,0),0)</f>
        <v>46.4562018578513</v>
      </c>
      <c r="BI267" s="90" t="n">
        <f aca="false">IF(Y267=0,AA267,0)</f>
        <v>4.830755</v>
      </c>
    </row>
    <row r="268" customFormat="false" ht="15" hidden="false" customHeight="false" outlineLevel="0" collapsed="false">
      <c r="A268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68" s="83" t="str">
        <f aca="false">IFERROR(IF(INDEX(원자료_잔고!$A$1:$EZ$1500,설정!$L$5+ROW()-1,설정!$L$7)&amp;""="0","",INDEX(원자료_잔고!$A$1:$EZ$1500,설정!$L$5+ROW()-1,설정!$L$7)&amp;""),"")</f>
        <v>XS3299373996</v>
      </c>
      <c r="C268" s="83" t="str">
        <f aca="false">IFERROR(IF(INDEX(원자료_잔고!$A$1:$EZ$1500,설정!$L$5+ROW()-1,설정!$L$9)&amp;""="0","",INDEX(원자료_잔고!$A$1:$EZ$1500,설정!$L$5+ROW()-1,설정!$L$9)&amp;""),"")</f>
        <v>34578</v>
      </c>
      <c r="D26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8" s="84" t="n">
        <f aca="false">IFERROR(IF(ISNUMBER(INDEX(원자료_잔고!$A$1:$EZ$1500,설정!$L$5+ROW()-1,설정!$L$11)),INDEX(원자료_잔고!$A$1:$EZ$1500,설정!$L$5+ROW()-1,설정!$L$11),""),"")</f>
        <v>10000000</v>
      </c>
      <c r="F268" s="85" t="n">
        <f aca="false">IFERROR(IF(ISNUMBER(INDEX(원자료_잔고!$A$1:$EZ$1500,설정!$L$5+ROW()-1,설정!$L$12)),INDEX(원자료_잔고!$A$1:$EZ$1500,설정!$L$5+ROW()-1,설정!$L$12),""),"")</f>
        <v>96.6151</v>
      </c>
      <c r="G268" s="85" t="n">
        <f aca="false">IFERROR(IF(ISNUMBER(INDEX(원자료_잔고!$A$1:$EZ$1500,설정!$L$5+ROW()-1,설정!$L$13)),INDEX(원자료_잔고!$A$1:$EZ$1500,설정!$L$5+ROW()-1,설정!$L$13),""),"")</f>
        <v>5.7501</v>
      </c>
      <c r="H268" s="85" t="n">
        <f aca="false">IFERROR(IF(ISNUMBER(INDEX(원자료_잔고!$A$1:$EZ$1500,설정!$L$5+ROW()-1,설정!$L$14)),INDEX(원자료_잔고!$A$1:$EZ$1500,설정!$L$5+ROW()-1,설정!$L$14),""),"")</f>
        <v>2.2316</v>
      </c>
      <c r="I268" s="86" t="n">
        <f aca="false">IFERROR(IF(ISNUMBER(INDEX(원자료_잔고!$A$1:$EZ$1500,설정!$L$5+ROW()-1,설정!$L$15)),INDEX(원자료_잔고!$A$1:$EZ$1500,설정!$L$5+ROW()-1,설정!$L$15),""),"")</f>
        <v>47188</v>
      </c>
      <c r="J268" s="85" t="n">
        <f aca="false">IFERROR(IF(ISNUMBER(INDEX(원자료_잔고!$A$1:$EZ$1500,설정!$L$5+ROW()-1,설정!$L$16)),INDEX(원자료_잔고!$A$1:$EZ$1500,설정!$L$5+ROW()-1,설정!$L$16),""),"")</f>
        <v>4.25</v>
      </c>
      <c r="K268" s="87" t="n">
        <f aca="false">IFERROR(IF(ISNUMBER(INDEX(원자료_잔고!$A$1:$EZ$1500,설정!$L$5+ROW()-1,설정!$L$17)),INDEX(원자료_잔고!$A$1:$EZ$1500,설정!$L$5+ROW()-1,설정!$L$17),""),"")</f>
        <v>1</v>
      </c>
      <c r="L268" s="84" t="n">
        <f aca="false">IFERROR(IF(ISNUMBER(INDEX(원자료_잔고!$A$1:$EZ$1500,설정!$L$5+ROW()-1,설정!$L$18)),INDEX(원자료_잔고!$A$1:$EZ$1500,설정!$L$5+ROW()-1,설정!$L$18),""),"")</f>
        <v>9661510</v>
      </c>
      <c r="M268" s="88" t="n">
        <f aca="false">IFERROR(IF(ISNUMBER(INDEX(원자료_잔고!$A$1:$EZ$1500,설정!$L$5+ROW()-1,설정!$L$19)),INDEX(원자료_잔고!$A$1:$EZ$1500,설정!$L$5+ROW()-1,설정!$L$19),""),"")</f>
        <v>-235305.7</v>
      </c>
      <c r="N268" s="83" t="str">
        <f aca="false">IFERROR(IF(INDEX(원자료_잔고!$A$1:$EZ$1500,설정!$L$5+ROW()-1,설정!$L$21)&amp;""="0","",INDEX(원자료_잔고!$A$1:$EZ$1500,설정!$L$5+ROW()-1,설정!$L$21)&amp;""),"")</f>
        <v/>
      </c>
      <c r="O268" s="83" t="str">
        <f aca="false">IFERROR(IF(INDEX(원자료_잔고!$A$1:$EZ$1500,설정!$L$5+ROW()-1,설정!$L$22)&amp;""="0","",INDEX(원자료_잔고!$A$1:$EZ$1500,설정!$L$5+ROW()-1,설정!$L$22)&amp;""),"")</f>
        <v/>
      </c>
      <c r="P268" s="83" t="str">
        <f aca="false">IFERROR(IF(INDEX(원자료_잔고!$A$1:$EZ$1500,설정!$L$5+ROW()-1,설정!$L$23)&amp;""="0","",INDEX(원자료_잔고!$A$1:$EZ$1500,설정!$L$5+ROW()-1,설정!$L$23)&amp;""),"")</f>
        <v>BBB</v>
      </c>
      <c r="Q268" s="89" t="n">
        <f aca="false">IF(AND($A268&lt;&gt;"",ISNUMBER(E268)),IF(E268&gt;0,1,0),0)</f>
        <v>1</v>
      </c>
      <c r="R268" s="43" t="str">
        <f aca="false">IF(Q268=1,UPPER(LEFT($A268,FIND(" ",$A268&amp;" ")-1)),"")</f>
        <v>DAESEC</v>
      </c>
      <c r="S268" s="89" t="n">
        <f aca="false">IF(Q268=1,IF(OR(ISNUMBER(SEARCH("Float",$A268)),ISNUMBER(SEARCH("FRN",$A268))),1,0),0)</f>
        <v>0</v>
      </c>
      <c r="T268" s="43" t="str">
        <f aca="false">IF(AND(Q268=1,ISNUMBER(I268)),TEXT(I268,"yyyymmdd")&amp;"|"&amp;IF(S268=1,"F",TEXT(J268,"0.000")),"")</f>
        <v>20290311|4.250</v>
      </c>
      <c r="U268" s="90" t="n">
        <f aca="false">IF(AND(Q268=1,ISNUMBER(I268)),(I268-설정!$C$4)/365.25,"")</f>
        <v>2.44216290212183</v>
      </c>
      <c r="V268" s="43" t="str">
        <f aca="false">IF(Q268&lt;&gt;1,"",IF(ISNUMBER(U268),IF(U268&lt;=1,"1년 이하",IF(U268&lt;=2,"1-2년",IF(U268&lt;=3,"2-3년",IF(U268&lt;=4,"3-4년",IF(U268&lt;=5,"4-5년",IF(U268&lt;=7,"5-7년",IF(U268&lt;=10,"7-10년",IF(U268&lt;=20,"10-20년","20년 이상")))))))),"미분류"))</f>
        <v>2-3년</v>
      </c>
      <c r="W268" s="43" t="str">
        <f aca="false">IF(Q268&lt;&gt;1,"",IF(AB268&lt;&gt;"",INDEX(시장분석!$C:$C,AB268),IF(K268=1,"USD","비USD")))</f>
        <v>USD</v>
      </c>
      <c r="X268" s="91" t="n">
        <f aca="false">IF(Q268=1,E268*K268/1000000,0)</f>
        <v>10</v>
      </c>
      <c r="Y268" s="89" t="n">
        <f aca="false">IF(R268="T",1,0)</f>
        <v>0</v>
      </c>
      <c r="Z268" s="92" t="n">
        <f aca="false">IF(Q268&lt;&gt;1,"",IF(AD268=1,IF(ISNUMBER(U268),MAX(U268,0),H268),H268))</f>
        <v>2.2316</v>
      </c>
      <c r="AA268" s="91" t="n">
        <f aca="false">IF(Q268=1,IF(ISNUMBER(L268),L268,0)*K268/1000000,0)</f>
        <v>9.66151</v>
      </c>
      <c r="AB268" s="89" t="n">
        <f aca="false">IF(Q268&lt;&gt;1,"",IFERROR(MATCH(VLOOKUP(B268,매핑!$H$4:$I$15,2,0),시장분석!$A$2:$A$601,0)+1,IFERROR(MATCH(R268&amp;"|"&amp;T268,시장분석!$V$2:$V$601,0)+1,IF(COUNTIF(시장분석!$U$2:$U$601,T268)=1,MATCH(T268,시장분석!$U$2:$U$601,0)+1,""))))</f>
        <v>253</v>
      </c>
      <c r="AC268" s="89" t="n">
        <f aca="false">IF(Q268&lt;&gt;1,0,IF(OR(설정!$C$5="전체",AND(설정!$C$5="선택펀드",IFERROR(COUNTIFS(설정!$F$16:$F$36,C268,설정!$G$16:$G$36,"Y")+COUNTIFS(설정!$F$16:$F$36,VALUE(C268),설정!$G$16:$G$36,"Y"),0)&gt;0),C268&amp;""=설정!$C$5&amp;""),1,0))</f>
        <v>1</v>
      </c>
      <c r="AD268" s="89" t="n">
        <f aca="false">IF(Q268&lt;&gt;1,0,IF(OR(S268=1,IF(AB268="",FALSE(),INDEX(시장분석!$R:$R,AB268)=1)),1,0))</f>
        <v>0</v>
      </c>
      <c r="AE268" s="43" t="str">
        <f aca="false">IF(AB268="","",INDEX(시장분석!$A:$A,AB268))</f>
        <v>DAESEC 4 1/4 03/11/29</v>
      </c>
      <c r="AF268" s="93" t="n">
        <f aca="false">IF(AB268="","",IF(ISNUMBER(IF(AB268="","",INDEX(시장분석!$E:$E,AB268))),IF(AB268="","",INDEX(시장분석!$E:$E,AB268)),""))</f>
        <v>76.351</v>
      </c>
      <c r="AG268" s="43" t="str">
        <f aca="false">IF(Q268&lt;&gt;1,"",IF(AB268&lt;&gt;"",IF(AB268="","",INDEX(시장분석!$L:$L,AB268)),IFERROR(IF(VLOOKUP(R268,매핑!$A$4:$E$92,5,0)="","미분류",VLOOKUP(R268,매핑!$A$4:$E$92,5,0)),"미분류")))</f>
        <v>금융기관</v>
      </c>
      <c r="AH268" s="43" t="str">
        <f aca="false">IF(Q268&lt;&gt;1,"",IF(AB268&lt;&gt;"",IF(AB268="","",INDEX(시장분석!$N:$N,AB268)),IFERROR(IF(VLOOKUP(R268,매핑!$A$4:$E$92,4,0)="","미분류",VLOOKUP(R268,매핑!$A$4:$E$92,4,0)),"미분류")))</f>
        <v>아시아/기타</v>
      </c>
      <c r="AI268" s="43" t="str">
        <f aca="false">IF(Q268&lt;&gt;1,"",IFERROR(IF(VLOOKUP(R268,매핑!$A$4:$E$92,3,0)="","미분류",VLOOKUP(R268,매핑!$A$4:$E$92,3,0)),IF(AB268&lt;&gt;"",IF(AB268="","",INDEX(시장분석!$W:$W,AB268)),"미분류")))</f>
        <v>한국</v>
      </c>
      <c r="AJ268" s="43" t="str">
        <f aca="false">IF(Q268&lt;&gt;1,"",IFERROR(VLOOKUP(IF(N268&lt;&gt;"",N268,IF(P268&lt;&gt;"",P268,O268)),설정!$A$15:$D$47,2,0),""))</f>
        <v>BBB</v>
      </c>
      <c r="AK268" s="43" t="str">
        <f aca="false">IF(Q268&lt;&gt;1,"",IF(AJ268="","무등급",IFERROR(VLOOKUP(AJ268,설정!$A$15:$D$47,3,0),"무등급")))</f>
        <v>BBB</v>
      </c>
      <c r="AL268" s="89" t="n">
        <f aca="false">IF(AJ268="",99,IFERROR(VLOOKUP(AJ268,설정!$A$15:$D$47,4,0),99))</f>
        <v>9</v>
      </c>
      <c r="AM268" s="94" t="n">
        <f aca="false">IF(ISNUMBER(H268),AA268*1000000*H268/10000,0)</f>
        <v>2156.0625716</v>
      </c>
      <c r="AN268" s="94" t="n">
        <f aca="false">IF(OR(Y268=1,NOT(ISNUMBER(Z268))),0,AA268*1000000*Z268/10000)</f>
        <v>2156.0625716</v>
      </c>
      <c r="AO268" s="94" t="n">
        <f aca="false">IF(ISNUMBER(G268),AA268*1000000*G268/100,0)</f>
        <v>555546.48651</v>
      </c>
      <c r="AP268" s="94" t="n">
        <f aca="false">IF(ISNUMBER(M268),M268*K268,0)</f>
        <v>-235305.7</v>
      </c>
      <c r="AQ268" s="95" t="n">
        <f aca="false">IF(AB268="","",INDEX(시장분석!$AK:$AK,AB268))</f>
        <v>0.706592462740676</v>
      </c>
      <c r="AR268" s="43" t="str">
        <f aca="false">IF(AB268="","-",IF(AB268="","",INDEX(시장분석!$AL:$AL,AB268)))</f>
        <v>Fair</v>
      </c>
      <c r="AS268" s="96" t="n">
        <f aca="false">IF(AB268="","",INDEX(시장분석!$AJ:$AJ,AB268))</f>
        <v>14.4664826457201</v>
      </c>
      <c r="AT268" s="93" t="n">
        <f aca="false">IF(AB268="",0,IF(AB268="","",INDEX(시장분석!$AN:$AN,AB268)))</f>
        <v>7.80834525298121</v>
      </c>
      <c r="AU268" s="94" t="n">
        <f aca="false">IF(ISNUMBER(Z268),AT268/10000*MAX(Z268-1,0)*AA268*1000000,0)</f>
        <v>9291.24037157027</v>
      </c>
      <c r="AV268" s="94" t="n">
        <f aca="false">AO268+AU268</f>
        <v>564837.72688157</v>
      </c>
      <c r="AW268" s="43" t="str">
        <f aca="false">IF(Q268&lt;&gt;1,"",TRIM(IF(AD268=1,"FRN ","")&amp;IF(AND(AL268&gt;=10,AL268&lt;99),"BBB0미만 ","")&amp;IF(AJ268="","등급없음 ","")&amp;IF(K268&lt;&gt;1,"비USD ","")&amp;IF(AND(AB268="",Y268=0),"시장데이터없음 ","")&amp;IF(AND(ISNUMBER(U268),U268&lt;0),"만기경과 ","")))</f>
        <v/>
      </c>
      <c r="AX268" s="90" t="n">
        <f aca="false">IF(Q268&lt;&gt;1,1,IF(스프레드쇼크!$C$4="Y",INDEX(스프레드쇼크!$B$12:$L$16,IFERROR(MATCH(AH268,스프레드쇼크!$A$12:$A$16,0),MATCH("목록외",스프레드쇼크!$A$12:$A$16,0)),IFERROR(MATCH(AG268,스프레드쇼크!$B$11:$L$11,0),MATCH("목록외",스프레드쇼크!$B$11:$L$11,0))),1))</f>
        <v>1</v>
      </c>
      <c r="AY268" s="90" t="n">
        <f aca="false">IF(스프레드쇼크!$C$5="Y",IF(ISNUMBER(AF268),MIN(스프레드쇼크!$C$7,MAX(스프레드쇼크!$C$6,AF268/스프레드쇼크!$C$8)),1),1)</f>
        <v>1.15483850580299</v>
      </c>
      <c r="AZ268" s="94" t="n">
        <f aca="false">AN268*AX268*AY268</f>
        <v>2489.90407860429</v>
      </c>
      <c r="BA268" s="90" t="n">
        <f aca="false">IF(ISNUMBER(G268),AA268*G268,0)</f>
        <v>55.554648651</v>
      </c>
      <c r="BB268" s="90" t="n">
        <f aca="false">IF(ISNUMBER(G268),AA268,0)</f>
        <v>9.66151</v>
      </c>
      <c r="BC268" s="90" t="n">
        <f aca="false">IF(AND(Y268=0,ISNUMBER(AF268)),AA268*AF268,0)</f>
        <v>737.66595001</v>
      </c>
      <c r="BD268" s="90" t="n">
        <f aca="false">IF(AND(Y268=0,ISNUMBER(AF268)),AA268,0)</f>
        <v>9.66151</v>
      </c>
      <c r="BE268" s="90" t="n">
        <f aca="false">IF(ISNUMBER(H268),AA268*H268,0)</f>
        <v>21.560625716</v>
      </c>
      <c r="BF268" s="90" t="n">
        <f aca="false">IF(ISNUMBER(H268),AA268,0)</f>
        <v>9.66151</v>
      </c>
      <c r="BG268" s="90" t="n">
        <f aca="false">IF(AND(Y268=0,ISNUMBER(AF268),ISNUMBER(Z268)),AA268*Z268,0)</f>
        <v>21.560625716</v>
      </c>
      <c r="BH268" s="90" t="n">
        <f aca="false">IF(AND(Y268=0,ISNUMBER(AF268),ISNUMBER(Z268)),AA268*AT268*MAX(Z268-1,0),0)</f>
        <v>92.9124037157027</v>
      </c>
      <c r="BI268" s="90" t="n">
        <f aca="false">IF(Y268=0,AA268,0)</f>
        <v>9.66151</v>
      </c>
    </row>
    <row r="269" customFormat="false" ht="15" hidden="false" customHeight="false" outlineLevel="0" collapsed="false">
      <c r="A269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69" s="83" t="str">
        <f aca="false">IFERROR(IF(INDEX(원자료_잔고!$A$1:$EZ$1500,설정!$L$5+ROW()-1,설정!$L$7)&amp;""="0","",INDEX(원자료_잔고!$A$1:$EZ$1500,설정!$L$5+ROW()-1,설정!$L$7)&amp;""),"")</f>
        <v>XS3299373996</v>
      </c>
      <c r="C269" s="83" t="str">
        <f aca="false">IFERROR(IF(INDEX(원자료_잔고!$A$1:$EZ$1500,설정!$L$5+ROW()-1,설정!$L$9)&amp;""="0","",INDEX(원자료_잔고!$A$1:$EZ$1500,설정!$L$5+ROW()-1,설정!$L$9)&amp;""),"")</f>
        <v>34578</v>
      </c>
      <c r="D26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69" s="84" t="n">
        <f aca="false">IFERROR(IF(ISNUMBER(INDEX(원자료_잔고!$A$1:$EZ$1500,설정!$L$5+ROW()-1,설정!$L$11)),INDEX(원자료_잔고!$A$1:$EZ$1500,설정!$L$5+ROW()-1,설정!$L$11),""),"")</f>
        <v>9500000</v>
      </c>
      <c r="F269" s="85" t="n">
        <f aca="false">IFERROR(IF(ISNUMBER(INDEX(원자료_잔고!$A$1:$EZ$1500,설정!$L$5+ROW()-1,설정!$L$12)),INDEX(원자료_잔고!$A$1:$EZ$1500,설정!$L$5+ROW()-1,설정!$L$12),""),"")</f>
        <v>96.6151</v>
      </c>
      <c r="G269" s="85" t="n">
        <f aca="false">IFERROR(IF(ISNUMBER(INDEX(원자료_잔고!$A$1:$EZ$1500,설정!$L$5+ROW()-1,설정!$L$13)),INDEX(원자료_잔고!$A$1:$EZ$1500,설정!$L$5+ROW()-1,설정!$L$13),""),"")</f>
        <v>5.7501</v>
      </c>
      <c r="H269" s="85" t="n">
        <f aca="false">IFERROR(IF(ISNUMBER(INDEX(원자료_잔고!$A$1:$EZ$1500,설정!$L$5+ROW()-1,설정!$L$14)),INDEX(원자료_잔고!$A$1:$EZ$1500,설정!$L$5+ROW()-1,설정!$L$14),""),"")</f>
        <v>2.2316</v>
      </c>
      <c r="I269" s="86" t="n">
        <f aca="false">IFERROR(IF(ISNUMBER(INDEX(원자료_잔고!$A$1:$EZ$1500,설정!$L$5+ROW()-1,설정!$L$15)),INDEX(원자료_잔고!$A$1:$EZ$1500,설정!$L$5+ROW()-1,설정!$L$15),""),"")</f>
        <v>47188</v>
      </c>
      <c r="J269" s="85" t="n">
        <f aca="false">IFERROR(IF(ISNUMBER(INDEX(원자료_잔고!$A$1:$EZ$1500,설정!$L$5+ROW()-1,설정!$L$16)),INDEX(원자료_잔고!$A$1:$EZ$1500,설정!$L$5+ROW()-1,설정!$L$16),""),"")</f>
        <v>4.25</v>
      </c>
      <c r="K269" s="87" t="n">
        <f aca="false">IFERROR(IF(ISNUMBER(INDEX(원자료_잔고!$A$1:$EZ$1500,설정!$L$5+ROW()-1,설정!$L$17)),INDEX(원자료_잔고!$A$1:$EZ$1500,설정!$L$5+ROW()-1,설정!$L$17),""),"")</f>
        <v>1</v>
      </c>
      <c r="L269" s="84" t="n">
        <f aca="false">IFERROR(IF(ISNUMBER(INDEX(원자료_잔고!$A$1:$EZ$1500,설정!$L$5+ROW()-1,설정!$L$18)),INDEX(원자료_잔고!$A$1:$EZ$1500,설정!$L$5+ROW()-1,설정!$L$18),""),"")</f>
        <v>9178434.5</v>
      </c>
      <c r="M269" s="88" t="n">
        <f aca="false">IFERROR(IF(ISNUMBER(INDEX(원자료_잔고!$A$1:$EZ$1500,설정!$L$5+ROW()-1,설정!$L$19)),INDEX(원자료_잔고!$A$1:$EZ$1500,설정!$L$5+ROW()-1,설정!$L$19),""),"")</f>
        <v>-213280.41</v>
      </c>
      <c r="N269" s="83" t="str">
        <f aca="false">IFERROR(IF(INDEX(원자료_잔고!$A$1:$EZ$1500,설정!$L$5+ROW()-1,설정!$L$21)&amp;""="0","",INDEX(원자료_잔고!$A$1:$EZ$1500,설정!$L$5+ROW()-1,설정!$L$21)&amp;""),"")</f>
        <v/>
      </c>
      <c r="O269" s="83" t="str">
        <f aca="false">IFERROR(IF(INDEX(원자료_잔고!$A$1:$EZ$1500,설정!$L$5+ROW()-1,설정!$L$22)&amp;""="0","",INDEX(원자료_잔고!$A$1:$EZ$1500,설정!$L$5+ROW()-1,설정!$L$22)&amp;""),"")</f>
        <v/>
      </c>
      <c r="P269" s="83" t="str">
        <f aca="false">IFERROR(IF(INDEX(원자료_잔고!$A$1:$EZ$1500,설정!$L$5+ROW()-1,설정!$L$23)&amp;""="0","",INDEX(원자료_잔고!$A$1:$EZ$1500,설정!$L$5+ROW()-1,설정!$L$23)&amp;""),"")</f>
        <v>BBB</v>
      </c>
      <c r="Q269" s="89" t="n">
        <f aca="false">IF(AND($A269&lt;&gt;"",ISNUMBER(E269)),IF(E269&gt;0,1,0),0)</f>
        <v>1</v>
      </c>
      <c r="R269" s="43" t="str">
        <f aca="false">IF(Q269=1,UPPER(LEFT($A269,FIND(" ",$A269&amp;" ")-1)),"")</f>
        <v>DAESEC</v>
      </c>
      <c r="S269" s="89" t="n">
        <f aca="false">IF(Q269=1,IF(OR(ISNUMBER(SEARCH("Float",$A269)),ISNUMBER(SEARCH("FRN",$A269))),1,0),0)</f>
        <v>0</v>
      </c>
      <c r="T269" s="43" t="str">
        <f aca="false">IF(AND(Q269=1,ISNUMBER(I269)),TEXT(I269,"yyyymmdd")&amp;"|"&amp;IF(S269=1,"F",TEXT(J269,"0.000")),"")</f>
        <v>20290311|4.250</v>
      </c>
      <c r="U269" s="90" t="n">
        <f aca="false">IF(AND(Q269=1,ISNUMBER(I269)),(I269-설정!$C$4)/365.25,"")</f>
        <v>2.44216290212183</v>
      </c>
      <c r="V269" s="43" t="str">
        <f aca="false">IF(Q269&lt;&gt;1,"",IF(ISNUMBER(U269),IF(U269&lt;=1,"1년 이하",IF(U269&lt;=2,"1-2년",IF(U269&lt;=3,"2-3년",IF(U269&lt;=4,"3-4년",IF(U269&lt;=5,"4-5년",IF(U269&lt;=7,"5-7년",IF(U269&lt;=10,"7-10년",IF(U269&lt;=20,"10-20년","20년 이상")))))))),"미분류"))</f>
        <v>2-3년</v>
      </c>
      <c r="W269" s="43" t="str">
        <f aca="false">IF(Q269&lt;&gt;1,"",IF(AB269&lt;&gt;"",INDEX(시장분석!$C:$C,AB269),IF(K269=1,"USD","비USD")))</f>
        <v>USD</v>
      </c>
      <c r="X269" s="91" t="n">
        <f aca="false">IF(Q269=1,E269*K269/1000000,0)</f>
        <v>9.5</v>
      </c>
      <c r="Y269" s="89" t="n">
        <f aca="false">IF(R269="T",1,0)</f>
        <v>0</v>
      </c>
      <c r="Z269" s="92" t="n">
        <f aca="false">IF(Q269&lt;&gt;1,"",IF(AD269=1,IF(ISNUMBER(U269),MAX(U269,0),H269),H269))</f>
        <v>2.2316</v>
      </c>
      <c r="AA269" s="91" t="n">
        <f aca="false">IF(Q269=1,IF(ISNUMBER(L269),L269,0)*K269/1000000,0)</f>
        <v>9.1784345</v>
      </c>
      <c r="AB269" s="89" t="n">
        <f aca="false">IF(Q269&lt;&gt;1,"",IFERROR(MATCH(VLOOKUP(B269,매핑!$H$4:$I$15,2,0),시장분석!$A$2:$A$601,0)+1,IFERROR(MATCH(R269&amp;"|"&amp;T269,시장분석!$V$2:$V$601,0)+1,IF(COUNTIF(시장분석!$U$2:$U$601,T269)=1,MATCH(T269,시장분석!$U$2:$U$601,0)+1,""))))</f>
        <v>253</v>
      </c>
      <c r="AC269" s="89" t="n">
        <f aca="false">IF(Q269&lt;&gt;1,0,IF(OR(설정!$C$5="전체",AND(설정!$C$5="선택펀드",IFERROR(COUNTIFS(설정!$F$16:$F$36,C269,설정!$G$16:$G$36,"Y")+COUNTIFS(설정!$F$16:$F$36,VALUE(C269),설정!$G$16:$G$36,"Y"),0)&gt;0),C269&amp;""=설정!$C$5&amp;""),1,0))</f>
        <v>1</v>
      </c>
      <c r="AD269" s="89" t="n">
        <f aca="false">IF(Q269&lt;&gt;1,0,IF(OR(S269=1,IF(AB269="",FALSE(),INDEX(시장분석!$R:$R,AB269)=1)),1,0))</f>
        <v>0</v>
      </c>
      <c r="AE269" s="43" t="str">
        <f aca="false">IF(AB269="","",INDEX(시장분석!$A:$A,AB269))</f>
        <v>DAESEC 4 1/4 03/11/29</v>
      </c>
      <c r="AF269" s="93" t="n">
        <f aca="false">IF(AB269="","",IF(ISNUMBER(IF(AB269="","",INDEX(시장분석!$E:$E,AB269))),IF(AB269="","",INDEX(시장분석!$E:$E,AB269)),""))</f>
        <v>76.351</v>
      </c>
      <c r="AG269" s="43" t="str">
        <f aca="false">IF(Q269&lt;&gt;1,"",IF(AB269&lt;&gt;"",IF(AB269="","",INDEX(시장분석!$L:$L,AB269)),IFERROR(IF(VLOOKUP(R269,매핑!$A$4:$E$92,5,0)="","미분류",VLOOKUP(R269,매핑!$A$4:$E$92,5,0)),"미분류")))</f>
        <v>금융기관</v>
      </c>
      <c r="AH269" s="43" t="str">
        <f aca="false">IF(Q269&lt;&gt;1,"",IF(AB269&lt;&gt;"",IF(AB269="","",INDEX(시장분석!$N:$N,AB269)),IFERROR(IF(VLOOKUP(R269,매핑!$A$4:$E$92,4,0)="","미분류",VLOOKUP(R269,매핑!$A$4:$E$92,4,0)),"미분류")))</f>
        <v>아시아/기타</v>
      </c>
      <c r="AI269" s="43" t="str">
        <f aca="false">IF(Q269&lt;&gt;1,"",IFERROR(IF(VLOOKUP(R269,매핑!$A$4:$E$92,3,0)="","미분류",VLOOKUP(R269,매핑!$A$4:$E$92,3,0)),IF(AB269&lt;&gt;"",IF(AB269="","",INDEX(시장분석!$W:$W,AB269)),"미분류")))</f>
        <v>한국</v>
      </c>
      <c r="AJ269" s="43" t="str">
        <f aca="false">IF(Q269&lt;&gt;1,"",IFERROR(VLOOKUP(IF(N269&lt;&gt;"",N269,IF(P269&lt;&gt;"",P269,O269)),설정!$A$15:$D$47,2,0),""))</f>
        <v>BBB</v>
      </c>
      <c r="AK269" s="43" t="str">
        <f aca="false">IF(Q269&lt;&gt;1,"",IF(AJ269="","무등급",IFERROR(VLOOKUP(AJ269,설정!$A$15:$D$47,3,0),"무등급")))</f>
        <v>BBB</v>
      </c>
      <c r="AL269" s="89" t="n">
        <f aca="false">IF(AJ269="",99,IFERROR(VLOOKUP(AJ269,설정!$A$15:$D$47,4,0),99))</f>
        <v>9</v>
      </c>
      <c r="AM269" s="94" t="n">
        <f aca="false">IF(ISNUMBER(H269),AA269*1000000*H269/10000,0)</f>
        <v>2048.25944302</v>
      </c>
      <c r="AN269" s="94" t="n">
        <f aca="false">IF(OR(Y269=1,NOT(ISNUMBER(Z269))),0,AA269*1000000*Z269/10000)</f>
        <v>2048.25944302</v>
      </c>
      <c r="AO269" s="94" t="n">
        <f aca="false">IF(ISNUMBER(G269),AA269*1000000*G269/100,0)</f>
        <v>527769.1621845</v>
      </c>
      <c r="AP269" s="94" t="n">
        <f aca="false">IF(ISNUMBER(M269),M269*K269,0)</f>
        <v>-213280.41</v>
      </c>
      <c r="AQ269" s="95" t="n">
        <f aca="false">IF(AB269="","",INDEX(시장분석!$AK:$AK,AB269))</f>
        <v>0.706592462740676</v>
      </c>
      <c r="AR269" s="43" t="str">
        <f aca="false">IF(AB269="","-",IF(AB269="","",INDEX(시장분석!$AL:$AL,AB269)))</f>
        <v>Fair</v>
      </c>
      <c r="AS269" s="96" t="n">
        <f aca="false">IF(AB269="","",INDEX(시장분석!$AJ:$AJ,AB269))</f>
        <v>14.4664826457201</v>
      </c>
      <c r="AT269" s="93" t="n">
        <f aca="false">IF(AB269="",0,IF(AB269="","",INDEX(시장분석!$AN:$AN,AB269)))</f>
        <v>7.80834525298121</v>
      </c>
      <c r="AU269" s="94" t="n">
        <f aca="false">IF(ISNUMBER(Z269),AT269/10000*MAX(Z269-1,0)*AA269*1000000,0)</f>
        <v>8826.67835299175</v>
      </c>
      <c r="AV269" s="94" t="n">
        <f aca="false">AO269+AU269</f>
        <v>536595.840537492</v>
      </c>
      <c r="AW269" s="43" t="str">
        <f aca="false">IF(Q269&lt;&gt;1,"",TRIM(IF(AD269=1,"FRN ","")&amp;IF(AND(AL269&gt;=10,AL269&lt;99),"BBB0미만 ","")&amp;IF(AJ269="","등급없음 ","")&amp;IF(K269&lt;&gt;1,"비USD ","")&amp;IF(AND(AB269="",Y269=0),"시장데이터없음 ","")&amp;IF(AND(ISNUMBER(U269),U269&lt;0),"만기경과 ","")))</f>
        <v/>
      </c>
      <c r="AX269" s="90" t="n">
        <f aca="false">IF(Q269&lt;&gt;1,1,IF(스프레드쇼크!$C$4="Y",INDEX(스프레드쇼크!$B$12:$L$16,IFERROR(MATCH(AH269,스프레드쇼크!$A$12:$A$16,0),MATCH("목록외",스프레드쇼크!$A$12:$A$16,0)),IFERROR(MATCH(AG269,스프레드쇼크!$B$11:$L$11,0),MATCH("목록외",스프레드쇼크!$B$11:$L$11,0))),1))</f>
        <v>1</v>
      </c>
      <c r="AY269" s="90" t="n">
        <f aca="false">IF(스프레드쇼크!$C$5="Y",IF(ISNUMBER(AF269),MIN(스프레드쇼크!$C$7,MAX(스프레드쇼크!$C$6,AF269/스프레드쇼크!$C$8)),1),1)</f>
        <v>1.15483850580299</v>
      </c>
      <c r="AZ269" s="94" t="n">
        <f aca="false">AN269*AX269*AY269</f>
        <v>2365.40887467408</v>
      </c>
      <c r="BA269" s="90" t="n">
        <f aca="false">IF(ISNUMBER(G269),AA269*G269,0)</f>
        <v>52.77691621845</v>
      </c>
      <c r="BB269" s="90" t="n">
        <f aca="false">IF(ISNUMBER(G269),AA269,0)</f>
        <v>9.1784345</v>
      </c>
      <c r="BC269" s="90" t="n">
        <f aca="false">IF(AND(Y269=0,ISNUMBER(AF269)),AA269*AF269,0)</f>
        <v>700.7826525095</v>
      </c>
      <c r="BD269" s="90" t="n">
        <f aca="false">IF(AND(Y269=0,ISNUMBER(AF269)),AA269,0)</f>
        <v>9.1784345</v>
      </c>
      <c r="BE269" s="90" t="n">
        <f aca="false">IF(ISNUMBER(H269),AA269*H269,0)</f>
        <v>20.4825944302</v>
      </c>
      <c r="BF269" s="90" t="n">
        <f aca="false">IF(ISNUMBER(H269),AA269,0)</f>
        <v>9.1784345</v>
      </c>
      <c r="BG269" s="90" t="n">
        <f aca="false">IF(AND(Y269=0,ISNUMBER(AF269),ISNUMBER(Z269)),AA269*Z269,0)</f>
        <v>20.4825944302</v>
      </c>
      <c r="BH269" s="90" t="n">
        <f aca="false">IF(AND(Y269=0,ISNUMBER(AF269),ISNUMBER(Z269)),AA269*AT269*MAX(Z269-1,0),0)</f>
        <v>88.2667835299175</v>
      </c>
      <c r="BI269" s="90" t="n">
        <f aca="false">IF(Y269=0,AA269,0)</f>
        <v>9.1784345</v>
      </c>
    </row>
    <row r="270" customFormat="false" ht="15" hidden="false" customHeight="false" outlineLevel="0" collapsed="false">
      <c r="A270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70" s="83" t="str">
        <f aca="false">IFERROR(IF(INDEX(원자료_잔고!$A$1:$EZ$1500,설정!$L$5+ROW()-1,설정!$L$7)&amp;""="0","",INDEX(원자료_잔고!$A$1:$EZ$1500,설정!$L$5+ROW()-1,설정!$L$7)&amp;""),"")</f>
        <v>XS3299373996</v>
      </c>
      <c r="C270" s="83" t="str">
        <f aca="false">IFERROR(IF(INDEX(원자료_잔고!$A$1:$EZ$1500,설정!$L$5+ROW()-1,설정!$L$9)&amp;""="0","",INDEX(원자료_잔고!$A$1:$EZ$1500,설정!$L$5+ROW()-1,설정!$L$9)&amp;""),"")</f>
        <v>34578</v>
      </c>
      <c r="D27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0" s="84" t="n">
        <f aca="false">IFERROR(IF(ISNUMBER(INDEX(원자료_잔고!$A$1:$EZ$1500,설정!$L$5+ROW()-1,설정!$L$11)),INDEX(원자료_잔고!$A$1:$EZ$1500,설정!$L$5+ROW()-1,설정!$L$11),""),"")</f>
        <v>1000000</v>
      </c>
      <c r="F270" s="85" t="n">
        <f aca="false">IFERROR(IF(ISNUMBER(INDEX(원자료_잔고!$A$1:$EZ$1500,설정!$L$5+ROW()-1,설정!$L$12)),INDEX(원자료_잔고!$A$1:$EZ$1500,설정!$L$5+ROW()-1,설정!$L$12),""),"")</f>
        <v>96.6151</v>
      </c>
      <c r="G270" s="85" t="n">
        <f aca="false">IFERROR(IF(ISNUMBER(INDEX(원자료_잔고!$A$1:$EZ$1500,설정!$L$5+ROW()-1,설정!$L$13)),INDEX(원자료_잔고!$A$1:$EZ$1500,설정!$L$5+ROW()-1,설정!$L$13),""),"")</f>
        <v>5.7501</v>
      </c>
      <c r="H270" s="85" t="n">
        <f aca="false">IFERROR(IF(ISNUMBER(INDEX(원자료_잔고!$A$1:$EZ$1500,설정!$L$5+ROW()-1,설정!$L$14)),INDEX(원자료_잔고!$A$1:$EZ$1500,설정!$L$5+ROW()-1,설정!$L$14),""),"")</f>
        <v>2.2316</v>
      </c>
      <c r="I270" s="86" t="n">
        <f aca="false">IFERROR(IF(ISNUMBER(INDEX(원자료_잔고!$A$1:$EZ$1500,설정!$L$5+ROW()-1,설정!$L$15)),INDEX(원자료_잔고!$A$1:$EZ$1500,설정!$L$5+ROW()-1,설정!$L$15),""),"")</f>
        <v>47188</v>
      </c>
      <c r="J270" s="85" t="n">
        <f aca="false">IFERROR(IF(ISNUMBER(INDEX(원자료_잔고!$A$1:$EZ$1500,설정!$L$5+ROW()-1,설정!$L$16)),INDEX(원자료_잔고!$A$1:$EZ$1500,설정!$L$5+ROW()-1,설정!$L$16),""),"")</f>
        <v>4.25</v>
      </c>
      <c r="K270" s="87" t="n">
        <f aca="false">IFERROR(IF(ISNUMBER(INDEX(원자료_잔고!$A$1:$EZ$1500,설정!$L$5+ROW()-1,설정!$L$17)),INDEX(원자료_잔고!$A$1:$EZ$1500,설정!$L$5+ROW()-1,설정!$L$17),""),"")</f>
        <v>1</v>
      </c>
      <c r="L270" s="84" t="n">
        <f aca="false">IFERROR(IF(ISNUMBER(INDEX(원자료_잔고!$A$1:$EZ$1500,설정!$L$5+ROW()-1,설정!$L$18)),INDEX(원자료_잔고!$A$1:$EZ$1500,설정!$L$5+ROW()-1,설정!$L$18),""),"")</f>
        <v>966151</v>
      </c>
      <c r="M270" s="88" t="n">
        <f aca="false">IFERROR(IF(ISNUMBER(INDEX(원자료_잔고!$A$1:$EZ$1500,설정!$L$5+ROW()-1,설정!$L$19)),INDEX(원자료_잔고!$A$1:$EZ$1500,설정!$L$5+ROW()-1,설정!$L$19),""),"")</f>
        <v>-22880.57</v>
      </c>
      <c r="N270" s="83" t="str">
        <f aca="false">IFERROR(IF(INDEX(원자료_잔고!$A$1:$EZ$1500,설정!$L$5+ROW()-1,설정!$L$21)&amp;""="0","",INDEX(원자료_잔고!$A$1:$EZ$1500,설정!$L$5+ROW()-1,설정!$L$21)&amp;""),"")</f>
        <v/>
      </c>
      <c r="O270" s="83" t="str">
        <f aca="false">IFERROR(IF(INDEX(원자료_잔고!$A$1:$EZ$1500,설정!$L$5+ROW()-1,설정!$L$22)&amp;""="0","",INDEX(원자료_잔고!$A$1:$EZ$1500,설정!$L$5+ROW()-1,설정!$L$22)&amp;""),"")</f>
        <v/>
      </c>
      <c r="P270" s="83" t="str">
        <f aca="false">IFERROR(IF(INDEX(원자료_잔고!$A$1:$EZ$1500,설정!$L$5+ROW()-1,설정!$L$23)&amp;""="0","",INDEX(원자료_잔고!$A$1:$EZ$1500,설정!$L$5+ROW()-1,설정!$L$23)&amp;""),"")</f>
        <v>BBB</v>
      </c>
      <c r="Q270" s="89" t="n">
        <f aca="false">IF(AND($A270&lt;&gt;"",ISNUMBER(E270)),IF(E270&gt;0,1,0),0)</f>
        <v>1</v>
      </c>
      <c r="R270" s="43" t="str">
        <f aca="false">IF(Q270=1,UPPER(LEFT($A270,FIND(" ",$A270&amp;" ")-1)),"")</f>
        <v>DAESEC</v>
      </c>
      <c r="S270" s="89" t="n">
        <f aca="false">IF(Q270=1,IF(OR(ISNUMBER(SEARCH("Float",$A270)),ISNUMBER(SEARCH("FRN",$A270))),1,0),0)</f>
        <v>0</v>
      </c>
      <c r="T270" s="43" t="str">
        <f aca="false">IF(AND(Q270=1,ISNUMBER(I270)),TEXT(I270,"yyyymmdd")&amp;"|"&amp;IF(S270=1,"F",TEXT(J270,"0.000")),"")</f>
        <v>20290311|4.250</v>
      </c>
      <c r="U270" s="90" t="n">
        <f aca="false">IF(AND(Q270=1,ISNUMBER(I270)),(I270-설정!$C$4)/365.25,"")</f>
        <v>2.44216290212183</v>
      </c>
      <c r="V270" s="43" t="str">
        <f aca="false">IF(Q270&lt;&gt;1,"",IF(ISNUMBER(U270),IF(U270&lt;=1,"1년 이하",IF(U270&lt;=2,"1-2년",IF(U270&lt;=3,"2-3년",IF(U270&lt;=4,"3-4년",IF(U270&lt;=5,"4-5년",IF(U270&lt;=7,"5-7년",IF(U270&lt;=10,"7-10년",IF(U270&lt;=20,"10-20년","20년 이상")))))))),"미분류"))</f>
        <v>2-3년</v>
      </c>
      <c r="W270" s="43" t="str">
        <f aca="false">IF(Q270&lt;&gt;1,"",IF(AB270&lt;&gt;"",INDEX(시장분석!$C:$C,AB270),IF(K270=1,"USD","비USD")))</f>
        <v>USD</v>
      </c>
      <c r="X270" s="91" t="n">
        <f aca="false">IF(Q270=1,E270*K270/1000000,0)</f>
        <v>1</v>
      </c>
      <c r="Y270" s="89" t="n">
        <f aca="false">IF(R270="T",1,0)</f>
        <v>0</v>
      </c>
      <c r="Z270" s="92" t="n">
        <f aca="false">IF(Q270&lt;&gt;1,"",IF(AD270=1,IF(ISNUMBER(U270),MAX(U270,0),H270),H270))</f>
        <v>2.2316</v>
      </c>
      <c r="AA270" s="91" t="n">
        <f aca="false">IF(Q270=1,IF(ISNUMBER(L270),L270,0)*K270/1000000,0)</f>
        <v>0.966151</v>
      </c>
      <c r="AB270" s="89" t="n">
        <f aca="false">IF(Q270&lt;&gt;1,"",IFERROR(MATCH(VLOOKUP(B270,매핑!$H$4:$I$15,2,0),시장분석!$A$2:$A$601,0)+1,IFERROR(MATCH(R270&amp;"|"&amp;T270,시장분석!$V$2:$V$601,0)+1,IF(COUNTIF(시장분석!$U$2:$U$601,T270)=1,MATCH(T270,시장분석!$U$2:$U$601,0)+1,""))))</f>
        <v>253</v>
      </c>
      <c r="AC270" s="89" t="n">
        <f aca="false">IF(Q270&lt;&gt;1,0,IF(OR(설정!$C$5="전체",AND(설정!$C$5="선택펀드",IFERROR(COUNTIFS(설정!$F$16:$F$36,C270,설정!$G$16:$G$36,"Y")+COUNTIFS(설정!$F$16:$F$36,VALUE(C270),설정!$G$16:$G$36,"Y"),0)&gt;0),C270&amp;""=설정!$C$5&amp;""),1,0))</f>
        <v>1</v>
      </c>
      <c r="AD270" s="89" t="n">
        <f aca="false">IF(Q270&lt;&gt;1,0,IF(OR(S270=1,IF(AB270="",FALSE(),INDEX(시장분석!$R:$R,AB270)=1)),1,0))</f>
        <v>0</v>
      </c>
      <c r="AE270" s="43" t="str">
        <f aca="false">IF(AB270="","",INDEX(시장분석!$A:$A,AB270))</f>
        <v>DAESEC 4 1/4 03/11/29</v>
      </c>
      <c r="AF270" s="93" t="n">
        <f aca="false">IF(AB270="","",IF(ISNUMBER(IF(AB270="","",INDEX(시장분석!$E:$E,AB270))),IF(AB270="","",INDEX(시장분석!$E:$E,AB270)),""))</f>
        <v>76.351</v>
      </c>
      <c r="AG270" s="43" t="str">
        <f aca="false">IF(Q270&lt;&gt;1,"",IF(AB270&lt;&gt;"",IF(AB270="","",INDEX(시장분석!$L:$L,AB270)),IFERROR(IF(VLOOKUP(R270,매핑!$A$4:$E$92,5,0)="","미분류",VLOOKUP(R270,매핑!$A$4:$E$92,5,0)),"미분류")))</f>
        <v>금융기관</v>
      </c>
      <c r="AH270" s="43" t="str">
        <f aca="false">IF(Q270&lt;&gt;1,"",IF(AB270&lt;&gt;"",IF(AB270="","",INDEX(시장분석!$N:$N,AB270)),IFERROR(IF(VLOOKUP(R270,매핑!$A$4:$E$92,4,0)="","미분류",VLOOKUP(R270,매핑!$A$4:$E$92,4,0)),"미분류")))</f>
        <v>아시아/기타</v>
      </c>
      <c r="AI270" s="43" t="str">
        <f aca="false">IF(Q270&lt;&gt;1,"",IFERROR(IF(VLOOKUP(R270,매핑!$A$4:$E$92,3,0)="","미분류",VLOOKUP(R270,매핑!$A$4:$E$92,3,0)),IF(AB270&lt;&gt;"",IF(AB270="","",INDEX(시장분석!$W:$W,AB270)),"미분류")))</f>
        <v>한국</v>
      </c>
      <c r="AJ270" s="43" t="str">
        <f aca="false">IF(Q270&lt;&gt;1,"",IFERROR(VLOOKUP(IF(N270&lt;&gt;"",N270,IF(P270&lt;&gt;"",P270,O270)),설정!$A$15:$D$47,2,0),""))</f>
        <v>BBB</v>
      </c>
      <c r="AK270" s="43" t="str">
        <f aca="false">IF(Q270&lt;&gt;1,"",IF(AJ270="","무등급",IFERROR(VLOOKUP(AJ270,설정!$A$15:$D$47,3,0),"무등급")))</f>
        <v>BBB</v>
      </c>
      <c r="AL270" s="89" t="n">
        <f aca="false">IF(AJ270="",99,IFERROR(VLOOKUP(AJ270,설정!$A$15:$D$47,4,0),99))</f>
        <v>9</v>
      </c>
      <c r="AM270" s="94" t="n">
        <f aca="false">IF(ISNUMBER(H270),AA270*1000000*H270/10000,0)</f>
        <v>215.60625716</v>
      </c>
      <c r="AN270" s="94" t="n">
        <f aca="false">IF(OR(Y270=1,NOT(ISNUMBER(Z270))),0,AA270*1000000*Z270/10000)</f>
        <v>215.60625716</v>
      </c>
      <c r="AO270" s="94" t="n">
        <f aca="false">IF(ISNUMBER(G270),AA270*1000000*G270/100,0)</f>
        <v>55554.648651</v>
      </c>
      <c r="AP270" s="94" t="n">
        <f aca="false">IF(ISNUMBER(M270),M270*K270,0)</f>
        <v>-22880.57</v>
      </c>
      <c r="AQ270" s="95" t="n">
        <f aca="false">IF(AB270="","",INDEX(시장분석!$AK:$AK,AB270))</f>
        <v>0.706592462740676</v>
      </c>
      <c r="AR270" s="43" t="str">
        <f aca="false">IF(AB270="","-",IF(AB270="","",INDEX(시장분석!$AL:$AL,AB270)))</f>
        <v>Fair</v>
      </c>
      <c r="AS270" s="96" t="n">
        <f aca="false">IF(AB270="","",INDEX(시장분석!$AJ:$AJ,AB270))</f>
        <v>14.4664826457201</v>
      </c>
      <c r="AT270" s="93" t="n">
        <f aca="false">IF(AB270="",0,IF(AB270="","",INDEX(시장분석!$AN:$AN,AB270)))</f>
        <v>7.80834525298121</v>
      </c>
      <c r="AU270" s="94" t="n">
        <f aca="false">IF(ISNUMBER(Z270),AT270/10000*MAX(Z270-1,0)*AA270*1000000,0)</f>
        <v>929.124037157027</v>
      </c>
      <c r="AV270" s="94" t="n">
        <f aca="false">AO270+AU270</f>
        <v>56483.772688157</v>
      </c>
      <c r="AW270" s="43" t="str">
        <f aca="false">IF(Q270&lt;&gt;1,"",TRIM(IF(AD270=1,"FRN ","")&amp;IF(AND(AL270&gt;=10,AL270&lt;99),"BBB0미만 ","")&amp;IF(AJ270="","등급없음 ","")&amp;IF(K270&lt;&gt;1,"비USD ","")&amp;IF(AND(AB270="",Y270=0),"시장데이터없음 ","")&amp;IF(AND(ISNUMBER(U270),U270&lt;0),"만기경과 ","")))</f>
        <v/>
      </c>
      <c r="AX270" s="90" t="n">
        <f aca="false">IF(Q270&lt;&gt;1,1,IF(스프레드쇼크!$C$4="Y",INDEX(스프레드쇼크!$B$12:$L$16,IFERROR(MATCH(AH270,스프레드쇼크!$A$12:$A$16,0),MATCH("목록외",스프레드쇼크!$A$12:$A$16,0)),IFERROR(MATCH(AG270,스프레드쇼크!$B$11:$L$11,0),MATCH("목록외",스프레드쇼크!$B$11:$L$11,0))),1))</f>
        <v>1</v>
      </c>
      <c r="AY270" s="90" t="n">
        <f aca="false">IF(스프레드쇼크!$C$5="Y",IF(ISNUMBER(AF270),MIN(스프레드쇼크!$C$7,MAX(스프레드쇼크!$C$6,AF270/스프레드쇼크!$C$8)),1),1)</f>
        <v>1.15483850580299</v>
      </c>
      <c r="AZ270" s="94" t="n">
        <f aca="false">AN270*AX270*AY270</f>
        <v>248.990407860429</v>
      </c>
      <c r="BA270" s="90" t="n">
        <f aca="false">IF(ISNUMBER(G270),AA270*G270,0)</f>
        <v>5.5554648651</v>
      </c>
      <c r="BB270" s="90" t="n">
        <f aca="false">IF(ISNUMBER(G270),AA270,0)</f>
        <v>0.966151</v>
      </c>
      <c r="BC270" s="90" t="n">
        <f aca="false">IF(AND(Y270=0,ISNUMBER(AF270)),AA270*AF270,0)</f>
        <v>73.766595001</v>
      </c>
      <c r="BD270" s="90" t="n">
        <f aca="false">IF(AND(Y270=0,ISNUMBER(AF270)),AA270,0)</f>
        <v>0.966151</v>
      </c>
      <c r="BE270" s="90" t="n">
        <f aca="false">IF(ISNUMBER(H270),AA270*H270,0)</f>
        <v>2.1560625716</v>
      </c>
      <c r="BF270" s="90" t="n">
        <f aca="false">IF(ISNUMBER(H270),AA270,0)</f>
        <v>0.966151</v>
      </c>
      <c r="BG270" s="90" t="n">
        <f aca="false">IF(AND(Y270=0,ISNUMBER(AF270),ISNUMBER(Z270)),AA270*Z270,0)</f>
        <v>2.1560625716</v>
      </c>
      <c r="BH270" s="90" t="n">
        <f aca="false">IF(AND(Y270=0,ISNUMBER(AF270),ISNUMBER(Z270)),AA270*AT270*MAX(Z270-1,0),0)</f>
        <v>9.29124037157027</v>
      </c>
      <c r="BI270" s="90" t="n">
        <f aca="false">IF(Y270=0,AA270,0)</f>
        <v>0.966151</v>
      </c>
    </row>
    <row r="271" customFormat="false" ht="15" hidden="false" customHeight="false" outlineLevel="0" collapsed="false">
      <c r="A271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71" s="83" t="str">
        <f aca="false">IFERROR(IF(INDEX(원자료_잔고!$A$1:$EZ$1500,설정!$L$5+ROW()-1,설정!$L$7)&amp;""="0","",INDEX(원자료_잔고!$A$1:$EZ$1500,설정!$L$5+ROW()-1,설정!$L$7)&amp;""),"")</f>
        <v>XS3299373996</v>
      </c>
      <c r="C271" s="83" t="str">
        <f aca="false">IFERROR(IF(INDEX(원자료_잔고!$A$1:$EZ$1500,설정!$L$5+ROW()-1,설정!$L$9)&amp;""="0","",INDEX(원자료_잔고!$A$1:$EZ$1500,설정!$L$5+ROW()-1,설정!$L$9)&amp;""),"")</f>
        <v>34578</v>
      </c>
      <c r="D27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1" s="84" t="n">
        <f aca="false">IFERROR(IF(ISNUMBER(INDEX(원자료_잔고!$A$1:$EZ$1500,설정!$L$5+ROW()-1,설정!$L$11)),INDEX(원자료_잔고!$A$1:$EZ$1500,설정!$L$5+ROW()-1,설정!$L$11),""),"")</f>
        <v>4100000</v>
      </c>
      <c r="F271" s="85" t="n">
        <f aca="false">IFERROR(IF(ISNUMBER(INDEX(원자료_잔고!$A$1:$EZ$1500,설정!$L$5+ROW()-1,설정!$L$12)),INDEX(원자료_잔고!$A$1:$EZ$1500,설정!$L$5+ROW()-1,설정!$L$12),""),"")</f>
        <v>96.6151</v>
      </c>
      <c r="G271" s="85" t="n">
        <f aca="false">IFERROR(IF(ISNUMBER(INDEX(원자료_잔고!$A$1:$EZ$1500,설정!$L$5+ROW()-1,설정!$L$13)),INDEX(원자료_잔고!$A$1:$EZ$1500,설정!$L$5+ROW()-1,설정!$L$13),""),"")</f>
        <v>5.7501</v>
      </c>
      <c r="H271" s="85" t="n">
        <f aca="false">IFERROR(IF(ISNUMBER(INDEX(원자료_잔고!$A$1:$EZ$1500,설정!$L$5+ROW()-1,설정!$L$14)),INDEX(원자료_잔고!$A$1:$EZ$1500,설정!$L$5+ROW()-1,설정!$L$14),""),"")</f>
        <v>2.2316</v>
      </c>
      <c r="I271" s="86" t="n">
        <f aca="false">IFERROR(IF(ISNUMBER(INDEX(원자료_잔고!$A$1:$EZ$1500,설정!$L$5+ROW()-1,설정!$L$15)),INDEX(원자료_잔고!$A$1:$EZ$1500,설정!$L$5+ROW()-1,설정!$L$15),""),"")</f>
        <v>47188</v>
      </c>
      <c r="J271" s="85" t="n">
        <f aca="false">IFERROR(IF(ISNUMBER(INDEX(원자료_잔고!$A$1:$EZ$1500,설정!$L$5+ROW()-1,설정!$L$16)),INDEX(원자료_잔고!$A$1:$EZ$1500,설정!$L$5+ROW()-1,설정!$L$16),""),"")</f>
        <v>4.25</v>
      </c>
      <c r="K271" s="87" t="n">
        <f aca="false">IFERROR(IF(ISNUMBER(INDEX(원자료_잔고!$A$1:$EZ$1500,설정!$L$5+ROW()-1,설정!$L$17)),INDEX(원자료_잔고!$A$1:$EZ$1500,설정!$L$5+ROW()-1,설정!$L$17),""),"")</f>
        <v>1</v>
      </c>
      <c r="L271" s="84" t="n">
        <f aca="false">IFERROR(IF(ISNUMBER(INDEX(원자료_잔고!$A$1:$EZ$1500,설정!$L$5+ROW()-1,설정!$L$18)),INDEX(원자료_잔고!$A$1:$EZ$1500,설정!$L$5+ROW()-1,설정!$L$18),""),"")</f>
        <v>3961219.1</v>
      </c>
      <c r="M271" s="88" t="n">
        <f aca="false">IFERROR(IF(ISNUMBER(INDEX(원자료_잔고!$A$1:$EZ$1500,설정!$L$5+ROW()-1,설정!$L$19)),INDEX(원자료_잔고!$A$1:$EZ$1500,설정!$L$5+ROW()-1,설정!$L$19),""),"")</f>
        <v>-103565.5</v>
      </c>
      <c r="N271" s="83" t="str">
        <f aca="false">IFERROR(IF(INDEX(원자료_잔고!$A$1:$EZ$1500,설정!$L$5+ROW()-1,설정!$L$21)&amp;""="0","",INDEX(원자료_잔고!$A$1:$EZ$1500,설정!$L$5+ROW()-1,설정!$L$21)&amp;""),"")</f>
        <v/>
      </c>
      <c r="O271" s="83" t="str">
        <f aca="false">IFERROR(IF(INDEX(원자료_잔고!$A$1:$EZ$1500,설정!$L$5+ROW()-1,설정!$L$22)&amp;""="0","",INDEX(원자료_잔고!$A$1:$EZ$1500,설정!$L$5+ROW()-1,설정!$L$22)&amp;""),"")</f>
        <v/>
      </c>
      <c r="P271" s="83" t="str">
        <f aca="false">IFERROR(IF(INDEX(원자료_잔고!$A$1:$EZ$1500,설정!$L$5+ROW()-1,설정!$L$23)&amp;""="0","",INDEX(원자료_잔고!$A$1:$EZ$1500,설정!$L$5+ROW()-1,설정!$L$23)&amp;""),"")</f>
        <v>BBB</v>
      </c>
      <c r="Q271" s="89" t="n">
        <f aca="false">IF(AND($A271&lt;&gt;"",ISNUMBER(E271)),IF(E271&gt;0,1,0),0)</f>
        <v>1</v>
      </c>
      <c r="R271" s="43" t="str">
        <f aca="false">IF(Q271=1,UPPER(LEFT($A271,FIND(" ",$A271&amp;" ")-1)),"")</f>
        <v>DAESEC</v>
      </c>
      <c r="S271" s="89" t="n">
        <f aca="false">IF(Q271=1,IF(OR(ISNUMBER(SEARCH("Float",$A271)),ISNUMBER(SEARCH("FRN",$A271))),1,0),0)</f>
        <v>0</v>
      </c>
      <c r="T271" s="43" t="str">
        <f aca="false">IF(AND(Q271=1,ISNUMBER(I271)),TEXT(I271,"yyyymmdd")&amp;"|"&amp;IF(S271=1,"F",TEXT(J271,"0.000")),"")</f>
        <v>20290311|4.250</v>
      </c>
      <c r="U271" s="90" t="n">
        <f aca="false">IF(AND(Q271=1,ISNUMBER(I271)),(I271-설정!$C$4)/365.25,"")</f>
        <v>2.44216290212183</v>
      </c>
      <c r="V271" s="43" t="str">
        <f aca="false">IF(Q271&lt;&gt;1,"",IF(ISNUMBER(U271),IF(U271&lt;=1,"1년 이하",IF(U271&lt;=2,"1-2년",IF(U271&lt;=3,"2-3년",IF(U271&lt;=4,"3-4년",IF(U271&lt;=5,"4-5년",IF(U271&lt;=7,"5-7년",IF(U271&lt;=10,"7-10년",IF(U271&lt;=20,"10-20년","20년 이상")))))))),"미분류"))</f>
        <v>2-3년</v>
      </c>
      <c r="W271" s="43" t="str">
        <f aca="false">IF(Q271&lt;&gt;1,"",IF(AB271&lt;&gt;"",INDEX(시장분석!$C:$C,AB271),IF(K271=1,"USD","비USD")))</f>
        <v>USD</v>
      </c>
      <c r="X271" s="91" t="n">
        <f aca="false">IF(Q271=1,E271*K271/1000000,0)</f>
        <v>4.1</v>
      </c>
      <c r="Y271" s="89" t="n">
        <f aca="false">IF(R271="T",1,0)</f>
        <v>0</v>
      </c>
      <c r="Z271" s="92" t="n">
        <f aca="false">IF(Q271&lt;&gt;1,"",IF(AD271=1,IF(ISNUMBER(U271),MAX(U271,0),H271),H271))</f>
        <v>2.2316</v>
      </c>
      <c r="AA271" s="91" t="n">
        <f aca="false">IF(Q271=1,IF(ISNUMBER(L271),L271,0)*K271/1000000,0)</f>
        <v>3.9612191</v>
      </c>
      <c r="AB271" s="89" t="n">
        <f aca="false">IF(Q271&lt;&gt;1,"",IFERROR(MATCH(VLOOKUP(B271,매핑!$H$4:$I$15,2,0),시장분석!$A$2:$A$601,0)+1,IFERROR(MATCH(R271&amp;"|"&amp;T271,시장분석!$V$2:$V$601,0)+1,IF(COUNTIF(시장분석!$U$2:$U$601,T271)=1,MATCH(T271,시장분석!$U$2:$U$601,0)+1,""))))</f>
        <v>253</v>
      </c>
      <c r="AC271" s="89" t="n">
        <f aca="false">IF(Q271&lt;&gt;1,0,IF(OR(설정!$C$5="전체",AND(설정!$C$5="선택펀드",IFERROR(COUNTIFS(설정!$F$16:$F$36,C271,설정!$G$16:$G$36,"Y")+COUNTIFS(설정!$F$16:$F$36,VALUE(C271),설정!$G$16:$G$36,"Y"),0)&gt;0),C271&amp;""=설정!$C$5&amp;""),1,0))</f>
        <v>1</v>
      </c>
      <c r="AD271" s="89" t="n">
        <f aca="false">IF(Q271&lt;&gt;1,0,IF(OR(S271=1,IF(AB271="",FALSE(),INDEX(시장분석!$R:$R,AB271)=1)),1,0))</f>
        <v>0</v>
      </c>
      <c r="AE271" s="43" t="str">
        <f aca="false">IF(AB271="","",INDEX(시장분석!$A:$A,AB271))</f>
        <v>DAESEC 4 1/4 03/11/29</v>
      </c>
      <c r="AF271" s="93" t="n">
        <f aca="false">IF(AB271="","",IF(ISNUMBER(IF(AB271="","",INDEX(시장분석!$E:$E,AB271))),IF(AB271="","",INDEX(시장분석!$E:$E,AB271)),""))</f>
        <v>76.351</v>
      </c>
      <c r="AG271" s="43" t="str">
        <f aca="false">IF(Q271&lt;&gt;1,"",IF(AB271&lt;&gt;"",IF(AB271="","",INDEX(시장분석!$L:$L,AB271)),IFERROR(IF(VLOOKUP(R271,매핑!$A$4:$E$92,5,0)="","미분류",VLOOKUP(R271,매핑!$A$4:$E$92,5,0)),"미분류")))</f>
        <v>금융기관</v>
      </c>
      <c r="AH271" s="43" t="str">
        <f aca="false">IF(Q271&lt;&gt;1,"",IF(AB271&lt;&gt;"",IF(AB271="","",INDEX(시장분석!$N:$N,AB271)),IFERROR(IF(VLOOKUP(R271,매핑!$A$4:$E$92,4,0)="","미분류",VLOOKUP(R271,매핑!$A$4:$E$92,4,0)),"미분류")))</f>
        <v>아시아/기타</v>
      </c>
      <c r="AI271" s="43" t="str">
        <f aca="false">IF(Q271&lt;&gt;1,"",IFERROR(IF(VLOOKUP(R271,매핑!$A$4:$E$92,3,0)="","미분류",VLOOKUP(R271,매핑!$A$4:$E$92,3,0)),IF(AB271&lt;&gt;"",IF(AB271="","",INDEX(시장분석!$W:$W,AB271)),"미분류")))</f>
        <v>한국</v>
      </c>
      <c r="AJ271" s="43" t="str">
        <f aca="false">IF(Q271&lt;&gt;1,"",IFERROR(VLOOKUP(IF(N271&lt;&gt;"",N271,IF(P271&lt;&gt;"",P271,O271)),설정!$A$15:$D$47,2,0),""))</f>
        <v>BBB</v>
      </c>
      <c r="AK271" s="43" t="str">
        <f aca="false">IF(Q271&lt;&gt;1,"",IF(AJ271="","무등급",IFERROR(VLOOKUP(AJ271,설정!$A$15:$D$47,3,0),"무등급")))</f>
        <v>BBB</v>
      </c>
      <c r="AL271" s="89" t="n">
        <f aca="false">IF(AJ271="",99,IFERROR(VLOOKUP(AJ271,설정!$A$15:$D$47,4,0),99))</f>
        <v>9</v>
      </c>
      <c r="AM271" s="94" t="n">
        <f aca="false">IF(ISNUMBER(H271),AA271*1000000*H271/10000,0)</f>
        <v>883.985654356</v>
      </c>
      <c r="AN271" s="94" t="n">
        <f aca="false">IF(OR(Y271=1,NOT(ISNUMBER(Z271))),0,AA271*1000000*Z271/10000)</f>
        <v>883.985654356</v>
      </c>
      <c r="AO271" s="94" t="n">
        <f aca="false">IF(ISNUMBER(G271),AA271*1000000*G271/100,0)</f>
        <v>227774.0594691</v>
      </c>
      <c r="AP271" s="94" t="n">
        <f aca="false">IF(ISNUMBER(M271),M271*K271,0)</f>
        <v>-103565.5</v>
      </c>
      <c r="AQ271" s="95" t="n">
        <f aca="false">IF(AB271="","",INDEX(시장분석!$AK:$AK,AB271))</f>
        <v>0.706592462740676</v>
      </c>
      <c r="AR271" s="43" t="str">
        <f aca="false">IF(AB271="","-",IF(AB271="","",INDEX(시장분석!$AL:$AL,AB271)))</f>
        <v>Fair</v>
      </c>
      <c r="AS271" s="96" t="n">
        <f aca="false">IF(AB271="","",INDEX(시장분석!$AJ:$AJ,AB271))</f>
        <v>14.4664826457201</v>
      </c>
      <c r="AT271" s="93" t="n">
        <f aca="false">IF(AB271="",0,IF(AB271="","",INDEX(시장분석!$AN:$AN,AB271)))</f>
        <v>7.80834525298121</v>
      </c>
      <c r="AU271" s="94" t="n">
        <f aca="false">IF(ISNUMBER(Z271),AT271/10000*MAX(Z271-1,0)*AA271*1000000,0)</f>
        <v>3809.40855234381</v>
      </c>
      <c r="AV271" s="94" t="n">
        <f aca="false">AO271+AU271</f>
        <v>231583.468021444</v>
      </c>
      <c r="AW271" s="43" t="str">
        <f aca="false">IF(Q271&lt;&gt;1,"",TRIM(IF(AD271=1,"FRN ","")&amp;IF(AND(AL271&gt;=10,AL271&lt;99),"BBB0미만 ","")&amp;IF(AJ271="","등급없음 ","")&amp;IF(K271&lt;&gt;1,"비USD ","")&amp;IF(AND(AB271="",Y271=0),"시장데이터없음 ","")&amp;IF(AND(ISNUMBER(U271),U271&lt;0),"만기경과 ","")))</f>
        <v/>
      </c>
      <c r="AX271" s="90" t="n">
        <f aca="false">IF(Q271&lt;&gt;1,1,IF(스프레드쇼크!$C$4="Y",INDEX(스프레드쇼크!$B$12:$L$16,IFERROR(MATCH(AH271,스프레드쇼크!$A$12:$A$16,0),MATCH("목록외",스프레드쇼크!$A$12:$A$16,0)),IFERROR(MATCH(AG271,스프레드쇼크!$B$11:$L$11,0),MATCH("목록외",스프레드쇼크!$B$11:$L$11,0))),1))</f>
        <v>1</v>
      </c>
      <c r="AY271" s="90" t="n">
        <f aca="false">IF(스프레드쇼크!$C$5="Y",IF(ISNUMBER(AF271),MIN(스프레드쇼크!$C$7,MAX(스프레드쇼크!$C$6,AF271/스프레드쇼크!$C$8)),1),1)</f>
        <v>1.15483850580299</v>
      </c>
      <c r="AZ271" s="94" t="n">
        <f aca="false">AN271*AX271*AY271</f>
        <v>1020.86067222776</v>
      </c>
      <c r="BA271" s="90" t="n">
        <f aca="false">IF(ISNUMBER(G271),AA271*G271,0)</f>
        <v>22.77740594691</v>
      </c>
      <c r="BB271" s="90" t="n">
        <f aca="false">IF(ISNUMBER(G271),AA271,0)</f>
        <v>3.9612191</v>
      </c>
      <c r="BC271" s="90" t="n">
        <f aca="false">IF(AND(Y271=0,ISNUMBER(AF271)),AA271*AF271,0)</f>
        <v>302.4430395041</v>
      </c>
      <c r="BD271" s="90" t="n">
        <f aca="false">IF(AND(Y271=0,ISNUMBER(AF271)),AA271,0)</f>
        <v>3.9612191</v>
      </c>
      <c r="BE271" s="90" t="n">
        <f aca="false">IF(ISNUMBER(H271),AA271*H271,0)</f>
        <v>8.83985654356</v>
      </c>
      <c r="BF271" s="90" t="n">
        <f aca="false">IF(ISNUMBER(H271),AA271,0)</f>
        <v>3.9612191</v>
      </c>
      <c r="BG271" s="90" t="n">
        <f aca="false">IF(AND(Y271=0,ISNUMBER(AF271),ISNUMBER(Z271)),AA271*Z271,0)</f>
        <v>8.83985654356</v>
      </c>
      <c r="BH271" s="90" t="n">
        <f aca="false">IF(AND(Y271=0,ISNUMBER(AF271),ISNUMBER(Z271)),AA271*AT271*MAX(Z271-1,0),0)</f>
        <v>38.0940855234381</v>
      </c>
      <c r="BI271" s="90" t="n">
        <f aca="false">IF(Y271=0,AA271,0)</f>
        <v>3.9612191</v>
      </c>
    </row>
    <row r="272" customFormat="false" ht="15" hidden="false" customHeight="false" outlineLevel="0" collapsed="false">
      <c r="A272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72" s="83" t="str">
        <f aca="false">IFERROR(IF(INDEX(원자료_잔고!$A$1:$EZ$1500,설정!$L$5+ROW()-1,설정!$L$7)&amp;""="0","",INDEX(원자료_잔고!$A$1:$EZ$1500,설정!$L$5+ROW()-1,설정!$L$7)&amp;""),"")</f>
        <v>XS3299373996</v>
      </c>
      <c r="C272" s="83" t="str">
        <f aca="false">IFERROR(IF(INDEX(원자료_잔고!$A$1:$EZ$1500,설정!$L$5+ROW()-1,설정!$L$9)&amp;""="0","",INDEX(원자료_잔고!$A$1:$EZ$1500,설정!$L$5+ROW()-1,설정!$L$9)&amp;""),"")</f>
        <v>34578</v>
      </c>
      <c r="D27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2" s="84" t="n">
        <f aca="false">IFERROR(IF(ISNUMBER(INDEX(원자료_잔고!$A$1:$EZ$1500,설정!$L$5+ROW()-1,설정!$L$11)),INDEX(원자료_잔고!$A$1:$EZ$1500,설정!$L$5+ROW()-1,설정!$L$11),""),"")</f>
        <v>3100000</v>
      </c>
      <c r="F272" s="85" t="n">
        <f aca="false">IFERROR(IF(ISNUMBER(INDEX(원자료_잔고!$A$1:$EZ$1500,설정!$L$5+ROW()-1,설정!$L$12)),INDEX(원자료_잔고!$A$1:$EZ$1500,설정!$L$5+ROW()-1,설정!$L$12),""),"")</f>
        <v>96.6151</v>
      </c>
      <c r="G272" s="85" t="n">
        <f aca="false">IFERROR(IF(ISNUMBER(INDEX(원자료_잔고!$A$1:$EZ$1500,설정!$L$5+ROW()-1,설정!$L$13)),INDEX(원자료_잔고!$A$1:$EZ$1500,설정!$L$5+ROW()-1,설정!$L$13),""),"")</f>
        <v>5.7501</v>
      </c>
      <c r="H272" s="85" t="n">
        <f aca="false">IFERROR(IF(ISNUMBER(INDEX(원자료_잔고!$A$1:$EZ$1500,설정!$L$5+ROW()-1,설정!$L$14)),INDEX(원자료_잔고!$A$1:$EZ$1500,설정!$L$5+ROW()-1,설정!$L$14),""),"")</f>
        <v>2.2316</v>
      </c>
      <c r="I272" s="86" t="n">
        <f aca="false">IFERROR(IF(ISNUMBER(INDEX(원자료_잔고!$A$1:$EZ$1500,설정!$L$5+ROW()-1,설정!$L$15)),INDEX(원자료_잔고!$A$1:$EZ$1500,설정!$L$5+ROW()-1,설정!$L$15),""),"")</f>
        <v>47188</v>
      </c>
      <c r="J272" s="85" t="n">
        <f aca="false">IFERROR(IF(ISNUMBER(INDEX(원자료_잔고!$A$1:$EZ$1500,설정!$L$5+ROW()-1,설정!$L$16)),INDEX(원자료_잔고!$A$1:$EZ$1500,설정!$L$5+ROW()-1,설정!$L$16),""),"")</f>
        <v>4.25</v>
      </c>
      <c r="K272" s="87" t="n">
        <f aca="false">IFERROR(IF(ISNUMBER(INDEX(원자료_잔고!$A$1:$EZ$1500,설정!$L$5+ROW()-1,설정!$L$17)),INDEX(원자료_잔고!$A$1:$EZ$1500,설정!$L$5+ROW()-1,설정!$L$17),""),"")</f>
        <v>1</v>
      </c>
      <c r="L272" s="84" t="n">
        <f aca="false">IFERROR(IF(ISNUMBER(INDEX(원자료_잔고!$A$1:$EZ$1500,설정!$L$5+ROW()-1,설정!$L$18)),INDEX(원자료_잔고!$A$1:$EZ$1500,설정!$L$5+ROW()-1,설정!$L$18),""),"")</f>
        <v>2995068.1</v>
      </c>
      <c r="M272" s="88" t="n">
        <f aca="false">IFERROR(IF(ISNUMBER(INDEX(원자료_잔고!$A$1:$EZ$1500,설정!$L$5+ROW()-1,설정!$L$19)),INDEX(원자료_잔고!$A$1:$EZ$1500,설정!$L$5+ROW()-1,설정!$L$19),""),"")</f>
        <v>-77251.62</v>
      </c>
      <c r="N272" s="83" t="str">
        <f aca="false">IFERROR(IF(INDEX(원자료_잔고!$A$1:$EZ$1500,설정!$L$5+ROW()-1,설정!$L$21)&amp;""="0","",INDEX(원자료_잔고!$A$1:$EZ$1500,설정!$L$5+ROW()-1,설정!$L$21)&amp;""),"")</f>
        <v/>
      </c>
      <c r="O272" s="83" t="str">
        <f aca="false">IFERROR(IF(INDEX(원자료_잔고!$A$1:$EZ$1500,설정!$L$5+ROW()-1,설정!$L$22)&amp;""="0","",INDEX(원자료_잔고!$A$1:$EZ$1500,설정!$L$5+ROW()-1,설정!$L$22)&amp;""),"")</f>
        <v/>
      </c>
      <c r="P272" s="83" t="str">
        <f aca="false">IFERROR(IF(INDEX(원자료_잔고!$A$1:$EZ$1500,설정!$L$5+ROW()-1,설정!$L$23)&amp;""="0","",INDEX(원자료_잔고!$A$1:$EZ$1500,설정!$L$5+ROW()-1,설정!$L$23)&amp;""),"")</f>
        <v>BBB</v>
      </c>
      <c r="Q272" s="89" t="n">
        <f aca="false">IF(AND($A272&lt;&gt;"",ISNUMBER(E272)),IF(E272&gt;0,1,0),0)</f>
        <v>1</v>
      </c>
      <c r="R272" s="43" t="str">
        <f aca="false">IF(Q272=1,UPPER(LEFT($A272,FIND(" ",$A272&amp;" ")-1)),"")</f>
        <v>DAESEC</v>
      </c>
      <c r="S272" s="89" t="n">
        <f aca="false">IF(Q272=1,IF(OR(ISNUMBER(SEARCH("Float",$A272)),ISNUMBER(SEARCH("FRN",$A272))),1,0),0)</f>
        <v>0</v>
      </c>
      <c r="T272" s="43" t="str">
        <f aca="false">IF(AND(Q272=1,ISNUMBER(I272)),TEXT(I272,"yyyymmdd")&amp;"|"&amp;IF(S272=1,"F",TEXT(J272,"0.000")),"")</f>
        <v>20290311|4.250</v>
      </c>
      <c r="U272" s="90" t="n">
        <f aca="false">IF(AND(Q272=1,ISNUMBER(I272)),(I272-설정!$C$4)/365.25,"")</f>
        <v>2.44216290212183</v>
      </c>
      <c r="V272" s="43" t="str">
        <f aca="false">IF(Q272&lt;&gt;1,"",IF(ISNUMBER(U272),IF(U272&lt;=1,"1년 이하",IF(U272&lt;=2,"1-2년",IF(U272&lt;=3,"2-3년",IF(U272&lt;=4,"3-4년",IF(U272&lt;=5,"4-5년",IF(U272&lt;=7,"5-7년",IF(U272&lt;=10,"7-10년",IF(U272&lt;=20,"10-20년","20년 이상")))))))),"미분류"))</f>
        <v>2-3년</v>
      </c>
      <c r="W272" s="43" t="str">
        <f aca="false">IF(Q272&lt;&gt;1,"",IF(AB272&lt;&gt;"",INDEX(시장분석!$C:$C,AB272),IF(K272=1,"USD","비USD")))</f>
        <v>USD</v>
      </c>
      <c r="X272" s="91" t="n">
        <f aca="false">IF(Q272=1,E272*K272/1000000,0)</f>
        <v>3.1</v>
      </c>
      <c r="Y272" s="89" t="n">
        <f aca="false">IF(R272="T",1,0)</f>
        <v>0</v>
      </c>
      <c r="Z272" s="92" t="n">
        <f aca="false">IF(Q272&lt;&gt;1,"",IF(AD272=1,IF(ISNUMBER(U272),MAX(U272,0),H272),H272))</f>
        <v>2.2316</v>
      </c>
      <c r="AA272" s="91" t="n">
        <f aca="false">IF(Q272=1,IF(ISNUMBER(L272),L272,0)*K272/1000000,0)</f>
        <v>2.9950681</v>
      </c>
      <c r="AB272" s="89" t="n">
        <f aca="false">IF(Q272&lt;&gt;1,"",IFERROR(MATCH(VLOOKUP(B272,매핑!$H$4:$I$15,2,0),시장분석!$A$2:$A$601,0)+1,IFERROR(MATCH(R272&amp;"|"&amp;T272,시장분석!$V$2:$V$601,0)+1,IF(COUNTIF(시장분석!$U$2:$U$601,T272)=1,MATCH(T272,시장분석!$U$2:$U$601,0)+1,""))))</f>
        <v>253</v>
      </c>
      <c r="AC272" s="89" t="n">
        <f aca="false">IF(Q272&lt;&gt;1,0,IF(OR(설정!$C$5="전체",AND(설정!$C$5="선택펀드",IFERROR(COUNTIFS(설정!$F$16:$F$36,C272,설정!$G$16:$G$36,"Y")+COUNTIFS(설정!$F$16:$F$36,VALUE(C272),설정!$G$16:$G$36,"Y"),0)&gt;0),C272&amp;""=설정!$C$5&amp;""),1,0))</f>
        <v>1</v>
      </c>
      <c r="AD272" s="89" t="n">
        <f aca="false">IF(Q272&lt;&gt;1,0,IF(OR(S272=1,IF(AB272="",FALSE(),INDEX(시장분석!$R:$R,AB272)=1)),1,0))</f>
        <v>0</v>
      </c>
      <c r="AE272" s="43" t="str">
        <f aca="false">IF(AB272="","",INDEX(시장분석!$A:$A,AB272))</f>
        <v>DAESEC 4 1/4 03/11/29</v>
      </c>
      <c r="AF272" s="93" t="n">
        <f aca="false">IF(AB272="","",IF(ISNUMBER(IF(AB272="","",INDEX(시장분석!$E:$E,AB272))),IF(AB272="","",INDEX(시장분석!$E:$E,AB272)),""))</f>
        <v>76.351</v>
      </c>
      <c r="AG272" s="43" t="str">
        <f aca="false">IF(Q272&lt;&gt;1,"",IF(AB272&lt;&gt;"",IF(AB272="","",INDEX(시장분석!$L:$L,AB272)),IFERROR(IF(VLOOKUP(R272,매핑!$A$4:$E$92,5,0)="","미분류",VLOOKUP(R272,매핑!$A$4:$E$92,5,0)),"미분류")))</f>
        <v>금융기관</v>
      </c>
      <c r="AH272" s="43" t="str">
        <f aca="false">IF(Q272&lt;&gt;1,"",IF(AB272&lt;&gt;"",IF(AB272="","",INDEX(시장분석!$N:$N,AB272)),IFERROR(IF(VLOOKUP(R272,매핑!$A$4:$E$92,4,0)="","미분류",VLOOKUP(R272,매핑!$A$4:$E$92,4,0)),"미분류")))</f>
        <v>아시아/기타</v>
      </c>
      <c r="AI272" s="43" t="str">
        <f aca="false">IF(Q272&lt;&gt;1,"",IFERROR(IF(VLOOKUP(R272,매핑!$A$4:$E$92,3,0)="","미분류",VLOOKUP(R272,매핑!$A$4:$E$92,3,0)),IF(AB272&lt;&gt;"",IF(AB272="","",INDEX(시장분석!$W:$W,AB272)),"미분류")))</f>
        <v>한국</v>
      </c>
      <c r="AJ272" s="43" t="str">
        <f aca="false">IF(Q272&lt;&gt;1,"",IFERROR(VLOOKUP(IF(N272&lt;&gt;"",N272,IF(P272&lt;&gt;"",P272,O272)),설정!$A$15:$D$47,2,0),""))</f>
        <v>BBB</v>
      </c>
      <c r="AK272" s="43" t="str">
        <f aca="false">IF(Q272&lt;&gt;1,"",IF(AJ272="","무등급",IFERROR(VLOOKUP(AJ272,설정!$A$15:$D$47,3,0),"무등급")))</f>
        <v>BBB</v>
      </c>
      <c r="AL272" s="89" t="n">
        <f aca="false">IF(AJ272="",99,IFERROR(VLOOKUP(AJ272,설정!$A$15:$D$47,4,0),99))</f>
        <v>9</v>
      </c>
      <c r="AM272" s="94" t="n">
        <f aca="false">IF(ISNUMBER(H272),AA272*1000000*H272/10000,0)</f>
        <v>668.379397196</v>
      </c>
      <c r="AN272" s="94" t="n">
        <f aca="false">IF(OR(Y272=1,NOT(ISNUMBER(Z272))),0,AA272*1000000*Z272/10000)</f>
        <v>668.379397196</v>
      </c>
      <c r="AO272" s="94" t="n">
        <f aca="false">IF(ISNUMBER(G272),AA272*1000000*G272/100,0)</f>
        <v>172219.4108181</v>
      </c>
      <c r="AP272" s="94" t="n">
        <f aca="false">IF(ISNUMBER(M272),M272*K272,0)</f>
        <v>-77251.62</v>
      </c>
      <c r="AQ272" s="95" t="n">
        <f aca="false">IF(AB272="","",INDEX(시장분석!$AK:$AK,AB272))</f>
        <v>0.706592462740676</v>
      </c>
      <c r="AR272" s="43" t="str">
        <f aca="false">IF(AB272="","-",IF(AB272="","",INDEX(시장분석!$AL:$AL,AB272)))</f>
        <v>Fair</v>
      </c>
      <c r="AS272" s="96" t="n">
        <f aca="false">IF(AB272="","",INDEX(시장분석!$AJ:$AJ,AB272))</f>
        <v>14.4664826457201</v>
      </c>
      <c r="AT272" s="93" t="n">
        <f aca="false">IF(AB272="",0,IF(AB272="","",INDEX(시장분석!$AN:$AN,AB272)))</f>
        <v>7.80834525298121</v>
      </c>
      <c r="AU272" s="94" t="n">
        <f aca="false">IF(ISNUMBER(Z272),AT272/10000*MAX(Z272-1,0)*AA272*1000000,0)</f>
        <v>2880.28451518678</v>
      </c>
      <c r="AV272" s="94" t="n">
        <f aca="false">AO272+AU272</f>
        <v>175099.695333287</v>
      </c>
      <c r="AW272" s="43" t="str">
        <f aca="false">IF(Q272&lt;&gt;1,"",TRIM(IF(AD272=1,"FRN ","")&amp;IF(AND(AL272&gt;=10,AL272&lt;99),"BBB0미만 ","")&amp;IF(AJ272="","등급없음 ","")&amp;IF(K272&lt;&gt;1,"비USD ","")&amp;IF(AND(AB272="",Y272=0),"시장데이터없음 ","")&amp;IF(AND(ISNUMBER(U272),U272&lt;0),"만기경과 ","")))</f>
        <v/>
      </c>
      <c r="AX272" s="90" t="n">
        <f aca="false">IF(Q272&lt;&gt;1,1,IF(스프레드쇼크!$C$4="Y",INDEX(스프레드쇼크!$B$12:$L$16,IFERROR(MATCH(AH272,스프레드쇼크!$A$12:$A$16,0),MATCH("목록외",스프레드쇼크!$A$12:$A$16,0)),IFERROR(MATCH(AG272,스프레드쇼크!$B$11:$L$11,0),MATCH("목록외",스프레드쇼크!$B$11:$L$11,0))),1))</f>
        <v>1</v>
      </c>
      <c r="AY272" s="90" t="n">
        <f aca="false">IF(스프레드쇼크!$C$5="Y",IF(ISNUMBER(AF272),MIN(스프레드쇼크!$C$7,MAX(스프레드쇼크!$C$6,AF272/스프레드쇼크!$C$8)),1),1)</f>
        <v>1.15483850580299</v>
      </c>
      <c r="AZ272" s="94" t="n">
        <f aca="false">AN272*AX272*AY272</f>
        <v>771.87026436733</v>
      </c>
      <c r="BA272" s="90" t="n">
        <f aca="false">IF(ISNUMBER(G272),AA272*G272,0)</f>
        <v>17.22194108181</v>
      </c>
      <c r="BB272" s="90" t="n">
        <f aca="false">IF(ISNUMBER(G272),AA272,0)</f>
        <v>2.9950681</v>
      </c>
      <c r="BC272" s="90" t="n">
        <f aca="false">IF(AND(Y272=0,ISNUMBER(AF272)),AA272*AF272,0)</f>
        <v>228.6764445031</v>
      </c>
      <c r="BD272" s="90" t="n">
        <f aca="false">IF(AND(Y272=0,ISNUMBER(AF272)),AA272,0)</f>
        <v>2.9950681</v>
      </c>
      <c r="BE272" s="90" t="n">
        <f aca="false">IF(ISNUMBER(H272),AA272*H272,0)</f>
        <v>6.68379397196</v>
      </c>
      <c r="BF272" s="90" t="n">
        <f aca="false">IF(ISNUMBER(H272),AA272,0)</f>
        <v>2.9950681</v>
      </c>
      <c r="BG272" s="90" t="n">
        <f aca="false">IF(AND(Y272=0,ISNUMBER(AF272),ISNUMBER(Z272)),AA272*Z272,0)</f>
        <v>6.68379397196</v>
      </c>
      <c r="BH272" s="90" t="n">
        <f aca="false">IF(AND(Y272=0,ISNUMBER(AF272),ISNUMBER(Z272)),AA272*AT272*MAX(Z272-1,0),0)</f>
        <v>28.8028451518678</v>
      </c>
      <c r="BI272" s="90" t="n">
        <f aca="false">IF(Y272=0,AA272,0)</f>
        <v>2.9950681</v>
      </c>
    </row>
    <row r="273" customFormat="false" ht="15" hidden="false" customHeight="false" outlineLevel="0" collapsed="false">
      <c r="A273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73" s="83" t="str">
        <f aca="false">IFERROR(IF(INDEX(원자료_잔고!$A$1:$EZ$1500,설정!$L$5+ROW()-1,설정!$L$7)&amp;""="0","",INDEX(원자료_잔고!$A$1:$EZ$1500,설정!$L$5+ROW()-1,설정!$L$7)&amp;""),"")</f>
        <v>XS3299373996</v>
      </c>
      <c r="C273" s="83" t="str">
        <f aca="false">IFERROR(IF(INDEX(원자료_잔고!$A$1:$EZ$1500,설정!$L$5+ROW()-1,설정!$L$9)&amp;""="0","",INDEX(원자료_잔고!$A$1:$EZ$1500,설정!$L$5+ROW()-1,설정!$L$9)&amp;""),"")</f>
        <v>34578</v>
      </c>
      <c r="D27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3" s="84" t="n">
        <f aca="false">IFERROR(IF(ISNUMBER(INDEX(원자료_잔고!$A$1:$EZ$1500,설정!$L$5+ROW()-1,설정!$L$11)),INDEX(원자료_잔고!$A$1:$EZ$1500,설정!$L$5+ROW()-1,설정!$L$11),""),"")</f>
        <v>3000000</v>
      </c>
      <c r="F273" s="85" t="n">
        <f aca="false">IFERROR(IF(ISNUMBER(INDEX(원자료_잔고!$A$1:$EZ$1500,설정!$L$5+ROW()-1,설정!$L$12)),INDEX(원자료_잔고!$A$1:$EZ$1500,설정!$L$5+ROW()-1,설정!$L$12),""),"")</f>
        <v>96.6151</v>
      </c>
      <c r="G273" s="85" t="n">
        <f aca="false">IFERROR(IF(ISNUMBER(INDEX(원자료_잔고!$A$1:$EZ$1500,설정!$L$5+ROW()-1,설정!$L$13)),INDEX(원자료_잔고!$A$1:$EZ$1500,설정!$L$5+ROW()-1,설정!$L$13),""),"")</f>
        <v>5.7501</v>
      </c>
      <c r="H273" s="85" t="n">
        <f aca="false">IFERROR(IF(ISNUMBER(INDEX(원자료_잔고!$A$1:$EZ$1500,설정!$L$5+ROW()-1,설정!$L$14)),INDEX(원자료_잔고!$A$1:$EZ$1500,설정!$L$5+ROW()-1,설정!$L$14),""),"")</f>
        <v>2.2316</v>
      </c>
      <c r="I273" s="86" t="n">
        <f aca="false">IFERROR(IF(ISNUMBER(INDEX(원자료_잔고!$A$1:$EZ$1500,설정!$L$5+ROW()-1,설정!$L$15)),INDEX(원자료_잔고!$A$1:$EZ$1500,설정!$L$5+ROW()-1,설정!$L$15),""),"")</f>
        <v>47188</v>
      </c>
      <c r="J273" s="85" t="n">
        <f aca="false">IFERROR(IF(ISNUMBER(INDEX(원자료_잔고!$A$1:$EZ$1500,설정!$L$5+ROW()-1,설정!$L$16)),INDEX(원자료_잔고!$A$1:$EZ$1500,설정!$L$5+ROW()-1,설정!$L$16),""),"")</f>
        <v>4.25</v>
      </c>
      <c r="K273" s="87" t="n">
        <f aca="false">IFERROR(IF(ISNUMBER(INDEX(원자료_잔고!$A$1:$EZ$1500,설정!$L$5+ROW()-1,설정!$L$17)),INDEX(원자료_잔고!$A$1:$EZ$1500,설정!$L$5+ROW()-1,설정!$L$17),""),"")</f>
        <v>1</v>
      </c>
      <c r="L273" s="84" t="n">
        <f aca="false">IFERROR(IF(ISNUMBER(INDEX(원자료_잔고!$A$1:$EZ$1500,설정!$L$5+ROW()-1,설정!$L$18)),INDEX(원자료_잔고!$A$1:$EZ$1500,설정!$L$5+ROW()-1,설정!$L$18),""),"")</f>
        <v>2898453</v>
      </c>
      <c r="M273" s="88" t="n">
        <f aca="false">IFERROR(IF(ISNUMBER(INDEX(원자료_잔고!$A$1:$EZ$1500,설정!$L$5+ROW()-1,설정!$L$19)),INDEX(원자료_잔고!$A$1:$EZ$1500,설정!$L$5+ROW()-1,설정!$L$19),""),"")</f>
        <v>-74999.63</v>
      </c>
      <c r="N273" s="83" t="str">
        <f aca="false">IFERROR(IF(INDEX(원자료_잔고!$A$1:$EZ$1500,설정!$L$5+ROW()-1,설정!$L$21)&amp;""="0","",INDEX(원자료_잔고!$A$1:$EZ$1500,설정!$L$5+ROW()-1,설정!$L$21)&amp;""),"")</f>
        <v/>
      </c>
      <c r="O273" s="83" t="str">
        <f aca="false">IFERROR(IF(INDEX(원자료_잔고!$A$1:$EZ$1500,설정!$L$5+ROW()-1,설정!$L$22)&amp;""="0","",INDEX(원자료_잔고!$A$1:$EZ$1500,설정!$L$5+ROW()-1,설정!$L$22)&amp;""),"")</f>
        <v/>
      </c>
      <c r="P273" s="83" t="str">
        <f aca="false">IFERROR(IF(INDEX(원자료_잔고!$A$1:$EZ$1500,설정!$L$5+ROW()-1,설정!$L$23)&amp;""="0","",INDEX(원자료_잔고!$A$1:$EZ$1500,설정!$L$5+ROW()-1,설정!$L$23)&amp;""),"")</f>
        <v>BBB</v>
      </c>
      <c r="Q273" s="89" t="n">
        <f aca="false">IF(AND($A273&lt;&gt;"",ISNUMBER(E273)),IF(E273&gt;0,1,0),0)</f>
        <v>1</v>
      </c>
      <c r="R273" s="43" t="str">
        <f aca="false">IF(Q273=1,UPPER(LEFT($A273,FIND(" ",$A273&amp;" ")-1)),"")</f>
        <v>DAESEC</v>
      </c>
      <c r="S273" s="89" t="n">
        <f aca="false">IF(Q273=1,IF(OR(ISNUMBER(SEARCH("Float",$A273)),ISNUMBER(SEARCH("FRN",$A273))),1,0),0)</f>
        <v>0</v>
      </c>
      <c r="T273" s="43" t="str">
        <f aca="false">IF(AND(Q273=1,ISNUMBER(I273)),TEXT(I273,"yyyymmdd")&amp;"|"&amp;IF(S273=1,"F",TEXT(J273,"0.000")),"")</f>
        <v>20290311|4.250</v>
      </c>
      <c r="U273" s="90" t="n">
        <f aca="false">IF(AND(Q273=1,ISNUMBER(I273)),(I273-설정!$C$4)/365.25,"")</f>
        <v>2.44216290212183</v>
      </c>
      <c r="V273" s="43" t="str">
        <f aca="false">IF(Q273&lt;&gt;1,"",IF(ISNUMBER(U273),IF(U273&lt;=1,"1년 이하",IF(U273&lt;=2,"1-2년",IF(U273&lt;=3,"2-3년",IF(U273&lt;=4,"3-4년",IF(U273&lt;=5,"4-5년",IF(U273&lt;=7,"5-7년",IF(U273&lt;=10,"7-10년",IF(U273&lt;=20,"10-20년","20년 이상")))))))),"미분류"))</f>
        <v>2-3년</v>
      </c>
      <c r="W273" s="43" t="str">
        <f aca="false">IF(Q273&lt;&gt;1,"",IF(AB273&lt;&gt;"",INDEX(시장분석!$C:$C,AB273),IF(K273=1,"USD","비USD")))</f>
        <v>USD</v>
      </c>
      <c r="X273" s="91" t="n">
        <f aca="false">IF(Q273=1,E273*K273/1000000,0)</f>
        <v>3</v>
      </c>
      <c r="Y273" s="89" t="n">
        <f aca="false">IF(R273="T",1,0)</f>
        <v>0</v>
      </c>
      <c r="Z273" s="92" t="n">
        <f aca="false">IF(Q273&lt;&gt;1,"",IF(AD273=1,IF(ISNUMBER(U273),MAX(U273,0),H273),H273))</f>
        <v>2.2316</v>
      </c>
      <c r="AA273" s="91" t="n">
        <f aca="false">IF(Q273=1,IF(ISNUMBER(L273),L273,0)*K273/1000000,0)</f>
        <v>2.898453</v>
      </c>
      <c r="AB273" s="89" t="n">
        <f aca="false">IF(Q273&lt;&gt;1,"",IFERROR(MATCH(VLOOKUP(B273,매핑!$H$4:$I$15,2,0),시장분석!$A$2:$A$601,0)+1,IFERROR(MATCH(R273&amp;"|"&amp;T273,시장분석!$V$2:$V$601,0)+1,IF(COUNTIF(시장분석!$U$2:$U$601,T273)=1,MATCH(T273,시장분석!$U$2:$U$601,0)+1,""))))</f>
        <v>253</v>
      </c>
      <c r="AC273" s="89" t="n">
        <f aca="false">IF(Q273&lt;&gt;1,0,IF(OR(설정!$C$5="전체",AND(설정!$C$5="선택펀드",IFERROR(COUNTIFS(설정!$F$16:$F$36,C273,설정!$G$16:$G$36,"Y")+COUNTIFS(설정!$F$16:$F$36,VALUE(C273),설정!$G$16:$G$36,"Y"),0)&gt;0),C273&amp;""=설정!$C$5&amp;""),1,0))</f>
        <v>1</v>
      </c>
      <c r="AD273" s="89" t="n">
        <f aca="false">IF(Q273&lt;&gt;1,0,IF(OR(S273=1,IF(AB273="",FALSE(),INDEX(시장분석!$R:$R,AB273)=1)),1,0))</f>
        <v>0</v>
      </c>
      <c r="AE273" s="43" t="str">
        <f aca="false">IF(AB273="","",INDEX(시장분석!$A:$A,AB273))</f>
        <v>DAESEC 4 1/4 03/11/29</v>
      </c>
      <c r="AF273" s="93" t="n">
        <f aca="false">IF(AB273="","",IF(ISNUMBER(IF(AB273="","",INDEX(시장분석!$E:$E,AB273))),IF(AB273="","",INDEX(시장분석!$E:$E,AB273)),""))</f>
        <v>76.351</v>
      </c>
      <c r="AG273" s="43" t="str">
        <f aca="false">IF(Q273&lt;&gt;1,"",IF(AB273&lt;&gt;"",IF(AB273="","",INDEX(시장분석!$L:$L,AB273)),IFERROR(IF(VLOOKUP(R273,매핑!$A$4:$E$92,5,0)="","미분류",VLOOKUP(R273,매핑!$A$4:$E$92,5,0)),"미분류")))</f>
        <v>금융기관</v>
      </c>
      <c r="AH273" s="43" t="str">
        <f aca="false">IF(Q273&lt;&gt;1,"",IF(AB273&lt;&gt;"",IF(AB273="","",INDEX(시장분석!$N:$N,AB273)),IFERROR(IF(VLOOKUP(R273,매핑!$A$4:$E$92,4,0)="","미분류",VLOOKUP(R273,매핑!$A$4:$E$92,4,0)),"미분류")))</f>
        <v>아시아/기타</v>
      </c>
      <c r="AI273" s="43" t="str">
        <f aca="false">IF(Q273&lt;&gt;1,"",IFERROR(IF(VLOOKUP(R273,매핑!$A$4:$E$92,3,0)="","미분류",VLOOKUP(R273,매핑!$A$4:$E$92,3,0)),IF(AB273&lt;&gt;"",IF(AB273="","",INDEX(시장분석!$W:$W,AB273)),"미분류")))</f>
        <v>한국</v>
      </c>
      <c r="AJ273" s="43" t="str">
        <f aca="false">IF(Q273&lt;&gt;1,"",IFERROR(VLOOKUP(IF(N273&lt;&gt;"",N273,IF(P273&lt;&gt;"",P273,O273)),설정!$A$15:$D$47,2,0),""))</f>
        <v>BBB</v>
      </c>
      <c r="AK273" s="43" t="str">
        <f aca="false">IF(Q273&lt;&gt;1,"",IF(AJ273="","무등급",IFERROR(VLOOKUP(AJ273,설정!$A$15:$D$47,3,0),"무등급")))</f>
        <v>BBB</v>
      </c>
      <c r="AL273" s="89" t="n">
        <f aca="false">IF(AJ273="",99,IFERROR(VLOOKUP(AJ273,설정!$A$15:$D$47,4,0),99))</f>
        <v>9</v>
      </c>
      <c r="AM273" s="94" t="n">
        <f aca="false">IF(ISNUMBER(H273),AA273*1000000*H273/10000,0)</f>
        <v>646.81877148</v>
      </c>
      <c r="AN273" s="94" t="n">
        <f aca="false">IF(OR(Y273=1,NOT(ISNUMBER(Z273))),0,AA273*1000000*Z273/10000)</f>
        <v>646.81877148</v>
      </c>
      <c r="AO273" s="94" t="n">
        <f aca="false">IF(ISNUMBER(G273),AA273*1000000*G273/100,0)</f>
        <v>166663.945953</v>
      </c>
      <c r="AP273" s="94" t="n">
        <f aca="false">IF(ISNUMBER(M273),M273*K273,0)</f>
        <v>-74999.63</v>
      </c>
      <c r="AQ273" s="95" t="n">
        <f aca="false">IF(AB273="","",INDEX(시장분석!$AK:$AK,AB273))</f>
        <v>0.706592462740676</v>
      </c>
      <c r="AR273" s="43" t="str">
        <f aca="false">IF(AB273="","-",IF(AB273="","",INDEX(시장분석!$AL:$AL,AB273)))</f>
        <v>Fair</v>
      </c>
      <c r="AS273" s="96" t="n">
        <f aca="false">IF(AB273="","",INDEX(시장분석!$AJ:$AJ,AB273))</f>
        <v>14.4664826457201</v>
      </c>
      <c r="AT273" s="93" t="n">
        <f aca="false">IF(AB273="",0,IF(AB273="","",INDEX(시장분석!$AN:$AN,AB273)))</f>
        <v>7.80834525298121</v>
      </c>
      <c r="AU273" s="94" t="n">
        <f aca="false">IF(ISNUMBER(Z273),AT273/10000*MAX(Z273-1,0)*AA273*1000000,0)</f>
        <v>2787.37211147108</v>
      </c>
      <c r="AV273" s="94" t="n">
        <f aca="false">AO273+AU273</f>
        <v>169451.318064471</v>
      </c>
      <c r="AW273" s="43" t="str">
        <f aca="false">IF(Q273&lt;&gt;1,"",TRIM(IF(AD273=1,"FRN ","")&amp;IF(AND(AL273&gt;=10,AL273&lt;99),"BBB0미만 ","")&amp;IF(AJ273="","등급없음 ","")&amp;IF(K273&lt;&gt;1,"비USD ","")&amp;IF(AND(AB273="",Y273=0),"시장데이터없음 ","")&amp;IF(AND(ISNUMBER(U273),U273&lt;0),"만기경과 ","")))</f>
        <v/>
      </c>
      <c r="AX273" s="90" t="n">
        <f aca="false">IF(Q273&lt;&gt;1,1,IF(스프레드쇼크!$C$4="Y",INDEX(스프레드쇼크!$B$12:$L$16,IFERROR(MATCH(AH273,스프레드쇼크!$A$12:$A$16,0),MATCH("목록외",스프레드쇼크!$A$12:$A$16,0)),IFERROR(MATCH(AG273,스프레드쇼크!$B$11:$L$11,0),MATCH("목록외",스프레드쇼크!$B$11:$L$11,0))),1))</f>
        <v>1</v>
      </c>
      <c r="AY273" s="90" t="n">
        <f aca="false">IF(스프레드쇼크!$C$5="Y",IF(ISNUMBER(AF273),MIN(스프레드쇼크!$C$7,MAX(스프레드쇼크!$C$6,AF273/스프레드쇼크!$C$8)),1),1)</f>
        <v>1.15483850580299</v>
      </c>
      <c r="AZ273" s="94" t="n">
        <f aca="false">AN273*AX273*AY273</f>
        <v>746.971223581287</v>
      </c>
      <c r="BA273" s="90" t="n">
        <f aca="false">IF(ISNUMBER(G273),AA273*G273,0)</f>
        <v>16.6663945953</v>
      </c>
      <c r="BB273" s="90" t="n">
        <f aca="false">IF(ISNUMBER(G273),AA273,0)</f>
        <v>2.898453</v>
      </c>
      <c r="BC273" s="90" t="n">
        <f aca="false">IF(AND(Y273=0,ISNUMBER(AF273)),AA273*AF273,0)</f>
        <v>221.299785003</v>
      </c>
      <c r="BD273" s="90" t="n">
        <f aca="false">IF(AND(Y273=0,ISNUMBER(AF273)),AA273,0)</f>
        <v>2.898453</v>
      </c>
      <c r="BE273" s="90" t="n">
        <f aca="false">IF(ISNUMBER(H273),AA273*H273,0)</f>
        <v>6.4681877148</v>
      </c>
      <c r="BF273" s="90" t="n">
        <f aca="false">IF(ISNUMBER(H273),AA273,0)</f>
        <v>2.898453</v>
      </c>
      <c r="BG273" s="90" t="n">
        <f aca="false">IF(AND(Y273=0,ISNUMBER(AF273),ISNUMBER(Z273)),AA273*Z273,0)</f>
        <v>6.4681877148</v>
      </c>
      <c r="BH273" s="90" t="n">
        <f aca="false">IF(AND(Y273=0,ISNUMBER(AF273),ISNUMBER(Z273)),AA273*AT273*MAX(Z273-1,0),0)</f>
        <v>27.8737211147108</v>
      </c>
      <c r="BI273" s="90" t="n">
        <f aca="false">IF(Y273=0,AA273,0)</f>
        <v>2.898453</v>
      </c>
    </row>
    <row r="274" customFormat="false" ht="15" hidden="false" customHeight="false" outlineLevel="0" collapsed="false">
      <c r="A274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74" s="83" t="str">
        <f aca="false">IFERROR(IF(INDEX(원자료_잔고!$A$1:$EZ$1500,설정!$L$5+ROW()-1,설정!$L$7)&amp;""="0","",INDEX(원자료_잔고!$A$1:$EZ$1500,설정!$L$5+ROW()-1,설정!$L$7)&amp;""),"")</f>
        <v>XS3299373996</v>
      </c>
      <c r="C274" s="83" t="str">
        <f aca="false">IFERROR(IF(INDEX(원자료_잔고!$A$1:$EZ$1500,설정!$L$5+ROW()-1,설정!$L$9)&amp;""="0","",INDEX(원자료_잔고!$A$1:$EZ$1500,설정!$L$5+ROW()-1,설정!$L$9)&amp;""),"")</f>
        <v>34578</v>
      </c>
      <c r="D27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4" s="84" t="n">
        <f aca="false">IFERROR(IF(ISNUMBER(INDEX(원자료_잔고!$A$1:$EZ$1500,설정!$L$5+ROW()-1,설정!$L$11)),INDEX(원자료_잔고!$A$1:$EZ$1500,설정!$L$5+ROW()-1,설정!$L$11),""),"")</f>
        <v>5000000</v>
      </c>
      <c r="F274" s="85" t="n">
        <f aca="false">IFERROR(IF(ISNUMBER(INDEX(원자료_잔고!$A$1:$EZ$1500,설정!$L$5+ROW()-1,설정!$L$12)),INDEX(원자료_잔고!$A$1:$EZ$1500,설정!$L$5+ROW()-1,설정!$L$12),""),"")</f>
        <v>96.6151</v>
      </c>
      <c r="G274" s="85" t="n">
        <f aca="false">IFERROR(IF(ISNUMBER(INDEX(원자료_잔고!$A$1:$EZ$1500,설정!$L$5+ROW()-1,설정!$L$13)),INDEX(원자료_잔고!$A$1:$EZ$1500,설정!$L$5+ROW()-1,설정!$L$13),""),"")</f>
        <v>5.7501</v>
      </c>
      <c r="H274" s="85" t="n">
        <f aca="false">IFERROR(IF(ISNUMBER(INDEX(원자료_잔고!$A$1:$EZ$1500,설정!$L$5+ROW()-1,설정!$L$14)),INDEX(원자료_잔고!$A$1:$EZ$1500,설정!$L$5+ROW()-1,설정!$L$14),""),"")</f>
        <v>2.2316</v>
      </c>
      <c r="I274" s="86" t="n">
        <f aca="false">IFERROR(IF(ISNUMBER(INDEX(원자료_잔고!$A$1:$EZ$1500,설정!$L$5+ROW()-1,설정!$L$15)),INDEX(원자료_잔고!$A$1:$EZ$1500,설정!$L$5+ROW()-1,설정!$L$15),""),"")</f>
        <v>47188</v>
      </c>
      <c r="J274" s="85" t="n">
        <f aca="false">IFERROR(IF(ISNUMBER(INDEX(원자료_잔고!$A$1:$EZ$1500,설정!$L$5+ROW()-1,설정!$L$16)),INDEX(원자료_잔고!$A$1:$EZ$1500,설정!$L$5+ROW()-1,설정!$L$16),""),"")</f>
        <v>4.25</v>
      </c>
      <c r="K274" s="87" t="n">
        <f aca="false">IFERROR(IF(ISNUMBER(INDEX(원자료_잔고!$A$1:$EZ$1500,설정!$L$5+ROW()-1,설정!$L$17)),INDEX(원자료_잔고!$A$1:$EZ$1500,설정!$L$5+ROW()-1,설정!$L$17),""),"")</f>
        <v>1</v>
      </c>
      <c r="L274" s="84" t="n">
        <f aca="false">IFERROR(IF(ISNUMBER(INDEX(원자료_잔고!$A$1:$EZ$1500,설정!$L$5+ROW()-1,설정!$L$18)),INDEX(원자료_잔고!$A$1:$EZ$1500,설정!$L$5+ROW()-1,설정!$L$18),""),"")</f>
        <v>4830755</v>
      </c>
      <c r="M274" s="88" t="n">
        <f aca="false">IFERROR(IF(ISNUMBER(INDEX(원자료_잔고!$A$1:$EZ$1500,설정!$L$5+ROW()-1,설정!$L$19)),INDEX(원자료_잔고!$A$1:$EZ$1500,설정!$L$5+ROW()-1,설정!$L$19),""),"")</f>
        <v>-126049.38</v>
      </c>
      <c r="N274" s="83" t="str">
        <f aca="false">IFERROR(IF(INDEX(원자료_잔고!$A$1:$EZ$1500,설정!$L$5+ROW()-1,설정!$L$21)&amp;""="0","",INDEX(원자료_잔고!$A$1:$EZ$1500,설정!$L$5+ROW()-1,설정!$L$21)&amp;""),"")</f>
        <v/>
      </c>
      <c r="O274" s="83" t="str">
        <f aca="false">IFERROR(IF(INDEX(원자료_잔고!$A$1:$EZ$1500,설정!$L$5+ROW()-1,설정!$L$22)&amp;""="0","",INDEX(원자료_잔고!$A$1:$EZ$1500,설정!$L$5+ROW()-1,설정!$L$22)&amp;""),"")</f>
        <v/>
      </c>
      <c r="P274" s="83" t="str">
        <f aca="false">IFERROR(IF(INDEX(원자료_잔고!$A$1:$EZ$1500,설정!$L$5+ROW()-1,설정!$L$23)&amp;""="0","",INDEX(원자료_잔고!$A$1:$EZ$1500,설정!$L$5+ROW()-1,설정!$L$23)&amp;""),"")</f>
        <v>BBB</v>
      </c>
      <c r="Q274" s="89" t="n">
        <f aca="false">IF(AND($A274&lt;&gt;"",ISNUMBER(E274)),IF(E274&gt;0,1,0),0)</f>
        <v>1</v>
      </c>
      <c r="R274" s="43" t="str">
        <f aca="false">IF(Q274=1,UPPER(LEFT($A274,FIND(" ",$A274&amp;" ")-1)),"")</f>
        <v>DAESEC</v>
      </c>
      <c r="S274" s="89" t="n">
        <f aca="false">IF(Q274=1,IF(OR(ISNUMBER(SEARCH("Float",$A274)),ISNUMBER(SEARCH("FRN",$A274))),1,0),0)</f>
        <v>0</v>
      </c>
      <c r="T274" s="43" t="str">
        <f aca="false">IF(AND(Q274=1,ISNUMBER(I274)),TEXT(I274,"yyyymmdd")&amp;"|"&amp;IF(S274=1,"F",TEXT(J274,"0.000")),"")</f>
        <v>20290311|4.250</v>
      </c>
      <c r="U274" s="90" t="n">
        <f aca="false">IF(AND(Q274=1,ISNUMBER(I274)),(I274-설정!$C$4)/365.25,"")</f>
        <v>2.44216290212183</v>
      </c>
      <c r="V274" s="43" t="str">
        <f aca="false">IF(Q274&lt;&gt;1,"",IF(ISNUMBER(U274),IF(U274&lt;=1,"1년 이하",IF(U274&lt;=2,"1-2년",IF(U274&lt;=3,"2-3년",IF(U274&lt;=4,"3-4년",IF(U274&lt;=5,"4-5년",IF(U274&lt;=7,"5-7년",IF(U274&lt;=10,"7-10년",IF(U274&lt;=20,"10-20년","20년 이상")))))))),"미분류"))</f>
        <v>2-3년</v>
      </c>
      <c r="W274" s="43" t="str">
        <f aca="false">IF(Q274&lt;&gt;1,"",IF(AB274&lt;&gt;"",INDEX(시장분석!$C:$C,AB274),IF(K274=1,"USD","비USD")))</f>
        <v>USD</v>
      </c>
      <c r="X274" s="91" t="n">
        <f aca="false">IF(Q274=1,E274*K274/1000000,0)</f>
        <v>5</v>
      </c>
      <c r="Y274" s="89" t="n">
        <f aca="false">IF(R274="T",1,0)</f>
        <v>0</v>
      </c>
      <c r="Z274" s="92" t="n">
        <f aca="false">IF(Q274&lt;&gt;1,"",IF(AD274=1,IF(ISNUMBER(U274),MAX(U274,0),H274),H274))</f>
        <v>2.2316</v>
      </c>
      <c r="AA274" s="91" t="n">
        <f aca="false">IF(Q274=1,IF(ISNUMBER(L274),L274,0)*K274/1000000,0)</f>
        <v>4.830755</v>
      </c>
      <c r="AB274" s="89" t="n">
        <f aca="false">IF(Q274&lt;&gt;1,"",IFERROR(MATCH(VLOOKUP(B274,매핑!$H$4:$I$15,2,0),시장분석!$A$2:$A$601,0)+1,IFERROR(MATCH(R274&amp;"|"&amp;T274,시장분석!$V$2:$V$601,0)+1,IF(COUNTIF(시장분석!$U$2:$U$601,T274)=1,MATCH(T274,시장분석!$U$2:$U$601,0)+1,""))))</f>
        <v>253</v>
      </c>
      <c r="AC274" s="89" t="n">
        <f aca="false">IF(Q274&lt;&gt;1,0,IF(OR(설정!$C$5="전체",AND(설정!$C$5="선택펀드",IFERROR(COUNTIFS(설정!$F$16:$F$36,C274,설정!$G$16:$G$36,"Y")+COUNTIFS(설정!$F$16:$F$36,VALUE(C274),설정!$G$16:$G$36,"Y"),0)&gt;0),C274&amp;""=설정!$C$5&amp;""),1,0))</f>
        <v>1</v>
      </c>
      <c r="AD274" s="89" t="n">
        <f aca="false">IF(Q274&lt;&gt;1,0,IF(OR(S274=1,IF(AB274="",FALSE(),INDEX(시장분석!$R:$R,AB274)=1)),1,0))</f>
        <v>0</v>
      </c>
      <c r="AE274" s="43" t="str">
        <f aca="false">IF(AB274="","",INDEX(시장분석!$A:$A,AB274))</f>
        <v>DAESEC 4 1/4 03/11/29</v>
      </c>
      <c r="AF274" s="93" t="n">
        <f aca="false">IF(AB274="","",IF(ISNUMBER(IF(AB274="","",INDEX(시장분석!$E:$E,AB274))),IF(AB274="","",INDEX(시장분석!$E:$E,AB274)),""))</f>
        <v>76.351</v>
      </c>
      <c r="AG274" s="43" t="str">
        <f aca="false">IF(Q274&lt;&gt;1,"",IF(AB274&lt;&gt;"",IF(AB274="","",INDEX(시장분석!$L:$L,AB274)),IFERROR(IF(VLOOKUP(R274,매핑!$A$4:$E$92,5,0)="","미분류",VLOOKUP(R274,매핑!$A$4:$E$92,5,0)),"미분류")))</f>
        <v>금융기관</v>
      </c>
      <c r="AH274" s="43" t="str">
        <f aca="false">IF(Q274&lt;&gt;1,"",IF(AB274&lt;&gt;"",IF(AB274="","",INDEX(시장분석!$N:$N,AB274)),IFERROR(IF(VLOOKUP(R274,매핑!$A$4:$E$92,4,0)="","미분류",VLOOKUP(R274,매핑!$A$4:$E$92,4,0)),"미분류")))</f>
        <v>아시아/기타</v>
      </c>
      <c r="AI274" s="43" t="str">
        <f aca="false">IF(Q274&lt;&gt;1,"",IFERROR(IF(VLOOKUP(R274,매핑!$A$4:$E$92,3,0)="","미분류",VLOOKUP(R274,매핑!$A$4:$E$92,3,0)),IF(AB274&lt;&gt;"",IF(AB274="","",INDEX(시장분석!$W:$W,AB274)),"미분류")))</f>
        <v>한국</v>
      </c>
      <c r="AJ274" s="43" t="str">
        <f aca="false">IF(Q274&lt;&gt;1,"",IFERROR(VLOOKUP(IF(N274&lt;&gt;"",N274,IF(P274&lt;&gt;"",P274,O274)),설정!$A$15:$D$47,2,0),""))</f>
        <v>BBB</v>
      </c>
      <c r="AK274" s="43" t="str">
        <f aca="false">IF(Q274&lt;&gt;1,"",IF(AJ274="","무등급",IFERROR(VLOOKUP(AJ274,설정!$A$15:$D$47,3,0),"무등급")))</f>
        <v>BBB</v>
      </c>
      <c r="AL274" s="89" t="n">
        <f aca="false">IF(AJ274="",99,IFERROR(VLOOKUP(AJ274,설정!$A$15:$D$47,4,0),99))</f>
        <v>9</v>
      </c>
      <c r="AM274" s="94" t="n">
        <f aca="false">IF(ISNUMBER(H274),AA274*1000000*H274/10000,0)</f>
        <v>1078.0312858</v>
      </c>
      <c r="AN274" s="94" t="n">
        <f aca="false">IF(OR(Y274=1,NOT(ISNUMBER(Z274))),0,AA274*1000000*Z274/10000)</f>
        <v>1078.0312858</v>
      </c>
      <c r="AO274" s="94" t="n">
        <f aca="false">IF(ISNUMBER(G274),AA274*1000000*G274/100,0)</f>
        <v>277773.243255</v>
      </c>
      <c r="AP274" s="94" t="n">
        <f aca="false">IF(ISNUMBER(M274),M274*K274,0)</f>
        <v>-126049.38</v>
      </c>
      <c r="AQ274" s="95" t="n">
        <f aca="false">IF(AB274="","",INDEX(시장분석!$AK:$AK,AB274))</f>
        <v>0.706592462740676</v>
      </c>
      <c r="AR274" s="43" t="str">
        <f aca="false">IF(AB274="","-",IF(AB274="","",INDEX(시장분석!$AL:$AL,AB274)))</f>
        <v>Fair</v>
      </c>
      <c r="AS274" s="96" t="n">
        <f aca="false">IF(AB274="","",INDEX(시장분석!$AJ:$AJ,AB274))</f>
        <v>14.4664826457201</v>
      </c>
      <c r="AT274" s="93" t="n">
        <f aca="false">IF(AB274="",0,IF(AB274="","",INDEX(시장분석!$AN:$AN,AB274)))</f>
        <v>7.80834525298121</v>
      </c>
      <c r="AU274" s="94" t="n">
        <f aca="false">IF(ISNUMBER(Z274),AT274/10000*MAX(Z274-1,0)*AA274*1000000,0)</f>
        <v>4645.62018578513</v>
      </c>
      <c r="AV274" s="94" t="n">
        <f aca="false">AO274+AU274</f>
        <v>282418.863440785</v>
      </c>
      <c r="AW274" s="43" t="str">
        <f aca="false">IF(Q274&lt;&gt;1,"",TRIM(IF(AD274=1,"FRN ","")&amp;IF(AND(AL274&gt;=10,AL274&lt;99),"BBB0미만 ","")&amp;IF(AJ274="","등급없음 ","")&amp;IF(K274&lt;&gt;1,"비USD ","")&amp;IF(AND(AB274="",Y274=0),"시장데이터없음 ","")&amp;IF(AND(ISNUMBER(U274),U274&lt;0),"만기경과 ","")))</f>
        <v/>
      </c>
      <c r="AX274" s="90" t="n">
        <f aca="false">IF(Q274&lt;&gt;1,1,IF(스프레드쇼크!$C$4="Y",INDEX(스프레드쇼크!$B$12:$L$16,IFERROR(MATCH(AH274,스프레드쇼크!$A$12:$A$16,0),MATCH("목록외",스프레드쇼크!$A$12:$A$16,0)),IFERROR(MATCH(AG274,스프레드쇼크!$B$11:$L$11,0),MATCH("목록외",스프레드쇼크!$B$11:$L$11,0))),1))</f>
        <v>1</v>
      </c>
      <c r="AY274" s="90" t="n">
        <f aca="false">IF(스프레드쇼크!$C$5="Y",IF(ISNUMBER(AF274),MIN(스프레드쇼크!$C$7,MAX(스프레드쇼크!$C$6,AF274/스프레드쇼크!$C$8)),1),1)</f>
        <v>1.15483850580299</v>
      </c>
      <c r="AZ274" s="94" t="n">
        <f aca="false">AN274*AX274*AY274</f>
        <v>1244.95203930215</v>
      </c>
      <c r="BA274" s="90" t="n">
        <f aca="false">IF(ISNUMBER(G274),AA274*G274,0)</f>
        <v>27.7773243255</v>
      </c>
      <c r="BB274" s="90" t="n">
        <f aca="false">IF(ISNUMBER(G274),AA274,0)</f>
        <v>4.830755</v>
      </c>
      <c r="BC274" s="90" t="n">
        <f aca="false">IF(AND(Y274=0,ISNUMBER(AF274)),AA274*AF274,0)</f>
        <v>368.832975005</v>
      </c>
      <c r="BD274" s="90" t="n">
        <f aca="false">IF(AND(Y274=0,ISNUMBER(AF274)),AA274,0)</f>
        <v>4.830755</v>
      </c>
      <c r="BE274" s="90" t="n">
        <f aca="false">IF(ISNUMBER(H274),AA274*H274,0)</f>
        <v>10.780312858</v>
      </c>
      <c r="BF274" s="90" t="n">
        <f aca="false">IF(ISNUMBER(H274),AA274,0)</f>
        <v>4.830755</v>
      </c>
      <c r="BG274" s="90" t="n">
        <f aca="false">IF(AND(Y274=0,ISNUMBER(AF274),ISNUMBER(Z274)),AA274*Z274,0)</f>
        <v>10.780312858</v>
      </c>
      <c r="BH274" s="90" t="n">
        <f aca="false">IF(AND(Y274=0,ISNUMBER(AF274),ISNUMBER(Z274)),AA274*AT274*MAX(Z274-1,0),0)</f>
        <v>46.4562018578513</v>
      </c>
      <c r="BI274" s="90" t="n">
        <f aca="false">IF(Y274=0,AA274,0)</f>
        <v>4.830755</v>
      </c>
    </row>
    <row r="275" customFormat="false" ht="15" hidden="false" customHeight="false" outlineLevel="0" collapsed="false">
      <c r="A275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75" s="83" t="str">
        <f aca="false">IFERROR(IF(INDEX(원자료_잔고!$A$1:$EZ$1500,설정!$L$5+ROW()-1,설정!$L$7)&amp;""="0","",INDEX(원자료_잔고!$A$1:$EZ$1500,설정!$L$5+ROW()-1,설정!$L$7)&amp;""),"")</f>
        <v>XS3299373996</v>
      </c>
      <c r="C275" s="83" t="str">
        <f aca="false">IFERROR(IF(INDEX(원자료_잔고!$A$1:$EZ$1500,설정!$L$5+ROW()-1,설정!$L$9)&amp;""="0","",INDEX(원자료_잔고!$A$1:$EZ$1500,설정!$L$5+ROW()-1,설정!$L$9)&amp;""),"")</f>
        <v>34578</v>
      </c>
      <c r="D27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5" s="84" t="n">
        <f aca="false">IFERROR(IF(ISNUMBER(INDEX(원자료_잔고!$A$1:$EZ$1500,설정!$L$5+ROW()-1,설정!$L$11)),INDEX(원자료_잔고!$A$1:$EZ$1500,설정!$L$5+ROW()-1,설정!$L$11),""),"")</f>
        <v>2000000</v>
      </c>
      <c r="F275" s="85" t="n">
        <f aca="false">IFERROR(IF(ISNUMBER(INDEX(원자료_잔고!$A$1:$EZ$1500,설정!$L$5+ROW()-1,설정!$L$12)),INDEX(원자료_잔고!$A$1:$EZ$1500,설정!$L$5+ROW()-1,설정!$L$12),""),"")</f>
        <v>96.6151</v>
      </c>
      <c r="G275" s="85" t="n">
        <f aca="false">IFERROR(IF(ISNUMBER(INDEX(원자료_잔고!$A$1:$EZ$1500,설정!$L$5+ROW()-1,설정!$L$13)),INDEX(원자료_잔고!$A$1:$EZ$1500,설정!$L$5+ROW()-1,설정!$L$13),""),"")</f>
        <v>5.7501</v>
      </c>
      <c r="H275" s="85" t="n">
        <f aca="false">IFERROR(IF(ISNUMBER(INDEX(원자료_잔고!$A$1:$EZ$1500,설정!$L$5+ROW()-1,설정!$L$14)),INDEX(원자료_잔고!$A$1:$EZ$1500,설정!$L$5+ROW()-1,설정!$L$14),""),"")</f>
        <v>2.2316</v>
      </c>
      <c r="I275" s="86" t="n">
        <f aca="false">IFERROR(IF(ISNUMBER(INDEX(원자료_잔고!$A$1:$EZ$1500,설정!$L$5+ROW()-1,설정!$L$15)),INDEX(원자료_잔고!$A$1:$EZ$1500,설정!$L$5+ROW()-1,설정!$L$15),""),"")</f>
        <v>47188</v>
      </c>
      <c r="J275" s="85" t="n">
        <f aca="false">IFERROR(IF(ISNUMBER(INDEX(원자료_잔고!$A$1:$EZ$1500,설정!$L$5+ROW()-1,설정!$L$16)),INDEX(원자료_잔고!$A$1:$EZ$1500,설정!$L$5+ROW()-1,설정!$L$16),""),"")</f>
        <v>4.25</v>
      </c>
      <c r="K275" s="87" t="n">
        <f aca="false">IFERROR(IF(ISNUMBER(INDEX(원자료_잔고!$A$1:$EZ$1500,설정!$L$5+ROW()-1,설정!$L$17)),INDEX(원자료_잔고!$A$1:$EZ$1500,설정!$L$5+ROW()-1,설정!$L$17),""),"")</f>
        <v>1</v>
      </c>
      <c r="L275" s="84" t="n">
        <f aca="false">IFERROR(IF(ISNUMBER(INDEX(원자료_잔고!$A$1:$EZ$1500,설정!$L$5+ROW()-1,설정!$L$18)),INDEX(원자료_잔고!$A$1:$EZ$1500,설정!$L$5+ROW()-1,설정!$L$18),""),"")</f>
        <v>1932302</v>
      </c>
      <c r="M275" s="88" t="n">
        <f aca="false">IFERROR(IF(ISNUMBER(INDEX(원자료_잔고!$A$1:$EZ$1500,설정!$L$5+ROW()-1,설정!$L$19)),INDEX(원자료_잔고!$A$1:$EZ$1500,설정!$L$5+ROW()-1,설정!$L$19),""),"")</f>
        <v>-48896.8</v>
      </c>
      <c r="N275" s="83" t="str">
        <f aca="false">IFERROR(IF(INDEX(원자료_잔고!$A$1:$EZ$1500,설정!$L$5+ROW()-1,설정!$L$21)&amp;""="0","",INDEX(원자료_잔고!$A$1:$EZ$1500,설정!$L$5+ROW()-1,설정!$L$21)&amp;""),"")</f>
        <v/>
      </c>
      <c r="O275" s="83" t="str">
        <f aca="false">IFERROR(IF(INDEX(원자료_잔고!$A$1:$EZ$1500,설정!$L$5+ROW()-1,설정!$L$22)&amp;""="0","",INDEX(원자료_잔고!$A$1:$EZ$1500,설정!$L$5+ROW()-1,설정!$L$22)&amp;""),"")</f>
        <v/>
      </c>
      <c r="P275" s="83" t="str">
        <f aca="false">IFERROR(IF(INDEX(원자료_잔고!$A$1:$EZ$1500,설정!$L$5+ROW()-1,설정!$L$23)&amp;""="0","",INDEX(원자료_잔고!$A$1:$EZ$1500,설정!$L$5+ROW()-1,설정!$L$23)&amp;""),"")</f>
        <v>BBB</v>
      </c>
      <c r="Q275" s="89" t="n">
        <f aca="false">IF(AND($A275&lt;&gt;"",ISNUMBER(E275)),IF(E275&gt;0,1,0),0)</f>
        <v>1</v>
      </c>
      <c r="R275" s="43" t="str">
        <f aca="false">IF(Q275=1,UPPER(LEFT($A275,FIND(" ",$A275&amp;" ")-1)),"")</f>
        <v>DAESEC</v>
      </c>
      <c r="S275" s="89" t="n">
        <f aca="false">IF(Q275=1,IF(OR(ISNUMBER(SEARCH("Float",$A275)),ISNUMBER(SEARCH("FRN",$A275))),1,0),0)</f>
        <v>0</v>
      </c>
      <c r="T275" s="43" t="str">
        <f aca="false">IF(AND(Q275=1,ISNUMBER(I275)),TEXT(I275,"yyyymmdd")&amp;"|"&amp;IF(S275=1,"F",TEXT(J275,"0.000")),"")</f>
        <v>20290311|4.250</v>
      </c>
      <c r="U275" s="90" t="n">
        <f aca="false">IF(AND(Q275=1,ISNUMBER(I275)),(I275-설정!$C$4)/365.25,"")</f>
        <v>2.44216290212183</v>
      </c>
      <c r="V275" s="43" t="str">
        <f aca="false">IF(Q275&lt;&gt;1,"",IF(ISNUMBER(U275),IF(U275&lt;=1,"1년 이하",IF(U275&lt;=2,"1-2년",IF(U275&lt;=3,"2-3년",IF(U275&lt;=4,"3-4년",IF(U275&lt;=5,"4-5년",IF(U275&lt;=7,"5-7년",IF(U275&lt;=10,"7-10년",IF(U275&lt;=20,"10-20년","20년 이상")))))))),"미분류"))</f>
        <v>2-3년</v>
      </c>
      <c r="W275" s="43" t="str">
        <f aca="false">IF(Q275&lt;&gt;1,"",IF(AB275&lt;&gt;"",INDEX(시장분석!$C:$C,AB275),IF(K275=1,"USD","비USD")))</f>
        <v>USD</v>
      </c>
      <c r="X275" s="91" t="n">
        <f aca="false">IF(Q275=1,E275*K275/1000000,0)</f>
        <v>2</v>
      </c>
      <c r="Y275" s="89" t="n">
        <f aca="false">IF(R275="T",1,0)</f>
        <v>0</v>
      </c>
      <c r="Z275" s="92" t="n">
        <f aca="false">IF(Q275&lt;&gt;1,"",IF(AD275=1,IF(ISNUMBER(U275),MAX(U275,0),H275),H275))</f>
        <v>2.2316</v>
      </c>
      <c r="AA275" s="91" t="n">
        <f aca="false">IF(Q275=1,IF(ISNUMBER(L275),L275,0)*K275/1000000,0)</f>
        <v>1.932302</v>
      </c>
      <c r="AB275" s="89" t="n">
        <f aca="false">IF(Q275&lt;&gt;1,"",IFERROR(MATCH(VLOOKUP(B275,매핑!$H$4:$I$15,2,0),시장분석!$A$2:$A$601,0)+1,IFERROR(MATCH(R275&amp;"|"&amp;T275,시장분석!$V$2:$V$601,0)+1,IF(COUNTIF(시장분석!$U$2:$U$601,T275)=1,MATCH(T275,시장분석!$U$2:$U$601,0)+1,""))))</f>
        <v>253</v>
      </c>
      <c r="AC275" s="89" t="n">
        <f aca="false">IF(Q275&lt;&gt;1,0,IF(OR(설정!$C$5="전체",AND(설정!$C$5="선택펀드",IFERROR(COUNTIFS(설정!$F$16:$F$36,C275,설정!$G$16:$G$36,"Y")+COUNTIFS(설정!$F$16:$F$36,VALUE(C275),설정!$G$16:$G$36,"Y"),0)&gt;0),C275&amp;""=설정!$C$5&amp;""),1,0))</f>
        <v>1</v>
      </c>
      <c r="AD275" s="89" t="n">
        <f aca="false">IF(Q275&lt;&gt;1,0,IF(OR(S275=1,IF(AB275="",FALSE(),INDEX(시장분석!$R:$R,AB275)=1)),1,0))</f>
        <v>0</v>
      </c>
      <c r="AE275" s="43" t="str">
        <f aca="false">IF(AB275="","",INDEX(시장분석!$A:$A,AB275))</f>
        <v>DAESEC 4 1/4 03/11/29</v>
      </c>
      <c r="AF275" s="93" t="n">
        <f aca="false">IF(AB275="","",IF(ISNUMBER(IF(AB275="","",INDEX(시장분석!$E:$E,AB275))),IF(AB275="","",INDEX(시장분석!$E:$E,AB275)),""))</f>
        <v>76.351</v>
      </c>
      <c r="AG275" s="43" t="str">
        <f aca="false">IF(Q275&lt;&gt;1,"",IF(AB275&lt;&gt;"",IF(AB275="","",INDEX(시장분석!$L:$L,AB275)),IFERROR(IF(VLOOKUP(R275,매핑!$A$4:$E$92,5,0)="","미분류",VLOOKUP(R275,매핑!$A$4:$E$92,5,0)),"미분류")))</f>
        <v>금융기관</v>
      </c>
      <c r="AH275" s="43" t="str">
        <f aca="false">IF(Q275&lt;&gt;1,"",IF(AB275&lt;&gt;"",IF(AB275="","",INDEX(시장분석!$N:$N,AB275)),IFERROR(IF(VLOOKUP(R275,매핑!$A$4:$E$92,4,0)="","미분류",VLOOKUP(R275,매핑!$A$4:$E$92,4,0)),"미분류")))</f>
        <v>아시아/기타</v>
      </c>
      <c r="AI275" s="43" t="str">
        <f aca="false">IF(Q275&lt;&gt;1,"",IFERROR(IF(VLOOKUP(R275,매핑!$A$4:$E$92,3,0)="","미분류",VLOOKUP(R275,매핑!$A$4:$E$92,3,0)),IF(AB275&lt;&gt;"",IF(AB275="","",INDEX(시장분석!$W:$W,AB275)),"미분류")))</f>
        <v>한국</v>
      </c>
      <c r="AJ275" s="43" t="str">
        <f aca="false">IF(Q275&lt;&gt;1,"",IFERROR(VLOOKUP(IF(N275&lt;&gt;"",N275,IF(P275&lt;&gt;"",P275,O275)),설정!$A$15:$D$47,2,0),""))</f>
        <v>BBB</v>
      </c>
      <c r="AK275" s="43" t="str">
        <f aca="false">IF(Q275&lt;&gt;1,"",IF(AJ275="","무등급",IFERROR(VLOOKUP(AJ275,설정!$A$15:$D$47,3,0),"무등급")))</f>
        <v>BBB</v>
      </c>
      <c r="AL275" s="89" t="n">
        <f aca="false">IF(AJ275="",99,IFERROR(VLOOKUP(AJ275,설정!$A$15:$D$47,4,0),99))</f>
        <v>9</v>
      </c>
      <c r="AM275" s="94" t="n">
        <f aca="false">IF(ISNUMBER(H275),AA275*1000000*H275/10000,0)</f>
        <v>431.21251432</v>
      </c>
      <c r="AN275" s="94" t="n">
        <f aca="false">IF(OR(Y275=1,NOT(ISNUMBER(Z275))),0,AA275*1000000*Z275/10000)</f>
        <v>431.21251432</v>
      </c>
      <c r="AO275" s="94" t="n">
        <f aca="false">IF(ISNUMBER(G275),AA275*1000000*G275/100,0)</f>
        <v>111109.297302</v>
      </c>
      <c r="AP275" s="94" t="n">
        <f aca="false">IF(ISNUMBER(M275),M275*K275,0)</f>
        <v>-48896.8</v>
      </c>
      <c r="AQ275" s="95" t="n">
        <f aca="false">IF(AB275="","",INDEX(시장분석!$AK:$AK,AB275))</f>
        <v>0.706592462740676</v>
      </c>
      <c r="AR275" s="43" t="str">
        <f aca="false">IF(AB275="","-",IF(AB275="","",INDEX(시장분석!$AL:$AL,AB275)))</f>
        <v>Fair</v>
      </c>
      <c r="AS275" s="96" t="n">
        <f aca="false">IF(AB275="","",INDEX(시장분석!$AJ:$AJ,AB275))</f>
        <v>14.4664826457201</v>
      </c>
      <c r="AT275" s="93" t="n">
        <f aca="false">IF(AB275="",0,IF(AB275="","",INDEX(시장분석!$AN:$AN,AB275)))</f>
        <v>7.80834525298121</v>
      </c>
      <c r="AU275" s="94" t="n">
        <f aca="false">IF(ISNUMBER(Z275),AT275/10000*MAX(Z275-1,0)*AA275*1000000,0)</f>
        <v>1858.24807431405</v>
      </c>
      <c r="AV275" s="94" t="n">
        <f aca="false">AO275+AU275</f>
        <v>112967.545376314</v>
      </c>
      <c r="AW275" s="43" t="str">
        <f aca="false">IF(Q275&lt;&gt;1,"",TRIM(IF(AD275=1,"FRN ","")&amp;IF(AND(AL275&gt;=10,AL275&lt;99),"BBB0미만 ","")&amp;IF(AJ275="","등급없음 ","")&amp;IF(K275&lt;&gt;1,"비USD ","")&amp;IF(AND(AB275="",Y275=0),"시장데이터없음 ","")&amp;IF(AND(ISNUMBER(U275),U275&lt;0),"만기경과 ","")))</f>
        <v/>
      </c>
      <c r="AX275" s="90" t="n">
        <f aca="false">IF(Q275&lt;&gt;1,1,IF(스프레드쇼크!$C$4="Y",INDEX(스프레드쇼크!$B$12:$L$16,IFERROR(MATCH(AH275,스프레드쇼크!$A$12:$A$16,0),MATCH("목록외",스프레드쇼크!$A$12:$A$16,0)),IFERROR(MATCH(AG275,스프레드쇼크!$B$11:$L$11,0),MATCH("목록외",스프레드쇼크!$B$11:$L$11,0))),1))</f>
        <v>1</v>
      </c>
      <c r="AY275" s="90" t="n">
        <f aca="false">IF(스프레드쇼크!$C$5="Y",IF(ISNUMBER(AF275),MIN(스프레드쇼크!$C$7,MAX(스프레드쇼크!$C$6,AF275/스프레드쇼크!$C$8)),1),1)</f>
        <v>1.15483850580299</v>
      </c>
      <c r="AZ275" s="94" t="n">
        <f aca="false">AN275*AX275*AY275</f>
        <v>497.980815720858</v>
      </c>
      <c r="BA275" s="90" t="n">
        <f aca="false">IF(ISNUMBER(G275),AA275*G275,0)</f>
        <v>11.1109297302</v>
      </c>
      <c r="BB275" s="90" t="n">
        <f aca="false">IF(ISNUMBER(G275),AA275,0)</f>
        <v>1.932302</v>
      </c>
      <c r="BC275" s="90" t="n">
        <f aca="false">IF(AND(Y275=0,ISNUMBER(AF275)),AA275*AF275,0)</f>
        <v>147.533190002</v>
      </c>
      <c r="BD275" s="90" t="n">
        <f aca="false">IF(AND(Y275=0,ISNUMBER(AF275)),AA275,0)</f>
        <v>1.932302</v>
      </c>
      <c r="BE275" s="90" t="n">
        <f aca="false">IF(ISNUMBER(H275),AA275*H275,0)</f>
        <v>4.3121251432</v>
      </c>
      <c r="BF275" s="90" t="n">
        <f aca="false">IF(ISNUMBER(H275),AA275,0)</f>
        <v>1.932302</v>
      </c>
      <c r="BG275" s="90" t="n">
        <f aca="false">IF(AND(Y275=0,ISNUMBER(AF275),ISNUMBER(Z275)),AA275*Z275,0)</f>
        <v>4.3121251432</v>
      </c>
      <c r="BH275" s="90" t="n">
        <f aca="false">IF(AND(Y275=0,ISNUMBER(AF275),ISNUMBER(Z275)),AA275*AT275*MAX(Z275-1,0),0)</f>
        <v>18.5824807431405</v>
      </c>
      <c r="BI275" s="90" t="n">
        <f aca="false">IF(Y275=0,AA275,0)</f>
        <v>1.932302</v>
      </c>
    </row>
    <row r="276" customFormat="false" ht="15" hidden="false" customHeight="false" outlineLevel="0" collapsed="false">
      <c r="A276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76" s="83" t="str">
        <f aca="false">IFERROR(IF(INDEX(원자료_잔고!$A$1:$EZ$1500,설정!$L$5+ROW()-1,설정!$L$7)&amp;""="0","",INDEX(원자료_잔고!$A$1:$EZ$1500,설정!$L$5+ROW()-1,설정!$L$7)&amp;""),"")</f>
        <v>XS3299373996</v>
      </c>
      <c r="C276" s="83" t="str">
        <f aca="false">IFERROR(IF(INDEX(원자료_잔고!$A$1:$EZ$1500,설정!$L$5+ROW()-1,설정!$L$9)&amp;""="0","",INDEX(원자료_잔고!$A$1:$EZ$1500,설정!$L$5+ROW()-1,설정!$L$9)&amp;""),"")</f>
        <v>34578</v>
      </c>
      <c r="D27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6" s="84" t="n">
        <f aca="false">IFERROR(IF(ISNUMBER(INDEX(원자료_잔고!$A$1:$EZ$1500,설정!$L$5+ROW()-1,설정!$L$11)),INDEX(원자료_잔고!$A$1:$EZ$1500,설정!$L$5+ROW()-1,설정!$L$11),""),"")</f>
        <v>1000000</v>
      </c>
      <c r="F276" s="85" t="n">
        <f aca="false">IFERROR(IF(ISNUMBER(INDEX(원자료_잔고!$A$1:$EZ$1500,설정!$L$5+ROW()-1,설정!$L$12)),INDEX(원자료_잔고!$A$1:$EZ$1500,설정!$L$5+ROW()-1,설정!$L$12),""),"")</f>
        <v>96.6151</v>
      </c>
      <c r="G276" s="85" t="n">
        <f aca="false">IFERROR(IF(ISNUMBER(INDEX(원자료_잔고!$A$1:$EZ$1500,설정!$L$5+ROW()-1,설정!$L$13)),INDEX(원자료_잔고!$A$1:$EZ$1500,설정!$L$5+ROW()-1,설정!$L$13),""),"")</f>
        <v>5.7501</v>
      </c>
      <c r="H276" s="85" t="n">
        <f aca="false">IFERROR(IF(ISNUMBER(INDEX(원자료_잔고!$A$1:$EZ$1500,설정!$L$5+ROW()-1,설정!$L$14)),INDEX(원자료_잔고!$A$1:$EZ$1500,설정!$L$5+ROW()-1,설정!$L$14),""),"")</f>
        <v>2.2316</v>
      </c>
      <c r="I276" s="86" t="n">
        <f aca="false">IFERROR(IF(ISNUMBER(INDEX(원자료_잔고!$A$1:$EZ$1500,설정!$L$5+ROW()-1,설정!$L$15)),INDEX(원자료_잔고!$A$1:$EZ$1500,설정!$L$5+ROW()-1,설정!$L$15),""),"")</f>
        <v>47188</v>
      </c>
      <c r="J276" s="85" t="n">
        <f aca="false">IFERROR(IF(ISNUMBER(INDEX(원자료_잔고!$A$1:$EZ$1500,설정!$L$5+ROW()-1,설정!$L$16)),INDEX(원자료_잔고!$A$1:$EZ$1500,설정!$L$5+ROW()-1,설정!$L$16),""),"")</f>
        <v>4.25</v>
      </c>
      <c r="K276" s="87" t="n">
        <f aca="false">IFERROR(IF(ISNUMBER(INDEX(원자료_잔고!$A$1:$EZ$1500,설정!$L$5+ROW()-1,설정!$L$17)),INDEX(원자료_잔고!$A$1:$EZ$1500,설정!$L$5+ROW()-1,설정!$L$17),""),"")</f>
        <v>1</v>
      </c>
      <c r="L276" s="84" t="n">
        <f aca="false">IFERROR(IF(ISNUMBER(INDEX(원자료_잔고!$A$1:$EZ$1500,설정!$L$5+ROW()-1,설정!$L$18)),INDEX(원자료_잔고!$A$1:$EZ$1500,설정!$L$5+ROW()-1,설정!$L$18),""),"")</f>
        <v>966151</v>
      </c>
      <c r="M276" s="88" t="n">
        <f aca="false">IFERROR(IF(ISNUMBER(INDEX(원자료_잔고!$A$1:$EZ$1500,설정!$L$5+ROW()-1,설정!$L$19)),INDEX(원자료_잔고!$A$1:$EZ$1500,설정!$L$5+ROW()-1,설정!$L$19),""),"")</f>
        <v>-25586.92</v>
      </c>
      <c r="N276" s="83" t="str">
        <f aca="false">IFERROR(IF(INDEX(원자료_잔고!$A$1:$EZ$1500,설정!$L$5+ROW()-1,설정!$L$21)&amp;""="0","",INDEX(원자료_잔고!$A$1:$EZ$1500,설정!$L$5+ROW()-1,설정!$L$21)&amp;""),"")</f>
        <v/>
      </c>
      <c r="O276" s="83" t="str">
        <f aca="false">IFERROR(IF(INDEX(원자료_잔고!$A$1:$EZ$1500,설정!$L$5+ROW()-1,설정!$L$22)&amp;""="0","",INDEX(원자료_잔고!$A$1:$EZ$1500,설정!$L$5+ROW()-1,설정!$L$22)&amp;""),"")</f>
        <v/>
      </c>
      <c r="P276" s="83" t="str">
        <f aca="false">IFERROR(IF(INDEX(원자료_잔고!$A$1:$EZ$1500,설정!$L$5+ROW()-1,설정!$L$23)&amp;""="0","",INDEX(원자료_잔고!$A$1:$EZ$1500,설정!$L$5+ROW()-1,설정!$L$23)&amp;""),"")</f>
        <v>BBB</v>
      </c>
      <c r="Q276" s="89" t="n">
        <f aca="false">IF(AND($A276&lt;&gt;"",ISNUMBER(E276)),IF(E276&gt;0,1,0),0)</f>
        <v>1</v>
      </c>
      <c r="R276" s="43" t="str">
        <f aca="false">IF(Q276=1,UPPER(LEFT($A276,FIND(" ",$A276&amp;" ")-1)),"")</f>
        <v>DAESEC</v>
      </c>
      <c r="S276" s="89" t="n">
        <f aca="false">IF(Q276=1,IF(OR(ISNUMBER(SEARCH("Float",$A276)),ISNUMBER(SEARCH("FRN",$A276))),1,0),0)</f>
        <v>0</v>
      </c>
      <c r="T276" s="43" t="str">
        <f aca="false">IF(AND(Q276=1,ISNUMBER(I276)),TEXT(I276,"yyyymmdd")&amp;"|"&amp;IF(S276=1,"F",TEXT(J276,"0.000")),"")</f>
        <v>20290311|4.250</v>
      </c>
      <c r="U276" s="90" t="n">
        <f aca="false">IF(AND(Q276=1,ISNUMBER(I276)),(I276-설정!$C$4)/365.25,"")</f>
        <v>2.44216290212183</v>
      </c>
      <c r="V276" s="43" t="str">
        <f aca="false">IF(Q276&lt;&gt;1,"",IF(ISNUMBER(U276),IF(U276&lt;=1,"1년 이하",IF(U276&lt;=2,"1-2년",IF(U276&lt;=3,"2-3년",IF(U276&lt;=4,"3-4년",IF(U276&lt;=5,"4-5년",IF(U276&lt;=7,"5-7년",IF(U276&lt;=10,"7-10년",IF(U276&lt;=20,"10-20년","20년 이상")))))))),"미분류"))</f>
        <v>2-3년</v>
      </c>
      <c r="W276" s="43" t="str">
        <f aca="false">IF(Q276&lt;&gt;1,"",IF(AB276&lt;&gt;"",INDEX(시장분석!$C:$C,AB276),IF(K276=1,"USD","비USD")))</f>
        <v>USD</v>
      </c>
      <c r="X276" s="91" t="n">
        <f aca="false">IF(Q276=1,E276*K276/1000000,0)</f>
        <v>1</v>
      </c>
      <c r="Y276" s="89" t="n">
        <f aca="false">IF(R276="T",1,0)</f>
        <v>0</v>
      </c>
      <c r="Z276" s="92" t="n">
        <f aca="false">IF(Q276&lt;&gt;1,"",IF(AD276=1,IF(ISNUMBER(U276),MAX(U276,0),H276),H276))</f>
        <v>2.2316</v>
      </c>
      <c r="AA276" s="91" t="n">
        <f aca="false">IF(Q276=1,IF(ISNUMBER(L276),L276,0)*K276/1000000,0)</f>
        <v>0.966151</v>
      </c>
      <c r="AB276" s="89" t="n">
        <f aca="false">IF(Q276&lt;&gt;1,"",IFERROR(MATCH(VLOOKUP(B276,매핑!$H$4:$I$15,2,0),시장분석!$A$2:$A$601,0)+1,IFERROR(MATCH(R276&amp;"|"&amp;T276,시장분석!$V$2:$V$601,0)+1,IF(COUNTIF(시장분석!$U$2:$U$601,T276)=1,MATCH(T276,시장분석!$U$2:$U$601,0)+1,""))))</f>
        <v>253</v>
      </c>
      <c r="AC276" s="89" t="n">
        <f aca="false">IF(Q276&lt;&gt;1,0,IF(OR(설정!$C$5="전체",AND(설정!$C$5="선택펀드",IFERROR(COUNTIFS(설정!$F$16:$F$36,C276,설정!$G$16:$G$36,"Y")+COUNTIFS(설정!$F$16:$F$36,VALUE(C276),설정!$G$16:$G$36,"Y"),0)&gt;0),C276&amp;""=설정!$C$5&amp;""),1,0))</f>
        <v>1</v>
      </c>
      <c r="AD276" s="89" t="n">
        <f aca="false">IF(Q276&lt;&gt;1,0,IF(OR(S276=1,IF(AB276="",FALSE(),INDEX(시장분석!$R:$R,AB276)=1)),1,0))</f>
        <v>0</v>
      </c>
      <c r="AE276" s="43" t="str">
        <f aca="false">IF(AB276="","",INDEX(시장분석!$A:$A,AB276))</f>
        <v>DAESEC 4 1/4 03/11/29</v>
      </c>
      <c r="AF276" s="93" t="n">
        <f aca="false">IF(AB276="","",IF(ISNUMBER(IF(AB276="","",INDEX(시장분석!$E:$E,AB276))),IF(AB276="","",INDEX(시장분석!$E:$E,AB276)),""))</f>
        <v>76.351</v>
      </c>
      <c r="AG276" s="43" t="str">
        <f aca="false">IF(Q276&lt;&gt;1,"",IF(AB276&lt;&gt;"",IF(AB276="","",INDEX(시장분석!$L:$L,AB276)),IFERROR(IF(VLOOKUP(R276,매핑!$A$4:$E$92,5,0)="","미분류",VLOOKUP(R276,매핑!$A$4:$E$92,5,0)),"미분류")))</f>
        <v>금융기관</v>
      </c>
      <c r="AH276" s="43" t="str">
        <f aca="false">IF(Q276&lt;&gt;1,"",IF(AB276&lt;&gt;"",IF(AB276="","",INDEX(시장분석!$N:$N,AB276)),IFERROR(IF(VLOOKUP(R276,매핑!$A$4:$E$92,4,0)="","미분류",VLOOKUP(R276,매핑!$A$4:$E$92,4,0)),"미분류")))</f>
        <v>아시아/기타</v>
      </c>
      <c r="AI276" s="43" t="str">
        <f aca="false">IF(Q276&lt;&gt;1,"",IFERROR(IF(VLOOKUP(R276,매핑!$A$4:$E$92,3,0)="","미분류",VLOOKUP(R276,매핑!$A$4:$E$92,3,0)),IF(AB276&lt;&gt;"",IF(AB276="","",INDEX(시장분석!$W:$W,AB276)),"미분류")))</f>
        <v>한국</v>
      </c>
      <c r="AJ276" s="43" t="str">
        <f aca="false">IF(Q276&lt;&gt;1,"",IFERROR(VLOOKUP(IF(N276&lt;&gt;"",N276,IF(P276&lt;&gt;"",P276,O276)),설정!$A$15:$D$47,2,0),""))</f>
        <v>BBB</v>
      </c>
      <c r="AK276" s="43" t="str">
        <f aca="false">IF(Q276&lt;&gt;1,"",IF(AJ276="","무등급",IFERROR(VLOOKUP(AJ276,설정!$A$15:$D$47,3,0),"무등급")))</f>
        <v>BBB</v>
      </c>
      <c r="AL276" s="89" t="n">
        <f aca="false">IF(AJ276="",99,IFERROR(VLOOKUP(AJ276,설정!$A$15:$D$47,4,0),99))</f>
        <v>9</v>
      </c>
      <c r="AM276" s="94" t="n">
        <f aca="false">IF(ISNUMBER(H276),AA276*1000000*H276/10000,0)</f>
        <v>215.60625716</v>
      </c>
      <c r="AN276" s="94" t="n">
        <f aca="false">IF(OR(Y276=1,NOT(ISNUMBER(Z276))),0,AA276*1000000*Z276/10000)</f>
        <v>215.60625716</v>
      </c>
      <c r="AO276" s="94" t="n">
        <f aca="false">IF(ISNUMBER(G276),AA276*1000000*G276/100,0)</f>
        <v>55554.648651</v>
      </c>
      <c r="AP276" s="94" t="n">
        <f aca="false">IF(ISNUMBER(M276),M276*K276,0)</f>
        <v>-25586.92</v>
      </c>
      <c r="AQ276" s="95" t="n">
        <f aca="false">IF(AB276="","",INDEX(시장분석!$AK:$AK,AB276))</f>
        <v>0.706592462740676</v>
      </c>
      <c r="AR276" s="43" t="str">
        <f aca="false">IF(AB276="","-",IF(AB276="","",INDEX(시장분석!$AL:$AL,AB276)))</f>
        <v>Fair</v>
      </c>
      <c r="AS276" s="96" t="n">
        <f aca="false">IF(AB276="","",INDEX(시장분석!$AJ:$AJ,AB276))</f>
        <v>14.4664826457201</v>
      </c>
      <c r="AT276" s="93" t="n">
        <f aca="false">IF(AB276="",0,IF(AB276="","",INDEX(시장분석!$AN:$AN,AB276)))</f>
        <v>7.80834525298121</v>
      </c>
      <c r="AU276" s="94" t="n">
        <f aca="false">IF(ISNUMBER(Z276),AT276/10000*MAX(Z276-1,0)*AA276*1000000,0)</f>
        <v>929.124037157027</v>
      </c>
      <c r="AV276" s="94" t="n">
        <f aca="false">AO276+AU276</f>
        <v>56483.772688157</v>
      </c>
      <c r="AW276" s="43" t="str">
        <f aca="false">IF(Q276&lt;&gt;1,"",TRIM(IF(AD276=1,"FRN ","")&amp;IF(AND(AL276&gt;=10,AL276&lt;99),"BBB0미만 ","")&amp;IF(AJ276="","등급없음 ","")&amp;IF(K276&lt;&gt;1,"비USD ","")&amp;IF(AND(AB276="",Y276=0),"시장데이터없음 ","")&amp;IF(AND(ISNUMBER(U276),U276&lt;0),"만기경과 ","")))</f>
        <v/>
      </c>
      <c r="AX276" s="90" t="n">
        <f aca="false">IF(Q276&lt;&gt;1,1,IF(스프레드쇼크!$C$4="Y",INDEX(스프레드쇼크!$B$12:$L$16,IFERROR(MATCH(AH276,스프레드쇼크!$A$12:$A$16,0),MATCH("목록외",스프레드쇼크!$A$12:$A$16,0)),IFERROR(MATCH(AG276,스프레드쇼크!$B$11:$L$11,0),MATCH("목록외",스프레드쇼크!$B$11:$L$11,0))),1))</f>
        <v>1</v>
      </c>
      <c r="AY276" s="90" t="n">
        <f aca="false">IF(스프레드쇼크!$C$5="Y",IF(ISNUMBER(AF276),MIN(스프레드쇼크!$C$7,MAX(스프레드쇼크!$C$6,AF276/스프레드쇼크!$C$8)),1),1)</f>
        <v>1.15483850580299</v>
      </c>
      <c r="AZ276" s="94" t="n">
        <f aca="false">AN276*AX276*AY276</f>
        <v>248.990407860429</v>
      </c>
      <c r="BA276" s="90" t="n">
        <f aca="false">IF(ISNUMBER(G276),AA276*G276,0)</f>
        <v>5.5554648651</v>
      </c>
      <c r="BB276" s="90" t="n">
        <f aca="false">IF(ISNUMBER(G276),AA276,0)</f>
        <v>0.966151</v>
      </c>
      <c r="BC276" s="90" t="n">
        <f aca="false">IF(AND(Y276=0,ISNUMBER(AF276)),AA276*AF276,0)</f>
        <v>73.766595001</v>
      </c>
      <c r="BD276" s="90" t="n">
        <f aca="false">IF(AND(Y276=0,ISNUMBER(AF276)),AA276,0)</f>
        <v>0.966151</v>
      </c>
      <c r="BE276" s="90" t="n">
        <f aca="false">IF(ISNUMBER(H276),AA276*H276,0)</f>
        <v>2.1560625716</v>
      </c>
      <c r="BF276" s="90" t="n">
        <f aca="false">IF(ISNUMBER(H276),AA276,0)</f>
        <v>0.966151</v>
      </c>
      <c r="BG276" s="90" t="n">
        <f aca="false">IF(AND(Y276=0,ISNUMBER(AF276),ISNUMBER(Z276)),AA276*Z276,0)</f>
        <v>2.1560625716</v>
      </c>
      <c r="BH276" s="90" t="n">
        <f aca="false">IF(AND(Y276=0,ISNUMBER(AF276),ISNUMBER(Z276)),AA276*AT276*MAX(Z276-1,0),0)</f>
        <v>9.29124037157027</v>
      </c>
      <c r="BI276" s="90" t="n">
        <f aca="false">IF(Y276=0,AA276,0)</f>
        <v>0.966151</v>
      </c>
    </row>
    <row r="277" customFormat="false" ht="15" hidden="false" customHeight="false" outlineLevel="0" collapsed="false">
      <c r="A277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77" s="83" t="str">
        <f aca="false">IFERROR(IF(INDEX(원자료_잔고!$A$1:$EZ$1500,설정!$L$5+ROW()-1,설정!$L$7)&amp;""="0","",INDEX(원자료_잔고!$A$1:$EZ$1500,설정!$L$5+ROW()-1,설정!$L$7)&amp;""),"")</f>
        <v>XS3299373996</v>
      </c>
      <c r="C277" s="83" t="str">
        <f aca="false">IFERROR(IF(INDEX(원자료_잔고!$A$1:$EZ$1500,설정!$L$5+ROW()-1,설정!$L$9)&amp;""="0","",INDEX(원자료_잔고!$A$1:$EZ$1500,설정!$L$5+ROW()-1,설정!$L$9)&amp;""),"")</f>
        <v>34578</v>
      </c>
      <c r="D27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7" s="84" t="n">
        <f aca="false">IFERROR(IF(ISNUMBER(INDEX(원자료_잔고!$A$1:$EZ$1500,설정!$L$5+ROW()-1,설정!$L$11)),INDEX(원자료_잔고!$A$1:$EZ$1500,설정!$L$5+ROW()-1,설정!$L$11),""),"")</f>
        <v>4000000</v>
      </c>
      <c r="F277" s="85" t="n">
        <f aca="false">IFERROR(IF(ISNUMBER(INDEX(원자료_잔고!$A$1:$EZ$1500,설정!$L$5+ROW()-1,설정!$L$12)),INDEX(원자료_잔고!$A$1:$EZ$1500,설정!$L$5+ROW()-1,설정!$L$12),""),"")</f>
        <v>96.6151</v>
      </c>
      <c r="G277" s="85" t="n">
        <f aca="false">IFERROR(IF(ISNUMBER(INDEX(원자료_잔고!$A$1:$EZ$1500,설정!$L$5+ROW()-1,설정!$L$13)),INDEX(원자료_잔고!$A$1:$EZ$1500,설정!$L$5+ROW()-1,설정!$L$13),""),"")</f>
        <v>5.7501</v>
      </c>
      <c r="H277" s="85" t="n">
        <f aca="false">IFERROR(IF(ISNUMBER(INDEX(원자료_잔고!$A$1:$EZ$1500,설정!$L$5+ROW()-1,설정!$L$14)),INDEX(원자료_잔고!$A$1:$EZ$1500,설정!$L$5+ROW()-1,설정!$L$14),""),"")</f>
        <v>2.2316</v>
      </c>
      <c r="I277" s="86" t="n">
        <f aca="false">IFERROR(IF(ISNUMBER(INDEX(원자료_잔고!$A$1:$EZ$1500,설정!$L$5+ROW()-1,설정!$L$15)),INDEX(원자료_잔고!$A$1:$EZ$1500,설정!$L$5+ROW()-1,설정!$L$15),""),"")</f>
        <v>47188</v>
      </c>
      <c r="J277" s="85" t="n">
        <f aca="false">IFERROR(IF(ISNUMBER(INDEX(원자료_잔고!$A$1:$EZ$1500,설정!$L$5+ROW()-1,설정!$L$16)),INDEX(원자료_잔고!$A$1:$EZ$1500,설정!$L$5+ROW()-1,설정!$L$16),""),"")</f>
        <v>4.25</v>
      </c>
      <c r="K277" s="87" t="n">
        <f aca="false">IFERROR(IF(ISNUMBER(INDEX(원자료_잔고!$A$1:$EZ$1500,설정!$L$5+ROW()-1,설정!$L$17)),INDEX(원자료_잔고!$A$1:$EZ$1500,설정!$L$5+ROW()-1,설정!$L$17),""),"")</f>
        <v>1</v>
      </c>
      <c r="L277" s="84" t="n">
        <f aca="false">IFERROR(IF(ISNUMBER(INDEX(원자료_잔고!$A$1:$EZ$1500,설정!$L$5+ROW()-1,설정!$L$18)),INDEX(원자료_잔고!$A$1:$EZ$1500,설정!$L$5+ROW()-1,설정!$L$18),""),"")</f>
        <v>3864604</v>
      </c>
      <c r="M277" s="88" t="n">
        <f aca="false">IFERROR(IF(ISNUMBER(INDEX(원자료_잔고!$A$1:$EZ$1500,설정!$L$5+ROW()-1,설정!$L$19)),INDEX(원자료_잔고!$A$1:$EZ$1500,설정!$L$5+ROW()-1,설정!$L$19),""),"")</f>
        <v>-103661.77</v>
      </c>
      <c r="N277" s="83" t="str">
        <f aca="false">IFERROR(IF(INDEX(원자료_잔고!$A$1:$EZ$1500,설정!$L$5+ROW()-1,설정!$L$21)&amp;""="0","",INDEX(원자료_잔고!$A$1:$EZ$1500,설정!$L$5+ROW()-1,설정!$L$21)&amp;""),"")</f>
        <v/>
      </c>
      <c r="O277" s="83" t="str">
        <f aca="false">IFERROR(IF(INDEX(원자료_잔고!$A$1:$EZ$1500,설정!$L$5+ROW()-1,설정!$L$22)&amp;""="0","",INDEX(원자료_잔고!$A$1:$EZ$1500,설정!$L$5+ROW()-1,설정!$L$22)&amp;""),"")</f>
        <v/>
      </c>
      <c r="P277" s="83" t="str">
        <f aca="false">IFERROR(IF(INDEX(원자료_잔고!$A$1:$EZ$1500,설정!$L$5+ROW()-1,설정!$L$23)&amp;""="0","",INDEX(원자료_잔고!$A$1:$EZ$1500,설정!$L$5+ROW()-1,설정!$L$23)&amp;""),"")</f>
        <v>BBB</v>
      </c>
      <c r="Q277" s="89" t="n">
        <f aca="false">IF(AND($A277&lt;&gt;"",ISNUMBER(E277)),IF(E277&gt;0,1,0),0)</f>
        <v>1</v>
      </c>
      <c r="R277" s="43" t="str">
        <f aca="false">IF(Q277=1,UPPER(LEFT($A277,FIND(" ",$A277&amp;" ")-1)),"")</f>
        <v>DAESEC</v>
      </c>
      <c r="S277" s="89" t="n">
        <f aca="false">IF(Q277=1,IF(OR(ISNUMBER(SEARCH("Float",$A277)),ISNUMBER(SEARCH("FRN",$A277))),1,0),0)</f>
        <v>0</v>
      </c>
      <c r="T277" s="43" t="str">
        <f aca="false">IF(AND(Q277=1,ISNUMBER(I277)),TEXT(I277,"yyyymmdd")&amp;"|"&amp;IF(S277=1,"F",TEXT(J277,"0.000")),"")</f>
        <v>20290311|4.250</v>
      </c>
      <c r="U277" s="90" t="n">
        <f aca="false">IF(AND(Q277=1,ISNUMBER(I277)),(I277-설정!$C$4)/365.25,"")</f>
        <v>2.44216290212183</v>
      </c>
      <c r="V277" s="43" t="str">
        <f aca="false">IF(Q277&lt;&gt;1,"",IF(ISNUMBER(U277),IF(U277&lt;=1,"1년 이하",IF(U277&lt;=2,"1-2년",IF(U277&lt;=3,"2-3년",IF(U277&lt;=4,"3-4년",IF(U277&lt;=5,"4-5년",IF(U277&lt;=7,"5-7년",IF(U277&lt;=10,"7-10년",IF(U277&lt;=20,"10-20년","20년 이상")))))))),"미분류"))</f>
        <v>2-3년</v>
      </c>
      <c r="W277" s="43" t="str">
        <f aca="false">IF(Q277&lt;&gt;1,"",IF(AB277&lt;&gt;"",INDEX(시장분석!$C:$C,AB277),IF(K277=1,"USD","비USD")))</f>
        <v>USD</v>
      </c>
      <c r="X277" s="91" t="n">
        <f aca="false">IF(Q277=1,E277*K277/1000000,0)</f>
        <v>4</v>
      </c>
      <c r="Y277" s="89" t="n">
        <f aca="false">IF(R277="T",1,0)</f>
        <v>0</v>
      </c>
      <c r="Z277" s="92" t="n">
        <f aca="false">IF(Q277&lt;&gt;1,"",IF(AD277=1,IF(ISNUMBER(U277),MAX(U277,0),H277),H277))</f>
        <v>2.2316</v>
      </c>
      <c r="AA277" s="91" t="n">
        <f aca="false">IF(Q277=1,IF(ISNUMBER(L277),L277,0)*K277/1000000,0)</f>
        <v>3.864604</v>
      </c>
      <c r="AB277" s="89" t="n">
        <f aca="false">IF(Q277&lt;&gt;1,"",IFERROR(MATCH(VLOOKUP(B277,매핑!$H$4:$I$15,2,0),시장분석!$A$2:$A$601,0)+1,IFERROR(MATCH(R277&amp;"|"&amp;T277,시장분석!$V$2:$V$601,0)+1,IF(COUNTIF(시장분석!$U$2:$U$601,T277)=1,MATCH(T277,시장분석!$U$2:$U$601,0)+1,""))))</f>
        <v>253</v>
      </c>
      <c r="AC277" s="89" t="n">
        <f aca="false">IF(Q277&lt;&gt;1,0,IF(OR(설정!$C$5="전체",AND(설정!$C$5="선택펀드",IFERROR(COUNTIFS(설정!$F$16:$F$36,C277,설정!$G$16:$G$36,"Y")+COUNTIFS(설정!$F$16:$F$36,VALUE(C277),설정!$G$16:$G$36,"Y"),0)&gt;0),C277&amp;""=설정!$C$5&amp;""),1,0))</f>
        <v>1</v>
      </c>
      <c r="AD277" s="89" t="n">
        <f aca="false">IF(Q277&lt;&gt;1,0,IF(OR(S277=1,IF(AB277="",FALSE(),INDEX(시장분석!$R:$R,AB277)=1)),1,0))</f>
        <v>0</v>
      </c>
      <c r="AE277" s="43" t="str">
        <f aca="false">IF(AB277="","",INDEX(시장분석!$A:$A,AB277))</f>
        <v>DAESEC 4 1/4 03/11/29</v>
      </c>
      <c r="AF277" s="93" t="n">
        <f aca="false">IF(AB277="","",IF(ISNUMBER(IF(AB277="","",INDEX(시장분석!$E:$E,AB277))),IF(AB277="","",INDEX(시장분석!$E:$E,AB277)),""))</f>
        <v>76.351</v>
      </c>
      <c r="AG277" s="43" t="str">
        <f aca="false">IF(Q277&lt;&gt;1,"",IF(AB277&lt;&gt;"",IF(AB277="","",INDEX(시장분석!$L:$L,AB277)),IFERROR(IF(VLOOKUP(R277,매핑!$A$4:$E$92,5,0)="","미분류",VLOOKUP(R277,매핑!$A$4:$E$92,5,0)),"미분류")))</f>
        <v>금융기관</v>
      </c>
      <c r="AH277" s="43" t="str">
        <f aca="false">IF(Q277&lt;&gt;1,"",IF(AB277&lt;&gt;"",IF(AB277="","",INDEX(시장분석!$N:$N,AB277)),IFERROR(IF(VLOOKUP(R277,매핑!$A$4:$E$92,4,0)="","미분류",VLOOKUP(R277,매핑!$A$4:$E$92,4,0)),"미분류")))</f>
        <v>아시아/기타</v>
      </c>
      <c r="AI277" s="43" t="str">
        <f aca="false">IF(Q277&lt;&gt;1,"",IFERROR(IF(VLOOKUP(R277,매핑!$A$4:$E$92,3,0)="","미분류",VLOOKUP(R277,매핑!$A$4:$E$92,3,0)),IF(AB277&lt;&gt;"",IF(AB277="","",INDEX(시장분석!$W:$W,AB277)),"미분류")))</f>
        <v>한국</v>
      </c>
      <c r="AJ277" s="43" t="str">
        <f aca="false">IF(Q277&lt;&gt;1,"",IFERROR(VLOOKUP(IF(N277&lt;&gt;"",N277,IF(P277&lt;&gt;"",P277,O277)),설정!$A$15:$D$47,2,0),""))</f>
        <v>BBB</v>
      </c>
      <c r="AK277" s="43" t="str">
        <f aca="false">IF(Q277&lt;&gt;1,"",IF(AJ277="","무등급",IFERROR(VLOOKUP(AJ277,설정!$A$15:$D$47,3,0),"무등급")))</f>
        <v>BBB</v>
      </c>
      <c r="AL277" s="89" t="n">
        <f aca="false">IF(AJ277="",99,IFERROR(VLOOKUP(AJ277,설정!$A$15:$D$47,4,0),99))</f>
        <v>9</v>
      </c>
      <c r="AM277" s="94" t="n">
        <f aca="false">IF(ISNUMBER(H277),AA277*1000000*H277/10000,0)</f>
        <v>862.42502864</v>
      </c>
      <c r="AN277" s="94" t="n">
        <f aca="false">IF(OR(Y277=1,NOT(ISNUMBER(Z277))),0,AA277*1000000*Z277/10000)</f>
        <v>862.42502864</v>
      </c>
      <c r="AO277" s="94" t="n">
        <f aca="false">IF(ISNUMBER(G277),AA277*1000000*G277/100,0)</f>
        <v>222218.594604</v>
      </c>
      <c r="AP277" s="94" t="n">
        <f aca="false">IF(ISNUMBER(M277),M277*K277,0)</f>
        <v>-103661.77</v>
      </c>
      <c r="AQ277" s="95" t="n">
        <f aca="false">IF(AB277="","",INDEX(시장분석!$AK:$AK,AB277))</f>
        <v>0.706592462740676</v>
      </c>
      <c r="AR277" s="43" t="str">
        <f aca="false">IF(AB277="","-",IF(AB277="","",INDEX(시장분석!$AL:$AL,AB277)))</f>
        <v>Fair</v>
      </c>
      <c r="AS277" s="96" t="n">
        <f aca="false">IF(AB277="","",INDEX(시장분석!$AJ:$AJ,AB277))</f>
        <v>14.4664826457201</v>
      </c>
      <c r="AT277" s="93" t="n">
        <f aca="false">IF(AB277="",0,IF(AB277="","",INDEX(시장분석!$AN:$AN,AB277)))</f>
        <v>7.80834525298121</v>
      </c>
      <c r="AU277" s="94" t="n">
        <f aca="false">IF(ISNUMBER(Z277),AT277/10000*MAX(Z277-1,0)*AA277*1000000,0)</f>
        <v>3716.49614862811</v>
      </c>
      <c r="AV277" s="94" t="n">
        <f aca="false">AO277+AU277</f>
        <v>225935.090752628</v>
      </c>
      <c r="AW277" s="43" t="str">
        <f aca="false">IF(Q277&lt;&gt;1,"",TRIM(IF(AD277=1,"FRN ","")&amp;IF(AND(AL277&gt;=10,AL277&lt;99),"BBB0미만 ","")&amp;IF(AJ277="","등급없음 ","")&amp;IF(K277&lt;&gt;1,"비USD ","")&amp;IF(AND(AB277="",Y277=0),"시장데이터없음 ","")&amp;IF(AND(ISNUMBER(U277),U277&lt;0),"만기경과 ","")))</f>
        <v/>
      </c>
      <c r="AX277" s="90" t="n">
        <f aca="false">IF(Q277&lt;&gt;1,1,IF(스프레드쇼크!$C$4="Y",INDEX(스프레드쇼크!$B$12:$L$16,IFERROR(MATCH(AH277,스프레드쇼크!$A$12:$A$16,0),MATCH("목록외",스프레드쇼크!$A$12:$A$16,0)),IFERROR(MATCH(AG277,스프레드쇼크!$B$11:$L$11,0),MATCH("목록외",스프레드쇼크!$B$11:$L$11,0))),1))</f>
        <v>1</v>
      </c>
      <c r="AY277" s="90" t="n">
        <f aca="false">IF(스프레드쇼크!$C$5="Y",IF(ISNUMBER(AF277),MIN(스프레드쇼크!$C$7,MAX(스프레드쇼크!$C$6,AF277/스프레드쇼크!$C$8)),1),1)</f>
        <v>1.15483850580299</v>
      </c>
      <c r="AZ277" s="94" t="n">
        <f aca="false">AN277*AX277*AY277</f>
        <v>995.961631441717</v>
      </c>
      <c r="BA277" s="90" t="n">
        <f aca="false">IF(ISNUMBER(G277),AA277*G277,0)</f>
        <v>22.2218594604</v>
      </c>
      <c r="BB277" s="90" t="n">
        <f aca="false">IF(ISNUMBER(G277),AA277,0)</f>
        <v>3.864604</v>
      </c>
      <c r="BC277" s="90" t="n">
        <f aca="false">IF(AND(Y277=0,ISNUMBER(AF277)),AA277*AF277,0)</f>
        <v>295.066380004</v>
      </c>
      <c r="BD277" s="90" t="n">
        <f aca="false">IF(AND(Y277=0,ISNUMBER(AF277)),AA277,0)</f>
        <v>3.864604</v>
      </c>
      <c r="BE277" s="90" t="n">
        <f aca="false">IF(ISNUMBER(H277),AA277*H277,0)</f>
        <v>8.6242502864</v>
      </c>
      <c r="BF277" s="90" t="n">
        <f aca="false">IF(ISNUMBER(H277),AA277,0)</f>
        <v>3.864604</v>
      </c>
      <c r="BG277" s="90" t="n">
        <f aca="false">IF(AND(Y277=0,ISNUMBER(AF277),ISNUMBER(Z277)),AA277*Z277,0)</f>
        <v>8.6242502864</v>
      </c>
      <c r="BH277" s="90" t="n">
        <f aca="false">IF(AND(Y277=0,ISNUMBER(AF277),ISNUMBER(Z277)),AA277*AT277*MAX(Z277-1,0),0)</f>
        <v>37.1649614862811</v>
      </c>
      <c r="BI277" s="90" t="n">
        <f aca="false">IF(Y277=0,AA277,0)</f>
        <v>3.864604</v>
      </c>
    </row>
    <row r="278" customFormat="false" ht="15" hidden="false" customHeight="false" outlineLevel="0" collapsed="false">
      <c r="A278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78" s="83" t="str">
        <f aca="false">IFERROR(IF(INDEX(원자료_잔고!$A$1:$EZ$1500,설정!$L$5+ROW()-1,설정!$L$7)&amp;""="0","",INDEX(원자료_잔고!$A$1:$EZ$1500,설정!$L$5+ROW()-1,설정!$L$7)&amp;""),"")</f>
        <v>XS3299373996</v>
      </c>
      <c r="C278" s="83" t="str">
        <f aca="false">IFERROR(IF(INDEX(원자료_잔고!$A$1:$EZ$1500,설정!$L$5+ROW()-1,설정!$L$9)&amp;""="0","",INDEX(원자료_잔고!$A$1:$EZ$1500,설정!$L$5+ROW()-1,설정!$L$9)&amp;""),"")</f>
        <v>34578</v>
      </c>
      <c r="D27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8" s="84" t="n">
        <f aca="false">IFERROR(IF(ISNUMBER(INDEX(원자료_잔고!$A$1:$EZ$1500,설정!$L$5+ROW()-1,설정!$L$11)),INDEX(원자료_잔고!$A$1:$EZ$1500,설정!$L$5+ROW()-1,설정!$L$11),""),"")</f>
        <v>1700000</v>
      </c>
      <c r="F278" s="85" t="n">
        <f aca="false">IFERROR(IF(ISNUMBER(INDEX(원자료_잔고!$A$1:$EZ$1500,설정!$L$5+ROW()-1,설정!$L$12)),INDEX(원자료_잔고!$A$1:$EZ$1500,설정!$L$5+ROW()-1,설정!$L$12),""),"")</f>
        <v>96.6151</v>
      </c>
      <c r="G278" s="85" t="n">
        <f aca="false">IFERROR(IF(ISNUMBER(INDEX(원자료_잔고!$A$1:$EZ$1500,설정!$L$5+ROW()-1,설정!$L$13)),INDEX(원자료_잔고!$A$1:$EZ$1500,설정!$L$5+ROW()-1,설정!$L$13),""),"")</f>
        <v>5.7501</v>
      </c>
      <c r="H278" s="85" t="n">
        <f aca="false">IFERROR(IF(ISNUMBER(INDEX(원자료_잔고!$A$1:$EZ$1500,설정!$L$5+ROW()-1,설정!$L$14)),INDEX(원자료_잔고!$A$1:$EZ$1500,설정!$L$5+ROW()-1,설정!$L$14),""),"")</f>
        <v>2.2316</v>
      </c>
      <c r="I278" s="86" t="n">
        <f aca="false">IFERROR(IF(ISNUMBER(INDEX(원자료_잔고!$A$1:$EZ$1500,설정!$L$5+ROW()-1,설정!$L$15)),INDEX(원자료_잔고!$A$1:$EZ$1500,설정!$L$5+ROW()-1,설정!$L$15),""),"")</f>
        <v>47188</v>
      </c>
      <c r="J278" s="85" t="n">
        <f aca="false">IFERROR(IF(ISNUMBER(INDEX(원자료_잔고!$A$1:$EZ$1500,설정!$L$5+ROW()-1,설정!$L$16)),INDEX(원자료_잔고!$A$1:$EZ$1500,설정!$L$5+ROW()-1,설정!$L$16),""),"")</f>
        <v>4.25</v>
      </c>
      <c r="K278" s="87" t="n">
        <f aca="false">IFERROR(IF(ISNUMBER(INDEX(원자료_잔고!$A$1:$EZ$1500,설정!$L$5+ROW()-1,설정!$L$17)),INDEX(원자료_잔고!$A$1:$EZ$1500,설정!$L$5+ROW()-1,설정!$L$17),""),"")</f>
        <v>1</v>
      </c>
      <c r="L278" s="84" t="n">
        <f aca="false">IFERROR(IF(ISNUMBER(INDEX(원자료_잔고!$A$1:$EZ$1500,설정!$L$5+ROW()-1,설정!$L$18)),INDEX(원자료_잔고!$A$1:$EZ$1500,설정!$L$5+ROW()-1,설정!$L$18),""),"")</f>
        <v>1642456.7</v>
      </c>
      <c r="M278" s="88" t="n">
        <f aca="false">IFERROR(IF(ISNUMBER(INDEX(원자료_잔고!$A$1:$EZ$1500,설정!$L$5+ROW()-1,설정!$L$19)),INDEX(원자료_잔고!$A$1:$EZ$1500,설정!$L$5+ROW()-1,설정!$L$19),""),"")</f>
        <v>-25659.46</v>
      </c>
      <c r="N278" s="83" t="str">
        <f aca="false">IFERROR(IF(INDEX(원자료_잔고!$A$1:$EZ$1500,설정!$L$5+ROW()-1,설정!$L$21)&amp;""="0","",INDEX(원자료_잔고!$A$1:$EZ$1500,설정!$L$5+ROW()-1,설정!$L$21)&amp;""),"")</f>
        <v/>
      </c>
      <c r="O278" s="83" t="str">
        <f aca="false">IFERROR(IF(INDEX(원자료_잔고!$A$1:$EZ$1500,설정!$L$5+ROW()-1,설정!$L$22)&amp;""="0","",INDEX(원자료_잔고!$A$1:$EZ$1500,설정!$L$5+ROW()-1,설정!$L$22)&amp;""),"")</f>
        <v/>
      </c>
      <c r="P278" s="83" t="str">
        <f aca="false">IFERROR(IF(INDEX(원자료_잔고!$A$1:$EZ$1500,설정!$L$5+ROW()-1,설정!$L$23)&amp;""="0","",INDEX(원자료_잔고!$A$1:$EZ$1500,설정!$L$5+ROW()-1,설정!$L$23)&amp;""),"")</f>
        <v>BBB</v>
      </c>
      <c r="Q278" s="89" t="n">
        <f aca="false">IF(AND($A278&lt;&gt;"",ISNUMBER(E278)),IF(E278&gt;0,1,0),0)</f>
        <v>1</v>
      </c>
      <c r="R278" s="43" t="str">
        <f aca="false">IF(Q278=1,UPPER(LEFT($A278,FIND(" ",$A278&amp;" ")-1)),"")</f>
        <v>DAESEC</v>
      </c>
      <c r="S278" s="89" t="n">
        <f aca="false">IF(Q278=1,IF(OR(ISNUMBER(SEARCH("Float",$A278)),ISNUMBER(SEARCH("FRN",$A278))),1,0),0)</f>
        <v>0</v>
      </c>
      <c r="T278" s="43" t="str">
        <f aca="false">IF(AND(Q278=1,ISNUMBER(I278)),TEXT(I278,"yyyymmdd")&amp;"|"&amp;IF(S278=1,"F",TEXT(J278,"0.000")),"")</f>
        <v>20290311|4.250</v>
      </c>
      <c r="U278" s="90" t="n">
        <f aca="false">IF(AND(Q278=1,ISNUMBER(I278)),(I278-설정!$C$4)/365.25,"")</f>
        <v>2.44216290212183</v>
      </c>
      <c r="V278" s="43" t="str">
        <f aca="false">IF(Q278&lt;&gt;1,"",IF(ISNUMBER(U278),IF(U278&lt;=1,"1년 이하",IF(U278&lt;=2,"1-2년",IF(U278&lt;=3,"2-3년",IF(U278&lt;=4,"3-4년",IF(U278&lt;=5,"4-5년",IF(U278&lt;=7,"5-7년",IF(U278&lt;=10,"7-10년",IF(U278&lt;=20,"10-20년","20년 이상")))))))),"미분류"))</f>
        <v>2-3년</v>
      </c>
      <c r="W278" s="43" t="str">
        <f aca="false">IF(Q278&lt;&gt;1,"",IF(AB278&lt;&gt;"",INDEX(시장분석!$C:$C,AB278),IF(K278=1,"USD","비USD")))</f>
        <v>USD</v>
      </c>
      <c r="X278" s="91" t="n">
        <f aca="false">IF(Q278=1,E278*K278/1000000,0)</f>
        <v>1.7</v>
      </c>
      <c r="Y278" s="89" t="n">
        <f aca="false">IF(R278="T",1,0)</f>
        <v>0</v>
      </c>
      <c r="Z278" s="92" t="n">
        <f aca="false">IF(Q278&lt;&gt;1,"",IF(AD278=1,IF(ISNUMBER(U278),MAX(U278,0),H278),H278))</f>
        <v>2.2316</v>
      </c>
      <c r="AA278" s="91" t="n">
        <f aca="false">IF(Q278=1,IF(ISNUMBER(L278),L278,0)*K278/1000000,0)</f>
        <v>1.6424567</v>
      </c>
      <c r="AB278" s="89" t="n">
        <f aca="false">IF(Q278&lt;&gt;1,"",IFERROR(MATCH(VLOOKUP(B278,매핑!$H$4:$I$15,2,0),시장분석!$A$2:$A$601,0)+1,IFERROR(MATCH(R278&amp;"|"&amp;T278,시장분석!$V$2:$V$601,0)+1,IF(COUNTIF(시장분석!$U$2:$U$601,T278)=1,MATCH(T278,시장분석!$U$2:$U$601,0)+1,""))))</f>
        <v>253</v>
      </c>
      <c r="AC278" s="89" t="n">
        <f aca="false">IF(Q278&lt;&gt;1,0,IF(OR(설정!$C$5="전체",AND(설정!$C$5="선택펀드",IFERROR(COUNTIFS(설정!$F$16:$F$36,C278,설정!$G$16:$G$36,"Y")+COUNTIFS(설정!$F$16:$F$36,VALUE(C278),설정!$G$16:$G$36,"Y"),0)&gt;0),C278&amp;""=설정!$C$5&amp;""),1,0))</f>
        <v>1</v>
      </c>
      <c r="AD278" s="89" t="n">
        <f aca="false">IF(Q278&lt;&gt;1,0,IF(OR(S278=1,IF(AB278="",FALSE(),INDEX(시장분석!$R:$R,AB278)=1)),1,0))</f>
        <v>0</v>
      </c>
      <c r="AE278" s="43" t="str">
        <f aca="false">IF(AB278="","",INDEX(시장분석!$A:$A,AB278))</f>
        <v>DAESEC 4 1/4 03/11/29</v>
      </c>
      <c r="AF278" s="93" t="n">
        <f aca="false">IF(AB278="","",IF(ISNUMBER(IF(AB278="","",INDEX(시장분석!$E:$E,AB278))),IF(AB278="","",INDEX(시장분석!$E:$E,AB278)),""))</f>
        <v>76.351</v>
      </c>
      <c r="AG278" s="43" t="str">
        <f aca="false">IF(Q278&lt;&gt;1,"",IF(AB278&lt;&gt;"",IF(AB278="","",INDEX(시장분석!$L:$L,AB278)),IFERROR(IF(VLOOKUP(R278,매핑!$A$4:$E$92,5,0)="","미분류",VLOOKUP(R278,매핑!$A$4:$E$92,5,0)),"미분류")))</f>
        <v>금융기관</v>
      </c>
      <c r="AH278" s="43" t="str">
        <f aca="false">IF(Q278&lt;&gt;1,"",IF(AB278&lt;&gt;"",IF(AB278="","",INDEX(시장분석!$N:$N,AB278)),IFERROR(IF(VLOOKUP(R278,매핑!$A$4:$E$92,4,0)="","미분류",VLOOKUP(R278,매핑!$A$4:$E$92,4,0)),"미분류")))</f>
        <v>아시아/기타</v>
      </c>
      <c r="AI278" s="43" t="str">
        <f aca="false">IF(Q278&lt;&gt;1,"",IFERROR(IF(VLOOKUP(R278,매핑!$A$4:$E$92,3,0)="","미분류",VLOOKUP(R278,매핑!$A$4:$E$92,3,0)),IF(AB278&lt;&gt;"",IF(AB278="","",INDEX(시장분석!$W:$W,AB278)),"미분류")))</f>
        <v>한국</v>
      </c>
      <c r="AJ278" s="43" t="str">
        <f aca="false">IF(Q278&lt;&gt;1,"",IFERROR(VLOOKUP(IF(N278&lt;&gt;"",N278,IF(P278&lt;&gt;"",P278,O278)),설정!$A$15:$D$47,2,0),""))</f>
        <v>BBB</v>
      </c>
      <c r="AK278" s="43" t="str">
        <f aca="false">IF(Q278&lt;&gt;1,"",IF(AJ278="","무등급",IFERROR(VLOOKUP(AJ278,설정!$A$15:$D$47,3,0),"무등급")))</f>
        <v>BBB</v>
      </c>
      <c r="AL278" s="89" t="n">
        <f aca="false">IF(AJ278="",99,IFERROR(VLOOKUP(AJ278,설정!$A$15:$D$47,4,0),99))</f>
        <v>9</v>
      </c>
      <c r="AM278" s="94" t="n">
        <f aca="false">IF(ISNUMBER(H278),AA278*1000000*H278/10000,0)</f>
        <v>366.530637172</v>
      </c>
      <c r="AN278" s="94" t="n">
        <f aca="false">IF(OR(Y278=1,NOT(ISNUMBER(Z278))),0,AA278*1000000*Z278/10000)</f>
        <v>366.530637172</v>
      </c>
      <c r="AO278" s="94" t="n">
        <f aca="false">IF(ISNUMBER(G278),AA278*1000000*G278/100,0)</f>
        <v>94442.9027067</v>
      </c>
      <c r="AP278" s="94" t="n">
        <f aca="false">IF(ISNUMBER(M278),M278*K278,0)</f>
        <v>-25659.46</v>
      </c>
      <c r="AQ278" s="95" t="n">
        <f aca="false">IF(AB278="","",INDEX(시장분석!$AK:$AK,AB278))</f>
        <v>0.706592462740676</v>
      </c>
      <c r="AR278" s="43" t="str">
        <f aca="false">IF(AB278="","-",IF(AB278="","",INDEX(시장분석!$AL:$AL,AB278)))</f>
        <v>Fair</v>
      </c>
      <c r="AS278" s="96" t="n">
        <f aca="false">IF(AB278="","",INDEX(시장분석!$AJ:$AJ,AB278))</f>
        <v>14.4664826457201</v>
      </c>
      <c r="AT278" s="93" t="n">
        <f aca="false">IF(AB278="",0,IF(AB278="","",INDEX(시장분석!$AN:$AN,AB278)))</f>
        <v>7.80834525298121</v>
      </c>
      <c r="AU278" s="94" t="n">
        <f aca="false">IF(ISNUMBER(Z278),AT278/10000*MAX(Z278-1,0)*AA278*1000000,0)</f>
        <v>1579.51086316695</v>
      </c>
      <c r="AV278" s="94" t="n">
        <f aca="false">AO278+AU278</f>
        <v>96022.4135698669</v>
      </c>
      <c r="AW278" s="43" t="str">
        <f aca="false">IF(Q278&lt;&gt;1,"",TRIM(IF(AD278=1,"FRN ","")&amp;IF(AND(AL278&gt;=10,AL278&lt;99),"BBB0미만 ","")&amp;IF(AJ278="","등급없음 ","")&amp;IF(K278&lt;&gt;1,"비USD ","")&amp;IF(AND(AB278="",Y278=0),"시장데이터없음 ","")&amp;IF(AND(ISNUMBER(U278),U278&lt;0),"만기경과 ","")))</f>
        <v/>
      </c>
      <c r="AX278" s="90" t="n">
        <f aca="false">IF(Q278&lt;&gt;1,1,IF(스프레드쇼크!$C$4="Y",INDEX(스프레드쇼크!$B$12:$L$16,IFERROR(MATCH(AH278,스프레드쇼크!$A$12:$A$16,0),MATCH("목록외",스프레드쇼크!$A$12:$A$16,0)),IFERROR(MATCH(AG278,스프레드쇼크!$B$11:$L$11,0),MATCH("목록외",스프레드쇼크!$B$11:$L$11,0))),1))</f>
        <v>1</v>
      </c>
      <c r="AY278" s="90" t="n">
        <f aca="false">IF(스프레드쇼크!$C$5="Y",IF(ISNUMBER(AF278),MIN(스프레드쇼크!$C$7,MAX(스프레드쇼크!$C$6,AF278/스프레드쇼크!$C$8)),1),1)</f>
        <v>1.15483850580299</v>
      </c>
      <c r="AZ278" s="94" t="n">
        <f aca="false">AN278*AX278*AY278</f>
        <v>423.28369336273</v>
      </c>
      <c r="BA278" s="90" t="n">
        <f aca="false">IF(ISNUMBER(G278),AA278*G278,0)</f>
        <v>9.44429027067</v>
      </c>
      <c r="BB278" s="90" t="n">
        <f aca="false">IF(ISNUMBER(G278),AA278,0)</f>
        <v>1.6424567</v>
      </c>
      <c r="BC278" s="90" t="n">
        <f aca="false">IF(AND(Y278=0,ISNUMBER(AF278)),AA278*AF278,0)</f>
        <v>125.4032115017</v>
      </c>
      <c r="BD278" s="90" t="n">
        <f aca="false">IF(AND(Y278=0,ISNUMBER(AF278)),AA278,0)</f>
        <v>1.6424567</v>
      </c>
      <c r="BE278" s="90" t="n">
        <f aca="false">IF(ISNUMBER(H278),AA278*H278,0)</f>
        <v>3.66530637172</v>
      </c>
      <c r="BF278" s="90" t="n">
        <f aca="false">IF(ISNUMBER(H278),AA278,0)</f>
        <v>1.6424567</v>
      </c>
      <c r="BG278" s="90" t="n">
        <f aca="false">IF(AND(Y278=0,ISNUMBER(AF278),ISNUMBER(Z278)),AA278*Z278,0)</f>
        <v>3.66530637172</v>
      </c>
      <c r="BH278" s="90" t="n">
        <f aca="false">IF(AND(Y278=0,ISNUMBER(AF278),ISNUMBER(Z278)),AA278*AT278*MAX(Z278-1,0),0)</f>
        <v>15.7951086316695</v>
      </c>
      <c r="BI278" s="90" t="n">
        <f aca="false">IF(Y278=0,AA278,0)</f>
        <v>1.6424567</v>
      </c>
    </row>
    <row r="279" customFormat="false" ht="15" hidden="false" customHeight="false" outlineLevel="0" collapsed="false">
      <c r="A279" s="83" t="str">
        <f aca="false">IFERROR(IF(INDEX(원자료_잔고!$A$1:$EZ$1500,설정!$L$5+ROW()-1,설정!$L$8)&amp;""="0","",INDEX(원자료_잔고!$A$1:$EZ$1500,설정!$L$5+ROW()-1,설정!$L$8)&amp;""),"")</f>
        <v>DAESEC 4.25 03/11/29</v>
      </c>
      <c r="B279" s="83" t="str">
        <f aca="false">IFERROR(IF(INDEX(원자료_잔고!$A$1:$EZ$1500,설정!$L$5+ROW()-1,설정!$L$7)&amp;""="0","",INDEX(원자료_잔고!$A$1:$EZ$1500,설정!$L$5+ROW()-1,설정!$L$7)&amp;""),"")</f>
        <v>XS3299373996</v>
      </c>
      <c r="C279" s="83" t="str">
        <f aca="false">IFERROR(IF(INDEX(원자료_잔고!$A$1:$EZ$1500,설정!$L$5+ROW()-1,설정!$L$9)&amp;""="0","",INDEX(원자료_잔고!$A$1:$EZ$1500,설정!$L$5+ROW()-1,설정!$L$9)&amp;""),"")</f>
        <v>34578</v>
      </c>
      <c r="D27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279" s="84" t="n">
        <f aca="false">IFERROR(IF(ISNUMBER(INDEX(원자료_잔고!$A$1:$EZ$1500,설정!$L$5+ROW()-1,설정!$L$11)),INDEX(원자료_잔고!$A$1:$EZ$1500,설정!$L$5+ROW()-1,설정!$L$11),""),"")</f>
        <v>5000000</v>
      </c>
      <c r="F279" s="85" t="n">
        <f aca="false">IFERROR(IF(ISNUMBER(INDEX(원자료_잔고!$A$1:$EZ$1500,설정!$L$5+ROW()-1,설정!$L$12)),INDEX(원자료_잔고!$A$1:$EZ$1500,설정!$L$5+ROW()-1,설정!$L$12),""),"")</f>
        <v>96.6151</v>
      </c>
      <c r="G279" s="85" t="n">
        <f aca="false">IFERROR(IF(ISNUMBER(INDEX(원자료_잔고!$A$1:$EZ$1500,설정!$L$5+ROW()-1,설정!$L$13)),INDEX(원자료_잔고!$A$1:$EZ$1500,설정!$L$5+ROW()-1,설정!$L$13),""),"")</f>
        <v>5.7501</v>
      </c>
      <c r="H279" s="85" t="n">
        <f aca="false">IFERROR(IF(ISNUMBER(INDEX(원자료_잔고!$A$1:$EZ$1500,설정!$L$5+ROW()-1,설정!$L$14)),INDEX(원자료_잔고!$A$1:$EZ$1500,설정!$L$5+ROW()-1,설정!$L$14),""),"")</f>
        <v>2.2316</v>
      </c>
      <c r="I279" s="86" t="n">
        <f aca="false">IFERROR(IF(ISNUMBER(INDEX(원자료_잔고!$A$1:$EZ$1500,설정!$L$5+ROW()-1,설정!$L$15)),INDEX(원자료_잔고!$A$1:$EZ$1500,설정!$L$5+ROW()-1,설정!$L$15),""),"")</f>
        <v>47188</v>
      </c>
      <c r="J279" s="85" t="n">
        <f aca="false">IFERROR(IF(ISNUMBER(INDEX(원자료_잔고!$A$1:$EZ$1500,설정!$L$5+ROW()-1,설정!$L$16)),INDEX(원자료_잔고!$A$1:$EZ$1500,설정!$L$5+ROW()-1,설정!$L$16),""),"")</f>
        <v>4.25</v>
      </c>
      <c r="K279" s="87" t="n">
        <f aca="false">IFERROR(IF(ISNUMBER(INDEX(원자료_잔고!$A$1:$EZ$1500,설정!$L$5+ROW()-1,설정!$L$17)),INDEX(원자료_잔고!$A$1:$EZ$1500,설정!$L$5+ROW()-1,설정!$L$17),""),"")</f>
        <v>1</v>
      </c>
      <c r="L279" s="84" t="n">
        <f aca="false">IFERROR(IF(ISNUMBER(INDEX(원자료_잔고!$A$1:$EZ$1500,설정!$L$5+ROW()-1,설정!$L$18)),INDEX(원자료_잔고!$A$1:$EZ$1500,설정!$L$5+ROW()-1,설정!$L$18),""),"")</f>
        <v>4830755</v>
      </c>
      <c r="M279" s="88" t="n">
        <f aca="false">IFERROR(IF(ISNUMBER(INDEX(원자료_잔고!$A$1:$EZ$1500,설정!$L$5+ROW()-1,설정!$L$19)),INDEX(원자료_잔고!$A$1:$EZ$1500,설정!$L$5+ROW()-1,설정!$L$19),""),"")</f>
        <v>-71962.52</v>
      </c>
      <c r="N279" s="83" t="str">
        <f aca="false">IFERROR(IF(INDEX(원자료_잔고!$A$1:$EZ$1500,설정!$L$5+ROW()-1,설정!$L$21)&amp;""="0","",INDEX(원자료_잔고!$A$1:$EZ$1500,설정!$L$5+ROW()-1,설정!$L$21)&amp;""),"")</f>
        <v/>
      </c>
      <c r="O279" s="83" t="str">
        <f aca="false">IFERROR(IF(INDEX(원자료_잔고!$A$1:$EZ$1500,설정!$L$5+ROW()-1,설정!$L$22)&amp;""="0","",INDEX(원자료_잔고!$A$1:$EZ$1500,설정!$L$5+ROW()-1,설정!$L$22)&amp;""),"")</f>
        <v/>
      </c>
      <c r="P279" s="83" t="str">
        <f aca="false">IFERROR(IF(INDEX(원자료_잔고!$A$1:$EZ$1500,설정!$L$5+ROW()-1,설정!$L$23)&amp;""="0","",INDEX(원자료_잔고!$A$1:$EZ$1500,설정!$L$5+ROW()-1,설정!$L$23)&amp;""),"")</f>
        <v>BBB</v>
      </c>
      <c r="Q279" s="89" t="n">
        <f aca="false">IF(AND($A279&lt;&gt;"",ISNUMBER(E279)),IF(E279&gt;0,1,0),0)</f>
        <v>1</v>
      </c>
      <c r="R279" s="43" t="str">
        <f aca="false">IF(Q279=1,UPPER(LEFT($A279,FIND(" ",$A279&amp;" ")-1)),"")</f>
        <v>DAESEC</v>
      </c>
      <c r="S279" s="89" t="n">
        <f aca="false">IF(Q279=1,IF(OR(ISNUMBER(SEARCH("Float",$A279)),ISNUMBER(SEARCH("FRN",$A279))),1,0),0)</f>
        <v>0</v>
      </c>
      <c r="T279" s="43" t="str">
        <f aca="false">IF(AND(Q279=1,ISNUMBER(I279)),TEXT(I279,"yyyymmdd")&amp;"|"&amp;IF(S279=1,"F",TEXT(J279,"0.000")),"")</f>
        <v>20290311|4.250</v>
      </c>
      <c r="U279" s="90" t="n">
        <f aca="false">IF(AND(Q279=1,ISNUMBER(I279)),(I279-설정!$C$4)/365.25,"")</f>
        <v>2.44216290212183</v>
      </c>
      <c r="V279" s="43" t="str">
        <f aca="false">IF(Q279&lt;&gt;1,"",IF(ISNUMBER(U279),IF(U279&lt;=1,"1년 이하",IF(U279&lt;=2,"1-2년",IF(U279&lt;=3,"2-3년",IF(U279&lt;=4,"3-4년",IF(U279&lt;=5,"4-5년",IF(U279&lt;=7,"5-7년",IF(U279&lt;=10,"7-10년",IF(U279&lt;=20,"10-20년","20년 이상")))))))),"미분류"))</f>
        <v>2-3년</v>
      </c>
      <c r="W279" s="43" t="str">
        <f aca="false">IF(Q279&lt;&gt;1,"",IF(AB279&lt;&gt;"",INDEX(시장분석!$C:$C,AB279),IF(K279=1,"USD","비USD")))</f>
        <v>USD</v>
      </c>
      <c r="X279" s="91" t="n">
        <f aca="false">IF(Q279=1,E279*K279/1000000,0)</f>
        <v>5</v>
      </c>
      <c r="Y279" s="89" t="n">
        <f aca="false">IF(R279="T",1,0)</f>
        <v>0</v>
      </c>
      <c r="Z279" s="92" t="n">
        <f aca="false">IF(Q279&lt;&gt;1,"",IF(AD279=1,IF(ISNUMBER(U279),MAX(U279,0),H279),H279))</f>
        <v>2.2316</v>
      </c>
      <c r="AA279" s="91" t="n">
        <f aca="false">IF(Q279=1,IF(ISNUMBER(L279),L279,0)*K279/1000000,0)</f>
        <v>4.830755</v>
      </c>
      <c r="AB279" s="89" t="n">
        <f aca="false">IF(Q279&lt;&gt;1,"",IFERROR(MATCH(VLOOKUP(B279,매핑!$H$4:$I$15,2,0),시장분석!$A$2:$A$601,0)+1,IFERROR(MATCH(R279&amp;"|"&amp;T279,시장분석!$V$2:$V$601,0)+1,IF(COUNTIF(시장분석!$U$2:$U$601,T279)=1,MATCH(T279,시장분석!$U$2:$U$601,0)+1,""))))</f>
        <v>253</v>
      </c>
      <c r="AC279" s="89" t="n">
        <f aca="false">IF(Q279&lt;&gt;1,0,IF(OR(설정!$C$5="전체",AND(설정!$C$5="선택펀드",IFERROR(COUNTIFS(설정!$F$16:$F$36,C279,설정!$G$16:$G$36,"Y")+COUNTIFS(설정!$F$16:$F$36,VALUE(C279),설정!$G$16:$G$36,"Y"),0)&gt;0),C279&amp;""=설정!$C$5&amp;""),1,0))</f>
        <v>1</v>
      </c>
      <c r="AD279" s="89" t="n">
        <f aca="false">IF(Q279&lt;&gt;1,0,IF(OR(S279=1,IF(AB279="",FALSE(),INDEX(시장분석!$R:$R,AB279)=1)),1,0))</f>
        <v>0</v>
      </c>
      <c r="AE279" s="43" t="str">
        <f aca="false">IF(AB279="","",INDEX(시장분석!$A:$A,AB279))</f>
        <v>DAESEC 4 1/4 03/11/29</v>
      </c>
      <c r="AF279" s="93" t="n">
        <f aca="false">IF(AB279="","",IF(ISNUMBER(IF(AB279="","",INDEX(시장분석!$E:$E,AB279))),IF(AB279="","",INDEX(시장분석!$E:$E,AB279)),""))</f>
        <v>76.351</v>
      </c>
      <c r="AG279" s="43" t="str">
        <f aca="false">IF(Q279&lt;&gt;1,"",IF(AB279&lt;&gt;"",IF(AB279="","",INDEX(시장분석!$L:$L,AB279)),IFERROR(IF(VLOOKUP(R279,매핑!$A$4:$E$92,5,0)="","미분류",VLOOKUP(R279,매핑!$A$4:$E$92,5,0)),"미분류")))</f>
        <v>금융기관</v>
      </c>
      <c r="AH279" s="43" t="str">
        <f aca="false">IF(Q279&lt;&gt;1,"",IF(AB279&lt;&gt;"",IF(AB279="","",INDEX(시장분석!$N:$N,AB279)),IFERROR(IF(VLOOKUP(R279,매핑!$A$4:$E$92,4,0)="","미분류",VLOOKUP(R279,매핑!$A$4:$E$92,4,0)),"미분류")))</f>
        <v>아시아/기타</v>
      </c>
      <c r="AI279" s="43" t="str">
        <f aca="false">IF(Q279&lt;&gt;1,"",IFERROR(IF(VLOOKUP(R279,매핑!$A$4:$E$92,3,0)="","미분류",VLOOKUP(R279,매핑!$A$4:$E$92,3,0)),IF(AB279&lt;&gt;"",IF(AB279="","",INDEX(시장분석!$W:$W,AB279)),"미분류")))</f>
        <v>한국</v>
      </c>
      <c r="AJ279" s="43" t="str">
        <f aca="false">IF(Q279&lt;&gt;1,"",IFERROR(VLOOKUP(IF(N279&lt;&gt;"",N279,IF(P279&lt;&gt;"",P279,O279)),설정!$A$15:$D$47,2,0),""))</f>
        <v>BBB</v>
      </c>
      <c r="AK279" s="43" t="str">
        <f aca="false">IF(Q279&lt;&gt;1,"",IF(AJ279="","무등급",IFERROR(VLOOKUP(AJ279,설정!$A$15:$D$47,3,0),"무등급")))</f>
        <v>BBB</v>
      </c>
      <c r="AL279" s="89" t="n">
        <f aca="false">IF(AJ279="",99,IFERROR(VLOOKUP(AJ279,설정!$A$15:$D$47,4,0),99))</f>
        <v>9</v>
      </c>
      <c r="AM279" s="94" t="n">
        <f aca="false">IF(ISNUMBER(H279),AA279*1000000*H279/10000,0)</f>
        <v>1078.0312858</v>
      </c>
      <c r="AN279" s="94" t="n">
        <f aca="false">IF(OR(Y279=1,NOT(ISNUMBER(Z279))),0,AA279*1000000*Z279/10000)</f>
        <v>1078.0312858</v>
      </c>
      <c r="AO279" s="94" t="n">
        <f aca="false">IF(ISNUMBER(G279),AA279*1000000*G279/100,0)</f>
        <v>277773.243255</v>
      </c>
      <c r="AP279" s="94" t="n">
        <f aca="false">IF(ISNUMBER(M279),M279*K279,0)</f>
        <v>-71962.52</v>
      </c>
      <c r="AQ279" s="95" t="n">
        <f aca="false">IF(AB279="","",INDEX(시장분석!$AK:$AK,AB279))</f>
        <v>0.706592462740676</v>
      </c>
      <c r="AR279" s="43" t="str">
        <f aca="false">IF(AB279="","-",IF(AB279="","",INDEX(시장분석!$AL:$AL,AB279)))</f>
        <v>Fair</v>
      </c>
      <c r="AS279" s="96" t="n">
        <f aca="false">IF(AB279="","",INDEX(시장분석!$AJ:$AJ,AB279))</f>
        <v>14.4664826457201</v>
      </c>
      <c r="AT279" s="93" t="n">
        <f aca="false">IF(AB279="",0,IF(AB279="","",INDEX(시장분석!$AN:$AN,AB279)))</f>
        <v>7.80834525298121</v>
      </c>
      <c r="AU279" s="94" t="n">
        <f aca="false">IF(ISNUMBER(Z279),AT279/10000*MAX(Z279-1,0)*AA279*1000000,0)</f>
        <v>4645.62018578513</v>
      </c>
      <c r="AV279" s="94" t="n">
        <f aca="false">AO279+AU279</f>
        <v>282418.863440785</v>
      </c>
      <c r="AW279" s="43" t="str">
        <f aca="false">IF(Q279&lt;&gt;1,"",TRIM(IF(AD279=1,"FRN ","")&amp;IF(AND(AL279&gt;=10,AL279&lt;99),"BBB0미만 ","")&amp;IF(AJ279="","등급없음 ","")&amp;IF(K279&lt;&gt;1,"비USD ","")&amp;IF(AND(AB279="",Y279=0),"시장데이터없음 ","")&amp;IF(AND(ISNUMBER(U279),U279&lt;0),"만기경과 ","")))</f>
        <v/>
      </c>
      <c r="AX279" s="90" t="n">
        <f aca="false">IF(Q279&lt;&gt;1,1,IF(스프레드쇼크!$C$4="Y",INDEX(스프레드쇼크!$B$12:$L$16,IFERROR(MATCH(AH279,스프레드쇼크!$A$12:$A$16,0),MATCH("목록외",스프레드쇼크!$A$12:$A$16,0)),IFERROR(MATCH(AG279,스프레드쇼크!$B$11:$L$11,0),MATCH("목록외",스프레드쇼크!$B$11:$L$11,0))),1))</f>
        <v>1</v>
      </c>
      <c r="AY279" s="90" t="n">
        <f aca="false">IF(스프레드쇼크!$C$5="Y",IF(ISNUMBER(AF279),MIN(스프레드쇼크!$C$7,MAX(스프레드쇼크!$C$6,AF279/스프레드쇼크!$C$8)),1),1)</f>
        <v>1.15483850580299</v>
      </c>
      <c r="AZ279" s="94" t="n">
        <f aca="false">AN279*AX279*AY279</f>
        <v>1244.95203930215</v>
      </c>
      <c r="BA279" s="90" t="n">
        <f aca="false">IF(ISNUMBER(G279),AA279*G279,0)</f>
        <v>27.7773243255</v>
      </c>
      <c r="BB279" s="90" t="n">
        <f aca="false">IF(ISNUMBER(G279),AA279,0)</f>
        <v>4.830755</v>
      </c>
      <c r="BC279" s="90" t="n">
        <f aca="false">IF(AND(Y279=0,ISNUMBER(AF279)),AA279*AF279,0)</f>
        <v>368.832975005</v>
      </c>
      <c r="BD279" s="90" t="n">
        <f aca="false">IF(AND(Y279=0,ISNUMBER(AF279)),AA279,0)</f>
        <v>4.830755</v>
      </c>
      <c r="BE279" s="90" t="n">
        <f aca="false">IF(ISNUMBER(H279),AA279*H279,0)</f>
        <v>10.780312858</v>
      </c>
      <c r="BF279" s="90" t="n">
        <f aca="false">IF(ISNUMBER(H279),AA279,0)</f>
        <v>4.830755</v>
      </c>
      <c r="BG279" s="90" t="n">
        <f aca="false">IF(AND(Y279=0,ISNUMBER(AF279),ISNUMBER(Z279)),AA279*Z279,0)</f>
        <v>10.780312858</v>
      </c>
      <c r="BH279" s="90" t="n">
        <f aca="false">IF(AND(Y279=0,ISNUMBER(AF279),ISNUMBER(Z279)),AA279*AT279*MAX(Z279-1,0),0)</f>
        <v>46.4562018578513</v>
      </c>
      <c r="BI279" s="90" t="n">
        <f aca="false">IF(Y279=0,AA279,0)</f>
        <v>4.830755</v>
      </c>
    </row>
    <row r="280" customFormat="false" ht="15" hidden="false" customHeight="false" outlineLevel="0" collapsed="false">
      <c r="A280" s="83" t="str">
        <f aca="false">IFERROR(IF(INDEX(원자료_잔고!$A$1:$EZ$1500,설정!$L$5+ROW()-1,설정!$L$8)&amp;""="0","",INDEX(원자료_잔고!$A$1:$EZ$1500,설정!$L$5+ROW()-1,설정!$L$8)&amp;""),"")</f>
        <v>SANTAN 5.439 07/15/31</v>
      </c>
      <c r="B280" s="83" t="str">
        <f aca="false">IFERROR(IF(INDEX(원자료_잔고!$A$1:$EZ$1500,설정!$L$5+ROW()-1,설정!$L$7)&amp;""="0","",INDEX(원자료_잔고!$A$1:$EZ$1500,설정!$L$5+ROW()-1,설정!$L$7)&amp;""),"")</f>
        <v>US05964HBG92</v>
      </c>
      <c r="C280" s="83" t="str">
        <f aca="false">IFERROR(IF(INDEX(원자료_잔고!$A$1:$EZ$1500,설정!$L$5+ROW()-1,설정!$L$9)&amp;""="0","",INDEX(원자료_잔고!$A$1:$EZ$1500,설정!$L$5+ROW()-1,설정!$L$9)&amp;""),"")</f>
        <v>38038</v>
      </c>
      <c r="D280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80" s="84" t="n">
        <f aca="false">IFERROR(IF(ISNUMBER(INDEX(원자료_잔고!$A$1:$EZ$1500,설정!$L$5+ROW()-1,설정!$L$11)),INDEX(원자료_잔고!$A$1:$EZ$1500,설정!$L$5+ROW()-1,설정!$L$11),""),"")</f>
        <v>10000000</v>
      </c>
      <c r="F280" s="85" t="n">
        <f aca="false">IFERROR(IF(ISNUMBER(INDEX(원자료_잔고!$A$1:$EZ$1500,설정!$L$5+ROW()-1,설정!$L$12)),INDEX(원자료_잔고!$A$1:$EZ$1500,설정!$L$5+ROW()-1,설정!$L$12),""),"")</f>
        <v>98.7535</v>
      </c>
      <c r="G280" s="85" t="n">
        <f aca="false">IFERROR(IF(ISNUMBER(INDEX(원자료_잔고!$A$1:$EZ$1500,설정!$L$5+ROW()-1,설정!$L$13)),INDEX(원자료_잔고!$A$1:$EZ$1500,설정!$L$5+ROW()-1,설정!$L$13),""),"")</f>
        <v>5.7373</v>
      </c>
      <c r="H280" s="85" t="n">
        <f aca="false">IFERROR(IF(ISNUMBER(INDEX(원자료_잔고!$A$1:$EZ$1500,설정!$L$5+ROW()-1,설정!$L$14)),INDEX(원자료_잔고!$A$1:$EZ$1500,설정!$L$5+ROW()-1,설정!$L$14),""),"")</f>
        <v>4.075</v>
      </c>
      <c r="I280" s="86" t="n">
        <f aca="false">IFERROR(IF(ISNUMBER(INDEX(원자료_잔고!$A$1:$EZ$1500,설정!$L$5+ROW()-1,설정!$L$15)),INDEX(원자료_잔고!$A$1:$EZ$1500,설정!$L$5+ROW()-1,설정!$L$15),""),"")</f>
        <v>48044</v>
      </c>
      <c r="J280" s="85" t="n">
        <f aca="false">IFERROR(IF(ISNUMBER(INDEX(원자료_잔고!$A$1:$EZ$1500,설정!$L$5+ROW()-1,설정!$L$16)),INDEX(원자료_잔고!$A$1:$EZ$1500,설정!$L$5+ROW()-1,설정!$L$16),""),"")</f>
        <v>5.439</v>
      </c>
      <c r="K280" s="87" t="n">
        <f aca="false">IFERROR(IF(ISNUMBER(INDEX(원자료_잔고!$A$1:$EZ$1500,설정!$L$5+ROW()-1,설정!$L$17)),INDEX(원자료_잔고!$A$1:$EZ$1500,설정!$L$5+ROW()-1,설정!$L$17),""),"")</f>
        <v>1</v>
      </c>
      <c r="L280" s="84" t="n">
        <f aca="false">IFERROR(IF(ISNUMBER(INDEX(원자료_잔고!$A$1:$EZ$1500,설정!$L$5+ROW()-1,설정!$L$18)),INDEX(원자료_잔고!$A$1:$EZ$1500,설정!$L$5+ROW()-1,설정!$L$18),""),"")</f>
        <v>9875350</v>
      </c>
      <c r="M280" s="88" t="n">
        <f aca="false">IFERROR(IF(ISNUMBER(INDEX(원자료_잔고!$A$1:$EZ$1500,설정!$L$5+ROW()-1,설정!$L$19)),INDEX(원자료_잔고!$A$1:$EZ$1500,설정!$L$5+ROW()-1,설정!$L$19),""),"")</f>
        <v>-590274.18</v>
      </c>
      <c r="N280" s="83" t="str">
        <f aca="false">IFERROR(IF(INDEX(원자료_잔고!$A$1:$EZ$1500,설정!$L$5+ROW()-1,설정!$L$21)&amp;""="0","",INDEX(원자료_잔고!$A$1:$EZ$1500,설정!$L$5+ROW()-1,설정!$L$21)&amp;""),"")</f>
        <v>A+</v>
      </c>
      <c r="O280" s="83" t="str">
        <f aca="false">IFERROR(IF(INDEX(원자료_잔고!$A$1:$EZ$1500,설정!$L$5+ROW()-1,설정!$L$22)&amp;""="0","",INDEX(원자료_잔고!$A$1:$EZ$1500,설정!$L$5+ROW()-1,설정!$L$22)&amp;""),"")</f>
        <v/>
      </c>
      <c r="P280" s="83" t="str">
        <f aca="false">IFERROR(IF(INDEX(원자료_잔고!$A$1:$EZ$1500,설정!$L$5+ROW()-1,설정!$L$23)&amp;""="0","",INDEX(원자료_잔고!$A$1:$EZ$1500,설정!$L$5+ROW()-1,설정!$L$23)&amp;""),"")</f>
        <v>A+</v>
      </c>
      <c r="Q280" s="89" t="n">
        <f aca="false">IF(AND($A280&lt;&gt;"",ISNUMBER(E280)),IF(E280&gt;0,1,0),0)</f>
        <v>1</v>
      </c>
      <c r="R280" s="43" t="str">
        <f aca="false">IF(Q280=1,UPPER(LEFT($A280,FIND(" ",$A280&amp;" ")-1)),"")</f>
        <v>SANTAN</v>
      </c>
      <c r="S280" s="89" t="n">
        <f aca="false">IF(Q280=1,IF(OR(ISNUMBER(SEARCH("Float",$A280)),ISNUMBER(SEARCH("FRN",$A280))),1,0),0)</f>
        <v>0</v>
      </c>
      <c r="T280" s="43" t="str">
        <f aca="false">IF(AND(Q280=1,ISNUMBER(I280)),TEXT(I280,"yyyymmdd")&amp;"|"&amp;IF(S280=1,"F",TEXT(J280,"0.000")),"")</f>
        <v>20310715|5.439</v>
      </c>
      <c r="U280" s="90" t="n">
        <f aca="false">IF(AND(Q280=1,ISNUMBER(I280)),(I280-설정!$C$4)/365.25,"")</f>
        <v>4.78576317590691</v>
      </c>
      <c r="V280" s="43" t="str">
        <f aca="false">IF(Q280&lt;&gt;1,"",IF(ISNUMBER(U280),IF(U280&lt;=1,"1년 이하",IF(U280&lt;=2,"1-2년",IF(U280&lt;=3,"2-3년",IF(U280&lt;=4,"3-4년",IF(U280&lt;=5,"4-5년",IF(U280&lt;=7,"5-7년",IF(U280&lt;=10,"7-10년",IF(U280&lt;=20,"10-20년","20년 이상")))))))),"미분류"))</f>
        <v>4-5년</v>
      </c>
      <c r="W280" s="43" t="str">
        <f aca="false">IF(Q280&lt;&gt;1,"",IF(AB280&lt;&gt;"",INDEX(시장분석!$C:$C,AB280),IF(K280=1,"USD","비USD")))</f>
        <v>USD</v>
      </c>
      <c r="X280" s="91" t="n">
        <f aca="false">IF(Q280=1,E280*K280/1000000,0)</f>
        <v>10</v>
      </c>
      <c r="Y280" s="89" t="n">
        <f aca="false">IF(R280="T",1,0)</f>
        <v>0</v>
      </c>
      <c r="Z280" s="92" t="n">
        <f aca="false">IF(Q280&lt;&gt;1,"",IF(AD280=1,IF(ISNUMBER(U280),MAX(U280,0),H280),H280))</f>
        <v>4.075</v>
      </c>
      <c r="AA280" s="91" t="n">
        <f aca="false">IF(Q280=1,IF(ISNUMBER(L280),L280,0)*K280/1000000,0)</f>
        <v>9.87535</v>
      </c>
      <c r="AB280" s="89" t="n">
        <f aca="false">IF(Q280&lt;&gt;1,"",IFERROR(MATCH(VLOOKUP(B280,매핑!$H$4:$I$15,2,0),시장분석!$A$2:$A$601,0)+1,IFERROR(MATCH(R280&amp;"|"&amp;T280,시장분석!$V$2:$V$601,0)+1,IF(COUNTIF(시장분석!$U$2:$U$601,T280)=1,MATCH(T280,시장분석!$U$2:$U$601,0)+1,""))))</f>
        <v>12</v>
      </c>
      <c r="AC280" s="89" t="n">
        <f aca="false">IF(Q280&lt;&gt;1,0,IF(OR(설정!$C$5="전체",AND(설정!$C$5="선택펀드",IFERROR(COUNTIFS(설정!$F$16:$F$36,C280,설정!$G$16:$G$36,"Y")+COUNTIFS(설정!$F$16:$F$36,VALUE(C280),설정!$G$16:$G$36,"Y"),0)&gt;0),C280&amp;""=설정!$C$5&amp;""),1,0))</f>
        <v>0</v>
      </c>
      <c r="AD280" s="89" t="n">
        <f aca="false">IF(Q280&lt;&gt;1,0,IF(OR(S280=1,IF(AB280="",FALSE(),INDEX(시장분석!$R:$R,AB280)=1)),1,0))</f>
        <v>0</v>
      </c>
      <c r="AE280" s="43" t="str">
        <f aca="false">IF(AB280="","",INDEX(시장분석!$A:$A,AB280))</f>
        <v>SANTAN 5.439 07/15/31</v>
      </c>
      <c r="AF280" s="93" t="n">
        <f aca="false">IF(AB280="","",IF(ISNUMBER(IF(AB280="","",INDEX(시장분석!$E:$E,AB280))),IF(AB280="","",INDEX(시장분석!$E:$E,AB280)),""))</f>
        <v>66.853</v>
      </c>
      <c r="AG280" s="43" t="str">
        <f aca="false">IF(Q280&lt;&gt;1,"",IF(AB280&lt;&gt;"",IF(AB280="","",INDEX(시장분석!$L:$L,AB280)),IFERROR(IF(VLOOKUP(R280,매핑!$A$4:$E$92,5,0)="","미분류",VLOOKUP(R280,매핑!$A$4:$E$92,5,0)),"미분류")))</f>
        <v>금융기관</v>
      </c>
      <c r="AH280" s="43" t="str">
        <f aca="false">IF(Q280&lt;&gt;1,"",IF(AB280&lt;&gt;"",IF(AB280="","",INDEX(시장분석!$N:$N,AB280)),IFERROR(IF(VLOOKUP(R280,매핑!$A$4:$E$92,4,0)="","미분류",VLOOKUP(R280,매핑!$A$4:$E$92,4,0)),"미분류")))</f>
        <v>유럽</v>
      </c>
      <c r="AI280" s="43" t="str">
        <f aca="false">IF(Q280&lt;&gt;1,"",IFERROR(IF(VLOOKUP(R280,매핑!$A$4:$E$92,3,0)="","미분류",VLOOKUP(R280,매핑!$A$4:$E$92,3,0)),IF(AB280&lt;&gt;"",IF(AB280="","",INDEX(시장분석!$W:$W,AB280)),"미분류")))</f>
        <v>스페인</v>
      </c>
      <c r="AJ280" s="43" t="str">
        <f aca="false">IF(Q280&lt;&gt;1,"",IFERROR(VLOOKUP(IF(N280&lt;&gt;"",N280,IF(P280&lt;&gt;"",P280,O280)),설정!$A$15:$D$47,2,0),""))</f>
        <v>A+</v>
      </c>
      <c r="AK280" s="43" t="str">
        <f aca="false">IF(Q280&lt;&gt;1,"",IF(AJ280="","무등급",IFERROR(VLOOKUP(AJ280,설정!$A$15:$D$47,3,0),"무등급")))</f>
        <v>A</v>
      </c>
      <c r="AL280" s="89" t="n">
        <f aca="false">IF(AJ280="",99,IFERROR(VLOOKUP(AJ280,설정!$A$15:$D$47,4,0),99))</f>
        <v>5</v>
      </c>
      <c r="AM280" s="94" t="n">
        <f aca="false">IF(ISNUMBER(H280),AA280*1000000*H280/10000,0)</f>
        <v>4024.205125</v>
      </c>
      <c r="AN280" s="94" t="n">
        <f aca="false">IF(OR(Y280=1,NOT(ISNUMBER(Z280))),0,AA280*1000000*Z280/10000)</f>
        <v>4024.205125</v>
      </c>
      <c r="AO280" s="94" t="n">
        <f aca="false">IF(ISNUMBER(G280),AA280*1000000*G280/100,0)</f>
        <v>566578.45555</v>
      </c>
      <c r="AP280" s="94" t="n">
        <f aca="false">IF(ISNUMBER(M280),M280*K280,0)</f>
        <v>-590274.18</v>
      </c>
      <c r="AQ280" s="95" t="n">
        <f aca="false">IF(AB280="","",INDEX(시장분석!$AK:$AK,AB280))</f>
        <v>-1.87388936677714</v>
      </c>
      <c r="AR280" s="43" t="str">
        <f aca="false">IF(AB280="","-",IF(AB280="","",INDEX(시장분석!$AL:$AL,AB280)))</f>
        <v>Rich</v>
      </c>
      <c r="AS280" s="96" t="n">
        <f aca="false">IF(AB280="","",INDEX(시장분석!$AJ:$AJ,AB280))</f>
        <v>-20.5908231017851</v>
      </c>
      <c r="AT280" s="93" t="n">
        <f aca="false">IF(AB280="",0,IF(AB280="","",INDEX(시장분석!$AN:$AN,AB280)))</f>
        <v>8.25776760978662</v>
      </c>
      <c r="AU280" s="94" t="n">
        <f aca="false">IF(ISNUMBER(Z280),AT280/10000*MAX(Z280-1,0)*AA280*1000000,0)</f>
        <v>25076.1161998317</v>
      </c>
      <c r="AV280" s="94" t="n">
        <f aca="false">AO280+AU280</f>
        <v>591654.571749832</v>
      </c>
      <c r="AW280" s="43" t="str">
        <f aca="false">IF(Q280&lt;&gt;1,"",TRIM(IF(AD280=1,"FRN ","")&amp;IF(AND(AL280&gt;=10,AL280&lt;99),"BBB0미만 ","")&amp;IF(AJ280="","등급없음 ","")&amp;IF(K280&lt;&gt;1,"비USD ","")&amp;IF(AND(AB280="",Y280=0),"시장데이터없음 ","")&amp;IF(AND(ISNUMBER(U280),U280&lt;0),"만기경과 ","")))</f>
        <v/>
      </c>
      <c r="AX280" s="90" t="n">
        <f aca="false">IF(Q280&lt;&gt;1,1,IF(스프레드쇼크!$C$4="Y",INDEX(스프레드쇼크!$B$12:$L$16,IFERROR(MATCH(AH280,스프레드쇼크!$A$12:$A$16,0),MATCH("목록외",스프레드쇼크!$A$12:$A$16,0)),IFERROR(MATCH(AG280,스프레드쇼크!$B$11:$L$11,0),MATCH("목록외",스프레드쇼크!$B$11:$L$11,0))),1))</f>
        <v>1</v>
      </c>
      <c r="AY280" s="90" t="n">
        <f aca="false">IF(스프레드쇼크!$C$5="Y",IF(ISNUMBER(AF280),MIN(스프레드쇼크!$C$7,MAX(스프레드쇼크!$C$6,AF280/스프레드쇼크!$C$8)),1),1)</f>
        <v>1.01117756975609</v>
      </c>
      <c r="AZ280" s="94" t="n">
        <f aca="false">AN280*AX280*AY280</f>
        <v>4069.1859584975</v>
      </c>
      <c r="BA280" s="90" t="n">
        <f aca="false">IF(ISNUMBER(G280),AA280*G280,0)</f>
        <v>56.657845555</v>
      </c>
      <c r="BB280" s="90" t="n">
        <f aca="false">IF(ISNUMBER(G280),AA280,0)</f>
        <v>9.87535</v>
      </c>
      <c r="BC280" s="90" t="n">
        <f aca="false">IF(AND(Y280=0,ISNUMBER(AF280)),AA280*AF280,0)</f>
        <v>660.19677355</v>
      </c>
      <c r="BD280" s="90" t="n">
        <f aca="false">IF(AND(Y280=0,ISNUMBER(AF280)),AA280,0)</f>
        <v>9.87535</v>
      </c>
      <c r="BE280" s="90" t="n">
        <f aca="false">IF(ISNUMBER(H280),AA280*H280,0)</f>
        <v>40.24205125</v>
      </c>
      <c r="BF280" s="90" t="n">
        <f aca="false">IF(ISNUMBER(H280),AA280,0)</f>
        <v>9.87535</v>
      </c>
      <c r="BG280" s="90" t="n">
        <f aca="false">IF(AND(Y280=0,ISNUMBER(AF280),ISNUMBER(Z280)),AA280*Z280,0)</f>
        <v>40.24205125</v>
      </c>
      <c r="BH280" s="90" t="n">
        <f aca="false">IF(AND(Y280=0,ISNUMBER(AF280),ISNUMBER(Z280)),AA280*AT280*MAX(Z280-1,0),0)</f>
        <v>250.761161998317</v>
      </c>
      <c r="BI280" s="90" t="n">
        <f aca="false">IF(Y280=0,AA280,0)</f>
        <v>9.87535</v>
      </c>
    </row>
    <row r="281" customFormat="false" ht="15" hidden="false" customHeight="false" outlineLevel="0" collapsed="false">
      <c r="A281" s="83" t="str">
        <f aca="false">IFERROR(IF(INDEX(원자료_잔고!$A$1:$EZ$1500,설정!$L$5+ROW()-1,설정!$L$8)&amp;""="0","",INDEX(원자료_잔고!$A$1:$EZ$1500,설정!$L$5+ROW()-1,설정!$L$8)&amp;""),"")</f>
        <v>SANTAN 5.439 07/15/31</v>
      </c>
      <c r="B281" s="83" t="str">
        <f aca="false">IFERROR(IF(INDEX(원자료_잔고!$A$1:$EZ$1500,설정!$L$5+ROW()-1,설정!$L$7)&amp;""="0","",INDEX(원자료_잔고!$A$1:$EZ$1500,설정!$L$5+ROW()-1,설정!$L$7)&amp;""),"")</f>
        <v>US05964HBG92</v>
      </c>
      <c r="C281" s="83" t="str">
        <f aca="false">IFERROR(IF(INDEX(원자료_잔고!$A$1:$EZ$1500,설정!$L$5+ROW()-1,설정!$L$9)&amp;""="0","",INDEX(원자료_잔고!$A$1:$EZ$1500,설정!$L$5+ROW()-1,설정!$L$9)&amp;""),"")</f>
        <v>38038</v>
      </c>
      <c r="D281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81" s="84" t="n">
        <f aca="false">IFERROR(IF(ISNUMBER(INDEX(원자료_잔고!$A$1:$EZ$1500,설정!$L$5+ROW()-1,설정!$L$11)),INDEX(원자료_잔고!$A$1:$EZ$1500,설정!$L$5+ROW()-1,설정!$L$11),""),"")</f>
        <v>3000000</v>
      </c>
      <c r="F281" s="85" t="n">
        <f aca="false">IFERROR(IF(ISNUMBER(INDEX(원자료_잔고!$A$1:$EZ$1500,설정!$L$5+ROW()-1,설정!$L$12)),INDEX(원자료_잔고!$A$1:$EZ$1500,설정!$L$5+ROW()-1,설정!$L$12),""),"")</f>
        <v>98.7535</v>
      </c>
      <c r="G281" s="85" t="n">
        <f aca="false">IFERROR(IF(ISNUMBER(INDEX(원자료_잔고!$A$1:$EZ$1500,설정!$L$5+ROW()-1,설정!$L$13)),INDEX(원자료_잔고!$A$1:$EZ$1500,설정!$L$5+ROW()-1,설정!$L$13),""),"")</f>
        <v>5.7373</v>
      </c>
      <c r="H281" s="85" t="n">
        <f aca="false">IFERROR(IF(ISNUMBER(INDEX(원자료_잔고!$A$1:$EZ$1500,설정!$L$5+ROW()-1,설정!$L$14)),INDEX(원자료_잔고!$A$1:$EZ$1500,설정!$L$5+ROW()-1,설정!$L$14),""),"")</f>
        <v>4.075</v>
      </c>
      <c r="I281" s="86" t="n">
        <f aca="false">IFERROR(IF(ISNUMBER(INDEX(원자료_잔고!$A$1:$EZ$1500,설정!$L$5+ROW()-1,설정!$L$15)),INDEX(원자료_잔고!$A$1:$EZ$1500,설정!$L$5+ROW()-1,설정!$L$15),""),"")</f>
        <v>48044</v>
      </c>
      <c r="J281" s="85" t="n">
        <f aca="false">IFERROR(IF(ISNUMBER(INDEX(원자료_잔고!$A$1:$EZ$1500,설정!$L$5+ROW()-1,설정!$L$16)),INDEX(원자료_잔고!$A$1:$EZ$1500,설정!$L$5+ROW()-1,설정!$L$16),""),"")</f>
        <v>5.439</v>
      </c>
      <c r="K281" s="87" t="n">
        <f aca="false">IFERROR(IF(ISNUMBER(INDEX(원자료_잔고!$A$1:$EZ$1500,설정!$L$5+ROW()-1,설정!$L$17)),INDEX(원자료_잔고!$A$1:$EZ$1500,설정!$L$5+ROW()-1,설정!$L$17),""),"")</f>
        <v>1</v>
      </c>
      <c r="L281" s="84" t="n">
        <f aca="false">IFERROR(IF(ISNUMBER(INDEX(원자료_잔고!$A$1:$EZ$1500,설정!$L$5+ROW()-1,설정!$L$18)),INDEX(원자료_잔고!$A$1:$EZ$1500,설정!$L$5+ROW()-1,설정!$L$18),""),"")</f>
        <v>2962605</v>
      </c>
      <c r="M281" s="88" t="n">
        <f aca="false">IFERROR(IF(ISNUMBER(INDEX(원자료_잔고!$A$1:$EZ$1500,설정!$L$5+ROW()-1,설정!$L$19)),INDEX(원자료_잔고!$A$1:$EZ$1500,설정!$L$5+ROW()-1,설정!$L$19),""),"")</f>
        <v>-176852.5</v>
      </c>
      <c r="N281" s="83" t="str">
        <f aca="false">IFERROR(IF(INDEX(원자료_잔고!$A$1:$EZ$1500,설정!$L$5+ROW()-1,설정!$L$21)&amp;""="0","",INDEX(원자료_잔고!$A$1:$EZ$1500,설정!$L$5+ROW()-1,설정!$L$21)&amp;""),"")</f>
        <v>A+</v>
      </c>
      <c r="O281" s="83" t="str">
        <f aca="false">IFERROR(IF(INDEX(원자료_잔고!$A$1:$EZ$1500,설정!$L$5+ROW()-1,설정!$L$22)&amp;""="0","",INDEX(원자료_잔고!$A$1:$EZ$1500,설정!$L$5+ROW()-1,설정!$L$22)&amp;""),"")</f>
        <v/>
      </c>
      <c r="P281" s="83" t="str">
        <f aca="false">IFERROR(IF(INDEX(원자료_잔고!$A$1:$EZ$1500,설정!$L$5+ROW()-1,설정!$L$23)&amp;""="0","",INDEX(원자료_잔고!$A$1:$EZ$1500,설정!$L$5+ROW()-1,설정!$L$23)&amp;""),"")</f>
        <v>A+</v>
      </c>
      <c r="Q281" s="89" t="n">
        <f aca="false">IF(AND($A281&lt;&gt;"",ISNUMBER(E281)),IF(E281&gt;0,1,0),0)</f>
        <v>1</v>
      </c>
      <c r="R281" s="43" t="str">
        <f aca="false">IF(Q281=1,UPPER(LEFT($A281,FIND(" ",$A281&amp;" ")-1)),"")</f>
        <v>SANTAN</v>
      </c>
      <c r="S281" s="89" t="n">
        <f aca="false">IF(Q281=1,IF(OR(ISNUMBER(SEARCH("Float",$A281)),ISNUMBER(SEARCH("FRN",$A281))),1,0),0)</f>
        <v>0</v>
      </c>
      <c r="T281" s="43" t="str">
        <f aca="false">IF(AND(Q281=1,ISNUMBER(I281)),TEXT(I281,"yyyymmdd")&amp;"|"&amp;IF(S281=1,"F",TEXT(J281,"0.000")),"")</f>
        <v>20310715|5.439</v>
      </c>
      <c r="U281" s="90" t="n">
        <f aca="false">IF(AND(Q281=1,ISNUMBER(I281)),(I281-설정!$C$4)/365.25,"")</f>
        <v>4.78576317590691</v>
      </c>
      <c r="V281" s="43" t="str">
        <f aca="false">IF(Q281&lt;&gt;1,"",IF(ISNUMBER(U281),IF(U281&lt;=1,"1년 이하",IF(U281&lt;=2,"1-2년",IF(U281&lt;=3,"2-3년",IF(U281&lt;=4,"3-4년",IF(U281&lt;=5,"4-5년",IF(U281&lt;=7,"5-7년",IF(U281&lt;=10,"7-10년",IF(U281&lt;=20,"10-20년","20년 이상")))))))),"미분류"))</f>
        <v>4-5년</v>
      </c>
      <c r="W281" s="43" t="str">
        <f aca="false">IF(Q281&lt;&gt;1,"",IF(AB281&lt;&gt;"",INDEX(시장분석!$C:$C,AB281),IF(K281=1,"USD","비USD")))</f>
        <v>USD</v>
      </c>
      <c r="X281" s="91" t="n">
        <f aca="false">IF(Q281=1,E281*K281/1000000,0)</f>
        <v>3</v>
      </c>
      <c r="Y281" s="89" t="n">
        <f aca="false">IF(R281="T",1,0)</f>
        <v>0</v>
      </c>
      <c r="Z281" s="92" t="n">
        <f aca="false">IF(Q281&lt;&gt;1,"",IF(AD281=1,IF(ISNUMBER(U281),MAX(U281,0),H281),H281))</f>
        <v>4.075</v>
      </c>
      <c r="AA281" s="91" t="n">
        <f aca="false">IF(Q281=1,IF(ISNUMBER(L281),L281,0)*K281/1000000,0)</f>
        <v>2.962605</v>
      </c>
      <c r="AB281" s="89" t="n">
        <f aca="false">IF(Q281&lt;&gt;1,"",IFERROR(MATCH(VLOOKUP(B281,매핑!$H$4:$I$15,2,0),시장분석!$A$2:$A$601,0)+1,IFERROR(MATCH(R281&amp;"|"&amp;T281,시장분석!$V$2:$V$601,0)+1,IF(COUNTIF(시장분석!$U$2:$U$601,T281)=1,MATCH(T281,시장분석!$U$2:$U$601,0)+1,""))))</f>
        <v>12</v>
      </c>
      <c r="AC281" s="89" t="n">
        <f aca="false">IF(Q281&lt;&gt;1,0,IF(OR(설정!$C$5="전체",AND(설정!$C$5="선택펀드",IFERROR(COUNTIFS(설정!$F$16:$F$36,C281,설정!$G$16:$G$36,"Y")+COUNTIFS(설정!$F$16:$F$36,VALUE(C281),설정!$G$16:$G$36,"Y"),0)&gt;0),C281&amp;""=설정!$C$5&amp;""),1,0))</f>
        <v>0</v>
      </c>
      <c r="AD281" s="89" t="n">
        <f aca="false">IF(Q281&lt;&gt;1,0,IF(OR(S281=1,IF(AB281="",FALSE(),INDEX(시장분석!$R:$R,AB281)=1)),1,0))</f>
        <v>0</v>
      </c>
      <c r="AE281" s="43" t="str">
        <f aca="false">IF(AB281="","",INDEX(시장분석!$A:$A,AB281))</f>
        <v>SANTAN 5.439 07/15/31</v>
      </c>
      <c r="AF281" s="93" t="n">
        <f aca="false">IF(AB281="","",IF(ISNUMBER(IF(AB281="","",INDEX(시장분석!$E:$E,AB281))),IF(AB281="","",INDEX(시장분석!$E:$E,AB281)),""))</f>
        <v>66.853</v>
      </c>
      <c r="AG281" s="43" t="str">
        <f aca="false">IF(Q281&lt;&gt;1,"",IF(AB281&lt;&gt;"",IF(AB281="","",INDEX(시장분석!$L:$L,AB281)),IFERROR(IF(VLOOKUP(R281,매핑!$A$4:$E$92,5,0)="","미분류",VLOOKUP(R281,매핑!$A$4:$E$92,5,0)),"미분류")))</f>
        <v>금융기관</v>
      </c>
      <c r="AH281" s="43" t="str">
        <f aca="false">IF(Q281&lt;&gt;1,"",IF(AB281&lt;&gt;"",IF(AB281="","",INDEX(시장분석!$N:$N,AB281)),IFERROR(IF(VLOOKUP(R281,매핑!$A$4:$E$92,4,0)="","미분류",VLOOKUP(R281,매핑!$A$4:$E$92,4,0)),"미분류")))</f>
        <v>유럽</v>
      </c>
      <c r="AI281" s="43" t="str">
        <f aca="false">IF(Q281&lt;&gt;1,"",IFERROR(IF(VLOOKUP(R281,매핑!$A$4:$E$92,3,0)="","미분류",VLOOKUP(R281,매핑!$A$4:$E$92,3,0)),IF(AB281&lt;&gt;"",IF(AB281="","",INDEX(시장분석!$W:$W,AB281)),"미분류")))</f>
        <v>스페인</v>
      </c>
      <c r="AJ281" s="43" t="str">
        <f aca="false">IF(Q281&lt;&gt;1,"",IFERROR(VLOOKUP(IF(N281&lt;&gt;"",N281,IF(P281&lt;&gt;"",P281,O281)),설정!$A$15:$D$47,2,0),""))</f>
        <v>A+</v>
      </c>
      <c r="AK281" s="43" t="str">
        <f aca="false">IF(Q281&lt;&gt;1,"",IF(AJ281="","무등급",IFERROR(VLOOKUP(AJ281,설정!$A$15:$D$47,3,0),"무등급")))</f>
        <v>A</v>
      </c>
      <c r="AL281" s="89" t="n">
        <f aca="false">IF(AJ281="",99,IFERROR(VLOOKUP(AJ281,설정!$A$15:$D$47,4,0),99))</f>
        <v>5</v>
      </c>
      <c r="AM281" s="94" t="n">
        <f aca="false">IF(ISNUMBER(H281),AA281*1000000*H281/10000,0)</f>
        <v>1207.2615375</v>
      </c>
      <c r="AN281" s="94" t="n">
        <f aca="false">IF(OR(Y281=1,NOT(ISNUMBER(Z281))),0,AA281*1000000*Z281/10000)</f>
        <v>1207.2615375</v>
      </c>
      <c r="AO281" s="94" t="n">
        <f aca="false">IF(ISNUMBER(G281),AA281*1000000*G281/100,0)</f>
        <v>169973.536665</v>
      </c>
      <c r="AP281" s="94" t="n">
        <f aca="false">IF(ISNUMBER(M281),M281*K281,0)</f>
        <v>-176852.5</v>
      </c>
      <c r="AQ281" s="95" t="n">
        <f aca="false">IF(AB281="","",INDEX(시장분석!$AK:$AK,AB281))</f>
        <v>-1.87388936677714</v>
      </c>
      <c r="AR281" s="43" t="str">
        <f aca="false">IF(AB281="","-",IF(AB281="","",INDEX(시장분석!$AL:$AL,AB281)))</f>
        <v>Rich</v>
      </c>
      <c r="AS281" s="96" t="n">
        <f aca="false">IF(AB281="","",INDEX(시장분석!$AJ:$AJ,AB281))</f>
        <v>-20.5908231017851</v>
      </c>
      <c r="AT281" s="93" t="n">
        <f aca="false">IF(AB281="",0,IF(AB281="","",INDEX(시장분석!$AN:$AN,AB281)))</f>
        <v>8.25776760978662</v>
      </c>
      <c r="AU281" s="94" t="n">
        <f aca="false">IF(ISNUMBER(Z281),AT281/10000*MAX(Z281-1,0)*AA281*1000000,0)</f>
        <v>7522.8348599495</v>
      </c>
      <c r="AV281" s="94" t="n">
        <f aca="false">AO281+AU281</f>
        <v>177496.37152495</v>
      </c>
      <c r="AW281" s="43" t="str">
        <f aca="false">IF(Q281&lt;&gt;1,"",TRIM(IF(AD281=1,"FRN ","")&amp;IF(AND(AL281&gt;=10,AL281&lt;99),"BBB0미만 ","")&amp;IF(AJ281="","등급없음 ","")&amp;IF(K281&lt;&gt;1,"비USD ","")&amp;IF(AND(AB281="",Y281=0),"시장데이터없음 ","")&amp;IF(AND(ISNUMBER(U281),U281&lt;0),"만기경과 ","")))</f>
        <v/>
      </c>
      <c r="AX281" s="90" t="n">
        <f aca="false">IF(Q281&lt;&gt;1,1,IF(스프레드쇼크!$C$4="Y",INDEX(스프레드쇼크!$B$12:$L$16,IFERROR(MATCH(AH281,스프레드쇼크!$A$12:$A$16,0),MATCH("목록외",스프레드쇼크!$A$12:$A$16,0)),IFERROR(MATCH(AG281,스프레드쇼크!$B$11:$L$11,0),MATCH("목록외",스프레드쇼크!$B$11:$L$11,0))),1))</f>
        <v>1</v>
      </c>
      <c r="AY281" s="90" t="n">
        <f aca="false">IF(스프레드쇼크!$C$5="Y",IF(ISNUMBER(AF281),MIN(스프레드쇼크!$C$7,MAX(스프레드쇼크!$C$6,AF281/스프레드쇼크!$C$8)),1),1)</f>
        <v>1.01117756975609</v>
      </c>
      <c r="AZ281" s="94" t="n">
        <f aca="false">AN281*AX281*AY281</f>
        <v>1220.75578754925</v>
      </c>
      <c r="BA281" s="90" t="n">
        <f aca="false">IF(ISNUMBER(G281),AA281*G281,0)</f>
        <v>16.9973536665</v>
      </c>
      <c r="BB281" s="90" t="n">
        <f aca="false">IF(ISNUMBER(G281),AA281,0)</f>
        <v>2.962605</v>
      </c>
      <c r="BC281" s="90" t="n">
        <f aca="false">IF(AND(Y281=0,ISNUMBER(AF281)),AA281*AF281,0)</f>
        <v>198.059032065</v>
      </c>
      <c r="BD281" s="90" t="n">
        <f aca="false">IF(AND(Y281=0,ISNUMBER(AF281)),AA281,0)</f>
        <v>2.962605</v>
      </c>
      <c r="BE281" s="90" t="n">
        <f aca="false">IF(ISNUMBER(H281),AA281*H281,0)</f>
        <v>12.072615375</v>
      </c>
      <c r="BF281" s="90" t="n">
        <f aca="false">IF(ISNUMBER(H281),AA281,0)</f>
        <v>2.962605</v>
      </c>
      <c r="BG281" s="90" t="n">
        <f aca="false">IF(AND(Y281=0,ISNUMBER(AF281),ISNUMBER(Z281)),AA281*Z281,0)</f>
        <v>12.072615375</v>
      </c>
      <c r="BH281" s="90" t="n">
        <f aca="false">IF(AND(Y281=0,ISNUMBER(AF281),ISNUMBER(Z281)),AA281*AT281*MAX(Z281-1,0),0)</f>
        <v>75.228348599495</v>
      </c>
      <c r="BI281" s="90" t="n">
        <f aca="false">IF(Y281=0,AA281,0)</f>
        <v>2.962605</v>
      </c>
    </row>
    <row r="282" customFormat="false" ht="15" hidden="false" customHeight="false" outlineLevel="0" collapsed="false">
      <c r="A282" s="83" t="str">
        <f aca="false">IFERROR(IF(INDEX(원자료_잔고!$A$1:$EZ$1500,설정!$L$5+ROW()-1,설정!$L$8)&amp;""="0","",INDEX(원자료_잔고!$A$1:$EZ$1500,설정!$L$5+ROW()-1,설정!$L$8)&amp;""),"")</f>
        <v>BAC 5.464 05/09/36</v>
      </c>
      <c r="B282" s="83" t="str">
        <f aca="false">IFERROR(IF(INDEX(원자료_잔고!$A$1:$EZ$1500,설정!$L$5+ROW()-1,설정!$L$7)&amp;""="0","",INDEX(원자료_잔고!$A$1:$EZ$1500,설정!$L$5+ROW()-1,설정!$L$7)&amp;""),"")</f>
        <v>US06051GMW68</v>
      </c>
      <c r="C282" s="83" t="str">
        <f aca="false">IFERROR(IF(INDEX(원자료_잔고!$A$1:$EZ$1500,설정!$L$5+ROW()-1,설정!$L$9)&amp;""="0","",INDEX(원자료_잔고!$A$1:$EZ$1500,설정!$L$5+ROW()-1,설정!$L$9)&amp;""),"")</f>
        <v>38038</v>
      </c>
      <c r="D282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82" s="84" t="n">
        <f aca="false">IFERROR(IF(ISNUMBER(INDEX(원자료_잔고!$A$1:$EZ$1500,설정!$L$5+ROW()-1,설정!$L$11)),INDEX(원자료_잔고!$A$1:$EZ$1500,설정!$L$5+ROW()-1,설정!$L$11),""),"")</f>
        <v>5000000</v>
      </c>
      <c r="F282" s="85" t="n">
        <f aca="false">IFERROR(IF(ISNUMBER(INDEX(원자료_잔고!$A$1:$EZ$1500,설정!$L$5+ROW()-1,설정!$L$12)),INDEX(원자료_잔고!$A$1:$EZ$1500,설정!$L$5+ROW()-1,설정!$L$12),""),"")</f>
        <v>95.8202</v>
      </c>
      <c r="G282" s="85" t="n">
        <f aca="false">IFERROR(IF(ISNUMBER(INDEX(원자료_잔고!$A$1:$EZ$1500,설정!$L$5+ROW()-1,설정!$L$13)),INDEX(원자료_잔고!$A$1:$EZ$1500,설정!$L$5+ROW()-1,설정!$L$13),""),"")</f>
        <v>6.0778</v>
      </c>
      <c r="H282" s="85" t="n">
        <f aca="false">IFERROR(IF(ISNUMBER(INDEX(원자료_잔고!$A$1:$EZ$1500,설정!$L$5+ROW()-1,설정!$L$14)),INDEX(원자료_잔고!$A$1:$EZ$1500,설정!$L$5+ROW()-1,설정!$L$14),""),"")</f>
        <v>6.4675</v>
      </c>
      <c r="I282" s="86" t="n">
        <f aca="false">IFERROR(IF(ISNUMBER(INDEX(원자료_잔고!$A$1:$EZ$1500,설정!$L$5+ROW()-1,설정!$L$15)),INDEX(원자료_잔고!$A$1:$EZ$1500,설정!$L$5+ROW()-1,설정!$L$15),""),"")</f>
        <v>49804</v>
      </c>
      <c r="J282" s="85" t="n">
        <f aca="false">IFERROR(IF(ISNUMBER(INDEX(원자료_잔고!$A$1:$EZ$1500,설정!$L$5+ROW()-1,설정!$L$16)),INDEX(원자료_잔고!$A$1:$EZ$1500,설정!$L$5+ROW()-1,설정!$L$16),""),"")</f>
        <v>5.464</v>
      </c>
      <c r="K282" s="87" t="n">
        <f aca="false">IFERROR(IF(ISNUMBER(INDEX(원자료_잔고!$A$1:$EZ$1500,설정!$L$5+ROW()-1,설정!$L$17)),INDEX(원자료_잔고!$A$1:$EZ$1500,설정!$L$5+ROW()-1,설정!$L$17),""),"")</f>
        <v>1</v>
      </c>
      <c r="L282" s="84" t="n">
        <f aca="false">IFERROR(IF(ISNUMBER(INDEX(원자료_잔고!$A$1:$EZ$1500,설정!$L$5+ROW()-1,설정!$L$18)),INDEX(원자료_잔고!$A$1:$EZ$1500,설정!$L$5+ROW()-1,설정!$L$18),""),"")</f>
        <v>4791010</v>
      </c>
      <c r="M282" s="88" t="n">
        <f aca="false">IFERROR(IF(ISNUMBER(INDEX(원자료_잔고!$A$1:$EZ$1500,설정!$L$5+ROW()-1,설정!$L$19)),INDEX(원자료_잔고!$A$1:$EZ$1500,설정!$L$5+ROW()-1,설정!$L$19),""),"")</f>
        <v>-419062.29</v>
      </c>
      <c r="N282" s="83" t="str">
        <f aca="false">IFERROR(IF(INDEX(원자료_잔고!$A$1:$EZ$1500,설정!$L$5+ROW()-1,설정!$L$21)&amp;""="0","",INDEX(원자료_잔고!$A$1:$EZ$1500,설정!$L$5+ROW()-1,설정!$L$21)&amp;""),"")</f>
        <v>A-</v>
      </c>
      <c r="O282" s="83" t="str">
        <f aca="false">IFERROR(IF(INDEX(원자료_잔고!$A$1:$EZ$1500,설정!$L$5+ROW()-1,설정!$L$22)&amp;""="0","",INDEX(원자료_잔고!$A$1:$EZ$1500,설정!$L$5+ROW()-1,설정!$L$22)&amp;""),"")</f>
        <v/>
      </c>
      <c r="P282" s="83" t="str">
        <f aca="false">IFERROR(IF(INDEX(원자료_잔고!$A$1:$EZ$1500,설정!$L$5+ROW()-1,설정!$L$23)&amp;""="0","",INDEX(원자료_잔고!$A$1:$EZ$1500,설정!$L$5+ROW()-1,설정!$L$23)&amp;""),"")</f>
        <v>AA-</v>
      </c>
      <c r="Q282" s="89" t="n">
        <f aca="false">IF(AND($A282&lt;&gt;"",ISNUMBER(E282)),IF(E282&gt;0,1,0),0)</f>
        <v>1</v>
      </c>
      <c r="R282" s="43" t="str">
        <f aca="false">IF(Q282=1,UPPER(LEFT($A282,FIND(" ",$A282&amp;" ")-1)),"")</f>
        <v>BAC</v>
      </c>
      <c r="S282" s="89" t="n">
        <f aca="false">IF(Q282=1,IF(OR(ISNUMBER(SEARCH("Float",$A282)),ISNUMBER(SEARCH("FRN",$A282))),1,0),0)</f>
        <v>0</v>
      </c>
      <c r="T282" s="43" t="str">
        <f aca="false">IF(AND(Q282=1,ISNUMBER(I282)),TEXT(I282,"yyyymmdd")&amp;"|"&amp;IF(S282=1,"F",TEXT(J282,"0.000")),"")</f>
        <v>20360509|5.464</v>
      </c>
      <c r="U282" s="90" t="n">
        <f aca="false">IF(AND(Q282=1,ISNUMBER(I282)),(I282-설정!$C$4)/365.25,"")</f>
        <v>9.60438056125941</v>
      </c>
      <c r="V282" s="43" t="str">
        <f aca="false">IF(Q282&lt;&gt;1,"",IF(ISNUMBER(U282),IF(U282&lt;=1,"1년 이하",IF(U282&lt;=2,"1-2년",IF(U282&lt;=3,"2-3년",IF(U282&lt;=4,"3-4년",IF(U282&lt;=5,"4-5년",IF(U282&lt;=7,"5-7년",IF(U282&lt;=10,"7-10년",IF(U282&lt;=20,"10-20년","20년 이상")))))))),"미분류"))</f>
        <v>7-10년</v>
      </c>
      <c r="W282" s="43" t="str">
        <f aca="false">IF(Q282&lt;&gt;1,"",IF(AB282&lt;&gt;"",INDEX(시장분석!$C:$C,AB282),IF(K282=1,"USD","비USD")))</f>
        <v>USD</v>
      </c>
      <c r="X282" s="91" t="n">
        <f aca="false">IF(Q282=1,E282*K282/1000000,0)</f>
        <v>5</v>
      </c>
      <c r="Y282" s="89" t="n">
        <f aca="false">IF(R282="T",1,0)</f>
        <v>0</v>
      </c>
      <c r="Z282" s="92" t="n">
        <f aca="false">IF(Q282&lt;&gt;1,"",IF(AD282=1,IF(ISNUMBER(U282),MAX(U282,0),H282),H282))</f>
        <v>6.4675</v>
      </c>
      <c r="AA282" s="91" t="n">
        <f aca="false">IF(Q282=1,IF(ISNUMBER(L282),L282,0)*K282/1000000,0)</f>
        <v>4.79101</v>
      </c>
      <c r="AB282" s="89" t="n">
        <f aca="false">IF(Q282&lt;&gt;1,"",IFERROR(MATCH(VLOOKUP(B282,매핑!$H$4:$I$15,2,0),시장분석!$A$2:$A$601,0)+1,IFERROR(MATCH(R282&amp;"|"&amp;T282,시장분석!$V$2:$V$601,0)+1,IF(COUNTIF(시장분석!$U$2:$U$601,T282)=1,MATCH(T282,시장분석!$U$2:$U$601,0)+1,""))))</f>
        <v>16</v>
      </c>
      <c r="AC282" s="89" t="n">
        <f aca="false">IF(Q282&lt;&gt;1,0,IF(OR(설정!$C$5="전체",AND(설정!$C$5="선택펀드",IFERROR(COUNTIFS(설정!$F$16:$F$36,C282,설정!$G$16:$G$36,"Y")+COUNTIFS(설정!$F$16:$F$36,VALUE(C282),설정!$G$16:$G$36,"Y"),0)&gt;0),C282&amp;""=설정!$C$5&amp;""),1,0))</f>
        <v>0</v>
      </c>
      <c r="AD282" s="89" t="n">
        <f aca="false">IF(Q282&lt;&gt;1,0,IF(OR(S282=1,IF(AB282="",FALSE(),INDEX(시장분석!$R:$R,AB282)=1)),1,0))</f>
        <v>0</v>
      </c>
      <c r="AE282" s="43" t="str">
        <f aca="false">IF(AB282="","",INDEX(시장분석!$A:$A,AB282))</f>
        <v>BAC 5.464 05/09/36</v>
      </c>
      <c r="AF282" s="93" t="n">
        <f aca="false">IF(AB282="","",IF(ISNUMBER(IF(AB282="","",INDEX(시장분석!$E:$E,AB282))),IF(AB282="","",INDEX(시장분석!$E:$E,AB282)),""))</f>
        <v>85.873</v>
      </c>
      <c r="AG282" s="43" t="str">
        <f aca="false">IF(Q282&lt;&gt;1,"",IF(AB282&lt;&gt;"",IF(AB282="","",INDEX(시장분석!$L:$L,AB282)),IFERROR(IF(VLOOKUP(R282,매핑!$A$4:$E$92,5,0)="","미분류",VLOOKUP(R282,매핑!$A$4:$E$92,5,0)),"미분류")))</f>
        <v>금융기관</v>
      </c>
      <c r="AH282" s="43" t="str">
        <f aca="false">IF(Q282&lt;&gt;1,"",IF(AB282&lt;&gt;"",IF(AB282="","",INDEX(시장분석!$N:$N,AB282)),IFERROR(IF(VLOOKUP(R282,매핑!$A$4:$E$92,4,0)="","미분류",VLOOKUP(R282,매핑!$A$4:$E$92,4,0)),"미분류")))</f>
        <v>미국</v>
      </c>
      <c r="AI282" s="43" t="str">
        <f aca="false">IF(Q282&lt;&gt;1,"",IFERROR(IF(VLOOKUP(R282,매핑!$A$4:$E$92,3,0)="","미분류",VLOOKUP(R282,매핑!$A$4:$E$92,3,0)),IF(AB282&lt;&gt;"",IF(AB282="","",INDEX(시장분석!$W:$W,AB282)),"미분류")))</f>
        <v>미국</v>
      </c>
      <c r="AJ282" s="43" t="str">
        <f aca="false">IF(Q282&lt;&gt;1,"",IFERROR(VLOOKUP(IF(N282&lt;&gt;"",N282,IF(P282&lt;&gt;"",P282,O282)),설정!$A$15:$D$47,2,0),""))</f>
        <v>A-</v>
      </c>
      <c r="AK282" s="43" t="str">
        <f aca="false">IF(Q282&lt;&gt;1,"",IF(AJ282="","무등급",IFERROR(VLOOKUP(AJ282,설정!$A$15:$D$47,3,0),"무등급")))</f>
        <v>A</v>
      </c>
      <c r="AL282" s="89" t="n">
        <f aca="false">IF(AJ282="",99,IFERROR(VLOOKUP(AJ282,설정!$A$15:$D$47,4,0),99))</f>
        <v>7</v>
      </c>
      <c r="AM282" s="94" t="n">
        <f aca="false">IF(ISNUMBER(H282),AA282*1000000*H282/10000,0)</f>
        <v>3098.5857175</v>
      </c>
      <c r="AN282" s="94" t="n">
        <f aca="false">IF(OR(Y282=1,NOT(ISNUMBER(Z282))),0,AA282*1000000*Z282/10000)</f>
        <v>3098.5857175</v>
      </c>
      <c r="AO282" s="94" t="n">
        <f aca="false">IF(ISNUMBER(G282),AA282*1000000*G282/100,0)</f>
        <v>291188.00578</v>
      </c>
      <c r="AP282" s="94" t="n">
        <f aca="false">IF(ISNUMBER(M282),M282*K282,0)</f>
        <v>-419062.29</v>
      </c>
      <c r="AQ282" s="95" t="n">
        <f aca="false">IF(AB282="","",INDEX(시장분석!$AK:$AK,AB282))</f>
        <v>-0.0988808965016215</v>
      </c>
      <c r="AR282" s="43" t="str">
        <f aca="false">IF(AB282="","-",IF(AB282="","",INDEX(시장분석!$AL:$AL,AB282)))</f>
        <v>Fair</v>
      </c>
      <c r="AS282" s="96" t="n">
        <f aca="false">IF(AB282="","",INDEX(시장분석!$AJ:$AJ,AB282))</f>
        <v>-1.35241192163417</v>
      </c>
      <c r="AT282" s="93" t="n">
        <f aca="false">IF(AB282="",0,IF(AB282="","",INDEX(시장분석!$AN:$AN,AB282)))</f>
        <v>3.30956551928987</v>
      </c>
      <c r="AU282" s="94" t="n">
        <f aca="false">IF(ISNUMBER(Z282),AT282/10000*MAX(Z282-1,0)*AA282*1000000,0)</f>
        <v>8669.35629934477</v>
      </c>
      <c r="AV282" s="94" t="n">
        <f aca="false">AO282+AU282</f>
        <v>299857.362079345</v>
      </c>
      <c r="AW282" s="43" t="str">
        <f aca="false">IF(Q282&lt;&gt;1,"",TRIM(IF(AD282=1,"FRN ","")&amp;IF(AND(AL282&gt;=10,AL282&lt;99),"BBB0미만 ","")&amp;IF(AJ282="","등급없음 ","")&amp;IF(K282&lt;&gt;1,"비USD ","")&amp;IF(AND(AB282="",Y282=0),"시장데이터없음 ","")&amp;IF(AND(ISNUMBER(U282),U282&lt;0),"만기경과 ","")))</f>
        <v/>
      </c>
      <c r="AX282" s="90" t="n">
        <f aca="false">IF(Q282&lt;&gt;1,1,IF(스프레드쇼크!$C$4="Y",INDEX(스프레드쇼크!$B$12:$L$16,IFERROR(MATCH(AH282,스프레드쇼크!$A$12:$A$16,0),MATCH("목록외",스프레드쇼크!$A$12:$A$16,0)),IFERROR(MATCH(AG282,스프레드쇼크!$B$11:$L$11,0),MATCH("목록외",스프레드쇼크!$B$11:$L$11,0))),1))</f>
        <v>1</v>
      </c>
      <c r="AY282" s="90" t="n">
        <f aca="false">IF(스프레드쇼크!$C$5="Y",IF(ISNUMBER(AF282),MIN(스프레드쇼크!$C$7,MAX(스프레드쇼크!$C$6,AF282/스프레드쇼크!$C$8)),1),1)</f>
        <v>1.29886245116397</v>
      </c>
      <c r="AZ282" s="94" t="n">
        <f aca="false">AN282*AX282*AY282</f>
        <v>4024.63664017371</v>
      </c>
      <c r="BA282" s="90" t="n">
        <f aca="false">IF(ISNUMBER(G282),AA282*G282,0)</f>
        <v>29.118800578</v>
      </c>
      <c r="BB282" s="90" t="n">
        <f aca="false">IF(ISNUMBER(G282),AA282,0)</f>
        <v>4.79101</v>
      </c>
      <c r="BC282" s="90" t="n">
        <f aca="false">IF(AND(Y282=0,ISNUMBER(AF282)),AA282*AF282,0)</f>
        <v>411.41840173</v>
      </c>
      <c r="BD282" s="90" t="n">
        <f aca="false">IF(AND(Y282=0,ISNUMBER(AF282)),AA282,0)</f>
        <v>4.79101</v>
      </c>
      <c r="BE282" s="90" t="n">
        <f aca="false">IF(ISNUMBER(H282),AA282*H282,0)</f>
        <v>30.985857175</v>
      </c>
      <c r="BF282" s="90" t="n">
        <f aca="false">IF(ISNUMBER(H282),AA282,0)</f>
        <v>4.79101</v>
      </c>
      <c r="BG282" s="90" t="n">
        <f aca="false">IF(AND(Y282=0,ISNUMBER(AF282),ISNUMBER(Z282)),AA282*Z282,0)</f>
        <v>30.985857175</v>
      </c>
      <c r="BH282" s="90" t="n">
        <f aca="false">IF(AND(Y282=0,ISNUMBER(AF282),ISNUMBER(Z282)),AA282*AT282*MAX(Z282-1,0),0)</f>
        <v>86.6935629934477</v>
      </c>
      <c r="BI282" s="90" t="n">
        <f aca="false">IF(Y282=0,AA282,0)</f>
        <v>4.79101</v>
      </c>
    </row>
    <row r="283" customFormat="false" ht="15" hidden="false" customHeight="false" outlineLevel="0" collapsed="false">
      <c r="A283" s="83" t="str">
        <f aca="false">IFERROR(IF(INDEX(원자료_잔고!$A$1:$EZ$1500,설정!$L$5+ROW()-1,설정!$L$8)&amp;""="0","",INDEX(원자료_잔고!$A$1:$EZ$1500,설정!$L$5+ROW()-1,설정!$L$8)&amp;""),"")</f>
        <v>ACAFP 4.125 01/10/27</v>
      </c>
      <c r="B283" s="83" t="str">
        <f aca="false">IFERROR(IF(INDEX(원자료_잔고!$A$1:$EZ$1500,설정!$L$5+ROW()-1,설정!$L$7)&amp;""="0","",INDEX(원자료_잔고!$A$1:$EZ$1500,설정!$L$5+ROW()-1,설정!$L$7)&amp;""),"")</f>
        <v>US22536PAB76</v>
      </c>
      <c r="C283" s="83" t="str">
        <f aca="false">IFERROR(IF(INDEX(원자료_잔고!$A$1:$EZ$1500,설정!$L$5+ROW()-1,설정!$L$9)&amp;""="0","",INDEX(원자료_잔고!$A$1:$EZ$1500,설정!$L$5+ROW()-1,설정!$L$9)&amp;""),"")</f>
        <v>38038</v>
      </c>
      <c r="D283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83" s="84" t="n">
        <f aca="false">IFERROR(IF(ISNUMBER(INDEX(원자료_잔고!$A$1:$EZ$1500,설정!$L$5+ROW()-1,설정!$L$11)),INDEX(원자료_잔고!$A$1:$EZ$1500,설정!$L$5+ROW()-1,설정!$L$11),""),"")</f>
        <v>5000000</v>
      </c>
      <c r="F283" s="85" t="n">
        <f aca="false">IFERROR(IF(ISNUMBER(INDEX(원자료_잔고!$A$1:$EZ$1500,설정!$L$5+ROW()-1,설정!$L$12)),INDEX(원자료_잔고!$A$1:$EZ$1500,설정!$L$5+ROW()-1,설정!$L$12),""),"")</f>
        <v>99.8103</v>
      </c>
      <c r="G283" s="85" t="n">
        <f aca="false">IFERROR(IF(ISNUMBER(INDEX(원자료_잔고!$A$1:$EZ$1500,설정!$L$5+ROW()-1,설정!$L$13)),INDEX(원자료_잔고!$A$1:$EZ$1500,설정!$L$5+ROW()-1,설정!$L$13),""),"")</f>
        <v>4.7849</v>
      </c>
      <c r="H283" s="85" t="n">
        <f aca="false">IFERROR(IF(ISNUMBER(INDEX(원자료_잔고!$A$1:$EZ$1500,설정!$L$5+ROW()-1,설정!$L$14)),INDEX(원자료_잔고!$A$1:$EZ$1500,설정!$L$5+ROW()-1,설정!$L$14),""),"")</f>
        <v>0.2712</v>
      </c>
      <c r="I283" s="86" t="n">
        <f aca="false">IFERROR(IF(ISNUMBER(INDEX(원자료_잔고!$A$1:$EZ$1500,설정!$L$5+ROW()-1,설정!$L$15)),INDEX(원자료_잔고!$A$1:$EZ$1500,설정!$L$5+ROW()-1,설정!$L$15),""),"")</f>
        <v>46397</v>
      </c>
      <c r="J283" s="85" t="n">
        <f aca="false">IFERROR(IF(ISNUMBER(INDEX(원자료_잔고!$A$1:$EZ$1500,설정!$L$5+ROW()-1,설정!$L$16)),INDEX(원자료_잔고!$A$1:$EZ$1500,설정!$L$5+ROW()-1,설정!$L$16),""),"")</f>
        <v>4.125</v>
      </c>
      <c r="K283" s="87" t="n">
        <f aca="false">IFERROR(IF(ISNUMBER(INDEX(원자료_잔고!$A$1:$EZ$1500,설정!$L$5+ROW()-1,설정!$L$17)),INDEX(원자료_잔고!$A$1:$EZ$1500,설정!$L$5+ROW()-1,설정!$L$17),""),"")</f>
        <v>1</v>
      </c>
      <c r="L283" s="84" t="n">
        <f aca="false">IFERROR(IF(ISNUMBER(INDEX(원자료_잔고!$A$1:$EZ$1500,설정!$L$5+ROW()-1,설정!$L$18)),INDEX(원자료_잔고!$A$1:$EZ$1500,설정!$L$5+ROW()-1,설정!$L$18),""),"")</f>
        <v>4990515</v>
      </c>
      <c r="M283" s="88" t="n">
        <f aca="false">IFERROR(IF(ISNUMBER(INDEX(원자료_잔고!$A$1:$EZ$1500,설정!$L$5+ROW()-1,설정!$L$19)),INDEX(원자료_잔고!$A$1:$EZ$1500,설정!$L$5+ROW()-1,설정!$L$19),""),"")</f>
        <v>82798.04</v>
      </c>
      <c r="N283" s="83" t="str">
        <f aca="false">IFERROR(IF(INDEX(원자료_잔고!$A$1:$EZ$1500,설정!$L$5+ROW()-1,설정!$L$21)&amp;""="0","",INDEX(원자료_잔고!$A$1:$EZ$1500,설정!$L$5+ROW()-1,설정!$L$21)&amp;""),"")</f>
        <v>A-</v>
      </c>
      <c r="O283" s="83" t="str">
        <f aca="false">IFERROR(IF(INDEX(원자료_잔고!$A$1:$EZ$1500,설정!$L$5+ROW()-1,설정!$L$22)&amp;""="0","",INDEX(원자료_잔고!$A$1:$EZ$1500,설정!$L$5+ROW()-1,설정!$L$22)&amp;""),"")</f>
        <v/>
      </c>
      <c r="P283" s="83" t="str">
        <f aca="false">IFERROR(IF(INDEX(원자료_잔고!$A$1:$EZ$1500,설정!$L$5+ROW()-1,설정!$L$23)&amp;""="0","",INDEX(원자료_잔고!$A$1:$EZ$1500,설정!$L$5+ROW()-1,설정!$L$23)&amp;""),"")</f>
        <v>A+</v>
      </c>
      <c r="Q283" s="89" t="n">
        <f aca="false">IF(AND($A283&lt;&gt;"",ISNUMBER(E283)),IF(E283&gt;0,1,0),0)</f>
        <v>1</v>
      </c>
      <c r="R283" s="43" t="str">
        <f aca="false">IF(Q283=1,UPPER(LEFT($A283,FIND(" ",$A283&amp;" ")-1)),"")</f>
        <v>ACAFP</v>
      </c>
      <c r="S283" s="89" t="n">
        <f aca="false">IF(Q283=1,IF(OR(ISNUMBER(SEARCH("Float",$A283)),ISNUMBER(SEARCH("FRN",$A283))),1,0),0)</f>
        <v>0</v>
      </c>
      <c r="T283" s="43" t="str">
        <f aca="false">IF(AND(Q283=1,ISNUMBER(I283)),TEXT(I283,"yyyymmdd")&amp;"|"&amp;IF(S283=1,"F",TEXT(J283,"0.000")),"")</f>
        <v>20270110|4.125</v>
      </c>
      <c r="U283" s="90" t="n">
        <f aca="false">IF(AND(Q283=1,ISNUMBER(I283)),(I283-설정!$C$4)/365.25,"")</f>
        <v>0.276522929500342</v>
      </c>
      <c r="V283" s="43" t="str">
        <f aca="false">IF(Q283&lt;&gt;1,"",IF(ISNUMBER(U283),IF(U283&lt;=1,"1년 이하",IF(U283&lt;=2,"1-2년",IF(U283&lt;=3,"2-3년",IF(U283&lt;=4,"3-4년",IF(U283&lt;=5,"4-5년",IF(U283&lt;=7,"5-7년",IF(U283&lt;=10,"7-10년",IF(U283&lt;=20,"10-20년","20년 이상")))))))),"미분류"))</f>
        <v>1년 이하</v>
      </c>
      <c r="W283" s="43" t="str">
        <f aca="false">IF(Q283&lt;&gt;1,"",IF(AB283&lt;&gt;"",INDEX(시장분석!$C:$C,AB283),IF(K283=1,"USD","비USD")))</f>
        <v>USD</v>
      </c>
      <c r="X283" s="91" t="n">
        <f aca="false">IF(Q283=1,E283*K283/1000000,0)</f>
        <v>5</v>
      </c>
      <c r="Y283" s="89" t="n">
        <f aca="false">IF(R283="T",1,0)</f>
        <v>0</v>
      </c>
      <c r="Z283" s="92" t="n">
        <f aca="false">IF(Q283&lt;&gt;1,"",IF(AD283=1,IF(ISNUMBER(U283),MAX(U283,0),H283),H283))</f>
        <v>0.2712</v>
      </c>
      <c r="AA283" s="91" t="n">
        <f aca="false">IF(Q283=1,IF(ISNUMBER(L283),L283,0)*K283/1000000,0)</f>
        <v>4.990515</v>
      </c>
      <c r="AB283" s="89" t="n">
        <f aca="false">IF(Q283&lt;&gt;1,"",IFERROR(MATCH(VLOOKUP(B283,매핑!$H$4:$I$15,2,0),시장분석!$A$2:$A$601,0)+1,IFERROR(MATCH(R283&amp;"|"&amp;T283,시장분석!$V$2:$V$601,0)+1,IF(COUNTIF(시장분석!$U$2:$U$601,T283)=1,MATCH(T283,시장분석!$U$2:$U$601,0)+1,""))))</f>
        <v>25</v>
      </c>
      <c r="AC283" s="89" t="n">
        <f aca="false">IF(Q283&lt;&gt;1,0,IF(OR(설정!$C$5="전체",AND(설정!$C$5="선택펀드",IFERROR(COUNTIFS(설정!$F$16:$F$36,C283,설정!$G$16:$G$36,"Y")+COUNTIFS(설정!$F$16:$F$36,VALUE(C283),설정!$G$16:$G$36,"Y"),0)&gt;0),C283&amp;""=설정!$C$5&amp;""),1,0))</f>
        <v>0</v>
      </c>
      <c r="AD283" s="89" t="n">
        <f aca="false">IF(Q283&lt;&gt;1,0,IF(OR(S283=1,IF(AB283="",FALSE(),INDEX(시장분석!$R:$R,AB283)=1)),1,0))</f>
        <v>0</v>
      </c>
      <c r="AE283" s="43" t="str">
        <f aca="false">IF(AB283="","",INDEX(시장분석!$A:$A,AB283))</f>
        <v>ACAFP 4 1/8 01/10/27</v>
      </c>
      <c r="AF283" s="93" t="n">
        <f aca="false">IF(AB283="","",IF(ISNUMBER(IF(AB283="","",INDEX(시장분석!$E:$E,AB283))),IF(AB283="","",INDEX(시장분석!$E:$E,AB283)),""))</f>
        <v>-24.054</v>
      </c>
      <c r="AG283" s="43" t="str">
        <f aca="false">IF(Q283&lt;&gt;1,"",IF(AB283&lt;&gt;"",IF(AB283="","",INDEX(시장분석!$L:$L,AB283)),IFERROR(IF(VLOOKUP(R283,매핑!$A$4:$E$92,5,0)="","미분류",VLOOKUP(R283,매핑!$A$4:$E$92,5,0)),"미분류")))</f>
        <v>금융기관</v>
      </c>
      <c r="AH283" s="43" t="str">
        <f aca="false">IF(Q283&lt;&gt;1,"",IF(AB283&lt;&gt;"",IF(AB283="","",INDEX(시장분석!$N:$N,AB283)),IFERROR(IF(VLOOKUP(R283,매핑!$A$4:$E$92,4,0)="","미분류",VLOOKUP(R283,매핑!$A$4:$E$92,4,0)),"미분류")))</f>
        <v>유럽</v>
      </c>
      <c r="AI283" s="43" t="str">
        <f aca="false">IF(Q283&lt;&gt;1,"",IFERROR(IF(VLOOKUP(R283,매핑!$A$4:$E$92,3,0)="","미분류",VLOOKUP(R283,매핑!$A$4:$E$92,3,0)),IF(AB283&lt;&gt;"",IF(AB283="","",INDEX(시장분석!$W:$W,AB283)),"미분류")))</f>
        <v>프랑스</v>
      </c>
      <c r="AJ283" s="43" t="str">
        <f aca="false">IF(Q283&lt;&gt;1,"",IFERROR(VLOOKUP(IF(N283&lt;&gt;"",N283,IF(P283&lt;&gt;"",P283,O283)),설정!$A$15:$D$47,2,0),""))</f>
        <v>A-</v>
      </c>
      <c r="AK283" s="43" t="str">
        <f aca="false">IF(Q283&lt;&gt;1,"",IF(AJ283="","무등급",IFERROR(VLOOKUP(AJ283,설정!$A$15:$D$47,3,0),"무등급")))</f>
        <v>A</v>
      </c>
      <c r="AL283" s="89" t="n">
        <f aca="false">IF(AJ283="",99,IFERROR(VLOOKUP(AJ283,설정!$A$15:$D$47,4,0),99))</f>
        <v>7</v>
      </c>
      <c r="AM283" s="94" t="n">
        <f aca="false">IF(ISNUMBER(H283),AA283*1000000*H283/10000,0)</f>
        <v>135.3427668</v>
      </c>
      <c r="AN283" s="94" t="n">
        <f aca="false">IF(OR(Y283=1,NOT(ISNUMBER(Z283))),0,AA283*1000000*Z283/10000)</f>
        <v>135.3427668</v>
      </c>
      <c r="AO283" s="94" t="n">
        <f aca="false">IF(ISNUMBER(G283),AA283*1000000*G283/100,0)</f>
        <v>238791.152235</v>
      </c>
      <c r="AP283" s="94" t="n">
        <f aca="false">IF(ISNUMBER(M283),M283*K283,0)</f>
        <v>82798.04</v>
      </c>
      <c r="AQ283" s="95" t="str">
        <f aca="false">IF(AB283="","",INDEX(시장분석!$AK:$AK,AB283))</f>
        <v/>
      </c>
      <c r="AR283" s="43" t="str">
        <f aca="false">IF(AB283="","-",IF(AB283="","",INDEX(시장분석!$AL:$AL,AB283)))</f>
        <v>-</v>
      </c>
      <c r="AS283" s="96" t="str">
        <f aca="false">IF(AB283="","",INDEX(시장분석!$AJ:$AJ,AB283))</f>
        <v/>
      </c>
      <c r="AT283" s="93" t="n">
        <f aca="false">IF(AB283="",0,IF(AB283="","",INDEX(시장분석!$AN:$AN,AB283)))</f>
        <v>0</v>
      </c>
      <c r="AU283" s="94" t="n">
        <f aca="false">IF(ISNUMBER(Z283),AT283/10000*MAX(Z283-1,0)*AA283*1000000,0)</f>
        <v>0</v>
      </c>
      <c r="AV283" s="94" t="n">
        <f aca="false">AO283+AU283</f>
        <v>238791.152235</v>
      </c>
      <c r="AW283" s="43" t="str">
        <f aca="false">IF(Q283&lt;&gt;1,"",TRIM(IF(AD283=1,"FRN ","")&amp;IF(AND(AL283&gt;=10,AL283&lt;99),"BBB0미만 ","")&amp;IF(AJ283="","등급없음 ","")&amp;IF(K283&lt;&gt;1,"비USD ","")&amp;IF(AND(AB283="",Y283=0),"시장데이터없음 ","")&amp;IF(AND(ISNUMBER(U283),U283&lt;0),"만기경과 ","")))</f>
        <v/>
      </c>
      <c r="AX283" s="90" t="n">
        <f aca="false">IF(Q283&lt;&gt;1,1,IF(스프레드쇼크!$C$4="Y",INDEX(스프레드쇼크!$B$12:$L$16,IFERROR(MATCH(AH283,스프레드쇼크!$A$12:$A$16,0),MATCH("목록외",스프레드쇼크!$A$12:$A$16,0)),IFERROR(MATCH(AG283,스프레드쇼크!$B$11:$L$11,0),MATCH("목록외",스프레드쇼크!$B$11:$L$11,0))),1))</f>
        <v>1</v>
      </c>
      <c r="AY283" s="90" t="n">
        <f aca="false">IF(스프레드쇼크!$C$5="Y",IF(ISNUMBER(AF283),MIN(스프레드쇼크!$C$7,MAX(스프레드쇼크!$C$6,AF283/스프레드쇼크!$C$8)),1),1)</f>
        <v>0.25</v>
      </c>
      <c r="AZ283" s="94" t="n">
        <f aca="false">AN283*AX283*AY283</f>
        <v>33.8356917</v>
      </c>
      <c r="BA283" s="90" t="n">
        <f aca="false">IF(ISNUMBER(G283),AA283*G283,0)</f>
        <v>23.8791152235</v>
      </c>
      <c r="BB283" s="90" t="n">
        <f aca="false">IF(ISNUMBER(G283),AA283,0)</f>
        <v>4.990515</v>
      </c>
      <c r="BC283" s="90" t="n">
        <f aca="false">IF(AND(Y283=0,ISNUMBER(AF283)),AA283*AF283,0)</f>
        <v>-120.04184781</v>
      </c>
      <c r="BD283" s="90" t="n">
        <f aca="false">IF(AND(Y283=0,ISNUMBER(AF283)),AA283,0)</f>
        <v>4.990515</v>
      </c>
      <c r="BE283" s="90" t="n">
        <f aca="false">IF(ISNUMBER(H283),AA283*H283,0)</f>
        <v>1.353427668</v>
      </c>
      <c r="BF283" s="90" t="n">
        <f aca="false">IF(ISNUMBER(H283),AA283,0)</f>
        <v>4.990515</v>
      </c>
      <c r="BG283" s="90" t="n">
        <f aca="false">IF(AND(Y283=0,ISNUMBER(AF283),ISNUMBER(Z283)),AA283*Z283,0)</f>
        <v>1.353427668</v>
      </c>
      <c r="BH283" s="90" t="n">
        <f aca="false">IF(AND(Y283=0,ISNUMBER(AF283),ISNUMBER(Z283)),AA283*AT283*MAX(Z283-1,0),0)</f>
        <v>0</v>
      </c>
      <c r="BI283" s="90" t="n">
        <f aca="false">IF(Y283=0,AA283,0)</f>
        <v>4.990515</v>
      </c>
    </row>
    <row r="284" customFormat="false" ht="15" hidden="false" customHeight="false" outlineLevel="0" collapsed="false">
      <c r="A284" s="83" t="str">
        <f aca="false">IFERROR(IF(INDEX(원자료_잔고!$A$1:$EZ$1500,설정!$L$5+ROW()-1,설정!$L$8)&amp;""="0","",INDEX(원자료_잔고!$A$1:$EZ$1500,설정!$L$5+ROW()-1,설정!$L$8)&amp;""),"")</f>
        <v>GS 4.369 10/21/31</v>
      </c>
      <c r="B284" s="83" t="str">
        <f aca="false">IFERROR(IF(INDEX(원자료_잔고!$A$1:$EZ$1500,설정!$L$5+ROW()-1,설정!$L$7)&amp;""="0","",INDEX(원자료_잔고!$A$1:$EZ$1500,설정!$L$5+ROW()-1,설정!$L$7)&amp;""),"")</f>
        <v>US38141GD355</v>
      </c>
      <c r="C284" s="83" t="str">
        <f aca="false">IFERROR(IF(INDEX(원자료_잔고!$A$1:$EZ$1500,설정!$L$5+ROW()-1,설정!$L$9)&amp;""="0","",INDEX(원자료_잔고!$A$1:$EZ$1500,설정!$L$5+ROW()-1,설정!$L$9)&amp;""),"")</f>
        <v>38038</v>
      </c>
      <c r="D284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84" s="84" t="n">
        <f aca="false">IFERROR(IF(ISNUMBER(INDEX(원자료_잔고!$A$1:$EZ$1500,설정!$L$5+ROW()-1,설정!$L$11)),INDEX(원자료_잔고!$A$1:$EZ$1500,설정!$L$5+ROW()-1,설정!$L$11),""),"")</f>
        <v>10000000</v>
      </c>
      <c r="F284" s="85" t="n">
        <f aca="false">IFERROR(IF(ISNUMBER(INDEX(원자료_잔고!$A$1:$EZ$1500,설정!$L$5+ROW()-1,설정!$L$12)),INDEX(원자료_잔고!$A$1:$EZ$1500,설정!$L$5+ROW()-1,설정!$L$12),""),"")</f>
        <v>94.5307</v>
      </c>
      <c r="G284" s="85" t="n">
        <f aca="false">IFERROR(IF(ISNUMBER(INDEX(원자료_잔고!$A$1:$EZ$1500,설정!$L$5+ROW()-1,설정!$L$13)),INDEX(원자료_잔고!$A$1:$EZ$1500,설정!$L$5+ROW()-1,설정!$L$13),""),"")</f>
        <v>5.8126</v>
      </c>
      <c r="H284" s="85" t="n">
        <f aca="false">IFERROR(IF(ISNUMBER(INDEX(원자료_잔고!$A$1:$EZ$1500,설정!$L$5+ROW()-1,설정!$L$14)),INDEX(원자료_잔고!$A$1:$EZ$1500,설정!$L$5+ROW()-1,설정!$L$14),""),"")</f>
        <v>3.7854</v>
      </c>
      <c r="I284" s="86" t="n">
        <f aca="false">IFERROR(IF(ISNUMBER(INDEX(원자료_잔고!$A$1:$EZ$1500,설정!$L$5+ROW()-1,설정!$L$15)),INDEX(원자료_잔고!$A$1:$EZ$1500,설정!$L$5+ROW()-1,설정!$L$15),""),"")</f>
        <v>48142</v>
      </c>
      <c r="J284" s="85" t="n">
        <f aca="false">IFERROR(IF(ISNUMBER(INDEX(원자료_잔고!$A$1:$EZ$1500,설정!$L$5+ROW()-1,설정!$L$16)),INDEX(원자료_잔고!$A$1:$EZ$1500,설정!$L$5+ROW()-1,설정!$L$16),""),"")</f>
        <v>4.369</v>
      </c>
      <c r="K284" s="87" t="n">
        <f aca="false">IFERROR(IF(ISNUMBER(INDEX(원자료_잔고!$A$1:$EZ$1500,설정!$L$5+ROW()-1,설정!$L$17)),INDEX(원자료_잔고!$A$1:$EZ$1500,설정!$L$5+ROW()-1,설정!$L$17),""),"")</f>
        <v>1</v>
      </c>
      <c r="L284" s="84" t="n">
        <f aca="false">IFERROR(IF(ISNUMBER(INDEX(원자료_잔고!$A$1:$EZ$1500,설정!$L$5+ROW()-1,설정!$L$18)),INDEX(원자료_잔고!$A$1:$EZ$1500,설정!$L$5+ROW()-1,설정!$L$18),""),"")</f>
        <v>9453070</v>
      </c>
      <c r="M284" s="88" t="n">
        <f aca="false">IFERROR(IF(ISNUMBER(INDEX(원자료_잔고!$A$1:$EZ$1500,설정!$L$5+ROW()-1,설정!$L$19)),INDEX(원자료_잔고!$A$1:$EZ$1500,설정!$L$5+ROW()-1,설정!$L$19),""),"")</f>
        <v>-551772.3</v>
      </c>
      <c r="N284" s="83" t="str">
        <f aca="false">IFERROR(IF(INDEX(원자료_잔고!$A$1:$EZ$1500,설정!$L$5+ROW()-1,설정!$L$21)&amp;""="0","",INDEX(원자료_잔고!$A$1:$EZ$1500,설정!$L$5+ROW()-1,설정!$L$21)&amp;""),"")</f>
        <v>BBB+</v>
      </c>
      <c r="O284" s="83" t="str">
        <f aca="false">IFERROR(IF(INDEX(원자료_잔고!$A$1:$EZ$1500,설정!$L$5+ROW()-1,설정!$L$22)&amp;""="0","",INDEX(원자료_잔고!$A$1:$EZ$1500,설정!$L$5+ROW()-1,설정!$L$22)&amp;""),"")</f>
        <v/>
      </c>
      <c r="P284" s="83" t="str">
        <f aca="false">IFERROR(IF(INDEX(원자료_잔고!$A$1:$EZ$1500,설정!$L$5+ROW()-1,설정!$L$23)&amp;""="0","",INDEX(원자료_잔고!$A$1:$EZ$1500,설정!$L$5+ROW()-1,설정!$L$23)&amp;""),"")</f>
        <v>A</v>
      </c>
      <c r="Q284" s="89" t="n">
        <f aca="false">IF(AND($A284&lt;&gt;"",ISNUMBER(E284)),IF(E284&gt;0,1,0),0)</f>
        <v>1</v>
      </c>
      <c r="R284" s="43" t="str">
        <f aca="false">IF(Q284=1,UPPER(LEFT($A284,FIND(" ",$A284&amp;" ")-1)),"")</f>
        <v>GS</v>
      </c>
      <c r="S284" s="89" t="n">
        <f aca="false">IF(Q284=1,IF(OR(ISNUMBER(SEARCH("Float",$A284)),ISNUMBER(SEARCH("FRN",$A284))),1,0),0)</f>
        <v>0</v>
      </c>
      <c r="T284" s="43" t="str">
        <f aca="false">IF(AND(Q284=1,ISNUMBER(I284)),TEXT(I284,"yyyymmdd")&amp;"|"&amp;IF(S284=1,"F",TEXT(J284,"0.000")),"")</f>
        <v>20311021|4.369</v>
      </c>
      <c r="U284" s="90" t="n">
        <f aca="false">IF(AND(Q284=1,ISNUMBER(I284)),(I284-설정!$C$4)/365.25,"")</f>
        <v>5.05407255304586</v>
      </c>
      <c r="V284" s="43" t="str">
        <f aca="false">IF(Q284&lt;&gt;1,"",IF(ISNUMBER(U284),IF(U284&lt;=1,"1년 이하",IF(U284&lt;=2,"1-2년",IF(U284&lt;=3,"2-3년",IF(U284&lt;=4,"3-4년",IF(U284&lt;=5,"4-5년",IF(U284&lt;=7,"5-7년",IF(U284&lt;=10,"7-10년",IF(U284&lt;=20,"10-20년","20년 이상")))))))),"미분류"))</f>
        <v>5-7년</v>
      </c>
      <c r="W284" s="43" t="str">
        <f aca="false">IF(Q284&lt;&gt;1,"",IF(AB284&lt;&gt;"",INDEX(시장분석!$C:$C,AB284),IF(K284=1,"USD","비USD")))</f>
        <v>USD</v>
      </c>
      <c r="X284" s="91" t="n">
        <f aca="false">IF(Q284=1,E284*K284/1000000,0)</f>
        <v>10</v>
      </c>
      <c r="Y284" s="89" t="n">
        <f aca="false">IF(R284="T",1,0)</f>
        <v>0</v>
      </c>
      <c r="Z284" s="92" t="n">
        <f aca="false">IF(Q284&lt;&gt;1,"",IF(AD284=1,IF(ISNUMBER(U284),MAX(U284,0),H284),H284))</f>
        <v>3.7854</v>
      </c>
      <c r="AA284" s="91" t="n">
        <f aca="false">IF(Q284=1,IF(ISNUMBER(L284),L284,0)*K284/1000000,0)</f>
        <v>9.45307</v>
      </c>
      <c r="AB284" s="89" t="n">
        <f aca="false">IF(Q284&lt;&gt;1,"",IFERROR(MATCH(VLOOKUP(B284,매핑!$H$4:$I$15,2,0),시장분석!$A$2:$A$601,0)+1,IFERROR(MATCH(R284&amp;"|"&amp;T284,시장분석!$V$2:$V$601,0)+1,IF(COUNTIF(시장분석!$U$2:$U$601,T284)=1,MATCH(T284,시장분석!$U$2:$U$601,0)+1,""))))</f>
        <v>42</v>
      </c>
      <c r="AC284" s="89" t="n">
        <f aca="false">IF(Q284&lt;&gt;1,0,IF(OR(설정!$C$5="전체",AND(설정!$C$5="선택펀드",IFERROR(COUNTIFS(설정!$F$16:$F$36,C284,설정!$G$16:$G$36,"Y")+COUNTIFS(설정!$F$16:$F$36,VALUE(C284),설정!$G$16:$G$36,"Y"),0)&gt;0),C284&amp;""=설정!$C$5&amp;""),1,0))</f>
        <v>0</v>
      </c>
      <c r="AD284" s="89" t="n">
        <f aca="false">IF(Q284&lt;&gt;1,0,IF(OR(S284=1,IF(AB284="",FALSE(),INDEX(시장분석!$R:$R,AB284)=1)),1,0))</f>
        <v>0</v>
      </c>
      <c r="AE284" s="43" t="str">
        <f aca="false">IF(AB284="","",INDEX(시장분석!$A:$A,AB284))</f>
        <v>GS 4.369 10/21/31</v>
      </c>
      <c r="AF284" s="93" t="n">
        <f aca="false">IF(AB284="","",IF(ISNUMBER(IF(AB284="","",INDEX(시장분석!$E:$E,AB284))),IF(AB284="","",INDEX(시장분석!$E:$E,AB284)),""))</f>
        <v>85.393</v>
      </c>
      <c r="AG284" s="43" t="str">
        <f aca="false">IF(Q284&lt;&gt;1,"",IF(AB284&lt;&gt;"",IF(AB284="","",INDEX(시장분석!$L:$L,AB284)),IFERROR(IF(VLOOKUP(R284,매핑!$A$4:$E$92,5,0)="","미분류",VLOOKUP(R284,매핑!$A$4:$E$92,5,0)),"미분류")))</f>
        <v>금융기관</v>
      </c>
      <c r="AH284" s="43" t="str">
        <f aca="false">IF(Q284&lt;&gt;1,"",IF(AB284&lt;&gt;"",IF(AB284="","",INDEX(시장분석!$N:$N,AB284)),IFERROR(IF(VLOOKUP(R284,매핑!$A$4:$E$92,4,0)="","미분류",VLOOKUP(R284,매핑!$A$4:$E$92,4,0)),"미분류")))</f>
        <v>미국</v>
      </c>
      <c r="AI284" s="43" t="str">
        <f aca="false">IF(Q284&lt;&gt;1,"",IFERROR(IF(VLOOKUP(R284,매핑!$A$4:$E$92,3,0)="","미분류",VLOOKUP(R284,매핑!$A$4:$E$92,3,0)),IF(AB284&lt;&gt;"",IF(AB284="","",INDEX(시장분석!$W:$W,AB284)),"미분류")))</f>
        <v>미국</v>
      </c>
      <c r="AJ284" s="43" t="str">
        <f aca="false">IF(Q284&lt;&gt;1,"",IFERROR(VLOOKUP(IF(N284&lt;&gt;"",N284,IF(P284&lt;&gt;"",P284,O284)),설정!$A$15:$D$47,2,0),""))</f>
        <v>BBB+</v>
      </c>
      <c r="AK284" s="43" t="str">
        <f aca="false">IF(Q284&lt;&gt;1,"",IF(AJ284="","무등급",IFERROR(VLOOKUP(AJ284,설정!$A$15:$D$47,3,0),"무등급")))</f>
        <v>BBB</v>
      </c>
      <c r="AL284" s="89" t="n">
        <f aca="false">IF(AJ284="",99,IFERROR(VLOOKUP(AJ284,설정!$A$15:$D$47,4,0),99))</f>
        <v>8</v>
      </c>
      <c r="AM284" s="94" t="n">
        <f aca="false">IF(ISNUMBER(H284),AA284*1000000*H284/10000,0)</f>
        <v>3578.3651178</v>
      </c>
      <c r="AN284" s="94" t="n">
        <f aca="false">IF(OR(Y284=1,NOT(ISNUMBER(Z284))),0,AA284*1000000*Z284/10000)</f>
        <v>3578.3651178</v>
      </c>
      <c r="AO284" s="94" t="n">
        <f aca="false">IF(ISNUMBER(G284),AA284*1000000*G284/100,0)</f>
        <v>549469.14682</v>
      </c>
      <c r="AP284" s="94" t="n">
        <f aca="false">IF(ISNUMBER(M284),M284*K284,0)</f>
        <v>-551772.3</v>
      </c>
      <c r="AQ284" s="95" t="n">
        <f aca="false">IF(AB284="","",INDEX(시장분석!$AK:$AK,AB284))</f>
        <v>0.795570029669869</v>
      </c>
      <c r="AR284" s="43" t="str">
        <f aca="false">IF(AB284="","-",IF(AB284="","",INDEX(시장분석!$AL:$AL,AB284)))</f>
        <v>Fair</v>
      </c>
      <c r="AS284" s="96" t="n">
        <f aca="false">IF(AB284="","",INDEX(시장분석!$AJ:$AJ,AB284))</f>
        <v>10.8811553160093</v>
      </c>
      <c r="AT284" s="93" t="n">
        <f aca="false">IF(AB284="",0,IF(AB284="","",INDEX(시장분석!$AN:$AN,AB284)))</f>
        <v>6.59240829410611</v>
      </c>
      <c r="AU284" s="94" t="n">
        <f aca="false">IF(ISNUMBER(Z284),AT284/10000*MAX(Z284-1,0)*AA284*1000000,0)</f>
        <v>17358.1941746482</v>
      </c>
      <c r="AV284" s="94" t="n">
        <f aca="false">AO284+AU284</f>
        <v>566827.340994648</v>
      </c>
      <c r="AW284" s="43" t="str">
        <f aca="false">IF(Q284&lt;&gt;1,"",TRIM(IF(AD284=1,"FRN ","")&amp;IF(AND(AL284&gt;=10,AL284&lt;99),"BBB0미만 ","")&amp;IF(AJ284="","등급없음 ","")&amp;IF(K284&lt;&gt;1,"비USD ","")&amp;IF(AND(AB284="",Y284=0),"시장데이터없음 ","")&amp;IF(AND(ISNUMBER(U284),U284&lt;0),"만기경과 ","")))</f>
        <v/>
      </c>
      <c r="AX284" s="90" t="n">
        <f aca="false">IF(Q284&lt;&gt;1,1,IF(스프레드쇼크!$C$4="Y",INDEX(스프레드쇼크!$B$12:$L$16,IFERROR(MATCH(AH284,스프레드쇼크!$A$12:$A$16,0),MATCH("목록외",스프레드쇼크!$A$12:$A$16,0)),IFERROR(MATCH(AG284,스프레드쇼크!$B$11:$L$11,0),MATCH("목록외",스프레드쇼크!$B$11:$L$11,0))),1))</f>
        <v>1</v>
      </c>
      <c r="AY284" s="90" t="n">
        <f aca="false">IF(스프레드쇼크!$C$5="Y",IF(ISNUMBER(AF284),MIN(스프레드쇼크!$C$7,MAX(스프레드쇼크!$C$6,AF284/스프레드쇼크!$C$8)),1),1)</f>
        <v>1.29160226488238</v>
      </c>
      <c r="AZ284" s="94" t="n">
        <f aca="false">AN284*AX284*AY284</f>
        <v>4621.82449072658</v>
      </c>
      <c r="BA284" s="90" t="n">
        <f aca="false">IF(ISNUMBER(G284),AA284*G284,0)</f>
        <v>54.946914682</v>
      </c>
      <c r="BB284" s="90" t="n">
        <f aca="false">IF(ISNUMBER(G284),AA284,0)</f>
        <v>9.45307</v>
      </c>
      <c r="BC284" s="90" t="n">
        <f aca="false">IF(AND(Y284=0,ISNUMBER(AF284)),AA284*AF284,0)</f>
        <v>807.22600651</v>
      </c>
      <c r="BD284" s="90" t="n">
        <f aca="false">IF(AND(Y284=0,ISNUMBER(AF284)),AA284,0)</f>
        <v>9.45307</v>
      </c>
      <c r="BE284" s="90" t="n">
        <f aca="false">IF(ISNUMBER(H284),AA284*H284,0)</f>
        <v>35.783651178</v>
      </c>
      <c r="BF284" s="90" t="n">
        <f aca="false">IF(ISNUMBER(H284),AA284,0)</f>
        <v>9.45307</v>
      </c>
      <c r="BG284" s="90" t="n">
        <f aca="false">IF(AND(Y284=0,ISNUMBER(AF284),ISNUMBER(Z284)),AA284*Z284,0)</f>
        <v>35.783651178</v>
      </c>
      <c r="BH284" s="90" t="n">
        <f aca="false">IF(AND(Y284=0,ISNUMBER(AF284),ISNUMBER(Z284)),AA284*AT284*MAX(Z284-1,0),0)</f>
        <v>173.581941746482</v>
      </c>
      <c r="BI284" s="90" t="n">
        <f aca="false">IF(Y284=0,AA284,0)</f>
        <v>9.45307</v>
      </c>
    </row>
    <row r="285" customFormat="false" ht="15" hidden="false" customHeight="false" outlineLevel="0" collapsed="false">
      <c r="A285" s="83" t="str">
        <f aca="false">IFERROR(IF(INDEX(원자료_잔고!$A$1:$EZ$1500,설정!$L$5+ROW()-1,설정!$L$8)&amp;""="0","",INDEX(원자료_잔고!$A$1:$EZ$1500,설정!$L$5+ROW()-1,설정!$L$8)&amp;""),"")</f>
        <v>GS 4.516 01/21/32</v>
      </c>
      <c r="B285" s="83" t="str">
        <f aca="false">IFERROR(IF(INDEX(원자료_잔고!$A$1:$EZ$1500,설정!$L$5+ROW()-1,설정!$L$7)&amp;""="0","",INDEX(원자료_잔고!$A$1:$EZ$1500,설정!$L$5+ROW()-1,설정!$L$7)&amp;""),"")</f>
        <v>US38145GAR11</v>
      </c>
      <c r="C285" s="83" t="str">
        <f aca="false">IFERROR(IF(INDEX(원자료_잔고!$A$1:$EZ$1500,설정!$L$5+ROW()-1,설정!$L$9)&amp;""="0","",INDEX(원자료_잔고!$A$1:$EZ$1500,설정!$L$5+ROW()-1,설정!$L$9)&amp;""),"")</f>
        <v>38038</v>
      </c>
      <c r="D285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85" s="84" t="n">
        <f aca="false">IFERROR(IF(ISNUMBER(INDEX(원자료_잔고!$A$1:$EZ$1500,설정!$L$5+ROW()-1,설정!$L$11)),INDEX(원자료_잔고!$A$1:$EZ$1500,설정!$L$5+ROW()-1,설정!$L$11),""),"")</f>
        <v>10000000</v>
      </c>
      <c r="F285" s="85" t="n">
        <f aca="false">IFERROR(IF(ISNUMBER(INDEX(원자료_잔고!$A$1:$EZ$1500,설정!$L$5+ROW()-1,설정!$L$12)),INDEX(원자료_잔고!$A$1:$EZ$1500,설정!$L$5+ROW()-1,설정!$L$12),""),"")</f>
        <v>94.5611</v>
      </c>
      <c r="G285" s="85" t="n">
        <f aca="false">IFERROR(IF(ISNUMBER(INDEX(원자료_잔고!$A$1:$EZ$1500,설정!$L$5+ROW()-1,설정!$L$13)),INDEX(원자료_잔고!$A$1:$EZ$1500,설정!$L$5+ROW()-1,설정!$L$13),""),"")</f>
        <v>5.8823</v>
      </c>
      <c r="H285" s="85" t="n">
        <f aca="false">IFERROR(IF(ISNUMBER(INDEX(원자료_잔고!$A$1:$EZ$1500,설정!$L$5+ROW()-1,설정!$L$14)),INDEX(원자료_잔고!$A$1:$EZ$1500,설정!$L$5+ROW()-1,설정!$L$14),""),"")</f>
        <v>3.7753</v>
      </c>
      <c r="I285" s="86" t="n">
        <f aca="false">IFERROR(IF(ISNUMBER(INDEX(원자료_잔고!$A$1:$EZ$1500,설정!$L$5+ROW()-1,설정!$L$15)),INDEX(원자료_잔고!$A$1:$EZ$1500,설정!$L$5+ROW()-1,설정!$L$15),""),"")</f>
        <v>48234</v>
      </c>
      <c r="J285" s="85" t="n">
        <f aca="false">IFERROR(IF(ISNUMBER(INDEX(원자료_잔고!$A$1:$EZ$1500,설정!$L$5+ROW()-1,설정!$L$16)),INDEX(원자료_잔고!$A$1:$EZ$1500,설정!$L$5+ROW()-1,설정!$L$16),""),"")</f>
        <v>4.516</v>
      </c>
      <c r="K285" s="87" t="n">
        <f aca="false">IFERROR(IF(ISNUMBER(INDEX(원자료_잔고!$A$1:$EZ$1500,설정!$L$5+ROW()-1,설정!$L$17)),INDEX(원자료_잔고!$A$1:$EZ$1500,설정!$L$5+ROW()-1,설정!$L$17),""),"")</f>
        <v>1</v>
      </c>
      <c r="L285" s="84" t="n">
        <f aca="false">IFERROR(IF(ISNUMBER(INDEX(원자료_잔고!$A$1:$EZ$1500,설정!$L$5+ROW()-1,설정!$L$18)),INDEX(원자료_잔고!$A$1:$EZ$1500,설정!$L$5+ROW()-1,설정!$L$18),""),"")</f>
        <v>9456110</v>
      </c>
      <c r="M285" s="88" t="n">
        <f aca="false">IFERROR(IF(ISNUMBER(INDEX(원자료_잔고!$A$1:$EZ$1500,설정!$L$5+ROW()-1,설정!$L$19)),INDEX(원자료_잔고!$A$1:$EZ$1500,설정!$L$5+ROW()-1,설정!$L$19),""),"")</f>
        <v>-594682.25</v>
      </c>
      <c r="N285" s="83" t="str">
        <f aca="false">IFERROR(IF(INDEX(원자료_잔고!$A$1:$EZ$1500,설정!$L$5+ROW()-1,설정!$L$21)&amp;""="0","",INDEX(원자료_잔고!$A$1:$EZ$1500,설정!$L$5+ROW()-1,설정!$L$21)&amp;""),"")</f>
        <v>BBB+</v>
      </c>
      <c r="O285" s="83" t="str">
        <f aca="false">IFERROR(IF(INDEX(원자료_잔고!$A$1:$EZ$1500,설정!$L$5+ROW()-1,설정!$L$22)&amp;""="0","",INDEX(원자료_잔고!$A$1:$EZ$1500,설정!$L$5+ROW()-1,설정!$L$22)&amp;""),"")</f>
        <v/>
      </c>
      <c r="P285" s="83" t="str">
        <f aca="false">IFERROR(IF(INDEX(원자료_잔고!$A$1:$EZ$1500,설정!$L$5+ROW()-1,설정!$L$23)&amp;""="0","",INDEX(원자료_잔고!$A$1:$EZ$1500,설정!$L$5+ROW()-1,설정!$L$23)&amp;""),"")</f>
        <v>A</v>
      </c>
      <c r="Q285" s="89" t="n">
        <f aca="false">IF(AND($A285&lt;&gt;"",ISNUMBER(E285)),IF(E285&gt;0,1,0),0)</f>
        <v>1</v>
      </c>
      <c r="R285" s="43" t="str">
        <f aca="false">IF(Q285=1,UPPER(LEFT($A285,FIND(" ",$A285&amp;" ")-1)),"")</f>
        <v>GS</v>
      </c>
      <c r="S285" s="89" t="n">
        <f aca="false">IF(Q285=1,IF(OR(ISNUMBER(SEARCH("Float",$A285)),ISNUMBER(SEARCH("FRN",$A285))),1,0),0)</f>
        <v>0</v>
      </c>
      <c r="T285" s="43" t="str">
        <f aca="false">IF(AND(Q285=1,ISNUMBER(I285)),TEXT(I285,"yyyymmdd")&amp;"|"&amp;IF(S285=1,"F",TEXT(J285,"0.000")),"")</f>
        <v>20320121|4.516</v>
      </c>
      <c r="U285" s="90" t="n">
        <f aca="false">IF(AND(Q285=1,ISNUMBER(I285)),(I285-설정!$C$4)/365.25,"")</f>
        <v>5.30595482546201</v>
      </c>
      <c r="V285" s="43" t="str">
        <f aca="false">IF(Q285&lt;&gt;1,"",IF(ISNUMBER(U285),IF(U285&lt;=1,"1년 이하",IF(U285&lt;=2,"1-2년",IF(U285&lt;=3,"2-3년",IF(U285&lt;=4,"3-4년",IF(U285&lt;=5,"4-5년",IF(U285&lt;=7,"5-7년",IF(U285&lt;=10,"7-10년",IF(U285&lt;=20,"10-20년","20년 이상")))))))),"미분류"))</f>
        <v>5-7년</v>
      </c>
      <c r="W285" s="43" t="str">
        <f aca="false">IF(Q285&lt;&gt;1,"",IF(AB285&lt;&gt;"",INDEX(시장분석!$C:$C,AB285),IF(K285=1,"USD","비USD")))</f>
        <v>USD</v>
      </c>
      <c r="X285" s="91" t="n">
        <f aca="false">IF(Q285=1,E285*K285/1000000,0)</f>
        <v>10</v>
      </c>
      <c r="Y285" s="89" t="n">
        <f aca="false">IF(R285="T",1,0)</f>
        <v>0</v>
      </c>
      <c r="Z285" s="92" t="n">
        <f aca="false">IF(Q285&lt;&gt;1,"",IF(AD285=1,IF(ISNUMBER(U285),MAX(U285,0),H285),H285))</f>
        <v>3.7753</v>
      </c>
      <c r="AA285" s="91" t="n">
        <f aca="false">IF(Q285=1,IF(ISNUMBER(L285),L285,0)*K285/1000000,0)</f>
        <v>9.45611</v>
      </c>
      <c r="AB285" s="89" t="n">
        <f aca="false">IF(Q285&lt;&gt;1,"",IFERROR(MATCH(VLOOKUP(B285,매핑!$H$4:$I$15,2,0),시장분석!$A$2:$A$601,0)+1,IFERROR(MATCH(R285&amp;"|"&amp;T285,시장분석!$V$2:$V$601,0)+1,IF(COUNTIF(시장분석!$U$2:$U$601,T285)=1,MATCH(T285,시장분석!$U$2:$U$601,0)+1,""))))</f>
        <v>45</v>
      </c>
      <c r="AC285" s="89" t="n">
        <f aca="false">IF(Q285&lt;&gt;1,0,IF(OR(설정!$C$5="전체",AND(설정!$C$5="선택펀드",IFERROR(COUNTIFS(설정!$F$16:$F$36,C285,설정!$G$16:$G$36,"Y")+COUNTIFS(설정!$F$16:$F$36,VALUE(C285),설정!$G$16:$G$36,"Y"),0)&gt;0),C285&amp;""=설정!$C$5&amp;""),1,0))</f>
        <v>0</v>
      </c>
      <c r="AD285" s="89" t="n">
        <f aca="false">IF(Q285&lt;&gt;1,0,IF(OR(S285=1,IF(AB285="",FALSE(),INDEX(시장분석!$R:$R,AB285)=1)),1,0))</f>
        <v>0</v>
      </c>
      <c r="AE285" s="43" t="str">
        <f aca="false">IF(AB285="","",INDEX(시장분석!$A:$A,AB285))</f>
        <v>GS 4.516 01/21/32</v>
      </c>
      <c r="AF285" s="93" t="n">
        <f aca="false">IF(AB285="","",IF(ISNUMBER(IF(AB285="","",INDEX(시장분석!$E:$E,AB285))),IF(AB285="","",INDEX(시장분석!$E:$E,AB285)),""))</f>
        <v>90.411</v>
      </c>
      <c r="AG285" s="43" t="str">
        <f aca="false">IF(Q285&lt;&gt;1,"",IF(AB285&lt;&gt;"",IF(AB285="","",INDEX(시장분석!$L:$L,AB285)),IFERROR(IF(VLOOKUP(R285,매핑!$A$4:$E$92,5,0)="","미분류",VLOOKUP(R285,매핑!$A$4:$E$92,5,0)),"미분류")))</f>
        <v>금융기관</v>
      </c>
      <c r="AH285" s="43" t="str">
        <f aca="false">IF(Q285&lt;&gt;1,"",IF(AB285&lt;&gt;"",IF(AB285="","",INDEX(시장분석!$N:$N,AB285)),IFERROR(IF(VLOOKUP(R285,매핑!$A$4:$E$92,4,0)="","미분류",VLOOKUP(R285,매핑!$A$4:$E$92,4,0)),"미분류")))</f>
        <v>미국</v>
      </c>
      <c r="AI285" s="43" t="str">
        <f aca="false">IF(Q285&lt;&gt;1,"",IFERROR(IF(VLOOKUP(R285,매핑!$A$4:$E$92,3,0)="","미분류",VLOOKUP(R285,매핑!$A$4:$E$92,3,0)),IF(AB285&lt;&gt;"",IF(AB285="","",INDEX(시장분석!$W:$W,AB285)),"미분류")))</f>
        <v>미국</v>
      </c>
      <c r="AJ285" s="43" t="str">
        <f aca="false">IF(Q285&lt;&gt;1,"",IFERROR(VLOOKUP(IF(N285&lt;&gt;"",N285,IF(P285&lt;&gt;"",P285,O285)),설정!$A$15:$D$47,2,0),""))</f>
        <v>BBB+</v>
      </c>
      <c r="AK285" s="43" t="str">
        <f aca="false">IF(Q285&lt;&gt;1,"",IF(AJ285="","무등급",IFERROR(VLOOKUP(AJ285,설정!$A$15:$D$47,3,0),"무등급")))</f>
        <v>BBB</v>
      </c>
      <c r="AL285" s="89" t="n">
        <f aca="false">IF(AJ285="",99,IFERROR(VLOOKUP(AJ285,설정!$A$15:$D$47,4,0),99))</f>
        <v>8</v>
      </c>
      <c r="AM285" s="94" t="n">
        <f aca="false">IF(ISNUMBER(H285),AA285*1000000*H285/10000,0)</f>
        <v>3569.9652083</v>
      </c>
      <c r="AN285" s="94" t="n">
        <f aca="false">IF(OR(Y285=1,NOT(ISNUMBER(Z285))),0,AA285*1000000*Z285/10000)</f>
        <v>3569.9652083</v>
      </c>
      <c r="AO285" s="94" t="n">
        <f aca="false">IF(ISNUMBER(G285),AA285*1000000*G285/100,0)</f>
        <v>556236.75853</v>
      </c>
      <c r="AP285" s="94" t="n">
        <f aca="false">IF(ISNUMBER(M285),M285*K285,0)</f>
        <v>-594682.25</v>
      </c>
      <c r="AQ285" s="95" t="n">
        <f aca="false">IF(AB285="","",INDEX(시장분석!$AK:$AK,AB285))</f>
        <v>1.06685471216343</v>
      </c>
      <c r="AR285" s="43" t="str">
        <f aca="false">IF(AB285="","-",IF(AB285="","",INDEX(시장분석!$AL:$AL,AB285)))</f>
        <v>Cheap</v>
      </c>
      <c r="AS285" s="96" t="n">
        <f aca="false">IF(AB285="","",INDEX(시장분석!$AJ:$AJ,AB285))</f>
        <v>14.5915650285165</v>
      </c>
      <c r="AT285" s="93" t="n">
        <f aca="false">IF(AB285="",0,IF(AB285="","",INDEX(시장분석!$AN:$AN,AB285)))</f>
        <v>6.12349229401586</v>
      </c>
      <c r="AU285" s="94" t="n">
        <f aca="false">IF(ISNUMBER(Z285),AT285/10000*MAX(Z285-1,0)*AA285*1000000,0)</f>
        <v>16070.2127712932</v>
      </c>
      <c r="AV285" s="94" t="n">
        <f aca="false">AO285+AU285</f>
        <v>572306.971301293</v>
      </c>
      <c r="AW285" s="43" t="str">
        <f aca="false">IF(Q285&lt;&gt;1,"",TRIM(IF(AD285=1,"FRN ","")&amp;IF(AND(AL285&gt;=10,AL285&lt;99),"BBB0미만 ","")&amp;IF(AJ285="","등급없음 ","")&amp;IF(K285&lt;&gt;1,"비USD ","")&amp;IF(AND(AB285="",Y285=0),"시장데이터없음 ","")&amp;IF(AND(ISNUMBER(U285),U285&lt;0),"만기경과 ","")))</f>
        <v/>
      </c>
      <c r="AX285" s="90" t="n">
        <f aca="false">IF(Q285&lt;&gt;1,1,IF(스프레드쇼크!$C$4="Y",INDEX(스프레드쇼크!$B$12:$L$16,IFERROR(MATCH(AH285,스프레드쇼크!$A$12:$A$16,0),MATCH("목록외",스프레드쇼크!$A$12:$A$16,0)),IFERROR(MATCH(AG285,스프레드쇼크!$B$11:$L$11,0),MATCH("목록외",스프레드쇼크!$B$11:$L$11,0))),1))</f>
        <v>1</v>
      </c>
      <c r="AY285" s="90" t="n">
        <f aca="false">IF(스프레드쇼크!$C$5="Y",IF(ISNUMBER(AF285),MIN(스프레드쇼크!$C$7,MAX(스프레드쇼크!$C$6,AF285/스프레드쇼크!$C$8)),1),1)</f>
        <v>1.36750146230113</v>
      </c>
      <c r="AZ285" s="94" t="n">
        <f aca="false">AN285*AX285*AY285</f>
        <v>4881.93264271443</v>
      </c>
      <c r="BA285" s="90" t="n">
        <f aca="false">IF(ISNUMBER(G285),AA285*G285,0)</f>
        <v>55.623675853</v>
      </c>
      <c r="BB285" s="90" t="n">
        <f aca="false">IF(ISNUMBER(G285),AA285,0)</f>
        <v>9.45611</v>
      </c>
      <c r="BC285" s="90" t="n">
        <f aca="false">IF(AND(Y285=0,ISNUMBER(AF285)),AA285*AF285,0)</f>
        <v>854.93636121</v>
      </c>
      <c r="BD285" s="90" t="n">
        <f aca="false">IF(AND(Y285=0,ISNUMBER(AF285)),AA285,0)</f>
        <v>9.45611</v>
      </c>
      <c r="BE285" s="90" t="n">
        <f aca="false">IF(ISNUMBER(H285),AA285*H285,0)</f>
        <v>35.699652083</v>
      </c>
      <c r="BF285" s="90" t="n">
        <f aca="false">IF(ISNUMBER(H285),AA285,0)</f>
        <v>9.45611</v>
      </c>
      <c r="BG285" s="90" t="n">
        <f aca="false">IF(AND(Y285=0,ISNUMBER(AF285),ISNUMBER(Z285)),AA285*Z285,0)</f>
        <v>35.699652083</v>
      </c>
      <c r="BH285" s="90" t="n">
        <f aca="false">IF(AND(Y285=0,ISNUMBER(AF285),ISNUMBER(Z285)),AA285*AT285*MAX(Z285-1,0),0)</f>
        <v>160.702127712931</v>
      </c>
      <c r="BI285" s="90" t="n">
        <f aca="false">IF(Y285=0,AA285,0)</f>
        <v>9.45611</v>
      </c>
    </row>
    <row r="286" customFormat="false" ht="15" hidden="false" customHeight="false" outlineLevel="0" collapsed="false">
      <c r="A286" s="83" t="str">
        <f aca="false">IFERROR(IF(INDEX(원자료_잔고!$A$1:$EZ$1500,설정!$L$5+ROW()-1,설정!$L$8)&amp;""="0","",INDEX(원자료_잔고!$A$1:$EZ$1500,설정!$L$5+ROW()-1,설정!$L$8)&amp;""),"")</f>
        <v>HYNMTR 4.3 09/24/27</v>
      </c>
      <c r="B286" s="83" t="str">
        <f aca="false">IFERROR(IF(INDEX(원자료_잔고!$A$1:$EZ$1500,설정!$L$5+ROW()-1,설정!$L$7)&amp;""="0","",INDEX(원자료_잔고!$A$1:$EZ$1500,설정!$L$5+ROW()-1,설정!$L$7)&amp;""),"")</f>
        <v>US44891CDF77</v>
      </c>
      <c r="C286" s="83" t="str">
        <f aca="false">IFERROR(IF(INDEX(원자료_잔고!$A$1:$EZ$1500,설정!$L$5+ROW()-1,설정!$L$9)&amp;""="0","",INDEX(원자료_잔고!$A$1:$EZ$1500,설정!$L$5+ROW()-1,설정!$L$9)&amp;""),"")</f>
        <v>38038</v>
      </c>
      <c r="D286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86" s="84" t="n">
        <f aca="false">IFERROR(IF(ISNUMBER(INDEX(원자료_잔고!$A$1:$EZ$1500,설정!$L$5+ROW()-1,설정!$L$11)),INDEX(원자료_잔고!$A$1:$EZ$1500,설정!$L$5+ROW()-1,설정!$L$11),""),"")</f>
        <v>1000000</v>
      </c>
      <c r="F286" s="85" t="n">
        <f aca="false">IFERROR(IF(ISNUMBER(INDEX(원자료_잔고!$A$1:$EZ$1500,설정!$L$5+ROW()-1,설정!$L$12)),INDEX(원자료_잔고!$A$1:$EZ$1500,설정!$L$5+ROW()-1,설정!$L$12),""),"")</f>
        <v>99.2094</v>
      </c>
      <c r="G286" s="85" t="n">
        <f aca="false">IFERROR(IF(ISNUMBER(INDEX(원자료_잔고!$A$1:$EZ$1500,설정!$L$5+ROW()-1,설정!$L$13)),INDEX(원자료_잔고!$A$1:$EZ$1500,설정!$L$5+ROW()-1,설정!$L$13),""),"")</f>
        <v>5.1333</v>
      </c>
      <c r="H286" s="85" t="n">
        <f aca="false">IFERROR(IF(ISNUMBER(INDEX(원자료_잔고!$A$1:$EZ$1500,설정!$L$5+ROW()-1,설정!$L$14)),INDEX(원자료_잔고!$A$1:$EZ$1500,설정!$L$5+ROW()-1,설정!$L$14),""),"")</f>
        <v>0.9325</v>
      </c>
      <c r="I286" s="86" t="n">
        <f aca="false">IFERROR(IF(ISNUMBER(INDEX(원자료_잔고!$A$1:$EZ$1500,설정!$L$5+ROW()-1,설정!$L$15)),INDEX(원자료_잔고!$A$1:$EZ$1500,설정!$L$5+ROW()-1,설정!$L$15),""),"")</f>
        <v>46654</v>
      </c>
      <c r="J286" s="85" t="n">
        <f aca="false">IFERROR(IF(ISNUMBER(INDEX(원자료_잔고!$A$1:$EZ$1500,설정!$L$5+ROW()-1,설정!$L$16)),INDEX(원자료_잔고!$A$1:$EZ$1500,설정!$L$5+ROW()-1,설정!$L$16),""),"")</f>
        <v>4.3</v>
      </c>
      <c r="K286" s="87" t="n">
        <f aca="false">IFERROR(IF(ISNUMBER(INDEX(원자료_잔고!$A$1:$EZ$1500,설정!$L$5+ROW()-1,설정!$L$17)),INDEX(원자료_잔고!$A$1:$EZ$1500,설정!$L$5+ROW()-1,설정!$L$17),""),"")</f>
        <v>1</v>
      </c>
      <c r="L286" s="84" t="n">
        <f aca="false">IFERROR(IF(ISNUMBER(INDEX(원자료_잔고!$A$1:$EZ$1500,설정!$L$5+ROW()-1,설정!$L$18)),INDEX(원자료_잔고!$A$1:$EZ$1500,설정!$L$5+ROW()-1,설정!$L$18),""),"")</f>
        <v>992094</v>
      </c>
      <c r="M286" s="88" t="n">
        <f aca="false">IFERROR(IF(ISNUMBER(INDEX(원자료_잔고!$A$1:$EZ$1500,설정!$L$5+ROW()-1,설정!$L$19)),INDEX(원자료_잔고!$A$1:$EZ$1500,설정!$L$5+ROW()-1,설정!$L$19),""),"")</f>
        <v>-11415.93</v>
      </c>
      <c r="N286" s="83" t="str">
        <f aca="false">IFERROR(IF(INDEX(원자료_잔고!$A$1:$EZ$1500,설정!$L$5+ROW()-1,설정!$L$21)&amp;""="0","",INDEX(원자료_잔고!$A$1:$EZ$1500,설정!$L$5+ROW()-1,설정!$L$21)&amp;""),"")</f>
        <v>A-</v>
      </c>
      <c r="O286" s="83" t="str">
        <f aca="false">IFERROR(IF(INDEX(원자료_잔고!$A$1:$EZ$1500,설정!$L$5+ROW()-1,설정!$L$22)&amp;""="0","",INDEX(원자료_잔고!$A$1:$EZ$1500,설정!$L$5+ROW()-1,설정!$L$22)&amp;""),"")</f>
        <v/>
      </c>
      <c r="P286" s="83" t="str">
        <f aca="false">IFERROR(IF(INDEX(원자료_잔고!$A$1:$EZ$1500,설정!$L$5+ROW()-1,설정!$L$23)&amp;""="0","",INDEX(원자료_잔고!$A$1:$EZ$1500,설정!$L$5+ROW()-1,설정!$L$23)&amp;""),"")</f>
        <v>A-</v>
      </c>
      <c r="Q286" s="89" t="n">
        <f aca="false">IF(AND($A286&lt;&gt;"",ISNUMBER(E286)),IF(E286&gt;0,1,0),0)</f>
        <v>1</v>
      </c>
      <c r="R286" s="43" t="str">
        <f aca="false">IF(Q286=1,UPPER(LEFT($A286,FIND(" ",$A286&amp;" ")-1)),"")</f>
        <v>HYNMTR</v>
      </c>
      <c r="S286" s="89" t="n">
        <f aca="false">IF(Q286=1,IF(OR(ISNUMBER(SEARCH("Float",$A286)),ISNUMBER(SEARCH("FRN",$A286))),1,0),0)</f>
        <v>0</v>
      </c>
      <c r="T286" s="43" t="str">
        <f aca="false">IF(AND(Q286=1,ISNUMBER(I286)),TEXT(I286,"yyyymmdd")&amp;"|"&amp;IF(S286=1,"F",TEXT(J286,"0.000")),"")</f>
        <v>20270924|4.300</v>
      </c>
      <c r="U286" s="90" t="n">
        <f aca="false">IF(AND(Q286=1,ISNUMBER(I286)),(I286-설정!$C$4)/365.25,"")</f>
        <v>0.980150581793292</v>
      </c>
      <c r="V286" s="43" t="str">
        <f aca="false">IF(Q286&lt;&gt;1,"",IF(ISNUMBER(U286),IF(U286&lt;=1,"1년 이하",IF(U286&lt;=2,"1-2년",IF(U286&lt;=3,"2-3년",IF(U286&lt;=4,"3-4년",IF(U286&lt;=5,"4-5년",IF(U286&lt;=7,"5-7년",IF(U286&lt;=10,"7-10년",IF(U286&lt;=20,"10-20년","20년 이상")))))))),"미분류"))</f>
        <v>1년 이하</v>
      </c>
      <c r="W286" s="43" t="str">
        <f aca="false">IF(Q286&lt;&gt;1,"",IF(AB286&lt;&gt;"",INDEX(시장분석!$C:$C,AB286),IF(K286=1,"USD","비USD")))</f>
        <v>USD</v>
      </c>
      <c r="X286" s="91" t="n">
        <f aca="false">IF(Q286=1,E286*K286/1000000,0)</f>
        <v>1</v>
      </c>
      <c r="Y286" s="89" t="n">
        <f aca="false">IF(R286="T",1,0)</f>
        <v>0</v>
      </c>
      <c r="Z286" s="92" t="n">
        <f aca="false">IF(Q286&lt;&gt;1,"",IF(AD286=1,IF(ISNUMBER(U286),MAX(U286,0),H286),H286))</f>
        <v>0.9325</v>
      </c>
      <c r="AA286" s="91" t="n">
        <f aca="false">IF(Q286=1,IF(ISNUMBER(L286),L286,0)*K286/1000000,0)</f>
        <v>0.992094</v>
      </c>
      <c r="AB286" s="89" t="n">
        <f aca="false">IF(Q286&lt;&gt;1,"",IFERROR(MATCH(VLOOKUP(B286,매핑!$H$4:$I$15,2,0),시장분석!$A$2:$A$601,0)+1,IFERROR(MATCH(R286&amp;"|"&amp;T286,시장분석!$V$2:$V$601,0)+1,IF(COUNTIF(시장분석!$U$2:$U$601,T286)=1,MATCH(T286,시장분석!$U$2:$U$601,0)+1,""))))</f>
        <v>63</v>
      </c>
      <c r="AC286" s="89" t="n">
        <f aca="false">IF(Q286&lt;&gt;1,0,IF(OR(설정!$C$5="전체",AND(설정!$C$5="선택펀드",IFERROR(COUNTIFS(설정!$F$16:$F$36,C286,설정!$G$16:$G$36,"Y")+COUNTIFS(설정!$F$16:$F$36,VALUE(C286),설정!$G$16:$G$36,"Y"),0)&gt;0),C286&amp;""=설정!$C$5&amp;""),1,0))</f>
        <v>0</v>
      </c>
      <c r="AD286" s="89" t="n">
        <f aca="false">IF(Q286&lt;&gt;1,0,IF(OR(S286=1,IF(AB286="",FALSE(),INDEX(시장분석!$R:$R,AB286)=1)),1,0))</f>
        <v>0</v>
      </c>
      <c r="AE286" s="43" t="str">
        <f aca="false">IF(AB286="","",INDEX(시장분석!$A:$A,AB286))</f>
        <v>HYNMTR 4.3 09/24/27</v>
      </c>
      <c r="AF286" s="93" t="n">
        <f aca="false">IF(AB286="","",IF(ISNUMBER(IF(AB286="","",INDEX(시장분석!$E:$E,AB286))),IF(AB286="","",INDEX(시장분석!$E:$E,AB286)),""))</f>
        <v>20.834</v>
      </c>
      <c r="AG286" s="43" t="str">
        <f aca="false">IF(Q286&lt;&gt;1,"",IF(AB286&lt;&gt;"",IF(AB286="","",INDEX(시장분석!$L:$L,AB286)),IFERROR(IF(VLOOKUP(R286,매핑!$A$4:$E$92,5,0)="","미분류",VLOOKUP(R286,매핑!$A$4:$E$92,5,0)),"미분류")))</f>
        <v>자유 소비재</v>
      </c>
      <c r="AH286" s="43" t="str">
        <f aca="false">IF(Q286&lt;&gt;1,"",IF(AB286&lt;&gt;"",IF(AB286="","",INDEX(시장분석!$N:$N,AB286)),IFERROR(IF(VLOOKUP(R286,매핑!$A$4:$E$92,4,0)="","미분류",VLOOKUP(R286,매핑!$A$4:$E$92,4,0)),"미분류")))</f>
        <v>미국</v>
      </c>
      <c r="AI286" s="43" t="str">
        <f aca="false">IF(Q286&lt;&gt;1,"",IFERROR(IF(VLOOKUP(R286,매핑!$A$4:$E$92,3,0)="","미분류",VLOOKUP(R286,매핑!$A$4:$E$92,3,0)),IF(AB286&lt;&gt;"",IF(AB286="","",INDEX(시장분석!$W:$W,AB286)),"미분류")))</f>
        <v>미국</v>
      </c>
      <c r="AJ286" s="43" t="str">
        <f aca="false">IF(Q286&lt;&gt;1,"",IFERROR(VLOOKUP(IF(N286&lt;&gt;"",N286,IF(P286&lt;&gt;"",P286,O286)),설정!$A$15:$D$47,2,0),""))</f>
        <v>A-</v>
      </c>
      <c r="AK286" s="43" t="str">
        <f aca="false">IF(Q286&lt;&gt;1,"",IF(AJ286="","무등급",IFERROR(VLOOKUP(AJ286,설정!$A$15:$D$47,3,0),"무등급")))</f>
        <v>A</v>
      </c>
      <c r="AL286" s="89" t="n">
        <f aca="false">IF(AJ286="",99,IFERROR(VLOOKUP(AJ286,설정!$A$15:$D$47,4,0),99))</f>
        <v>7</v>
      </c>
      <c r="AM286" s="94" t="n">
        <f aca="false">IF(ISNUMBER(H286),AA286*1000000*H286/10000,0)</f>
        <v>92.5127655</v>
      </c>
      <c r="AN286" s="94" t="n">
        <f aca="false">IF(OR(Y286=1,NOT(ISNUMBER(Z286))),0,AA286*1000000*Z286/10000)</f>
        <v>92.5127655</v>
      </c>
      <c r="AO286" s="94" t="n">
        <f aca="false">IF(ISNUMBER(G286),AA286*1000000*G286/100,0)</f>
        <v>50927.161302</v>
      </c>
      <c r="AP286" s="94" t="n">
        <f aca="false">IF(ISNUMBER(M286),M286*K286,0)</f>
        <v>-11415.93</v>
      </c>
      <c r="AQ286" s="95" t="n">
        <f aca="false">IF(AB286="","",INDEX(시장분석!$AK:$AK,AB286))</f>
        <v>-1.07720315894922</v>
      </c>
      <c r="AR286" s="43" t="str">
        <f aca="false">IF(AB286="","-",IF(AB286="","",INDEX(시장분석!$AL:$AL,AB286)))</f>
        <v>Rich</v>
      </c>
      <c r="AS286" s="96" t="n">
        <f aca="false">IF(AB286="","",INDEX(시장분석!$AJ:$AJ,AB286))</f>
        <v>-4.67210624298712</v>
      </c>
      <c r="AT286" s="93" t="n">
        <f aca="false">IF(AB286="",0,IF(AB286="","",INDEX(시장분석!$AN:$AN,AB286)))</f>
        <v>0</v>
      </c>
      <c r="AU286" s="94" t="n">
        <f aca="false">IF(ISNUMBER(Z286),AT286/10000*MAX(Z286-1,0)*AA286*1000000,0)</f>
        <v>0</v>
      </c>
      <c r="AV286" s="94" t="n">
        <f aca="false">AO286+AU286</f>
        <v>50927.161302</v>
      </c>
      <c r="AW286" s="43" t="str">
        <f aca="false">IF(Q286&lt;&gt;1,"",TRIM(IF(AD286=1,"FRN ","")&amp;IF(AND(AL286&gt;=10,AL286&lt;99),"BBB0미만 ","")&amp;IF(AJ286="","등급없음 ","")&amp;IF(K286&lt;&gt;1,"비USD ","")&amp;IF(AND(AB286="",Y286=0),"시장데이터없음 ","")&amp;IF(AND(ISNUMBER(U286),U286&lt;0),"만기경과 ","")))</f>
        <v/>
      </c>
      <c r="AX286" s="90" t="n">
        <f aca="false">IF(Q286&lt;&gt;1,1,IF(스프레드쇼크!$C$4="Y",INDEX(스프레드쇼크!$B$12:$L$16,IFERROR(MATCH(AH286,스프레드쇼크!$A$12:$A$16,0),MATCH("목록외",스프레드쇼크!$A$12:$A$16,0)),IFERROR(MATCH(AG286,스프레드쇼크!$B$11:$L$11,0),MATCH("목록외",스프레드쇼크!$B$11:$L$11,0))),1))</f>
        <v>1</v>
      </c>
      <c r="AY286" s="90" t="n">
        <f aca="false">IF(스프레드쇼크!$C$5="Y",IF(ISNUMBER(AF286),MIN(스프레드쇼크!$C$7,MAX(스프레드쇼크!$C$6,AF286/스프레드쇼크!$C$8)),1),1)</f>
        <v>0.315122335397041</v>
      </c>
      <c r="AZ286" s="94" t="n">
        <f aca="false">AN286*AX286*AY286</f>
        <v>29.1528387183988</v>
      </c>
      <c r="BA286" s="90" t="n">
        <f aca="false">IF(ISNUMBER(G286),AA286*G286,0)</f>
        <v>5.0927161302</v>
      </c>
      <c r="BB286" s="90" t="n">
        <f aca="false">IF(ISNUMBER(G286),AA286,0)</f>
        <v>0.992094</v>
      </c>
      <c r="BC286" s="90" t="n">
        <f aca="false">IF(AND(Y286=0,ISNUMBER(AF286)),AA286*AF286,0)</f>
        <v>20.669286396</v>
      </c>
      <c r="BD286" s="90" t="n">
        <f aca="false">IF(AND(Y286=0,ISNUMBER(AF286)),AA286,0)</f>
        <v>0.992094</v>
      </c>
      <c r="BE286" s="90" t="n">
        <f aca="false">IF(ISNUMBER(H286),AA286*H286,0)</f>
        <v>0.925127655</v>
      </c>
      <c r="BF286" s="90" t="n">
        <f aca="false">IF(ISNUMBER(H286),AA286,0)</f>
        <v>0.992094</v>
      </c>
      <c r="BG286" s="90" t="n">
        <f aca="false">IF(AND(Y286=0,ISNUMBER(AF286),ISNUMBER(Z286)),AA286*Z286,0)</f>
        <v>0.925127655</v>
      </c>
      <c r="BH286" s="90" t="n">
        <f aca="false">IF(AND(Y286=0,ISNUMBER(AF286),ISNUMBER(Z286)),AA286*AT286*MAX(Z286-1,0),0)</f>
        <v>0</v>
      </c>
      <c r="BI286" s="90" t="n">
        <f aca="false">IF(Y286=0,AA286,0)</f>
        <v>0.992094</v>
      </c>
    </row>
    <row r="287" customFormat="false" ht="15" hidden="false" customHeight="false" outlineLevel="0" collapsed="false">
      <c r="A287" s="83" t="str">
        <f aca="false">IFERROR(IF(INDEX(원자료_잔고!$A$1:$EZ$1500,설정!$L$5+ROW()-1,설정!$L$8)&amp;""="0","",INDEX(원자료_잔고!$A$1:$EZ$1500,설정!$L$5+ROW()-1,설정!$L$8)&amp;""),"")</f>
        <v>HYNMTR 4.55 09/26/29</v>
      </c>
      <c r="B287" s="83" t="str">
        <f aca="false">IFERROR(IF(INDEX(원자료_잔고!$A$1:$EZ$1500,설정!$L$5+ROW()-1,설정!$L$7)&amp;""="0","",INDEX(원자료_잔고!$A$1:$EZ$1500,설정!$L$5+ROW()-1,설정!$L$7)&amp;""),"")</f>
        <v>US44891CDG50</v>
      </c>
      <c r="C287" s="83" t="str">
        <f aca="false">IFERROR(IF(INDEX(원자료_잔고!$A$1:$EZ$1500,설정!$L$5+ROW()-1,설정!$L$9)&amp;""="0","",INDEX(원자료_잔고!$A$1:$EZ$1500,설정!$L$5+ROW()-1,설정!$L$9)&amp;""),"")</f>
        <v>38038</v>
      </c>
      <c r="D287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87" s="84" t="n">
        <f aca="false">IFERROR(IF(ISNUMBER(INDEX(원자료_잔고!$A$1:$EZ$1500,설정!$L$5+ROW()-1,설정!$L$11)),INDEX(원자료_잔고!$A$1:$EZ$1500,설정!$L$5+ROW()-1,설정!$L$11),""),"")</f>
        <v>2000000</v>
      </c>
      <c r="F287" s="85" t="n">
        <f aca="false">IFERROR(IF(ISNUMBER(INDEX(원자료_잔고!$A$1:$EZ$1500,설정!$L$5+ROW()-1,설정!$L$12)),INDEX(원자료_잔고!$A$1:$EZ$1500,설정!$L$5+ROW()-1,설정!$L$12),""),"")</f>
        <v>97.1271</v>
      </c>
      <c r="G287" s="85" t="n">
        <f aca="false">IFERROR(IF(ISNUMBER(INDEX(원자료_잔고!$A$1:$EZ$1500,설정!$L$5+ROW()-1,설정!$L$13)),INDEX(원자료_잔고!$A$1:$EZ$1500,설정!$L$5+ROW()-1,설정!$L$13),""),"")</f>
        <v>5.6069</v>
      </c>
      <c r="H287" s="85" t="n">
        <f aca="false">IFERROR(IF(ISNUMBER(INDEX(원자료_잔고!$A$1:$EZ$1500,설정!$L$5+ROW()-1,설정!$L$14)),INDEX(원자료_잔고!$A$1:$EZ$1500,설정!$L$5+ROW()-1,설정!$L$14),""),"")</f>
        <v>2.696</v>
      </c>
      <c r="I287" s="86" t="n">
        <f aca="false">IFERROR(IF(ISNUMBER(INDEX(원자료_잔고!$A$1:$EZ$1500,설정!$L$5+ROW()-1,설정!$L$15)),INDEX(원자료_잔고!$A$1:$EZ$1500,설정!$L$5+ROW()-1,설정!$L$15),""),"")</f>
        <v>47387</v>
      </c>
      <c r="J287" s="85" t="n">
        <f aca="false">IFERROR(IF(ISNUMBER(INDEX(원자료_잔고!$A$1:$EZ$1500,설정!$L$5+ROW()-1,설정!$L$16)),INDEX(원자료_잔고!$A$1:$EZ$1500,설정!$L$5+ROW()-1,설정!$L$16),""),"")</f>
        <v>4.55</v>
      </c>
      <c r="K287" s="87" t="n">
        <f aca="false">IFERROR(IF(ISNUMBER(INDEX(원자료_잔고!$A$1:$EZ$1500,설정!$L$5+ROW()-1,설정!$L$17)),INDEX(원자료_잔고!$A$1:$EZ$1500,설정!$L$5+ROW()-1,설정!$L$17),""),"")</f>
        <v>1</v>
      </c>
      <c r="L287" s="84" t="n">
        <f aca="false">IFERROR(IF(ISNUMBER(INDEX(원자료_잔고!$A$1:$EZ$1500,설정!$L$5+ROW()-1,설정!$L$18)),INDEX(원자료_잔고!$A$1:$EZ$1500,설정!$L$5+ROW()-1,설정!$L$18),""),"")</f>
        <v>1942542</v>
      </c>
      <c r="M287" s="88" t="n">
        <f aca="false">IFERROR(IF(ISNUMBER(INDEX(원자료_잔고!$A$1:$EZ$1500,설정!$L$5+ROW()-1,설정!$L$19)),INDEX(원자료_잔고!$A$1:$EZ$1500,설정!$L$5+ROW()-1,설정!$L$19),""),"")</f>
        <v>-70698.07</v>
      </c>
      <c r="N287" s="83" t="str">
        <f aca="false">IFERROR(IF(INDEX(원자료_잔고!$A$1:$EZ$1500,설정!$L$5+ROW()-1,설정!$L$21)&amp;""="0","",INDEX(원자료_잔고!$A$1:$EZ$1500,설정!$L$5+ROW()-1,설정!$L$21)&amp;""),"")</f>
        <v>A-</v>
      </c>
      <c r="O287" s="83" t="str">
        <f aca="false">IFERROR(IF(INDEX(원자료_잔고!$A$1:$EZ$1500,설정!$L$5+ROW()-1,설정!$L$22)&amp;""="0","",INDEX(원자료_잔고!$A$1:$EZ$1500,설정!$L$5+ROW()-1,설정!$L$22)&amp;""),"")</f>
        <v/>
      </c>
      <c r="P287" s="83" t="str">
        <f aca="false">IFERROR(IF(INDEX(원자료_잔고!$A$1:$EZ$1500,설정!$L$5+ROW()-1,설정!$L$23)&amp;""="0","",INDEX(원자료_잔고!$A$1:$EZ$1500,설정!$L$5+ROW()-1,설정!$L$23)&amp;""),"")</f>
        <v>A-</v>
      </c>
      <c r="Q287" s="89" t="n">
        <f aca="false">IF(AND($A287&lt;&gt;"",ISNUMBER(E287)),IF(E287&gt;0,1,0),0)</f>
        <v>1</v>
      </c>
      <c r="R287" s="43" t="str">
        <f aca="false">IF(Q287=1,UPPER(LEFT($A287,FIND(" ",$A287&amp;" ")-1)),"")</f>
        <v>HYNMTR</v>
      </c>
      <c r="S287" s="89" t="n">
        <f aca="false">IF(Q287=1,IF(OR(ISNUMBER(SEARCH("Float",$A287)),ISNUMBER(SEARCH("FRN",$A287))),1,0),0)</f>
        <v>0</v>
      </c>
      <c r="T287" s="43" t="str">
        <f aca="false">IF(AND(Q287=1,ISNUMBER(I287)),TEXT(I287,"yyyymmdd")&amp;"|"&amp;IF(S287=1,"F",TEXT(J287,"0.000")),"")</f>
        <v>20290926|4.550</v>
      </c>
      <c r="U287" s="90" t="n">
        <f aca="false">IF(AND(Q287=1,ISNUMBER(I287)),(I287-설정!$C$4)/365.25,"")</f>
        <v>2.98699520876112</v>
      </c>
      <c r="V287" s="43" t="str">
        <f aca="false">IF(Q287&lt;&gt;1,"",IF(ISNUMBER(U287),IF(U287&lt;=1,"1년 이하",IF(U287&lt;=2,"1-2년",IF(U287&lt;=3,"2-3년",IF(U287&lt;=4,"3-4년",IF(U287&lt;=5,"4-5년",IF(U287&lt;=7,"5-7년",IF(U287&lt;=10,"7-10년",IF(U287&lt;=20,"10-20년","20년 이상")))))))),"미분류"))</f>
        <v>2-3년</v>
      </c>
      <c r="W287" s="43" t="str">
        <f aca="false">IF(Q287&lt;&gt;1,"",IF(AB287&lt;&gt;"",INDEX(시장분석!$C:$C,AB287),IF(K287=1,"USD","비USD")))</f>
        <v>USD</v>
      </c>
      <c r="X287" s="91" t="n">
        <f aca="false">IF(Q287=1,E287*K287/1000000,0)</f>
        <v>2</v>
      </c>
      <c r="Y287" s="89" t="n">
        <f aca="false">IF(R287="T",1,0)</f>
        <v>0</v>
      </c>
      <c r="Z287" s="92" t="n">
        <f aca="false">IF(Q287&lt;&gt;1,"",IF(AD287=1,IF(ISNUMBER(U287),MAX(U287,0),H287),H287))</f>
        <v>2.696</v>
      </c>
      <c r="AA287" s="91" t="n">
        <f aca="false">IF(Q287=1,IF(ISNUMBER(L287),L287,0)*K287/1000000,0)</f>
        <v>1.942542</v>
      </c>
      <c r="AB287" s="89" t="n">
        <f aca="false">IF(Q287&lt;&gt;1,"",IFERROR(MATCH(VLOOKUP(B287,매핑!$H$4:$I$15,2,0),시장분석!$A$2:$A$601,0)+1,IFERROR(MATCH(R287&amp;"|"&amp;T287,시장분석!$V$2:$V$601,0)+1,IF(COUNTIF(시장분석!$U$2:$U$601,T287)=1,MATCH(T287,시장분석!$U$2:$U$601,0)+1,""))))</f>
        <v>64</v>
      </c>
      <c r="AC287" s="89" t="n">
        <f aca="false">IF(Q287&lt;&gt;1,0,IF(OR(설정!$C$5="전체",AND(설정!$C$5="선택펀드",IFERROR(COUNTIFS(설정!$F$16:$F$36,C287,설정!$G$16:$G$36,"Y")+COUNTIFS(설정!$F$16:$F$36,VALUE(C287),설정!$G$16:$G$36,"Y"),0)&gt;0),C287&amp;""=설정!$C$5&amp;""),1,0))</f>
        <v>0</v>
      </c>
      <c r="AD287" s="89" t="n">
        <f aca="false">IF(Q287&lt;&gt;1,0,IF(OR(S287=1,IF(AB287="",FALSE(),INDEX(시장분석!$R:$R,AB287)=1)),1,0))</f>
        <v>0</v>
      </c>
      <c r="AE287" s="43" t="str">
        <f aca="false">IF(AB287="","",INDEX(시장분석!$A:$A,AB287))</f>
        <v>HYNMTR 4.55 09/26/29</v>
      </c>
      <c r="AF287" s="93" t="n">
        <f aca="false">IF(AB287="","",IF(ISNUMBER(IF(AB287="","",INDEX(시장분석!$E:$E,AB287))),IF(AB287="","",INDEX(시장분석!$E:$E,AB287)),""))</f>
        <v>63.64</v>
      </c>
      <c r="AG287" s="43" t="str">
        <f aca="false">IF(Q287&lt;&gt;1,"",IF(AB287&lt;&gt;"",IF(AB287="","",INDEX(시장분석!$L:$L,AB287)),IFERROR(IF(VLOOKUP(R287,매핑!$A$4:$E$92,5,0)="","미분류",VLOOKUP(R287,매핑!$A$4:$E$92,5,0)),"미분류")))</f>
        <v>자유 소비재</v>
      </c>
      <c r="AH287" s="43" t="str">
        <f aca="false">IF(Q287&lt;&gt;1,"",IF(AB287&lt;&gt;"",IF(AB287="","",INDEX(시장분석!$N:$N,AB287)),IFERROR(IF(VLOOKUP(R287,매핑!$A$4:$E$92,4,0)="","미분류",VLOOKUP(R287,매핑!$A$4:$E$92,4,0)),"미분류")))</f>
        <v>미국</v>
      </c>
      <c r="AI287" s="43" t="str">
        <f aca="false">IF(Q287&lt;&gt;1,"",IFERROR(IF(VLOOKUP(R287,매핑!$A$4:$E$92,3,0)="","미분류",VLOOKUP(R287,매핑!$A$4:$E$92,3,0)),IF(AB287&lt;&gt;"",IF(AB287="","",INDEX(시장분석!$W:$W,AB287)),"미분류")))</f>
        <v>미국</v>
      </c>
      <c r="AJ287" s="43" t="str">
        <f aca="false">IF(Q287&lt;&gt;1,"",IFERROR(VLOOKUP(IF(N287&lt;&gt;"",N287,IF(P287&lt;&gt;"",P287,O287)),설정!$A$15:$D$47,2,0),""))</f>
        <v>A-</v>
      </c>
      <c r="AK287" s="43" t="str">
        <f aca="false">IF(Q287&lt;&gt;1,"",IF(AJ287="","무등급",IFERROR(VLOOKUP(AJ287,설정!$A$15:$D$47,3,0),"무등급")))</f>
        <v>A</v>
      </c>
      <c r="AL287" s="89" t="n">
        <f aca="false">IF(AJ287="",99,IFERROR(VLOOKUP(AJ287,설정!$A$15:$D$47,4,0),99))</f>
        <v>7</v>
      </c>
      <c r="AM287" s="94" t="n">
        <f aca="false">IF(ISNUMBER(H287),AA287*1000000*H287/10000,0)</f>
        <v>523.7093232</v>
      </c>
      <c r="AN287" s="94" t="n">
        <f aca="false">IF(OR(Y287=1,NOT(ISNUMBER(Z287))),0,AA287*1000000*Z287/10000)</f>
        <v>523.7093232</v>
      </c>
      <c r="AO287" s="94" t="n">
        <f aca="false">IF(ISNUMBER(G287),AA287*1000000*G287/100,0)</f>
        <v>108916.387398</v>
      </c>
      <c r="AP287" s="94" t="n">
        <f aca="false">IF(ISNUMBER(M287),M287*K287,0)</f>
        <v>-70698.07</v>
      </c>
      <c r="AQ287" s="95" t="n">
        <f aca="false">IF(AB287="","",INDEX(시장분석!$AK:$AK,AB287))</f>
        <v>-1.13475343271728</v>
      </c>
      <c r="AR287" s="43" t="str">
        <f aca="false">IF(AB287="","-",IF(AB287="","",INDEX(시장분석!$AL:$AL,AB287)))</f>
        <v>Rich</v>
      </c>
      <c r="AS287" s="96" t="n">
        <f aca="false">IF(AB287="","",INDEX(시장분석!$AJ:$AJ,AB287))</f>
        <v>-4.92171653341704</v>
      </c>
      <c r="AT287" s="93" t="n">
        <f aca="false">IF(AB287="",0,IF(AB287="","",INDEX(시장분석!$AN:$AN,AB287)))</f>
        <v>17.6431752378815</v>
      </c>
      <c r="AU287" s="94" t="n">
        <f aca="false">IF(ISNUMBER(Z287),AT287/10000*MAX(Z287-1,0)*AA287*1000000,0)</f>
        <v>5812.63447163543</v>
      </c>
      <c r="AV287" s="94" t="n">
        <f aca="false">AO287+AU287</f>
        <v>114729.021869635</v>
      </c>
      <c r="AW287" s="43" t="str">
        <f aca="false">IF(Q287&lt;&gt;1,"",TRIM(IF(AD287=1,"FRN ","")&amp;IF(AND(AL287&gt;=10,AL287&lt;99),"BBB0미만 ","")&amp;IF(AJ287="","등급없음 ","")&amp;IF(K287&lt;&gt;1,"비USD ","")&amp;IF(AND(AB287="",Y287=0),"시장데이터없음 ","")&amp;IF(AND(ISNUMBER(U287),U287&lt;0),"만기경과 ","")))</f>
        <v/>
      </c>
      <c r="AX287" s="90" t="n">
        <f aca="false">IF(Q287&lt;&gt;1,1,IF(스프레드쇼크!$C$4="Y",INDEX(스프레드쇼크!$B$12:$L$16,IFERROR(MATCH(AH287,스프레드쇼크!$A$12:$A$16,0),MATCH("목록외",스프레드쇼크!$A$12:$A$16,0)),IFERROR(MATCH(AG287,스프레드쇼크!$B$11:$L$11,0),MATCH("목록외",스프레드쇼크!$B$11:$L$11,0))),1))</f>
        <v>1</v>
      </c>
      <c r="AY287" s="90" t="n">
        <f aca="false">IF(스프레드쇼크!$C$5="Y",IF(ISNUMBER(AF287),MIN(스프레드쇼크!$C$7,MAX(스프레드쇼크!$C$6,AF287/스프레드쇼크!$C$8)),1),1)</f>
        <v>0.962579697833717</v>
      </c>
      <c r="AZ287" s="94" t="n">
        <f aca="false">AN287*AX287*AY287</f>
        <v>504.111962078557</v>
      </c>
      <c r="BA287" s="90" t="n">
        <f aca="false">IF(ISNUMBER(G287),AA287*G287,0)</f>
        <v>10.8916387398</v>
      </c>
      <c r="BB287" s="90" t="n">
        <f aca="false">IF(ISNUMBER(G287),AA287,0)</f>
        <v>1.942542</v>
      </c>
      <c r="BC287" s="90" t="n">
        <f aca="false">IF(AND(Y287=0,ISNUMBER(AF287)),AA287*AF287,0)</f>
        <v>123.62337288</v>
      </c>
      <c r="BD287" s="90" t="n">
        <f aca="false">IF(AND(Y287=0,ISNUMBER(AF287)),AA287,0)</f>
        <v>1.942542</v>
      </c>
      <c r="BE287" s="90" t="n">
        <f aca="false">IF(ISNUMBER(H287),AA287*H287,0)</f>
        <v>5.237093232</v>
      </c>
      <c r="BF287" s="90" t="n">
        <f aca="false">IF(ISNUMBER(H287),AA287,0)</f>
        <v>1.942542</v>
      </c>
      <c r="BG287" s="90" t="n">
        <f aca="false">IF(AND(Y287=0,ISNUMBER(AF287),ISNUMBER(Z287)),AA287*Z287,0)</f>
        <v>5.237093232</v>
      </c>
      <c r="BH287" s="90" t="n">
        <f aca="false">IF(AND(Y287=0,ISNUMBER(AF287),ISNUMBER(Z287)),AA287*AT287*MAX(Z287-1,0),0)</f>
        <v>58.1263447163543</v>
      </c>
      <c r="BI287" s="90" t="n">
        <f aca="false">IF(Y287=0,AA287,0)</f>
        <v>1.942542</v>
      </c>
    </row>
    <row r="288" customFormat="false" ht="15" hidden="false" customHeight="false" outlineLevel="0" collapsed="false">
      <c r="A288" s="83" t="str">
        <f aca="false">IFERROR(IF(INDEX(원자료_잔고!$A$1:$EZ$1500,설정!$L$5+ROW()-1,설정!$L$8)&amp;""="0","",INDEX(원자료_잔고!$A$1:$EZ$1500,설정!$L$5+ROW()-1,설정!$L$8)&amp;""),"")</f>
        <v>MIZUHO 5.382 07/10/30</v>
      </c>
      <c r="B288" s="83" t="str">
        <f aca="false">IFERROR(IF(INDEX(원자료_잔고!$A$1:$EZ$1500,설정!$L$5+ROW()-1,설정!$L$7)&amp;""="0","",INDEX(원자료_잔고!$A$1:$EZ$1500,설정!$L$5+ROW()-1,설정!$L$7)&amp;""),"")</f>
        <v>US60687YDF34</v>
      </c>
      <c r="C288" s="83" t="str">
        <f aca="false">IFERROR(IF(INDEX(원자료_잔고!$A$1:$EZ$1500,설정!$L$5+ROW()-1,설정!$L$9)&amp;""="0","",INDEX(원자료_잔고!$A$1:$EZ$1500,설정!$L$5+ROW()-1,설정!$L$9)&amp;""),"")</f>
        <v>38038</v>
      </c>
      <c r="D288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88" s="84" t="n">
        <f aca="false">IFERROR(IF(ISNUMBER(INDEX(원자료_잔고!$A$1:$EZ$1500,설정!$L$5+ROW()-1,설정!$L$11)),INDEX(원자료_잔고!$A$1:$EZ$1500,설정!$L$5+ROW()-1,설정!$L$11),""),"")</f>
        <v>5000000</v>
      </c>
      <c r="F288" s="85" t="n">
        <f aca="false">IFERROR(IF(ISNUMBER(INDEX(원자료_잔고!$A$1:$EZ$1500,설정!$L$5+ROW()-1,설정!$L$12)),INDEX(원자료_잔고!$A$1:$EZ$1500,설정!$L$5+ROW()-1,설정!$L$12),""),"")</f>
        <v>99.4808</v>
      </c>
      <c r="G288" s="85" t="n">
        <f aca="false">IFERROR(IF(ISNUMBER(INDEX(원자료_잔고!$A$1:$EZ$1500,설정!$L$5+ROW()-1,설정!$L$13)),INDEX(원자료_잔고!$A$1:$EZ$1500,설정!$L$5+ROW()-1,설정!$L$13),""),"")</f>
        <v>5.5659</v>
      </c>
      <c r="H288" s="85" t="n">
        <f aca="false">IFERROR(IF(ISNUMBER(INDEX(원자료_잔고!$A$1:$EZ$1500,설정!$L$5+ROW()-1,설정!$L$14)),INDEX(원자료_잔고!$A$1:$EZ$1500,설정!$L$5+ROW()-1,설정!$L$14),""),"")</f>
        <v>2.4849</v>
      </c>
      <c r="I288" s="86" t="n">
        <f aca="false">IFERROR(IF(ISNUMBER(INDEX(원자료_잔고!$A$1:$EZ$1500,설정!$L$5+ROW()-1,설정!$L$15)),INDEX(원자료_잔고!$A$1:$EZ$1500,설정!$L$5+ROW()-1,설정!$L$15),""),"")</f>
        <v>47674</v>
      </c>
      <c r="J288" s="85" t="n">
        <f aca="false">IFERROR(IF(ISNUMBER(INDEX(원자료_잔고!$A$1:$EZ$1500,설정!$L$5+ROW()-1,설정!$L$16)),INDEX(원자료_잔고!$A$1:$EZ$1500,설정!$L$5+ROW()-1,설정!$L$16),""),"")</f>
        <v>5.382</v>
      </c>
      <c r="K288" s="87" t="n">
        <f aca="false">IFERROR(IF(ISNUMBER(INDEX(원자료_잔고!$A$1:$EZ$1500,설정!$L$5+ROW()-1,설정!$L$17)),INDEX(원자료_잔고!$A$1:$EZ$1500,설정!$L$5+ROW()-1,설정!$L$17),""),"")</f>
        <v>1</v>
      </c>
      <c r="L288" s="84" t="n">
        <f aca="false">IFERROR(IF(ISNUMBER(INDEX(원자료_잔고!$A$1:$EZ$1500,설정!$L$5+ROW()-1,설정!$L$18)),INDEX(원자료_잔고!$A$1:$EZ$1500,설정!$L$5+ROW()-1,설정!$L$18),""),"")</f>
        <v>4974040</v>
      </c>
      <c r="M288" s="88" t="n">
        <f aca="false">IFERROR(IF(ISNUMBER(INDEX(원자료_잔고!$A$1:$EZ$1500,설정!$L$5+ROW()-1,설정!$L$19)),INDEX(원자료_잔고!$A$1:$EZ$1500,설정!$L$5+ROW()-1,설정!$L$19),""),"")</f>
        <v>-179267.39</v>
      </c>
      <c r="N288" s="83" t="str">
        <f aca="false">IFERROR(IF(INDEX(원자료_잔고!$A$1:$EZ$1500,설정!$L$5+ROW()-1,설정!$L$21)&amp;""="0","",INDEX(원자료_잔고!$A$1:$EZ$1500,설정!$L$5+ROW()-1,설정!$L$21)&amp;""),"")</f>
        <v>A-</v>
      </c>
      <c r="O288" s="83" t="str">
        <f aca="false">IFERROR(IF(INDEX(원자료_잔고!$A$1:$EZ$1500,설정!$L$5+ROW()-1,설정!$L$22)&amp;""="0","",INDEX(원자료_잔고!$A$1:$EZ$1500,설정!$L$5+ROW()-1,설정!$L$22)&amp;""),"")</f>
        <v/>
      </c>
      <c r="P288" s="83" t="str">
        <f aca="false">IFERROR(IF(INDEX(원자료_잔고!$A$1:$EZ$1500,설정!$L$5+ROW()-1,설정!$L$23)&amp;""="0","",INDEX(원자료_잔고!$A$1:$EZ$1500,설정!$L$5+ROW()-1,설정!$L$23)&amp;""),"")</f>
        <v>N/A</v>
      </c>
      <c r="Q288" s="89" t="n">
        <f aca="false">IF(AND($A288&lt;&gt;"",ISNUMBER(E288)),IF(E288&gt;0,1,0),0)</f>
        <v>1</v>
      </c>
      <c r="R288" s="43" t="str">
        <f aca="false">IF(Q288=1,UPPER(LEFT($A288,FIND(" ",$A288&amp;" ")-1)),"")</f>
        <v>MIZUHO</v>
      </c>
      <c r="S288" s="89" t="n">
        <f aca="false">IF(Q288=1,IF(OR(ISNUMBER(SEARCH("Float",$A288)),ISNUMBER(SEARCH("FRN",$A288))),1,0),0)</f>
        <v>0</v>
      </c>
      <c r="T288" s="43" t="str">
        <f aca="false">IF(AND(Q288=1,ISNUMBER(I288)),TEXT(I288,"yyyymmdd")&amp;"|"&amp;IF(S288=1,"F",TEXT(J288,"0.000")),"")</f>
        <v>20300710|5.382</v>
      </c>
      <c r="U288" s="90" t="n">
        <f aca="false">IF(AND(Q288=1,ISNUMBER(I288)),(I288-설정!$C$4)/365.25,"")</f>
        <v>3.77275838466804</v>
      </c>
      <c r="V288" s="43" t="str">
        <f aca="false">IF(Q288&lt;&gt;1,"",IF(ISNUMBER(U288),IF(U288&lt;=1,"1년 이하",IF(U288&lt;=2,"1-2년",IF(U288&lt;=3,"2-3년",IF(U288&lt;=4,"3-4년",IF(U288&lt;=5,"4-5년",IF(U288&lt;=7,"5-7년",IF(U288&lt;=10,"7-10년",IF(U288&lt;=20,"10-20년","20년 이상")))))))),"미분류"))</f>
        <v>3-4년</v>
      </c>
      <c r="W288" s="43" t="str">
        <f aca="false">IF(Q288&lt;&gt;1,"",IF(AB288&lt;&gt;"",INDEX(시장분석!$C:$C,AB288),IF(K288=1,"USD","비USD")))</f>
        <v>USD</v>
      </c>
      <c r="X288" s="91" t="n">
        <f aca="false">IF(Q288=1,E288*K288/1000000,0)</f>
        <v>5</v>
      </c>
      <c r="Y288" s="89" t="n">
        <f aca="false">IF(R288="T",1,0)</f>
        <v>0</v>
      </c>
      <c r="Z288" s="92" t="n">
        <f aca="false">IF(Q288&lt;&gt;1,"",IF(AD288=1,IF(ISNUMBER(U288),MAX(U288,0),H288),H288))</f>
        <v>2.4849</v>
      </c>
      <c r="AA288" s="91" t="n">
        <f aca="false">IF(Q288=1,IF(ISNUMBER(L288),L288,0)*K288/1000000,0)</f>
        <v>4.97404</v>
      </c>
      <c r="AB288" s="89" t="n">
        <f aca="false">IF(Q288&lt;&gt;1,"",IFERROR(MATCH(VLOOKUP(B288,매핑!$H$4:$I$15,2,0),시장분석!$A$2:$A$601,0)+1,IFERROR(MATCH(R288&amp;"|"&amp;T288,시장분석!$V$2:$V$601,0)+1,IF(COUNTIF(시장분석!$U$2:$U$601,T288)=1,MATCH(T288,시장분석!$U$2:$U$601,0)+1,""))))</f>
        <v>97</v>
      </c>
      <c r="AC288" s="89" t="n">
        <f aca="false">IF(Q288&lt;&gt;1,0,IF(OR(설정!$C$5="전체",AND(설정!$C$5="선택펀드",IFERROR(COUNTIFS(설정!$F$16:$F$36,C288,설정!$G$16:$G$36,"Y")+COUNTIFS(설정!$F$16:$F$36,VALUE(C288),설정!$G$16:$G$36,"Y"),0)&gt;0),C288&amp;""=설정!$C$5&amp;""),1,0))</f>
        <v>0</v>
      </c>
      <c r="AD288" s="89" t="n">
        <f aca="false">IF(Q288&lt;&gt;1,0,IF(OR(S288=1,IF(AB288="",FALSE(),INDEX(시장분석!$R:$R,AB288)=1)),1,0))</f>
        <v>0</v>
      </c>
      <c r="AE288" s="43" t="str">
        <f aca="false">IF(AB288="","",INDEX(시장분석!$A:$A,AB288))</f>
        <v>MIZUHO 5.382 07/10/30</v>
      </c>
      <c r="AF288" s="93" t="n">
        <f aca="false">IF(AB288="","",IF(ISNUMBER(IF(AB288="","",INDEX(시장분석!$E:$E,AB288))),IF(AB288="","",INDEX(시장분석!$E:$E,AB288)),""))</f>
        <v>61.583</v>
      </c>
      <c r="AG288" s="43" t="str">
        <f aca="false">IF(Q288&lt;&gt;1,"",IF(AB288&lt;&gt;"",IF(AB288="","",INDEX(시장분석!$L:$L,AB288)),IFERROR(IF(VLOOKUP(R288,매핑!$A$4:$E$92,5,0)="","미분류",VLOOKUP(R288,매핑!$A$4:$E$92,5,0)),"미분류")))</f>
        <v>금융기관</v>
      </c>
      <c r="AH288" s="43" t="str">
        <f aca="false">IF(Q288&lt;&gt;1,"",IF(AB288&lt;&gt;"",IF(AB288="","",INDEX(시장분석!$N:$N,AB288)),IFERROR(IF(VLOOKUP(R288,매핑!$A$4:$E$92,4,0)="","미분류",VLOOKUP(R288,매핑!$A$4:$E$92,4,0)),"미분류")))</f>
        <v>아시아/기타</v>
      </c>
      <c r="AI288" s="43" t="str">
        <f aca="false">IF(Q288&lt;&gt;1,"",IFERROR(IF(VLOOKUP(R288,매핑!$A$4:$E$92,3,0)="","미분류",VLOOKUP(R288,매핑!$A$4:$E$92,3,0)),IF(AB288&lt;&gt;"",IF(AB288="","",INDEX(시장분석!$W:$W,AB288)),"미분류")))</f>
        <v>일본</v>
      </c>
      <c r="AJ288" s="43" t="str">
        <f aca="false">IF(Q288&lt;&gt;1,"",IFERROR(VLOOKUP(IF(N288&lt;&gt;"",N288,IF(P288&lt;&gt;"",P288,O288)),설정!$A$15:$D$47,2,0),""))</f>
        <v>A-</v>
      </c>
      <c r="AK288" s="43" t="str">
        <f aca="false">IF(Q288&lt;&gt;1,"",IF(AJ288="","무등급",IFERROR(VLOOKUP(AJ288,설정!$A$15:$D$47,3,0),"무등급")))</f>
        <v>A</v>
      </c>
      <c r="AL288" s="89" t="n">
        <f aca="false">IF(AJ288="",99,IFERROR(VLOOKUP(AJ288,설정!$A$15:$D$47,4,0),99))</f>
        <v>7</v>
      </c>
      <c r="AM288" s="94" t="n">
        <f aca="false">IF(ISNUMBER(H288),AA288*1000000*H288/10000,0)</f>
        <v>1235.9991996</v>
      </c>
      <c r="AN288" s="94" t="n">
        <f aca="false">IF(OR(Y288=1,NOT(ISNUMBER(Z288))),0,AA288*1000000*Z288/10000)</f>
        <v>1235.9991996</v>
      </c>
      <c r="AO288" s="94" t="n">
        <f aca="false">IF(ISNUMBER(G288),AA288*1000000*G288/100,0)</f>
        <v>276850.09236</v>
      </c>
      <c r="AP288" s="94" t="n">
        <f aca="false">IF(ISNUMBER(M288),M288*K288,0)</f>
        <v>-179267.39</v>
      </c>
      <c r="AQ288" s="95" t="n">
        <f aca="false">IF(AB288="","",INDEX(시장분석!$AK:$AK,AB288))</f>
        <v>-0.0848335880471115</v>
      </c>
      <c r="AR288" s="43" t="str">
        <f aca="false">IF(AB288="","-",IF(AB288="","",INDEX(시장분석!$AL:$AL,AB288)))</f>
        <v>Fair</v>
      </c>
      <c r="AS288" s="96" t="n">
        <f aca="false">IF(AB288="","",INDEX(시장분석!$AJ:$AJ,AB288))</f>
        <v>-1.73684789177848</v>
      </c>
      <c r="AT288" s="93" t="n">
        <f aca="false">IF(AB288="",0,IF(AB288="","",INDEX(시장분석!$AN:$AN,AB288)))</f>
        <v>6.81822703648631</v>
      </c>
      <c r="AU288" s="94" t="n">
        <f aca="false">IF(ISNUMBER(Z288),AT288/10000*MAX(Z288-1,0)*AA288*1000000,0)</f>
        <v>5035.90975893172</v>
      </c>
      <c r="AV288" s="94" t="n">
        <f aca="false">AO288+AU288</f>
        <v>281886.002118932</v>
      </c>
      <c r="AW288" s="43" t="str">
        <f aca="false">IF(Q288&lt;&gt;1,"",TRIM(IF(AD288=1,"FRN ","")&amp;IF(AND(AL288&gt;=10,AL288&lt;99),"BBB0미만 ","")&amp;IF(AJ288="","등급없음 ","")&amp;IF(K288&lt;&gt;1,"비USD ","")&amp;IF(AND(AB288="",Y288=0),"시장데이터없음 ","")&amp;IF(AND(ISNUMBER(U288),U288&lt;0),"만기경과 ","")))</f>
        <v/>
      </c>
      <c r="AX288" s="90" t="n">
        <f aca="false">IF(Q288&lt;&gt;1,1,IF(스프레드쇼크!$C$4="Y",INDEX(스프레드쇼크!$B$12:$L$16,IFERROR(MATCH(AH288,스프레드쇼크!$A$12:$A$16,0),MATCH("목록외",스프레드쇼크!$A$12:$A$16,0)),IFERROR(MATCH(AG288,스프레드쇼크!$B$11:$L$11,0),MATCH("목록외",스프레드쇼크!$B$11:$L$11,0))),1))</f>
        <v>1</v>
      </c>
      <c r="AY288" s="90" t="n">
        <f aca="false">IF(스프레드쇼크!$C$5="Y",IF(ISNUMBER(AF288),MIN(스프레드쇼크!$C$7,MAX(스프레드쇼크!$C$6,AF288/스프레드쇼크!$C$8)),1),1)</f>
        <v>0.9314667745395</v>
      </c>
      <c r="AZ288" s="94" t="n">
        <f aca="false">AN288*AX288*AY288</f>
        <v>1151.29218778482</v>
      </c>
      <c r="BA288" s="90" t="n">
        <f aca="false">IF(ISNUMBER(G288),AA288*G288,0)</f>
        <v>27.685009236</v>
      </c>
      <c r="BB288" s="90" t="n">
        <f aca="false">IF(ISNUMBER(G288),AA288,0)</f>
        <v>4.97404</v>
      </c>
      <c r="BC288" s="90" t="n">
        <f aca="false">IF(AND(Y288=0,ISNUMBER(AF288)),AA288*AF288,0)</f>
        <v>306.31630532</v>
      </c>
      <c r="BD288" s="90" t="n">
        <f aca="false">IF(AND(Y288=0,ISNUMBER(AF288)),AA288,0)</f>
        <v>4.97404</v>
      </c>
      <c r="BE288" s="90" t="n">
        <f aca="false">IF(ISNUMBER(H288),AA288*H288,0)</f>
        <v>12.359991996</v>
      </c>
      <c r="BF288" s="90" t="n">
        <f aca="false">IF(ISNUMBER(H288),AA288,0)</f>
        <v>4.97404</v>
      </c>
      <c r="BG288" s="90" t="n">
        <f aca="false">IF(AND(Y288=0,ISNUMBER(AF288),ISNUMBER(Z288)),AA288*Z288,0)</f>
        <v>12.359991996</v>
      </c>
      <c r="BH288" s="90" t="n">
        <f aca="false">IF(AND(Y288=0,ISNUMBER(AF288),ISNUMBER(Z288)),AA288*AT288*MAX(Z288-1,0),0)</f>
        <v>50.3590975893172</v>
      </c>
      <c r="BI288" s="90" t="n">
        <f aca="false">IF(Y288=0,AA288,0)</f>
        <v>4.97404</v>
      </c>
    </row>
    <row r="289" customFormat="false" ht="15" hidden="false" customHeight="false" outlineLevel="0" collapsed="false">
      <c r="A289" s="83" t="str">
        <f aca="false">IFERROR(IF(INDEX(원자료_잔고!$A$1:$EZ$1500,설정!$L$5+ROW()-1,설정!$L$8)&amp;""="0","",INDEX(원자료_잔고!$A$1:$EZ$1500,설정!$L$5+ROW()-1,설정!$L$8)&amp;""),"")</f>
        <v>MS 4.493 01/16/32</v>
      </c>
      <c r="B289" s="83" t="str">
        <f aca="false">IFERROR(IF(INDEX(원자료_잔고!$A$1:$EZ$1500,설정!$L$5+ROW()-1,설정!$L$7)&amp;""="0","",INDEX(원자료_잔고!$A$1:$EZ$1500,설정!$L$5+ROW()-1,설정!$L$7)&amp;""),"")</f>
        <v>US61748UAS15</v>
      </c>
      <c r="C289" s="83" t="str">
        <f aca="false">IFERROR(IF(INDEX(원자료_잔고!$A$1:$EZ$1500,설정!$L$5+ROW()-1,설정!$L$9)&amp;""="0","",INDEX(원자료_잔고!$A$1:$EZ$1500,설정!$L$5+ROW()-1,설정!$L$9)&amp;""),"")</f>
        <v>38038</v>
      </c>
      <c r="D289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89" s="84" t="n">
        <f aca="false">IFERROR(IF(ISNUMBER(INDEX(원자료_잔고!$A$1:$EZ$1500,설정!$L$5+ROW()-1,설정!$L$11)),INDEX(원자료_잔고!$A$1:$EZ$1500,설정!$L$5+ROW()-1,설정!$L$11),""),"")</f>
        <v>10000000</v>
      </c>
      <c r="F289" s="85" t="n">
        <f aca="false">IFERROR(IF(ISNUMBER(INDEX(원자료_잔고!$A$1:$EZ$1500,설정!$L$5+ROW()-1,설정!$L$12)),INDEX(원자료_잔고!$A$1:$EZ$1500,설정!$L$5+ROW()-1,설정!$L$12),""),"")</f>
        <v>94.6567</v>
      </c>
      <c r="G289" s="85" t="n">
        <f aca="false">IFERROR(IF(ISNUMBER(INDEX(원자료_잔고!$A$1:$EZ$1500,설정!$L$5+ROW()-1,설정!$L$13)),INDEX(원자료_잔고!$A$1:$EZ$1500,설정!$L$5+ROW()-1,설정!$L$13),""),"")</f>
        <v>5.8381</v>
      </c>
      <c r="H289" s="85" t="n">
        <f aca="false">IFERROR(IF(ISNUMBER(INDEX(원자료_잔고!$A$1:$EZ$1500,설정!$L$5+ROW()-1,설정!$L$14)),INDEX(원자료_잔고!$A$1:$EZ$1500,설정!$L$5+ROW()-1,설정!$L$14),""),"")</f>
        <v>3.7638</v>
      </c>
      <c r="I289" s="86" t="n">
        <f aca="false">IFERROR(IF(ISNUMBER(INDEX(원자료_잔고!$A$1:$EZ$1500,설정!$L$5+ROW()-1,설정!$L$15)),INDEX(원자료_잔고!$A$1:$EZ$1500,설정!$L$5+ROW()-1,설정!$L$15),""),"")</f>
        <v>48229</v>
      </c>
      <c r="J289" s="85" t="n">
        <f aca="false">IFERROR(IF(ISNUMBER(INDEX(원자료_잔고!$A$1:$EZ$1500,설정!$L$5+ROW()-1,설정!$L$16)),INDEX(원자료_잔고!$A$1:$EZ$1500,설정!$L$5+ROW()-1,설정!$L$16),""),"")</f>
        <v>4.493</v>
      </c>
      <c r="K289" s="87" t="n">
        <f aca="false">IFERROR(IF(ISNUMBER(INDEX(원자료_잔고!$A$1:$EZ$1500,설정!$L$5+ROW()-1,설정!$L$17)),INDEX(원자료_잔고!$A$1:$EZ$1500,설정!$L$5+ROW()-1,설정!$L$17),""),"")</f>
        <v>1</v>
      </c>
      <c r="L289" s="84" t="n">
        <f aca="false">IFERROR(IF(ISNUMBER(INDEX(원자료_잔고!$A$1:$EZ$1500,설정!$L$5+ROW()-1,설정!$L$18)),INDEX(원자료_잔고!$A$1:$EZ$1500,설정!$L$5+ROW()-1,설정!$L$18),""),"")</f>
        <v>9465670</v>
      </c>
      <c r="M289" s="88" t="n">
        <f aca="false">IFERROR(IF(ISNUMBER(INDEX(원자료_잔고!$A$1:$EZ$1500,설정!$L$5+ROW()-1,설정!$L$19)),INDEX(원자료_잔고!$A$1:$EZ$1500,설정!$L$5+ROW()-1,설정!$L$19),""),"")</f>
        <v>-586853.77</v>
      </c>
      <c r="N289" s="83" t="str">
        <f aca="false">IFERROR(IF(INDEX(원자료_잔고!$A$1:$EZ$1500,설정!$L$5+ROW()-1,설정!$L$21)&amp;""="0","",INDEX(원자료_잔고!$A$1:$EZ$1500,설정!$L$5+ROW()-1,설정!$L$21)&amp;""),"")</f>
        <v>A-</v>
      </c>
      <c r="O289" s="83" t="str">
        <f aca="false">IFERROR(IF(INDEX(원자료_잔고!$A$1:$EZ$1500,설정!$L$5+ROW()-1,설정!$L$22)&amp;""="0","",INDEX(원자료_잔고!$A$1:$EZ$1500,설정!$L$5+ROW()-1,설정!$L$22)&amp;""),"")</f>
        <v/>
      </c>
      <c r="P289" s="83" t="str">
        <f aca="false">IFERROR(IF(INDEX(원자료_잔고!$A$1:$EZ$1500,설정!$L$5+ROW()-1,설정!$L$23)&amp;""="0","",INDEX(원자료_잔고!$A$1:$EZ$1500,설정!$L$5+ROW()-1,설정!$L$23)&amp;""),"")</f>
        <v>A+</v>
      </c>
      <c r="Q289" s="89" t="n">
        <f aca="false">IF(AND($A289&lt;&gt;"",ISNUMBER(E289)),IF(E289&gt;0,1,0),0)</f>
        <v>1</v>
      </c>
      <c r="R289" s="43" t="str">
        <f aca="false">IF(Q289=1,UPPER(LEFT($A289,FIND(" ",$A289&amp;" ")-1)),"")</f>
        <v>MS</v>
      </c>
      <c r="S289" s="89" t="n">
        <f aca="false">IF(Q289=1,IF(OR(ISNUMBER(SEARCH("Float",$A289)),ISNUMBER(SEARCH("FRN",$A289))),1,0),0)</f>
        <v>0</v>
      </c>
      <c r="T289" s="43" t="str">
        <f aca="false">IF(AND(Q289=1,ISNUMBER(I289)),TEXT(I289,"yyyymmdd")&amp;"|"&amp;IF(S289=1,"F",TEXT(J289,"0.000")),"")</f>
        <v>20320116|4.493</v>
      </c>
      <c r="U289" s="90" t="n">
        <f aca="false">IF(AND(Q289=1,ISNUMBER(I289)),(I289-설정!$C$4)/365.25,"")</f>
        <v>5.29226557152635</v>
      </c>
      <c r="V289" s="43" t="str">
        <f aca="false">IF(Q289&lt;&gt;1,"",IF(ISNUMBER(U289),IF(U289&lt;=1,"1년 이하",IF(U289&lt;=2,"1-2년",IF(U289&lt;=3,"2-3년",IF(U289&lt;=4,"3-4년",IF(U289&lt;=5,"4-5년",IF(U289&lt;=7,"5-7년",IF(U289&lt;=10,"7-10년",IF(U289&lt;=20,"10-20년","20년 이상")))))))),"미분류"))</f>
        <v>5-7년</v>
      </c>
      <c r="W289" s="43" t="str">
        <f aca="false">IF(Q289&lt;&gt;1,"",IF(AB289&lt;&gt;"",INDEX(시장분석!$C:$C,AB289),IF(K289=1,"USD","비USD")))</f>
        <v>USD</v>
      </c>
      <c r="X289" s="91" t="n">
        <f aca="false">IF(Q289=1,E289*K289/1000000,0)</f>
        <v>10</v>
      </c>
      <c r="Y289" s="89" t="n">
        <f aca="false">IF(R289="T",1,0)</f>
        <v>0</v>
      </c>
      <c r="Z289" s="92" t="n">
        <f aca="false">IF(Q289&lt;&gt;1,"",IF(AD289=1,IF(ISNUMBER(U289),MAX(U289,0),H289),H289))</f>
        <v>3.7638</v>
      </c>
      <c r="AA289" s="91" t="n">
        <f aca="false">IF(Q289=1,IF(ISNUMBER(L289),L289,0)*K289/1000000,0)</f>
        <v>9.46567</v>
      </c>
      <c r="AB289" s="89" t="n">
        <f aca="false">IF(Q289&lt;&gt;1,"",IFERROR(MATCH(VLOOKUP(B289,매핑!$H$4:$I$15,2,0),시장분석!$A$2:$A$601,0)+1,IFERROR(MATCH(R289&amp;"|"&amp;T289,시장분석!$V$2:$V$601,0)+1,IF(COUNTIF(시장분석!$U$2:$U$601,T289)=1,MATCH(T289,시장분석!$U$2:$U$601,0)+1,""))))</f>
        <v>101</v>
      </c>
      <c r="AC289" s="89" t="n">
        <f aca="false">IF(Q289&lt;&gt;1,0,IF(OR(설정!$C$5="전체",AND(설정!$C$5="선택펀드",IFERROR(COUNTIFS(설정!$F$16:$F$36,C289,설정!$G$16:$G$36,"Y")+COUNTIFS(설정!$F$16:$F$36,VALUE(C289),설정!$G$16:$G$36,"Y"),0)&gt;0),C289&amp;""=설정!$C$5&amp;""),1,0))</f>
        <v>0</v>
      </c>
      <c r="AD289" s="89" t="n">
        <f aca="false">IF(Q289&lt;&gt;1,0,IF(OR(S289=1,IF(AB289="",FALSE(),INDEX(시장분석!$R:$R,AB289)=1)),1,0))</f>
        <v>0</v>
      </c>
      <c r="AE289" s="43" t="str">
        <f aca="false">IF(AB289="","",INDEX(시장분석!$A:$A,AB289))</f>
        <v>MS 4.493 01/16/32</v>
      </c>
      <c r="AF289" s="93" t="n">
        <f aca="false">IF(AB289="","",IF(ISNUMBER(IF(AB289="","",INDEX(시장분석!$E:$E,AB289))),IF(AB289="","",INDEX(시장분석!$E:$E,AB289)),""))</f>
        <v>88.048</v>
      </c>
      <c r="AG289" s="43" t="str">
        <f aca="false">IF(Q289&lt;&gt;1,"",IF(AB289&lt;&gt;"",IF(AB289="","",INDEX(시장분석!$L:$L,AB289)),IFERROR(IF(VLOOKUP(R289,매핑!$A$4:$E$92,5,0)="","미분류",VLOOKUP(R289,매핑!$A$4:$E$92,5,0)),"미분류")))</f>
        <v>금융기관</v>
      </c>
      <c r="AH289" s="43" t="str">
        <f aca="false">IF(Q289&lt;&gt;1,"",IF(AB289&lt;&gt;"",IF(AB289="","",INDEX(시장분석!$N:$N,AB289)),IFERROR(IF(VLOOKUP(R289,매핑!$A$4:$E$92,4,0)="","미분류",VLOOKUP(R289,매핑!$A$4:$E$92,4,0)),"미분류")))</f>
        <v>미국</v>
      </c>
      <c r="AI289" s="43" t="str">
        <f aca="false">IF(Q289&lt;&gt;1,"",IFERROR(IF(VLOOKUP(R289,매핑!$A$4:$E$92,3,0)="","미분류",VLOOKUP(R289,매핑!$A$4:$E$92,3,0)),IF(AB289&lt;&gt;"",IF(AB289="","",INDEX(시장분석!$W:$W,AB289)),"미분류")))</f>
        <v>미국</v>
      </c>
      <c r="AJ289" s="43" t="str">
        <f aca="false">IF(Q289&lt;&gt;1,"",IFERROR(VLOOKUP(IF(N289&lt;&gt;"",N289,IF(P289&lt;&gt;"",P289,O289)),설정!$A$15:$D$47,2,0),""))</f>
        <v>A-</v>
      </c>
      <c r="AK289" s="43" t="str">
        <f aca="false">IF(Q289&lt;&gt;1,"",IF(AJ289="","무등급",IFERROR(VLOOKUP(AJ289,설정!$A$15:$D$47,3,0),"무등급")))</f>
        <v>A</v>
      </c>
      <c r="AL289" s="89" t="n">
        <f aca="false">IF(AJ289="",99,IFERROR(VLOOKUP(AJ289,설정!$A$15:$D$47,4,0),99))</f>
        <v>7</v>
      </c>
      <c r="AM289" s="94" t="n">
        <f aca="false">IF(ISNUMBER(H289),AA289*1000000*H289/10000,0)</f>
        <v>3562.6888746</v>
      </c>
      <c r="AN289" s="94" t="n">
        <f aca="false">IF(OR(Y289=1,NOT(ISNUMBER(Z289))),0,AA289*1000000*Z289/10000)</f>
        <v>3562.6888746</v>
      </c>
      <c r="AO289" s="94" t="n">
        <f aca="false">IF(ISNUMBER(G289),AA289*1000000*G289/100,0)</f>
        <v>552615.28027</v>
      </c>
      <c r="AP289" s="94" t="n">
        <f aca="false">IF(ISNUMBER(M289),M289*K289,0)</f>
        <v>-586853.77</v>
      </c>
      <c r="AQ289" s="95" t="n">
        <f aca="false">IF(AB289="","",INDEX(시장분석!$AK:$AK,AB289))</f>
        <v>0.89874432335623</v>
      </c>
      <c r="AR289" s="43" t="str">
        <f aca="false">IF(AB289="","-",IF(AB289="","",INDEX(시장분석!$AL:$AL,AB289)))</f>
        <v>Fair</v>
      </c>
      <c r="AS289" s="96" t="n">
        <f aca="false">IF(AB289="","",INDEX(시장분석!$AJ:$AJ,AB289))</f>
        <v>12.292288808163</v>
      </c>
      <c r="AT289" s="93" t="n">
        <f aca="false">IF(AB289="",0,IF(AB289="","",INDEX(시장분석!$AN:$AN,AB289)))</f>
        <v>6.14542824502056</v>
      </c>
      <c r="AU289" s="94" t="n">
        <f aca="false">IF(ISNUMBER(Z289),AT289/10000*MAX(Z289-1,0)*AA289*1000000,0)</f>
        <v>16077.189260583</v>
      </c>
      <c r="AV289" s="94" t="n">
        <f aca="false">AO289+AU289</f>
        <v>568692.469530583</v>
      </c>
      <c r="AW289" s="43" t="str">
        <f aca="false">IF(Q289&lt;&gt;1,"",TRIM(IF(AD289=1,"FRN ","")&amp;IF(AND(AL289&gt;=10,AL289&lt;99),"BBB0미만 ","")&amp;IF(AJ289="","등급없음 ","")&amp;IF(K289&lt;&gt;1,"비USD ","")&amp;IF(AND(AB289="",Y289=0),"시장데이터없음 ","")&amp;IF(AND(ISNUMBER(U289),U289&lt;0),"만기경과 ","")))</f>
        <v/>
      </c>
      <c r="AX289" s="90" t="n">
        <f aca="false">IF(Q289&lt;&gt;1,1,IF(스프레드쇼크!$C$4="Y",INDEX(스프레드쇼크!$B$12:$L$16,IFERROR(MATCH(AH289,스프레드쇼크!$A$12:$A$16,0),MATCH("목록외",스프레드쇼크!$A$12:$A$16,0)),IFERROR(MATCH(AG289,스프레드쇼크!$B$11:$L$11,0),MATCH("목록외",스프레드쇼크!$B$11:$L$11,0))),1))</f>
        <v>1</v>
      </c>
      <c r="AY289" s="90" t="n">
        <f aca="false">IF(스프레드쇼크!$C$5="Y",IF(ISNUMBER(AF289),MIN(스프레드쇼크!$C$7,MAX(스프레드쇼크!$C$6,AF289/스프레드쇼크!$C$8)),1),1)</f>
        <v>1.33176017025241</v>
      </c>
      <c r="AZ289" s="94" t="n">
        <f aca="false">AN289*AX289*AY289</f>
        <v>4744.64714219365</v>
      </c>
      <c r="BA289" s="90" t="n">
        <f aca="false">IF(ISNUMBER(G289),AA289*G289,0)</f>
        <v>55.261528027</v>
      </c>
      <c r="BB289" s="90" t="n">
        <f aca="false">IF(ISNUMBER(G289),AA289,0)</f>
        <v>9.46567</v>
      </c>
      <c r="BC289" s="90" t="n">
        <f aca="false">IF(AND(Y289=0,ISNUMBER(AF289)),AA289*AF289,0)</f>
        <v>833.43331216</v>
      </c>
      <c r="BD289" s="90" t="n">
        <f aca="false">IF(AND(Y289=0,ISNUMBER(AF289)),AA289,0)</f>
        <v>9.46567</v>
      </c>
      <c r="BE289" s="90" t="n">
        <f aca="false">IF(ISNUMBER(H289),AA289*H289,0)</f>
        <v>35.626888746</v>
      </c>
      <c r="BF289" s="90" t="n">
        <f aca="false">IF(ISNUMBER(H289),AA289,0)</f>
        <v>9.46567</v>
      </c>
      <c r="BG289" s="90" t="n">
        <f aca="false">IF(AND(Y289=0,ISNUMBER(AF289),ISNUMBER(Z289)),AA289*Z289,0)</f>
        <v>35.626888746</v>
      </c>
      <c r="BH289" s="90" t="n">
        <f aca="false">IF(AND(Y289=0,ISNUMBER(AF289),ISNUMBER(Z289)),AA289*AT289*MAX(Z289-1,0),0)</f>
        <v>160.77189260583</v>
      </c>
      <c r="BI289" s="90" t="n">
        <f aca="false">IF(Y289=0,AA289,0)</f>
        <v>9.46567</v>
      </c>
    </row>
    <row r="290" customFormat="false" ht="15" hidden="false" customHeight="false" outlineLevel="0" collapsed="false">
      <c r="A290" s="83" t="str">
        <f aca="false">IFERROR(IF(INDEX(원자료_잔고!$A$1:$EZ$1500,설정!$L$5+ROW()-1,설정!$L$8)&amp;""="0","",INDEX(원자료_잔고!$A$1:$EZ$1500,설정!$L$5+ROW()-1,설정!$L$8)&amp;""),"")</f>
        <v>MS 4.493 01/16/32</v>
      </c>
      <c r="B290" s="83" t="str">
        <f aca="false">IFERROR(IF(INDEX(원자료_잔고!$A$1:$EZ$1500,설정!$L$5+ROW()-1,설정!$L$7)&amp;""="0","",INDEX(원자료_잔고!$A$1:$EZ$1500,설정!$L$5+ROW()-1,설정!$L$7)&amp;""),"")</f>
        <v>US61748UAS15</v>
      </c>
      <c r="C290" s="83" t="str">
        <f aca="false">IFERROR(IF(INDEX(원자료_잔고!$A$1:$EZ$1500,설정!$L$5+ROW()-1,설정!$L$9)&amp;""="0","",INDEX(원자료_잔고!$A$1:$EZ$1500,설정!$L$5+ROW()-1,설정!$L$9)&amp;""),"")</f>
        <v>38038</v>
      </c>
      <c r="D290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90" s="84" t="n">
        <f aca="false">IFERROR(IF(ISNUMBER(INDEX(원자료_잔고!$A$1:$EZ$1500,설정!$L$5+ROW()-1,설정!$L$11)),INDEX(원자료_잔고!$A$1:$EZ$1500,설정!$L$5+ROW()-1,설정!$L$11),""),"")</f>
        <v>10000000</v>
      </c>
      <c r="F290" s="85" t="n">
        <f aca="false">IFERROR(IF(ISNUMBER(INDEX(원자료_잔고!$A$1:$EZ$1500,설정!$L$5+ROW()-1,설정!$L$12)),INDEX(원자료_잔고!$A$1:$EZ$1500,설정!$L$5+ROW()-1,설정!$L$12),""),"")</f>
        <v>94.6567</v>
      </c>
      <c r="G290" s="85" t="n">
        <f aca="false">IFERROR(IF(ISNUMBER(INDEX(원자료_잔고!$A$1:$EZ$1500,설정!$L$5+ROW()-1,설정!$L$13)),INDEX(원자료_잔고!$A$1:$EZ$1500,설정!$L$5+ROW()-1,설정!$L$13),""),"")</f>
        <v>5.8381</v>
      </c>
      <c r="H290" s="85" t="n">
        <f aca="false">IFERROR(IF(ISNUMBER(INDEX(원자료_잔고!$A$1:$EZ$1500,설정!$L$5+ROW()-1,설정!$L$14)),INDEX(원자료_잔고!$A$1:$EZ$1500,설정!$L$5+ROW()-1,설정!$L$14),""),"")</f>
        <v>3.7638</v>
      </c>
      <c r="I290" s="86" t="n">
        <f aca="false">IFERROR(IF(ISNUMBER(INDEX(원자료_잔고!$A$1:$EZ$1500,설정!$L$5+ROW()-1,설정!$L$15)),INDEX(원자료_잔고!$A$1:$EZ$1500,설정!$L$5+ROW()-1,설정!$L$15),""),"")</f>
        <v>48229</v>
      </c>
      <c r="J290" s="85" t="n">
        <f aca="false">IFERROR(IF(ISNUMBER(INDEX(원자료_잔고!$A$1:$EZ$1500,설정!$L$5+ROW()-1,설정!$L$16)),INDEX(원자료_잔고!$A$1:$EZ$1500,설정!$L$5+ROW()-1,설정!$L$16),""),"")</f>
        <v>4.493</v>
      </c>
      <c r="K290" s="87" t="n">
        <f aca="false">IFERROR(IF(ISNUMBER(INDEX(원자료_잔고!$A$1:$EZ$1500,설정!$L$5+ROW()-1,설정!$L$17)),INDEX(원자료_잔고!$A$1:$EZ$1500,설정!$L$5+ROW()-1,설정!$L$17),""),"")</f>
        <v>1</v>
      </c>
      <c r="L290" s="84" t="n">
        <f aca="false">IFERROR(IF(ISNUMBER(INDEX(원자료_잔고!$A$1:$EZ$1500,설정!$L$5+ROW()-1,설정!$L$18)),INDEX(원자료_잔고!$A$1:$EZ$1500,설정!$L$5+ROW()-1,설정!$L$18),""),"")</f>
        <v>9465670</v>
      </c>
      <c r="M290" s="88" t="n">
        <f aca="false">IFERROR(IF(ISNUMBER(INDEX(원자료_잔고!$A$1:$EZ$1500,설정!$L$5+ROW()-1,설정!$L$19)),INDEX(원자료_잔고!$A$1:$EZ$1500,설정!$L$5+ROW()-1,설정!$L$19),""),"")</f>
        <v>-584123.66</v>
      </c>
      <c r="N290" s="83" t="str">
        <f aca="false">IFERROR(IF(INDEX(원자료_잔고!$A$1:$EZ$1500,설정!$L$5+ROW()-1,설정!$L$21)&amp;""="0","",INDEX(원자료_잔고!$A$1:$EZ$1500,설정!$L$5+ROW()-1,설정!$L$21)&amp;""),"")</f>
        <v>A-</v>
      </c>
      <c r="O290" s="83" t="str">
        <f aca="false">IFERROR(IF(INDEX(원자료_잔고!$A$1:$EZ$1500,설정!$L$5+ROW()-1,설정!$L$22)&amp;""="0","",INDEX(원자료_잔고!$A$1:$EZ$1500,설정!$L$5+ROW()-1,설정!$L$22)&amp;""),"")</f>
        <v/>
      </c>
      <c r="P290" s="83" t="str">
        <f aca="false">IFERROR(IF(INDEX(원자료_잔고!$A$1:$EZ$1500,설정!$L$5+ROW()-1,설정!$L$23)&amp;""="0","",INDEX(원자료_잔고!$A$1:$EZ$1500,설정!$L$5+ROW()-1,설정!$L$23)&amp;""),"")</f>
        <v>A+</v>
      </c>
      <c r="Q290" s="89" t="n">
        <f aca="false">IF(AND($A290&lt;&gt;"",ISNUMBER(E290)),IF(E290&gt;0,1,0),0)</f>
        <v>1</v>
      </c>
      <c r="R290" s="43" t="str">
        <f aca="false">IF(Q290=1,UPPER(LEFT($A290,FIND(" ",$A290&amp;" ")-1)),"")</f>
        <v>MS</v>
      </c>
      <c r="S290" s="89" t="n">
        <f aca="false">IF(Q290=1,IF(OR(ISNUMBER(SEARCH("Float",$A290)),ISNUMBER(SEARCH("FRN",$A290))),1,0),0)</f>
        <v>0</v>
      </c>
      <c r="T290" s="43" t="str">
        <f aca="false">IF(AND(Q290=1,ISNUMBER(I290)),TEXT(I290,"yyyymmdd")&amp;"|"&amp;IF(S290=1,"F",TEXT(J290,"0.000")),"")</f>
        <v>20320116|4.493</v>
      </c>
      <c r="U290" s="90" t="n">
        <f aca="false">IF(AND(Q290=1,ISNUMBER(I290)),(I290-설정!$C$4)/365.25,"")</f>
        <v>5.29226557152635</v>
      </c>
      <c r="V290" s="43" t="str">
        <f aca="false">IF(Q290&lt;&gt;1,"",IF(ISNUMBER(U290),IF(U290&lt;=1,"1년 이하",IF(U290&lt;=2,"1-2년",IF(U290&lt;=3,"2-3년",IF(U290&lt;=4,"3-4년",IF(U290&lt;=5,"4-5년",IF(U290&lt;=7,"5-7년",IF(U290&lt;=10,"7-10년",IF(U290&lt;=20,"10-20년","20년 이상")))))))),"미분류"))</f>
        <v>5-7년</v>
      </c>
      <c r="W290" s="43" t="str">
        <f aca="false">IF(Q290&lt;&gt;1,"",IF(AB290&lt;&gt;"",INDEX(시장분석!$C:$C,AB290),IF(K290=1,"USD","비USD")))</f>
        <v>USD</v>
      </c>
      <c r="X290" s="91" t="n">
        <f aca="false">IF(Q290=1,E290*K290/1000000,0)</f>
        <v>10</v>
      </c>
      <c r="Y290" s="89" t="n">
        <f aca="false">IF(R290="T",1,0)</f>
        <v>0</v>
      </c>
      <c r="Z290" s="92" t="n">
        <f aca="false">IF(Q290&lt;&gt;1,"",IF(AD290=1,IF(ISNUMBER(U290),MAX(U290,0),H290),H290))</f>
        <v>3.7638</v>
      </c>
      <c r="AA290" s="91" t="n">
        <f aca="false">IF(Q290=1,IF(ISNUMBER(L290),L290,0)*K290/1000000,0)</f>
        <v>9.46567</v>
      </c>
      <c r="AB290" s="89" t="n">
        <f aca="false">IF(Q290&lt;&gt;1,"",IFERROR(MATCH(VLOOKUP(B290,매핑!$H$4:$I$15,2,0),시장분석!$A$2:$A$601,0)+1,IFERROR(MATCH(R290&amp;"|"&amp;T290,시장분석!$V$2:$V$601,0)+1,IF(COUNTIF(시장분석!$U$2:$U$601,T290)=1,MATCH(T290,시장분석!$U$2:$U$601,0)+1,""))))</f>
        <v>101</v>
      </c>
      <c r="AC290" s="89" t="n">
        <f aca="false">IF(Q290&lt;&gt;1,0,IF(OR(설정!$C$5="전체",AND(설정!$C$5="선택펀드",IFERROR(COUNTIFS(설정!$F$16:$F$36,C290,설정!$G$16:$G$36,"Y")+COUNTIFS(설정!$F$16:$F$36,VALUE(C290),설정!$G$16:$G$36,"Y"),0)&gt;0),C290&amp;""=설정!$C$5&amp;""),1,0))</f>
        <v>0</v>
      </c>
      <c r="AD290" s="89" t="n">
        <f aca="false">IF(Q290&lt;&gt;1,0,IF(OR(S290=1,IF(AB290="",FALSE(),INDEX(시장분석!$R:$R,AB290)=1)),1,0))</f>
        <v>0</v>
      </c>
      <c r="AE290" s="43" t="str">
        <f aca="false">IF(AB290="","",INDEX(시장분석!$A:$A,AB290))</f>
        <v>MS 4.493 01/16/32</v>
      </c>
      <c r="AF290" s="93" t="n">
        <f aca="false">IF(AB290="","",IF(ISNUMBER(IF(AB290="","",INDEX(시장분석!$E:$E,AB290))),IF(AB290="","",INDEX(시장분석!$E:$E,AB290)),""))</f>
        <v>88.048</v>
      </c>
      <c r="AG290" s="43" t="str">
        <f aca="false">IF(Q290&lt;&gt;1,"",IF(AB290&lt;&gt;"",IF(AB290="","",INDEX(시장분석!$L:$L,AB290)),IFERROR(IF(VLOOKUP(R290,매핑!$A$4:$E$92,5,0)="","미분류",VLOOKUP(R290,매핑!$A$4:$E$92,5,0)),"미분류")))</f>
        <v>금융기관</v>
      </c>
      <c r="AH290" s="43" t="str">
        <f aca="false">IF(Q290&lt;&gt;1,"",IF(AB290&lt;&gt;"",IF(AB290="","",INDEX(시장분석!$N:$N,AB290)),IFERROR(IF(VLOOKUP(R290,매핑!$A$4:$E$92,4,0)="","미분류",VLOOKUP(R290,매핑!$A$4:$E$92,4,0)),"미분류")))</f>
        <v>미국</v>
      </c>
      <c r="AI290" s="43" t="str">
        <f aca="false">IF(Q290&lt;&gt;1,"",IFERROR(IF(VLOOKUP(R290,매핑!$A$4:$E$92,3,0)="","미분류",VLOOKUP(R290,매핑!$A$4:$E$92,3,0)),IF(AB290&lt;&gt;"",IF(AB290="","",INDEX(시장분석!$W:$W,AB290)),"미분류")))</f>
        <v>미국</v>
      </c>
      <c r="AJ290" s="43" t="str">
        <f aca="false">IF(Q290&lt;&gt;1,"",IFERROR(VLOOKUP(IF(N290&lt;&gt;"",N290,IF(P290&lt;&gt;"",P290,O290)),설정!$A$15:$D$47,2,0),""))</f>
        <v>A-</v>
      </c>
      <c r="AK290" s="43" t="str">
        <f aca="false">IF(Q290&lt;&gt;1,"",IF(AJ290="","무등급",IFERROR(VLOOKUP(AJ290,설정!$A$15:$D$47,3,0),"무등급")))</f>
        <v>A</v>
      </c>
      <c r="AL290" s="89" t="n">
        <f aca="false">IF(AJ290="",99,IFERROR(VLOOKUP(AJ290,설정!$A$15:$D$47,4,0),99))</f>
        <v>7</v>
      </c>
      <c r="AM290" s="94" t="n">
        <f aca="false">IF(ISNUMBER(H290),AA290*1000000*H290/10000,0)</f>
        <v>3562.6888746</v>
      </c>
      <c r="AN290" s="94" t="n">
        <f aca="false">IF(OR(Y290=1,NOT(ISNUMBER(Z290))),0,AA290*1000000*Z290/10000)</f>
        <v>3562.6888746</v>
      </c>
      <c r="AO290" s="94" t="n">
        <f aca="false">IF(ISNUMBER(G290),AA290*1000000*G290/100,0)</f>
        <v>552615.28027</v>
      </c>
      <c r="AP290" s="94" t="n">
        <f aca="false">IF(ISNUMBER(M290),M290*K290,0)</f>
        <v>-584123.66</v>
      </c>
      <c r="AQ290" s="95" t="n">
        <f aca="false">IF(AB290="","",INDEX(시장분석!$AK:$AK,AB290))</f>
        <v>0.89874432335623</v>
      </c>
      <c r="AR290" s="43" t="str">
        <f aca="false">IF(AB290="","-",IF(AB290="","",INDEX(시장분석!$AL:$AL,AB290)))</f>
        <v>Fair</v>
      </c>
      <c r="AS290" s="96" t="n">
        <f aca="false">IF(AB290="","",INDEX(시장분석!$AJ:$AJ,AB290))</f>
        <v>12.292288808163</v>
      </c>
      <c r="AT290" s="93" t="n">
        <f aca="false">IF(AB290="",0,IF(AB290="","",INDEX(시장분석!$AN:$AN,AB290)))</f>
        <v>6.14542824502056</v>
      </c>
      <c r="AU290" s="94" t="n">
        <f aca="false">IF(ISNUMBER(Z290),AT290/10000*MAX(Z290-1,0)*AA290*1000000,0)</f>
        <v>16077.189260583</v>
      </c>
      <c r="AV290" s="94" t="n">
        <f aca="false">AO290+AU290</f>
        <v>568692.469530583</v>
      </c>
      <c r="AW290" s="43" t="str">
        <f aca="false">IF(Q290&lt;&gt;1,"",TRIM(IF(AD290=1,"FRN ","")&amp;IF(AND(AL290&gt;=10,AL290&lt;99),"BBB0미만 ","")&amp;IF(AJ290="","등급없음 ","")&amp;IF(K290&lt;&gt;1,"비USD ","")&amp;IF(AND(AB290="",Y290=0),"시장데이터없음 ","")&amp;IF(AND(ISNUMBER(U290),U290&lt;0),"만기경과 ","")))</f>
        <v/>
      </c>
      <c r="AX290" s="90" t="n">
        <f aca="false">IF(Q290&lt;&gt;1,1,IF(스프레드쇼크!$C$4="Y",INDEX(스프레드쇼크!$B$12:$L$16,IFERROR(MATCH(AH290,스프레드쇼크!$A$12:$A$16,0),MATCH("목록외",스프레드쇼크!$A$12:$A$16,0)),IFERROR(MATCH(AG290,스프레드쇼크!$B$11:$L$11,0),MATCH("목록외",스프레드쇼크!$B$11:$L$11,0))),1))</f>
        <v>1</v>
      </c>
      <c r="AY290" s="90" t="n">
        <f aca="false">IF(스프레드쇼크!$C$5="Y",IF(ISNUMBER(AF290),MIN(스프레드쇼크!$C$7,MAX(스프레드쇼크!$C$6,AF290/스프레드쇼크!$C$8)),1),1)</f>
        <v>1.33176017025241</v>
      </c>
      <c r="AZ290" s="94" t="n">
        <f aca="false">AN290*AX290*AY290</f>
        <v>4744.64714219365</v>
      </c>
      <c r="BA290" s="90" t="n">
        <f aca="false">IF(ISNUMBER(G290),AA290*G290,0)</f>
        <v>55.261528027</v>
      </c>
      <c r="BB290" s="90" t="n">
        <f aca="false">IF(ISNUMBER(G290),AA290,0)</f>
        <v>9.46567</v>
      </c>
      <c r="BC290" s="90" t="n">
        <f aca="false">IF(AND(Y290=0,ISNUMBER(AF290)),AA290*AF290,0)</f>
        <v>833.43331216</v>
      </c>
      <c r="BD290" s="90" t="n">
        <f aca="false">IF(AND(Y290=0,ISNUMBER(AF290)),AA290,0)</f>
        <v>9.46567</v>
      </c>
      <c r="BE290" s="90" t="n">
        <f aca="false">IF(ISNUMBER(H290),AA290*H290,0)</f>
        <v>35.626888746</v>
      </c>
      <c r="BF290" s="90" t="n">
        <f aca="false">IF(ISNUMBER(H290),AA290,0)</f>
        <v>9.46567</v>
      </c>
      <c r="BG290" s="90" t="n">
        <f aca="false">IF(AND(Y290=0,ISNUMBER(AF290),ISNUMBER(Z290)),AA290*Z290,0)</f>
        <v>35.626888746</v>
      </c>
      <c r="BH290" s="90" t="n">
        <f aca="false">IF(AND(Y290=0,ISNUMBER(AF290),ISNUMBER(Z290)),AA290*AT290*MAX(Z290-1,0),0)</f>
        <v>160.77189260583</v>
      </c>
      <c r="BI290" s="90" t="n">
        <f aca="false">IF(Y290=0,AA290,0)</f>
        <v>9.46567</v>
      </c>
    </row>
    <row r="291" customFormat="false" ht="15" hidden="false" customHeight="false" outlineLevel="0" collapsed="false">
      <c r="A291" s="83" t="str">
        <f aca="false">IFERROR(IF(INDEX(원자료_잔고!$A$1:$EZ$1500,설정!$L$5+ROW()-1,설정!$L$8)&amp;""="0","",INDEX(원자료_잔고!$A$1:$EZ$1500,설정!$L$5+ROW()-1,설정!$L$8)&amp;""),"")</f>
        <v>T 4.25 08/15/35</v>
      </c>
      <c r="B291" s="83" t="str">
        <f aca="false">IFERROR(IF(INDEX(원자료_잔고!$A$1:$EZ$1500,설정!$L$5+ROW()-1,설정!$L$7)&amp;""="0","",INDEX(원자료_잔고!$A$1:$EZ$1500,설정!$L$5+ROW()-1,설정!$L$7)&amp;""),"")</f>
        <v>US91282CNT44</v>
      </c>
      <c r="C291" s="83" t="str">
        <f aca="false">IFERROR(IF(INDEX(원자료_잔고!$A$1:$EZ$1500,설정!$L$5+ROW()-1,설정!$L$9)&amp;""="0","",INDEX(원자료_잔고!$A$1:$EZ$1500,설정!$L$5+ROW()-1,설정!$L$9)&amp;""),"")</f>
        <v>38038</v>
      </c>
      <c r="D291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91" s="84" t="n">
        <f aca="false">IFERROR(IF(ISNUMBER(INDEX(원자료_잔고!$A$1:$EZ$1500,설정!$L$5+ROW()-1,설정!$L$11)),INDEX(원자료_잔고!$A$1:$EZ$1500,설정!$L$5+ROW()-1,설정!$L$11),""),"")</f>
        <v>15000000</v>
      </c>
      <c r="F291" s="85" t="n">
        <f aca="false">IFERROR(IF(ISNUMBER(INDEX(원자료_잔고!$A$1:$EZ$1500,설정!$L$5+ROW()-1,설정!$L$12)),INDEX(원자료_잔고!$A$1:$EZ$1500,설정!$L$5+ROW()-1,설정!$L$12),""),"")</f>
        <v>93.2658</v>
      </c>
      <c r="G291" s="85" t="n">
        <f aca="false">IFERROR(IF(ISNUMBER(INDEX(원자료_잔고!$A$1:$EZ$1500,설정!$L$5+ROW()-1,설정!$L$13)),INDEX(원자료_잔고!$A$1:$EZ$1500,설정!$L$5+ROW()-1,설정!$L$13),""),"")</f>
        <v>5.2059</v>
      </c>
      <c r="H291" s="85" t="n">
        <f aca="false">IFERROR(IF(ISNUMBER(INDEX(원자료_잔고!$A$1:$EZ$1500,설정!$L$5+ROW()-1,설정!$L$14)),INDEX(원자료_잔고!$A$1:$EZ$1500,설정!$L$5+ROW()-1,설정!$L$14),""),"")</f>
        <v>7.1359</v>
      </c>
      <c r="I291" s="86" t="n">
        <f aca="false">IFERROR(IF(ISNUMBER(INDEX(원자료_잔고!$A$1:$EZ$1500,설정!$L$5+ROW()-1,설정!$L$15)),INDEX(원자료_잔고!$A$1:$EZ$1500,설정!$L$5+ROW()-1,설정!$L$15),""),"")</f>
        <v>49536</v>
      </c>
      <c r="J291" s="85" t="n">
        <f aca="false">IFERROR(IF(ISNUMBER(INDEX(원자료_잔고!$A$1:$EZ$1500,설정!$L$5+ROW()-1,설정!$L$16)),INDEX(원자료_잔고!$A$1:$EZ$1500,설정!$L$5+ROW()-1,설정!$L$16),""),"")</f>
        <v>4.25</v>
      </c>
      <c r="K291" s="87" t="n">
        <f aca="false">IFERROR(IF(ISNUMBER(INDEX(원자료_잔고!$A$1:$EZ$1500,설정!$L$5+ROW()-1,설정!$L$17)),INDEX(원자료_잔고!$A$1:$EZ$1500,설정!$L$5+ROW()-1,설정!$L$17),""),"")</f>
        <v>1</v>
      </c>
      <c r="L291" s="84" t="n">
        <f aca="false">IFERROR(IF(ISNUMBER(INDEX(원자료_잔고!$A$1:$EZ$1500,설정!$L$5+ROW()-1,설정!$L$18)),INDEX(원자료_잔고!$A$1:$EZ$1500,설정!$L$5+ROW()-1,설정!$L$18),""),"")</f>
        <v>13989870</v>
      </c>
      <c r="M291" s="88" t="n">
        <f aca="false">IFERROR(IF(ISNUMBER(INDEX(원자료_잔고!$A$1:$EZ$1500,설정!$L$5+ROW()-1,설정!$L$19)),INDEX(원자료_잔고!$A$1:$EZ$1500,설정!$L$5+ROW()-1,설정!$L$19),""),"")</f>
        <v>-1162495.82</v>
      </c>
      <c r="N291" s="83" t="str">
        <f aca="false">IFERROR(IF(INDEX(원자료_잔고!$A$1:$EZ$1500,설정!$L$5+ROW()-1,설정!$L$21)&amp;""="0","",INDEX(원자료_잔고!$A$1:$EZ$1500,설정!$L$5+ROW()-1,설정!$L$21)&amp;""),"")</f>
        <v/>
      </c>
      <c r="O291" s="83" t="str">
        <f aca="false">IFERROR(IF(INDEX(원자료_잔고!$A$1:$EZ$1500,설정!$L$5+ROW()-1,설정!$L$22)&amp;""="0","",INDEX(원자료_잔고!$A$1:$EZ$1500,설정!$L$5+ROW()-1,설정!$L$22)&amp;""),"")</f>
        <v/>
      </c>
      <c r="P291" s="83" t="str">
        <f aca="false">IFERROR(IF(INDEX(원자료_잔고!$A$1:$EZ$1500,설정!$L$5+ROW()-1,설정!$L$23)&amp;""="0","",INDEX(원자료_잔고!$A$1:$EZ$1500,설정!$L$5+ROW()-1,설정!$L$23)&amp;""),"")</f>
        <v>AA+</v>
      </c>
      <c r="Q291" s="89" t="n">
        <f aca="false">IF(AND($A291&lt;&gt;"",ISNUMBER(E291)),IF(E291&gt;0,1,0),0)</f>
        <v>1</v>
      </c>
      <c r="R291" s="43" t="str">
        <f aca="false">IF(Q291=1,UPPER(LEFT($A291,FIND(" ",$A291&amp;" ")-1)),"")</f>
        <v>T</v>
      </c>
      <c r="S291" s="89" t="n">
        <f aca="false">IF(Q291=1,IF(OR(ISNUMBER(SEARCH("Float",$A291)),ISNUMBER(SEARCH("FRN",$A291))),1,0),0)</f>
        <v>0</v>
      </c>
      <c r="T291" s="43" t="str">
        <f aca="false">IF(AND(Q291=1,ISNUMBER(I291)),TEXT(I291,"yyyymmdd")&amp;"|"&amp;IF(S291=1,"F",TEXT(J291,"0.000")),"")</f>
        <v>20350815|4.250</v>
      </c>
      <c r="U291" s="90" t="n">
        <f aca="false">IF(AND(Q291=1,ISNUMBER(I291)),(I291-설정!$C$4)/365.25,"")</f>
        <v>8.87063655030801</v>
      </c>
      <c r="V291" s="43" t="str">
        <f aca="false">IF(Q291&lt;&gt;1,"",IF(ISNUMBER(U291),IF(U291&lt;=1,"1년 이하",IF(U291&lt;=2,"1-2년",IF(U291&lt;=3,"2-3년",IF(U291&lt;=4,"3-4년",IF(U291&lt;=5,"4-5년",IF(U291&lt;=7,"5-7년",IF(U291&lt;=10,"7-10년",IF(U291&lt;=20,"10-20년","20년 이상")))))))),"미분류"))</f>
        <v>7-10년</v>
      </c>
      <c r="W291" s="43" t="str">
        <f aca="false">IF(Q291&lt;&gt;1,"",IF(AB291&lt;&gt;"",INDEX(시장분석!$C:$C,AB291),IF(K291=1,"USD","비USD")))</f>
        <v>USD</v>
      </c>
      <c r="X291" s="91" t="n">
        <f aca="false">IF(Q291=1,E291*K291/1000000,0)</f>
        <v>15</v>
      </c>
      <c r="Y291" s="89" t="n">
        <f aca="false">IF(R291="T",1,0)</f>
        <v>1</v>
      </c>
      <c r="Z291" s="92" t="n">
        <f aca="false">IF(Q291&lt;&gt;1,"",IF(AD291=1,IF(ISNUMBER(U291),MAX(U291,0),H291),H291))</f>
        <v>7.1359</v>
      </c>
      <c r="AA291" s="91" t="n">
        <f aca="false">IF(Q291=1,IF(ISNUMBER(L291),L291,0)*K291/1000000,0)</f>
        <v>13.98987</v>
      </c>
      <c r="AB291" s="89" t="n">
        <f aca="false">IF(Q291&lt;&gt;1,"",IFERROR(MATCH(VLOOKUP(B291,매핑!$H$4:$I$15,2,0),시장분석!$A$2:$A$601,0)+1,IFERROR(MATCH(R291&amp;"|"&amp;T291,시장분석!$V$2:$V$601,0)+1,IF(COUNTIF(시장분석!$U$2:$U$601,T291)=1,MATCH(T291,시장분석!$U$2:$U$601,0)+1,""))))</f>
        <v>123</v>
      </c>
      <c r="AC291" s="89" t="n">
        <f aca="false">IF(Q291&lt;&gt;1,0,IF(OR(설정!$C$5="전체",AND(설정!$C$5="선택펀드",IFERROR(COUNTIFS(설정!$F$16:$F$36,C291,설정!$G$16:$G$36,"Y")+COUNTIFS(설정!$F$16:$F$36,VALUE(C291),설정!$G$16:$G$36,"Y"),0)&gt;0),C291&amp;""=설정!$C$5&amp;""),1,0))</f>
        <v>0</v>
      </c>
      <c r="AD291" s="89" t="n">
        <f aca="false">IF(Q291&lt;&gt;1,0,IF(OR(S291=1,IF(AB291="",FALSE(),INDEX(시장분석!$R:$R,AB291)=1)),1,0))</f>
        <v>0</v>
      </c>
      <c r="AE291" s="43" t="str">
        <f aca="false">IF(AB291="","",INDEX(시장분석!$A:$A,AB291))</f>
        <v>T 4 1/4 08/15/35</v>
      </c>
      <c r="AF291" s="93" t="n">
        <f aca="false">IF(AB291="","",IF(ISNUMBER(IF(AB291="","",INDEX(시장분석!$E:$E,AB291))),IF(AB291="","",INDEX(시장분석!$E:$E,AB291)),""))</f>
        <v>-1.749</v>
      </c>
      <c r="AG291" s="43" t="str">
        <f aca="false">IF(Q291&lt;&gt;1,"",IF(AB291&lt;&gt;"",IF(AB291="","",INDEX(시장분석!$L:$L,AB291)),IFERROR(IF(VLOOKUP(R291,매핑!$A$4:$E$92,5,0)="","미분류",VLOOKUP(R291,매핑!$A$4:$E$92,5,0)),"미분류")))</f>
        <v>정부</v>
      </c>
      <c r="AH291" s="43" t="str">
        <f aca="false">IF(Q291&lt;&gt;1,"",IF(AB291&lt;&gt;"",IF(AB291="","",INDEX(시장분석!$N:$N,AB291)),IFERROR(IF(VLOOKUP(R291,매핑!$A$4:$E$92,4,0)="","미분류",VLOOKUP(R291,매핑!$A$4:$E$92,4,0)),"미분류")))</f>
        <v>미국</v>
      </c>
      <c r="AI291" s="43" t="str">
        <f aca="false">IF(Q291&lt;&gt;1,"",IFERROR(IF(VLOOKUP(R291,매핑!$A$4:$E$92,3,0)="","미분류",VLOOKUP(R291,매핑!$A$4:$E$92,3,0)),IF(AB291&lt;&gt;"",IF(AB291="","",INDEX(시장분석!$W:$W,AB291)),"미분류")))</f>
        <v>미국</v>
      </c>
      <c r="AJ291" s="43" t="str">
        <f aca="false">IF(Q291&lt;&gt;1,"",IFERROR(VLOOKUP(IF(N291&lt;&gt;"",N291,IF(P291&lt;&gt;"",P291,O291)),설정!$A$15:$D$47,2,0),""))</f>
        <v>AA+</v>
      </c>
      <c r="AK291" s="43" t="str">
        <f aca="false">IF(Q291&lt;&gt;1,"",IF(AJ291="","무등급",IFERROR(VLOOKUP(AJ291,설정!$A$15:$D$47,3,0),"무등급")))</f>
        <v>AA이상</v>
      </c>
      <c r="AL291" s="89" t="n">
        <f aca="false">IF(AJ291="",99,IFERROR(VLOOKUP(AJ291,설정!$A$15:$D$47,4,0),99))</f>
        <v>2</v>
      </c>
      <c r="AM291" s="94" t="n">
        <f aca="false">IF(ISNUMBER(H291),AA291*1000000*H291/10000,0)</f>
        <v>9983.0313333</v>
      </c>
      <c r="AN291" s="94" t="n">
        <f aca="false">IF(OR(Y291=1,NOT(ISNUMBER(Z291))),0,AA291*1000000*Z291/10000)</f>
        <v>0</v>
      </c>
      <c r="AO291" s="94" t="n">
        <f aca="false">IF(ISNUMBER(G291),AA291*1000000*G291/100,0)</f>
        <v>728298.64233</v>
      </c>
      <c r="AP291" s="94" t="n">
        <f aca="false">IF(ISNUMBER(M291),M291*K291,0)</f>
        <v>-1162495.82</v>
      </c>
      <c r="AQ291" s="95" t="str">
        <f aca="false">IF(AB291="","",INDEX(시장분석!$AK:$AK,AB291))</f>
        <v/>
      </c>
      <c r="AR291" s="43" t="str">
        <f aca="false">IF(AB291="","-",IF(AB291="","",INDEX(시장분석!$AL:$AL,AB291)))</f>
        <v>-</v>
      </c>
      <c r="AS291" s="96" t="str">
        <f aca="false">IF(AB291="","",INDEX(시장분석!$AJ:$AJ,AB291))</f>
        <v/>
      </c>
      <c r="AT291" s="93" t="n">
        <f aca="false">IF(AB291="",0,IF(AB291="","",INDEX(시장분석!$AN:$AN,AB291)))</f>
        <v>0</v>
      </c>
      <c r="AU291" s="94" t="n">
        <f aca="false">IF(ISNUMBER(Z291),AT291/10000*MAX(Z291-1,0)*AA291*1000000,0)</f>
        <v>0</v>
      </c>
      <c r="AV291" s="94" t="n">
        <f aca="false">AO291+AU291</f>
        <v>728298.64233</v>
      </c>
      <c r="AW291" s="43" t="str">
        <f aca="false">IF(Q291&lt;&gt;1,"",TRIM(IF(AD291=1,"FRN ","")&amp;IF(AND(AL291&gt;=10,AL291&lt;99),"BBB0미만 ","")&amp;IF(AJ291="","등급없음 ","")&amp;IF(K291&lt;&gt;1,"비USD ","")&amp;IF(AND(AB291="",Y291=0),"시장데이터없음 ","")&amp;IF(AND(ISNUMBER(U291),U291&lt;0),"만기경과 ","")))</f>
        <v/>
      </c>
      <c r="AX291" s="90" t="n">
        <f aca="false">IF(Q291&lt;&gt;1,1,IF(스프레드쇼크!$C$4="Y",INDEX(스프레드쇼크!$B$12:$L$16,IFERROR(MATCH(AH291,스프레드쇼크!$A$12:$A$16,0),MATCH("목록외",스프레드쇼크!$A$12:$A$16,0)),IFERROR(MATCH(AG291,스프레드쇼크!$B$11:$L$11,0),MATCH("목록외",스프레드쇼크!$B$11:$L$11,0))),1))</f>
        <v>1</v>
      </c>
      <c r="AY291" s="90" t="n">
        <f aca="false">IF(스프레드쇼크!$C$5="Y",IF(ISNUMBER(AF291),MIN(스프레드쇼크!$C$7,MAX(스프레드쇼크!$C$6,AF291/스프레드쇼크!$C$8)),1),1)</f>
        <v>0.25</v>
      </c>
      <c r="AZ291" s="94" t="n">
        <f aca="false">AN291*AX291*AY291</f>
        <v>0</v>
      </c>
      <c r="BA291" s="90" t="n">
        <f aca="false">IF(ISNUMBER(G291),AA291*G291,0)</f>
        <v>72.829864233</v>
      </c>
      <c r="BB291" s="90" t="n">
        <f aca="false">IF(ISNUMBER(G291),AA291,0)</f>
        <v>13.98987</v>
      </c>
      <c r="BC291" s="90" t="n">
        <f aca="false">IF(AND(Y291=0,ISNUMBER(AF291)),AA291*AF291,0)</f>
        <v>0</v>
      </c>
      <c r="BD291" s="90" t="n">
        <f aca="false">IF(AND(Y291=0,ISNUMBER(AF291)),AA291,0)</f>
        <v>0</v>
      </c>
      <c r="BE291" s="90" t="n">
        <f aca="false">IF(ISNUMBER(H291),AA291*H291,0)</f>
        <v>99.830313333</v>
      </c>
      <c r="BF291" s="90" t="n">
        <f aca="false">IF(ISNUMBER(H291),AA291,0)</f>
        <v>13.98987</v>
      </c>
      <c r="BG291" s="90" t="n">
        <f aca="false">IF(AND(Y291=0,ISNUMBER(AF291),ISNUMBER(Z291)),AA291*Z291,0)</f>
        <v>0</v>
      </c>
      <c r="BH291" s="90" t="n">
        <f aca="false">IF(AND(Y291=0,ISNUMBER(AF291),ISNUMBER(Z291)),AA291*AT291*MAX(Z291-1,0),0)</f>
        <v>0</v>
      </c>
      <c r="BI291" s="90" t="n">
        <f aca="false">IF(Y291=0,AA291,0)</f>
        <v>0</v>
      </c>
    </row>
    <row r="292" customFormat="false" ht="15" hidden="false" customHeight="false" outlineLevel="0" collapsed="false">
      <c r="A292" s="83" t="str">
        <f aca="false">IFERROR(IF(INDEX(원자료_잔고!$A$1:$EZ$1500,설정!$L$5+ROW()-1,설정!$L$8)&amp;""="0","",INDEX(원자료_잔고!$A$1:$EZ$1500,설정!$L$5+ROW()-1,설정!$L$8)&amp;""),"")</f>
        <v>T 4.25 08/15/35</v>
      </c>
      <c r="B292" s="83" t="str">
        <f aca="false">IFERROR(IF(INDEX(원자료_잔고!$A$1:$EZ$1500,설정!$L$5+ROW()-1,설정!$L$7)&amp;""="0","",INDEX(원자료_잔고!$A$1:$EZ$1500,설정!$L$5+ROW()-1,설정!$L$7)&amp;""),"")</f>
        <v>US91282CNT44</v>
      </c>
      <c r="C292" s="83" t="str">
        <f aca="false">IFERROR(IF(INDEX(원자료_잔고!$A$1:$EZ$1500,설정!$L$5+ROW()-1,설정!$L$9)&amp;""="0","",INDEX(원자료_잔고!$A$1:$EZ$1500,설정!$L$5+ROW()-1,설정!$L$9)&amp;""),"")</f>
        <v>38038</v>
      </c>
      <c r="D292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92" s="84" t="n">
        <f aca="false">IFERROR(IF(ISNUMBER(INDEX(원자료_잔고!$A$1:$EZ$1500,설정!$L$5+ROW()-1,설정!$L$11)),INDEX(원자료_잔고!$A$1:$EZ$1500,설정!$L$5+ROW()-1,설정!$L$11),""),"")</f>
        <v>15000000</v>
      </c>
      <c r="F292" s="85" t="n">
        <f aca="false">IFERROR(IF(ISNUMBER(INDEX(원자료_잔고!$A$1:$EZ$1500,설정!$L$5+ROW()-1,설정!$L$12)),INDEX(원자료_잔고!$A$1:$EZ$1500,설정!$L$5+ROW()-1,설정!$L$12),""),"")</f>
        <v>93.2658</v>
      </c>
      <c r="G292" s="85" t="n">
        <f aca="false">IFERROR(IF(ISNUMBER(INDEX(원자료_잔고!$A$1:$EZ$1500,설정!$L$5+ROW()-1,설정!$L$13)),INDEX(원자료_잔고!$A$1:$EZ$1500,설정!$L$5+ROW()-1,설정!$L$13),""),"")</f>
        <v>5.2059</v>
      </c>
      <c r="H292" s="85" t="n">
        <f aca="false">IFERROR(IF(ISNUMBER(INDEX(원자료_잔고!$A$1:$EZ$1500,설정!$L$5+ROW()-1,설정!$L$14)),INDEX(원자료_잔고!$A$1:$EZ$1500,설정!$L$5+ROW()-1,설정!$L$14),""),"")</f>
        <v>7.1359</v>
      </c>
      <c r="I292" s="86" t="n">
        <f aca="false">IFERROR(IF(ISNUMBER(INDEX(원자료_잔고!$A$1:$EZ$1500,설정!$L$5+ROW()-1,설정!$L$15)),INDEX(원자료_잔고!$A$1:$EZ$1500,설정!$L$5+ROW()-1,설정!$L$15),""),"")</f>
        <v>49536</v>
      </c>
      <c r="J292" s="85" t="n">
        <f aca="false">IFERROR(IF(ISNUMBER(INDEX(원자료_잔고!$A$1:$EZ$1500,설정!$L$5+ROW()-1,설정!$L$16)),INDEX(원자료_잔고!$A$1:$EZ$1500,설정!$L$5+ROW()-1,설정!$L$16),""),"")</f>
        <v>4.25</v>
      </c>
      <c r="K292" s="87" t="n">
        <f aca="false">IFERROR(IF(ISNUMBER(INDEX(원자료_잔고!$A$1:$EZ$1500,설정!$L$5+ROW()-1,설정!$L$17)),INDEX(원자료_잔고!$A$1:$EZ$1500,설정!$L$5+ROW()-1,설정!$L$17),""),"")</f>
        <v>1</v>
      </c>
      <c r="L292" s="84" t="n">
        <f aca="false">IFERROR(IF(ISNUMBER(INDEX(원자료_잔고!$A$1:$EZ$1500,설정!$L$5+ROW()-1,설정!$L$18)),INDEX(원자료_잔고!$A$1:$EZ$1500,설정!$L$5+ROW()-1,설정!$L$18),""),"")</f>
        <v>13989870</v>
      </c>
      <c r="M292" s="88" t="n">
        <f aca="false">IFERROR(IF(ISNUMBER(INDEX(원자료_잔고!$A$1:$EZ$1500,설정!$L$5+ROW()-1,설정!$L$19)),INDEX(원자료_잔고!$A$1:$EZ$1500,설정!$L$5+ROW()-1,설정!$L$19),""),"")</f>
        <v>-1162495.82</v>
      </c>
      <c r="N292" s="83" t="str">
        <f aca="false">IFERROR(IF(INDEX(원자료_잔고!$A$1:$EZ$1500,설정!$L$5+ROW()-1,설정!$L$21)&amp;""="0","",INDEX(원자료_잔고!$A$1:$EZ$1500,설정!$L$5+ROW()-1,설정!$L$21)&amp;""),"")</f>
        <v/>
      </c>
      <c r="O292" s="83" t="str">
        <f aca="false">IFERROR(IF(INDEX(원자료_잔고!$A$1:$EZ$1500,설정!$L$5+ROW()-1,설정!$L$22)&amp;""="0","",INDEX(원자료_잔고!$A$1:$EZ$1500,설정!$L$5+ROW()-1,설정!$L$22)&amp;""),"")</f>
        <v/>
      </c>
      <c r="P292" s="83" t="str">
        <f aca="false">IFERROR(IF(INDEX(원자료_잔고!$A$1:$EZ$1500,설정!$L$5+ROW()-1,설정!$L$23)&amp;""="0","",INDEX(원자료_잔고!$A$1:$EZ$1500,설정!$L$5+ROW()-1,설정!$L$23)&amp;""),"")</f>
        <v>AA+</v>
      </c>
      <c r="Q292" s="89" t="n">
        <f aca="false">IF(AND($A292&lt;&gt;"",ISNUMBER(E292)),IF(E292&gt;0,1,0),0)</f>
        <v>1</v>
      </c>
      <c r="R292" s="43" t="str">
        <f aca="false">IF(Q292=1,UPPER(LEFT($A292,FIND(" ",$A292&amp;" ")-1)),"")</f>
        <v>T</v>
      </c>
      <c r="S292" s="89" t="n">
        <f aca="false">IF(Q292=1,IF(OR(ISNUMBER(SEARCH("Float",$A292)),ISNUMBER(SEARCH("FRN",$A292))),1,0),0)</f>
        <v>0</v>
      </c>
      <c r="T292" s="43" t="str">
        <f aca="false">IF(AND(Q292=1,ISNUMBER(I292)),TEXT(I292,"yyyymmdd")&amp;"|"&amp;IF(S292=1,"F",TEXT(J292,"0.000")),"")</f>
        <v>20350815|4.250</v>
      </c>
      <c r="U292" s="90" t="n">
        <f aca="false">IF(AND(Q292=1,ISNUMBER(I292)),(I292-설정!$C$4)/365.25,"")</f>
        <v>8.87063655030801</v>
      </c>
      <c r="V292" s="43" t="str">
        <f aca="false">IF(Q292&lt;&gt;1,"",IF(ISNUMBER(U292),IF(U292&lt;=1,"1년 이하",IF(U292&lt;=2,"1-2년",IF(U292&lt;=3,"2-3년",IF(U292&lt;=4,"3-4년",IF(U292&lt;=5,"4-5년",IF(U292&lt;=7,"5-7년",IF(U292&lt;=10,"7-10년",IF(U292&lt;=20,"10-20년","20년 이상")))))))),"미분류"))</f>
        <v>7-10년</v>
      </c>
      <c r="W292" s="43" t="str">
        <f aca="false">IF(Q292&lt;&gt;1,"",IF(AB292&lt;&gt;"",INDEX(시장분석!$C:$C,AB292),IF(K292=1,"USD","비USD")))</f>
        <v>USD</v>
      </c>
      <c r="X292" s="91" t="n">
        <f aca="false">IF(Q292=1,E292*K292/1000000,0)</f>
        <v>15</v>
      </c>
      <c r="Y292" s="89" t="n">
        <f aca="false">IF(R292="T",1,0)</f>
        <v>1</v>
      </c>
      <c r="Z292" s="92" t="n">
        <f aca="false">IF(Q292&lt;&gt;1,"",IF(AD292=1,IF(ISNUMBER(U292),MAX(U292,0),H292),H292))</f>
        <v>7.1359</v>
      </c>
      <c r="AA292" s="91" t="n">
        <f aca="false">IF(Q292=1,IF(ISNUMBER(L292),L292,0)*K292/1000000,0)</f>
        <v>13.98987</v>
      </c>
      <c r="AB292" s="89" t="n">
        <f aca="false">IF(Q292&lt;&gt;1,"",IFERROR(MATCH(VLOOKUP(B292,매핑!$H$4:$I$15,2,0),시장분석!$A$2:$A$601,0)+1,IFERROR(MATCH(R292&amp;"|"&amp;T292,시장분석!$V$2:$V$601,0)+1,IF(COUNTIF(시장분석!$U$2:$U$601,T292)=1,MATCH(T292,시장분석!$U$2:$U$601,0)+1,""))))</f>
        <v>123</v>
      </c>
      <c r="AC292" s="89" t="n">
        <f aca="false">IF(Q292&lt;&gt;1,0,IF(OR(설정!$C$5="전체",AND(설정!$C$5="선택펀드",IFERROR(COUNTIFS(설정!$F$16:$F$36,C292,설정!$G$16:$G$36,"Y")+COUNTIFS(설정!$F$16:$F$36,VALUE(C292),설정!$G$16:$G$36,"Y"),0)&gt;0),C292&amp;""=설정!$C$5&amp;""),1,0))</f>
        <v>0</v>
      </c>
      <c r="AD292" s="89" t="n">
        <f aca="false">IF(Q292&lt;&gt;1,0,IF(OR(S292=1,IF(AB292="",FALSE(),INDEX(시장분석!$R:$R,AB292)=1)),1,0))</f>
        <v>0</v>
      </c>
      <c r="AE292" s="43" t="str">
        <f aca="false">IF(AB292="","",INDEX(시장분석!$A:$A,AB292))</f>
        <v>T 4 1/4 08/15/35</v>
      </c>
      <c r="AF292" s="93" t="n">
        <f aca="false">IF(AB292="","",IF(ISNUMBER(IF(AB292="","",INDEX(시장분석!$E:$E,AB292))),IF(AB292="","",INDEX(시장분석!$E:$E,AB292)),""))</f>
        <v>-1.749</v>
      </c>
      <c r="AG292" s="43" t="str">
        <f aca="false">IF(Q292&lt;&gt;1,"",IF(AB292&lt;&gt;"",IF(AB292="","",INDEX(시장분석!$L:$L,AB292)),IFERROR(IF(VLOOKUP(R292,매핑!$A$4:$E$92,5,0)="","미분류",VLOOKUP(R292,매핑!$A$4:$E$92,5,0)),"미분류")))</f>
        <v>정부</v>
      </c>
      <c r="AH292" s="43" t="str">
        <f aca="false">IF(Q292&lt;&gt;1,"",IF(AB292&lt;&gt;"",IF(AB292="","",INDEX(시장분석!$N:$N,AB292)),IFERROR(IF(VLOOKUP(R292,매핑!$A$4:$E$92,4,0)="","미분류",VLOOKUP(R292,매핑!$A$4:$E$92,4,0)),"미분류")))</f>
        <v>미국</v>
      </c>
      <c r="AI292" s="43" t="str">
        <f aca="false">IF(Q292&lt;&gt;1,"",IFERROR(IF(VLOOKUP(R292,매핑!$A$4:$E$92,3,0)="","미분류",VLOOKUP(R292,매핑!$A$4:$E$92,3,0)),IF(AB292&lt;&gt;"",IF(AB292="","",INDEX(시장분석!$W:$W,AB292)),"미분류")))</f>
        <v>미국</v>
      </c>
      <c r="AJ292" s="43" t="str">
        <f aca="false">IF(Q292&lt;&gt;1,"",IFERROR(VLOOKUP(IF(N292&lt;&gt;"",N292,IF(P292&lt;&gt;"",P292,O292)),설정!$A$15:$D$47,2,0),""))</f>
        <v>AA+</v>
      </c>
      <c r="AK292" s="43" t="str">
        <f aca="false">IF(Q292&lt;&gt;1,"",IF(AJ292="","무등급",IFERROR(VLOOKUP(AJ292,설정!$A$15:$D$47,3,0),"무등급")))</f>
        <v>AA이상</v>
      </c>
      <c r="AL292" s="89" t="n">
        <f aca="false">IF(AJ292="",99,IFERROR(VLOOKUP(AJ292,설정!$A$15:$D$47,4,0),99))</f>
        <v>2</v>
      </c>
      <c r="AM292" s="94" t="n">
        <f aca="false">IF(ISNUMBER(H292),AA292*1000000*H292/10000,0)</f>
        <v>9983.0313333</v>
      </c>
      <c r="AN292" s="94" t="n">
        <f aca="false">IF(OR(Y292=1,NOT(ISNUMBER(Z292))),0,AA292*1000000*Z292/10000)</f>
        <v>0</v>
      </c>
      <c r="AO292" s="94" t="n">
        <f aca="false">IF(ISNUMBER(G292),AA292*1000000*G292/100,0)</f>
        <v>728298.64233</v>
      </c>
      <c r="AP292" s="94" t="n">
        <f aca="false">IF(ISNUMBER(M292),M292*K292,0)</f>
        <v>-1162495.82</v>
      </c>
      <c r="AQ292" s="95" t="str">
        <f aca="false">IF(AB292="","",INDEX(시장분석!$AK:$AK,AB292))</f>
        <v/>
      </c>
      <c r="AR292" s="43" t="str">
        <f aca="false">IF(AB292="","-",IF(AB292="","",INDEX(시장분석!$AL:$AL,AB292)))</f>
        <v>-</v>
      </c>
      <c r="AS292" s="96" t="str">
        <f aca="false">IF(AB292="","",INDEX(시장분석!$AJ:$AJ,AB292))</f>
        <v/>
      </c>
      <c r="AT292" s="93" t="n">
        <f aca="false">IF(AB292="",0,IF(AB292="","",INDEX(시장분석!$AN:$AN,AB292)))</f>
        <v>0</v>
      </c>
      <c r="AU292" s="94" t="n">
        <f aca="false">IF(ISNUMBER(Z292),AT292/10000*MAX(Z292-1,0)*AA292*1000000,0)</f>
        <v>0</v>
      </c>
      <c r="AV292" s="94" t="n">
        <f aca="false">AO292+AU292</f>
        <v>728298.64233</v>
      </c>
      <c r="AW292" s="43" t="str">
        <f aca="false">IF(Q292&lt;&gt;1,"",TRIM(IF(AD292=1,"FRN ","")&amp;IF(AND(AL292&gt;=10,AL292&lt;99),"BBB0미만 ","")&amp;IF(AJ292="","등급없음 ","")&amp;IF(K292&lt;&gt;1,"비USD ","")&amp;IF(AND(AB292="",Y292=0),"시장데이터없음 ","")&amp;IF(AND(ISNUMBER(U292),U292&lt;0),"만기경과 ","")))</f>
        <v/>
      </c>
      <c r="AX292" s="90" t="n">
        <f aca="false">IF(Q292&lt;&gt;1,1,IF(스프레드쇼크!$C$4="Y",INDEX(스프레드쇼크!$B$12:$L$16,IFERROR(MATCH(AH292,스프레드쇼크!$A$12:$A$16,0),MATCH("목록외",스프레드쇼크!$A$12:$A$16,0)),IFERROR(MATCH(AG292,스프레드쇼크!$B$11:$L$11,0),MATCH("목록외",스프레드쇼크!$B$11:$L$11,0))),1))</f>
        <v>1</v>
      </c>
      <c r="AY292" s="90" t="n">
        <f aca="false">IF(스프레드쇼크!$C$5="Y",IF(ISNUMBER(AF292),MIN(스프레드쇼크!$C$7,MAX(스프레드쇼크!$C$6,AF292/스프레드쇼크!$C$8)),1),1)</f>
        <v>0.25</v>
      </c>
      <c r="AZ292" s="94" t="n">
        <f aca="false">AN292*AX292*AY292</f>
        <v>0</v>
      </c>
      <c r="BA292" s="90" t="n">
        <f aca="false">IF(ISNUMBER(G292),AA292*G292,0)</f>
        <v>72.829864233</v>
      </c>
      <c r="BB292" s="90" t="n">
        <f aca="false">IF(ISNUMBER(G292),AA292,0)</f>
        <v>13.98987</v>
      </c>
      <c r="BC292" s="90" t="n">
        <f aca="false">IF(AND(Y292=0,ISNUMBER(AF292)),AA292*AF292,0)</f>
        <v>0</v>
      </c>
      <c r="BD292" s="90" t="n">
        <f aca="false">IF(AND(Y292=0,ISNUMBER(AF292)),AA292,0)</f>
        <v>0</v>
      </c>
      <c r="BE292" s="90" t="n">
        <f aca="false">IF(ISNUMBER(H292),AA292*H292,0)</f>
        <v>99.830313333</v>
      </c>
      <c r="BF292" s="90" t="n">
        <f aca="false">IF(ISNUMBER(H292),AA292,0)</f>
        <v>13.98987</v>
      </c>
      <c r="BG292" s="90" t="n">
        <f aca="false">IF(AND(Y292=0,ISNUMBER(AF292),ISNUMBER(Z292)),AA292*Z292,0)</f>
        <v>0</v>
      </c>
      <c r="BH292" s="90" t="n">
        <f aca="false">IF(AND(Y292=0,ISNUMBER(AF292),ISNUMBER(Z292)),AA292*AT292*MAX(Z292-1,0),0)</f>
        <v>0</v>
      </c>
      <c r="BI292" s="90" t="n">
        <f aca="false">IF(Y292=0,AA292,0)</f>
        <v>0</v>
      </c>
    </row>
    <row r="293" customFormat="false" ht="15" hidden="false" customHeight="false" outlineLevel="0" collapsed="false">
      <c r="A293" s="83" t="str">
        <f aca="false">IFERROR(IF(INDEX(원자료_잔고!$A$1:$EZ$1500,설정!$L$5+ROW()-1,설정!$L$8)&amp;""="0","",INDEX(원자료_잔고!$A$1:$EZ$1500,설정!$L$5+ROW()-1,설정!$L$8)&amp;""),"")</f>
        <v>T 4.25 08/15/35</v>
      </c>
      <c r="B293" s="83" t="str">
        <f aca="false">IFERROR(IF(INDEX(원자료_잔고!$A$1:$EZ$1500,설정!$L$5+ROW()-1,설정!$L$7)&amp;""="0","",INDEX(원자료_잔고!$A$1:$EZ$1500,설정!$L$5+ROW()-1,설정!$L$7)&amp;""),"")</f>
        <v>US91282CNT44</v>
      </c>
      <c r="C293" s="83" t="str">
        <f aca="false">IFERROR(IF(INDEX(원자료_잔고!$A$1:$EZ$1500,설정!$L$5+ROW()-1,설정!$L$9)&amp;""="0","",INDEX(원자료_잔고!$A$1:$EZ$1500,설정!$L$5+ROW()-1,설정!$L$9)&amp;""),"")</f>
        <v>38038</v>
      </c>
      <c r="D293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93" s="84" t="n">
        <f aca="false">IFERROR(IF(ISNUMBER(INDEX(원자료_잔고!$A$1:$EZ$1500,설정!$L$5+ROW()-1,설정!$L$11)),INDEX(원자료_잔고!$A$1:$EZ$1500,설정!$L$5+ROW()-1,설정!$L$11),""),"")</f>
        <v>6000000</v>
      </c>
      <c r="F293" s="85" t="n">
        <f aca="false">IFERROR(IF(ISNUMBER(INDEX(원자료_잔고!$A$1:$EZ$1500,설정!$L$5+ROW()-1,설정!$L$12)),INDEX(원자료_잔고!$A$1:$EZ$1500,설정!$L$5+ROW()-1,설정!$L$12),""),"")</f>
        <v>93.2658</v>
      </c>
      <c r="G293" s="85" t="n">
        <f aca="false">IFERROR(IF(ISNUMBER(INDEX(원자료_잔고!$A$1:$EZ$1500,설정!$L$5+ROW()-1,설정!$L$13)),INDEX(원자료_잔고!$A$1:$EZ$1500,설정!$L$5+ROW()-1,설정!$L$13),""),"")</f>
        <v>5.2059</v>
      </c>
      <c r="H293" s="85" t="n">
        <f aca="false">IFERROR(IF(ISNUMBER(INDEX(원자료_잔고!$A$1:$EZ$1500,설정!$L$5+ROW()-1,설정!$L$14)),INDEX(원자료_잔고!$A$1:$EZ$1500,설정!$L$5+ROW()-1,설정!$L$14),""),"")</f>
        <v>7.1359</v>
      </c>
      <c r="I293" s="86" t="n">
        <f aca="false">IFERROR(IF(ISNUMBER(INDEX(원자료_잔고!$A$1:$EZ$1500,설정!$L$5+ROW()-1,설정!$L$15)),INDEX(원자료_잔고!$A$1:$EZ$1500,설정!$L$5+ROW()-1,설정!$L$15),""),"")</f>
        <v>49536</v>
      </c>
      <c r="J293" s="85" t="n">
        <f aca="false">IFERROR(IF(ISNUMBER(INDEX(원자료_잔고!$A$1:$EZ$1500,설정!$L$5+ROW()-1,설정!$L$16)),INDEX(원자료_잔고!$A$1:$EZ$1500,설정!$L$5+ROW()-1,설정!$L$16),""),"")</f>
        <v>4.25</v>
      </c>
      <c r="K293" s="87" t="n">
        <f aca="false">IFERROR(IF(ISNUMBER(INDEX(원자료_잔고!$A$1:$EZ$1500,설정!$L$5+ROW()-1,설정!$L$17)),INDEX(원자료_잔고!$A$1:$EZ$1500,설정!$L$5+ROW()-1,설정!$L$17),""),"")</f>
        <v>1</v>
      </c>
      <c r="L293" s="84" t="n">
        <f aca="false">IFERROR(IF(ISNUMBER(INDEX(원자료_잔고!$A$1:$EZ$1500,설정!$L$5+ROW()-1,설정!$L$18)),INDEX(원자료_잔고!$A$1:$EZ$1500,설정!$L$5+ROW()-1,설정!$L$18),""),"")</f>
        <v>5595948</v>
      </c>
      <c r="M293" s="88" t="n">
        <f aca="false">IFERROR(IF(ISNUMBER(INDEX(원자료_잔고!$A$1:$EZ$1500,설정!$L$5+ROW()-1,설정!$L$19)),INDEX(원자료_잔고!$A$1:$EZ$1500,설정!$L$5+ROW()-1,설정!$L$19),""),"")</f>
        <v>-464998.27</v>
      </c>
      <c r="N293" s="83" t="str">
        <f aca="false">IFERROR(IF(INDEX(원자료_잔고!$A$1:$EZ$1500,설정!$L$5+ROW()-1,설정!$L$21)&amp;""="0","",INDEX(원자료_잔고!$A$1:$EZ$1500,설정!$L$5+ROW()-1,설정!$L$21)&amp;""),"")</f>
        <v/>
      </c>
      <c r="O293" s="83" t="str">
        <f aca="false">IFERROR(IF(INDEX(원자료_잔고!$A$1:$EZ$1500,설정!$L$5+ROW()-1,설정!$L$22)&amp;""="0","",INDEX(원자료_잔고!$A$1:$EZ$1500,설정!$L$5+ROW()-1,설정!$L$22)&amp;""),"")</f>
        <v/>
      </c>
      <c r="P293" s="83" t="str">
        <f aca="false">IFERROR(IF(INDEX(원자료_잔고!$A$1:$EZ$1500,설정!$L$5+ROW()-1,설정!$L$23)&amp;""="0","",INDEX(원자료_잔고!$A$1:$EZ$1500,설정!$L$5+ROW()-1,설정!$L$23)&amp;""),"")</f>
        <v>AA+</v>
      </c>
      <c r="Q293" s="89" t="n">
        <f aca="false">IF(AND($A293&lt;&gt;"",ISNUMBER(E293)),IF(E293&gt;0,1,0),0)</f>
        <v>1</v>
      </c>
      <c r="R293" s="43" t="str">
        <f aca="false">IF(Q293=1,UPPER(LEFT($A293,FIND(" ",$A293&amp;" ")-1)),"")</f>
        <v>T</v>
      </c>
      <c r="S293" s="89" t="n">
        <f aca="false">IF(Q293=1,IF(OR(ISNUMBER(SEARCH("Float",$A293)),ISNUMBER(SEARCH("FRN",$A293))),1,0),0)</f>
        <v>0</v>
      </c>
      <c r="T293" s="43" t="str">
        <f aca="false">IF(AND(Q293=1,ISNUMBER(I293)),TEXT(I293,"yyyymmdd")&amp;"|"&amp;IF(S293=1,"F",TEXT(J293,"0.000")),"")</f>
        <v>20350815|4.250</v>
      </c>
      <c r="U293" s="90" t="n">
        <f aca="false">IF(AND(Q293=1,ISNUMBER(I293)),(I293-설정!$C$4)/365.25,"")</f>
        <v>8.87063655030801</v>
      </c>
      <c r="V293" s="43" t="str">
        <f aca="false">IF(Q293&lt;&gt;1,"",IF(ISNUMBER(U293),IF(U293&lt;=1,"1년 이하",IF(U293&lt;=2,"1-2년",IF(U293&lt;=3,"2-3년",IF(U293&lt;=4,"3-4년",IF(U293&lt;=5,"4-5년",IF(U293&lt;=7,"5-7년",IF(U293&lt;=10,"7-10년",IF(U293&lt;=20,"10-20년","20년 이상")))))))),"미분류"))</f>
        <v>7-10년</v>
      </c>
      <c r="W293" s="43" t="str">
        <f aca="false">IF(Q293&lt;&gt;1,"",IF(AB293&lt;&gt;"",INDEX(시장분석!$C:$C,AB293),IF(K293=1,"USD","비USD")))</f>
        <v>USD</v>
      </c>
      <c r="X293" s="91" t="n">
        <f aca="false">IF(Q293=1,E293*K293/1000000,0)</f>
        <v>6</v>
      </c>
      <c r="Y293" s="89" t="n">
        <f aca="false">IF(R293="T",1,0)</f>
        <v>1</v>
      </c>
      <c r="Z293" s="92" t="n">
        <f aca="false">IF(Q293&lt;&gt;1,"",IF(AD293=1,IF(ISNUMBER(U293),MAX(U293,0),H293),H293))</f>
        <v>7.1359</v>
      </c>
      <c r="AA293" s="91" t="n">
        <f aca="false">IF(Q293=1,IF(ISNUMBER(L293),L293,0)*K293/1000000,0)</f>
        <v>5.595948</v>
      </c>
      <c r="AB293" s="89" t="n">
        <f aca="false">IF(Q293&lt;&gt;1,"",IFERROR(MATCH(VLOOKUP(B293,매핑!$H$4:$I$15,2,0),시장분석!$A$2:$A$601,0)+1,IFERROR(MATCH(R293&amp;"|"&amp;T293,시장분석!$V$2:$V$601,0)+1,IF(COUNTIF(시장분석!$U$2:$U$601,T293)=1,MATCH(T293,시장분석!$U$2:$U$601,0)+1,""))))</f>
        <v>123</v>
      </c>
      <c r="AC293" s="89" t="n">
        <f aca="false">IF(Q293&lt;&gt;1,0,IF(OR(설정!$C$5="전체",AND(설정!$C$5="선택펀드",IFERROR(COUNTIFS(설정!$F$16:$F$36,C293,설정!$G$16:$G$36,"Y")+COUNTIFS(설정!$F$16:$F$36,VALUE(C293),설정!$G$16:$G$36,"Y"),0)&gt;0),C293&amp;""=설정!$C$5&amp;""),1,0))</f>
        <v>0</v>
      </c>
      <c r="AD293" s="89" t="n">
        <f aca="false">IF(Q293&lt;&gt;1,0,IF(OR(S293=1,IF(AB293="",FALSE(),INDEX(시장분석!$R:$R,AB293)=1)),1,0))</f>
        <v>0</v>
      </c>
      <c r="AE293" s="43" t="str">
        <f aca="false">IF(AB293="","",INDEX(시장분석!$A:$A,AB293))</f>
        <v>T 4 1/4 08/15/35</v>
      </c>
      <c r="AF293" s="93" t="n">
        <f aca="false">IF(AB293="","",IF(ISNUMBER(IF(AB293="","",INDEX(시장분석!$E:$E,AB293))),IF(AB293="","",INDEX(시장분석!$E:$E,AB293)),""))</f>
        <v>-1.749</v>
      </c>
      <c r="AG293" s="43" t="str">
        <f aca="false">IF(Q293&lt;&gt;1,"",IF(AB293&lt;&gt;"",IF(AB293="","",INDEX(시장분석!$L:$L,AB293)),IFERROR(IF(VLOOKUP(R293,매핑!$A$4:$E$92,5,0)="","미분류",VLOOKUP(R293,매핑!$A$4:$E$92,5,0)),"미분류")))</f>
        <v>정부</v>
      </c>
      <c r="AH293" s="43" t="str">
        <f aca="false">IF(Q293&lt;&gt;1,"",IF(AB293&lt;&gt;"",IF(AB293="","",INDEX(시장분석!$N:$N,AB293)),IFERROR(IF(VLOOKUP(R293,매핑!$A$4:$E$92,4,0)="","미분류",VLOOKUP(R293,매핑!$A$4:$E$92,4,0)),"미분류")))</f>
        <v>미국</v>
      </c>
      <c r="AI293" s="43" t="str">
        <f aca="false">IF(Q293&lt;&gt;1,"",IFERROR(IF(VLOOKUP(R293,매핑!$A$4:$E$92,3,0)="","미분류",VLOOKUP(R293,매핑!$A$4:$E$92,3,0)),IF(AB293&lt;&gt;"",IF(AB293="","",INDEX(시장분석!$W:$W,AB293)),"미분류")))</f>
        <v>미국</v>
      </c>
      <c r="AJ293" s="43" t="str">
        <f aca="false">IF(Q293&lt;&gt;1,"",IFERROR(VLOOKUP(IF(N293&lt;&gt;"",N293,IF(P293&lt;&gt;"",P293,O293)),설정!$A$15:$D$47,2,0),""))</f>
        <v>AA+</v>
      </c>
      <c r="AK293" s="43" t="str">
        <f aca="false">IF(Q293&lt;&gt;1,"",IF(AJ293="","무등급",IFERROR(VLOOKUP(AJ293,설정!$A$15:$D$47,3,0),"무등급")))</f>
        <v>AA이상</v>
      </c>
      <c r="AL293" s="89" t="n">
        <f aca="false">IF(AJ293="",99,IFERROR(VLOOKUP(AJ293,설정!$A$15:$D$47,4,0),99))</f>
        <v>2</v>
      </c>
      <c r="AM293" s="94" t="n">
        <f aca="false">IF(ISNUMBER(H293),AA293*1000000*H293/10000,0)</f>
        <v>3993.21253332</v>
      </c>
      <c r="AN293" s="94" t="n">
        <f aca="false">IF(OR(Y293=1,NOT(ISNUMBER(Z293))),0,AA293*1000000*Z293/10000)</f>
        <v>0</v>
      </c>
      <c r="AO293" s="94" t="n">
        <f aca="false">IF(ISNUMBER(G293),AA293*1000000*G293/100,0)</f>
        <v>291319.456932</v>
      </c>
      <c r="AP293" s="94" t="n">
        <f aca="false">IF(ISNUMBER(M293),M293*K293,0)</f>
        <v>-464998.27</v>
      </c>
      <c r="AQ293" s="95" t="str">
        <f aca="false">IF(AB293="","",INDEX(시장분석!$AK:$AK,AB293))</f>
        <v/>
      </c>
      <c r="AR293" s="43" t="str">
        <f aca="false">IF(AB293="","-",IF(AB293="","",INDEX(시장분석!$AL:$AL,AB293)))</f>
        <v>-</v>
      </c>
      <c r="AS293" s="96" t="str">
        <f aca="false">IF(AB293="","",INDEX(시장분석!$AJ:$AJ,AB293))</f>
        <v/>
      </c>
      <c r="AT293" s="93" t="n">
        <f aca="false">IF(AB293="",0,IF(AB293="","",INDEX(시장분석!$AN:$AN,AB293)))</f>
        <v>0</v>
      </c>
      <c r="AU293" s="94" t="n">
        <f aca="false">IF(ISNUMBER(Z293),AT293/10000*MAX(Z293-1,0)*AA293*1000000,0)</f>
        <v>0</v>
      </c>
      <c r="AV293" s="94" t="n">
        <f aca="false">AO293+AU293</f>
        <v>291319.456932</v>
      </c>
      <c r="AW293" s="43" t="str">
        <f aca="false">IF(Q293&lt;&gt;1,"",TRIM(IF(AD293=1,"FRN ","")&amp;IF(AND(AL293&gt;=10,AL293&lt;99),"BBB0미만 ","")&amp;IF(AJ293="","등급없음 ","")&amp;IF(K293&lt;&gt;1,"비USD ","")&amp;IF(AND(AB293="",Y293=0),"시장데이터없음 ","")&amp;IF(AND(ISNUMBER(U293),U293&lt;0),"만기경과 ","")))</f>
        <v/>
      </c>
      <c r="AX293" s="90" t="n">
        <f aca="false">IF(Q293&lt;&gt;1,1,IF(스프레드쇼크!$C$4="Y",INDEX(스프레드쇼크!$B$12:$L$16,IFERROR(MATCH(AH293,스프레드쇼크!$A$12:$A$16,0),MATCH("목록외",스프레드쇼크!$A$12:$A$16,0)),IFERROR(MATCH(AG293,스프레드쇼크!$B$11:$L$11,0),MATCH("목록외",스프레드쇼크!$B$11:$L$11,0))),1))</f>
        <v>1</v>
      </c>
      <c r="AY293" s="90" t="n">
        <f aca="false">IF(스프레드쇼크!$C$5="Y",IF(ISNUMBER(AF293),MIN(스프레드쇼크!$C$7,MAX(스프레드쇼크!$C$6,AF293/스프레드쇼크!$C$8)),1),1)</f>
        <v>0.25</v>
      </c>
      <c r="AZ293" s="94" t="n">
        <f aca="false">AN293*AX293*AY293</f>
        <v>0</v>
      </c>
      <c r="BA293" s="90" t="n">
        <f aca="false">IF(ISNUMBER(G293),AA293*G293,0)</f>
        <v>29.1319456932</v>
      </c>
      <c r="BB293" s="90" t="n">
        <f aca="false">IF(ISNUMBER(G293),AA293,0)</f>
        <v>5.595948</v>
      </c>
      <c r="BC293" s="90" t="n">
        <f aca="false">IF(AND(Y293=0,ISNUMBER(AF293)),AA293*AF293,0)</f>
        <v>0</v>
      </c>
      <c r="BD293" s="90" t="n">
        <f aca="false">IF(AND(Y293=0,ISNUMBER(AF293)),AA293,0)</f>
        <v>0</v>
      </c>
      <c r="BE293" s="90" t="n">
        <f aca="false">IF(ISNUMBER(H293),AA293*H293,0)</f>
        <v>39.9321253332</v>
      </c>
      <c r="BF293" s="90" t="n">
        <f aca="false">IF(ISNUMBER(H293),AA293,0)</f>
        <v>5.595948</v>
      </c>
      <c r="BG293" s="90" t="n">
        <f aca="false">IF(AND(Y293=0,ISNUMBER(AF293),ISNUMBER(Z293)),AA293*Z293,0)</f>
        <v>0</v>
      </c>
      <c r="BH293" s="90" t="n">
        <f aca="false">IF(AND(Y293=0,ISNUMBER(AF293),ISNUMBER(Z293)),AA293*AT293*MAX(Z293-1,0),0)</f>
        <v>0</v>
      </c>
      <c r="BI293" s="90" t="n">
        <f aca="false">IF(Y293=0,AA293,0)</f>
        <v>0</v>
      </c>
    </row>
    <row r="294" customFormat="false" ht="15" hidden="false" customHeight="false" outlineLevel="0" collapsed="false">
      <c r="A294" s="83" t="str">
        <f aca="false">IFERROR(IF(INDEX(원자료_잔고!$A$1:$EZ$1500,설정!$L$5+ROW()-1,설정!$L$8)&amp;""="0","",INDEX(원자료_잔고!$A$1:$EZ$1500,설정!$L$5+ROW()-1,설정!$L$8)&amp;""),"")</f>
        <v>T 4.25 08/15/35</v>
      </c>
      <c r="B294" s="83" t="str">
        <f aca="false">IFERROR(IF(INDEX(원자료_잔고!$A$1:$EZ$1500,설정!$L$5+ROW()-1,설정!$L$7)&amp;""="0","",INDEX(원자료_잔고!$A$1:$EZ$1500,설정!$L$5+ROW()-1,설정!$L$7)&amp;""),"")</f>
        <v>US91282CNT44</v>
      </c>
      <c r="C294" s="83" t="str">
        <f aca="false">IFERROR(IF(INDEX(원자료_잔고!$A$1:$EZ$1500,설정!$L$5+ROW()-1,설정!$L$9)&amp;""="0","",INDEX(원자료_잔고!$A$1:$EZ$1500,설정!$L$5+ROW()-1,설정!$L$9)&amp;""),"")</f>
        <v>38038</v>
      </c>
      <c r="D294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94" s="84" t="n">
        <f aca="false">IFERROR(IF(ISNUMBER(INDEX(원자료_잔고!$A$1:$EZ$1500,설정!$L$5+ROW()-1,설정!$L$11)),INDEX(원자료_잔고!$A$1:$EZ$1500,설정!$L$5+ROW()-1,설정!$L$11),""),"")</f>
        <v>23000000</v>
      </c>
      <c r="F294" s="85" t="n">
        <f aca="false">IFERROR(IF(ISNUMBER(INDEX(원자료_잔고!$A$1:$EZ$1500,설정!$L$5+ROW()-1,설정!$L$12)),INDEX(원자료_잔고!$A$1:$EZ$1500,설정!$L$5+ROW()-1,설정!$L$12),""),"")</f>
        <v>93.2658</v>
      </c>
      <c r="G294" s="85" t="n">
        <f aca="false">IFERROR(IF(ISNUMBER(INDEX(원자료_잔고!$A$1:$EZ$1500,설정!$L$5+ROW()-1,설정!$L$13)),INDEX(원자료_잔고!$A$1:$EZ$1500,설정!$L$5+ROW()-1,설정!$L$13),""),"")</f>
        <v>5.2059</v>
      </c>
      <c r="H294" s="85" t="n">
        <f aca="false">IFERROR(IF(ISNUMBER(INDEX(원자료_잔고!$A$1:$EZ$1500,설정!$L$5+ROW()-1,설정!$L$14)),INDEX(원자료_잔고!$A$1:$EZ$1500,설정!$L$5+ROW()-1,설정!$L$14),""),"")</f>
        <v>7.1359</v>
      </c>
      <c r="I294" s="86" t="n">
        <f aca="false">IFERROR(IF(ISNUMBER(INDEX(원자료_잔고!$A$1:$EZ$1500,설정!$L$5+ROW()-1,설정!$L$15)),INDEX(원자료_잔고!$A$1:$EZ$1500,설정!$L$5+ROW()-1,설정!$L$15),""),"")</f>
        <v>49536</v>
      </c>
      <c r="J294" s="85" t="n">
        <f aca="false">IFERROR(IF(ISNUMBER(INDEX(원자료_잔고!$A$1:$EZ$1500,설정!$L$5+ROW()-1,설정!$L$16)),INDEX(원자료_잔고!$A$1:$EZ$1500,설정!$L$5+ROW()-1,설정!$L$16),""),"")</f>
        <v>4.25</v>
      </c>
      <c r="K294" s="87" t="n">
        <f aca="false">IFERROR(IF(ISNUMBER(INDEX(원자료_잔고!$A$1:$EZ$1500,설정!$L$5+ROW()-1,설정!$L$17)),INDEX(원자료_잔고!$A$1:$EZ$1500,설정!$L$5+ROW()-1,설정!$L$17),""),"")</f>
        <v>1</v>
      </c>
      <c r="L294" s="84" t="n">
        <f aca="false">IFERROR(IF(ISNUMBER(INDEX(원자료_잔고!$A$1:$EZ$1500,설정!$L$5+ROW()-1,설정!$L$18)),INDEX(원자료_잔고!$A$1:$EZ$1500,설정!$L$5+ROW()-1,설정!$L$18),""),"")</f>
        <v>21451134</v>
      </c>
      <c r="M294" s="88" t="n">
        <f aca="false">IFERROR(IF(ISNUMBER(INDEX(원자료_잔고!$A$1:$EZ$1500,설정!$L$5+ROW()-1,설정!$L$19)),INDEX(원자료_잔고!$A$1:$EZ$1500,설정!$L$5+ROW()-1,설정!$L$19),""),"")</f>
        <v>-1778481.31</v>
      </c>
      <c r="N294" s="83" t="str">
        <f aca="false">IFERROR(IF(INDEX(원자료_잔고!$A$1:$EZ$1500,설정!$L$5+ROW()-1,설정!$L$21)&amp;""="0","",INDEX(원자료_잔고!$A$1:$EZ$1500,설정!$L$5+ROW()-1,설정!$L$21)&amp;""),"")</f>
        <v/>
      </c>
      <c r="O294" s="83" t="str">
        <f aca="false">IFERROR(IF(INDEX(원자료_잔고!$A$1:$EZ$1500,설정!$L$5+ROW()-1,설정!$L$22)&amp;""="0","",INDEX(원자료_잔고!$A$1:$EZ$1500,설정!$L$5+ROW()-1,설정!$L$22)&amp;""),"")</f>
        <v/>
      </c>
      <c r="P294" s="83" t="str">
        <f aca="false">IFERROR(IF(INDEX(원자료_잔고!$A$1:$EZ$1500,설정!$L$5+ROW()-1,설정!$L$23)&amp;""="0","",INDEX(원자료_잔고!$A$1:$EZ$1500,설정!$L$5+ROW()-1,설정!$L$23)&amp;""),"")</f>
        <v>AA+</v>
      </c>
      <c r="Q294" s="89" t="n">
        <f aca="false">IF(AND($A294&lt;&gt;"",ISNUMBER(E294)),IF(E294&gt;0,1,0),0)</f>
        <v>1</v>
      </c>
      <c r="R294" s="43" t="str">
        <f aca="false">IF(Q294=1,UPPER(LEFT($A294,FIND(" ",$A294&amp;" ")-1)),"")</f>
        <v>T</v>
      </c>
      <c r="S294" s="89" t="n">
        <f aca="false">IF(Q294=1,IF(OR(ISNUMBER(SEARCH("Float",$A294)),ISNUMBER(SEARCH("FRN",$A294))),1,0),0)</f>
        <v>0</v>
      </c>
      <c r="T294" s="43" t="str">
        <f aca="false">IF(AND(Q294=1,ISNUMBER(I294)),TEXT(I294,"yyyymmdd")&amp;"|"&amp;IF(S294=1,"F",TEXT(J294,"0.000")),"")</f>
        <v>20350815|4.250</v>
      </c>
      <c r="U294" s="90" t="n">
        <f aca="false">IF(AND(Q294=1,ISNUMBER(I294)),(I294-설정!$C$4)/365.25,"")</f>
        <v>8.87063655030801</v>
      </c>
      <c r="V294" s="43" t="str">
        <f aca="false">IF(Q294&lt;&gt;1,"",IF(ISNUMBER(U294),IF(U294&lt;=1,"1년 이하",IF(U294&lt;=2,"1-2년",IF(U294&lt;=3,"2-3년",IF(U294&lt;=4,"3-4년",IF(U294&lt;=5,"4-5년",IF(U294&lt;=7,"5-7년",IF(U294&lt;=10,"7-10년",IF(U294&lt;=20,"10-20년","20년 이상")))))))),"미분류"))</f>
        <v>7-10년</v>
      </c>
      <c r="W294" s="43" t="str">
        <f aca="false">IF(Q294&lt;&gt;1,"",IF(AB294&lt;&gt;"",INDEX(시장분석!$C:$C,AB294),IF(K294=1,"USD","비USD")))</f>
        <v>USD</v>
      </c>
      <c r="X294" s="91" t="n">
        <f aca="false">IF(Q294=1,E294*K294/1000000,0)</f>
        <v>23</v>
      </c>
      <c r="Y294" s="89" t="n">
        <f aca="false">IF(R294="T",1,0)</f>
        <v>1</v>
      </c>
      <c r="Z294" s="92" t="n">
        <f aca="false">IF(Q294&lt;&gt;1,"",IF(AD294=1,IF(ISNUMBER(U294),MAX(U294,0),H294),H294))</f>
        <v>7.1359</v>
      </c>
      <c r="AA294" s="91" t="n">
        <f aca="false">IF(Q294=1,IF(ISNUMBER(L294),L294,0)*K294/1000000,0)</f>
        <v>21.451134</v>
      </c>
      <c r="AB294" s="89" t="n">
        <f aca="false">IF(Q294&lt;&gt;1,"",IFERROR(MATCH(VLOOKUP(B294,매핑!$H$4:$I$15,2,0),시장분석!$A$2:$A$601,0)+1,IFERROR(MATCH(R294&amp;"|"&amp;T294,시장분석!$V$2:$V$601,0)+1,IF(COUNTIF(시장분석!$U$2:$U$601,T294)=1,MATCH(T294,시장분석!$U$2:$U$601,0)+1,""))))</f>
        <v>123</v>
      </c>
      <c r="AC294" s="89" t="n">
        <f aca="false">IF(Q294&lt;&gt;1,0,IF(OR(설정!$C$5="전체",AND(설정!$C$5="선택펀드",IFERROR(COUNTIFS(설정!$F$16:$F$36,C294,설정!$G$16:$G$36,"Y")+COUNTIFS(설정!$F$16:$F$36,VALUE(C294),설정!$G$16:$G$36,"Y"),0)&gt;0),C294&amp;""=설정!$C$5&amp;""),1,0))</f>
        <v>0</v>
      </c>
      <c r="AD294" s="89" t="n">
        <f aca="false">IF(Q294&lt;&gt;1,0,IF(OR(S294=1,IF(AB294="",FALSE(),INDEX(시장분석!$R:$R,AB294)=1)),1,0))</f>
        <v>0</v>
      </c>
      <c r="AE294" s="43" t="str">
        <f aca="false">IF(AB294="","",INDEX(시장분석!$A:$A,AB294))</f>
        <v>T 4 1/4 08/15/35</v>
      </c>
      <c r="AF294" s="93" t="n">
        <f aca="false">IF(AB294="","",IF(ISNUMBER(IF(AB294="","",INDEX(시장분석!$E:$E,AB294))),IF(AB294="","",INDEX(시장분석!$E:$E,AB294)),""))</f>
        <v>-1.749</v>
      </c>
      <c r="AG294" s="43" t="str">
        <f aca="false">IF(Q294&lt;&gt;1,"",IF(AB294&lt;&gt;"",IF(AB294="","",INDEX(시장분석!$L:$L,AB294)),IFERROR(IF(VLOOKUP(R294,매핑!$A$4:$E$92,5,0)="","미분류",VLOOKUP(R294,매핑!$A$4:$E$92,5,0)),"미분류")))</f>
        <v>정부</v>
      </c>
      <c r="AH294" s="43" t="str">
        <f aca="false">IF(Q294&lt;&gt;1,"",IF(AB294&lt;&gt;"",IF(AB294="","",INDEX(시장분석!$N:$N,AB294)),IFERROR(IF(VLOOKUP(R294,매핑!$A$4:$E$92,4,0)="","미분류",VLOOKUP(R294,매핑!$A$4:$E$92,4,0)),"미분류")))</f>
        <v>미국</v>
      </c>
      <c r="AI294" s="43" t="str">
        <f aca="false">IF(Q294&lt;&gt;1,"",IFERROR(IF(VLOOKUP(R294,매핑!$A$4:$E$92,3,0)="","미분류",VLOOKUP(R294,매핑!$A$4:$E$92,3,0)),IF(AB294&lt;&gt;"",IF(AB294="","",INDEX(시장분석!$W:$W,AB294)),"미분류")))</f>
        <v>미국</v>
      </c>
      <c r="AJ294" s="43" t="str">
        <f aca="false">IF(Q294&lt;&gt;1,"",IFERROR(VLOOKUP(IF(N294&lt;&gt;"",N294,IF(P294&lt;&gt;"",P294,O294)),설정!$A$15:$D$47,2,0),""))</f>
        <v>AA+</v>
      </c>
      <c r="AK294" s="43" t="str">
        <f aca="false">IF(Q294&lt;&gt;1,"",IF(AJ294="","무등급",IFERROR(VLOOKUP(AJ294,설정!$A$15:$D$47,3,0),"무등급")))</f>
        <v>AA이상</v>
      </c>
      <c r="AL294" s="89" t="n">
        <f aca="false">IF(AJ294="",99,IFERROR(VLOOKUP(AJ294,설정!$A$15:$D$47,4,0),99))</f>
        <v>2</v>
      </c>
      <c r="AM294" s="94" t="n">
        <f aca="false">IF(ISNUMBER(H294),AA294*1000000*H294/10000,0)</f>
        <v>15307.31471106</v>
      </c>
      <c r="AN294" s="94" t="n">
        <f aca="false">IF(OR(Y294=1,NOT(ISNUMBER(Z294))),0,AA294*1000000*Z294/10000)</f>
        <v>0</v>
      </c>
      <c r="AO294" s="94" t="n">
        <f aca="false">IF(ISNUMBER(G294),AA294*1000000*G294/100,0)</f>
        <v>1116724.584906</v>
      </c>
      <c r="AP294" s="94" t="n">
        <f aca="false">IF(ISNUMBER(M294),M294*K294,0)</f>
        <v>-1778481.31</v>
      </c>
      <c r="AQ294" s="95" t="str">
        <f aca="false">IF(AB294="","",INDEX(시장분석!$AK:$AK,AB294))</f>
        <v/>
      </c>
      <c r="AR294" s="43" t="str">
        <f aca="false">IF(AB294="","-",IF(AB294="","",INDEX(시장분석!$AL:$AL,AB294)))</f>
        <v>-</v>
      </c>
      <c r="AS294" s="96" t="str">
        <f aca="false">IF(AB294="","",INDEX(시장분석!$AJ:$AJ,AB294))</f>
        <v/>
      </c>
      <c r="AT294" s="93" t="n">
        <f aca="false">IF(AB294="",0,IF(AB294="","",INDEX(시장분석!$AN:$AN,AB294)))</f>
        <v>0</v>
      </c>
      <c r="AU294" s="94" t="n">
        <f aca="false">IF(ISNUMBER(Z294),AT294/10000*MAX(Z294-1,0)*AA294*1000000,0)</f>
        <v>0</v>
      </c>
      <c r="AV294" s="94" t="n">
        <f aca="false">AO294+AU294</f>
        <v>1116724.584906</v>
      </c>
      <c r="AW294" s="43" t="str">
        <f aca="false">IF(Q294&lt;&gt;1,"",TRIM(IF(AD294=1,"FRN ","")&amp;IF(AND(AL294&gt;=10,AL294&lt;99),"BBB0미만 ","")&amp;IF(AJ294="","등급없음 ","")&amp;IF(K294&lt;&gt;1,"비USD ","")&amp;IF(AND(AB294="",Y294=0),"시장데이터없음 ","")&amp;IF(AND(ISNUMBER(U294),U294&lt;0),"만기경과 ","")))</f>
        <v/>
      </c>
      <c r="AX294" s="90" t="n">
        <f aca="false">IF(Q294&lt;&gt;1,1,IF(스프레드쇼크!$C$4="Y",INDEX(스프레드쇼크!$B$12:$L$16,IFERROR(MATCH(AH294,스프레드쇼크!$A$12:$A$16,0),MATCH("목록외",스프레드쇼크!$A$12:$A$16,0)),IFERROR(MATCH(AG294,스프레드쇼크!$B$11:$L$11,0),MATCH("목록외",스프레드쇼크!$B$11:$L$11,0))),1))</f>
        <v>1</v>
      </c>
      <c r="AY294" s="90" t="n">
        <f aca="false">IF(스프레드쇼크!$C$5="Y",IF(ISNUMBER(AF294),MIN(스프레드쇼크!$C$7,MAX(스프레드쇼크!$C$6,AF294/스프레드쇼크!$C$8)),1),1)</f>
        <v>0.25</v>
      </c>
      <c r="AZ294" s="94" t="n">
        <f aca="false">AN294*AX294*AY294</f>
        <v>0</v>
      </c>
      <c r="BA294" s="90" t="n">
        <f aca="false">IF(ISNUMBER(G294),AA294*G294,0)</f>
        <v>111.6724584906</v>
      </c>
      <c r="BB294" s="90" t="n">
        <f aca="false">IF(ISNUMBER(G294),AA294,0)</f>
        <v>21.451134</v>
      </c>
      <c r="BC294" s="90" t="n">
        <f aca="false">IF(AND(Y294=0,ISNUMBER(AF294)),AA294*AF294,0)</f>
        <v>0</v>
      </c>
      <c r="BD294" s="90" t="n">
        <f aca="false">IF(AND(Y294=0,ISNUMBER(AF294)),AA294,0)</f>
        <v>0</v>
      </c>
      <c r="BE294" s="90" t="n">
        <f aca="false">IF(ISNUMBER(H294),AA294*H294,0)</f>
        <v>153.0731471106</v>
      </c>
      <c r="BF294" s="90" t="n">
        <f aca="false">IF(ISNUMBER(H294),AA294,0)</f>
        <v>21.451134</v>
      </c>
      <c r="BG294" s="90" t="n">
        <f aca="false">IF(AND(Y294=0,ISNUMBER(AF294),ISNUMBER(Z294)),AA294*Z294,0)</f>
        <v>0</v>
      </c>
      <c r="BH294" s="90" t="n">
        <f aca="false">IF(AND(Y294=0,ISNUMBER(AF294),ISNUMBER(Z294)),AA294*AT294*MAX(Z294-1,0),0)</f>
        <v>0</v>
      </c>
      <c r="BI294" s="90" t="n">
        <f aca="false">IF(Y294=0,AA294,0)</f>
        <v>0</v>
      </c>
    </row>
    <row r="295" customFormat="false" ht="15" hidden="false" customHeight="false" outlineLevel="0" collapsed="false">
      <c r="A295" s="83" t="str">
        <f aca="false">IFERROR(IF(INDEX(원자료_잔고!$A$1:$EZ$1500,설정!$L$5+ROW()-1,설정!$L$8)&amp;""="0","",INDEX(원자료_잔고!$A$1:$EZ$1500,설정!$L$5+ROW()-1,설정!$L$8)&amp;""),"")</f>
        <v>T 3.875 08/31/32</v>
      </c>
      <c r="B295" s="83" t="str">
        <f aca="false">IFERROR(IF(INDEX(원자료_잔고!$A$1:$EZ$1500,설정!$L$5+ROW()-1,설정!$L$7)&amp;""="0","",INDEX(원자료_잔고!$A$1:$EZ$1500,설정!$L$5+ROW()-1,설정!$L$7)&amp;""),"")</f>
        <v>US91282CNW72</v>
      </c>
      <c r="C295" s="83" t="str">
        <f aca="false">IFERROR(IF(INDEX(원자료_잔고!$A$1:$EZ$1500,설정!$L$5+ROW()-1,설정!$L$9)&amp;""="0","",INDEX(원자료_잔고!$A$1:$EZ$1500,설정!$L$5+ROW()-1,설정!$L$9)&amp;""),"")</f>
        <v>38038</v>
      </c>
      <c r="D295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95" s="84" t="n">
        <f aca="false">IFERROR(IF(ISNUMBER(INDEX(원자료_잔고!$A$1:$EZ$1500,설정!$L$5+ROW()-1,설정!$L$11)),INDEX(원자료_잔고!$A$1:$EZ$1500,설정!$L$5+ROW()-1,설정!$L$11),""),"")</f>
        <v>20000000</v>
      </c>
      <c r="F295" s="85" t="n">
        <f aca="false">IFERROR(IF(ISNUMBER(INDEX(원자료_잔고!$A$1:$EZ$1500,설정!$L$5+ROW()-1,설정!$L$12)),INDEX(원자료_잔고!$A$1:$EZ$1500,설정!$L$5+ROW()-1,설정!$L$12),""),"")</f>
        <v>93.8709</v>
      </c>
      <c r="G295" s="85" t="n">
        <f aca="false">IFERROR(IF(ISNUMBER(INDEX(원자료_잔고!$A$1:$EZ$1500,설정!$L$5+ROW()-1,설정!$L$13)),INDEX(원자료_잔고!$A$1:$EZ$1500,설정!$L$5+ROW()-1,설정!$L$13),""),"")</f>
        <v>5.0843</v>
      </c>
      <c r="H295" s="85" t="n">
        <f aca="false">IFERROR(IF(ISNUMBER(INDEX(원자료_잔고!$A$1:$EZ$1500,설정!$L$5+ROW()-1,설정!$L$14)),INDEX(원자료_잔고!$A$1:$EZ$1500,설정!$L$5+ROW()-1,설정!$L$14),""),"")</f>
        <v>5.1303</v>
      </c>
      <c r="I295" s="86" t="n">
        <f aca="false">IFERROR(IF(ISNUMBER(INDEX(원자료_잔고!$A$1:$EZ$1500,설정!$L$5+ROW()-1,설정!$L$15)),INDEX(원자료_잔고!$A$1:$EZ$1500,설정!$L$5+ROW()-1,설정!$L$15),""),"")</f>
        <v>48457</v>
      </c>
      <c r="J295" s="85" t="n">
        <f aca="false">IFERROR(IF(ISNUMBER(INDEX(원자료_잔고!$A$1:$EZ$1500,설정!$L$5+ROW()-1,설정!$L$16)),INDEX(원자료_잔고!$A$1:$EZ$1500,설정!$L$5+ROW()-1,설정!$L$16),""),"")</f>
        <v>3.875</v>
      </c>
      <c r="K295" s="87" t="n">
        <f aca="false">IFERROR(IF(ISNUMBER(INDEX(원자료_잔고!$A$1:$EZ$1500,설정!$L$5+ROW()-1,설정!$L$17)),INDEX(원자료_잔고!$A$1:$EZ$1500,설정!$L$5+ROW()-1,설정!$L$17),""),"")</f>
        <v>1</v>
      </c>
      <c r="L295" s="84" t="n">
        <f aca="false">IFERROR(IF(ISNUMBER(INDEX(원자료_잔고!$A$1:$EZ$1500,설정!$L$5+ROW()-1,설정!$L$18)),INDEX(원자료_잔고!$A$1:$EZ$1500,설정!$L$5+ROW()-1,설정!$L$18),""),"")</f>
        <v>18774180</v>
      </c>
      <c r="M295" s="88" t="n">
        <f aca="false">IFERROR(IF(ISNUMBER(INDEX(원자료_잔고!$A$1:$EZ$1500,설정!$L$5+ROW()-1,설정!$L$19)),INDEX(원자료_잔고!$A$1:$EZ$1500,설정!$L$5+ROW()-1,설정!$L$19),""),"")</f>
        <v>-1227880.84</v>
      </c>
      <c r="N295" s="83" t="str">
        <f aca="false">IFERROR(IF(INDEX(원자료_잔고!$A$1:$EZ$1500,설정!$L$5+ROW()-1,설정!$L$21)&amp;""="0","",INDEX(원자료_잔고!$A$1:$EZ$1500,설정!$L$5+ROW()-1,설정!$L$21)&amp;""),"")</f>
        <v/>
      </c>
      <c r="O295" s="83" t="str">
        <f aca="false">IFERROR(IF(INDEX(원자료_잔고!$A$1:$EZ$1500,설정!$L$5+ROW()-1,설정!$L$22)&amp;""="0","",INDEX(원자료_잔고!$A$1:$EZ$1500,설정!$L$5+ROW()-1,설정!$L$22)&amp;""),"")</f>
        <v/>
      </c>
      <c r="P295" s="83" t="str">
        <f aca="false">IFERROR(IF(INDEX(원자료_잔고!$A$1:$EZ$1500,설정!$L$5+ROW()-1,설정!$L$23)&amp;""="0","",INDEX(원자료_잔고!$A$1:$EZ$1500,설정!$L$5+ROW()-1,설정!$L$23)&amp;""),"")</f>
        <v>AA+</v>
      </c>
      <c r="Q295" s="89" t="n">
        <f aca="false">IF(AND($A295&lt;&gt;"",ISNUMBER(E295)),IF(E295&gt;0,1,0),0)</f>
        <v>1</v>
      </c>
      <c r="R295" s="43" t="str">
        <f aca="false">IF(Q295=1,UPPER(LEFT($A295,FIND(" ",$A295&amp;" ")-1)),"")</f>
        <v>T</v>
      </c>
      <c r="S295" s="89" t="n">
        <f aca="false">IF(Q295=1,IF(OR(ISNUMBER(SEARCH("Float",$A295)),ISNUMBER(SEARCH("FRN",$A295))),1,0),0)</f>
        <v>0</v>
      </c>
      <c r="T295" s="43" t="str">
        <f aca="false">IF(AND(Q295=1,ISNUMBER(I295)),TEXT(I295,"yyyymmdd")&amp;"|"&amp;IF(S295=1,"F",TEXT(J295,"0.000")),"")</f>
        <v>20320831|3.875</v>
      </c>
      <c r="U295" s="90" t="n">
        <f aca="false">IF(AND(Q295=1,ISNUMBER(I295)),(I295-설정!$C$4)/365.25,"")</f>
        <v>5.91649555099247</v>
      </c>
      <c r="V295" s="43" t="str">
        <f aca="false">IF(Q295&lt;&gt;1,"",IF(ISNUMBER(U295),IF(U295&lt;=1,"1년 이하",IF(U295&lt;=2,"1-2년",IF(U295&lt;=3,"2-3년",IF(U295&lt;=4,"3-4년",IF(U295&lt;=5,"4-5년",IF(U295&lt;=7,"5-7년",IF(U295&lt;=10,"7-10년",IF(U295&lt;=20,"10-20년","20년 이상")))))))),"미분류"))</f>
        <v>5-7년</v>
      </c>
      <c r="W295" s="43" t="str">
        <f aca="false">IF(Q295&lt;&gt;1,"",IF(AB295&lt;&gt;"",INDEX(시장분석!$C:$C,AB295),IF(K295=1,"USD","비USD")))</f>
        <v>USD</v>
      </c>
      <c r="X295" s="91" t="n">
        <f aca="false">IF(Q295=1,E295*K295/1000000,0)</f>
        <v>20</v>
      </c>
      <c r="Y295" s="89" t="n">
        <f aca="false">IF(R295="T",1,0)</f>
        <v>1</v>
      </c>
      <c r="Z295" s="92" t="n">
        <f aca="false">IF(Q295&lt;&gt;1,"",IF(AD295=1,IF(ISNUMBER(U295),MAX(U295,0),H295),H295))</f>
        <v>5.1303</v>
      </c>
      <c r="AA295" s="91" t="n">
        <f aca="false">IF(Q295=1,IF(ISNUMBER(L295),L295,0)*K295/1000000,0)</f>
        <v>18.77418</v>
      </c>
      <c r="AB295" s="89" t="n">
        <f aca="false">IF(Q295&lt;&gt;1,"",IFERROR(MATCH(VLOOKUP(B295,매핑!$H$4:$I$15,2,0),시장분석!$A$2:$A$601,0)+1,IFERROR(MATCH(R295&amp;"|"&amp;T295,시장분석!$V$2:$V$601,0)+1,IF(COUNTIF(시장분석!$U$2:$U$601,T295)=1,MATCH(T295,시장분석!$U$2:$U$601,0)+1,""))))</f>
        <v>124</v>
      </c>
      <c r="AC295" s="89" t="n">
        <f aca="false">IF(Q295&lt;&gt;1,0,IF(OR(설정!$C$5="전체",AND(설정!$C$5="선택펀드",IFERROR(COUNTIFS(설정!$F$16:$F$36,C295,설정!$G$16:$G$36,"Y")+COUNTIFS(설정!$F$16:$F$36,VALUE(C295),설정!$G$16:$G$36,"Y"),0)&gt;0),C295&amp;""=설정!$C$5&amp;""),1,0))</f>
        <v>0</v>
      </c>
      <c r="AD295" s="89" t="n">
        <f aca="false">IF(Q295&lt;&gt;1,0,IF(OR(S295=1,IF(AB295="",FALSE(),INDEX(시장분석!$R:$R,AB295)=1)),1,0))</f>
        <v>0</v>
      </c>
      <c r="AE295" s="43" t="str">
        <f aca="false">IF(AB295="","",INDEX(시장분석!$A:$A,AB295))</f>
        <v>T 3 7/8 08/31/32</v>
      </c>
      <c r="AF295" s="93" t="n">
        <f aca="false">IF(AB295="","",IF(ISNUMBER(IF(AB295="","",INDEX(시장분석!$E:$E,AB295))),IF(AB295="","",INDEX(시장분석!$E:$E,AB295)),""))</f>
        <v>-4.42</v>
      </c>
      <c r="AG295" s="43" t="str">
        <f aca="false">IF(Q295&lt;&gt;1,"",IF(AB295&lt;&gt;"",IF(AB295="","",INDEX(시장분석!$L:$L,AB295)),IFERROR(IF(VLOOKUP(R295,매핑!$A$4:$E$92,5,0)="","미분류",VLOOKUP(R295,매핑!$A$4:$E$92,5,0)),"미분류")))</f>
        <v>정부</v>
      </c>
      <c r="AH295" s="43" t="str">
        <f aca="false">IF(Q295&lt;&gt;1,"",IF(AB295&lt;&gt;"",IF(AB295="","",INDEX(시장분석!$N:$N,AB295)),IFERROR(IF(VLOOKUP(R295,매핑!$A$4:$E$92,4,0)="","미분류",VLOOKUP(R295,매핑!$A$4:$E$92,4,0)),"미분류")))</f>
        <v>미국</v>
      </c>
      <c r="AI295" s="43" t="str">
        <f aca="false">IF(Q295&lt;&gt;1,"",IFERROR(IF(VLOOKUP(R295,매핑!$A$4:$E$92,3,0)="","미분류",VLOOKUP(R295,매핑!$A$4:$E$92,3,0)),IF(AB295&lt;&gt;"",IF(AB295="","",INDEX(시장분석!$W:$W,AB295)),"미분류")))</f>
        <v>미국</v>
      </c>
      <c r="AJ295" s="43" t="str">
        <f aca="false">IF(Q295&lt;&gt;1,"",IFERROR(VLOOKUP(IF(N295&lt;&gt;"",N295,IF(P295&lt;&gt;"",P295,O295)),설정!$A$15:$D$47,2,0),""))</f>
        <v>AA+</v>
      </c>
      <c r="AK295" s="43" t="str">
        <f aca="false">IF(Q295&lt;&gt;1,"",IF(AJ295="","무등급",IFERROR(VLOOKUP(AJ295,설정!$A$15:$D$47,3,0),"무등급")))</f>
        <v>AA이상</v>
      </c>
      <c r="AL295" s="89" t="n">
        <f aca="false">IF(AJ295="",99,IFERROR(VLOOKUP(AJ295,설정!$A$15:$D$47,4,0),99))</f>
        <v>2</v>
      </c>
      <c r="AM295" s="94" t="n">
        <f aca="false">IF(ISNUMBER(H295),AA295*1000000*H295/10000,0)</f>
        <v>9631.7175654</v>
      </c>
      <c r="AN295" s="94" t="n">
        <f aca="false">IF(OR(Y295=1,NOT(ISNUMBER(Z295))),0,AA295*1000000*Z295/10000)</f>
        <v>0</v>
      </c>
      <c r="AO295" s="94" t="n">
        <f aca="false">IF(ISNUMBER(G295),AA295*1000000*G295/100,0)</f>
        <v>954535.63374</v>
      </c>
      <c r="AP295" s="94" t="n">
        <f aca="false">IF(ISNUMBER(M295),M295*K295,0)</f>
        <v>-1227880.84</v>
      </c>
      <c r="AQ295" s="95" t="str">
        <f aca="false">IF(AB295="","",INDEX(시장분석!$AK:$AK,AB295))</f>
        <v/>
      </c>
      <c r="AR295" s="43" t="str">
        <f aca="false">IF(AB295="","-",IF(AB295="","",INDEX(시장분석!$AL:$AL,AB295)))</f>
        <v>-</v>
      </c>
      <c r="AS295" s="96" t="str">
        <f aca="false">IF(AB295="","",INDEX(시장분석!$AJ:$AJ,AB295))</f>
        <v/>
      </c>
      <c r="AT295" s="93" t="n">
        <f aca="false">IF(AB295="",0,IF(AB295="","",INDEX(시장분석!$AN:$AN,AB295)))</f>
        <v>0</v>
      </c>
      <c r="AU295" s="94" t="n">
        <f aca="false">IF(ISNUMBER(Z295),AT295/10000*MAX(Z295-1,0)*AA295*1000000,0)</f>
        <v>0</v>
      </c>
      <c r="AV295" s="94" t="n">
        <f aca="false">AO295+AU295</f>
        <v>954535.63374</v>
      </c>
      <c r="AW295" s="43" t="str">
        <f aca="false">IF(Q295&lt;&gt;1,"",TRIM(IF(AD295=1,"FRN ","")&amp;IF(AND(AL295&gt;=10,AL295&lt;99),"BBB0미만 ","")&amp;IF(AJ295="","등급없음 ","")&amp;IF(K295&lt;&gt;1,"비USD ","")&amp;IF(AND(AB295="",Y295=0),"시장데이터없음 ","")&amp;IF(AND(ISNUMBER(U295),U295&lt;0),"만기경과 ","")))</f>
        <v/>
      </c>
      <c r="AX295" s="90" t="n">
        <f aca="false">IF(Q295&lt;&gt;1,1,IF(스프레드쇼크!$C$4="Y",INDEX(스프레드쇼크!$B$12:$L$16,IFERROR(MATCH(AH295,스프레드쇼크!$A$12:$A$16,0),MATCH("목록외",스프레드쇼크!$A$12:$A$16,0)),IFERROR(MATCH(AG295,스프레드쇼크!$B$11:$L$11,0),MATCH("목록외",스프레드쇼크!$B$11:$L$11,0))),1))</f>
        <v>1</v>
      </c>
      <c r="AY295" s="90" t="n">
        <f aca="false">IF(스프레드쇼크!$C$5="Y",IF(ISNUMBER(AF295),MIN(스프레드쇼크!$C$7,MAX(스프레드쇼크!$C$6,AF295/스프레드쇼크!$C$8)),1),1)</f>
        <v>0.25</v>
      </c>
      <c r="AZ295" s="94" t="n">
        <f aca="false">AN295*AX295*AY295</f>
        <v>0</v>
      </c>
      <c r="BA295" s="90" t="n">
        <f aca="false">IF(ISNUMBER(G295),AA295*G295,0)</f>
        <v>95.453563374</v>
      </c>
      <c r="BB295" s="90" t="n">
        <f aca="false">IF(ISNUMBER(G295),AA295,0)</f>
        <v>18.77418</v>
      </c>
      <c r="BC295" s="90" t="n">
        <f aca="false">IF(AND(Y295=0,ISNUMBER(AF295)),AA295*AF295,0)</f>
        <v>0</v>
      </c>
      <c r="BD295" s="90" t="n">
        <f aca="false">IF(AND(Y295=0,ISNUMBER(AF295)),AA295,0)</f>
        <v>0</v>
      </c>
      <c r="BE295" s="90" t="n">
        <f aca="false">IF(ISNUMBER(H295),AA295*H295,0)</f>
        <v>96.317175654</v>
      </c>
      <c r="BF295" s="90" t="n">
        <f aca="false">IF(ISNUMBER(H295),AA295,0)</f>
        <v>18.77418</v>
      </c>
      <c r="BG295" s="90" t="n">
        <f aca="false">IF(AND(Y295=0,ISNUMBER(AF295),ISNUMBER(Z295)),AA295*Z295,0)</f>
        <v>0</v>
      </c>
      <c r="BH295" s="90" t="n">
        <f aca="false">IF(AND(Y295=0,ISNUMBER(AF295),ISNUMBER(Z295)),AA295*AT295*MAX(Z295-1,0),0)</f>
        <v>0</v>
      </c>
      <c r="BI295" s="90" t="n">
        <f aca="false">IF(Y295=0,AA295,0)</f>
        <v>0</v>
      </c>
    </row>
    <row r="296" customFormat="false" ht="15" hidden="false" customHeight="false" outlineLevel="0" collapsed="false">
      <c r="A296" s="83" t="str">
        <f aca="false">IFERROR(IF(INDEX(원자료_잔고!$A$1:$EZ$1500,설정!$L$5+ROW()-1,설정!$L$8)&amp;""="0","",INDEX(원자료_잔고!$A$1:$EZ$1500,설정!$L$5+ROW()-1,설정!$L$8)&amp;""),"")</f>
        <v>T 3.875 09/30/32</v>
      </c>
      <c r="B296" s="83" t="str">
        <f aca="false">IFERROR(IF(INDEX(원자료_잔고!$A$1:$EZ$1500,설정!$L$5+ROW()-1,설정!$L$7)&amp;""="0","",INDEX(원자료_잔고!$A$1:$EZ$1500,설정!$L$5+ROW()-1,설정!$L$7)&amp;""),"")</f>
        <v>US91282CNZ04</v>
      </c>
      <c r="C296" s="83" t="str">
        <f aca="false">IFERROR(IF(INDEX(원자료_잔고!$A$1:$EZ$1500,설정!$L$5+ROW()-1,설정!$L$9)&amp;""="0","",INDEX(원자료_잔고!$A$1:$EZ$1500,설정!$L$5+ROW()-1,설정!$L$9)&amp;""),"")</f>
        <v>38038</v>
      </c>
      <c r="D296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96" s="84" t="n">
        <f aca="false">IFERROR(IF(ISNUMBER(INDEX(원자료_잔고!$A$1:$EZ$1500,설정!$L$5+ROW()-1,설정!$L$11)),INDEX(원자료_잔고!$A$1:$EZ$1500,설정!$L$5+ROW()-1,설정!$L$11),""),"")</f>
        <v>16000000</v>
      </c>
      <c r="F296" s="85" t="n">
        <f aca="false">IFERROR(IF(ISNUMBER(INDEX(원자료_잔고!$A$1:$EZ$1500,설정!$L$5+ROW()-1,설정!$L$12)),INDEX(원자료_잔고!$A$1:$EZ$1500,설정!$L$5+ROW()-1,설정!$L$12),""),"")</f>
        <v>93.7655</v>
      </c>
      <c r="G296" s="85" t="n">
        <f aca="false">IFERROR(IF(ISNUMBER(INDEX(원자료_잔고!$A$1:$EZ$1500,설정!$L$5+ROW()-1,설정!$L$13)),INDEX(원자료_잔고!$A$1:$EZ$1500,설정!$L$5+ROW()-1,설정!$L$13),""),"")</f>
        <v>5.0938</v>
      </c>
      <c r="H296" s="85" t="n">
        <f aca="false">IFERROR(IF(ISNUMBER(INDEX(원자료_잔고!$A$1:$EZ$1500,설정!$L$5+ROW()-1,설정!$L$14)),INDEX(원자료_잔고!$A$1:$EZ$1500,설정!$L$5+ROW()-1,설정!$L$14),""),"")</f>
        <v>5.2103</v>
      </c>
      <c r="I296" s="86" t="n">
        <f aca="false">IFERROR(IF(ISNUMBER(INDEX(원자료_잔고!$A$1:$EZ$1500,설정!$L$5+ROW()-1,설정!$L$15)),INDEX(원자료_잔고!$A$1:$EZ$1500,설정!$L$5+ROW()-1,설정!$L$15),""),"")</f>
        <v>48487</v>
      </c>
      <c r="J296" s="85" t="n">
        <f aca="false">IFERROR(IF(ISNUMBER(INDEX(원자료_잔고!$A$1:$EZ$1500,설정!$L$5+ROW()-1,설정!$L$16)),INDEX(원자료_잔고!$A$1:$EZ$1500,설정!$L$5+ROW()-1,설정!$L$16),""),"")</f>
        <v>3.875</v>
      </c>
      <c r="K296" s="87" t="n">
        <f aca="false">IFERROR(IF(ISNUMBER(INDEX(원자료_잔고!$A$1:$EZ$1500,설정!$L$5+ROW()-1,설정!$L$17)),INDEX(원자료_잔고!$A$1:$EZ$1500,설정!$L$5+ROW()-1,설정!$L$17),""),"")</f>
        <v>1</v>
      </c>
      <c r="L296" s="84" t="n">
        <f aca="false">IFERROR(IF(ISNUMBER(INDEX(원자료_잔고!$A$1:$EZ$1500,설정!$L$5+ROW()-1,설정!$L$18)),INDEX(원자료_잔고!$A$1:$EZ$1500,설정!$L$5+ROW()-1,설정!$L$18),""),"")</f>
        <v>15002480</v>
      </c>
      <c r="M296" s="88" t="n">
        <f aca="false">IFERROR(IF(ISNUMBER(INDEX(원자료_잔고!$A$1:$EZ$1500,설정!$L$5+ROW()-1,설정!$L$19)),INDEX(원자료_잔고!$A$1:$EZ$1500,설정!$L$5+ROW()-1,설정!$L$19),""),"")</f>
        <v>-987298.14</v>
      </c>
      <c r="N296" s="83" t="str">
        <f aca="false">IFERROR(IF(INDEX(원자료_잔고!$A$1:$EZ$1500,설정!$L$5+ROW()-1,설정!$L$21)&amp;""="0","",INDEX(원자료_잔고!$A$1:$EZ$1500,설정!$L$5+ROW()-1,설정!$L$21)&amp;""),"")</f>
        <v/>
      </c>
      <c r="O296" s="83" t="str">
        <f aca="false">IFERROR(IF(INDEX(원자료_잔고!$A$1:$EZ$1500,설정!$L$5+ROW()-1,설정!$L$22)&amp;""="0","",INDEX(원자료_잔고!$A$1:$EZ$1500,설정!$L$5+ROW()-1,설정!$L$22)&amp;""),"")</f>
        <v/>
      </c>
      <c r="P296" s="83" t="str">
        <f aca="false">IFERROR(IF(INDEX(원자료_잔고!$A$1:$EZ$1500,설정!$L$5+ROW()-1,설정!$L$23)&amp;""="0","",INDEX(원자료_잔고!$A$1:$EZ$1500,설정!$L$5+ROW()-1,설정!$L$23)&amp;""),"")</f>
        <v>AA+</v>
      </c>
      <c r="Q296" s="89" t="n">
        <f aca="false">IF(AND($A296&lt;&gt;"",ISNUMBER(E296)),IF(E296&gt;0,1,0),0)</f>
        <v>1</v>
      </c>
      <c r="R296" s="43" t="str">
        <f aca="false">IF(Q296=1,UPPER(LEFT($A296,FIND(" ",$A296&amp;" ")-1)),"")</f>
        <v>T</v>
      </c>
      <c r="S296" s="89" t="n">
        <f aca="false">IF(Q296=1,IF(OR(ISNUMBER(SEARCH("Float",$A296)),ISNUMBER(SEARCH("FRN",$A296))),1,0),0)</f>
        <v>0</v>
      </c>
      <c r="T296" s="43" t="str">
        <f aca="false">IF(AND(Q296=1,ISNUMBER(I296)),TEXT(I296,"yyyymmdd")&amp;"|"&amp;IF(S296=1,"F",TEXT(J296,"0.000")),"")</f>
        <v>20320930|3.875</v>
      </c>
      <c r="U296" s="90" t="n">
        <f aca="false">IF(AND(Q296=1,ISNUMBER(I296)),(I296-설정!$C$4)/365.25,"")</f>
        <v>5.99863107460643</v>
      </c>
      <c r="V296" s="43" t="str">
        <f aca="false">IF(Q296&lt;&gt;1,"",IF(ISNUMBER(U296),IF(U296&lt;=1,"1년 이하",IF(U296&lt;=2,"1-2년",IF(U296&lt;=3,"2-3년",IF(U296&lt;=4,"3-4년",IF(U296&lt;=5,"4-5년",IF(U296&lt;=7,"5-7년",IF(U296&lt;=10,"7-10년",IF(U296&lt;=20,"10-20년","20년 이상")))))))),"미분류"))</f>
        <v>5-7년</v>
      </c>
      <c r="W296" s="43" t="str">
        <f aca="false">IF(Q296&lt;&gt;1,"",IF(AB296&lt;&gt;"",INDEX(시장분석!$C:$C,AB296),IF(K296=1,"USD","비USD")))</f>
        <v>USD</v>
      </c>
      <c r="X296" s="91" t="n">
        <f aca="false">IF(Q296=1,E296*K296/1000000,0)</f>
        <v>16</v>
      </c>
      <c r="Y296" s="89" t="n">
        <f aca="false">IF(R296="T",1,0)</f>
        <v>1</v>
      </c>
      <c r="Z296" s="92" t="n">
        <f aca="false">IF(Q296&lt;&gt;1,"",IF(AD296=1,IF(ISNUMBER(U296),MAX(U296,0),H296),H296))</f>
        <v>5.2103</v>
      </c>
      <c r="AA296" s="91" t="n">
        <f aca="false">IF(Q296=1,IF(ISNUMBER(L296),L296,0)*K296/1000000,0)</f>
        <v>15.00248</v>
      </c>
      <c r="AB296" s="89" t="n">
        <f aca="false">IF(Q296&lt;&gt;1,"",IFERROR(MATCH(VLOOKUP(B296,매핑!$H$4:$I$15,2,0),시장분석!$A$2:$A$601,0)+1,IFERROR(MATCH(R296&amp;"|"&amp;T296,시장분석!$V$2:$V$601,0)+1,IF(COUNTIF(시장분석!$U$2:$U$601,T296)=1,MATCH(T296,시장분석!$U$2:$U$601,0)+1,""))))</f>
        <v>125</v>
      </c>
      <c r="AC296" s="89" t="n">
        <f aca="false">IF(Q296&lt;&gt;1,0,IF(OR(설정!$C$5="전체",AND(설정!$C$5="선택펀드",IFERROR(COUNTIFS(설정!$F$16:$F$36,C296,설정!$G$16:$G$36,"Y")+COUNTIFS(설정!$F$16:$F$36,VALUE(C296),설정!$G$16:$G$36,"Y"),0)&gt;0),C296&amp;""=설정!$C$5&amp;""),1,0))</f>
        <v>0</v>
      </c>
      <c r="AD296" s="89" t="n">
        <f aca="false">IF(Q296&lt;&gt;1,0,IF(OR(S296=1,IF(AB296="",FALSE(),INDEX(시장분석!$R:$R,AB296)=1)),1,0))</f>
        <v>0</v>
      </c>
      <c r="AE296" s="43" t="str">
        <f aca="false">IF(AB296="","",INDEX(시장분석!$A:$A,AB296))</f>
        <v>T 3 7/8 09/30/32</v>
      </c>
      <c r="AF296" s="93" t="n">
        <f aca="false">IF(AB296="","",IF(ISNUMBER(IF(AB296="","",INDEX(시장분석!$E:$E,AB296))),IF(AB296="","",INDEX(시장분석!$E:$E,AB296)),""))</f>
        <v>-3.848</v>
      </c>
      <c r="AG296" s="43" t="str">
        <f aca="false">IF(Q296&lt;&gt;1,"",IF(AB296&lt;&gt;"",IF(AB296="","",INDEX(시장분석!$L:$L,AB296)),IFERROR(IF(VLOOKUP(R296,매핑!$A$4:$E$92,5,0)="","미분류",VLOOKUP(R296,매핑!$A$4:$E$92,5,0)),"미분류")))</f>
        <v>정부</v>
      </c>
      <c r="AH296" s="43" t="str">
        <f aca="false">IF(Q296&lt;&gt;1,"",IF(AB296&lt;&gt;"",IF(AB296="","",INDEX(시장분석!$N:$N,AB296)),IFERROR(IF(VLOOKUP(R296,매핑!$A$4:$E$92,4,0)="","미분류",VLOOKUP(R296,매핑!$A$4:$E$92,4,0)),"미분류")))</f>
        <v>미국</v>
      </c>
      <c r="AI296" s="43" t="str">
        <f aca="false">IF(Q296&lt;&gt;1,"",IFERROR(IF(VLOOKUP(R296,매핑!$A$4:$E$92,3,0)="","미분류",VLOOKUP(R296,매핑!$A$4:$E$92,3,0)),IF(AB296&lt;&gt;"",IF(AB296="","",INDEX(시장분석!$W:$W,AB296)),"미분류")))</f>
        <v>미국</v>
      </c>
      <c r="AJ296" s="43" t="str">
        <f aca="false">IF(Q296&lt;&gt;1,"",IFERROR(VLOOKUP(IF(N296&lt;&gt;"",N296,IF(P296&lt;&gt;"",P296,O296)),설정!$A$15:$D$47,2,0),""))</f>
        <v>AA+</v>
      </c>
      <c r="AK296" s="43" t="str">
        <f aca="false">IF(Q296&lt;&gt;1,"",IF(AJ296="","무등급",IFERROR(VLOOKUP(AJ296,설정!$A$15:$D$47,3,0),"무등급")))</f>
        <v>AA이상</v>
      </c>
      <c r="AL296" s="89" t="n">
        <f aca="false">IF(AJ296="",99,IFERROR(VLOOKUP(AJ296,설정!$A$15:$D$47,4,0),99))</f>
        <v>2</v>
      </c>
      <c r="AM296" s="94" t="n">
        <f aca="false">IF(ISNUMBER(H296),AA296*1000000*H296/10000,0)</f>
        <v>7816.7421544</v>
      </c>
      <c r="AN296" s="94" t="n">
        <f aca="false">IF(OR(Y296=1,NOT(ISNUMBER(Z296))),0,AA296*1000000*Z296/10000)</f>
        <v>0</v>
      </c>
      <c r="AO296" s="94" t="n">
        <f aca="false">IF(ISNUMBER(G296),AA296*1000000*G296/100,0)</f>
        <v>764196.32624</v>
      </c>
      <c r="AP296" s="94" t="n">
        <f aca="false">IF(ISNUMBER(M296),M296*K296,0)</f>
        <v>-987298.14</v>
      </c>
      <c r="AQ296" s="95" t="str">
        <f aca="false">IF(AB296="","",INDEX(시장분석!$AK:$AK,AB296))</f>
        <v/>
      </c>
      <c r="AR296" s="43" t="str">
        <f aca="false">IF(AB296="","-",IF(AB296="","",INDEX(시장분석!$AL:$AL,AB296)))</f>
        <v>-</v>
      </c>
      <c r="AS296" s="96" t="str">
        <f aca="false">IF(AB296="","",INDEX(시장분석!$AJ:$AJ,AB296))</f>
        <v/>
      </c>
      <c r="AT296" s="93" t="n">
        <f aca="false">IF(AB296="",0,IF(AB296="","",INDEX(시장분석!$AN:$AN,AB296)))</f>
        <v>0</v>
      </c>
      <c r="AU296" s="94" t="n">
        <f aca="false">IF(ISNUMBER(Z296),AT296/10000*MAX(Z296-1,0)*AA296*1000000,0)</f>
        <v>0</v>
      </c>
      <c r="AV296" s="94" t="n">
        <f aca="false">AO296+AU296</f>
        <v>764196.32624</v>
      </c>
      <c r="AW296" s="43" t="str">
        <f aca="false">IF(Q296&lt;&gt;1,"",TRIM(IF(AD296=1,"FRN ","")&amp;IF(AND(AL296&gt;=10,AL296&lt;99),"BBB0미만 ","")&amp;IF(AJ296="","등급없음 ","")&amp;IF(K296&lt;&gt;1,"비USD ","")&amp;IF(AND(AB296="",Y296=0),"시장데이터없음 ","")&amp;IF(AND(ISNUMBER(U296),U296&lt;0),"만기경과 ","")))</f>
        <v/>
      </c>
      <c r="AX296" s="90" t="n">
        <f aca="false">IF(Q296&lt;&gt;1,1,IF(스프레드쇼크!$C$4="Y",INDEX(스프레드쇼크!$B$12:$L$16,IFERROR(MATCH(AH296,스프레드쇼크!$A$12:$A$16,0),MATCH("목록외",스프레드쇼크!$A$12:$A$16,0)),IFERROR(MATCH(AG296,스프레드쇼크!$B$11:$L$11,0),MATCH("목록외",스프레드쇼크!$B$11:$L$11,0))),1))</f>
        <v>1</v>
      </c>
      <c r="AY296" s="90" t="n">
        <f aca="false">IF(스프레드쇼크!$C$5="Y",IF(ISNUMBER(AF296),MIN(스프레드쇼크!$C$7,MAX(스프레드쇼크!$C$6,AF296/스프레드쇼크!$C$8)),1),1)</f>
        <v>0.25</v>
      </c>
      <c r="AZ296" s="94" t="n">
        <f aca="false">AN296*AX296*AY296</f>
        <v>0</v>
      </c>
      <c r="BA296" s="90" t="n">
        <f aca="false">IF(ISNUMBER(G296),AA296*G296,0)</f>
        <v>76.419632624</v>
      </c>
      <c r="BB296" s="90" t="n">
        <f aca="false">IF(ISNUMBER(G296),AA296,0)</f>
        <v>15.00248</v>
      </c>
      <c r="BC296" s="90" t="n">
        <f aca="false">IF(AND(Y296=0,ISNUMBER(AF296)),AA296*AF296,0)</f>
        <v>0</v>
      </c>
      <c r="BD296" s="90" t="n">
        <f aca="false">IF(AND(Y296=0,ISNUMBER(AF296)),AA296,0)</f>
        <v>0</v>
      </c>
      <c r="BE296" s="90" t="n">
        <f aca="false">IF(ISNUMBER(H296),AA296*H296,0)</f>
        <v>78.167421544</v>
      </c>
      <c r="BF296" s="90" t="n">
        <f aca="false">IF(ISNUMBER(H296),AA296,0)</f>
        <v>15.00248</v>
      </c>
      <c r="BG296" s="90" t="n">
        <f aca="false">IF(AND(Y296=0,ISNUMBER(AF296),ISNUMBER(Z296)),AA296*Z296,0)</f>
        <v>0</v>
      </c>
      <c r="BH296" s="90" t="n">
        <f aca="false">IF(AND(Y296=0,ISNUMBER(AF296),ISNUMBER(Z296)),AA296*AT296*MAX(Z296-1,0),0)</f>
        <v>0</v>
      </c>
      <c r="BI296" s="90" t="n">
        <f aca="false">IF(Y296=0,AA296,0)</f>
        <v>0</v>
      </c>
    </row>
    <row r="297" customFormat="false" ht="15" hidden="false" customHeight="false" outlineLevel="0" collapsed="false">
      <c r="A297" s="83" t="str">
        <f aca="false">IFERROR(IF(INDEX(원자료_잔고!$A$1:$EZ$1500,설정!$L$5+ROW()-1,설정!$L$8)&amp;""="0","",INDEX(원자료_잔고!$A$1:$EZ$1500,설정!$L$5+ROW()-1,설정!$L$8)&amp;""),"")</f>
        <v>T 3.75 11/30/32</v>
      </c>
      <c r="B297" s="83" t="str">
        <f aca="false">IFERROR(IF(INDEX(원자료_잔고!$A$1:$EZ$1500,설정!$L$5+ROW()-1,설정!$L$7)&amp;""="0","",INDEX(원자료_잔고!$A$1:$EZ$1500,설정!$L$5+ROW()-1,설정!$L$7)&amp;""),"")</f>
        <v>US91282CPM72</v>
      </c>
      <c r="C297" s="83" t="str">
        <f aca="false">IFERROR(IF(INDEX(원자료_잔고!$A$1:$EZ$1500,설정!$L$5+ROW()-1,설정!$L$9)&amp;""="0","",INDEX(원자료_잔고!$A$1:$EZ$1500,설정!$L$5+ROW()-1,설정!$L$9)&amp;""),"")</f>
        <v>38038</v>
      </c>
      <c r="D297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97" s="84" t="n">
        <f aca="false">IFERROR(IF(ISNUMBER(INDEX(원자료_잔고!$A$1:$EZ$1500,설정!$L$5+ROW()-1,설정!$L$11)),INDEX(원자료_잔고!$A$1:$EZ$1500,설정!$L$5+ROW()-1,설정!$L$11),""),"")</f>
        <v>25000000</v>
      </c>
      <c r="F297" s="85" t="n">
        <f aca="false">IFERROR(IF(ISNUMBER(INDEX(원자료_잔고!$A$1:$EZ$1500,설정!$L$5+ROW()-1,설정!$L$12)),INDEX(원자료_잔고!$A$1:$EZ$1500,설정!$L$5+ROW()-1,설정!$L$12),""),"")</f>
        <v>92.9288</v>
      </c>
      <c r="G297" s="85" t="n">
        <f aca="false">IFERROR(IF(ISNUMBER(INDEX(원자료_잔고!$A$1:$EZ$1500,설정!$L$5+ROW()-1,설정!$L$13)),INDEX(원자료_잔고!$A$1:$EZ$1500,설정!$L$5+ROW()-1,설정!$L$13),""),"")</f>
        <v>5.0992</v>
      </c>
      <c r="H297" s="85" t="n">
        <f aca="false">IFERROR(IF(ISNUMBER(INDEX(원자료_잔고!$A$1:$EZ$1500,설정!$L$5+ROW()-1,설정!$L$14)),INDEX(원자료_잔고!$A$1:$EZ$1500,설정!$L$5+ROW()-1,설정!$L$14),""),"")</f>
        <v>5.284</v>
      </c>
      <c r="I297" s="86" t="n">
        <f aca="false">IFERROR(IF(ISNUMBER(INDEX(원자료_잔고!$A$1:$EZ$1500,설정!$L$5+ROW()-1,설정!$L$15)),INDEX(원자료_잔고!$A$1:$EZ$1500,설정!$L$5+ROW()-1,설정!$L$15),""),"")</f>
        <v>48548</v>
      </c>
      <c r="J297" s="85" t="n">
        <f aca="false">IFERROR(IF(ISNUMBER(INDEX(원자료_잔고!$A$1:$EZ$1500,설정!$L$5+ROW()-1,설정!$L$16)),INDEX(원자료_잔고!$A$1:$EZ$1500,설정!$L$5+ROW()-1,설정!$L$16),""),"")</f>
        <v>3.75</v>
      </c>
      <c r="K297" s="87" t="n">
        <f aca="false">IFERROR(IF(ISNUMBER(INDEX(원자료_잔고!$A$1:$EZ$1500,설정!$L$5+ROW()-1,설정!$L$17)),INDEX(원자료_잔고!$A$1:$EZ$1500,설정!$L$5+ROW()-1,설정!$L$17),""),"")</f>
        <v>1</v>
      </c>
      <c r="L297" s="84" t="n">
        <f aca="false">IFERROR(IF(ISNUMBER(INDEX(원자료_잔고!$A$1:$EZ$1500,설정!$L$5+ROW()-1,설정!$L$18)),INDEX(원자료_잔고!$A$1:$EZ$1500,설정!$L$5+ROW()-1,설정!$L$18),""),"")</f>
        <v>23232200</v>
      </c>
      <c r="M297" s="88" t="n">
        <f aca="false">IFERROR(IF(ISNUMBER(INDEX(원자료_잔고!$A$1:$EZ$1500,설정!$L$5+ROW()-1,설정!$L$19)),INDEX(원자료_잔고!$A$1:$EZ$1500,설정!$L$5+ROW()-1,설정!$L$19),""),"")</f>
        <v>-1566264.19</v>
      </c>
      <c r="N297" s="83" t="str">
        <f aca="false">IFERROR(IF(INDEX(원자료_잔고!$A$1:$EZ$1500,설정!$L$5+ROW()-1,설정!$L$21)&amp;""="0","",INDEX(원자료_잔고!$A$1:$EZ$1500,설정!$L$5+ROW()-1,설정!$L$21)&amp;""),"")</f>
        <v/>
      </c>
      <c r="O297" s="83" t="str">
        <f aca="false">IFERROR(IF(INDEX(원자료_잔고!$A$1:$EZ$1500,설정!$L$5+ROW()-1,설정!$L$22)&amp;""="0","",INDEX(원자료_잔고!$A$1:$EZ$1500,설정!$L$5+ROW()-1,설정!$L$22)&amp;""),"")</f>
        <v/>
      </c>
      <c r="P297" s="83" t="str">
        <f aca="false">IFERROR(IF(INDEX(원자료_잔고!$A$1:$EZ$1500,설정!$L$5+ROW()-1,설정!$L$23)&amp;""="0","",INDEX(원자료_잔고!$A$1:$EZ$1500,설정!$L$5+ROW()-1,설정!$L$23)&amp;""),"")</f>
        <v>AA+</v>
      </c>
      <c r="Q297" s="89" t="n">
        <f aca="false">IF(AND($A297&lt;&gt;"",ISNUMBER(E297)),IF(E297&gt;0,1,0),0)</f>
        <v>1</v>
      </c>
      <c r="R297" s="43" t="str">
        <f aca="false">IF(Q297=1,UPPER(LEFT($A297,FIND(" ",$A297&amp;" ")-1)),"")</f>
        <v>T</v>
      </c>
      <c r="S297" s="89" t="n">
        <f aca="false">IF(Q297=1,IF(OR(ISNUMBER(SEARCH("Float",$A297)),ISNUMBER(SEARCH("FRN",$A297))),1,0),0)</f>
        <v>0</v>
      </c>
      <c r="T297" s="43" t="str">
        <f aca="false">IF(AND(Q297=1,ISNUMBER(I297)),TEXT(I297,"yyyymmdd")&amp;"|"&amp;IF(S297=1,"F",TEXT(J297,"0.000")),"")</f>
        <v>20321130|3.750</v>
      </c>
      <c r="U297" s="90" t="n">
        <f aca="false">IF(AND(Q297=1,ISNUMBER(I297)),(I297-설정!$C$4)/365.25,"")</f>
        <v>6.16563997262149</v>
      </c>
      <c r="V297" s="43" t="str">
        <f aca="false">IF(Q297&lt;&gt;1,"",IF(ISNUMBER(U297),IF(U297&lt;=1,"1년 이하",IF(U297&lt;=2,"1-2년",IF(U297&lt;=3,"2-3년",IF(U297&lt;=4,"3-4년",IF(U297&lt;=5,"4-5년",IF(U297&lt;=7,"5-7년",IF(U297&lt;=10,"7-10년",IF(U297&lt;=20,"10-20년","20년 이상")))))))),"미분류"))</f>
        <v>5-7년</v>
      </c>
      <c r="W297" s="43" t="str">
        <f aca="false">IF(Q297&lt;&gt;1,"",IF(AB297&lt;&gt;"",INDEX(시장분석!$C:$C,AB297),IF(K297=1,"USD","비USD")))</f>
        <v>USD</v>
      </c>
      <c r="X297" s="91" t="n">
        <f aca="false">IF(Q297=1,E297*K297/1000000,0)</f>
        <v>25</v>
      </c>
      <c r="Y297" s="89" t="n">
        <f aca="false">IF(R297="T",1,0)</f>
        <v>1</v>
      </c>
      <c r="Z297" s="92" t="n">
        <f aca="false">IF(Q297&lt;&gt;1,"",IF(AD297=1,IF(ISNUMBER(U297),MAX(U297,0),H297),H297))</f>
        <v>5.284</v>
      </c>
      <c r="AA297" s="91" t="n">
        <f aca="false">IF(Q297=1,IF(ISNUMBER(L297),L297,0)*K297/1000000,0)</f>
        <v>23.2322</v>
      </c>
      <c r="AB297" s="89" t="n">
        <f aca="false">IF(Q297&lt;&gt;1,"",IFERROR(MATCH(VLOOKUP(B297,매핑!$H$4:$I$15,2,0),시장분석!$A$2:$A$601,0)+1,IFERROR(MATCH(R297&amp;"|"&amp;T297,시장분석!$V$2:$V$601,0)+1,IF(COUNTIF(시장분석!$U$2:$U$601,T297)=1,MATCH(T297,시장분석!$U$2:$U$601,0)+1,""))))</f>
        <v>126</v>
      </c>
      <c r="AC297" s="89" t="n">
        <f aca="false">IF(Q297&lt;&gt;1,0,IF(OR(설정!$C$5="전체",AND(설정!$C$5="선택펀드",IFERROR(COUNTIFS(설정!$F$16:$F$36,C297,설정!$G$16:$G$36,"Y")+COUNTIFS(설정!$F$16:$F$36,VALUE(C297),설정!$G$16:$G$36,"Y"),0)&gt;0),C297&amp;""=설정!$C$5&amp;""),1,0))</f>
        <v>0</v>
      </c>
      <c r="AD297" s="89" t="n">
        <f aca="false">IF(Q297&lt;&gt;1,0,IF(OR(S297=1,IF(AB297="",FALSE(),INDEX(시장분석!$R:$R,AB297)=1)),1,0))</f>
        <v>0</v>
      </c>
      <c r="AE297" s="43" t="str">
        <f aca="false">IF(AB297="","",INDEX(시장분석!$A:$A,AB297))</f>
        <v>T 3 3/4 11/30/32</v>
      </c>
      <c r="AF297" s="93" t="n">
        <f aca="false">IF(AB297="","",IF(ISNUMBER(IF(AB297="","",INDEX(시장분석!$E:$E,AB297))),IF(AB297="","",INDEX(시장분석!$E:$E,AB297)),""))</f>
        <v>-3.054</v>
      </c>
      <c r="AG297" s="43" t="str">
        <f aca="false">IF(Q297&lt;&gt;1,"",IF(AB297&lt;&gt;"",IF(AB297="","",INDEX(시장분석!$L:$L,AB297)),IFERROR(IF(VLOOKUP(R297,매핑!$A$4:$E$92,5,0)="","미분류",VLOOKUP(R297,매핑!$A$4:$E$92,5,0)),"미분류")))</f>
        <v>정부</v>
      </c>
      <c r="AH297" s="43" t="str">
        <f aca="false">IF(Q297&lt;&gt;1,"",IF(AB297&lt;&gt;"",IF(AB297="","",INDEX(시장분석!$N:$N,AB297)),IFERROR(IF(VLOOKUP(R297,매핑!$A$4:$E$92,4,0)="","미분류",VLOOKUP(R297,매핑!$A$4:$E$92,4,0)),"미분류")))</f>
        <v>미국</v>
      </c>
      <c r="AI297" s="43" t="str">
        <f aca="false">IF(Q297&lt;&gt;1,"",IFERROR(IF(VLOOKUP(R297,매핑!$A$4:$E$92,3,0)="","미분류",VLOOKUP(R297,매핑!$A$4:$E$92,3,0)),IF(AB297&lt;&gt;"",IF(AB297="","",INDEX(시장분석!$W:$W,AB297)),"미분류")))</f>
        <v>미국</v>
      </c>
      <c r="AJ297" s="43" t="str">
        <f aca="false">IF(Q297&lt;&gt;1,"",IFERROR(VLOOKUP(IF(N297&lt;&gt;"",N297,IF(P297&lt;&gt;"",P297,O297)),설정!$A$15:$D$47,2,0),""))</f>
        <v>AA+</v>
      </c>
      <c r="AK297" s="43" t="str">
        <f aca="false">IF(Q297&lt;&gt;1,"",IF(AJ297="","무등급",IFERROR(VLOOKUP(AJ297,설정!$A$15:$D$47,3,0),"무등급")))</f>
        <v>AA이상</v>
      </c>
      <c r="AL297" s="89" t="n">
        <f aca="false">IF(AJ297="",99,IFERROR(VLOOKUP(AJ297,설정!$A$15:$D$47,4,0),99))</f>
        <v>2</v>
      </c>
      <c r="AM297" s="94" t="n">
        <f aca="false">IF(ISNUMBER(H297),AA297*1000000*H297/10000,0)</f>
        <v>12275.89448</v>
      </c>
      <c r="AN297" s="94" t="n">
        <f aca="false">IF(OR(Y297=1,NOT(ISNUMBER(Z297))),0,AA297*1000000*Z297/10000)</f>
        <v>0</v>
      </c>
      <c r="AO297" s="94" t="n">
        <f aca="false">IF(ISNUMBER(G297),AA297*1000000*G297/100,0)</f>
        <v>1184656.3424</v>
      </c>
      <c r="AP297" s="94" t="n">
        <f aca="false">IF(ISNUMBER(M297),M297*K297,0)</f>
        <v>-1566264.19</v>
      </c>
      <c r="AQ297" s="95" t="str">
        <f aca="false">IF(AB297="","",INDEX(시장분석!$AK:$AK,AB297))</f>
        <v/>
      </c>
      <c r="AR297" s="43" t="str">
        <f aca="false">IF(AB297="","-",IF(AB297="","",INDEX(시장분석!$AL:$AL,AB297)))</f>
        <v>-</v>
      </c>
      <c r="AS297" s="96" t="str">
        <f aca="false">IF(AB297="","",INDEX(시장분석!$AJ:$AJ,AB297))</f>
        <v/>
      </c>
      <c r="AT297" s="93" t="n">
        <f aca="false">IF(AB297="",0,IF(AB297="","",INDEX(시장분석!$AN:$AN,AB297)))</f>
        <v>0</v>
      </c>
      <c r="AU297" s="94" t="n">
        <f aca="false">IF(ISNUMBER(Z297),AT297/10000*MAX(Z297-1,0)*AA297*1000000,0)</f>
        <v>0</v>
      </c>
      <c r="AV297" s="94" t="n">
        <f aca="false">AO297+AU297</f>
        <v>1184656.3424</v>
      </c>
      <c r="AW297" s="43" t="str">
        <f aca="false">IF(Q297&lt;&gt;1,"",TRIM(IF(AD297=1,"FRN ","")&amp;IF(AND(AL297&gt;=10,AL297&lt;99),"BBB0미만 ","")&amp;IF(AJ297="","등급없음 ","")&amp;IF(K297&lt;&gt;1,"비USD ","")&amp;IF(AND(AB297="",Y297=0),"시장데이터없음 ","")&amp;IF(AND(ISNUMBER(U297),U297&lt;0),"만기경과 ","")))</f>
        <v/>
      </c>
      <c r="AX297" s="90" t="n">
        <f aca="false">IF(Q297&lt;&gt;1,1,IF(스프레드쇼크!$C$4="Y",INDEX(스프레드쇼크!$B$12:$L$16,IFERROR(MATCH(AH297,스프레드쇼크!$A$12:$A$16,0),MATCH("목록외",스프레드쇼크!$A$12:$A$16,0)),IFERROR(MATCH(AG297,스프레드쇼크!$B$11:$L$11,0),MATCH("목록외",스프레드쇼크!$B$11:$L$11,0))),1))</f>
        <v>1</v>
      </c>
      <c r="AY297" s="90" t="n">
        <f aca="false">IF(스프레드쇼크!$C$5="Y",IF(ISNUMBER(AF297),MIN(스프레드쇼크!$C$7,MAX(스프레드쇼크!$C$6,AF297/스프레드쇼크!$C$8)),1),1)</f>
        <v>0.25</v>
      </c>
      <c r="AZ297" s="94" t="n">
        <f aca="false">AN297*AX297*AY297</f>
        <v>0</v>
      </c>
      <c r="BA297" s="90" t="n">
        <f aca="false">IF(ISNUMBER(G297),AA297*G297,0)</f>
        <v>118.46563424</v>
      </c>
      <c r="BB297" s="90" t="n">
        <f aca="false">IF(ISNUMBER(G297),AA297,0)</f>
        <v>23.2322</v>
      </c>
      <c r="BC297" s="90" t="n">
        <f aca="false">IF(AND(Y297=0,ISNUMBER(AF297)),AA297*AF297,0)</f>
        <v>0</v>
      </c>
      <c r="BD297" s="90" t="n">
        <f aca="false">IF(AND(Y297=0,ISNUMBER(AF297)),AA297,0)</f>
        <v>0</v>
      </c>
      <c r="BE297" s="90" t="n">
        <f aca="false">IF(ISNUMBER(H297),AA297*H297,0)</f>
        <v>122.7589448</v>
      </c>
      <c r="BF297" s="90" t="n">
        <f aca="false">IF(ISNUMBER(H297),AA297,0)</f>
        <v>23.2322</v>
      </c>
      <c r="BG297" s="90" t="n">
        <f aca="false">IF(AND(Y297=0,ISNUMBER(AF297),ISNUMBER(Z297)),AA297*Z297,0)</f>
        <v>0</v>
      </c>
      <c r="BH297" s="90" t="n">
        <f aca="false">IF(AND(Y297=0,ISNUMBER(AF297),ISNUMBER(Z297)),AA297*AT297*MAX(Z297-1,0),0)</f>
        <v>0</v>
      </c>
      <c r="BI297" s="90" t="n">
        <f aca="false">IF(Y297=0,AA297,0)</f>
        <v>0</v>
      </c>
    </row>
    <row r="298" customFormat="false" ht="15" hidden="false" customHeight="false" outlineLevel="0" collapsed="false">
      <c r="A298" s="83" t="str">
        <f aca="false">IFERROR(IF(INDEX(원자료_잔고!$A$1:$EZ$1500,설정!$L$5+ROW()-1,설정!$L$8)&amp;""="0","",INDEX(원자료_잔고!$A$1:$EZ$1500,설정!$L$5+ROW()-1,설정!$L$8)&amp;""),"")</f>
        <v>T 3.75 11/30/32</v>
      </c>
      <c r="B298" s="83" t="str">
        <f aca="false">IFERROR(IF(INDEX(원자료_잔고!$A$1:$EZ$1500,설정!$L$5+ROW()-1,설정!$L$7)&amp;""="0","",INDEX(원자료_잔고!$A$1:$EZ$1500,설정!$L$5+ROW()-1,설정!$L$7)&amp;""),"")</f>
        <v>US91282CPM72</v>
      </c>
      <c r="C298" s="83" t="str">
        <f aca="false">IFERROR(IF(INDEX(원자료_잔고!$A$1:$EZ$1500,설정!$L$5+ROW()-1,설정!$L$9)&amp;""="0","",INDEX(원자료_잔고!$A$1:$EZ$1500,설정!$L$5+ROW()-1,설정!$L$9)&amp;""),"")</f>
        <v>38038</v>
      </c>
      <c r="D298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98" s="84" t="n">
        <f aca="false">IFERROR(IF(ISNUMBER(INDEX(원자료_잔고!$A$1:$EZ$1500,설정!$L$5+ROW()-1,설정!$L$11)),INDEX(원자료_잔고!$A$1:$EZ$1500,설정!$L$5+ROW()-1,설정!$L$11),""),"")</f>
        <v>25000000</v>
      </c>
      <c r="F298" s="85" t="n">
        <f aca="false">IFERROR(IF(ISNUMBER(INDEX(원자료_잔고!$A$1:$EZ$1500,설정!$L$5+ROW()-1,설정!$L$12)),INDEX(원자료_잔고!$A$1:$EZ$1500,설정!$L$5+ROW()-1,설정!$L$12),""),"")</f>
        <v>92.9288</v>
      </c>
      <c r="G298" s="85" t="n">
        <f aca="false">IFERROR(IF(ISNUMBER(INDEX(원자료_잔고!$A$1:$EZ$1500,설정!$L$5+ROW()-1,설정!$L$13)),INDEX(원자료_잔고!$A$1:$EZ$1500,설정!$L$5+ROW()-1,설정!$L$13),""),"")</f>
        <v>5.0992</v>
      </c>
      <c r="H298" s="85" t="n">
        <f aca="false">IFERROR(IF(ISNUMBER(INDEX(원자료_잔고!$A$1:$EZ$1500,설정!$L$5+ROW()-1,설정!$L$14)),INDEX(원자료_잔고!$A$1:$EZ$1500,설정!$L$5+ROW()-1,설정!$L$14),""),"")</f>
        <v>5.284</v>
      </c>
      <c r="I298" s="86" t="n">
        <f aca="false">IFERROR(IF(ISNUMBER(INDEX(원자료_잔고!$A$1:$EZ$1500,설정!$L$5+ROW()-1,설정!$L$15)),INDEX(원자료_잔고!$A$1:$EZ$1500,설정!$L$5+ROW()-1,설정!$L$15),""),"")</f>
        <v>48548</v>
      </c>
      <c r="J298" s="85" t="n">
        <f aca="false">IFERROR(IF(ISNUMBER(INDEX(원자료_잔고!$A$1:$EZ$1500,설정!$L$5+ROW()-1,설정!$L$16)),INDEX(원자료_잔고!$A$1:$EZ$1500,설정!$L$5+ROW()-1,설정!$L$16),""),"")</f>
        <v>3.75</v>
      </c>
      <c r="K298" s="87" t="n">
        <f aca="false">IFERROR(IF(ISNUMBER(INDEX(원자료_잔고!$A$1:$EZ$1500,설정!$L$5+ROW()-1,설정!$L$17)),INDEX(원자료_잔고!$A$1:$EZ$1500,설정!$L$5+ROW()-1,설정!$L$17),""),"")</f>
        <v>1</v>
      </c>
      <c r="L298" s="84" t="n">
        <f aca="false">IFERROR(IF(ISNUMBER(INDEX(원자료_잔고!$A$1:$EZ$1500,설정!$L$5+ROW()-1,설정!$L$18)),INDEX(원자료_잔고!$A$1:$EZ$1500,설정!$L$5+ROW()-1,설정!$L$18),""),"")</f>
        <v>23232200</v>
      </c>
      <c r="M298" s="88" t="n">
        <f aca="false">IFERROR(IF(ISNUMBER(INDEX(원자료_잔고!$A$1:$EZ$1500,설정!$L$5+ROW()-1,설정!$L$19)),INDEX(원자료_잔고!$A$1:$EZ$1500,설정!$L$5+ROW()-1,설정!$L$19),""),"")</f>
        <v>-1566264.19</v>
      </c>
      <c r="N298" s="83" t="str">
        <f aca="false">IFERROR(IF(INDEX(원자료_잔고!$A$1:$EZ$1500,설정!$L$5+ROW()-1,설정!$L$21)&amp;""="0","",INDEX(원자료_잔고!$A$1:$EZ$1500,설정!$L$5+ROW()-1,설정!$L$21)&amp;""),"")</f>
        <v/>
      </c>
      <c r="O298" s="83" t="str">
        <f aca="false">IFERROR(IF(INDEX(원자료_잔고!$A$1:$EZ$1500,설정!$L$5+ROW()-1,설정!$L$22)&amp;""="0","",INDEX(원자료_잔고!$A$1:$EZ$1500,설정!$L$5+ROW()-1,설정!$L$22)&amp;""),"")</f>
        <v/>
      </c>
      <c r="P298" s="83" t="str">
        <f aca="false">IFERROR(IF(INDEX(원자료_잔고!$A$1:$EZ$1500,설정!$L$5+ROW()-1,설정!$L$23)&amp;""="0","",INDEX(원자료_잔고!$A$1:$EZ$1500,설정!$L$5+ROW()-1,설정!$L$23)&amp;""),"")</f>
        <v>AA+</v>
      </c>
      <c r="Q298" s="89" t="n">
        <f aca="false">IF(AND($A298&lt;&gt;"",ISNUMBER(E298)),IF(E298&gt;0,1,0),0)</f>
        <v>1</v>
      </c>
      <c r="R298" s="43" t="str">
        <f aca="false">IF(Q298=1,UPPER(LEFT($A298,FIND(" ",$A298&amp;" ")-1)),"")</f>
        <v>T</v>
      </c>
      <c r="S298" s="89" t="n">
        <f aca="false">IF(Q298=1,IF(OR(ISNUMBER(SEARCH("Float",$A298)),ISNUMBER(SEARCH("FRN",$A298))),1,0),0)</f>
        <v>0</v>
      </c>
      <c r="T298" s="43" t="str">
        <f aca="false">IF(AND(Q298=1,ISNUMBER(I298)),TEXT(I298,"yyyymmdd")&amp;"|"&amp;IF(S298=1,"F",TEXT(J298,"0.000")),"")</f>
        <v>20321130|3.750</v>
      </c>
      <c r="U298" s="90" t="n">
        <f aca="false">IF(AND(Q298=1,ISNUMBER(I298)),(I298-설정!$C$4)/365.25,"")</f>
        <v>6.16563997262149</v>
      </c>
      <c r="V298" s="43" t="str">
        <f aca="false">IF(Q298&lt;&gt;1,"",IF(ISNUMBER(U298),IF(U298&lt;=1,"1년 이하",IF(U298&lt;=2,"1-2년",IF(U298&lt;=3,"2-3년",IF(U298&lt;=4,"3-4년",IF(U298&lt;=5,"4-5년",IF(U298&lt;=7,"5-7년",IF(U298&lt;=10,"7-10년",IF(U298&lt;=20,"10-20년","20년 이상")))))))),"미분류"))</f>
        <v>5-7년</v>
      </c>
      <c r="W298" s="43" t="str">
        <f aca="false">IF(Q298&lt;&gt;1,"",IF(AB298&lt;&gt;"",INDEX(시장분석!$C:$C,AB298),IF(K298=1,"USD","비USD")))</f>
        <v>USD</v>
      </c>
      <c r="X298" s="91" t="n">
        <f aca="false">IF(Q298=1,E298*K298/1000000,0)</f>
        <v>25</v>
      </c>
      <c r="Y298" s="89" t="n">
        <f aca="false">IF(R298="T",1,0)</f>
        <v>1</v>
      </c>
      <c r="Z298" s="92" t="n">
        <f aca="false">IF(Q298&lt;&gt;1,"",IF(AD298=1,IF(ISNUMBER(U298),MAX(U298,0),H298),H298))</f>
        <v>5.284</v>
      </c>
      <c r="AA298" s="91" t="n">
        <f aca="false">IF(Q298=1,IF(ISNUMBER(L298),L298,0)*K298/1000000,0)</f>
        <v>23.2322</v>
      </c>
      <c r="AB298" s="89" t="n">
        <f aca="false">IF(Q298&lt;&gt;1,"",IFERROR(MATCH(VLOOKUP(B298,매핑!$H$4:$I$15,2,0),시장분석!$A$2:$A$601,0)+1,IFERROR(MATCH(R298&amp;"|"&amp;T298,시장분석!$V$2:$V$601,0)+1,IF(COUNTIF(시장분석!$U$2:$U$601,T298)=1,MATCH(T298,시장분석!$U$2:$U$601,0)+1,""))))</f>
        <v>126</v>
      </c>
      <c r="AC298" s="89" t="n">
        <f aca="false">IF(Q298&lt;&gt;1,0,IF(OR(설정!$C$5="전체",AND(설정!$C$5="선택펀드",IFERROR(COUNTIFS(설정!$F$16:$F$36,C298,설정!$G$16:$G$36,"Y")+COUNTIFS(설정!$F$16:$F$36,VALUE(C298),설정!$G$16:$G$36,"Y"),0)&gt;0),C298&amp;""=설정!$C$5&amp;""),1,0))</f>
        <v>0</v>
      </c>
      <c r="AD298" s="89" t="n">
        <f aca="false">IF(Q298&lt;&gt;1,0,IF(OR(S298=1,IF(AB298="",FALSE(),INDEX(시장분석!$R:$R,AB298)=1)),1,0))</f>
        <v>0</v>
      </c>
      <c r="AE298" s="43" t="str">
        <f aca="false">IF(AB298="","",INDEX(시장분석!$A:$A,AB298))</f>
        <v>T 3 3/4 11/30/32</v>
      </c>
      <c r="AF298" s="93" t="n">
        <f aca="false">IF(AB298="","",IF(ISNUMBER(IF(AB298="","",INDEX(시장분석!$E:$E,AB298))),IF(AB298="","",INDEX(시장분석!$E:$E,AB298)),""))</f>
        <v>-3.054</v>
      </c>
      <c r="AG298" s="43" t="str">
        <f aca="false">IF(Q298&lt;&gt;1,"",IF(AB298&lt;&gt;"",IF(AB298="","",INDEX(시장분석!$L:$L,AB298)),IFERROR(IF(VLOOKUP(R298,매핑!$A$4:$E$92,5,0)="","미분류",VLOOKUP(R298,매핑!$A$4:$E$92,5,0)),"미분류")))</f>
        <v>정부</v>
      </c>
      <c r="AH298" s="43" t="str">
        <f aca="false">IF(Q298&lt;&gt;1,"",IF(AB298&lt;&gt;"",IF(AB298="","",INDEX(시장분석!$N:$N,AB298)),IFERROR(IF(VLOOKUP(R298,매핑!$A$4:$E$92,4,0)="","미분류",VLOOKUP(R298,매핑!$A$4:$E$92,4,0)),"미분류")))</f>
        <v>미국</v>
      </c>
      <c r="AI298" s="43" t="str">
        <f aca="false">IF(Q298&lt;&gt;1,"",IFERROR(IF(VLOOKUP(R298,매핑!$A$4:$E$92,3,0)="","미분류",VLOOKUP(R298,매핑!$A$4:$E$92,3,0)),IF(AB298&lt;&gt;"",IF(AB298="","",INDEX(시장분석!$W:$W,AB298)),"미분류")))</f>
        <v>미국</v>
      </c>
      <c r="AJ298" s="43" t="str">
        <f aca="false">IF(Q298&lt;&gt;1,"",IFERROR(VLOOKUP(IF(N298&lt;&gt;"",N298,IF(P298&lt;&gt;"",P298,O298)),설정!$A$15:$D$47,2,0),""))</f>
        <v>AA+</v>
      </c>
      <c r="AK298" s="43" t="str">
        <f aca="false">IF(Q298&lt;&gt;1,"",IF(AJ298="","무등급",IFERROR(VLOOKUP(AJ298,설정!$A$15:$D$47,3,0),"무등급")))</f>
        <v>AA이상</v>
      </c>
      <c r="AL298" s="89" t="n">
        <f aca="false">IF(AJ298="",99,IFERROR(VLOOKUP(AJ298,설정!$A$15:$D$47,4,0),99))</f>
        <v>2</v>
      </c>
      <c r="AM298" s="94" t="n">
        <f aca="false">IF(ISNUMBER(H298),AA298*1000000*H298/10000,0)</f>
        <v>12275.89448</v>
      </c>
      <c r="AN298" s="94" t="n">
        <f aca="false">IF(OR(Y298=1,NOT(ISNUMBER(Z298))),0,AA298*1000000*Z298/10000)</f>
        <v>0</v>
      </c>
      <c r="AO298" s="94" t="n">
        <f aca="false">IF(ISNUMBER(G298),AA298*1000000*G298/100,0)</f>
        <v>1184656.3424</v>
      </c>
      <c r="AP298" s="94" t="n">
        <f aca="false">IF(ISNUMBER(M298),M298*K298,0)</f>
        <v>-1566264.19</v>
      </c>
      <c r="AQ298" s="95" t="str">
        <f aca="false">IF(AB298="","",INDEX(시장분석!$AK:$AK,AB298))</f>
        <v/>
      </c>
      <c r="AR298" s="43" t="str">
        <f aca="false">IF(AB298="","-",IF(AB298="","",INDEX(시장분석!$AL:$AL,AB298)))</f>
        <v>-</v>
      </c>
      <c r="AS298" s="96" t="str">
        <f aca="false">IF(AB298="","",INDEX(시장분석!$AJ:$AJ,AB298))</f>
        <v/>
      </c>
      <c r="AT298" s="93" t="n">
        <f aca="false">IF(AB298="",0,IF(AB298="","",INDEX(시장분석!$AN:$AN,AB298)))</f>
        <v>0</v>
      </c>
      <c r="AU298" s="94" t="n">
        <f aca="false">IF(ISNUMBER(Z298),AT298/10000*MAX(Z298-1,0)*AA298*1000000,0)</f>
        <v>0</v>
      </c>
      <c r="AV298" s="94" t="n">
        <f aca="false">AO298+AU298</f>
        <v>1184656.3424</v>
      </c>
      <c r="AW298" s="43" t="str">
        <f aca="false">IF(Q298&lt;&gt;1,"",TRIM(IF(AD298=1,"FRN ","")&amp;IF(AND(AL298&gt;=10,AL298&lt;99),"BBB0미만 ","")&amp;IF(AJ298="","등급없음 ","")&amp;IF(K298&lt;&gt;1,"비USD ","")&amp;IF(AND(AB298="",Y298=0),"시장데이터없음 ","")&amp;IF(AND(ISNUMBER(U298),U298&lt;0),"만기경과 ","")))</f>
        <v/>
      </c>
      <c r="AX298" s="90" t="n">
        <f aca="false">IF(Q298&lt;&gt;1,1,IF(스프레드쇼크!$C$4="Y",INDEX(스프레드쇼크!$B$12:$L$16,IFERROR(MATCH(AH298,스프레드쇼크!$A$12:$A$16,0),MATCH("목록외",스프레드쇼크!$A$12:$A$16,0)),IFERROR(MATCH(AG298,스프레드쇼크!$B$11:$L$11,0),MATCH("목록외",스프레드쇼크!$B$11:$L$11,0))),1))</f>
        <v>1</v>
      </c>
      <c r="AY298" s="90" t="n">
        <f aca="false">IF(스프레드쇼크!$C$5="Y",IF(ISNUMBER(AF298),MIN(스프레드쇼크!$C$7,MAX(스프레드쇼크!$C$6,AF298/스프레드쇼크!$C$8)),1),1)</f>
        <v>0.25</v>
      </c>
      <c r="AZ298" s="94" t="n">
        <f aca="false">AN298*AX298*AY298</f>
        <v>0</v>
      </c>
      <c r="BA298" s="90" t="n">
        <f aca="false">IF(ISNUMBER(G298),AA298*G298,0)</f>
        <v>118.46563424</v>
      </c>
      <c r="BB298" s="90" t="n">
        <f aca="false">IF(ISNUMBER(G298),AA298,0)</f>
        <v>23.2322</v>
      </c>
      <c r="BC298" s="90" t="n">
        <f aca="false">IF(AND(Y298=0,ISNUMBER(AF298)),AA298*AF298,0)</f>
        <v>0</v>
      </c>
      <c r="BD298" s="90" t="n">
        <f aca="false">IF(AND(Y298=0,ISNUMBER(AF298)),AA298,0)</f>
        <v>0</v>
      </c>
      <c r="BE298" s="90" t="n">
        <f aca="false">IF(ISNUMBER(H298),AA298*H298,0)</f>
        <v>122.7589448</v>
      </c>
      <c r="BF298" s="90" t="n">
        <f aca="false">IF(ISNUMBER(H298),AA298,0)</f>
        <v>23.2322</v>
      </c>
      <c r="BG298" s="90" t="n">
        <f aca="false">IF(AND(Y298=0,ISNUMBER(AF298),ISNUMBER(Z298)),AA298*Z298,0)</f>
        <v>0</v>
      </c>
      <c r="BH298" s="90" t="n">
        <f aca="false">IF(AND(Y298=0,ISNUMBER(AF298),ISNUMBER(Z298)),AA298*AT298*MAX(Z298-1,0),0)</f>
        <v>0</v>
      </c>
      <c r="BI298" s="90" t="n">
        <f aca="false">IF(Y298=0,AA298,0)</f>
        <v>0</v>
      </c>
    </row>
    <row r="299" customFormat="false" ht="15" hidden="false" customHeight="false" outlineLevel="0" collapsed="false">
      <c r="A299" s="83" t="str">
        <f aca="false">IFERROR(IF(INDEX(원자료_잔고!$A$1:$EZ$1500,설정!$L$5+ROW()-1,설정!$L$8)&amp;""="0","",INDEX(원자료_잔고!$A$1:$EZ$1500,설정!$L$5+ROW()-1,설정!$L$8)&amp;""),"")</f>
        <v>T 3.75 11/30/32</v>
      </c>
      <c r="B299" s="83" t="str">
        <f aca="false">IFERROR(IF(INDEX(원자료_잔고!$A$1:$EZ$1500,설정!$L$5+ROW()-1,설정!$L$7)&amp;""="0","",INDEX(원자료_잔고!$A$1:$EZ$1500,설정!$L$5+ROW()-1,설정!$L$7)&amp;""),"")</f>
        <v>US91282CPM72</v>
      </c>
      <c r="C299" s="83" t="str">
        <f aca="false">IFERROR(IF(INDEX(원자료_잔고!$A$1:$EZ$1500,설정!$L$5+ROW()-1,설정!$L$9)&amp;""="0","",INDEX(원자료_잔고!$A$1:$EZ$1500,설정!$L$5+ROW()-1,설정!$L$9)&amp;""),"")</f>
        <v>38038</v>
      </c>
      <c r="D299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299" s="84" t="n">
        <f aca="false">IFERROR(IF(ISNUMBER(INDEX(원자료_잔고!$A$1:$EZ$1500,설정!$L$5+ROW()-1,설정!$L$11)),INDEX(원자료_잔고!$A$1:$EZ$1500,설정!$L$5+ROW()-1,설정!$L$11),""),"")</f>
        <v>25000000</v>
      </c>
      <c r="F299" s="85" t="n">
        <f aca="false">IFERROR(IF(ISNUMBER(INDEX(원자료_잔고!$A$1:$EZ$1500,설정!$L$5+ROW()-1,설정!$L$12)),INDEX(원자료_잔고!$A$1:$EZ$1500,설정!$L$5+ROW()-1,설정!$L$12),""),"")</f>
        <v>92.9288</v>
      </c>
      <c r="G299" s="85" t="n">
        <f aca="false">IFERROR(IF(ISNUMBER(INDEX(원자료_잔고!$A$1:$EZ$1500,설정!$L$5+ROW()-1,설정!$L$13)),INDEX(원자료_잔고!$A$1:$EZ$1500,설정!$L$5+ROW()-1,설정!$L$13),""),"")</f>
        <v>5.0992</v>
      </c>
      <c r="H299" s="85" t="n">
        <f aca="false">IFERROR(IF(ISNUMBER(INDEX(원자료_잔고!$A$1:$EZ$1500,설정!$L$5+ROW()-1,설정!$L$14)),INDEX(원자료_잔고!$A$1:$EZ$1500,설정!$L$5+ROW()-1,설정!$L$14),""),"")</f>
        <v>5.284</v>
      </c>
      <c r="I299" s="86" t="n">
        <f aca="false">IFERROR(IF(ISNUMBER(INDEX(원자료_잔고!$A$1:$EZ$1500,설정!$L$5+ROW()-1,설정!$L$15)),INDEX(원자료_잔고!$A$1:$EZ$1500,설정!$L$5+ROW()-1,설정!$L$15),""),"")</f>
        <v>48548</v>
      </c>
      <c r="J299" s="85" t="n">
        <f aca="false">IFERROR(IF(ISNUMBER(INDEX(원자료_잔고!$A$1:$EZ$1500,설정!$L$5+ROW()-1,설정!$L$16)),INDEX(원자료_잔고!$A$1:$EZ$1500,설정!$L$5+ROW()-1,설정!$L$16),""),"")</f>
        <v>3.75</v>
      </c>
      <c r="K299" s="87" t="n">
        <f aca="false">IFERROR(IF(ISNUMBER(INDEX(원자료_잔고!$A$1:$EZ$1500,설정!$L$5+ROW()-1,설정!$L$17)),INDEX(원자료_잔고!$A$1:$EZ$1500,설정!$L$5+ROW()-1,설정!$L$17),""),"")</f>
        <v>1</v>
      </c>
      <c r="L299" s="84" t="n">
        <f aca="false">IFERROR(IF(ISNUMBER(INDEX(원자료_잔고!$A$1:$EZ$1500,설정!$L$5+ROW()-1,설정!$L$18)),INDEX(원자료_잔고!$A$1:$EZ$1500,설정!$L$5+ROW()-1,설정!$L$18),""),"")</f>
        <v>23232200</v>
      </c>
      <c r="M299" s="88" t="n">
        <f aca="false">IFERROR(IF(ISNUMBER(INDEX(원자료_잔고!$A$1:$EZ$1500,설정!$L$5+ROW()-1,설정!$L$19)),INDEX(원자료_잔고!$A$1:$EZ$1500,설정!$L$5+ROW()-1,설정!$L$19),""),"")</f>
        <v>-1566357.74</v>
      </c>
      <c r="N299" s="83" t="str">
        <f aca="false">IFERROR(IF(INDEX(원자료_잔고!$A$1:$EZ$1500,설정!$L$5+ROW()-1,설정!$L$21)&amp;""="0","",INDEX(원자료_잔고!$A$1:$EZ$1500,설정!$L$5+ROW()-1,설정!$L$21)&amp;""),"")</f>
        <v/>
      </c>
      <c r="O299" s="83" t="str">
        <f aca="false">IFERROR(IF(INDEX(원자료_잔고!$A$1:$EZ$1500,설정!$L$5+ROW()-1,설정!$L$22)&amp;""="0","",INDEX(원자료_잔고!$A$1:$EZ$1500,설정!$L$5+ROW()-1,설정!$L$22)&amp;""),"")</f>
        <v/>
      </c>
      <c r="P299" s="83" t="str">
        <f aca="false">IFERROR(IF(INDEX(원자료_잔고!$A$1:$EZ$1500,설정!$L$5+ROW()-1,설정!$L$23)&amp;""="0","",INDEX(원자료_잔고!$A$1:$EZ$1500,설정!$L$5+ROW()-1,설정!$L$23)&amp;""),"")</f>
        <v>AA+</v>
      </c>
      <c r="Q299" s="89" t="n">
        <f aca="false">IF(AND($A299&lt;&gt;"",ISNUMBER(E299)),IF(E299&gt;0,1,0),0)</f>
        <v>1</v>
      </c>
      <c r="R299" s="43" t="str">
        <f aca="false">IF(Q299=1,UPPER(LEFT($A299,FIND(" ",$A299&amp;" ")-1)),"")</f>
        <v>T</v>
      </c>
      <c r="S299" s="89" t="n">
        <f aca="false">IF(Q299=1,IF(OR(ISNUMBER(SEARCH("Float",$A299)),ISNUMBER(SEARCH("FRN",$A299))),1,0),0)</f>
        <v>0</v>
      </c>
      <c r="T299" s="43" t="str">
        <f aca="false">IF(AND(Q299=1,ISNUMBER(I299)),TEXT(I299,"yyyymmdd")&amp;"|"&amp;IF(S299=1,"F",TEXT(J299,"0.000")),"")</f>
        <v>20321130|3.750</v>
      </c>
      <c r="U299" s="90" t="n">
        <f aca="false">IF(AND(Q299=1,ISNUMBER(I299)),(I299-설정!$C$4)/365.25,"")</f>
        <v>6.16563997262149</v>
      </c>
      <c r="V299" s="43" t="str">
        <f aca="false">IF(Q299&lt;&gt;1,"",IF(ISNUMBER(U299),IF(U299&lt;=1,"1년 이하",IF(U299&lt;=2,"1-2년",IF(U299&lt;=3,"2-3년",IF(U299&lt;=4,"3-4년",IF(U299&lt;=5,"4-5년",IF(U299&lt;=7,"5-7년",IF(U299&lt;=10,"7-10년",IF(U299&lt;=20,"10-20년","20년 이상")))))))),"미분류"))</f>
        <v>5-7년</v>
      </c>
      <c r="W299" s="43" t="str">
        <f aca="false">IF(Q299&lt;&gt;1,"",IF(AB299&lt;&gt;"",INDEX(시장분석!$C:$C,AB299),IF(K299=1,"USD","비USD")))</f>
        <v>USD</v>
      </c>
      <c r="X299" s="91" t="n">
        <f aca="false">IF(Q299=1,E299*K299/1000000,0)</f>
        <v>25</v>
      </c>
      <c r="Y299" s="89" t="n">
        <f aca="false">IF(R299="T",1,0)</f>
        <v>1</v>
      </c>
      <c r="Z299" s="92" t="n">
        <f aca="false">IF(Q299&lt;&gt;1,"",IF(AD299=1,IF(ISNUMBER(U299),MAX(U299,0),H299),H299))</f>
        <v>5.284</v>
      </c>
      <c r="AA299" s="91" t="n">
        <f aca="false">IF(Q299=1,IF(ISNUMBER(L299),L299,0)*K299/1000000,0)</f>
        <v>23.2322</v>
      </c>
      <c r="AB299" s="89" t="n">
        <f aca="false">IF(Q299&lt;&gt;1,"",IFERROR(MATCH(VLOOKUP(B299,매핑!$H$4:$I$15,2,0),시장분석!$A$2:$A$601,0)+1,IFERROR(MATCH(R299&amp;"|"&amp;T299,시장분석!$V$2:$V$601,0)+1,IF(COUNTIF(시장분석!$U$2:$U$601,T299)=1,MATCH(T299,시장분석!$U$2:$U$601,0)+1,""))))</f>
        <v>126</v>
      </c>
      <c r="AC299" s="89" t="n">
        <f aca="false">IF(Q299&lt;&gt;1,0,IF(OR(설정!$C$5="전체",AND(설정!$C$5="선택펀드",IFERROR(COUNTIFS(설정!$F$16:$F$36,C299,설정!$G$16:$G$36,"Y")+COUNTIFS(설정!$F$16:$F$36,VALUE(C299),설정!$G$16:$G$36,"Y"),0)&gt;0),C299&amp;""=설정!$C$5&amp;""),1,0))</f>
        <v>0</v>
      </c>
      <c r="AD299" s="89" t="n">
        <f aca="false">IF(Q299&lt;&gt;1,0,IF(OR(S299=1,IF(AB299="",FALSE(),INDEX(시장분석!$R:$R,AB299)=1)),1,0))</f>
        <v>0</v>
      </c>
      <c r="AE299" s="43" t="str">
        <f aca="false">IF(AB299="","",INDEX(시장분석!$A:$A,AB299))</f>
        <v>T 3 3/4 11/30/32</v>
      </c>
      <c r="AF299" s="93" t="n">
        <f aca="false">IF(AB299="","",IF(ISNUMBER(IF(AB299="","",INDEX(시장분석!$E:$E,AB299))),IF(AB299="","",INDEX(시장분석!$E:$E,AB299)),""))</f>
        <v>-3.054</v>
      </c>
      <c r="AG299" s="43" t="str">
        <f aca="false">IF(Q299&lt;&gt;1,"",IF(AB299&lt;&gt;"",IF(AB299="","",INDEX(시장분석!$L:$L,AB299)),IFERROR(IF(VLOOKUP(R299,매핑!$A$4:$E$92,5,0)="","미분류",VLOOKUP(R299,매핑!$A$4:$E$92,5,0)),"미분류")))</f>
        <v>정부</v>
      </c>
      <c r="AH299" s="43" t="str">
        <f aca="false">IF(Q299&lt;&gt;1,"",IF(AB299&lt;&gt;"",IF(AB299="","",INDEX(시장분석!$N:$N,AB299)),IFERROR(IF(VLOOKUP(R299,매핑!$A$4:$E$92,4,0)="","미분류",VLOOKUP(R299,매핑!$A$4:$E$92,4,0)),"미분류")))</f>
        <v>미국</v>
      </c>
      <c r="AI299" s="43" t="str">
        <f aca="false">IF(Q299&lt;&gt;1,"",IFERROR(IF(VLOOKUP(R299,매핑!$A$4:$E$92,3,0)="","미분류",VLOOKUP(R299,매핑!$A$4:$E$92,3,0)),IF(AB299&lt;&gt;"",IF(AB299="","",INDEX(시장분석!$W:$W,AB299)),"미분류")))</f>
        <v>미국</v>
      </c>
      <c r="AJ299" s="43" t="str">
        <f aca="false">IF(Q299&lt;&gt;1,"",IFERROR(VLOOKUP(IF(N299&lt;&gt;"",N299,IF(P299&lt;&gt;"",P299,O299)),설정!$A$15:$D$47,2,0),""))</f>
        <v>AA+</v>
      </c>
      <c r="AK299" s="43" t="str">
        <f aca="false">IF(Q299&lt;&gt;1,"",IF(AJ299="","무등급",IFERROR(VLOOKUP(AJ299,설정!$A$15:$D$47,3,0),"무등급")))</f>
        <v>AA이상</v>
      </c>
      <c r="AL299" s="89" t="n">
        <f aca="false">IF(AJ299="",99,IFERROR(VLOOKUP(AJ299,설정!$A$15:$D$47,4,0),99))</f>
        <v>2</v>
      </c>
      <c r="AM299" s="94" t="n">
        <f aca="false">IF(ISNUMBER(H299),AA299*1000000*H299/10000,0)</f>
        <v>12275.89448</v>
      </c>
      <c r="AN299" s="94" t="n">
        <f aca="false">IF(OR(Y299=1,NOT(ISNUMBER(Z299))),0,AA299*1000000*Z299/10000)</f>
        <v>0</v>
      </c>
      <c r="AO299" s="94" t="n">
        <f aca="false">IF(ISNUMBER(G299),AA299*1000000*G299/100,0)</f>
        <v>1184656.3424</v>
      </c>
      <c r="AP299" s="94" t="n">
        <f aca="false">IF(ISNUMBER(M299),M299*K299,0)</f>
        <v>-1566357.74</v>
      </c>
      <c r="AQ299" s="95" t="str">
        <f aca="false">IF(AB299="","",INDEX(시장분석!$AK:$AK,AB299))</f>
        <v/>
      </c>
      <c r="AR299" s="43" t="str">
        <f aca="false">IF(AB299="","-",IF(AB299="","",INDEX(시장분석!$AL:$AL,AB299)))</f>
        <v>-</v>
      </c>
      <c r="AS299" s="96" t="str">
        <f aca="false">IF(AB299="","",INDEX(시장분석!$AJ:$AJ,AB299))</f>
        <v/>
      </c>
      <c r="AT299" s="93" t="n">
        <f aca="false">IF(AB299="",0,IF(AB299="","",INDEX(시장분석!$AN:$AN,AB299)))</f>
        <v>0</v>
      </c>
      <c r="AU299" s="94" t="n">
        <f aca="false">IF(ISNUMBER(Z299),AT299/10000*MAX(Z299-1,0)*AA299*1000000,0)</f>
        <v>0</v>
      </c>
      <c r="AV299" s="94" t="n">
        <f aca="false">AO299+AU299</f>
        <v>1184656.3424</v>
      </c>
      <c r="AW299" s="43" t="str">
        <f aca="false">IF(Q299&lt;&gt;1,"",TRIM(IF(AD299=1,"FRN ","")&amp;IF(AND(AL299&gt;=10,AL299&lt;99),"BBB0미만 ","")&amp;IF(AJ299="","등급없음 ","")&amp;IF(K299&lt;&gt;1,"비USD ","")&amp;IF(AND(AB299="",Y299=0),"시장데이터없음 ","")&amp;IF(AND(ISNUMBER(U299),U299&lt;0),"만기경과 ","")))</f>
        <v/>
      </c>
      <c r="AX299" s="90" t="n">
        <f aca="false">IF(Q299&lt;&gt;1,1,IF(스프레드쇼크!$C$4="Y",INDEX(스프레드쇼크!$B$12:$L$16,IFERROR(MATCH(AH299,스프레드쇼크!$A$12:$A$16,0),MATCH("목록외",스프레드쇼크!$A$12:$A$16,0)),IFERROR(MATCH(AG299,스프레드쇼크!$B$11:$L$11,0),MATCH("목록외",스프레드쇼크!$B$11:$L$11,0))),1))</f>
        <v>1</v>
      </c>
      <c r="AY299" s="90" t="n">
        <f aca="false">IF(스프레드쇼크!$C$5="Y",IF(ISNUMBER(AF299),MIN(스프레드쇼크!$C$7,MAX(스프레드쇼크!$C$6,AF299/스프레드쇼크!$C$8)),1),1)</f>
        <v>0.25</v>
      </c>
      <c r="AZ299" s="94" t="n">
        <f aca="false">AN299*AX299*AY299</f>
        <v>0</v>
      </c>
      <c r="BA299" s="90" t="n">
        <f aca="false">IF(ISNUMBER(G299),AA299*G299,0)</f>
        <v>118.46563424</v>
      </c>
      <c r="BB299" s="90" t="n">
        <f aca="false">IF(ISNUMBER(G299),AA299,0)</f>
        <v>23.2322</v>
      </c>
      <c r="BC299" s="90" t="n">
        <f aca="false">IF(AND(Y299=0,ISNUMBER(AF299)),AA299*AF299,0)</f>
        <v>0</v>
      </c>
      <c r="BD299" s="90" t="n">
        <f aca="false">IF(AND(Y299=0,ISNUMBER(AF299)),AA299,0)</f>
        <v>0</v>
      </c>
      <c r="BE299" s="90" t="n">
        <f aca="false">IF(ISNUMBER(H299),AA299*H299,0)</f>
        <v>122.7589448</v>
      </c>
      <c r="BF299" s="90" t="n">
        <f aca="false">IF(ISNUMBER(H299),AA299,0)</f>
        <v>23.2322</v>
      </c>
      <c r="BG299" s="90" t="n">
        <f aca="false">IF(AND(Y299=0,ISNUMBER(AF299),ISNUMBER(Z299)),AA299*Z299,0)</f>
        <v>0</v>
      </c>
      <c r="BH299" s="90" t="n">
        <f aca="false">IF(AND(Y299=0,ISNUMBER(AF299),ISNUMBER(Z299)),AA299*AT299*MAX(Z299-1,0),0)</f>
        <v>0</v>
      </c>
      <c r="BI299" s="90" t="n">
        <f aca="false">IF(Y299=0,AA299,0)</f>
        <v>0</v>
      </c>
    </row>
    <row r="300" customFormat="false" ht="15" hidden="false" customHeight="false" outlineLevel="0" collapsed="false">
      <c r="A300" s="83" t="str">
        <f aca="false">IFERROR(IF(INDEX(원자료_잔고!$A$1:$EZ$1500,설정!$L$5+ROW()-1,설정!$L$8)&amp;""="0","",INDEX(원자료_잔고!$A$1:$EZ$1500,설정!$L$5+ROW()-1,설정!$L$8)&amp;""),"")</f>
        <v>T 3.75 11/30/32</v>
      </c>
      <c r="B300" s="83" t="str">
        <f aca="false">IFERROR(IF(INDEX(원자료_잔고!$A$1:$EZ$1500,설정!$L$5+ROW()-1,설정!$L$7)&amp;""="0","",INDEX(원자료_잔고!$A$1:$EZ$1500,설정!$L$5+ROW()-1,설정!$L$7)&amp;""),"")</f>
        <v>US91282CPM72</v>
      </c>
      <c r="C300" s="83" t="str">
        <f aca="false">IFERROR(IF(INDEX(원자료_잔고!$A$1:$EZ$1500,설정!$L$5+ROW()-1,설정!$L$9)&amp;""="0","",INDEX(원자료_잔고!$A$1:$EZ$1500,설정!$L$5+ROW()-1,설정!$L$9)&amp;""),"")</f>
        <v>38038</v>
      </c>
      <c r="D300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00" s="84" t="n">
        <f aca="false">IFERROR(IF(ISNUMBER(INDEX(원자료_잔고!$A$1:$EZ$1500,설정!$L$5+ROW()-1,설정!$L$11)),INDEX(원자료_잔고!$A$1:$EZ$1500,설정!$L$5+ROW()-1,설정!$L$11),""),"")</f>
        <v>25000000</v>
      </c>
      <c r="F300" s="85" t="n">
        <f aca="false">IFERROR(IF(ISNUMBER(INDEX(원자료_잔고!$A$1:$EZ$1500,설정!$L$5+ROW()-1,설정!$L$12)),INDEX(원자료_잔고!$A$1:$EZ$1500,설정!$L$5+ROW()-1,설정!$L$12),""),"")</f>
        <v>92.9288</v>
      </c>
      <c r="G300" s="85" t="n">
        <f aca="false">IFERROR(IF(ISNUMBER(INDEX(원자료_잔고!$A$1:$EZ$1500,설정!$L$5+ROW()-1,설정!$L$13)),INDEX(원자료_잔고!$A$1:$EZ$1500,설정!$L$5+ROW()-1,설정!$L$13),""),"")</f>
        <v>5.0992</v>
      </c>
      <c r="H300" s="85" t="n">
        <f aca="false">IFERROR(IF(ISNUMBER(INDEX(원자료_잔고!$A$1:$EZ$1500,설정!$L$5+ROW()-1,설정!$L$14)),INDEX(원자료_잔고!$A$1:$EZ$1500,설정!$L$5+ROW()-1,설정!$L$14),""),"")</f>
        <v>5.284</v>
      </c>
      <c r="I300" s="86" t="n">
        <f aca="false">IFERROR(IF(ISNUMBER(INDEX(원자료_잔고!$A$1:$EZ$1500,설정!$L$5+ROW()-1,설정!$L$15)),INDEX(원자료_잔고!$A$1:$EZ$1500,설정!$L$5+ROW()-1,설정!$L$15),""),"")</f>
        <v>48548</v>
      </c>
      <c r="J300" s="85" t="n">
        <f aca="false">IFERROR(IF(ISNUMBER(INDEX(원자료_잔고!$A$1:$EZ$1500,설정!$L$5+ROW()-1,설정!$L$16)),INDEX(원자료_잔고!$A$1:$EZ$1500,설정!$L$5+ROW()-1,설정!$L$16),""),"")</f>
        <v>3.75</v>
      </c>
      <c r="K300" s="87" t="n">
        <f aca="false">IFERROR(IF(ISNUMBER(INDEX(원자료_잔고!$A$1:$EZ$1500,설정!$L$5+ROW()-1,설정!$L$17)),INDEX(원자료_잔고!$A$1:$EZ$1500,설정!$L$5+ROW()-1,설정!$L$17),""),"")</f>
        <v>1</v>
      </c>
      <c r="L300" s="84" t="n">
        <f aca="false">IFERROR(IF(ISNUMBER(INDEX(원자료_잔고!$A$1:$EZ$1500,설정!$L$5+ROW()-1,설정!$L$18)),INDEX(원자료_잔고!$A$1:$EZ$1500,설정!$L$5+ROW()-1,설정!$L$18),""),"")</f>
        <v>23232200</v>
      </c>
      <c r="M300" s="88" t="n">
        <f aca="false">IFERROR(IF(ISNUMBER(INDEX(원자료_잔고!$A$1:$EZ$1500,설정!$L$5+ROW()-1,설정!$L$19)),INDEX(원자료_잔고!$A$1:$EZ$1500,설정!$L$5+ROW()-1,설정!$L$19),""),"")</f>
        <v>-1566357.74</v>
      </c>
      <c r="N300" s="83" t="str">
        <f aca="false">IFERROR(IF(INDEX(원자료_잔고!$A$1:$EZ$1500,설정!$L$5+ROW()-1,설정!$L$21)&amp;""="0","",INDEX(원자료_잔고!$A$1:$EZ$1500,설정!$L$5+ROW()-1,설정!$L$21)&amp;""),"")</f>
        <v/>
      </c>
      <c r="O300" s="83" t="str">
        <f aca="false">IFERROR(IF(INDEX(원자료_잔고!$A$1:$EZ$1500,설정!$L$5+ROW()-1,설정!$L$22)&amp;""="0","",INDEX(원자료_잔고!$A$1:$EZ$1500,설정!$L$5+ROW()-1,설정!$L$22)&amp;""),"")</f>
        <v/>
      </c>
      <c r="P300" s="83" t="str">
        <f aca="false">IFERROR(IF(INDEX(원자료_잔고!$A$1:$EZ$1500,설정!$L$5+ROW()-1,설정!$L$23)&amp;""="0","",INDEX(원자료_잔고!$A$1:$EZ$1500,설정!$L$5+ROW()-1,설정!$L$23)&amp;""),"")</f>
        <v>AA+</v>
      </c>
      <c r="Q300" s="89" t="n">
        <f aca="false">IF(AND($A300&lt;&gt;"",ISNUMBER(E300)),IF(E300&gt;0,1,0),0)</f>
        <v>1</v>
      </c>
      <c r="R300" s="43" t="str">
        <f aca="false">IF(Q300=1,UPPER(LEFT($A300,FIND(" ",$A300&amp;" ")-1)),"")</f>
        <v>T</v>
      </c>
      <c r="S300" s="89" t="n">
        <f aca="false">IF(Q300=1,IF(OR(ISNUMBER(SEARCH("Float",$A300)),ISNUMBER(SEARCH("FRN",$A300))),1,0),0)</f>
        <v>0</v>
      </c>
      <c r="T300" s="43" t="str">
        <f aca="false">IF(AND(Q300=1,ISNUMBER(I300)),TEXT(I300,"yyyymmdd")&amp;"|"&amp;IF(S300=1,"F",TEXT(J300,"0.000")),"")</f>
        <v>20321130|3.750</v>
      </c>
      <c r="U300" s="90" t="n">
        <f aca="false">IF(AND(Q300=1,ISNUMBER(I300)),(I300-설정!$C$4)/365.25,"")</f>
        <v>6.16563997262149</v>
      </c>
      <c r="V300" s="43" t="str">
        <f aca="false">IF(Q300&lt;&gt;1,"",IF(ISNUMBER(U300),IF(U300&lt;=1,"1년 이하",IF(U300&lt;=2,"1-2년",IF(U300&lt;=3,"2-3년",IF(U300&lt;=4,"3-4년",IF(U300&lt;=5,"4-5년",IF(U300&lt;=7,"5-7년",IF(U300&lt;=10,"7-10년",IF(U300&lt;=20,"10-20년","20년 이상")))))))),"미분류"))</f>
        <v>5-7년</v>
      </c>
      <c r="W300" s="43" t="str">
        <f aca="false">IF(Q300&lt;&gt;1,"",IF(AB300&lt;&gt;"",INDEX(시장분석!$C:$C,AB300),IF(K300=1,"USD","비USD")))</f>
        <v>USD</v>
      </c>
      <c r="X300" s="91" t="n">
        <f aca="false">IF(Q300=1,E300*K300/1000000,0)</f>
        <v>25</v>
      </c>
      <c r="Y300" s="89" t="n">
        <f aca="false">IF(R300="T",1,0)</f>
        <v>1</v>
      </c>
      <c r="Z300" s="92" t="n">
        <f aca="false">IF(Q300&lt;&gt;1,"",IF(AD300=1,IF(ISNUMBER(U300),MAX(U300,0),H300),H300))</f>
        <v>5.284</v>
      </c>
      <c r="AA300" s="91" t="n">
        <f aca="false">IF(Q300=1,IF(ISNUMBER(L300),L300,0)*K300/1000000,0)</f>
        <v>23.2322</v>
      </c>
      <c r="AB300" s="89" t="n">
        <f aca="false">IF(Q300&lt;&gt;1,"",IFERROR(MATCH(VLOOKUP(B300,매핑!$H$4:$I$15,2,0),시장분석!$A$2:$A$601,0)+1,IFERROR(MATCH(R300&amp;"|"&amp;T300,시장분석!$V$2:$V$601,0)+1,IF(COUNTIF(시장분석!$U$2:$U$601,T300)=1,MATCH(T300,시장분석!$U$2:$U$601,0)+1,""))))</f>
        <v>126</v>
      </c>
      <c r="AC300" s="89" t="n">
        <f aca="false">IF(Q300&lt;&gt;1,0,IF(OR(설정!$C$5="전체",AND(설정!$C$5="선택펀드",IFERROR(COUNTIFS(설정!$F$16:$F$36,C300,설정!$G$16:$G$36,"Y")+COUNTIFS(설정!$F$16:$F$36,VALUE(C300),설정!$G$16:$G$36,"Y"),0)&gt;0),C300&amp;""=설정!$C$5&amp;""),1,0))</f>
        <v>0</v>
      </c>
      <c r="AD300" s="89" t="n">
        <f aca="false">IF(Q300&lt;&gt;1,0,IF(OR(S300=1,IF(AB300="",FALSE(),INDEX(시장분석!$R:$R,AB300)=1)),1,0))</f>
        <v>0</v>
      </c>
      <c r="AE300" s="43" t="str">
        <f aca="false">IF(AB300="","",INDEX(시장분석!$A:$A,AB300))</f>
        <v>T 3 3/4 11/30/32</v>
      </c>
      <c r="AF300" s="93" t="n">
        <f aca="false">IF(AB300="","",IF(ISNUMBER(IF(AB300="","",INDEX(시장분석!$E:$E,AB300))),IF(AB300="","",INDEX(시장분석!$E:$E,AB300)),""))</f>
        <v>-3.054</v>
      </c>
      <c r="AG300" s="43" t="str">
        <f aca="false">IF(Q300&lt;&gt;1,"",IF(AB300&lt;&gt;"",IF(AB300="","",INDEX(시장분석!$L:$L,AB300)),IFERROR(IF(VLOOKUP(R300,매핑!$A$4:$E$92,5,0)="","미분류",VLOOKUP(R300,매핑!$A$4:$E$92,5,0)),"미분류")))</f>
        <v>정부</v>
      </c>
      <c r="AH300" s="43" t="str">
        <f aca="false">IF(Q300&lt;&gt;1,"",IF(AB300&lt;&gt;"",IF(AB300="","",INDEX(시장분석!$N:$N,AB300)),IFERROR(IF(VLOOKUP(R300,매핑!$A$4:$E$92,4,0)="","미분류",VLOOKUP(R300,매핑!$A$4:$E$92,4,0)),"미분류")))</f>
        <v>미국</v>
      </c>
      <c r="AI300" s="43" t="str">
        <f aca="false">IF(Q300&lt;&gt;1,"",IFERROR(IF(VLOOKUP(R300,매핑!$A$4:$E$92,3,0)="","미분류",VLOOKUP(R300,매핑!$A$4:$E$92,3,0)),IF(AB300&lt;&gt;"",IF(AB300="","",INDEX(시장분석!$W:$W,AB300)),"미분류")))</f>
        <v>미국</v>
      </c>
      <c r="AJ300" s="43" t="str">
        <f aca="false">IF(Q300&lt;&gt;1,"",IFERROR(VLOOKUP(IF(N300&lt;&gt;"",N300,IF(P300&lt;&gt;"",P300,O300)),설정!$A$15:$D$47,2,0),""))</f>
        <v>AA+</v>
      </c>
      <c r="AK300" s="43" t="str">
        <f aca="false">IF(Q300&lt;&gt;1,"",IF(AJ300="","무등급",IFERROR(VLOOKUP(AJ300,설정!$A$15:$D$47,3,0),"무등급")))</f>
        <v>AA이상</v>
      </c>
      <c r="AL300" s="89" t="n">
        <f aca="false">IF(AJ300="",99,IFERROR(VLOOKUP(AJ300,설정!$A$15:$D$47,4,0),99))</f>
        <v>2</v>
      </c>
      <c r="AM300" s="94" t="n">
        <f aca="false">IF(ISNUMBER(H300),AA300*1000000*H300/10000,0)</f>
        <v>12275.89448</v>
      </c>
      <c r="AN300" s="94" t="n">
        <f aca="false">IF(OR(Y300=1,NOT(ISNUMBER(Z300))),0,AA300*1000000*Z300/10000)</f>
        <v>0</v>
      </c>
      <c r="AO300" s="94" t="n">
        <f aca="false">IF(ISNUMBER(G300),AA300*1000000*G300/100,0)</f>
        <v>1184656.3424</v>
      </c>
      <c r="AP300" s="94" t="n">
        <f aca="false">IF(ISNUMBER(M300),M300*K300,0)</f>
        <v>-1566357.74</v>
      </c>
      <c r="AQ300" s="95" t="str">
        <f aca="false">IF(AB300="","",INDEX(시장분석!$AK:$AK,AB300))</f>
        <v/>
      </c>
      <c r="AR300" s="43" t="str">
        <f aca="false">IF(AB300="","-",IF(AB300="","",INDEX(시장분석!$AL:$AL,AB300)))</f>
        <v>-</v>
      </c>
      <c r="AS300" s="96" t="str">
        <f aca="false">IF(AB300="","",INDEX(시장분석!$AJ:$AJ,AB300))</f>
        <v/>
      </c>
      <c r="AT300" s="93" t="n">
        <f aca="false">IF(AB300="",0,IF(AB300="","",INDEX(시장분석!$AN:$AN,AB300)))</f>
        <v>0</v>
      </c>
      <c r="AU300" s="94" t="n">
        <f aca="false">IF(ISNUMBER(Z300),AT300/10000*MAX(Z300-1,0)*AA300*1000000,0)</f>
        <v>0</v>
      </c>
      <c r="AV300" s="94" t="n">
        <f aca="false">AO300+AU300</f>
        <v>1184656.3424</v>
      </c>
      <c r="AW300" s="43" t="str">
        <f aca="false">IF(Q300&lt;&gt;1,"",TRIM(IF(AD300=1,"FRN ","")&amp;IF(AND(AL300&gt;=10,AL300&lt;99),"BBB0미만 ","")&amp;IF(AJ300="","등급없음 ","")&amp;IF(K300&lt;&gt;1,"비USD ","")&amp;IF(AND(AB300="",Y300=0),"시장데이터없음 ","")&amp;IF(AND(ISNUMBER(U300),U300&lt;0),"만기경과 ","")))</f>
        <v/>
      </c>
      <c r="AX300" s="90" t="n">
        <f aca="false">IF(Q300&lt;&gt;1,1,IF(스프레드쇼크!$C$4="Y",INDEX(스프레드쇼크!$B$12:$L$16,IFERROR(MATCH(AH300,스프레드쇼크!$A$12:$A$16,0),MATCH("목록외",스프레드쇼크!$A$12:$A$16,0)),IFERROR(MATCH(AG300,스프레드쇼크!$B$11:$L$11,0),MATCH("목록외",스프레드쇼크!$B$11:$L$11,0))),1))</f>
        <v>1</v>
      </c>
      <c r="AY300" s="90" t="n">
        <f aca="false">IF(스프레드쇼크!$C$5="Y",IF(ISNUMBER(AF300),MIN(스프레드쇼크!$C$7,MAX(스프레드쇼크!$C$6,AF300/스프레드쇼크!$C$8)),1),1)</f>
        <v>0.25</v>
      </c>
      <c r="AZ300" s="94" t="n">
        <f aca="false">AN300*AX300*AY300</f>
        <v>0</v>
      </c>
      <c r="BA300" s="90" t="n">
        <f aca="false">IF(ISNUMBER(G300),AA300*G300,0)</f>
        <v>118.46563424</v>
      </c>
      <c r="BB300" s="90" t="n">
        <f aca="false">IF(ISNUMBER(G300),AA300,0)</f>
        <v>23.2322</v>
      </c>
      <c r="BC300" s="90" t="n">
        <f aca="false">IF(AND(Y300=0,ISNUMBER(AF300)),AA300*AF300,0)</f>
        <v>0</v>
      </c>
      <c r="BD300" s="90" t="n">
        <f aca="false">IF(AND(Y300=0,ISNUMBER(AF300)),AA300,0)</f>
        <v>0</v>
      </c>
      <c r="BE300" s="90" t="n">
        <f aca="false">IF(ISNUMBER(H300),AA300*H300,0)</f>
        <v>122.7589448</v>
      </c>
      <c r="BF300" s="90" t="n">
        <f aca="false">IF(ISNUMBER(H300),AA300,0)</f>
        <v>23.2322</v>
      </c>
      <c r="BG300" s="90" t="n">
        <f aca="false">IF(AND(Y300=0,ISNUMBER(AF300),ISNUMBER(Z300)),AA300*Z300,0)</f>
        <v>0</v>
      </c>
      <c r="BH300" s="90" t="n">
        <f aca="false">IF(AND(Y300=0,ISNUMBER(AF300),ISNUMBER(Z300)),AA300*AT300*MAX(Z300-1,0),0)</f>
        <v>0</v>
      </c>
      <c r="BI300" s="90" t="n">
        <f aca="false">IF(Y300=0,AA300,0)</f>
        <v>0</v>
      </c>
    </row>
    <row r="301" customFormat="false" ht="15" hidden="false" customHeight="false" outlineLevel="0" collapsed="false">
      <c r="A301" s="83" t="str">
        <f aca="false">IFERROR(IF(INDEX(원자료_잔고!$A$1:$EZ$1500,설정!$L$5+ROW()-1,설정!$L$8)&amp;""="0","",INDEX(원자료_잔고!$A$1:$EZ$1500,설정!$L$5+ROW()-1,설정!$L$8)&amp;""),"")</f>
        <v>T 4.125 02/15/36</v>
      </c>
      <c r="B301" s="83" t="str">
        <f aca="false">IFERROR(IF(INDEX(원자료_잔고!$A$1:$EZ$1500,설정!$L$5+ROW()-1,설정!$L$7)&amp;""="0","",INDEX(원자료_잔고!$A$1:$EZ$1500,설정!$L$5+ROW()-1,설정!$L$7)&amp;""),"")</f>
        <v>US91282CPZ85</v>
      </c>
      <c r="C301" s="83" t="str">
        <f aca="false">IFERROR(IF(INDEX(원자료_잔고!$A$1:$EZ$1500,설정!$L$5+ROW()-1,설정!$L$9)&amp;""="0","",INDEX(원자료_잔고!$A$1:$EZ$1500,설정!$L$5+ROW()-1,설정!$L$9)&amp;""),"")</f>
        <v>38038</v>
      </c>
      <c r="D301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01" s="84" t="n">
        <f aca="false">IFERROR(IF(ISNUMBER(INDEX(원자료_잔고!$A$1:$EZ$1500,설정!$L$5+ROW()-1,설정!$L$11)),INDEX(원자료_잔고!$A$1:$EZ$1500,설정!$L$5+ROW()-1,설정!$L$11),""),"")</f>
        <v>10000000</v>
      </c>
      <c r="F301" s="85" t="n">
        <f aca="false">IFERROR(IF(ISNUMBER(INDEX(원자료_잔고!$A$1:$EZ$1500,설정!$L$5+ROW()-1,설정!$L$12)),INDEX(원자료_잔고!$A$1:$EZ$1500,설정!$L$5+ROW()-1,설정!$L$12),""),"")</f>
        <v>91.9811</v>
      </c>
      <c r="G301" s="85" t="n">
        <f aca="false">IFERROR(IF(ISNUMBER(INDEX(원자료_잔고!$A$1:$EZ$1500,설정!$L$5+ROW()-1,설정!$L$13)),INDEX(원자료_잔고!$A$1:$EZ$1500,설정!$L$5+ROW()-1,설정!$L$13),""),"")</f>
        <v>5.2164</v>
      </c>
      <c r="H301" s="85" t="n">
        <f aca="false">IFERROR(IF(ISNUMBER(INDEX(원자료_잔고!$A$1:$EZ$1500,설정!$L$5+ROW()-1,설정!$L$14)),INDEX(원자료_잔고!$A$1:$EZ$1500,설정!$L$5+ROW()-1,설정!$L$14),""),"")</f>
        <v>7.489</v>
      </c>
      <c r="I301" s="86" t="n">
        <f aca="false">IFERROR(IF(ISNUMBER(INDEX(원자료_잔고!$A$1:$EZ$1500,설정!$L$5+ROW()-1,설정!$L$15)),INDEX(원자료_잔고!$A$1:$EZ$1500,설정!$L$5+ROW()-1,설정!$L$15),""),"")</f>
        <v>49720</v>
      </c>
      <c r="J301" s="85" t="n">
        <f aca="false">IFERROR(IF(ISNUMBER(INDEX(원자료_잔고!$A$1:$EZ$1500,설정!$L$5+ROW()-1,설정!$L$16)),INDEX(원자료_잔고!$A$1:$EZ$1500,설정!$L$5+ROW()-1,설정!$L$16),""),"")</f>
        <v>4.125</v>
      </c>
      <c r="K301" s="87" t="n">
        <f aca="false">IFERROR(IF(ISNUMBER(INDEX(원자료_잔고!$A$1:$EZ$1500,설정!$L$5+ROW()-1,설정!$L$17)),INDEX(원자료_잔고!$A$1:$EZ$1500,설정!$L$5+ROW()-1,설정!$L$17),""),"")</f>
        <v>1</v>
      </c>
      <c r="L301" s="84" t="n">
        <f aca="false">IFERROR(IF(ISNUMBER(INDEX(원자료_잔고!$A$1:$EZ$1500,설정!$L$5+ROW()-1,설정!$L$18)),INDEX(원자료_잔고!$A$1:$EZ$1500,설정!$L$5+ROW()-1,설정!$L$18),""),"")</f>
        <v>9198110</v>
      </c>
      <c r="M301" s="88" t="n">
        <f aca="false">IFERROR(IF(ISNUMBER(INDEX(원자료_잔고!$A$1:$EZ$1500,설정!$L$5+ROW()-1,설정!$L$19)),INDEX(원자료_잔고!$A$1:$EZ$1500,설정!$L$5+ROW()-1,설정!$L$19),""),"")</f>
        <v>-782695.94</v>
      </c>
      <c r="N301" s="83" t="str">
        <f aca="false">IFERROR(IF(INDEX(원자료_잔고!$A$1:$EZ$1500,설정!$L$5+ROW()-1,설정!$L$21)&amp;""="0","",INDEX(원자료_잔고!$A$1:$EZ$1500,설정!$L$5+ROW()-1,설정!$L$21)&amp;""),"")</f>
        <v/>
      </c>
      <c r="O301" s="83" t="str">
        <f aca="false">IFERROR(IF(INDEX(원자료_잔고!$A$1:$EZ$1500,설정!$L$5+ROW()-1,설정!$L$22)&amp;""="0","",INDEX(원자료_잔고!$A$1:$EZ$1500,설정!$L$5+ROW()-1,설정!$L$22)&amp;""),"")</f>
        <v/>
      </c>
      <c r="P301" s="83" t="str">
        <f aca="false">IFERROR(IF(INDEX(원자료_잔고!$A$1:$EZ$1500,설정!$L$5+ROW()-1,설정!$L$23)&amp;""="0","",INDEX(원자료_잔고!$A$1:$EZ$1500,설정!$L$5+ROW()-1,설정!$L$23)&amp;""),"")</f>
        <v>AA+</v>
      </c>
      <c r="Q301" s="89" t="n">
        <f aca="false">IF(AND($A301&lt;&gt;"",ISNUMBER(E301)),IF(E301&gt;0,1,0),0)</f>
        <v>1</v>
      </c>
      <c r="R301" s="43" t="str">
        <f aca="false">IF(Q301=1,UPPER(LEFT($A301,FIND(" ",$A301&amp;" ")-1)),"")</f>
        <v>T</v>
      </c>
      <c r="S301" s="89" t="n">
        <f aca="false">IF(Q301=1,IF(OR(ISNUMBER(SEARCH("Float",$A301)),ISNUMBER(SEARCH("FRN",$A301))),1,0),0)</f>
        <v>0</v>
      </c>
      <c r="T301" s="43" t="str">
        <f aca="false">IF(AND(Q301=1,ISNUMBER(I301)),TEXT(I301,"yyyymmdd")&amp;"|"&amp;IF(S301=1,"F",TEXT(J301,"0.000")),"")</f>
        <v>20360215|4.125</v>
      </c>
      <c r="U301" s="90" t="n">
        <f aca="false">IF(AND(Q301=1,ISNUMBER(I301)),(I301-설정!$C$4)/365.25,"")</f>
        <v>9.37440109514031</v>
      </c>
      <c r="V301" s="43" t="str">
        <f aca="false">IF(Q301&lt;&gt;1,"",IF(ISNUMBER(U301),IF(U301&lt;=1,"1년 이하",IF(U301&lt;=2,"1-2년",IF(U301&lt;=3,"2-3년",IF(U301&lt;=4,"3-4년",IF(U301&lt;=5,"4-5년",IF(U301&lt;=7,"5-7년",IF(U301&lt;=10,"7-10년",IF(U301&lt;=20,"10-20년","20년 이상")))))))),"미분류"))</f>
        <v>7-10년</v>
      </c>
      <c r="W301" s="43" t="str">
        <f aca="false">IF(Q301&lt;&gt;1,"",IF(AB301&lt;&gt;"",INDEX(시장분석!$C:$C,AB301),IF(K301=1,"USD","비USD")))</f>
        <v>USD</v>
      </c>
      <c r="X301" s="91" t="n">
        <f aca="false">IF(Q301=1,E301*K301/1000000,0)</f>
        <v>10</v>
      </c>
      <c r="Y301" s="89" t="n">
        <f aca="false">IF(R301="T",1,0)</f>
        <v>1</v>
      </c>
      <c r="Z301" s="92" t="n">
        <f aca="false">IF(Q301&lt;&gt;1,"",IF(AD301=1,IF(ISNUMBER(U301),MAX(U301,0),H301),H301))</f>
        <v>7.489</v>
      </c>
      <c r="AA301" s="91" t="n">
        <f aca="false">IF(Q301=1,IF(ISNUMBER(L301),L301,0)*K301/1000000,0)</f>
        <v>9.19811</v>
      </c>
      <c r="AB301" s="89" t="n">
        <f aca="false">IF(Q301&lt;&gt;1,"",IFERROR(MATCH(VLOOKUP(B301,매핑!$H$4:$I$15,2,0),시장분석!$A$2:$A$601,0)+1,IFERROR(MATCH(R301&amp;"|"&amp;T301,시장분석!$V$2:$V$601,0)+1,IF(COUNTIF(시장분석!$U$2:$U$601,T301)=1,MATCH(T301,시장분석!$U$2:$U$601,0)+1,""))))</f>
        <v>127</v>
      </c>
      <c r="AC301" s="89" t="n">
        <f aca="false">IF(Q301&lt;&gt;1,0,IF(OR(설정!$C$5="전체",AND(설정!$C$5="선택펀드",IFERROR(COUNTIFS(설정!$F$16:$F$36,C301,설정!$G$16:$G$36,"Y")+COUNTIFS(설정!$F$16:$F$36,VALUE(C301),설정!$G$16:$G$36,"Y"),0)&gt;0),C301&amp;""=설정!$C$5&amp;""),1,0))</f>
        <v>0</v>
      </c>
      <c r="AD301" s="89" t="n">
        <f aca="false">IF(Q301&lt;&gt;1,0,IF(OR(S301=1,IF(AB301="",FALSE(),INDEX(시장분석!$R:$R,AB301)=1)),1,0))</f>
        <v>0</v>
      </c>
      <c r="AE301" s="43" t="str">
        <f aca="false">IF(AB301="","",INDEX(시장분석!$A:$A,AB301))</f>
        <v>T 4 1/8 02/15/36</v>
      </c>
      <c r="AF301" s="93" t="n">
        <f aca="false">IF(AB301="","",IF(ISNUMBER(IF(AB301="","",INDEX(시장분석!$E:$E,AB301))),IF(AB301="","",INDEX(시장분석!$E:$E,AB301)),""))</f>
        <v>-0.532</v>
      </c>
      <c r="AG301" s="43" t="str">
        <f aca="false">IF(Q301&lt;&gt;1,"",IF(AB301&lt;&gt;"",IF(AB301="","",INDEX(시장분석!$L:$L,AB301)),IFERROR(IF(VLOOKUP(R301,매핑!$A$4:$E$92,5,0)="","미분류",VLOOKUP(R301,매핑!$A$4:$E$92,5,0)),"미분류")))</f>
        <v>정부</v>
      </c>
      <c r="AH301" s="43" t="str">
        <f aca="false">IF(Q301&lt;&gt;1,"",IF(AB301&lt;&gt;"",IF(AB301="","",INDEX(시장분석!$N:$N,AB301)),IFERROR(IF(VLOOKUP(R301,매핑!$A$4:$E$92,4,0)="","미분류",VLOOKUP(R301,매핑!$A$4:$E$92,4,0)),"미분류")))</f>
        <v>미국</v>
      </c>
      <c r="AI301" s="43" t="str">
        <f aca="false">IF(Q301&lt;&gt;1,"",IFERROR(IF(VLOOKUP(R301,매핑!$A$4:$E$92,3,0)="","미분류",VLOOKUP(R301,매핑!$A$4:$E$92,3,0)),IF(AB301&lt;&gt;"",IF(AB301="","",INDEX(시장분석!$W:$W,AB301)),"미분류")))</f>
        <v>미국</v>
      </c>
      <c r="AJ301" s="43" t="str">
        <f aca="false">IF(Q301&lt;&gt;1,"",IFERROR(VLOOKUP(IF(N301&lt;&gt;"",N301,IF(P301&lt;&gt;"",P301,O301)),설정!$A$15:$D$47,2,0),""))</f>
        <v>AA+</v>
      </c>
      <c r="AK301" s="43" t="str">
        <f aca="false">IF(Q301&lt;&gt;1,"",IF(AJ301="","무등급",IFERROR(VLOOKUP(AJ301,설정!$A$15:$D$47,3,0),"무등급")))</f>
        <v>AA이상</v>
      </c>
      <c r="AL301" s="89" t="n">
        <f aca="false">IF(AJ301="",99,IFERROR(VLOOKUP(AJ301,설정!$A$15:$D$47,4,0),99))</f>
        <v>2</v>
      </c>
      <c r="AM301" s="94" t="n">
        <f aca="false">IF(ISNUMBER(H301),AA301*1000000*H301/10000,0)</f>
        <v>6888.464579</v>
      </c>
      <c r="AN301" s="94" t="n">
        <f aca="false">IF(OR(Y301=1,NOT(ISNUMBER(Z301))),0,AA301*1000000*Z301/10000)</f>
        <v>0</v>
      </c>
      <c r="AO301" s="94" t="n">
        <f aca="false">IF(ISNUMBER(G301),AA301*1000000*G301/100,0)</f>
        <v>479810.21004</v>
      </c>
      <c r="AP301" s="94" t="n">
        <f aca="false">IF(ISNUMBER(M301),M301*K301,0)</f>
        <v>-782695.94</v>
      </c>
      <c r="AQ301" s="95" t="str">
        <f aca="false">IF(AB301="","",INDEX(시장분석!$AK:$AK,AB301))</f>
        <v/>
      </c>
      <c r="AR301" s="43" t="str">
        <f aca="false">IF(AB301="","-",IF(AB301="","",INDEX(시장분석!$AL:$AL,AB301)))</f>
        <v>-</v>
      </c>
      <c r="AS301" s="96" t="str">
        <f aca="false">IF(AB301="","",INDEX(시장분석!$AJ:$AJ,AB301))</f>
        <v/>
      </c>
      <c r="AT301" s="93" t="n">
        <f aca="false">IF(AB301="",0,IF(AB301="","",INDEX(시장분석!$AN:$AN,AB301)))</f>
        <v>0</v>
      </c>
      <c r="AU301" s="94" t="n">
        <f aca="false">IF(ISNUMBER(Z301),AT301/10000*MAX(Z301-1,0)*AA301*1000000,0)</f>
        <v>0</v>
      </c>
      <c r="AV301" s="94" t="n">
        <f aca="false">AO301+AU301</f>
        <v>479810.21004</v>
      </c>
      <c r="AW301" s="43" t="str">
        <f aca="false">IF(Q301&lt;&gt;1,"",TRIM(IF(AD301=1,"FRN ","")&amp;IF(AND(AL301&gt;=10,AL301&lt;99),"BBB0미만 ","")&amp;IF(AJ301="","등급없음 ","")&amp;IF(K301&lt;&gt;1,"비USD ","")&amp;IF(AND(AB301="",Y301=0),"시장데이터없음 ","")&amp;IF(AND(ISNUMBER(U301),U301&lt;0),"만기경과 ","")))</f>
        <v/>
      </c>
      <c r="AX301" s="90" t="n">
        <f aca="false">IF(Q301&lt;&gt;1,1,IF(스프레드쇼크!$C$4="Y",INDEX(스프레드쇼크!$B$12:$L$16,IFERROR(MATCH(AH301,스프레드쇼크!$A$12:$A$16,0),MATCH("목록외",스프레드쇼크!$A$12:$A$16,0)),IFERROR(MATCH(AG301,스프레드쇼크!$B$11:$L$11,0),MATCH("목록외",스프레드쇼크!$B$11:$L$11,0))),1))</f>
        <v>1</v>
      </c>
      <c r="AY301" s="90" t="n">
        <f aca="false">IF(스프레드쇼크!$C$5="Y",IF(ISNUMBER(AF301),MIN(스프레드쇼크!$C$7,MAX(스프레드쇼크!$C$6,AF301/스프레드쇼크!$C$8)),1),1)</f>
        <v>0.25</v>
      </c>
      <c r="AZ301" s="94" t="n">
        <f aca="false">AN301*AX301*AY301</f>
        <v>0</v>
      </c>
      <c r="BA301" s="90" t="n">
        <f aca="false">IF(ISNUMBER(G301),AA301*G301,0)</f>
        <v>47.981021004</v>
      </c>
      <c r="BB301" s="90" t="n">
        <f aca="false">IF(ISNUMBER(G301),AA301,0)</f>
        <v>9.19811</v>
      </c>
      <c r="BC301" s="90" t="n">
        <f aca="false">IF(AND(Y301=0,ISNUMBER(AF301)),AA301*AF301,0)</f>
        <v>0</v>
      </c>
      <c r="BD301" s="90" t="n">
        <f aca="false">IF(AND(Y301=0,ISNUMBER(AF301)),AA301,0)</f>
        <v>0</v>
      </c>
      <c r="BE301" s="90" t="n">
        <f aca="false">IF(ISNUMBER(H301),AA301*H301,0)</f>
        <v>68.88464579</v>
      </c>
      <c r="BF301" s="90" t="n">
        <f aca="false">IF(ISNUMBER(H301),AA301,0)</f>
        <v>9.19811</v>
      </c>
      <c r="BG301" s="90" t="n">
        <f aca="false">IF(AND(Y301=0,ISNUMBER(AF301),ISNUMBER(Z301)),AA301*Z301,0)</f>
        <v>0</v>
      </c>
      <c r="BH301" s="90" t="n">
        <f aca="false">IF(AND(Y301=0,ISNUMBER(AF301),ISNUMBER(Z301)),AA301*AT301*MAX(Z301-1,0),0)</f>
        <v>0</v>
      </c>
      <c r="BI301" s="90" t="n">
        <f aca="false">IF(Y301=0,AA301,0)</f>
        <v>0</v>
      </c>
    </row>
    <row r="302" customFormat="false" ht="15" hidden="false" customHeight="false" outlineLevel="0" collapsed="false">
      <c r="A302" s="83" t="str">
        <f aca="false">IFERROR(IF(INDEX(원자료_잔고!$A$1:$EZ$1500,설정!$L$5+ROW()-1,설정!$L$8)&amp;""="0","",INDEX(원자료_잔고!$A$1:$EZ$1500,설정!$L$5+ROW()-1,설정!$L$8)&amp;""),"")</f>
        <v>T 4.375 05/15/36</v>
      </c>
      <c r="B302" s="83" t="str">
        <f aca="false">IFERROR(IF(INDEX(원자료_잔고!$A$1:$EZ$1500,설정!$L$5+ROW()-1,설정!$L$7)&amp;""="0","",INDEX(원자료_잔고!$A$1:$EZ$1500,설정!$L$5+ROW()-1,설정!$L$7)&amp;""),"")</f>
        <v>US91282CQQ77</v>
      </c>
      <c r="C302" s="83" t="str">
        <f aca="false">IFERROR(IF(INDEX(원자료_잔고!$A$1:$EZ$1500,설정!$L$5+ROW()-1,설정!$L$9)&amp;""="0","",INDEX(원자료_잔고!$A$1:$EZ$1500,설정!$L$5+ROW()-1,설정!$L$9)&amp;""),"")</f>
        <v>38038</v>
      </c>
      <c r="D302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02" s="84" t="n">
        <f aca="false">IFERROR(IF(ISNUMBER(INDEX(원자료_잔고!$A$1:$EZ$1500,설정!$L$5+ROW()-1,설정!$L$11)),INDEX(원자료_잔고!$A$1:$EZ$1500,설정!$L$5+ROW()-1,설정!$L$11),""),"")</f>
        <v>10000000</v>
      </c>
      <c r="F302" s="85" t="n">
        <f aca="false">IFERROR(IF(ISNUMBER(INDEX(원자료_잔고!$A$1:$EZ$1500,설정!$L$5+ROW()-1,설정!$L$12)),INDEX(원자료_잔고!$A$1:$EZ$1500,설정!$L$5+ROW()-1,설정!$L$12),""),"")</f>
        <v>93.6565</v>
      </c>
      <c r="G302" s="85" t="n">
        <f aca="false">IFERROR(IF(ISNUMBER(INDEX(원자료_잔고!$A$1:$EZ$1500,설정!$L$5+ROW()-1,설정!$L$13)),INDEX(원자료_잔고!$A$1:$EZ$1500,설정!$L$5+ROW()-1,설정!$L$13),""),"")</f>
        <v>5.2206</v>
      </c>
      <c r="H302" s="85" t="n">
        <f aca="false">IFERROR(IF(ISNUMBER(INDEX(원자료_잔고!$A$1:$EZ$1500,설정!$L$5+ROW()-1,설정!$L$14)),INDEX(원자료_잔고!$A$1:$EZ$1500,설정!$L$5+ROW()-1,설정!$L$14),""),"")</f>
        <v>7.493</v>
      </c>
      <c r="I302" s="86" t="n">
        <f aca="false">IFERROR(IF(ISNUMBER(INDEX(원자료_잔고!$A$1:$EZ$1500,설정!$L$5+ROW()-1,설정!$L$15)),INDEX(원자료_잔고!$A$1:$EZ$1500,설정!$L$5+ROW()-1,설정!$L$15),""),"")</f>
        <v>49810</v>
      </c>
      <c r="J302" s="85" t="n">
        <f aca="false">IFERROR(IF(ISNUMBER(INDEX(원자료_잔고!$A$1:$EZ$1500,설정!$L$5+ROW()-1,설정!$L$16)),INDEX(원자료_잔고!$A$1:$EZ$1500,설정!$L$5+ROW()-1,설정!$L$16),""),"")</f>
        <v>4.375</v>
      </c>
      <c r="K302" s="87" t="n">
        <f aca="false">IFERROR(IF(ISNUMBER(INDEX(원자료_잔고!$A$1:$EZ$1500,설정!$L$5+ROW()-1,설정!$L$17)),INDEX(원자료_잔고!$A$1:$EZ$1500,설정!$L$5+ROW()-1,설정!$L$17),""),"")</f>
        <v>1</v>
      </c>
      <c r="L302" s="84" t="n">
        <f aca="false">IFERROR(IF(ISNUMBER(INDEX(원자료_잔고!$A$1:$EZ$1500,설정!$L$5+ROW()-1,설정!$L$18)),INDEX(원자료_잔고!$A$1:$EZ$1500,설정!$L$5+ROW()-1,설정!$L$18),""),"")</f>
        <v>9365650</v>
      </c>
      <c r="M302" s="88" t="n">
        <f aca="false">IFERROR(IF(ISNUMBER(INDEX(원자료_잔고!$A$1:$EZ$1500,설정!$L$5+ROW()-1,설정!$L$19)),INDEX(원자료_잔고!$A$1:$EZ$1500,설정!$L$5+ROW()-1,설정!$L$19),""),"")</f>
        <v>-593692.13</v>
      </c>
      <c r="N302" s="83" t="str">
        <f aca="false">IFERROR(IF(INDEX(원자료_잔고!$A$1:$EZ$1500,설정!$L$5+ROW()-1,설정!$L$21)&amp;""="0","",INDEX(원자료_잔고!$A$1:$EZ$1500,설정!$L$5+ROW()-1,설정!$L$21)&amp;""),"")</f>
        <v/>
      </c>
      <c r="O302" s="83" t="str">
        <f aca="false">IFERROR(IF(INDEX(원자료_잔고!$A$1:$EZ$1500,설정!$L$5+ROW()-1,설정!$L$22)&amp;""="0","",INDEX(원자료_잔고!$A$1:$EZ$1500,설정!$L$5+ROW()-1,설정!$L$22)&amp;""),"")</f>
        <v/>
      </c>
      <c r="P302" s="83" t="str">
        <f aca="false">IFERROR(IF(INDEX(원자료_잔고!$A$1:$EZ$1500,설정!$L$5+ROW()-1,설정!$L$23)&amp;""="0","",INDEX(원자료_잔고!$A$1:$EZ$1500,설정!$L$5+ROW()-1,설정!$L$23)&amp;""),"")</f>
        <v>AA+</v>
      </c>
      <c r="Q302" s="89" t="n">
        <f aca="false">IF(AND($A302&lt;&gt;"",ISNUMBER(E302)),IF(E302&gt;0,1,0),0)</f>
        <v>1</v>
      </c>
      <c r="R302" s="43" t="str">
        <f aca="false">IF(Q302=1,UPPER(LEFT($A302,FIND(" ",$A302&amp;" ")-1)),"")</f>
        <v>T</v>
      </c>
      <c r="S302" s="89" t="n">
        <f aca="false">IF(Q302=1,IF(OR(ISNUMBER(SEARCH("Float",$A302)),ISNUMBER(SEARCH("FRN",$A302))),1,0),0)</f>
        <v>0</v>
      </c>
      <c r="T302" s="43" t="str">
        <f aca="false">IF(AND(Q302=1,ISNUMBER(I302)),TEXT(I302,"yyyymmdd")&amp;"|"&amp;IF(S302=1,"F",TEXT(J302,"0.000")),"")</f>
        <v>20360515|4.375</v>
      </c>
      <c r="U302" s="90" t="n">
        <f aca="false">IF(AND(Q302=1,ISNUMBER(I302)),(I302-설정!$C$4)/365.25,"")</f>
        <v>9.6208076659822</v>
      </c>
      <c r="V302" s="43" t="str">
        <f aca="false">IF(Q302&lt;&gt;1,"",IF(ISNUMBER(U302),IF(U302&lt;=1,"1년 이하",IF(U302&lt;=2,"1-2년",IF(U302&lt;=3,"2-3년",IF(U302&lt;=4,"3-4년",IF(U302&lt;=5,"4-5년",IF(U302&lt;=7,"5-7년",IF(U302&lt;=10,"7-10년",IF(U302&lt;=20,"10-20년","20년 이상")))))))),"미분류"))</f>
        <v>7-10년</v>
      </c>
      <c r="W302" s="43" t="str">
        <f aca="false">IF(Q302&lt;&gt;1,"",IF(AB302&lt;&gt;"",INDEX(시장분석!$C:$C,AB302),IF(K302=1,"USD","비USD")))</f>
        <v>USD</v>
      </c>
      <c r="X302" s="91" t="n">
        <f aca="false">IF(Q302=1,E302*K302/1000000,0)</f>
        <v>10</v>
      </c>
      <c r="Y302" s="89" t="n">
        <f aca="false">IF(R302="T",1,0)</f>
        <v>1</v>
      </c>
      <c r="Z302" s="92" t="n">
        <f aca="false">IF(Q302&lt;&gt;1,"",IF(AD302=1,IF(ISNUMBER(U302),MAX(U302,0),H302),H302))</f>
        <v>7.493</v>
      </c>
      <c r="AA302" s="91" t="n">
        <f aca="false">IF(Q302=1,IF(ISNUMBER(L302),L302,0)*K302/1000000,0)</f>
        <v>9.36565</v>
      </c>
      <c r="AB302" s="89" t="n">
        <f aca="false">IF(Q302&lt;&gt;1,"",IFERROR(MATCH(VLOOKUP(B302,매핑!$H$4:$I$15,2,0),시장분석!$A$2:$A$601,0)+1,IFERROR(MATCH(R302&amp;"|"&amp;T302,시장분석!$V$2:$V$601,0)+1,IF(COUNTIF(시장분석!$U$2:$U$601,T302)=1,MATCH(T302,시장분석!$U$2:$U$601,0)+1,""))))</f>
        <v>128</v>
      </c>
      <c r="AC302" s="89" t="n">
        <f aca="false">IF(Q302&lt;&gt;1,0,IF(OR(설정!$C$5="전체",AND(설정!$C$5="선택펀드",IFERROR(COUNTIFS(설정!$F$16:$F$36,C302,설정!$G$16:$G$36,"Y")+COUNTIFS(설정!$F$16:$F$36,VALUE(C302),설정!$G$16:$G$36,"Y"),0)&gt;0),C302&amp;""=설정!$C$5&amp;""),1,0))</f>
        <v>0</v>
      </c>
      <c r="AD302" s="89" t="n">
        <f aca="false">IF(Q302&lt;&gt;1,0,IF(OR(S302=1,IF(AB302="",FALSE(),INDEX(시장분석!$R:$R,AB302)=1)),1,0))</f>
        <v>0</v>
      </c>
      <c r="AE302" s="43" t="str">
        <f aca="false">IF(AB302="","",INDEX(시장분석!$A:$A,AB302))</f>
        <v>T 4 3/8 05/15/36</v>
      </c>
      <c r="AF302" s="93" t="n">
        <f aca="false">IF(AB302="","",IF(ISNUMBER(IF(AB302="","",INDEX(시장분석!$E:$E,AB302))),IF(AB302="","",INDEX(시장분석!$E:$E,AB302)),""))</f>
        <v>-0.024</v>
      </c>
      <c r="AG302" s="43" t="str">
        <f aca="false">IF(Q302&lt;&gt;1,"",IF(AB302&lt;&gt;"",IF(AB302="","",INDEX(시장분석!$L:$L,AB302)),IFERROR(IF(VLOOKUP(R302,매핑!$A$4:$E$92,5,0)="","미분류",VLOOKUP(R302,매핑!$A$4:$E$92,5,0)),"미분류")))</f>
        <v>정부</v>
      </c>
      <c r="AH302" s="43" t="str">
        <f aca="false">IF(Q302&lt;&gt;1,"",IF(AB302&lt;&gt;"",IF(AB302="","",INDEX(시장분석!$N:$N,AB302)),IFERROR(IF(VLOOKUP(R302,매핑!$A$4:$E$92,4,0)="","미분류",VLOOKUP(R302,매핑!$A$4:$E$92,4,0)),"미분류")))</f>
        <v>미국</v>
      </c>
      <c r="AI302" s="43" t="str">
        <f aca="false">IF(Q302&lt;&gt;1,"",IFERROR(IF(VLOOKUP(R302,매핑!$A$4:$E$92,3,0)="","미분류",VLOOKUP(R302,매핑!$A$4:$E$92,3,0)),IF(AB302&lt;&gt;"",IF(AB302="","",INDEX(시장분석!$W:$W,AB302)),"미분류")))</f>
        <v>미국</v>
      </c>
      <c r="AJ302" s="43" t="str">
        <f aca="false">IF(Q302&lt;&gt;1,"",IFERROR(VLOOKUP(IF(N302&lt;&gt;"",N302,IF(P302&lt;&gt;"",P302,O302)),설정!$A$15:$D$47,2,0),""))</f>
        <v>AA+</v>
      </c>
      <c r="AK302" s="43" t="str">
        <f aca="false">IF(Q302&lt;&gt;1,"",IF(AJ302="","무등급",IFERROR(VLOOKUP(AJ302,설정!$A$15:$D$47,3,0),"무등급")))</f>
        <v>AA이상</v>
      </c>
      <c r="AL302" s="89" t="n">
        <f aca="false">IF(AJ302="",99,IFERROR(VLOOKUP(AJ302,설정!$A$15:$D$47,4,0),99))</f>
        <v>2</v>
      </c>
      <c r="AM302" s="94" t="n">
        <f aca="false">IF(ISNUMBER(H302),AA302*1000000*H302/10000,0)</f>
        <v>7017.681545</v>
      </c>
      <c r="AN302" s="94" t="n">
        <f aca="false">IF(OR(Y302=1,NOT(ISNUMBER(Z302))),0,AA302*1000000*Z302/10000)</f>
        <v>0</v>
      </c>
      <c r="AO302" s="94" t="n">
        <f aca="false">IF(ISNUMBER(G302),AA302*1000000*G302/100,0)</f>
        <v>488943.1239</v>
      </c>
      <c r="AP302" s="94" t="n">
        <f aca="false">IF(ISNUMBER(M302),M302*K302,0)</f>
        <v>-593692.13</v>
      </c>
      <c r="AQ302" s="95" t="str">
        <f aca="false">IF(AB302="","",INDEX(시장분석!$AK:$AK,AB302))</f>
        <v/>
      </c>
      <c r="AR302" s="43" t="str">
        <f aca="false">IF(AB302="","-",IF(AB302="","",INDEX(시장분석!$AL:$AL,AB302)))</f>
        <v>-</v>
      </c>
      <c r="AS302" s="96" t="str">
        <f aca="false">IF(AB302="","",INDEX(시장분석!$AJ:$AJ,AB302))</f>
        <v/>
      </c>
      <c r="AT302" s="93" t="n">
        <f aca="false">IF(AB302="",0,IF(AB302="","",INDEX(시장분석!$AN:$AN,AB302)))</f>
        <v>0</v>
      </c>
      <c r="AU302" s="94" t="n">
        <f aca="false">IF(ISNUMBER(Z302),AT302/10000*MAX(Z302-1,0)*AA302*1000000,0)</f>
        <v>0</v>
      </c>
      <c r="AV302" s="94" t="n">
        <f aca="false">AO302+AU302</f>
        <v>488943.1239</v>
      </c>
      <c r="AW302" s="43" t="str">
        <f aca="false">IF(Q302&lt;&gt;1,"",TRIM(IF(AD302=1,"FRN ","")&amp;IF(AND(AL302&gt;=10,AL302&lt;99),"BBB0미만 ","")&amp;IF(AJ302="","등급없음 ","")&amp;IF(K302&lt;&gt;1,"비USD ","")&amp;IF(AND(AB302="",Y302=0),"시장데이터없음 ","")&amp;IF(AND(ISNUMBER(U302),U302&lt;0),"만기경과 ","")))</f>
        <v/>
      </c>
      <c r="AX302" s="90" t="n">
        <f aca="false">IF(Q302&lt;&gt;1,1,IF(스프레드쇼크!$C$4="Y",INDEX(스프레드쇼크!$B$12:$L$16,IFERROR(MATCH(AH302,스프레드쇼크!$A$12:$A$16,0),MATCH("목록외",스프레드쇼크!$A$12:$A$16,0)),IFERROR(MATCH(AG302,스프레드쇼크!$B$11:$L$11,0),MATCH("목록외",스프레드쇼크!$B$11:$L$11,0))),1))</f>
        <v>1</v>
      </c>
      <c r="AY302" s="90" t="n">
        <f aca="false">IF(스프레드쇼크!$C$5="Y",IF(ISNUMBER(AF302),MIN(스프레드쇼크!$C$7,MAX(스프레드쇼크!$C$6,AF302/스프레드쇼크!$C$8)),1),1)</f>
        <v>0.25</v>
      </c>
      <c r="AZ302" s="94" t="n">
        <f aca="false">AN302*AX302*AY302</f>
        <v>0</v>
      </c>
      <c r="BA302" s="90" t="n">
        <f aca="false">IF(ISNUMBER(G302),AA302*G302,0)</f>
        <v>48.89431239</v>
      </c>
      <c r="BB302" s="90" t="n">
        <f aca="false">IF(ISNUMBER(G302),AA302,0)</f>
        <v>9.36565</v>
      </c>
      <c r="BC302" s="90" t="n">
        <f aca="false">IF(AND(Y302=0,ISNUMBER(AF302)),AA302*AF302,0)</f>
        <v>0</v>
      </c>
      <c r="BD302" s="90" t="n">
        <f aca="false">IF(AND(Y302=0,ISNUMBER(AF302)),AA302,0)</f>
        <v>0</v>
      </c>
      <c r="BE302" s="90" t="n">
        <f aca="false">IF(ISNUMBER(H302),AA302*H302,0)</f>
        <v>70.17681545</v>
      </c>
      <c r="BF302" s="90" t="n">
        <f aca="false">IF(ISNUMBER(H302),AA302,0)</f>
        <v>9.36565</v>
      </c>
      <c r="BG302" s="90" t="n">
        <f aca="false">IF(AND(Y302=0,ISNUMBER(AF302),ISNUMBER(Z302)),AA302*Z302,0)</f>
        <v>0</v>
      </c>
      <c r="BH302" s="90" t="n">
        <f aca="false">IF(AND(Y302=0,ISNUMBER(AF302),ISNUMBER(Z302)),AA302*AT302*MAX(Z302-1,0),0)</f>
        <v>0</v>
      </c>
      <c r="BI302" s="90" t="n">
        <f aca="false">IF(Y302=0,AA302,0)</f>
        <v>0</v>
      </c>
    </row>
    <row r="303" customFormat="false" ht="15" hidden="false" customHeight="false" outlineLevel="0" collapsed="false">
      <c r="A303" s="83" t="str">
        <f aca="false">IFERROR(IF(INDEX(원자료_잔고!$A$1:$EZ$1500,설정!$L$5+ROW()-1,설정!$L$8)&amp;""="0","",INDEX(원자료_잔고!$A$1:$EZ$1500,설정!$L$5+ROW()-1,설정!$L$8)&amp;""),"")</f>
        <v>NORBK 5.359 09/09/35</v>
      </c>
      <c r="B303" s="83" t="str">
        <f aca="false">IFERROR(IF(INDEX(원자료_잔고!$A$1:$EZ$1500,설정!$L$5+ROW()-1,설정!$L$7)&amp;""="0","",INDEX(원자료_잔고!$A$1:$EZ$1500,설정!$L$5+ROW()-1,설정!$L$7)&amp;""),"")</f>
        <v>USJ5901UAH52</v>
      </c>
      <c r="C303" s="83" t="str">
        <f aca="false">IFERROR(IF(INDEX(원자료_잔고!$A$1:$EZ$1500,설정!$L$5+ROW()-1,설정!$L$9)&amp;""="0","",INDEX(원자료_잔고!$A$1:$EZ$1500,설정!$L$5+ROW()-1,설정!$L$9)&amp;""),"")</f>
        <v>38038</v>
      </c>
      <c r="D303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03" s="84" t="n">
        <f aca="false">IFERROR(IF(ISNUMBER(INDEX(원자료_잔고!$A$1:$EZ$1500,설정!$L$5+ROW()-1,설정!$L$11)),INDEX(원자료_잔고!$A$1:$EZ$1500,설정!$L$5+ROW()-1,설정!$L$11),""),"")</f>
        <v>5000000</v>
      </c>
      <c r="F303" s="85" t="n">
        <f aca="false">IFERROR(IF(ISNUMBER(INDEX(원자료_잔고!$A$1:$EZ$1500,설정!$L$5+ROW()-1,설정!$L$12)),INDEX(원자료_잔고!$A$1:$EZ$1500,설정!$L$5+ROW()-1,설정!$L$12),""),"")</f>
        <v>93.848</v>
      </c>
      <c r="G303" s="85" t="n">
        <f aca="false">IFERROR(IF(ISNUMBER(INDEX(원자료_잔고!$A$1:$EZ$1500,설정!$L$5+ROW()-1,설정!$L$13)),INDEX(원자료_잔고!$A$1:$EZ$1500,설정!$L$5+ROW()-1,설정!$L$13),""),"")</f>
        <v>6.2668</v>
      </c>
      <c r="H303" s="85" t="n">
        <f aca="false">IFERROR(IF(ISNUMBER(INDEX(원자료_잔고!$A$1:$EZ$1500,설정!$L$5+ROW()-1,설정!$L$14)),INDEX(원자료_잔고!$A$1:$EZ$1500,설정!$L$5+ROW()-1,설정!$L$14),""),"")</f>
        <v>6.8408</v>
      </c>
      <c r="I303" s="86" t="n">
        <f aca="false">IFERROR(IF(ISNUMBER(INDEX(원자료_잔고!$A$1:$EZ$1500,설정!$L$5+ROW()-1,설정!$L$15)),INDEX(원자료_잔고!$A$1:$EZ$1500,설정!$L$5+ROW()-1,설정!$L$15),""),"")</f>
        <v>49561</v>
      </c>
      <c r="J303" s="85" t="n">
        <f aca="false">IFERROR(IF(ISNUMBER(INDEX(원자료_잔고!$A$1:$EZ$1500,설정!$L$5+ROW()-1,설정!$L$16)),INDEX(원자료_잔고!$A$1:$EZ$1500,설정!$L$5+ROW()-1,설정!$L$16),""),"")</f>
        <v>5.359</v>
      </c>
      <c r="K303" s="87" t="n">
        <f aca="false">IFERROR(IF(ISNUMBER(INDEX(원자료_잔고!$A$1:$EZ$1500,설정!$L$5+ROW()-1,설정!$L$17)),INDEX(원자료_잔고!$A$1:$EZ$1500,설정!$L$5+ROW()-1,설정!$L$17),""),"")</f>
        <v>1</v>
      </c>
      <c r="L303" s="84" t="n">
        <f aca="false">IFERROR(IF(ISNUMBER(INDEX(원자료_잔고!$A$1:$EZ$1500,설정!$L$5+ROW()-1,설정!$L$18)),INDEX(원자료_잔고!$A$1:$EZ$1500,설정!$L$5+ROW()-1,설정!$L$18),""),"")</f>
        <v>4692400</v>
      </c>
      <c r="M303" s="88" t="n">
        <f aca="false">IFERROR(IF(ISNUMBER(INDEX(원자료_잔고!$A$1:$EZ$1500,설정!$L$5+ROW()-1,설정!$L$19)),INDEX(원자료_잔고!$A$1:$EZ$1500,설정!$L$5+ROW()-1,설정!$L$19),""),"")</f>
        <v>-384883.69</v>
      </c>
      <c r="N303" s="83" t="str">
        <f aca="false">IFERROR(IF(INDEX(원자료_잔고!$A$1:$EZ$1500,설정!$L$5+ROW()-1,설정!$L$21)&amp;""="0","",INDEX(원자료_잔고!$A$1:$EZ$1500,설정!$L$5+ROW()-1,설정!$L$21)&amp;""),"")</f>
        <v>A</v>
      </c>
      <c r="O303" s="83" t="str">
        <f aca="false">IFERROR(IF(INDEX(원자료_잔고!$A$1:$EZ$1500,설정!$L$5+ROW()-1,설정!$L$22)&amp;""="0","",INDEX(원자료_잔고!$A$1:$EZ$1500,설정!$L$5+ROW()-1,설정!$L$22)&amp;""),"")</f>
        <v/>
      </c>
      <c r="P303" s="83" t="str">
        <f aca="false">IFERROR(IF(INDEX(원자료_잔고!$A$1:$EZ$1500,설정!$L$5+ROW()-1,설정!$L$23)&amp;""="0","",INDEX(원자료_잔고!$A$1:$EZ$1500,설정!$L$5+ROW()-1,설정!$L$23)&amp;""),"")</f>
        <v>N/A</v>
      </c>
      <c r="Q303" s="89" t="n">
        <f aca="false">IF(AND($A303&lt;&gt;"",ISNUMBER(E303)),IF(E303&gt;0,1,0),0)</f>
        <v>1</v>
      </c>
      <c r="R303" s="43" t="str">
        <f aca="false">IF(Q303=1,UPPER(LEFT($A303,FIND(" ",$A303&amp;" ")-1)),"")</f>
        <v>NORBK</v>
      </c>
      <c r="S303" s="89" t="n">
        <f aca="false">IF(Q303=1,IF(OR(ISNUMBER(SEARCH("Float",$A303)),ISNUMBER(SEARCH("FRN",$A303))),1,0),0)</f>
        <v>0</v>
      </c>
      <c r="T303" s="43" t="str">
        <f aca="false">IF(AND(Q303=1,ISNUMBER(I303)),TEXT(I303,"yyyymmdd")&amp;"|"&amp;IF(S303=1,"F",TEXT(J303,"0.000")),"")</f>
        <v>20350909|5.359</v>
      </c>
      <c r="U303" s="90" t="n">
        <f aca="false">IF(AND(Q303=1,ISNUMBER(I303)),(I303-설정!$C$4)/365.25,"")</f>
        <v>8.93908281998631</v>
      </c>
      <c r="V303" s="43" t="str">
        <f aca="false">IF(Q303&lt;&gt;1,"",IF(ISNUMBER(U303),IF(U303&lt;=1,"1년 이하",IF(U303&lt;=2,"1-2년",IF(U303&lt;=3,"2-3년",IF(U303&lt;=4,"3-4년",IF(U303&lt;=5,"4-5년",IF(U303&lt;=7,"5-7년",IF(U303&lt;=10,"7-10년",IF(U303&lt;=20,"10-20년","20년 이상")))))))),"미분류"))</f>
        <v>7-10년</v>
      </c>
      <c r="W303" s="43" t="str">
        <f aca="false">IF(Q303&lt;&gt;1,"",IF(AB303&lt;&gt;"",INDEX(시장분석!$C:$C,AB303),IF(K303=1,"USD","비USD")))</f>
        <v>USD</v>
      </c>
      <c r="X303" s="91" t="n">
        <f aca="false">IF(Q303=1,E303*K303/1000000,0)</f>
        <v>5</v>
      </c>
      <c r="Y303" s="89" t="n">
        <f aca="false">IF(R303="T",1,0)</f>
        <v>0</v>
      </c>
      <c r="Z303" s="92" t="n">
        <f aca="false">IF(Q303&lt;&gt;1,"",IF(AD303=1,IF(ISNUMBER(U303),MAX(U303,0),H303),H303))</f>
        <v>6.8408</v>
      </c>
      <c r="AA303" s="91" t="n">
        <f aca="false">IF(Q303=1,IF(ISNUMBER(L303),L303,0)*K303/1000000,0)</f>
        <v>4.6924</v>
      </c>
      <c r="AB303" s="89" t="n">
        <f aca="false">IF(Q303&lt;&gt;1,"",IFERROR(MATCH(VLOOKUP(B303,매핑!$H$4:$I$15,2,0),시장분석!$A$2:$A$601,0)+1,IFERROR(MATCH(R303&amp;"|"&amp;T303,시장분석!$V$2:$V$601,0)+1,IF(COUNTIF(시장분석!$U$2:$U$601,T303)=1,MATCH(T303,시장분석!$U$2:$U$601,0)+1,""))))</f>
        <v>144</v>
      </c>
      <c r="AC303" s="89" t="n">
        <f aca="false">IF(Q303&lt;&gt;1,0,IF(OR(설정!$C$5="전체",AND(설정!$C$5="선택펀드",IFERROR(COUNTIFS(설정!$F$16:$F$36,C303,설정!$G$16:$G$36,"Y")+COUNTIFS(설정!$F$16:$F$36,VALUE(C303),설정!$G$16:$G$36,"Y"),0)&gt;0),C303&amp;""=설정!$C$5&amp;""),1,0))</f>
        <v>0</v>
      </c>
      <c r="AD303" s="89" t="n">
        <f aca="false">IF(Q303&lt;&gt;1,0,IF(OR(S303=1,IF(AB303="",FALSE(),INDEX(시장분석!$R:$R,AB303)=1)),1,0))</f>
        <v>0</v>
      </c>
      <c r="AE303" s="43" t="str">
        <f aca="false">IF(AB303="","",INDEX(시장분석!$A:$A,AB303))</f>
        <v>NORBK 5.359 09/09/35</v>
      </c>
      <c r="AF303" s="93" t="n">
        <f aca="false">IF(AB303="","",IF(ISNUMBER(IF(AB303="","",INDEX(시장분석!$E:$E,AB303))),IF(AB303="","",INDEX(시장분석!$E:$E,AB303)),""))</f>
        <v>103.987</v>
      </c>
      <c r="AG303" s="43" t="str">
        <f aca="false">IF(Q303&lt;&gt;1,"",IF(AB303&lt;&gt;"",IF(AB303="","",INDEX(시장분석!$L:$L,AB303)),IFERROR(IF(VLOOKUP(R303,매핑!$A$4:$E$92,5,0)="","미분류",VLOOKUP(R303,매핑!$A$4:$E$92,5,0)),"미분류")))</f>
        <v>금융기관</v>
      </c>
      <c r="AH303" s="43" t="str">
        <f aca="false">IF(Q303&lt;&gt;1,"",IF(AB303&lt;&gt;"",IF(AB303="","",INDEX(시장분석!$N:$N,AB303)),IFERROR(IF(VLOOKUP(R303,매핑!$A$4:$E$92,4,0)="","미분류",VLOOKUP(R303,매핑!$A$4:$E$92,4,0)),"미분류")))</f>
        <v>아시아/기타</v>
      </c>
      <c r="AI303" s="43" t="str">
        <f aca="false">IF(Q303&lt;&gt;1,"",IFERROR(IF(VLOOKUP(R303,매핑!$A$4:$E$92,3,0)="","미분류",VLOOKUP(R303,매핑!$A$4:$E$92,3,0)),IF(AB303&lt;&gt;"",IF(AB303="","",INDEX(시장분석!$W:$W,AB303)),"미분류")))</f>
        <v>일본</v>
      </c>
      <c r="AJ303" s="43" t="str">
        <f aca="false">IF(Q303&lt;&gt;1,"",IFERROR(VLOOKUP(IF(N303&lt;&gt;"",N303,IF(P303&lt;&gt;"",P303,O303)),설정!$A$15:$D$47,2,0),""))</f>
        <v>A</v>
      </c>
      <c r="AK303" s="43" t="str">
        <f aca="false">IF(Q303&lt;&gt;1,"",IF(AJ303="","무등급",IFERROR(VLOOKUP(AJ303,설정!$A$15:$D$47,3,0),"무등급")))</f>
        <v>A</v>
      </c>
      <c r="AL303" s="89" t="n">
        <f aca="false">IF(AJ303="",99,IFERROR(VLOOKUP(AJ303,설정!$A$15:$D$47,4,0),99))</f>
        <v>6</v>
      </c>
      <c r="AM303" s="94" t="n">
        <f aca="false">IF(ISNUMBER(H303),AA303*1000000*H303/10000,0)</f>
        <v>3209.976992</v>
      </c>
      <c r="AN303" s="94" t="n">
        <f aca="false">IF(OR(Y303=1,NOT(ISNUMBER(Z303))),0,AA303*1000000*Z303/10000)</f>
        <v>3209.976992</v>
      </c>
      <c r="AO303" s="94" t="n">
        <f aca="false">IF(ISNUMBER(G303),AA303*1000000*G303/100,0)</f>
        <v>294063.3232</v>
      </c>
      <c r="AP303" s="94" t="n">
        <f aca="false">IF(ISNUMBER(M303),M303*K303,0)</f>
        <v>-384883.69</v>
      </c>
      <c r="AQ303" s="95" t="n">
        <f aca="false">IF(AB303="","",INDEX(시장분석!$AK:$AK,AB303))</f>
        <v>1.29665818946984</v>
      </c>
      <c r="AR303" s="43" t="str">
        <f aca="false">IF(AB303="","-",IF(AB303="","",INDEX(시장분석!$AL:$AL,AB303)))</f>
        <v>Cheap</v>
      </c>
      <c r="AS303" s="96" t="n">
        <f aca="false">IF(AB303="","",INDEX(시장분석!$AJ:$AJ,AB303))</f>
        <v>26.5472449601838</v>
      </c>
      <c r="AT303" s="93" t="n">
        <f aca="false">IF(AB303="",0,IF(AB303="","",INDEX(시장분석!$AN:$AN,AB303)))</f>
        <v>2.1061569266527</v>
      </c>
      <c r="AU303" s="94" t="n">
        <f aca="false">IF(ISNUMBER(Z303),AT303/10000*MAX(Z303-1,0)*AA303*1000000,0)</f>
        <v>5772.4221998341</v>
      </c>
      <c r="AV303" s="94" t="n">
        <f aca="false">AO303+AU303</f>
        <v>299835.745399834</v>
      </c>
      <c r="AW303" s="43" t="str">
        <f aca="false">IF(Q303&lt;&gt;1,"",TRIM(IF(AD303=1,"FRN ","")&amp;IF(AND(AL303&gt;=10,AL303&lt;99),"BBB0미만 ","")&amp;IF(AJ303="","등급없음 ","")&amp;IF(K303&lt;&gt;1,"비USD ","")&amp;IF(AND(AB303="",Y303=0),"시장데이터없음 ","")&amp;IF(AND(ISNUMBER(U303),U303&lt;0),"만기경과 ","")))</f>
        <v/>
      </c>
      <c r="AX303" s="90" t="n">
        <f aca="false">IF(Q303&lt;&gt;1,1,IF(스프레드쇼크!$C$4="Y",INDEX(스프레드쇼크!$B$12:$L$16,IFERROR(MATCH(AH303,스프레드쇼크!$A$12:$A$16,0),MATCH("목록외",스프레드쇼크!$A$12:$A$16,0)),IFERROR(MATCH(AG303,스프레드쇼크!$B$11:$L$11,0),MATCH("목록외",스프레드쇼크!$B$11:$L$11,0))),1))</f>
        <v>1</v>
      </c>
      <c r="AY303" s="90" t="n">
        <f aca="false">IF(스프레드쇼크!$C$5="Y",IF(ISNUMBER(AF303),MIN(스프레드쇼크!$C$7,MAX(스프레드쇼크!$C$6,AF303/스프레드쇼크!$C$8)),1),1)</f>
        <v>1.57284373096535</v>
      </c>
      <c r="AZ303" s="94" t="n">
        <f aca="false">AN303*AX303*AY303</f>
        <v>5048.7921884102</v>
      </c>
      <c r="BA303" s="90" t="n">
        <f aca="false">IF(ISNUMBER(G303),AA303*G303,0)</f>
        <v>29.40633232</v>
      </c>
      <c r="BB303" s="90" t="n">
        <f aca="false">IF(ISNUMBER(G303),AA303,0)</f>
        <v>4.6924</v>
      </c>
      <c r="BC303" s="90" t="n">
        <f aca="false">IF(AND(Y303=0,ISNUMBER(AF303)),AA303*AF303,0)</f>
        <v>487.9485988</v>
      </c>
      <c r="BD303" s="90" t="n">
        <f aca="false">IF(AND(Y303=0,ISNUMBER(AF303)),AA303,0)</f>
        <v>4.6924</v>
      </c>
      <c r="BE303" s="90" t="n">
        <f aca="false">IF(ISNUMBER(H303),AA303*H303,0)</f>
        <v>32.09976992</v>
      </c>
      <c r="BF303" s="90" t="n">
        <f aca="false">IF(ISNUMBER(H303),AA303,0)</f>
        <v>4.6924</v>
      </c>
      <c r="BG303" s="90" t="n">
        <f aca="false">IF(AND(Y303=0,ISNUMBER(AF303),ISNUMBER(Z303)),AA303*Z303,0)</f>
        <v>32.09976992</v>
      </c>
      <c r="BH303" s="90" t="n">
        <f aca="false">IF(AND(Y303=0,ISNUMBER(AF303),ISNUMBER(Z303)),AA303*AT303*MAX(Z303-1,0),0)</f>
        <v>57.724221998341</v>
      </c>
      <c r="BI303" s="90" t="n">
        <f aca="false">IF(Y303=0,AA303,0)</f>
        <v>4.6924</v>
      </c>
    </row>
    <row r="304" customFormat="false" ht="15" hidden="false" customHeight="false" outlineLevel="0" collapsed="false">
      <c r="A304" s="83" t="str">
        <f aca="false">IFERROR(IF(INDEX(원자료_잔고!$A$1:$EZ$1500,설정!$L$5+ROW()-1,설정!$L$8)&amp;""="0","",INDEX(원자료_잔고!$A$1:$EZ$1500,설정!$L$5+ROW()-1,설정!$L$8)&amp;""),"")</f>
        <v>PKX 5.75 05/07/35</v>
      </c>
      <c r="B304" s="83" t="str">
        <f aca="false">IFERROR(IF(INDEX(원자료_잔고!$A$1:$EZ$1500,설정!$L$5+ROW()-1,설정!$L$7)&amp;""="0","",INDEX(원자료_잔고!$A$1:$EZ$1500,설정!$L$5+ROW()-1,설정!$L$7)&amp;""),"")</f>
        <v>USY70750CC95</v>
      </c>
      <c r="C304" s="83" t="str">
        <f aca="false">IFERROR(IF(INDEX(원자료_잔고!$A$1:$EZ$1500,설정!$L$5+ROW()-1,설정!$L$9)&amp;""="0","",INDEX(원자료_잔고!$A$1:$EZ$1500,설정!$L$5+ROW()-1,설정!$L$9)&amp;""),"")</f>
        <v>38038</v>
      </c>
      <c r="D304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04" s="84" t="n">
        <f aca="false">IFERROR(IF(ISNUMBER(INDEX(원자료_잔고!$A$1:$EZ$1500,설정!$L$5+ROW()-1,설정!$L$11)),INDEX(원자료_잔고!$A$1:$EZ$1500,설정!$L$5+ROW()-1,설정!$L$11),""),"")</f>
        <v>3000000</v>
      </c>
      <c r="F304" s="85" t="n">
        <f aca="false">IFERROR(IF(ISNUMBER(INDEX(원자료_잔고!$A$1:$EZ$1500,설정!$L$5+ROW()-1,설정!$L$12)),INDEX(원자료_잔고!$A$1:$EZ$1500,설정!$L$5+ROW()-1,설정!$L$12),""),"")</f>
        <v>97.2345</v>
      </c>
      <c r="G304" s="85" t="n">
        <f aca="false">IFERROR(IF(ISNUMBER(INDEX(원자료_잔고!$A$1:$EZ$1500,설정!$L$5+ROW()-1,설정!$L$13)),INDEX(원자료_잔고!$A$1:$EZ$1500,설정!$L$5+ROW()-1,설정!$L$13),""),"")</f>
        <v>6.1674</v>
      </c>
      <c r="H304" s="85" t="n">
        <f aca="false">IFERROR(IF(ISNUMBER(INDEX(원자료_잔고!$A$1:$EZ$1500,설정!$L$5+ROW()-1,설정!$L$14)),INDEX(원자료_잔고!$A$1:$EZ$1500,설정!$L$5+ROW()-1,설정!$L$14),""),"")</f>
        <v>6.3433</v>
      </c>
      <c r="I304" s="86" t="n">
        <f aca="false">IFERROR(IF(ISNUMBER(INDEX(원자료_잔고!$A$1:$EZ$1500,설정!$L$5+ROW()-1,설정!$L$15)),INDEX(원자료_잔고!$A$1:$EZ$1500,설정!$L$5+ROW()-1,설정!$L$15),""),"")</f>
        <v>49436</v>
      </c>
      <c r="J304" s="85" t="n">
        <f aca="false">IFERROR(IF(ISNUMBER(INDEX(원자료_잔고!$A$1:$EZ$1500,설정!$L$5+ROW()-1,설정!$L$16)),INDEX(원자료_잔고!$A$1:$EZ$1500,설정!$L$5+ROW()-1,설정!$L$16),""),"")</f>
        <v>5.75</v>
      </c>
      <c r="K304" s="87" t="n">
        <f aca="false">IFERROR(IF(ISNUMBER(INDEX(원자료_잔고!$A$1:$EZ$1500,설정!$L$5+ROW()-1,설정!$L$17)),INDEX(원자료_잔고!$A$1:$EZ$1500,설정!$L$5+ROW()-1,설정!$L$17),""),"")</f>
        <v>1</v>
      </c>
      <c r="L304" s="84" t="n">
        <f aca="false">IFERROR(IF(ISNUMBER(INDEX(원자료_잔고!$A$1:$EZ$1500,설정!$L$5+ROW()-1,설정!$L$18)),INDEX(원자료_잔고!$A$1:$EZ$1500,설정!$L$5+ROW()-1,설정!$L$18),""),"")</f>
        <v>2917035</v>
      </c>
      <c r="M304" s="88" t="n">
        <f aca="false">IFERROR(IF(ISNUMBER(INDEX(원자료_잔고!$A$1:$EZ$1500,설정!$L$5+ROW()-1,설정!$L$19)),INDEX(원자료_잔고!$A$1:$EZ$1500,설정!$L$5+ROW()-1,설정!$L$19),""),"")</f>
        <v>-229954.93</v>
      </c>
      <c r="N304" s="83" t="str">
        <f aca="false">IFERROR(IF(INDEX(원자료_잔고!$A$1:$EZ$1500,설정!$L$5+ROW()-1,설정!$L$21)&amp;""="0","",INDEX(원자료_잔고!$A$1:$EZ$1500,설정!$L$5+ROW()-1,설정!$L$21)&amp;""),"")</f>
        <v>BBB+</v>
      </c>
      <c r="O304" s="83" t="str">
        <f aca="false">IFERROR(IF(INDEX(원자료_잔고!$A$1:$EZ$1500,설정!$L$5+ROW()-1,설정!$L$22)&amp;""="0","",INDEX(원자료_잔고!$A$1:$EZ$1500,설정!$L$5+ROW()-1,설정!$L$22)&amp;""),"")</f>
        <v/>
      </c>
      <c r="P304" s="83" t="str">
        <f aca="false">IFERROR(IF(INDEX(원자료_잔고!$A$1:$EZ$1500,설정!$L$5+ROW()-1,설정!$L$23)&amp;""="0","",INDEX(원자료_잔고!$A$1:$EZ$1500,설정!$L$5+ROW()-1,설정!$L$23)&amp;""),"")</f>
        <v>N/A</v>
      </c>
      <c r="Q304" s="89" t="n">
        <f aca="false">IF(AND($A304&lt;&gt;"",ISNUMBER(E304)),IF(E304&gt;0,1,0),0)</f>
        <v>1</v>
      </c>
      <c r="R304" s="43" t="str">
        <f aca="false">IF(Q304=1,UPPER(LEFT($A304,FIND(" ",$A304&amp;" ")-1)),"")</f>
        <v>PKX</v>
      </c>
      <c r="S304" s="89" t="n">
        <f aca="false">IF(Q304=1,IF(OR(ISNUMBER(SEARCH("Float",$A304)),ISNUMBER(SEARCH("FRN",$A304))),1,0),0)</f>
        <v>0</v>
      </c>
      <c r="T304" s="43" t="str">
        <f aca="false">IF(AND(Q304=1,ISNUMBER(I304)),TEXT(I304,"yyyymmdd")&amp;"|"&amp;IF(S304=1,"F",TEXT(J304,"0.000")),"")</f>
        <v>20350507|5.750</v>
      </c>
      <c r="U304" s="90" t="n">
        <f aca="false">IF(AND(Q304=1,ISNUMBER(I304)),(I304-설정!$C$4)/365.25,"")</f>
        <v>8.5968514715948</v>
      </c>
      <c r="V304" s="43" t="str">
        <f aca="false">IF(Q304&lt;&gt;1,"",IF(ISNUMBER(U304),IF(U304&lt;=1,"1년 이하",IF(U304&lt;=2,"1-2년",IF(U304&lt;=3,"2-3년",IF(U304&lt;=4,"3-4년",IF(U304&lt;=5,"4-5년",IF(U304&lt;=7,"5-7년",IF(U304&lt;=10,"7-10년",IF(U304&lt;=20,"10-20년","20년 이상")))))))),"미분류"))</f>
        <v>7-10년</v>
      </c>
      <c r="W304" s="43" t="str">
        <f aca="false">IF(Q304&lt;&gt;1,"",IF(AB304&lt;&gt;"",INDEX(시장분석!$C:$C,AB304),IF(K304=1,"USD","비USD")))</f>
        <v>USD</v>
      </c>
      <c r="X304" s="91" t="n">
        <f aca="false">IF(Q304=1,E304*K304/1000000,0)</f>
        <v>3</v>
      </c>
      <c r="Y304" s="89" t="n">
        <f aca="false">IF(R304="T",1,0)</f>
        <v>0</v>
      </c>
      <c r="Z304" s="92" t="n">
        <f aca="false">IF(Q304&lt;&gt;1,"",IF(AD304=1,IF(ISNUMBER(U304),MAX(U304,0),H304),H304))</f>
        <v>6.3433</v>
      </c>
      <c r="AA304" s="91" t="n">
        <f aca="false">IF(Q304=1,IF(ISNUMBER(L304),L304,0)*K304/1000000,0)</f>
        <v>2.917035</v>
      </c>
      <c r="AB304" s="89" t="n">
        <f aca="false">IF(Q304&lt;&gt;1,"",IFERROR(MATCH(VLOOKUP(B304,매핑!$H$4:$I$15,2,0),시장분석!$A$2:$A$601,0)+1,IFERROR(MATCH(R304&amp;"|"&amp;T304,시장분석!$V$2:$V$601,0)+1,IF(COUNTIF(시장분석!$U$2:$U$601,T304)=1,MATCH(T304,시장분석!$U$2:$U$601,0)+1,""))))</f>
        <v>192</v>
      </c>
      <c r="AC304" s="89" t="n">
        <f aca="false">IF(Q304&lt;&gt;1,0,IF(OR(설정!$C$5="전체",AND(설정!$C$5="선택펀드",IFERROR(COUNTIFS(설정!$F$16:$F$36,C304,설정!$G$16:$G$36,"Y")+COUNTIFS(설정!$F$16:$F$36,VALUE(C304),설정!$G$16:$G$36,"Y"),0)&gt;0),C304&amp;""=설정!$C$5&amp;""),1,0))</f>
        <v>0</v>
      </c>
      <c r="AD304" s="89" t="n">
        <f aca="false">IF(Q304&lt;&gt;1,0,IF(OR(S304=1,IF(AB304="",FALSE(),INDEX(시장분석!$R:$R,AB304)=1)),1,0))</f>
        <v>0</v>
      </c>
      <c r="AE304" s="43" t="str">
        <f aca="false">IF(AB304="","",INDEX(시장분석!$A:$A,AB304))</f>
        <v>PKX 5 3/4 05/07/35</v>
      </c>
      <c r="AF304" s="93" t="n">
        <f aca="false">IF(AB304="","",IF(ISNUMBER(IF(AB304="","",INDEX(시장분석!$E:$E,AB304))),IF(AB304="","",INDEX(시장분석!$E:$E,AB304)),""))</f>
        <v>96.877</v>
      </c>
      <c r="AG304" s="43" t="str">
        <f aca="false">IF(Q304&lt;&gt;1,"",IF(AB304&lt;&gt;"",IF(AB304="","",INDEX(시장분석!$L:$L,AB304)),IFERROR(IF(VLOOKUP(R304,매핑!$A$4:$E$92,5,0)="","미분류",VLOOKUP(R304,매핑!$A$4:$E$92,5,0)),"미분류")))</f>
        <v>원자재</v>
      </c>
      <c r="AH304" s="43" t="str">
        <f aca="false">IF(Q304&lt;&gt;1,"",IF(AB304&lt;&gt;"",IF(AB304="","",INDEX(시장분석!$N:$N,AB304)),IFERROR(IF(VLOOKUP(R304,매핑!$A$4:$E$92,4,0)="","미분류",VLOOKUP(R304,매핑!$A$4:$E$92,4,0)),"미분류")))</f>
        <v>아시아/기타</v>
      </c>
      <c r="AI304" s="43" t="str">
        <f aca="false">IF(Q304&lt;&gt;1,"",IFERROR(IF(VLOOKUP(R304,매핑!$A$4:$E$92,3,0)="","미분류",VLOOKUP(R304,매핑!$A$4:$E$92,3,0)),IF(AB304&lt;&gt;"",IF(AB304="","",INDEX(시장분석!$W:$W,AB304)),"미분류")))</f>
        <v>한국</v>
      </c>
      <c r="AJ304" s="43" t="str">
        <f aca="false">IF(Q304&lt;&gt;1,"",IFERROR(VLOOKUP(IF(N304&lt;&gt;"",N304,IF(P304&lt;&gt;"",P304,O304)),설정!$A$15:$D$47,2,0),""))</f>
        <v>BBB+</v>
      </c>
      <c r="AK304" s="43" t="str">
        <f aca="false">IF(Q304&lt;&gt;1,"",IF(AJ304="","무등급",IFERROR(VLOOKUP(AJ304,설정!$A$15:$D$47,3,0),"무등급")))</f>
        <v>BBB</v>
      </c>
      <c r="AL304" s="89" t="n">
        <f aca="false">IF(AJ304="",99,IFERROR(VLOOKUP(AJ304,설정!$A$15:$D$47,4,0),99))</f>
        <v>8</v>
      </c>
      <c r="AM304" s="94" t="n">
        <f aca="false">IF(ISNUMBER(H304),AA304*1000000*H304/10000,0)</f>
        <v>1850.36281155</v>
      </c>
      <c r="AN304" s="94" t="n">
        <f aca="false">IF(OR(Y304=1,NOT(ISNUMBER(Z304))),0,AA304*1000000*Z304/10000)</f>
        <v>1850.36281155</v>
      </c>
      <c r="AO304" s="94" t="n">
        <f aca="false">IF(ISNUMBER(G304),AA304*1000000*G304/100,0)</f>
        <v>179905.21659</v>
      </c>
      <c r="AP304" s="94" t="n">
        <f aca="false">IF(ISNUMBER(M304),M304*K304,0)</f>
        <v>-229954.93</v>
      </c>
      <c r="AQ304" s="95" t="n">
        <f aca="false">IF(AB304="","",INDEX(시장분석!$AK:$AK,AB304))</f>
        <v>0.00909619726753792</v>
      </c>
      <c r="AR304" s="43" t="str">
        <f aca="false">IF(AB304="","-",IF(AB304="","",INDEX(시장분석!$AL:$AL,AB304)))</f>
        <v>Fair</v>
      </c>
      <c r="AS304" s="96" t="n">
        <f aca="false">IF(AB304="","",INDEX(시장분석!$AJ:$AJ,AB304))</f>
        <v>0.100695277191093</v>
      </c>
      <c r="AT304" s="93" t="n">
        <f aca="false">IF(AB304="",0,IF(AB304="","",INDEX(시장분석!$AN:$AN,AB304)))</f>
        <v>4.54488830913573</v>
      </c>
      <c r="AU304" s="94" t="n">
        <f aca="false">IF(ISNUMBER(Z304),AT304/10000*MAX(Z304-1,0)*AA304*1000000,0)</f>
        <v>7083.93248298914</v>
      </c>
      <c r="AV304" s="94" t="n">
        <f aca="false">AO304+AU304</f>
        <v>186989.149072989</v>
      </c>
      <c r="AW304" s="43" t="str">
        <f aca="false">IF(Q304&lt;&gt;1,"",TRIM(IF(AD304=1,"FRN ","")&amp;IF(AND(AL304&gt;=10,AL304&lt;99),"BBB0미만 ","")&amp;IF(AJ304="","등급없음 ","")&amp;IF(K304&lt;&gt;1,"비USD ","")&amp;IF(AND(AB304="",Y304=0),"시장데이터없음 ","")&amp;IF(AND(ISNUMBER(U304),U304&lt;0),"만기경과 ","")))</f>
        <v/>
      </c>
      <c r="AX304" s="90" t="n">
        <f aca="false">IF(Q304&lt;&gt;1,1,IF(스프레드쇼크!$C$4="Y",INDEX(스프레드쇼크!$B$12:$L$16,IFERROR(MATCH(AH304,스프레드쇼크!$A$12:$A$16,0),MATCH("목록외",스프레드쇼크!$A$12:$A$16,0)),IFERROR(MATCH(AG304,스프레드쇼크!$B$11:$L$11,0),MATCH("목록외",스프레드쇼크!$B$11:$L$11,0))),1))</f>
        <v>1</v>
      </c>
      <c r="AY304" s="90" t="n">
        <f aca="false">IF(스프레드쇼크!$C$5="Y",IF(ISNUMBER(AF304),MIN(스프레드쇼크!$C$7,MAX(스프레드쇼크!$C$6,AF304/스프레드쇼크!$C$8)),1),1)</f>
        <v>1.46530222166934</v>
      </c>
      <c r="AZ304" s="94" t="n">
        <f aca="false">AN304*AX304*AY304</f>
        <v>2711.34073865855</v>
      </c>
      <c r="BA304" s="90" t="n">
        <f aca="false">IF(ISNUMBER(G304),AA304*G304,0)</f>
        <v>17.990521659</v>
      </c>
      <c r="BB304" s="90" t="n">
        <f aca="false">IF(ISNUMBER(G304),AA304,0)</f>
        <v>2.917035</v>
      </c>
      <c r="BC304" s="90" t="n">
        <f aca="false">IF(AND(Y304=0,ISNUMBER(AF304)),AA304*AF304,0)</f>
        <v>282.593599695</v>
      </c>
      <c r="BD304" s="90" t="n">
        <f aca="false">IF(AND(Y304=0,ISNUMBER(AF304)),AA304,0)</f>
        <v>2.917035</v>
      </c>
      <c r="BE304" s="90" t="n">
        <f aca="false">IF(ISNUMBER(H304),AA304*H304,0)</f>
        <v>18.5036281155</v>
      </c>
      <c r="BF304" s="90" t="n">
        <f aca="false">IF(ISNUMBER(H304),AA304,0)</f>
        <v>2.917035</v>
      </c>
      <c r="BG304" s="90" t="n">
        <f aca="false">IF(AND(Y304=0,ISNUMBER(AF304),ISNUMBER(Z304)),AA304*Z304,0)</f>
        <v>18.5036281155</v>
      </c>
      <c r="BH304" s="90" t="n">
        <f aca="false">IF(AND(Y304=0,ISNUMBER(AF304),ISNUMBER(Z304)),AA304*AT304*MAX(Z304-1,0),0)</f>
        <v>70.8393248298914</v>
      </c>
      <c r="BI304" s="90" t="n">
        <f aca="false">IF(Y304=0,AA304,0)</f>
        <v>2.917035</v>
      </c>
    </row>
    <row r="305" customFormat="false" ht="15" hidden="false" customHeight="false" outlineLevel="0" collapsed="false">
      <c r="A305" s="83" t="str">
        <f aca="false">IFERROR(IF(INDEX(원자료_잔고!$A$1:$EZ$1500,설정!$L$5+ROW()-1,설정!$L$8)&amp;""="0","",INDEX(원자료_잔고!$A$1:$EZ$1500,설정!$L$5+ROW()-1,설정!$L$8)&amp;""),"")</f>
        <v>PKX 5.75 05/07/35</v>
      </c>
      <c r="B305" s="83" t="str">
        <f aca="false">IFERROR(IF(INDEX(원자료_잔고!$A$1:$EZ$1500,설정!$L$5+ROW()-1,설정!$L$7)&amp;""="0","",INDEX(원자료_잔고!$A$1:$EZ$1500,설정!$L$5+ROW()-1,설정!$L$7)&amp;""),"")</f>
        <v>USY70750CC95</v>
      </c>
      <c r="C305" s="83" t="str">
        <f aca="false">IFERROR(IF(INDEX(원자료_잔고!$A$1:$EZ$1500,설정!$L$5+ROW()-1,설정!$L$9)&amp;""="0","",INDEX(원자료_잔고!$A$1:$EZ$1500,설정!$L$5+ROW()-1,설정!$L$9)&amp;""),"")</f>
        <v>38038</v>
      </c>
      <c r="D305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05" s="84" t="n">
        <f aca="false">IFERROR(IF(ISNUMBER(INDEX(원자료_잔고!$A$1:$EZ$1500,설정!$L$5+ROW()-1,설정!$L$11)),INDEX(원자료_잔고!$A$1:$EZ$1500,설정!$L$5+ROW()-1,설정!$L$11),""),"")</f>
        <v>2000000</v>
      </c>
      <c r="F305" s="85" t="n">
        <f aca="false">IFERROR(IF(ISNUMBER(INDEX(원자료_잔고!$A$1:$EZ$1500,설정!$L$5+ROW()-1,설정!$L$12)),INDEX(원자료_잔고!$A$1:$EZ$1500,설정!$L$5+ROW()-1,설정!$L$12),""),"")</f>
        <v>97.2345</v>
      </c>
      <c r="G305" s="85" t="n">
        <f aca="false">IFERROR(IF(ISNUMBER(INDEX(원자료_잔고!$A$1:$EZ$1500,설정!$L$5+ROW()-1,설정!$L$13)),INDEX(원자료_잔고!$A$1:$EZ$1500,설정!$L$5+ROW()-1,설정!$L$13),""),"")</f>
        <v>6.1674</v>
      </c>
      <c r="H305" s="85" t="n">
        <f aca="false">IFERROR(IF(ISNUMBER(INDEX(원자료_잔고!$A$1:$EZ$1500,설정!$L$5+ROW()-1,설정!$L$14)),INDEX(원자료_잔고!$A$1:$EZ$1500,설정!$L$5+ROW()-1,설정!$L$14),""),"")</f>
        <v>6.3433</v>
      </c>
      <c r="I305" s="86" t="n">
        <f aca="false">IFERROR(IF(ISNUMBER(INDEX(원자료_잔고!$A$1:$EZ$1500,설정!$L$5+ROW()-1,설정!$L$15)),INDEX(원자료_잔고!$A$1:$EZ$1500,설정!$L$5+ROW()-1,설정!$L$15),""),"")</f>
        <v>49436</v>
      </c>
      <c r="J305" s="85" t="n">
        <f aca="false">IFERROR(IF(ISNUMBER(INDEX(원자료_잔고!$A$1:$EZ$1500,설정!$L$5+ROW()-1,설정!$L$16)),INDEX(원자료_잔고!$A$1:$EZ$1500,설정!$L$5+ROW()-1,설정!$L$16),""),"")</f>
        <v>5.75</v>
      </c>
      <c r="K305" s="87" t="n">
        <f aca="false">IFERROR(IF(ISNUMBER(INDEX(원자료_잔고!$A$1:$EZ$1500,설정!$L$5+ROW()-1,설정!$L$17)),INDEX(원자료_잔고!$A$1:$EZ$1500,설정!$L$5+ROW()-1,설정!$L$17),""),"")</f>
        <v>1</v>
      </c>
      <c r="L305" s="84" t="n">
        <f aca="false">IFERROR(IF(ISNUMBER(INDEX(원자료_잔고!$A$1:$EZ$1500,설정!$L$5+ROW()-1,설정!$L$18)),INDEX(원자료_잔고!$A$1:$EZ$1500,설정!$L$5+ROW()-1,설정!$L$18),""),"")</f>
        <v>1944690</v>
      </c>
      <c r="M305" s="88" t="n">
        <f aca="false">IFERROR(IF(ISNUMBER(INDEX(원자료_잔고!$A$1:$EZ$1500,설정!$L$5+ROW()-1,설정!$L$19)),INDEX(원자료_잔고!$A$1:$EZ$1500,설정!$L$5+ROW()-1,설정!$L$19),""),"")</f>
        <v>-153172.37</v>
      </c>
      <c r="N305" s="83" t="str">
        <f aca="false">IFERROR(IF(INDEX(원자료_잔고!$A$1:$EZ$1500,설정!$L$5+ROW()-1,설정!$L$21)&amp;""="0","",INDEX(원자료_잔고!$A$1:$EZ$1500,설정!$L$5+ROW()-1,설정!$L$21)&amp;""),"")</f>
        <v>BBB+</v>
      </c>
      <c r="O305" s="83" t="str">
        <f aca="false">IFERROR(IF(INDEX(원자료_잔고!$A$1:$EZ$1500,설정!$L$5+ROW()-1,설정!$L$22)&amp;""="0","",INDEX(원자료_잔고!$A$1:$EZ$1500,설정!$L$5+ROW()-1,설정!$L$22)&amp;""),"")</f>
        <v/>
      </c>
      <c r="P305" s="83" t="str">
        <f aca="false">IFERROR(IF(INDEX(원자료_잔고!$A$1:$EZ$1500,설정!$L$5+ROW()-1,설정!$L$23)&amp;""="0","",INDEX(원자료_잔고!$A$1:$EZ$1500,설정!$L$5+ROW()-1,설정!$L$23)&amp;""),"")</f>
        <v>N/A</v>
      </c>
      <c r="Q305" s="89" t="n">
        <f aca="false">IF(AND($A305&lt;&gt;"",ISNUMBER(E305)),IF(E305&gt;0,1,0),0)</f>
        <v>1</v>
      </c>
      <c r="R305" s="43" t="str">
        <f aca="false">IF(Q305=1,UPPER(LEFT($A305,FIND(" ",$A305&amp;" ")-1)),"")</f>
        <v>PKX</v>
      </c>
      <c r="S305" s="89" t="n">
        <f aca="false">IF(Q305=1,IF(OR(ISNUMBER(SEARCH("Float",$A305)),ISNUMBER(SEARCH("FRN",$A305))),1,0),0)</f>
        <v>0</v>
      </c>
      <c r="T305" s="43" t="str">
        <f aca="false">IF(AND(Q305=1,ISNUMBER(I305)),TEXT(I305,"yyyymmdd")&amp;"|"&amp;IF(S305=1,"F",TEXT(J305,"0.000")),"")</f>
        <v>20350507|5.750</v>
      </c>
      <c r="U305" s="90" t="n">
        <f aca="false">IF(AND(Q305=1,ISNUMBER(I305)),(I305-설정!$C$4)/365.25,"")</f>
        <v>8.5968514715948</v>
      </c>
      <c r="V305" s="43" t="str">
        <f aca="false">IF(Q305&lt;&gt;1,"",IF(ISNUMBER(U305),IF(U305&lt;=1,"1년 이하",IF(U305&lt;=2,"1-2년",IF(U305&lt;=3,"2-3년",IF(U305&lt;=4,"3-4년",IF(U305&lt;=5,"4-5년",IF(U305&lt;=7,"5-7년",IF(U305&lt;=10,"7-10년",IF(U305&lt;=20,"10-20년","20년 이상")))))))),"미분류"))</f>
        <v>7-10년</v>
      </c>
      <c r="W305" s="43" t="str">
        <f aca="false">IF(Q305&lt;&gt;1,"",IF(AB305&lt;&gt;"",INDEX(시장분석!$C:$C,AB305),IF(K305=1,"USD","비USD")))</f>
        <v>USD</v>
      </c>
      <c r="X305" s="91" t="n">
        <f aca="false">IF(Q305=1,E305*K305/1000000,0)</f>
        <v>2</v>
      </c>
      <c r="Y305" s="89" t="n">
        <f aca="false">IF(R305="T",1,0)</f>
        <v>0</v>
      </c>
      <c r="Z305" s="92" t="n">
        <f aca="false">IF(Q305&lt;&gt;1,"",IF(AD305=1,IF(ISNUMBER(U305),MAX(U305,0),H305),H305))</f>
        <v>6.3433</v>
      </c>
      <c r="AA305" s="91" t="n">
        <f aca="false">IF(Q305=1,IF(ISNUMBER(L305),L305,0)*K305/1000000,0)</f>
        <v>1.94469</v>
      </c>
      <c r="AB305" s="89" t="n">
        <f aca="false">IF(Q305&lt;&gt;1,"",IFERROR(MATCH(VLOOKUP(B305,매핑!$H$4:$I$15,2,0),시장분석!$A$2:$A$601,0)+1,IFERROR(MATCH(R305&amp;"|"&amp;T305,시장분석!$V$2:$V$601,0)+1,IF(COUNTIF(시장분석!$U$2:$U$601,T305)=1,MATCH(T305,시장분석!$U$2:$U$601,0)+1,""))))</f>
        <v>192</v>
      </c>
      <c r="AC305" s="89" t="n">
        <f aca="false">IF(Q305&lt;&gt;1,0,IF(OR(설정!$C$5="전체",AND(설정!$C$5="선택펀드",IFERROR(COUNTIFS(설정!$F$16:$F$36,C305,설정!$G$16:$G$36,"Y")+COUNTIFS(설정!$F$16:$F$36,VALUE(C305),설정!$G$16:$G$36,"Y"),0)&gt;0),C305&amp;""=설정!$C$5&amp;""),1,0))</f>
        <v>0</v>
      </c>
      <c r="AD305" s="89" t="n">
        <f aca="false">IF(Q305&lt;&gt;1,0,IF(OR(S305=1,IF(AB305="",FALSE(),INDEX(시장분석!$R:$R,AB305)=1)),1,0))</f>
        <v>0</v>
      </c>
      <c r="AE305" s="43" t="str">
        <f aca="false">IF(AB305="","",INDEX(시장분석!$A:$A,AB305))</f>
        <v>PKX 5 3/4 05/07/35</v>
      </c>
      <c r="AF305" s="93" t="n">
        <f aca="false">IF(AB305="","",IF(ISNUMBER(IF(AB305="","",INDEX(시장분석!$E:$E,AB305))),IF(AB305="","",INDEX(시장분석!$E:$E,AB305)),""))</f>
        <v>96.877</v>
      </c>
      <c r="AG305" s="43" t="str">
        <f aca="false">IF(Q305&lt;&gt;1,"",IF(AB305&lt;&gt;"",IF(AB305="","",INDEX(시장분석!$L:$L,AB305)),IFERROR(IF(VLOOKUP(R305,매핑!$A$4:$E$92,5,0)="","미분류",VLOOKUP(R305,매핑!$A$4:$E$92,5,0)),"미분류")))</f>
        <v>원자재</v>
      </c>
      <c r="AH305" s="43" t="str">
        <f aca="false">IF(Q305&lt;&gt;1,"",IF(AB305&lt;&gt;"",IF(AB305="","",INDEX(시장분석!$N:$N,AB305)),IFERROR(IF(VLOOKUP(R305,매핑!$A$4:$E$92,4,0)="","미분류",VLOOKUP(R305,매핑!$A$4:$E$92,4,0)),"미분류")))</f>
        <v>아시아/기타</v>
      </c>
      <c r="AI305" s="43" t="str">
        <f aca="false">IF(Q305&lt;&gt;1,"",IFERROR(IF(VLOOKUP(R305,매핑!$A$4:$E$92,3,0)="","미분류",VLOOKUP(R305,매핑!$A$4:$E$92,3,0)),IF(AB305&lt;&gt;"",IF(AB305="","",INDEX(시장분석!$W:$W,AB305)),"미분류")))</f>
        <v>한국</v>
      </c>
      <c r="AJ305" s="43" t="str">
        <f aca="false">IF(Q305&lt;&gt;1,"",IFERROR(VLOOKUP(IF(N305&lt;&gt;"",N305,IF(P305&lt;&gt;"",P305,O305)),설정!$A$15:$D$47,2,0),""))</f>
        <v>BBB+</v>
      </c>
      <c r="AK305" s="43" t="str">
        <f aca="false">IF(Q305&lt;&gt;1,"",IF(AJ305="","무등급",IFERROR(VLOOKUP(AJ305,설정!$A$15:$D$47,3,0),"무등급")))</f>
        <v>BBB</v>
      </c>
      <c r="AL305" s="89" t="n">
        <f aca="false">IF(AJ305="",99,IFERROR(VLOOKUP(AJ305,설정!$A$15:$D$47,4,0),99))</f>
        <v>8</v>
      </c>
      <c r="AM305" s="94" t="n">
        <f aca="false">IF(ISNUMBER(H305),AA305*1000000*H305/10000,0)</f>
        <v>1233.5752077</v>
      </c>
      <c r="AN305" s="94" t="n">
        <f aca="false">IF(OR(Y305=1,NOT(ISNUMBER(Z305))),0,AA305*1000000*Z305/10000)</f>
        <v>1233.5752077</v>
      </c>
      <c r="AO305" s="94" t="n">
        <f aca="false">IF(ISNUMBER(G305),AA305*1000000*G305/100,0)</f>
        <v>119936.81106</v>
      </c>
      <c r="AP305" s="94" t="n">
        <f aca="false">IF(ISNUMBER(M305),M305*K305,0)</f>
        <v>-153172.37</v>
      </c>
      <c r="AQ305" s="95" t="n">
        <f aca="false">IF(AB305="","",INDEX(시장분석!$AK:$AK,AB305))</f>
        <v>0.00909619726753792</v>
      </c>
      <c r="AR305" s="43" t="str">
        <f aca="false">IF(AB305="","-",IF(AB305="","",INDEX(시장분석!$AL:$AL,AB305)))</f>
        <v>Fair</v>
      </c>
      <c r="AS305" s="96" t="n">
        <f aca="false">IF(AB305="","",INDEX(시장분석!$AJ:$AJ,AB305))</f>
        <v>0.100695277191093</v>
      </c>
      <c r="AT305" s="93" t="n">
        <f aca="false">IF(AB305="",0,IF(AB305="","",INDEX(시장분석!$AN:$AN,AB305)))</f>
        <v>4.54488830913573</v>
      </c>
      <c r="AU305" s="94" t="n">
        <f aca="false">IF(ISNUMBER(Z305),AT305/10000*MAX(Z305-1,0)*AA305*1000000,0)</f>
        <v>4722.6216553261</v>
      </c>
      <c r="AV305" s="94" t="n">
        <f aca="false">AO305+AU305</f>
        <v>124659.432715326</v>
      </c>
      <c r="AW305" s="43" t="str">
        <f aca="false">IF(Q305&lt;&gt;1,"",TRIM(IF(AD305=1,"FRN ","")&amp;IF(AND(AL305&gt;=10,AL305&lt;99),"BBB0미만 ","")&amp;IF(AJ305="","등급없음 ","")&amp;IF(K305&lt;&gt;1,"비USD ","")&amp;IF(AND(AB305="",Y305=0),"시장데이터없음 ","")&amp;IF(AND(ISNUMBER(U305),U305&lt;0),"만기경과 ","")))</f>
        <v/>
      </c>
      <c r="AX305" s="90" t="n">
        <f aca="false">IF(Q305&lt;&gt;1,1,IF(스프레드쇼크!$C$4="Y",INDEX(스프레드쇼크!$B$12:$L$16,IFERROR(MATCH(AH305,스프레드쇼크!$A$12:$A$16,0),MATCH("목록외",스프레드쇼크!$A$12:$A$16,0)),IFERROR(MATCH(AG305,스프레드쇼크!$B$11:$L$11,0),MATCH("목록외",스프레드쇼크!$B$11:$L$11,0))),1))</f>
        <v>1</v>
      </c>
      <c r="AY305" s="90" t="n">
        <f aca="false">IF(스프레드쇼크!$C$5="Y",IF(ISNUMBER(AF305),MIN(스프레드쇼크!$C$7,MAX(스프레드쇼크!$C$6,AF305/스프레드쇼크!$C$8)),1),1)</f>
        <v>1.46530222166934</v>
      </c>
      <c r="AZ305" s="94" t="n">
        <f aca="false">AN305*AX305*AY305</f>
        <v>1807.56049243903</v>
      </c>
      <c r="BA305" s="90" t="n">
        <f aca="false">IF(ISNUMBER(G305),AA305*G305,0)</f>
        <v>11.993681106</v>
      </c>
      <c r="BB305" s="90" t="n">
        <f aca="false">IF(ISNUMBER(G305),AA305,0)</f>
        <v>1.94469</v>
      </c>
      <c r="BC305" s="90" t="n">
        <f aca="false">IF(AND(Y305=0,ISNUMBER(AF305)),AA305*AF305,0)</f>
        <v>188.39573313</v>
      </c>
      <c r="BD305" s="90" t="n">
        <f aca="false">IF(AND(Y305=0,ISNUMBER(AF305)),AA305,0)</f>
        <v>1.94469</v>
      </c>
      <c r="BE305" s="90" t="n">
        <f aca="false">IF(ISNUMBER(H305),AA305*H305,0)</f>
        <v>12.335752077</v>
      </c>
      <c r="BF305" s="90" t="n">
        <f aca="false">IF(ISNUMBER(H305),AA305,0)</f>
        <v>1.94469</v>
      </c>
      <c r="BG305" s="90" t="n">
        <f aca="false">IF(AND(Y305=0,ISNUMBER(AF305),ISNUMBER(Z305)),AA305*Z305,0)</f>
        <v>12.335752077</v>
      </c>
      <c r="BH305" s="90" t="n">
        <f aca="false">IF(AND(Y305=0,ISNUMBER(AF305),ISNUMBER(Z305)),AA305*AT305*MAX(Z305-1,0),0)</f>
        <v>47.226216553261</v>
      </c>
      <c r="BI305" s="90" t="n">
        <f aca="false">IF(Y305=0,AA305,0)</f>
        <v>1.94469</v>
      </c>
    </row>
    <row r="306" customFormat="false" ht="15" hidden="false" customHeight="false" outlineLevel="0" collapsed="false">
      <c r="A306" s="83" t="str">
        <f aca="false">IFERROR(IF(INDEX(원자료_잔고!$A$1:$EZ$1500,설정!$L$5+ROW()-1,설정!$L$8)&amp;""="0","",INDEX(원자료_잔고!$A$1:$EZ$1500,설정!$L$5+ROW()-1,설정!$L$8)&amp;""),"")</f>
        <v>PKX 5.75 05/07/35</v>
      </c>
      <c r="B306" s="83" t="str">
        <f aca="false">IFERROR(IF(INDEX(원자료_잔고!$A$1:$EZ$1500,설정!$L$5+ROW()-1,설정!$L$7)&amp;""="0","",INDEX(원자료_잔고!$A$1:$EZ$1500,설정!$L$5+ROW()-1,설정!$L$7)&amp;""),"")</f>
        <v>USY70750CC95</v>
      </c>
      <c r="C306" s="83" t="str">
        <f aca="false">IFERROR(IF(INDEX(원자료_잔고!$A$1:$EZ$1500,설정!$L$5+ROW()-1,설정!$L$9)&amp;""="0","",INDEX(원자료_잔고!$A$1:$EZ$1500,설정!$L$5+ROW()-1,설정!$L$9)&amp;""),"")</f>
        <v>38038</v>
      </c>
      <c r="D306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06" s="84" t="n">
        <f aca="false">IFERROR(IF(ISNUMBER(INDEX(원자료_잔고!$A$1:$EZ$1500,설정!$L$5+ROW()-1,설정!$L$11)),INDEX(원자료_잔고!$A$1:$EZ$1500,설정!$L$5+ROW()-1,설정!$L$11),""),"")</f>
        <v>5000000</v>
      </c>
      <c r="F306" s="85" t="n">
        <f aca="false">IFERROR(IF(ISNUMBER(INDEX(원자료_잔고!$A$1:$EZ$1500,설정!$L$5+ROW()-1,설정!$L$12)),INDEX(원자료_잔고!$A$1:$EZ$1500,설정!$L$5+ROW()-1,설정!$L$12),""),"")</f>
        <v>97.2345</v>
      </c>
      <c r="G306" s="85" t="n">
        <f aca="false">IFERROR(IF(ISNUMBER(INDEX(원자료_잔고!$A$1:$EZ$1500,설정!$L$5+ROW()-1,설정!$L$13)),INDEX(원자료_잔고!$A$1:$EZ$1500,설정!$L$5+ROW()-1,설정!$L$13),""),"")</f>
        <v>6.1674</v>
      </c>
      <c r="H306" s="85" t="n">
        <f aca="false">IFERROR(IF(ISNUMBER(INDEX(원자료_잔고!$A$1:$EZ$1500,설정!$L$5+ROW()-1,설정!$L$14)),INDEX(원자료_잔고!$A$1:$EZ$1500,설정!$L$5+ROW()-1,설정!$L$14),""),"")</f>
        <v>6.3433</v>
      </c>
      <c r="I306" s="86" t="n">
        <f aca="false">IFERROR(IF(ISNUMBER(INDEX(원자료_잔고!$A$1:$EZ$1500,설정!$L$5+ROW()-1,설정!$L$15)),INDEX(원자료_잔고!$A$1:$EZ$1500,설정!$L$5+ROW()-1,설정!$L$15),""),"")</f>
        <v>49436</v>
      </c>
      <c r="J306" s="85" t="n">
        <f aca="false">IFERROR(IF(ISNUMBER(INDEX(원자료_잔고!$A$1:$EZ$1500,설정!$L$5+ROW()-1,설정!$L$16)),INDEX(원자료_잔고!$A$1:$EZ$1500,설정!$L$5+ROW()-1,설정!$L$16),""),"")</f>
        <v>5.75</v>
      </c>
      <c r="K306" s="87" t="n">
        <f aca="false">IFERROR(IF(ISNUMBER(INDEX(원자료_잔고!$A$1:$EZ$1500,설정!$L$5+ROW()-1,설정!$L$17)),INDEX(원자료_잔고!$A$1:$EZ$1500,설정!$L$5+ROW()-1,설정!$L$17),""),"")</f>
        <v>1</v>
      </c>
      <c r="L306" s="84" t="n">
        <f aca="false">IFERROR(IF(ISNUMBER(INDEX(원자료_잔고!$A$1:$EZ$1500,설정!$L$5+ROW()-1,설정!$L$18)),INDEX(원자료_잔고!$A$1:$EZ$1500,설정!$L$5+ROW()-1,설정!$L$18),""),"")</f>
        <v>4861725</v>
      </c>
      <c r="M306" s="88" t="n">
        <f aca="false">IFERROR(IF(ISNUMBER(INDEX(원자료_잔고!$A$1:$EZ$1500,설정!$L$5+ROW()-1,설정!$L$19)),INDEX(원자료_잔고!$A$1:$EZ$1500,설정!$L$5+ROW()-1,설정!$L$19),""),"")</f>
        <v>-383775.58</v>
      </c>
      <c r="N306" s="83" t="str">
        <f aca="false">IFERROR(IF(INDEX(원자료_잔고!$A$1:$EZ$1500,설정!$L$5+ROW()-1,설정!$L$21)&amp;""="0","",INDEX(원자료_잔고!$A$1:$EZ$1500,설정!$L$5+ROW()-1,설정!$L$21)&amp;""),"")</f>
        <v>BBB+</v>
      </c>
      <c r="O306" s="83" t="str">
        <f aca="false">IFERROR(IF(INDEX(원자료_잔고!$A$1:$EZ$1500,설정!$L$5+ROW()-1,설정!$L$22)&amp;""="0","",INDEX(원자료_잔고!$A$1:$EZ$1500,설정!$L$5+ROW()-1,설정!$L$22)&amp;""),"")</f>
        <v/>
      </c>
      <c r="P306" s="83" t="str">
        <f aca="false">IFERROR(IF(INDEX(원자료_잔고!$A$1:$EZ$1500,설정!$L$5+ROW()-1,설정!$L$23)&amp;""="0","",INDEX(원자료_잔고!$A$1:$EZ$1500,설정!$L$5+ROW()-1,설정!$L$23)&amp;""),"")</f>
        <v>N/A</v>
      </c>
      <c r="Q306" s="89" t="n">
        <f aca="false">IF(AND($A306&lt;&gt;"",ISNUMBER(E306)),IF(E306&gt;0,1,0),0)</f>
        <v>1</v>
      </c>
      <c r="R306" s="43" t="str">
        <f aca="false">IF(Q306=1,UPPER(LEFT($A306,FIND(" ",$A306&amp;" ")-1)),"")</f>
        <v>PKX</v>
      </c>
      <c r="S306" s="89" t="n">
        <f aca="false">IF(Q306=1,IF(OR(ISNUMBER(SEARCH("Float",$A306)),ISNUMBER(SEARCH("FRN",$A306))),1,0),0)</f>
        <v>0</v>
      </c>
      <c r="T306" s="43" t="str">
        <f aca="false">IF(AND(Q306=1,ISNUMBER(I306)),TEXT(I306,"yyyymmdd")&amp;"|"&amp;IF(S306=1,"F",TEXT(J306,"0.000")),"")</f>
        <v>20350507|5.750</v>
      </c>
      <c r="U306" s="90" t="n">
        <f aca="false">IF(AND(Q306=1,ISNUMBER(I306)),(I306-설정!$C$4)/365.25,"")</f>
        <v>8.5968514715948</v>
      </c>
      <c r="V306" s="43" t="str">
        <f aca="false">IF(Q306&lt;&gt;1,"",IF(ISNUMBER(U306),IF(U306&lt;=1,"1년 이하",IF(U306&lt;=2,"1-2년",IF(U306&lt;=3,"2-3년",IF(U306&lt;=4,"3-4년",IF(U306&lt;=5,"4-5년",IF(U306&lt;=7,"5-7년",IF(U306&lt;=10,"7-10년",IF(U306&lt;=20,"10-20년","20년 이상")))))))),"미분류"))</f>
        <v>7-10년</v>
      </c>
      <c r="W306" s="43" t="str">
        <f aca="false">IF(Q306&lt;&gt;1,"",IF(AB306&lt;&gt;"",INDEX(시장분석!$C:$C,AB306),IF(K306=1,"USD","비USD")))</f>
        <v>USD</v>
      </c>
      <c r="X306" s="91" t="n">
        <f aca="false">IF(Q306=1,E306*K306/1000000,0)</f>
        <v>5</v>
      </c>
      <c r="Y306" s="89" t="n">
        <f aca="false">IF(R306="T",1,0)</f>
        <v>0</v>
      </c>
      <c r="Z306" s="92" t="n">
        <f aca="false">IF(Q306&lt;&gt;1,"",IF(AD306=1,IF(ISNUMBER(U306),MAX(U306,0),H306),H306))</f>
        <v>6.3433</v>
      </c>
      <c r="AA306" s="91" t="n">
        <f aca="false">IF(Q306=1,IF(ISNUMBER(L306),L306,0)*K306/1000000,0)</f>
        <v>4.861725</v>
      </c>
      <c r="AB306" s="89" t="n">
        <f aca="false">IF(Q306&lt;&gt;1,"",IFERROR(MATCH(VLOOKUP(B306,매핑!$H$4:$I$15,2,0),시장분석!$A$2:$A$601,0)+1,IFERROR(MATCH(R306&amp;"|"&amp;T306,시장분석!$V$2:$V$601,0)+1,IF(COUNTIF(시장분석!$U$2:$U$601,T306)=1,MATCH(T306,시장분석!$U$2:$U$601,0)+1,""))))</f>
        <v>192</v>
      </c>
      <c r="AC306" s="89" t="n">
        <f aca="false">IF(Q306&lt;&gt;1,0,IF(OR(설정!$C$5="전체",AND(설정!$C$5="선택펀드",IFERROR(COUNTIFS(설정!$F$16:$F$36,C306,설정!$G$16:$G$36,"Y")+COUNTIFS(설정!$F$16:$F$36,VALUE(C306),설정!$G$16:$G$36,"Y"),0)&gt;0),C306&amp;""=설정!$C$5&amp;""),1,0))</f>
        <v>0</v>
      </c>
      <c r="AD306" s="89" t="n">
        <f aca="false">IF(Q306&lt;&gt;1,0,IF(OR(S306=1,IF(AB306="",FALSE(),INDEX(시장분석!$R:$R,AB306)=1)),1,0))</f>
        <v>0</v>
      </c>
      <c r="AE306" s="43" t="str">
        <f aca="false">IF(AB306="","",INDEX(시장분석!$A:$A,AB306))</f>
        <v>PKX 5 3/4 05/07/35</v>
      </c>
      <c r="AF306" s="93" t="n">
        <f aca="false">IF(AB306="","",IF(ISNUMBER(IF(AB306="","",INDEX(시장분석!$E:$E,AB306))),IF(AB306="","",INDEX(시장분석!$E:$E,AB306)),""))</f>
        <v>96.877</v>
      </c>
      <c r="AG306" s="43" t="str">
        <f aca="false">IF(Q306&lt;&gt;1,"",IF(AB306&lt;&gt;"",IF(AB306="","",INDEX(시장분석!$L:$L,AB306)),IFERROR(IF(VLOOKUP(R306,매핑!$A$4:$E$92,5,0)="","미분류",VLOOKUP(R306,매핑!$A$4:$E$92,5,0)),"미분류")))</f>
        <v>원자재</v>
      </c>
      <c r="AH306" s="43" t="str">
        <f aca="false">IF(Q306&lt;&gt;1,"",IF(AB306&lt;&gt;"",IF(AB306="","",INDEX(시장분석!$N:$N,AB306)),IFERROR(IF(VLOOKUP(R306,매핑!$A$4:$E$92,4,0)="","미분류",VLOOKUP(R306,매핑!$A$4:$E$92,4,0)),"미분류")))</f>
        <v>아시아/기타</v>
      </c>
      <c r="AI306" s="43" t="str">
        <f aca="false">IF(Q306&lt;&gt;1,"",IFERROR(IF(VLOOKUP(R306,매핑!$A$4:$E$92,3,0)="","미분류",VLOOKUP(R306,매핑!$A$4:$E$92,3,0)),IF(AB306&lt;&gt;"",IF(AB306="","",INDEX(시장분석!$W:$W,AB306)),"미분류")))</f>
        <v>한국</v>
      </c>
      <c r="AJ306" s="43" t="str">
        <f aca="false">IF(Q306&lt;&gt;1,"",IFERROR(VLOOKUP(IF(N306&lt;&gt;"",N306,IF(P306&lt;&gt;"",P306,O306)),설정!$A$15:$D$47,2,0),""))</f>
        <v>BBB+</v>
      </c>
      <c r="AK306" s="43" t="str">
        <f aca="false">IF(Q306&lt;&gt;1,"",IF(AJ306="","무등급",IFERROR(VLOOKUP(AJ306,설정!$A$15:$D$47,3,0),"무등급")))</f>
        <v>BBB</v>
      </c>
      <c r="AL306" s="89" t="n">
        <f aca="false">IF(AJ306="",99,IFERROR(VLOOKUP(AJ306,설정!$A$15:$D$47,4,0),99))</f>
        <v>8</v>
      </c>
      <c r="AM306" s="94" t="n">
        <f aca="false">IF(ISNUMBER(H306),AA306*1000000*H306/10000,0)</f>
        <v>3083.93801925</v>
      </c>
      <c r="AN306" s="94" t="n">
        <f aca="false">IF(OR(Y306=1,NOT(ISNUMBER(Z306))),0,AA306*1000000*Z306/10000)</f>
        <v>3083.93801925</v>
      </c>
      <c r="AO306" s="94" t="n">
        <f aca="false">IF(ISNUMBER(G306),AA306*1000000*G306/100,0)</f>
        <v>299842.02765</v>
      </c>
      <c r="AP306" s="94" t="n">
        <f aca="false">IF(ISNUMBER(M306),M306*K306,0)</f>
        <v>-383775.58</v>
      </c>
      <c r="AQ306" s="95" t="n">
        <f aca="false">IF(AB306="","",INDEX(시장분석!$AK:$AK,AB306))</f>
        <v>0.00909619726753792</v>
      </c>
      <c r="AR306" s="43" t="str">
        <f aca="false">IF(AB306="","-",IF(AB306="","",INDEX(시장분석!$AL:$AL,AB306)))</f>
        <v>Fair</v>
      </c>
      <c r="AS306" s="96" t="n">
        <f aca="false">IF(AB306="","",INDEX(시장분석!$AJ:$AJ,AB306))</f>
        <v>0.100695277191093</v>
      </c>
      <c r="AT306" s="93" t="n">
        <f aca="false">IF(AB306="",0,IF(AB306="","",INDEX(시장분석!$AN:$AN,AB306)))</f>
        <v>4.54488830913573</v>
      </c>
      <c r="AU306" s="94" t="n">
        <f aca="false">IF(ISNUMBER(Z306),AT306/10000*MAX(Z306-1,0)*AA306*1000000,0)</f>
        <v>11806.5541383152</v>
      </c>
      <c r="AV306" s="94" t="n">
        <f aca="false">AO306+AU306</f>
        <v>311648.581788315</v>
      </c>
      <c r="AW306" s="43" t="str">
        <f aca="false">IF(Q306&lt;&gt;1,"",TRIM(IF(AD306=1,"FRN ","")&amp;IF(AND(AL306&gt;=10,AL306&lt;99),"BBB0미만 ","")&amp;IF(AJ306="","등급없음 ","")&amp;IF(K306&lt;&gt;1,"비USD ","")&amp;IF(AND(AB306="",Y306=0),"시장데이터없음 ","")&amp;IF(AND(ISNUMBER(U306),U306&lt;0),"만기경과 ","")))</f>
        <v/>
      </c>
      <c r="AX306" s="90" t="n">
        <f aca="false">IF(Q306&lt;&gt;1,1,IF(스프레드쇼크!$C$4="Y",INDEX(스프레드쇼크!$B$12:$L$16,IFERROR(MATCH(AH306,스프레드쇼크!$A$12:$A$16,0),MATCH("목록외",스프레드쇼크!$A$12:$A$16,0)),IFERROR(MATCH(AG306,스프레드쇼크!$B$11:$L$11,0),MATCH("목록외",스프레드쇼크!$B$11:$L$11,0))),1))</f>
        <v>1</v>
      </c>
      <c r="AY306" s="90" t="n">
        <f aca="false">IF(스프레드쇼크!$C$5="Y",IF(ISNUMBER(AF306),MIN(스프레드쇼크!$C$7,MAX(스프레드쇼크!$C$6,AF306/스프레드쇼크!$C$8)),1),1)</f>
        <v>1.46530222166934</v>
      </c>
      <c r="AZ306" s="94" t="n">
        <f aca="false">AN306*AX306*AY306</f>
        <v>4518.90123109758</v>
      </c>
      <c r="BA306" s="90" t="n">
        <f aca="false">IF(ISNUMBER(G306),AA306*G306,0)</f>
        <v>29.984202765</v>
      </c>
      <c r="BB306" s="90" t="n">
        <f aca="false">IF(ISNUMBER(G306),AA306,0)</f>
        <v>4.861725</v>
      </c>
      <c r="BC306" s="90" t="n">
        <f aca="false">IF(AND(Y306=0,ISNUMBER(AF306)),AA306*AF306,0)</f>
        <v>470.989332825</v>
      </c>
      <c r="BD306" s="90" t="n">
        <f aca="false">IF(AND(Y306=0,ISNUMBER(AF306)),AA306,0)</f>
        <v>4.861725</v>
      </c>
      <c r="BE306" s="90" t="n">
        <f aca="false">IF(ISNUMBER(H306),AA306*H306,0)</f>
        <v>30.8393801925</v>
      </c>
      <c r="BF306" s="90" t="n">
        <f aca="false">IF(ISNUMBER(H306),AA306,0)</f>
        <v>4.861725</v>
      </c>
      <c r="BG306" s="90" t="n">
        <f aca="false">IF(AND(Y306=0,ISNUMBER(AF306),ISNUMBER(Z306)),AA306*Z306,0)</f>
        <v>30.8393801925</v>
      </c>
      <c r="BH306" s="90" t="n">
        <f aca="false">IF(AND(Y306=0,ISNUMBER(AF306),ISNUMBER(Z306)),AA306*AT306*MAX(Z306-1,0),0)</f>
        <v>118.065541383152</v>
      </c>
      <c r="BI306" s="90" t="n">
        <f aca="false">IF(Y306=0,AA306,0)</f>
        <v>4.861725</v>
      </c>
    </row>
    <row r="307" customFormat="false" ht="15" hidden="false" customHeight="false" outlineLevel="0" collapsed="false">
      <c r="A307" s="83" t="str">
        <f aca="false">IFERROR(IF(INDEX(원자료_잔고!$A$1:$EZ$1500,설정!$L$5+ROW()-1,설정!$L$8)&amp;""="0","",INDEX(원자료_잔고!$A$1:$EZ$1500,설정!$L$5+ROW()-1,설정!$L$8)&amp;""),"")</f>
        <v>POHANG 5 01/16/36</v>
      </c>
      <c r="B307" s="83" t="str">
        <f aca="false">IFERROR(IF(INDEX(원자료_잔고!$A$1:$EZ$1500,설정!$L$5+ROW()-1,설정!$L$7)&amp;""="0","",INDEX(원자료_잔고!$A$1:$EZ$1500,설정!$L$5+ROW()-1,설정!$L$7)&amp;""),"")</f>
        <v>USY7S272AM43</v>
      </c>
      <c r="C307" s="83" t="str">
        <f aca="false">IFERROR(IF(INDEX(원자료_잔고!$A$1:$EZ$1500,설정!$L$5+ROW()-1,설정!$L$9)&amp;""="0","",INDEX(원자료_잔고!$A$1:$EZ$1500,설정!$L$5+ROW()-1,설정!$L$9)&amp;""),"")</f>
        <v>38038</v>
      </c>
      <c r="D307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07" s="84" t="n">
        <f aca="false">IFERROR(IF(ISNUMBER(INDEX(원자료_잔고!$A$1:$EZ$1500,설정!$L$5+ROW()-1,설정!$L$11)),INDEX(원자료_잔고!$A$1:$EZ$1500,설정!$L$5+ROW()-1,설정!$L$11),""),"")</f>
        <v>5000000</v>
      </c>
      <c r="F307" s="85" t="n">
        <f aca="false">IFERROR(IF(ISNUMBER(INDEX(원자료_잔고!$A$1:$EZ$1500,설정!$L$5+ROW()-1,설정!$L$12)),INDEX(원자료_잔고!$A$1:$EZ$1500,설정!$L$5+ROW()-1,설정!$L$12),""),"")</f>
        <v>91.8135</v>
      </c>
      <c r="G307" s="85" t="n">
        <f aca="false">IFERROR(IF(ISNUMBER(INDEX(원자료_잔고!$A$1:$EZ$1500,설정!$L$5+ROW()-1,설정!$L$13)),INDEX(원자료_잔고!$A$1:$EZ$1500,설정!$L$5+ROW()-1,설정!$L$13),""),"")</f>
        <v>6.1687</v>
      </c>
      <c r="H307" s="85" t="n">
        <f aca="false">IFERROR(IF(ISNUMBER(INDEX(원자료_잔고!$A$1:$EZ$1500,설정!$L$5+ROW()-1,설정!$L$14)),INDEX(원자료_잔고!$A$1:$EZ$1500,설정!$L$5+ROW()-1,설정!$L$14),""),"")</f>
        <v>6.9877</v>
      </c>
      <c r="I307" s="86" t="n">
        <f aca="false">IFERROR(IF(ISNUMBER(INDEX(원자료_잔고!$A$1:$EZ$1500,설정!$L$5+ROW()-1,설정!$L$15)),INDEX(원자료_잔고!$A$1:$EZ$1500,설정!$L$5+ROW()-1,설정!$L$15),""),"")</f>
        <v>49690</v>
      </c>
      <c r="J307" s="85" t="n">
        <f aca="false">IFERROR(IF(ISNUMBER(INDEX(원자료_잔고!$A$1:$EZ$1500,설정!$L$5+ROW()-1,설정!$L$16)),INDEX(원자료_잔고!$A$1:$EZ$1500,설정!$L$5+ROW()-1,설정!$L$16),""),"")</f>
        <v>5</v>
      </c>
      <c r="K307" s="87" t="n">
        <f aca="false">IFERROR(IF(ISNUMBER(INDEX(원자료_잔고!$A$1:$EZ$1500,설정!$L$5+ROW()-1,설정!$L$17)),INDEX(원자료_잔고!$A$1:$EZ$1500,설정!$L$5+ROW()-1,설정!$L$17),""),"")</f>
        <v>1</v>
      </c>
      <c r="L307" s="84" t="n">
        <f aca="false">IFERROR(IF(ISNUMBER(INDEX(원자료_잔고!$A$1:$EZ$1500,설정!$L$5+ROW()-1,설정!$L$18)),INDEX(원자료_잔고!$A$1:$EZ$1500,설정!$L$5+ROW()-1,설정!$L$18),""),"")</f>
        <v>4590675</v>
      </c>
      <c r="M307" s="88" t="n">
        <f aca="false">IFERROR(IF(ISNUMBER(INDEX(원자료_잔고!$A$1:$EZ$1500,설정!$L$5+ROW()-1,설정!$L$19)),INDEX(원자료_잔고!$A$1:$EZ$1500,설정!$L$5+ROW()-1,설정!$L$19),""),"")</f>
        <v>-393311.8</v>
      </c>
      <c r="N307" s="83" t="str">
        <f aca="false">IFERROR(IF(INDEX(원자료_잔고!$A$1:$EZ$1500,설정!$L$5+ROW()-1,설정!$L$21)&amp;""="0","",INDEX(원자료_잔고!$A$1:$EZ$1500,설정!$L$5+ROW()-1,설정!$L$21)&amp;""),"")</f>
        <v>BBB+</v>
      </c>
      <c r="O307" s="83" t="str">
        <f aca="false">IFERROR(IF(INDEX(원자료_잔고!$A$1:$EZ$1500,설정!$L$5+ROW()-1,설정!$L$22)&amp;""="0","",INDEX(원자료_잔고!$A$1:$EZ$1500,설정!$L$5+ROW()-1,설정!$L$22)&amp;""),"")</f>
        <v/>
      </c>
      <c r="P307" s="83" t="str">
        <f aca="false">IFERROR(IF(INDEX(원자료_잔고!$A$1:$EZ$1500,설정!$L$5+ROW()-1,설정!$L$23)&amp;""="0","",INDEX(원자료_잔고!$A$1:$EZ$1500,설정!$L$5+ROW()-1,설정!$L$23)&amp;""),"")</f>
        <v>N/A</v>
      </c>
      <c r="Q307" s="89" t="n">
        <f aca="false">IF(AND($A307&lt;&gt;"",ISNUMBER(E307)),IF(E307&gt;0,1,0),0)</f>
        <v>1</v>
      </c>
      <c r="R307" s="43" t="str">
        <f aca="false">IF(Q307=1,UPPER(LEFT($A307,FIND(" ",$A307&amp;" ")-1)),"")</f>
        <v>POHANG</v>
      </c>
      <c r="S307" s="89" t="n">
        <f aca="false">IF(Q307=1,IF(OR(ISNUMBER(SEARCH("Float",$A307)),ISNUMBER(SEARCH("FRN",$A307))),1,0),0)</f>
        <v>0</v>
      </c>
      <c r="T307" s="43" t="str">
        <f aca="false">IF(AND(Q307=1,ISNUMBER(I307)),TEXT(I307,"yyyymmdd")&amp;"|"&amp;IF(S307=1,"F",TEXT(J307,"0.000")),"")</f>
        <v>20360116|5.000</v>
      </c>
      <c r="U307" s="90" t="n">
        <f aca="false">IF(AND(Q307=1,ISNUMBER(I307)),(I307-설정!$C$4)/365.25,"")</f>
        <v>9.29226557152635</v>
      </c>
      <c r="V307" s="43" t="str">
        <f aca="false">IF(Q307&lt;&gt;1,"",IF(ISNUMBER(U307),IF(U307&lt;=1,"1년 이하",IF(U307&lt;=2,"1-2년",IF(U307&lt;=3,"2-3년",IF(U307&lt;=4,"3-4년",IF(U307&lt;=5,"4-5년",IF(U307&lt;=7,"5-7년",IF(U307&lt;=10,"7-10년",IF(U307&lt;=20,"10-20년","20년 이상")))))))),"미분류"))</f>
        <v>7-10년</v>
      </c>
      <c r="W307" s="43" t="str">
        <f aca="false">IF(Q307&lt;&gt;1,"",IF(AB307&lt;&gt;"",INDEX(시장분석!$C:$C,AB307),IF(K307=1,"USD","비USD")))</f>
        <v>USD</v>
      </c>
      <c r="X307" s="91" t="n">
        <f aca="false">IF(Q307=1,E307*K307/1000000,0)</f>
        <v>5</v>
      </c>
      <c r="Y307" s="89" t="n">
        <f aca="false">IF(R307="T",1,0)</f>
        <v>0</v>
      </c>
      <c r="Z307" s="92" t="n">
        <f aca="false">IF(Q307&lt;&gt;1,"",IF(AD307=1,IF(ISNUMBER(U307),MAX(U307,0),H307),H307))</f>
        <v>6.9877</v>
      </c>
      <c r="AA307" s="91" t="n">
        <f aca="false">IF(Q307=1,IF(ISNUMBER(L307),L307,0)*K307/1000000,0)</f>
        <v>4.590675</v>
      </c>
      <c r="AB307" s="89" t="n">
        <f aca="false">IF(Q307&lt;&gt;1,"",IFERROR(MATCH(VLOOKUP(B307,매핑!$H$4:$I$15,2,0),시장분석!$A$2:$A$601,0)+1,IFERROR(MATCH(R307&amp;"|"&amp;T307,시장분석!$V$2:$V$601,0)+1,IF(COUNTIF(시장분석!$U$2:$U$601,T307)=1,MATCH(T307,시장분석!$U$2:$U$601,0)+1,""))))</f>
        <v>197</v>
      </c>
      <c r="AC307" s="89" t="n">
        <f aca="false">IF(Q307&lt;&gt;1,0,IF(OR(설정!$C$5="전체",AND(설정!$C$5="선택펀드",IFERROR(COUNTIFS(설정!$F$16:$F$36,C307,설정!$G$16:$G$36,"Y")+COUNTIFS(설정!$F$16:$F$36,VALUE(C307),설정!$G$16:$G$36,"Y"),0)&gt;0),C307&amp;""=설정!$C$5&amp;""),1,0))</f>
        <v>0</v>
      </c>
      <c r="AD307" s="89" t="n">
        <f aca="false">IF(Q307&lt;&gt;1,0,IF(OR(S307=1,IF(AB307="",FALSE(),INDEX(시장분석!$R:$R,AB307)=1)),1,0))</f>
        <v>0</v>
      </c>
      <c r="AE307" s="43" t="str">
        <f aca="false">IF(AB307="","",INDEX(시장분석!$A:$A,AB307))</f>
        <v>POHANG 5 01/16/36</v>
      </c>
      <c r="AF307" s="93" t="n">
        <f aca="false">IF(AB307="","",IF(ISNUMBER(IF(AB307="","",INDEX(시장분석!$E:$E,AB307))),IF(AB307="","",INDEX(시장분석!$E:$E,AB307)),""))</f>
        <v>95.061</v>
      </c>
      <c r="AG307" s="43" t="str">
        <f aca="false">IF(Q307&lt;&gt;1,"",IF(AB307&lt;&gt;"",IF(AB307="","",INDEX(시장분석!$L:$L,AB307)),IFERROR(IF(VLOOKUP(R307,매핑!$A$4:$E$92,5,0)="","미분류",VLOOKUP(R307,매핑!$A$4:$E$92,5,0)),"미분류")))</f>
        <v>원자재</v>
      </c>
      <c r="AH307" s="43" t="str">
        <f aca="false">IF(Q307&lt;&gt;1,"",IF(AB307&lt;&gt;"",IF(AB307="","",INDEX(시장분석!$N:$N,AB307)),IFERROR(IF(VLOOKUP(R307,매핑!$A$4:$E$92,4,0)="","미분류",VLOOKUP(R307,매핑!$A$4:$E$92,4,0)),"미분류")))</f>
        <v>아시아/기타</v>
      </c>
      <c r="AI307" s="43" t="str">
        <f aca="false">IF(Q307&lt;&gt;1,"",IFERROR(IF(VLOOKUP(R307,매핑!$A$4:$E$92,3,0)="","미분류",VLOOKUP(R307,매핑!$A$4:$E$92,3,0)),IF(AB307&lt;&gt;"",IF(AB307="","",INDEX(시장분석!$W:$W,AB307)),"미분류")))</f>
        <v>한국</v>
      </c>
      <c r="AJ307" s="43" t="str">
        <f aca="false">IF(Q307&lt;&gt;1,"",IFERROR(VLOOKUP(IF(N307&lt;&gt;"",N307,IF(P307&lt;&gt;"",P307,O307)),설정!$A$15:$D$47,2,0),""))</f>
        <v>BBB+</v>
      </c>
      <c r="AK307" s="43" t="str">
        <f aca="false">IF(Q307&lt;&gt;1,"",IF(AJ307="","무등급",IFERROR(VLOOKUP(AJ307,설정!$A$15:$D$47,3,0),"무등급")))</f>
        <v>BBB</v>
      </c>
      <c r="AL307" s="89" t="n">
        <f aca="false">IF(AJ307="",99,IFERROR(VLOOKUP(AJ307,설정!$A$15:$D$47,4,0),99))</f>
        <v>8</v>
      </c>
      <c r="AM307" s="94" t="n">
        <f aca="false">IF(ISNUMBER(H307),AA307*1000000*H307/10000,0)</f>
        <v>3207.82596975</v>
      </c>
      <c r="AN307" s="94" t="n">
        <f aca="false">IF(OR(Y307=1,NOT(ISNUMBER(Z307))),0,AA307*1000000*Z307/10000)</f>
        <v>3207.82596975</v>
      </c>
      <c r="AO307" s="94" t="n">
        <f aca="false">IF(ISNUMBER(G307),AA307*1000000*G307/100,0)</f>
        <v>283184.968725</v>
      </c>
      <c r="AP307" s="94" t="n">
        <f aca="false">IF(ISNUMBER(M307),M307*K307,0)</f>
        <v>-393311.8</v>
      </c>
      <c r="AQ307" s="95" t="n">
        <f aca="false">IF(AB307="","",INDEX(시장분석!$AK:$AK,AB307))</f>
        <v>-0.391893385739059</v>
      </c>
      <c r="AR307" s="43" t="str">
        <f aca="false">IF(AB307="","-",IF(AB307="","",INDEX(시장분석!$AL:$AL,AB307)))</f>
        <v>Fair</v>
      </c>
      <c r="AS307" s="96" t="n">
        <f aca="false">IF(AB307="","",INDEX(시장분석!$AJ:$AJ,AB307))</f>
        <v>-4.33827586910192</v>
      </c>
      <c r="AT307" s="93" t="n">
        <f aca="false">IF(AB307="",0,IF(AB307="","",INDEX(시장분석!$AN:$AN,AB307)))</f>
        <v>4.10950347155634</v>
      </c>
      <c r="AU307" s="94" t="n">
        <f aca="false">IF(ISNUMBER(Z307),AT307/10000*MAX(Z307-1,0)*AA307*1000000,0)</f>
        <v>11296.0324739075</v>
      </c>
      <c r="AV307" s="94" t="n">
        <f aca="false">AO307+AU307</f>
        <v>294481.001198908</v>
      </c>
      <c r="AW307" s="43" t="str">
        <f aca="false">IF(Q307&lt;&gt;1,"",TRIM(IF(AD307=1,"FRN ","")&amp;IF(AND(AL307&gt;=10,AL307&lt;99),"BBB0미만 ","")&amp;IF(AJ307="","등급없음 ","")&amp;IF(K307&lt;&gt;1,"비USD ","")&amp;IF(AND(AB307="",Y307=0),"시장데이터없음 ","")&amp;IF(AND(ISNUMBER(U307),U307&lt;0),"만기경과 ","")))</f>
        <v/>
      </c>
      <c r="AX307" s="90" t="n">
        <f aca="false">IF(Q307&lt;&gt;1,1,IF(스프레드쇼크!$C$4="Y",INDEX(스프레드쇼크!$B$12:$L$16,IFERROR(MATCH(AH307,스프레드쇼크!$A$12:$A$16,0),MATCH("목록외",스프레드쇼크!$A$12:$A$16,0)),IFERROR(MATCH(AG307,스프레드쇼크!$B$11:$L$11,0),MATCH("목록외",스프레드쇼크!$B$11:$L$11,0))),1))</f>
        <v>1</v>
      </c>
      <c r="AY307" s="90" t="n">
        <f aca="false">IF(스프레드쇼크!$C$5="Y",IF(ISNUMBER(AF307),MIN(스프레드쇼크!$C$7,MAX(스프레드쇼크!$C$6,AF307/스프레드쇼크!$C$8)),1),1)</f>
        <v>1.43783451690401</v>
      </c>
      <c r="AZ307" s="94" t="n">
        <f aca="false">AN307*AX307*AY307</f>
        <v>4612.32290352762</v>
      </c>
      <c r="BA307" s="90" t="n">
        <f aca="false">IF(ISNUMBER(G307),AA307*G307,0)</f>
        <v>28.3184968725</v>
      </c>
      <c r="BB307" s="90" t="n">
        <f aca="false">IF(ISNUMBER(G307),AA307,0)</f>
        <v>4.590675</v>
      </c>
      <c r="BC307" s="90" t="n">
        <f aca="false">IF(AND(Y307=0,ISNUMBER(AF307)),AA307*AF307,0)</f>
        <v>436.394156175</v>
      </c>
      <c r="BD307" s="90" t="n">
        <f aca="false">IF(AND(Y307=0,ISNUMBER(AF307)),AA307,0)</f>
        <v>4.590675</v>
      </c>
      <c r="BE307" s="90" t="n">
        <f aca="false">IF(ISNUMBER(H307),AA307*H307,0)</f>
        <v>32.0782596975</v>
      </c>
      <c r="BF307" s="90" t="n">
        <f aca="false">IF(ISNUMBER(H307),AA307,0)</f>
        <v>4.590675</v>
      </c>
      <c r="BG307" s="90" t="n">
        <f aca="false">IF(AND(Y307=0,ISNUMBER(AF307),ISNUMBER(Z307)),AA307*Z307,0)</f>
        <v>32.0782596975</v>
      </c>
      <c r="BH307" s="90" t="n">
        <f aca="false">IF(AND(Y307=0,ISNUMBER(AF307),ISNUMBER(Z307)),AA307*AT307*MAX(Z307-1,0),0)</f>
        <v>112.960324739075</v>
      </c>
      <c r="BI307" s="90" t="n">
        <f aca="false">IF(Y307=0,AA307,0)</f>
        <v>4.590675</v>
      </c>
    </row>
    <row r="308" customFormat="false" ht="15" hidden="false" customHeight="false" outlineLevel="0" collapsed="false">
      <c r="A308" s="83" t="str">
        <f aca="false">IFERROR(IF(INDEX(원자료_잔고!$A$1:$EZ$1500,설정!$L$5+ROW()-1,설정!$L$8)&amp;""="0","",INDEX(원자료_잔고!$A$1:$EZ$1500,설정!$L$5+ROW()-1,설정!$L$8)&amp;""),"")</f>
        <v>POHANG 5 01/16/36</v>
      </c>
      <c r="B308" s="83" t="str">
        <f aca="false">IFERROR(IF(INDEX(원자료_잔고!$A$1:$EZ$1500,설정!$L$5+ROW()-1,설정!$L$7)&amp;""="0","",INDEX(원자료_잔고!$A$1:$EZ$1500,설정!$L$5+ROW()-1,설정!$L$7)&amp;""),"")</f>
        <v>USY7S272AM43</v>
      </c>
      <c r="C308" s="83" t="str">
        <f aca="false">IFERROR(IF(INDEX(원자료_잔고!$A$1:$EZ$1500,설정!$L$5+ROW()-1,설정!$L$9)&amp;""="0","",INDEX(원자료_잔고!$A$1:$EZ$1500,설정!$L$5+ROW()-1,설정!$L$9)&amp;""),"")</f>
        <v>38038</v>
      </c>
      <c r="D308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08" s="84" t="n">
        <f aca="false">IFERROR(IF(ISNUMBER(INDEX(원자료_잔고!$A$1:$EZ$1500,설정!$L$5+ROW()-1,설정!$L$11)),INDEX(원자료_잔고!$A$1:$EZ$1500,설정!$L$5+ROW()-1,설정!$L$11),""),"")</f>
        <v>3000000</v>
      </c>
      <c r="F308" s="85" t="n">
        <f aca="false">IFERROR(IF(ISNUMBER(INDEX(원자료_잔고!$A$1:$EZ$1500,설정!$L$5+ROW()-1,설정!$L$12)),INDEX(원자료_잔고!$A$1:$EZ$1500,설정!$L$5+ROW()-1,설정!$L$12),""),"")</f>
        <v>91.8135</v>
      </c>
      <c r="G308" s="85" t="n">
        <f aca="false">IFERROR(IF(ISNUMBER(INDEX(원자료_잔고!$A$1:$EZ$1500,설정!$L$5+ROW()-1,설정!$L$13)),INDEX(원자료_잔고!$A$1:$EZ$1500,설정!$L$5+ROW()-1,설정!$L$13),""),"")</f>
        <v>6.1687</v>
      </c>
      <c r="H308" s="85" t="n">
        <f aca="false">IFERROR(IF(ISNUMBER(INDEX(원자료_잔고!$A$1:$EZ$1500,설정!$L$5+ROW()-1,설정!$L$14)),INDEX(원자료_잔고!$A$1:$EZ$1500,설정!$L$5+ROW()-1,설정!$L$14),""),"")</f>
        <v>6.9877</v>
      </c>
      <c r="I308" s="86" t="n">
        <f aca="false">IFERROR(IF(ISNUMBER(INDEX(원자료_잔고!$A$1:$EZ$1500,설정!$L$5+ROW()-1,설정!$L$15)),INDEX(원자료_잔고!$A$1:$EZ$1500,설정!$L$5+ROW()-1,설정!$L$15),""),"")</f>
        <v>49690</v>
      </c>
      <c r="J308" s="85" t="n">
        <f aca="false">IFERROR(IF(ISNUMBER(INDEX(원자료_잔고!$A$1:$EZ$1500,설정!$L$5+ROW()-1,설정!$L$16)),INDEX(원자료_잔고!$A$1:$EZ$1500,설정!$L$5+ROW()-1,설정!$L$16),""),"")</f>
        <v>5</v>
      </c>
      <c r="K308" s="87" t="n">
        <f aca="false">IFERROR(IF(ISNUMBER(INDEX(원자료_잔고!$A$1:$EZ$1500,설정!$L$5+ROW()-1,설정!$L$17)),INDEX(원자료_잔고!$A$1:$EZ$1500,설정!$L$5+ROW()-1,설정!$L$17),""),"")</f>
        <v>1</v>
      </c>
      <c r="L308" s="84" t="n">
        <f aca="false">IFERROR(IF(ISNUMBER(INDEX(원자료_잔고!$A$1:$EZ$1500,설정!$L$5+ROW()-1,설정!$L$18)),INDEX(원자료_잔고!$A$1:$EZ$1500,설정!$L$5+ROW()-1,설정!$L$18),""),"")</f>
        <v>2754405</v>
      </c>
      <c r="M308" s="88" t="n">
        <f aca="false">IFERROR(IF(ISNUMBER(INDEX(원자료_잔고!$A$1:$EZ$1500,설정!$L$5+ROW()-1,설정!$L$19)),INDEX(원자료_잔고!$A$1:$EZ$1500,설정!$L$5+ROW()-1,설정!$L$19),""),"")</f>
        <v>-232086.85</v>
      </c>
      <c r="N308" s="83" t="str">
        <f aca="false">IFERROR(IF(INDEX(원자료_잔고!$A$1:$EZ$1500,설정!$L$5+ROW()-1,설정!$L$21)&amp;""="0","",INDEX(원자료_잔고!$A$1:$EZ$1500,설정!$L$5+ROW()-1,설정!$L$21)&amp;""),"")</f>
        <v>BBB+</v>
      </c>
      <c r="O308" s="83" t="str">
        <f aca="false">IFERROR(IF(INDEX(원자료_잔고!$A$1:$EZ$1500,설정!$L$5+ROW()-1,설정!$L$22)&amp;""="0","",INDEX(원자료_잔고!$A$1:$EZ$1500,설정!$L$5+ROW()-1,설정!$L$22)&amp;""),"")</f>
        <v/>
      </c>
      <c r="P308" s="83" t="str">
        <f aca="false">IFERROR(IF(INDEX(원자료_잔고!$A$1:$EZ$1500,설정!$L$5+ROW()-1,설정!$L$23)&amp;""="0","",INDEX(원자료_잔고!$A$1:$EZ$1500,설정!$L$5+ROW()-1,설정!$L$23)&amp;""),"")</f>
        <v>N/A</v>
      </c>
      <c r="Q308" s="89" t="n">
        <f aca="false">IF(AND($A308&lt;&gt;"",ISNUMBER(E308)),IF(E308&gt;0,1,0),0)</f>
        <v>1</v>
      </c>
      <c r="R308" s="43" t="str">
        <f aca="false">IF(Q308=1,UPPER(LEFT($A308,FIND(" ",$A308&amp;" ")-1)),"")</f>
        <v>POHANG</v>
      </c>
      <c r="S308" s="89" t="n">
        <f aca="false">IF(Q308=1,IF(OR(ISNUMBER(SEARCH("Float",$A308)),ISNUMBER(SEARCH("FRN",$A308))),1,0),0)</f>
        <v>0</v>
      </c>
      <c r="T308" s="43" t="str">
        <f aca="false">IF(AND(Q308=1,ISNUMBER(I308)),TEXT(I308,"yyyymmdd")&amp;"|"&amp;IF(S308=1,"F",TEXT(J308,"0.000")),"")</f>
        <v>20360116|5.000</v>
      </c>
      <c r="U308" s="90" t="n">
        <f aca="false">IF(AND(Q308=1,ISNUMBER(I308)),(I308-설정!$C$4)/365.25,"")</f>
        <v>9.29226557152635</v>
      </c>
      <c r="V308" s="43" t="str">
        <f aca="false">IF(Q308&lt;&gt;1,"",IF(ISNUMBER(U308),IF(U308&lt;=1,"1년 이하",IF(U308&lt;=2,"1-2년",IF(U308&lt;=3,"2-3년",IF(U308&lt;=4,"3-4년",IF(U308&lt;=5,"4-5년",IF(U308&lt;=7,"5-7년",IF(U308&lt;=10,"7-10년",IF(U308&lt;=20,"10-20년","20년 이상")))))))),"미분류"))</f>
        <v>7-10년</v>
      </c>
      <c r="W308" s="43" t="str">
        <f aca="false">IF(Q308&lt;&gt;1,"",IF(AB308&lt;&gt;"",INDEX(시장분석!$C:$C,AB308),IF(K308=1,"USD","비USD")))</f>
        <v>USD</v>
      </c>
      <c r="X308" s="91" t="n">
        <f aca="false">IF(Q308=1,E308*K308/1000000,0)</f>
        <v>3</v>
      </c>
      <c r="Y308" s="89" t="n">
        <f aca="false">IF(R308="T",1,0)</f>
        <v>0</v>
      </c>
      <c r="Z308" s="92" t="n">
        <f aca="false">IF(Q308&lt;&gt;1,"",IF(AD308=1,IF(ISNUMBER(U308),MAX(U308,0),H308),H308))</f>
        <v>6.9877</v>
      </c>
      <c r="AA308" s="91" t="n">
        <f aca="false">IF(Q308=1,IF(ISNUMBER(L308),L308,0)*K308/1000000,0)</f>
        <v>2.754405</v>
      </c>
      <c r="AB308" s="89" t="n">
        <f aca="false">IF(Q308&lt;&gt;1,"",IFERROR(MATCH(VLOOKUP(B308,매핑!$H$4:$I$15,2,0),시장분석!$A$2:$A$601,0)+1,IFERROR(MATCH(R308&amp;"|"&amp;T308,시장분석!$V$2:$V$601,0)+1,IF(COUNTIF(시장분석!$U$2:$U$601,T308)=1,MATCH(T308,시장분석!$U$2:$U$601,0)+1,""))))</f>
        <v>197</v>
      </c>
      <c r="AC308" s="89" t="n">
        <f aca="false">IF(Q308&lt;&gt;1,0,IF(OR(설정!$C$5="전체",AND(설정!$C$5="선택펀드",IFERROR(COUNTIFS(설정!$F$16:$F$36,C308,설정!$G$16:$G$36,"Y")+COUNTIFS(설정!$F$16:$F$36,VALUE(C308),설정!$G$16:$G$36,"Y"),0)&gt;0),C308&amp;""=설정!$C$5&amp;""),1,0))</f>
        <v>0</v>
      </c>
      <c r="AD308" s="89" t="n">
        <f aca="false">IF(Q308&lt;&gt;1,0,IF(OR(S308=1,IF(AB308="",FALSE(),INDEX(시장분석!$R:$R,AB308)=1)),1,0))</f>
        <v>0</v>
      </c>
      <c r="AE308" s="43" t="str">
        <f aca="false">IF(AB308="","",INDEX(시장분석!$A:$A,AB308))</f>
        <v>POHANG 5 01/16/36</v>
      </c>
      <c r="AF308" s="93" t="n">
        <f aca="false">IF(AB308="","",IF(ISNUMBER(IF(AB308="","",INDEX(시장분석!$E:$E,AB308))),IF(AB308="","",INDEX(시장분석!$E:$E,AB308)),""))</f>
        <v>95.061</v>
      </c>
      <c r="AG308" s="43" t="str">
        <f aca="false">IF(Q308&lt;&gt;1,"",IF(AB308&lt;&gt;"",IF(AB308="","",INDEX(시장분석!$L:$L,AB308)),IFERROR(IF(VLOOKUP(R308,매핑!$A$4:$E$92,5,0)="","미분류",VLOOKUP(R308,매핑!$A$4:$E$92,5,0)),"미분류")))</f>
        <v>원자재</v>
      </c>
      <c r="AH308" s="43" t="str">
        <f aca="false">IF(Q308&lt;&gt;1,"",IF(AB308&lt;&gt;"",IF(AB308="","",INDEX(시장분석!$N:$N,AB308)),IFERROR(IF(VLOOKUP(R308,매핑!$A$4:$E$92,4,0)="","미분류",VLOOKUP(R308,매핑!$A$4:$E$92,4,0)),"미분류")))</f>
        <v>아시아/기타</v>
      </c>
      <c r="AI308" s="43" t="str">
        <f aca="false">IF(Q308&lt;&gt;1,"",IFERROR(IF(VLOOKUP(R308,매핑!$A$4:$E$92,3,0)="","미분류",VLOOKUP(R308,매핑!$A$4:$E$92,3,0)),IF(AB308&lt;&gt;"",IF(AB308="","",INDEX(시장분석!$W:$W,AB308)),"미분류")))</f>
        <v>한국</v>
      </c>
      <c r="AJ308" s="43" t="str">
        <f aca="false">IF(Q308&lt;&gt;1,"",IFERROR(VLOOKUP(IF(N308&lt;&gt;"",N308,IF(P308&lt;&gt;"",P308,O308)),설정!$A$15:$D$47,2,0),""))</f>
        <v>BBB+</v>
      </c>
      <c r="AK308" s="43" t="str">
        <f aca="false">IF(Q308&lt;&gt;1,"",IF(AJ308="","무등급",IFERROR(VLOOKUP(AJ308,설정!$A$15:$D$47,3,0),"무등급")))</f>
        <v>BBB</v>
      </c>
      <c r="AL308" s="89" t="n">
        <f aca="false">IF(AJ308="",99,IFERROR(VLOOKUP(AJ308,설정!$A$15:$D$47,4,0),99))</f>
        <v>8</v>
      </c>
      <c r="AM308" s="94" t="n">
        <f aca="false">IF(ISNUMBER(H308),AA308*1000000*H308/10000,0)</f>
        <v>1924.69558185</v>
      </c>
      <c r="AN308" s="94" t="n">
        <f aca="false">IF(OR(Y308=1,NOT(ISNUMBER(Z308))),0,AA308*1000000*Z308/10000)</f>
        <v>1924.69558185</v>
      </c>
      <c r="AO308" s="94" t="n">
        <f aca="false">IF(ISNUMBER(G308),AA308*1000000*G308/100,0)</f>
        <v>169910.981235</v>
      </c>
      <c r="AP308" s="94" t="n">
        <f aca="false">IF(ISNUMBER(M308),M308*K308,0)</f>
        <v>-232086.85</v>
      </c>
      <c r="AQ308" s="95" t="n">
        <f aca="false">IF(AB308="","",INDEX(시장분석!$AK:$AK,AB308))</f>
        <v>-0.391893385739059</v>
      </c>
      <c r="AR308" s="43" t="str">
        <f aca="false">IF(AB308="","-",IF(AB308="","",INDEX(시장분석!$AL:$AL,AB308)))</f>
        <v>Fair</v>
      </c>
      <c r="AS308" s="96" t="n">
        <f aca="false">IF(AB308="","",INDEX(시장분석!$AJ:$AJ,AB308))</f>
        <v>-4.33827586910192</v>
      </c>
      <c r="AT308" s="93" t="n">
        <f aca="false">IF(AB308="",0,IF(AB308="","",INDEX(시장분석!$AN:$AN,AB308)))</f>
        <v>4.10950347155634</v>
      </c>
      <c r="AU308" s="94" t="n">
        <f aca="false">IF(ISNUMBER(Z308),AT308/10000*MAX(Z308-1,0)*AA308*1000000,0)</f>
        <v>6777.61948434452</v>
      </c>
      <c r="AV308" s="94" t="n">
        <f aca="false">AO308+AU308</f>
        <v>176688.600719345</v>
      </c>
      <c r="AW308" s="43" t="str">
        <f aca="false">IF(Q308&lt;&gt;1,"",TRIM(IF(AD308=1,"FRN ","")&amp;IF(AND(AL308&gt;=10,AL308&lt;99),"BBB0미만 ","")&amp;IF(AJ308="","등급없음 ","")&amp;IF(K308&lt;&gt;1,"비USD ","")&amp;IF(AND(AB308="",Y308=0),"시장데이터없음 ","")&amp;IF(AND(ISNUMBER(U308),U308&lt;0),"만기경과 ","")))</f>
        <v/>
      </c>
      <c r="AX308" s="90" t="n">
        <f aca="false">IF(Q308&lt;&gt;1,1,IF(스프레드쇼크!$C$4="Y",INDEX(스프레드쇼크!$B$12:$L$16,IFERROR(MATCH(AH308,스프레드쇼크!$A$12:$A$16,0),MATCH("목록외",스프레드쇼크!$A$12:$A$16,0)),IFERROR(MATCH(AG308,스프레드쇼크!$B$11:$L$11,0),MATCH("목록외",스프레드쇼크!$B$11:$L$11,0))),1))</f>
        <v>1</v>
      </c>
      <c r="AY308" s="90" t="n">
        <f aca="false">IF(스프레드쇼크!$C$5="Y",IF(ISNUMBER(AF308),MIN(스프레드쇼크!$C$7,MAX(스프레드쇼크!$C$6,AF308/스프레드쇼크!$C$8)),1),1)</f>
        <v>1.43783451690401</v>
      </c>
      <c r="AZ308" s="94" t="n">
        <f aca="false">AN308*AX308*AY308</f>
        <v>2767.39374211657</v>
      </c>
      <c r="BA308" s="90" t="n">
        <f aca="false">IF(ISNUMBER(G308),AA308*G308,0)</f>
        <v>16.9910981235</v>
      </c>
      <c r="BB308" s="90" t="n">
        <f aca="false">IF(ISNUMBER(G308),AA308,0)</f>
        <v>2.754405</v>
      </c>
      <c r="BC308" s="90" t="n">
        <f aca="false">IF(AND(Y308=0,ISNUMBER(AF308)),AA308*AF308,0)</f>
        <v>261.836493705</v>
      </c>
      <c r="BD308" s="90" t="n">
        <f aca="false">IF(AND(Y308=0,ISNUMBER(AF308)),AA308,0)</f>
        <v>2.754405</v>
      </c>
      <c r="BE308" s="90" t="n">
        <f aca="false">IF(ISNUMBER(H308),AA308*H308,0)</f>
        <v>19.2469558185</v>
      </c>
      <c r="BF308" s="90" t="n">
        <f aca="false">IF(ISNUMBER(H308),AA308,0)</f>
        <v>2.754405</v>
      </c>
      <c r="BG308" s="90" t="n">
        <f aca="false">IF(AND(Y308=0,ISNUMBER(AF308),ISNUMBER(Z308)),AA308*Z308,0)</f>
        <v>19.2469558185</v>
      </c>
      <c r="BH308" s="90" t="n">
        <f aca="false">IF(AND(Y308=0,ISNUMBER(AF308),ISNUMBER(Z308)),AA308*AT308*MAX(Z308-1,0),0)</f>
        <v>67.7761948434452</v>
      </c>
      <c r="BI308" s="90" t="n">
        <f aca="false">IF(Y308=0,AA308,0)</f>
        <v>2.754405</v>
      </c>
    </row>
    <row r="309" customFormat="false" ht="15" hidden="false" customHeight="false" outlineLevel="0" collapsed="false">
      <c r="A309" s="83" t="str">
        <f aca="false">IFERROR(IF(INDEX(원자료_잔고!$A$1:$EZ$1500,설정!$L$5+ROW()-1,설정!$L$8)&amp;""="0","",INDEX(원자료_잔고!$A$1:$EZ$1500,설정!$L$5+ROW()-1,설정!$L$8)&amp;""),"")</f>
        <v>DFHOLD 6.875 11/06/26</v>
      </c>
      <c r="B309" s="83" t="str">
        <f aca="false">IFERROR(IF(INDEX(원자료_잔고!$A$1:$EZ$1500,설정!$L$5+ROW()-1,설정!$L$7)&amp;""="0","",INDEX(원자료_잔고!$A$1:$EZ$1500,설정!$L$5+ROW()-1,설정!$L$7)&amp;""),"")</f>
        <v>XS2703610050</v>
      </c>
      <c r="C309" s="83" t="str">
        <f aca="false">IFERROR(IF(INDEX(원자료_잔고!$A$1:$EZ$1500,설정!$L$5+ROW()-1,설정!$L$9)&amp;""="0","",INDEX(원자료_잔고!$A$1:$EZ$1500,설정!$L$5+ROW()-1,설정!$L$9)&amp;""),"")</f>
        <v>38064</v>
      </c>
      <c r="D30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09" s="84" t="n">
        <f aca="false">IFERROR(IF(ISNUMBER(INDEX(원자료_잔고!$A$1:$EZ$1500,설정!$L$5+ROW()-1,설정!$L$11)),INDEX(원자료_잔고!$A$1:$EZ$1500,설정!$L$5+ROW()-1,설정!$L$11),""),"")</f>
        <v>8000000</v>
      </c>
      <c r="F309" s="85" t="n">
        <f aca="false">IFERROR(IF(ISNUMBER(INDEX(원자료_잔고!$A$1:$EZ$1500,설정!$L$5+ROW()-1,설정!$L$12)),INDEX(원자료_잔고!$A$1:$EZ$1500,설정!$L$5+ROW()-1,설정!$L$12),""),"")</f>
        <v>100.1449</v>
      </c>
      <c r="G309" s="85" t="n">
        <f aca="false">IFERROR(IF(ISNUMBER(INDEX(원자료_잔고!$A$1:$EZ$1500,설정!$L$5+ROW()-1,설정!$L$13)),INDEX(원자료_잔고!$A$1:$EZ$1500,설정!$L$5+ROW()-1,설정!$L$13),""),"")</f>
        <v>5.2818</v>
      </c>
      <c r="H309" s="85" t="n">
        <f aca="false">IFERROR(IF(ISNUMBER(INDEX(원자료_잔고!$A$1:$EZ$1500,설정!$L$5+ROW()-1,설정!$L$14)),INDEX(원자료_잔고!$A$1:$EZ$1500,설정!$L$5+ROW()-1,설정!$L$14),""),"")</f>
        <v>0.0968</v>
      </c>
      <c r="I309" s="86" t="n">
        <f aca="false">IFERROR(IF(ISNUMBER(INDEX(원자료_잔고!$A$1:$EZ$1500,설정!$L$5+ROW()-1,설정!$L$15)),INDEX(원자료_잔고!$A$1:$EZ$1500,설정!$L$5+ROW()-1,설정!$L$15),""),"")</f>
        <v>46332</v>
      </c>
      <c r="J309" s="85" t="n">
        <f aca="false">IFERROR(IF(ISNUMBER(INDEX(원자료_잔고!$A$1:$EZ$1500,설정!$L$5+ROW()-1,설정!$L$16)),INDEX(원자료_잔고!$A$1:$EZ$1500,설정!$L$5+ROW()-1,설정!$L$16),""),"")</f>
        <v>6.875</v>
      </c>
      <c r="K309" s="87" t="n">
        <f aca="false">IFERROR(IF(ISNUMBER(INDEX(원자료_잔고!$A$1:$EZ$1500,설정!$L$5+ROW()-1,설정!$L$17)),INDEX(원자료_잔고!$A$1:$EZ$1500,설정!$L$5+ROW()-1,설정!$L$17),""),"")</f>
        <v>1</v>
      </c>
      <c r="L309" s="84" t="n">
        <f aca="false">IFERROR(IF(ISNUMBER(INDEX(원자료_잔고!$A$1:$EZ$1500,설정!$L$5+ROW()-1,설정!$L$18)),INDEX(원자료_잔고!$A$1:$EZ$1500,설정!$L$5+ROW()-1,설정!$L$18),""),"")</f>
        <v>8011592</v>
      </c>
      <c r="M309" s="88" t="n">
        <f aca="false">IFERROR(IF(ISNUMBER(INDEX(원자료_잔고!$A$1:$EZ$1500,설정!$L$5+ROW()-1,설정!$L$19)),INDEX(원자료_잔고!$A$1:$EZ$1500,설정!$L$5+ROW()-1,설정!$L$19),""),"")</f>
        <v>-155216</v>
      </c>
      <c r="N309" s="83" t="str">
        <f aca="false">IFERROR(IF(INDEX(원자료_잔고!$A$1:$EZ$1500,설정!$L$5+ROW()-1,설정!$L$21)&amp;""="0","",INDEX(원자료_잔고!$A$1:$EZ$1500,설정!$L$5+ROW()-1,설정!$L$21)&amp;""),"")</f>
        <v>BBB</v>
      </c>
      <c r="O309" s="83" t="str">
        <f aca="false">IFERROR(IF(INDEX(원자료_잔고!$A$1:$EZ$1500,설정!$L$5+ROW()-1,설정!$L$22)&amp;""="0","",INDEX(원자료_잔고!$A$1:$EZ$1500,설정!$L$5+ROW()-1,설정!$L$22)&amp;""),"")</f>
        <v/>
      </c>
      <c r="P309" s="83" t="str">
        <f aca="false">IFERROR(IF(INDEX(원자료_잔고!$A$1:$EZ$1500,설정!$L$5+ROW()-1,설정!$L$23)&amp;""="0","",INDEX(원자료_잔고!$A$1:$EZ$1500,설정!$L$5+ROW()-1,설정!$L$23)&amp;""),"")</f>
        <v>N/A</v>
      </c>
      <c r="Q309" s="89" t="n">
        <f aca="false">IF(AND($A309&lt;&gt;"",ISNUMBER(E309)),IF(E309&gt;0,1,0),0)</f>
        <v>1</v>
      </c>
      <c r="R309" s="43" t="str">
        <f aca="false">IF(Q309=1,UPPER(LEFT($A309,FIND(" ",$A309&amp;" ")-1)),"")</f>
        <v>DFHOLD</v>
      </c>
      <c r="S309" s="89" t="n">
        <f aca="false">IF(Q309=1,IF(OR(ISNUMBER(SEARCH("Float",$A309)),ISNUMBER(SEARCH("FRN",$A309))),1,0),0)</f>
        <v>0</v>
      </c>
      <c r="T309" s="43" t="str">
        <f aca="false">IF(AND(Q309=1,ISNUMBER(I309)),TEXT(I309,"yyyymmdd")&amp;"|"&amp;IF(S309=1,"F",TEXT(J309,"0.000")),"")</f>
        <v>20261106|6.875</v>
      </c>
      <c r="U309" s="90" t="n">
        <f aca="false">IF(AND(Q309=1,ISNUMBER(I309)),(I309-설정!$C$4)/365.25,"")</f>
        <v>0.0985626283367557</v>
      </c>
      <c r="V309" s="43" t="str">
        <f aca="false">IF(Q309&lt;&gt;1,"",IF(ISNUMBER(U309),IF(U309&lt;=1,"1년 이하",IF(U309&lt;=2,"1-2년",IF(U309&lt;=3,"2-3년",IF(U309&lt;=4,"3-4년",IF(U309&lt;=5,"4-5년",IF(U309&lt;=7,"5-7년",IF(U309&lt;=10,"7-10년",IF(U309&lt;=20,"10-20년","20년 이상")))))))),"미분류"))</f>
        <v>1년 이하</v>
      </c>
      <c r="W309" s="43" t="str">
        <f aca="false">IF(Q309&lt;&gt;1,"",IF(AB309&lt;&gt;"",INDEX(시장분석!$C:$C,AB309),IF(K309=1,"USD","비USD")))</f>
        <v>USD</v>
      </c>
      <c r="X309" s="91" t="n">
        <f aca="false">IF(Q309=1,E309*K309/1000000,0)</f>
        <v>8</v>
      </c>
      <c r="Y309" s="89" t="n">
        <f aca="false">IF(R309="T",1,0)</f>
        <v>0</v>
      </c>
      <c r="Z309" s="92" t="n">
        <f aca="false">IF(Q309&lt;&gt;1,"",IF(AD309=1,IF(ISNUMBER(U309),MAX(U309,0),H309),H309))</f>
        <v>0.0968</v>
      </c>
      <c r="AA309" s="91" t="n">
        <f aca="false">IF(Q309=1,IF(ISNUMBER(L309),L309,0)*K309/1000000,0)</f>
        <v>8.011592</v>
      </c>
      <c r="AB309" s="89" t="n">
        <f aca="false">IF(Q309&lt;&gt;1,"",IFERROR(MATCH(VLOOKUP(B309,매핑!$H$4:$I$15,2,0),시장분석!$A$2:$A$601,0)+1,IFERROR(MATCH(R309&amp;"|"&amp;T309,시장분석!$V$2:$V$601,0)+1,IF(COUNTIF(시장분석!$U$2:$U$601,T309)=1,MATCH(T309,시장분석!$U$2:$U$601,0)+1,""))))</f>
        <v>224</v>
      </c>
      <c r="AC309" s="89" t="n">
        <f aca="false">IF(Q309&lt;&gt;1,0,IF(OR(설정!$C$5="전체",AND(설정!$C$5="선택펀드",IFERROR(COUNTIFS(설정!$F$16:$F$36,C309,설정!$G$16:$G$36,"Y")+COUNTIFS(설정!$F$16:$F$36,VALUE(C309),설정!$G$16:$G$36,"Y"),0)&gt;0),C309&amp;""=설정!$C$5&amp;""),1,0))</f>
        <v>0</v>
      </c>
      <c r="AD309" s="89" t="n">
        <f aca="false">IF(Q309&lt;&gt;1,0,IF(OR(S309=1,IF(AB309="",FALSE(),INDEX(시장분석!$R:$R,AB309)=1)),1,0))</f>
        <v>0</v>
      </c>
      <c r="AE309" s="43" t="str">
        <f aca="false">IF(AB309="","",INDEX(시장분석!$A:$A,AB309))</f>
        <v>DFHOLD 6 7/8 11/06/26</v>
      </c>
      <c r="AF309" s="93" t="n">
        <f aca="false">IF(AB309="","",IF(ISNUMBER(IF(AB309="","",INDEX(시장분석!$E:$E,AB309))),IF(AB309="","",INDEX(시장분석!$E:$E,AB309)),""))</f>
        <v>-6.955</v>
      </c>
      <c r="AG309" s="43" t="str">
        <f aca="false">IF(Q309&lt;&gt;1,"",IF(AB309&lt;&gt;"",IF(AB309="","",INDEX(시장분석!$L:$L,AB309)),IFERROR(IF(VLOOKUP(R309,매핑!$A$4:$E$92,5,0)="","미분류",VLOOKUP(R309,매핑!$A$4:$E$92,5,0)),"미분류")))</f>
        <v>금융기관</v>
      </c>
      <c r="AH309" s="43" t="str">
        <f aca="false">IF(Q309&lt;&gt;1,"",IF(AB309&lt;&gt;"",IF(AB309="","",INDEX(시장분석!$N:$N,AB309)),IFERROR(IF(VLOOKUP(R309,매핑!$A$4:$E$92,4,0)="","미분류",VLOOKUP(R309,매핑!$A$4:$E$92,4,0)),"미분류")))</f>
        <v>아시아/기타</v>
      </c>
      <c r="AI309" s="43" t="str">
        <f aca="false">IF(Q309&lt;&gt;1,"",IFERROR(IF(VLOOKUP(R309,매핑!$A$4:$E$92,3,0)="","미분류",VLOOKUP(R309,매핑!$A$4:$E$92,3,0)),IF(AB309&lt;&gt;"",IF(AB309="","",INDEX(시장분석!$W:$W,AB309)),"미분류")))</f>
        <v>한국</v>
      </c>
      <c r="AJ309" s="43" t="str">
        <f aca="false">IF(Q309&lt;&gt;1,"",IFERROR(VLOOKUP(IF(N309&lt;&gt;"",N309,IF(P309&lt;&gt;"",P309,O309)),설정!$A$15:$D$47,2,0),""))</f>
        <v>BBB</v>
      </c>
      <c r="AK309" s="43" t="str">
        <f aca="false">IF(Q309&lt;&gt;1,"",IF(AJ309="","무등급",IFERROR(VLOOKUP(AJ309,설정!$A$15:$D$47,3,0),"무등급")))</f>
        <v>BBB</v>
      </c>
      <c r="AL309" s="89" t="n">
        <f aca="false">IF(AJ309="",99,IFERROR(VLOOKUP(AJ309,설정!$A$15:$D$47,4,0),99))</f>
        <v>9</v>
      </c>
      <c r="AM309" s="94" t="n">
        <f aca="false">IF(ISNUMBER(H309),AA309*1000000*H309/10000,0)</f>
        <v>77.55221056</v>
      </c>
      <c r="AN309" s="94" t="n">
        <f aca="false">IF(OR(Y309=1,NOT(ISNUMBER(Z309))),0,AA309*1000000*Z309/10000)</f>
        <v>77.55221056</v>
      </c>
      <c r="AO309" s="94" t="n">
        <f aca="false">IF(ISNUMBER(G309),AA309*1000000*G309/100,0)</f>
        <v>423156.266256</v>
      </c>
      <c r="AP309" s="94" t="n">
        <f aca="false">IF(ISNUMBER(M309),M309*K309,0)</f>
        <v>-155216</v>
      </c>
      <c r="AQ309" s="95" t="str">
        <f aca="false">IF(AB309="","",INDEX(시장분석!$AK:$AK,AB309))</f>
        <v/>
      </c>
      <c r="AR309" s="43" t="str">
        <f aca="false">IF(AB309="","-",IF(AB309="","",INDEX(시장분석!$AL:$AL,AB309)))</f>
        <v>-</v>
      </c>
      <c r="AS309" s="96" t="str">
        <f aca="false">IF(AB309="","",INDEX(시장분석!$AJ:$AJ,AB309))</f>
        <v/>
      </c>
      <c r="AT309" s="93" t="n">
        <f aca="false">IF(AB309="",0,IF(AB309="","",INDEX(시장분석!$AN:$AN,AB309)))</f>
        <v>0</v>
      </c>
      <c r="AU309" s="94" t="n">
        <f aca="false">IF(ISNUMBER(Z309),AT309/10000*MAX(Z309-1,0)*AA309*1000000,0)</f>
        <v>0</v>
      </c>
      <c r="AV309" s="94" t="n">
        <f aca="false">AO309+AU309</f>
        <v>423156.266256</v>
      </c>
      <c r="AW309" s="43" t="str">
        <f aca="false">IF(Q309&lt;&gt;1,"",TRIM(IF(AD309=1,"FRN ","")&amp;IF(AND(AL309&gt;=10,AL309&lt;99),"BBB0미만 ","")&amp;IF(AJ309="","등급없음 ","")&amp;IF(K309&lt;&gt;1,"비USD ","")&amp;IF(AND(AB309="",Y309=0),"시장데이터없음 ","")&amp;IF(AND(ISNUMBER(U309),U309&lt;0),"만기경과 ","")))</f>
        <v/>
      </c>
      <c r="AX309" s="90" t="n">
        <f aca="false">IF(Q309&lt;&gt;1,1,IF(스프레드쇼크!$C$4="Y",INDEX(스프레드쇼크!$B$12:$L$16,IFERROR(MATCH(AH309,스프레드쇼크!$A$12:$A$16,0),MATCH("목록외",스프레드쇼크!$A$12:$A$16,0)),IFERROR(MATCH(AG309,스프레드쇼크!$B$11:$L$11,0),MATCH("목록외",스프레드쇼크!$B$11:$L$11,0))),1))</f>
        <v>1</v>
      </c>
      <c r="AY309" s="90" t="n">
        <f aca="false">IF(스프레드쇼크!$C$5="Y",IF(ISNUMBER(AF309),MIN(스프레드쇼크!$C$7,MAX(스프레드쇼크!$C$6,AF309/스프레드쇼크!$C$8)),1),1)</f>
        <v>0.25</v>
      </c>
      <c r="AZ309" s="94" t="n">
        <f aca="false">AN309*AX309*AY309</f>
        <v>19.38805264</v>
      </c>
      <c r="BA309" s="90" t="n">
        <f aca="false">IF(ISNUMBER(G309),AA309*G309,0)</f>
        <v>42.3156266256</v>
      </c>
      <c r="BB309" s="90" t="n">
        <f aca="false">IF(ISNUMBER(G309),AA309,0)</f>
        <v>8.011592</v>
      </c>
      <c r="BC309" s="90" t="n">
        <f aca="false">IF(AND(Y309=0,ISNUMBER(AF309)),AA309*AF309,0)</f>
        <v>-55.72062236</v>
      </c>
      <c r="BD309" s="90" t="n">
        <f aca="false">IF(AND(Y309=0,ISNUMBER(AF309)),AA309,0)</f>
        <v>8.011592</v>
      </c>
      <c r="BE309" s="90" t="n">
        <f aca="false">IF(ISNUMBER(H309),AA309*H309,0)</f>
        <v>0.7755221056</v>
      </c>
      <c r="BF309" s="90" t="n">
        <f aca="false">IF(ISNUMBER(H309),AA309,0)</f>
        <v>8.011592</v>
      </c>
      <c r="BG309" s="90" t="n">
        <f aca="false">IF(AND(Y309=0,ISNUMBER(AF309),ISNUMBER(Z309)),AA309*Z309,0)</f>
        <v>0.7755221056</v>
      </c>
      <c r="BH309" s="90" t="n">
        <f aca="false">IF(AND(Y309=0,ISNUMBER(AF309),ISNUMBER(Z309)),AA309*AT309*MAX(Z309-1,0),0)</f>
        <v>0</v>
      </c>
      <c r="BI309" s="90" t="n">
        <f aca="false">IF(Y309=0,AA309,0)</f>
        <v>8.011592</v>
      </c>
    </row>
    <row r="310" customFormat="false" ht="15" hidden="false" customHeight="false" outlineLevel="0" collapsed="false">
      <c r="A310" s="83" t="str">
        <f aca="false">IFERROR(IF(INDEX(원자료_잔고!$A$1:$EZ$1500,설정!$L$5+ROW()-1,설정!$L$8)&amp;""="0","",INDEX(원자료_잔고!$A$1:$EZ$1500,설정!$L$5+ROW()-1,설정!$L$8)&amp;""),"")</f>
        <v>ANZNZ 0.375 09/17/29</v>
      </c>
      <c r="B310" s="83" t="str">
        <f aca="false">IFERROR(IF(INDEX(원자료_잔고!$A$1:$EZ$1500,설정!$L$5+ROW()-1,설정!$L$7)&amp;""="0","",INDEX(원자료_잔고!$A$1:$EZ$1500,설정!$L$5+ROW()-1,설정!$L$7)&amp;""),"")</f>
        <v>XS2052998403</v>
      </c>
      <c r="C310" s="83" t="str">
        <f aca="false">IFERROR(IF(INDEX(원자료_잔고!$A$1:$EZ$1500,설정!$L$5+ROW()-1,설정!$L$9)&amp;""="0","",INDEX(원자료_잔고!$A$1:$EZ$1500,설정!$L$5+ROW()-1,설정!$L$9)&amp;""),"")</f>
        <v>38070</v>
      </c>
      <c r="D31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10" s="84" t="n">
        <f aca="false">IFERROR(IF(ISNUMBER(INDEX(원자료_잔고!$A$1:$EZ$1500,설정!$L$5+ROW()-1,설정!$L$11)),INDEX(원자료_잔고!$A$1:$EZ$1500,설정!$L$5+ROW()-1,설정!$L$11),""),"")</f>
        <v>3000000</v>
      </c>
      <c r="F310" s="85" t="n">
        <f aca="false">IFERROR(IF(ISNUMBER(INDEX(원자료_잔고!$A$1:$EZ$1500,설정!$L$5+ROW()-1,설정!$L$12)),INDEX(원자료_잔고!$A$1:$EZ$1500,설정!$L$5+ROW()-1,설정!$L$12),""),"")</f>
        <v>90.429</v>
      </c>
      <c r="G310" s="85" t="n">
        <f aca="false">IFERROR(IF(ISNUMBER(INDEX(원자료_잔고!$A$1:$EZ$1500,설정!$L$5+ROW()-1,설정!$L$13)),INDEX(원자료_잔고!$A$1:$EZ$1500,설정!$L$5+ROW()-1,설정!$L$13),""),"")</f>
        <v>3.8529</v>
      </c>
      <c r="H310" s="85" t="n">
        <f aca="false">IFERROR(IF(ISNUMBER(INDEX(원자료_잔고!$A$1:$EZ$1500,설정!$L$5+ROW()-1,설정!$L$14)),INDEX(원자료_잔고!$A$1:$EZ$1500,설정!$L$5+ROW()-1,설정!$L$14),""),"")</f>
        <v>2.8086</v>
      </c>
      <c r="I310" s="86" t="n">
        <f aca="false">IFERROR(IF(ISNUMBER(INDEX(원자료_잔고!$A$1:$EZ$1500,설정!$L$5+ROW()-1,설정!$L$15)),INDEX(원자료_잔고!$A$1:$EZ$1500,설정!$L$5+ROW()-1,설정!$L$15),""),"")</f>
        <v>47378</v>
      </c>
      <c r="J310" s="85" t="n">
        <f aca="false">IFERROR(IF(ISNUMBER(INDEX(원자료_잔고!$A$1:$EZ$1500,설정!$L$5+ROW()-1,설정!$L$16)),INDEX(원자료_잔고!$A$1:$EZ$1500,설정!$L$5+ROW()-1,설정!$L$16),""),"")</f>
        <v>0.375</v>
      </c>
      <c r="K310" s="87" t="n">
        <f aca="false">IFERROR(IF(ISNUMBER(INDEX(원자료_잔고!$A$1:$EZ$1500,설정!$L$5+ROW()-1,설정!$L$17)),INDEX(원자료_잔고!$A$1:$EZ$1500,설정!$L$5+ROW()-1,설정!$L$17),""),"")</f>
        <v>1.1339</v>
      </c>
      <c r="L310" s="84" t="n">
        <f aca="false">IFERROR(IF(ISNUMBER(INDEX(원자료_잔고!$A$1:$EZ$1500,설정!$L$5+ROW()-1,설정!$L$18)),INDEX(원자료_잔고!$A$1:$EZ$1500,설정!$L$5+ROW()-1,설정!$L$18),""),"")</f>
        <v>2712870</v>
      </c>
      <c r="M310" s="88" t="n">
        <f aca="false">IFERROR(IF(ISNUMBER(INDEX(원자료_잔고!$A$1:$EZ$1500,설정!$L$5+ROW()-1,설정!$L$19)),INDEX(원자료_잔고!$A$1:$EZ$1500,설정!$L$5+ROW()-1,설정!$L$19),""),"")</f>
        <v>-29250</v>
      </c>
      <c r="N310" s="83" t="str">
        <f aca="false">IFERROR(IF(INDEX(원자료_잔고!$A$1:$EZ$1500,설정!$L$5+ROW()-1,설정!$L$21)&amp;""="0","",INDEX(원자료_잔고!$A$1:$EZ$1500,설정!$L$5+ROW()-1,설정!$L$21)&amp;""),"")</f>
        <v>AA-</v>
      </c>
      <c r="O310" s="83" t="str">
        <f aca="false">IFERROR(IF(INDEX(원자료_잔고!$A$1:$EZ$1500,설정!$L$5+ROW()-1,설정!$L$22)&amp;""="0","",INDEX(원자료_잔고!$A$1:$EZ$1500,설정!$L$5+ROW()-1,설정!$L$22)&amp;""),"")</f>
        <v/>
      </c>
      <c r="P310" s="83" t="str">
        <f aca="false">IFERROR(IF(INDEX(원자료_잔고!$A$1:$EZ$1500,설정!$L$5+ROW()-1,설정!$L$23)&amp;""="0","",INDEX(원자료_잔고!$A$1:$EZ$1500,설정!$L$5+ROW()-1,설정!$L$23)&amp;""),"")</f>
        <v>A+</v>
      </c>
      <c r="Q310" s="89" t="n">
        <f aca="false">IF(AND($A310&lt;&gt;"",ISNUMBER(E310)),IF(E310&gt;0,1,0),0)</f>
        <v>1</v>
      </c>
      <c r="R310" s="43" t="str">
        <f aca="false">IF(Q310=1,UPPER(LEFT($A310,FIND(" ",$A310&amp;" ")-1)),"")</f>
        <v>ANZNZ</v>
      </c>
      <c r="S310" s="89" t="n">
        <f aca="false">IF(Q310=1,IF(OR(ISNUMBER(SEARCH("Float",$A310)),ISNUMBER(SEARCH("FRN",$A310))),1,0),0)</f>
        <v>0</v>
      </c>
      <c r="T310" s="43" t="str">
        <f aca="false">IF(AND(Q310=1,ISNUMBER(I310)),TEXT(I310,"yyyymmdd")&amp;"|"&amp;IF(S310=1,"F",TEXT(J310,"0.000")),"")</f>
        <v>20290917|0.375</v>
      </c>
      <c r="U310" s="90" t="n">
        <f aca="false">IF(AND(Q310=1,ISNUMBER(I310)),(I310-설정!$C$4)/365.25,"")</f>
        <v>2.96235455167693</v>
      </c>
      <c r="V310" s="43" t="str">
        <f aca="false">IF(Q310&lt;&gt;1,"",IF(ISNUMBER(U310),IF(U310&lt;=1,"1년 이하",IF(U310&lt;=2,"1-2년",IF(U310&lt;=3,"2-3년",IF(U310&lt;=4,"3-4년",IF(U310&lt;=5,"4-5년",IF(U310&lt;=7,"5-7년",IF(U310&lt;=10,"7-10년",IF(U310&lt;=20,"10-20년","20년 이상")))))))),"미분류"))</f>
        <v>2-3년</v>
      </c>
      <c r="W310" s="43" t="str">
        <f aca="false">IF(Q310&lt;&gt;1,"",IF(AB310&lt;&gt;"",INDEX(시장분석!$C:$C,AB310),IF(K310=1,"USD","비USD")))</f>
        <v>EUR</v>
      </c>
      <c r="X310" s="91" t="n">
        <f aca="false">IF(Q310=1,E310*K310/1000000,0)</f>
        <v>3.4017</v>
      </c>
      <c r="Y310" s="89" t="n">
        <f aca="false">IF(R310="T",1,0)</f>
        <v>0</v>
      </c>
      <c r="Z310" s="92" t="n">
        <f aca="false">IF(Q310&lt;&gt;1,"",IF(AD310=1,IF(ISNUMBER(U310),MAX(U310,0),H310),H310))</f>
        <v>2.8086</v>
      </c>
      <c r="AA310" s="91" t="n">
        <f aca="false">IF(Q310=1,IF(ISNUMBER(L310),L310,0)*K310/1000000,0)</f>
        <v>3.076123293</v>
      </c>
      <c r="AB310" s="89" t="n">
        <f aca="false">IF(Q310&lt;&gt;1,"",IFERROR(MATCH(VLOOKUP(B310,매핑!$H$4:$I$15,2,0),시장분석!$A$2:$A$601,0)+1,IFERROR(MATCH(R310&amp;"|"&amp;T310,시장분석!$V$2:$V$601,0)+1,IF(COUNTIF(시장분석!$U$2:$U$601,T310)=1,MATCH(T310,시장분석!$U$2:$U$601,0)+1,""))))</f>
        <v>211</v>
      </c>
      <c r="AC310" s="89" t="n">
        <f aca="false">IF(Q310&lt;&gt;1,0,IF(OR(설정!$C$5="전체",AND(설정!$C$5="선택펀드",IFERROR(COUNTIFS(설정!$F$16:$F$36,C310,설정!$G$16:$G$36,"Y")+COUNTIFS(설정!$F$16:$F$36,VALUE(C310),설정!$G$16:$G$36,"Y"),0)&gt;0),C310&amp;""=설정!$C$5&amp;""),1,0))</f>
        <v>0</v>
      </c>
      <c r="AD310" s="89" t="n">
        <f aca="false">IF(Q310&lt;&gt;1,0,IF(OR(S310=1,IF(AB310="",FALSE(),INDEX(시장분석!$R:$R,AB310)=1)),1,0))</f>
        <v>0</v>
      </c>
      <c r="AE310" s="43" t="str">
        <f aca="false">IF(AB310="","",INDEX(시장분석!$A:$A,AB310))</f>
        <v>ANZNZ 0 3/8 09/17/29</v>
      </c>
      <c r="AF310" s="93" t="n">
        <f aca="false">IF(AB310="","",IF(ISNUMBER(IF(AB310="","",INDEX(시장분석!$E:$E,AB310))),IF(AB310="","",INDEX(시장분석!$E:$E,AB310)),""))</f>
        <v>57.597</v>
      </c>
      <c r="AG310" s="43" t="str">
        <f aca="false">IF(Q310&lt;&gt;1,"",IF(AB310&lt;&gt;"",IF(AB310="","",INDEX(시장분석!$L:$L,AB310)),IFERROR(IF(VLOOKUP(R310,매핑!$A$4:$E$92,5,0)="","미분류",VLOOKUP(R310,매핑!$A$4:$E$92,5,0)),"미분류")))</f>
        <v>금융기관</v>
      </c>
      <c r="AH310" s="43" t="str">
        <f aca="false">IF(Q310&lt;&gt;1,"",IF(AB310&lt;&gt;"",IF(AB310="","",INDEX(시장분석!$N:$N,AB310)),IFERROR(IF(VLOOKUP(R310,매핑!$A$4:$E$92,4,0)="","미분류",VLOOKUP(R310,매핑!$A$4:$E$92,4,0)),"미분류")))</f>
        <v>아시아/기타</v>
      </c>
      <c r="AI310" s="43" t="str">
        <f aca="false">IF(Q310&lt;&gt;1,"",IFERROR(IF(VLOOKUP(R310,매핑!$A$4:$E$92,3,0)="","미분류",VLOOKUP(R310,매핑!$A$4:$E$92,3,0)),IF(AB310&lt;&gt;"",IF(AB310="","",INDEX(시장분석!$W:$W,AB310)),"미분류")))</f>
        <v>뉴질랜드</v>
      </c>
      <c r="AJ310" s="43" t="str">
        <f aca="false">IF(Q310&lt;&gt;1,"",IFERROR(VLOOKUP(IF(N310&lt;&gt;"",N310,IF(P310&lt;&gt;"",P310,O310)),설정!$A$15:$D$47,2,0),""))</f>
        <v>AA-</v>
      </c>
      <c r="AK310" s="43" t="str">
        <f aca="false">IF(Q310&lt;&gt;1,"",IF(AJ310="","무등급",IFERROR(VLOOKUP(AJ310,설정!$A$15:$D$47,3,0),"무등급")))</f>
        <v>AA이상</v>
      </c>
      <c r="AL310" s="89" t="n">
        <f aca="false">IF(AJ310="",99,IFERROR(VLOOKUP(AJ310,설정!$A$15:$D$47,4,0),99))</f>
        <v>4</v>
      </c>
      <c r="AM310" s="94" t="n">
        <f aca="false">IF(ISNUMBER(H310),AA310*1000000*H310/10000,0)</f>
        <v>863.95998807198</v>
      </c>
      <c r="AN310" s="94" t="n">
        <f aca="false">IF(OR(Y310=1,NOT(ISNUMBER(Z310))),0,AA310*1000000*Z310/10000)</f>
        <v>863.95998807198</v>
      </c>
      <c r="AO310" s="94" t="n">
        <f aca="false">IF(ISNUMBER(G310),AA310*1000000*G310/100,0)</f>
        <v>118519.954355997</v>
      </c>
      <c r="AP310" s="94" t="n">
        <f aca="false">IF(ISNUMBER(M310),M310*K310,0)</f>
        <v>-33166.575</v>
      </c>
      <c r="AQ310" s="95" t="str">
        <f aca="false">IF(AB310="","",INDEX(시장분석!$AK:$AK,AB310))</f>
        <v/>
      </c>
      <c r="AR310" s="43" t="str">
        <f aca="false">IF(AB310="","-",IF(AB310="","",INDEX(시장분석!$AL:$AL,AB310)))</f>
        <v>-</v>
      </c>
      <c r="AS310" s="96" t="str">
        <f aca="false">IF(AB310="","",INDEX(시장분석!$AJ:$AJ,AB310))</f>
        <v/>
      </c>
      <c r="AT310" s="93" t="n">
        <f aca="false">IF(AB310="",0,IF(AB310="","",INDEX(시장분석!$AN:$AN,AB310)))</f>
        <v>0</v>
      </c>
      <c r="AU310" s="94" t="n">
        <f aca="false">IF(ISNUMBER(Z310),AT310/10000*MAX(Z310-1,0)*AA310*1000000,0)</f>
        <v>0</v>
      </c>
      <c r="AV310" s="94" t="n">
        <f aca="false">AO310+AU310</f>
        <v>118519.954355997</v>
      </c>
      <c r="AW310" s="43" t="str">
        <f aca="false">IF(Q310&lt;&gt;1,"",TRIM(IF(AD310=1,"FRN ","")&amp;IF(AND(AL310&gt;=10,AL310&lt;99),"BBB0미만 ","")&amp;IF(AJ310="","등급없음 ","")&amp;IF(K310&lt;&gt;1,"비USD ","")&amp;IF(AND(AB310="",Y310=0),"시장데이터없음 ","")&amp;IF(AND(ISNUMBER(U310),U310&lt;0),"만기경과 ","")))</f>
        <v>비USD</v>
      </c>
      <c r="AX310" s="90" t="n">
        <f aca="false">IF(Q310&lt;&gt;1,1,IF(스프레드쇼크!$C$4="Y",INDEX(스프레드쇼크!$B$12:$L$16,IFERROR(MATCH(AH310,스프레드쇼크!$A$12:$A$16,0),MATCH("목록외",스프레드쇼크!$A$12:$A$16,0)),IFERROR(MATCH(AG310,스프레드쇼크!$B$11:$L$11,0),MATCH("목록외",스프레드쇼크!$B$11:$L$11,0))),1))</f>
        <v>1</v>
      </c>
      <c r="AY310" s="90" t="n">
        <f aca="false">IF(스프레드쇼크!$C$5="Y",IF(ISNUMBER(AF310),MIN(스프레드쇼크!$C$7,MAX(스프레드쇼크!$C$6,AF310/스프레드쇼크!$C$8)),1),1)</f>
        <v>0.871176977626157</v>
      </c>
      <c r="AZ310" s="94" t="n">
        <f aca="false">AN310*AX310*AY310</f>
        <v>752.662051198478</v>
      </c>
      <c r="BA310" s="90" t="n">
        <f aca="false">IF(ISNUMBER(G310),AA310*G310,0)</f>
        <v>11.8519954355997</v>
      </c>
      <c r="BB310" s="90" t="n">
        <f aca="false">IF(ISNUMBER(G310),AA310,0)</f>
        <v>3.076123293</v>
      </c>
      <c r="BC310" s="90" t="n">
        <f aca="false">IF(AND(Y310=0,ISNUMBER(AF310)),AA310*AF310,0)</f>
        <v>177.175473306921</v>
      </c>
      <c r="BD310" s="90" t="n">
        <f aca="false">IF(AND(Y310=0,ISNUMBER(AF310)),AA310,0)</f>
        <v>3.076123293</v>
      </c>
      <c r="BE310" s="90" t="n">
        <f aca="false">IF(ISNUMBER(H310),AA310*H310,0)</f>
        <v>8.6395998807198</v>
      </c>
      <c r="BF310" s="90" t="n">
        <f aca="false">IF(ISNUMBER(H310),AA310,0)</f>
        <v>3.076123293</v>
      </c>
      <c r="BG310" s="90" t="n">
        <f aca="false">IF(AND(Y310=0,ISNUMBER(AF310),ISNUMBER(Z310)),AA310*Z310,0)</f>
        <v>8.6395998807198</v>
      </c>
      <c r="BH310" s="90" t="n">
        <f aca="false">IF(AND(Y310=0,ISNUMBER(AF310),ISNUMBER(Z310)),AA310*AT310*MAX(Z310-1,0),0)</f>
        <v>0</v>
      </c>
      <c r="BI310" s="90" t="n">
        <f aca="false">IF(Y310=0,AA310,0)</f>
        <v>3.076123293</v>
      </c>
    </row>
    <row r="311" customFormat="false" ht="15" hidden="false" customHeight="false" outlineLevel="0" collapsed="false">
      <c r="A311" s="83" t="str">
        <f aca="false">IFERROR(IF(INDEX(원자료_잔고!$A$1:$EZ$1500,설정!$L$5+ROW()-1,설정!$L$8)&amp;""="0","",INDEX(원자료_잔고!$A$1:$EZ$1500,설정!$L$5+ROW()-1,설정!$L$8)&amp;""),"")</f>
        <v>JAPTOB 1 11/26/29</v>
      </c>
      <c r="B311" s="83" t="str">
        <f aca="false">IFERROR(IF(INDEX(원자료_잔고!$A$1:$EZ$1500,설정!$L$5+ROW()-1,설정!$L$7)&amp;""="0","",INDEX(원자료_잔고!$A$1:$EZ$1500,설정!$L$5+ROW()-1,설정!$L$7)&amp;""),"")</f>
        <v>XS2082472122</v>
      </c>
      <c r="C311" s="83" t="str">
        <f aca="false">IFERROR(IF(INDEX(원자료_잔고!$A$1:$EZ$1500,설정!$L$5+ROW()-1,설정!$L$9)&amp;""="0","",INDEX(원자료_잔고!$A$1:$EZ$1500,설정!$L$5+ROW()-1,설정!$L$9)&amp;""),"")</f>
        <v>38070</v>
      </c>
      <c r="D31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11" s="84" t="n">
        <f aca="false">IFERROR(IF(ISNUMBER(INDEX(원자료_잔고!$A$1:$EZ$1500,설정!$L$5+ROW()-1,설정!$L$11)),INDEX(원자료_잔고!$A$1:$EZ$1500,설정!$L$5+ROW()-1,설정!$L$11),""),"")</f>
        <v>1000000</v>
      </c>
      <c r="F311" s="85" t="n">
        <f aca="false">IFERROR(IF(ISNUMBER(INDEX(원자료_잔고!$A$1:$EZ$1500,설정!$L$5+ROW()-1,설정!$L$12)),INDEX(원자료_잔고!$A$1:$EZ$1500,설정!$L$5+ROW()-1,설정!$L$12),""),"")</f>
        <v>91.2136</v>
      </c>
      <c r="G311" s="85" t="n">
        <f aca="false">IFERROR(IF(ISNUMBER(INDEX(원자료_잔고!$A$1:$EZ$1500,설정!$L$5+ROW()-1,설정!$L$13)),INDEX(원자료_잔고!$A$1:$EZ$1500,설정!$L$5+ROW()-1,설정!$L$13),""),"")</f>
        <v>4.0188</v>
      </c>
      <c r="H311" s="85" t="n">
        <f aca="false">IFERROR(IF(ISNUMBER(INDEX(원자료_잔고!$A$1:$EZ$1500,설정!$L$5+ROW()-1,설정!$L$14)),INDEX(원자료_잔고!$A$1:$EZ$1500,설정!$L$5+ROW()-1,설정!$L$14),""),"")</f>
        <v>2.9157</v>
      </c>
      <c r="I311" s="86" t="n">
        <f aca="false">IFERROR(IF(ISNUMBER(INDEX(원자료_잔고!$A$1:$EZ$1500,설정!$L$5+ROW()-1,설정!$L$15)),INDEX(원자료_잔고!$A$1:$EZ$1500,설정!$L$5+ROW()-1,설정!$L$15),""),"")</f>
        <v>47448</v>
      </c>
      <c r="J311" s="85" t="n">
        <f aca="false">IFERROR(IF(ISNUMBER(INDEX(원자료_잔고!$A$1:$EZ$1500,설정!$L$5+ROW()-1,설정!$L$16)),INDEX(원자료_잔고!$A$1:$EZ$1500,설정!$L$5+ROW()-1,설정!$L$16),""),"")</f>
        <v>1</v>
      </c>
      <c r="K311" s="87" t="n">
        <f aca="false">IFERROR(IF(ISNUMBER(INDEX(원자료_잔고!$A$1:$EZ$1500,설정!$L$5+ROW()-1,설정!$L$17)),INDEX(원자료_잔고!$A$1:$EZ$1500,설정!$L$5+ROW()-1,설정!$L$17),""),"")</f>
        <v>1.1339</v>
      </c>
      <c r="L311" s="84" t="n">
        <f aca="false">IFERROR(IF(ISNUMBER(INDEX(원자료_잔고!$A$1:$EZ$1500,설정!$L$5+ROW()-1,설정!$L$18)),INDEX(원자료_잔고!$A$1:$EZ$1500,설정!$L$5+ROW()-1,설정!$L$18),""),"")</f>
        <v>912136</v>
      </c>
      <c r="M311" s="88" t="n">
        <f aca="false">IFERROR(IF(ISNUMBER(INDEX(원자료_잔고!$A$1:$EZ$1500,설정!$L$5+ROW()-1,설정!$L$19)),INDEX(원자료_잔고!$A$1:$EZ$1500,설정!$L$5+ROW()-1,설정!$L$19),""),"")</f>
        <v>-15576</v>
      </c>
      <c r="N311" s="83" t="str">
        <f aca="false">IFERROR(IF(INDEX(원자료_잔고!$A$1:$EZ$1500,설정!$L$5+ROW()-1,설정!$L$21)&amp;""="0","",INDEX(원자료_잔고!$A$1:$EZ$1500,설정!$L$5+ROW()-1,설정!$L$21)&amp;""),"")</f>
        <v>A</v>
      </c>
      <c r="O311" s="83" t="str">
        <f aca="false">IFERROR(IF(INDEX(원자료_잔고!$A$1:$EZ$1500,설정!$L$5+ROW()-1,설정!$L$22)&amp;""="0","",INDEX(원자료_잔고!$A$1:$EZ$1500,설정!$L$5+ROW()-1,설정!$L$22)&amp;""),"")</f>
        <v/>
      </c>
      <c r="P311" s="83" t="str">
        <f aca="false">IFERROR(IF(INDEX(원자료_잔고!$A$1:$EZ$1500,설정!$L$5+ROW()-1,설정!$L$23)&amp;""="0","",INDEX(원자료_잔고!$A$1:$EZ$1500,설정!$L$5+ROW()-1,설정!$L$23)&amp;""),"")</f>
        <v>N/A</v>
      </c>
      <c r="Q311" s="89" t="n">
        <f aca="false">IF(AND($A311&lt;&gt;"",ISNUMBER(E311)),IF(E311&gt;0,1,0),0)</f>
        <v>1</v>
      </c>
      <c r="R311" s="43" t="str">
        <f aca="false">IF(Q311=1,UPPER(LEFT($A311,FIND(" ",$A311&amp;" ")-1)),"")</f>
        <v>JAPTOB</v>
      </c>
      <c r="S311" s="89" t="n">
        <f aca="false">IF(Q311=1,IF(OR(ISNUMBER(SEARCH("Float",$A311)),ISNUMBER(SEARCH("FRN",$A311))),1,0),0)</f>
        <v>0</v>
      </c>
      <c r="T311" s="43" t="str">
        <f aca="false">IF(AND(Q311=1,ISNUMBER(I311)),TEXT(I311,"yyyymmdd")&amp;"|"&amp;IF(S311=1,"F",TEXT(J311,"0.000")),"")</f>
        <v>20291126|1.000</v>
      </c>
      <c r="U311" s="90" t="n">
        <f aca="false">IF(AND(Q311=1,ISNUMBER(I311)),(I311-설정!$C$4)/365.25,"")</f>
        <v>3.15400410677618</v>
      </c>
      <c r="V311" s="43" t="str">
        <f aca="false">IF(Q311&lt;&gt;1,"",IF(ISNUMBER(U311),IF(U311&lt;=1,"1년 이하",IF(U311&lt;=2,"1-2년",IF(U311&lt;=3,"2-3년",IF(U311&lt;=4,"3-4년",IF(U311&lt;=5,"4-5년",IF(U311&lt;=7,"5-7년",IF(U311&lt;=10,"7-10년",IF(U311&lt;=20,"10-20년","20년 이상")))))))),"미분류"))</f>
        <v>3-4년</v>
      </c>
      <c r="W311" s="43" t="str">
        <f aca="false">IF(Q311&lt;&gt;1,"",IF(AB311&lt;&gt;"",INDEX(시장분석!$C:$C,AB311),IF(K311=1,"USD","비USD")))</f>
        <v>EUR</v>
      </c>
      <c r="X311" s="91" t="n">
        <f aca="false">IF(Q311=1,E311*K311/1000000,0)</f>
        <v>1.1339</v>
      </c>
      <c r="Y311" s="89" t="n">
        <f aca="false">IF(R311="T",1,0)</f>
        <v>0</v>
      </c>
      <c r="Z311" s="92" t="n">
        <f aca="false">IF(Q311&lt;&gt;1,"",IF(AD311=1,IF(ISNUMBER(U311),MAX(U311,0),H311),H311))</f>
        <v>2.9157</v>
      </c>
      <c r="AA311" s="91" t="n">
        <f aca="false">IF(Q311=1,IF(ISNUMBER(L311),L311,0)*K311/1000000,0)</f>
        <v>1.0342710104</v>
      </c>
      <c r="AB311" s="89" t="n">
        <f aca="false">IF(Q311&lt;&gt;1,"",IFERROR(MATCH(VLOOKUP(B311,매핑!$H$4:$I$15,2,0),시장분석!$A$2:$A$601,0)+1,IFERROR(MATCH(R311&amp;"|"&amp;T311,시장분석!$V$2:$V$601,0)+1,IF(COUNTIF(시장분석!$U$2:$U$601,T311)=1,MATCH(T311,시장분석!$U$2:$U$601,0)+1,""))))</f>
        <v>212</v>
      </c>
      <c r="AC311" s="89" t="n">
        <f aca="false">IF(Q311&lt;&gt;1,0,IF(OR(설정!$C$5="전체",AND(설정!$C$5="선택펀드",IFERROR(COUNTIFS(설정!$F$16:$F$36,C311,설정!$G$16:$G$36,"Y")+COUNTIFS(설정!$F$16:$F$36,VALUE(C311),설정!$G$16:$G$36,"Y"),0)&gt;0),C311&amp;""=설정!$C$5&amp;""),1,0))</f>
        <v>0</v>
      </c>
      <c r="AD311" s="89" t="n">
        <f aca="false">IF(Q311&lt;&gt;1,0,IF(OR(S311=1,IF(AB311="",FALSE(),INDEX(시장분석!$R:$R,AB311)=1)),1,0))</f>
        <v>0</v>
      </c>
      <c r="AE311" s="43" t="str">
        <f aca="false">IF(AB311="","",INDEX(시장분석!$A:$A,AB311))</f>
        <v>JAPTOB 1 11/26/29</v>
      </c>
      <c r="AF311" s="93" t="n">
        <f aca="false">IF(AB311="","",IF(ISNUMBER(IF(AB311="","",INDEX(시장분석!$E:$E,AB311))),IF(AB311="","",INDEX(시장분석!$E:$E,AB311)),""))</f>
        <v>71.727</v>
      </c>
      <c r="AG311" s="43" t="str">
        <f aca="false">IF(Q311&lt;&gt;1,"",IF(AB311&lt;&gt;"",IF(AB311="","",INDEX(시장분석!$L:$L,AB311)),IFERROR(IF(VLOOKUP(R311,매핑!$A$4:$E$92,5,0)="","미분류",VLOOKUP(R311,매핑!$A$4:$E$92,5,0)),"미분류")))</f>
        <v>기본소비재</v>
      </c>
      <c r="AH311" s="43" t="str">
        <f aca="false">IF(Q311&lt;&gt;1,"",IF(AB311&lt;&gt;"",IF(AB311="","",INDEX(시장분석!$N:$N,AB311)),IFERROR(IF(VLOOKUP(R311,매핑!$A$4:$E$92,4,0)="","미분류",VLOOKUP(R311,매핑!$A$4:$E$92,4,0)),"미분류")))</f>
        <v>아시아/기타</v>
      </c>
      <c r="AI311" s="43" t="str">
        <f aca="false">IF(Q311&lt;&gt;1,"",IFERROR(IF(VLOOKUP(R311,매핑!$A$4:$E$92,3,0)="","미분류",VLOOKUP(R311,매핑!$A$4:$E$92,3,0)),IF(AB311&lt;&gt;"",IF(AB311="","",INDEX(시장분석!$W:$W,AB311)),"미분류")))</f>
        <v>일본</v>
      </c>
      <c r="AJ311" s="43" t="str">
        <f aca="false">IF(Q311&lt;&gt;1,"",IFERROR(VLOOKUP(IF(N311&lt;&gt;"",N311,IF(P311&lt;&gt;"",P311,O311)),설정!$A$15:$D$47,2,0),""))</f>
        <v>A</v>
      </c>
      <c r="AK311" s="43" t="str">
        <f aca="false">IF(Q311&lt;&gt;1,"",IF(AJ311="","무등급",IFERROR(VLOOKUP(AJ311,설정!$A$15:$D$47,3,0),"무등급")))</f>
        <v>A</v>
      </c>
      <c r="AL311" s="89" t="n">
        <f aca="false">IF(AJ311="",99,IFERROR(VLOOKUP(AJ311,설정!$A$15:$D$47,4,0),99))</f>
        <v>6</v>
      </c>
      <c r="AM311" s="94" t="n">
        <f aca="false">IF(ISNUMBER(H311),AA311*1000000*H311/10000,0)</f>
        <v>301.562398502328</v>
      </c>
      <c r="AN311" s="94" t="n">
        <f aca="false">IF(OR(Y311=1,NOT(ISNUMBER(Z311))),0,AA311*1000000*Z311/10000)</f>
        <v>301.562398502328</v>
      </c>
      <c r="AO311" s="94" t="n">
        <f aca="false">IF(ISNUMBER(G311),AA311*1000000*G311/100,0)</f>
        <v>41565.2833659552</v>
      </c>
      <c r="AP311" s="94" t="n">
        <f aca="false">IF(ISNUMBER(M311),M311*K311,0)</f>
        <v>-17661.6264</v>
      </c>
      <c r="AQ311" s="95" t="str">
        <f aca="false">IF(AB311="","",INDEX(시장분석!$AK:$AK,AB311))</f>
        <v/>
      </c>
      <c r="AR311" s="43" t="str">
        <f aca="false">IF(AB311="","-",IF(AB311="","",INDEX(시장분석!$AL:$AL,AB311)))</f>
        <v>-</v>
      </c>
      <c r="AS311" s="96" t="str">
        <f aca="false">IF(AB311="","",INDEX(시장분석!$AJ:$AJ,AB311))</f>
        <v/>
      </c>
      <c r="AT311" s="93" t="n">
        <f aca="false">IF(AB311="",0,IF(AB311="","",INDEX(시장분석!$AN:$AN,AB311)))</f>
        <v>0</v>
      </c>
      <c r="AU311" s="94" t="n">
        <f aca="false">IF(ISNUMBER(Z311),AT311/10000*MAX(Z311-1,0)*AA311*1000000,0)</f>
        <v>0</v>
      </c>
      <c r="AV311" s="94" t="n">
        <f aca="false">AO311+AU311</f>
        <v>41565.2833659552</v>
      </c>
      <c r="AW311" s="43" t="str">
        <f aca="false">IF(Q311&lt;&gt;1,"",TRIM(IF(AD311=1,"FRN ","")&amp;IF(AND(AL311&gt;=10,AL311&lt;99),"BBB0미만 ","")&amp;IF(AJ311="","등급없음 ","")&amp;IF(K311&lt;&gt;1,"비USD ","")&amp;IF(AND(AB311="",Y311=0),"시장데이터없음 ","")&amp;IF(AND(ISNUMBER(U311),U311&lt;0),"만기경과 ","")))</f>
        <v>비USD</v>
      </c>
      <c r="AX311" s="90" t="n">
        <f aca="false">IF(Q311&lt;&gt;1,1,IF(스프레드쇼크!$C$4="Y",INDEX(스프레드쇼크!$B$12:$L$16,IFERROR(MATCH(AH311,스프레드쇼크!$A$12:$A$16,0),MATCH("목록외",스프레드쇼크!$A$12:$A$16,0)),IFERROR(MATCH(AG311,스프레드쇼크!$B$11:$L$11,0),MATCH("목록외",스프레드쇼크!$B$11:$L$11,0))),1))</f>
        <v>1</v>
      </c>
      <c r="AY311" s="90" t="n">
        <f aca="false">IF(스프레드쇼크!$C$5="Y",IF(ISNUMBER(AF311),MIN(스프레드쇼크!$C$7,MAX(스프레드쇼크!$C$6,AF311/스프레드쇼크!$C$8)),1),1)</f>
        <v>1.08489871129037</v>
      </c>
      <c r="AZ311" s="94" t="n">
        <f aca="false">AN311*AX311*AY311</f>
        <v>327.164657508808</v>
      </c>
      <c r="BA311" s="90" t="n">
        <f aca="false">IF(ISNUMBER(G311),AA311*G311,0)</f>
        <v>4.15652833659552</v>
      </c>
      <c r="BB311" s="90" t="n">
        <f aca="false">IF(ISNUMBER(G311),AA311,0)</f>
        <v>1.0342710104</v>
      </c>
      <c r="BC311" s="90" t="n">
        <f aca="false">IF(AND(Y311=0,ISNUMBER(AF311)),AA311*AF311,0)</f>
        <v>74.1851567629608</v>
      </c>
      <c r="BD311" s="90" t="n">
        <f aca="false">IF(AND(Y311=0,ISNUMBER(AF311)),AA311,0)</f>
        <v>1.0342710104</v>
      </c>
      <c r="BE311" s="90" t="n">
        <f aca="false">IF(ISNUMBER(H311),AA311*H311,0)</f>
        <v>3.01562398502328</v>
      </c>
      <c r="BF311" s="90" t="n">
        <f aca="false">IF(ISNUMBER(H311),AA311,0)</f>
        <v>1.0342710104</v>
      </c>
      <c r="BG311" s="90" t="n">
        <f aca="false">IF(AND(Y311=0,ISNUMBER(AF311),ISNUMBER(Z311)),AA311*Z311,0)</f>
        <v>3.01562398502328</v>
      </c>
      <c r="BH311" s="90" t="n">
        <f aca="false">IF(AND(Y311=0,ISNUMBER(AF311),ISNUMBER(Z311)),AA311*AT311*MAX(Z311-1,0),0)</f>
        <v>0</v>
      </c>
      <c r="BI311" s="90" t="n">
        <f aca="false">IF(Y311=0,AA311,0)</f>
        <v>1.0342710104</v>
      </c>
    </row>
    <row r="312" customFormat="false" ht="15" hidden="false" customHeight="false" outlineLevel="0" collapsed="false">
      <c r="A312" s="83" t="str">
        <f aca="false">IFERROR(IF(INDEX(원자료_잔고!$A$1:$EZ$1500,설정!$L$5+ROW()-1,설정!$L$8)&amp;""="0","",INDEX(원자료_잔고!$A$1:$EZ$1500,설정!$L$5+ROW()-1,설정!$L$8)&amp;""),"")</f>
        <v>WFC 1.741 05/04/30</v>
      </c>
      <c r="B312" s="83" t="str">
        <f aca="false">IFERROR(IF(INDEX(원자료_잔고!$A$1:$EZ$1500,설정!$L$5+ROW()-1,설정!$L$7)&amp;""="0","",INDEX(원자료_잔고!$A$1:$EZ$1500,설정!$L$5+ROW()-1,설정!$L$7)&amp;""),"")</f>
        <v>XS2167007918</v>
      </c>
      <c r="C312" s="83" t="str">
        <f aca="false">IFERROR(IF(INDEX(원자료_잔고!$A$1:$EZ$1500,설정!$L$5+ROW()-1,설정!$L$9)&amp;""="0","",INDEX(원자료_잔고!$A$1:$EZ$1500,설정!$L$5+ROW()-1,설정!$L$9)&amp;""),"")</f>
        <v>38070</v>
      </c>
      <c r="D31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12" s="84" t="n">
        <f aca="false">IFERROR(IF(ISNUMBER(INDEX(원자료_잔고!$A$1:$EZ$1500,설정!$L$5+ROW()-1,설정!$L$11)),INDEX(원자료_잔고!$A$1:$EZ$1500,설정!$L$5+ROW()-1,설정!$L$11),""),"")</f>
        <v>5000000</v>
      </c>
      <c r="F312" s="85" t="n">
        <f aca="false">IFERROR(IF(ISNUMBER(INDEX(원자료_잔고!$A$1:$EZ$1500,설정!$L$5+ROW()-1,설정!$L$12)),INDEX(원자료_잔고!$A$1:$EZ$1500,설정!$L$5+ROW()-1,설정!$L$12),""),"")</f>
        <v>94.2339</v>
      </c>
      <c r="G312" s="85" t="n">
        <f aca="false">IFERROR(IF(ISNUMBER(INDEX(원자료_잔고!$A$1:$EZ$1500,설정!$L$5+ROW()-1,설정!$L$13)),INDEX(원자료_잔고!$A$1:$EZ$1500,설정!$L$5+ROW()-1,설정!$L$13),""),"")</f>
        <v>3.9147</v>
      </c>
      <c r="H312" s="85" t="n">
        <f aca="false">IFERROR(IF(ISNUMBER(INDEX(원자료_잔고!$A$1:$EZ$1500,설정!$L$5+ROW()-1,설정!$L$14)),INDEX(원자료_잔고!$A$1:$EZ$1500,설정!$L$5+ROW()-1,설정!$L$14),""),"")</f>
        <v>2.3853</v>
      </c>
      <c r="I312" s="86" t="n">
        <f aca="false">IFERROR(IF(ISNUMBER(INDEX(원자료_잔고!$A$1:$EZ$1500,설정!$L$5+ROW()-1,설정!$L$15)),INDEX(원자료_잔고!$A$1:$EZ$1500,설정!$L$5+ROW()-1,설정!$L$15),""),"")</f>
        <v>47607</v>
      </c>
      <c r="J312" s="85" t="n">
        <f aca="false">IFERROR(IF(ISNUMBER(INDEX(원자료_잔고!$A$1:$EZ$1500,설정!$L$5+ROW()-1,설정!$L$16)),INDEX(원자료_잔고!$A$1:$EZ$1500,설정!$L$5+ROW()-1,설정!$L$16),""),"")</f>
        <v>1.741</v>
      </c>
      <c r="K312" s="87" t="n">
        <f aca="false">IFERROR(IF(ISNUMBER(INDEX(원자료_잔고!$A$1:$EZ$1500,설정!$L$5+ROW()-1,설정!$L$17)),INDEX(원자료_잔고!$A$1:$EZ$1500,설정!$L$5+ROW()-1,설정!$L$17),""),"")</f>
        <v>1.1339</v>
      </c>
      <c r="L312" s="84" t="n">
        <f aca="false">IFERROR(IF(ISNUMBER(INDEX(원자료_잔고!$A$1:$EZ$1500,설정!$L$5+ROW()-1,설정!$L$18)),INDEX(원자료_잔고!$A$1:$EZ$1500,설정!$L$5+ROW()-1,설정!$L$18),""),"")</f>
        <v>4711695</v>
      </c>
      <c r="M312" s="88" t="n">
        <f aca="false">IFERROR(IF(ISNUMBER(INDEX(원자료_잔고!$A$1:$EZ$1500,설정!$L$5+ROW()-1,설정!$L$19)),INDEX(원자료_잔고!$A$1:$EZ$1500,설정!$L$5+ROW()-1,설정!$L$19),""),"")</f>
        <v>-89010</v>
      </c>
      <c r="N312" s="83" t="str">
        <f aca="false">IFERROR(IF(INDEX(원자료_잔고!$A$1:$EZ$1500,설정!$L$5+ROW()-1,설정!$L$21)&amp;""="0","",INDEX(원자료_잔고!$A$1:$EZ$1500,설정!$L$5+ROW()-1,설정!$L$21)&amp;""),"")</f>
        <v>A-</v>
      </c>
      <c r="O312" s="83" t="str">
        <f aca="false">IFERROR(IF(INDEX(원자료_잔고!$A$1:$EZ$1500,설정!$L$5+ROW()-1,설정!$L$22)&amp;""="0","",INDEX(원자료_잔고!$A$1:$EZ$1500,설정!$L$5+ROW()-1,설정!$L$22)&amp;""),"")</f>
        <v/>
      </c>
      <c r="P312" s="83" t="str">
        <f aca="false">IFERROR(IF(INDEX(원자료_잔고!$A$1:$EZ$1500,설정!$L$5+ROW()-1,설정!$L$23)&amp;""="0","",INDEX(원자료_잔고!$A$1:$EZ$1500,설정!$L$5+ROW()-1,설정!$L$23)&amp;""),"")</f>
        <v>A+</v>
      </c>
      <c r="Q312" s="89" t="n">
        <f aca="false">IF(AND($A312&lt;&gt;"",ISNUMBER(E312)),IF(E312&gt;0,1,0),0)</f>
        <v>1</v>
      </c>
      <c r="R312" s="43" t="str">
        <f aca="false">IF(Q312=1,UPPER(LEFT($A312,FIND(" ",$A312&amp;" ")-1)),"")</f>
        <v>WFC</v>
      </c>
      <c r="S312" s="89" t="n">
        <f aca="false">IF(Q312=1,IF(OR(ISNUMBER(SEARCH("Float",$A312)),ISNUMBER(SEARCH("FRN",$A312))),1,0),0)</f>
        <v>0</v>
      </c>
      <c r="T312" s="43" t="str">
        <f aca="false">IF(AND(Q312=1,ISNUMBER(I312)),TEXT(I312,"yyyymmdd")&amp;"|"&amp;IF(S312=1,"F",TEXT(J312,"0.000")),"")</f>
        <v>20300504|1.741</v>
      </c>
      <c r="U312" s="90" t="n">
        <f aca="false">IF(AND(Q312=1,ISNUMBER(I312)),(I312-설정!$C$4)/365.25,"")</f>
        <v>3.58932238193019</v>
      </c>
      <c r="V312" s="43" t="str">
        <f aca="false">IF(Q312&lt;&gt;1,"",IF(ISNUMBER(U312),IF(U312&lt;=1,"1년 이하",IF(U312&lt;=2,"1-2년",IF(U312&lt;=3,"2-3년",IF(U312&lt;=4,"3-4년",IF(U312&lt;=5,"4-5년",IF(U312&lt;=7,"5-7년",IF(U312&lt;=10,"7-10년",IF(U312&lt;=20,"10-20년","20년 이상")))))))),"미분류"))</f>
        <v>3-4년</v>
      </c>
      <c r="W312" s="43" t="str">
        <f aca="false">IF(Q312&lt;&gt;1,"",IF(AB312&lt;&gt;"",INDEX(시장분석!$C:$C,AB312),IF(K312=1,"USD","비USD")))</f>
        <v>EUR</v>
      </c>
      <c r="X312" s="91" t="n">
        <f aca="false">IF(Q312=1,E312*K312/1000000,0)</f>
        <v>5.6695</v>
      </c>
      <c r="Y312" s="89" t="n">
        <f aca="false">IF(R312="T",1,0)</f>
        <v>0</v>
      </c>
      <c r="Z312" s="92" t="n">
        <f aca="false">IF(Q312&lt;&gt;1,"",IF(AD312=1,IF(ISNUMBER(U312),MAX(U312,0),H312),H312))</f>
        <v>2.3853</v>
      </c>
      <c r="AA312" s="91" t="n">
        <f aca="false">IF(Q312=1,IF(ISNUMBER(L312),L312,0)*K312/1000000,0)</f>
        <v>5.3425909605</v>
      </c>
      <c r="AB312" s="89" t="n">
        <f aca="false">IF(Q312&lt;&gt;1,"",IFERROR(MATCH(VLOOKUP(B312,매핑!$H$4:$I$15,2,0),시장분석!$A$2:$A$601,0)+1,IFERROR(MATCH(R312&amp;"|"&amp;T312,시장분석!$V$2:$V$601,0)+1,IF(COUNTIF(시장분석!$U$2:$U$601,T312)=1,MATCH(T312,시장분석!$U$2:$U$601,0)+1,""))))</f>
        <v>213</v>
      </c>
      <c r="AC312" s="89" t="n">
        <f aca="false">IF(Q312&lt;&gt;1,0,IF(OR(설정!$C$5="전체",AND(설정!$C$5="선택펀드",IFERROR(COUNTIFS(설정!$F$16:$F$36,C312,설정!$G$16:$G$36,"Y")+COUNTIFS(설정!$F$16:$F$36,VALUE(C312),설정!$G$16:$G$36,"Y"),0)&gt;0),C312&amp;""=설정!$C$5&amp;""),1,0))</f>
        <v>0</v>
      </c>
      <c r="AD312" s="89" t="n">
        <f aca="false">IF(Q312&lt;&gt;1,0,IF(OR(S312=1,IF(AB312="",FALSE(),INDEX(시장분석!$R:$R,AB312)=1)),1,0))</f>
        <v>0</v>
      </c>
      <c r="AE312" s="43" t="str">
        <f aca="false">IF(AB312="","",INDEX(시장분석!$A:$A,AB312))</f>
        <v>WFC 1.741 05/04/30</v>
      </c>
      <c r="AF312" s="93" t="n">
        <f aca="false">IF(AB312="","",IF(ISNUMBER(IF(AB312="","",INDEX(시장분석!$E:$E,AB312))),IF(AB312="","",INDEX(시장분석!$E:$E,AB312)),""))</f>
        <v>87.148</v>
      </c>
      <c r="AG312" s="43" t="str">
        <f aca="false">IF(Q312&lt;&gt;1,"",IF(AB312&lt;&gt;"",IF(AB312="","",INDEX(시장분석!$L:$L,AB312)),IFERROR(IF(VLOOKUP(R312,매핑!$A$4:$E$92,5,0)="","미분류",VLOOKUP(R312,매핑!$A$4:$E$92,5,0)),"미분류")))</f>
        <v>금융기관</v>
      </c>
      <c r="AH312" s="43" t="str">
        <f aca="false">IF(Q312&lt;&gt;1,"",IF(AB312&lt;&gt;"",IF(AB312="","",INDEX(시장분석!$N:$N,AB312)),IFERROR(IF(VLOOKUP(R312,매핑!$A$4:$E$92,4,0)="","미분류",VLOOKUP(R312,매핑!$A$4:$E$92,4,0)),"미분류")))</f>
        <v>미국</v>
      </c>
      <c r="AI312" s="43" t="str">
        <f aca="false">IF(Q312&lt;&gt;1,"",IFERROR(IF(VLOOKUP(R312,매핑!$A$4:$E$92,3,0)="","미분류",VLOOKUP(R312,매핑!$A$4:$E$92,3,0)),IF(AB312&lt;&gt;"",IF(AB312="","",INDEX(시장분석!$W:$W,AB312)),"미분류")))</f>
        <v>미국</v>
      </c>
      <c r="AJ312" s="43" t="str">
        <f aca="false">IF(Q312&lt;&gt;1,"",IFERROR(VLOOKUP(IF(N312&lt;&gt;"",N312,IF(P312&lt;&gt;"",P312,O312)),설정!$A$15:$D$47,2,0),""))</f>
        <v>A-</v>
      </c>
      <c r="AK312" s="43" t="str">
        <f aca="false">IF(Q312&lt;&gt;1,"",IF(AJ312="","무등급",IFERROR(VLOOKUP(AJ312,설정!$A$15:$D$47,3,0),"무등급")))</f>
        <v>A</v>
      </c>
      <c r="AL312" s="89" t="n">
        <f aca="false">IF(AJ312="",99,IFERROR(VLOOKUP(AJ312,설정!$A$15:$D$47,4,0),99))</f>
        <v>7</v>
      </c>
      <c r="AM312" s="94" t="n">
        <f aca="false">IF(ISNUMBER(H312),AA312*1000000*H312/10000,0)</f>
        <v>1274.36822180806</v>
      </c>
      <c r="AN312" s="94" t="n">
        <f aca="false">IF(OR(Y312=1,NOT(ISNUMBER(Z312))),0,AA312*1000000*Z312/10000)</f>
        <v>1274.36822180806</v>
      </c>
      <c r="AO312" s="94" t="n">
        <f aca="false">IF(ISNUMBER(G312),AA312*1000000*G312/100,0)</f>
        <v>209146.408330693</v>
      </c>
      <c r="AP312" s="94" t="n">
        <f aca="false">IF(ISNUMBER(M312),M312*K312,0)</f>
        <v>-100928.439</v>
      </c>
      <c r="AQ312" s="95" t="str">
        <f aca="false">IF(AB312="","",INDEX(시장분석!$AK:$AK,AB312))</f>
        <v/>
      </c>
      <c r="AR312" s="43" t="str">
        <f aca="false">IF(AB312="","-",IF(AB312="","",INDEX(시장분석!$AL:$AL,AB312)))</f>
        <v>-</v>
      </c>
      <c r="AS312" s="96" t="str">
        <f aca="false">IF(AB312="","",INDEX(시장분석!$AJ:$AJ,AB312))</f>
        <v/>
      </c>
      <c r="AT312" s="93" t="n">
        <f aca="false">IF(AB312="",0,IF(AB312="","",INDEX(시장분석!$AN:$AN,AB312)))</f>
        <v>0</v>
      </c>
      <c r="AU312" s="94" t="n">
        <f aca="false">IF(ISNUMBER(Z312),AT312/10000*MAX(Z312-1,0)*AA312*1000000,0)</f>
        <v>0</v>
      </c>
      <c r="AV312" s="94" t="n">
        <f aca="false">AO312+AU312</f>
        <v>209146.408330693</v>
      </c>
      <c r="AW312" s="43" t="str">
        <f aca="false">IF(Q312&lt;&gt;1,"",TRIM(IF(AD312=1,"FRN ","")&amp;IF(AND(AL312&gt;=10,AL312&lt;99),"BBB0미만 ","")&amp;IF(AJ312="","등급없음 ","")&amp;IF(K312&lt;&gt;1,"비USD ","")&amp;IF(AND(AB312="",Y312=0),"시장데이터없음 ","")&amp;IF(AND(ISNUMBER(U312),U312&lt;0),"만기경과 ","")))</f>
        <v>비USD</v>
      </c>
      <c r="AX312" s="90" t="n">
        <f aca="false">IF(Q312&lt;&gt;1,1,IF(스프레드쇼크!$C$4="Y",INDEX(스프레드쇼크!$B$12:$L$16,IFERROR(MATCH(AH312,스프레드쇼크!$A$12:$A$16,0),MATCH("목록외",스프레드쇼크!$A$12:$A$16,0)),IFERROR(MATCH(AG312,스프레드쇼크!$B$11:$L$11,0),MATCH("목록외",스프레드쇼크!$B$11:$L$11,0))),1))</f>
        <v>1</v>
      </c>
      <c r="AY312" s="90" t="n">
        <f aca="false">IF(스프레드쇼크!$C$5="Y",IF(ISNUMBER(AF312),MIN(스프레드쇼크!$C$7,MAX(스프레드쇼크!$C$6,AF312/스프레드쇼크!$C$8)),1),1)</f>
        <v>1.31814732097443</v>
      </c>
      <c r="AZ312" s="94" t="n">
        <f aca="false">AN312*AX312*AY312</f>
        <v>1679.80505751125</v>
      </c>
      <c r="BA312" s="90" t="n">
        <f aca="false">IF(ISNUMBER(G312),AA312*G312,0)</f>
        <v>20.9146408330693</v>
      </c>
      <c r="BB312" s="90" t="n">
        <f aca="false">IF(ISNUMBER(G312),AA312,0)</f>
        <v>5.3425909605</v>
      </c>
      <c r="BC312" s="90" t="n">
        <f aca="false">IF(AND(Y312=0,ISNUMBER(AF312)),AA312*AF312,0)</f>
        <v>465.596117025654</v>
      </c>
      <c r="BD312" s="90" t="n">
        <f aca="false">IF(AND(Y312=0,ISNUMBER(AF312)),AA312,0)</f>
        <v>5.3425909605</v>
      </c>
      <c r="BE312" s="90" t="n">
        <f aca="false">IF(ISNUMBER(H312),AA312*H312,0)</f>
        <v>12.7436822180806</v>
      </c>
      <c r="BF312" s="90" t="n">
        <f aca="false">IF(ISNUMBER(H312),AA312,0)</f>
        <v>5.3425909605</v>
      </c>
      <c r="BG312" s="90" t="n">
        <f aca="false">IF(AND(Y312=0,ISNUMBER(AF312),ISNUMBER(Z312)),AA312*Z312,0)</f>
        <v>12.7436822180806</v>
      </c>
      <c r="BH312" s="90" t="n">
        <f aca="false">IF(AND(Y312=0,ISNUMBER(AF312),ISNUMBER(Z312)),AA312*AT312*MAX(Z312-1,0),0)</f>
        <v>0</v>
      </c>
      <c r="BI312" s="90" t="n">
        <f aca="false">IF(Y312=0,AA312,0)</f>
        <v>5.3425909605</v>
      </c>
    </row>
    <row r="313" customFormat="false" ht="15" hidden="false" customHeight="false" outlineLevel="0" collapsed="false">
      <c r="A313" s="83" t="str">
        <f aca="false">IFERROR(IF(INDEX(원자료_잔고!$A$1:$EZ$1500,설정!$L$5+ROW()-1,설정!$L$8)&amp;""="0","",INDEX(원자료_잔고!$A$1:$EZ$1500,설정!$L$5+ROW()-1,설정!$L$8)&amp;""),"")</f>
        <v>WFC 2.766 07/23/29</v>
      </c>
      <c r="B313" s="83" t="str">
        <f aca="false">IFERROR(IF(INDEX(원자료_잔고!$A$1:$EZ$1500,설정!$L$5+ROW()-1,설정!$L$7)&amp;""="0","",INDEX(원자료_잔고!$A$1:$EZ$1500,설정!$L$5+ROW()-1,설정!$L$7)&amp;""),"")</f>
        <v>XS3127996778</v>
      </c>
      <c r="C313" s="83" t="str">
        <f aca="false">IFERROR(IF(INDEX(원자료_잔고!$A$1:$EZ$1500,설정!$L$5+ROW()-1,설정!$L$9)&amp;""="0","",INDEX(원자료_잔고!$A$1:$EZ$1500,설정!$L$5+ROW()-1,설정!$L$9)&amp;""),"")</f>
        <v>38070</v>
      </c>
      <c r="D31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13" s="84" t="n">
        <f aca="false">IFERROR(IF(ISNUMBER(INDEX(원자료_잔고!$A$1:$EZ$1500,설정!$L$5+ROW()-1,설정!$L$11)),INDEX(원자료_잔고!$A$1:$EZ$1500,설정!$L$5+ROW()-1,설정!$L$11),""),"")</f>
        <v>500000</v>
      </c>
      <c r="F313" s="85" t="n">
        <f aca="false">IFERROR(IF(ISNUMBER(INDEX(원자료_잔고!$A$1:$EZ$1500,설정!$L$5+ROW()-1,설정!$L$12)),INDEX(원자료_잔고!$A$1:$EZ$1500,설정!$L$5+ROW()-1,설정!$L$12),""),"")</f>
        <v>97.9581</v>
      </c>
      <c r="G313" s="85" t="n">
        <f aca="false">IFERROR(IF(ISNUMBER(INDEX(원자료_잔고!$A$1:$EZ$1500,설정!$L$5+ROW()-1,설정!$L$13)),INDEX(원자료_잔고!$A$1:$EZ$1500,설정!$L$5+ROW()-1,설정!$L$13),""),"")</f>
        <v>3.8185</v>
      </c>
      <c r="H313" s="85" t="n">
        <f aca="false">IFERROR(IF(ISNUMBER(INDEX(원자료_잔고!$A$1:$EZ$1500,설정!$L$5+ROW()-1,설정!$L$14)),INDEX(원자료_잔고!$A$1:$EZ$1500,설정!$L$5+ROW()-1,설정!$L$14),""),"")</f>
        <v>1.6927</v>
      </c>
      <c r="I313" s="86" t="n">
        <f aca="false">IFERROR(IF(ISNUMBER(INDEX(원자료_잔고!$A$1:$EZ$1500,설정!$L$5+ROW()-1,설정!$L$15)),INDEX(원자료_잔고!$A$1:$EZ$1500,설정!$L$5+ROW()-1,설정!$L$15),""),"")</f>
        <v>47322</v>
      </c>
      <c r="J313" s="85" t="n">
        <f aca="false">IFERROR(IF(ISNUMBER(INDEX(원자료_잔고!$A$1:$EZ$1500,설정!$L$5+ROW()-1,설정!$L$16)),INDEX(원자료_잔고!$A$1:$EZ$1500,설정!$L$5+ROW()-1,설정!$L$16),""),"")</f>
        <v>2.766</v>
      </c>
      <c r="K313" s="87" t="n">
        <f aca="false">IFERROR(IF(ISNUMBER(INDEX(원자료_잔고!$A$1:$EZ$1500,설정!$L$5+ROW()-1,설정!$L$17)),INDEX(원자료_잔고!$A$1:$EZ$1500,설정!$L$5+ROW()-1,설정!$L$17),""),"")</f>
        <v>1.1339</v>
      </c>
      <c r="L313" s="84" t="n">
        <f aca="false">IFERROR(IF(ISNUMBER(INDEX(원자료_잔고!$A$1:$EZ$1500,설정!$L$5+ROW()-1,설정!$L$18)),INDEX(원자료_잔고!$A$1:$EZ$1500,설정!$L$5+ROW()-1,설정!$L$18),""),"")</f>
        <v>489790.5</v>
      </c>
      <c r="M313" s="88" t="n">
        <f aca="false">IFERROR(IF(ISNUMBER(INDEX(원자료_잔고!$A$1:$EZ$1500,설정!$L$5+ROW()-1,설정!$L$19)),INDEX(원자료_잔고!$A$1:$EZ$1500,설정!$L$5+ROW()-1,설정!$L$19),""),"")</f>
        <v>-8530.5</v>
      </c>
      <c r="N313" s="83" t="str">
        <f aca="false">IFERROR(IF(INDEX(원자료_잔고!$A$1:$EZ$1500,설정!$L$5+ROW()-1,설정!$L$21)&amp;""="0","",INDEX(원자료_잔고!$A$1:$EZ$1500,설정!$L$5+ROW()-1,설정!$L$21)&amp;""),"")</f>
        <v>A-</v>
      </c>
      <c r="O313" s="83" t="str">
        <f aca="false">IFERROR(IF(INDEX(원자료_잔고!$A$1:$EZ$1500,설정!$L$5+ROW()-1,설정!$L$22)&amp;""="0","",INDEX(원자료_잔고!$A$1:$EZ$1500,설정!$L$5+ROW()-1,설정!$L$22)&amp;""),"")</f>
        <v/>
      </c>
      <c r="P313" s="83" t="str">
        <f aca="false">IFERROR(IF(INDEX(원자료_잔고!$A$1:$EZ$1500,설정!$L$5+ROW()-1,설정!$L$23)&amp;""="0","",INDEX(원자료_잔고!$A$1:$EZ$1500,설정!$L$5+ROW()-1,설정!$L$23)&amp;""),"")</f>
        <v>A+</v>
      </c>
      <c r="Q313" s="89" t="n">
        <f aca="false">IF(AND($A313&lt;&gt;"",ISNUMBER(E313)),IF(E313&gt;0,1,0),0)</f>
        <v>1</v>
      </c>
      <c r="R313" s="43" t="str">
        <f aca="false">IF(Q313=1,UPPER(LEFT($A313,FIND(" ",$A313&amp;" ")-1)),"")</f>
        <v>WFC</v>
      </c>
      <c r="S313" s="89" t="n">
        <f aca="false">IF(Q313=1,IF(OR(ISNUMBER(SEARCH("Float",$A313)),ISNUMBER(SEARCH("FRN",$A313))),1,0),0)</f>
        <v>0</v>
      </c>
      <c r="T313" s="43" t="str">
        <f aca="false">IF(AND(Q313=1,ISNUMBER(I313)),TEXT(I313,"yyyymmdd")&amp;"|"&amp;IF(S313=1,"F",TEXT(J313,"0.000")),"")</f>
        <v>20290723|2.766</v>
      </c>
      <c r="U313" s="90" t="n">
        <f aca="false">IF(AND(Q313=1,ISNUMBER(I313)),(I313-설정!$C$4)/365.25,"")</f>
        <v>2.80903490759754</v>
      </c>
      <c r="V313" s="43" t="str">
        <f aca="false">IF(Q313&lt;&gt;1,"",IF(ISNUMBER(U313),IF(U313&lt;=1,"1년 이하",IF(U313&lt;=2,"1-2년",IF(U313&lt;=3,"2-3년",IF(U313&lt;=4,"3-4년",IF(U313&lt;=5,"4-5년",IF(U313&lt;=7,"5-7년",IF(U313&lt;=10,"7-10년",IF(U313&lt;=20,"10-20년","20년 이상")))))))),"미분류"))</f>
        <v>2-3년</v>
      </c>
      <c r="W313" s="43" t="str">
        <f aca="false">IF(Q313&lt;&gt;1,"",IF(AB313&lt;&gt;"",INDEX(시장분석!$C:$C,AB313),IF(K313=1,"USD","비USD")))</f>
        <v>EUR</v>
      </c>
      <c r="X313" s="91" t="n">
        <f aca="false">IF(Q313=1,E313*K313/1000000,0)</f>
        <v>0.56695</v>
      </c>
      <c r="Y313" s="89" t="n">
        <f aca="false">IF(R313="T",1,0)</f>
        <v>0</v>
      </c>
      <c r="Z313" s="92" t="n">
        <f aca="false">IF(Q313&lt;&gt;1,"",IF(AD313=1,IF(ISNUMBER(U313),MAX(U313,0),H313),H313))</f>
        <v>1.6927</v>
      </c>
      <c r="AA313" s="91" t="n">
        <f aca="false">IF(Q313=1,IF(ISNUMBER(L313),L313,0)*K313/1000000,0)</f>
        <v>0.55537344795</v>
      </c>
      <c r="AB313" s="89" t="n">
        <f aca="false">IF(Q313&lt;&gt;1,"",IFERROR(MATCH(VLOOKUP(B313,매핑!$H$4:$I$15,2,0),시장분석!$A$2:$A$601,0)+1,IFERROR(MATCH(R313&amp;"|"&amp;T313,시장분석!$V$2:$V$601,0)+1,IF(COUNTIF(시장분석!$U$2:$U$601,T313)=1,MATCH(T313,시장분석!$U$2:$U$601,0)+1,""))))</f>
        <v>247</v>
      </c>
      <c r="AC313" s="89" t="n">
        <f aca="false">IF(Q313&lt;&gt;1,0,IF(OR(설정!$C$5="전체",AND(설정!$C$5="선택펀드",IFERROR(COUNTIFS(설정!$F$16:$F$36,C313,설정!$G$16:$G$36,"Y")+COUNTIFS(설정!$F$16:$F$36,VALUE(C313),설정!$G$16:$G$36,"Y"),0)&gt;0),C313&amp;""=설정!$C$5&amp;""),1,0))</f>
        <v>0</v>
      </c>
      <c r="AD313" s="89" t="n">
        <f aca="false">IF(Q313&lt;&gt;1,0,IF(OR(S313=1,IF(AB313="",FALSE(),INDEX(시장분석!$R:$R,AB313)=1)),1,0))</f>
        <v>0</v>
      </c>
      <c r="AE313" s="43" t="str">
        <f aca="false">IF(AB313="","",INDEX(시장분석!$A:$A,AB313))</f>
        <v>WFC 2.766 07/23/29</v>
      </c>
      <c r="AF313" s="93" t="n">
        <f aca="false">IF(AB313="","",IF(ISNUMBER(IF(AB313="","",INDEX(시장분석!$E:$E,AB313))),IF(AB313="","",INDEX(시장분석!$E:$E,AB313)),""))</f>
        <v>73.997</v>
      </c>
      <c r="AG313" s="43" t="str">
        <f aca="false">IF(Q313&lt;&gt;1,"",IF(AB313&lt;&gt;"",IF(AB313="","",INDEX(시장분석!$L:$L,AB313)),IFERROR(IF(VLOOKUP(R313,매핑!$A$4:$E$92,5,0)="","미분류",VLOOKUP(R313,매핑!$A$4:$E$92,5,0)),"미분류")))</f>
        <v>금융기관</v>
      </c>
      <c r="AH313" s="43" t="str">
        <f aca="false">IF(Q313&lt;&gt;1,"",IF(AB313&lt;&gt;"",IF(AB313="","",INDEX(시장분석!$N:$N,AB313)),IFERROR(IF(VLOOKUP(R313,매핑!$A$4:$E$92,4,0)="","미분류",VLOOKUP(R313,매핑!$A$4:$E$92,4,0)),"미분류")))</f>
        <v>미국</v>
      </c>
      <c r="AI313" s="43" t="str">
        <f aca="false">IF(Q313&lt;&gt;1,"",IFERROR(IF(VLOOKUP(R313,매핑!$A$4:$E$92,3,0)="","미분류",VLOOKUP(R313,매핑!$A$4:$E$92,3,0)),IF(AB313&lt;&gt;"",IF(AB313="","",INDEX(시장분석!$W:$W,AB313)),"미분류")))</f>
        <v>미국</v>
      </c>
      <c r="AJ313" s="43" t="str">
        <f aca="false">IF(Q313&lt;&gt;1,"",IFERROR(VLOOKUP(IF(N313&lt;&gt;"",N313,IF(P313&lt;&gt;"",P313,O313)),설정!$A$15:$D$47,2,0),""))</f>
        <v>A-</v>
      </c>
      <c r="AK313" s="43" t="str">
        <f aca="false">IF(Q313&lt;&gt;1,"",IF(AJ313="","무등급",IFERROR(VLOOKUP(AJ313,설정!$A$15:$D$47,3,0),"무등급")))</f>
        <v>A</v>
      </c>
      <c r="AL313" s="89" t="n">
        <f aca="false">IF(AJ313="",99,IFERROR(VLOOKUP(AJ313,설정!$A$15:$D$47,4,0),99))</f>
        <v>7</v>
      </c>
      <c r="AM313" s="94" t="n">
        <f aca="false">IF(ISNUMBER(H313),AA313*1000000*H313/10000,0)</f>
        <v>94.0080635344965</v>
      </c>
      <c r="AN313" s="94" t="n">
        <f aca="false">IF(OR(Y313=1,NOT(ISNUMBER(Z313))),0,AA313*1000000*Z313/10000)</f>
        <v>94.0080635344965</v>
      </c>
      <c r="AO313" s="94" t="n">
        <f aca="false">IF(ISNUMBER(G313),AA313*1000000*G313/100,0)</f>
        <v>21206.9351099707</v>
      </c>
      <c r="AP313" s="94" t="n">
        <f aca="false">IF(ISNUMBER(M313),M313*K313,0)</f>
        <v>-9672.73395</v>
      </c>
      <c r="AQ313" s="95" t="str">
        <f aca="false">IF(AB313="","",INDEX(시장분석!$AK:$AK,AB313))</f>
        <v/>
      </c>
      <c r="AR313" s="43" t="str">
        <f aca="false">IF(AB313="","-",IF(AB313="","",INDEX(시장분석!$AL:$AL,AB313)))</f>
        <v>-</v>
      </c>
      <c r="AS313" s="96" t="str">
        <f aca="false">IF(AB313="","",INDEX(시장분석!$AJ:$AJ,AB313))</f>
        <v/>
      </c>
      <c r="AT313" s="93" t="n">
        <f aca="false">IF(AB313="",0,IF(AB313="","",INDEX(시장분석!$AN:$AN,AB313)))</f>
        <v>0</v>
      </c>
      <c r="AU313" s="94" t="n">
        <f aca="false">IF(ISNUMBER(Z313),AT313/10000*MAX(Z313-1,0)*AA313*1000000,0)</f>
        <v>0</v>
      </c>
      <c r="AV313" s="94" t="n">
        <f aca="false">AO313+AU313</f>
        <v>21206.9351099707</v>
      </c>
      <c r="AW313" s="43" t="str">
        <f aca="false">IF(Q313&lt;&gt;1,"",TRIM(IF(AD313=1,"FRN ","")&amp;IF(AND(AL313&gt;=10,AL313&lt;99),"BBB0미만 ","")&amp;IF(AJ313="","등급없음 ","")&amp;IF(K313&lt;&gt;1,"비USD ","")&amp;IF(AND(AB313="",Y313=0),"시장데이터없음 ","")&amp;IF(AND(ISNUMBER(U313),U313&lt;0),"만기경과 ","")))</f>
        <v>비USD</v>
      </c>
      <c r="AX313" s="90" t="n">
        <f aca="false">IF(Q313&lt;&gt;1,1,IF(스프레드쇼크!$C$4="Y",INDEX(스프레드쇼크!$B$12:$L$16,IFERROR(MATCH(AH313,스프레드쇼크!$A$12:$A$16,0),MATCH("목록외",스프레드쇼크!$A$12:$A$16,0)),IFERROR(MATCH(AG313,스프레드쇼크!$B$11:$L$11,0),MATCH("목록외",스프레드쇼크!$B$11:$L$11,0))),1))</f>
        <v>1</v>
      </c>
      <c r="AY313" s="90" t="n">
        <f aca="false">IF(스프레드쇼크!$C$5="Y",IF(ISNUMBER(AF313),MIN(스프레드쇼크!$C$7,MAX(스프레드쇼크!$C$6,AF313/스프레드쇼크!$C$8)),1),1)</f>
        <v>1.11923334224704</v>
      </c>
      <c r="AZ313" s="94" t="n">
        <f aca="false">AN313*AX313*AY313</f>
        <v>105.216959147887</v>
      </c>
      <c r="BA313" s="90" t="n">
        <f aca="false">IF(ISNUMBER(G313),AA313*G313,0)</f>
        <v>2.12069351099708</v>
      </c>
      <c r="BB313" s="90" t="n">
        <f aca="false">IF(ISNUMBER(G313),AA313,0)</f>
        <v>0.55537344795</v>
      </c>
      <c r="BC313" s="90" t="n">
        <f aca="false">IF(AND(Y313=0,ISNUMBER(AF313)),AA313*AF313,0)</f>
        <v>41.0959690279562</v>
      </c>
      <c r="BD313" s="90" t="n">
        <f aca="false">IF(AND(Y313=0,ISNUMBER(AF313)),AA313,0)</f>
        <v>0.55537344795</v>
      </c>
      <c r="BE313" s="90" t="n">
        <f aca="false">IF(ISNUMBER(H313),AA313*H313,0)</f>
        <v>0.940080635344965</v>
      </c>
      <c r="BF313" s="90" t="n">
        <f aca="false">IF(ISNUMBER(H313),AA313,0)</f>
        <v>0.55537344795</v>
      </c>
      <c r="BG313" s="90" t="n">
        <f aca="false">IF(AND(Y313=0,ISNUMBER(AF313),ISNUMBER(Z313)),AA313*Z313,0)</f>
        <v>0.940080635344965</v>
      </c>
      <c r="BH313" s="90" t="n">
        <f aca="false">IF(AND(Y313=0,ISNUMBER(AF313),ISNUMBER(Z313)),AA313*AT313*MAX(Z313-1,0),0)</f>
        <v>0</v>
      </c>
      <c r="BI313" s="90" t="n">
        <f aca="false">IF(Y313=0,AA313,0)</f>
        <v>0.55537344795</v>
      </c>
    </row>
    <row r="314" customFormat="false" ht="15" hidden="false" customHeight="false" outlineLevel="0" collapsed="false">
      <c r="A314" s="83" t="str">
        <f aca="false">IFERROR(IF(INDEX(원자료_잔고!$A$1:$EZ$1500,설정!$L$5+ROW()-1,설정!$L$8)&amp;""="0","",INDEX(원자료_잔고!$A$1:$EZ$1500,설정!$L$5+ROW()-1,설정!$L$8)&amp;""),"")</f>
        <v>WFC 2.766 07/23/29</v>
      </c>
      <c r="B314" s="83" t="str">
        <f aca="false">IFERROR(IF(INDEX(원자료_잔고!$A$1:$EZ$1500,설정!$L$5+ROW()-1,설정!$L$7)&amp;""="0","",INDEX(원자료_잔고!$A$1:$EZ$1500,설정!$L$5+ROW()-1,설정!$L$7)&amp;""),"")</f>
        <v>XS3127996778</v>
      </c>
      <c r="C314" s="83" t="str">
        <f aca="false">IFERROR(IF(INDEX(원자료_잔고!$A$1:$EZ$1500,설정!$L$5+ROW()-1,설정!$L$9)&amp;""="0","",INDEX(원자료_잔고!$A$1:$EZ$1500,설정!$L$5+ROW()-1,설정!$L$9)&amp;""),"")</f>
        <v>38070</v>
      </c>
      <c r="D31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14" s="84" t="n">
        <f aca="false">IFERROR(IF(ISNUMBER(INDEX(원자료_잔고!$A$1:$EZ$1500,설정!$L$5+ROW()-1,설정!$L$11)),INDEX(원자료_잔고!$A$1:$EZ$1500,설정!$L$5+ROW()-1,설정!$L$11),""),"")</f>
        <v>500000</v>
      </c>
      <c r="F314" s="85" t="n">
        <f aca="false">IFERROR(IF(ISNUMBER(INDEX(원자료_잔고!$A$1:$EZ$1500,설정!$L$5+ROW()-1,설정!$L$12)),INDEX(원자료_잔고!$A$1:$EZ$1500,설정!$L$5+ROW()-1,설정!$L$12),""),"")</f>
        <v>97.9581</v>
      </c>
      <c r="G314" s="85" t="n">
        <f aca="false">IFERROR(IF(ISNUMBER(INDEX(원자료_잔고!$A$1:$EZ$1500,설정!$L$5+ROW()-1,설정!$L$13)),INDEX(원자료_잔고!$A$1:$EZ$1500,설정!$L$5+ROW()-1,설정!$L$13),""),"")</f>
        <v>3.8185</v>
      </c>
      <c r="H314" s="85" t="n">
        <f aca="false">IFERROR(IF(ISNUMBER(INDEX(원자료_잔고!$A$1:$EZ$1500,설정!$L$5+ROW()-1,설정!$L$14)),INDEX(원자료_잔고!$A$1:$EZ$1500,설정!$L$5+ROW()-1,설정!$L$14),""),"")</f>
        <v>1.6927</v>
      </c>
      <c r="I314" s="86" t="n">
        <f aca="false">IFERROR(IF(ISNUMBER(INDEX(원자료_잔고!$A$1:$EZ$1500,설정!$L$5+ROW()-1,설정!$L$15)),INDEX(원자료_잔고!$A$1:$EZ$1500,설정!$L$5+ROW()-1,설정!$L$15),""),"")</f>
        <v>47322</v>
      </c>
      <c r="J314" s="85" t="n">
        <f aca="false">IFERROR(IF(ISNUMBER(INDEX(원자료_잔고!$A$1:$EZ$1500,설정!$L$5+ROW()-1,설정!$L$16)),INDEX(원자료_잔고!$A$1:$EZ$1500,설정!$L$5+ROW()-1,설정!$L$16),""),"")</f>
        <v>2.766</v>
      </c>
      <c r="K314" s="87" t="n">
        <f aca="false">IFERROR(IF(ISNUMBER(INDEX(원자료_잔고!$A$1:$EZ$1500,설정!$L$5+ROW()-1,설정!$L$17)),INDEX(원자료_잔고!$A$1:$EZ$1500,설정!$L$5+ROW()-1,설정!$L$17),""),"")</f>
        <v>1.1339</v>
      </c>
      <c r="L314" s="84" t="n">
        <f aca="false">IFERROR(IF(ISNUMBER(INDEX(원자료_잔고!$A$1:$EZ$1500,설정!$L$5+ROW()-1,설정!$L$18)),INDEX(원자료_잔고!$A$1:$EZ$1500,설정!$L$5+ROW()-1,설정!$L$18),""),"")</f>
        <v>489790.5</v>
      </c>
      <c r="M314" s="88" t="n">
        <f aca="false">IFERROR(IF(ISNUMBER(INDEX(원자료_잔고!$A$1:$EZ$1500,설정!$L$5+ROW()-1,설정!$L$19)),INDEX(원자료_잔고!$A$1:$EZ$1500,설정!$L$5+ROW()-1,설정!$L$19),""),"")</f>
        <v>-8530.5</v>
      </c>
      <c r="N314" s="83" t="str">
        <f aca="false">IFERROR(IF(INDEX(원자료_잔고!$A$1:$EZ$1500,설정!$L$5+ROW()-1,설정!$L$21)&amp;""="0","",INDEX(원자료_잔고!$A$1:$EZ$1500,설정!$L$5+ROW()-1,설정!$L$21)&amp;""),"")</f>
        <v>A-</v>
      </c>
      <c r="O314" s="83" t="str">
        <f aca="false">IFERROR(IF(INDEX(원자료_잔고!$A$1:$EZ$1500,설정!$L$5+ROW()-1,설정!$L$22)&amp;""="0","",INDEX(원자료_잔고!$A$1:$EZ$1500,설정!$L$5+ROW()-1,설정!$L$22)&amp;""),"")</f>
        <v/>
      </c>
      <c r="P314" s="83" t="str">
        <f aca="false">IFERROR(IF(INDEX(원자료_잔고!$A$1:$EZ$1500,설정!$L$5+ROW()-1,설정!$L$23)&amp;""="0","",INDEX(원자료_잔고!$A$1:$EZ$1500,설정!$L$5+ROW()-1,설정!$L$23)&amp;""),"")</f>
        <v>A+</v>
      </c>
      <c r="Q314" s="89" t="n">
        <f aca="false">IF(AND($A314&lt;&gt;"",ISNUMBER(E314)),IF(E314&gt;0,1,0),0)</f>
        <v>1</v>
      </c>
      <c r="R314" s="43" t="str">
        <f aca="false">IF(Q314=1,UPPER(LEFT($A314,FIND(" ",$A314&amp;" ")-1)),"")</f>
        <v>WFC</v>
      </c>
      <c r="S314" s="89" t="n">
        <f aca="false">IF(Q314=1,IF(OR(ISNUMBER(SEARCH("Float",$A314)),ISNUMBER(SEARCH("FRN",$A314))),1,0),0)</f>
        <v>0</v>
      </c>
      <c r="T314" s="43" t="str">
        <f aca="false">IF(AND(Q314=1,ISNUMBER(I314)),TEXT(I314,"yyyymmdd")&amp;"|"&amp;IF(S314=1,"F",TEXT(J314,"0.000")),"")</f>
        <v>20290723|2.766</v>
      </c>
      <c r="U314" s="90" t="n">
        <f aca="false">IF(AND(Q314=1,ISNUMBER(I314)),(I314-설정!$C$4)/365.25,"")</f>
        <v>2.80903490759754</v>
      </c>
      <c r="V314" s="43" t="str">
        <f aca="false">IF(Q314&lt;&gt;1,"",IF(ISNUMBER(U314),IF(U314&lt;=1,"1년 이하",IF(U314&lt;=2,"1-2년",IF(U314&lt;=3,"2-3년",IF(U314&lt;=4,"3-4년",IF(U314&lt;=5,"4-5년",IF(U314&lt;=7,"5-7년",IF(U314&lt;=10,"7-10년",IF(U314&lt;=20,"10-20년","20년 이상")))))))),"미분류"))</f>
        <v>2-3년</v>
      </c>
      <c r="W314" s="43" t="str">
        <f aca="false">IF(Q314&lt;&gt;1,"",IF(AB314&lt;&gt;"",INDEX(시장분석!$C:$C,AB314),IF(K314=1,"USD","비USD")))</f>
        <v>EUR</v>
      </c>
      <c r="X314" s="91" t="n">
        <f aca="false">IF(Q314=1,E314*K314/1000000,0)</f>
        <v>0.56695</v>
      </c>
      <c r="Y314" s="89" t="n">
        <f aca="false">IF(R314="T",1,0)</f>
        <v>0</v>
      </c>
      <c r="Z314" s="92" t="n">
        <f aca="false">IF(Q314&lt;&gt;1,"",IF(AD314=1,IF(ISNUMBER(U314),MAX(U314,0),H314),H314))</f>
        <v>1.6927</v>
      </c>
      <c r="AA314" s="91" t="n">
        <f aca="false">IF(Q314=1,IF(ISNUMBER(L314),L314,0)*K314/1000000,0)</f>
        <v>0.55537344795</v>
      </c>
      <c r="AB314" s="89" t="n">
        <f aca="false">IF(Q314&lt;&gt;1,"",IFERROR(MATCH(VLOOKUP(B314,매핑!$H$4:$I$15,2,0),시장분석!$A$2:$A$601,0)+1,IFERROR(MATCH(R314&amp;"|"&amp;T314,시장분석!$V$2:$V$601,0)+1,IF(COUNTIF(시장분석!$U$2:$U$601,T314)=1,MATCH(T314,시장분석!$U$2:$U$601,0)+1,""))))</f>
        <v>247</v>
      </c>
      <c r="AC314" s="89" t="n">
        <f aca="false">IF(Q314&lt;&gt;1,0,IF(OR(설정!$C$5="전체",AND(설정!$C$5="선택펀드",IFERROR(COUNTIFS(설정!$F$16:$F$36,C314,설정!$G$16:$G$36,"Y")+COUNTIFS(설정!$F$16:$F$36,VALUE(C314),설정!$G$16:$G$36,"Y"),0)&gt;0),C314&amp;""=설정!$C$5&amp;""),1,0))</f>
        <v>0</v>
      </c>
      <c r="AD314" s="89" t="n">
        <f aca="false">IF(Q314&lt;&gt;1,0,IF(OR(S314=1,IF(AB314="",FALSE(),INDEX(시장분석!$R:$R,AB314)=1)),1,0))</f>
        <v>0</v>
      </c>
      <c r="AE314" s="43" t="str">
        <f aca="false">IF(AB314="","",INDEX(시장분석!$A:$A,AB314))</f>
        <v>WFC 2.766 07/23/29</v>
      </c>
      <c r="AF314" s="93" t="n">
        <f aca="false">IF(AB314="","",IF(ISNUMBER(IF(AB314="","",INDEX(시장분석!$E:$E,AB314))),IF(AB314="","",INDEX(시장분석!$E:$E,AB314)),""))</f>
        <v>73.997</v>
      </c>
      <c r="AG314" s="43" t="str">
        <f aca="false">IF(Q314&lt;&gt;1,"",IF(AB314&lt;&gt;"",IF(AB314="","",INDEX(시장분석!$L:$L,AB314)),IFERROR(IF(VLOOKUP(R314,매핑!$A$4:$E$92,5,0)="","미분류",VLOOKUP(R314,매핑!$A$4:$E$92,5,0)),"미분류")))</f>
        <v>금융기관</v>
      </c>
      <c r="AH314" s="43" t="str">
        <f aca="false">IF(Q314&lt;&gt;1,"",IF(AB314&lt;&gt;"",IF(AB314="","",INDEX(시장분석!$N:$N,AB314)),IFERROR(IF(VLOOKUP(R314,매핑!$A$4:$E$92,4,0)="","미분류",VLOOKUP(R314,매핑!$A$4:$E$92,4,0)),"미분류")))</f>
        <v>미국</v>
      </c>
      <c r="AI314" s="43" t="str">
        <f aca="false">IF(Q314&lt;&gt;1,"",IFERROR(IF(VLOOKUP(R314,매핑!$A$4:$E$92,3,0)="","미분류",VLOOKUP(R314,매핑!$A$4:$E$92,3,0)),IF(AB314&lt;&gt;"",IF(AB314="","",INDEX(시장분석!$W:$W,AB314)),"미분류")))</f>
        <v>미국</v>
      </c>
      <c r="AJ314" s="43" t="str">
        <f aca="false">IF(Q314&lt;&gt;1,"",IFERROR(VLOOKUP(IF(N314&lt;&gt;"",N314,IF(P314&lt;&gt;"",P314,O314)),설정!$A$15:$D$47,2,0),""))</f>
        <v>A-</v>
      </c>
      <c r="AK314" s="43" t="str">
        <f aca="false">IF(Q314&lt;&gt;1,"",IF(AJ314="","무등급",IFERROR(VLOOKUP(AJ314,설정!$A$15:$D$47,3,0),"무등급")))</f>
        <v>A</v>
      </c>
      <c r="AL314" s="89" t="n">
        <f aca="false">IF(AJ314="",99,IFERROR(VLOOKUP(AJ314,설정!$A$15:$D$47,4,0),99))</f>
        <v>7</v>
      </c>
      <c r="AM314" s="94" t="n">
        <f aca="false">IF(ISNUMBER(H314),AA314*1000000*H314/10000,0)</f>
        <v>94.0080635344965</v>
      </c>
      <c r="AN314" s="94" t="n">
        <f aca="false">IF(OR(Y314=1,NOT(ISNUMBER(Z314))),0,AA314*1000000*Z314/10000)</f>
        <v>94.0080635344965</v>
      </c>
      <c r="AO314" s="94" t="n">
        <f aca="false">IF(ISNUMBER(G314),AA314*1000000*G314/100,0)</f>
        <v>21206.9351099707</v>
      </c>
      <c r="AP314" s="94" t="n">
        <f aca="false">IF(ISNUMBER(M314),M314*K314,0)</f>
        <v>-9672.73395</v>
      </c>
      <c r="AQ314" s="95" t="str">
        <f aca="false">IF(AB314="","",INDEX(시장분석!$AK:$AK,AB314))</f>
        <v/>
      </c>
      <c r="AR314" s="43" t="str">
        <f aca="false">IF(AB314="","-",IF(AB314="","",INDEX(시장분석!$AL:$AL,AB314)))</f>
        <v>-</v>
      </c>
      <c r="AS314" s="96" t="str">
        <f aca="false">IF(AB314="","",INDEX(시장분석!$AJ:$AJ,AB314))</f>
        <v/>
      </c>
      <c r="AT314" s="93" t="n">
        <f aca="false">IF(AB314="",0,IF(AB314="","",INDEX(시장분석!$AN:$AN,AB314)))</f>
        <v>0</v>
      </c>
      <c r="AU314" s="94" t="n">
        <f aca="false">IF(ISNUMBER(Z314),AT314/10000*MAX(Z314-1,0)*AA314*1000000,0)</f>
        <v>0</v>
      </c>
      <c r="AV314" s="94" t="n">
        <f aca="false">AO314+AU314</f>
        <v>21206.9351099707</v>
      </c>
      <c r="AW314" s="43" t="str">
        <f aca="false">IF(Q314&lt;&gt;1,"",TRIM(IF(AD314=1,"FRN ","")&amp;IF(AND(AL314&gt;=10,AL314&lt;99),"BBB0미만 ","")&amp;IF(AJ314="","등급없음 ","")&amp;IF(K314&lt;&gt;1,"비USD ","")&amp;IF(AND(AB314="",Y314=0),"시장데이터없음 ","")&amp;IF(AND(ISNUMBER(U314),U314&lt;0),"만기경과 ","")))</f>
        <v>비USD</v>
      </c>
      <c r="AX314" s="90" t="n">
        <f aca="false">IF(Q314&lt;&gt;1,1,IF(스프레드쇼크!$C$4="Y",INDEX(스프레드쇼크!$B$12:$L$16,IFERROR(MATCH(AH314,스프레드쇼크!$A$12:$A$16,0),MATCH("목록외",스프레드쇼크!$A$12:$A$16,0)),IFERROR(MATCH(AG314,스프레드쇼크!$B$11:$L$11,0),MATCH("목록외",스프레드쇼크!$B$11:$L$11,0))),1))</f>
        <v>1</v>
      </c>
      <c r="AY314" s="90" t="n">
        <f aca="false">IF(스프레드쇼크!$C$5="Y",IF(ISNUMBER(AF314),MIN(스프레드쇼크!$C$7,MAX(스프레드쇼크!$C$6,AF314/스프레드쇼크!$C$8)),1),1)</f>
        <v>1.11923334224704</v>
      </c>
      <c r="AZ314" s="94" t="n">
        <f aca="false">AN314*AX314*AY314</f>
        <v>105.216959147887</v>
      </c>
      <c r="BA314" s="90" t="n">
        <f aca="false">IF(ISNUMBER(G314),AA314*G314,0)</f>
        <v>2.12069351099708</v>
      </c>
      <c r="BB314" s="90" t="n">
        <f aca="false">IF(ISNUMBER(G314),AA314,0)</f>
        <v>0.55537344795</v>
      </c>
      <c r="BC314" s="90" t="n">
        <f aca="false">IF(AND(Y314=0,ISNUMBER(AF314)),AA314*AF314,0)</f>
        <v>41.0959690279562</v>
      </c>
      <c r="BD314" s="90" t="n">
        <f aca="false">IF(AND(Y314=0,ISNUMBER(AF314)),AA314,0)</f>
        <v>0.55537344795</v>
      </c>
      <c r="BE314" s="90" t="n">
        <f aca="false">IF(ISNUMBER(H314),AA314*H314,0)</f>
        <v>0.940080635344965</v>
      </c>
      <c r="BF314" s="90" t="n">
        <f aca="false">IF(ISNUMBER(H314),AA314,0)</f>
        <v>0.55537344795</v>
      </c>
      <c r="BG314" s="90" t="n">
        <f aca="false">IF(AND(Y314=0,ISNUMBER(AF314),ISNUMBER(Z314)),AA314*Z314,0)</f>
        <v>0.940080635344965</v>
      </c>
      <c r="BH314" s="90" t="n">
        <f aca="false">IF(AND(Y314=0,ISNUMBER(AF314),ISNUMBER(Z314)),AA314*AT314*MAX(Z314-1,0),0)</f>
        <v>0</v>
      </c>
      <c r="BI314" s="90" t="n">
        <f aca="false">IF(Y314=0,AA314,0)</f>
        <v>0.55537344795</v>
      </c>
    </row>
    <row r="315" customFormat="false" ht="15" hidden="false" customHeight="false" outlineLevel="0" collapsed="false">
      <c r="A315" s="83" t="str">
        <f aca="false">IFERROR(IF(INDEX(원자료_잔고!$A$1:$EZ$1500,설정!$L$5+ROW()-1,설정!$L$8)&amp;""="0","",INDEX(원자료_잔고!$A$1:$EZ$1500,설정!$L$5+ROW()-1,설정!$L$8)&amp;""),"")</f>
        <v>BACR 5.367 02/25/31</v>
      </c>
      <c r="B315" s="83" t="str">
        <f aca="false">IFERROR(IF(INDEX(원자료_잔고!$A$1:$EZ$1500,설정!$L$5+ROW()-1,설정!$L$7)&amp;""="0","",INDEX(원자료_잔고!$A$1:$EZ$1500,설정!$L$5+ROW()-1,설정!$L$7)&amp;""),"")</f>
        <v>US06738ECY95</v>
      </c>
      <c r="C315" s="83" t="str">
        <f aca="false">IFERROR(IF(INDEX(원자료_잔고!$A$1:$EZ$1500,설정!$L$5+ROW()-1,설정!$L$9)&amp;""="0","",INDEX(원자료_잔고!$A$1:$EZ$1500,설정!$L$5+ROW()-1,설정!$L$9)&amp;""),"")</f>
        <v>38088</v>
      </c>
      <c r="D315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15" s="84" t="n">
        <f aca="false">IFERROR(IF(ISNUMBER(INDEX(원자료_잔고!$A$1:$EZ$1500,설정!$L$5+ROW()-1,설정!$L$11)),INDEX(원자료_잔고!$A$1:$EZ$1500,설정!$L$5+ROW()-1,설정!$L$11),""),"")</f>
        <v>15000000</v>
      </c>
      <c r="F315" s="85" t="n">
        <f aca="false">IFERROR(IF(ISNUMBER(INDEX(원자료_잔고!$A$1:$EZ$1500,설정!$L$5+ROW()-1,설정!$L$12)),INDEX(원자료_잔고!$A$1:$EZ$1500,설정!$L$5+ROW()-1,설정!$L$12),""),"")</f>
        <v>98.48</v>
      </c>
      <c r="G315" s="85" t="n">
        <f aca="false">IFERROR(IF(ISNUMBER(INDEX(원자료_잔고!$A$1:$EZ$1500,설정!$L$5+ROW()-1,설정!$L$13)),INDEX(원자료_잔고!$A$1:$EZ$1500,설정!$L$5+ROW()-1,설정!$L$13),""),"")</f>
        <v>5.8265</v>
      </c>
      <c r="H315" s="85" t="n">
        <f aca="false">IFERROR(IF(ISNUMBER(INDEX(원자료_잔고!$A$1:$EZ$1500,설정!$L$5+ROW()-1,설정!$L$14)),INDEX(원자료_잔고!$A$1:$EZ$1500,설정!$L$5+ROW()-1,설정!$L$14),""),"")</f>
        <v>3.0176</v>
      </c>
      <c r="I315" s="86" t="n">
        <f aca="false">IFERROR(IF(ISNUMBER(INDEX(원자료_잔고!$A$1:$EZ$1500,설정!$L$5+ROW()-1,설정!$L$15)),INDEX(원자료_잔고!$A$1:$EZ$1500,설정!$L$5+ROW()-1,설정!$L$15),""),"")</f>
        <v>47904</v>
      </c>
      <c r="J315" s="85" t="n">
        <f aca="false">IFERROR(IF(ISNUMBER(INDEX(원자료_잔고!$A$1:$EZ$1500,설정!$L$5+ROW()-1,설정!$L$16)),INDEX(원자료_잔고!$A$1:$EZ$1500,설정!$L$5+ROW()-1,설정!$L$16),""),"")</f>
        <v>5.367</v>
      </c>
      <c r="K315" s="87" t="n">
        <f aca="false">IFERROR(IF(ISNUMBER(INDEX(원자료_잔고!$A$1:$EZ$1500,설정!$L$5+ROW()-1,설정!$L$17)),INDEX(원자료_잔고!$A$1:$EZ$1500,설정!$L$5+ROW()-1,설정!$L$17),""),"")</f>
        <v>1</v>
      </c>
      <c r="L315" s="84" t="n">
        <f aca="false">IFERROR(IF(ISNUMBER(INDEX(원자료_잔고!$A$1:$EZ$1500,설정!$L$5+ROW()-1,설정!$L$18)),INDEX(원자료_잔고!$A$1:$EZ$1500,설정!$L$5+ROW()-1,설정!$L$18),""),"")</f>
        <v>14772000</v>
      </c>
      <c r="M315" s="88" t="n">
        <f aca="false">IFERROR(IF(ISNUMBER(INDEX(원자료_잔고!$A$1:$EZ$1500,설정!$L$5+ROW()-1,설정!$L$19)),INDEX(원자료_잔고!$A$1:$EZ$1500,설정!$L$5+ROW()-1,설정!$L$19),""),"")</f>
        <v>-694009.41</v>
      </c>
      <c r="N315" s="83" t="str">
        <f aca="false">IFERROR(IF(INDEX(원자료_잔고!$A$1:$EZ$1500,설정!$L$5+ROW()-1,설정!$L$21)&amp;""="0","",INDEX(원자료_잔고!$A$1:$EZ$1500,설정!$L$5+ROW()-1,설정!$L$21)&amp;""),"")</f>
        <v>BBB+</v>
      </c>
      <c r="O315" s="83" t="str">
        <f aca="false">IFERROR(IF(INDEX(원자료_잔고!$A$1:$EZ$1500,설정!$L$5+ROW()-1,설정!$L$22)&amp;""="0","",INDEX(원자료_잔고!$A$1:$EZ$1500,설정!$L$5+ROW()-1,설정!$L$22)&amp;""),"")</f>
        <v/>
      </c>
      <c r="P315" s="83" t="str">
        <f aca="false">IFERROR(IF(INDEX(원자료_잔고!$A$1:$EZ$1500,설정!$L$5+ROW()-1,설정!$L$23)&amp;""="0","",INDEX(원자료_잔고!$A$1:$EZ$1500,설정!$L$5+ROW()-1,설정!$L$23)&amp;""),"")</f>
        <v>A</v>
      </c>
      <c r="Q315" s="89" t="n">
        <f aca="false">IF(AND($A315&lt;&gt;"",ISNUMBER(E315)),IF(E315&gt;0,1,0),0)</f>
        <v>1</v>
      </c>
      <c r="R315" s="43" t="str">
        <f aca="false">IF(Q315=1,UPPER(LEFT($A315,FIND(" ",$A315&amp;" ")-1)),"")</f>
        <v>BACR</v>
      </c>
      <c r="S315" s="89" t="n">
        <f aca="false">IF(Q315=1,IF(OR(ISNUMBER(SEARCH("Float",$A315)),ISNUMBER(SEARCH("FRN",$A315))),1,0),0)</f>
        <v>0</v>
      </c>
      <c r="T315" s="43" t="str">
        <f aca="false">IF(AND(Q315=1,ISNUMBER(I315)),TEXT(I315,"yyyymmdd")&amp;"|"&amp;IF(S315=1,"F",TEXT(J315,"0.000")),"")</f>
        <v>20310225|5.367</v>
      </c>
      <c r="U315" s="90" t="n">
        <f aca="false">IF(AND(Q315=1,ISNUMBER(I315)),(I315-설정!$C$4)/365.25,"")</f>
        <v>4.40246406570842</v>
      </c>
      <c r="V315" s="43" t="str">
        <f aca="false">IF(Q315&lt;&gt;1,"",IF(ISNUMBER(U315),IF(U315&lt;=1,"1년 이하",IF(U315&lt;=2,"1-2년",IF(U315&lt;=3,"2-3년",IF(U315&lt;=4,"3-4년",IF(U315&lt;=5,"4-5년",IF(U315&lt;=7,"5-7년",IF(U315&lt;=10,"7-10년",IF(U315&lt;=20,"10-20년","20년 이상")))))))),"미분류"))</f>
        <v>4-5년</v>
      </c>
      <c r="W315" s="43" t="str">
        <f aca="false">IF(Q315&lt;&gt;1,"",IF(AB315&lt;&gt;"",INDEX(시장분석!$C:$C,AB315),IF(K315=1,"USD","비USD")))</f>
        <v>USD</v>
      </c>
      <c r="X315" s="91" t="n">
        <f aca="false">IF(Q315=1,E315*K315/1000000,0)</f>
        <v>15</v>
      </c>
      <c r="Y315" s="89" t="n">
        <f aca="false">IF(R315="T",1,0)</f>
        <v>0</v>
      </c>
      <c r="Z315" s="92" t="n">
        <f aca="false">IF(Q315&lt;&gt;1,"",IF(AD315=1,IF(ISNUMBER(U315),MAX(U315,0),H315),H315))</f>
        <v>3.0176</v>
      </c>
      <c r="AA315" s="91" t="n">
        <f aca="false">IF(Q315=1,IF(ISNUMBER(L315),L315,0)*K315/1000000,0)</f>
        <v>14.772</v>
      </c>
      <c r="AB315" s="89" t="n">
        <f aca="false">IF(Q315&lt;&gt;1,"",IFERROR(MATCH(VLOOKUP(B315,매핑!$H$4:$I$15,2,0),시장분석!$A$2:$A$601,0)+1,IFERROR(MATCH(R315&amp;"|"&amp;T315,시장분석!$V$2:$V$601,0)+1,IF(COUNTIF(시장분석!$U$2:$U$601,T315)=1,MATCH(T315,시장분석!$U$2:$U$601,0)+1,""))))</f>
        <v>19</v>
      </c>
      <c r="AC315" s="89" t="n">
        <f aca="false">IF(Q315&lt;&gt;1,0,IF(OR(설정!$C$5="전체",AND(설정!$C$5="선택펀드",IFERROR(COUNTIFS(설정!$F$16:$F$36,C315,설정!$G$16:$G$36,"Y")+COUNTIFS(설정!$F$16:$F$36,VALUE(C315),설정!$G$16:$G$36,"Y"),0)&gt;0),C315&amp;""=설정!$C$5&amp;""),1,0))</f>
        <v>0</v>
      </c>
      <c r="AD315" s="89" t="n">
        <f aca="false">IF(Q315&lt;&gt;1,0,IF(OR(S315=1,IF(AB315="",FALSE(),INDEX(시장분석!$R:$R,AB315)=1)),1,0))</f>
        <v>0</v>
      </c>
      <c r="AE315" s="43" t="str">
        <f aca="false">IF(AB315="","",INDEX(시장분석!$A:$A,AB315))</f>
        <v>BACR 5.367 02/25/31</v>
      </c>
      <c r="AF315" s="93" t="n">
        <f aca="false">IF(AB315="","",IF(ISNUMBER(IF(AB315="","",INDEX(시장분석!$E:$E,AB315))),IF(AB315="","",INDEX(시장분석!$E:$E,AB315)),""))</f>
        <v>80.036</v>
      </c>
      <c r="AG315" s="43" t="str">
        <f aca="false">IF(Q315&lt;&gt;1,"",IF(AB315&lt;&gt;"",IF(AB315="","",INDEX(시장분석!$L:$L,AB315)),IFERROR(IF(VLOOKUP(R315,매핑!$A$4:$E$92,5,0)="","미분류",VLOOKUP(R315,매핑!$A$4:$E$92,5,0)),"미분류")))</f>
        <v>금융기관</v>
      </c>
      <c r="AH315" s="43" t="str">
        <f aca="false">IF(Q315&lt;&gt;1,"",IF(AB315&lt;&gt;"",IF(AB315="","",INDEX(시장분석!$N:$N,AB315)),IFERROR(IF(VLOOKUP(R315,매핑!$A$4:$E$92,4,0)="","미분류",VLOOKUP(R315,매핑!$A$4:$E$92,4,0)),"미분류")))</f>
        <v>유럽</v>
      </c>
      <c r="AI315" s="43" t="str">
        <f aca="false">IF(Q315&lt;&gt;1,"",IFERROR(IF(VLOOKUP(R315,매핑!$A$4:$E$92,3,0)="","미분류",VLOOKUP(R315,매핑!$A$4:$E$92,3,0)),IF(AB315&lt;&gt;"",IF(AB315="","",INDEX(시장분석!$W:$W,AB315)),"미분류")))</f>
        <v>영국</v>
      </c>
      <c r="AJ315" s="43" t="str">
        <f aca="false">IF(Q315&lt;&gt;1,"",IFERROR(VLOOKUP(IF(N315&lt;&gt;"",N315,IF(P315&lt;&gt;"",P315,O315)),설정!$A$15:$D$47,2,0),""))</f>
        <v>BBB+</v>
      </c>
      <c r="AK315" s="43" t="str">
        <f aca="false">IF(Q315&lt;&gt;1,"",IF(AJ315="","무등급",IFERROR(VLOOKUP(AJ315,설정!$A$15:$D$47,3,0),"무등급")))</f>
        <v>BBB</v>
      </c>
      <c r="AL315" s="89" t="n">
        <f aca="false">IF(AJ315="",99,IFERROR(VLOOKUP(AJ315,설정!$A$15:$D$47,4,0),99))</f>
        <v>8</v>
      </c>
      <c r="AM315" s="94" t="n">
        <f aca="false">IF(ISNUMBER(H315),AA315*1000000*H315/10000,0)</f>
        <v>4457.59872</v>
      </c>
      <c r="AN315" s="94" t="n">
        <f aca="false">IF(OR(Y315=1,NOT(ISNUMBER(Z315))),0,AA315*1000000*Z315/10000)</f>
        <v>4457.59872</v>
      </c>
      <c r="AO315" s="94" t="n">
        <f aca="false">IF(ISNUMBER(G315),AA315*1000000*G315/100,0)</f>
        <v>860690.58</v>
      </c>
      <c r="AP315" s="94" t="n">
        <f aca="false">IF(ISNUMBER(M315),M315*K315,0)</f>
        <v>-694009.41</v>
      </c>
      <c r="AQ315" s="95" t="n">
        <f aca="false">IF(AB315="","",INDEX(시장분석!$AK:$AK,AB315))</f>
        <v>0.159653395833933</v>
      </c>
      <c r="AR315" s="43" t="str">
        <f aca="false">IF(AB315="","-",IF(AB315="","",INDEX(시장분석!$AL:$AL,AB315)))</f>
        <v>Fair</v>
      </c>
      <c r="AS315" s="96" t="n">
        <f aca="false">IF(AB315="","",INDEX(시장분석!$AJ:$AJ,AB315))</f>
        <v>1.75431639108433</v>
      </c>
      <c r="AT315" s="93" t="n">
        <f aca="false">IF(AB315="",0,IF(AB315="","",INDEX(시장분석!$AN:$AN,AB315)))</f>
        <v>11.7625122293172</v>
      </c>
      <c r="AU315" s="94" t="n">
        <f aca="false">IF(ISNUMBER(Z315),AT315/10000*MAX(Z315-1,0)*AA315*1000000,0)</f>
        <v>35056.9763922413</v>
      </c>
      <c r="AV315" s="94" t="n">
        <f aca="false">AO315+AU315</f>
        <v>895747.556392241</v>
      </c>
      <c r="AW315" s="43" t="str">
        <f aca="false">IF(Q315&lt;&gt;1,"",TRIM(IF(AD315=1,"FRN ","")&amp;IF(AND(AL315&gt;=10,AL315&lt;99),"BBB0미만 ","")&amp;IF(AJ315="","등급없음 ","")&amp;IF(K315&lt;&gt;1,"비USD ","")&amp;IF(AND(AB315="",Y315=0),"시장데이터없음 ","")&amp;IF(AND(ISNUMBER(U315),U315&lt;0),"만기경과 ","")))</f>
        <v/>
      </c>
      <c r="AX315" s="90" t="n">
        <f aca="false">IF(Q315&lt;&gt;1,1,IF(스프레드쇼크!$C$4="Y",INDEX(스프레드쇼크!$B$12:$L$16,IFERROR(MATCH(AH315,스프레드쇼크!$A$12:$A$16,0),MATCH("목록외",스프레드쇼크!$A$12:$A$16,0)),IFERROR(MATCH(AG315,스프레드쇼크!$B$11:$L$11,0),MATCH("목록외",스프레드쇼크!$B$11:$L$11,0))),1))</f>
        <v>1</v>
      </c>
      <c r="AY315" s="90" t="n">
        <f aca="false">IF(스프레드쇼크!$C$5="Y",IF(ISNUMBER(AF315),MIN(스프레드쇼크!$C$7,MAX(스프레드쇼크!$C$6,AF315/스프레드쇼크!$C$8)),1),1)</f>
        <v>1.21057556090225</v>
      </c>
      <c r="AZ315" s="94" t="n">
        <f aca="false">AN315*AX315*AY315</f>
        <v>5396.26007074117</v>
      </c>
      <c r="BA315" s="90" t="n">
        <f aca="false">IF(ISNUMBER(G315),AA315*G315,0)</f>
        <v>86.069058</v>
      </c>
      <c r="BB315" s="90" t="n">
        <f aca="false">IF(ISNUMBER(G315),AA315,0)</f>
        <v>14.772</v>
      </c>
      <c r="BC315" s="90" t="n">
        <f aca="false">IF(AND(Y315=0,ISNUMBER(AF315)),AA315*AF315,0)</f>
        <v>1182.291792</v>
      </c>
      <c r="BD315" s="90" t="n">
        <f aca="false">IF(AND(Y315=0,ISNUMBER(AF315)),AA315,0)</f>
        <v>14.772</v>
      </c>
      <c r="BE315" s="90" t="n">
        <f aca="false">IF(ISNUMBER(H315),AA315*H315,0)</f>
        <v>44.5759872</v>
      </c>
      <c r="BF315" s="90" t="n">
        <f aca="false">IF(ISNUMBER(H315),AA315,0)</f>
        <v>14.772</v>
      </c>
      <c r="BG315" s="90" t="n">
        <f aca="false">IF(AND(Y315=0,ISNUMBER(AF315),ISNUMBER(Z315)),AA315*Z315,0)</f>
        <v>44.5759872</v>
      </c>
      <c r="BH315" s="90" t="n">
        <f aca="false">IF(AND(Y315=0,ISNUMBER(AF315),ISNUMBER(Z315)),AA315*AT315*MAX(Z315-1,0),0)</f>
        <v>350.569763922413</v>
      </c>
      <c r="BI315" s="90" t="n">
        <f aca="false">IF(Y315=0,AA315,0)</f>
        <v>14.772</v>
      </c>
    </row>
    <row r="316" customFormat="false" ht="15" hidden="false" customHeight="false" outlineLevel="0" collapsed="false">
      <c r="A316" s="83" t="str">
        <f aca="false">IFERROR(IF(INDEX(원자료_잔고!$A$1:$EZ$1500,설정!$L$5+ROW()-1,설정!$L$8)&amp;""="0","",INDEX(원자료_잔고!$A$1:$EZ$1500,설정!$L$5+ROW()-1,설정!$L$8)&amp;""),"")</f>
        <v>GS 4.692 10/23/30</v>
      </c>
      <c r="B316" s="83" t="str">
        <f aca="false">IFERROR(IF(INDEX(원자료_잔고!$A$1:$EZ$1500,설정!$L$5+ROW()-1,설정!$L$7)&amp;""="0","",INDEX(원자료_잔고!$A$1:$EZ$1500,설정!$L$5+ROW()-1,설정!$L$7)&amp;""),"")</f>
        <v>US38141GB607</v>
      </c>
      <c r="C316" s="83" t="str">
        <f aca="false">IFERROR(IF(INDEX(원자료_잔고!$A$1:$EZ$1500,설정!$L$5+ROW()-1,설정!$L$9)&amp;""="0","",INDEX(원자료_잔고!$A$1:$EZ$1500,설정!$L$5+ROW()-1,설정!$L$9)&amp;""),"")</f>
        <v>38088</v>
      </c>
      <c r="D316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16" s="84" t="n">
        <f aca="false">IFERROR(IF(ISNUMBER(INDEX(원자료_잔고!$A$1:$EZ$1500,설정!$L$5+ROW()-1,설정!$L$11)),INDEX(원자료_잔고!$A$1:$EZ$1500,설정!$L$5+ROW()-1,설정!$L$11),""),"")</f>
        <v>500000</v>
      </c>
      <c r="F316" s="85" t="n">
        <f aca="false">IFERROR(IF(ISNUMBER(INDEX(원자료_잔고!$A$1:$EZ$1500,설정!$L$5+ROW()-1,설정!$L$12)),INDEX(원자료_잔고!$A$1:$EZ$1500,설정!$L$5+ROW()-1,설정!$L$12),""),"")</f>
        <v>96.9468</v>
      </c>
      <c r="G316" s="85" t="n">
        <f aca="false">IFERROR(IF(ISNUMBER(INDEX(원자료_잔고!$A$1:$EZ$1500,설정!$L$5+ROW()-1,설정!$L$13)),INDEX(원자료_잔고!$A$1:$EZ$1500,설정!$L$5+ROW()-1,설정!$L$13),""),"")</f>
        <v>5.7109</v>
      </c>
      <c r="H316" s="85" t="n">
        <f aca="false">IFERROR(IF(ISNUMBER(INDEX(원자료_잔고!$A$1:$EZ$1500,설정!$L$5+ROW()-1,설정!$L$14)),INDEX(원자료_잔고!$A$1:$EZ$1500,설정!$L$5+ROW()-1,설정!$L$14),""),"")</f>
        <v>2.723</v>
      </c>
      <c r="I316" s="86" t="n">
        <f aca="false">IFERROR(IF(ISNUMBER(INDEX(원자료_잔고!$A$1:$EZ$1500,설정!$L$5+ROW()-1,설정!$L$15)),INDEX(원자료_잔고!$A$1:$EZ$1500,설정!$L$5+ROW()-1,설정!$L$15),""),"")</f>
        <v>47779</v>
      </c>
      <c r="J316" s="85" t="n">
        <f aca="false">IFERROR(IF(ISNUMBER(INDEX(원자료_잔고!$A$1:$EZ$1500,설정!$L$5+ROW()-1,설정!$L$16)),INDEX(원자료_잔고!$A$1:$EZ$1500,설정!$L$5+ROW()-1,설정!$L$16),""),"")</f>
        <v>4.692</v>
      </c>
      <c r="K316" s="87" t="n">
        <f aca="false">IFERROR(IF(ISNUMBER(INDEX(원자료_잔고!$A$1:$EZ$1500,설정!$L$5+ROW()-1,설정!$L$17)),INDEX(원자료_잔고!$A$1:$EZ$1500,설정!$L$5+ROW()-1,설정!$L$17),""),"")</f>
        <v>1</v>
      </c>
      <c r="L316" s="84" t="n">
        <f aca="false">IFERROR(IF(ISNUMBER(INDEX(원자료_잔고!$A$1:$EZ$1500,설정!$L$5+ROW()-1,설정!$L$18)),INDEX(원자료_잔고!$A$1:$EZ$1500,설정!$L$5+ROW()-1,설정!$L$18),""),"")</f>
        <v>484734</v>
      </c>
      <c r="M316" s="88" t="n">
        <f aca="false">IFERROR(IF(ISNUMBER(INDEX(원자료_잔고!$A$1:$EZ$1500,설정!$L$5+ROW()-1,설정!$L$19)),INDEX(원자료_잔고!$A$1:$EZ$1500,설정!$L$5+ROW()-1,설정!$L$19),""),"")</f>
        <v>-22906.27</v>
      </c>
      <c r="N316" s="83" t="str">
        <f aca="false">IFERROR(IF(INDEX(원자료_잔고!$A$1:$EZ$1500,설정!$L$5+ROW()-1,설정!$L$21)&amp;""="0","",INDEX(원자료_잔고!$A$1:$EZ$1500,설정!$L$5+ROW()-1,설정!$L$21)&amp;""),"")</f>
        <v>BBB+</v>
      </c>
      <c r="O316" s="83" t="str">
        <f aca="false">IFERROR(IF(INDEX(원자료_잔고!$A$1:$EZ$1500,설정!$L$5+ROW()-1,설정!$L$22)&amp;""="0","",INDEX(원자료_잔고!$A$1:$EZ$1500,설정!$L$5+ROW()-1,설정!$L$22)&amp;""),"")</f>
        <v/>
      </c>
      <c r="P316" s="83" t="str">
        <f aca="false">IFERROR(IF(INDEX(원자료_잔고!$A$1:$EZ$1500,설정!$L$5+ROW()-1,설정!$L$23)&amp;""="0","",INDEX(원자료_잔고!$A$1:$EZ$1500,설정!$L$5+ROW()-1,설정!$L$23)&amp;""),"")</f>
        <v>A</v>
      </c>
      <c r="Q316" s="89" t="n">
        <f aca="false">IF(AND($A316&lt;&gt;"",ISNUMBER(E316)),IF(E316&gt;0,1,0),0)</f>
        <v>1</v>
      </c>
      <c r="R316" s="43" t="str">
        <f aca="false">IF(Q316=1,UPPER(LEFT($A316,FIND(" ",$A316&amp;" ")-1)),"")</f>
        <v>GS</v>
      </c>
      <c r="S316" s="89" t="n">
        <f aca="false">IF(Q316=1,IF(OR(ISNUMBER(SEARCH("Float",$A316)),ISNUMBER(SEARCH("FRN",$A316))),1,0),0)</f>
        <v>0</v>
      </c>
      <c r="T316" s="43" t="str">
        <f aca="false">IF(AND(Q316=1,ISNUMBER(I316)),TEXT(I316,"yyyymmdd")&amp;"|"&amp;IF(S316=1,"F",TEXT(J316,"0.000")),"")</f>
        <v>20301023|4.692</v>
      </c>
      <c r="U316" s="90" t="n">
        <f aca="false">IF(AND(Q316=1,ISNUMBER(I316)),(I316-설정!$C$4)/365.25,"")</f>
        <v>4.06023271731691</v>
      </c>
      <c r="V316" s="43" t="str">
        <f aca="false">IF(Q316&lt;&gt;1,"",IF(ISNUMBER(U316),IF(U316&lt;=1,"1년 이하",IF(U316&lt;=2,"1-2년",IF(U316&lt;=3,"2-3년",IF(U316&lt;=4,"3-4년",IF(U316&lt;=5,"4-5년",IF(U316&lt;=7,"5-7년",IF(U316&lt;=10,"7-10년",IF(U316&lt;=20,"10-20년","20년 이상")))))))),"미분류"))</f>
        <v>4-5년</v>
      </c>
      <c r="W316" s="43" t="str">
        <f aca="false">IF(Q316&lt;&gt;1,"",IF(AB316&lt;&gt;"",INDEX(시장분석!$C:$C,AB316),IF(K316=1,"USD","비USD")))</f>
        <v>USD</v>
      </c>
      <c r="X316" s="91" t="n">
        <f aca="false">IF(Q316=1,E316*K316/1000000,0)</f>
        <v>0.5</v>
      </c>
      <c r="Y316" s="89" t="n">
        <f aca="false">IF(R316="T",1,0)</f>
        <v>0</v>
      </c>
      <c r="Z316" s="92" t="n">
        <f aca="false">IF(Q316&lt;&gt;1,"",IF(AD316=1,IF(ISNUMBER(U316),MAX(U316,0),H316),H316))</f>
        <v>2.723</v>
      </c>
      <c r="AA316" s="91" t="n">
        <f aca="false">IF(Q316=1,IF(ISNUMBER(L316),L316,0)*K316/1000000,0)</f>
        <v>0.484734</v>
      </c>
      <c r="AB316" s="89" t="n">
        <f aca="false">IF(Q316&lt;&gt;1,"",IFERROR(MATCH(VLOOKUP(B316,매핑!$H$4:$I$15,2,0),시장분석!$A$2:$A$601,0)+1,IFERROR(MATCH(R316&amp;"|"&amp;T316,시장분석!$V$2:$V$601,0)+1,IF(COUNTIF(시장분석!$U$2:$U$601,T316)=1,MATCH(T316,시장분석!$U$2:$U$601,0)+1,""))))</f>
        <v>40</v>
      </c>
      <c r="AC316" s="89" t="n">
        <f aca="false">IF(Q316&lt;&gt;1,0,IF(OR(설정!$C$5="전체",AND(설정!$C$5="선택펀드",IFERROR(COUNTIFS(설정!$F$16:$F$36,C316,설정!$G$16:$G$36,"Y")+COUNTIFS(설정!$F$16:$F$36,VALUE(C316),설정!$G$16:$G$36,"Y"),0)&gt;0),C316&amp;""=설정!$C$5&amp;""),1,0))</f>
        <v>0</v>
      </c>
      <c r="AD316" s="89" t="n">
        <f aca="false">IF(Q316&lt;&gt;1,0,IF(OR(S316=1,IF(AB316="",FALSE(),INDEX(시장분석!$R:$R,AB316)=1)),1,0))</f>
        <v>0</v>
      </c>
      <c r="AE316" s="43" t="str">
        <f aca="false">IF(AB316="","",INDEX(시장분석!$A:$A,AB316))</f>
        <v>GS 4.692 10/23/30</v>
      </c>
      <c r="AF316" s="93" t="n">
        <f aca="false">IF(AB316="","",IF(ISNUMBER(IF(AB316="","",INDEX(시장분석!$E:$E,AB316))),IF(AB316="","",INDEX(시장분석!$E:$E,AB316)),""))</f>
        <v>80.467</v>
      </c>
      <c r="AG316" s="43" t="str">
        <f aca="false">IF(Q316&lt;&gt;1,"",IF(AB316&lt;&gt;"",IF(AB316="","",INDEX(시장분석!$L:$L,AB316)),IFERROR(IF(VLOOKUP(R316,매핑!$A$4:$E$92,5,0)="","미분류",VLOOKUP(R316,매핑!$A$4:$E$92,5,0)),"미분류")))</f>
        <v>금융기관</v>
      </c>
      <c r="AH316" s="43" t="str">
        <f aca="false">IF(Q316&lt;&gt;1,"",IF(AB316&lt;&gt;"",IF(AB316="","",INDEX(시장분석!$N:$N,AB316)),IFERROR(IF(VLOOKUP(R316,매핑!$A$4:$E$92,4,0)="","미분류",VLOOKUP(R316,매핑!$A$4:$E$92,4,0)),"미분류")))</f>
        <v>미국</v>
      </c>
      <c r="AI316" s="43" t="str">
        <f aca="false">IF(Q316&lt;&gt;1,"",IFERROR(IF(VLOOKUP(R316,매핑!$A$4:$E$92,3,0)="","미분류",VLOOKUP(R316,매핑!$A$4:$E$92,3,0)),IF(AB316&lt;&gt;"",IF(AB316="","",INDEX(시장분석!$W:$W,AB316)),"미분류")))</f>
        <v>미국</v>
      </c>
      <c r="AJ316" s="43" t="str">
        <f aca="false">IF(Q316&lt;&gt;1,"",IFERROR(VLOOKUP(IF(N316&lt;&gt;"",N316,IF(P316&lt;&gt;"",P316,O316)),설정!$A$15:$D$47,2,0),""))</f>
        <v>BBB+</v>
      </c>
      <c r="AK316" s="43" t="str">
        <f aca="false">IF(Q316&lt;&gt;1,"",IF(AJ316="","무등급",IFERROR(VLOOKUP(AJ316,설정!$A$15:$D$47,3,0),"무등급")))</f>
        <v>BBB</v>
      </c>
      <c r="AL316" s="89" t="n">
        <f aca="false">IF(AJ316="",99,IFERROR(VLOOKUP(AJ316,설정!$A$15:$D$47,4,0),99))</f>
        <v>8</v>
      </c>
      <c r="AM316" s="94" t="n">
        <f aca="false">IF(ISNUMBER(H316),AA316*1000000*H316/10000,0)</f>
        <v>131.9930682</v>
      </c>
      <c r="AN316" s="94" t="n">
        <f aca="false">IF(OR(Y316=1,NOT(ISNUMBER(Z316))),0,AA316*1000000*Z316/10000)</f>
        <v>131.9930682</v>
      </c>
      <c r="AO316" s="94" t="n">
        <f aca="false">IF(ISNUMBER(G316),AA316*1000000*G316/100,0)</f>
        <v>27682.674006</v>
      </c>
      <c r="AP316" s="94" t="n">
        <f aca="false">IF(ISNUMBER(M316),M316*K316,0)</f>
        <v>-22906.27</v>
      </c>
      <c r="AQ316" s="95" t="n">
        <f aca="false">IF(AB316="","",INDEX(시장분석!$AK:$AK,AB316))</f>
        <v>0.834598199358252</v>
      </c>
      <c r="AR316" s="43" t="str">
        <f aca="false">IF(AB316="","-",IF(AB316="","",INDEX(시장분석!$AL:$AL,AB316)))</f>
        <v>Fair</v>
      </c>
      <c r="AS316" s="96" t="n">
        <f aca="false">IF(AB316="","",INDEX(시장분석!$AJ:$AJ,AB316))</f>
        <v>11.4149506580172</v>
      </c>
      <c r="AT316" s="93" t="n">
        <f aca="false">IF(AB316="",0,IF(AB316="","",INDEX(시장분석!$AN:$AN,AB316)))</f>
        <v>9.07256332961359</v>
      </c>
      <c r="AU316" s="94" t="n">
        <f aca="false">IF(ISNUMBER(Z316),AT316/10000*MAX(Z316-1,0)*AA316*1000000,0)</f>
        <v>757.737479012814</v>
      </c>
      <c r="AV316" s="94" t="n">
        <f aca="false">AO316+AU316</f>
        <v>28440.4114850128</v>
      </c>
      <c r="AW316" s="43" t="str">
        <f aca="false">IF(Q316&lt;&gt;1,"",TRIM(IF(AD316=1,"FRN ","")&amp;IF(AND(AL316&gt;=10,AL316&lt;99),"BBB0미만 ","")&amp;IF(AJ316="","등급없음 ","")&amp;IF(K316&lt;&gt;1,"비USD ","")&amp;IF(AND(AB316="",Y316=0),"시장데이터없음 ","")&amp;IF(AND(ISNUMBER(U316),U316&lt;0),"만기경과 ","")))</f>
        <v/>
      </c>
      <c r="AX316" s="90" t="n">
        <f aca="false">IF(Q316&lt;&gt;1,1,IF(스프레드쇼크!$C$4="Y",INDEX(스프레드쇼크!$B$12:$L$16,IFERROR(MATCH(AH316,스프레드쇼크!$A$12:$A$16,0),MATCH("목록외",스프레드쇼크!$A$12:$A$16,0)),IFERROR(MATCH(AG316,스프레드쇼크!$B$11:$L$11,0),MATCH("목록외",스프레드쇼크!$B$11:$L$11,0))),1))</f>
        <v>1</v>
      </c>
      <c r="AY316" s="90" t="n">
        <f aca="false">IF(스프레드쇼크!$C$5="Y",IF(ISNUMBER(AF316),MIN(스프레드쇼크!$C$7,MAX(스프레드쇼크!$C$6,AF316/스프레드쇼크!$C$8)),1),1)</f>
        <v>1.21709460316759</v>
      </c>
      <c r="AZ316" s="94" t="n">
        <f aca="false">AN316*AX316*AY316</f>
        <v>160.648050961752</v>
      </c>
      <c r="BA316" s="90" t="n">
        <f aca="false">IF(ISNUMBER(G316),AA316*G316,0)</f>
        <v>2.7682674006</v>
      </c>
      <c r="BB316" s="90" t="n">
        <f aca="false">IF(ISNUMBER(G316),AA316,0)</f>
        <v>0.484734</v>
      </c>
      <c r="BC316" s="90" t="n">
        <f aca="false">IF(AND(Y316=0,ISNUMBER(AF316)),AA316*AF316,0)</f>
        <v>39.005090778</v>
      </c>
      <c r="BD316" s="90" t="n">
        <f aca="false">IF(AND(Y316=0,ISNUMBER(AF316)),AA316,0)</f>
        <v>0.484734</v>
      </c>
      <c r="BE316" s="90" t="n">
        <f aca="false">IF(ISNUMBER(H316),AA316*H316,0)</f>
        <v>1.319930682</v>
      </c>
      <c r="BF316" s="90" t="n">
        <f aca="false">IF(ISNUMBER(H316),AA316,0)</f>
        <v>0.484734</v>
      </c>
      <c r="BG316" s="90" t="n">
        <f aca="false">IF(AND(Y316=0,ISNUMBER(AF316),ISNUMBER(Z316)),AA316*Z316,0)</f>
        <v>1.319930682</v>
      </c>
      <c r="BH316" s="90" t="n">
        <f aca="false">IF(AND(Y316=0,ISNUMBER(AF316),ISNUMBER(Z316)),AA316*AT316*MAX(Z316-1,0),0)</f>
        <v>7.57737479012814</v>
      </c>
      <c r="BI316" s="90" t="n">
        <f aca="false">IF(Y316=0,AA316,0)</f>
        <v>0.484734</v>
      </c>
    </row>
    <row r="317" customFormat="false" ht="15" hidden="false" customHeight="false" outlineLevel="0" collapsed="false">
      <c r="A317" s="83" t="str">
        <f aca="false">IFERROR(IF(INDEX(원자료_잔고!$A$1:$EZ$1500,설정!$L$5+ROW()-1,설정!$L$8)&amp;""="0","",INDEX(원자료_잔고!$A$1:$EZ$1500,설정!$L$5+ROW()-1,설정!$L$8)&amp;""),"")</f>
        <v>KORELE 7 02/01/27</v>
      </c>
      <c r="B317" s="83" t="str">
        <f aca="false">IFERROR(IF(INDEX(원자료_잔고!$A$1:$EZ$1500,설정!$L$5+ROW()-1,설정!$L$7)&amp;""="0","",INDEX(원자료_잔고!$A$1:$EZ$1500,설정!$L$5+ROW()-1,설정!$L$7)&amp;""),"")</f>
        <v>US500631AH98</v>
      </c>
      <c r="C317" s="83" t="str">
        <f aca="false">IFERROR(IF(INDEX(원자료_잔고!$A$1:$EZ$1500,설정!$L$5+ROW()-1,설정!$L$9)&amp;""="0","",INDEX(원자료_잔고!$A$1:$EZ$1500,설정!$L$5+ROW()-1,설정!$L$9)&amp;""),"")</f>
        <v>38088</v>
      </c>
      <c r="D317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17" s="84" t="n">
        <f aca="false">IFERROR(IF(ISNUMBER(INDEX(원자료_잔고!$A$1:$EZ$1500,설정!$L$5+ROW()-1,설정!$L$11)),INDEX(원자료_잔고!$A$1:$EZ$1500,설정!$L$5+ROW()-1,설정!$L$11),""),"")</f>
        <v>8000000</v>
      </c>
      <c r="F317" s="85" t="n">
        <f aca="false">IFERROR(IF(ISNUMBER(INDEX(원자료_잔고!$A$1:$EZ$1500,설정!$L$5+ROW()-1,설정!$L$12)),INDEX(원자료_잔고!$A$1:$EZ$1500,설정!$L$5+ROW()-1,설정!$L$12),""),"")</f>
        <v>100.7076</v>
      </c>
      <c r="G317" s="85" t="n">
        <f aca="false">IFERROR(IF(ISNUMBER(INDEX(원자료_잔고!$A$1:$EZ$1500,설정!$L$5+ROW()-1,설정!$L$13)),INDEX(원자료_잔고!$A$1:$EZ$1500,설정!$L$5+ROW()-1,설정!$L$13),""),"")</f>
        <v>4.807</v>
      </c>
      <c r="H317" s="85" t="n">
        <f aca="false">IFERROR(IF(ISNUMBER(INDEX(원자료_잔고!$A$1:$EZ$1500,설정!$L$5+ROW()-1,설정!$L$14)),INDEX(원자료_잔고!$A$1:$EZ$1500,설정!$L$5+ROW()-1,설정!$L$14),""),"")</f>
        <v>0.3249</v>
      </c>
      <c r="I317" s="86" t="n">
        <f aca="false">IFERROR(IF(ISNUMBER(INDEX(원자료_잔고!$A$1:$EZ$1500,설정!$L$5+ROW()-1,설정!$L$15)),INDEX(원자료_잔고!$A$1:$EZ$1500,설정!$L$5+ROW()-1,설정!$L$15),""),"")</f>
        <v>46419</v>
      </c>
      <c r="J317" s="85" t="n">
        <f aca="false">IFERROR(IF(ISNUMBER(INDEX(원자료_잔고!$A$1:$EZ$1500,설정!$L$5+ROW()-1,설정!$L$16)),INDEX(원자료_잔고!$A$1:$EZ$1500,설정!$L$5+ROW()-1,설정!$L$16),""),"")</f>
        <v>7</v>
      </c>
      <c r="K317" s="87" t="n">
        <f aca="false">IFERROR(IF(ISNUMBER(INDEX(원자료_잔고!$A$1:$EZ$1500,설정!$L$5+ROW()-1,설정!$L$17)),INDEX(원자료_잔고!$A$1:$EZ$1500,설정!$L$5+ROW()-1,설정!$L$17),""),"")</f>
        <v>1</v>
      </c>
      <c r="L317" s="84" t="n">
        <f aca="false">IFERROR(IF(ISNUMBER(INDEX(원자료_잔고!$A$1:$EZ$1500,설정!$L$5+ROW()-1,설정!$L$18)),INDEX(원자료_잔고!$A$1:$EZ$1500,설정!$L$5+ROW()-1,설정!$L$18),""),"")</f>
        <v>8056608</v>
      </c>
      <c r="M317" s="88" t="n">
        <f aca="false">IFERROR(IF(ISNUMBER(INDEX(원자료_잔고!$A$1:$EZ$1500,설정!$L$5+ROW()-1,설정!$L$19)),INDEX(원자료_잔고!$A$1:$EZ$1500,설정!$L$5+ROW()-1,설정!$L$19),""),"")</f>
        <v>120457.85</v>
      </c>
      <c r="N317" s="83" t="str">
        <f aca="false">IFERROR(IF(INDEX(원자료_잔고!$A$1:$EZ$1500,설정!$L$5+ROW()-1,설정!$L$21)&amp;""="0","",INDEX(원자료_잔고!$A$1:$EZ$1500,설정!$L$5+ROW()-1,설정!$L$21)&amp;""),"")</f>
        <v>AA</v>
      </c>
      <c r="O317" s="83" t="str">
        <f aca="false">IFERROR(IF(INDEX(원자료_잔고!$A$1:$EZ$1500,설정!$L$5+ROW()-1,설정!$L$22)&amp;""="0","",INDEX(원자료_잔고!$A$1:$EZ$1500,설정!$L$5+ROW()-1,설정!$L$22)&amp;""),"")</f>
        <v/>
      </c>
      <c r="P317" s="83" t="str">
        <f aca="false">IFERROR(IF(INDEX(원자료_잔고!$A$1:$EZ$1500,설정!$L$5+ROW()-1,설정!$L$23)&amp;""="0","",INDEX(원자료_잔고!$A$1:$EZ$1500,설정!$L$5+ROW()-1,설정!$L$23)&amp;""),"")</f>
        <v>AA-</v>
      </c>
      <c r="Q317" s="89" t="n">
        <f aca="false">IF(AND($A317&lt;&gt;"",ISNUMBER(E317)),IF(E317&gt;0,1,0),0)</f>
        <v>1</v>
      </c>
      <c r="R317" s="43" t="str">
        <f aca="false">IF(Q317=1,UPPER(LEFT($A317,FIND(" ",$A317&amp;" ")-1)),"")</f>
        <v>KORELE</v>
      </c>
      <c r="S317" s="89" t="n">
        <f aca="false">IF(Q317=1,IF(OR(ISNUMBER(SEARCH("Float",$A317)),ISNUMBER(SEARCH("FRN",$A317))),1,0),0)</f>
        <v>0</v>
      </c>
      <c r="T317" s="43" t="str">
        <f aca="false">IF(AND(Q317=1,ISNUMBER(I317)),TEXT(I317,"yyyymmdd")&amp;"|"&amp;IF(S317=1,"F",TEXT(J317,"0.000")),"")</f>
        <v>20270201|7.000</v>
      </c>
      <c r="U317" s="90" t="n">
        <f aca="false">IF(AND(Q317=1,ISNUMBER(I317)),(I317-설정!$C$4)/365.25,"")</f>
        <v>0.336755646817248</v>
      </c>
      <c r="V317" s="43" t="str">
        <f aca="false">IF(Q317&lt;&gt;1,"",IF(ISNUMBER(U317),IF(U317&lt;=1,"1년 이하",IF(U317&lt;=2,"1-2년",IF(U317&lt;=3,"2-3년",IF(U317&lt;=4,"3-4년",IF(U317&lt;=5,"4-5년",IF(U317&lt;=7,"5-7년",IF(U317&lt;=10,"7-10년",IF(U317&lt;=20,"10-20년","20년 이상")))))))),"미분류"))</f>
        <v>1년 이하</v>
      </c>
      <c r="W317" s="43" t="str">
        <f aca="false">IF(Q317&lt;&gt;1,"",IF(AB317&lt;&gt;"",INDEX(시장분석!$C:$C,AB317),IF(K317=1,"USD","비USD")))</f>
        <v>USD</v>
      </c>
      <c r="X317" s="91" t="n">
        <f aca="false">IF(Q317=1,E317*K317/1000000,0)</f>
        <v>8</v>
      </c>
      <c r="Y317" s="89" t="n">
        <f aca="false">IF(R317="T",1,0)</f>
        <v>0</v>
      </c>
      <c r="Z317" s="92" t="n">
        <f aca="false">IF(Q317&lt;&gt;1,"",IF(AD317=1,IF(ISNUMBER(U317),MAX(U317,0),H317),H317))</f>
        <v>0.3249</v>
      </c>
      <c r="AA317" s="91" t="n">
        <f aca="false">IF(Q317=1,IF(ISNUMBER(L317),L317,0)*K317/1000000,0)</f>
        <v>8.056608</v>
      </c>
      <c r="AB317" s="89" t="n">
        <f aca="false">IF(Q317&lt;&gt;1,"",IFERROR(MATCH(VLOOKUP(B317,매핑!$H$4:$I$15,2,0),시장분석!$A$2:$A$601,0)+1,IFERROR(MATCH(R317&amp;"|"&amp;T317,시장분석!$V$2:$V$601,0)+1,IF(COUNTIF(시장분석!$U$2:$U$601,T317)=1,MATCH(T317,시장분석!$U$2:$U$601,0)+1,""))))</f>
        <v>92</v>
      </c>
      <c r="AC317" s="89" t="n">
        <f aca="false">IF(Q317&lt;&gt;1,0,IF(OR(설정!$C$5="전체",AND(설정!$C$5="선택펀드",IFERROR(COUNTIFS(설정!$F$16:$F$36,C317,설정!$G$16:$G$36,"Y")+COUNTIFS(설정!$F$16:$F$36,VALUE(C317),설정!$G$16:$G$36,"Y"),0)&gt;0),C317&amp;""=설정!$C$5&amp;""),1,0))</f>
        <v>0</v>
      </c>
      <c r="AD317" s="89" t="n">
        <f aca="false">IF(Q317&lt;&gt;1,0,IF(OR(S317=1,IF(AB317="",FALSE(),INDEX(시장분석!$R:$R,AB317)=1)),1,0))</f>
        <v>0</v>
      </c>
      <c r="AE317" s="43" t="str">
        <f aca="false">IF(AB317="","",INDEX(시장분석!$A:$A,AB317))</f>
        <v>KORELE 7 02/01/27</v>
      </c>
      <c r="AF317" s="93" t="n">
        <f aca="false">IF(AB317="","",IF(ISNUMBER(IF(AB317="","",INDEX(시장분석!$E:$E,AB317))),IF(AB317="","",INDEX(시장분석!$E:$E,AB317)),""))</f>
        <v>-27.202</v>
      </c>
      <c r="AG317" s="43" t="str">
        <f aca="false">IF(Q317&lt;&gt;1,"",IF(AB317&lt;&gt;"",IF(AB317="","",INDEX(시장분석!$L:$L,AB317)),IFERROR(IF(VLOOKUP(R317,매핑!$A$4:$E$92,5,0)="","미분류",VLOOKUP(R317,매핑!$A$4:$E$92,5,0)),"미분류")))</f>
        <v>정부</v>
      </c>
      <c r="AH317" s="43" t="str">
        <f aca="false">IF(Q317&lt;&gt;1,"",IF(AB317&lt;&gt;"",IF(AB317="","",INDEX(시장분석!$N:$N,AB317)),IFERROR(IF(VLOOKUP(R317,매핑!$A$4:$E$92,4,0)="","미분류",VLOOKUP(R317,매핑!$A$4:$E$92,4,0)),"미분류")))</f>
        <v>아시아/기타</v>
      </c>
      <c r="AI317" s="43" t="str">
        <f aca="false">IF(Q317&lt;&gt;1,"",IFERROR(IF(VLOOKUP(R317,매핑!$A$4:$E$92,3,0)="","미분류",VLOOKUP(R317,매핑!$A$4:$E$92,3,0)),IF(AB317&lt;&gt;"",IF(AB317="","",INDEX(시장분석!$W:$W,AB317)),"미분류")))</f>
        <v>한국</v>
      </c>
      <c r="AJ317" s="43" t="str">
        <f aca="false">IF(Q317&lt;&gt;1,"",IFERROR(VLOOKUP(IF(N317&lt;&gt;"",N317,IF(P317&lt;&gt;"",P317,O317)),설정!$A$15:$D$47,2,0),""))</f>
        <v>AA</v>
      </c>
      <c r="AK317" s="43" t="str">
        <f aca="false">IF(Q317&lt;&gt;1,"",IF(AJ317="","무등급",IFERROR(VLOOKUP(AJ317,설정!$A$15:$D$47,3,0),"무등급")))</f>
        <v>AA이상</v>
      </c>
      <c r="AL317" s="89" t="n">
        <f aca="false">IF(AJ317="",99,IFERROR(VLOOKUP(AJ317,설정!$A$15:$D$47,4,0),99))</f>
        <v>3</v>
      </c>
      <c r="AM317" s="94" t="n">
        <f aca="false">IF(ISNUMBER(H317),AA317*1000000*H317/10000,0)</f>
        <v>261.75919392</v>
      </c>
      <c r="AN317" s="94" t="n">
        <f aca="false">IF(OR(Y317=1,NOT(ISNUMBER(Z317))),0,AA317*1000000*Z317/10000)</f>
        <v>261.75919392</v>
      </c>
      <c r="AO317" s="94" t="n">
        <f aca="false">IF(ISNUMBER(G317),AA317*1000000*G317/100,0)</f>
        <v>387281.14656</v>
      </c>
      <c r="AP317" s="94" t="n">
        <f aca="false">IF(ISNUMBER(M317),M317*K317,0)</f>
        <v>120457.85</v>
      </c>
      <c r="AQ317" s="95" t="str">
        <f aca="false">IF(AB317="","",INDEX(시장분석!$AK:$AK,AB317))</f>
        <v/>
      </c>
      <c r="AR317" s="43" t="str">
        <f aca="false">IF(AB317="","-",IF(AB317="","",INDEX(시장분석!$AL:$AL,AB317)))</f>
        <v>-</v>
      </c>
      <c r="AS317" s="96" t="str">
        <f aca="false">IF(AB317="","",INDEX(시장분석!$AJ:$AJ,AB317))</f>
        <v/>
      </c>
      <c r="AT317" s="93" t="n">
        <f aca="false">IF(AB317="",0,IF(AB317="","",INDEX(시장분석!$AN:$AN,AB317)))</f>
        <v>0</v>
      </c>
      <c r="AU317" s="94" t="n">
        <f aca="false">IF(ISNUMBER(Z317),AT317/10000*MAX(Z317-1,0)*AA317*1000000,0)</f>
        <v>0</v>
      </c>
      <c r="AV317" s="94" t="n">
        <f aca="false">AO317+AU317</f>
        <v>387281.14656</v>
      </c>
      <c r="AW317" s="43" t="str">
        <f aca="false">IF(Q317&lt;&gt;1,"",TRIM(IF(AD317=1,"FRN ","")&amp;IF(AND(AL317&gt;=10,AL317&lt;99),"BBB0미만 ","")&amp;IF(AJ317="","등급없음 ","")&amp;IF(K317&lt;&gt;1,"비USD ","")&amp;IF(AND(AB317="",Y317=0),"시장데이터없음 ","")&amp;IF(AND(ISNUMBER(U317),U317&lt;0),"만기경과 ","")))</f>
        <v/>
      </c>
      <c r="AX317" s="90" t="n">
        <f aca="false">IF(Q317&lt;&gt;1,1,IF(스프레드쇼크!$C$4="Y",INDEX(스프레드쇼크!$B$12:$L$16,IFERROR(MATCH(AH317,스프레드쇼크!$A$12:$A$16,0),MATCH("목록외",스프레드쇼크!$A$12:$A$16,0)),IFERROR(MATCH(AG317,스프레드쇼크!$B$11:$L$11,0),MATCH("목록외",스프레드쇼크!$B$11:$L$11,0))),1))</f>
        <v>1</v>
      </c>
      <c r="AY317" s="90" t="n">
        <f aca="false">IF(스프레드쇼크!$C$5="Y",IF(ISNUMBER(AF317),MIN(스프레드쇼크!$C$7,MAX(스프레드쇼크!$C$6,AF317/스프레드쇼크!$C$8)),1),1)</f>
        <v>0.25</v>
      </c>
      <c r="AZ317" s="94" t="n">
        <f aca="false">AN317*AX317*AY317</f>
        <v>65.43979848</v>
      </c>
      <c r="BA317" s="90" t="n">
        <f aca="false">IF(ISNUMBER(G317),AA317*G317,0)</f>
        <v>38.728114656</v>
      </c>
      <c r="BB317" s="90" t="n">
        <f aca="false">IF(ISNUMBER(G317),AA317,0)</f>
        <v>8.056608</v>
      </c>
      <c r="BC317" s="90" t="n">
        <f aca="false">IF(AND(Y317=0,ISNUMBER(AF317)),AA317*AF317,0)</f>
        <v>-219.155850816</v>
      </c>
      <c r="BD317" s="90" t="n">
        <f aca="false">IF(AND(Y317=0,ISNUMBER(AF317)),AA317,0)</f>
        <v>8.056608</v>
      </c>
      <c r="BE317" s="90" t="n">
        <f aca="false">IF(ISNUMBER(H317),AA317*H317,0)</f>
        <v>2.6175919392</v>
      </c>
      <c r="BF317" s="90" t="n">
        <f aca="false">IF(ISNUMBER(H317),AA317,0)</f>
        <v>8.056608</v>
      </c>
      <c r="BG317" s="90" t="n">
        <f aca="false">IF(AND(Y317=0,ISNUMBER(AF317),ISNUMBER(Z317)),AA317*Z317,0)</f>
        <v>2.6175919392</v>
      </c>
      <c r="BH317" s="90" t="n">
        <f aca="false">IF(AND(Y317=0,ISNUMBER(AF317),ISNUMBER(Z317)),AA317*AT317*MAX(Z317-1,0),0)</f>
        <v>0</v>
      </c>
      <c r="BI317" s="90" t="n">
        <f aca="false">IF(Y317=0,AA317,0)</f>
        <v>8.056608</v>
      </c>
    </row>
    <row r="318" customFormat="false" ht="15" hidden="false" customHeight="false" outlineLevel="0" collapsed="false">
      <c r="A318" s="83" t="str">
        <f aca="false">IFERROR(IF(INDEX(원자료_잔고!$A$1:$EZ$1500,설정!$L$5+ROW()-1,설정!$L$8)&amp;""="0","",INDEX(원자료_잔고!$A$1:$EZ$1500,설정!$L$5+ROW()-1,설정!$L$8)&amp;""),"")</f>
        <v>KORELE 7 02/01/27</v>
      </c>
      <c r="B318" s="83" t="str">
        <f aca="false">IFERROR(IF(INDEX(원자료_잔고!$A$1:$EZ$1500,설정!$L$5+ROW()-1,설정!$L$7)&amp;""="0","",INDEX(원자료_잔고!$A$1:$EZ$1500,설정!$L$5+ROW()-1,설정!$L$7)&amp;""),"")</f>
        <v>US500631AH98</v>
      </c>
      <c r="C318" s="83" t="str">
        <f aca="false">IFERROR(IF(INDEX(원자료_잔고!$A$1:$EZ$1500,설정!$L$5+ROW()-1,설정!$L$9)&amp;""="0","",INDEX(원자료_잔고!$A$1:$EZ$1500,설정!$L$5+ROW()-1,설정!$L$9)&amp;""),"")</f>
        <v>38088</v>
      </c>
      <c r="D318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18" s="84" t="n">
        <f aca="false">IFERROR(IF(ISNUMBER(INDEX(원자료_잔고!$A$1:$EZ$1500,설정!$L$5+ROW()-1,설정!$L$11)),INDEX(원자료_잔고!$A$1:$EZ$1500,설정!$L$5+ROW()-1,설정!$L$11),""),"")</f>
        <v>7000000</v>
      </c>
      <c r="F318" s="85" t="n">
        <f aca="false">IFERROR(IF(ISNUMBER(INDEX(원자료_잔고!$A$1:$EZ$1500,설정!$L$5+ROW()-1,설정!$L$12)),INDEX(원자료_잔고!$A$1:$EZ$1500,설정!$L$5+ROW()-1,설정!$L$12),""),"")</f>
        <v>100.7076</v>
      </c>
      <c r="G318" s="85" t="n">
        <f aca="false">IFERROR(IF(ISNUMBER(INDEX(원자료_잔고!$A$1:$EZ$1500,설정!$L$5+ROW()-1,설정!$L$13)),INDEX(원자료_잔고!$A$1:$EZ$1500,설정!$L$5+ROW()-1,설정!$L$13),""),"")</f>
        <v>4.807</v>
      </c>
      <c r="H318" s="85" t="n">
        <f aca="false">IFERROR(IF(ISNUMBER(INDEX(원자료_잔고!$A$1:$EZ$1500,설정!$L$5+ROW()-1,설정!$L$14)),INDEX(원자료_잔고!$A$1:$EZ$1500,설정!$L$5+ROW()-1,설정!$L$14),""),"")</f>
        <v>0.3249</v>
      </c>
      <c r="I318" s="86" t="n">
        <f aca="false">IFERROR(IF(ISNUMBER(INDEX(원자료_잔고!$A$1:$EZ$1500,설정!$L$5+ROW()-1,설정!$L$15)),INDEX(원자료_잔고!$A$1:$EZ$1500,설정!$L$5+ROW()-1,설정!$L$15),""),"")</f>
        <v>46419</v>
      </c>
      <c r="J318" s="85" t="n">
        <f aca="false">IFERROR(IF(ISNUMBER(INDEX(원자료_잔고!$A$1:$EZ$1500,설정!$L$5+ROW()-1,설정!$L$16)),INDEX(원자료_잔고!$A$1:$EZ$1500,설정!$L$5+ROW()-1,설정!$L$16),""),"")</f>
        <v>7</v>
      </c>
      <c r="K318" s="87" t="n">
        <f aca="false">IFERROR(IF(ISNUMBER(INDEX(원자료_잔고!$A$1:$EZ$1500,설정!$L$5+ROW()-1,설정!$L$17)),INDEX(원자료_잔고!$A$1:$EZ$1500,설정!$L$5+ROW()-1,설정!$L$17),""),"")</f>
        <v>1</v>
      </c>
      <c r="L318" s="84" t="n">
        <f aca="false">IFERROR(IF(ISNUMBER(INDEX(원자료_잔고!$A$1:$EZ$1500,설정!$L$5+ROW()-1,설정!$L$18)),INDEX(원자료_잔고!$A$1:$EZ$1500,설정!$L$5+ROW()-1,설정!$L$18),""),"")</f>
        <v>7049532</v>
      </c>
      <c r="M318" s="88" t="n">
        <f aca="false">IFERROR(IF(ISNUMBER(INDEX(원자료_잔고!$A$1:$EZ$1500,설정!$L$5+ROW()-1,설정!$L$19)),INDEX(원자료_잔고!$A$1:$EZ$1500,설정!$L$5+ROW()-1,설정!$L$19),""),"")</f>
        <v>107494.93</v>
      </c>
      <c r="N318" s="83" t="str">
        <f aca="false">IFERROR(IF(INDEX(원자료_잔고!$A$1:$EZ$1500,설정!$L$5+ROW()-1,설정!$L$21)&amp;""="0","",INDEX(원자료_잔고!$A$1:$EZ$1500,설정!$L$5+ROW()-1,설정!$L$21)&amp;""),"")</f>
        <v>AA</v>
      </c>
      <c r="O318" s="83" t="str">
        <f aca="false">IFERROR(IF(INDEX(원자료_잔고!$A$1:$EZ$1500,설정!$L$5+ROW()-1,설정!$L$22)&amp;""="0","",INDEX(원자료_잔고!$A$1:$EZ$1500,설정!$L$5+ROW()-1,설정!$L$22)&amp;""),"")</f>
        <v/>
      </c>
      <c r="P318" s="83" t="str">
        <f aca="false">IFERROR(IF(INDEX(원자료_잔고!$A$1:$EZ$1500,설정!$L$5+ROW()-1,설정!$L$23)&amp;""="0","",INDEX(원자료_잔고!$A$1:$EZ$1500,설정!$L$5+ROW()-1,설정!$L$23)&amp;""),"")</f>
        <v>AA-</v>
      </c>
      <c r="Q318" s="89" t="n">
        <f aca="false">IF(AND($A318&lt;&gt;"",ISNUMBER(E318)),IF(E318&gt;0,1,0),0)</f>
        <v>1</v>
      </c>
      <c r="R318" s="43" t="str">
        <f aca="false">IF(Q318=1,UPPER(LEFT($A318,FIND(" ",$A318&amp;" ")-1)),"")</f>
        <v>KORELE</v>
      </c>
      <c r="S318" s="89" t="n">
        <f aca="false">IF(Q318=1,IF(OR(ISNUMBER(SEARCH("Float",$A318)),ISNUMBER(SEARCH("FRN",$A318))),1,0),0)</f>
        <v>0</v>
      </c>
      <c r="T318" s="43" t="str">
        <f aca="false">IF(AND(Q318=1,ISNUMBER(I318)),TEXT(I318,"yyyymmdd")&amp;"|"&amp;IF(S318=1,"F",TEXT(J318,"0.000")),"")</f>
        <v>20270201|7.000</v>
      </c>
      <c r="U318" s="90" t="n">
        <f aca="false">IF(AND(Q318=1,ISNUMBER(I318)),(I318-설정!$C$4)/365.25,"")</f>
        <v>0.336755646817248</v>
      </c>
      <c r="V318" s="43" t="str">
        <f aca="false">IF(Q318&lt;&gt;1,"",IF(ISNUMBER(U318),IF(U318&lt;=1,"1년 이하",IF(U318&lt;=2,"1-2년",IF(U318&lt;=3,"2-3년",IF(U318&lt;=4,"3-4년",IF(U318&lt;=5,"4-5년",IF(U318&lt;=7,"5-7년",IF(U318&lt;=10,"7-10년",IF(U318&lt;=20,"10-20년","20년 이상")))))))),"미분류"))</f>
        <v>1년 이하</v>
      </c>
      <c r="W318" s="43" t="str">
        <f aca="false">IF(Q318&lt;&gt;1,"",IF(AB318&lt;&gt;"",INDEX(시장분석!$C:$C,AB318),IF(K318=1,"USD","비USD")))</f>
        <v>USD</v>
      </c>
      <c r="X318" s="91" t="n">
        <f aca="false">IF(Q318=1,E318*K318/1000000,0)</f>
        <v>7</v>
      </c>
      <c r="Y318" s="89" t="n">
        <f aca="false">IF(R318="T",1,0)</f>
        <v>0</v>
      </c>
      <c r="Z318" s="92" t="n">
        <f aca="false">IF(Q318&lt;&gt;1,"",IF(AD318=1,IF(ISNUMBER(U318),MAX(U318,0),H318),H318))</f>
        <v>0.3249</v>
      </c>
      <c r="AA318" s="91" t="n">
        <f aca="false">IF(Q318=1,IF(ISNUMBER(L318),L318,0)*K318/1000000,0)</f>
        <v>7.049532</v>
      </c>
      <c r="AB318" s="89" t="n">
        <f aca="false">IF(Q318&lt;&gt;1,"",IFERROR(MATCH(VLOOKUP(B318,매핑!$H$4:$I$15,2,0),시장분석!$A$2:$A$601,0)+1,IFERROR(MATCH(R318&amp;"|"&amp;T318,시장분석!$V$2:$V$601,0)+1,IF(COUNTIF(시장분석!$U$2:$U$601,T318)=1,MATCH(T318,시장분석!$U$2:$U$601,0)+1,""))))</f>
        <v>92</v>
      </c>
      <c r="AC318" s="89" t="n">
        <f aca="false">IF(Q318&lt;&gt;1,0,IF(OR(설정!$C$5="전체",AND(설정!$C$5="선택펀드",IFERROR(COUNTIFS(설정!$F$16:$F$36,C318,설정!$G$16:$G$36,"Y")+COUNTIFS(설정!$F$16:$F$36,VALUE(C318),설정!$G$16:$G$36,"Y"),0)&gt;0),C318&amp;""=설정!$C$5&amp;""),1,0))</f>
        <v>0</v>
      </c>
      <c r="AD318" s="89" t="n">
        <f aca="false">IF(Q318&lt;&gt;1,0,IF(OR(S318=1,IF(AB318="",FALSE(),INDEX(시장분석!$R:$R,AB318)=1)),1,0))</f>
        <v>0</v>
      </c>
      <c r="AE318" s="43" t="str">
        <f aca="false">IF(AB318="","",INDEX(시장분석!$A:$A,AB318))</f>
        <v>KORELE 7 02/01/27</v>
      </c>
      <c r="AF318" s="93" t="n">
        <f aca="false">IF(AB318="","",IF(ISNUMBER(IF(AB318="","",INDEX(시장분석!$E:$E,AB318))),IF(AB318="","",INDEX(시장분석!$E:$E,AB318)),""))</f>
        <v>-27.202</v>
      </c>
      <c r="AG318" s="43" t="str">
        <f aca="false">IF(Q318&lt;&gt;1,"",IF(AB318&lt;&gt;"",IF(AB318="","",INDEX(시장분석!$L:$L,AB318)),IFERROR(IF(VLOOKUP(R318,매핑!$A$4:$E$92,5,0)="","미분류",VLOOKUP(R318,매핑!$A$4:$E$92,5,0)),"미분류")))</f>
        <v>정부</v>
      </c>
      <c r="AH318" s="43" t="str">
        <f aca="false">IF(Q318&lt;&gt;1,"",IF(AB318&lt;&gt;"",IF(AB318="","",INDEX(시장분석!$N:$N,AB318)),IFERROR(IF(VLOOKUP(R318,매핑!$A$4:$E$92,4,0)="","미분류",VLOOKUP(R318,매핑!$A$4:$E$92,4,0)),"미분류")))</f>
        <v>아시아/기타</v>
      </c>
      <c r="AI318" s="43" t="str">
        <f aca="false">IF(Q318&lt;&gt;1,"",IFERROR(IF(VLOOKUP(R318,매핑!$A$4:$E$92,3,0)="","미분류",VLOOKUP(R318,매핑!$A$4:$E$92,3,0)),IF(AB318&lt;&gt;"",IF(AB318="","",INDEX(시장분석!$W:$W,AB318)),"미분류")))</f>
        <v>한국</v>
      </c>
      <c r="AJ318" s="43" t="str">
        <f aca="false">IF(Q318&lt;&gt;1,"",IFERROR(VLOOKUP(IF(N318&lt;&gt;"",N318,IF(P318&lt;&gt;"",P318,O318)),설정!$A$15:$D$47,2,0),""))</f>
        <v>AA</v>
      </c>
      <c r="AK318" s="43" t="str">
        <f aca="false">IF(Q318&lt;&gt;1,"",IF(AJ318="","무등급",IFERROR(VLOOKUP(AJ318,설정!$A$15:$D$47,3,0),"무등급")))</f>
        <v>AA이상</v>
      </c>
      <c r="AL318" s="89" t="n">
        <f aca="false">IF(AJ318="",99,IFERROR(VLOOKUP(AJ318,설정!$A$15:$D$47,4,0),99))</f>
        <v>3</v>
      </c>
      <c r="AM318" s="94" t="n">
        <f aca="false">IF(ISNUMBER(H318),AA318*1000000*H318/10000,0)</f>
        <v>229.03929468</v>
      </c>
      <c r="AN318" s="94" t="n">
        <f aca="false">IF(OR(Y318=1,NOT(ISNUMBER(Z318))),0,AA318*1000000*Z318/10000)</f>
        <v>229.03929468</v>
      </c>
      <c r="AO318" s="94" t="n">
        <f aca="false">IF(ISNUMBER(G318),AA318*1000000*G318/100,0)</f>
        <v>338871.00324</v>
      </c>
      <c r="AP318" s="94" t="n">
        <f aca="false">IF(ISNUMBER(M318),M318*K318,0)</f>
        <v>107494.93</v>
      </c>
      <c r="AQ318" s="95" t="str">
        <f aca="false">IF(AB318="","",INDEX(시장분석!$AK:$AK,AB318))</f>
        <v/>
      </c>
      <c r="AR318" s="43" t="str">
        <f aca="false">IF(AB318="","-",IF(AB318="","",INDEX(시장분석!$AL:$AL,AB318)))</f>
        <v>-</v>
      </c>
      <c r="AS318" s="96" t="str">
        <f aca="false">IF(AB318="","",INDEX(시장분석!$AJ:$AJ,AB318))</f>
        <v/>
      </c>
      <c r="AT318" s="93" t="n">
        <f aca="false">IF(AB318="",0,IF(AB318="","",INDEX(시장분석!$AN:$AN,AB318)))</f>
        <v>0</v>
      </c>
      <c r="AU318" s="94" t="n">
        <f aca="false">IF(ISNUMBER(Z318),AT318/10000*MAX(Z318-1,0)*AA318*1000000,0)</f>
        <v>0</v>
      </c>
      <c r="AV318" s="94" t="n">
        <f aca="false">AO318+AU318</f>
        <v>338871.00324</v>
      </c>
      <c r="AW318" s="43" t="str">
        <f aca="false">IF(Q318&lt;&gt;1,"",TRIM(IF(AD318=1,"FRN ","")&amp;IF(AND(AL318&gt;=10,AL318&lt;99),"BBB0미만 ","")&amp;IF(AJ318="","등급없음 ","")&amp;IF(K318&lt;&gt;1,"비USD ","")&amp;IF(AND(AB318="",Y318=0),"시장데이터없음 ","")&amp;IF(AND(ISNUMBER(U318),U318&lt;0),"만기경과 ","")))</f>
        <v/>
      </c>
      <c r="AX318" s="90" t="n">
        <f aca="false">IF(Q318&lt;&gt;1,1,IF(스프레드쇼크!$C$4="Y",INDEX(스프레드쇼크!$B$12:$L$16,IFERROR(MATCH(AH318,스프레드쇼크!$A$12:$A$16,0),MATCH("목록외",스프레드쇼크!$A$12:$A$16,0)),IFERROR(MATCH(AG318,스프레드쇼크!$B$11:$L$11,0),MATCH("목록외",스프레드쇼크!$B$11:$L$11,0))),1))</f>
        <v>1</v>
      </c>
      <c r="AY318" s="90" t="n">
        <f aca="false">IF(스프레드쇼크!$C$5="Y",IF(ISNUMBER(AF318),MIN(스프레드쇼크!$C$7,MAX(스프레드쇼크!$C$6,AF318/스프레드쇼크!$C$8)),1),1)</f>
        <v>0.25</v>
      </c>
      <c r="AZ318" s="94" t="n">
        <f aca="false">AN318*AX318*AY318</f>
        <v>57.25982367</v>
      </c>
      <c r="BA318" s="90" t="n">
        <f aca="false">IF(ISNUMBER(G318),AA318*G318,0)</f>
        <v>33.887100324</v>
      </c>
      <c r="BB318" s="90" t="n">
        <f aca="false">IF(ISNUMBER(G318),AA318,0)</f>
        <v>7.049532</v>
      </c>
      <c r="BC318" s="90" t="n">
        <f aca="false">IF(AND(Y318=0,ISNUMBER(AF318)),AA318*AF318,0)</f>
        <v>-191.761369464</v>
      </c>
      <c r="BD318" s="90" t="n">
        <f aca="false">IF(AND(Y318=0,ISNUMBER(AF318)),AA318,0)</f>
        <v>7.049532</v>
      </c>
      <c r="BE318" s="90" t="n">
        <f aca="false">IF(ISNUMBER(H318),AA318*H318,0)</f>
        <v>2.2903929468</v>
      </c>
      <c r="BF318" s="90" t="n">
        <f aca="false">IF(ISNUMBER(H318),AA318,0)</f>
        <v>7.049532</v>
      </c>
      <c r="BG318" s="90" t="n">
        <f aca="false">IF(AND(Y318=0,ISNUMBER(AF318),ISNUMBER(Z318)),AA318*Z318,0)</f>
        <v>2.2903929468</v>
      </c>
      <c r="BH318" s="90" t="n">
        <f aca="false">IF(AND(Y318=0,ISNUMBER(AF318),ISNUMBER(Z318)),AA318*AT318*MAX(Z318-1,0),0)</f>
        <v>0</v>
      </c>
      <c r="BI318" s="90" t="n">
        <f aca="false">IF(Y318=0,AA318,0)</f>
        <v>7.049532</v>
      </c>
    </row>
    <row r="319" customFormat="false" ht="15" hidden="false" customHeight="false" outlineLevel="0" collapsed="false">
      <c r="A319" s="83" t="str">
        <f aca="false">IFERROR(IF(INDEX(원자료_잔고!$A$1:$EZ$1500,설정!$L$5+ROW()-1,설정!$L$8)&amp;""="0","",INDEX(원자료_잔고!$A$1:$EZ$1500,설정!$L$5+ROW()-1,설정!$L$8)&amp;""),"")</f>
        <v>T 4.25 08/15/54</v>
      </c>
      <c r="B319" s="83" t="str">
        <f aca="false">IFERROR(IF(INDEX(원자료_잔고!$A$1:$EZ$1500,설정!$L$5+ROW()-1,설정!$L$7)&amp;""="0","",INDEX(원자료_잔고!$A$1:$EZ$1500,설정!$L$5+ROW()-1,설정!$L$7)&amp;""),"")</f>
        <v>US912810UC08</v>
      </c>
      <c r="C319" s="83" t="str">
        <f aca="false">IFERROR(IF(INDEX(원자료_잔고!$A$1:$EZ$1500,설정!$L$5+ROW()-1,설정!$L$9)&amp;""="0","",INDEX(원자료_잔고!$A$1:$EZ$1500,설정!$L$5+ROW()-1,설정!$L$9)&amp;""),"")</f>
        <v>38088</v>
      </c>
      <c r="D319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19" s="84" t="n">
        <f aca="false">IFERROR(IF(ISNUMBER(INDEX(원자료_잔고!$A$1:$EZ$1500,설정!$L$5+ROW()-1,설정!$L$11)),INDEX(원자료_잔고!$A$1:$EZ$1500,설정!$L$5+ROW()-1,설정!$L$11),""),"")</f>
        <v>1000000</v>
      </c>
      <c r="F319" s="85" t="n">
        <f aca="false">IFERROR(IF(ISNUMBER(INDEX(원자료_잔고!$A$1:$EZ$1500,설정!$L$5+ROW()-1,설정!$L$12)),INDEX(원자료_잔고!$A$1:$EZ$1500,설정!$L$5+ROW()-1,설정!$L$12),""),"")</f>
        <v>81.184</v>
      </c>
      <c r="G319" s="85" t="n">
        <f aca="false">IFERROR(IF(ISNUMBER(INDEX(원자료_잔고!$A$1:$EZ$1500,설정!$L$5+ROW()-1,설정!$L$13)),INDEX(원자료_잔고!$A$1:$EZ$1500,설정!$L$5+ROW()-1,설정!$L$13),""),"")</f>
        <v>5.5892</v>
      </c>
      <c r="H319" s="85" t="n">
        <f aca="false">IFERROR(IF(ISNUMBER(INDEX(원자료_잔고!$A$1:$EZ$1500,설정!$L$5+ROW()-1,설정!$L$14)),INDEX(원자료_잔고!$A$1:$EZ$1500,설정!$L$5+ROW()-1,설정!$L$14),""),"")</f>
        <v>14.5835</v>
      </c>
      <c r="I319" s="86" t="n">
        <f aca="false">IFERROR(IF(ISNUMBER(INDEX(원자료_잔고!$A$1:$EZ$1500,설정!$L$5+ROW()-1,설정!$L$15)),INDEX(원자료_잔고!$A$1:$EZ$1500,설정!$L$5+ROW()-1,설정!$L$15),""),"")</f>
        <v>56476</v>
      </c>
      <c r="J319" s="85" t="n">
        <f aca="false">IFERROR(IF(ISNUMBER(INDEX(원자료_잔고!$A$1:$EZ$1500,설정!$L$5+ROW()-1,설정!$L$16)),INDEX(원자료_잔고!$A$1:$EZ$1500,설정!$L$5+ROW()-1,설정!$L$16),""),"")</f>
        <v>4.25</v>
      </c>
      <c r="K319" s="87" t="n">
        <f aca="false">IFERROR(IF(ISNUMBER(INDEX(원자료_잔고!$A$1:$EZ$1500,설정!$L$5+ROW()-1,설정!$L$17)),INDEX(원자료_잔고!$A$1:$EZ$1500,설정!$L$5+ROW()-1,설정!$L$17),""),"")</f>
        <v>1</v>
      </c>
      <c r="L319" s="84" t="n">
        <f aca="false">IFERROR(IF(ISNUMBER(INDEX(원자료_잔고!$A$1:$EZ$1500,설정!$L$5+ROW()-1,설정!$L$18)),INDEX(원자료_잔고!$A$1:$EZ$1500,설정!$L$5+ROW()-1,설정!$L$18),""),"")</f>
        <v>811840</v>
      </c>
      <c r="M319" s="88" t="n">
        <f aca="false">IFERROR(IF(ISNUMBER(INDEX(원자료_잔고!$A$1:$EZ$1500,설정!$L$5+ROW()-1,설정!$L$19)),INDEX(원자료_잔고!$A$1:$EZ$1500,설정!$L$5+ROW()-1,설정!$L$19),""),"")</f>
        <v>-98334.7</v>
      </c>
      <c r="N319" s="83" t="str">
        <f aca="false">IFERROR(IF(INDEX(원자료_잔고!$A$1:$EZ$1500,설정!$L$5+ROW()-1,설정!$L$21)&amp;""="0","",INDEX(원자료_잔고!$A$1:$EZ$1500,설정!$L$5+ROW()-1,설정!$L$21)&amp;""),"")</f>
        <v/>
      </c>
      <c r="O319" s="83" t="str">
        <f aca="false">IFERROR(IF(INDEX(원자료_잔고!$A$1:$EZ$1500,설정!$L$5+ROW()-1,설정!$L$22)&amp;""="0","",INDEX(원자료_잔고!$A$1:$EZ$1500,설정!$L$5+ROW()-1,설정!$L$22)&amp;""),"")</f>
        <v/>
      </c>
      <c r="P319" s="83" t="str">
        <f aca="false">IFERROR(IF(INDEX(원자료_잔고!$A$1:$EZ$1500,설정!$L$5+ROW()-1,설정!$L$23)&amp;""="0","",INDEX(원자료_잔고!$A$1:$EZ$1500,설정!$L$5+ROW()-1,설정!$L$23)&amp;""),"")</f>
        <v>AA+</v>
      </c>
      <c r="Q319" s="89" t="n">
        <f aca="false">IF(AND($A319&lt;&gt;"",ISNUMBER(E319)),IF(E319&gt;0,1,0),0)</f>
        <v>1</v>
      </c>
      <c r="R319" s="43" t="str">
        <f aca="false">IF(Q319=1,UPPER(LEFT($A319,FIND(" ",$A319&amp;" ")-1)),"")</f>
        <v>T</v>
      </c>
      <c r="S319" s="89" t="n">
        <f aca="false">IF(Q319=1,IF(OR(ISNUMBER(SEARCH("Float",$A319)),ISNUMBER(SEARCH("FRN",$A319))),1,0),0)</f>
        <v>0</v>
      </c>
      <c r="T319" s="43" t="str">
        <f aca="false">IF(AND(Q319=1,ISNUMBER(I319)),TEXT(I319,"yyyymmdd")&amp;"|"&amp;IF(S319=1,"F",TEXT(J319,"0.000")),"")</f>
        <v>20540815|4.250</v>
      </c>
      <c r="U319" s="90" t="n">
        <f aca="false">IF(AND(Q319=1,ISNUMBER(I319)),(I319-설정!$C$4)/365.25,"")</f>
        <v>27.8713210130048</v>
      </c>
      <c r="V319" s="43" t="str">
        <f aca="false">IF(Q319&lt;&gt;1,"",IF(ISNUMBER(U319),IF(U319&lt;=1,"1년 이하",IF(U319&lt;=2,"1-2년",IF(U319&lt;=3,"2-3년",IF(U319&lt;=4,"3-4년",IF(U319&lt;=5,"4-5년",IF(U319&lt;=7,"5-7년",IF(U319&lt;=10,"7-10년",IF(U319&lt;=20,"10-20년","20년 이상")))))))),"미분류"))</f>
        <v>20년 이상</v>
      </c>
      <c r="W319" s="43" t="str">
        <f aca="false">IF(Q319&lt;&gt;1,"",IF(AB319&lt;&gt;"",INDEX(시장분석!$C:$C,AB319),IF(K319=1,"USD","비USD")))</f>
        <v>USD</v>
      </c>
      <c r="X319" s="91" t="n">
        <f aca="false">IF(Q319=1,E319*K319/1000000,0)</f>
        <v>1</v>
      </c>
      <c r="Y319" s="89" t="n">
        <f aca="false">IF(R319="T",1,0)</f>
        <v>1</v>
      </c>
      <c r="Z319" s="92" t="n">
        <f aca="false">IF(Q319&lt;&gt;1,"",IF(AD319=1,IF(ISNUMBER(U319),MAX(U319,0),H319),H319))</f>
        <v>14.5835</v>
      </c>
      <c r="AA319" s="91" t="n">
        <f aca="false">IF(Q319=1,IF(ISNUMBER(L319),L319,0)*K319/1000000,0)</f>
        <v>0.81184</v>
      </c>
      <c r="AB319" s="89" t="n">
        <f aca="false">IF(Q319&lt;&gt;1,"",IFERROR(MATCH(VLOOKUP(B319,매핑!$H$4:$I$15,2,0),시장분석!$A$2:$A$601,0)+1,IFERROR(MATCH(R319&amp;"|"&amp;T319,시장분석!$V$2:$V$601,0)+1,IF(COUNTIF(시장분석!$U$2:$U$601,T319)=1,MATCH(T319,시장분석!$U$2:$U$601,0)+1,""))))</f>
        <v>117</v>
      </c>
      <c r="AC319" s="89" t="n">
        <f aca="false">IF(Q319&lt;&gt;1,0,IF(OR(설정!$C$5="전체",AND(설정!$C$5="선택펀드",IFERROR(COUNTIFS(설정!$F$16:$F$36,C319,설정!$G$16:$G$36,"Y")+COUNTIFS(설정!$F$16:$F$36,VALUE(C319),설정!$G$16:$G$36,"Y"),0)&gt;0),C319&amp;""=설정!$C$5&amp;""),1,0))</f>
        <v>0</v>
      </c>
      <c r="AD319" s="89" t="n">
        <f aca="false">IF(Q319&lt;&gt;1,0,IF(OR(S319=1,IF(AB319="",FALSE(),INDEX(시장분석!$R:$R,AB319)=1)),1,0))</f>
        <v>0</v>
      </c>
      <c r="AE319" s="43" t="str">
        <f aca="false">IF(AB319="","",INDEX(시장분석!$A:$A,AB319))</f>
        <v>T 4 1/4 08/15/54</v>
      </c>
      <c r="AF319" s="93" t="n">
        <f aca="false">IF(AB319="","",IF(ISNUMBER(IF(AB319="","",INDEX(시장분석!$E:$E,AB319))),IF(AB319="","",INDEX(시장분석!$E:$E,AB319)),""))</f>
        <v>3.4</v>
      </c>
      <c r="AG319" s="43" t="str">
        <f aca="false">IF(Q319&lt;&gt;1,"",IF(AB319&lt;&gt;"",IF(AB319="","",INDEX(시장분석!$L:$L,AB319)),IFERROR(IF(VLOOKUP(R319,매핑!$A$4:$E$92,5,0)="","미분류",VLOOKUP(R319,매핑!$A$4:$E$92,5,0)),"미분류")))</f>
        <v>정부</v>
      </c>
      <c r="AH319" s="43" t="str">
        <f aca="false">IF(Q319&lt;&gt;1,"",IF(AB319&lt;&gt;"",IF(AB319="","",INDEX(시장분석!$N:$N,AB319)),IFERROR(IF(VLOOKUP(R319,매핑!$A$4:$E$92,4,0)="","미분류",VLOOKUP(R319,매핑!$A$4:$E$92,4,0)),"미분류")))</f>
        <v>미국</v>
      </c>
      <c r="AI319" s="43" t="str">
        <f aca="false">IF(Q319&lt;&gt;1,"",IFERROR(IF(VLOOKUP(R319,매핑!$A$4:$E$92,3,0)="","미분류",VLOOKUP(R319,매핑!$A$4:$E$92,3,0)),IF(AB319&lt;&gt;"",IF(AB319="","",INDEX(시장분석!$W:$W,AB319)),"미분류")))</f>
        <v>미국</v>
      </c>
      <c r="AJ319" s="43" t="str">
        <f aca="false">IF(Q319&lt;&gt;1,"",IFERROR(VLOOKUP(IF(N319&lt;&gt;"",N319,IF(P319&lt;&gt;"",P319,O319)),설정!$A$15:$D$47,2,0),""))</f>
        <v>AA+</v>
      </c>
      <c r="AK319" s="43" t="str">
        <f aca="false">IF(Q319&lt;&gt;1,"",IF(AJ319="","무등급",IFERROR(VLOOKUP(AJ319,설정!$A$15:$D$47,3,0),"무등급")))</f>
        <v>AA이상</v>
      </c>
      <c r="AL319" s="89" t="n">
        <f aca="false">IF(AJ319="",99,IFERROR(VLOOKUP(AJ319,설정!$A$15:$D$47,4,0),99))</f>
        <v>2</v>
      </c>
      <c r="AM319" s="94" t="n">
        <f aca="false">IF(ISNUMBER(H319),AA319*1000000*H319/10000,0)</f>
        <v>1183.946864</v>
      </c>
      <c r="AN319" s="94" t="n">
        <f aca="false">IF(OR(Y319=1,NOT(ISNUMBER(Z319))),0,AA319*1000000*Z319/10000)</f>
        <v>0</v>
      </c>
      <c r="AO319" s="94" t="n">
        <f aca="false">IF(ISNUMBER(G319),AA319*1000000*G319/100,0)</f>
        <v>45375.36128</v>
      </c>
      <c r="AP319" s="94" t="n">
        <f aca="false">IF(ISNUMBER(M319),M319*K319,0)</f>
        <v>-98334.7</v>
      </c>
      <c r="AQ319" s="95" t="str">
        <f aca="false">IF(AB319="","",INDEX(시장분석!$AK:$AK,AB319))</f>
        <v/>
      </c>
      <c r="AR319" s="43" t="str">
        <f aca="false">IF(AB319="","-",IF(AB319="","",INDEX(시장분석!$AL:$AL,AB319)))</f>
        <v>-</v>
      </c>
      <c r="AS319" s="96" t="str">
        <f aca="false">IF(AB319="","",INDEX(시장분석!$AJ:$AJ,AB319))</f>
        <v/>
      </c>
      <c r="AT319" s="93" t="n">
        <f aca="false">IF(AB319="",0,IF(AB319="","",INDEX(시장분석!$AN:$AN,AB319)))</f>
        <v>0</v>
      </c>
      <c r="AU319" s="94" t="n">
        <f aca="false">IF(ISNUMBER(Z319),AT319/10000*MAX(Z319-1,0)*AA319*1000000,0)</f>
        <v>0</v>
      </c>
      <c r="AV319" s="94" t="n">
        <f aca="false">AO319+AU319</f>
        <v>45375.36128</v>
      </c>
      <c r="AW319" s="43" t="str">
        <f aca="false">IF(Q319&lt;&gt;1,"",TRIM(IF(AD319=1,"FRN ","")&amp;IF(AND(AL319&gt;=10,AL319&lt;99),"BBB0미만 ","")&amp;IF(AJ319="","등급없음 ","")&amp;IF(K319&lt;&gt;1,"비USD ","")&amp;IF(AND(AB319="",Y319=0),"시장데이터없음 ","")&amp;IF(AND(ISNUMBER(U319),U319&lt;0),"만기경과 ","")))</f>
        <v/>
      </c>
      <c r="AX319" s="90" t="n">
        <f aca="false">IF(Q319&lt;&gt;1,1,IF(스프레드쇼크!$C$4="Y",INDEX(스프레드쇼크!$B$12:$L$16,IFERROR(MATCH(AH319,스프레드쇼크!$A$12:$A$16,0),MATCH("목록외",스프레드쇼크!$A$12:$A$16,0)),IFERROR(MATCH(AG319,스프레드쇼크!$B$11:$L$11,0),MATCH("목록외",스프레드쇼크!$B$11:$L$11,0))),1))</f>
        <v>1</v>
      </c>
      <c r="AY319" s="90" t="n">
        <f aca="false">IF(스프레드쇼크!$C$5="Y",IF(ISNUMBER(AF319),MIN(스프레드쇼크!$C$7,MAX(스프레드쇼크!$C$6,AF319/스프레드쇼크!$C$8)),1),1)</f>
        <v>0.25</v>
      </c>
      <c r="AZ319" s="94" t="n">
        <f aca="false">AN319*AX319*AY319</f>
        <v>0</v>
      </c>
      <c r="BA319" s="90" t="n">
        <f aca="false">IF(ISNUMBER(G319),AA319*G319,0)</f>
        <v>4.537536128</v>
      </c>
      <c r="BB319" s="90" t="n">
        <f aca="false">IF(ISNUMBER(G319),AA319,0)</f>
        <v>0.81184</v>
      </c>
      <c r="BC319" s="90" t="n">
        <f aca="false">IF(AND(Y319=0,ISNUMBER(AF319)),AA319*AF319,0)</f>
        <v>0</v>
      </c>
      <c r="BD319" s="90" t="n">
        <f aca="false">IF(AND(Y319=0,ISNUMBER(AF319)),AA319,0)</f>
        <v>0</v>
      </c>
      <c r="BE319" s="90" t="n">
        <f aca="false">IF(ISNUMBER(H319),AA319*H319,0)</f>
        <v>11.83946864</v>
      </c>
      <c r="BF319" s="90" t="n">
        <f aca="false">IF(ISNUMBER(H319),AA319,0)</f>
        <v>0.81184</v>
      </c>
      <c r="BG319" s="90" t="n">
        <f aca="false">IF(AND(Y319=0,ISNUMBER(AF319),ISNUMBER(Z319)),AA319*Z319,0)</f>
        <v>0</v>
      </c>
      <c r="BH319" s="90" t="n">
        <f aca="false">IF(AND(Y319=0,ISNUMBER(AF319),ISNUMBER(Z319)),AA319*AT319*MAX(Z319-1,0),0)</f>
        <v>0</v>
      </c>
      <c r="BI319" s="90" t="n">
        <f aca="false">IF(Y319=0,AA319,0)</f>
        <v>0</v>
      </c>
    </row>
    <row r="320" customFormat="false" ht="15" hidden="false" customHeight="false" outlineLevel="0" collapsed="false">
      <c r="A320" s="83" t="str">
        <f aca="false">IFERROR(IF(INDEX(원자료_잔고!$A$1:$EZ$1500,설정!$L$5+ROW()-1,설정!$L$8)&amp;""="0","",INDEX(원자료_잔고!$A$1:$EZ$1500,설정!$L$5+ROW()-1,설정!$L$8)&amp;""),"")</f>
        <v>T 4.25 08/15/54</v>
      </c>
      <c r="B320" s="83" t="str">
        <f aca="false">IFERROR(IF(INDEX(원자료_잔고!$A$1:$EZ$1500,설정!$L$5+ROW()-1,설정!$L$7)&amp;""="0","",INDEX(원자료_잔고!$A$1:$EZ$1500,설정!$L$5+ROW()-1,설정!$L$7)&amp;""),"")</f>
        <v>US912810UC08</v>
      </c>
      <c r="C320" s="83" t="str">
        <f aca="false">IFERROR(IF(INDEX(원자료_잔고!$A$1:$EZ$1500,설정!$L$5+ROW()-1,설정!$L$9)&amp;""="0","",INDEX(원자료_잔고!$A$1:$EZ$1500,설정!$L$5+ROW()-1,설정!$L$9)&amp;""),"")</f>
        <v>38088</v>
      </c>
      <c r="D320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20" s="84" t="n">
        <f aca="false">IFERROR(IF(ISNUMBER(INDEX(원자료_잔고!$A$1:$EZ$1500,설정!$L$5+ROW()-1,설정!$L$11)),INDEX(원자료_잔고!$A$1:$EZ$1500,설정!$L$5+ROW()-1,설정!$L$11),""),"")</f>
        <v>1000000</v>
      </c>
      <c r="F320" s="85" t="n">
        <f aca="false">IFERROR(IF(ISNUMBER(INDEX(원자료_잔고!$A$1:$EZ$1500,설정!$L$5+ROW()-1,설정!$L$12)),INDEX(원자료_잔고!$A$1:$EZ$1500,설정!$L$5+ROW()-1,설정!$L$12),""),"")</f>
        <v>81.184</v>
      </c>
      <c r="G320" s="85" t="n">
        <f aca="false">IFERROR(IF(ISNUMBER(INDEX(원자료_잔고!$A$1:$EZ$1500,설정!$L$5+ROW()-1,설정!$L$13)),INDEX(원자료_잔고!$A$1:$EZ$1500,설정!$L$5+ROW()-1,설정!$L$13),""),"")</f>
        <v>5.5892</v>
      </c>
      <c r="H320" s="85" t="n">
        <f aca="false">IFERROR(IF(ISNUMBER(INDEX(원자료_잔고!$A$1:$EZ$1500,설정!$L$5+ROW()-1,설정!$L$14)),INDEX(원자료_잔고!$A$1:$EZ$1500,설정!$L$5+ROW()-1,설정!$L$14),""),"")</f>
        <v>14.5835</v>
      </c>
      <c r="I320" s="86" t="n">
        <f aca="false">IFERROR(IF(ISNUMBER(INDEX(원자료_잔고!$A$1:$EZ$1500,설정!$L$5+ROW()-1,설정!$L$15)),INDEX(원자료_잔고!$A$1:$EZ$1500,설정!$L$5+ROW()-1,설정!$L$15),""),"")</f>
        <v>56476</v>
      </c>
      <c r="J320" s="85" t="n">
        <f aca="false">IFERROR(IF(ISNUMBER(INDEX(원자료_잔고!$A$1:$EZ$1500,설정!$L$5+ROW()-1,설정!$L$16)),INDEX(원자료_잔고!$A$1:$EZ$1500,설정!$L$5+ROW()-1,설정!$L$16),""),"")</f>
        <v>4.25</v>
      </c>
      <c r="K320" s="87" t="n">
        <f aca="false">IFERROR(IF(ISNUMBER(INDEX(원자료_잔고!$A$1:$EZ$1500,설정!$L$5+ROW()-1,설정!$L$17)),INDEX(원자료_잔고!$A$1:$EZ$1500,설정!$L$5+ROW()-1,설정!$L$17),""),"")</f>
        <v>1</v>
      </c>
      <c r="L320" s="84" t="n">
        <f aca="false">IFERROR(IF(ISNUMBER(INDEX(원자료_잔고!$A$1:$EZ$1500,설정!$L$5+ROW()-1,설정!$L$18)),INDEX(원자료_잔고!$A$1:$EZ$1500,설정!$L$5+ROW()-1,설정!$L$18),""),"")</f>
        <v>811840</v>
      </c>
      <c r="M320" s="88" t="n">
        <f aca="false">IFERROR(IF(ISNUMBER(INDEX(원자료_잔고!$A$1:$EZ$1500,설정!$L$5+ROW()-1,설정!$L$19)),INDEX(원자료_잔고!$A$1:$EZ$1500,설정!$L$5+ROW()-1,설정!$L$19),""),"")</f>
        <v>-99357.29</v>
      </c>
      <c r="N320" s="83" t="str">
        <f aca="false">IFERROR(IF(INDEX(원자료_잔고!$A$1:$EZ$1500,설정!$L$5+ROW()-1,설정!$L$21)&amp;""="0","",INDEX(원자료_잔고!$A$1:$EZ$1500,설정!$L$5+ROW()-1,설정!$L$21)&amp;""),"")</f>
        <v/>
      </c>
      <c r="O320" s="83" t="str">
        <f aca="false">IFERROR(IF(INDEX(원자료_잔고!$A$1:$EZ$1500,설정!$L$5+ROW()-1,설정!$L$22)&amp;""="0","",INDEX(원자료_잔고!$A$1:$EZ$1500,설정!$L$5+ROW()-1,설정!$L$22)&amp;""),"")</f>
        <v/>
      </c>
      <c r="P320" s="83" t="str">
        <f aca="false">IFERROR(IF(INDEX(원자료_잔고!$A$1:$EZ$1500,설정!$L$5+ROW()-1,설정!$L$23)&amp;""="0","",INDEX(원자료_잔고!$A$1:$EZ$1500,설정!$L$5+ROW()-1,설정!$L$23)&amp;""),"")</f>
        <v>AA+</v>
      </c>
      <c r="Q320" s="89" t="n">
        <f aca="false">IF(AND($A320&lt;&gt;"",ISNUMBER(E320)),IF(E320&gt;0,1,0),0)</f>
        <v>1</v>
      </c>
      <c r="R320" s="43" t="str">
        <f aca="false">IF(Q320=1,UPPER(LEFT($A320,FIND(" ",$A320&amp;" ")-1)),"")</f>
        <v>T</v>
      </c>
      <c r="S320" s="89" t="n">
        <f aca="false">IF(Q320=1,IF(OR(ISNUMBER(SEARCH("Float",$A320)),ISNUMBER(SEARCH("FRN",$A320))),1,0),0)</f>
        <v>0</v>
      </c>
      <c r="T320" s="43" t="str">
        <f aca="false">IF(AND(Q320=1,ISNUMBER(I320)),TEXT(I320,"yyyymmdd")&amp;"|"&amp;IF(S320=1,"F",TEXT(J320,"0.000")),"")</f>
        <v>20540815|4.250</v>
      </c>
      <c r="U320" s="90" t="n">
        <f aca="false">IF(AND(Q320=1,ISNUMBER(I320)),(I320-설정!$C$4)/365.25,"")</f>
        <v>27.8713210130048</v>
      </c>
      <c r="V320" s="43" t="str">
        <f aca="false">IF(Q320&lt;&gt;1,"",IF(ISNUMBER(U320),IF(U320&lt;=1,"1년 이하",IF(U320&lt;=2,"1-2년",IF(U320&lt;=3,"2-3년",IF(U320&lt;=4,"3-4년",IF(U320&lt;=5,"4-5년",IF(U320&lt;=7,"5-7년",IF(U320&lt;=10,"7-10년",IF(U320&lt;=20,"10-20년","20년 이상")))))))),"미분류"))</f>
        <v>20년 이상</v>
      </c>
      <c r="W320" s="43" t="str">
        <f aca="false">IF(Q320&lt;&gt;1,"",IF(AB320&lt;&gt;"",INDEX(시장분석!$C:$C,AB320),IF(K320=1,"USD","비USD")))</f>
        <v>USD</v>
      </c>
      <c r="X320" s="91" t="n">
        <f aca="false">IF(Q320=1,E320*K320/1000000,0)</f>
        <v>1</v>
      </c>
      <c r="Y320" s="89" t="n">
        <f aca="false">IF(R320="T",1,0)</f>
        <v>1</v>
      </c>
      <c r="Z320" s="92" t="n">
        <f aca="false">IF(Q320&lt;&gt;1,"",IF(AD320=1,IF(ISNUMBER(U320),MAX(U320,0),H320),H320))</f>
        <v>14.5835</v>
      </c>
      <c r="AA320" s="91" t="n">
        <f aca="false">IF(Q320=1,IF(ISNUMBER(L320),L320,0)*K320/1000000,0)</f>
        <v>0.81184</v>
      </c>
      <c r="AB320" s="89" t="n">
        <f aca="false">IF(Q320&lt;&gt;1,"",IFERROR(MATCH(VLOOKUP(B320,매핑!$H$4:$I$15,2,0),시장분석!$A$2:$A$601,0)+1,IFERROR(MATCH(R320&amp;"|"&amp;T320,시장분석!$V$2:$V$601,0)+1,IF(COUNTIF(시장분석!$U$2:$U$601,T320)=1,MATCH(T320,시장분석!$U$2:$U$601,0)+1,""))))</f>
        <v>117</v>
      </c>
      <c r="AC320" s="89" t="n">
        <f aca="false">IF(Q320&lt;&gt;1,0,IF(OR(설정!$C$5="전체",AND(설정!$C$5="선택펀드",IFERROR(COUNTIFS(설정!$F$16:$F$36,C320,설정!$G$16:$G$36,"Y")+COUNTIFS(설정!$F$16:$F$36,VALUE(C320),설정!$G$16:$G$36,"Y"),0)&gt;0),C320&amp;""=설정!$C$5&amp;""),1,0))</f>
        <v>0</v>
      </c>
      <c r="AD320" s="89" t="n">
        <f aca="false">IF(Q320&lt;&gt;1,0,IF(OR(S320=1,IF(AB320="",FALSE(),INDEX(시장분석!$R:$R,AB320)=1)),1,0))</f>
        <v>0</v>
      </c>
      <c r="AE320" s="43" t="str">
        <f aca="false">IF(AB320="","",INDEX(시장분석!$A:$A,AB320))</f>
        <v>T 4 1/4 08/15/54</v>
      </c>
      <c r="AF320" s="93" t="n">
        <f aca="false">IF(AB320="","",IF(ISNUMBER(IF(AB320="","",INDEX(시장분석!$E:$E,AB320))),IF(AB320="","",INDEX(시장분석!$E:$E,AB320)),""))</f>
        <v>3.4</v>
      </c>
      <c r="AG320" s="43" t="str">
        <f aca="false">IF(Q320&lt;&gt;1,"",IF(AB320&lt;&gt;"",IF(AB320="","",INDEX(시장분석!$L:$L,AB320)),IFERROR(IF(VLOOKUP(R320,매핑!$A$4:$E$92,5,0)="","미분류",VLOOKUP(R320,매핑!$A$4:$E$92,5,0)),"미분류")))</f>
        <v>정부</v>
      </c>
      <c r="AH320" s="43" t="str">
        <f aca="false">IF(Q320&lt;&gt;1,"",IF(AB320&lt;&gt;"",IF(AB320="","",INDEX(시장분석!$N:$N,AB320)),IFERROR(IF(VLOOKUP(R320,매핑!$A$4:$E$92,4,0)="","미분류",VLOOKUP(R320,매핑!$A$4:$E$92,4,0)),"미분류")))</f>
        <v>미국</v>
      </c>
      <c r="AI320" s="43" t="str">
        <f aca="false">IF(Q320&lt;&gt;1,"",IFERROR(IF(VLOOKUP(R320,매핑!$A$4:$E$92,3,0)="","미분류",VLOOKUP(R320,매핑!$A$4:$E$92,3,0)),IF(AB320&lt;&gt;"",IF(AB320="","",INDEX(시장분석!$W:$W,AB320)),"미분류")))</f>
        <v>미국</v>
      </c>
      <c r="AJ320" s="43" t="str">
        <f aca="false">IF(Q320&lt;&gt;1,"",IFERROR(VLOOKUP(IF(N320&lt;&gt;"",N320,IF(P320&lt;&gt;"",P320,O320)),설정!$A$15:$D$47,2,0),""))</f>
        <v>AA+</v>
      </c>
      <c r="AK320" s="43" t="str">
        <f aca="false">IF(Q320&lt;&gt;1,"",IF(AJ320="","무등급",IFERROR(VLOOKUP(AJ320,설정!$A$15:$D$47,3,0),"무등급")))</f>
        <v>AA이상</v>
      </c>
      <c r="AL320" s="89" t="n">
        <f aca="false">IF(AJ320="",99,IFERROR(VLOOKUP(AJ320,설정!$A$15:$D$47,4,0),99))</f>
        <v>2</v>
      </c>
      <c r="AM320" s="94" t="n">
        <f aca="false">IF(ISNUMBER(H320),AA320*1000000*H320/10000,0)</f>
        <v>1183.946864</v>
      </c>
      <c r="AN320" s="94" t="n">
        <f aca="false">IF(OR(Y320=1,NOT(ISNUMBER(Z320))),0,AA320*1000000*Z320/10000)</f>
        <v>0</v>
      </c>
      <c r="AO320" s="94" t="n">
        <f aca="false">IF(ISNUMBER(G320),AA320*1000000*G320/100,0)</f>
        <v>45375.36128</v>
      </c>
      <c r="AP320" s="94" t="n">
        <f aca="false">IF(ISNUMBER(M320),M320*K320,0)</f>
        <v>-99357.29</v>
      </c>
      <c r="AQ320" s="95" t="str">
        <f aca="false">IF(AB320="","",INDEX(시장분석!$AK:$AK,AB320))</f>
        <v/>
      </c>
      <c r="AR320" s="43" t="str">
        <f aca="false">IF(AB320="","-",IF(AB320="","",INDEX(시장분석!$AL:$AL,AB320)))</f>
        <v>-</v>
      </c>
      <c r="AS320" s="96" t="str">
        <f aca="false">IF(AB320="","",INDEX(시장분석!$AJ:$AJ,AB320))</f>
        <v/>
      </c>
      <c r="AT320" s="93" t="n">
        <f aca="false">IF(AB320="",0,IF(AB320="","",INDEX(시장분석!$AN:$AN,AB320)))</f>
        <v>0</v>
      </c>
      <c r="AU320" s="94" t="n">
        <f aca="false">IF(ISNUMBER(Z320),AT320/10000*MAX(Z320-1,0)*AA320*1000000,0)</f>
        <v>0</v>
      </c>
      <c r="AV320" s="94" t="n">
        <f aca="false">AO320+AU320</f>
        <v>45375.36128</v>
      </c>
      <c r="AW320" s="43" t="str">
        <f aca="false">IF(Q320&lt;&gt;1,"",TRIM(IF(AD320=1,"FRN ","")&amp;IF(AND(AL320&gt;=10,AL320&lt;99),"BBB0미만 ","")&amp;IF(AJ320="","등급없음 ","")&amp;IF(K320&lt;&gt;1,"비USD ","")&amp;IF(AND(AB320="",Y320=0),"시장데이터없음 ","")&amp;IF(AND(ISNUMBER(U320),U320&lt;0),"만기경과 ","")))</f>
        <v/>
      </c>
      <c r="AX320" s="90" t="n">
        <f aca="false">IF(Q320&lt;&gt;1,1,IF(스프레드쇼크!$C$4="Y",INDEX(스프레드쇼크!$B$12:$L$16,IFERROR(MATCH(AH320,스프레드쇼크!$A$12:$A$16,0),MATCH("목록외",스프레드쇼크!$A$12:$A$16,0)),IFERROR(MATCH(AG320,스프레드쇼크!$B$11:$L$11,0),MATCH("목록외",스프레드쇼크!$B$11:$L$11,0))),1))</f>
        <v>1</v>
      </c>
      <c r="AY320" s="90" t="n">
        <f aca="false">IF(스프레드쇼크!$C$5="Y",IF(ISNUMBER(AF320),MIN(스프레드쇼크!$C$7,MAX(스프레드쇼크!$C$6,AF320/스프레드쇼크!$C$8)),1),1)</f>
        <v>0.25</v>
      </c>
      <c r="AZ320" s="94" t="n">
        <f aca="false">AN320*AX320*AY320</f>
        <v>0</v>
      </c>
      <c r="BA320" s="90" t="n">
        <f aca="false">IF(ISNUMBER(G320),AA320*G320,0)</f>
        <v>4.537536128</v>
      </c>
      <c r="BB320" s="90" t="n">
        <f aca="false">IF(ISNUMBER(G320),AA320,0)</f>
        <v>0.81184</v>
      </c>
      <c r="BC320" s="90" t="n">
        <f aca="false">IF(AND(Y320=0,ISNUMBER(AF320)),AA320*AF320,0)</f>
        <v>0</v>
      </c>
      <c r="BD320" s="90" t="n">
        <f aca="false">IF(AND(Y320=0,ISNUMBER(AF320)),AA320,0)</f>
        <v>0</v>
      </c>
      <c r="BE320" s="90" t="n">
        <f aca="false">IF(ISNUMBER(H320),AA320*H320,0)</f>
        <v>11.83946864</v>
      </c>
      <c r="BF320" s="90" t="n">
        <f aca="false">IF(ISNUMBER(H320),AA320,0)</f>
        <v>0.81184</v>
      </c>
      <c r="BG320" s="90" t="n">
        <f aca="false">IF(AND(Y320=0,ISNUMBER(AF320),ISNUMBER(Z320)),AA320*Z320,0)</f>
        <v>0</v>
      </c>
      <c r="BH320" s="90" t="n">
        <f aca="false">IF(AND(Y320=0,ISNUMBER(AF320),ISNUMBER(Z320)),AA320*AT320*MAX(Z320-1,0),0)</f>
        <v>0</v>
      </c>
      <c r="BI320" s="90" t="n">
        <f aca="false">IF(Y320=0,AA320,0)</f>
        <v>0</v>
      </c>
    </row>
    <row r="321" customFormat="false" ht="15" hidden="false" customHeight="false" outlineLevel="0" collapsed="false">
      <c r="A321" s="83" t="str">
        <f aca="false">IFERROR(IF(INDEX(원자료_잔고!$A$1:$EZ$1500,설정!$L$5+ROW()-1,설정!$L$8)&amp;""="0","",INDEX(원자료_잔고!$A$1:$EZ$1500,설정!$L$5+ROW()-1,설정!$L$8)&amp;""),"")</f>
        <v>T 4.25 08/15/54</v>
      </c>
      <c r="B321" s="83" t="str">
        <f aca="false">IFERROR(IF(INDEX(원자료_잔고!$A$1:$EZ$1500,설정!$L$5+ROW()-1,설정!$L$7)&amp;""="0","",INDEX(원자료_잔고!$A$1:$EZ$1500,설정!$L$5+ROW()-1,설정!$L$7)&amp;""),"")</f>
        <v>US912810UC08</v>
      </c>
      <c r="C321" s="83" t="str">
        <f aca="false">IFERROR(IF(INDEX(원자료_잔고!$A$1:$EZ$1500,설정!$L$5+ROW()-1,설정!$L$9)&amp;""="0","",INDEX(원자료_잔고!$A$1:$EZ$1500,설정!$L$5+ROW()-1,설정!$L$9)&amp;""),"")</f>
        <v>38088</v>
      </c>
      <c r="D321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21" s="84" t="n">
        <f aca="false">IFERROR(IF(ISNUMBER(INDEX(원자료_잔고!$A$1:$EZ$1500,설정!$L$5+ROW()-1,설정!$L$11)),INDEX(원자료_잔고!$A$1:$EZ$1500,설정!$L$5+ROW()-1,설정!$L$11),""),"")</f>
        <v>1000000</v>
      </c>
      <c r="F321" s="85" t="n">
        <f aca="false">IFERROR(IF(ISNUMBER(INDEX(원자료_잔고!$A$1:$EZ$1500,설정!$L$5+ROW()-1,설정!$L$12)),INDEX(원자료_잔고!$A$1:$EZ$1500,설정!$L$5+ROW()-1,설정!$L$12),""),"")</f>
        <v>81.184</v>
      </c>
      <c r="G321" s="85" t="n">
        <f aca="false">IFERROR(IF(ISNUMBER(INDEX(원자료_잔고!$A$1:$EZ$1500,설정!$L$5+ROW()-1,설정!$L$13)),INDEX(원자료_잔고!$A$1:$EZ$1500,설정!$L$5+ROW()-1,설정!$L$13),""),"")</f>
        <v>5.5892</v>
      </c>
      <c r="H321" s="85" t="n">
        <f aca="false">IFERROR(IF(ISNUMBER(INDEX(원자료_잔고!$A$1:$EZ$1500,설정!$L$5+ROW()-1,설정!$L$14)),INDEX(원자료_잔고!$A$1:$EZ$1500,설정!$L$5+ROW()-1,설정!$L$14),""),"")</f>
        <v>14.5835</v>
      </c>
      <c r="I321" s="86" t="n">
        <f aca="false">IFERROR(IF(ISNUMBER(INDEX(원자료_잔고!$A$1:$EZ$1500,설정!$L$5+ROW()-1,설정!$L$15)),INDEX(원자료_잔고!$A$1:$EZ$1500,설정!$L$5+ROW()-1,설정!$L$15),""),"")</f>
        <v>56476</v>
      </c>
      <c r="J321" s="85" t="n">
        <f aca="false">IFERROR(IF(ISNUMBER(INDEX(원자료_잔고!$A$1:$EZ$1500,설정!$L$5+ROW()-1,설정!$L$16)),INDEX(원자료_잔고!$A$1:$EZ$1500,설정!$L$5+ROW()-1,설정!$L$16),""),"")</f>
        <v>4.25</v>
      </c>
      <c r="K321" s="87" t="n">
        <f aca="false">IFERROR(IF(ISNUMBER(INDEX(원자료_잔고!$A$1:$EZ$1500,설정!$L$5+ROW()-1,설정!$L$17)),INDEX(원자료_잔고!$A$1:$EZ$1500,설정!$L$5+ROW()-1,설정!$L$17),""),"")</f>
        <v>1</v>
      </c>
      <c r="L321" s="84" t="n">
        <f aca="false">IFERROR(IF(ISNUMBER(INDEX(원자료_잔고!$A$1:$EZ$1500,설정!$L$5+ROW()-1,설정!$L$18)),INDEX(원자료_잔고!$A$1:$EZ$1500,설정!$L$5+ROW()-1,설정!$L$18),""),"")</f>
        <v>811840</v>
      </c>
      <c r="M321" s="88" t="n">
        <f aca="false">IFERROR(IF(ISNUMBER(INDEX(원자료_잔고!$A$1:$EZ$1500,설정!$L$5+ROW()-1,설정!$L$19)),INDEX(원자료_잔고!$A$1:$EZ$1500,설정!$L$5+ROW()-1,설정!$L$19),""),"")</f>
        <v>-85733.62</v>
      </c>
      <c r="N321" s="83" t="str">
        <f aca="false">IFERROR(IF(INDEX(원자료_잔고!$A$1:$EZ$1500,설정!$L$5+ROW()-1,설정!$L$21)&amp;""="0","",INDEX(원자료_잔고!$A$1:$EZ$1500,설정!$L$5+ROW()-1,설정!$L$21)&amp;""),"")</f>
        <v/>
      </c>
      <c r="O321" s="83" t="str">
        <f aca="false">IFERROR(IF(INDEX(원자료_잔고!$A$1:$EZ$1500,설정!$L$5+ROW()-1,설정!$L$22)&amp;""="0","",INDEX(원자료_잔고!$A$1:$EZ$1500,설정!$L$5+ROW()-1,설정!$L$22)&amp;""),"")</f>
        <v/>
      </c>
      <c r="P321" s="83" t="str">
        <f aca="false">IFERROR(IF(INDEX(원자료_잔고!$A$1:$EZ$1500,설정!$L$5+ROW()-1,설정!$L$23)&amp;""="0","",INDEX(원자료_잔고!$A$1:$EZ$1500,설정!$L$5+ROW()-1,설정!$L$23)&amp;""),"")</f>
        <v>AA+</v>
      </c>
      <c r="Q321" s="89" t="n">
        <f aca="false">IF(AND($A321&lt;&gt;"",ISNUMBER(E321)),IF(E321&gt;0,1,0),0)</f>
        <v>1</v>
      </c>
      <c r="R321" s="43" t="str">
        <f aca="false">IF(Q321=1,UPPER(LEFT($A321,FIND(" ",$A321&amp;" ")-1)),"")</f>
        <v>T</v>
      </c>
      <c r="S321" s="89" t="n">
        <f aca="false">IF(Q321=1,IF(OR(ISNUMBER(SEARCH("Float",$A321)),ISNUMBER(SEARCH("FRN",$A321))),1,0),0)</f>
        <v>0</v>
      </c>
      <c r="T321" s="43" t="str">
        <f aca="false">IF(AND(Q321=1,ISNUMBER(I321)),TEXT(I321,"yyyymmdd")&amp;"|"&amp;IF(S321=1,"F",TEXT(J321,"0.000")),"")</f>
        <v>20540815|4.250</v>
      </c>
      <c r="U321" s="90" t="n">
        <f aca="false">IF(AND(Q321=1,ISNUMBER(I321)),(I321-설정!$C$4)/365.25,"")</f>
        <v>27.8713210130048</v>
      </c>
      <c r="V321" s="43" t="str">
        <f aca="false">IF(Q321&lt;&gt;1,"",IF(ISNUMBER(U321),IF(U321&lt;=1,"1년 이하",IF(U321&lt;=2,"1-2년",IF(U321&lt;=3,"2-3년",IF(U321&lt;=4,"3-4년",IF(U321&lt;=5,"4-5년",IF(U321&lt;=7,"5-7년",IF(U321&lt;=10,"7-10년",IF(U321&lt;=20,"10-20년","20년 이상")))))))),"미분류"))</f>
        <v>20년 이상</v>
      </c>
      <c r="W321" s="43" t="str">
        <f aca="false">IF(Q321&lt;&gt;1,"",IF(AB321&lt;&gt;"",INDEX(시장분석!$C:$C,AB321),IF(K321=1,"USD","비USD")))</f>
        <v>USD</v>
      </c>
      <c r="X321" s="91" t="n">
        <f aca="false">IF(Q321=1,E321*K321/1000000,0)</f>
        <v>1</v>
      </c>
      <c r="Y321" s="89" t="n">
        <f aca="false">IF(R321="T",1,0)</f>
        <v>1</v>
      </c>
      <c r="Z321" s="92" t="n">
        <f aca="false">IF(Q321&lt;&gt;1,"",IF(AD321=1,IF(ISNUMBER(U321),MAX(U321,0),H321),H321))</f>
        <v>14.5835</v>
      </c>
      <c r="AA321" s="91" t="n">
        <f aca="false">IF(Q321=1,IF(ISNUMBER(L321),L321,0)*K321/1000000,0)</f>
        <v>0.81184</v>
      </c>
      <c r="AB321" s="89" t="n">
        <f aca="false">IF(Q321&lt;&gt;1,"",IFERROR(MATCH(VLOOKUP(B321,매핑!$H$4:$I$15,2,0),시장분석!$A$2:$A$601,0)+1,IFERROR(MATCH(R321&amp;"|"&amp;T321,시장분석!$V$2:$V$601,0)+1,IF(COUNTIF(시장분석!$U$2:$U$601,T321)=1,MATCH(T321,시장분석!$U$2:$U$601,0)+1,""))))</f>
        <v>117</v>
      </c>
      <c r="AC321" s="89" t="n">
        <f aca="false">IF(Q321&lt;&gt;1,0,IF(OR(설정!$C$5="전체",AND(설정!$C$5="선택펀드",IFERROR(COUNTIFS(설정!$F$16:$F$36,C321,설정!$G$16:$G$36,"Y")+COUNTIFS(설정!$F$16:$F$36,VALUE(C321),설정!$G$16:$G$36,"Y"),0)&gt;0),C321&amp;""=설정!$C$5&amp;""),1,0))</f>
        <v>0</v>
      </c>
      <c r="AD321" s="89" t="n">
        <f aca="false">IF(Q321&lt;&gt;1,0,IF(OR(S321=1,IF(AB321="",FALSE(),INDEX(시장분석!$R:$R,AB321)=1)),1,0))</f>
        <v>0</v>
      </c>
      <c r="AE321" s="43" t="str">
        <f aca="false">IF(AB321="","",INDEX(시장분석!$A:$A,AB321))</f>
        <v>T 4 1/4 08/15/54</v>
      </c>
      <c r="AF321" s="93" t="n">
        <f aca="false">IF(AB321="","",IF(ISNUMBER(IF(AB321="","",INDEX(시장분석!$E:$E,AB321))),IF(AB321="","",INDEX(시장분석!$E:$E,AB321)),""))</f>
        <v>3.4</v>
      </c>
      <c r="AG321" s="43" t="str">
        <f aca="false">IF(Q321&lt;&gt;1,"",IF(AB321&lt;&gt;"",IF(AB321="","",INDEX(시장분석!$L:$L,AB321)),IFERROR(IF(VLOOKUP(R321,매핑!$A$4:$E$92,5,0)="","미분류",VLOOKUP(R321,매핑!$A$4:$E$92,5,0)),"미분류")))</f>
        <v>정부</v>
      </c>
      <c r="AH321" s="43" t="str">
        <f aca="false">IF(Q321&lt;&gt;1,"",IF(AB321&lt;&gt;"",IF(AB321="","",INDEX(시장분석!$N:$N,AB321)),IFERROR(IF(VLOOKUP(R321,매핑!$A$4:$E$92,4,0)="","미분류",VLOOKUP(R321,매핑!$A$4:$E$92,4,0)),"미분류")))</f>
        <v>미국</v>
      </c>
      <c r="AI321" s="43" t="str">
        <f aca="false">IF(Q321&lt;&gt;1,"",IFERROR(IF(VLOOKUP(R321,매핑!$A$4:$E$92,3,0)="","미분류",VLOOKUP(R321,매핑!$A$4:$E$92,3,0)),IF(AB321&lt;&gt;"",IF(AB321="","",INDEX(시장분석!$W:$W,AB321)),"미분류")))</f>
        <v>미국</v>
      </c>
      <c r="AJ321" s="43" t="str">
        <f aca="false">IF(Q321&lt;&gt;1,"",IFERROR(VLOOKUP(IF(N321&lt;&gt;"",N321,IF(P321&lt;&gt;"",P321,O321)),설정!$A$15:$D$47,2,0),""))</f>
        <v>AA+</v>
      </c>
      <c r="AK321" s="43" t="str">
        <f aca="false">IF(Q321&lt;&gt;1,"",IF(AJ321="","무등급",IFERROR(VLOOKUP(AJ321,설정!$A$15:$D$47,3,0),"무등급")))</f>
        <v>AA이상</v>
      </c>
      <c r="AL321" s="89" t="n">
        <f aca="false">IF(AJ321="",99,IFERROR(VLOOKUP(AJ321,설정!$A$15:$D$47,4,0),99))</f>
        <v>2</v>
      </c>
      <c r="AM321" s="94" t="n">
        <f aca="false">IF(ISNUMBER(H321),AA321*1000000*H321/10000,0)</f>
        <v>1183.946864</v>
      </c>
      <c r="AN321" s="94" t="n">
        <f aca="false">IF(OR(Y321=1,NOT(ISNUMBER(Z321))),0,AA321*1000000*Z321/10000)</f>
        <v>0</v>
      </c>
      <c r="AO321" s="94" t="n">
        <f aca="false">IF(ISNUMBER(G321),AA321*1000000*G321/100,0)</f>
        <v>45375.36128</v>
      </c>
      <c r="AP321" s="94" t="n">
        <f aca="false">IF(ISNUMBER(M321),M321*K321,0)</f>
        <v>-85733.62</v>
      </c>
      <c r="AQ321" s="95" t="str">
        <f aca="false">IF(AB321="","",INDEX(시장분석!$AK:$AK,AB321))</f>
        <v/>
      </c>
      <c r="AR321" s="43" t="str">
        <f aca="false">IF(AB321="","-",IF(AB321="","",INDEX(시장분석!$AL:$AL,AB321)))</f>
        <v>-</v>
      </c>
      <c r="AS321" s="96" t="str">
        <f aca="false">IF(AB321="","",INDEX(시장분석!$AJ:$AJ,AB321))</f>
        <v/>
      </c>
      <c r="AT321" s="93" t="n">
        <f aca="false">IF(AB321="",0,IF(AB321="","",INDEX(시장분석!$AN:$AN,AB321)))</f>
        <v>0</v>
      </c>
      <c r="AU321" s="94" t="n">
        <f aca="false">IF(ISNUMBER(Z321),AT321/10000*MAX(Z321-1,0)*AA321*1000000,0)</f>
        <v>0</v>
      </c>
      <c r="AV321" s="94" t="n">
        <f aca="false">AO321+AU321</f>
        <v>45375.36128</v>
      </c>
      <c r="AW321" s="43" t="str">
        <f aca="false">IF(Q321&lt;&gt;1,"",TRIM(IF(AD321=1,"FRN ","")&amp;IF(AND(AL321&gt;=10,AL321&lt;99),"BBB0미만 ","")&amp;IF(AJ321="","등급없음 ","")&amp;IF(K321&lt;&gt;1,"비USD ","")&amp;IF(AND(AB321="",Y321=0),"시장데이터없음 ","")&amp;IF(AND(ISNUMBER(U321),U321&lt;0),"만기경과 ","")))</f>
        <v/>
      </c>
      <c r="AX321" s="90" t="n">
        <f aca="false">IF(Q321&lt;&gt;1,1,IF(스프레드쇼크!$C$4="Y",INDEX(스프레드쇼크!$B$12:$L$16,IFERROR(MATCH(AH321,스프레드쇼크!$A$12:$A$16,0),MATCH("목록외",스프레드쇼크!$A$12:$A$16,0)),IFERROR(MATCH(AG321,스프레드쇼크!$B$11:$L$11,0),MATCH("목록외",스프레드쇼크!$B$11:$L$11,0))),1))</f>
        <v>1</v>
      </c>
      <c r="AY321" s="90" t="n">
        <f aca="false">IF(스프레드쇼크!$C$5="Y",IF(ISNUMBER(AF321),MIN(스프레드쇼크!$C$7,MAX(스프레드쇼크!$C$6,AF321/스프레드쇼크!$C$8)),1),1)</f>
        <v>0.25</v>
      </c>
      <c r="AZ321" s="94" t="n">
        <f aca="false">AN321*AX321*AY321</f>
        <v>0</v>
      </c>
      <c r="BA321" s="90" t="n">
        <f aca="false">IF(ISNUMBER(G321),AA321*G321,0)</f>
        <v>4.537536128</v>
      </c>
      <c r="BB321" s="90" t="n">
        <f aca="false">IF(ISNUMBER(G321),AA321,0)</f>
        <v>0.81184</v>
      </c>
      <c r="BC321" s="90" t="n">
        <f aca="false">IF(AND(Y321=0,ISNUMBER(AF321)),AA321*AF321,0)</f>
        <v>0</v>
      </c>
      <c r="BD321" s="90" t="n">
        <f aca="false">IF(AND(Y321=0,ISNUMBER(AF321)),AA321,0)</f>
        <v>0</v>
      </c>
      <c r="BE321" s="90" t="n">
        <f aca="false">IF(ISNUMBER(H321),AA321*H321,0)</f>
        <v>11.83946864</v>
      </c>
      <c r="BF321" s="90" t="n">
        <f aca="false">IF(ISNUMBER(H321),AA321,0)</f>
        <v>0.81184</v>
      </c>
      <c r="BG321" s="90" t="n">
        <f aca="false">IF(AND(Y321=0,ISNUMBER(AF321),ISNUMBER(Z321)),AA321*Z321,0)</f>
        <v>0</v>
      </c>
      <c r="BH321" s="90" t="n">
        <f aca="false">IF(AND(Y321=0,ISNUMBER(AF321),ISNUMBER(Z321)),AA321*AT321*MAX(Z321-1,0),0)</f>
        <v>0</v>
      </c>
      <c r="BI321" s="90" t="n">
        <f aca="false">IF(Y321=0,AA321,0)</f>
        <v>0</v>
      </c>
    </row>
    <row r="322" customFormat="false" ht="15" hidden="false" customHeight="false" outlineLevel="0" collapsed="false">
      <c r="A322" s="83" t="str">
        <f aca="false">IFERROR(IF(INDEX(원자료_잔고!$A$1:$EZ$1500,설정!$L$5+ROW()-1,설정!$L$8)&amp;""="0","",INDEX(원자료_잔고!$A$1:$EZ$1500,설정!$L$5+ROW()-1,설정!$L$8)&amp;""),"")</f>
        <v>T 4.25 08/15/54</v>
      </c>
      <c r="B322" s="83" t="str">
        <f aca="false">IFERROR(IF(INDEX(원자료_잔고!$A$1:$EZ$1500,설정!$L$5+ROW()-1,설정!$L$7)&amp;""="0","",INDEX(원자료_잔고!$A$1:$EZ$1500,설정!$L$5+ROW()-1,설정!$L$7)&amp;""),"")</f>
        <v>US912810UC08</v>
      </c>
      <c r="C322" s="83" t="str">
        <f aca="false">IFERROR(IF(INDEX(원자료_잔고!$A$1:$EZ$1500,설정!$L$5+ROW()-1,설정!$L$9)&amp;""="0","",INDEX(원자료_잔고!$A$1:$EZ$1500,설정!$L$5+ROW()-1,설정!$L$9)&amp;""),"")</f>
        <v>38088</v>
      </c>
      <c r="D322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22" s="84" t="n">
        <f aca="false">IFERROR(IF(ISNUMBER(INDEX(원자료_잔고!$A$1:$EZ$1500,설정!$L$5+ROW()-1,설정!$L$11)),INDEX(원자료_잔고!$A$1:$EZ$1500,설정!$L$5+ROW()-1,설정!$L$11),""),"")</f>
        <v>1000000</v>
      </c>
      <c r="F322" s="85" t="n">
        <f aca="false">IFERROR(IF(ISNUMBER(INDEX(원자료_잔고!$A$1:$EZ$1500,설정!$L$5+ROW()-1,설정!$L$12)),INDEX(원자료_잔고!$A$1:$EZ$1500,설정!$L$5+ROW()-1,설정!$L$12),""),"")</f>
        <v>81.184</v>
      </c>
      <c r="G322" s="85" t="n">
        <f aca="false">IFERROR(IF(ISNUMBER(INDEX(원자료_잔고!$A$1:$EZ$1500,설정!$L$5+ROW()-1,설정!$L$13)),INDEX(원자료_잔고!$A$1:$EZ$1500,설정!$L$5+ROW()-1,설정!$L$13),""),"")</f>
        <v>5.5892</v>
      </c>
      <c r="H322" s="85" t="n">
        <f aca="false">IFERROR(IF(ISNUMBER(INDEX(원자료_잔고!$A$1:$EZ$1500,설정!$L$5+ROW()-1,설정!$L$14)),INDEX(원자료_잔고!$A$1:$EZ$1500,설정!$L$5+ROW()-1,설정!$L$14),""),"")</f>
        <v>14.5835</v>
      </c>
      <c r="I322" s="86" t="n">
        <f aca="false">IFERROR(IF(ISNUMBER(INDEX(원자료_잔고!$A$1:$EZ$1500,설정!$L$5+ROW()-1,설정!$L$15)),INDEX(원자료_잔고!$A$1:$EZ$1500,설정!$L$5+ROW()-1,설정!$L$15),""),"")</f>
        <v>56476</v>
      </c>
      <c r="J322" s="85" t="n">
        <f aca="false">IFERROR(IF(ISNUMBER(INDEX(원자료_잔고!$A$1:$EZ$1500,설정!$L$5+ROW()-1,설정!$L$16)),INDEX(원자료_잔고!$A$1:$EZ$1500,설정!$L$5+ROW()-1,설정!$L$16),""),"")</f>
        <v>4.25</v>
      </c>
      <c r="K322" s="87" t="n">
        <f aca="false">IFERROR(IF(ISNUMBER(INDEX(원자료_잔고!$A$1:$EZ$1500,설정!$L$5+ROW()-1,설정!$L$17)),INDEX(원자료_잔고!$A$1:$EZ$1500,설정!$L$5+ROW()-1,설정!$L$17),""),"")</f>
        <v>1</v>
      </c>
      <c r="L322" s="84" t="n">
        <f aca="false">IFERROR(IF(ISNUMBER(INDEX(원자료_잔고!$A$1:$EZ$1500,설정!$L$5+ROW()-1,설정!$L$18)),INDEX(원자료_잔고!$A$1:$EZ$1500,설정!$L$5+ROW()-1,설정!$L$18),""),"")</f>
        <v>811840</v>
      </c>
      <c r="M322" s="88" t="n">
        <f aca="false">IFERROR(IF(ISNUMBER(INDEX(원자료_잔고!$A$1:$EZ$1500,설정!$L$5+ROW()-1,설정!$L$19)),INDEX(원자료_잔고!$A$1:$EZ$1500,설정!$L$5+ROW()-1,설정!$L$19),""),"")</f>
        <v>-62377.19</v>
      </c>
      <c r="N322" s="83" t="str">
        <f aca="false">IFERROR(IF(INDEX(원자료_잔고!$A$1:$EZ$1500,설정!$L$5+ROW()-1,설정!$L$21)&amp;""="0","",INDEX(원자료_잔고!$A$1:$EZ$1500,설정!$L$5+ROW()-1,설정!$L$21)&amp;""),"")</f>
        <v/>
      </c>
      <c r="O322" s="83" t="str">
        <f aca="false">IFERROR(IF(INDEX(원자료_잔고!$A$1:$EZ$1500,설정!$L$5+ROW()-1,설정!$L$22)&amp;""="0","",INDEX(원자료_잔고!$A$1:$EZ$1500,설정!$L$5+ROW()-1,설정!$L$22)&amp;""),"")</f>
        <v/>
      </c>
      <c r="P322" s="83" t="str">
        <f aca="false">IFERROR(IF(INDEX(원자료_잔고!$A$1:$EZ$1500,설정!$L$5+ROW()-1,설정!$L$23)&amp;""="0","",INDEX(원자료_잔고!$A$1:$EZ$1500,설정!$L$5+ROW()-1,설정!$L$23)&amp;""),"")</f>
        <v>AA+</v>
      </c>
      <c r="Q322" s="89" t="n">
        <f aca="false">IF(AND($A322&lt;&gt;"",ISNUMBER(E322)),IF(E322&gt;0,1,0),0)</f>
        <v>1</v>
      </c>
      <c r="R322" s="43" t="str">
        <f aca="false">IF(Q322=1,UPPER(LEFT($A322,FIND(" ",$A322&amp;" ")-1)),"")</f>
        <v>T</v>
      </c>
      <c r="S322" s="89" t="n">
        <f aca="false">IF(Q322=1,IF(OR(ISNUMBER(SEARCH("Float",$A322)),ISNUMBER(SEARCH("FRN",$A322))),1,0),0)</f>
        <v>0</v>
      </c>
      <c r="T322" s="43" t="str">
        <f aca="false">IF(AND(Q322=1,ISNUMBER(I322)),TEXT(I322,"yyyymmdd")&amp;"|"&amp;IF(S322=1,"F",TEXT(J322,"0.000")),"")</f>
        <v>20540815|4.250</v>
      </c>
      <c r="U322" s="90" t="n">
        <f aca="false">IF(AND(Q322=1,ISNUMBER(I322)),(I322-설정!$C$4)/365.25,"")</f>
        <v>27.8713210130048</v>
      </c>
      <c r="V322" s="43" t="str">
        <f aca="false">IF(Q322&lt;&gt;1,"",IF(ISNUMBER(U322),IF(U322&lt;=1,"1년 이하",IF(U322&lt;=2,"1-2년",IF(U322&lt;=3,"2-3년",IF(U322&lt;=4,"3-4년",IF(U322&lt;=5,"4-5년",IF(U322&lt;=7,"5-7년",IF(U322&lt;=10,"7-10년",IF(U322&lt;=20,"10-20년","20년 이상")))))))),"미분류"))</f>
        <v>20년 이상</v>
      </c>
      <c r="W322" s="43" t="str">
        <f aca="false">IF(Q322&lt;&gt;1,"",IF(AB322&lt;&gt;"",INDEX(시장분석!$C:$C,AB322),IF(K322=1,"USD","비USD")))</f>
        <v>USD</v>
      </c>
      <c r="X322" s="91" t="n">
        <f aca="false">IF(Q322=1,E322*K322/1000000,0)</f>
        <v>1</v>
      </c>
      <c r="Y322" s="89" t="n">
        <f aca="false">IF(R322="T",1,0)</f>
        <v>1</v>
      </c>
      <c r="Z322" s="92" t="n">
        <f aca="false">IF(Q322&lt;&gt;1,"",IF(AD322=1,IF(ISNUMBER(U322),MAX(U322,0),H322),H322))</f>
        <v>14.5835</v>
      </c>
      <c r="AA322" s="91" t="n">
        <f aca="false">IF(Q322=1,IF(ISNUMBER(L322),L322,0)*K322/1000000,0)</f>
        <v>0.81184</v>
      </c>
      <c r="AB322" s="89" t="n">
        <f aca="false">IF(Q322&lt;&gt;1,"",IFERROR(MATCH(VLOOKUP(B322,매핑!$H$4:$I$15,2,0),시장분석!$A$2:$A$601,0)+1,IFERROR(MATCH(R322&amp;"|"&amp;T322,시장분석!$V$2:$V$601,0)+1,IF(COUNTIF(시장분석!$U$2:$U$601,T322)=1,MATCH(T322,시장분석!$U$2:$U$601,0)+1,""))))</f>
        <v>117</v>
      </c>
      <c r="AC322" s="89" t="n">
        <f aca="false">IF(Q322&lt;&gt;1,0,IF(OR(설정!$C$5="전체",AND(설정!$C$5="선택펀드",IFERROR(COUNTIFS(설정!$F$16:$F$36,C322,설정!$G$16:$G$36,"Y")+COUNTIFS(설정!$F$16:$F$36,VALUE(C322),설정!$G$16:$G$36,"Y"),0)&gt;0),C322&amp;""=설정!$C$5&amp;""),1,0))</f>
        <v>0</v>
      </c>
      <c r="AD322" s="89" t="n">
        <f aca="false">IF(Q322&lt;&gt;1,0,IF(OR(S322=1,IF(AB322="",FALSE(),INDEX(시장분석!$R:$R,AB322)=1)),1,0))</f>
        <v>0</v>
      </c>
      <c r="AE322" s="43" t="str">
        <f aca="false">IF(AB322="","",INDEX(시장분석!$A:$A,AB322))</f>
        <v>T 4 1/4 08/15/54</v>
      </c>
      <c r="AF322" s="93" t="n">
        <f aca="false">IF(AB322="","",IF(ISNUMBER(IF(AB322="","",INDEX(시장분석!$E:$E,AB322))),IF(AB322="","",INDEX(시장분석!$E:$E,AB322)),""))</f>
        <v>3.4</v>
      </c>
      <c r="AG322" s="43" t="str">
        <f aca="false">IF(Q322&lt;&gt;1,"",IF(AB322&lt;&gt;"",IF(AB322="","",INDEX(시장분석!$L:$L,AB322)),IFERROR(IF(VLOOKUP(R322,매핑!$A$4:$E$92,5,0)="","미분류",VLOOKUP(R322,매핑!$A$4:$E$92,5,0)),"미분류")))</f>
        <v>정부</v>
      </c>
      <c r="AH322" s="43" t="str">
        <f aca="false">IF(Q322&lt;&gt;1,"",IF(AB322&lt;&gt;"",IF(AB322="","",INDEX(시장분석!$N:$N,AB322)),IFERROR(IF(VLOOKUP(R322,매핑!$A$4:$E$92,4,0)="","미분류",VLOOKUP(R322,매핑!$A$4:$E$92,4,0)),"미분류")))</f>
        <v>미국</v>
      </c>
      <c r="AI322" s="43" t="str">
        <f aca="false">IF(Q322&lt;&gt;1,"",IFERROR(IF(VLOOKUP(R322,매핑!$A$4:$E$92,3,0)="","미분류",VLOOKUP(R322,매핑!$A$4:$E$92,3,0)),IF(AB322&lt;&gt;"",IF(AB322="","",INDEX(시장분석!$W:$W,AB322)),"미분류")))</f>
        <v>미국</v>
      </c>
      <c r="AJ322" s="43" t="str">
        <f aca="false">IF(Q322&lt;&gt;1,"",IFERROR(VLOOKUP(IF(N322&lt;&gt;"",N322,IF(P322&lt;&gt;"",P322,O322)),설정!$A$15:$D$47,2,0),""))</f>
        <v>AA+</v>
      </c>
      <c r="AK322" s="43" t="str">
        <f aca="false">IF(Q322&lt;&gt;1,"",IF(AJ322="","무등급",IFERROR(VLOOKUP(AJ322,설정!$A$15:$D$47,3,0),"무등급")))</f>
        <v>AA이상</v>
      </c>
      <c r="AL322" s="89" t="n">
        <f aca="false">IF(AJ322="",99,IFERROR(VLOOKUP(AJ322,설정!$A$15:$D$47,4,0),99))</f>
        <v>2</v>
      </c>
      <c r="AM322" s="94" t="n">
        <f aca="false">IF(ISNUMBER(H322),AA322*1000000*H322/10000,0)</f>
        <v>1183.946864</v>
      </c>
      <c r="AN322" s="94" t="n">
        <f aca="false">IF(OR(Y322=1,NOT(ISNUMBER(Z322))),0,AA322*1000000*Z322/10000)</f>
        <v>0</v>
      </c>
      <c r="AO322" s="94" t="n">
        <f aca="false">IF(ISNUMBER(G322),AA322*1000000*G322/100,0)</f>
        <v>45375.36128</v>
      </c>
      <c r="AP322" s="94" t="n">
        <f aca="false">IF(ISNUMBER(M322),M322*K322,0)</f>
        <v>-62377.19</v>
      </c>
      <c r="AQ322" s="95" t="str">
        <f aca="false">IF(AB322="","",INDEX(시장분석!$AK:$AK,AB322))</f>
        <v/>
      </c>
      <c r="AR322" s="43" t="str">
        <f aca="false">IF(AB322="","-",IF(AB322="","",INDEX(시장분석!$AL:$AL,AB322)))</f>
        <v>-</v>
      </c>
      <c r="AS322" s="96" t="str">
        <f aca="false">IF(AB322="","",INDEX(시장분석!$AJ:$AJ,AB322))</f>
        <v/>
      </c>
      <c r="AT322" s="93" t="n">
        <f aca="false">IF(AB322="",0,IF(AB322="","",INDEX(시장분석!$AN:$AN,AB322)))</f>
        <v>0</v>
      </c>
      <c r="AU322" s="94" t="n">
        <f aca="false">IF(ISNUMBER(Z322),AT322/10000*MAX(Z322-1,0)*AA322*1000000,0)</f>
        <v>0</v>
      </c>
      <c r="AV322" s="94" t="n">
        <f aca="false">AO322+AU322</f>
        <v>45375.36128</v>
      </c>
      <c r="AW322" s="43" t="str">
        <f aca="false">IF(Q322&lt;&gt;1,"",TRIM(IF(AD322=1,"FRN ","")&amp;IF(AND(AL322&gt;=10,AL322&lt;99),"BBB0미만 ","")&amp;IF(AJ322="","등급없음 ","")&amp;IF(K322&lt;&gt;1,"비USD ","")&amp;IF(AND(AB322="",Y322=0),"시장데이터없음 ","")&amp;IF(AND(ISNUMBER(U322),U322&lt;0),"만기경과 ","")))</f>
        <v/>
      </c>
      <c r="AX322" s="90" t="n">
        <f aca="false">IF(Q322&lt;&gt;1,1,IF(스프레드쇼크!$C$4="Y",INDEX(스프레드쇼크!$B$12:$L$16,IFERROR(MATCH(AH322,스프레드쇼크!$A$12:$A$16,0),MATCH("목록외",스프레드쇼크!$A$12:$A$16,0)),IFERROR(MATCH(AG322,스프레드쇼크!$B$11:$L$11,0),MATCH("목록외",스프레드쇼크!$B$11:$L$11,0))),1))</f>
        <v>1</v>
      </c>
      <c r="AY322" s="90" t="n">
        <f aca="false">IF(스프레드쇼크!$C$5="Y",IF(ISNUMBER(AF322),MIN(스프레드쇼크!$C$7,MAX(스프레드쇼크!$C$6,AF322/스프레드쇼크!$C$8)),1),1)</f>
        <v>0.25</v>
      </c>
      <c r="AZ322" s="94" t="n">
        <f aca="false">AN322*AX322*AY322</f>
        <v>0</v>
      </c>
      <c r="BA322" s="90" t="n">
        <f aca="false">IF(ISNUMBER(G322),AA322*G322,0)</f>
        <v>4.537536128</v>
      </c>
      <c r="BB322" s="90" t="n">
        <f aca="false">IF(ISNUMBER(G322),AA322,0)</f>
        <v>0.81184</v>
      </c>
      <c r="BC322" s="90" t="n">
        <f aca="false">IF(AND(Y322=0,ISNUMBER(AF322)),AA322*AF322,0)</f>
        <v>0</v>
      </c>
      <c r="BD322" s="90" t="n">
        <f aca="false">IF(AND(Y322=0,ISNUMBER(AF322)),AA322,0)</f>
        <v>0</v>
      </c>
      <c r="BE322" s="90" t="n">
        <f aca="false">IF(ISNUMBER(H322),AA322*H322,0)</f>
        <v>11.83946864</v>
      </c>
      <c r="BF322" s="90" t="n">
        <f aca="false">IF(ISNUMBER(H322),AA322,0)</f>
        <v>0.81184</v>
      </c>
      <c r="BG322" s="90" t="n">
        <f aca="false">IF(AND(Y322=0,ISNUMBER(AF322),ISNUMBER(Z322)),AA322*Z322,0)</f>
        <v>0</v>
      </c>
      <c r="BH322" s="90" t="n">
        <f aca="false">IF(AND(Y322=0,ISNUMBER(AF322),ISNUMBER(Z322)),AA322*AT322*MAX(Z322-1,0),0)</f>
        <v>0</v>
      </c>
      <c r="BI322" s="90" t="n">
        <f aca="false">IF(Y322=0,AA322,0)</f>
        <v>0</v>
      </c>
    </row>
    <row r="323" customFormat="false" ht="15" hidden="false" customHeight="false" outlineLevel="0" collapsed="false">
      <c r="A323" s="83" t="str">
        <f aca="false">IFERROR(IF(INDEX(원자료_잔고!$A$1:$EZ$1500,설정!$L$5+ROW()-1,설정!$L$8)&amp;""="0","",INDEX(원자료_잔고!$A$1:$EZ$1500,설정!$L$5+ROW()-1,설정!$L$8)&amp;""),"")</f>
        <v>T 4.25 08/15/54</v>
      </c>
      <c r="B323" s="83" t="str">
        <f aca="false">IFERROR(IF(INDEX(원자료_잔고!$A$1:$EZ$1500,설정!$L$5+ROW()-1,설정!$L$7)&amp;""="0","",INDEX(원자료_잔고!$A$1:$EZ$1500,설정!$L$5+ROW()-1,설정!$L$7)&amp;""),"")</f>
        <v>US912810UC08</v>
      </c>
      <c r="C323" s="83" t="str">
        <f aca="false">IFERROR(IF(INDEX(원자료_잔고!$A$1:$EZ$1500,설정!$L$5+ROW()-1,설정!$L$9)&amp;""="0","",INDEX(원자료_잔고!$A$1:$EZ$1500,설정!$L$5+ROW()-1,설정!$L$9)&amp;""),"")</f>
        <v>38088</v>
      </c>
      <c r="D323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23" s="84" t="n">
        <f aca="false">IFERROR(IF(ISNUMBER(INDEX(원자료_잔고!$A$1:$EZ$1500,설정!$L$5+ROW()-1,설정!$L$11)),INDEX(원자료_잔고!$A$1:$EZ$1500,설정!$L$5+ROW()-1,설정!$L$11),""),"")</f>
        <v>1000000</v>
      </c>
      <c r="F323" s="85" t="n">
        <f aca="false">IFERROR(IF(ISNUMBER(INDEX(원자료_잔고!$A$1:$EZ$1500,설정!$L$5+ROW()-1,설정!$L$12)),INDEX(원자료_잔고!$A$1:$EZ$1500,설정!$L$5+ROW()-1,설정!$L$12),""),"")</f>
        <v>81.184</v>
      </c>
      <c r="G323" s="85" t="n">
        <f aca="false">IFERROR(IF(ISNUMBER(INDEX(원자료_잔고!$A$1:$EZ$1500,설정!$L$5+ROW()-1,설정!$L$13)),INDEX(원자료_잔고!$A$1:$EZ$1500,설정!$L$5+ROW()-1,설정!$L$13),""),"")</f>
        <v>5.5892</v>
      </c>
      <c r="H323" s="85" t="n">
        <f aca="false">IFERROR(IF(ISNUMBER(INDEX(원자료_잔고!$A$1:$EZ$1500,설정!$L$5+ROW()-1,설정!$L$14)),INDEX(원자료_잔고!$A$1:$EZ$1500,설정!$L$5+ROW()-1,설정!$L$14),""),"")</f>
        <v>14.5835</v>
      </c>
      <c r="I323" s="86" t="n">
        <f aca="false">IFERROR(IF(ISNUMBER(INDEX(원자료_잔고!$A$1:$EZ$1500,설정!$L$5+ROW()-1,설정!$L$15)),INDEX(원자료_잔고!$A$1:$EZ$1500,설정!$L$5+ROW()-1,설정!$L$15),""),"")</f>
        <v>56476</v>
      </c>
      <c r="J323" s="85" t="n">
        <f aca="false">IFERROR(IF(ISNUMBER(INDEX(원자료_잔고!$A$1:$EZ$1500,설정!$L$5+ROW()-1,설정!$L$16)),INDEX(원자료_잔고!$A$1:$EZ$1500,설정!$L$5+ROW()-1,설정!$L$16),""),"")</f>
        <v>4.25</v>
      </c>
      <c r="K323" s="87" t="n">
        <f aca="false">IFERROR(IF(ISNUMBER(INDEX(원자료_잔고!$A$1:$EZ$1500,설정!$L$5+ROW()-1,설정!$L$17)),INDEX(원자료_잔고!$A$1:$EZ$1500,설정!$L$5+ROW()-1,설정!$L$17),""),"")</f>
        <v>1</v>
      </c>
      <c r="L323" s="84" t="n">
        <f aca="false">IFERROR(IF(ISNUMBER(INDEX(원자료_잔고!$A$1:$EZ$1500,설정!$L$5+ROW()-1,설정!$L$18)),INDEX(원자료_잔고!$A$1:$EZ$1500,설정!$L$5+ROW()-1,설정!$L$18),""),"")</f>
        <v>811840</v>
      </c>
      <c r="M323" s="88" t="n">
        <f aca="false">IFERROR(IF(ISNUMBER(INDEX(원자료_잔고!$A$1:$EZ$1500,설정!$L$5+ROW()-1,설정!$L$19)),INDEX(원자료_잔고!$A$1:$EZ$1500,설정!$L$5+ROW()-1,설정!$L$19),""),"")</f>
        <v>-43756.92</v>
      </c>
      <c r="N323" s="83" t="str">
        <f aca="false">IFERROR(IF(INDEX(원자료_잔고!$A$1:$EZ$1500,설정!$L$5+ROW()-1,설정!$L$21)&amp;""="0","",INDEX(원자료_잔고!$A$1:$EZ$1500,설정!$L$5+ROW()-1,설정!$L$21)&amp;""),"")</f>
        <v/>
      </c>
      <c r="O323" s="83" t="str">
        <f aca="false">IFERROR(IF(INDEX(원자료_잔고!$A$1:$EZ$1500,설정!$L$5+ROW()-1,설정!$L$22)&amp;""="0","",INDEX(원자료_잔고!$A$1:$EZ$1500,설정!$L$5+ROW()-1,설정!$L$22)&amp;""),"")</f>
        <v/>
      </c>
      <c r="P323" s="83" t="str">
        <f aca="false">IFERROR(IF(INDEX(원자료_잔고!$A$1:$EZ$1500,설정!$L$5+ROW()-1,설정!$L$23)&amp;""="0","",INDEX(원자료_잔고!$A$1:$EZ$1500,설정!$L$5+ROW()-1,설정!$L$23)&amp;""),"")</f>
        <v>AA+</v>
      </c>
      <c r="Q323" s="89" t="n">
        <f aca="false">IF(AND($A323&lt;&gt;"",ISNUMBER(E323)),IF(E323&gt;0,1,0),0)</f>
        <v>1</v>
      </c>
      <c r="R323" s="43" t="str">
        <f aca="false">IF(Q323=1,UPPER(LEFT($A323,FIND(" ",$A323&amp;" ")-1)),"")</f>
        <v>T</v>
      </c>
      <c r="S323" s="89" t="n">
        <f aca="false">IF(Q323=1,IF(OR(ISNUMBER(SEARCH("Float",$A323)),ISNUMBER(SEARCH("FRN",$A323))),1,0),0)</f>
        <v>0</v>
      </c>
      <c r="T323" s="43" t="str">
        <f aca="false">IF(AND(Q323=1,ISNUMBER(I323)),TEXT(I323,"yyyymmdd")&amp;"|"&amp;IF(S323=1,"F",TEXT(J323,"0.000")),"")</f>
        <v>20540815|4.250</v>
      </c>
      <c r="U323" s="90" t="n">
        <f aca="false">IF(AND(Q323=1,ISNUMBER(I323)),(I323-설정!$C$4)/365.25,"")</f>
        <v>27.8713210130048</v>
      </c>
      <c r="V323" s="43" t="str">
        <f aca="false">IF(Q323&lt;&gt;1,"",IF(ISNUMBER(U323),IF(U323&lt;=1,"1년 이하",IF(U323&lt;=2,"1-2년",IF(U323&lt;=3,"2-3년",IF(U323&lt;=4,"3-4년",IF(U323&lt;=5,"4-5년",IF(U323&lt;=7,"5-7년",IF(U323&lt;=10,"7-10년",IF(U323&lt;=20,"10-20년","20년 이상")))))))),"미분류"))</f>
        <v>20년 이상</v>
      </c>
      <c r="W323" s="43" t="str">
        <f aca="false">IF(Q323&lt;&gt;1,"",IF(AB323&lt;&gt;"",INDEX(시장분석!$C:$C,AB323),IF(K323=1,"USD","비USD")))</f>
        <v>USD</v>
      </c>
      <c r="X323" s="91" t="n">
        <f aca="false">IF(Q323=1,E323*K323/1000000,0)</f>
        <v>1</v>
      </c>
      <c r="Y323" s="89" t="n">
        <f aca="false">IF(R323="T",1,0)</f>
        <v>1</v>
      </c>
      <c r="Z323" s="92" t="n">
        <f aca="false">IF(Q323&lt;&gt;1,"",IF(AD323=1,IF(ISNUMBER(U323),MAX(U323,0),H323),H323))</f>
        <v>14.5835</v>
      </c>
      <c r="AA323" s="91" t="n">
        <f aca="false">IF(Q323=1,IF(ISNUMBER(L323),L323,0)*K323/1000000,0)</f>
        <v>0.81184</v>
      </c>
      <c r="AB323" s="89" t="n">
        <f aca="false">IF(Q323&lt;&gt;1,"",IFERROR(MATCH(VLOOKUP(B323,매핑!$H$4:$I$15,2,0),시장분석!$A$2:$A$601,0)+1,IFERROR(MATCH(R323&amp;"|"&amp;T323,시장분석!$V$2:$V$601,0)+1,IF(COUNTIF(시장분석!$U$2:$U$601,T323)=1,MATCH(T323,시장분석!$U$2:$U$601,0)+1,""))))</f>
        <v>117</v>
      </c>
      <c r="AC323" s="89" t="n">
        <f aca="false">IF(Q323&lt;&gt;1,0,IF(OR(설정!$C$5="전체",AND(설정!$C$5="선택펀드",IFERROR(COUNTIFS(설정!$F$16:$F$36,C323,설정!$G$16:$G$36,"Y")+COUNTIFS(설정!$F$16:$F$36,VALUE(C323),설정!$G$16:$G$36,"Y"),0)&gt;0),C323&amp;""=설정!$C$5&amp;""),1,0))</f>
        <v>0</v>
      </c>
      <c r="AD323" s="89" t="n">
        <f aca="false">IF(Q323&lt;&gt;1,0,IF(OR(S323=1,IF(AB323="",FALSE(),INDEX(시장분석!$R:$R,AB323)=1)),1,0))</f>
        <v>0</v>
      </c>
      <c r="AE323" s="43" t="str">
        <f aca="false">IF(AB323="","",INDEX(시장분석!$A:$A,AB323))</f>
        <v>T 4 1/4 08/15/54</v>
      </c>
      <c r="AF323" s="93" t="n">
        <f aca="false">IF(AB323="","",IF(ISNUMBER(IF(AB323="","",INDEX(시장분석!$E:$E,AB323))),IF(AB323="","",INDEX(시장분석!$E:$E,AB323)),""))</f>
        <v>3.4</v>
      </c>
      <c r="AG323" s="43" t="str">
        <f aca="false">IF(Q323&lt;&gt;1,"",IF(AB323&lt;&gt;"",IF(AB323="","",INDEX(시장분석!$L:$L,AB323)),IFERROR(IF(VLOOKUP(R323,매핑!$A$4:$E$92,5,0)="","미분류",VLOOKUP(R323,매핑!$A$4:$E$92,5,0)),"미분류")))</f>
        <v>정부</v>
      </c>
      <c r="AH323" s="43" t="str">
        <f aca="false">IF(Q323&lt;&gt;1,"",IF(AB323&lt;&gt;"",IF(AB323="","",INDEX(시장분석!$N:$N,AB323)),IFERROR(IF(VLOOKUP(R323,매핑!$A$4:$E$92,4,0)="","미분류",VLOOKUP(R323,매핑!$A$4:$E$92,4,0)),"미분류")))</f>
        <v>미국</v>
      </c>
      <c r="AI323" s="43" t="str">
        <f aca="false">IF(Q323&lt;&gt;1,"",IFERROR(IF(VLOOKUP(R323,매핑!$A$4:$E$92,3,0)="","미분류",VLOOKUP(R323,매핑!$A$4:$E$92,3,0)),IF(AB323&lt;&gt;"",IF(AB323="","",INDEX(시장분석!$W:$W,AB323)),"미분류")))</f>
        <v>미국</v>
      </c>
      <c r="AJ323" s="43" t="str">
        <f aca="false">IF(Q323&lt;&gt;1,"",IFERROR(VLOOKUP(IF(N323&lt;&gt;"",N323,IF(P323&lt;&gt;"",P323,O323)),설정!$A$15:$D$47,2,0),""))</f>
        <v>AA+</v>
      </c>
      <c r="AK323" s="43" t="str">
        <f aca="false">IF(Q323&lt;&gt;1,"",IF(AJ323="","무등급",IFERROR(VLOOKUP(AJ323,설정!$A$15:$D$47,3,0),"무등급")))</f>
        <v>AA이상</v>
      </c>
      <c r="AL323" s="89" t="n">
        <f aca="false">IF(AJ323="",99,IFERROR(VLOOKUP(AJ323,설정!$A$15:$D$47,4,0),99))</f>
        <v>2</v>
      </c>
      <c r="AM323" s="94" t="n">
        <f aca="false">IF(ISNUMBER(H323),AA323*1000000*H323/10000,0)</f>
        <v>1183.946864</v>
      </c>
      <c r="AN323" s="94" t="n">
        <f aca="false">IF(OR(Y323=1,NOT(ISNUMBER(Z323))),0,AA323*1000000*Z323/10000)</f>
        <v>0</v>
      </c>
      <c r="AO323" s="94" t="n">
        <f aca="false">IF(ISNUMBER(G323),AA323*1000000*G323/100,0)</f>
        <v>45375.36128</v>
      </c>
      <c r="AP323" s="94" t="n">
        <f aca="false">IF(ISNUMBER(M323),M323*K323,0)</f>
        <v>-43756.92</v>
      </c>
      <c r="AQ323" s="95" t="str">
        <f aca="false">IF(AB323="","",INDEX(시장분석!$AK:$AK,AB323))</f>
        <v/>
      </c>
      <c r="AR323" s="43" t="str">
        <f aca="false">IF(AB323="","-",IF(AB323="","",INDEX(시장분석!$AL:$AL,AB323)))</f>
        <v>-</v>
      </c>
      <c r="AS323" s="96" t="str">
        <f aca="false">IF(AB323="","",INDEX(시장분석!$AJ:$AJ,AB323))</f>
        <v/>
      </c>
      <c r="AT323" s="93" t="n">
        <f aca="false">IF(AB323="",0,IF(AB323="","",INDEX(시장분석!$AN:$AN,AB323)))</f>
        <v>0</v>
      </c>
      <c r="AU323" s="94" t="n">
        <f aca="false">IF(ISNUMBER(Z323),AT323/10000*MAX(Z323-1,0)*AA323*1000000,0)</f>
        <v>0</v>
      </c>
      <c r="AV323" s="94" t="n">
        <f aca="false">AO323+AU323</f>
        <v>45375.36128</v>
      </c>
      <c r="AW323" s="43" t="str">
        <f aca="false">IF(Q323&lt;&gt;1,"",TRIM(IF(AD323=1,"FRN ","")&amp;IF(AND(AL323&gt;=10,AL323&lt;99),"BBB0미만 ","")&amp;IF(AJ323="","등급없음 ","")&amp;IF(K323&lt;&gt;1,"비USD ","")&amp;IF(AND(AB323="",Y323=0),"시장데이터없음 ","")&amp;IF(AND(ISNUMBER(U323),U323&lt;0),"만기경과 ","")))</f>
        <v/>
      </c>
      <c r="AX323" s="90" t="n">
        <f aca="false">IF(Q323&lt;&gt;1,1,IF(스프레드쇼크!$C$4="Y",INDEX(스프레드쇼크!$B$12:$L$16,IFERROR(MATCH(AH323,스프레드쇼크!$A$12:$A$16,0),MATCH("목록외",스프레드쇼크!$A$12:$A$16,0)),IFERROR(MATCH(AG323,스프레드쇼크!$B$11:$L$11,0),MATCH("목록외",스프레드쇼크!$B$11:$L$11,0))),1))</f>
        <v>1</v>
      </c>
      <c r="AY323" s="90" t="n">
        <f aca="false">IF(스프레드쇼크!$C$5="Y",IF(ISNUMBER(AF323),MIN(스프레드쇼크!$C$7,MAX(스프레드쇼크!$C$6,AF323/스프레드쇼크!$C$8)),1),1)</f>
        <v>0.25</v>
      </c>
      <c r="AZ323" s="94" t="n">
        <f aca="false">AN323*AX323*AY323</f>
        <v>0</v>
      </c>
      <c r="BA323" s="90" t="n">
        <f aca="false">IF(ISNUMBER(G323),AA323*G323,0)</f>
        <v>4.537536128</v>
      </c>
      <c r="BB323" s="90" t="n">
        <f aca="false">IF(ISNUMBER(G323),AA323,0)</f>
        <v>0.81184</v>
      </c>
      <c r="BC323" s="90" t="n">
        <f aca="false">IF(AND(Y323=0,ISNUMBER(AF323)),AA323*AF323,0)</f>
        <v>0</v>
      </c>
      <c r="BD323" s="90" t="n">
        <f aca="false">IF(AND(Y323=0,ISNUMBER(AF323)),AA323,0)</f>
        <v>0</v>
      </c>
      <c r="BE323" s="90" t="n">
        <f aca="false">IF(ISNUMBER(H323),AA323*H323,0)</f>
        <v>11.83946864</v>
      </c>
      <c r="BF323" s="90" t="n">
        <f aca="false">IF(ISNUMBER(H323),AA323,0)</f>
        <v>0.81184</v>
      </c>
      <c r="BG323" s="90" t="n">
        <f aca="false">IF(AND(Y323=0,ISNUMBER(AF323),ISNUMBER(Z323)),AA323*Z323,0)</f>
        <v>0</v>
      </c>
      <c r="BH323" s="90" t="n">
        <f aca="false">IF(AND(Y323=0,ISNUMBER(AF323),ISNUMBER(Z323)),AA323*AT323*MAX(Z323-1,0),0)</f>
        <v>0</v>
      </c>
      <c r="BI323" s="90" t="n">
        <f aca="false">IF(Y323=0,AA323,0)</f>
        <v>0</v>
      </c>
    </row>
    <row r="324" customFormat="false" ht="15" hidden="false" customHeight="false" outlineLevel="0" collapsed="false">
      <c r="A324" s="83" t="str">
        <f aca="false">IFERROR(IF(INDEX(원자료_잔고!$A$1:$EZ$1500,설정!$L$5+ROW()-1,설정!$L$8)&amp;""="0","",INDEX(원자료_잔고!$A$1:$EZ$1500,설정!$L$5+ROW()-1,설정!$L$8)&amp;""),"")</f>
        <v>T 4.25 08/15/54</v>
      </c>
      <c r="B324" s="83" t="str">
        <f aca="false">IFERROR(IF(INDEX(원자료_잔고!$A$1:$EZ$1500,설정!$L$5+ROW()-1,설정!$L$7)&amp;""="0","",INDEX(원자료_잔고!$A$1:$EZ$1500,설정!$L$5+ROW()-1,설정!$L$7)&amp;""),"")</f>
        <v>US912810UC08</v>
      </c>
      <c r="C324" s="83" t="str">
        <f aca="false">IFERROR(IF(INDEX(원자료_잔고!$A$1:$EZ$1500,설정!$L$5+ROW()-1,설정!$L$9)&amp;""="0","",INDEX(원자료_잔고!$A$1:$EZ$1500,설정!$L$5+ROW()-1,설정!$L$9)&amp;""),"")</f>
        <v>38088</v>
      </c>
      <c r="D324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24" s="84" t="n">
        <f aca="false">IFERROR(IF(ISNUMBER(INDEX(원자료_잔고!$A$1:$EZ$1500,설정!$L$5+ROW()-1,설정!$L$11)),INDEX(원자료_잔고!$A$1:$EZ$1500,설정!$L$5+ROW()-1,설정!$L$11),""),"")</f>
        <v>1000000</v>
      </c>
      <c r="F324" s="85" t="n">
        <f aca="false">IFERROR(IF(ISNUMBER(INDEX(원자료_잔고!$A$1:$EZ$1500,설정!$L$5+ROW()-1,설정!$L$12)),INDEX(원자료_잔고!$A$1:$EZ$1500,설정!$L$5+ROW()-1,설정!$L$12),""),"")</f>
        <v>81.184</v>
      </c>
      <c r="G324" s="85" t="n">
        <f aca="false">IFERROR(IF(ISNUMBER(INDEX(원자료_잔고!$A$1:$EZ$1500,설정!$L$5+ROW()-1,설정!$L$13)),INDEX(원자료_잔고!$A$1:$EZ$1500,설정!$L$5+ROW()-1,설정!$L$13),""),"")</f>
        <v>5.5892</v>
      </c>
      <c r="H324" s="85" t="n">
        <f aca="false">IFERROR(IF(ISNUMBER(INDEX(원자료_잔고!$A$1:$EZ$1500,설정!$L$5+ROW()-1,설정!$L$14)),INDEX(원자료_잔고!$A$1:$EZ$1500,설정!$L$5+ROW()-1,설정!$L$14),""),"")</f>
        <v>14.5835</v>
      </c>
      <c r="I324" s="86" t="n">
        <f aca="false">IFERROR(IF(ISNUMBER(INDEX(원자료_잔고!$A$1:$EZ$1500,설정!$L$5+ROW()-1,설정!$L$15)),INDEX(원자료_잔고!$A$1:$EZ$1500,설정!$L$5+ROW()-1,설정!$L$15),""),"")</f>
        <v>56476</v>
      </c>
      <c r="J324" s="85" t="n">
        <f aca="false">IFERROR(IF(ISNUMBER(INDEX(원자료_잔고!$A$1:$EZ$1500,설정!$L$5+ROW()-1,설정!$L$16)),INDEX(원자료_잔고!$A$1:$EZ$1500,설정!$L$5+ROW()-1,설정!$L$16),""),"")</f>
        <v>4.25</v>
      </c>
      <c r="K324" s="87" t="n">
        <f aca="false">IFERROR(IF(ISNUMBER(INDEX(원자료_잔고!$A$1:$EZ$1500,설정!$L$5+ROW()-1,설정!$L$17)),INDEX(원자료_잔고!$A$1:$EZ$1500,설정!$L$5+ROW()-1,설정!$L$17),""),"")</f>
        <v>1</v>
      </c>
      <c r="L324" s="84" t="n">
        <f aca="false">IFERROR(IF(ISNUMBER(INDEX(원자료_잔고!$A$1:$EZ$1500,설정!$L$5+ROW()-1,설정!$L$18)),INDEX(원자료_잔고!$A$1:$EZ$1500,설정!$L$5+ROW()-1,설정!$L$18),""),"")</f>
        <v>811840</v>
      </c>
      <c r="M324" s="88" t="n">
        <f aca="false">IFERROR(IF(ISNUMBER(INDEX(원자료_잔고!$A$1:$EZ$1500,설정!$L$5+ROW()-1,설정!$L$19)),INDEX(원자료_잔고!$A$1:$EZ$1500,설정!$L$5+ROW()-1,설정!$L$19),""),"")</f>
        <v>-23128.55</v>
      </c>
      <c r="N324" s="83" t="str">
        <f aca="false">IFERROR(IF(INDEX(원자료_잔고!$A$1:$EZ$1500,설정!$L$5+ROW()-1,설정!$L$21)&amp;""="0","",INDEX(원자료_잔고!$A$1:$EZ$1500,설정!$L$5+ROW()-1,설정!$L$21)&amp;""),"")</f>
        <v/>
      </c>
      <c r="O324" s="83" t="str">
        <f aca="false">IFERROR(IF(INDEX(원자료_잔고!$A$1:$EZ$1500,설정!$L$5+ROW()-1,설정!$L$22)&amp;""="0","",INDEX(원자료_잔고!$A$1:$EZ$1500,설정!$L$5+ROW()-1,설정!$L$22)&amp;""),"")</f>
        <v/>
      </c>
      <c r="P324" s="83" t="str">
        <f aca="false">IFERROR(IF(INDEX(원자료_잔고!$A$1:$EZ$1500,설정!$L$5+ROW()-1,설정!$L$23)&amp;""="0","",INDEX(원자료_잔고!$A$1:$EZ$1500,설정!$L$5+ROW()-1,설정!$L$23)&amp;""),"")</f>
        <v>AA+</v>
      </c>
      <c r="Q324" s="89" t="n">
        <f aca="false">IF(AND($A324&lt;&gt;"",ISNUMBER(E324)),IF(E324&gt;0,1,0),0)</f>
        <v>1</v>
      </c>
      <c r="R324" s="43" t="str">
        <f aca="false">IF(Q324=1,UPPER(LEFT($A324,FIND(" ",$A324&amp;" ")-1)),"")</f>
        <v>T</v>
      </c>
      <c r="S324" s="89" t="n">
        <f aca="false">IF(Q324=1,IF(OR(ISNUMBER(SEARCH("Float",$A324)),ISNUMBER(SEARCH("FRN",$A324))),1,0),0)</f>
        <v>0</v>
      </c>
      <c r="T324" s="43" t="str">
        <f aca="false">IF(AND(Q324=1,ISNUMBER(I324)),TEXT(I324,"yyyymmdd")&amp;"|"&amp;IF(S324=1,"F",TEXT(J324,"0.000")),"")</f>
        <v>20540815|4.250</v>
      </c>
      <c r="U324" s="90" t="n">
        <f aca="false">IF(AND(Q324=1,ISNUMBER(I324)),(I324-설정!$C$4)/365.25,"")</f>
        <v>27.8713210130048</v>
      </c>
      <c r="V324" s="43" t="str">
        <f aca="false">IF(Q324&lt;&gt;1,"",IF(ISNUMBER(U324),IF(U324&lt;=1,"1년 이하",IF(U324&lt;=2,"1-2년",IF(U324&lt;=3,"2-3년",IF(U324&lt;=4,"3-4년",IF(U324&lt;=5,"4-5년",IF(U324&lt;=7,"5-7년",IF(U324&lt;=10,"7-10년",IF(U324&lt;=20,"10-20년","20년 이상")))))))),"미분류"))</f>
        <v>20년 이상</v>
      </c>
      <c r="W324" s="43" t="str">
        <f aca="false">IF(Q324&lt;&gt;1,"",IF(AB324&lt;&gt;"",INDEX(시장분석!$C:$C,AB324),IF(K324=1,"USD","비USD")))</f>
        <v>USD</v>
      </c>
      <c r="X324" s="91" t="n">
        <f aca="false">IF(Q324=1,E324*K324/1000000,0)</f>
        <v>1</v>
      </c>
      <c r="Y324" s="89" t="n">
        <f aca="false">IF(R324="T",1,0)</f>
        <v>1</v>
      </c>
      <c r="Z324" s="92" t="n">
        <f aca="false">IF(Q324&lt;&gt;1,"",IF(AD324=1,IF(ISNUMBER(U324),MAX(U324,0),H324),H324))</f>
        <v>14.5835</v>
      </c>
      <c r="AA324" s="91" t="n">
        <f aca="false">IF(Q324=1,IF(ISNUMBER(L324),L324,0)*K324/1000000,0)</f>
        <v>0.81184</v>
      </c>
      <c r="AB324" s="89" t="n">
        <f aca="false">IF(Q324&lt;&gt;1,"",IFERROR(MATCH(VLOOKUP(B324,매핑!$H$4:$I$15,2,0),시장분석!$A$2:$A$601,0)+1,IFERROR(MATCH(R324&amp;"|"&amp;T324,시장분석!$V$2:$V$601,0)+1,IF(COUNTIF(시장분석!$U$2:$U$601,T324)=1,MATCH(T324,시장분석!$U$2:$U$601,0)+1,""))))</f>
        <v>117</v>
      </c>
      <c r="AC324" s="89" t="n">
        <f aca="false">IF(Q324&lt;&gt;1,0,IF(OR(설정!$C$5="전체",AND(설정!$C$5="선택펀드",IFERROR(COUNTIFS(설정!$F$16:$F$36,C324,설정!$G$16:$G$36,"Y")+COUNTIFS(설정!$F$16:$F$36,VALUE(C324),설정!$G$16:$G$36,"Y"),0)&gt;0),C324&amp;""=설정!$C$5&amp;""),1,0))</f>
        <v>0</v>
      </c>
      <c r="AD324" s="89" t="n">
        <f aca="false">IF(Q324&lt;&gt;1,0,IF(OR(S324=1,IF(AB324="",FALSE(),INDEX(시장분석!$R:$R,AB324)=1)),1,0))</f>
        <v>0</v>
      </c>
      <c r="AE324" s="43" t="str">
        <f aca="false">IF(AB324="","",INDEX(시장분석!$A:$A,AB324))</f>
        <v>T 4 1/4 08/15/54</v>
      </c>
      <c r="AF324" s="93" t="n">
        <f aca="false">IF(AB324="","",IF(ISNUMBER(IF(AB324="","",INDEX(시장분석!$E:$E,AB324))),IF(AB324="","",INDEX(시장분석!$E:$E,AB324)),""))</f>
        <v>3.4</v>
      </c>
      <c r="AG324" s="43" t="str">
        <f aca="false">IF(Q324&lt;&gt;1,"",IF(AB324&lt;&gt;"",IF(AB324="","",INDEX(시장분석!$L:$L,AB324)),IFERROR(IF(VLOOKUP(R324,매핑!$A$4:$E$92,5,0)="","미분류",VLOOKUP(R324,매핑!$A$4:$E$92,5,0)),"미분류")))</f>
        <v>정부</v>
      </c>
      <c r="AH324" s="43" t="str">
        <f aca="false">IF(Q324&lt;&gt;1,"",IF(AB324&lt;&gt;"",IF(AB324="","",INDEX(시장분석!$N:$N,AB324)),IFERROR(IF(VLOOKUP(R324,매핑!$A$4:$E$92,4,0)="","미분류",VLOOKUP(R324,매핑!$A$4:$E$92,4,0)),"미분류")))</f>
        <v>미국</v>
      </c>
      <c r="AI324" s="43" t="str">
        <f aca="false">IF(Q324&lt;&gt;1,"",IFERROR(IF(VLOOKUP(R324,매핑!$A$4:$E$92,3,0)="","미분류",VLOOKUP(R324,매핑!$A$4:$E$92,3,0)),IF(AB324&lt;&gt;"",IF(AB324="","",INDEX(시장분석!$W:$W,AB324)),"미분류")))</f>
        <v>미국</v>
      </c>
      <c r="AJ324" s="43" t="str">
        <f aca="false">IF(Q324&lt;&gt;1,"",IFERROR(VLOOKUP(IF(N324&lt;&gt;"",N324,IF(P324&lt;&gt;"",P324,O324)),설정!$A$15:$D$47,2,0),""))</f>
        <v>AA+</v>
      </c>
      <c r="AK324" s="43" t="str">
        <f aca="false">IF(Q324&lt;&gt;1,"",IF(AJ324="","무등급",IFERROR(VLOOKUP(AJ324,설정!$A$15:$D$47,3,0),"무등급")))</f>
        <v>AA이상</v>
      </c>
      <c r="AL324" s="89" t="n">
        <f aca="false">IF(AJ324="",99,IFERROR(VLOOKUP(AJ324,설정!$A$15:$D$47,4,0),99))</f>
        <v>2</v>
      </c>
      <c r="AM324" s="94" t="n">
        <f aca="false">IF(ISNUMBER(H324),AA324*1000000*H324/10000,0)</f>
        <v>1183.946864</v>
      </c>
      <c r="AN324" s="94" t="n">
        <f aca="false">IF(OR(Y324=1,NOT(ISNUMBER(Z324))),0,AA324*1000000*Z324/10000)</f>
        <v>0</v>
      </c>
      <c r="AO324" s="94" t="n">
        <f aca="false">IF(ISNUMBER(G324),AA324*1000000*G324/100,0)</f>
        <v>45375.36128</v>
      </c>
      <c r="AP324" s="94" t="n">
        <f aca="false">IF(ISNUMBER(M324),M324*K324,0)</f>
        <v>-23128.55</v>
      </c>
      <c r="AQ324" s="95" t="str">
        <f aca="false">IF(AB324="","",INDEX(시장분석!$AK:$AK,AB324))</f>
        <v/>
      </c>
      <c r="AR324" s="43" t="str">
        <f aca="false">IF(AB324="","-",IF(AB324="","",INDEX(시장분석!$AL:$AL,AB324)))</f>
        <v>-</v>
      </c>
      <c r="AS324" s="96" t="str">
        <f aca="false">IF(AB324="","",INDEX(시장분석!$AJ:$AJ,AB324))</f>
        <v/>
      </c>
      <c r="AT324" s="93" t="n">
        <f aca="false">IF(AB324="",0,IF(AB324="","",INDEX(시장분석!$AN:$AN,AB324)))</f>
        <v>0</v>
      </c>
      <c r="AU324" s="94" t="n">
        <f aca="false">IF(ISNUMBER(Z324),AT324/10000*MAX(Z324-1,0)*AA324*1000000,0)</f>
        <v>0</v>
      </c>
      <c r="AV324" s="94" t="n">
        <f aca="false">AO324+AU324</f>
        <v>45375.36128</v>
      </c>
      <c r="AW324" s="43" t="str">
        <f aca="false">IF(Q324&lt;&gt;1,"",TRIM(IF(AD324=1,"FRN ","")&amp;IF(AND(AL324&gt;=10,AL324&lt;99),"BBB0미만 ","")&amp;IF(AJ324="","등급없음 ","")&amp;IF(K324&lt;&gt;1,"비USD ","")&amp;IF(AND(AB324="",Y324=0),"시장데이터없음 ","")&amp;IF(AND(ISNUMBER(U324),U324&lt;0),"만기경과 ","")))</f>
        <v/>
      </c>
      <c r="AX324" s="90" t="n">
        <f aca="false">IF(Q324&lt;&gt;1,1,IF(스프레드쇼크!$C$4="Y",INDEX(스프레드쇼크!$B$12:$L$16,IFERROR(MATCH(AH324,스프레드쇼크!$A$12:$A$16,0),MATCH("목록외",스프레드쇼크!$A$12:$A$16,0)),IFERROR(MATCH(AG324,스프레드쇼크!$B$11:$L$11,0),MATCH("목록외",스프레드쇼크!$B$11:$L$11,0))),1))</f>
        <v>1</v>
      </c>
      <c r="AY324" s="90" t="n">
        <f aca="false">IF(스프레드쇼크!$C$5="Y",IF(ISNUMBER(AF324),MIN(스프레드쇼크!$C$7,MAX(스프레드쇼크!$C$6,AF324/스프레드쇼크!$C$8)),1),1)</f>
        <v>0.25</v>
      </c>
      <c r="AZ324" s="94" t="n">
        <f aca="false">AN324*AX324*AY324</f>
        <v>0</v>
      </c>
      <c r="BA324" s="90" t="n">
        <f aca="false">IF(ISNUMBER(G324),AA324*G324,0)</f>
        <v>4.537536128</v>
      </c>
      <c r="BB324" s="90" t="n">
        <f aca="false">IF(ISNUMBER(G324),AA324,0)</f>
        <v>0.81184</v>
      </c>
      <c r="BC324" s="90" t="n">
        <f aca="false">IF(AND(Y324=0,ISNUMBER(AF324)),AA324*AF324,0)</f>
        <v>0</v>
      </c>
      <c r="BD324" s="90" t="n">
        <f aca="false">IF(AND(Y324=0,ISNUMBER(AF324)),AA324,0)</f>
        <v>0</v>
      </c>
      <c r="BE324" s="90" t="n">
        <f aca="false">IF(ISNUMBER(H324),AA324*H324,0)</f>
        <v>11.83946864</v>
      </c>
      <c r="BF324" s="90" t="n">
        <f aca="false">IF(ISNUMBER(H324),AA324,0)</f>
        <v>0.81184</v>
      </c>
      <c r="BG324" s="90" t="n">
        <f aca="false">IF(AND(Y324=0,ISNUMBER(AF324),ISNUMBER(Z324)),AA324*Z324,0)</f>
        <v>0</v>
      </c>
      <c r="BH324" s="90" t="n">
        <f aca="false">IF(AND(Y324=0,ISNUMBER(AF324),ISNUMBER(Z324)),AA324*AT324*MAX(Z324-1,0),0)</f>
        <v>0</v>
      </c>
      <c r="BI324" s="90" t="n">
        <f aca="false">IF(Y324=0,AA324,0)</f>
        <v>0</v>
      </c>
    </row>
    <row r="325" customFormat="false" ht="15" hidden="false" customHeight="false" outlineLevel="0" collapsed="false">
      <c r="A325" s="83" t="str">
        <f aca="false">IFERROR(IF(INDEX(원자료_잔고!$A$1:$EZ$1500,설정!$L$5+ROW()-1,설정!$L$8)&amp;""="0","",INDEX(원자료_잔고!$A$1:$EZ$1500,설정!$L$5+ROW()-1,설정!$L$8)&amp;""),"")</f>
        <v>T 4.25 08/15/54</v>
      </c>
      <c r="B325" s="83" t="str">
        <f aca="false">IFERROR(IF(INDEX(원자료_잔고!$A$1:$EZ$1500,설정!$L$5+ROW()-1,설정!$L$7)&amp;""="0","",INDEX(원자료_잔고!$A$1:$EZ$1500,설정!$L$5+ROW()-1,설정!$L$7)&amp;""),"")</f>
        <v>US912810UC08</v>
      </c>
      <c r="C325" s="83" t="str">
        <f aca="false">IFERROR(IF(INDEX(원자료_잔고!$A$1:$EZ$1500,설정!$L$5+ROW()-1,설정!$L$9)&amp;""="0","",INDEX(원자료_잔고!$A$1:$EZ$1500,설정!$L$5+ROW()-1,설정!$L$9)&amp;""),"")</f>
        <v>38088</v>
      </c>
      <c r="D325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25" s="84" t="n">
        <f aca="false">IFERROR(IF(ISNUMBER(INDEX(원자료_잔고!$A$1:$EZ$1500,설정!$L$5+ROW()-1,설정!$L$11)),INDEX(원자료_잔고!$A$1:$EZ$1500,설정!$L$5+ROW()-1,설정!$L$11),""),"")</f>
        <v>1000000</v>
      </c>
      <c r="F325" s="85" t="n">
        <f aca="false">IFERROR(IF(ISNUMBER(INDEX(원자료_잔고!$A$1:$EZ$1500,설정!$L$5+ROW()-1,설정!$L$12)),INDEX(원자료_잔고!$A$1:$EZ$1500,설정!$L$5+ROW()-1,설정!$L$12),""),"")</f>
        <v>81.184</v>
      </c>
      <c r="G325" s="85" t="n">
        <f aca="false">IFERROR(IF(ISNUMBER(INDEX(원자료_잔고!$A$1:$EZ$1500,설정!$L$5+ROW()-1,설정!$L$13)),INDEX(원자료_잔고!$A$1:$EZ$1500,설정!$L$5+ROW()-1,설정!$L$13),""),"")</f>
        <v>5.5892</v>
      </c>
      <c r="H325" s="85" t="n">
        <f aca="false">IFERROR(IF(ISNUMBER(INDEX(원자료_잔고!$A$1:$EZ$1500,설정!$L$5+ROW()-1,설정!$L$14)),INDEX(원자료_잔고!$A$1:$EZ$1500,설정!$L$5+ROW()-1,설정!$L$14),""),"")</f>
        <v>14.5835</v>
      </c>
      <c r="I325" s="86" t="n">
        <f aca="false">IFERROR(IF(ISNUMBER(INDEX(원자료_잔고!$A$1:$EZ$1500,설정!$L$5+ROW()-1,설정!$L$15)),INDEX(원자료_잔고!$A$1:$EZ$1500,설정!$L$5+ROW()-1,설정!$L$15),""),"")</f>
        <v>56476</v>
      </c>
      <c r="J325" s="85" t="n">
        <f aca="false">IFERROR(IF(ISNUMBER(INDEX(원자료_잔고!$A$1:$EZ$1500,설정!$L$5+ROW()-1,설정!$L$16)),INDEX(원자료_잔고!$A$1:$EZ$1500,설정!$L$5+ROW()-1,설정!$L$16),""),"")</f>
        <v>4.25</v>
      </c>
      <c r="K325" s="87" t="n">
        <f aca="false">IFERROR(IF(ISNUMBER(INDEX(원자료_잔고!$A$1:$EZ$1500,설정!$L$5+ROW()-1,설정!$L$17)),INDEX(원자료_잔고!$A$1:$EZ$1500,설정!$L$5+ROW()-1,설정!$L$17),""),"")</f>
        <v>1</v>
      </c>
      <c r="L325" s="84" t="n">
        <f aca="false">IFERROR(IF(ISNUMBER(INDEX(원자료_잔고!$A$1:$EZ$1500,설정!$L$5+ROW()-1,설정!$L$18)),INDEX(원자료_잔고!$A$1:$EZ$1500,설정!$L$5+ROW()-1,설정!$L$18),""),"")</f>
        <v>811840</v>
      </c>
      <c r="M325" s="88" t="n">
        <f aca="false">IFERROR(IF(ISNUMBER(INDEX(원자료_잔고!$A$1:$EZ$1500,설정!$L$5+ROW()-1,설정!$L$19)),INDEX(원자료_잔고!$A$1:$EZ$1500,설정!$L$5+ROW()-1,설정!$L$19),""),"")</f>
        <v>-5199.55</v>
      </c>
      <c r="N325" s="83" t="str">
        <f aca="false">IFERROR(IF(INDEX(원자료_잔고!$A$1:$EZ$1500,설정!$L$5+ROW()-1,설정!$L$21)&amp;""="0","",INDEX(원자료_잔고!$A$1:$EZ$1500,설정!$L$5+ROW()-1,설정!$L$21)&amp;""),"")</f>
        <v/>
      </c>
      <c r="O325" s="83" t="str">
        <f aca="false">IFERROR(IF(INDEX(원자료_잔고!$A$1:$EZ$1500,설정!$L$5+ROW()-1,설정!$L$22)&amp;""="0","",INDEX(원자료_잔고!$A$1:$EZ$1500,설정!$L$5+ROW()-1,설정!$L$22)&amp;""),"")</f>
        <v/>
      </c>
      <c r="P325" s="83" t="str">
        <f aca="false">IFERROR(IF(INDEX(원자료_잔고!$A$1:$EZ$1500,설정!$L$5+ROW()-1,설정!$L$23)&amp;""="0","",INDEX(원자료_잔고!$A$1:$EZ$1500,설정!$L$5+ROW()-1,설정!$L$23)&amp;""),"")</f>
        <v>AA+</v>
      </c>
      <c r="Q325" s="89" t="n">
        <f aca="false">IF(AND($A325&lt;&gt;"",ISNUMBER(E325)),IF(E325&gt;0,1,0),0)</f>
        <v>1</v>
      </c>
      <c r="R325" s="43" t="str">
        <f aca="false">IF(Q325=1,UPPER(LEFT($A325,FIND(" ",$A325&amp;" ")-1)),"")</f>
        <v>T</v>
      </c>
      <c r="S325" s="89" t="n">
        <f aca="false">IF(Q325=1,IF(OR(ISNUMBER(SEARCH("Float",$A325)),ISNUMBER(SEARCH("FRN",$A325))),1,0),0)</f>
        <v>0</v>
      </c>
      <c r="T325" s="43" t="str">
        <f aca="false">IF(AND(Q325=1,ISNUMBER(I325)),TEXT(I325,"yyyymmdd")&amp;"|"&amp;IF(S325=1,"F",TEXT(J325,"0.000")),"")</f>
        <v>20540815|4.250</v>
      </c>
      <c r="U325" s="90" t="n">
        <f aca="false">IF(AND(Q325=1,ISNUMBER(I325)),(I325-설정!$C$4)/365.25,"")</f>
        <v>27.8713210130048</v>
      </c>
      <c r="V325" s="43" t="str">
        <f aca="false">IF(Q325&lt;&gt;1,"",IF(ISNUMBER(U325),IF(U325&lt;=1,"1년 이하",IF(U325&lt;=2,"1-2년",IF(U325&lt;=3,"2-3년",IF(U325&lt;=4,"3-4년",IF(U325&lt;=5,"4-5년",IF(U325&lt;=7,"5-7년",IF(U325&lt;=10,"7-10년",IF(U325&lt;=20,"10-20년","20년 이상")))))))),"미분류"))</f>
        <v>20년 이상</v>
      </c>
      <c r="W325" s="43" t="str">
        <f aca="false">IF(Q325&lt;&gt;1,"",IF(AB325&lt;&gt;"",INDEX(시장분석!$C:$C,AB325),IF(K325=1,"USD","비USD")))</f>
        <v>USD</v>
      </c>
      <c r="X325" s="91" t="n">
        <f aca="false">IF(Q325=1,E325*K325/1000000,0)</f>
        <v>1</v>
      </c>
      <c r="Y325" s="89" t="n">
        <f aca="false">IF(R325="T",1,0)</f>
        <v>1</v>
      </c>
      <c r="Z325" s="92" t="n">
        <f aca="false">IF(Q325&lt;&gt;1,"",IF(AD325=1,IF(ISNUMBER(U325),MAX(U325,0),H325),H325))</f>
        <v>14.5835</v>
      </c>
      <c r="AA325" s="91" t="n">
        <f aca="false">IF(Q325=1,IF(ISNUMBER(L325),L325,0)*K325/1000000,0)</f>
        <v>0.81184</v>
      </c>
      <c r="AB325" s="89" t="n">
        <f aca="false">IF(Q325&lt;&gt;1,"",IFERROR(MATCH(VLOOKUP(B325,매핑!$H$4:$I$15,2,0),시장분석!$A$2:$A$601,0)+1,IFERROR(MATCH(R325&amp;"|"&amp;T325,시장분석!$V$2:$V$601,0)+1,IF(COUNTIF(시장분석!$U$2:$U$601,T325)=1,MATCH(T325,시장분석!$U$2:$U$601,0)+1,""))))</f>
        <v>117</v>
      </c>
      <c r="AC325" s="89" t="n">
        <f aca="false">IF(Q325&lt;&gt;1,0,IF(OR(설정!$C$5="전체",AND(설정!$C$5="선택펀드",IFERROR(COUNTIFS(설정!$F$16:$F$36,C325,설정!$G$16:$G$36,"Y")+COUNTIFS(설정!$F$16:$F$36,VALUE(C325),설정!$G$16:$G$36,"Y"),0)&gt;0),C325&amp;""=설정!$C$5&amp;""),1,0))</f>
        <v>0</v>
      </c>
      <c r="AD325" s="89" t="n">
        <f aca="false">IF(Q325&lt;&gt;1,0,IF(OR(S325=1,IF(AB325="",FALSE(),INDEX(시장분석!$R:$R,AB325)=1)),1,0))</f>
        <v>0</v>
      </c>
      <c r="AE325" s="43" t="str">
        <f aca="false">IF(AB325="","",INDEX(시장분석!$A:$A,AB325))</f>
        <v>T 4 1/4 08/15/54</v>
      </c>
      <c r="AF325" s="93" t="n">
        <f aca="false">IF(AB325="","",IF(ISNUMBER(IF(AB325="","",INDEX(시장분석!$E:$E,AB325))),IF(AB325="","",INDEX(시장분석!$E:$E,AB325)),""))</f>
        <v>3.4</v>
      </c>
      <c r="AG325" s="43" t="str">
        <f aca="false">IF(Q325&lt;&gt;1,"",IF(AB325&lt;&gt;"",IF(AB325="","",INDEX(시장분석!$L:$L,AB325)),IFERROR(IF(VLOOKUP(R325,매핑!$A$4:$E$92,5,0)="","미분류",VLOOKUP(R325,매핑!$A$4:$E$92,5,0)),"미분류")))</f>
        <v>정부</v>
      </c>
      <c r="AH325" s="43" t="str">
        <f aca="false">IF(Q325&lt;&gt;1,"",IF(AB325&lt;&gt;"",IF(AB325="","",INDEX(시장분석!$N:$N,AB325)),IFERROR(IF(VLOOKUP(R325,매핑!$A$4:$E$92,4,0)="","미분류",VLOOKUP(R325,매핑!$A$4:$E$92,4,0)),"미분류")))</f>
        <v>미국</v>
      </c>
      <c r="AI325" s="43" t="str">
        <f aca="false">IF(Q325&lt;&gt;1,"",IFERROR(IF(VLOOKUP(R325,매핑!$A$4:$E$92,3,0)="","미분류",VLOOKUP(R325,매핑!$A$4:$E$92,3,0)),IF(AB325&lt;&gt;"",IF(AB325="","",INDEX(시장분석!$W:$W,AB325)),"미분류")))</f>
        <v>미국</v>
      </c>
      <c r="AJ325" s="43" t="str">
        <f aca="false">IF(Q325&lt;&gt;1,"",IFERROR(VLOOKUP(IF(N325&lt;&gt;"",N325,IF(P325&lt;&gt;"",P325,O325)),설정!$A$15:$D$47,2,0),""))</f>
        <v>AA+</v>
      </c>
      <c r="AK325" s="43" t="str">
        <f aca="false">IF(Q325&lt;&gt;1,"",IF(AJ325="","무등급",IFERROR(VLOOKUP(AJ325,설정!$A$15:$D$47,3,0),"무등급")))</f>
        <v>AA이상</v>
      </c>
      <c r="AL325" s="89" t="n">
        <f aca="false">IF(AJ325="",99,IFERROR(VLOOKUP(AJ325,설정!$A$15:$D$47,4,0),99))</f>
        <v>2</v>
      </c>
      <c r="AM325" s="94" t="n">
        <f aca="false">IF(ISNUMBER(H325),AA325*1000000*H325/10000,0)</f>
        <v>1183.946864</v>
      </c>
      <c r="AN325" s="94" t="n">
        <f aca="false">IF(OR(Y325=1,NOT(ISNUMBER(Z325))),0,AA325*1000000*Z325/10000)</f>
        <v>0</v>
      </c>
      <c r="AO325" s="94" t="n">
        <f aca="false">IF(ISNUMBER(G325),AA325*1000000*G325/100,0)</f>
        <v>45375.36128</v>
      </c>
      <c r="AP325" s="94" t="n">
        <f aca="false">IF(ISNUMBER(M325),M325*K325,0)</f>
        <v>-5199.55</v>
      </c>
      <c r="AQ325" s="95" t="str">
        <f aca="false">IF(AB325="","",INDEX(시장분석!$AK:$AK,AB325))</f>
        <v/>
      </c>
      <c r="AR325" s="43" t="str">
        <f aca="false">IF(AB325="","-",IF(AB325="","",INDEX(시장분석!$AL:$AL,AB325)))</f>
        <v>-</v>
      </c>
      <c r="AS325" s="96" t="str">
        <f aca="false">IF(AB325="","",INDEX(시장분석!$AJ:$AJ,AB325))</f>
        <v/>
      </c>
      <c r="AT325" s="93" t="n">
        <f aca="false">IF(AB325="",0,IF(AB325="","",INDEX(시장분석!$AN:$AN,AB325)))</f>
        <v>0</v>
      </c>
      <c r="AU325" s="94" t="n">
        <f aca="false">IF(ISNUMBER(Z325),AT325/10000*MAX(Z325-1,0)*AA325*1000000,0)</f>
        <v>0</v>
      </c>
      <c r="AV325" s="94" t="n">
        <f aca="false">AO325+AU325</f>
        <v>45375.36128</v>
      </c>
      <c r="AW325" s="43" t="str">
        <f aca="false">IF(Q325&lt;&gt;1,"",TRIM(IF(AD325=1,"FRN ","")&amp;IF(AND(AL325&gt;=10,AL325&lt;99),"BBB0미만 ","")&amp;IF(AJ325="","등급없음 ","")&amp;IF(K325&lt;&gt;1,"비USD ","")&amp;IF(AND(AB325="",Y325=0),"시장데이터없음 ","")&amp;IF(AND(ISNUMBER(U325),U325&lt;0),"만기경과 ","")))</f>
        <v/>
      </c>
      <c r="AX325" s="90" t="n">
        <f aca="false">IF(Q325&lt;&gt;1,1,IF(스프레드쇼크!$C$4="Y",INDEX(스프레드쇼크!$B$12:$L$16,IFERROR(MATCH(AH325,스프레드쇼크!$A$12:$A$16,0),MATCH("목록외",스프레드쇼크!$A$12:$A$16,0)),IFERROR(MATCH(AG325,스프레드쇼크!$B$11:$L$11,0),MATCH("목록외",스프레드쇼크!$B$11:$L$11,0))),1))</f>
        <v>1</v>
      </c>
      <c r="AY325" s="90" t="n">
        <f aca="false">IF(스프레드쇼크!$C$5="Y",IF(ISNUMBER(AF325),MIN(스프레드쇼크!$C$7,MAX(스프레드쇼크!$C$6,AF325/스프레드쇼크!$C$8)),1),1)</f>
        <v>0.25</v>
      </c>
      <c r="AZ325" s="94" t="n">
        <f aca="false">AN325*AX325*AY325</f>
        <v>0</v>
      </c>
      <c r="BA325" s="90" t="n">
        <f aca="false">IF(ISNUMBER(G325),AA325*G325,0)</f>
        <v>4.537536128</v>
      </c>
      <c r="BB325" s="90" t="n">
        <f aca="false">IF(ISNUMBER(G325),AA325,0)</f>
        <v>0.81184</v>
      </c>
      <c r="BC325" s="90" t="n">
        <f aca="false">IF(AND(Y325=0,ISNUMBER(AF325)),AA325*AF325,0)</f>
        <v>0</v>
      </c>
      <c r="BD325" s="90" t="n">
        <f aca="false">IF(AND(Y325=0,ISNUMBER(AF325)),AA325,0)</f>
        <v>0</v>
      </c>
      <c r="BE325" s="90" t="n">
        <f aca="false">IF(ISNUMBER(H325),AA325*H325,0)</f>
        <v>11.83946864</v>
      </c>
      <c r="BF325" s="90" t="n">
        <f aca="false">IF(ISNUMBER(H325),AA325,0)</f>
        <v>0.81184</v>
      </c>
      <c r="BG325" s="90" t="n">
        <f aca="false">IF(AND(Y325=0,ISNUMBER(AF325),ISNUMBER(Z325)),AA325*Z325,0)</f>
        <v>0</v>
      </c>
      <c r="BH325" s="90" t="n">
        <f aca="false">IF(AND(Y325=0,ISNUMBER(AF325),ISNUMBER(Z325)),AA325*AT325*MAX(Z325-1,0),0)</f>
        <v>0</v>
      </c>
      <c r="BI325" s="90" t="n">
        <f aca="false">IF(Y325=0,AA325,0)</f>
        <v>0</v>
      </c>
    </row>
    <row r="326" customFormat="false" ht="15" hidden="false" customHeight="false" outlineLevel="0" collapsed="false">
      <c r="A326" s="83" t="str">
        <f aca="false">IFERROR(IF(INDEX(원자료_잔고!$A$1:$EZ$1500,설정!$L$5+ROW()-1,설정!$L$8)&amp;""="0","",INDEX(원자료_잔고!$A$1:$EZ$1500,설정!$L$5+ROW()-1,설정!$L$8)&amp;""),"")</f>
        <v>T 4.25 08/15/35</v>
      </c>
      <c r="B326" s="83" t="str">
        <f aca="false">IFERROR(IF(INDEX(원자료_잔고!$A$1:$EZ$1500,설정!$L$5+ROW()-1,설정!$L$7)&amp;""="0","",INDEX(원자료_잔고!$A$1:$EZ$1500,설정!$L$5+ROW()-1,설정!$L$7)&amp;""),"")</f>
        <v>US91282CNT44</v>
      </c>
      <c r="C326" s="83" t="str">
        <f aca="false">IFERROR(IF(INDEX(원자료_잔고!$A$1:$EZ$1500,설정!$L$5+ROW()-1,설정!$L$9)&amp;""="0","",INDEX(원자료_잔고!$A$1:$EZ$1500,설정!$L$5+ROW()-1,설정!$L$9)&amp;""),"")</f>
        <v>38088</v>
      </c>
      <c r="D326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26" s="84" t="n">
        <f aca="false">IFERROR(IF(ISNUMBER(INDEX(원자료_잔고!$A$1:$EZ$1500,설정!$L$5+ROW()-1,설정!$L$11)),INDEX(원자료_잔고!$A$1:$EZ$1500,설정!$L$5+ROW()-1,설정!$L$11),""),"")</f>
        <v>15000000</v>
      </c>
      <c r="F326" s="85" t="n">
        <f aca="false">IFERROR(IF(ISNUMBER(INDEX(원자료_잔고!$A$1:$EZ$1500,설정!$L$5+ROW()-1,설정!$L$12)),INDEX(원자료_잔고!$A$1:$EZ$1500,설정!$L$5+ROW()-1,설정!$L$12),""),"")</f>
        <v>93.2658</v>
      </c>
      <c r="G326" s="85" t="n">
        <f aca="false">IFERROR(IF(ISNUMBER(INDEX(원자료_잔고!$A$1:$EZ$1500,설정!$L$5+ROW()-1,설정!$L$13)),INDEX(원자료_잔고!$A$1:$EZ$1500,설정!$L$5+ROW()-1,설정!$L$13),""),"")</f>
        <v>5.2059</v>
      </c>
      <c r="H326" s="85" t="n">
        <f aca="false">IFERROR(IF(ISNUMBER(INDEX(원자료_잔고!$A$1:$EZ$1500,설정!$L$5+ROW()-1,설정!$L$14)),INDEX(원자료_잔고!$A$1:$EZ$1500,설정!$L$5+ROW()-1,설정!$L$14),""),"")</f>
        <v>7.1359</v>
      </c>
      <c r="I326" s="86" t="n">
        <f aca="false">IFERROR(IF(ISNUMBER(INDEX(원자료_잔고!$A$1:$EZ$1500,설정!$L$5+ROW()-1,설정!$L$15)),INDEX(원자료_잔고!$A$1:$EZ$1500,설정!$L$5+ROW()-1,설정!$L$15),""),"")</f>
        <v>49536</v>
      </c>
      <c r="J326" s="85" t="n">
        <f aca="false">IFERROR(IF(ISNUMBER(INDEX(원자료_잔고!$A$1:$EZ$1500,설정!$L$5+ROW()-1,설정!$L$16)),INDEX(원자료_잔고!$A$1:$EZ$1500,설정!$L$5+ROW()-1,설정!$L$16),""),"")</f>
        <v>4.25</v>
      </c>
      <c r="K326" s="87" t="n">
        <f aca="false">IFERROR(IF(ISNUMBER(INDEX(원자료_잔고!$A$1:$EZ$1500,설정!$L$5+ROW()-1,설정!$L$17)),INDEX(원자료_잔고!$A$1:$EZ$1500,설정!$L$5+ROW()-1,설정!$L$17),""),"")</f>
        <v>1</v>
      </c>
      <c r="L326" s="84" t="n">
        <f aca="false">IFERROR(IF(ISNUMBER(INDEX(원자료_잔고!$A$1:$EZ$1500,설정!$L$5+ROW()-1,설정!$L$18)),INDEX(원자료_잔고!$A$1:$EZ$1500,설정!$L$5+ROW()-1,설정!$L$18),""),"")</f>
        <v>13989870</v>
      </c>
      <c r="M326" s="88" t="n">
        <f aca="false">IFERROR(IF(ISNUMBER(INDEX(원자료_잔고!$A$1:$EZ$1500,설정!$L$5+ROW()-1,설정!$L$19)),INDEX(원자료_잔고!$A$1:$EZ$1500,설정!$L$5+ROW()-1,설정!$L$19),""),"")</f>
        <v>-1163168.64</v>
      </c>
      <c r="N326" s="83" t="str">
        <f aca="false">IFERROR(IF(INDEX(원자료_잔고!$A$1:$EZ$1500,설정!$L$5+ROW()-1,설정!$L$21)&amp;""="0","",INDEX(원자료_잔고!$A$1:$EZ$1500,설정!$L$5+ROW()-1,설정!$L$21)&amp;""),"")</f>
        <v/>
      </c>
      <c r="O326" s="83" t="str">
        <f aca="false">IFERROR(IF(INDEX(원자료_잔고!$A$1:$EZ$1500,설정!$L$5+ROW()-1,설정!$L$22)&amp;""="0","",INDEX(원자료_잔고!$A$1:$EZ$1500,설정!$L$5+ROW()-1,설정!$L$22)&amp;""),"")</f>
        <v/>
      </c>
      <c r="P326" s="83" t="str">
        <f aca="false">IFERROR(IF(INDEX(원자료_잔고!$A$1:$EZ$1500,설정!$L$5+ROW()-1,설정!$L$23)&amp;""="0","",INDEX(원자료_잔고!$A$1:$EZ$1500,설정!$L$5+ROW()-1,설정!$L$23)&amp;""),"")</f>
        <v>AA+</v>
      </c>
      <c r="Q326" s="89" t="n">
        <f aca="false">IF(AND($A326&lt;&gt;"",ISNUMBER(E326)),IF(E326&gt;0,1,0),0)</f>
        <v>1</v>
      </c>
      <c r="R326" s="43" t="str">
        <f aca="false">IF(Q326=1,UPPER(LEFT($A326,FIND(" ",$A326&amp;" ")-1)),"")</f>
        <v>T</v>
      </c>
      <c r="S326" s="89" t="n">
        <f aca="false">IF(Q326=1,IF(OR(ISNUMBER(SEARCH("Float",$A326)),ISNUMBER(SEARCH("FRN",$A326))),1,0),0)</f>
        <v>0</v>
      </c>
      <c r="T326" s="43" t="str">
        <f aca="false">IF(AND(Q326=1,ISNUMBER(I326)),TEXT(I326,"yyyymmdd")&amp;"|"&amp;IF(S326=1,"F",TEXT(J326,"0.000")),"")</f>
        <v>20350815|4.250</v>
      </c>
      <c r="U326" s="90" t="n">
        <f aca="false">IF(AND(Q326=1,ISNUMBER(I326)),(I326-설정!$C$4)/365.25,"")</f>
        <v>8.87063655030801</v>
      </c>
      <c r="V326" s="43" t="str">
        <f aca="false">IF(Q326&lt;&gt;1,"",IF(ISNUMBER(U326),IF(U326&lt;=1,"1년 이하",IF(U326&lt;=2,"1-2년",IF(U326&lt;=3,"2-3년",IF(U326&lt;=4,"3-4년",IF(U326&lt;=5,"4-5년",IF(U326&lt;=7,"5-7년",IF(U326&lt;=10,"7-10년",IF(U326&lt;=20,"10-20년","20년 이상")))))))),"미분류"))</f>
        <v>7-10년</v>
      </c>
      <c r="W326" s="43" t="str">
        <f aca="false">IF(Q326&lt;&gt;1,"",IF(AB326&lt;&gt;"",INDEX(시장분석!$C:$C,AB326),IF(K326=1,"USD","비USD")))</f>
        <v>USD</v>
      </c>
      <c r="X326" s="91" t="n">
        <f aca="false">IF(Q326=1,E326*K326/1000000,0)</f>
        <v>15</v>
      </c>
      <c r="Y326" s="89" t="n">
        <f aca="false">IF(R326="T",1,0)</f>
        <v>1</v>
      </c>
      <c r="Z326" s="92" t="n">
        <f aca="false">IF(Q326&lt;&gt;1,"",IF(AD326=1,IF(ISNUMBER(U326),MAX(U326,0),H326),H326))</f>
        <v>7.1359</v>
      </c>
      <c r="AA326" s="91" t="n">
        <f aca="false">IF(Q326=1,IF(ISNUMBER(L326),L326,0)*K326/1000000,0)</f>
        <v>13.98987</v>
      </c>
      <c r="AB326" s="89" t="n">
        <f aca="false">IF(Q326&lt;&gt;1,"",IFERROR(MATCH(VLOOKUP(B326,매핑!$H$4:$I$15,2,0),시장분석!$A$2:$A$601,0)+1,IFERROR(MATCH(R326&amp;"|"&amp;T326,시장분석!$V$2:$V$601,0)+1,IF(COUNTIF(시장분석!$U$2:$U$601,T326)=1,MATCH(T326,시장분석!$U$2:$U$601,0)+1,""))))</f>
        <v>123</v>
      </c>
      <c r="AC326" s="89" t="n">
        <f aca="false">IF(Q326&lt;&gt;1,0,IF(OR(설정!$C$5="전체",AND(설정!$C$5="선택펀드",IFERROR(COUNTIFS(설정!$F$16:$F$36,C326,설정!$G$16:$G$36,"Y")+COUNTIFS(설정!$F$16:$F$36,VALUE(C326),설정!$G$16:$G$36,"Y"),0)&gt;0),C326&amp;""=설정!$C$5&amp;""),1,0))</f>
        <v>0</v>
      </c>
      <c r="AD326" s="89" t="n">
        <f aca="false">IF(Q326&lt;&gt;1,0,IF(OR(S326=1,IF(AB326="",FALSE(),INDEX(시장분석!$R:$R,AB326)=1)),1,0))</f>
        <v>0</v>
      </c>
      <c r="AE326" s="43" t="str">
        <f aca="false">IF(AB326="","",INDEX(시장분석!$A:$A,AB326))</f>
        <v>T 4 1/4 08/15/35</v>
      </c>
      <c r="AF326" s="93" t="n">
        <f aca="false">IF(AB326="","",IF(ISNUMBER(IF(AB326="","",INDEX(시장분석!$E:$E,AB326))),IF(AB326="","",INDEX(시장분석!$E:$E,AB326)),""))</f>
        <v>-1.749</v>
      </c>
      <c r="AG326" s="43" t="str">
        <f aca="false">IF(Q326&lt;&gt;1,"",IF(AB326&lt;&gt;"",IF(AB326="","",INDEX(시장분석!$L:$L,AB326)),IFERROR(IF(VLOOKUP(R326,매핑!$A$4:$E$92,5,0)="","미분류",VLOOKUP(R326,매핑!$A$4:$E$92,5,0)),"미분류")))</f>
        <v>정부</v>
      </c>
      <c r="AH326" s="43" t="str">
        <f aca="false">IF(Q326&lt;&gt;1,"",IF(AB326&lt;&gt;"",IF(AB326="","",INDEX(시장분석!$N:$N,AB326)),IFERROR(IF(VLOOKUP(R326,매핑!$A$4:$E$92,4,0)="","미분류",VLOOKUP(R326,매핑!$A$4:$E$92,4,0)),"미분류")))</f>
        <v>미국</v>
      </c>
      <c r="AI326" s="43" t="str">
        <f aca="false">IF(Q326&lt;&gt;1,"",IFERROR(IF(VLOOKUP(R326,매핑!$A$4:$E$92,3,0)="","미분류",VLOOKUP(R326,매핑!$A$4:$E$92,3,0)),IF(AB326&lt;&gt;"",IF(AB326="","",INDEX(시장분석!$W:$W,AB326)),"미분류")))</f>
        <v>미국</v>
      </c>
      <c r="AJ326" s="43" t="str">
        <f aca="false">IF(Q326&lt;&gt;1,"",IFERROR(VLOOKUP(IF(N326&lt;&gt;"",N326,IF(P326&lt;&gt;"",P326,O326)),설정!$A$15:$D$47,2,0),""))</f>
        <v>AA+</v>
      </c>
      <c r="AK326" s="43" t="str">
        <f aca="false">IF(Q326&lt;&gt;1,"",IF(AJ326="","무등급",IFERROR(VLOOKUP(AJ326,설정!$A$15:$D$47,3,0),"무등급")))</f>
        <v>AA이상</v>
      </c>
      <c r="AL326" s="89" t="n">
        <f aca="false">IF(AJ326="",99,IFERROR(VLOOKUP(AJ326,설정!$A$15:$D$47,4,0),99))</f>
        <v>2</v>
      </c>
      <c r="AM326" s="94" t="n">
        <f aca="false">IF(ISNUMBER(H326),AA326*1000000*H326/10000,0)</f>
        <v>9983.0313333</v>
      </c>
      <c r="AN326" s="94" t="n">
        <f aca="false">IF(OR(Y326=1,NOT(ISNUMBER(Z326))),0,AA326*1000000*Z326/10000)</f>
        <v>0</v>
      </c>
      <c r="AO326" s="94" t="n">
        <f aca="false">IF(ISNUMBER(G326),AA326*1000000*G326/100,0)</f>
        <v>728298.64233</v>
      </c>
      <c r="AP326" s="94" t="n">
        <f aca="false">IF(ISNUMBER(M326),M326*K326,0)</f>
        <v>-1163168.64</v>
      </c>
      <c r="AQ326" s="95" t="str">
        <f aca="false">IF(AB326="","",INDEX(시장분석!$AK:$AK,AB326))</f>
        <v/>
      </c>
      <c r="AR326" s="43" t="str">
        <f aca="false">IF(AB326="","-",IF(AB326="","",INDEX(시장분석!$AL:$AL,AB326)))</f>
        <v>-</v>
      </c>
      <c r="AS326" s="96" t="str">
        <f aca="false">IF(AB326="","",INDEX(시장분석!$AJ:$AJ,AB326))</f>
        <v/>
      </c>
      <c r="AT326" s="93" t="n">
        <f aca="false">IF(AB326="",0,IF(AB326="","",INDEX(시장분석!$AN:$AN,AB326)))</f>
        <v>0</v>
      </c>
      <c r="AU326" s="94" t="n">
        <f aca="false">IF(ISNUMBER(Z326),AT326/10000*MAX(Z326-1,0)*AA326*1000000,0)</f>
        <v>0</v>
      </c>
      <c r="AV326" s="94" t="n">
        <f aca="false">AO326+AU326</f>
        <v>728298.64233</v>
      </c>
      <c r="AW326" s="43" t="str">
        <f aca="false">IF(Q326&lt;&gt;1,"",TRIM(IF(AD326=1,"FRN ","")&amp;IF(AND(AL326&gt;=10,AL326&lt;99),"BBB0미만 ","")&amp;IF(AJ326="","등급없음 ","")&amp;IF(K326&lt;&gt;1,"비USD ","")&amp;IF(AND(AB326="",Y326=0),"시장데이터없음 ","")&amp;IF(AND(ISNUMBER(U326),U326&lt;0),"만기경과 ","")))</f>
        <v/>
      </c>
      <c r="AX326" s="90" t="n">
        <f aca="false">IF(Q326&lt;&gt;1,1,IF(스프레드쇼크!$C$4="Y",INDEX(스프레드쇼크!$B$12:$L$16,IFERROR(MATCH(AH326,스프레드쇼크!$A$12:$A$16,0),MATCH("목록외",스프레드쇼크!$A$12:$A$16,0)),IFERROR(MATCH(AG326,스프레드쇼크!$B$11:$L$11,0),MATCH("목록외",스프레드쇼크!$B$11:$L$11,0))),1))</f>
        <v>1</v>
      </c>
      <c r="AY326" s="90" t="n">
        <f aca="false">IF(스프레드쇼크!$C$5="Y",IF(ISNUMBER(AF326),MIN(스프레드쇼크!$C$7,MAX(스프레드쇼크!$C$6,AF326/스프레드쇼크!$C$8)),1),1)</f>
        <v>0.25</v>
      </c>
      <c r="AZ326" s="94" t="n">
        <f aca="false">AN326*AX326*AY326</f>
        <v>0</v>
      </c>
      <c r="BA326" s="90" t="n">
        <f aca="false">IF(ISNUMBER(G326),AA326*G326,0)</f>
        <v>72.829864233</v>
      </c>
      <c r="BB326" s="90" t="n">
        <f aca="false">IF(ISNUMBER(G326),AA326,0)</f>
        <v>13.98987</v>
      </c>
      <c r="BC326" s="90" t="n">
        <f aca="false">IF(AND(Y326=0,ISNUMBER(AF326)),AA326*AF326,0)</f>
        <v>0</v>
      </c>
      <c r="BD326" s="90" t="n">
        <f aca="false">IF(AND(Y326=0,ISNUMBER(AF326)),AA326,0)</f>
        <v>0</v>
      </c>
      <c r="BE326" s="90" t="n">
        <f aca="false">IF(ISNUMBER(H326),AA326*H326,0)</f>
        <v>99.830313333</v>
      </c>
      <c r="BF326" s="90" t="n">
        <f aca="false">IF(ISNUMBER(H326),AA326,0)</f>
        <v>13.98987</v>
      </c>
      <c r="BG326" s="90" t="n">
        <f aca="false">IF(AND(Y326=0,ISNUMBER(AF326),ISNUMBER(Z326)),AA326*Z326,0)</f>
        <v>0</v>
      </c>
      <c r="BH326" s="90" t="n">
        <f aca="false">IF(AND(Y326=0,ISNUMBER(AF326),ISNUMBER(Z326)),AA326*AT326*MAX(Z326-1,0),0)</f>
        <v>0</v>
      </c>
      <c r="BI326" s="90" t="n">
        <f aca="false">IF(Y326=0,AA326,0)</f>
        <v>0</v>
      </c>
    </row>
    <row r="327" customFormat="false" ht="15" hidden="false" customHeight="false" outlineLevel="0" collapsed="false">
      <c r="A327" s="83" t="str">
        <f aca="false">IFERROR(IF(INDEX(원자료_잔고!$A$1:$EZ$1500,설정!$L$5+ROW()-1,설정!$L$8)&amp;""="0","",INDEX(원자료_잔고!$A$1:$EZ$1500,설정!$L$5+ROW()-1,설정!$L$8)&amp;""),"")</f>
        <v>T 4.25 08/15/35</v>
      </c>
      <c r="B327" s="83" t="str">
        <f aca="false">IFERROR(IF(INDEX(원자료_잔고!$A$1:$EZ$1500,설정!$L$5+ROW()-1,설정!$L$7)&amp;""="0","",INDEX(원자료_잔고!$A$1:$EZ$1500,설정!$L$5+ROW()-1,설정!$L$7)&amp;""),"")</f>
        <v>US91282CNT44</v>
      </c>
      <c r="C327" s="83" t="str">
        <f aca="false">IFERROR(IF(INDEX(원자료_잔고!$A$1:$EZ$1500,설정!$L$5+ROW()-1,설정!$L$9)&amp;""="0","",INDEX(원자료_잔고!$A$1:$EZ$1500,설정!$L$5+ROW()-1,설정!$L$9)&amp;""),"")</f>
        <v>38088</v>
      </c>
      <c r="D327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27" s="84" t="n">
        <f aca="false">IFERROR(IF(ISNUMBER(INDEX(원자료_잔고!$A$1:$EZ$1500,설정!$L$5+ROW()-1,설정!$L$11)),INDEX(원자료_잔고!$A$1:$EZ$1500,설정!$L$5+ROW()-1,설정!$L$11),""),"")</f>
        <v>10000000</v>
      </c>
      <c r="F327" s="85" t="n">
        <f aca="false">IFERROR(IF(ISNUMBER(INDEX(원자료_잔고!$A$1:$EZ$1500,설정!$L$5+ROW()-1,설정!$L$12)),INDEX(원자료_잔고!$A$1:$EZ$1500,설정!$L$5+ROW()-1,설정!$L$12),""),"")</f>
        <v>93.2658</v>
      </c>
      <c r="G327" s="85" t="n">
        <f aca="false">IFERROR(IF(ISNUMBER(INDEX(원자료_잔고!$A$1:$EZ$1500,설정!$L$5+ROW()-1,설정!$L$13)),INDEX(원자료_잔고!$A$1:$EZ$1500,설정!$L$5+ROW()-1,설정!$L$13),""),"")</f>
        <v>5.2059</v>
      </c>
      <c r="H327" s="85" t="n">
        <f aca="false">IFERROR(IF(ISNUMBER(INDEX(원자료_잔고!$A$1:$EZ$1500,설정!$L$5+ROW()-1,설정!$L$14)),INDEX(원자료_잔고!$A$1:$EZ$1500,설정!$L$5+ROW()-1,설정!$L$14),""),"")</f>
        <v>7.1359</v>
      </c>
      <c r="I327" s="86" t="n">
        <f aca="false">IFERROR(IF(ISNUMBER(INDEX(원자료_잔고!$A$1:$EZ$1500,설정!$L$5+ROW()-1,설정!$L$15)),INDEX(원자료_잔고!$A$1:$EZ$1500,설정!$L$5+ROW()-1,설정!$L$15),""),"")</f>
        <v>49536</v>
      </c>
      <c r="J327" s="85" t="n">
        <f aca="false">IFERROR(IF(ISNUMBER(INDEX(원자료_잔고!$A$1:$EZ$1500,설정!$L$5+ROW()-1,설정!$L$16)),INDEX(원자료_잔고!$A$1:$EZ$1500,설정!$L$5+ROW()-1,설정!$L$16),""),"")</f>
        <v>4.25</v>
      </c>
      <c r="K327" s="87" t="n">
        <f aca="false">IFERROR(IF(ISNUMBER(INDEX(원자료_잔고!$A$1:$EZ$1500,설정!$L$5+ROW()-1,설정!$L$17)),INDEX(원자료_잔고!$A$1:$EZ$1500,설정!$L$5+ROW()-1,설정!$L$17),""),"")</f>
        <v>1</v>
      </c>
      <c r="L327" s="84" t="n">
        <f aca="false">IFERROR(IF(ISNUMBER(INDEX(원자료_잔고!$A$1:$EZ$1500,설정!$L$5+ROW()-1,설정!$L$18)),INDEX(원자료_잔고!$A$1:$EZ$1500,설정!$L$5+ROW()-1,설정!$L$18),""),"")</f>
        <v>9326580</v>
      </c>
      <c r="M327" s="88" t="n">
        <f aca="false">IFERROR(IF(ISNUMBER(INDEX(원자료_잔고!$A$1:$EZ$1500,설정!$L$5+ROW()-1,설정!$L$19)),INDEX(원자료_잔고!$A$1:$EZ$1500,설정!$L$5+ROW()-1,설정!$L$19),""),"")</f>
        <v>-775360.45</v>
      </c>
      <c r="N327" s="83" t="str">
        <f aca="false">IFERROR(IF(INDEX(원자료_잔고!$A$1:$EZ$1500,설정!$L$5+ROW()-1,설정!$L$21)&amp;""="0","",INDEX(원자료_잔고!$A$1:$EZ$1500,설정!$L$5+ROW()-1,설정!$L$21)&amp;""),"")</f>
        <v/>
      </c>
      <c r="O327" s="83" t="str">
        <f aca="false">IFERROR(IF(INDEX(원자료_잔고!$A$1:$EZ$1500,설정!$L$5+ROW()-1,설정!$L$22)&amp;""="0","",INDEX(원자료_잔고!$A$1:$EZ$1500,설정!$L$5+ROW()-1,설정!$L$22)&amp;""),"")</f>
        <v/>
      </c>
      <c r="P327" s="83" t="str">
        <f aca="false">IFERROR(IF(INDEX(원자료_잔고!$A$1:$EZ$1500,설정!$L$5+ROW()-1,설정!$L$23)&amp;""="0","",INDEX(원자료_잔고!$A$1:$EZ$1500,설정!$L$5+ROW()-1,설정!$L$23)&amp;""),"")</f>
        <v>AA+</v>
      </c>
      <c r="Q327" s="89" t="n">
        <f aca="false">IF(AND($A327&lt;&gt;"",ISNUMBER(E327)),IF(E327&gt;0,1,0),0)</f>
        <v>1</v>
      </c>
      <c r="R327" s="43" t="str">
        <f aca="false">IF(Q327=1,UPPER(LEFT($A327,FIND(" ",$A327&amp;" ")-1)),"")</f>
        <v>T</v>
      </c>
      <c r="S327" s="89" t="n">
        <f aca="false">IF(Q327=1,IF(OR(ISNUMBER(SEARCH("Float",$A327)),ISNUMBER(SEARCH("FRN",$A327))),1,0),0)</f>
        <v>0</v>
      </c>
      <c r="T327" s="43" t="str">
        <f aca="false">IF(AND(Q327=1,ISNUMBER(I327)),TEXT(I327,"yyyymmdd")&amp;"|"&amp;IF(S327=1,"F",TEXT(J327,"0.000")),"")</f>
        <v>20350815|4.250</v>
      </c>
      <c r="U327" s="90" t="n">
        <f aca="false">IF(AND(Q327=1,ISNUMBER(I327)),(I327-설정!$C$4)/365.25,"")</f>
        <v>8.87063655030801</v>
      </c>
      <c r="V327" s="43" t="str">
        <f aca="false">IF(Q327&lt;&gt;1,"",IF(ISNUMBER(U327),IF(U327&lt;=1,"1년 이하",IF(U327&lt;=2,"1-2년",IF(U327&lt;=3,"2-3년",IF(U327&lt;=4,"3-4년",IF(U327&lt;=5,"4-5년",IF(U327&lt;=7,"5-7년",IF(U327&lt;=10,"7-10년",IF(U327&lt;=20,"10-20년","20년 이상")))))))),"미분류"))</f>
        <v>7-10년</v>
      </c>
      <c r="W327" s="43" t="str">
        <f aca="false">IF(Q327&lt;&gt;1,"",IF(AB327&lt;&gt;"",INDEX(시장분석!$C:$C,AB327),IF(K327=1,"USD","비USD")))</f>
        <v>USD</v>
      </c>
      <c r="X327" s="91" t="n">
        <f aca="false">IF(Q327=1,E327*K327/1000000,0)</f>
        <v>10</v>
      </c>
      <c r="Y327" s="89" t="n">
        <f aca="false">IF(R327="T",1,0)</f>
        <v>1</v>
      </c>
      <c r="Z327" s="92" t="n">
        <f aca="false">IF(Q327&lt;&gt;1,"",IF(AD327=1,IF(ISNUMBER(U327),MAX(U327,0),H327),H327))</f>
        <v>7.1359</v>
      </c>
      <c r="AA327" s="91" t="n">
        <f aca="false">IF(Q327=1,IF(ISNUMBER(L327),L327,0)*K327/1000000,0)</f>
        <v>9.32658</v>
      </c>
      <c r="AB327" s="89" t="n">
        <f aca="false">IF(Q327&lt;&gt;1,"",IFERROR(MATCH(VLOOKUP(B327,매핑!$H$4:$I$15,2,0),시장분석!$A$2:$A$601,0)+1,IFERROR(MATCH(R327&amp;"|"&amp;T327,시장분석!$V$2:$V$601,0)+1,IF(COUNTIF(시장분석!$U$2:$U$601,T327)=1,MATCH(T327,시장분석!$U$2:$U$601,0)+1,""))))</f>
        <v>123</v>
      </c>
      <c r="AC327" s="89" t="n">
        <f aca="false">IF(Q327&lt;&gt;1,0,IF(OR(설정!$C$5="전체",AND(설정!$C$5="선택펀드",IFERROR(COUNTIFS(설정!$F$16:$F$36,C327,설정!$G$16:$G$36,"Y")+COUNTIFS(설정!$F$16:$F$36,VALUE(C327),설정!$G$16:$G$36,"Y"),0)&gt;0),C327&amp;""=설정!$C$5&amp;""),1,0))</f>
        <v>0</v>
      </c>
      <c r="AD327" s="89" t="n">
        <f aca="false">IF(Q327&lt;&gt;1,0,IF(OR(S327=1,IF(AB327="",FALSE(),INDEX(시장분석!$R:$R,AB327)=1)),1,0))</f>
        <v>0</v>
      </c>
      <c r="AE327" s="43" t="str">
        <f aca="false">IF(AB327="","",INDEX(시장분석!$A:$A,AB327))</f>
        <v>T 4 1/4 08/15/35</v>
      </c>
      <c r="AF327" s="93" t="n">
        <f aca="false">IF(AB327="","",IF(ISNUMBER(IF(AB327="","",INDEX(시장분석!$E:$E,AB327))),IF(AB327="","",INDEX(시장분석!$E:$E,AB327)),""))</f>
        <v>-1.749</v>
      </c>
      <c r="AG327" s="43" t="str">
        <f aca="false">IF(Q327&lt;&gt;1,"",IF(AB327&lt;&gt;"",IF(AB327="","",INDEX(시장분석!$L:$L,AB327)),IFERROR(IF(VLOOKUP(R327,매핑!$A$4:$E$92,5,0)="","미분류",VLOOKUP(R327,매핑!$A$4:$E$92,5,0)),"미분류")))</f>
        <v>정부</v>
      </c>
      <c r="AH327" s="43" t="str">
        <f aca="false">IF(Q327&lt;&gt;1,"",IF(AB327&lt;&gt;"",IF(AB327="","",INDEX(시장분석!$N:$N,AB327)),IFERROR(IF(VLOOKUP(R327,매핑!$A$4:$E$92,4,0)="","미분류",VLOOKUP(R327,매핑!$A$4:$E$92,4,0)),"미분류")))</f>
        <v>미국</v>
      </c>
      <c r="AI327" s="43" t="str">
        <f aca="false">IF(Q327&lt;&gt;1,"",IFERROR(IF(VLOOKUP(R327,매핑!$A$4:$E$92,3,0)="","미분류",VLOOKUP(R327,매핑!$A$4:$E$92,3,0)),IF(AB327&lt;&gt;"",IF(AB327="","",INDEX(시장분석!$W:$W,AB327)),"미분류")))</f>
        <v>미국</v>
      </c>
      <c r="AJ327" s="43" t="str">
        <f aca="false">IF(Q327&lt;&gt;1,"",IFERROR(VLOOKUP(IF(N327&lt;&gt;"",N327,IF(P327&lt;&gt;"",P327,O327)),설정!$A$15:$D$47,2,0),""))</f>
        <v>AA+</v>
      </c>
      <c r="AK327" s="43" t="str">
        <f aca="false">IF(Q327&lt;&gt;1,"",IF(AJ327="","무등급",IFERROR(VLOOKUP(AJ327,설정!$A$15:$D$47,3,0),"무등급")))</f>
        <v>AA이상</v>
      </c>
      <c r="AL327" s="89" t="n">
        <f aca="false">IF(AJ327="",99,IFERROR(VLOOKUP(AJ327,설정!$A$15:$D$47,4,0),99))</f>
        <v>2</v>
      </c>
      <c r="AM327" s="94" t="n">
        <f aca="false">IF(ISNUMBER(H327),AA327*1000000*H327/10000,0)</f>
        <v>6655.3542222</v>
      </c>
      <c r="AN327" s="94" t="n">
        <f aca="false">IF(OR(Y327=1,NOT(ISNUMBER(Z327))),0,AA327*1000000*Z327/10000)</f>
        <v>0</v>
      </c>
      <c r="AO327" s="94" t="n">
        <f aca="false">IF(ISNUMBER(G327),AA327*1000000*G327/100,0)</f>
        <v>485532.42822</v>
      </c>
      <c r="AP327" s="94" t="n">
        <f aca="false">IF(ISNUMBER(M327),M327*K327,0)</f>
        <v>-775360.45</v>
      </c>
      <c r="AQ327" s="95" t="str">
        <f aca="false">IF(AB327="","",INDEX(시장분석!$AK:$AK,AB327))</f>
        <v/>
      </c>
      <c r="AR327" s="43" t="str">
        <f aca="false">IF(AB327="","-",IF(AB327="","",INDEX(시장분석!$AL:$AL,AB327)))</f>
        <v>-</v>
      </c>
      <c r="AS327" s="96" t="str">
        <f aca="false">IF(AB327="","",INDEX(시장분석!$AJ:$AJ,AB327))</f>
        <v/>
      </c>
      <c r="AT327" s="93" t="n">
        <f aca="false">IF(AB327="",0,IF(AB327="","",INDEX(시장분석!$AN:$AN,AB327)))</f>
        <v>0</v>
      </c>
      <c r="AU327" s="94" t="n">
        <f aca="false">IF(ISNUMBER(Z327),AT327/10000*MAX(Z327-1,0)*AA327*1000000,0)</f>
        <v>0</v>
      </c>
      <c r="AV327" s="94" t="n">
        <f aca="false">AO327+AU327</f>
        <v>485532.42822</v>
      </c>
      <c r="AW327" s="43" t="str">
        <f aca="false">IF(Q327&lt;&gt;1,"",TRIM(IF(AD327=1,"FRN ","")&amp;IF(AND(AL327&gt;=10,AL327&lt;99),"BBB0미만 ","")&amp;IF(AJ327="","등급없음 ","")&amp;IF(K327&lt;&gt;1,"비USD ","")&amp;IF(AND(AB327="",Y327=0),"시장데이터없음 ","")&amp;IF(AND(ISNUMBER(U327),U327&lt;0),"만기경과 ","")))</f>
        <v/>
      </c>
      <c r="AX327" s="90" t="n">
        <f aca="false">IF(Q327&lt;&gt;1,1,IF(스프레드쇼크!$C$4="Y",INDEX(스프레드쇼크!$B$12:$L$16,IFERROR(MATCH(AH327,스프레드쇼크!$A$12:$A$16,0),MATCH("목록외",스프레드쇼크!$A$12:$A$16,0)),IFERROR(MATCH(AG327,스프레드쇼크!$B$11:$L$11,0),MATCH("목록외",스프레드쇼크!$B$11:$L$11,0))),1))</f>
        <v>1</v>
      </c>
      <c r="AY327" s="90" t="n">
        <f aca="false">IF(스프레드쇼크!$C$5="Y",IF(ISNUMBER(AF327),MIN(스프레드쇼크!$C$7,MAX(스프레드쇼크!$C$6,AF327/스프레드쇼크!$C$8)),1),1)</f>
        <v>0.25</v>
      </c>
      <c r="AZ327" s="94" t="n">
        <f aca="false">AN327*AX327*AY327</f>
        <v>0</v>
      </c>
      <c r="BA327" s="90" t="n">
        <f aca="false">IF(ISNUMBER(G327),AA327*G327,0)</f>
        <v>48.553242822</v>
      </c>
      <c r="BB327" s="90" t="n">
        <f aca="false">IF(ISNUMBER(G327),AA327,0)</f>
        <v>9.32658</v>
      </c>
      <c r="BC327" s="90" t="n">
        <f aca="false">IF(AND(Y327=0,ISNUMBER(AF327)),AA327*AF327,0)</f>
        <v>0</v>
      </c>
      <c r="BD327" s="90" t="n">
        <f aca="false">IF(AND(Y327=0,ISNUMBER(AF327)),AA327,0)</f>
        <v>0</v>
      </c>
      <c r="BE327" s="90" t="n">
        <f aca="false">IF(ISNUMBER(H327),AA327*H327,0)</f>
        <v>66.553542222</v>
      </c>
      <c r="BF327" s="90" t="n">
        <f aca="false">IF(ISNUMBER(H327),AA327,0)</f>
        <v>9.32658</v>
      </c>
      <c r="BG327" s="90" t="n">
        <f aca="false">IF(AND(Y327=0,ISNUMBER(AF327),ISNUMBER(Z327)),AA327*Z327,0)</f>
        <v>0</v>
      </c>
      <c r="BH327" s="90" t="n">
        <f aca="false">IF(AND(Y327=0,ISNUMBER(AF327),ISNUMBER(Z327)),AA327*AT327*MAX(Z327-1,0),0)</f>
        <v>0</v>
      </c>
      <c r="BI327" s="90" t="n">
        <f aca="false">IF(Y327=0,AA327,0)</f>
        <v>0</v>
      </c>
    </row>
    <row r="328" customFormat="false" ht="15" hidden="false" customHeight="false" outlineLevel="0" collapsed="false">
      <c r="A328" s="83" t="str">
        <f aca="false">IFERROR(IF(INDEX(원자료_잔고!$A$1:$EZ$1500,설정!$L$5+ROW()-1,설정!$L$8)&amp;""="0","",INDEX(원자료_잔고!$A$1:$EZ$1500,설정!$L$5+ROW()-1,설정!$L$8)&amp;""),"")</f>
        <v>T 4.25 08/15/35</v>
      </c>
      <c r="B328" s="83" t="str">
        <f aca="false">IFERROR(IF(INDEX(원자료_잔고!$A$1:$EZ$1500,설정!$L$5+ROW()-1,설정!$L$7)&amp;""="0","",INDEX(원자료_잔고!$A$1:$EZ$1500,설정!$L$5+ROW()-1,설정!$L$7)&amp;""),"")</f>
        <v>US91282CNT44</v>
      </c>
      <c r="C328" s="83" t="str">
        <f aca="false">IFERROR(IF(INDEX(원자료_잔고!$A$1:$EZ$1500,설정!$L$5+ROW()-1,설정!$L$9)&amp;""="0","",INDEX(원자료_잔고!$A$1:$EZ$1500,설정!$L$5+ROW()-1,설정!$L$9)&amp;""),"")</f>
        <v>38088</v>
      </c>
      <c r="D328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28" s="84" t="n">
        <f aca="false">IFERROR(IF(ISNUMBER(INDEX(원자료_잔고!$A$1:$EZ$1500,설정!$L$5+ROW()-1,설정!$L$11)),INDEX(원자료_잔고!$A$1:$EZ$1500,설정!$L$5+ROW()-1,설정!$L$11),""),"")</f>
        <v>10000000</v>
      </c>
      <c r="F328" s="85" t="n">
        <f aca="false">IFERROR(IF(ISNUMBER(INDEX(원자료_잔고!$A$1:$EZ$1500,설정!$L$5+ROW()-1,설정!$L$12)),INDEX(원자료_잔고!$A$1:$EZ$1500,설정!$L$5+ROW()-1,설정!$L$12),""),"")</f>
        <v>93.2658</v>
      </c>
      <c r="G328" s="85" t="n">
        <f aca="false">IFERROR(IF(ISNUMBER(INDEX(원자료_잔고!$A$1:$EZ$1500,설정!$L$5+ROW()-1,설정!$L$13)),INDEX(원자료_잔고!$A$1:$EZ$1500,설정!$L$5+ROW()-1,설정!$L$13),""),"")</f>
        <v>5.2059</v>
      </c>
      <c r="H328" s="85" t="n">
        <f aca="false">IFERROR(IF(ISNUMBER(INDEX(원자료_잔고!$A$1:$EZ$1500,설정!$L$5+ROW()-1,설정!$L$14)),INDEX(원자료_잔고!$A$1:$EZ$1500,설정!$L$5+ROW()-1,설정!$L$14),""),"")</f>
        <v>7.1359</v>
      </c>
      <c r="I328" s="86" t="n">
        <f aca="false">IFERROR(IF(ISNUMBER(INDEX(원자료_잔고!$A$1:$EZ$1500,설정!$L$5+ROW()-1,설정!$L$15)),INDEX(원자료_잔고!$A$1:$EZ$1500,설정!$L$5+ROW()-1,설정!$L$15),""),"")</f>
        <v>49536</v>
      </c>
      <c r="J328" s="85" t="n">
        <f aca="false">IFERROR(IF(ISNUMBER(INDEX(원자료_잔고!$A$1:$EZ$1500,설정!$L$5+ROW()-1,설정!$L$16)),INDEX(원자료_잔고!$A$1:$EZ$1500,설정!$L$5+ROW()-1,설정!$L$16),""),"")</f>
        <v>4.25</v>
      </c>
      <c r="K328" s="87" t="n">
        <f aca="false">IFERROR(IF(ISNUMBER(INDEX(원자료_잔고!$A$1:$EZ$1500,설정!$L$5+ROW()-1,설정!$L$17)),INDEX(원자료_잔고!$A$1:$EZ$1500,설정!$L$5+ROW()-1,설정!$L$17),""),"")</f>
        <v>1</v>
      </c>
      <c r="L328" s="84" t="n">
        <f aca="false">IFERROR(IF(ISNUMBER(INDEX(원자료_잔고!$A$1:$EZ$1500,설정!$L$5+ROW()-1,설정!$L$18)),INDEX(원자료_잔고!$A$1:$EZ$1500,설정!$L$5+ROW()-1,설정!$L$18),""),"")</f>
        <v>9326580</v>
      </c>
      <c r="M328" s="88" t="n">
        <f aca="false">IFERROR(IF(ISNUMBER(INDEX(원자료_잔고!$A$1:$EZ$1500,설정!$L$5+ROW()-1,설정!$L$19)),INDEX(원자료_잔고!$A$1:$EZ$1500,설정!$L$5+ROW()-1,설정!$L$19),""),"")</f>
        <v>-778617.97</v>
      </c>
      <c r="N328" s="83" t="str">
        <f aca="false">IFERROR(IF(INDEX(원자료_잔고!$A$1:$EZ$1500,설정!$L$5+ROW()-1,설정!$L$21)&amp;""="0","",INDEX(원자료_잔고!$A$1:$EZ$1500,설정!$L$5+ROW()-1,설정!$L$21)&amp;""),"")</f>
        <v/>
      </c>
      <c r="O328" s="83" t="str">
        <f aca="false">IFERROR(IF(INDEX(원자료_잔고!$A$1:$EZ$1500,설정!$L$5+ROW()-1,설정!$L$22)&amp;""="0","",INDEX(원자료_잔고!$A$1:$EZ$1500,설정!$L$5+ROW()-1,설정!$L$22)&amp;""),"")</f>
        <v/>
      </c>
      <c r="P328" s="83" t="str">
        <f aca="false">IFERROR(IF(INDEX(원자료_잔고!$A$1:$EZ$1500,설정!$L$5+ROW()-1,설정!$L$23)&amp;""="0","",INDEX(원자료_잔고!$A$1:$EZ$1500,설정!$L$5+ROW()-1,설정!$L$23)&amp;""),"")</f>
        <v>AA+</v>
      </c>
      <c r="Q328" s="89" t="n">
        <f aca="false">IF(AND($A328&lt;&gt;"",ISNUMBER(E328)),IF(E328&gt;0,1,0),0)</f>
        <v>1</v>
      </c>
      <c r="R328" s="43" t="str">
        <f aca="false">IF(Q328=1,UPPER(LEFT($A328,FIND(" ",$A328&amp;" ")-1)),"")</f>
        <v>T</v>
      </c>
      <c r="S328" s="89" t="n">
        <f aca="false">IF(Q328=1,IF(OR(ISNUMBER(SEARCH("Float",$A328)),ISNUMBER(SEARCH("FRN",$A328))),1,0),0)</f>
        <v>0</v>
      </c>
      <c r="T328" s="43" t="str">
        <f aca="false">IF(AND(Q328=1,ISNUMBER(I328)),TEXT(I328,"yyyymmdd")&amp;"|"&amp;IF(S328=1,"F",TEXT(J328,"0.000")),"")</f>
        <v>20350815|4.250</v>
      </c>
      <c r="U328" s="90" t="n">
        <f aca="false">IF(AND(Q328=1,ISNUMBER(I328)),(I328-설정!$C$4)/365.25,"")</f>
        <v>8.87063655030801</v>
      </c>
      <c r="V328" s="43" t="str">
        <f aca="false">IF(Q328&lt;&gt;1,"",IF(ISNUMBER(U328),IF(U328&lt;=1,"1년 이하",IF(U328&lt;=2,"1-2년",IF(U328&lt;=3,"2-3년",IF(U328&lt;=4,"3-4년",IF(U328&lt;=5,"4-5년",IF(U328&lt;=7,"5-7년",IF(U328&lt;=10,"7-10년",IF(U328&lt;=20,"10-20년","20년 이상")))))))),"미분류"))</f>
        <v>7-10년</v>
      </c>
      <c r="W328" s="43" t="str">
        <f aca="false">IF(Q328&lt;&gt;1,"",IF(AB328&lt;&gt;"",INDEX(시장분석!$C:$C,AB328),IF(K328=1,"USD","비USD")))</f>
        <v>USD</v>
      </c>
      <c r="X328" s="91" t="n">
        <f aca="false">IF(Q328=1,E328*K328/1000000,0)</f>
        <v>10</v>
      </c>
      <c r="Y328" s="89" t="n">
        <f aca="false">IF(R328="T",1,0)</f>
        <v>1</v>
      </c>
      <c r="Z328" s="92" t="n">
        <f aca="false">IF(Q328&lt;&gt;1,"",IF(AD328=1,IF(ISNUMBER(U328),MAX(U328,0),H328),H328))</f>
        <v>7.1359</v>
      </c>
      <c r="AA328" s="91" t="n">
        <f aca="false">IF(Q328=1,IF(ISNUMBER(L328),L328,0)*K328/1000000,0)</f>
        <v>9.32658</v>
      </c>
      <c r="AB328" s="89" t="n">
        <f aca="false">IF(Q328&lt;&gt;1,"",IFERROR(MATCH(VLOOKUP(B328,매핑!$H$4:$I$15,2,0),시장분석!$A$2:$A$601,0)+1,IFERROR(MATCH(R328&amp;"|"&amp;T328,시장분석!$V$2:$V$601,0)+1,IF(COUNTIF(시장분석!$U$2:$U$601,T328)=1,MATCH(T328,시장분석!$U$2:$U$601,0)+1,""))))</f>
        <v>123</v>
      </c>
      <c r="AC328" s="89" t="n">
        <f aca="false">IF(Q328&lt;&gt;1,0,IF(OR(설정!$C$5="전체",AND(설정!$C$5="선택펀드",IFERROR(COUNTIFS(설정!$F$16:$F$36,C328,설정!$G$16:$G$36,"Y")+COUNTIFS(설정!$F$16:$F$36,VALUE(C328),설정!$G$16:$G$36,"Y"),0)&gt;0),C328&amp;""=설정!$C$5&amp;""),1,0))</f>
        <v>0</v>
      </c>
      <c r="AD328" s="89" t="n">
        <f aca="false">IF(Q328&lt;&gt;1,0,IF(OR(S328=1,IF(AB328="",FALSE(),INDEX(시장분석!$R:$R,AB328)=1)),1,0))</f>
        <v>0</v>
      </c>
      <c r="AE328" s="43" t="str">
        <f aca="false">IF(AB328="","",INDEX(시장분석!$A:$A,AB328))</f>
        <v>T 4 1/4 08/15/35</v>
      </c>
      <c r="AF328" s="93" t="n">
        <f aca="false">IF(AB328="","",IF(ISNUMBER(IF(AB328="","",INDEX(시장분석!$E:$E,AB328))),IF(AB328="","",INDEX(시장분석!$E:$E,AB328)),""))</f>
        <v>-1.749</v>
      </c>
      <c r="AG328" s="43" t="str">
        <f aca="false">IF(Q328&lt;&gt;1,"",IF(AB328&lt;&gt;"",IF(AB328="","",INDEX(시장분석!$L:$L,AB328)),IFERROR(IF(VLOOKUP(R328,매핑!$A$4:$E$92,5,0)="","미분류",VLOOKUP(R328,매핑!$A$4:$E$92,5,0)),"미분류")))</f>
        <v>정부</v>
      </c>
      <c r="AH328" s="43" t="str">
        <f aca="false">IF(Q328&lt;&gt;1,"",IF(AB328&lt;&gt;"",IF(AB328="","",INDEX(시장분석!$N:$N,AB328)),IFERROR(IF(VLOOKUP(R328,매핑!$A$4:$E$92,4,0)="","미분류",VLOOKUP(R328,매핑!$A$4:$E$92,4,0)),"미분류")))</f>
        <v>미국</v>
      </c>
      <c r="AI328" s="43" t="str">
        <f aca="false">IF(Q328&lt;&gt;1,"",IFERROR(IF(VLOOKUP(R328,매핑!$A$4:$E$92,3,0)="","미분류",VLOOKUP(R328,매핑!$A$4:$E$92,3,0)),IF(AB328&lt;&gt;"",IF(AB328="","",INDEX(시장분석!$W:$W,AB328)),"미분류")))</f>
        <v>미국</v>
      </c>
      <c r="AJ328" s="43" t="str">
        <f aca="false">IF(Q328&lt;&gt;1,"",IFERROR(VLOOKUP(IF(N328&lt;&gt;"",N328,IF(P328&lt;&gt;"",P328,O328)),설정!$A$15:$D$47,2,0),""))</f>
        <v>AA+</v>
      </c>
      <c r="AK328" s="43" t="str">
        <f aca="false">IF(Q328&lt;&gt;1,"",IF(AJ328="","무등급",IFERROR(VLOOKUP(AJ328,설정!$A$15:$D$47,3,0),"무등급")))</f>
        <v>AA이상</v>
      </c>
      <c r="AL328" s="89" t="n">
        <f aca="false">IF(AJ328="",99,IFERROR(VLOOKUP(AJ328,설정!$A$15:$D$47,4,0),99))</f>
        <v>2</v>
      </c>
      <c r="AM328" s="94" t="n">
        <f aca="false">IF(ISNUMBER(H328),AA328*1000000*H328/10000,0)</f>
        <v>6655.3542222</v>
      </c>
      <c r="AN328" s="94" t="n">
        <f aca="false">IF(OR(Y328=1,NOT(ISNUMBER(Z328))),0,AA328*1000000*Z328/10000)</f>
        <v>0</v>
      </c>
      <c r="AO328" s="94" t="n">
        <f aca="false">IF(ISNUMBER(G328),AA328*1000000*G328/100,0)</f>
        <v>485532.42822</v>
      </c>
      <c r="AP328" s="94" t="n">
        <f aca="false">IF(ISNUMBER(M328),M328*K328,0)</f>
        <v>-778617.97</v>
      </c>
      <c r="AQ328" s="95" t="str">
        <f aca="false">IF(AB328="","",INDEX(시장분석!$AK:$AK,AB328))</f>
        <v/>
      </c>
      <c r="AR328" s="43" t="str">
        <f aca="false">IF(AB328="","-",IF(AB328="","",INDEX(시장분석!$AL:$AL,AB328)))</f>
        <v>-</v>
      </c>
      <c r="AS328" s="96" t="str">
        <f aca="false">IF(AB328="","",INDEX(시장분석!$AJ:$AJ,AB328))</f>
        <v/>
      </c>
      <c r="AT328" s="93" t="n">
        <f aca="false">IF(AB328="",0,IF(AB328="","",INDEX(시장분석!$AN:$AN,AB328)))</f>
        <v>0</v>
      </c>
      <c r="AU328" s="94" t="n">
        <f aca="false">IF(ISNUMBER(Z328),AT328/10000*MAX(Z328-1,0)*AA328*1000000,0)</f>
        <v>0</v>
      </c>
      <c r="AV328" s="94" t="n">
        <f aca="false">AO328+AU328</f>
        <v>485532.42822</v>
      </c>
      <c r="AW328" s="43" t="str">
        <f aca="false">IF(Q328&lt;&gt;1,"",TRIM(IF(AD328=1,"FRN ","")&amp;IF(AND(AL328&gt;=10,AL328&lt;99),"BBB0미만 ","")&amp;IF(AJ328="","등급없음 ","")&amp;IF(K328&lt;&gt;1,"비USD ","")&amp;IF(AND(AB328="",Y328=0),"시장데이터없음 ","")&amp;IF(AND(ISNUMBER(U328),U328&lt;0),"만기경과 ","")))</f>
        <v/>
      </c>
      <c r="AX328" s="90" t="n">
        <f aca="false">IF(Q328&lt;&gt;1,1,IF(스프레드쇼크!$C$4="Y",INDEX(스프레드쇼크!$B$12:$L$16,IFERROR(MATCH(AH328,스프레드쇼크!$A$12:$A$16,0),MATCH("목록외",스프레드쇼크!$A$12:$A$16,0)),IFERROR(MATCH(AG328,스프레드쇼크!$B$11:$L$11,0),MATCH("목록외",스프레드쇼크!$B$11:$L$11,0))),1))</f>
        <v>1</v>
      </c>
      <c r="AY328" s="90" t="n">
        <f aca="false">IF(스프레드쇼크!$C$5="Y",IF(ISNUMBER(AF328),MIN(스프레드쇼크!$C$7,MAX(스프레드쇼크!$C$6,AF328/스프레드쇼크!$C$8)),1),1)</f>
        <v>0.25</v>
      </c>
      <c r="AZ328" s="94" t="n">
        <f aca="false">AN328*AX328*AY328</f>
        <v>0</v>
      </c>
      <c r="BA328" s="90" t="n">
        <f aca="false">IF(ISNUMBER(G328),AA328*G328,0)</f>
        <v>48.553242822</v>
      </c>
      <c r="BB328" s="90" t="n">
        <f aca="false">IF(ISNUMBER(G328),AA328,0)</f>
        <v>9.32658</v>
      </c>
      <c r="BC328" s="90" t="n">
        <f aca="false">IF(AND(Y328=0,ISNUMBER(AF328)),AA328*AF328,0)</f>
        <v>0</v>
      </c>
      <c r="BD328" s="90" t="n">
        <f aca="false">IF(AND(Y328=0,ISNUMBER(AF328)),AA328,0)</f>
        <v>0</v>
      </c>
      <c r="BE328" s="90" t="n">
        <f aca="false">IF(ISNUMBER(H328),AA328*H328,0)</f>
        <v>66.553542222</v>
      </c>
      <c r="BF328" s="90" t="n">
        <f aca="false">IF(ISNUMBER(H328),AA328,0)</f>
        <v>9.32658</v>
      </c>
      <c r="BG328" s="90" t="n">
        <f aca="false">IF(AND(Y328=0,ISNUMBER(AF328),ISNUMBER(Z328)),AA328*Z328,0)</f>
        <v>0</v>
      </c>
      <c r="BH328" s="90" t="n">
        <f aca="false">IF(AND(Y328=0,ISNUMBER(AF328),ISNUMBER(Z328)),AA328*AT328*MAX(Z328-1,0),0)</f>
        <v>0</v>
      </c>
      <c r="BI328" s="90" t="n">
        <f aca="false">IF(Y328=0,AA328,0)</f>
        <v>0</v>
      </c>
    </row>
    <row r="329" customFormat="false" ht="15" hidden="false" customHeight="false" outlineLevel="0" collapsed="false">
      <c r="A329" s="83" t="str">
        <f aca="false">IFERROR(IF(INDEX(원자료_잔고!$A$1:$EZ$1500,설정!$L$5+ROW()-1,설정!$L$8)&amp;""="0","",INDEX(원자료_잔고!$A$1:$EZ$1500,설정!$L$5+ROW()-1,설정!$L$8)&amp;""),"")</f>
        <v>T 4.125 02/15/36</v>
      </c>
      <c r="B329" s="83" t="str">
        <f aca="false">IFERROR(IF(INDEX(원자료_잔고!$A$1:$EZ$1500,설정!$L$5+ROW()-1,설정!$L$7)&amp;""="0","",INDEX(원자료_잔고!$A$1:$EZ$1500,설정!$L$5+ROW()-1,설정!$L$7)&amp;""),"")</f>
        <v>US91282CPZ85</v>
      </c>
      <c r="C329" s="83" t="str">
        <f aca="false">IFERROR(IF(INDEX(원자료_잔고!$A$1:$EZ$1500,설정!$L$5+ROW()-1,설정!$L$9)&amp;""="0","",INDEX(원자료_잔고!$A$1:$EZ$1500,설정!$L$5+ROW()-1,설정!$L$9)&amp;""),"")</f>
        <v>38088</v>
      </c>
      <c r="D329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29" s="84" t="n">
        <f aca="false">IFERROR(IF(ISNUMBER(INDEX(원자료_잔고!$A$1:$EZ$1500,설정!$L$5+ROW()-1,설정!$L$11)),INDEX(원자료_잔고!$A$1:$EZ$1500,설정!$L$5+ROW()-1,설정!$L$11),""),"")</f>
        <v>10000000</v>
      </c>
      <c r="F329" s="85" t="n">
        <f aca="false">IFERROR(IF(ISNUMBER(INDEX(원자료_잔고!$A$1:$EZ$1500,설정!$L$5+ROW()-1,설정!$L$12)),INDEX(원자료_잔고!$A$1:$EZ$1500,설정!$L$5+ROW()-1,설정!$L$12),""),"")</f>
        <v>91.9811</v>
      </c>
      <c r="G329" s="85" t="n">
        <f aca="false">IFERROR(IF(ISNUMBER(INDEX(원자료_잔고!$A$1:$EZ$1500,설정!$L$5+ROW()-1,설정!$L$13)),INDEX(원자료_잔고!$A$1:$EZ$1500,설정!$L$5+ROW()-1,설정!$L$13),""),"")</f>
        <v>5.2164</v>
      </c>
      <c r="H329" s="85" t="n">
        <f aca="false">IFERROR(IF(ISNUMBER(INDEX(원자료_잔고!$A$1:$EZ$1500,설정!$L$5+ROW()-1,설정!$L$14)),INDEX(원자료_잔고!$A$1:$EZ$1500,설정!$L$5+ROW()-1,설정!$L$14),""),"")</f>
        <v>7.489</v>
      </c>
      <c r="I329" s="86" t="n">
        <f aca="false">IFERROR(IF(ISNUMBER(INDEX(원자료_잔고!$A$1:$EZ$1500,설정!$L$5+ROW()-1,설정!$L$15)),INDEX(원자료_잔고!$A$1:$EZ$1500,설정!$L$5+ROW()-1,설정!$L$15),""),"")</f>
        <v>49720</v>
      </c>
      <c r="J329" s="85" t="n">
        <f aca="false">IFERROR(IF(ISNUMBER(INDEX(원자료_잔고!$A$1:$EZ$1500,설정!$L$5+ROW()-1,설정!$L$16)),INDEX(원자료_잔고!$A$1:$EZ$1500,설정!$L$5+ROW()-1,설정!$L$16),""),"")</f>
        <v>4.125</v>
      </c>
      <c r="K329" s="87" t="n">
        <f aca="false">IFERROR(IF(ISNUMBER(INDEX(원자료_잔고!$A$1:$EZ$1500,설정!$L$5+ROW()-1,설정!$L$17)),INDEX(원자료_잔고!$A$1:$EZ$1500,설정!$L$5+ROW()-1,설정!$L$17),""),"")</f>
        <v>1</v>
      </c>
      <c r="L329" s="84" t="n">
        <f aca="false">IFERROR(IF(ISNUMBER(INDEX(원자료_잔고!$A$1:$EZ$1500,설정!$L$5+ROW()-1,설정!$L$18)),INDEX(원자료_잔고!$A$1:$EZ$1500,설정!$L$5+ROW()-1,설정!$L$18),""),"")</f>
        <v>9198110</v>
      </c>
      <c r="M329" s="88" t="n">
        <f aca="false">IFERROR(IF(ISNUMBER(INDEX(원자료_잔고!$A$1:$EZ$1500,설정!$L$5+ROW()-1,설정!$L$19)),INDEX(원자료_잔고!$A$1:$EZ$1500,설정!$L$5+ROW()-1,설정!$L$19),""),"")</f>
        <v>-782695.94</v>
      </c>
      <c r="N329" s="83" t="str">
        <f aca="false">IFERROR(IF(INDEX(원자료_잔고!$A$1:$EZ$1500,설정!$L$5+ROW()-1,설정!$L$21)&amp;""="0","",INDEX(원자료_잔고!$A$1:$EZ$1500,설정!$L$5+ROW()-1,설정!$L$21)&amp;""),"")</f>
        <v/>
      </c>
      <c r="O329" s="83" t="str">
        <f aca="false">IFERROR(IF(INDEX(원자료_잔고!$A$1:$EZ$1500,설정!$L$5+ROW()-1,설정!$L$22)&amp;""="0","",INDEX(원자료_잔고!$A$1:$EZ$1500,설정!$L$5+ROW()-1,설정!$L$22)&amp;""),"")</f>
        <v/>
      </c>
      <c r="P329" s="83" t="str">
        <f aca="false">IFERROR(IF(INDEX(원자료_잔고!$A$1:$EZ$1500,설정!$L$5+ROW()-1,설정!$L$23)&amp;""="0","",INDEX(원자료_잔고!$A$1:$EZ$1500,설정!$L$5+ROW()-1,설정!$L$23)&amp;""),"")</f>
        <v>AA+</v>
      </c>
      <c r="Q329" s="89" t="n">
        <f aca="false">IF(AND($A329&lt;&gt;"",ISNUMBER(E329)),IF(E329&gt;0,1,0),0)</f>
        <v>1</v>
      </c>
      <c r="R329" s="43" t="str">
        <f aca="false">IF(Q329=1,UPPER(LEFT($A329,FIND(" ",$A329&amp;" ")-1)),"")</f>
        <v>T</v>
      </c>
      <c r="S329" s="89" t="n">
        <f aca="false">IF(Q329=1,IF(OR(ISNUMBER(SEARCH("Float",$A329)),ISNUMBER(SEARCH("FRN",$A329))),1,0),0)</f>
        <v>0</v>
      </c>
      <c r="T329" s="43" t="str">
        <f aca="false">IF(AND(Q329=1,ISNUMBER(I329)),TEXT(I329,"yyyymmdd")&amp;"|"&amp;IF(S329=1,"F",TEXT(J329,"0.000")),"")</f>
        <v>20360215|4.125</v>
      </c>
      <c r="U329" s="90" t="n">
        <f aca="false">IF(AND(Q329=1,ISNUMBER(I329)),(I329-설정!$C$4)/365.25,"")</f>
        <v>9.37440109514031</v>
      </c>
      <c r="V329" s="43" t="str">
        <f aca="false">IF(Q329&lt;&gt;1,"",IF(ISNUMBER(U329),IF(U329&lt;=1,"1년 이하",IF(U329&lt;=2,"1-2년",IF(U329&lt;=3,"2-3년",IF(U329&lt;=4,"3-4년",IF(U329&lt;=5,"4-5년",IF(U329&lt;=7,"5-7년",IF(U329&lt;=10,"7-10년",IF(U329&lt;=20,"10-20년","20년 이상")))))))),"미분류"))</f>
        <v>7-10년</v>
      </c>
      <c r="W329" s="43" t="str">
        <f aca="false">IF(Q329&lt;&gt;1,"",IF(AB329&lt;&gt;"",INDEX(시장분석!$C:$C,AB329),IF(K329=1,"USD","비USD")))</f>
        <v>USD</v>
      </c>
      <c r="X329" s="91" t="n">
        <f aca="false">IF(Q329=1,E329*K329/1000000,0)</f>
        <v>10</v>
      </c>
      <c r="Y329" s="89" t="n">
        <f aca="false">IF(R329="T",1,0)</f>
        <v>1</v>
      </c>
      <c r="Z329" s="92" t="n">
        <f aca="false">IF(Q329&lt;&gt;1,"",IF(AD329=1,IF(ISNUMBER(U329),MAX(U329,0),H329),H329))</f>
        <v>7.489</v>
      </c>
      <c r="AA329" s="91" t="n">
        <f aca="false">IF(Q329=1,IF(ISNUMBER(L329),L329,0)*K329/1000000,0)</f>
        <v>9.19811</v>
      </c>
      <c r="AB329" s="89" t="n">
        <f aca="false">IF(Q329&lt;&gt;1,"",IFERROR(MATCH(VLOOKUP(B329,매핑!$H$4:$I$15,2,0),시장분석!$A$2:$A$601,0)+1,IFERROR(MATCH(R329&amp;"|"&amp;T329,시장분석!$V$2:$V$601,0)+1,IF(COUNTIF(시장분석!$U$2:$U$601,T329)=1,MATCH(T329,시장분석!$U$2:$U$601,0)+1,""))))</f>
        <v>127</v>
      </c>
      <c r="AC329" s="89" t="n">
        <f aca="false">IF(Q329&lt;&gt;1,0,IF(OR(설정!$C$5="전체",AND(설정!$C$5="선택펀드",IFERROR(COUNTIFS(설정!$F$16:$F$36,C329,설정!$G$16:$G$36,"Y")+COUNTIFS(설정!$F$16:$F$36,VALUE(C329),설정!$G$16:$G$36,"Y"),0)&gt;0),C329&amp;""=설정!$C$5&amp;""),1,0))</f>
        <v>0</v>
      </c>
      <c r="AD329" s="89" t="n">
        <f aca="false">IF(Q329&lt;&gt;1,0,IF(OR(S329=1,IF(AB329="",FALSE(),INDEX(시장분석!$R:$R,AB329)=1)),1,0))</f>
        <v>0</v>
      </c>
      <c r="AE329" s="43" t="str">
        <f aca="false">IF(AB329="","",INDEX(시장분석!$A:$A,AB329))</f>
        <v>T 4 1/8 02/15/36</v>
      </c>
      <c r="AF329" s="93" t="n">
        <f aca="false">IF(AB329="","",IF(ISNUMBER(IF(AB329="","",INDEX(시장분석!$E:$E,AB329))),IF(AB329="","",INDEX(시장분석!$E:$E,AB329)),""))</f>
        <v>-0.532</v>
      </c>
      <c r="AG329" s="43" t="str">
        <f aca="false">IF(Q329&lt;&gt;1,"",IF(AB329&lt;&gt;"",IF(AB329="","",INDEX(시장분석!$L:$L,AB329)),IFERROR(IF(VLOOKUP(R329,매핑!$A$4:$E$92,5,0)="","미분류",VLOOKUP(R329,매핑!$A$4:$E$92,5,0)),"미분류")))</f>
        <v>정부</v>
      </c>
      <c r="AH329" s="43" t="str">
        <f aca="false">IF(Q329&lt;&gt;1,"",IF(AB329&lt;&gt;"",IF(AB329="","",INDEX(시장분석!$N:$N,AB329)),IFERROR(IF(VLOOKUP(R329,매핑!$A$4:$E$92,4,0)="","미분류",VLOOKUP(R329,매핑!$A$4:$E$92,4,0)),"미분류")))</f>
        <v>미국</v>
      </c>
      <c r="AI329" s="43" t="str">
        <f aca="false">IF(Q329&lt;&gt;1,"",IFERROR(IF(VLOOKUP(R329,매핑!$A$4:$E$92,3,0)="","미분류",VLOOKUP(R329,매핑!$A$4:$E$92,3,0)),IF(AB329&lt;&gt;"",IF(AB329="","",INDEX(시장분석!$W:$W,AB329)),"미분류")))</f>
        <v>미국</v>
      </c>
      <c r="AJ329" s="43" t="str">
        <f aca="false">IF(Q329&lt;&gt;1,"",IFERROR(VLOOKUP(IF(N329&lt;&gt;"",N329,IF(P329&lt;&gt;"",P329,O329)),설정!$A$15:$D$47,2,0),""))</f>
        <v>AA+</v>
      </c>
      <c r="AK329" s="43" t="str">
        <f aca="false">IF(Q329&lt;&gt;1,"",IF(AJ329="","무등급",IFERROR(VLOOKUP(AJ329,설정!$A$15:$D$47,3,0),"무등급")))</f>
        <v>AA이상</v>
      </c>
      <c r="AL329" s="89" t="n">
        <f aca="false">IF(AJ329="",99,IFERROR(VLOOKUP(AJ329,설정!$A$15:$D$47,4,0),99))</f>
        <v>2</v>
      </c>
      <c r="AM329" s="94" t="n">
        <f aca="false">IF(ISNUMBER(H329),AA329*1000000*H329/10000,0)</f>
        <v>6888.464579</v>
      </c>
      <c r="AN329" s="94" t="n">
        <f aca="false">IF(OR(Y329=1,NOT(ISNUMBER(Z329))),0,AA329*1000000*Z329/10000)</f>
        <v>0</v>
      </c>
      <c r="AO329" s="94" t="n">
        <f aca="false">IF(ISNUMBER(G329),AA329*1000000*G329/100,0)</f>
        <v>479810.21004</v>
      </c>
      <c r="AP329" s="94" t="n">
        <f aca="false">IF(ISNUMBER(M329),M329*K329,0)</f>
        <v>-782695.94</v>
      </c>
      <c r="AQ329" s="95" t="str">
        <f aca="false">IF(AB329="","",INDEX(시장분석!$AK:$AK,AB329))</f>
        <v/>
      </c>
      <c r="AR329" s="43" t="str">
        <f aca="false">IF(AB329="","-",IF(AB329="","",INDEX(시장분석!$AL:$AL,AB329)))</f>
        <v>-</v>
      </c>
      <c r="AS329" s="96" t="str">
        <f aca="false">IF(AB329="","",INDEX(시장분석!$AJ:$AJ,AB329))</f>
        <v/>
      </c>
      <c r="AT329" s="93" t="n">
        <f aca="false">IF(AB329="",0,IF(AB329="","",INDEX(시장분석!$AN:$AN,AB329)))</f>
        <v>0</v>
      </c>
      <c r="AU329" s="94" t="n">
        <f aca="false">IF(ISNUMBER(Z329),AT329/10000*MAX(Z329-1,0)*AA329*1000000,0)</f>
        <v>0</v>
      </c>
      <c r="AV329" s="94" t="n">
        <f aca="false">AO329+AU329</f>
        <v>479810.21004</v>
      </c>
      <c r="AW329" s="43" t="str">
        <f aca="false">IF(Q329&lt;&gt;1,"",TRIM(IF(AD329=1,"FRN ","")&amp;IF(AND(AL329&gt;=10,AL329&lt;99),"BBB0미만 ","")&amp;IF(AJ329="","등급없음 ","")&amp;IF(K329&lt;&gt;1,"비USD ","")&amp;IF(AND(AB329="",Y329=0),"시장데이터없음 ","")&amp;IF(AND(ISNUMBER(U329),U329&lt;0),"만기경과 ","")))</f>
        <v/>
      </c>
      <c r="AX329" s="90" t="n">
        <f aca="false">IF(Q329&lt;&gt;1,1,IF(스프레드쇼크!$C$4="Y",INDEX(스프레드쇼크!$B$12:$L$16,IFERROR(MATCH(AH329,스프레드쇼크!$A$12:$A$16,0),MATCH("목록외",스프레드쇼크!$A$12:$A$16,0)),IFERROR(MATCH(AG329,스프레드쇼크!$B$11:$L$11,0),MATCH("목록외",스프레드쇼크!$B$11:$L$11,0))),1))</f>
        <v>1</v>
      </c>
      <c r="AY329" s="90" t="n">
        <f aca="false">IF(스프레드쇼크!$C$5="Y",IF(ISNUMBER(AF329),MIN(스프레드쇼크!$C$7,MAX(스프레드쇼크!$C$6,AF329/스프레드쇼크!$C$8)),1),1)</f>
        <v>0.25</v>
      </c>
      <c r="AZ329" s="94" t="n">
        <f aca="false">AN329*AX329*AY329</f>
        <v>0</v>
      </c>
      <c r="BA329" s="90" t="n">
        <f aca="false">IF(ISNUMBER(G329),AA329*G329,0)</f>
        <v>47.981021004</v>
      </c>
      <c r="BB329" s="90" t="n">
        <f aca="false">IF(ISNUMBER(G329),AA329,0)</f>
        <v>9.19811</v>
      </c>
      <c r="BC329" s="90" t="n">
        <f aca="false">IF(AND(Y329=0,ISNUMBER(AF329)),AA329*AF329,0)</f>
        <v>0</v>
      </c>
      <c r="BD329" s="90" t="n">
        <f aca="false">IF(AND(Y329=0,ISNUMBER(AF329)),AA329,0)</f>
        <v>0</v>
      </c>
      <c r="BE329" s="90" t="n">
        <f aca="false">IF(ISNUMBER(H329),AA329*H329,0)</f>
        <v>68.88464579</v>
      </c>
      <c r="BF329" s="90" t="n">
        <f aca="false">IF(ISNUMBER(H329),AA329,0)</f>
        <v>9.19811</v>
      </c>
      <c r="BG329" s="90" t="n">
        <f aca="false">IF(AND(Y329=0,ISNUMBER(AF329),ISNUMBER(Z329)),AA329*Z329,0)</f>
        <v>0</v>
      </c>
      <c r="BH329" s="90" t="n">
        <f aca="false">IF(AND(Y329=0,ISNUMBER(AF329),ISNUMBER(Z329)),AA329*AT329*MAX(Z329-1,0),0)</f>
        <v>0</v>
      </c>
      <c r="BI329" s="90" t="n">
        <f aca="false">IF(Y329=0,AA329,0)</f>
        <v>0</v>
      </c>
    </row>
    <row r="330" customFormat="false" ht="15" hidden="false" customHeight="false" outlineLevel="0" collapsed="false">
      <c r="A330" s="83" t="str">
        <f aca="false">IFERROR(IF(INDEX(원자료_잔고!$A$1:$EZ$1500,설정!$L$5+ROW()-1,설정!$L$8)&amp;""="0","",INDEX(원자료_잔고!$A$1:$EZ$1500,설정!$L$5+ROW()-1,설정!$L$8)&amp;""),"")</f>
        <v>T 4.125 02/15/36</v>
      </c>
      <c r="B330" s="83" t="str">
        <f aca="false">IFERROR(IF(INDEX(원자료_잔고!$A$1:$EZ$1500,설정!$L$5+ROW()-1,설정!$L$7)&amp;""="0","",INDEX(원자료_잔고!$A$1:$EZ$1500,설정!$L$5+ROW()-1,설정!$L$7)&amp;""),"")</f>
        <v>US91282CPZ85</v>
      </c>
      <c r="C330" s="83" t="str">
        <f aca="false">IFERROR(IF(INDEX(원자료_잔고!$A$1:$EZ$1500,설정!$L$5+ROW()-1,설정!$L$9)&amp;""="0","",INDEX(원자료_잔고!$A$1:$EZ$1500,설정!$L$5+ROW()-1,설정!$L$9)&amp;""),"")</f>
        <v>38088</v>
      </c>
      <c r="D330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30" s="84" t="n">
        <f aca="false">IFERROR(IF(ISNUMBER(INDEX(원자료_잔고!$A$1:$EZ$1500,설정!$L$5+ROW()-1,설정!$L$11)),INDEX(원자료_잔고!$A$1:$EZ$1500,설정!$L$5+ROW()-1,설정!$L$11),""),"")</f>
        <v>10000000</v>
      </c>
      <c r="F330" s="85" t="n">
        <f aca="false">IFERROR(IF(ISNUMBER(INDEX(원자료_잔고!$A$1:$EZ$1500,설정!$L$5+ROW()-1,설정!$L$12)),INDEX(원자료_잔고!$A$1:$EZ$1500,설정!$L$5+ROW()-1,설정!$L$12),""),"")</f>
        <v>91.9811</v>
      </c>
      <c r="G330" s="85" t="n">
        <f aca="false">IFERROR(IF(ISNUMBER(INDEX(원자료_잔고!$A$1:$EZ$1500,설정!$L$5+ROW()-1,설정!$L$13)),INDEX(원자료_잔고!$A$1:$EZ$1500,설정!$L$5+ROW()-1,설정!$L$13),""),"")</f>
        <v>5.2164</v>
      </c>
      <c r="H330" s="85" t="n">
        <f aca="false">IFERROR(IF(ISNUMBER(INDEX(원자료_잔고!$A$1:$EZ$1500,설정!$L$5+ROW()-1,설정!$L$14)),INDEX(원자료_잔고!$A$1:$EZ$1500,설정!$L$5+ROW()-1,설정!$L$14),""),"")</f>
        <v>7.489</v>
      </c>
      <c r="I330" s="86" t="n">
        <f aca="false">IFERROR(IF(ISNUMBER(INDEX(원자료_잔고!$A$1:$EZ$1500,설정!$L$5+ROW()-1,설정!$L$15)),INDEX(원자료_잔고!$A$1:$EZ$1500,설정!$L$5+ROW()-1,설정!$L$15),""),"")</f>
        <v>49720</v>
      </c>
      <c r="J330" s="85" t="n">
        <f aca="false">IFERROR(IF(ISNUMBER(INDEX(원자료_잔고!$A$1:$EZ$1500,설정!$L$5+ROW()-1,설정!$L$16)),INDEX(원자료_잔고!$A$1:$EZ$1500,설정!$L$5+ROW()-1,설정!$L$16),""),"")</f>
        <v>4.125</v>
      </c>
      <c r="K330" s="87" t="n">
        <f aca="false">IFERROR(IF(ISNUMBER(INDEX(원자료_잔고!$A$1:$EZ$1500,설정!$L$5+ROW()-1,설정!$L$17)),INDEX(원자료_잔고!$A$1:$EZ$1500,설정!$L$5+ROW()-1,설정!$L$17),""),"")</f>
        <v>1</v>
      </c>
      <c r="L330" s="84" t="n">
        <f aca="false">IFERROR(IF(ISNUMBER(INDEX(원자료_잔고!$A$1:$EZ$1500,설정!$L$5+ROW()-1,설정!$L$18)),INDEX(원자료_잔고!$A$1:$EZ$1500,설정!$L$5+ROW()-1,설정!$L$18),""),"")</f>
        <v>9198110</v>
      </c>
      <c r="M330" s="88" t="n">
        <f aca="false">IFERROR(IF(ISNUMBER(INDEX(원자료_잔고!$A$1:$EZ$1500,설정!$L$5+ROW()-1,설정!$L$19)),INDEX(원자료_잔고!$A$1:$EZ$1500,설정!$L$5+ROW()-1,설정!$L$19),""),"")</f>
        <v>-782695.94</v>
      </c>
      <c r="N330" s="83" t="str">
        <f aca="false">IFERROR(IF(INDEX(원자료_잔고!$A$1:$EZ$1500,설정!$L$5+ROW()-1,설정!$L$21)&amp;""="0","",INDEX(원자료_잔고!$A$1:$EZ$1500,설정!$L$5+ROW()-1,설정!$L$21)&amp;""),"")</f>
        <v/>
      </c>
      <c r="O330" s="83" t="str">
        <f aca="false">IFERROR(IF(INDEX(원자료_잔고!$A$1:$EZ$1500,설정!$L$5+ROW()-1,설정!$L$22)&amp;""="0","",INDEX(원자료_잔고!$A$1:$EZ$1500,설정!$L$5+ROW()-1,설정!$L$22)&amp;""),"")</f>
        <v/>
      </c>
      <c r="P330" s="83" t="str">
        <f aca="false">IFERROR(IF(INDEX(원자료_잔고!$A$1:$EZ$1500,설정!$L$5+ROW()-1,설정!$L$23)&amp;""="0","",INDEX(원자료_잔고!$A$1:$EZ$1500,설정!$L$5+ROW()-1,설정!$L$23)&amp;""),"")</f>
        <v>AA+</v>
      </c>
      <c r="Q330" s="89" t="n">
        <f aca="false">IF(AND($A330&lt;&gt;"",ISNUMBER(E330)),IF(E330&gt;0,1,0),0)</f>
        <v>1</v>
      </c>
      <c r="R330" s="43" t="str">
        <f aca="false">IF(Q330=1,UPPER(LEFT($A330,FIND(" ",$A330&amp;" ")-1)),"")</f>
        <v>T</v>
      </c>
      <c r="S330" s="89" t="n">
        <f aca="false">IF(Q330=1,IF(OR(ISNUMBER(SEARCH("Float",$A330)),ISNUMBER(SEARCH("FRN",$A330))),1,0),0)</f>
        <v>0</v>
      </c>
      <c r="T330" s="43" t="str">
        <f aca="false">IF(AND(Q330=1,ISNUMBER(I330)),TEXT(I330,"yyyymmdd")&amp;"|"&amp;IF(S330=1,"F",TEXT(J330,"0.000")),"")</f>
        <v>20360215|4.125</v>
      </c>
      <c r="U330" s="90" t="n">
        <f aca="false">IF(AND(Q330=1,ISNUMBER(I330)),(I330-설정!$C$4)/365.25,"")</f>
        <v>9.37440109514031</v>
      </c>
      <c r="V330" s="43" t="str">
        <f aca="false">IF(Q330&lt;&gt;1,"",IF(ISNUMBER(U330),IF(U330&lt;=1,"1년 이하",IF(U330&lt;=2,"1-2년",IF(U330&lt;=3,"2-3년",IF(U330&lt;=4,"3-4년",IF(U330&lt;=5,"4-5년",IF(U330&lt;=7,"5-7년",IF(U330&lt;=10,"7-10년",IF(U330&lt;=20,"10-20년","20년 이상")))))))),"미분류"))</f>
        <v>7-10년</v>
      </c>
      <c r="W330" s="43" t="str">
        <f aca="false">IF(Q330&lt;&gt;1,"",IF(AB330&lt;&gt;"",INDEX(시장분석!$C:$C,AB330),IF(K330=1,"USD","비USD")))</f>
        <v>USD</v>
      </c>
      <c r="X330" s="91" t="n">
        <f aca="false">IF(Q330=1,E330*K330/1000000,0)</f>
        <v>10</v>
      </c>
      <c r="Y330" s="89" t="n">
        <f aca="false">IF(R330="T",1,0)</f>
        <v>1</v>
      </c>
      <c r="Z330" s="92" t="n">
        <f aca="false">IF(Q330&lt;&gt;1,"",IF(AD330=1,IF(ISNUMBER(U330),MAX(U330,0),H330),H330))</f>
        <v>7.489</v>
      </c>
      <c r="AA330" s="91" t="n">
        <f aca="false">IF(Q330=1,IF(ISNUMBER(L330),L330,0)*K330/1000000,0)</f>
        <v>9.19811</v>
      </c>
      <c r="AB330" s="89" t="n">
        <f aca="false">IF(Q330&lt;&gt;1,"",IFERROR(MATCH(VLOOKUP(B330,매핑!$H$4:$I$15,2,0),시장분석!$A$2:$A$601,0)+1,IFERROR(MATCH(R330&amp;"|"&amp;T330,시장분석!$V$2:$V$601,0)+1,IF(COUNTIF(시장분석!$U$2:$U$601,T330)=1,MATCH(T330,시장분석!$U$2:$U$601,0)+1,""))))</f>
        <v>127</v>
      </c>
      <c r="AC330" s="89" t="n">
        <f aca="false">IF(Q330&lt;&gt;1,0,IF(OR(설정!$C$5="전체",AND(설정!$C$5="선택펀드",IFERROR(COUNTIFS(설정!$F$16:$F$36,C330,설정!$G$16:$G$36,"Y")+COUNTIFS(설정!$F$16:$F$36,VALUE(C330),설정!$G$16:$G$36,"Y"),0)&gt;0),C330&amp;""=설정!$C$5&amp;""),1,0))</f>
        <v>0</v>
      </c>
      <c r="AD330" s="89" t="n">
        <f aca="false">IF(Q330&lt;&gt;1,0,IF(OR(S330=1,IF(AB330="",FALSE(),INDEX(시장분석!$R:$R,AB330)=1)),1,0))</f>
        <v>0</v>
      </c>
      <c r="AE330" s="43" t="str">
        <f aca="false">IF(AB330="","",INDEX(시장분석!$A:$A,AB330))</f>
        <v>T 4 1/8 02/15/36</v>
      </c>
      <c r="AF330" s="93" t="n">
        <f aca="false">IF(AB330="","",IF(ISNUMBER(IF(AB330="","",INDEX(시장분석!$E:$E,AB330))),IF(AB330="","",INDEX(시장분석!$E:$E,AB330)),""))</f>
        <v>-0.532</v>
      </c>
      <c r="AG330" s="43" t="str">
        <f aca="false">IF(Q330&lt;&gt;1,"",IF(AB330&lt;&gt;"",IF(AB330="","",INDEX(시장분석!$L:$L,AB330)),IFERROR(IF(VLOOKUP(R330,매핑!$A$4:$E$92,5,0)="","미분류",VLOOKUP(R330,매핑!$A$4:$E$92,5,0)),"미분류")))</f>
        <v>정부</v>
      </c>
      <c r="AH330" s="43" t="str">
        <f aca="false">IF(Q330&lt;&gt;1,"",IF(AB330&lt;&gt;"",IF(AB330="","",INDEX(시장분석!$N:$N,AB330)),IFERROR(IF(VLOOKUP(R330,매핑!$A$4:$E$92,4,0)="","미분류",VLOOKUP(R330,매핑!$A$4:$E$92,4,0)),"미분류")))</f>
        <v>미국</v>
      </c>
      <c r="AI330" s="43" t="str">
        <f aca="false">IF(Q330&lt;&gt;1,"",IFERROR(IF(VLOOKUP(R330,매핑!$A$4:$E$92,3,0)="","미분류",VLOOKUP(R330,매핑!$A$4:$E$92,3,0)),IF(AB330&lt;&gt;"",IF(AB330="","",INDEX(시장분석!$W:$W,AB330)),"미분류")))</f>
        <v>미국</v>
      </c>
      <c r="AJ330" s="43" t="str">
        <f aca="false">IF(Q330&lt;&gt;1,"",IFERROR(VLOOKUP(IF(N330&lt;&gt;"",N330,IF(P330&lt;&gt;"",P330,O330)),설정!$A$15:$D$47,2,0),""))</f>
        <v>AA+</v>
      </c>
      <c r="AK330" s="43" t="str">
        <f aca="false">IF(Q330&lt;&gt;1,"",IF(AJ330="","무등급",IFERROR(VLOOKUP(AJ330,설정!$A$15:$D$47,3,0),"무등급")))</f>
        <v>AA이상</v>
      </c>
      <c r="AL330" s="89" t="n">
        <f aca="false">IF(AJ330="",99,IFERROR(VLOOKUP(AJ330,설정!$A$15:$D$47,4,0),99))</f>
        <v>2</v>
      </c>
      <c r="AM330" s="94" t="n">
        <f aca="false">IF(ISNUMBER(H330),AA330*1000000*H330/10000,0)</f>
        <v>6888.464579</v>
      </c>
      <c r="AN330" s="94" t="n">
        <f aca="false">IF(OR(Y330=1,NOT(ISNUMBER(Z330))),0,AA330*1000000*Z330/10000)</f>
        <v>0</v>
      </c>
      <c r="AO330" s="94" t="n">
        <f aca="false">IF(ISNUMBER(G330),AA330*1000000*G330/100,0)</f>
        <v>479810.21004</v>
      </c>
      <c r="AP330" s="94" t="n">
        <f aca="false">IF(ISNUMBER(M330),M330*K330,0)</f>
        <v>-782695.94</v>
      </c>
      <c r="AQ330" s="95" t="str">
        <f aca="false">IF(AB330="","",INDEX(시장분석!$AK:$AK,AB330))</f>
        <v/>
      </c>
      <c r="AR330" s="43" t="str">
        <f aca="false">IF(AB330="","-",IF(AB330="","",INDEX(시장분석!$AL:$AL,AB330)))</f>
        <v>-</v>
      </c>
      <c r="AS330" s="96" t="str">
        <f aca="false">IF(AB330="","",INDEX(시장분석!$AJ:$AJ,AB330))</f>
        <v/>
      </c>
      <c r="AT330" s="93" t="n">
        <f aca="false">IF(AB330="",0,IF(AB330="","",INDEX(시장분석!$AN:$AN,AB330)))</f>
        <v>0</v>
      </c>
      <c r="AU330" s="94" t="n">
        <f aca="false">IF(ISNUMBER(Z330),AT330/10000*MAX(Z330-1,0)*AA330*1000000,0)</f>
        <v>0</v>
      </c>
      <c r="AV330" s="94" t="n">
        <f aca="false">AO330+AU330</f>
        <v>479810.21004</v>
      </c>
      <c r="AW330" s="43" t="str">
        <f aca="false">IF(Q330&lt;&gt;1,"",TRIM(IF(AD330=1,"FRN ","")&amp;IF(AND(AL330&gt;=10,AL330&lt;99),"BBB0미만 ","")&amp;IF(AJ330="","등급없음 ","")&amp;IF(K330&lt;&gt;1,"비USD ","")&amp;IF(AND(AB330="",Y330=0),"시장데이터없음 ","")&amp;IF(AND(ISNUMBER(U330),U330&lt;0),"만기경과 ","")))</f>
        <v/>
      </c>
      <c r="AX330" s="90" t="n">
        <f aca="false">IF(Q330&lt;&gt;1,1,IF(스프레드쇼크!$C$4="Y",INDEX(스프레드쇼크!$B$12:$L$16,IFERROR(MATCH(AH330,스프레드쇼크!$A$12:$A$16,0),MATCH("목록외",스프레드쇼크!$A$12:$A$16,0)),IFERROR(MATCH(AG330,스프레드쇼크!$B$11:$L$11,0),MATCH("목록외",스프레드쇼크!$B$11:$L$11,0))),1))</f>
        <v>1</v>
      </c>
      <c r="AY330" s="90" t="n">
        <f aca="false">IF(스프레드쇼크!$C$5="Y",IF(ISNUMBER(AF330),MIN(스프레드쇼크!$C$7,MAX(스프레드쇼크!$C$6,AF330/스프레드쇼크!$C$8)),1),1)</f>
        <v>0.25</v>
      </c>
      <c r="AZ330" s="94" t="n">
        <f aca="false">AN330*AX330*AY330</f>
        <v>0</v>
      </c>
      <c r="BA330" s="90" t="n">
        <f aca="false">IF(ISNUMBER(G330),AA330*G330,0)</f>
        <v>47.981021004</v>
      </c>
      <c r="BB330" s="90" t="n">
        <f aca="false">IF(ISNUMBER(G330),AA330,0)</f>
        <v>9.19811</v>
      </c>
      <c r="BC330" s="90" t="n">
        <f aca="false">IF(AND(Y330=0,ISNUMBER(AF330)),AA330*AF330,0)</f>
        <v>0</v>
      </c>
      <c r="BD330" s="90" t="n">
        <f aca="false">IF(AND(Y330=0,ISNUMBER(AF330)),AA330,0)</f>
        <v>0</v>
      </c>
      <c r="BE330" s="90" t="n">
        <f aca="false">IF(ISNUMBER(H330),AA330*H330,0)</f>
        <v>68.88464579</v>
      </c>
      <c r="BF330" s="90" t="n">
        <f aca="false">IF(ISNUMBER(H330),AA330,0)</f>
        <v>9.19811</v>
      </c>
      <c r="BG330" s="90" t="n">
        <f aca="false">IF(AND(Y330=0,ISNUMBER(AF330),ISNUMBER(Z330)),AA330*Z330,0)</f>
        <v>0</v>
      </c>
      <c r="BH330" s="90" t="n">
        <f aca="false">IF(AND(Y330=0,ISNUMBER(AF330),ISNUMBER(Z330)),AA330*AT330*MAX(Z330-1,0),0)</f>
        <v>0</v>
      </c>
      <c r="BI330" s="90" t="n">
        <f aca="false">IF(Y330=0,AA330,0)</f>
        <v>0</v>
      </c>
    </row>
    <row r="331" customFormat="false" ht="15" hidden="false" customHeight="false" outlineLevel="0" collapsed="false">
      <c r="A331" s="83" t="str">
        <f aca="false">IFERROR(IF(INDEX(원자료_잔고!$A$1:$EZ$1500,설정!$L$5+ROW()-1,설정!$L$8)&amp;""="0","",INDEX(원자료_잔고!$A$1:$EZ$1500,설정!$L$5+ROW()-1,설정!$L$8)&amp;""),"")</f>
        <v>T 4.125 02/15/36</v>
      </c>
      <c r="B331" s="83" t="str">
        <f aca="false">IFERROR(IF(INDEX(원자료_잔고!$A$1:$EZ$1500,설정!$L$5+ROW()-1,설정!$L$7)&amp;""="0","",INDEX(원자료_잔고!$A$1:$EZ$1500,설정!$L$5+ROW()-1,설정!$L$7)&amp;""),"")</f>
        <v>US91282CPZ85</v>
      </c>
      <c r="C331" s="83" t="str">
        <f aca="false">IFERROR(IF(INDEX(원자료_잔고!$A$1:$EZ$1500,설정!$L$5+ROW()-1,설정!$L$9)&amp;""="0","",INDEX(원자료_잔고!$A$1:$EZ$1500,설정!$L$5+ROW()-1,설정!$L$9)&amp;""),"")</f>
        <v>38088</v>
      </c>
      <c r="D331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31" s="84" t="n">
        <f aca="false">IFERROR(IF(ISNUMBER(INDEX(원자료_잔고!$A$1:$EZ$1500,설정!$L$5+ROW()-1,설정!$L$11)),INDEX(원자료_잔고!$A$1:$EZ$1500,설정!$L$5+ROW()-1,설정!$L$11),""),"")</f>
        <v>10000000</v>
      </c>
      <c r="F331" s="85" t="n">
        <f aca="false">IFERROR(IF(ISNUMBER(INDEX(원자료_잔고!$A$1:$EZ$1500,설정!$L$5+ROW()-1,설정!$L$12)),INDEX(원자료_잔고!$A$1:$EZ$1500,설정!$L$5+ROW()-1,설정!$L$12),""),"")</f>
        <v>91.9811</v>
      </c>
      <c r="G331" s="85" t="n">
        <f aca="false">IFERROR(IF(ISNUMBER(INDEX(원자료_잔고!$A$1:$EZ$1500,설정!$L$5+ROW()-1,설정!$L$13)),INDEX(원자료_잔고!$A$1:$EZ$1500,설정!$L$5+ROW()-1,설정!$L$13),""),"")</f>
        <v>5.2164</v>
      </c>
      <c r="H331" s="85" t="n">
        <f aca="false">IFERROR(IF(ISNUMBER(INDEX(원자료_잔고!$A$1:$EZ$1500,설정!$L$5+ROW()-1,설정!$L$14)),INDEX(원자료_잔고!$A$1:$EZ$1500,설정!$L$5+ROW()-1,설정!$L$14),""),"")</f>
        <v>7.489</v>
      </c>
      <c r="I331" s="86" t="n">
        <f aca="false">IFERROR(IF(ISNUMBER(INDEX(원자료_잔고!$A$1:$EZ$1500,설정!$L$5+ROW()-1,설정!$L$15)),INDEX(원자료_잔고!$A$1:$EZ$1500,설정!$L$5+ROW()-1,설정!$L$15),""),"")</f>
        <v>49720</v>
      </c>
      <c r="J331" s="85" t="n">
        <f aca="false">IFERROR(IF(ISNUMBER(INDEX(원자료_잔고!$A$1:$EZ$1500,설정!$L$5+ROW()-1,설정!$L$16)),INDEX(원자료_잔고!$A$1:$EZ$1500,설정!$L$5+ROW()-1,설정!$L$16),""),"")</f>
        <v>4.125</v>
      </c>
      <c r="K331" s="87" t="n">
        <f aca="false">IFERROR(IF(ISNUMBER(INDEX(원자료_잔고!$A$1:$EZ$1500,설정!$L$5+ROW()-1,설정!$L$17)),INDEX(원자료_잔고!$A$1:$EZ$1500,설정!$L$5+ROW()-1,설정!$L$17),""),"")</f>
        <v>1</v>
      </c>
      <c r="L331" s="84" t="n">
        <f aca="false">IFERROR(IF(ISNUMBER(INDEX(원자료_잔고!$A$1:$EZ$1500,설정!$L$5+ROW()-1,설정!$L$18)),INDEX(원자료_잔고!$A$1:$EZ$1500,설정!$L$5+ROW()-1,설정!$L$18),""),"")</f>
        <v>9198110</v>
      </c>
      <c r="M331" s="88" t="n">
        <f aca="false">IFERROR(IF(ISNUMBER(INDEX(원자료_잔고!$A$1:$EZ$1500,설정!$L$5+ROW()-1,설정!$L$19)),INDEX(원자료_잔고!$A$1:$EZ$1500,설정!$L$5+ROW()-1,설정!$L$19),""),"")</f>
        <v>-668851.67</v>
      </c>
      <c r="N331" s="83" t="str">
        <f aca="false">IFERROR(IF(INDEX(원자료_잔고!$A$1:$EZ$1500,설정!$L$5+ROW()-1,설정!$L$21)&amp;""="0","",INDEX(원자료_잔고!$A$1:$EZ$1500,설정!$L$5+ROW()-1,설정!$L$21)&amp;""),"")</f>
        <v/>
      </c>
      <c r="O331" s="83" t="str">
        <f aca="false">IFERROR(IF(INDEX(원자료_잔고!$A$1:$EZ$1500,설정!$L$5+ROW()-1,설정!$L$22)&amp;""="0","",INDEX(원자료_잔고!$A$1:$EZ$1500,설정!$L$5+ROW()-1,설정!$L$22)&amp;""),"")</f>
        <v/>
      </c>
      <c r="P331" s="83" t="str">
        <f aca="false">IFERROR(IF(INDEX(원자료_잔고!$A$1:$EZ$1500,설정!$L$5+ROW()-1,설정!$L$23)&amp;""="0","",INDEX(원자료_잔고!$A$1:$EZ$1500,설정!$L$5+ROW()-1,설정!$L$23)&amp;""),"")</f>
        <v>AA+</v>
      </c>
      <c r="Q331" s="89" t="n">
        <f aca="false">IF(AND($A331&lt;&gt;"",ISNUMBER(E331)),IF(E331&gt;0,1,0),0)</f>
        <v>1</v>
      </c>
      <c r="R331" s="43" t="str">
        <f aca="false">IF(Q331=1,UPPER(LEFT($A331,FIND(" ",$A331&amp;" ")-1)),"")</f>
        <v>T</v>
      </c>
      <c r="S331" s="89" t="n">
        <f aca="false">IF(Q331=1,IF(OR(ISNUMBER(SEARCH("Float",$A331)),ISNUMBER(SEARCH("FRN",$A331))),1,0),0)</f>
        <v>0</v>
      </c>
      <c r="T331" s="43" t="str">
        <f aca="false">IF(AND(Q331=1,ISNUMBER(I331)),TEXT(I331,"yyyymmdd")&amp;"|"&amp;IF(S331=1,"F",TEXT(J331,"0.000")),"")</f>
        <v>20360215|4.125</v>
      </c>
      <c r="U331" s="90" t="n">
        <f aca="false">IF(AND(Q331=1,ISNUMBER(I331)),(I331-설정!$C$4)/365.25,"")</f>
        <v>9.37440109514031</v>
      </c>
      <c r="V331" s="43" t="str">
        <f aca="false">IF(Q331&lt;&gt;1,"",IF(ISNUMBER(U331),IF(U331&lt;=1,"1년 이하",IF(U331&lt;=2,"1-2년",IF(U331&lt;=3,"2-3년",IF(U331&lt;=4,"3-4년",IF(U331&lt;=5,"4-5년",IF(U331&lt;=7,"5-7년",IF(U331&lt;=10,"7-10년",IF(U331&lt;=20,"10-20년","20년 이상")))))))),"미분류"))</f>
        <v>7-10년</v>
      </c>
      <c r="W331" s="43" t="str">
        <f aca="false">IF(Q331&lt;&gt;1,"",IF(AB331&lt;&gt;"",INDEX(시장분석!$C:$C,AB331),IF(K331=1,"USD","비USD")))</f>
        <v>USD</v>
      </c>
      <c r="X331" s="91" t="n">
        <f aca="false">IF(Q331=1,E331*K331/1000000,0)</f>
        <v>10</v>
      </c>
      <c r="Y331" s="89" t="n">
        <f aca="false">IF(R331="T",1,0)</f>
        <v>1</v>
      </c>
      <c r="Z331" s="92" t="n">
        <f aca="false">IF(Q331&lt;&gt;1,"",IF(AD331=1,IF(ISNUMBER(U331),MAX(U331,0),H331),H331))</f>
        <v>7.489</v>
      </c>
      <c r="AA331" s="91" t="n">
        <f aca="false">IF(Q331=1,IF(ISNUMBER(L331),L331,0)*K331/1000000,0)</f>
        <v>9.19811</v>
      </c>
      <c r="AB331" s="89" t="n">
        <f aca="false">IF(Q331&lt;&gt;1,"",IFERROR(MATCH(VLOOKUP(B331,매핑!$H$4:$I$15,2,0),시장분석!$A$2:$A$601,0)+1,IFERROR(MATCH(R331&amp;"|"&amp;T331,시장분석!$V$2:$V$601,0)+1,IF(COUNTIF(시장분석!$U$2:$U$601,T331)=1,MATCH(T331,시장분석!$U$2:$U$601,0)+1,""))))</f>
        <v>127</v>
      </c>
      <c r="AC331" s="89" t="n">
        <f aca="false">IF(Q331&lt;&gt;1,0,IF(OR(설정!$C$5="전체",AND(설정!$C$5="선택펀드",IFERROR(COUNTIFS(설정!$F$16:$F$36,C331,설정!$G$16:$G$36,"Y")+COUNTIFS(설정!$F$16:$F$36,VALUE(C331),설정!$G$16:$G$36,"Y"),0)&gt;0),C331&amp;""=설정!$C$5&amp;""),1,0))</f>
        <v>0</v>
      </c>
      <c r="AD331" s="89" t="n">
        <f aca="false">IF(Q331&lt;&gt;1,0,IF(OR(S331=1,IF(AB331="",FALSE(),INDEX(시장분석!$R:$R,AB331)=1)),1,0))</f>
        <v>0</v>
      </c>
      <c r="AE331" s="43" t="str">
        <f aca="false">IF(AB331="","",INDEX(시장분석!$A:$A,AB331))</f>
        <v>T 4 1/8 02/15/36</v>
      </c>
      <c r="AF331" s="93" t="n">
        <f aca="false">IF(AB331="","",IF(ISNUMBER(IF(AB331="","",INDEX(시장분석!$E:$E,AB331))),IF(AB331="","",INDEX(시장분석!$E:$E,AB331)),""))</f>
        <v>-0.532</v>
      </c>
      <c r="AG331" s="43" t="str">
        <f aca="false">IF(Q331&lt;&gt;1,"",IF(AB331&lt;&gt;"",IF(AB331="","",INDEX(시장분석!$L:$L,AB331)),IFERROR(IF(VLOOKUP(R331,매핑!$A$4:$E$92,5,0)="","미분류",VLOOKUP(R331,매핑!$A$4:$E$92,5,0)),"미분류")))</f>
        <v>정부</v>
      </c>
      <c r="AH331" s="43" t="str">
        <f aca="false">IF(Q331&lt;&gt;1,"",IF(AB331&lt;&gt;"",IF(AB331="","",INDEX(시장분석!$N:$N,AB331)),IFERROR(IF(VLOOKUP(R331,매핑!$A$4:$E$92,4,0)="","미분류",VLOOKUP(R331,매핑!$A$4:$E$92,4,0)),"미분류")))</f>
        <v>미국</v>
      </c>
      <c r="AI331" s="43" t="str">
        <f aca="false">IF(Q331&lt;&gt;1,"",IFERROR(IF(VLOOKUP(R331,매핑!$A$4:$E$92,3,0)="","미분류",VLOOKUP(R331,매핑!$A$4:$E$92,3,0)),IF(AB331&lt;&gt;"",IF(AB331="","",INDEX(시장분석!$W:$W,AB331)),"미분류")))</f>
        <v>미국</v>
      </c>
      <c r="AJ331" s="43" t="str">
        <f aca="false">IF(Q331&lt;&gt;1,"",IFERROR(VLOOKUP(IF(N331&lt;&gt;"",N331,IF(P331&lt;&gt;"",P331,O331)),설정!$A$15:$D$47,2,0),""))</f>
        <v>AA+</v>
      </c>
      <c r="AK331" s="43" t="str">
        <f aca="false">IF(Q331&lt;&gt;1,"",IF(AJ331="","무등급",IFERROR(VLOOKUP(AJ331,설정!$A$15:$D$47,3,0),"무등급")))</f>
        <v>AA이상</v>
      </c>
      <c r="AL331" s="89" t="n">
        <f aca="false">IF(AJ331="",99,IFERROR(VLOOKUP(AJ331,설정!$A$15:$D$47,4,0),99))</f>
        <v>2</v>
      </c>
      <c r="AM331" s="94" t="n">
        <f aca="false">IF(ISNUMBER(H331),AA331*1000000*H331/10000,0)</f>
        <v>6888.464579</v>
      </c>
      <c r="AN331" s="94" t="n">
        <f aca="false">IF(OR(Y331=1,NOT(ISNUMBER(Z331))),0,AA331*1000000*Z331/10000)</f>
        <v>0</v>
      </c>
      <c r="AO331" s="94" t="n">
        <f aca="false">IF(ISNUMBER(G331),AA331*1000000*G331/100,0)</f>
        <v>479810.21004</v>
      </c>
      <c r="AP331" s="94" t="n">
        <f aca="false">IF(ISNUMBER(M331),M331*K331,0)</f>
        <v>-668851.67</v>
      </c>
      <c r="AQ331" s="95" t="str">
        <f aca="false">IF(AB331="","",INDEX(시장분석!$AK:$AK,AB331))</f>
        <v/>
      </c>
      <c r="AR331" s="43" t="str">
        <f aca="false">IF(AB331="","-",IF(AB331="","",INDEX(시장분석!$AL:$AL,AB331)))</f>
        <v>-</v>
      </c>
      <c r="AS331" s="96" t="str">
        <f aca="false">IF(AB331="","",INDEX(시장분석!$AJ:$AJ,AB331))</f>
        <v/>
      </c>
      <c r="AT331" s="93" t="n">
        <f aca="false">IF(AB331="",0,IF(AB331="","",INDEX(시장분석!$AN:$AN,AB331)))</f>
        <v>0</v>
      </c>
      <c r="AU331" s="94" t="n">
        <f aca="false">IF(ISNUMBER(Z331),AT331/10000*MAX(Z331-1,0)*AA331*1000000,0)</f>
        <v>0</v>
      </c>
      <c r="AV331" s="94" t="n">
        <f aca="false">AO331+AU331</f>
        <v>479810.21004</v>
      </c>
      <c r="AW331" s="43" t="str">
        <f aca="false">IF(Q331&lt;&gt;1,"",TRIM(IF(AD331=1,"FRN ","")&amp;IF(AND(AL331&gt;=10,AL331&lt;99),"BBB0미만 ","")&amp;IF(AJ331="","등급없음 ","")&amp;IF(K331&lt;&gt;1,"비USD ","")&amp;IF(AND(AB331="",Y331=0),"시장데이터없음 ","")&amp;IF(AND(ISNUMBER(U331),U331&lt;0),"만기경과 ","")))</f>
        <v/>
      </c>
      <c r="AX331" s="90" t="n">
        <f aca="false">IF(Q331&lt;&gt;1,1,IF(스프레드쇼크!$C$4="Y",INDEX(스프레드쇼크!$B$12:$L$16,IFERROR(MATCH(AH331,스프레드쇼크!$A$12:$A$16,0),MATCH("목록외",스프레드쇼크!$A$12:$A$16,0)),IFERROR(MATCH(AG331,스프레드쇼크!$B$11:$L$11,0),MATCH("목록외",스프레드쇼크!$B$11:$L$11,0))),1))</f>
        <v>1</v>
      </c>
      <c r="AY331" s="90" t="n">
        <f aca="false">IF(스프레드쇼크!$C$5="Y",IF(ISNUMBER(AF331),MIN(스프레드쇼크!$C$7,MAX(스프레드쇼크!$C$6,AF331/스프레드쇼크!$C$8)),1),1)</f>
        <v>0.25</v>
      </c>
      <c r="AZ331" s="94" t="n">
        <f aca="false">AN331*AX331*AY331</f>
        <v>0</v>
      </c>
      <c r="BA331" s="90" t="n">
        <f aca="false">IF(ISNUMBER(G331),AA331*G331,0)</f>
        <v>47.981021004</v>
      </c>
      <c r="BB331" s="90" t="n">
        <f aca="false">IF(ISNUMBER(G331),AA331,0)</f>
        <v>9.19811</v>
      </c>
      <c r="BC331" s="90" t="n">
        <f aca="false">IF(AND(Y331=0,ISNUMBER(AF331)),AA331*AF331,0)</f>
        <v>0</v>
      </c>
      <c r="BD331" s="90" t="n">
        <f aca="false">IF(AND(Y331=0,ISNUMBER(AF331)),AA331,0)</f>
        <v>0</v>
      </c>
      <c r="BE331" s="90" t="n">
        <f aca="false">IF(ISNUMBER(H331),AA331*H331,0)</f>
        <v>68.88464579</v>
      </c>
      <c r="BF331" s="90" t="n">
        <f aca="false">IF(ISNUMBER(H331),AA331,0)</f>
        <v>9.19811</v>
      </c>
      <c r="BG331" s="90" t="n">
        <f aca="false">IF(AND(Y331=0,ISNUMBER(AF331),ISNUMBER(Z331)),AA331*Z331,0)</f>
        <v>0</v>
      </c>
      <c r="BH331" s="90" t="n">
        <f aca="false">IF(AND(Y331=0,ISNUMBER(AF331),ISNUMBER(Z331)),AA331*AT331*MAX(Z331-1,0),0)</f>
        <v>0</v>
      </c>
      <c r="BI331" s="90" t="n">
        <f aca="false">IF(Y331=0,AA331,0)</f>
        <v>0</v>
      </c>
    </row>
    <row r="332" customFormat="false" ht="15" hidden="false" customHeight="false" outlineLevel="0" collapsed="false">
      <c r="A332" s="83" t="str">
        <f aca="false">IFERROR(IF(INDEX(원자료_잔고!$A$1:$EZ$1500,설정!$L$5+ROW()-1,설정!$L$8)&amp;""="0","",INDEX(원자료_잔고!$A$1:$EZ$1500,설정!$L$5+ROW()-1,설정!$L$8)&amp;""),"")</f>
        <v>T 4.375 05/15/36</v>
      </c>
      <c r="B332" s="83" t="str">
        <f aca="false">IFERROR(IF(INDEX(원자료_잔고!$A$1:$EZ$1500,설정!$L$5+ROW()-1,설정!$L$7)&amp;""="0","",INDEX(원자료_잔고!$A$1:$EZ$1500,설정!$L$5+ROW()-1,설정!$L$7)&amp;""),"")</f>
        <v>US91282CQQ77</v>
      </c>
      <c r="C332" s="83" t="str">
        <f aca="false">IFERROR(IF(INDEX(원자료_잔고!$A$1:$EZ$1500,설정!$L$5+ROW()-1,설정!$L$9)&amp;""="0","",INDEX(원자료_잔고!$A$1:$EZ$1500,설정!$L$5+ROW()-1,설정!$L$9)&amp;""),"")</f>
        <v>38088</v>
      </c>
      <c r="D332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32" s="84" t="n">
        <f aca="false">IFERROR(IF(ISNUMBER(INDEX(원자료_잔고!$A$1:$EZ$1500,설정!$L$5+ROW()-1,설정!$L$11)),INDEX(원자료_잔고!$A$1:$EZ$1500,설정!$L$5+ROW()-1,설정!$L$11),""),"")</f>
        <v>10000000</v>
      </c>
      <c r="F332" s="85" t="n">
        <f aca="false">IFERROR(IF(ISNUMBER(INDEX(원자료_잔고!$A$1:$EZ$1500,설정!$L$5+ROW()-1,설정!$L$12)),INDEX(원자료_잔고!$A$1:$EZ$1500,설정!$L$5+ROW()-1,설정!$L$12),""),"")</f>
        <v>93.6565</v>
      </c>
      <c r="G332" s="85" t="n">
        <f aca="false">IFERROR(IF(ISNUMBER(INDEX(원자료_잔고!$A$1:$EZ$1500,설정!$L$5+ROW()-1,설정!$L$13)),INDEX(원자료_잔고!$A$1:$EZ$1500,설정!$L$5+ROW()-1,설정!$L$13),""),"")</f>
        <v>5.2206</v>
      </c>
      <c r="H332" s="85" t="n">
        <f aca="false">IFERROR(IF(ISNUMBER(INDEX(원자료_잔고!$A$1:$EZ$1500,설정!$L$5+ROW()-1,설정!$L$14)),INDEX(원자료_잔고!$A$1:$EZ$1500,설정!$L$5+ROW()-1,설정!$L$14),""),"")</f>
        <v>7.493</v>
      </c>
      <c r="I332" s="86" t="n">
        <f aca="false">IFERROR(IF(ISNUMBER(INDEX(원자료_잔고!$A$1:$EZ$1500,설정!$L$5+ROW()-1,설정!$L$15)),INDEX(원자료_잔고!$A$1:$EZ$1500,설정!$L$5+ROW()-1,설정!$L$15),""),"")</f>
        <v>49810</v>
      </c>
      <c r="J332" s="85" t="n">
        <f aca="false">IFERROR(IF(ISNUMBER(INDEX(원자료_잔고!$A$1:$EZ$1500,설정!$L$5+ROW()-1,설정!$L$16)),INDEX(원자료_잔고!$A$1:$EZ$1500,설정!$L$5+ROW()-1,설정!$L$16),""),"")</f>
        <v>4.375</v>
      </c>
      <c r="K332" s="87" t="n">
        <f aca="false">IFERROR(IF(ISNUMBER(INDEX(원자료_잔고!$A$1:$EZ$1500,설정!$L$5+ROW()-1,설정!$L$17)),INDEX(원자료_잔고!$A$1:$EZ$1500,설정!$L$5+ROW()-1,설정!$L$17),""),"")</f>
        <v>1</v>
      </c>
      <c r="L332" s="84" t="n">
        <f aca="false">IFERROR(IF(ISNUMBER(INDEX(원자료_잔고!$A$1:$EZ$1500,설정!$L$5+ROW()-1,설정!$L$18)),INDEX(원자료_잔고!$A$1:$EZ$1500,설정!$L$5+ROW()-1,설정!$L$18),""),"")</f>
        <v>9365650</v>
      </c>
      <c r="M332" s="88" t="n">
        <f aca="false">IFERROR(IF(ISNUMBER(INDEX(원자료_잔고!$A$1:$EZ$1500,설정!$L$5+ROW()-1,설정!$L$19)),INDEX(원자료_잔고!$A$1:$EZ$1500,설정!$L$5+ROW()-1,설정!$L$19),""),"")</f>
        <v>-593692.13</v>
      </c>
      <c r="N332" s="83" t="str">
        <f aca="false">IFERROR(IF(INDEX(원자료_잔고!$A$1:$EZ$1500,설정!$L$5+ROW()-1,설정!$L$21)&amp;""="0","",INDEX(원자료_잔고!$A$1:$EZ$1500,설정!$L$5+ROW()-1,설정!$L$21)&amp;""),"")</f>
        <v/>
      </c>
      <c r="O332" s="83" t="str">
        <f aca="false">IFERROR(IF(INDEX(원자료_잔고!$A$1:$EZ$1500,설정!$L$5+ROW()-1,설정!$L$22)&amp;""="0","",INDEX(원자료_잔고!$A$1:$EZ$1500,설정!$L$5+ROW()-1,설정!$L$22)&amp;""),"")</f>
        <v/>
      </c>
      <c r="P332" s="83" t="str">
        <f aca="false">IFERROR(IF(INDEX(원자료_잔고!$A$1:$EZ$1500,설정!$L$5+ROW()-1,설정!$L$23)&amp;""="0","",INDEX(원자료_잔고!$A$1:$EZ$1500,설정!$L$5+ROW()-1,설정!$L$23)&amp;""),"")</f>
        <v>AA+</v>
      </c>
      <c r="Q332" s="89" t="n">
        <f aca="false">IF(AND($A332&lt;&gt;"",ISNUMBER(E332)),IF(E332&gt;0,1,0),0)</f>
        <v>1</v>
      </c>
      <c r="R332" s="43" t="str">
        <f aca="false">IF(Q332=1,UPPER(LEFT($A332,FIND(" ",$A332&amp;" ")-1)),"")</f>
        <v>T</v>
      </c>
      <c r="S332" s="89" t="n">
        <f aca="false">IF(Q332=1,IF(OR(ISNUMBER(SEARCH("Float",$A332)),ISNUMBER(SEARCH("FRN",$A332))),1,0),0)</f>
        <v>0</v>
      </c>
      <c r="T332" s="43" t="str">
        <f aca="false">IF(AND(Q332=1,ISNUMBER(I332)),TEXT(I332,"yyyymmdd")&amp;"|"&amp;IF(S332=1,"F",TEXT(J332,"0.000")),"")</f>
        <v>20360515|4.375</v>
      </c>
      <c r="U332" s="90" t="n">
        <f aca="false">IF(AND(Q332=1,ISNUMBER(I332)),(I332-설정!$C$4)/365.25,"")</f>
        <v>9.6208076659822</v>
      </c>
      <c r="V332" s="43" t="str">
        <f aca="false">IF(Q332&lt;&gt;1,"",IF(ISNUMBER(U332),IF(U332&lt;=1,"1년 이하",IF(U332&lt;=2,"1-2년",IF(U332&lt;=3,"2-3년",IF(U332&lt;=4,"3-4년",IF(U332&lt;=5,"4-5년",IF(U332&lt;=7,"5-7년",IF(U332&lt;=10,"7-10년",IF(U332&lt;=20,"10-20년","20년 이상")))))))),"미분류"))</f>
        <v>7-10년</v>
      </c>
      <c r="W332" s="43" t="str">
        <f aca="false">IF(Q332&lt;&gt;1,"",IF(AB332&lt;&gt;"",INDEX(시장분석!$C:$C,AB332),IF(K332=1,"USD","비USD")))</f>
        <v>USD</v>
      </c>
      <c r="X332" s="91" t="n">
        <f aca="false">IF(Q332=1,E332*K332/1000000,0)</f>
        <v>10</v>
      </c>
      <c r="Y332" s="89" t="n">
        <f aca="false">IF(R332="T",1,0)</f>
        <v>1</v>
      </c>
      <c r="Z332" s="92" t="n">
        <f aca="false">IF(Q332&lt;&gt;1,"",IF(AD332=1,IF(ISNUMBER(U332),MAX(U332,0),H332),H332))</f>
        <v>7.493</v>
      </c>
      <c r="AA332" s="91" t="n">
        <f aca="false">IF(Q332=1,IF(ISNUMBER(L332),L332,0)*K332/1000000,0)</f>
        <v>9.36565</v>
      </c>
      <c r="AB332" s="89" t="n">
        <f aca="false">IF(Q332&lt;&gt;1,"",IFERROR(MATCH(VLOOKUP(B332,매핑!$H$4:$I$15,2,0),시장분석!$A$2:$A$601,0)+1,IFERROR(MATCH(R332&amp;"|"&amp;T332,시장분석!$V$2:$V$601,0)+1,IF(COUNTIF(시장분석!$U$2:$U$601,T332)=1,MATCH(T332,시장분석!$U$2:$U$601,0)+1,""))))</f>
        <v>128</v>
      </c>
      <c r="AC332" s="89" t="n">
        <f aca="false">IF(Q332&lt;&gt;1,0,IF(OR(설정!$C$5="전체",AND(설정!$C$5="선택펀드",IFERROR(COUNTIFS(설정!$F$16:$F$36,C332,설정!$G$16:$G$36,"Y")+COUNTIFS(설정!$F$16:$F$36,VALUE(C332),설정!$G$16:$G$36,"Y"),0)&gt;0),C332&amp;""=설정!$C$5&amp;""),1,0))</f>
        <v>0</v>
      </c>
      <c r="AD332" s="89" t="n">
        <f aca="false">IF(Q332&lt;&gt;1,0,IF(OR(S332=1,IF(AB332="",FALSE(),INDEX(시장분석!$R:$R,AB332)=1)),1,0))</f>
        <v>0</v>
      </c>
      <c r="AE332" s="43" t="str">
        <f aca="false">IF(AB332="","",INDEX(시장분석!$A:$A,AB332))</f>
        <v>T 4 3/8 05/15/36</v>
      </c>
      <c r="AF332" s="93" t="n">
        <f aca="false">IF(AB332="","",IF(ISNUMBER(IF(AB332="","",INDEX(시장분석!$E:$E,AB332))),IF(AB332="","",INDEX(시장분석!$E:$E,AB332)),""))</f>
        <v>-0.024</v>
      </c>
      <c r="AG332" s="43" t="str">
        <f aca="false">IF(Q332&lt;&gt;1,"",IF(AB332&lt;&gt;"",IF(AB332="","",INDEX(시장분석!$L:$L,AB332)),IFERROR(IF(VLOOKUP(R332,매핑!$A$4:$E$92,5,0)="","미분류",VLOOKUP(R332,매핑!$A$4:$E$92,5,0)),"미분류")))</f>
        <v>정부</v>
      </c>
      <c r="AH332" s="43" t="str">
        <f aca="false">IF(Q332&lt;&gt;1,"",IF(AB332&lt;&gt;"",IF(AB332="","",INDEX(시장분석!$N:$N,AB332)),IFERROR(IF(VLOOKUP(R332,매핑!$A$4:$E$92,4,0)="","미분류",VLOOKUP(R332,매핑!$A$4:$E$92,4,0)),"미분류")))</f>
        <v>미국</v>
      </c>
      <c r="AI332" s="43" t="str">
        <f aca="false">IF(Q332&lt;&gt;1,"",IFERROR(IF(VLOOKUP(R332,매핑!$A$4:$E$92,3,0)="","미분류",VLOOKUP(R332,매핑!$A$4:$E$92,3,0)),IF(AB332&lt;&gt;"",IF(AB332="","",INDEX(시장분석!$W:$W,AB332)),"미분류")))</f>
        <v>미국</v>
      </c>
      <c r="AJ332" s="43" t="str">
        <f aca="false">IF(Q332&lt;&gt;1,"",IFERROR(VLOOKUP(IF(N332&lt;&gt;"",N332,IF(P332&lt;&gt;"",P332,O332)),설정!$A$15:$D$47,2,0),""))</f>
        <v>AA+</v>
      </c>
      <c r="AK332" s="43" t="str">
        <f aca="false">IF(Q332&lt;&gt;1,"",IF(AJ332="","무등급",IFERROR(VLOOKUP(AJ332,설정!$A$15:$D$47,3,0),"무등급")))</f>
        <v>AA이상</v>
      </c>
      <c r="AL332" s="89" t="n">
        <f aca="false">IF(AJ332="",99,IFERROR(VLOOKUP(AJ332,설정!$A$15:$D$47,4,0),99))</f>
        <v>2</v>
      </c>
      <c r="AM332" s="94" t="n">
        <f aca="false">IF(ISNUMBER(H332),AA332*1000000*H332/10000,0)</f>
        <v>7017.681545</v>
      </c>
      <c r="AN332" s="94" t="n">
        <f aca="false">IF(OR(Y332=1,NOT(ISNUMBER(Z332))),0,AA332*1000000*Z332/10000)</f>
        <v>0</v>
      </c>
      <c r="AO332" s="94" t="n">
        <f aca="false">IF(ISNUMBER(G332),AA332*1000000*G332/100,0)</f>
        <v>488943.1239</v>
      </c>
      <c r="AP332" s="94" t="n">
        <f aca="false">IF(ISNUMBER(M332),M332*K332,0)</f>
        <v>-593692.13</v>
      </c>
      <c r="AQ332" s="95" t="str">
        <f aca="false">IF(AB332="","",INDEX(시장분석!$AK:$AK,AB332))</f>
        <v/>
      </c>
      <c r="AR332" s="43" t="str">
        <f aca="false">IF(AB332="","-",IF(AB332="","",INDEX(시장분석!$AL:$AL,AB332)))</f>
        <v>-</v>
      </c>
      <c r="AS332" s="96" t="str">
        <f aca="false">IF(AB332="","",INDEX(시장분석!$AJ:$AJ,AB332))</f>
        <v/>
      </c>
      <c r="AT332" s="93" t="n">
        <f aca="false">IF(AB332="",0,IF(AB332="","",INDEX(시장분석!$AN:$AN,AB332)))</f>
        <v>0</v>
      </c>
      <c r="AU332" s="94" t="n">
        <f aca="false">IF(ISNUMBER(Z332),AT332/10000*MAX(Z332-1,0)*AA332*1000000,0)</f>
        <v>0</v>
      </c>
      <c r="AV332" s="94" t="n">
        <f aca="false">AO332+AU332</f>
        <v>488943.1239</v>
      </c>
      <c r="AW332" s="43" t="str">
        <f aca="false">IF(Q332&lt;&gt;1,"",TRIM(IF(AD332=1,"FRN ","")&amp;IF(AND(AL332&gt;=10,AL332&lt;99),"BBB0미만 ","")&amp;IF(AJ332="","등급없음 ","")&amp;IF(K332&lt;&gt;1,"비USD ","")&amp;IF(AND(AB332="",Y332=0),"시장데이터없음 ","")&amp;IF(AND(ISNUMBER(U332),U332&lt;0),"만기경과 ","")))</f>
        <v/>
      </c>
      <c r="AX332" s="90" t="n">
        <f aca="false">IF(Q332&lt;&gt;1,1,IF(스프레드쇼크!$C$4="Y",INDEX(스프레드쇼크!$B$12:$L$16,IFERROR(MATCH(AH332,스프레드쇼크!$A$12:$A$16,0),MATCH("목록외",스프레드쇼크!$A$12:$A$16,0)),IFERROR(MATCH(AG332,스프레드쇼크!$B$11:$L$11,0),MATCH("목록외",스프레드쇼크!$B$11:$L$11,0))),1))</f>
        <v>1</v>
      </c>
      <c r="AY332" s="90" t="n">
        <f aca="false">IF(스프레드쇼크!$C$5="Y",IF(ISNUMBER(AF332),MIN(스프레드쇼크!$C$7,MAX(스프레드쇼크!$C$6,AF332/스프레드쇼크!$C$8)),1),1)</f>
        <v>0.25</v>
      </c>
      <c r="AZ332" s="94" t="n">
        <f aca="false">AN332*AX332*AY332</f>
        <v>0</v>
      </c>
      <c r="BA332" s="90" t="n">
        <f aca="false">IF(ISNUMBER(G332),AA332*G332,0)</f>
        <v>48.89431239</v>
      </c>
      <c r="BB332" s="90" t="n">
        <f aca="false">IF(ISNUMBER(G332),AA332,0)</f>
        <v>9.36565</v>
      </c>
      <c r="BC332" s="90" t="n">
        <f aca="false">IF(AND(Y332=0,ISNUMBER(AF332)),AA332*AF332,0)</f>
        <v>0</v>
      </c>
      <c r="BD332" s="90" t="n">
        <f aca="false">IF(AND(Y332=0,ISNUMBER(AF332)),AA332,0)</f>
        <v>0</v>
      </c>
      <c r="BE332" s="90" t="n">
        <f aca="false">IF(ISNUMBER(H332),AA332*H332,0)</f>
        <v>70.17681545</v>
      </c>
      <c r="BF332" s="90" t="n">
        <f aca="false">IF(ISNUMBER(H332),AA332,0)</f>
        <v>9.36565</v>
      </c>
      <c r="BG332" s="90" t="n">
        <f aca="false">IF(AND(Y332=0,ISNUMBER(AF332),ISNUMBER(Z332)),AA332*Z332,0)</f>
        <v>0</v>
      </c>
      <c r="BH332" s="90" t="n">
        <f aca="false">IF(AND(Y332=0,ISNUMBER(AF332),ISNUMBER(Z332)),AA332*AT332*MAX(Z332-1,0),0)</f>
        <v>0</v>
      </c>
      <c r="BI332" s="90" t="n">
        <f aca="false">IF(Y332=0,AA332,0)</f>
        <v>0</v>
      </c>
    </row>
    <row r="333" customFormat="false" ht="15" hidden="false" customHeight="false" outlineLevel="0" collapsed="false">
      <c r="A333" s="83" t="str">
        <f aca="false">IFERROR(IF(INDEX(원자료_잔고!$A$1:$EZ$1500,설정!$L$5+ROW()-1,설정!$L$8)&amp;""="0","",INDEX(원자료_잔고!$A$1:$EZ$1500,설정!$L$5+ROW()-1,설정!$L$8)&amp;""),"")</f>
        <v>T 4.375 05/15/36</v>
      </c>
      <c r="B333" s="83" t="str">
        <f aca="false">IFERROR(IF(INDEX(원자료_잔고!$A$1:$EZ$1500,설정!$L$5+ROW()-1,설정!$L$7)&amp;""="0","",INDEX(원자료_잔고!$A$1:$EZ$1500,설정!$L$5+ROW()-1,설정!$L$7)&amp;""),"")</f>
        <v>US91282CQQ77</v>
      </c>
      <c r="C333" s="83" t="str">
        <f aca="false">IFERROR(IF(INDEX(원자료_잔고!$A$1:$EZ$1500,설정!$L$5+ROW()-1,설정!$L$9)&amp;""="0","",INDEX(원자료_잔고!$A$1:$EZ$1500,설정!$L$5+ROW()-1,설정!$L$9)&amp;""),"")</f>
        <v>38088</v>
      </c>
      <c r="D333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33" s="84" t="n">
        <f aca="false">IFERROR(IF(ISNUMBER(INDEX(원자료_잔고!$A$1:$EZ$1500,설정!$L$5+ROW()-1,설정!$L$11)),INDEX(원자료_잔고!$A$1:$EZ$1500,설정!$L$5+ROW()-1,설정!$L$11),""),"")</f>
        <v>10000000</v>
      </c>
      <c r="F333" s="85" t="n">
        <f aca="false">IFERROR(IF(ISNUMBER(INDEX(원자료_잔고!$A$1:$EZ$1500,설정!$L$5+ROW()-1,설정!$L$12)),INDEX(원자료_잔고!$A$1:$EZ$1500,설정!$L$5+ROW()-1,설정!$L$12),""),"")</f>
        <v>93.6565</v>
      </c>
      <c r="G333" s="85" t="n">
        <f aca="false">IFERROR(IF(ISNUMBER(INDEX(원자료_잔고!$A$1:$EZ$1500,설정!$L$5+ROW()-1,설정!$L$13)),INDEX(원자료_잔고!$A$1:$EZ$1500,설정!$L$5+ROW()-1,설정!$L$13),""),"")</f>
        <v>5.2206</v>
      </c>
      <c r="H333" s="85" t="n">
        <f aca="false">IFERROR(IF(ISNUMBER(INDEX(원자료_잔고!$A$1:$EZ$1500,설정!$L$5+ROW()-1,설정!$L$14)),INDEX(원자료_잔고!$A$1:$EZ$1500,설정!$L$5+ROW()-1,설정!$L$14),""),"")</f>
        <v>7.493</v>
      </c>
      <c r="I333" s="86" t="n">
        <f aca="false">IFERROR(IF(ISNUMBER(INDEX(원자료_잔고!$A$1:$EZ$1500,설정!$L$5+ROW()-1,설정!$L$15)),INDEX(원자료_잔고!$A$1:$EZ$1500,설정!$L$5+ROW()-1,설정!$L$15),""),"")</f>
        <v>49810</v>
      </c>
      <c r="J333" s="85" t="n">
        <f aca="false">IFERROR(IF(ISNUMBER(INDEX(원자료_잔고!$A$1:$EZ$1500,설정!$L$5+ROW()-1,설정!$L$16)),INDEX(원자료_잔고!$A$1:$EZ$1500,설정!$L$5+ROW()-1,설정!$L$16),""),"")</f>
        <v>4.375</v>
      </c>
      <c r="K333" s="87" t="n">
        <f aca="false">IFERROR(IF(ISNUMBER(INDEX(원자료_잔고!$A$1:$EZ$1500,설정!$L$5+ROW()-1,설정!$L$17)),INDEX(원자료_잔고!$A$1:$EZ$1500,설정!$L$5+ROW()-1,설정!$L$17),""),"")</f>
        <v>1</v>
      </c>
      <c r="L333" s="84" t="n">
        <f aca="false">IFERROR(IF(ISNUMBER(INDEX(원자료_잔고!$A$1:$EZ$1500,설정!$L$5+ROW()-1,설정!$L$18)),INDEX(원자료_잔고!$A$1:$EZ$1500,설정!$L$5+ROW()-1,설정!$L$18),""),"")</f>
        <v>9365650</v>
      </c>
      <c r="M333" s="88" t="n">
        <f aca="false">IFERROR(IF(ISNUMBER(INDEX(원자료_잔고!$A$1:$EZ$1500,설정!$L$5+ROW()-1,설정!$L$19)),INDEX(원자료_잔고!$A$1:$EZ$1500,설정!$L$5+ROW()-1,설정!$L$19),""),"")</f>
        <v>-488749.61</v>
      </c>
      <c r="N333" s="83" t="str">
        <f aca="false">IFERROR(IF(INDEX(원자료_잔고!$A$1:$EZ$1500,설정!$L$5+ROW()-1,설정!$L$21)&amp;""="0","",INDEX(원자료_잔고!$A$1:$EZ$1500,설정!$L$5+ROW()-1,설정!$L$21)&amp;""),"")</f>
        <v/>
      </c>
      <c r="O333" s="83" t="str">
        <f aca="false">IFERROR(IF(INDEX(원자료_잔고!$A$1:$EZ$1500,설정!$L$5+ROW()-1,설정!$L$22)&amp;""="0","",INDEX(원자료_잔고!$A$1:$EZ$1500,설정!$L$5+ROW()-1,설정!$L$22)&amp;""),"")</f>
        <v/>
      </c>
      <c r="P333" s="83" t="str">
        <f aca="false">IFERROR(IF(INDEX(원자료_잔고!$A$1:$EZ$1500,설정!$L$5+ROW()-1,설정!$L$23)&amp;""="0","",INDEX(원자료_잔고!$A$1:$EZ$1500,설정!$L$5+ROW()-1,설정!$L$23)&amp;""),"")</f>
        <v>AA+</v>
      </c>
      <c r="Q333" s="89" t="n">
        <f aca="false">IF(AND($A333&lt;&gt;"",ISNUMBER(E333)),IF(E333&gt;0,1,0),0)</f>
        <v>1</v>
      </c>
      <c r="R333" s="43" t="str">
        <f aca="false">IF(Q333=1,UPPER(LEFT($A333,FIND(" ",$A333&amp;" ")-1)),"")</f>
        <v>T</v>
      </c>
      <c r="S333" s="89" t="n">
        <f aca="false">IF(Q333=1,IF(OR(ISNUMBER(SEARCH("Float",$A333)),ISNUMBER(SEARCH("FRN",$A333))),1,0),0)</f>
        <v>0</v>
      </c>
      <c r="T333" s="43" t="str">
        <f aca="false">IF(AND(Q333=1,ISNUMBER(I333)),TEXT(I333,"yyyymmdd")&amp;"|"&amp;IF(S333=1,"F",TEXT(J333,"0.000")),"")</f>
        <v>20360515|4.375</v>
      </c>
      <c r="U333" s="90" t="n">
        <f aca="false">IF(AND(Q333=1,ISNUMBER(I333)),(I333-설정!$C$4)/365.25,"")</f>
        <v>9.6208076659822</v>
      </c>
      <c r="V333" s="43" t="str">
        <f aca="false">IF(Q333&lt;&gt;1,"",IF(ISNUMBER(U333),IF(U333&lt;=1,"1년 이하",IF(U333&lt;=2,"1-2년",IF(U333&lt;=3,"2-3년",IF(U333&lt;=4,"3-4년",IF(U333&lt;=5,"4-5년",IF(U333&lt;=7,"5-7년",IF(U333&lt;=10,"7-10년",IF(U333&lt;=20,"10-20년","20년 이상")))))))),"미분류"))</f>
        <v>7-10년</v>
      </c>
      <c r="W333" s="43" t="str">
        <f aca="false">IF(Q333&lt;&gt;1,"",IF(AB333&lt;&gt;"",INDEX(시장분석!$C:$C,AB333),IF(K333=1,"USD","비USD")))</f>
        <v>USD</v>
      </c>
      <c r="X333" s="91" t="n">
        <f aca="false">IF(Q333=1,E333*K333/1000000,0)</f>
        <v>10</v>
      </c>
      <c r="Y333" s="89" t="n">
        <f aca="false">IF(R333="T",1,0)</f>
        <v>1</v>
      </c>
      <c r="Z333" s="92" t="n">
        <f aca="false">IF(Q333&lt;&gt;1,"",IF(AD333=1,IF(ISNUMBER(U333),MAX(U333,0),H333),H333))</f>
        <v>7.493</v>
      </c>
      <c r="AA333" s="91" t="n">
        <f aca="false">IF(Q333=1,IF(ISNUMBER(L333),L333,0)*K333/1000000,0)</f>
        <v>9.36565</v>
      </c>
      <c r="AB333" s="89" t="n">
        <f aca="false">IF(Q333&lt;&gt;1,"",IFERROR(MATCH(VLOOKUP(B333,매핑!$H$4:$I$15,2,0),시장분석!$A$2:$A$601,0)+1,IFERROR(MATCH(R333&amp;"|"&amp;T333,시장분석!$V$2:$V$601,0)+1,IF(COUNTIF(시장분석!$U$2:$U$601,T333)=1,MATCH(T333,시장분석!$U$2:$U$601,0)+1,""))))</f>
        <v>128</v>
      </c>
      <c r="AC333" s="89" t="n">
        <f aca="false">IF(Q333&lt;&gt;1,0,IF(OR(설정!$C$5="전체",AND(설정!$C$5="선택펀드",IFERROR(COUNTIFS(설정!$F$16:$F$36,C333,설정!$G$16:$G$36,"Y")+COUNTIFS(설정!$F$16:$F$36,VALUE(C333),설정!$G$16:$G$36,"Y"),0)&gt;0),C333&amp;""=설정!$C$5&amp;""),1,0))</f>
        <v>0</v>
      </c>
      <c r="AD333" s="89" t="n">
        <f aca="false">IF(Q333&lt;&gt;1,0,IF(OR(S333=1,IF(AB333="",FALSE(),INDEX(시장분석!$R:$R,AB333)=1)),1,0))</f>
        <v>0</v>
      </c>
      <c r="AE333" s="43" t="str">
        <f aca="false">IF(AB333="","",INDEX(시장분석!$A:$A,AB333))</f>
        <v>T 4 3/8 05/15/36</v>
      </c>
      <c r="AF333" s="93" t="n">
        <f aca="false">IF(AB333="","",IF(ISNUMBER(IF(AB333="","",INDEX(시장분석!$E:$E,AB333))),IF(AB333="","",INDEX(시장분석!$E:$E,AB333)),""))</f>
        <v>-0.024</v>
      </c>
      <c r="AG333" s="43" t="str">
        <f aca="false">IF(Q333&lt;&gt;1,"",IF(AB333&lt;&gt;"",IF(AB333="","",INDEX(시장분석!$L:$L,AB333)),IFERROR(IF(VLOOKUP(R333,매핑!$A$4:$E$92,5,0)="","미분류",VLOOKUP(R333,매핑!$A$4:$E$92,5,0)),"미분류")))</f>
        <v>정부</v>
      </c>
      <c r="AH333" s="43" t="str">
        <f aca="false">IF(Q333&lt;&gt;1,"",IF(AB333&lt;&gt;"",IF(AB333="","",INDEX(시장분석!$N:$N,AB333)),IFERROR(IF(VLOOKUP(R333,매핑!$A$4:$E$92,4,0)="","미분류",VLOOKUP(R333,매핑!$A$4:$E$92,4,0)),"미분류")))</f>
        <v>미국</v>
      </c>
      <c r="AI333" s="43" t="str">
        <f aca="false">IF(Q333&lt;&gt;1,"",IFERROR(IF(VLOOKUP(R333,매핑!$A$4:$E$92,3,0)="","미분류",VLOOKUP(R333,매핑!$A$4:$E$92,3,0)),IF(AB333&lt;&gt;"",IF(AB333="","",INDEX(시장분석!$W:$W,AB333)),"미분류")))</f>
        <v>미국</v>
      </c>
      <c r="AJ333" s="43" t="str">
        <f aca="false">IF(Q333&lt;&gt;1,"",IFERROR(VLOOKUP(IF(N333&lt;&gt;"",N333,IF(P333&lt;&gt;"",P333,O333)),설정!$A$15:$D$47,2,0),""))</f>
        <v>AA+</v>
      </c>
      <c r="AK333" s="43" t="str">
        <f aca="false">IF(Q333&lt;&gt;1,"",IF(AJ333="","무등급",IFERROR(VLOOKUP(AJ333,설정!$A$15:$D$47,3,0),"무등급")))</f>
        <v>AA이상</v>
      </c>
      <c r="AL333" s="89" t="n">
        <f aca="false">IF(AJ333="",99,IFERROR(VLOOKUP(AJ333,설정!$A$15:$D$47,4,0),99))</f>
        <v>2</v>
      </c>
      <c r="AM333" s="94" t="n">
        <f aca="false">IF(ISNUMBER(H333),AA333*1000000*H333/10000,0)</f>
        <v>7017.681545</v>
      </c>
      <c r="AN333" s="94" t="n">
        <f aca="false">IF(OR(Y333=1,NOT(ISNUMBER(Z333))),0,AA333*1000000*Z333/10000)</f>
        <v>0</v>
      </c>
      <c r="AO333" s="94" t="n">
        <f aca="false">IF(ISNUMBER(G333),AA333*1000000*G333/100,0)</f>
        <v>488943.1239</v>
      </c>
      <c r="AP333" s="94" t="n">
        <f aca="false">IF(ISNUMBER(M333),M333*K333,0)</f>
        <v>-488749.61</v>
      </c>
      <c r="AQ333" s="95" t="str">
        <f aca="false">IF(AB333="","",INDEX(시장분석!$AK:$AK,AB333))</f>
        <v/>
      </c>
      <c r="AR333" s="43" t="str">
        <f aca="false">IF(AB333="","-",IF(AB333="","",INDEX(시장분석!$AL:$AL,AB333)))</f>
        <v>-</v>
      </c>
      <c r="AS333" s="96" t="str">
        <f aca="false">IF(AB333="","",INDEX(시장분석!$AJ:$AJ,AB333))</f>
        <v/>
      </c>
      <c r="AT333" s="93" t="n">
        <f aca="false">IF(AB333="",0,IF(AB333="","",INDEX(시장분석!$AN:$AN,AB333)))</f>
        <v>0</v>
      </c>
      <c r="AU333" s="94" t="n">
        <f aca="false">IF(ISNUMBER(Z333),AT333/10000*MAX(Z333-1,0)*AA333*1000000,0)</f>
        <v>0</v>
      </c>
      <c r="AV333" s="94" t="n">
        <f aca="false">AO333+AU333</f>
        <v>488943.1239</v>
      </c>
      <c r="AW333" s="43" t="str">
        <f aca="false">IF(Q333&lt;&gt;1,"",TRIM(IF(AD333=1,"FRN ","")&amp;IF(AND(AL333&gt;=10,AL333&lt;99),"BBB0미만 ","")&amp;IF(AJ333="","등급없음 ","")&amp;IF(K333&lt;&gt;1,"비USD ","")&amp;IF(AND(AB333="",Y333=0),"시장데이터없음 ","")&amp;IF(AND(ISNUMBER(U333),U333&lt;0),"만기경과 ","")))</f>
        <v/>
      </c>
      <c r="AX333" s="90" t="n">
        <f aca="false">IF(Q333&lt;&gt;1,1,IF(스프레드쇼크!$C$4="Y",INDEX(스프레드쇼크!$B$12:$L$16,IFERROR(MATCH(AH333,스프레드쇼크!$A$12:$A$16,0),MATCH("목록외",스프레드쇼크!$A$12:$A$16,0)),IFERROR(MATCH(AG333,스프레드쇼크!$B$11:$L$11,0),MATCH("목록외",스프레드쇼크!$B$11:$L$11,0))),1))</f>
        <v>1</v>
      </c>
      <c r="AY333" s="90" t="n">
        <f aca="false">IF(스프레드쇼크!$C$5="Y",IF(ISNUMBER(AF333),MIN(스프레드쇼크!$C$7,MAX(스프레드쇼크!$C$6,AF333/스프레드쇼크!$C$8)),1),1)</f>
        <v>0.25</v>
      </c>
      <c r="AZ333" s="94" t="n">
        <f aca="false">AN333*AX333*AY333</f>
        <v>0</v>
      </c>
      <c r="BA333" s="90" t="n">
        <f aca="false">IF(ISNUMBER(G333),AA333*G333,0)</f>
        <v>48.89431239</v>
      </c>
      <c r="BB333" s="90" t="n">
        <f aca="false">IF(ISNUMBER(G333),AA333,0)</f>
        <v>9.36565</v>
      </c>
      <c r="BC333" s="90" t="n">
        <f aca="false">IF(AND(Y333=0,ISNUMBER(AF333)),AA333*AF333,0)</f>
        <v>0</v>
      </c>
      <c r="BD333" s="90" t="n">
        <f aca="false">IF(AND(Y333=0,ISNUMBER(AF333)),AA333,0)</f>
        <v>0</v>
      </c>
      <c r="BE333" s="90" t="n">
        <f aca="false">IF(ISNUMBER(H333),AA333*H333,0)</f>
        <v>70.17681545</v>
      </c>
      <c r="BF333" s="90" t="n">
        <f aca="false">IF(ISNUMBER(H333),AA333,0)</f>
        <v>9.36565</v>
      </c>
      <c r="BG333" s="90" t="n">
        <f aca="false">IF(AND(Y333=0,ISNUMBER(AF333),ISNUMBER(Z333)),AA333*Z333,0)</f>
        <v>0</v>
      </c>
      <c r="BH333" s="90" t="n">
        <f aca="false">IF(AND(Y333=0,ISNUMBER(AF333),ISNUMBER(Z333)),AA333*AT333*MAX(Z333-1,0),0)</f>
        <v>0</v>
      </c>
      <c r="BI333" s="90" t="n">
        <f aca="false">IF(Y333=0,AA333,0)</f>
        <v>0</v>
      </c>
    </row>
    <row r="334" customFormat="false" ht="15" hidden="false" customHeight="false" outlineLevel="0" collapsed="false">
      <c r="A334" s="83" t="str">
        <f aca="false">IFERROR(IF(INDEX(원자료_잔고!$A$1:$EZ$1500,설정!$L$5+ROW()-1,설정!$L$8)&amp;""="0","",INDEX(원자료_잔고!$A$1:$EZ$1500,설정!$L$5+ROW()-1,설정!$L$8)&amp;""),"")</f>
        <v>NTT 5.502 07/16/35</v>
      </c>
      <c r="B334" s="83" t="str">
        <f aca="false">IFERROR(IF(INDEX(원자료_잔고!$A$1:$EZ$1500,설정!$L$5+ROW()-1,설정!$L$7)&amp;""="0","",INDEX(원자료_잔고!$A$1:$EZ$1500,설정!$L$5+ROW()-1,설정!$L$7)&amp;""),"")</f>
        <v>USJ5S39RAV63</v>
      </c>
      <c r="C334" s="83" t="str">
        <f aca="false">IFERROR(IF(INDEX(원자료_잔고!$A$1:$EZ$1500,설정!$L$5+ROW()-1,설정!$L$9)&amp;""="0","",INDEX(원자료_잔고!$A$1:$EZ$1500,설정!$L$5+ROW()-1,설정!$L$9)&amp;""),"")</f>
        <v>38088</v>
      </c>
      <c r="D334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34" s="84" t="n">
        <f aca="false">IFERROR(IF(ISNUMBER(INDEX(원자료_잔고!$A$1:$EZ$1500,설정!$L$5+ROW()-1,설정!$L$11)),INDEX(원자료_잔고!$A$1:$EZ$1500,설정!$L$5+ROW()-1,설정!$L$11),""),"")</f>
        <v>5000000</v>
      </c>
      <c r="F334" s="85" t="n">
        <f aca="false">IFERROR(IF(ISNUMBER(INDEX(원자료_잔고!$A$1:$EZ$1500,설정!$L$5+ROW()-1,설정!$L$12)),INDEX(원자료_잔고!$A$1:$EZ$1500,설정!$L$5+ROW()-1,설정!$L$12),""),"")</f>
        <v>94.8313</v>
      </c>
      <c r="G334" s="85" t="n">
        <f aca="false">IFERROR(IF(ISNUMBER(INDEX(원자료_잔고!$A$1:$EZ$1500,설정!$L$5+ROW()-1,설정!$L$13)),INDEX(원자료_잔고!$A$1:$EZ$1500,설정!$L$5+ROW()-1,설정!$L$13),""),"")</f>
        <v>6.2737</v>
      </c>
      <c r="H334" s="85" t="n">
        <f aca="false">IFERROR(IF(ISNUMBER(INDEX(원자료_잔고!$A$1:$EZ$1500,설정!$L$5+ROW()-1,설정!$L$14)),INDEX(원자료_잔고!$A$1:$EZ$1500,설정!$L$5+ROW()-1,설정!$L$14),""),"")</f>
        <v>6.6718</v>
      </c>
      <c r="I334" s="86" t="n">
        <f aca="false">IFERROR(IF(ISNUMBER(INDEX(원자료_잔고!$A$1:$EZ$1500,설정!$L$5+ROW()-1,설정!$L$15)),INDEX(원자료_잔고!$A$1:$EZ$1500,설정!$L$5+ROW()-1,설정!$L$15),""),"")</f>
        <v>49506</v>
      </c>
      <c r="J334" s="85" t="n">
        <f aca="false">IFERROR(IF(ISNUMBER(INDEX(원자료_잔고!$A$1:$EZ$1500,설정!$L$5+ROW()-1,설정!$L$16)),INDEX(원자료_잔고!$A$1:$EZ$1500,설정!$L$5+ROW()-1,설정!$L$16),""),"")</f>
        <v>5.502</v>
      </c>
      <c r="K334" s="87" t="n">
        <f aca="false">IFERROR(IF(ISNUMBER(INDEX(원자료_잔고!$A$1:$EZ$1500,설정!$L$5+ROW()-1,설정!$L$17)),INDEX(원자료_잔고!$A$1:$EZ$1500,설정!$L$5+ROW()-1,설정!$L$17),""),"")</f>
        <v>1</v>
      </c>
      <c r="L334" s="84" t="n">
        <f aca="false">IFERROR(IF(ISNUMBER(INDEX(원자료_잔고!$A$1:$EZ$1500,설정!$L$5+ROW()-1,설정!$L$18)),INDEX(원자료_잔고!$A$1:$EZ$1500,설정!$L$5+ROW()-1,설정!$L$18),""),"")</f>
        <v>4741565</v>
      </c>
      <c r="M334" s="88" t="n">
        <f aca="false">IFERROR(IF(ISNUMBER(INDEX(원자료_잔고!$A$1:$EZ$1500,설정!$L$5+ROW()-1,설정!$L$19)),INDEX(원자료_잔고!$A$1:$EZ$1500,설정!$L$5+ROW()-1,설정!$L$19),""),"")</f>
        <v>-438929.05</v>
      </c>
      <c r="N334" s="83" t="str">
        <f aca="false">IFERROR(IF(INDEX(원자료_잔고!$A$1:$EZ$1500,설정!$L$5+ROW()-1,설정!$L$21)&amp;""="0","",INDEX(원자료_잔고!$A$1:$EZ$1500,설정!$L$5+ROW()-1,설정!$L$21)&amp;""),"")</f>
        <v>BBB+</v>
      </c>
      <c r="O334" s="83" t="str">
        <f aca="false">IFERROR(IF(INDEX(원자료_잔고!$A$1:$EZ$1500,설정!$L$5+ROW()-1,설정!$L$22)&amp;""="0","",INDEX(원자료_잔고!$A$1:$EZ$1500,설정!$L$5+ROW()-1,설정!$L$22)&amp;""),"")</f>
        <v/>
      </c>
      <c r="P334" s="83" t="str">
        <f aca="false">IFERROR(IF(INDEX(원자료_잔고!$A$1:$EZ$1500,설정!$L$5+ROW()-1,설정!$L$23)&amp;""="0","",INDEX(원자료_잔고!$A$1:$EZ$1500,설정!$L$5+ROW()-1,설정!$L$23)&amp;""),"")</f>
        <v>N/A</v>
      </c>
      <c r="Q334" s="89" t="n">
        <f aca="false">IF(AND($A334&lt;&gt;"",ISNUMBER(E334)),IF(E334&gt;0,1,0),0)</f>
        <v>1</v>
      </c>
      <c r="R334" s="43" t="str">
        <f aca="false">IF(Q334=1,UPPER(LEFT($A334,FIND(" ",$A334&amp;" ")-1)),"")</f>
        <v>NTT</v>
      </c>
      <c r="S334" s="89" t="n">
        <f aca="false">IF(Q334=1,IF(OR(ISNUMBER(SEARCH("Float",$A334)),ISNUMBER(SEARCH("FRN",$A334))),1,0),0)</f>
        <v>0</v>
      </c>
      <c r="T334" s="43" t="str">
        <f aca="false">IF(AND(Q334=1,ISNUMBER(I334)),TEXT(I334,"yyyymmdd")&amp;"|"&amp;IF(S334=1,"F",TEXT(J334,"0.000")),"")</f>
        <v>20350716|5.502</v>
      </c>
      <c r="U334" s="90" t="n">
        <f aca="false">IF(AND(Q334=1,ISNUMBER(I334)),(I334-설정!$C$4)/365.25,"")</f>
        <v>8.78850102669404</v>
      </c>
      <c r="V334" s="43" t="str">
        <f aca="false">IF(Q334&lt;&gt;1,"",IF(ISNUMBER(U334),IF(U334&lt;=1,"1년 이하",IF(U334&lt;=2,"1-2년",IF(U334&lt;=3,"2-3년",IF(U334&lt;=4,"3-4년",IF(U334&lt;=5,"4-5년",IF(U334&lt;=7,"5-7년",IF(U334&lt;=10,"7-10년",IF(U334&lt;=20,"10-20년","20년 이상")))))))),"미분류"))</f>
        <v>7-10년</v>
      </c>
      <c r="W334" s="43" t="str">
        <f aca="false">IF(Q334&lt;&gt;1,"",IF(AB334&lt;&gt;"",INDEX(시장분석!$C:$C,AB334),IF(K334=1,"USD","비USD")))</f>
        <v>USD</v>
      </c>
      <c r="X334" s="91" t="n">
        <f aca="false">IF(Q334=1,E334*K334/1000000,0)</f>
        <v>5</v>
      </c>
      <c r="Y334" s="89" t="n">
        <f aca="false">IF(R334="T",1,0)</f>
        <v>0</v>
      </c>
      <c r="Z334" s="92" t="n">
        <f aca="false">IF(Q334&lt;&gt;1,"",IF(AD334=1,IF(ISNUMBER(U334),MAX(U334,0),H334),H334))</f>
        <v>6.6718</v>
      </c>
      <c r="AA334" s="91" t="n">
        <f aca="false">IF(Q334=1,IF(ISNUMBER(L334),L334,0)*K334/1000000,0)</f>
        <v>4.741565</v>
      </c>
      <c r="AB334" s="89" t="n">
        <f aca="false">IF(Q334&lt;&gt;1,"",IFERROR(MATCH(VLOOKUP(B334,매핑!$H$4:$I$15,2,0),시장분석!$A$2:$A$601,0)+1,IFERROR(MATCH(R334&amp;"|"&amp;T334,시장분석!$V$2:$V$601,0)+1,IF(COUNTIF(시장분석!$U$2:$U$601,T334)=1,MATCH(T334,시장분석!$U$2:$U$601,0)+1,""))))</f>
        <v>149</v>
      </c>
      <c r="AC334" s="89" t="n">
        <f aca="false">IF(Q334&lt;&gt;1,0,IF(OR(설정!$C$5="전체",AND(설정!$C$5="선택펀드",IFERROR(COUNTIFS(설정!$F$16:$F$36,C334,설정!$G$16:$G$36,"Y")+COUNTIFS(설정!$F$16:$F$36,VALUE(C334),설정!$G$16:$G$36,"Y"),0)&gt;0),C334&amp;""=설정!$C$5&amp;""),1,0))</f>
        <v>0</v>
      </c>
      <c r="AD334" s="89" t="n">
        <f aca="false">IF(Q334&lt;&gt;1,0,IF(OR(S334=1,IF(AB334="",FALSE(),INDEX(시장분석!$R:$R,AB334)=1)),1,0))</f>
        <v>0</v>
      </c>
      <c r="AE334" s="43" t="str">
        <f aca="false">IF(AB334="","",INDEX(시장분석!$A:$A,AB334))</f>
        <v>NTT 5.502 07/16/35</v>
      </c>
      <c r="AF334" s="93" t="n">
        <f aca="false">IF(AB334="","",IF(ISNUMBER(IF(AB334="","",INDEX(시장분석!$E:$E,AB334))),IF(AB334="","",INDEX(시장분석!$E:$E,AB334)),""))</f>
        <v>104.357</v>
      </c>
      <c r="AG334" s="43" t="str">
        <f aca="false">IF(Q334&lt;&gt;1,"",IF(AB334&lt;&gt;"",IF(AB334="","",INDEX(시장분석!$L:$L,AB334)),IFERROR(IF(VLOOKUP(R334,매핑!$A$4:$E$92,5,0)="","미분류",VLOOKUP(R334,매핑!$A$4:$E$92,5,0)),"미분류")))</f>
        <v>통신</v>
      </c>
      <c r="AH334" s="43" t="str">
        <f aca="false">IF(Q334&lt;&gt;1,"",IF(AB334&lt;&gt;"",IF(AB334="","",INDEX(시장분석!$N:$N,AB334)),IFERROR(IF(VLOOKUP(R334,매핑!$A$4:$E$92,4,0)="","미분류",VLOOKUP(R334,매핑!$A$4:$E$92,4,0)),"미분류")))</f>
        <v>아시아/기타</v>
      </c>
      <c r="AI334" s="43" t="str">
        <f aca="false">IF(Q334&lt;&gt;1,"",IFERROR(IF(VLOOKUP(R334,매핑!$A$4:$E$92,3,0)="","미분류",VLOOKUP(R334,매핑!$A$4:$E$92,3,0)),IF(AB334&lt;&gt;"",IF(AB334="","",INDEX(시장분석!$W:$W,AB334)),"미분류")))</f>
        <v>일본</v>
      </c>
      <c r="AJ334" s="43" t="str">
        <f aca="false">IF(Q334&lt;&gt;1,"",IFERROR(VLOOKUP(IF(N334&lt;&gt;"",N334,IF(P334&lt;&gt;"",P334,O334)),설정!$A$15:$D$47,2,0),""))</f>
        <v>BBB+</v>
      </c>
      <c r="AK334" s="43" t="str">
        <f aca="false">IF(Q334&lt;&gt;1,"",IF(AJ334="","무등급",IFERROR(VLOOKUP(AJ334,설정!$A$15:$D$47,3,0),"무등급")))</f>
        <v>BBB</v>
      </c>
      <c r="AL334" s="89" t="n">
        <f aca="false">IF(AJ334="",99,IFERROR(VLOOKUP(AJ334,설정!$A$15:$D$47,4,0),99))</f>
        <v>8</v>
      </c>
      <c r="AM334" s="94" t="n">
        <f aca="false">IF(ISNUMBER(H334),AA334*1000000*H334/10000,0)</f>
        <v>3163.4773367</v>
      </c>
      <c r="AN334" s="94" t="n">
        <f aca="false">IF(OR(Y334=1,NOT(ISNUMBER(Z334))),0,AA334*1000000*Z334/10000)</f>
        <v>3163.4773367</v>
      </c>
      <c r="AO334" s="94" t="n">
        <f aca="false">IF(ISNUMBER(G334),AA334*1000000*G334/100,0)</f>
        <v>297471.563405</v>
      </c>
      <c r="AP334" s="94" t="n">
        <f aca="false">IF(ISNUMBER(M334),M334*K334,0)</f>
        <v>-438929.05</v>
      </c>
      <c r="AQ334" s="95" t="n">
        <f aca="false">IF(AB334="","",INDEX(시장분석!$AK:$AK,AB334))</f>
        <v>0.541874019938492</v>
      </c>
      <c r="AR334" s="43" t="str">
        <f aca="false">IF(AB334="","-",IF(AB334="","",INDEX(시장분석!$AL:$AL,AB334)))</f>
        <v>Fair</v>
      </c>
      <c r="AS334" s="96" t="n">
        <f aca="false">IF(AB334="","",INDEX(시장분석!$AJ:$AJ,AB334))</f>
        <v>8.3764551133024</v>
      </c>
      <c r="AT334" s="93" t="n">
        <f aca="false">IF(AB334="",0,IF(AB334="","",INDEX(시장분석!$AN:$AN,AB334)))</f>
        <v>6.10255589012423</v>
      </c>
      <c r="AU334" s="94" t="n">
        <f aca="false">IF(ISNUMBER(Z334),AT334/10000*MAX(Z334-1,0)*AA334*1000000,0)</f>
        <v>16411.7307124374</v>
      </c>
      <c r="AV334" s="94" t="n">
        <f aca="false">AO334+AU334</f>
        <v>313883.294117437</v>
      </c>
      <c r="AW334" s="43" t="str">
        <f aca="false">IF(Q334&lt;&gt;1,"",TRIM(IF(AD334=1,"FRN ","")&amp;IF(AND(AL334&gt;=10,AL334&lt;99),"BBB0미만 ","")&amp;IF(AJ334="","등급없음 ","")&amp;IF(K334&lt;&gt;1,"비USD ","")&amp;IF(AND(AB334="",Y334=0),"시장데이터없음 ","")&amp;IF(AND(ISNUMBER(U334),U334&lt;0),"만기경과 ","")))</f>
        <v/>
      </c>
      <c r="AX334" s="90" t="n">
        <f aca="false">IF(Q334&lt;&gt;1,1,IF(스프레드쇼크!$C$4="Y",INDEX(스프레드쇼크!$B$12:$L$16,IFERROR(MATCH(AH334,스프레드쇼크!$A$12:$A$16,0),MATCH("목록외",스프레드쇼크!$A$12:$A$16,0)),IFERROR(MATCH(AG334,스프레드쇼크!$B$11:$L$11,0),MATCH("목록외",스프레드쇼크!$B$11:$L$11,0))),1))</f>
        <v>1</v>
      </c>
      <c r="AY334" s="90" t="n">
        <f aca="false">IF(스프레드쇼크!$C$5="Y",IF(ISNUMBER(AF334),MIN(스프레드쇼크!$C$7,MAX(스프레드쇼크!$C$6,AF334/스프레드쇼크!$C$8)),1),1)</f>
        <v>1.5784401245574</v>
      </c>
      <c r="AZ334" s="94" t="n">
        <f aca="false">AN334*AX334*AY334</f>
        <v>4993.35956137527</v>
      </c>
      <c r="BA334" s="90" t="n">
        <f aca="false">IF(ISNUMBER(G334),AA334*G334,0)</f>
        <v>29.7471563405</v>
      </c>
      <c r="BB334" s="90" t="n">
        <f aca="false">IF(ISNUMBER(G334),AA334,0)</f>
        <v>4.741565</v>
      </c>
      <c r="BC334" s="90" t="n">
        <f aca="false">IF(AND(Y334=0,ISNUMBER(AF334)),AA334*AF334,0)</f>
        <v>494.815498705</v>
      </c>
      <c r="BD334" s="90" t="n">
        <f aca="false">IF(AND(Y334=0,ISNUMBER(AF334)),AA334,0)</f>
        <v>4.741565</v>
      </c>
      <c r="BE334" s="90" t="n">
        <f aca="false">IF(ISNUMBER(H334),AA334*H334,0)</f>
        <v>31.634773367</v>
      </c>
      <c r="BF334" s="90" t="n">
        <f aca="false">IF(ISNUMBER(H334),AA334,0)</f>
        <v>4.741565</v>
      </c>
      <c r="BG334" s="90" t="n">
        <f aca="false">IF(AND(Y334=0,ISNUMBER(AF334),ISNUMBER(Z334)),AA334*Z334,0)</f>
        <v>31.634773367</v>
      </c>
      <c r="BH334" s="90" t="n">
        <f aca="false">IF(AND(Y334=0,ISNUMBER(AF334),ISNUMBER(Z334)),AA334*AT334*MAX(Z334-1,0),0)</f>
        <v>164.117307124374</v>
      </c>
      <c r="BI334" s="90" t="n">
        <f aca="false">IF(Y334=0,AA334,0)</f>
        <v>4.741565</v>
      </c>
    </row>
    <row r="335" customFormat="false" ht="15" hidden="false" customHeight="false" outlineLevel="0" collapsed="false">
      <c r="A335" s="83" t="str">
        <f aca="false">IFERROR(IF(INDEX(원자료_잔고!$A$1:$EZ$1500,설정!$L$5+ROW()-1,설정!$L$8)&amp;""="0","",INDEX(원자료_잔고!$A$1:$EZ$1500,설정!$L$5+ROW()-1,설정!$L$8)&amp;""),"")</f>
        <v>LGENSO 5.875 04/02/35</v>
      </c>
      <c r="B335" s="83" t="str">
        <f aca="false">IFERROR(IF(INDEX(원자료_잔고!$A$1:$EZ$1500,설정!$L$5+ROW()-1,설정!$L$7)&amp;""="0","",INDEX(원자료_잔고!$A$1:$EZ$1500,설정!$L$5+ROW()-1,설정!$L$7)&amp;""),"")</f>
        <v>USY5S5CGAR36</v>
      </c>
      <c r="C335" s="83" t="str">
        <f aca="false">IFERROR(IF(INDEX(원자료_잔고!$A$1:$EZ$1500,설정!$L$5+ROW()-1,설정!$L$9)&amp;""="0","",INDEX(원자료_잔고!$A$1:$EZ$1500,설정!$L$5+ROW()-1,설정!$L$9)&amp;""),"")</f>
        <v>38088</v>
      </c>
      <c r="D335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35" s="84" t="n">
        <f aca="false">IFERROR(IF(ISNUMBER(INDEX(원자료_잔고!$A$1:$EZ$1500,설정!$L$5+ROW()-1,설정!$L$11)),INDEX(원자료_잔고!$A$1:$EZ$1500,설정!$L$5+ROW()-1,설정!$L$11),""),"")</f>
        <v>3000000</v>
      </c>
      <c r="F335" s="85" t="n">
        <f aca="false">IFERROR(IF(ISNUMBER(INDEX(원자료_잔고!$A$1:$EZ$1500,설정!$L$5+ROW()-1,설정!$L$12)),INDEX(원자료_잔고!$A$1:$EZ$1500,설정!$L$5+ROW()-1,설정!$L$12),""),"")</f>
        <v>96.2059</v>
      </c>
      <c r="G335" s="85" t="n">
        <f aca="false">IFERROR(IF(ISNUMBER(INDEX(원자료_잔고!$A$1:$EZ$1500,설정!$L$5+ROW()-1,설정!$L$13)),INDEX(원자료_잔고!$A$1:$EZ$1500,설정!$L$5+ROW()-1,설정!$L$13),""),"")</f>
        <v>6.4614</v>
      </c>
      <c r="H335" s="85" t="n">
        <f aca="false">IFERROR(IF(ISNUMBER(INDEX(원자료_잔고!$A$1:$EZ$1500,설정!$L$5+ROW()-1,설정!$L$14)),INDEX(원자료_잔고!$A$1:$EZ$1500,설정!$L$5+ROW()-1,설정!$L$14),""),"")</f>
        <v>6.1793</v>
      </c>
      <c r="I335" s="86" t="n">
        <f aca="false">IFERROR(IF(ISNUMBER(INDEX(원자료_잔고!$A$1:$EZ$1500,설정!$L$5+ROW()-1,설정!$L$15)),INDEX(원자료_잔고!$A$1:$EZ$1500,설정!$L$5+ROW()-1,설정!$L$15),""),"")</f>
        <v>49401</v>
      </c>
      <c r="J335" s="85" t="n">
        <f aca="false">IFERROR(IF(ISNUMBER(INDEX(원자료_잔고!$A$1:$EZ$1500,설정!$L$5+ROW()-1,설정!$L$16)),INDEX(원자료_잔고!$A$1:$EZ$1500,설정!$L$5+ROW()-1,설정!$L$16),""),"")</f>
        <v>5.875</v>
      </c>
      <c r="K335" s="87" t="n">
        <f aca="false">IFERROR(IF(ISNUMBER(INDEX(원자료_잔고!$A$1:$EZ$1500,설정!$L$5+ROW()-1,설정!$L$17)),INDEX(원자료_잔고!$A$1:$EZ$1500,설정!$L$5+ROW()-1,설정!$L$17),""),"")</f>
        <v>1</v>
      </c>
      <c r="L335" s="84" t="n">
        <f aca="false">IFERROR(IF(ISNUMBER(INDEX(원자료_잔고!$A$1:$EZ$1500,설정!$L$5+ROW()-1,설정!$L$18)),INDEX(원자료_잔고!$A$1:$EZ$1500,설정!$L$5+ROW()-1,설정!$L$18),""),"")</f>
        <v>2886177</v>
      </c>
      <c r="M335" s="88" t="n">
        <f aca="false">IFERROR(IF(ISNUMBER(INDEX(원자료_잔고!$A$1:$EZ$1500,설정!$L$5+ROW()-1,설정!$L$19)),INDEX(원자료_잔고!$A$1:$EZ$1500,설정!$L$5+ROW()-1,설정!$L$19),""),"")</f>
        <v>-215195.38</v>
      </c>
      <c r="N335" s="83" t="str">
        <f aca="false">IFERROR(IF(INDEX(원자료_잔고!$A$1:$EZ$1500,설정!$L$5+ROW()-1,설정!$L$21)&amp;""="0","",INDEX(원자료_잔고!$A$1:$EZ$1500,설정!$L$5+ROW()-1,설정!$L$21)&amp;""),"")</f>
        <v>BBB</v>
      </c>
      <c r="O335" s="83" t="str">
        <f aca="false">IFERROR(IF(INDEX(원자료_잔고!$A$1:$EZ$1500,설정!$L$5+ROW()-1,설정!$L$22)&amp;""="0","",INDEX(원자료_잔고!$A$1:$EZ$1500,설정!$L$5+ROW()-1,설정!$L$22)&amp;""),"")</f>
        <v/>
      </c>
      <c r="P335" s="83" t="str">
        <f aca="false">IFERROR(IF(INDEX(원자료_잔고!$A$1:$EZ$1500,설정!$L$5+ROW()-1,설정!$L$23)&amp;""="0","",INDEX(원자료_잔고!$A$1:$EZ$1500,설정!$L$5+ROW()-1,설정!$L$23)&amp;""),"")</f>
        <v>N/A</v>
      </c>
      <c r="Q335" s="89" t="n">
        <f aca="false">IF(AND($A335&lt;&gt;"",ISNUMBER(E335)),IF(E335&gt;0,1,0),0)</f>
        <v>1</v>
      </c>
      <c r="R335" s="43" t="str">
        <f aca="false">IF(Q335=1,UPPER(LEFT($A335,FIND(" ",$A335&amp;" ")-1)),"")</f>
        <v>LGENSO</v>
      </c>
      <c r="S335" s="89" t="n">
        <f aca="false">IF(Q335=1,IF(OR(ISNUMBER(SEARCH("Float",$A335)),ISNUMBER(SEARCH("FRN",$A335))),1,0),0)</f>
        <v>0</v>
      </c>
      <c r="T335" s="43" t="str">
        <f aca="false">IF(AND(Q335=1,ISNUMBER(I335)),TEXT(I335,"yyyymmdd")&amp;"|"&amp;IF(S335=1,"F",TEXT(J335,"0.000")),"")</f>
        <v>20350402|5.875</v>
      </c>
      <c r="U335" s="90" t="n">
        <f aca="false">IF(AND(Q335=1,ISNUMBER(I335)),(I335-설정!$C$4)/365.25,"")</f>
        <v>8.50102669404518</v>
      </c>
      <c r="V335" s="43" t="str">
        <f aca="false">IF(Q335&lt;&gt;1,"",IF(ISNUMBER(U335),IF(U335&lt;=1,"1년 이하",IF(U335&lt;=2,"1-2년",IF(U335&lt;=3,"2-3년",IF(U335&lt;=4,"3-4년",IF(U335&lt;=5,"4-5년",IF(U335&lt;=7,"5-7년",IF(U335&lt;=10,"7-10년",IF(U335&lt;=20,"10-20년","20년 이상")))))))),"미분류"))</f>
        <v>7-10년</v>
      </c>
      <c r="W335" s="43" t="str">
        <f aca="false">IF(Q335&lt;&gt;1,"",IF(AB335&lt;&gt;"",INDEX(시장분석!$C:$C,AB335),IF(K335=1,"USD","비USD")))</f>
        <v>USD</v>
      </c>
      <c r="X335" s="91" t="n">
        <f aca="false">IF(Q335=1,E335*K335/1000000,0)</f>
        <v>3</v>
      </c>
      <c r="Y335" s="89" t="n">
        <f aca="false">IF(R335="T",1,0)</f>
        <v>0</v>
      </c>
      <c r="Z335" s="92" t="n">
        <f aca="false">IF(Q335&lt;&gt;1,"",IF(AD335=1,IF(ISNUMBER(U335),MAX(U335,0),H335),H335))</f>
        <v>6.1793</v>
      </c>
      <c r="AA335" s="91" t="n">
        <f aca="false">IF(Q335=1,IF(ISNUMBER(L335),L335,0)*K335/1000000,0)</f>
        <v>2.886177</v>
      </c>
      <c r="AB335" s="89" t="n">
        <f aca="false">IF(Q335&lt;&gt;1,"",IFERROR(MATCH(VLOOKUP(B335,매핑!$H$4:$I$15,2,0),시장분석!$A$2:$A$601,0)+1,IFERROR(MATCH(R335&amp;"|"&amp;T335,시장분석!$V$2:$V$601,0)+1,IF(COUNTIF(시장분석!$U$2:$U$601,T335)=1,MATCH(T335,시장분석!$U$2:$U$601,0)+1,""))))</f>
        <v>182</v>
      </c>
      <c r="AC335" s="89" t="n">
        <f aca="false">IF(Q335&lt;&gt;1,0,IF(OR(설정!$C$5="전체",AND(설정!$C$5="선택펀드",IFERROR(COUNTIFS(설정!$F$16:$F$36,C335,설정!$G$16:$G$36,"Y")+COUNTIFS(설정!$F$16:$F$36,VALUE(C335),설정!$G$16:$G$36,"Y"),0)&gt;0),C335&amp;""=설정!$C$5&amp;""),1,0))</f>
        <v>0</v>
      </c>
      <c r="AD335" s="89" t="n">
        <f aca="false">IF(Q335&lt;&gt;1,0,IF(OR(S335=1,IF(AB335="",FALSE(),INDEX(시장분석!$R:$R,AB335)=1)),1,0))</f>
        <v>0</v>
      </c>
      <c r="AE335" s="43" t="str">
        <f aca="false">IF(AB335="","",INDEX(시장분석!$A:$A,AB335))</f>
        <v>LGENSO 5 7/8 04/02/35</v>
      </c>
      <c r="AF335" s="93" t="n">
        <f aca="false">IF(AB335="","",IF(ISNUMBER(IF(AB335="","",INDEX(시장분석!$E:$E,AB335))),IF(AB335="","",INDEX(시장분석!$E:$E,AB335)),""))</f>
        <v>123.715</v>
      </c>
      <c r="AG335" s="43" t="str">
        <f aca="false">IF(Q335&lt;&gt;1,"",IF(AB335&lt;&gt;"",IF(AB335="","",INDEX(시장분석!$L:$L,AB335)),IFERROR(IF(VLOOKUP(R335,매핑!$A$4:$E$92,5,0)="","미분류",VLOOKUP(R335,매핑!$A$4:$E$92,5,0)),"미분류")))</f>
        <v>자유 소비재</v>
      </c>
      <c r="AH335" s="43" t="str">
        <f aca="false">IF(Q335&lt;&gt;1,"",IF(AB335&lt;&gt;"",IF(AB335="","",INDEX(시장분석!$N:$N,AB335)),IFERROR(IF(VLOOKUP(R335,매핑!$A$4:$E$92,4,0)="","미분류",VLOOKUP(R335,매핑!$A$4:$E$92,4,0)),"미분류")))</f>
        <v>아시아/기타</v>
      </c>
      <c r="AI335" s="43" t="str">
        <f aca="false">IF(Q335&lt;&gt;1,"",IFERROR(IF(VLOOKUP(R335,매핑!$A$4:$E$92,3,0)="","미분류",VLOOKUP(R335,매핑!$A$4:$E$92,3,0)),IF(AB335&lt;&gt;"",IF(AB335="","",INDEX(시장분석!$W:$W,AB335)),"미분류")))</f>
        <v>한국</v>
      </c>
      <c r="AJ335" s="43" t="str">
        <f aca="false">IF(Q335&lt;&gt;1,"",IFERROR(VLOOKUP(IF(N335&lt;&gt;"",N335,IF(P335&lt;&gt;"",P335,O335)),설정!$A$15:$D$47,2,0),""))</f>
        <v>BBB</v>
      </c>
      <c r="AK335" s="43" t="str">
        <f aca="false">IF(Q335&lt;&gt;1,"",IF(AJ335="","무등급",IFERROR(VLOOKUP(AJ335,설정!$A$15:$D$47,3,0),"무등급")))</f>
        <v>BBB</v>
      </c>
      <c r="AL335" s="89" t="n">
        <f aca="false">IF(AJ335="",99,IFERROR(VLOOKUP(AJ335,설정!$A$15:$D$47,4,0),99))</f>
        <v>9</v>
      </c>
      <c r="AM335" s="94" t="n">
        <f aca="false">IF(ISNUMBER(H335),AA335*1000000*H335/10000,0)</f>
        <v>1783.45535361</v>
      </c>
      <c r="AN335" s="94" t="n">
        <f aca="false">IF(OR(Y335=1,NOT(ISNUMBER(Z335))),0,AA335*1000000*Z335/10000)</f>
        <v>1783.45535361</v>
      </c>
      <c r="AO335" s="94" t="n">
        <f aca="false">IF(ISNUMBER(G335),AA335*1000000*G335/100,0)</f>
        <v>186487.440678</v>
      </c>
      <c r="AP335" s="94" t="n">
        <f aca="false">IF(ISNUMBER(M335),M335*K335,0)</f>
        <v>-215195.38</v>
      </c>
      <c r="AQ335" s="95" t="n">
        <f aca="false">IF(AB335="","",INDEX(시장분석!$AK:$AK,AB335))</f>
        <v>0.582049706944912</v>
      </c>
      <c r="AR335" s="43" t="str">
        <f aca="false">IF(AB335="","-",IF(AB335="","",INDEX(시장분석!$AL:$AL,AB335)))</f>
        <v>Fair</v>
      </c>
      <c r="AS335" s="96" t="n">
        <f aca="false">IF(AB335="","",INDEX(시장분석!$AJ:$AJ,AB335))</f>
        <v>12.0571253108403</v>
      </c>
      <c r="AT335" s="93" t="n">
        <f aca="false">IF(AB335="",0,IF(AB335="","",INDEX(시장분석!$AN:$AN,AB335)))</f>
        <v>6.41212097283842</v>
      </c>
      <c r="AU335" s="94" t="n">
        <f aca="false">IF(ISNUMBER(Z335),AT335/10000*MAX(Z335-1,0)*AA335*1000000,0)</f>
        <v>9585.07986970126</v>
      </c>
      <c r="AV335" s="94" t="n">
        <f aca="false">AO335+AU335</f>
        <v>196072.520547701</v>
      </c>
      <c r="AW335" s="43" t="str">
        <f aca="false">IF(Q335&lt;&gt;1,"",TRIM(IF(AD335=1,"FRN ","")&amp;IF(AND(AL335&gt;=10,AL335&lt;99),"BBB0미만 ","")&amp;IF(AJ335="","등급없음 ","")&amp;IF(K335&lt;&gt;1,"비USD ","")&amp;IF(AND(AB335="",Y335=0),"시장데이터없음 ","")&amp;IF(AND(ISNUMBER(U335),U335&lt;0),"만기경과 ","")))</f>
        <v/>
      </c>
      <c r="AX335" s="90" t="n">
        <f aca="false">IF(Q335&lt;&gt;1,1,IF(스프레드쇼크!$C$4="Y",INDEX(스프레드쇼크!$B$12:$L$16,IFERROR(MATCH(AH335,스프레드쇼크!$A$12:$A$16,0),MATCH("목록외",스프레드쇼크!$A$12:$A$16,0)),IFERROR(MATCH(AG335,스프레드쇼크!$B$11:$L$11,0),MATCH("목록외",스프레드쇼크!$B$11:$L$11,0))),1))</f>
        <v>1</v>
      </c>
      <c r="AY335" s="90" t="n">
        <f aca="false">IF(스프레드쇼크!$C$5="Y",IF(ISNUMBER(AF335),MIN(스프레드쇼크!$C$7,MAX(스프레드쇼크!$C$6,AF335/스프레드쇼크!$C$8)),1),1)</f>
        <v>1.87123738713857</v>
      </c>
      <c r="AZ335" s="94" t="n">
        <f aca="false">AN335*AX335*AY335</f>
        <v>3337.26833596746</v>
      </c>
      <c r="BA335" s="90" t="n">
        <f aca="false">IF(ISNUMBER(G335),AA335*G335,0)</f>
        <v>18.6487440678</v>
      </c>
      <c r="BB335" s="90" t="n">
        <f aca="false">IF(ISNUMBER(G335),AA335,0)</f>
        <v>2.886177</v>
      </c>
      <c r="BC335" s="90" t="n">
        <f aca="false">IF(AND(Y335=0,ISNUMBER(AF335)),AA335*AF335,0)</f>
        <v>357.063387555</v>
      </c>
      <c r="BD335" s="90" t="n">
        <f aca="false">IF(AND(Y335=0,ISNUMBER(AF335)),AA335,0)</f>
        <v>2.886177</v>
      </c>
      <c r="BE335" s="90" t="n">
        <f aca="false">IF(ISNUMBER(H335),AA335*H335,0)</f>
        <v>17.8345535361</v>
      </c>
      <c r="BF335" s="90" t="n">
        <f aca="false">IF(ISNUMBER(H335),AA335,0)</f>
        <v>2.886177</v>
      </c>
      <c r="BG335" s="90" t="n">
        <f aca="false">IF(AND(Y335=0,ISNUMBER(AF335),ISNUMBER(Z335)),AA335*Z335,0)</f>
        <v>17.8345535361</v>
      </c>
      <c r="BH335" s="90" t="n">
        <f aca="false">IF(AND(Y335=0,ISNUMBER(AF335),ISNUMBER(Z335)),AA335*AT335*MAX(Z335-1,0),0)</f>
        <v>95.8507986970126</v>
      </c>
      <c r="BI335" s="90" t="n">
        <f aca="false">IF(Y335=0,AA335,0)</f>
        <v>2.886177</v>
      </c>
    </row>
    <row r="336" customFormat="false" ht="15" hidden="false" customHeight="false" outlineLevel="0" collapsed="false">
      <c r="A336" s="83" t="str">
        <f aca="false">IFERROR(IF(INDEX(원자료_잔고!$A$1:$EZ$1500,설정!$L$5+ROW()-1,설정!$L$8)&amp;""="0","",INDEX(원자료_잔고!$A$1:$EZ$1500,설정!$L$5+ROW()-1,설정!$L$8)&amp;""),"")</f>
        <v>LGENSO 5.875 04/02/35</v>
      </c>
      <c r="B336" s="83" t="str">
        <f aca="false">IFERROR(IF(INDEX(원자료_잔고!$A$1:$EZ$1500,설정!$L$5+ROW()-1,설정!$L$7)&amp;""="0","",INDEX(원자료_잔고!$A$1:$EZ$1500,설정!$L$5+ROW()-1,설정!$L$7)&amp;""),"")</f>
        <v>USY5S5CGAR36</v>
      </c>
      <c r="C336" s="83" t="str">
        <f aca="false">IFERROR(IF(INDEX(원자료_잔고!$A$1:$EZ$1500,설정!$L$5+ROW()-1,설정!$L$9)&amp;""="0","",INDEX(원자료_잔고!$A$1:$EZ$1500,설정!$L$5+ROW()-1,설정!$L$9)&amp;""),"")</f>
        <v>38088</v>
      </c>
      <c r="D336" s="83" t="str">
        <f aca="false">IFERROR(IF(INDEX(원자료_잔고!$A$1:$EZ$1500,설정!$L$5+ROW()-1,설정!$L$10)&amp;""="0","",INDEX(원자료_잔고!$A$1:$EZ$1500,설정!$L$5+ROW()-1,설정!$L$10)&amp;""),"")</f>
        <v>기타포괄손익</v>
      </c>
      <c r="E336" s="84" t="n">
        <f aca="false">IFERROR(IF(ISNUMBER(INDEX(원자료_잔고!$A$1:$EZ$1500,설정!$L$5+ROW()-1,설정!$L$11)),INDEX(원자료_잔고!$A$1:$EZ$1500,설정!$L$5+ROW()-1,설정!$L$11),""),"")</f>
        <v>2000000</v>
      </c>
      <c r="F336" s="85" t="n">
        <f aca="false">IFERROR(IF(ISNUMBER(INDEX(원자료_잔고!$A$1:$EZ$1500,설정!$L$5+ROW()-1,설정!$L$12)),INDEX(원자료_잔고!$A$1:$EZ$1500,설정!$L$5+ROW()-1,설정!$L$12),""),"")</f>
        <v>96.2059</v>
      </c>
      <c r="G336" s="85" t="n">
        <f aca="false">IFERROR(IF(ISNUMBER(INDEX(원자료_잔고!$A$1:$EZ$1500,설정!$L$5+ROW()-1,설정!$L$13)),INDEX(원자료_잔고!$A$1:$EZ$1500,설정!$L$5+ROW()-1,설정!$L$13),""),"")</f>
        <v>6.4614</v>
      </c>
      <c r="H336" s="85" t="n">
        <f aca="false">IFERROR(IF(ISNUMBER(INDEX(원자료_잔고!$A$1:$EZ$1500,설정!$L$5+ROW()-1,설정!$L$14)),INDEX(원자료_잔고!$A$1:$EZ$1500,설정!$L$5+ROW()-1,설정!$L$14),""),"")</f>
        <v>6.1793</v>
      </c>
      <c r="I336" s="86" t="n">
        <f aca="false">IFERROR(IF(ISNUMBER(INDEX(원자료_잔고!$A$1:$EZ$1500,설정!$L$5+ROW()-1,설정!$L$15)),INDEX(원자료_잔고!$A$1:$EZ$1500,설정!$L$5+ROW()-1,설정!$L$15),""),"")</f>
        <v>49401</v>
      </c>
      <c r="J336" s="85" t="n">
        <f aca="false">IFERROR(IF(ISNUMBER(INDEX(원자료_잔고!$A$1:$EZ$1500,설정!$L$5+ROW()-1,설정!$L$16)),INDEX(원자료_잔고!$A$1:$EZ$1500,설정!$L$5+ROW()-1,설정!$L$16),""),"")</f>
        <v>5.875</v>
      </c>
      <c r="K336" s="87" t="n">
        <f aca="false">IFERROR(IF(ISNUMBER(INDEX(원자료_잔고!$A$1:$EZ$1500,설정!$L$5+ROW()-1,설정!$L$17)),INDEX(원자료_잔고!$A$1:$EZ$1500,설정!$L$5+ROW()-1,설정!$L$17),""),"")</f>
        <v>1</v>
      </c>
      <c r="L336" s="84" t="n">
        <f aca="false">IFERROR(IF(ISNUMBER(INDEX(원자료_잔고!$A$1:$EZ$1500,설정!$L$5+ROW()-1,설정!$L$18)),INDEX(원자료_잔고!$A$1:$EZ$1500,설정!$L$5+ROW()-1,설정!$L$18),""),"")</f>
        <v>1924118</v>
      </c>
      <c r="M336" s="88" t="n">
        <f aca="false">IFERROR(IF(ISNUMBER(INDEX(원자료_잔고!$A$1:$EZ$1500,설정!$L$5+ROW()-1,설정!$L$19)),INDEX(원자료_잔고!$A$1:$EZ$1500,설정!$L$5+ROW()-1,설정!$L$19),""),"")</f>
        <v>-143403.3</v>
      </c>
      <c r="N336" s="83" t="str">
        <f aca="false">IFERROR(IF(INDEX(원자료_잔고!$A$1:$EZ$1500,설정!$L$5+ROW()-1,설정!$L$21)&amp;""="0","",INDEX(원자료_잔고!$A$1:$EZ$1500,설정!$L$5+ROW()-1,설정!$L$21)&amp;""),"")</f>
        <v>BBB</v>
      </c>
      <c r="O336" s="83" t="str">
        <f aca="false">IFERROR(IF(INDEX(원자료_잔고!$A$1:$EZ$1500,설정!$L$5+ROW()-1,설정!$L$22)&amp;""="0","",INDEX(원자료_잔고!$A$1:$EZ$1500,설정!$L$5+ROW()-1,설정!$L$22)&amp;""),"")</f>
        <v/>
      </c>
      <c r="P336" s="83" t="str">
        <f aca="false">IFERROR(IF(INDEX(원자료_잔고!$A$1:$EZ$1500,설정!$L$5+ROW()-1,설정!$L$23)&amp;""="0","",INDEX(원자료_잔고!$A$1:$EZ$1500,설정!$L$5+ROW()-1,설정!$L$23)&amp;""),"")</f>
        <v>N/A</v>
      </c>
      <c r="Q336" s="89" t="n">
        <f aca="false">IF(AND($A336&lt;&gt;"",ISNUMBER(E336)),IF(E336&gt;0,1,0),0)</f>
        <v>1</v>
      </c>
      <c r="R336" s="43" t="str">
        <f aca="false">IF(Q336=1,UPPER(LEFT($A336,FIND(" ",$A336&amp;" ")-1)),"")</f>
        <v>LGENSO</v>
      </c>
      <c r="S336" s="89" t="n">
        <f aca="false">IF(Q336=1,IF(OR(ISNUMBER(SEARCH("Float",$A336)),ISNUMBER(SEARCH("FRN",$A336))),1,0),0)</f>
        <v>0</v>
      </c>
      <c r="T336" s="43" t="str">
        <f aca="false">IF(AND(Q336=1,ISNUMBER(I336)),TEXT(I336,"yyyymmdd")&amp;"|"&amp;IF(S336=1,"F",TEXT(J336,"0.000")),"")</f>
        <v>20350402|5.875</v>
      </c>
      <c r="U336" s="90" t="n">
        <f aca="false">IF(AND(Q336=1,ISNUMBER(I336)),(I336-설정!$C$4)/365.25,"")</f>
        <v>8.50102669404518</v>
      </c>
      <c r="V336" s="43" t="str">
        <f aca="false">IF(Q336&lt;&gt;1,"",IF(ISNUMBER(U336),IF(U336&lt;=1,"1년 이하",IF(U336&lt;=2,"1-2년",IF(U336&lt;=3,"2-3년",IF(U336&lt;=4,"3-4년",IF(U336&lt;=5,"4-5년",IF(U336&lt;=7,"5-7년",IF(U336&lt;=10,"7-10년",IF(U336&lt;=20,"10-20년","20년 이상")))))))),"미분류"))</f>
        <v>7-10년</v>
      </c>
      <c r="W336" s="43" t="str">
        <f aca="false">IF(Q336&lt;&gt;1,"",IF(AB336&lt;&gt;"",INDEX(시장분석!$C:$C,AB336),IF(K336=1,"USD","비USD")))</f>
        <v>USD</v>
      </c>
      <c r="X336" s="91" t="n">
        <f aca="false">IF(Q336=1,E336*K336/1000000,0)</f>
        <v>2</v>
      </c>
      <c r="Y336" s="89" t="n">
        <f aca="false">IF(R336="T",1,0)</f>
        <v>0</v>
      </c>
      <c r="Z336" s="92" t="n">
        <f aca="false">IF(Q336&lt;&gt;1,"",IF(AD336=1,IF(ISNUMBER(U336),MAX(U336,0),H336),H336))</f>
        <v>6.1793</v>
      </c>
      <c r="AA336" s="91" t="n">
        <f aca="false">IF(Q336=1,IF(ISNUMBER(L336),L336,0)*K336/1000000,0)</f>
        <v>1.924118</v>
      </c>
      <c r="AB336" s="89" t="n">
        <f aca="false">IF(Q336&lt;&gt;1,"",IFERROR(MATCH(VLOOKUP(B336,매핑!$H$4:$I$15,2,0),시장분석!$A$2:$A$601,0)+1,IFERROR(MATCH(R336&amp;"|"&amp;T336,시장분석!$V$2:$V$601,0)+1,IF(COUNTIF(시장분석!$U$2:$U$601,T336)=1,MATCH(T336,시장분석!$U$2:$U$601,0)+1,""))))</f>
        <v>182</v>
      </c>
      <c r="AC336" s="89" t="n">
        <f aca="false">IF(Q336&lt;&gt;1,0,IF(OR(설정!$C$5="전체",AND(설정!$C$5="선택펀드",IFERROR(COUNTIFS(설정!$F$16:$F$36,C336,설정!$G$16:$G$36,"Y")+COUNTIFS(설정!$F$16:$F$36,VALUE(C336),설정!$G$16:$G$36,"Y"),0)&gt;0),C336&amp;""=설정!$C$5&amp;""),1,0))</f>
        <v>0</v>
      </c>
      <c r="AD336" s="89" t="n">
        <f aca="false">IF(Q336&lt;&gt;1,0,IF(OR(S336=1,IF(AB336="",FALSE(),INDEX(시장분석!$R:$R,AB336)=1)),1,0))</f>
        <v>0</v>
      </c>
      <c r="AE336" s="43" t="str">
        <f aca="false">IF(AB336="","",INDEX(시장분석!$A:$A,AB336))</f>
        <v>LGENSO 5 7/8 04/02/35</v>
      </c>
      <c r="AF336" s="93" t="n">
        <f aca="false">IF(AB336="","",IF(ISNUMBER(IF(AB336="","",INDEX(시장분석!$E:$E,AB336))),IF(AB336="","",INDEX(시장분석!$E:$E,AB336)),""))</f>
        <v>123.715</v>
      </c>
      <c r="AG336" s="43" t="str">
        <f aca="false">IF(Q336&lt;&gt;1,"",IF(AB336&lt;&gt;"",IF(AB336="","",INDEX(시장분석!$L:$L,AB336)),IFERROR(IF(VLOOKUP(R336,매핑!$A$4:$E$92,5,0)="","미분류",VLOOKUP(R336,매핑!$A$4:$E$92,5,0)),"미분류")))</f>
        <v>자유 소비재</v>
      </c>
      <c r="AH336" s="43" t="str">
        <f aca="false">IF(Q336&lt;&gt;1,"",IF(AB336&lt;&gt;"",IF(AB336="","",INDEX(시장분석!$N:$N,AB336)),IFERROR(IF(VLOOKUP(R336,매핑!$A$4:$E$92,4,0)="","미분류",VLOOKUP(R336,매핑!$A$4:$E$92,4,0)),"미분류")))</f>
        <v>아시아/기타</v>
      </c>
      <c r="AI336" s="43" t="str">
        <f aca="false">IF(Q336&lt;&gt;1,"",IFERROR(IF(VLOOKUP(R336,매핑!$A$4:$E$92,3,0)="","미분류",VLOOKUP(R336,매핑!$A$4:$E$92,3,0)),IF(AB336&lt;&gt;"",IF(AB336="","",INDEX(시장분석!$W:$W,AB336)),"미분류")))</f>
        <v>한국</v>
      </c>
      <c r="AJ336" s="43" t="str">
        <f aca="false">IF(Q336&lt;&gt;1,"",IFERROR(VLOOKUP(IF(N336&lt;&gt;"",N336,IF(P336&lt;&gt;"",P336,O336)),설정!$A$15:$D$47,2,0),""))</f>
        <v>BBB</v>
      </c>
      <c r="AK336" s="43" t="str">
        <f aca="false">IF(Q336&lt;&gt;1,"",IF(AJ336="","무등급",IFERROR(VLOOKUP(AJ336,설정!$A$15:$D$47,3,0),"무등급")))</f>
        <v>BBB</v>
      </c>
      <c r="AL336" s="89" t="n">
        <f aca="false">IF(AJ336="",99,IFERROR(VLOOKUP(AJ336,설정!$A$15:$D$47,4,0),99))</f>
        <v>9</v>
      </c>
      <c r="AM336" s="94" t="n">
        <f aca="false">IF(ISNUMBER(H336),AA336*1000000*H336/10000,0)</f>
        <v>1188.97023574</v>
      </c>
      <c r="AN336" s="94" t="n">
        <f aca="false">IF(OR(Y336=1,NOT(ISNUMBER(Z336))),0,AA336*1000000*Z336/10000)</f>
        <v>1188.97023574</v>
      </c>
      <c r="AO336" s="94" t="n">
        <f aca="false">IF(ISNUMBER(G336),AA336*1000000*G336/100,0)</f>
        <v>124324.960452</v>
      </c>
      <c r="AP336" s="94" t="n">
        <f aca="false">IF(ISNUMBER(M336),M336*K336,0)</f>
        <v>-143403.3</v>
      </c>
      <c r="AQ336" s="95" t="n">
        <f aca="false">IF(AB336="","",INDEX(시장분석!$AK:$AK,AB336))</f>
        <v>0.582049706944912</v>
      </c>
      <c r="AR336" s="43" t="str">
        <f aca="false">IF(AB336="","-",IF(AB336="","",INDEX(시장분석!$AL:$AL,AB336)))</f>
        <v>Fair</v>
      </c>
      <c r="AS336" s="96" t="n">
        <f aca="false">IF(AB336="","",INDEX(시장분석!$AJ:$AJ,AB336))</f>
        <v>12.0571253108403</v>
      </c>
      <c r="AT336" s="93" t="n">
        <f aca="false">IF(AB336="",0,IF(AB336="","",INDEX(시장분석!$AN:$AN,AB336)))</f>
        <v>6.41212097283842</v>
      </c>
      <c r="AU336" s="94" t="n">
        <f aca="false">IF(ISNUMBER(Z336),AT336/10000*MAX(Z336-1,0)*AA336*1000000,0)</f>
        <v>6390.0532464675</v>
      </c>
      <c r="AV336" s="94" t="n">
        <f aca="false">AO336+AU336</f>
        <v>130715.013698468</v>
      </c>
      <c r="AW336" s="43" t="str">
        <f aca="false">IF(Q336&lt;&gt;1,"",TRIM(IF(AD336=1,"FRN ","")&amp;IF(AND(AL336&gt;=10,AL336&lt;99),"BBB0미만 ","")&amp;IF(AJ336="","등급없음 ","")&amp;IF(K336&lt;&gt;1,"비USD ","")&amp;IF(AND(AB336="",Y336=0),"시장데이터없음 ","")&amp;IF(AND(ISNUMBER(U336),U336&lt;0),"만기경과 ","")))</f>
        <v/>
      </c>
      <c r="AX336" s="90" t="n">
        <f aca="false">IF(Q336&lt;&gt;1,1,IF(스프레드쇼크!$C$4="Y",INDEX(스프레드쇼크!$B$12:$L$16,IFERROR(MATCH(AH336,스프레드쇼크!$A$12:$A$16,0),MATCH("목록외",스프레드쇼크!$A$12:$A$16,0)),IFERROR(MATCH(AG336,스프레드쇼크!$B$11:$L$11,0),MATCH("목록외",스프레드쇼크!$B$11:$L$11,0))),1))</f>
        <v>1</v>
      </c>
      <c r="AY336" s="90" t="n">
        <f aca="false">IF(스프레드쇼크!$C$5="Y",IF(ISNUMBER(AF336),MIN(스프레드쇼크!$C$7,MAX(스프레드쇼크!$C$6,AF336/스프레드쇼크!$C$8)),1),1)</f>
        <v>1.87123738713857</v>
      </c>
      <c r="AZ336" s="94" t="n">
        <f aca="false">AN336*AX336*AY336</f>
        <v>2224.84555731164</v>
      </c>
      <c r="BA336" s="90" t="n">
        <f aca="false">IF(ISNUMBER(G336),AA336*G336,0)</f>
        <v>12.4324960452</v>
      </c>
      <c r="BB336" s="90" t="n">
        <f aca="false">IF(ISNUMBER(G336),AA336,0)</f>
        <v>1.924118</v>
      </c>
      <c r="BC336" s="90" t="n">
        <f aca="false">IF(AND(Y336=0,ISNUMBER(AF336)),AA336*AF336,0)</f>
        <v>238.04225837</v>
      </c>
      <c r="BD336" s="90" t="n">
        <f aca="false">IF(AND(Y336=0,ISNUMBER(AF336)),AA336,0)</f>
        <v>1.924118</v>
      </c>
      <c r="BE336" s="90" t="n">
        <f aca="false">IF(ISNUMBER(H336),AA336*H336,0)</f>
        <v>11.8897023574</v>
      </c>
      <c r="BF336" s="90" t="n">
        <f aca="false">IF(ISNUMBER(H336),AA336,0)</f>
        <v>1.924118</v>
      </c>
      <c r="BG336" s="90" t="n">
        <f aca="false">IF(AND(Y336=0,ISNUMBER(AF336),ISNUMBER(Z336)),AA336*Z336,0)</f>
        <v>11.8897023574</v>
      </c>
      <c r="BH336" s="90" t="n">
        <f aca="false">IF(AND(Y336=0,ISNUMBER(AF336),ISNUMBER(Z336)),AA336*AT336*MAX(Z336-1,0),0)</f>
        <v>63.900532464675</v>
      </c>
      <c r="BI336" s="90" t="n">
        <f aca="false">IF(Y336=0,AA336,0)</f>
        <v>1.924118</v>
      </c>
    </row>
    <row r="337" customFormat="false" ht="15" hidden="false" customHeight="false" outlineLevel="0" collapsed="false">
      <c r="A337" s="83" t="str">
        <f aca="false">IFERROR(IF(INDEX(원자료_잔고!$A$1:$EZ$1500,설정!$L$5+ROW()-1,설정!$L$8)&amp;""="0","",INDEX(원자료_잔고!$A$1:$EZ$1500,설정!$L$5+ROW()-1,설정!$L$8)&amp;""),"")</f>
        <v>TD 3.631 12/13/29</v>
      </c>
      <c r="B337" s="83" t="str">
        <f aca="false">IFERROR(IF(INDEX(원자료_잔고!$A$1:$EZ$1500,설정!$L$5+ROW()-1,설정!$L$7)&amp;""="0","",INDEX(원자료_잔고!$A$1:$EZ$1500,설정!$L$5+ROW()-1,설정!$L$7)&amp;""),"")</f>
        <v>XS2565831943</v>
      </c>
      <c r="C337" s="83" t="str">
        <f aca="false">IFERROR(IF(INDEX(원자료_잔고!$A$1:$EZ$1500,설정!$L$5+ROW()-1,설정!$L$9)&amp;""="0","",INDEX(원자료_잔고!$A$1:$EZ$1500,설정!$L$5+ROW()-1,설정!$L$9)&amp;""),"")</f>
        <v>38167</v>
      </c>
      <c r="D33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37" s="84" t="n">
        <f aca="false">IFERROR(IF(ISNUMBER(INDEX(원자료_잔고!$A$1:$EZ$1500,설정!$L$5+ROW()-1,설정!$L$11)),INDEX(원자료_잔고!$A$1:$EZ$1500,설정!$L$5+ROW()-1,설정!$L$11),""),"")</f>
        <v>5000000</v>
      </c>
      <c r="F337" s="85" t="n">
        <f aca="false">IFERROR(IF(ISNUMBER(INDEX(원자료_잔고!$A$1:$EZ$1500,설정!$L$5+ROW()-1,설정!$L$12)),INDEX(원자료_잔고!$A$1:$EZ$1500,설정!$L$5+ROW()-1,설정!$L$12),""),"")</f>
        <v>98.6829</v>
      </c>
      <c r="G337" s="85" t="n">
        <f aca="false">IFERROR(IF(ISNUMBER(INDEX(원자료_잔고!$A$1:$EZ$1500,설정!$L$5+ROW()-1,설정!$L$13)),INDEX(원자료_잔고!$A$1:$EZ$1500,설정!$L$5+ROW()-1,설정!$L$13),""),"")</f>
        <v>4.0725</v>
      </c>
      <c r="H337" s="85" t="n">
        <f aca="false">IFERROR(IF(ISNUMBER(INDEX(원자료_잔고!$A$1:$EZ$1500,설정!$L$5+ROW()-1,설정!$L$14)),INDEX(원자료_잔고!$A$1:$EZ$1500,설정!$L$5+ROW()-1,설정!$L$14),""),"")</f>
        <v>2.8412</v>
      </c>
      <c r="I337" s="86" t="n">
        <f aca="false">IFERROR(IF(ISNUMBER(INDEX(원자료_잔고!$A$1:$EZ$1500,설정!$L$5+ROW()-1,설정!$L$15)),INDEX(원자료_잔고!$A$1:$EZ$1500,설정!$L$5+ROW()-1,설정!$L$15),""),"")</f>
        <v>47464</v>
      </c>
      <c r="J337" s="85" t="n">
        <f aca="false">IFERROR(IF(ISNUMBER(INDEX(원자료_잔고!$A$1:$EZ$1500,설정!$L$5+ROW()-1,설정!$L$16)),INDEX(원자료_잔고!$A$1:$EZ$1500,설정!$L$5+ROW()-1,설정!$L$16),""),"")</f>
        <v>3.631</v>
      </c>
      <c r="K337" s="87" t="n">
        <f aca="false">IFERROR(IF(ISNUMBER(INDEX(원자료_잔고!$A$1:$EZ$1500,설정!$L$5+ROW()-1,설정!$L$17)),INDEX(원자료_잔고!$A$1:$EZ$1500,설정!$L$5+ROW()-1,설정!$L$17),""),"")</f>
        <v>1.1339</v>
      </c>
      <c r="L337" s="84" t="n">
        <f aca="false">IFERROR(IF(ISNUMBER(INDEX(원자료_잔고!$A$1:$EZ$1500,설정!$L$5+ROW()-1,설정!$L$18)),INDEX(원자료_잔고!$A$1:$EZ$1500,설정!$L$5+ROW()-1,설정!$L$18),""),"")</f>
        <v>4934145</v>
      </c>
      <c r="M337" s="88" t="n">
        <f aca="false">IFERROR(IF(ISNUMBER(INDEX(원자료_잔고!$A$1:$EZ$1500,설정!$L$5+ROW()-1,설정!$L$19)),INDEX(원자료_잔고!$A$1:$EZ$1500,설정!$L$5+ROW()-1,설정!$L$19),""),"")</f>
        <v>-187655</v>
      </c>
      <c r="N337" s="83" t="str">
        <f aca="false">IFERROR(IF(INDEX(원자료_잔고!$A$1:$EZ$1500,설정!$L$5+ROW()-1,설정!$L$21)&amp;""="0","",INDEX(원자료_잔고!$A$1:$EZ$1500,설정!$L$5+ROW()-1,설정!$L$21)&amp;""),"")</f>
        <v>A-</v>
      </c>
      <c r="O337" s="83" t="str">
        <f aca="false">IFERROR(IF(INDEX(원자료_잔고!$A$1:$EZ$1500,설정!$L$5+ROW()-1,설정!$L$22)&amp;""="0","",INDEX(원자료_잔고!$A$1:$EZ$1500,설정!$L$5+ROW()-1,설정!$L$22)&amp;""),"")</f>
        <v/>
      </c>
      <c r="P337" s="83" t="str">
        <f aca="false">IFERROR(IF(INDEX(원자료_잔고!$A$1:$EZ$1500,설정!$L$5+ROW()-1,설정!$L$23)&amp;""="0","",INDEX(원자료_잔고!$A$1:$EZ$1500,설정!$L$5+ROW()-1,설정!$L$23)&amp;""),"")</f>
        <v>AA-</v>
      </c>
      <c r="Q337" s="89" t="n">
        <f aca="false">IF(AND($A337&lt;&gt;"",ISNUMBER(E337)),IF(E337&gt;0,1,0),0)</f>
        <v>1</v>
      </c>
      <c r="R337" s="43" t="str">
        <f aca="false">IF(Q337=1,UPPER(LEFT($A337,FIND(" ",$A337&amp;" ")-1)),"")</f>
        <v>TD</v>
      </c>
      <c r="S337" s="89" t="n">
        <f aca="false">IF(Q337=1,IF(OR(ISNUMBER(SEARCH("Float",$A337)),ISNUMBER(SEARCH("FRN",$A337))),1,0),0)</f>
        <v>0</v>
      </c>
      <c r="T337" s="43" t="str">
        <f aca="false">IF(AND(Q337=1,ISNUMBER(I337)),TEXT(I337,"yyyymmdd")&amp;"|"&amp;IF(S337=1,"F",TEXT(J337,"0.000")),"")</f>
        <v>20291212|3.631</v>
      </c>
      <c r="U337" s="90" t="n">
        <f aca="false">IF(AND(Q337=1,ISNUMBER(I337)),(I337-설정!$C$4)/365.25,"")</f>
        <v>3.19780971937029</v>
      </c>
      <c r="V337" s="43" t="str">
        <f aca="false">IF(Q337&lt;&gt;1,"",IF(ISNUMBER(U337),IF(U337&lt;=1,"1년 이하",IF(U337&lt;=2,"1-2년",IF(U337&lt;=3,"2-3년",IF(U337&lt;=4,"3-4년",IF(U337&lt;=5,"4-5년",IF(U337&lt;=7,"5-7년",IF(U337&lt;=10,"7-10년",IF(U337&lt;=20,"10-20년","20년 이상")))))))),"미분류"))</f>
        <v>3-4년</v>
      </c>
      <c r="W337" s="43" t="str">
        <f aca="false">IF(Q337&lt;&gt;1,"",IF(AB337&lt;&gt;"",INDEX(시장분석!$C:$C,AB337),IF(K337=1,"USD","비USD")))</f>
        <v>EUR</v>
      </c>
      <c r="X337" s="91" t="n">
        <f aca="false">IF(Q337=1,E337*K337/1000000,0)</f>
        <v>5.6695</v>
      </c>
      <c r="Y337" s="89" t="n">
        <f aca="false">IF(R337="T",1,0)</f>
        <v>0</v>
      </c>
      <c r="Z337" s="92" t="n">
        <f aca="false">IF(Q337&lt;&gt;1,"",IF(AD337=1,IF(ISNUMBER(U337),MAX(U337,0),H337),H337))</f>
        <v>2.8412</v>
      </c>
      <c r="AA337" s="91" t="n">
        <f aca="false">IF(Q337=1,IF(ISNUMBER(L337),L337,0)*K337/1000000,0)</f>
        <v>5.5948270155</v>
      </c>
      <c r="AB337" s="89" t="n">
        <f aca="false">IF(Q337&lt;&gt;1,"",IFERROR(MATCH(VLOOKUP(B337,매핑!$H$4:$I$15,2,0),시장분석!$A$2:$A$601,0)+1,IFERROR(MATCH(R337&amp;"|"&amp;T337,시장분석!$V$2:$V$601,0)+1,IF(COUNTIF(시장분석!$U$2:$U$601,T337)=1,MATCH(T337,시장분석!$U$2:$U$601,0)+1,""))))</f>
        <v>219</v>
      </c>
      <c r="AC337" s="89" t="n">
        <f aca="false">IF(Q337&lt;&gt;1,0,IF(OR(설정!$C$5="전체",AND(설정!$C$5="선택펀드",IFERROR(COUNTIFS(설정!$F$16:$F$36,C337,설정!$G$16:$G$36,"Y")+COUNTIFS(설정!$F$16:$F$36,VALUE(C337),설정!$G$16:$G$36,"Y"),0)&gt;0),C337&amp;""=설정!$C$5&amp;""),1,0))</f>
        <v>0</v>
      </c>
      <c r="AD337" s="89" t="n">
        <f aca="false">IF(Q337&lt;&gt;1,0,IF(OR(S337=1,IF(AB337="",FALSE(),INDEX(시장분석!$R:$R,AB337)=1)),1,0))</f>
        <v>0</v>
      </c>
      <c r="AE337" s="43" t="str">
        <f aca="false">IF(AB337="","",INDEX(시장분석!$A:$A,AB337))</f>
        <v>TD 3.631 12/13/29</v>
      </c>
      <c r="AF337" s="93" t="n">
        <f aca="false">IF(AB337="","",IF(ISNUMBER(IF(AB337="","",INDEX(시장분석!$E:$E,AB337))),IF(AB337="","",INDEX(시장분석!$E:$E,AB337)),""))</f>
        <v>73.863</v>
      </c>
      <c r="AG337" s="43" t="str">
        <f aca="false">IF(Q337&lt;&gt;1,"",IF(AB337&lt;&gt;"",IF(AB337="","",INDEX(시장분석!$L:$L,AB337)),IFERROR(IF(VLOOKUP(R337,매핑!$A$4:$E$92,5,0)="","미분류",VLOOKUP(R337,매핑!$A$4:$E$92,5,0)),"미분류")))</f>
        <v>금융기관</v>
      </c>
      <c r="AH337" s="43" t="str">
        <f aca="false">IF(Q337&lt;&gt;1,"",IF(AB337&lt;&gt;"",IF(AB337="","",INDEX(시장분석!$N:$N,AB337)),IFERROR(IF(VLOOKUP(R337,매핑!$A$4:$E$92,4,0)="","미분류",VLOOKUP(R337,매핑!$A$4:$E$92,4,0)),"미분류")))</f>
        <v>기타</v>
      </c>
      <c r="AI337" s="43" t="str">
        <f aca="false">IF(Q337&lt;&gt;1,"",IFERROR(IF(VLOOKUP(R337,매핑!$A$4:$E$92,3,0)="","미분류",VLOOKUP(R337,매핑!$A$4:$E$92,3,0)),IF(AB337&lt;&gt;"",IF(AB337="","",INDEX(시장분석!$W:$W,AB337)),"미분류")))</f>
        <v>캐나다</v>
      </c>
      <c r="AJ337" s="43" t="str">
        <f aca="false">IF(Q337&lt;&gt;1,"",IFERROR(VLOOKUP(IF(N337&lt;&gt;"",N337,IF(P337&lt;&gt;"",P337,O337)),설정!$A$15:$D$47,2,0),""))</f>
        <v>A-</v>
      </c>
      <c r="AK337" s="43" t="str">
        <f aca="false">IF(Q337&lt;&gt;1,"",IF(AJ337="","무등급",IFERROR(VLOOKUP(AJ337,설정!$A$15:$D$47,3,0),"무등급")))</f>
        <v>A</v>
      </c>
      <c r="AL337" s="89" t="n">
        <f aca="false">IF(AJ337="",99,IFERROR(VLOOKUP(AJ337,설정!$A$15:$D$47,4,0),99))</f>
        <v>7</v>
      </c>
      <c r="AM337" s="94" t="n">
        <f aca="false">IF(ISNUMBER(H337),AA337*1000000*H337/10000,0)</f>
        <v>1589.60225164386</v>
      </c>
      <c r="AN337" s="94" t="n">
        <f aca="false">IF(OR(Y337=1,NOT(ISNUMBER(Z337))),0,AA337*1000000*Z337/10000)</f>
        <v>1589.60225164386</v>
      </c>
      <c r="AO337" s="94" t="n">
        <f aca="false">IF(ISNUMBER(G337),AA337*1000000*G337/100,0)</f>
        <v>227849.330206237</v>
      </c>
      <c r="AP337" s="94" t="n">
        <f aca="false">IF(ISNUMBER(M337),M337*K337,0)</f>
        <v>-212782.0045</v>
      </c>
      <c r="AQ337" s="95" t="str">
        <f aca="false">IF(AB337="","",INDEX(시장분석!$AK:$AK,AB337))</f>
        <v/>
      </c>
      <c r="AR337" s="43" t="str">
        <f aca="false">IF(AB337="","-",IF(AB337="","",INDEX(시장분석!$AL:$AL,AB337)))</f>
        <v>-</v>
      </c>
      <c r="AS337" s="96" t="str">
        <f aca="false">IF(AB337="","",INDEX(시장분석!$AJ:$AJ,AB337))</f>
        <v/>
      </c>
      <c r="AT337" s="93" t="n">
        <f aca="false">IF(AB337="",0,IF(AB337="","",INDEX(시장분석!$AN:$AN,AB337)))</f>
        <v>0</v>
      </c>
      <c r="AU337" s="94" t="n">
        <f aca="false">IF(ISNUMBER(Z337),AT337/10000*MAX(Z337-1,0)*AA337*1000000,0)</f>
        <v>0</v>
      </c>
      <c r="AV337" s="94" t="n">
        <f aca="false">AO337+AU337</f>
        <v>227849.330206237</v>
      </c>
      <c r="AW337" s="43" t="str">
        <f aca="false">IF(Q337&lt;&gt;1,"",TRIM(IF(AD337=1,"FRN ","")&amp;IF(AND(AL337&gt;=10,AL337&lt;99),"BBB0미만 ","")&amp;IF(AJ337="","등급없음 ","")&amp;IF(K337&lt;&gt;1,"비USD ","")&amp;IF(AND(AB337="",Y337=0),"시장데이터없음 ","")&amp;IF(AND(ISNUMBER(U337),U337&lt;0),"만기경과 ","")))</f>
        <v>비USD</v>
      </c>
      <c r="AX337" s="90" t="n">
        <f aca="false">IF(Q337&lt;&gt;1,1,IF(스프레드쇼크!$C$4="Y",INDEX(스프레드쇼크!$B$12:$L$16,IFERROR(MATCH(AH337,스프레드쇼크!$A$12:$A$16,0),MATCH("목록외",스프레드쇼크!$A$12:$A$16,0)),IFERROR(MATCH(AG337,스프레드쇼크!$B$11:$L$11,0),MATCH("목록외",스프레드쇼크!$B$11:$L$11,0))),1))</f>
        <v>1</v>
      </c>
      <c r="AY337" s="90" t="n">
        <f aca="false">IF(스프레드쇼크!$C$5="Y",IF(ISNUMBER(AF337),MIN(스프레드쇼크!$C$7,MAX(스프레드쇼크!$C$6,AF337/스프레드쇼크!$C$8)),1),1)</f>
        <v>1.11720654024343</v>
      </c>
      <c r="AZ337" s="94" t="n">
        <f aca="false">AN337*AX337*AY337</f>
        <v>1775.9140319222</v>
      </c>
      <c r="BA337" s="90" t="n">
        <f aca="false">IF(ISNUMBER(G337),AA337*G337,0)</f>
        <v>22.7849330206237</v>
      </c>
      <c r="BB337" s="90" t="n">
        <f aca="false">IF(ISNUMBER(G337),AA337,0)</f>
        <v>5.5948270155</v>
      </c>
      <c r="BC337" s="90" t="n">
        <f aca="false">IF(AND(Y337=0,ISNUMBER(AF337)),AA337*AF337,0)</f>
        <v>413.250707845877</v>
      </c>
      <c r="BD337" s="90" t="n">
        <f aca="false">IF(AND(Y337=0,ISNUMBER(AF337)),AA337,0)</f>
        <v>5.5948270155</v>
      </c>
      <c r="BE337" s="90" t="n">
        <f aca="false">IF(ISNUMBER(H337),AA337*H337,0)</f>
        <v>15.8960225164386</v>
      </c>
      <c r="BF337" s="90" t="n">
        <f aca="false">IF(ISNUMBER(H337),AA337,0)</f>
        <v>5.5948270155</v>
      </c>
      <c r="BG337" s="90" t="n">
        <f aca="false">IF(AND(Y337=0,ISNUMBER(AF337),ISNUMBER(Z337)),AA337*Z337,0)</f>
        <v>15.8960225164386</v>
      </c>
      <c r="BH337" s="90" t="n">
        <f aca="false">IF(AND(Y337=0,ISNUMBER(AF337),ISNUMBER(Z337)),AA337*AT337*MAX(Z337-1,0),0)</f>
        <v>0</v>
      </c>
      <c r="BI337" s="90" t="n">
        <f aca="false">IF(Y337=0,AA337,0)</f>
        <v>5.5948270155</v>
      </c>
    </row>
    <row r="338" customFormat="false" ht="15" hidden="false" customHeight="false" outlineLevel="0" collapsed="false">
      <c r="A338" s="83" t="str">
        <f aca="false">IFERROR(IF(INDEX(원자료_잔고!$A$1:$EZ$1500,설정!$L$5+ROW()-1,설정!$L$8)&amp;""="0","",INDEX(원자료_잔고!$A$1:$EZ$1500,설정!$L$5+ROW()-1,설정!$L$8)&amp;""),"")</f>
        <v>BMW 3.125 07/22/29</v>
      </c>
      <c r="B338" s="83" t="str">
        <f aca="false">IFERROR(IF(INDEX(원자료_잔고!$A$1:$EZ$1500,설정!$L$5+ROW()-1,설정!$L$7)&amp;""="0","",INDEX(원자료_잔고!$A$1:$EZ$1500,설정!$L$5+ROW()-1,설정!$L$7)&amp;""),"")</f>
        <v>XS2982332400</v>
      </c>
      <c r="C338" s="83" t="str">
        <f aca="false">IFERROR(IF(INDEX(원자료_잔고!$A$1:$EZ$1500,설정!$L$5+ROW()-1,설정!$L$9)&amp;""="0","",INDEX(원자료_잔고!$A$1:$EZ$1500,설정!$L$5+ROW()-1,설정!$L$9)&amp;""),"")</f>
        <v>38167</v>
      </c>
      <c r="D33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38" s="84" t="n">
        <f aca="false">IFERROR(IF(ISNUMBER(INDEX(원자료_잔고!$A$1:$EZ$1500,설정!$L$5+ROW()-1,설정!$L$11)),INDEX(원자료_잔고!$A$1:$EZ$1500,설정!$L$5+ROW()-1,설정!$L$11),""),"")</f>
        <v>2000000</v>
      </c>
      <c r="F338" s="85" t="n">
        <f aca="false">IFERROR(IF(ISNUMBER(INDEX(원자료_잔고!$A$1:$EZ$1500,설정!$L$5+ROW()-1,설정!$L$12)),INDEX(원자료_잔고!$A$1:$EZ$1500,설정!$L$5+ROW()-1,설정!$L$12),""),"")</f>
        <v>97.6105</v>
      </c>
      <c r="G338" s="85" t="n">
        <f aca="false">IFERROR(IF(ISNUMBER(INDEX(원자료_잔고!$A$1:$EZ$1500,설정!$L$5+ROW()-1,설정!$L$13)),INDEX(원자료_잔고!$A$1:$EZ$1500,설정!$L$5+ROW()-1,설정!$L$13),""),"")</f>
        <v>4.0367</v>
      </c>
      <c r="H338" s="85" t="n">
        <f aca="false">IFERROR(IF(ISNUMBER(INDEX(원자료_잔고!$A$1:$EZ$1500,설정!$L$5+ROW()-1,설정!$L$14)),INDEX(원자료_잔고!$A$1:$EZ$1500,설정!$L$5+ROW()-1,설정!$L$14),""),"")</f>
        <v>2.5783</v>
      </c>
      <c r="I338" s="86" t="n">
        <f aca="false">IFERROR(IF(ISNUMBER(INDEX(원자료_잔고!$A$1:$EZ$1500,설정!$L$5+ROW()-1,설정!$L$15)),INDEX(원자료_잔고!$A$1:$EZ$1500,설정!$L$5+ROW()-1,설정!$L$15),""),"")</f>
        <v>47321</v>
      </c>
      <c r="J338" s="85" t="n">
        <f aca="false">IFERROR(IF(ISNUMBER(INDEX(원자료_잔고!$A$1:$EZ$1500,설정!$L$5+ROW()-1,설정!$L$16)),INDEX(원자료_잔고!$A$1:$EZ$1500,설정!$L$5+ROW()-1,설정!$L$16),""),"")</f>
        <v>3.125</v>
      </c>
      <c r="K338" s="87" t="n">
        <f aca="false">IFERROR(IF(ISNUMBER(INDEX(원자료_잔고!$A$1:$EZ$1500,설정!$L$5+ROW()-1,설정!$L$17)),INDEX(원자료_잔고!$A$1:$EZ$1500,설정!$L$5+ROW()-1,설정!$L$17),""),"")</f>
        <v>1.1339</v>
      </c>
      <c r="L338" s="84" t="n">
        <f aca="false">IFERROR(IF(ISNUMBER(INDEX(원자료_잔고!$A$1:$EZ$1500,설정!$L$5+ROW()-1,설정!$L$18)),INDEX(원자료_잔고!$A$1:$EZ$1500,설정!$L$5+ROW()-1,설정!$L$18),""),"")</f>
        <v>1952210</v>
      </c>
      <c r="M338" s="88" t="n">
        <f aca="false">IFERROR(IF(ISNUMBER(INDEX(원자료_잔고!$A$1:$EZ$1500,설정!$L$5+ROW()-1,설정!$L$19)),INDEX(원자료_잔고!$A$1:$EZ$1500,설정!$L$5+ROW()-1,설정!$L$19),""),"")</f>
        <v>-68590</v>
      </c>
      <c r="N338" s="83" t="str">
        <f aca="false">IFERROR(IF(INDEX(원자료_잔고!$A$1:$EZ$1500,설정!$L$5+ROW()-1,설정!$L$21)&amp;""="0","",INDEX(원자료_잔고!$A$1:$EZ$1500,설정!$L$5+ROW()-1,설정!$L$21)&amp;""),"")</f>
        <v>A</v>
      </c>
      <c r="O338" s="83" t="str">
        <f aca="false">IFERROR(IF(INDEX(원자료_잔고!$A$1:$EZ$1500,설정!$L$5+ROW()-1,설정!$L$22)&amp;""="0","",INDEX(원자료_잔고!$A$1:$EZ$1500,설정!$L$5+ROW()-1,설정!$L$22)&amp;""),"")</f>
        <v/>
      </c>
      <c r="P338" s="83" t="str">
        <f aca="false">IFERROR(IF(INDEX(원자료_잔고!$A$1:$EZ$1500,설정!$L$5+ROW()-1,설정!$L$23)&amp;""="0","",INDEX(원자료_잔고!$A$1:$EZ$1500,설정!$L$5+ROW()-1,설정!$L$23)&amp;""),"")</f>
        <v>N/A</v>
      </c>
      <c r="Q338" s="89" t="n">
        <f aca="false">IF(AND($A338&lt;&gt;"",ISNUMBER(E338)),IF(E338&gt;0,1,0),0)</f>
        <v>1</v>
      </c>
      <c r="R338" s="43" t="str">
        <f aca="false">IF(Q338=1,UPPER(LEFT($A338,FIND(" ",$A338&amp;" ")-1)),"")</f>
        <v>BMW</v>
      </c>
      <c r="S338" s="89" t="n">
        <f aca="false">IF(Q338=1,IF(OR(ISNUMBER(SEARCH("Float",$A338)),ISNUMBER(SEARCH("FRN",$A338))),1,0),0)</f>
        <v>0</v>
      </c>
      <c r="T338" s="43" t="str">
        <f aca="false">IF(AND(Q338=1,ISNUMBER(I338)),TEXT(I338,"yyyymmdd")&amp;"|"&amp;IF(S338=1,"F",TEXT(J338,"0.000")),"")</f>
        <v>20290722|3.125</v>
      </c>
      <c r="U338" s="90" t="n">
        <f aca="false">IF(AND(Q338=1,ISNUMBER(I338)),(I338-설정!$C$4)/365.25,"")</f>
        <v>2.8062970568104</v>
      </c>
      <c r="V338" s="43" t="str">
        <f aca="false">IF(Q338&lt;&gt;1,"",IF(ISNUMBER(U338),IF(U338&lt;=1,"1년 이하",IF(U338&lt;=2,"1-2년",IF(U338&lt;=3,"2-3년",IF(U338&lt;=4,"3-4년",IF(U338&lt;=5,"4-5년",IF(U338&lt;=7,"5-7년",IF(U338&lt;=10,"7-10년",IF(U338&lt;=20,"10-20년","20년 이상")))))))),"미분류"))</f>
        <v>2-3년</v>
      </c>
      <c r="W338" s="43" t="str">
        <f aca="false">IF(Q338&lt;&gt;1,"",IF(AB338&lt;&gt;"",INDEX(시장분석!$C:$C,AB338),IF(K338=1,"USD","비USD")))</f>
        <v>EUR</v>
      </c>
      <c r="X338" s="91" t="n">
        <f aca="false">IF(Q338=1,E338*K338/1000000,0)</f>
        <v>2.2678</v>
      </c>
      <c r="Y338" s="89" t="n">
        <f aca="false">IF(R338="T",1,0)</f>
        <v>0</v>
      </c>
      <c r="Z338" s="92" t="n">
        <f aca="false">IF(Q338&lt;&gt;1,"",IF(AD338=1,IF(ISNUMBER(U338),MAX(U338,0),H338),H338))</f>
        <v>2.5783</v>
      </c>
      <c r="AA338" s="91" t="n">
        <f aca="false">IF(Q338=1,IF(ISNUMBER(L338),L338,0)*K338/1000000,0)</f>
        <v>2.213610919</v>
      </c>
      <c r="AB338" s="89" t="n">
        <f aca="false">IF(Q338&lt;&gt;1,"",IFERROR(MATCH(VLOOKUP(B338,매핑!$H$4:$I$15,2,0),시장분석!$A$2:$A$601,0)+1,IFERROR(MATCH(R338&amp;"|"&amp;T338,시장분석!$V$2:$V$601,0)+1,IF(COUNTIF(시장분석!$U$2:$U$601,T338)=1,MATCH(T338,시장분석!$U$2:$U$601,0)+1,""))))</f>
        <v>234</v>
      </c>
      <c r="AC338" s="89" t="n">
        <f aca="false">IF(Q338&lt;&gt;1,0,IF(OR(설정!$C$5="전체",AND(설정!$C$5="선택펀드",IFERROR(COUNTIFS(설정!$F$16:$F$36,C338,설정!$G$16:$G$36,"Y")+COUNTIFS(설정!$F$16:$F$36,VALUE(C338),설정!$G$16:$G$36,"Y"),0)&gt;0),C338&amp;""=설정!$C$5&amp;""),1,0))</f>
        <v>0</v>
      </c>
      <c r="AD338" s="89" t="n">
        <f aca="false">IF(Q338&lt;&gt;1,0,IF(OR(S338=1,IF(AB338="",FALSE(),INDEX(시장분석!$R:$R,AB338)=1)),1,0))</f>
        <v>0</v>
      </c>
      <c r="AE338" s="43" t="str">
        <f aca="false">IF(AB338="","",INDEX(시장분석!$A:$A,AB338))</f>
        <v>BMW 3 1/8 07/22/29</v>
      </c>
      <c r="AF338" s="93" t="n">
        <f aca="false">IF(AB338="","",IF(ISNUMBER(IF(AB338="","",INDEX(시장분석!$E:$E,AB338))),IF(AB338="","",INDEX(시장분석!$E:$E,AB338)),""))</f>
        <v>73.726</v>
      </c>
      <c r="AG338" s="43" t="str">
        <f aca="false">IF(Q338&lt;&gt;1,"",IF(AB338&lt;&gt;"",IF(AB338="","",INDEX(시장분석!$L:$L,AB338)),IFERROR(IF(VLOOKUP(R338,매핑!$A$4:$E$92,5,0)="","미분류",VLOOKUP(R338,매핑!$A$4:$E$92,5,0)),"미분류")))</f>
        <v>자유 소비재</v>
      </c>
      <c r="AH338" s="43" t="str">
        <f aca="false">IF(Q338&lt;&gt;1,"",IF(AB338&lt;&gt;"",IF(AB338="","",INDEX(시장분석!$N:$N,AB338)),IFERROR(IF(VLOOKUP(R338,매핑!$A$4:$E$92,4,0)="","미분류",VLOOKUP(R338,매핑!$A$4:$E$92,4,0)),"미분류")))</f>
        <v>유럽</v>
      </c>
      <c r="AI338" s="43" t="str">
        <f aca="false">IF(Q338&lt;&gt;1,"",IFERROR(IF(VLOOKUP(R338,매핑!$A$4:$E$92,3,0)="","미분류",VLOOKUP(R338,매핑!$A$4:$E$92,3,0)),IF(AB338&lt;&gt;"",IF(AB338="","",INDEX(시장분석!$W:$W,AB338)),"미분류")))</f>
        <v>독일</v>
      </c>
      <c r="AJ338" s="43" t="str">
        <f aca="false">IF(Q338&lt;&gt;1,"",IFERROR(VLOOKUP(IF(N338&lt;&gt;"",N338,IF(P338&lt;&gt;"",P338,O338)),설정!$A$15:$D$47,2,0),""))</f>
        <v>A</v>
      </c>
      <c r="AK338" s="43" t="str">
        <f aca="false">IF(Q338&lt;&gt;1,"",IF(AJ338="","무등급",IFERROR(VLOOKUP(AJ338,설정!$A$15:$D$47,3,0),"무등급")))</f>
        <v>A</v>
      </c>
      <c r="AL338" s="89" t="n">
        <f aca="false">IF(AJ338="",99,IFERROR(VLOOKUP(AJ338,설정!$A$15:$D$47,4,0),99))</f>
        <v>6</v>
      </c>
      <c r="AM338" s="94" t="n">
        <f aca="false">IF(ISNUMBER(H338),AA338*1000000*H338/10000,0)</f>
        <v>570.73530324577</v>
      </c>
      <c r="AN338" s="94" t="n">
        <f aca="false">IF(OR(Y338=1,NOT(ISNUMBER(Z338))),0,AA338*1000000*Z338/10000)</f>
        <v>570.73530324577</v>
      </c>
      <c r="AO338" s="94" t="n">
        <f aca="false">IF(ISNUMBER(G338),AA338*1000000*G338/100,0)</f>
        <v>89356.831967273</v>
      </c>
      <c r="AP338" s="94" t="n">
        <f aca="false">IF(ISNUMBER(M338),M338*K338,0)</f>
        <v>-77774.201</v>
      </c>
      <c r="AQ338" s="95" t="str">
        <f aca="false">IF(AB338="","",INDEX(시장분석!$AK:$AK,AB338))</f>
        <v/>
      </c>
      <c r="AR338" s="43" t="str">
        <f aca="false">IF(AB338="","-",IF(AB338="","",INDEX(시장분석!$AL:$AL,AB338)))</f>
        <v>-</v>
      </c>
      <c r="AS338" s="96" t="str">
        <f aca="false">IF(AB338="","",INDEX(시장분석!$AJ:$AJ,AB338))</f>
        <v/>
      </c>
      <c r="AT338" s="93" t="n">
        <f aca="false">IF(AB338="",0,IF(AB338="","",INDEX(시장분석!$AN:$AN,AB338)))</f>
        <v>0</v>
      </c>
      <c r="AU338" s="94" t="n">
        <f aca="false">IF(ISNUMBER(Z338),AT338/10000*MAX(Z338-1,0)*AA338*1000000,0)</f>
        <v>0</v>
      </c>
      <c r="AV338" s="94" t="n">
        <f aca="false">AO338+AU338</f>
        <v>89356.831967273</v>
      </c>
      <c r="AW338" s="43" t="str">
        <f aca="false">IF(Q338&lt;&gt;1,"",TRIM(IF(AD338=1,"FRN ","")&amp;IF(AND(AL338&gt;=10,AL338&lt;99),"BBB0미만 ","")&amp;IF(AJ338="","등급없음 ","")&amp;IF(K338&lt;&gt;1,"비USD ","")&amp;IF(AND(AB338="",Y338=0),"시장데이터없음 ","")&amp;IF(AND(ISNUMBER(U338),U338&lt;0),"만기경과 ","")))</f>
        <v>비USD</v>
      </c>
      <c r="AX338" s="90" t="n">
        <f aca="false">IF(Q338&lt;&gt;1,1,IF(스프레드쇼크!$C$4="Y",INDEX(스프레드쇼크!$B$12:$L$16,IFERROR(MATCH(AH338,스프레드쇼크!$A$12:$A$16,0),MATCH("목록외",스프레드쇼크!$A$12:$A$16,0)),IFERROR(MATCH(AG338,스프레드쇼크!$B$11:$L$11,0),MATCH("목록외",스프레드쇼크!$B$11:$L$11,0))),1))</f>
        <v>1</v>
      </c>
      <c r="AY338" s="90" t="n">
        <f aca="false">IF(스프레드쇼크!$C$5="Y",IF(ISNUMBER(AF338),MIN(스프레드쇼크!$C$7,MAX(스프레드쇼크!$C$6,AF338/스프레드쇼크!$C$8)),1),1)</f>
        <v>1.11513436207556</v>
      </c>
      <c r="AZ338" s="94" t="n">
        <f aca="false">AN338*AX338*AY338</f>
        <v>636.446548298973</v>
      </c>
      <c r="BA338" s="90" t="n">
        <f aca="false">IF(ISNUMBER(G338),AA338*G338,0)</f>
        <v>8.9356831967273</v>
      </c>
      <c r="BB338" s="90" t="n">
        <f aca="false">IF(ISNUMBER(G338),AA338,0)</f>
        <v>2.213610919</v>
      </c>
      <c r="BC338" s="90" t="n">
        <f aca="false">IF(AND(Y338=0,ISNUMBER(AF338)),AA338*AF338,0)</f>
        <v>163.200678614194</v>
      </c>
      <c r="BD338" s="90" t="n">
        <f aca="false">IF(AND(Y338=0,ISNUMBER(AF338)),AA338,0)</f>
        <v>2.213610919</v>
      </c>
      <c r="BE338" s="90" t="n">
        <f aca="false">IF(ISNUMBER(H338),AA338*H338,0)</f>
        <v>5.7073530324577</v>
      </c>
      <c r="BF338" s="90" t="n">
        <f aca="false">IF(ISNUMBER(H338),AA338,0)</f>
        <v>2.213610919</v>
      </c>
      <c r="BG338" s="90" t="n">
        <f aca="false">IF(AND(Y338=0,ISNUMBER(AF338),ISNUMBER(Z338)),AA338*Z338,0)</f>
        <v>5.7073530324577</v>
      </c>
      <c r="BH338" s="90" t="n">
        <f aca="false">IF(AND(Y338=0,ISNUMBER(AF338),ISNUMBER(Z338)),AA338*AT338*MAX(Z338-1,0),0)</f>
        <v>0</v>
      </c>
      <c r="BI338" s="90" t="n">
        <f aca="false">IF(Y338=0,AA338,0)</f>
        <v>2.213610919</v>
      </c>
    </row>
    <row r="339" customFormat="false" ht="15" hidden="false" customHeight="false" outlineLevel="0" collapsed="false">
      <c r="A339" s="83" t="str">
        <f aca="false">IFERROR(IF(INDEX(원자료_잔고!$A$1:$EZ$1500,설정!$L$5+ROW()-1,설정!$L$8)&amp;""="0","",INDEX(원자료_잔고!$A$1:$EZ$1500,설정!$L$5+ROW()-1,설정!$L$8)&amp;""),"")</f>
        <v>HYUCAP 2.861 01/21/29</v>
      </c>
      <c r="B339" s="83" t="str">
        <f aca="false">IFERROR(IF(INDEX(원자료_잔고!$A$1:$EZ$1500,설정!$L$5+ROW()-1,설정!$L$7)&amp;""="0","",INDEX(원자료_잔고!$A$1:$EZ$1500,설정!$L$5+ROW()-1,설정!$L$7)&amp;""),"")</f>
        <v>XS3268973453</v>
      </c>
      <c r="C339" s="83" t="str">
        <f aca="false">IFERROR(IF(INDEX(원자료_잔고!$A$1:$EZ$1500,설정!$L$5+ROW()-1,설정!$L$9)&amp;""="0","",INDEX(원자료_잔고!$A$1:$EZ$1500,설정!$L$5+ROW()-1,설정!$L$9)&amp;""),"")</f>
        <v>38167</v>
      </c>
      <c r="D33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39" s="84" t="n">
        <f aca="false">IFERROR(IF(ISNUMBER(INDEX(원자료_잔고!$A$1:$EZ$1500,설정!$L$5+ROW()-1,설정!$L$11)),INDEX(원자료_잔고!$A$1:$EZ$1500,설정!$L$5+ROW()-1,설정!$L$11),""),"")</f>
        <v>3000000</v>
      </c>
      <c r="F339" s="85" t="n">
        <f aca="false">IFERROR(IF(ISNUMBER(INDEX(원자료_잔고!$A$1:$EZ$1500,설정!$L$5+ROW()-1,설정!$L$12)),INDEX(원자료_잔고!$A$1:$EZ$1500,설정!$L$5+ROW()-1,설정!$L$12),""),"")</f>
        <v>97.4667</v>
      </c>
      <c r="G339" s="85" t="n">
        <f aca="false">IFERROR(IF(ISNUMBER(INDEX(원자료_잔고!$A$1:$EZ$1500,설정!$L$5+ROW()-1,설정!$L$13)),INDEX(원자료_잔고!$A$1:$EZ$1500,설정!$L$5+ROW()-1,설정!$L$13),""),"")</f>
        <v>4.0233</v>
      </c>
      <c r="H339" s="85" t="n">
        <f aca="false">IFERROR(IF(ISNUMBER(INDEX(원자료_잔고!$A$1:$EZ$1500,설정!$L$5+ROW()-1,설정!$L$14)),INDEX(원자료_잔고!$A$1:$EZ$1500,설정!$L$5+ROW()-1,설정!$L$14),""),"")</f>
        <v>2.0741</v>
      </c>
      <c r="I339" s="86" t="n">
        <f aca="false">IFERROR(IF(ISNUMBER(INDEX(원자료_잔고!$A$1:$EZ$1500,설정!$L$5+ROW()-1,설정!$L$15)),INDEX(원자료_잔고!$A$1:$EZ$1500,설정!$L$5+ROW()-1,설정!$L$15),""),"")</f>
        <v>47139</v>
      </c>
      <c r="J339" s="85" t="n">
        <f aca="false">IFERROR(IF(ISNUMBER(INDEX(원자료_잔고!$A$1:$EZ$1500,설정!$L$5+ROW()-1,설정!$L$16)),INDEX(원자료_잔고!$A$1:$EZ$1500,설정!$L$5+ROW()-1,설정!$L$16),""),"")</f>
        <v>2.861</v>
      </c>
      <c r="K339" s="87" t="n">
        <f aca="false">IFERROR(IF(ISNUMBER(INDEX(원자료_잔고!$A$1:$EZ$1500,설정!$L$5+ROW()-1,설정!$L$17)),INDEX(원자료_잔고!$A$1:$EZ$1500,설정!$L$5+ROW()-1,설정!$L$17),""),"")</f>
        <v>1.1339</v>
      </c>
      <c r="L339" s="84" t="n">
        <f aca="false">IFERROR(IF(ISNUMBER(INDEX(원자료_잔고!$A$1:$EZ$1500,설정!$L$5+ROW()-1,설정!$L$18)),INDEX(원자료_잔고!$A$1:$EZ$1500,설정!$L$5+ROW()-1,설정!$L$18),""),"")</f>
        <v>2924001</v>
      </c>
      <c r="M339" s="88" t="n">
        <f aca="false">IFERROR(IF(ISNUMBER(INDEX(원자료_잔고!$A$1:$EZ$1500,설정!$L$5+ROW()-1,설정!$L$19)),INDEX(원자료_잔고!$A$1:$EZ$1500,설정!$L$5+ROW()-1,설정!$L$19),""),"")</f>
        <v>-80319</v>
      </c>
      <c r="N339" s="83" t="str">
        <f aca="false">IFERROR(IF(INDEX(원자료_잔고!$A$1:$EZ$1500,설정!$L$5+ROW()-1,설정!$L$21)&amp;""="0","",INDEX(원자료_잔고!$A$1:$EZ$1500,설정!$L$5+ROW()-1,설정!$L$21)&amp;""),"")</f>
        <v/>
      </c>
      <c r="O339" s="83" t="str">
        <f aca="false">IFERROR(IF(INDEX(원자료_잔고!$A$1:$EZ$1500,설정!$L$5+ROW()-1,설정!$L$22)&amp;""="0","",INDEX(원자료_잔고!$A$1:$EZ$1500,설정!$L$5+ROW()-1,설정!$L$22)&amp;""),"")</f>
        <v/>
      </c>
      <c r="P339" s="83" t="str">
        <f aca="false">IFERROR(IF(INDEX(원자료_잔고!$A$1:$EZ$1500,설정!$L$5+ROW()-1,설정!$L$23)&amp;""="0","",INDEX(원자료_잔고!$A$1:$EZ$1500,설정!$L$5+ROW()-1,설정!$L$23)&amp;""),"")</f>
        <v>A-</v>
      </c>
      <c r="Q339" s="89" t="n">
        <f aca="false">IF(AND($A339&lt;&gt;"",ISNUMBER(E339)),IF(E339&gt;0,1,0),0)</f>
        <v>1</v>
      </c>
      <c r="R339" s="43" t="str">
        <f aca="false">IF(Q339=1,UPPER(LEFT($A339,FIND(" ",$A339&amp;" ")-1)),"")</f>
        <v>HYUCAP</v>
      </c>
      <c r="S339" s="89" t="n">
        <f aca="false">IF(Q339=1,IF(OR(ISNUMBER(SEARCH("Float",$A339)),ISNUMBER(SEARCH("FRN",$A339))),1,0),0)</f>
        <v>0</v>
      </c>
      <c r="T339" s="43" t="str">
        <f aca="false">IF(AND(Q339=1,ISNUMBER(I339)),TEXT(I339,"yyyymmdd")&amp;"|"&amp;IF(S339=1,"F",TEXT(J339,"0.000")),"")</f>
        <v>20290121|2.861</v>
      </c>
      <c r="U339" s="90" t="n">
        <f aca="false">IF(AND(Q339=1,ISNUMBER(I339)),(I339-설정!$C$4)/365.25,"")</f>
        <v>2.30800821355236</v>
      </c>
      <c r="V339" s="43" t="str">
        <f aca="false">IF(Q339&lt;&gt;1,"",IF(ISNUMBER(U339),IF(U339&lt;=1,"1년 이하",IF(U339&lt;=2,"1-2년",IF(U339&lt;=3,"2-3년",IF(U339&lt;=4,"3-4년",IF(U339&lt;=5,"4-5년",IF(U339&lt;=7,"5-7년",IF(U339&lt;=10,"7-10년",IF(U339&lt;=20,"10-20년","20년 이상")))))))),"미분류"))</f>
        <v>2-3년</v>
      </c>
      <c r="W339" s="43" t="str">
        <f aca="false">IF(Q339&lt;&gt;1,"",IF(AB339&lt;&gt;"",INDEX(시장분석!$C:$C,AB339),IF(K339=1,"USD","비USD")))</f>
        <v>EUR</v>
      </c>
      <c r="X339" s="91" t="n">
        <f aca="false">IF(Q339=1,E339*K339/1000000,0)</f>
        <v>3.4017</v>
      </c>
      <c r="Y339" s="89" t="n">
        <f aca="false">IF(R339="T",1,0)</f>
        <v>0</v>
      </c>
      <c r="Z339" s="92" t="n">
        <f aca="false">IF(Q339&lt;&gt;1,"",IF(AD339=1,IF(ISNUMBER(U339),MAX(U339,0),H339),H339))</f>
        <v>2.0741</v>
      </c>
      <c r="AA339" s="91" t="n">
        <f aca="false">IF(Q339=1,IF(ISNUMBER(L339),L339,0)*K339/1000000,0)</f>
        <v>3.3155247339</v>
      </c>
      <c r="AB339" s="89" t="n">
        <f aca="false">IF(Q339&lt;&gt;1,"",IFERROR(MATCH(VLOOKUP(B339,매핑!$H$4:$I$15,2,0),시장분석!$A$2:$A$601,0)+1,IFERROR(MATCH(R339&amp;"|"&amp;T339,시장분석!$V$2:$V$601,0)+1,IF(COUNTIF(시장분석!$U$2:$U$601,T339)=1,MATCH(T339,시장분석!$U$2:$U$601,0)+1,""))))</f>
        <v>252</v>
      </c>
      <c r="AC339" s="89" t="n">
        <f aca="false">IF(Q339&lt;&gt;1,0,IF(OR(설정!$C$5="전체",AND(설정!$C$5="선택펀드",IFERROR(COUNTIFS(설정!$F$16:$F$36,C339,설정!$G$16:$G$36,"Y")+COUNTIFS(설정!$F$16:$F$36,VALUE(C339),설정!$G$16:$G$36,"Y"),0)&gt;0),C339&amp;""=설정!$C$5&amp;""),1,0))</f>
        <v>0</v>
      </c>
      <c r="AD339" s="89" t="n">
        <f aca="false">IF(Q339&lt;&gt;1,0,IF(OR(S339=1,IF(AB339="",FALSE(),INDEX(시장분석!$R:$R,AB339)=1)),1,0))</f>
        <v>0</v>
      </c>
      <c r="AE339" s="43" t="str">
        <f aca="false">IF(AB339="","",INDEX(시장분석!$A:$A,AB339))</f>
        <v>HYUCAP 2.861 01/21/29</v>
      </c>
      <c r="AF339" s="93" t="n">
        <f aca="false">IF(AB339="","",IF(ISNUMBER(IF(AB339="","",INDEX(시장분석!$E:$E,AB339))),IF(AB339="","",INDEX(시장분석!$E:$E,AB339)),""))</f>
        <v>78.855</v>
      </c>
      <c r="AG339" s="43" t="str">
        <f aca="false">IF(Q339&lt;&gt;1,"",IF(AB339&lt;&gt;"",IF(AB339="","",INDEX(시장분석!$L:$L,AB339)),IFERROR(IF(VLOOKUP(R339,매핑!$A$4:$E$92,5,0)="","미분류",VLOOKUP(R339,매핑!$A$4:$E$92,5,0)),"미분류")))</f>
        <v>자유 소비재</v>
      </c>
      <c r="AH339" s="43" t="str">
        <f aca="false">IF(Q339&lt;&gt;1,"",IF(AB339&lt;&gt;"",IF(AB339="","",INDEX(시장분석!$N:$N,AB339)),IFERROR(IF(VLOOKUP(R339,매핑!$A$4:$E$92,4,0)="","미분류",VLOOKUP(R339,매핑!$A$4:$E$92,4,0)),"미분류")))</f>
        <v>아시아/기타</v>
      </c>
      <c r="AI339" s="43" t="str">
        <f aca="false">IF(Q339&lt;&gt;1,"",IFERROR(IF(VLOOKUP(R339,매핑!$A$4:$E$92,3,0)="","미분류",VLOOKUP(R339,매핑!$A$4:$E$92,3,0)),IF(AB339&lt;&gt;"",IF(AB339="","",INDEX(시장분석!$W:$W,AB339)),"미분류")))</f>
        <v>한국</v>
      </c>
      <c r="AJ339" s="43" t="str">
        <f aca="false">IF(Q339&lt;&gt;1,"",IFERROR(VLOOKUP(IF(N339&lt;&gt;"",N339,IF(P339&lt;&gt;"",P339,O339)),설정!$A$15:$D$47,2,0),""))</f>
        <v>A-</v>
      </c>
      <c r="AK339" s="43" t="str">
        <f aca="false">IF(Q339&lt;&gt;1,"",IF(AJ339="","무등급",IFERROR(VLOOKUP(AJ339,설정!$A$15:$D$47,3,0),"무등급")))</f>
        <v>A</v>
      </c>
      <c r="AL339" s="89" t="n">
        <f aca="false">IF(AJ339="",99,IFERROR(VLOOKUP(AJ339,설정!$A$15:$D$47,4,0),99))</f>
        <v>7</v>
      </c>
      <c r="AM339" s="94" t="n">
        <f aca="false">IF(ISNUMBER(H339),AA339*1000000*H339/10000,0)</f>
        <v>687.672985058199</v>
      </c>
      <c r="AN339" s="94" t="n">
        <f aca="false">IF(OR(Y339=1,NOT(ISNUMBER(Z339))),0,AA339*1000000*Z339/10000)</f>
        <v>687.672985058199</v>
      </c>
      <c r="AO339" s="94" t="n">
        <f aca="false">IF(ISNUMBER(G339),AA339*1000000*G339/100,0)</f>
        <v>133393.506618999</v>
      </c>
      <c r="AP339" s="94" t="n">
        <f aca="false">IF(ISNUMBER(M339),M339*K339,0)</f>
        <v>-91073.7141</v>
      </c>
      <c r="AQ339" s="95" t="str">
        <f aca="false">IF(AB339="","",INDEX(시장분석!$AK:$AK,AB339))</f>
        <v/>
      </c>
      <c r="AR339" s="43" t="str">
        <f aca="false">IF(AB339="","-",IF(AB339="","",INDEX(시장분석!$AL:$AL,AB339)))</f>
        <v>-</v>
      </c>
      <c r="AS339" s="96" t="str">
        <f aca="false">IF(AB339="","",INDEX(시장분석!$AJ:$AJ,AB339))</f>
        <v/>
      </c>
      <c r="AT339" s="93" t="n">
        <f aca="false">IF(AB339="",0,IF(AB339="","",INDEX(시장분석!$AN:$AN,AB339)))</f>
        <v>0</v>
      </c>
      <c r="AU339" s="94" t="n">
        <f aca="false">IF(ISNUMBER(Z339),AT339/10000*MAX(Z339-1,0)*AA339*1000000,0)</f>
        <v>0</v>
      </c>
      <c r="AV339" s="94" t="n">
        <f aca="false">AO339+AU339</f>
        <v>133393.506618999</v>
      </c>
      <c r="AW339" s="43" t="str">
        <f aca="false">IF(Q339&lt;&gt;1,"",TRIM(IF(AD339=1,"FRN ","")&amp;IF(AND(AL339&gt;=10,AL339&lt;99),"BBB0미만 ","")&amp;IF(AJ339="","등급없음 ","")&amp;IF(K339&lt;&gt;1,"비USD ","")&amp;IF(AND(AB339="",Y339=0),"시장데이터없음 ","")&amp;IF(AND(ISNUMBER(U339),U339&lt;0),"만기경과 ","")))</f>
        <v>비USD</v>
      </c>
      <c r="AX339" s="90" t="n">
        <f aca="false">IF(Q339&lt;&gt;1,1,IF(스프레드쇼크!$C$4="Y",INDEX(스프레드쇼크!$B$12:$L$16,IFERROR(MATCH(AH339,스프레드쇼크!$A$12:$A$16,0),MATCH("목록외",스프레드쇼크!$A$12:$A$16,0)),IFERROR(MATCH(AG339,스프레드쇼크!$B$11:$L$11,0),MATCH("목록외",스프레드쇼크!$B$11:$L$11,0))),1))</f>
        <v>1</v>
      </c>
      <c r="AY339" s="90" t="n">
        <f aca="false">IF(스프레드쇼크!$C$5="Y",IF(ISNUMBER(AF339),MIN(스프레드쇼크!$C$7,MAX(스프레드쇼크!$C$6,AF339/스프레드쇼크!$C$8)),1),1)</f>
        <v>1.19271247757193</v>
      </c>
      <c r="AZ339" s="94" t="n">
        <f aca="false">AN339*AX339*AY339</f>
        <v>820.196149768051</v>
      </c>
      <c r="BA339" s="90" t="n">
        <f aca="false">IF(ISNUMBER(G339),AA339*G339,0)</f>
        <v>13.3393506618999</v>
      </c>
      <c r="BB339" s="90" t="n">
        <f aca="false">IF(ISNUMBER(G339),AA339,0)</f>
        <v>3.3155247339</v>
      </c>
      <c r="BC339" s="90" t="n">
        <f aca="false">IF(AND(Y339=0,ISNUMBER(AF339)),AA339*AF339,0)</f>
        <v>261.445702891685</v>
      </c>
      <c r="BD339" s="90" t="n">
        <f aca="false">IF(AND(Y339=0,ISNUMBER(AF339)),AA339,0)</f>
        <v>3.3155247339</v>
      </c>
      <c r="BE339" s="90" t="n">
        <f aca="false">IF(ISNUMBER(H339),AA339*H339,0)</f>
        <v>6.87672985058199</v>
      </c>
      <c r="BF339" s="90" t="n">
        <f aca="false">IF(ISNUMBER(H339),AA339,0)</f>
        <v>3.3155247339</v>
      </c>
      <c r="BG339" s="90" t="n">
        <f aca="false">IF(AND(Y339=0,ISNUMBER(AF339),ISNUMBER(Z339)),AA339*Z339,0)</f>
        <v>6.87672985058199</v>
      </c>
      <c r="BH339" s="90" t="n">
        <f aca="false">IF(AND(Y339=0,ISNUMBER(AF339),ISNUMBER(Z339)),AA339*AT339*MAX(Z339-1,0),0)</f>
        <v>0</v>
      </c>
      <c r="BI339" s="90" t="n">
        <f aca="false">IF(Y339=0,AA339,0)</f>
        <v>3.3155247339</v>
      </c>
    </row>
    <row r="340" customFormat="false" ht="15" hidden="false" customHeight="false" outlineLevel="0" collapsed="false">
      <c r="A340" s="83" t="str">
        <f aca="false">IFERROR(IF(INDEX(원자료_잔고!$A$1:$EZ$1500,설정!$L$5+ROW()-1,설정!$L$8)&amp;""="0","",INDEX(원자료_잔고!$A$1:$EZ$1500,설정!$L$5+ROW()-1,설정!$L$8)&amp;""),"")</f>
        <v>JPM 4.347 01/22/32</v>
      </c>
      <c r="B340" s="83" t="str">
        <f aca="false">IFERROR(IF(INDEX(원자료_잔고!$A$1:$EZ$1500,설정!$L$5+ROW()-1,설정!$L$7)&amp;""="0","",INDEX(원자료_잔고!$A$1:$EZ$1500,설정!$L$5+ROW()-1,설정!$L$7)&amp;""),"")</f>
        <v>US46647PFG63</v>
      </c>
      <c r="C340" s="83" t="str">
        <f aca="false">IFERROR(IF(INDEX(원자료_잔고!$A$1:$EZ$1500,설정!$L$5+ROW()-1,설정!$L$9)&amp;""="0","",INDEX(원자료_잔고!$A$1:$EZ$1500,설정!$L$5+ROW()-1,설정!$L$9)&amp;""),"")</f>
        <v>38168</v>
      </c>
      <c r="D34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0" s="84" t="n">
        <f aca="false">IFERROR(IF(ISNUMBER(INDEX(원자료_잔고!$A$1:$EZ$1500,설정!$L$5+ROW()-1,설정!$L$11)),INDEX(원자료_잔고!$A$1:$EZ$1500,설정!$L$5+ROW()-1,설정!$L$11),""),"")</f>
        <v>5000000</v>
      </c>
      <c r="F340" s="85" t="n">
        <f aca="false">IFERROR(IF(ISNUMBER(INDEX(원자료_잔고!$A$1:$EZ$1500,설정!$L$5+ROW()-1,설정!$L$12)),INDEX(원자료_잔고!$A$1:$EZ$1500,설정!$L$5+ROW()-1,설정!$L$12),""),"")</f>
        <v>94.562</v>
      </c>
      <c r="G340" s="85" t="n">
        <f aca="false">IFERROR(IF(ISNUMBER(INDEX(원자료_잔고!$A$1:$EZ$1500,설정!$L$5+ROW()-1,설정!$L$13)),INDEX(원자료_잔고!$A$1:$EZ$1500,설정!$L$5+ROW()-1,설정!$L$13),""),"")</f>
        <v>5.707</v>
      </c>
      <c r="H340" s="85" t="n">
        <f aca="false">IFERROR(IF(ISNUMBER(INDEX(원자료_잔고!$A$1:$EZ$1500,설정!$L$5+ROW()-1,설정!$L$14)),INDEX(원자료_잔고!$A$1:$EZ$1500,설정!$L$5+ROW()-1,설정!$L$14),""),"")</f>
        <v>3.7957</v>
      </c>
      <c r="I340" s="86" t="n">
        <f aca="false">IFERROR(IF(ISNUMBER(INDEX(원자료_잔고!$A$1:$EZ$1500,설정!$L$5+ROW()-1,설정!$L$15)),INDEX(원자료_잔고!$A$1:$EZ$1500,설정!$L$5+ROW()-1,설정!$L$15),""),"")</f>
        <v>48235</v>
      </c>
      <c r="J340" s="85" t="n">
        <f aca="false">IFERROR(IF(ISNUMBER(INDEX(원자료_잔고!$A$1:$EZ$1500,설정!$L$5+ROW()-1,설정!$L$16)),INDEX(원자료_잔고!$A$1:$EZ$1500,설정!$L$5+ROW()-1,설정!$L$16),""),"")</f>
        <v>4.347</v>
      </c>
      <c r="K340" s="87" t="n">
        <f aca="false">IFERROR(IF(ISNUMBER(INDEX(원자료_잔고!$A$1:$EZ$1500,설정!$L$5+ROW()-1,설정!$L$17)),INDEX(원자료_잔고!$A$1:$EZ$1500,설정!$L$5+ROW()-1,설정!$L$17),""),"")</f>
        <v>1</v>
      </c>
      <c r="L340" s="84" t="n">
        <f aca="false">IFERROR(IF(ISNUMBER(INDEX(원자료_잔고!$A$1:$EZ$1500,설정!$L$5+ROW()-1,설정!$L$18)),INDEX(원자료_잔고!$A$1:$EZ$1500,설정!$L$5+ROW()-1,설정!$L$18),""),"")</f>
        <v>4728100</v>
      </c>
      <c r="M340" s="88" t="n">
        <f aca="false">IFERROR(IF(ISNUMBER(INDEX(원자료_잔고!$A$1:$EZ$1500,설정!$L$5+ROW()-1,설정!$L$19)),INDEX(원자료_잔고!$A$1:$EZ$1500,설정!$L$5+ROW()-1,설정!$L$19),""),"")</f>
        <v>-271900</v>
      </c>
      <c r="N340" s="83" t="str">
        <f aca="false">IFERROR(IF(INDEX(원자료_잔고!$A$1:$EZ$1500,설정!$L$5+ROW()-1,설정!$L$21)&amp;""="0","",INDEX(원자료_잔고!$A$1:$EZ$1500,설정!$L$5+ROW()-1,설정!$L$21)&amp;""),"")</f>
        <v>A</v>
      </c>
      <c r="O340" s="83" t="str">
        <f aca="false">IFERROR(IF(INDEX(원자료_잔고!$A$1:$EZ$1500,설정!$L$5+ROW()-1,설정!$L$22)&amp;""="0","",INDEX(원자료_잔고!$A$1:$EZ$1500,설정!$L$5+ROW()-1,설정!$L$22)&amp;""),"")</f>
        <v/>
      </c>
      <c r="P340" s="83" t="str">
        <f aca="false">IFERROR(IF(INDEX(원자료_잔고!$A$1:$EZ$1500,설정!$L$5+ROW()-1,설정!$L$23)&amp;""="0","",INDEX(원자료_잔고!$A$1:$EZ$1500,설정!$L$5+ROW()-1,설정!$L$23)&amp;""),"")</f>
        <v>AA-</v>
      </c>
      <c r="Q340" s="89" t="n">
        <f aca="false">IF(AND($A340&lt;&gt;"",ISNUMBER(E340)),IF(E340&gt;0,1,0),0)</f>
        <v>1</v>
      </c>
      <c r="R340" s="43" t="str">
        <f aca="false">IF(Q340=1,UPPER(LEFT($A340,FIND(" ",$A340&amp;" ")-1)),"")</f>
        <v>JPM</v>
      </c>
      <c r="S340" s="89" t="n">
        <f aca="false">IF(Q340=1,IF(OR(ISNUMBER(SEARCH("Float",$A340)),ISNUMBER(SEARCH("FRN",$A340))),1,0),0)</f>
        <v>0</v>
      </c>
      <c r="T340" s="43" t="str">
        <f aca="false">IF(AND(Q340=1,ISNUMBER(I340)),TEXT(I340,"yyyymmdd")&amp;"|"&amp;IF(S340=1,"F",TEXT(J340,"0.000")),"")</f>
        <v>20320122|4.347</v>
      </c>
      <c r="U340" s="90" t="n">
        <f aca="false">IF(AND(Q340=1,ISNUMBER(I340)),(I340-설정!$C$4)/365.25,"")</f>
        <v>5.30869267624914</v>
      </c>
      <c r="V340" s="43" t="str">
        <f aca="false">IF(Q340&lt;&gt;1,"",IF(ISNUMBER(U340),IF(U340&lt;=1,"1년 이하",IF(U340&lt;=2,"1-2년",IF(U340&lt;=3,"2-3년",IF(U340&lt;=4,"3-4년",IF(U340&lt;=5,"4-5년",IF(U340&lt;=7,"5-7년",IF(U340&lt;=10,"7-10년",IF(U340&lt;=20,"10-20년","20년 이상")))))))),"미분류"))</f>
        <v>5-7년</v>
      </c>
      <c r="W340" s="43" t="str">
        <f aca="false">IF(Q340&lt;&gt;1,"",IF(AB340&lt;&gt;"",INDEX(시장분석!$C:$C,AB340),IF(K340=1,"USD","비USD")))</f>
        <v>USD</v>
      </c>
      <c r="X340" s="91" t="n">
        <f aca="false">IF(Q340=1,E340*K340/1000000,0)</f>
        <v>5</v>
      </c>
      <c r="Y340" s="89" t="n">
        <f aca="false">IF(R340="T",1,0)</f>
        <v>0</v>
      </c>
      <c r="Z340" s="92" t="n">
        <f aca="false">IF(Q340&lt;&gt;1,"",IF(AD340=1,IF(ISNUMBER(U340),MAX(U340,0),H340),H340))</f>
        <v>3.7957</v>
      </c>
      <c r="AA340" s="91" t="n">
        <f aca="false">IF(Q340=1,IF(ISNUMBER(L340),L340,0)*K340/1000000,0)</f>
        <v>4.7281</v>
      </c>
      <c r="AB340" s="89" t="n">
        <f aca="false">IF(Q340&lt;&gt;1,"",IFERROR(MATCH(VLOOKUP(B340,매핑!$H$4:$I$15,2,0),시장분석!$A$2:$A$601,0)+1,IFERROR(MATCH(R340&amp;"|"&amp;T340,시장분석!$V$2:$V$601,0)+1,IF(COUNTIF(시장분석!$U$2:$U$601,T340)=1,MATCH(T340,시장분석!$U$2:$U$601,0)+1,""))))</f>
        <v>82</v>
      </c>
      <c r="AC340" s="89" t="n">
        <f aca="false">IF(Q340&lt;&gt;1,0,IF(OR(설정!$C$5="전체",AND(설정!$C$5="선택펀드",IFERROR(COUNTIFS(설정!$F$16:$F$36,C340,설정!$G$16:$G$36,"Y")+COUNTIFS(설정!$F$16:$F$36,VALUE(C340),설정!$G$16:$G$36,"Y"),0)&gt;0),C340&amp;""=설정!$C$5&amp;""),1,0))</f>
        <v>1</v>
      </c>
      <c r="AD340" s="89" t="n">
        <f aca="false">IF(Q340&lt;&gt;1,0,IF(OR(S340=1,IF(AB340="",FALSE(),INDEX(시장분석!$R:$R,AB340)=1)),1,0))</f>
        <v>0</v>
      </c>
      <c r="AE340" s="43" t="str">
        <f aca="false">IF(AB340="","",INDEX(시장분석!$A:$A,AB340))</f>
        <v>JPM 4.347 01/22/32</v>
      </c>
      <c r="AF340" s="93" t="n">
        <f aca="false">IF(AB340="","",IF(ISNUMBER(IF(AB340="","",INDEX(시장분석!$E:$E,AB340))),IF(AB340="","",INDEX(시장분석!$E:$E,AB340)),""))</f>
        <v>73.371</v>
      </c>
      <c r="AG340" s="43" t="str">
        <f aca="false">IF(Q340&lt;&gt;1,"",IF(AB340&lt;&gt;"",IF(AB340="","",INDEX(시장분석!$L:$L,AB340)),IFERROR(IF(VLOOKUP(R340,매핑!$A$4:$E$92,5,0)="","미분류",VLOOKUP(R340,매핑!$A$4:$E$92,5,0)),"미분류")))</f>
        <v>금융기관</v>
      </c>
      <c r="AH340" s="43" t="str">
        <f aca="false">IF(Q340&lt;&gt;1,"",IF(AB340&lt;&gt;"",IF(AB340="","",INDEX(시장분석!$N:$N,AB340)),IFERROR(IF(VLOOKUP(R340,매핑!$A$4:$E$92,4,0)="","미분류",VLOOKUP(R340,매핑!$A$4:$E$92,4,0)),"미분류")))</f>
        <v>미국</v>
      </c>
      <c r="AI340" s="43" t="str">
        <f aca="false">IF(Q340&lt;&gt;1,"",IFERROR(IF(VLOOKUP(R340,매핑!$A$4:$E$92,3,0)="","미분류",VLOOKUP(R340,매핑!$A$4:$E$92,3,0)),IF(AB340&lt;&gt;"",IF(AB340="","",INDEX(시장분석!$W:$W,AB340)),"미분류")))</f>
        <v>미국</v>
      </c>
      <c r="AJ340" s="43" t="str">
        <f aca="false">IF(Q340&lt;&gt;1,"",IFERROR(VLOOKUP(IF(N340&lt;&gt;"",N340,IF(P340&lt;&gt;"",P340,O340)),설정!$A$15:$D$47,2,0),""))</f>
        <v>A</v>
      </c>
      <c r="AK340" s="43" t="str">
        <f aca="false">IF(Q340&lt;&gt;1,"",IF(AJ340="","무등급",IFERROR(VLOOKUP(AJ340,설정!$A$15:$D$47,3,0),"무등급")))</f>
        <v>A</v>
      </c>
      <c r="AL340" s="89" t="n">
        <f aca="false">IF(AJ340="",99,IFERROR(VLOOKUP(AJ340,설정!$A$15:$D$47,4,0),99))</f>
        <v>6</v>
      </c>
      <c r="AM340" s="94" t="n">
        <f aca="false">IF(ISNUMBER(H340),AA340*1000000*H340/10000,0)</f>
        <v>1794.644917</v>
      </c>
      <c r="AN340" s="94" t="n">
        <f aca="false">IF(OR(Y340=1,NOT(ISNUMBER(Z340))),0,AA340*1000000*Z340/10000)</f>
        <v>1794.644917</v>
      </c>
      <c r="AO340" s="94" t="n">
        <f aca="false">IF(ISNUMBER(G340),AA340*1000000*G340/100,0)</f>
        <v>269832.667</v>
      </c>
      <c r="AP340" s="94" t="n">
        <f aca="false">IF(ISNUMBER(M340),M340*K340,0)</f>
        <v>-271900</v>
      </c>
      <c r="AQ340" s="95" t="n">
        <f aca="false">IF(AB340="","",INDEX(시장분석!$AK:$AK,AB340))</f>
        <v>-0.185592076449831</v>
      </c>
      <c r="AR340" s="43" t="str">
        <f aca="false">IF(AB340="","-",IF(AB340="","",INDEX(시장분석!$AL:$AL,AB340)))</f>
        <v>Fair</v>
      </c>
      <c r="AS340" s="96" t="n">
        <f aca="false">IF(AB340="","",INDEX(시장분석!$AJ:$AJ,AB340))</f>
        <v>-2.5383764269115</v>
      </c>
      <c r="AT340" s="93" t="n">
        <f aca="false">IF(AB340="",0,IF(AB340="","",INDEX(시장분석!$AN:$AN,AB340)))</f>
        <v>6.09268499863752</v>
      </c>
      <c r="AU340" s="94" t="n">
        <f aca="false">IF(ISNUMBER(Z340),AT340/10000*MAX(Z340-1,0)*AA340*1000000,0)</f>
        <v>8053.52376948117</v>
      </c>
      <c r="AV340" s="94" t="n">
        <f aca="false">AO340+AU340</f>
        <v>277886.190769481</v>
      </c>
      <c r="AW340" s="43" t="str">
        <f aca="false">IF(Q340&lt;&gt;1,"",TRIM(IF(AD340=1,"FRN ","")&amp;IF(AND(AL340&gt;=10,AL340&lt;99),"BBB0미만 ","")&amp;IF(AJ340="","등급없음 ","")&amp;IF(K340&lt;&gt;1,"비USD ","")&amp;IF(AND(AB340="",Y340=0),"시장데이터없음 ","")&amp;IF(AND(ISNUMBER(U340),U340&lt;0),"만기경과 ","")))</f>
        <v/>
      </c>
      <c r="AX340" s="90" t="n">
        <f aca="false">IF(Q340&lt;&gt;1,1,IF(스프레드쇼크!$C$4="Y",INDEX(스프레드쇼크!$B$12:$L$16,IFERROR(MATCH(AH340,스프레드쇼크!$A$12:$A$16,0),MATCH("목록외",스프레드쇼크!$A$12:$A$16,0)),IFERROR(MATCH(AG340,스프레드쇼크!$B$11:$L$11,0),MATCH("목록외",스프레드쇼크!$B$11:$L$11,0))),1))</f>
        <v>1</v>
      </c>
      <c r="AY340" s="90" t="n">
        <f aca="false">IF(스프레드쇼크!$C$5="Y",IF(ISNUMBER(AF340),MIN(스프레드쇼크!$C$7,MAX(스프레드쇼크!$C$6,AF340/스프레드쇼크!$C$8)),1),1)</f>
        <v>1.1097648493048</v>
      </c>
      <c r="AZ340" s="94" t="n">
        <f aca="false">AN340*AX340*AY340</f>
        <v>1991.63384587014</v>
      </c>
      <c r="BA340" s="90" t="n">
        <f aca="false">IF(ISNUMBER(G340),AA340*G340,0)</f>
        <v>26.9832667</v>
      </c>
      <c r="BB340" s="90" t="n">
        <f aca="false">IF(ISNUMBER(G340),AA340,0)</f>
        <v>4.7281</v>
      </c>
      <c r="BC340" s="90" t="n">
        <f aca="false">IF(AND(Y340=0,ISNUMBER(AF340)),AA340*AF340,0)</f>
        <v>346.9054251</v>
      </c>
      <c r="BD340" s="90" t="n">
        <f aca="false">IF(AND(Y340=0,ISNUMBER(AF340)),AA340,0)</f>
        <v>4.7281</v>
      </c>
      <c r="BE340" s="90" t="n">
        <f aca="false">IF(ISNUMBER(H340),AA340*H340,0)</f>
        <v>17.94644917</v>
      </c>
      <c r="BF340" s="90" t="n">
        <f aca="false">IF(ISNUMBER(H340),AA340,0)</f>
        <v>4.7281</v>
      </c>
      <c r="BG340" s="90" t="n">
        <f aca="false">IF(AND(Y340=0,ISNUMBER(AF340),ISNUMBER(Z340)),AA340*Z340,0)</f>
        <v>17.94644917</v>
      </c>
      <c r="BH340" s="90" t="n">
        <f aca="false">IF(AND(Y340=0,ISNUMBER(AF340),ISNUMBER(Z340)),AA340*AT340*MAX(Z340-1,0),0)</f>
        <v>80.5352376948117</v>
      </c>
      <c r="BI340" s="90" t="n">
        <f aca="false">IF(Y340=0,AA340,0)</f>
        <v>4.7281</v>
      </c>
    </row>
    <row r="341" customFormat="false" ht="15" hidden="false" customHeight="false" outlineLevel="0" collapsed="false">
      <c r="A341" s="83" t="str">
        <f aca="false">IFERROR(IF(INDEX(원자료_잔고!$A$1:$EZ$1500,설정!$L$5+ROW()-1,설정!$L$8)&amp;""="0","",INDEX(원자료_잔고!$A$1:$EZ$1500,설정!$L$5+ROW()-1,설정!$L$8)&amp;""),"")</f>
        <v>POHANG 4.875 01/23/27</v>
      </c>
      <c r="B341" s="83" t="str">
        <f aca="false">IFERROR(IF(INDEX(원자료_잔고!$A$1:$EZ$1500,설정!$L$5+ROW()-1,설정!$L$7)&amp;""="0","",INDEX(원자료_잔고!$A$1:$EZ$1500,설정!$L$5+ROW()-1,설정!$L$7)&amp;""),"")</f>
        <v>USY7S272AK86</v>
      </c>
      <c r="C341" s="83" t="str">
        <f aca="false">IFERROR(IF(INDEX(원자료_잔고!$A$1:$EZ$1500,설정!$L$5+ROW()-1,설정!$L$9)&amp;""="0","",INDEX(원자료_잔고!$A$1:$EZ$1500,설정!$L$5+ROW()-1,설정!$L$9)&amp;""),"")</f>
        <v>38168</v>
      </c>
      <c r="D34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1" s="84" t="n">
        <f aca="false">IFERROR(IF(ISNUMBER(INDEX(원자료_잔고!$A$1:$EZ$1500,설정!$L$5+ROW()-1,설정!$L$11)),INDEX(원자료_잔고!$A$1:$EZ$1500,설정!$L$5+ROW()-1,설정!$L$11),""),"")</f>
        <v>200000</v>
      </c>
      <c r="F341" s="85" t="n">
        <f aca="false">IFERROR(IF(ISNUMBER(INDEX(원자료_잔고!$A$1:$EZ$1500,설정!$L$5+ROW()-1,설정!$L$12)),INDEX(원자료_잔고!$A$1:$EZ$1500,설정!$L$5+ROW()-1,설정!$L$12),""),"")</f>
        <v>99.9334</v>
      </c>
      <c r="G341" s="85" t="n">
        <f aca="false">IFERROR(IF(ISNUMBER(INDEX(원자료_잔고!$A$1:$EZ$1500,설정!$L$5+ROW()-1,설정!$L$13)),INDEX(원자료_잔고!$A$1:$EZ$1500,설정!$L$5+ROW()-1,설정!$L$13),""),"")</f>
        <v>5.0596</v>
      </c>
      <c r="H341" s="85" t="n">
        <f aca="false">IFERROR(IF(ISNUMBER(INDEX(원자료_잔고!$A$1:$EZ$1500,설정!$L$5+ROW()-1,설정!$L$14)),INDEX(원자료_잔고!$A$1:$EZ$1500,설정!$L$5+ROW()-1,설정!$L$14),""),"")</f>
        <v>0.302</v>
      </c>
      <c r="I341" s="86" t="n">
        <f aca="false">IFERROR(IF(ISNUMBER(INDEX(원자료_잔고!$A$1:$EZ$1500,설정!$L$5+ROW()-1,설정!$L$15)),INDEX(원자료_잔고!$A$1:$EZ$1500,설정!$L$5+ROW()-1,설정!$L$15),""),"")</f>
        <v>46410</v>
      </c>
      <c r="J341" s="85" t="n">
        <f aca="false">IFERROR(IF(ISNUMBER(INDEX(원자료_잔고!$A$1:$EZ$1500,설정!$L$5+ROW()-1,설정!$L$16)),INDEX(원자료_잔고!$A$1:$EZ$1500,설정!$L$5+ROW()-1,설정!$L$16),""),"")</f>
        <v>4.875</v>
      </c>
      <c r="K341" s="87" t="n">
        <f aca="false">IFERROR(IF(ISNUMBER(INDEX(원자료_잔고!$A$1:$EZ$1500,설정!$L$5+ROW()-1,설정!$L$17)),INDEX(원자료_잔고!$A$1:$EZ$1500,설정!$L$5+ROW()-1,설정!$L$17),""),"")</f>
        <v>1</v>
      </c>
      <c r="L341" s="84" t="n">
        <f aca="false">IFERROR(IF(ISNUMBER(INDEX(원자료_잔고!$A$1:$EZ$1500,설정!$L$5+ROW()-1,설정!$L$18)),INDEX(원자료_잔고!$A$1:$EZ$1500,설정!$L$5+ROW()-1,설정!$L$18),""),"")</f>
        <v>199866.8</v>
      </c>
      <c r="M341" s="88" t="n">
        <f aca="false">IFERROR(IF(ISNUMBER(INDEX(원자료_잔고!$A$1:$EZ$1500,설정!$L$5+ROW()-1,설정!$L$19)),INDEX(원자료_잔고!$A$1:$EZ$1500,설정!$L$5+ROW()-1,설정!$L$19),""),"")</f>
        <v>-1579.6</v>
      </c>
      <c r="N341" s="83" t="str">
        <f aca="false">IFERROR(IF(INDEX(원자료_잔고!$A$1:$EZ$1500,설정!$L$5+ROW()-1,설정!$L$21)&amp;""="0","",INDEX(원자료_잔고!$A$1:$EZ$1500,설정!$L$5+ROW()-1,설정!$L$21)&amp;""),"")</f>
        <v>BBB+</v>
      </c>
      <c r="O341" s="83" t="str">
        <f aca="false">IFERROR(IF(INDEX(원자료_잔고!$A$1:$EZ$1500,설정!$L$5+ROW()-1,설정!$L$22)&amp;""="0","",INDEX(원자료_잔고!$A$1:$EZ$1500,설정!$L$5+ROW()-1,설정!$L$22)&amp;""),"")</f>
        <v/>
      </c>
      <c r="P341" s="83" t="str">
        <f aca="false">IFERROR(IF(INDEX(원자료_잔고!$A$1:$EZ$1500,설정!$L$5+ROW()-1,설정!$L$23)&amp;""="0","",INDEX(원자료_잔고!$A$1:$EZ$1500,설정!$L$5+ROW()-1,설정!$L$23)&amp;""),"")</f>
        <v>N/A</v>
      </c>
      <c r="Q341" s="89" t="n">
        <f aca="false">IF(AND($A341&lt;&gt;"",ISNUMBER(E341)),IF(E341&gt;0,1,0),0)</f>
        <v>1</v>
      </c>
      <c r="R341" s="43" t="str">
        <f aca="false">IF(Q341=1,UPPER(LEFT($A341,FIND(" ",$A341&amp;" ")-1)),"")</f>
        <v>POHANG</v>
      </c>
      <c r="S341" s="89" t="n">
        <f aca="false">IF(Q341=1,IF(OR(ISNUMBER(SEARCH("Float",$A341)),ISNUMBER(SEARCH("FRN",$A341))),1,0),0)</f>
        <v>0</v>
      </c>
      <c r="T341" s="43" t="str">
        <f aca="false">IF(AND(Q341=1,ISNUMBER(I341)),TEXT(I341,"yyyymmdd")&amp;"|"&amp;IF(S341=1,"F",TEXT(J341,"0.000")),"")</f>
        <v>20270123|4.875</v>
      </c>
      <c r="U341" s="90" t="n">
        <f aca="false">IF(AND(Q341=1,ISNUMBER(I341)),(I341-설정!$C$4)/365.25,"")</f>
        <v>0.31211498973306</v>
      </c>
      <c r="V341" s="43" t="str">
        <f aca="false">IF(Q341&lt;&gt;1,"",IF(ISNUMBER(U341),IF(U341&lt;=1,"1년 이하",IF(U341&lt;=2,"1-2년",IF(U341&lt;=3,"2-3년",IF(U341&lt;=4,"3-4년",IF(U341&lt;=5,"4-5년",IF(U341&lt;=7,"5-7년",IF(U341&lt;=10,"7-10년",IF(U341&lt;=20,"10-20년","20년 이상")))))))),"미분류"))</f>
        <v>1년 이하</v>
      </c>
      <c r="W341" s="43" t="str">
        <f aca="false">IF(Q341&lt;&gt;1,"",IF(AB341&lt;&gt;"",INDEX(시장분석!$C:$C,AB341),IF(K341=1,"USD","비USD")))</f>
        <v>USD</v>
      </c>
      <c r="X341" s="91" t="n">
        <f aca="false">IF(Q341=1,E341*K341/1000000,0)</f>
        <v>0.2</v>
      </c>
      <c r="Y341" s="89" t="n">
        <f aca="false">IF(R341="T",1,0)</f>
        <v>0</v>
      </c>
      <c r="Z341" s="92" t="n">
        <f aca="false">IF(Q341&lt;&gt;1,"",IF(AD341=1,IF(ISNUMBER(U341),MAX(U341,0),H341),H341))</f>
        <v>0.302</v>
      </c>
      <c r="AA341" s="91" t="n">
        <f aca="false">IF(Q341=1,IF(ISNUMBER(L341),L341,0)*K341/1000000,0)</f>
        <v>0.1998668</v>
      </c>
      <c r="AB341" s="89" t="n">
        <f aca="false">IF(Q341&lt;&gt;1,"",IFERROR(MATCH(VLOOKUP(B341,매핑!$H$4:$I$15,2,0),시장분석!$A$2:$A$601,0)+1,IFERROR(MATCH(R341&amp;"|"&amp;T341,시장분석!$V$2:$V$601,0)+1,IF(COUNTIF(시장분석!$U$2:$U$601,T341)=1,MATCH(T341,시장분석!$U$2:$U$601,0)+1,""))))</f>
        <v>195</v>
      </c>
      <c r="AC341" s="89" t="n">
        <f aca="false">IF(Q341&lt;&gt;1,0,IF(OR(설정!$C$5="전체",AND(설정!$C$5="선택펀드",IFERROR(COUNTIFS(설정!$F$16:$F$36,C341,설정!$G$16:$G$36,"Y")+COUNTIFS(설정!$F$16:$F$36,VALUE(C341),설정!$G$16:$G$36,"Y"),0)&gt;0),C341&amp;""=설정!$C$5&amp;""),1,0))</f>
        <v>1</v>
      </c>
      <c r="AD341" s="89" t="n">
        <f aca="false">IF(Q341&lt;&gt;1,0,IF(OR(S341=1,IF(AB341="",FALSE(),INDEX(시장분석!$R:$R,AB341)=1)),1,0))</f>
        <v>0</v>
      </c>
      <c r="AE341" s="43" t="str">
        <f aca="false">IF(AB341="","",INDEX(시장분석!$A:$A,AB341))</f>
        <v>POHANG 4 7/8 01/23/27</v>
      </c>
      <c r="AF341" s="93" t="n">
        <f aca="false">IF(AB341="","",IF(ISNUMBER(IF(AB341="","",INDEX(시장분석!$E:$E,AB341))),IF(AB341="","",INDEX(시장분석!$E:$E,AB341)),""))</f>
        <v>-5.276</v>
      </c>
      <c r="AG341" s="43" t="str">
        <f aca="false">IF(Q341&lt;&gt;1,"",IF(AB341&lt;&gt;"",IF(AB341="","",INDEX(시장분석!$L:$L,AB341)),IFERROR(IF(VLOOKUP(R341,매핑!$A$4:$E$92,5,0)="","미분류",VLOOKUP(R341,매핑!$A$4:$E$92,5,0)),"미분류")))</f>
        <v>원자재</v>
      </c>
      <c r="AH341" s="43" t="str">
        <f aca="false">IF(Q341&lt;&gt;1,"",IF(AB341&lt;&gt;"",IF(AB341="","",INDEX(시장분석!$N:$N,AB341)),IFERROR(IF(VLOOKUP(R341,매핑!$A$4:$E$92,4,0)="","미분류",VLOOKUP(R341,매핑!$A$4:$E$92,4,0)),"미분류")))</f>
        <v>아시아/기타</v>
      </c>
      <c r="AI341" s="43" t="str">
        <f aca="false">IF(Q341&lt;&gt;1,"",IFERROR(IF(VLOOKUP(R341,매핑!$A$4:$E$92,3,0)="","미분류",VLOOKUP(R341,매핑!$A$4:$E$92,3,0)),IF(AB341&lt;&gt;"",IF(AB341="","",INDEX(시장분석!$W:$W,AB341)),"미분류")))</f>
        <v>한국</v>
      </c>
      <c r="AJ341" s="43" t="str">
        <f aca="false">IF(Q341&lt;&gt;1,"",IFERROR(VLOOKUP(IF(N341&lt;&gt;"",N341,IF(P341&lt;&gt;"",P341,O341)),설정!$A$15:$D$47,2,0),""))</f>
        <v>BBB+</v>
      </c>
      <c r="AK341" s="43" t="str">
        <f aca="false">IF(Q341&lt;&gt;1,"",IF(AJ341="","무등급",IFERROR(VLOOKUP(AJ341,설정!$A$15:$D$47,3,0),"무등급")))</f>
        <v>BBB</v>
      </c>
      <c r="AL341" s="89" t="n">
        <f aca="false">IF(AJ341="",99,IFERROR(VLOOKUP(AJ341,설정!$A$15:$D$47,4,0),99))</f>
        <v>8</v>
      </c>
      <c r="AM341" s="94" t="n">
        <f aca="false">IF(ISNUMBER(H341),AA341*1000000*H341/10000,0)</f>
        <v>6.03597736</v>
      </c>
      <c r="AN341" s="94" t="n">
        <f aca="false">IF(OR(Y341=1,NOT(ISNUMBER(Z341))),0,AA341*1000000*Z341/10000)</f>
        <v>6.03597736</v>
      </c>
      <c r="AO341" s="94" t="n">
        <f aca="false">IF(ISNUMBER(G341),AA341*1000000*G341/100,0)</f>
        <v>10112.4606128</v>
      </c>
      <c r="AP341" s="94" t="n">
        <f aca="false">IF(ISNUMBER(M341),M341*K341,0)</f>
        <v>-1579.6</v>
      </c>
      <c r="AQ341" s="95" t="str">
        <f aca="false">IF(AB341="","",INDEX(시장분석!$AK:$AK,AB341))</f>
        <v/>
      </c>
      <c r="AR341" s="43" t="str">
        <f aca="false">IF(AB341="","-",IF(AB341="","",INDEX(시장분석!$AL:$AL,AB341)))</f>
        <v>-</v>
      </c>
      <c r="AS341" s="96" t="str">
        <f aca="false">IF(AB341="","",INDEX(시장분석!$AJ:$AJ,AB341))</f>
        <v/>
      </c>
      <c r="AT341" s="93" t="n">
        <f aca="false">IF(AB341="",0,IF(AB341="","",INDEX(시장분석!$AN:$AN,AB341)))</f>
        <v>0</v>
      </c>
      <c r="AU341" s="94" t="n">
        <f aca="false">IF(ISNUMBER(Z341),AT341/10000*MAX(Z341-1,0)*AA341*1000000,0)</f>
        <v>0</v>
      </c>
      <c r="AV341" s="94" t="n">
        <f aca="false">AO341+AU341</f>
        <v>10112.4606128</v>
      </c>
      <c r="AW341" s="43" t="str">
        <f aca="false">IF(Q341&lt;&gt;1,"",TRIM(IF(AD341=1,"FRN ","")&amp;IF(AND(AL341&gt;=10,AL341&lt;99),"BBB0미만 ","")&amp;IF(AJ341="","등급없음 ","")&amp;IF(K341&lt;&gt;1,"비USD ","")&amp;IF(AND(AB341="",Y341=0),"시장데이터없음 ","")&amp;IF(AND(ISNUMBER(U341),U341&lt;0),"만기경과 ","")))</f>
        <v/>
      </c>
      <c r="AX341" s="90" t="n">
        <f aca="false">IF(Q341&lt;&gt;1,1,IF(스프레드쇼크!$C$4="Y",INDEX(스프레드쇼크!$B$12:$L$16,IFERROR(MATCH(AH341,스프레드쇼크!$A$12:$A$16,0),MATCH("목록외",스프레드쇼크!$A$12:$A$16,0)),IFERROR(MATCH(AG341,스프레드쇼크!$B$11:$L$11,0),MATCH("목록외",스프레드쇼크!$B$11:$L$11,0))),1))</f>
        <v>1</v>
      </c>
      <c r="AY341" s="90" t="n">
        <f aca="false">IF(스프레드쇼크!$C$5="Y",IF(ISNUMBER(AF341),MIN(스프레드쇼크!$C$7,MAX(스프레드쇼크!$C$6,AF341/스프레드쇼크!$C$8)),1),1)</f>
        <v>0.25</v>
      </c>
      <c r="AZ341" s="94" t="n">
        <f aca="false">AN341*AX341*AY341</f>
        <v>1.50899434</v>
      </c>
      <c r="BA341" s="90" t="n">
        <f aca="false">IF(ISNUMBER(G341),AA341*G341,0)</f>
        <v>1.01124606128</v>
      </c>
      <c r="BB341" s="90" t="n">
        <f aca="false">IF(ISNUMBER(G341),AA341,0)</f>
        <v>0.1998668</v>
      </c>
      <c r="BC341" s="90" t="n">
        <f aca="false">IF(AND(Y341=0,ISNUMBER(AF341)),AA341*AF341,0)</f>
        <v>-1.0544972368</v>
      </c>
      <c r="BD341" s="90" t="n">
        <f aca="false">IF(AND(Y341=0,ISNUMBER(AF341)),AA341,0)</f>
        <v>0.1998668</v>
      </c>
      <c r="BE341" s="90" t="n">
        <f aca="false">IF(ISNUMBER(H341),AA341*H341,0)</f>
        <v>0.0603597736</v>
      </c>
      <c r="BF341" s="90" t="n">
        <f aca="false">IF(ISNUMBER(H341),AA341,0)</f>
        <v>0.1998668</v>
      </c>
      <c r="BG341" s="90" t="n">
        <f aca="false">IF(AND(Y341=0,ISNUMBER(AF341),ISNUMBER(Z341)),AA341*Z341,0)</f>
        <v>0.0603597736</v>
      </c>
      <c r="BH341" s="90" t="n">
        <f aca="false">IF(AND(Y341=0,ISNUMBER(AF341),ISNUMBER(Z341)),AA341*AT341*MAX(Z341-1,0),0)</f>
        <v>0</v>
      </c>
      <c r="BI341" s="90" t="n">
        <f aca="false">IF(Y341=0,AA341,0)</f>
        <v>0.1998668</v>
      </c>
    </row>
    <row r="342" customFormat="false" ht="15" hidden="false" customHeight="false" outlineLevel="0" collapsed="false">
      <c r="A342" s="83" t="str">
        <f aca="false">IFERROR(IF(INDEX(원자료_잔고!$A$1:$EZ$1500,설정!$L$5+ROW()-1,설정!$L$8)&amp;""="0","",INDEX(원자료_잔고!$A$1:$EZ$1500,설정!$L$5+ROW()-1,설정!$L$8)&amp;""),"")</f>
        <v>NHNCOR 4.375 04/21/31</v>
      </c>
      <c r="B342" s="83" t="str">
        <f aca="false">IFERROR(IF(INDEX(원자료_잔고!$A$1:$EZ$1500,설정!$L$5+ROW()-1,설정!$L$7)&amp;""="0","",INDEX(원자료_잔고!$A$1:$EZ$1500,설정!$L$5+ROW()-1,설정!$L$7)&amp;""),"")</f>
        <v>HK0001277489</v>
      </c>
      <c r="C342" s="83" t="str">
        <f aca="false">IFERROR(IF(INDEX(원자료_잔고!$A$1:$EZ$1500,설정!$L$5+ROW()-1,설정!$L$9)&amp;""="0","",INDEX(원자료_잔고!$A$1:$EZ$1500,설정!$L$5+ROW()-1,설정!$L$9)&amp;""),"")</f>
        <v>42003</v>
      </c>
      <c r="D34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2" s="84" t="n">
        <f aca="false">IFERROR(IF(ISNUMBER(INDEX(원자료_잔고!$A$1:$EZ$1500,설정!$L$5+ROW()-1,설정!$L$11)),INDEX(원자료_잔고!$A$1:$EZ$1500,설정!$L$5+ROW()-1,설정!$L$11),""),"")</f>
        <v>3000000</v>
      </c>
      <c r="F342" s="85" t="n">
        <f aca="false">IFERROR(IF(ISNUMBER(INDEX(원자료_잔고!$A$1:$EZ$1500,설정!$L$5+ROW()-1,설정!$L$12)),INDEX(원자료_잔고!$A$1:$EZ$1500,설정!$L$5+ROW()-1,설정!$L$12),""),"")</f>
        <v>95.4548</v>
      </c>
      <c r="G342" s="85" t="n">
        <f aca="false">IFERROR(IF(ISNUMBER(INDEX(원자료_잔고!$A$1:$EZ$1500,설정!$L$5+ROW()-1,설정!$L$13)),INDEX(원자료_잔고!$A$1:$EZ$1500,설정!$L$5+ROW()-1,설정!$L$13),""),"")</f>
        <v>5.5155</v>
      </c>
      <c r="H342" s="85" t="n">
        <f aca="false">IFERROR(IF(ISNUMBER(INDEX(원자료_잔고!$A$1:$EZ$1500,설정!$L$5+ROW()-1,설정!$L$14)),INDEX(원자료_잔고!$A$1:$EZ$1500,설정!$L$5+ROW()-1,설정!$L$14),""),"")</f>
        <v>3.8826</v>
      </c>
      <c r="I342" s="86" t="n">
        <f aca="false">IFERROR(IF(ISNUMBER(INDEX(원자료_잔고!$A$1:$EZ$1500,설정!$L$5+ROW()-1,설정!$L$15)),INDEX(원자료_잔고!$A$1:$EZ$1500,설정!$L$5+ROW()-1,설정!$L$15),""),"")</f>
        <v>47959</v>
      </c>
      <c r="J342" s="85" t="n">
        <f aca="false">IFERROR(IF(ISNUMBER(INDEX(원자료_잔고!$A$1:$EZ$1500,설정!$L$5+ROW()-1,설정!$L$16)),INDEX(원자료_잔고!$A$1:$EZ$1500,설정!$L$5+ROW()-1,설정!$L$16),""),"")</f>
        <v>4.375</v>
      </c>
      <c r="K342" s="87" t="n">
        <f aca="false">IFERROR(IF(ISNUMBER(INDEX(원자료_잔고!$A$1:$EZ$1500,설정!$L$5+ROW()-1,설정!$L$17)),INDEX(원자료_잔고!$A$1:$EZ$1500,설정!$L$5+ROW()-1,설정!$L$17),""),"")</f>
        <v>1</v>
      </c>
      <c r="L342" s="84" t="n">
        <f aca="false">IFERROR(IF(ISNUMBER(INDEX(원자료_잔고!$A$1:$EZ$1500,설정!$L$5+ROW()-1,설정!$L$18)),INDEX(원자료_잔고!$A$1:$EZ$1500,설정!$L$5+ROW()-1,설정!$L$18),""),"")</f>
        <v>2863644</v>
      </c>
      <c r="M342" s="88" t="n">
        <f aca="false">IFERROR(IF(ISNUMBER(INDEX(원자료_잔고!$A$1:$EZ$1500,설정!$L$5+ROW()-1,설정!$L$19)),INDEX(원자료_잔고!$A$1:$EZ$1500,설정!$L$5+ROW()-1,설정!$L$19),""),"")</f>
        <v>-123642.49</v>
      </c>
      <c r="N342" s="83" t="str">
        <f aca="false">IFERROR(IF(INDEX(원자료_잔고!$A$1:$EZ$1500,설정!$L$5+ROW()-1,설정!$L$21)&amp;""="0","",INDEX(원자료_잔고!$A$1:$EZ$1500,설정!$L$5+ROW()-1,설정!$L$21)&amp;""),"")</f>
        <v>A-</v>
      </c>
      <c r="O342" s="83" t="str">
        <f aca="false">IFERROR(IF(INDEX(원자료_잔고!$A$1:$EZ$1500,설정!$L$5+ROW()-1,설정!$L$22)&amp;""="0","",INDEX(원자료_잔고!$A$1:$EZ$1500,설정!$L$5+ROW()-1,설정!$L$22)&amp;""),"")</f>
        <v/>
      </c>
      <c r="P342" s="83" t="str">
        <f aca="false">IFERROR(IF(INDEX(원자료_잔고!$A$1:$EZ$1500,설정!$L$5+ROW()-1,설정!$L$23)&amp;""="0","",INDEX(원자료_잔고!$A$1:$EZ$1500,설정!$L$5+ROW()-1,설정!$L$23)&amp;""),"")</f>
        <v>N/A</v>
      </c>
      <c r="Q342" s="89" t="n">
        <f aca="false">IF(AND($A342&lt;&gt;"",ISNUMBER(E342)),IF(E342&gt;0,1,0),0)</f>
        <v>1</v>
      </c>
      <c r="R342" s="43" t="str">
        <f aca="false">IF(Q342=1,UPPER(LEFT($A342,FIND(" ",$A342&amp;" ")-1)),"")</f>
        <v>NHNCOR</v>
      </c>
      <c r="S342" s="89" t="n">
        <f aca="false">IF(Q342=1,IF(OR(ISNUMBER(SEARCH("Float",$A342)),ISNUMBER(SEARCH("FRN",$A342))),1,0),0)</f>
        <v>0</v>
      </c>
      <c r="T342" s="43" t="str">
        <f aca="false">IF(AND(Q342=1,ISNUMBER(I342)),TEXT(I342,"yyyymmdd")&amp;"|"&amp;IF(S342=1,"F",TEXT(J342,"0.000")),"")</f>
        <v>20310421|4.375</v>
      </c>
      <c r="U342" s="90" t="n">
        <f aca="false">IF(AND(Q342=1,ISNUMBER(I342)),(I342-설정!$C$4)/365.25,"")</f>
        <v>4.55304585900069</v>
      </c>
      <c r="V342" s="43" t="str">
        <f aca="false">IF(Q342&lt;&gt;1,"",IF(ISNUMBER(U342),IF(U342&lt;=1,"1년 이하",IF(U342&lt;=2,"1-2년",IF(U342&lt;=3,"2-3년",IF(U342&lt;=4,"3-4년",IF(U342&lt;=5,"4-5년",IF(U342&lt;=7,"5-7년",IF(U342&lt;=10,"7-10년",IF(U342&lt;=20,"10-20년","20년 이상")))))))),"미분류"))</f>
        <v>4-5년</v>
      </c>
      <c r="W342" s="43" t="str">
        <f aca="false">IF(Q342&lt;&gt;1,"",IF(AB342&lt;&gt;"",INDEX(시장분석!$C:$C,AB342),IF(K342=1,"USD","비USD")))</f>
        <v>USD</v>
      </c>
      <c r="X342" s="91" t="n">
        <f aca="false">IF(Q342=1,E342*K342/1000000,0)</f>
        <v>3</v>
      </c>
      <c r="Y342" s="89" t="n">
        <f aca="false">IF(R342="T",1,0)</f>
        <v>0</v>
      </c>
      <c r="Z342" s="92" t="n">
        <f aca="false">IF(Q342&lt;&gt;1,"",IF(AD342=1,IF(ISNUMBER(U342),MAX(U342,0),H342),H342))</f>
        <v>3.8826</v>
      </c>
      <c r="AA342" s="91" t="n">
        <f aca="false">IF(Q342=1,IF(ISNUMBER(L342),L342,0)*K342/1000000,0)</f>
        <v>2.863644</v>
      </c>
      <c r="AB342" s="89" t="n">
        <f aca="false">IF(Q342&lt;&gt;1,"",IFERROR(MATCH(VLOOKUP(B342,매핑!$H$4:$I$15,2,0),시장분석!$A$2:$A$601,0)+1,IFERROR(MATCH(R342&amp;"|"&amp;T342,시장분석!$V$2:$V$601,0)+1,IF(COUNTIF(시장분석!$U$2:$U$601,T342)=1,MATCH(T342,시장분석!$U$2:$U$601,0)+1,""))))</f>
        <v>3</v>
      </c>
      <c r="AC342" s="89" t="n">
        <f aca="false">IF(Q342&lt;&gt;1,0,IF(OR(설정!$C$5="전체",AND(설정!$C$5="선택펀드",IFERROR(COUNTIFS(설정!$F$16:$F$36,C342,설정!$G$16:$G$36,"Y")+COUNTIFS(설정!$F$16:$F$36,VALUE(C342),설정!$G$16:$G$36,"Y"),0)&gt;0),C342&amp;""=설정!$C$5&amp;""),1,0))</f>
        <v>0</v>
      </c>
      <c r="AD342" s="89" t="n">
        <f aca="false">IF(Q342&lt;&gt;1,0,IF(OR(S342=1,IF(AB342="",FALSE(),INDEX(시장분석!$R:$R,AB342)=1)),1,0))</f>
        <v>0</v>
      </c>
      <c r="AE342" s="43" t="str">
        <f aca="false">IF(AB342="","",INDEX(시장분석!$A:$A,AB342))</f>
        <v>NHNCOR 4 3/8 04/21/31</v>
      </c>
      <c r="AF342" s="93" t="n">
        <f aca="false">IF(AB342="","",IF(ISNUMBER(IF(AB342="","",INDEX(시장분석!$E:$E,AB342))),IF(AB342="","",INDEX(시장분석!$E:$E,AB342)),""))</f>
        <v>47.288</v>
      </c>
      <c r="AG342" s="43" t="str">
        <f aca="false">IF(Q342&lt;&gt;1,"",IF(AB342&lt;&gt;"",IF(AB342="","",INDEX(시장분석!$L:$L,AB342)),IFERROR(IF(VLOOKUP(R342,매핑!$A$4:$E$92,5,0)="","미분류",VLOOKUP(R342,매핑!$A$4:$E$92,5,0)),"미분류")))</f>
        <v>통신</v>
      </c>
      <c r="AH342" s="43" t="str">
        <f aca="false">IF(Q342&lt;&gt;1,"",IF(AB342&lt;&gt;"",IF(AB342="","",INDEX(시장분석!$N:$N,AB342)),IFERROR(IF(VLOOKUP(R342,매핑!$A$4:$E$92,4,0)="","미분류",VLOOKUP(R342,매핑!$A$4:$E$92,4,0)),"미분류")))</f>
        <v>아시아/기타</v>
      </c>
      <c r="AI342" s="43" t="str">
        <f aca="false">IF(Q342&lt;&gt;1,"",IFERROR(IF(VLOOKUP(R342,매핑!$A$4:$E$92,3,0)="","미분류",VLOOKUP(R342,매핑!$A$4:$E$92,3,0)),IF(AB342&lt;&gt;"",IF(AB342="","",INDEX(시장분석!$W:$W,AB342)),"미분류")))</f>
        <v>한국</v>
      </c>
      <c r="AJ342" s="43" t="str">
        <f aca="false">IF(Q342&lt;&gt;1,"",IFERROR(VLOOKUP(IF(N342&lt;&gt;"",N342,IF(P342&lt;&gt;"",P342,O342)),설정!$A$15:$D$47,2,0),""))</f>
        <v>A-</v>
      </c>
      <c r="AK342" s="43" t="str">
        <f aca="false">IF(Q342&lt;&gt;1,"",IF(AJ342="","무등급",IFERROR(VLOOKUP(AJ342,설정!$A$15:$D$47,3,0),"무등급")))</f>
        <v>A</v>
      </c>
      <c r="AL342" s="89" t="n">
        <f aca="false">IF(AJ342="",99,IFERROR(VLOOKUP(AJ342,설정!$A$15:$D$47,4,0),99))</f>
        <v>7</v>
      </c>
      <c r="AM342" s="94" t="n">
        <f aca="false">IF(ISNUMBER(H342),AA342*1000000*H342/10000,0)</f>
        <v>1111.83841944</v>
      </c>
      <c r="AN342" s="94" t="n">
        <f aca="false">IF(OR(Y342=1,NOT(ISNUMBER(Z342))),0,AA342*1000000*Z342/10000)</f>
        <v>1111.83841944</v>
      </c>
      <c r="AO342" s="94" t="n">
        <f aca="false">IF(ISNUMBER(G342),AA342*1000000*G342/100,0)</f>
        <v>157944.28482</v>
      </c>
      <c r="AP342" s="94" t="n">
        <f aca="false">IF(ISNUMBER(M342),M342*K342,0)</f>
        <v>-123642.49</v>
      </c>
      <c r="AQ342" s="95" t="n">
        <f aca="false">IF(AB342="","",INDEX(시장분석!$AK:$AK,AB342))</f>
        <v>-1.7948493621165</v>
      </c>
      <c r="AR342" s="43" t="str">
        <f aca="false">IF(AB342="","-",IF(AB342="","",INDEX(시장분석!$AL:$AL,AB342)))</f>
        <v>Rich</v>
      </c>
      <c r="AS342" s="96" t="n">
        <f aca="false">IF(AB342="","",INDEX(시장분석!$AJ:$AJ,AB342))</f>
        <v>-27.7453329809296</v>
      </c>
      <c r="AT342" s="93" t="n">
        <f aca="false">IF(AB342="",0,IF(AB342="","",INDEX(시장분석!$AN:$AN,AB342)))</f>
        <v>11.0596879939504</v>
      </c>
      <c r="AU342" s="94" t="n">
        <f aca="false">IF(ISNUMBER(Z342),AT342/10000*MAX(Z342-1,0)*AA342*1000000,0)</f>
        <v>9129.48510211857</v>
      </c>
      <c r="AV342" s="94" t="n">
        <f aca="false">AO342+AU342</f>
        <v>167073.769922119</v>
      </c>
      <c r="AW342" s="43" t="str">
        <f aca="false">IF(Q342&lt;&gt;1,"",TRIM(IF(AD342=1,"FRN ","")&amp;IF(AND(AL342&gt;=10,AL342&lt;99),"BBB0미만 ","")&amp;IF(AJ342="","등급없음 ","")&amp;IF(K342&lt;&gt;1,"비USD ","")&amp;IF(AND(AB342="",Y342=0),"시장데이터없음 ","")&amp;IF(AND(ISNUMBER(U342),U342&lt;0),"만기경과 ","")))</f>
        <v/>
      </c>
      <c r="AX342" s="90" t="n">
        <f aca="false">IF(Q342&lt;&gt;1,1,IF(스프레드쇼크!$C$4="Y",INDEX(스프레드쇼크!$B$12:$L$16,IFERROR(MATCH(AH342,스프레드쇼크!$A$12:$A$16,0),MATCH("목록외",스프레드쇼크!$A$12:$A$16,0)),IFERROR(MATCH(AG342,스프레드쇼크!$B$11:$L$11,0),MATCH("목록외",스프레드쇼크!$B$11:$L$11,0))),1))</f>
        <v>1</v>
      </c>
      <c r="AY342" s="90" t="n">
        <f aca="false">IF(스프레드쇼크!$C$5="Y",IF(ISNUMBER(AF342),MIN(스프레드쇼크!$C$7,MAX(스프레드쇼크!$C$6,AF342/스프레드쇼크!$C$8)),1),1)</f>
        <v>0.715249351840993</v>
      </c>
      <c r="AZ342" s="94" t="n">
        <f aca="false">AN342*AX342*AY342</f>
        <v>795.241708856374</v>
      </c>
      <c r="BA342" s="90" t="n">
        <f aca="false">IF(ISNUMBER(G342),AA342*G342,0)</f>
        <v>15.794428482</v>
      </c>
      <c r="BB342" s="90" t="n">
        <f aca="false">IF(ISNUMBER(G342),AA342,0)</f>
        <v>2.863644</v>
      </c>
      <c r="BC342" s="90" t="n">
        <f aca="false">IF(AND(Y342=0,ISNUMBER(AF342)),AA342*AF342,0)</f>
        <v>135.415997472</v>
      </c>
      <c r="BD342" s="90" t="n">
        <f aca="false">IF(AND(Y342=0,ISNUMBER(AF342)),AA342,0)</f>
        <v>2.863644</v>
      </c>
      <c r="BE342" s="90" t="n">
        <f aca="false">IF(ISNUMBER(H342),AA342*H342,0)</f>
        <v>11.1183841944</v>
      </c>
      <c r="BF342" s="90" t="n">
        <f aca="false">IF(ISNUMBER(H342),AA342,0)</f>
        <v>2.863644</v>
      </c>
      <c r="BG342" s="90" t="n">
        <f aca="false">IF(AND(Y342=0,ISNUMBER(AF342),ISNUMBER(Z342)),AA342*Z342,0)</f>
        <v>11.1183841944</v>
      </c>
      <c r="BH342" s="90" t="n">
        <f aca="false">IF(AND(Y342=0,ISNUMBER(AF342),ISNUMBER(Z342)),AA342*AT342*MAX(Z342-1,0),0)</f>
        <v>91.2948510211857</v>
      </c>
      <c r="BI342" s="90" t="n">
        <f aca="false">IF(Y342=0,AA342,0)</f>
        <v>2.863644</v>
      </c>
    </row>
    <row r="343" customFormat="false" ht="15" hidden="false" customHeight="false" outlineLevel="0" collapsed="false">
      <c r="A343" s="83" t="str">
        <f aca="false">IFERROR(IF(INDEX(원자료_잔고!$A$1:$EZ$1500,설정!$L$5+ROW()-1,설정!$L$8)&amp;""="0","",INDEX(원자료_잔고!$A$1:$EZ$1500,설정!$L$5+ROW()-1,설정!$L$8)&amp;""),"")</f>
        <v>KOEWPW 4.75 01/13/32</v>
      </c>
      <c r="B343" s="83" t="str">
        <f aca="false">IFERROR(IF(INDEX(원자료_잔고!$A$1:$EZ$1500,설정!$L$5+ROW()-1,설정!$L$7)&amp;""="0","",INDEX(원자료_잔고!$A$1:$EZ$1500,설정!$L$5+ROW()-1,설정!$L$7)&amp;""),"")</f>
        <v>HK0001319182</v>
      </c>
      <c r="C343" s="83" t="str">
        <f aca="false">IFERROR(IF(INDEX(원자료_잔고!$A$1:$EZ$1500,설정!$L$5+ROW()-1,설정!$L$9)&amp;""="0","",INDEX(원자료_잔고!$A$1:$EZ$1500,설정!$L$5+ROW()-1,설정!$L$9)&amp;""),"")</f>
        <v>42003</v>
      </c>
      <c r="D34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3" s="84" t="n">
        <f aca="false">IFERROR(IF(ISNUMBER(INDEX(원자료_잔고!$A$1:$EZ$1500,설정!$L$5+ROW()-1,설정!$L$11)),INDEX(원자료_잔고!$A$1:$EZ$1500,설정!$L$5+ROW()-1,설정!$L$11),""),"")</f>
        <v>1000000</v>
      </c>
      <c r="F343" s="85" t="n">
        <f aca="false">IFERROR(IF(ISNUMBER(INDEX(원자료_잔고!$A$1:$EZ$1500,설정!$L$5+ROW()-1,설정!$L$12)),INDEX(원자료_잔고!$A$1:$EZ$1500,설정!$L$5+ROW()-1,설정!$L$12),""),"")</f>
        <v>96.0782</v>
      </c>
      <c r="G343" s="85" t="n">
        <f aca="false">IFERROR(IF(ISNUMBER(INDEX(원자료_잔고!$A$1:$EZ$1500,설정!$L$5+ROW()-1,설정!$L$13)),INDEX(원자료_잔고!$A$1:$EZ$1500,설정!$L$5+ROW()-1,설정!$L$13),""),"")</f>
        <v>5.6153</v>
      </c>
      <c r="H343" s="85" t="n">
        <f aca="false">IFERROR(IF(ISNUMBER(INDEX(원자료_잔고!$A$1:$EZ$1500,설정!$L$5+ROW()-1,설정!$L$14)),INDEX(원자료_잔고!$A$1:$EZ$1500,설정!$L$5+ROW()-1,설정!$L$14),""),"")</f>
        <v>4.4518</v>
      </c>
      <c r="I343" s="86" t="n">
        <f aca="false">IFERROR(IF(ISNUMBER(INDEX(원자료_잔고!$A$1:$EZ$1500,설정!$L$5+ROW()-1,설정!$L$15)),INDEX(원자료_잔고!$A$1:$EZ$1500,설정!$L$5+ROW()-1,설정!$L$15),""),"")</f>
        <v>48226</v>
      </c>
      <c r="J343" s="85" t="n">
        <f aca="false">IFERROR(IF(ISNUMBER(INDEX(원자료_잔고!$A$1:$EZ$1500,설정!$L$5+ROW()-1,설정!$L$16)),INDEX(원자료_잔고!$A$1:$EZ$1500,설정!$L$5+ROW()-1,설정!$L$16),""),"")</f>
        <v>4.75</v>
      </c>
      <c r="K343" s="87" t="n">
        <f aca="false">IFERROR(IF(ISNUMBER(INDEX(원자료_잔고!$A$1:$EZ$1500,설정!$L$5+ROW()-1,설정!$L$17)),INDEX(원자료_잔고!$A$1:$EZ$1500,설정!$L$5+ROW()-1,설정!$L$17),""),"")</f>
        <v>1</v>
      </c>
      <c r="L343" s="84" t="n">
        <f aca="false">IFERROR(IF(ISNUMBER(INDEX(원자료_잔고!$A$1:$EZ$1500,설정!$L$5+ROW()-1,설정!$L$18)),INDEX(원자료_잔고!$A$1:$EZ$1500,설정!$L$5+ROW()-1,설정!$L$18),""),"")</f>
        <v>960782</v>
      </c>
      <c r="M343" s="88" t="n">
        <f aca="false">IFERROR(IF(ISNUMBER(INDEX(원자료_잔고!$A$1:$EZ$1500,설정!$L$5+ROW()-1,설정!$L$19)),INDEX(원자료_잔고!$A$1:$EZ$1500,설정!$L$5+ROW()-1,설정!$L$19),""),"")</f>
        <v>-37810.87</v>
      </c>
      <c r="N343" s="83" t="str">
        <f aca="false">IFERROR(IF(INDEX(원자료_잔고!$A$1:$EZ$1500,설정!$L$5+ROW()-1,설정!$L$21)&amp;""="0","",INDEX(원자료_잔고!$A$1:$EZ$1500,설정!$L$5+ROW()-1,설정!$L$21)&amp;""),"")</f>
        <v/>
      </c>
      <c r="O343" s="83" t="str">
        <f aca="false">IFERROR(IF(INDEX(원자료_잔고!$A$1:$EZ$1500,설정!$L$5+ROW()-1,설정!$L$22)&amp;""="0","",INDEX(원자료_잔고!$A$1:$EZ$1500,설정!$L$5+ROW()-1,설정!$L$22)&amp;""),"")</f>
        <v/>
      </c>
      <c r="P343" s="83" t="str">
        <f aca="false">IFERROR(IF(INDEX(원자료_잔고!$A$1:$EZ$1500,설정!$L$5+ROW()-1,설정!$L$23)&amp;""="0","",INDEX(원자료_잔고!$A$1:$EZ$1500,설정!$L$5+ROW()-1,설정!$L$23)&amp;""),"")</f>
        <v>N/A</v>
      </c>
      <c r="Q343" s="89" t="n">
        <f aca="false">IF(AND($A343&lt;&gt;"",ISNUMBER(E343)),IF(E343&gt;0,1,0),0)</f>
        <v>1</v>
      </c>
      <c r="R343" s="43" t="str">
        <f aca="false">IF(Q343=1,UPPER(LEFT($A343,FIND(" ",$A343&amp;" ")-1)),"")</f>
        <v>KOEWPW</v>
      </c>
      <c r="S343" s="89" t="n">
        <f aca="false">IF(Q343=1,IF(OR(ISNUMBER(SEARCH("Float",$A343)),ISNUMBER(SEARCH("FRN",$A343))),1,0),0)</f>
        <v>0</v>
      </c>
      <c r="T343" s="43" t="str">
        <f aca="false">IF(AND(Q343=1,ISNUMBER(I343)),TEXT(I343,"yyyymmdd")&amp;"|"&amp;IF(S343=1,"F",TEXT(J343,"0.000")),"")</f>
        <v>20320113|4.750</v>
      </c>
      <c r="U343" s="90" t="n">
        <f aca="false">IF(AND(Q343=1,ISNUMBER(I343)),(I343-설정!$C$4)/365.25,"")</f>
        <v>5.28405201916496</v>
      </c>
      <c r="V343" s="43" t="str">
        <f aca="false">IF(Q343&lt;&gt;1,"",IF(ISNUMBER(U343),IF(U343&lt;=1,"1년 이하",IF(U343&lt;=2,"1-2년",IF(U343&lt;=3,"2-3년",IF(U343&lt;=4,"3-4년",IF(U343&lt;=5,"4-5년",IF(U343&lt;=7,"5-7년",IF(U343&lt;=10,"7-10년",IF(U343&lt;=20,"10-20년","20년 이상")))))))),"미분류"))</f>
        <v>5-7년</v>
      </c>
      <c r="W343" s="43" t="str">
        <f aca="false">IF(Q343&lt;&gt;1,"",IF(AB343&lt;&gt;"",INDEX(시장분석!$C:$C,AB343),IF(K343=1,"USD","비USD")))</f>
        <v>USD</v>
      </c>
      <c r="X343" s="91" t="n">
        <f aca="false">IF(Q343=1,E343*K343/1000000,0)</f>
        <v>1</v>
      </c>
      <c r="Y343" s="89" t="n">
        <f aca="false">IF(R343="T",1,0)</f>
        <v>0</v>
      </c>
      <c r="Z343" s="92" t="n">
        <f aca="false">IF(Q343&lt;&gt;1,"",IF(AD343=1,IF(ISNUMBER(U343),MAX(U343,0),H343),H343))</f>
        <v>4.4518</v>
      </c>
      <c r="AA343" s="91" t="n">
        <f aca="false">IF(Q343=1,IF(ISNUMBER(L343),L343,0)*K343/1000000,0)</f>
        <v>0.960782</v>
      </c>
      <c r="AB343" s="89" t="n">
        <f aca="false">IF(Q343&lt;&gt;1,"",IFERROR(MATCH(VLOOKUP(B343,매핑!$H$4:$I$15,2,0),시장분석!$A$2:$A$601,0)+1,IFERROR(MATCH(R343&amp;"|"&amp;T343,시장분석!$V$2:$V$601,0)+1,IF(COUNTIF(시장분석!$U$2:$U$601,T343)=1,MATCH(T343,시장분석!$U$2:$U$601,0)+1,""))))</f>
        <v>4</v>
      </c>
      <c r="AC343" s="89" t="n">
        <f aca="false">IF(Q343&lt;&gt;1,0,IF(OR(설정!$C$5="전체",AND(설정!$C$5="선택펀드",IFERROR(COUNTIFS(설정!$F$16:$F$36,C343,설정!$G$16:$G$36,"Y")+COUNTIFS(설정!$F$16:$F$36,VALUE(C343),설정!$G$16:$G$36,"Y"),0)&gt;0),C343&amp;""=설정!$C$5&amp;""),1,0))</f>
        <v>0</v>
      </c>
      <c r="AD343" s="89" t="n">
        <f aca="false">IF(Q343&lt;&gt;1,0,IF(OR(S343=1,IF(AB343="",FALSE(),INDEX(시장분석!$R:$R,AB343)=1)),1,0))</f>
        <v>0</v>
      </c>
      <c r="AE343" s="43" t="str">
        <f aca="false">IF(AB343="","",INDEX(시장분석!$A:$A,AB343))</f>
        <v>KOEWPW 4 3/4 01/13/32</v>
      </c>
      <c r="AF343" s="93" t="n">
        <f aca="false">IF(AB343="","",IF(ISNUMBER(IF(AB343="","",INDEX(시장분석!$E:$E,AB343))),IF(AB343="","",INDEX(시장분석!$E:$E,AB343)),""))</f>
        <v>58.325</v>
      </c>
      <c r="AG343" s="43" t="str">
        <f aca="false">IF(Q343&lt;&gt;1,"",IF(AB343&lt;&gt;"",IF(AB343="","",INDEX(시장분석!$L:$L,AB343)),IFERROR(IF(VLOOKUP(R343,매핑!$A$4:$E$92,5,0)="","미분류",VLOOKUP(R343,매핑!$A$4:$E$92,5,0)),"미분류")))</f>
        <v>유틸리티</v>
      </c>
      <c r="AH343" s="43" t="str">
        <f aca="false">IF(Q343&lt;&gt;1,"",IF(AB343&lt;&gt;"",IF(AB343="","",INDEX(시장분석!$N:$N,AB343)),IFERROR(IF(VLOOKUP(R343,매핑!$A$4:$E$92,4,0)="","미분류",VLOOKUP(R343,매핑!$A$4:$E$92,4,0)),"미분류")))</f>
        <v>아시아/기타</v>
      </c>
      <c r="AI343" s="43" t="str">
        <f aca="false">IF(Q343&lt;&gt;1,"",IFERROR(IF(VLOOKUP(R343,매핑!$A$4:$E$92,3,0)="","미분류",VLOOKUP(R343,매핑!$A$4:$E$92,3,0)),IF(AB343&lt;&gt;"",IF(AB343="","",INDEX(시장분석!$W:$W,AB343)),"미분류")))</f>
        <v>한국</v>
      </c>
      <c r="AJ343" s="43" t="str">
        <f aca="false">IF(Q343&lt;&gt;1,"",IFERROR(VLOOKUP(IF(N343&lt;&gt;"",N343,IF(P343&lt;&gt;"",P343,O343)),설정!$A$15:$D$47,2,0),""))</f>
        <v/>
      </c>
      <c r="AK343" s="43" t="str">
        <f aca="false">IF(Q343&lt;&gt;1,"",IF(AJ343="","무등급",IFERROR(VLOOKUP(AJ343,설정!$A$15:$D$47,3,0),"무등급")))</f>
        <v>무등급</v>
      </c>
      <c r="AL343" s="89" t="n">
        <f aca="false">IF(AJ343="",99,IFERROR(VLOOKUP(AJ343,설정!$A$15:$D$47,4,0),99))</f>
        <v>99</v>
      </c>
      <c r="AM343" s="94" t="n">
        <f aca="false">IF(ISNUMBER(H343),AA343*1000000*H343/10000,0)</f>
        <v>427.72093076</v>
      </c>
      <c r="AN343" s="94" t="n">
        <f aca="false">IF(OR(Y343=1,NOT(ISNUMBER(Z343))),0,AA343*1000000*Z343/10000)</f>
        <v>427.72093076</v>
      </c>
      <c r="AO343" s="94" t="n">
        <f aca="false">IF(ISNUMBER(G343),AA343*1000000*G343/100,0)</f>
        <v>53950.791646</v>
      </c>
      <c r="AP343" s="94" t="n">
        <f aca="false">IF(ISNUMBER(M343),M343*K343,0)</f>
        <v>-37810.87</v>
      </c>
      <c r="AQ343" s="95" t="n">
        <f aca="false">IF(AB343="","",INDEX(시장분석!$AK:$AK,AB343))</f>
        <v>1.11729381958804</v>
      </c>
      <c r="AR343" s="43" t="str">
        <f aca="false">IF(AB343="","-",IF(AB343="","",INDEX(시장분석!$AL:$AL,AB343)))</f>
        <v>Cheap</v>
      </c>
      <c r="AS343" s="96" t="n">
        <f aca="false">IF(AB343="","",INDEX(시장분석!$AJ:$AJ,AB343))</f>
        <v>5.98560075355378</v>
      </c>
      <c r="AT343" s="93" t="n">
        <f aca="false">IF(AB343="",0,IF(AB343="","",INDEX(시장분석!$AN:$AN,AB343)))</f>
        <v>9.12471410586014</v>
      </c>
      <c r="AU343" s="94" t="n">
        <f aca="false">IF(ISNUMBER(Z343),AT343/10000*MAX(Z343-1,0)*AA343*1000000,0)</f>
        <v>3026.14510347175</v>
      </c>
      <c r="AV343" s="94" t="n">
        <f aca="false">AO343+AU343</f>
        <v>56976.9367494718</v>
      </c>
      <c r="AW343" s="43" t="str">
        <f aca="false">IF(Q343&lt;&gt;1,"",TRIM(IF(AD343=1,"FRN ","")&amp;IF(AND(AL343&gt;=10,AL343&lt;99),"BBB0미만 ","")&amp;IF(AJ343="","등급없음 ","")&amp;IF(K343&lt;&gt;1,"비USD ","")&amp;IF(AND(AB343="",Y343=0),"시장데이터없음 ","")&amp;IF(AND(ISNUMBER(U343),U343&lt;0),"만기경과 ","")))</f>
        <v>등급없음</v>
      </c>
      <c r="AX343" s="90" t="n">
        <f aca="false">IF(Q343&lt;&gt;1,1,IF(스프레드쇼크!$C$4="Y",INDEX(스프레드쇼크!$B$12:$L$16,IFERROR(MATCH(AH343,스프레드쇼크!$A$12:$A$16,0),MATCH("목록외",스프레드쇼크!$A$12:$A$16,0)),IFERROR(MATCH(AG343,스프레드쇼크!$B$11:$L$11,0),MATCH("목록외",스프레드쇼크!$B$11:$L$11,0))),1))</f>
        <v>1</v>
      </c>
      <c r="AY343" s="90" t="n">
        <f aca="false">IF(스프레드쇼크!$C$5="Y",IF(ISNUMBER(AF343),MIN(스프레드쇼크!$C$7,MAX(스프레드쇼크!$C$6,AF343/스프레드쇼크!$C$8)),1),1)</f>
        <v>0.88218826015323</v>
      </c>
      <c r="AZ343" s="94" t="n">
        <f aca="false">AN343*AX343*AY343</f>
        <v>377.330383738285</v>
      </c>
      <c r="BA343" s="90" t="n">
        <f aca="false">IF(ISNUMBER(G343),AA343*G343,0)</f>
        <v>5.3950791646</v>
      </c>
      <c r="BB343" s="90" t="n">
        <f aca="false">IF(ISNUMBER(G343),AA343,0)</f>
        <v>0.960782</v>
      </c>
      <c r="BC343" s="90" t="n">
        <f aca="false">IF(AND(Y343=0,ISNUMBER(AF343)),AA343*AF343,0)</f>
        <v>56.03761015</v>
      </c>
      <c r="BD343" s="90" t="n">
        <f aca="false">IF(AND(Y343=0,ISNUMBER(AF343)),AA343,0)</f>
        <v>0.960782</v>
      </c>
      <c r="BE343" s="90" t="n">
        <f aca="false">IF(ISNUMBER(H343),AA343*H343,0)</f>
        <v>4.2772093076</v>
      </c>
      <c r="BF343" s="90" t="n">
        <f aca="false">IF(ISNUMBER(H343),AA343,0)</f>
        <v>0.960782</v>
      </c>
      <c r="BG343" s="90" t="n">
        <f aca="false">IF(AND(Y343=0,ISNUMBER(AF343),ISNUMBER(Z343)),AA343*Z343,0)</f>
        <v>4.2772093076</v>
      </c>
      <c r="BH343" s="90" t="n">
        <f aca="false">IF(AND(Y343=0,ISNUMBER(AF343),ISNUMBER(Z343)),AA343*AT343*MAX(Z343-1,0),0)</f>
        <v>30.2614510347175</v>
      </c>
      <c r="BI343" s="90" t="n">
        <f aca="false">IF(Y343=0,AA343,0)</f>
        <v>0.960782</v>
      </c>
    </row>
    <row r="344" customFormat="false" ht="15" hidden="false" customHeight="false" outlineLevel="0" collapsed="false">
      <c r="A344" s="83" t="str">
        <f aca="false">IFERROR(IF(INDEX(원자료_잔고!$A$1:$EZ$1500,설정!$L$5+ROW()-1,설정!$L$8)&amp;""="0","",INDEX(원자료_잔고!$A$1:$EZ$1500,설정!$L$5+ROW()-1,설정!$L$8)&amp;""),"")</f>
        <v>SMIND 4.5 02/27/30</v>
      </c>
      <c r="B344" s="83" t="str">
        <f aca="false">IFERROR(IF(INDEX(원자료_잔고!$A$1:$EZ$1500,설정!$L$5+ROW()-1,설정!$L$7)&amp;""="0","",INDEX(원자료_잔고!$A$1:$EZ$1500,설정!$L$5+ROW()-1,설정!$L$7)&amp;""),"")</f>
        <v>HK0001325593</v>
      </c>
      <c r="C344" s="83" t="str">
        <f aca="false">IFERROR(IF(INDEX(원자료_잔고!$A$1:$EZ$1500,설정!$L$5+ROW()-1,설정!$L$9)&amp;""="0","",INDEX(원자료_잔고!$A$1:$EZ$1500,설정!$L$5+ROW()-1,설정!$L$9)&amp;""),"")</f>
        <v>42003</v>
      </c>
      <c r="D34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4" s="84" t="n">
        <f aca="false">IFERROR(IF(ISNUMBER(INDEX(원자료_잔고!$A$1:$EZ$1500,설정!$L$5+ROW()-1,설정!$L$11)),INDEX(원자료_잔고!$A$1:$EZ$1500,설정!$L$5+ROW()-1,설정!$L$11),""),"")</f>
        <v>5000000</v>
      </c>
      <c r="F344" s="85" t="n">
        <f aca="false">IFERROR(IF(ISNUMBER(INDEX(원자료_잔고!$A$1:$EZ$1500,설정!$L$5+ROW()-1,설정!$L$12)),INDEX(원자료_잔고!$A$1:$EZ$1500,설정!$L$5+ROW()-1,설정!$L$12),""),"")</f>
        <v>97.3742</v>
      </c>
      <c r="G344" s="85" t="n">
        <f aca="false">IFERROR(IF(ISNUMBER(INDEX(원자료_잔고!$A$1:$EZ$1500,설정!$L$5+ROW()-1,설정!$L$13)),INDEX(원자료_잔고!$A$1:$EZ$1500,설정!$L$5+ROW()-1,설정!$L$13),""),"")</f>
        <v>5.3512</v>
      </c>
      <c r="H344" s="85" t="n">
        <f aca="false">IFERROR(IF(ISNUMBER(INDEX(원자료_잔고!$A$1:$EZ$1500,설정!$L$5+ROW()-1,설정!$L$14)),INDEX(원자료_잔고!$A$1:$EZ$1500,설정!$L$5+ROW()-1,설정!$L$14),""),"")</f>
        <v>3.0432</v>
      </c>
      <c r="I344" s="86" t="n">
        <f aca="false">IFERROR(IF(ISNUMBER(INDEX(원자료_잔고!$A$1:$EZ$1500,설정!$L$5+ROW()-1,설정!$L$15)),INDEX(원자료_잔고!$A$1:$EZ$1500,설정!$L$5+ROW()-1,설정!$L$15),""),"")</f>
        <v>47541</v>
      </c>
      <c r="J344" s="85" t="n">
        <f aca="false">IFERROR(IF(ISNUMBER(INDEX(원자료_잔고!$A$1:$EZ$1500,설정!$L$5+ROW()-1,설정!$L$16)),INDEX(원자료_잔고!$A$1:$EZ$1500,설정!$L$5+ROW()-1,설정!$L$16),""),"")</f>
        <v>4.5</v>
      </c>
      <c r="K344" s="87" t="n">
        <f aca="false">IFERROR(IF(ISNUMBER(INDEX(원자료_잔고!$A$1:$EZ$1500,설정!$L$5+ROW()-1,설정!$L$17)),INDEX(원자료_잔고!$A$1:$EZ$1500,설정!$L$5+ROW()-1,설정!$L$17),""),"")</f>
        <v>1</v>
      </c>
      <c r="L344" s="84" t="n">
        <f aca="false">IFERROR(IF(ISNUMBER(INDEX(원자료_잔고!$A$1:$EZ$1500,설정!$L$5+ROW()-1,설정!$L$18)),INDEX(원자료_잔고!$A$1:$EZ$1500,설정!$L$5+ROW()-1,설정!$L$18),""),"")</f>
        <v>4868710</v>
      </c>
      <c r="M344" s="88" t="n">
        <f aca="false">IFERROR(IF(ISNUMBER(INDEX(원자료_잔고!$A$1:$EZ$1500,설정!$L$5+ROW()-1,설정!$L$19)),INDEX(원자료_잔고!$A$1:$EZ$1500,설정!$L$5+ROW()-1,설정!$L$19),""),"")</f>
        <v>-103123.17</v>
      </c>
      <c r="N344" s="83" t="str">
        <f aca="false">IFERROR(IF(INDEX(원자료_잔고!$A$1:$EZ$1500,설정!$L$5+ROW()-1,설정!$L$21)&amp;""="0","",INDEX(원자료_잔고!$A$1:$EZ$1500,설정!$L$5+ROW()-1,설정!$L$21)&amp;""),"")</f>
        <v/>
      </c>
      <c r="O344" s="83" t="str">
        <f aca="false">IFERROR(IF(INDEX(원자료_잔고!$A$1:$EZ$1500,설정!$L$5+ROW()-1,설정!$L$22)&amp;""="0","",INDEX(원자료_잔고!$A$1:$EZ$1500,설정!$L$5+ROW()-1,설정!$L$22)&amp;""),"")</f>
        <v/>
      </c>
      <c r="P344" s="83" t="str">
        <f aca="false">IFERROR(IF(INDEX(원자료_잔고!$A$1:$EZ$1500,설정!$L$5+ROW()-1,설정!$L$23)&amp;""="0","",INDEX(원자료_잔고!$A$1:$EZ$1500,설정!$L$5+ROW()-1,설정!$L$23)&amp;""),"")</f>
        <v>N/A</v>
      </c>
      <c r="Q344" s="89" t="n">
        <f aca="false">IF(AND($A344&lt;&gt;"",ISNUMBER(E344)),IF(E344&gt;0,1,0),0)</f>
        <v>1</v>
      </c>
      <c r="R344" s="43" t="str">
        <f aca="false">IF(Q344=1,UPPER(LEFT($A344,FIND(" ",$A344&amp;" ")-1)),"")</f>
        <v>SMIND</v>
      </c>
      <c r="S344" s="89" t="n">
        <f aca="false">IF(Q344=1,IF(OR(ISNUMBER(SEARCH("Float",$A344)),ISNUMBER(SEARCH("FRN",$A344))),1,0),0)</f>
        <v>0</v>
      </c>
      <c r="T344" s="43" t="str">
        <f aca="false">IF(AND(Q344=1,ISNUMBER(I344)),TEXT(I344,"yyyymmdd")&amp;"|"&amp;IF(S344=1,"F",TEXT(J344,"0.000")),"")</f>
        <v>20300227|4.500</v>
      </c>
      <c r="U344" s="90" t="n">
        <f aca="false">IF(AND(Q344=1,ISNUMBER(I344)),(I344-설정!$C$4)/365.25,"")</f>
        <v>3.40862422997947</v>
      </c>
      <c r="V344" s="43" t="str">
        <f aca="false">IF(Q344&lt;&gt;1,"",IF(ISNUMBER(U344),IF(U344&lt;=1,"1년 이하",IF(U344&lt;=2,"1-2년",IF(U344&lt;=3,"2-3년",IF(U344&lt;=4,"3-4년",IF(U344&lt;=5,"4-5년",IF(U344&lt;=7,"5-7년",IF(U344&lt;=10,"7-10년",IF(U344&lt;=20,"10-20년","20년 이상")))))))),"미분류"))</f>
        <v>3-4년</v>
      </c>
      <c r="W344" s="43" t="str">
        <f aca="false">IF(Q344&lt;&gt;1,"",IF(AB344&lt;&gt;"",INDEX(시장분석!$C:$C,AB344),IF(K344=1,"USD","비USD")))</f>
        <v>USD</v>
      </c>
      <c r="X344" s="91" t="n">
        <f aca="false">IF(Q344=1,E344*K344/1000000,0)</f>
        <v>5</v>
      </c>
      <c r="Y344" s="89" t="n">
        <f aca="false">IF(R344="T",1,0)</f>
        <v>0</v>
      </c>
      <c r="Z344" s="92" t="n">
        <f aca="false">IF(Q344&lt;&gt;1,"",IF(AD344=1,IF(ISNUMBER(U344),MAX(U344,0),H344),H344))</f>
        <v>3.0432</v>
      </c>
      <c r="AA344" s="91" t="n">
        <f aca="false">IF(Q344=1,IF(ISNUMBER(L344),L344,0)*K344/1000000,0)</f>
        <v>4.86871</v>
      </c>
      <c r="AB344" s="89" t="str">
        <f aca="false">IF(Q344&lt;&gt;1,"",IFERROR(MATCH(VLOOKUP(B344,매핑!$H$4:$I$15,2,0),시장분석!$A$2:$A$601,0)+1,IFERROR(MATCH(R344&amp;"|"&amp;T344,시장분석!$V$2:$V$601,0)+1,IF(COUNTIF(시장분석!$U$2:$U$601,T344)=1,MATCH(T344,시장분석!$U$2:$U$601,0)+1,""))))</f>
        <v/>
      </c>
      <c r="AC344" s="89" t="n">
        <f aca="false">IF(Q344&lt;&gt;1,0,IF(OR(설정!$C$5="전체",AND(설정!$C$5="선택펀드",IFERROR(COUNTIFS(설정!$F$16:$F$36,C344,설정!$G$16:$G$36,"Y")+COUNTIFS(설정!$F$16:$F$36,VALUE(C344),설정!$G$16:$G$36,"Y"),0)&gt;0),C344&amp;""=설정!$C$5&amp;""),1,0))</f>
        <v>0</v>
      </c>
      <c r="AD344" s="89" t="n">
        <f aca="false">IF(Q344&lt;&gt;1,0,IF(OR(S344=1,IF(AB344="",FALSE(),INDEX(시장분석!$R:$R,AB344)=1)),1,0))</f>
        <v>0</v>
      </c>
      <c r="AE344" s="43" t="str">
        <f aca="false">IF(AB344="","",INDEX(시장분석!$A:$A,AB344))</f>
        <v/>
      </c>
      <c r="AF344" s="93" t="str">
        <f aca="false">IF(AB344="","",IF(ISNUMBER(IF(AB344="","",INDEX(시장분석!$E:$E,AB344))),IF(AB344="","",INDEX(시장분석!$E:$E,AB344)),""))</f>
        <v/>
      </c>
      <c r="AG344" s="43" t="str">
        <f aca="false">IF(Q344&lt;&gt;1,"",IF(AB344&lt;&gt;"",IF(AB344="","",INDEX(시장분석!$L:$L,AB344)),IFERROR(IF(VLOOKUP(R344,매핑!$A$4:$E$92,5,0)="","미분류",VLOOKUP(R344,매핑!$A$4:$E$92,5,0)),"미분류")))</f>
        <v>미분류</v>
      </c>
      <c r="AH344" s="43" t="str">
        <f aca="false">IF(Q344&lt;&gt;1,"",IF(AB344&lt;&gt;"",IF(AB344="","",INDEX(시장분석!$N:$N,AB344)),IFERROR(IF(VLOOKUP(R344,매핑!$A$4:$E$92,4,0)="","미분류",VLOOKUP(R344,매핑!$A$4:$E$92,4,0)),"미분류")))</f>
        <v>미분류</v>
      </c>
      <c r="AI344" s="43" t="str">
        <f aca="false">IF(Q344&lt;&gt;1,"",IFERROR(IF(VLOOKUP(R344,매핑!$A$4:$E$92,3,0)="","미분류",VLOOKUP(R344,매핑!$A$4:$E$92,3,0)),IF(AB344&lt;&gt;"",IF(AB344="","",INDEX(시장분석!$W:$W,AB344)),"미분류")))</f>
        <v>미분류</v>
      </c>
      <c r="AJ344" s="43" t="str">
        <f aca="false">IF(Q344&lt;&gt;1,"",IFERROR(VLOOKUP(IF(N344&lt;&gt;"",N344,IF(P344&lt;&gt;"",P344,O344)),설정!$A$15:$D$47,2,0),""))</f>
        <v/>
      </c>
      <c r="AK344" s="43" t="str">
        <f aca="false">IF(Q344&lt;&gt;1,"",IF(AJ344="","무등급",IFERROR(VLOOKUP(AJ344,설정!$A$15:$D$47,3,0),"무등급")))</f>
        <v>무등급</v>
      </c>
      <c r="AL344" s="89" t="n">
        <f aca="false">IF(AJ344="",99,IFERROR(VLOOKUP(AJ344,설정!$A$15:$D$47,4,0),99))</f>
        <v>99</v>
      </c>
      <c r="AM344" s="94" t="n">
        <f aca="false">IF(ISNUMBER(H344),AA344*1000000*H344/10000,0)</f>
        <v>1481.6458272</v>
      </c>
      <c r="AN344" s="94" t="n">
        <f aca="false">IF(OR(Y344=1,NOT(ISNUMBER(Z344))),0,AA344*1000000*Z344/10000)</f>
        <v>1481.6458272</v>
      </c>
      <c r="AO344" s="94" t="n">
        <f aca="false">IF(ISNUMBER(G344),AA344*1000000*G344/100,0)</f>
        <v>260534.40952</v>
      </c>
      <c r="AP344" s="94" t="n">
        <f aca="false">IF(ISNUMBER(M344),M344*K344,0)</f>
        <v>-103123.17</v>
      </c>
      <c r="AQ344" s="95" t="str">
        <f aca="false">IF(AB344="","",INDEX(시장분석!$AK:$AK,AB344))</f>
        <v/>
      </c>
      <c r="AR344" s="43" t="str">
        <f aca="false">IF(AB344="","-",IF(AB344="","",INDEX(시장분석!$AL:$AL,AB344)))</f>
        <v>-</v>
      </c>
      <c r="AS344" s="96" t="str">
        <f aca="false">IF(AB344="","",INDEX(시장분석!$AJ:$AJ,AB344))</f>
        <v/>
      </c>
      <c r="AT344" s="93" t="n">
        <f aca="false">IF(AB344="",0,IF(AB344="","",INDEX(시장분석!$AN:$AN,AB344)))</f>
        <v>0</v>
      </c>
      <c r="AU344" s="94" t="n">
        <f aca="false">IF(ISNUMBER(Z344),AT344/10000*MAX(Z344-1,0)*AA344*1000000,0)</f>
        <v>0</v>
      </c>
      <c r="AV344" s="94" t="n">
        <f aca="false">AO344+AU344</f>
        <v>260534.40952</v>
      </c>
      <c r="AW344" s="43" t="str">
        <f aca="false">IF(Q344&lt;&gt;1,"",TRIM(IF(AD344=1,"FRN ","")&amp;IF(AND(AL344&gt;=10,AL344&lt;99),"BBB0미만 ","")&amp;IF(AJ344="","등급없음 ","")&amp;IF(K344&lt;&gt;1,"비USD ","")&amp;IF(AND(AB344="",Y344=0),"시장데이터없음 ","")&amp;IF(AND(ISNUMBER(U344),U344&lt;0),"만기경과 ","")))</f>
        <v>등급없음 시장데이터없음</v>
      </c>
      <c r="AX344" s="90" t="n">
        <f aca="false">IF(Q344&lt;&gt;1,1,IF(스프레드쇼크!$C$4="Y",INDEX(스프레드쇼크!$B$12:$L$16,IFERROR(MATCH(AH344,스프레드쇼크!$A$12:$A$16,0),MATCH("목록외",스프레드쇼크!$A$12:$A$16,0)),IFERROR(MATCH(AG344,스프레드쇼크!$B$11:$L$11,0),MATCH("목록외",스프레드쇼크!$B$11:$L$11,0))),1))</f>
        <v>1</v>
      </c>
      <c r="AY344" s="90" t="n">
        <f aca="false">IF(스프레드쇼크!$C$5="Y",IF(ISNUMBER(AF344),MIN(스프레드쇼크!$C$7,MAX(스프레드쇼크!$C$6,AF344/스프레드쇼크!$C$8)),1),1)</f>
        <v>1</v>
      </c>
      <c r="AZ344" s="94" t="n">
        <f aca="false">AN344*AX344*AY344</f>
        <v>1481.6458272</v>
      </c>
      <c r="BA344" s="90" t="n">
        <f aca="false">IF(ISNUMBER(G344),AA344*G344,0)</f>
        <v>26.053440952</v>
      </c>
      <c r="BB344" s="90" t="n">
        <f aca="false">IF(ISNUMBER(G344),AA344,0)</f>
        <v>4.86871</v>
      </c>
      <c r="BC344" s="90" t="n">
        <f aca="false">IF(AND(Y344=0,ISNUMBER(AF344)),AA344*AF344,0)</f>
        <v>0</v>
      </c>
      <c r="BD344" s="90" t="n">
        <f aca="false">IF(AND(Y344=0,ISNUMBER(AF344)),AA344,0)</f>
        <v>0</v>
      </c>
      <c r="BE344" s="90" t="n">
        <f aca="false">IF(ISNUMBER(H344),AA344*H344,0)</f>
        <v>14.816458272</v>
      </c>
      <c r="BF344" s="90" t="n">
        <f aca="false">IF(ISNUMBER(H344),AA344,0)</f>
        <v>4.86871</v>
      </c>
      <c r="BG344" s="90" t="n">
        <f aca="false">IF(AND(Y344=0,ISNUMBER(AF344),ISNUMBER(Z344)),AA344*Z344,0)</f>
        <v>0</v>
      </c>
      <c r="BH344" s="90" t="n">
        <f aca="false">IF(AND(Y344=0,ISNUMBER(AF344),ISNUMBER(Z344)),AA344*AT344*MAX(Z344-1,0),0)</f>
        <v>0</v>
      </c>
      <c r="BI344" s="90" t="n">
        <f aca="false">IF(Y344=0,AA344,0)</f>
        <v>4.86871</v>
      </c>
    </row>
    <row r="345" customFormat="false" ht="15" hidden="false" customHeight="false" outlineLevel="0" collapsed="false">
      <c r="A345" s="83" t="str">
        <f aca="false">IFERROR(IF(INDEX(원자료_잔고!$A$1:$EZ$1500,설정!$L$5+ROW()-1,설정!$L$8)&amp;""="0","",INDEX(원자료_잔고!$A$1:$EZ$1500,설정!$L$5+ROW()-1,설정!$L$8)&amp;""),"")</f>
        <v>SMIND 4.5 02/27/30</v>
      </c>
      <c r="B345" s="83" t="str">
        <f aca="false">IFERROR(IF(INDEX(원자료_잔고!$A$1:$EZ$1500,설정!$L$5+ROW()-1,설정!$L$7)&amp;""="0","",INDEX(원자료_잔고!$A$1:$EZ$1500,설정!$L$5+ROW()-1,설정!$L$7)&amp;""),"")</f>
        <v>HK0001325593</v>
      </c>
      <c r="C345" s="83" t="str">
        <f aca="false">IFERROR(IF(INDEX(원자료_잔고!$A$1:$EZ$1500,설정!$L$5+ROW()-1,설정!$L$9)&amp;""="0","",INDEX(원자료_잔고!$A$1:$EZ$1500,설정!$L$5+ROW()-1,설정!$L$9)&amp;""),"")</f>
        <v>42003</v>
      </c>
      <c r="D34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5" s="84" t="n">
        <f aca="false">IFERROR(IF(ISNUMBER(INDEX(원자료_잔고!$A$1:$EZ$1500,설정!$L$5+ROW()-1,설정!$L$11)),INDEX(원자료_잔고!$A$1:$EZ$1500,설정!$L$5+ROW()-1,설정!$L$11),""),"")</f>
        <v>10000000</v>
      </c>
      <c r="F345" s="85" t="n">
        <f aca="false">IFERROR(IF(ISNUMBER(INDEX(원자료_잔고!$A$1:$EZ$1500,설정!$L$5+ROW()-1,설정!$L$12)),INDEX(원자료_잔고!$A$1:$EZ$1500,설정!$L$5+ROW()-1,설정!$L$12),""),"")</f>
        <v>97.3742</v>
      </c>
      <c r="G345" s="85" t="n">
        <f aca="false">IFERROR(IF(ISNUMBER(INDEX(원자료_잔고!$A$1:$EZ$1500,설정!$L$5+ROW()-1,설정!$L$13)),INDEX(원자료_잔고!$A$1:$EZ$1500,설정!$L$5+ROW()-1,설정!$L$13),""),"")</f>
        <v>5.3512</v>
      </c>
      <c r="H345" s="85" t="n">
        <f aca="false">IFERROR(IF(ISNUMBER(INDEX(원자료_잔고!$A$1:$EZ$1500,설정!$L$5+ROW()-1,설정!$L$14)),INDEX(원자료_잔고!$A$1:$EZ$1500,설정!$L$5+ROW()-1,설정!$L$14),""),"")</f>
        <v>3.0432</v>
      </c>
      <c r="I345" s="86" t="n">
        <f aca="false">IFERROR(IF(ISNUMBER(INDEX(원자료_잔고!$A$1:$EZ$1500,설정!$L$5+ROW()-1,설정!$L$15)),INDEX(원자료_잔고!$A$1:$EZ$1500,설정!$L$5+ROW()-1,설정!$L$15),""),"")</f>
        <v>47541</v>
      </c>
      <c r="J345" s="85" t="n">
        <f aca="false">IFERROR(IF(ISNUMBER(INDEX(원자료_잔고!$A$1:$EZ$1500,설정!$L$5+ROW()-1,설정!$L$16)),INDEX(원자료_잔고!$A$1:$EZ$1500,설정!$L$5+ROW()-1,설정!$L$16),""),"")</f>
        <v>4.5</v>
      </c>
      <c r="K345" s="87" t="n">
        <f aca="false">IFERROR(IF(ISNUMBER(INDEX(원자료_잔고!$A$1:$EZ$1500,설정!$L$5+ROW()-1,설정!$L$17)),INDEX(원자료_잔고!$A$1:$EZ$1500,설정!$L$5+ROW()-1,설정!$L$17),""),"")</f>
        <v>1</v>
      </c>
      <c r="L345" s="84" t="n">
        <f aca="false">IFERROR(IF(ISNUMBER(INDEX(원자료_잔고!$A$1:$EZ$1500,설정!$L$5+ROW()-1,설정!$L$18)),INDEX(원자료_잔고!$A$1:$EZ$1500,설정!$L$5+ROW()-1,설정!$L$18),""),"")</f>
        <v>9737420</v>
      </c>
      <c r="M345" s="88" t="n">
        <f aca="false">IFERROR(IF(ISNUMBER(INDEX(원자료_잔고!$A$1:$EZ$1500,설정!$L$5+ROW()-1,설정!$L$19)),INDEX(원자료_잔고!$A$1:$EZ$1500,설정!$L$5+ROW()-1,설정!$L$19),""),"")</f>
        <v>-211046.34</v>
      </c>
      <c r="N345" s="83" t="str">
        <f aca="false">IFERROR(IF(INDEX(원자료_잔고!$A$1:$EZ$1500,설정!$L$5+ROW()-1,설정!$L$21)&amp;""="0","",INDEX(원자료_잔고!$A$1:$EZ$1500,설정!$L$5+ROW()-1,설정!$L$21)&amp;""),"")</f>
        <v/>
      </c>
      <c r="O345" s="83" t="str">
        <f aca="false">IFERROR(IF(INDEX(원자료_잔고!$A$1:$EZ$1500,설정!$L$5+ROW()-1,설정!$L$22)&amp;""="0","",INDEX(원자료_잔고!$A$1:$EZ$1500,설정!$L$5+ROW()-1,설정!$L$22)&amp;""),"")</f>
        <v/>
      </c>
      <c r="P345" s="83" t="str">
        <f aca="false">IFERROR(IF(INDEX(원자료_잔고!$A$1:$EZ$1500,설정!$L$5+ROW()-1,설정!$L$23)&amp;""="0","",INDEX(원자료_잔고!$A$1:$EZ$1500,설정!$L$5+ROW()-1,설정!$L$23)&amp;""),"")</f>
        <v>N/A</v>
      </c>
      <c r="Q345" s="89" t="n">
        <f aca="false">IF(AND($A345&lt;&gt;"",ISNUMBER(E345)),IF(E345&gt;0,1,0),0)</f>
        <v>1</v>
      </c>
      <c r="R345" s="43" t="str">
        <f aca="false">IF(Q345=1,UPPER(LEFT($A345,FIND(" ",$A345&amp;" ")-1)),"")</f>
        <v>SMIND</v>
      </c>
      <c r="S345" s="89" t="n">
        <f aca="false">IF(Q345=1,IF(OR(ISNUMBER(SEARCH("Float",$A345)),ISNUMBER(SEARCH("FRN",$A345))),1,0),0)</f>
        <v>0</v>
      </c>
      <c r="T345" s="43" t="str">
        <f aca="false">IF(AND(Q345=1,ISNUMBER(I345)),TEXT(I345,"yyyymmdd")&amp;"|"&amp;IF(S345=1,"F",TEXT(J345,"0.000")),"")</f>
        <v>20300227|4.500</v>
      </c>
      <c r="U345" s="90" t="n">
        <f aca="false">IF(AND(Q345=1,ISNUMBER(I345)),(I345-설정!$C$4)/365.25,"")</f>
        <v>3.40862422997947</v>
      </c>
      <c r="V345" s="43" t="str">
        <f aca="false">IF(Q345&lt;&gt;1,"",IF(ISNUMBER(U345),IF(U345&lt;=1,"1년 이하",IF(U345&lt;=2,"1-2년",IF(U345&lt;=3,"2-3년",IF(U345&lt;=4,"3-4년",IF(U345&lt;=5,"4-5년",IF(U345&lt;=7,"5-7년",IF(U345&lt;=10,"7-10년",IF(U345&lt;=20,"10-20년","20년 이상")))))))),"미분류"))</f>
        <v>3-4년</v>
      </c>
      <c r="W345" s="43" t="str">
        <f aca="false">IF(Q345&lt;&gt;1,"",IF(AB345&lt;&gt;"",INDEX(시장분석!$C:$C,AB345),IF(K345=1,"USD","비USD")))</f>
        <v>USD</v>
      </c>
      <c r="X345" s="91" t="n">
        <f aca="false">IF(Q345=1,E345*K345/1000000,0)</f>
        <v>10</v>
      </c>
      <c r="Y345" s="89" t="n">
        <f aca="false">IF(R345="T",1,0)</f>
        <v>0</v>
      </c>
      <c r="Z345" s="92" t="n">
        <f aca="false">IF(Q345&lt;&gt;1,"",IF(AD345=1,IF(ISNUMBER(U345),MAX(U345,0),H345),H345))</f>
        <v>3.0432</v>
      </c>
      <c r="AA345" s="91" t="n">
        <f aca="false">IF(Q345=1,IF(ISNUMBER(L345),L345,0)*K345/1000000,0)</f>
        <v>9.73742</v>
      </c>
      <c r="AB345" s="89" t="str">
        <f aca="false">IF(Q345&lt;&gt;1,"",IFERROR(MATCH(VLOOKUP(B345,매핑!$H$4:$I$15,2,0),시장분석!$A$2:$A$601,0)+1,IFERROR(MATCH(R345&amp;"|"&amp;T345,시장분석!$V$2:$V$601,0)+1,IF(COUNTIF(시장분석!$U$2:$U$601,T345)=1,MATCH(T345,시장분석!$U$2:$U$601,0)+1,""))))</f>
        <v/>
      </c>
      <c r="AC345" s="89" t="n">
        <f aca="false">IF(Q345&lt;&gt;1,0,IF(OR(설정!$C$5="전체",AND(설정!$C$5="선택펀드",IFERROR(COUNTIFS(설정!$F$16:$F$36,C345,설정!$G$16:$G$36,"Y")+COUNTIFS(설정!$F$16:$F$36,VALUE(C345),설정!$G$16:$G$36,"Y"),0)&gt;0),C345&amp;""=설정!$C$5&amp;""),1,0))</f>
        <v>0</v>
      </c>
      <c r="AD345" s="89" t="n">
        <f aca="false">IF(Q345&lt;&gt;1,0,IF(OR(S345=1,IF(AB345="",FALSE(),INDEX(시장분석!$R:$R,AB345)=1)),1,0))</f>
        <v>0</v>
      </c>
      <c r="AE345" s="43" t="str">
        <f aca="false">IF(AB345="","",INDEX(시장분석!$A:$A,AB345))</f>
        <v/>
      </c>
      <c r="AF345" s="93" t="str">
        <f aca="false">IF(AB345="","",IF(ISNUMBER(IF(AB345="","",INDEX(시장분석!$E:$E,AB345))),IF(AB345="","",INDEX(시장분석!$E:$E,AB345)),""))</f>
        <v/>
      </c>
      <c r="AG345" s="43" t="str">
        <f aca="false">IF(Q345&lt;&gt;1,"",IF(AB345&lt;&gt;"",IF(AB345="","",INDEX(시장분석!$L:$L,AB345)),IFERROR(IF(VLOOKUP(R345,매핑!$A$4:$E$92,5,0)="","미분류",VLOOKUP(R345,매핑!$A$4:$E$92,5,0)),"미분류")))</f>
        <v>미분류</v>
      </c>
      <c r="AH345" s="43" t="str">
        <f aca="false">IF(Q345&lt;&gt;1,"",IF(AB345&lt;&gt;"",IF(AB345="","",INDEX(시장분석!$N:$N,AB345)),IFERROR(IF(VLOOKUP(R345,매핑!$A$4:$E$92,4,0)="","미분류",VLOOKUP(R345,매핑!$A$4:$E$92,4,0)),"미분류")))</f>
        <v>미분류</v>
      </c>
      <c r="AI345" s="43" t="str">
        <f aca="false">IF(Q345&lt;&gt;1,"",IFERROR(IF(VLOOKUP(R345,매핑!$A$4:$E$92,3,0)="","미분류",VLOOKUP(R345,매핑!$A$4:$E$92,3,0)),IF(AB345&lt;&gt;"",IF(AB345="","",INDEX(시장분석!$W:$W,AB345)),"미분류")))</f>
        <v>미분류</v>
      </c>
      <c r="AJ345" s="43" t="str">
        <f aca="false">IF(Q345&lt;&gt;1,"",IFERROR(VLOOKUP(IF(N345&lt;&gt;"",N345,IF(P345&lt;&gt;"",P345,O345)),설정!$A$15:$D$47,2,0),""))</f>
        <v/>
      </c>
      <c r="AK345" s="43" t="str">
        <f aca="false">IF(Q345&lt;&gt;1,"",IF(AJ345="","무등급",IFERROR(VLOOKUP(AJ345,설정!$A$15:$D$47,3,0),"무등급")))</f>
        <v>무등급</v>
      </c>
      <c r="AL345" s="89" t="n">
        <f aca="false">IF(AJ345="",99,IFERROR(VLOOKUP(AJ345,설정!$A$15:$D$47,4,0),99))</f>
        <v>99</v>
      </c>
      <c r="AM345" s="94" t="n">
        <f aca="false">IF(ISNUMBER(H345),AA345*1000000*H345/10000,0)</f>
        <v>2963.2916544</v>
      </c>
      <c r="AN345" s="94" t="n">
        <f aca="false">IF(OR(Y345=1,NOT(ISNUMBER(Z345))),0,AA345*1000000*Z345/10000)</f>
        <v>2963.2916544</v>
      </c>
      <c r="AO345" s="94" t="n">
        <f aca="false">IF(ISNUMBER(G345),AA345*1000000*G345/100,0)</f>
        <v>521068.81904</v>
      </c>
      <c r="AP345" s="94" t="n">
        <f aca="false">IF(ISNUMBER(M345),M345*K345,0)</f>
        <v>-211046.34</v>
      </c>
      <c r="AQ345" s="95" t="str">
        <f aca="false">IF(AB345="","",INDEX(시장분석!$AK:$AK,AB345))</f>
        <v/>
      </c>
      <c r="AR345" s="43" t="str">
        <f aca="false">IF(AB345="","-",IF(AB345="","",INDEX(시장분석!$AL:$AL,AB345)))</f>
        <v>-</v>
      </c>
      <c r="AS345" s="96" t="str">
        <f aca="false">IF(AB345="","",INDEX(시장분석!$AJ:$AJ,AB345))</f>
        <v/>
      </c>
      <c r="AT345" s="93" t="n">
        <f aca="false">IF(AB345="",0,IF(AB345="","",INDEX(시장분석!$AN:$AN,AB345)))</f>
        <v>0</v>
      </c>
      <c r="AU345" s="94" t="n">
        <f aca="false">IF(ISNUMBER(Z345),AT345/10000*MAX(Z345-1,0)*AA345*1000000,0)</f>
        <v>0</v>
      </c>
      <c r="AV345" s="94" t="n">
        <f aca="false">AO345+AU345</f>
        <v>521068.81904</v>
      </c>
      <c r="AW345" s="43" t="str">
        <f aca="false">IF(Q345&lt;&gt;1,"",TRIM(IF(AD345=1,"FRN ","")&amp;IF(AND(AL345&gt;=10,AL345&lt;99),"BBB0미만 ","")&amp;IF(AJ345="","등급없음 ","")&amp;IF(K345&lt;&gt;1,"비USD ","")&amp;IF(AND(AB345="",Y345=0),"시장데이터없음 ","")&amp;IF(AND(ISNUMBER(U345),U345&lt;0),"만기경과 ","")))</f>
        <v>등급없음 시장데이터없음</v>
      </c>
      <c r="AX345" s="90" t="n">
        <f aca="false">IF(Q345&lt;&gt;1,1,IF(스프레드쇼크!$C$4="Y",INDEX(스프레드쇼크!$B$12:$L$16,IFERROR(MATCH(AH345,스프레드쇼크!$A$12:$A$16,0),MATCH("목록외",스프레드쇼크!$A$12:$A$16,0)),IFERROR(MATCH(AG345,스프레드쇼크!$B$11:$L$11,0),MATCH("목록외",스프레드쇼크!$B$11:$L$11,0))),1))</f>
        <v>1</v>
      </c>
      <c r="AY345" s="90" t="n">
        <f aca="false">IF(스프레드쇼크!$C$5="Y",IF(ISNUMBER(AF345),MIN(스프레드쇼크!$C$7,MAX(스프레드쇼크!$C$6,AF345/스프레드쇼크!$C$8)),1),1)</f>
        <v>1</v>
      </c>
      <c r="AZ345" s="94" t="n">
        <f aca="false">AN345*AX345*AY345</f>
        <v>2963.2916544</v>
      </c>
      <c r="BA345" s="90" t="n">
        <f aca="false">IF(ISNUMBER(G345),AA345*G345,0)</f>
        <v>52.106881904</v>
      </c>
      <c r="BB345" s="90" t="n">
        <f aca="false">IF(ISNUMBER(G345),AA345,0)</f>
        <v>9.73742</v>
      </c>
      <c r="BC345" s="90" t="n">
        <f aca="false">IF(AND(Y345=0,ISNUMBER(AF345)),AA345*AF345,0)</f>
        <v>0</v>
      </c>
      <c r="BD345" s="90" t="n">
        <f aca="false">IF(AND(Y345=0,ISNUMBER(AF345)),AA345,0)</f>
        <v>0</v>
      </c>
      <c r="BE345" s="90" t="n">
        <f aca="false">IF(ISNUMBER(H345),AA345*H345,0)</f>
        <v>29.632916544</v>
      </c>
      <c r="BF345" s="90" t="n">
        <f aca="false">IF(ISNUMBER(H345),AA345,0)</f>
        <v>9.73742</v>
      </c>
      <c r="BG345" s="90" t="n">
        <f aca="false">IF(AND(Y345=0,ISNUMBER(AF345),ISNUMBER(Z345)),AA345*Z345,0)</f>
        <v>0</v>
      </c>
      <c r="BH345" s="90" t="n">
        <f aca="false">IF(AND(Y345=0,ISNUMBER(AF345),ISNUMBER(Z345)),AA345*AT345*MAX(Z345-1,0),0)</f>
        <v>0</v>
      </c>
      <c r="BI345" s="90" t="n">
        <f aca="false">IF(Y345=0,AA345,0)</f>
        <v>9.73742</v>
      </c>
    </row>
    <row r="346" customFormat="false" ht="15" hidden="false" customHeight="false" outlineLevel="0" collapsed="false">
      <c r="A346" s="83" t="str">
        <f aca="false">IFERROR(IF(INDEX(원자료_잔고!$A$1:$EZ$1500,설정!$L$5+ROW()-1,설정!$L$8)&amp;""="0","",INDEX(원자료_잔고!$A$1:$EZ$1500,설정!$L$5+ROW()-1,설정!$L$8)&amp;""),"")</f>
        <v>EIBKOR 1.375 02/09/31</v>
      </c>
      <c r="B346" s="83" t="str">
        <f aca="false">IFERROR(IF(INDEX(원자료_잔고!$A$1:$EZ$1500,설정!$L$5+ROW()-1,설정!$L$7)&amp;""="0","",INDEX(원자료_잔고!$A$1:$EZ$1500,설정!$L$5+ROW()-1,설정!$L$7)&amp;""),"")</f>
        <v>US302154DG11</v>
      </c>
      <c r="C346" s="83" t="str">
        <f aca="false">IFERROR(IF(INDEX(원자료_잔고!$A$1:$EZ$1500,설정!$L$5+ROW()-1,설정!$L$9)&amp;""="0","",INDEX(원자료_잔고!$A$1:$EZ$1500,설정!$L$5+ROW()-1,설정!$L$9)&amp;""),"")</f>
        <v>42003</v>
      </c>
      <c r="D34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6" s="84" t="n">
        <f aca="false">IFERROR(IF(ISNUMBER(INDEX(원자료_잔고!$A$1:$EZ$1500,설정!$L$5+ROW()-1,설정!$L$11)),INDEX(원자료_잔고!$A$1:$EZ$1500,설정!$L$5+ROW()-1,설정!$L$11),""),"")</f>
        <v>10000000</v>
      </c>
      <c r="F346" s="85" t="n">
        <f aca="false">IFERROR(IF(ISNUMBER(INDEX(원자료_잔고!$A$1:$EZ$1500,설정!$L$5+ROW()-1,설정!$L$12)),INDEX(원자료_잔고!$A$1:$EZ$1500,설정!$L$5+ROW()-1,설정!$L$12),""),"")</f>
        <v>85.133</v>
      </c>
      <c r="G346" s="85" t="n">
        <f aca="false">IFERROR(IF(ISNUMBER(INDEX(원자료_잔고!$A$1:$EZ$1500,설정!$L$5+ROW()-1,설정!$L$13)),INDEX(원자료_잔고!$A$1:$EZ$1500,설정!$L$5+ROW()-1,설정!$L$13),""),"")</f>
        <v>5.2328</v>
      </c>
      <c r="H346" s="85" t="n">
        <f aca="false">IFERROR(IF(ISNUMBER(INDEX(원자료_잔고!$A$1:$EZ$1500,설정!$L$5+ROW()-1,설정!$L$14)),INDEX(원자료_잔고!$A$1:$EZ$1500,설정!$L$5+ROW()-1,설정!$L$14),""),"")</f>
        <v>4.0464</v>
      </c>
      <c r="I346" s="86" t="n">
        <f aca="false">IFERROR(IF(ISNUMBER(INDEX(원자료_잔고!$A$1:$EZ$1500,설정!$L$5+ROW()-1,설정!$L$15)),INDEX(원자료_잔고!$A$1:$EZ$1500,설정!$L$5+ROW()-1,설정!$L$15),""),"")</f>
        <v>47888</v>
      </c>
      <c r="J346" s="85" t="n">
        <f aca="false">IFERROR(IF(ISNUMBER(INDEX(원자료_잔고!$A$1:$EZ$1500,설정!$L$5+ROW()-1,설정!$L$16)),INDEX(원자료_잔고!$A$1:$EZ$1500,설정!$L$5+ROW()-1,설정!$L$16),""),"")</f>
        <v>1.375</v>
      </c>
      <c r="K346" s="87" t="n">
        <f aca="false">IFERROR(IF(ISNUMBER(INDEX(원자료_잔고!$A$1:$EZ$1500,설정!$L$5+ROW()-1,설정!$L$17)),INDEX(원자료_잔고!$A$1:$EZ$1500,설정!$L$5+ROW()-1,설정!$L$17),""),"")</f>
        <v>1</v>
      </c>
      <c r="L346" s="84" t="n">
        <f aca="false">IFERROR(IF(ISNUMBER(INDEX(원자료_잔고!$A$1:$EZ$1500,설정!$L$5+ROW()-1,설정!$L$18)),INDEX(원자료_잔고!$A$1:$EZ$1500,설정!$L$5+ROW()-1,설정!$L$18),""),"")</f>
        <v>8513300</v>
      </c>
      <c r="M346" s="88" t="n">
        <f aca="false">IFERROR(IF(ISNUMBER(INDEX(원자료_잔고!$A$1:$EZ$1500,설정!$L$5+ROW()-1,설정!$L$19)),INDEX(원자료_잔고!$A$1:$EZ$1500,설정!$L$5+ROW()-1,설정!$L$19),""),"")</f>
        <v>-318610</v>
      </c>
      <c r="N346" s="83" t="str">
        <f aca="false">IFERROR(IF(INDEX(원자료_잔고!$A$1:$EZ$1500,설정!$L$5+ROW()-1,설정!$L$21)&amp;""="0","",INDEX(원자료_잔고!$A$1:$EZ$1500,설정!$L$5+ROW()-1,설정!$L$21)&amp;""),"")</f>
        <v>AA</v>
      </c>
      <c r="O346" s="83" t="str">
        <f aca="false">IFERROR(IF(INDEX(원자료_잔고!$A$1:$EZ$1500,설정!$L$5+ROW()-1,설정!$L$22)&amp;""="0","",INDEX(원자료_잔고!$A$1:$EZ$1500,설정!$L$5+ROW()-1,설정!$L$22)&amp;""),"")</f>
        <v/>
      </c>
      <c r="P346" s="83" t="str">
        <f aca="false">IFERROR(IF(INDEX(원자료_잔고!$A$1:$EZ$1500,설정!$L$5+ROW()-1,설정!$L$23)&amp;""="0","",INDEX(원자료_잔고!$A$1:$EZ$1500,설정!$L$5+ROW()-1,설정!$L$23)&amp;""),"")</f>
        <v>AA-</v>
      </c>
      <c r="Q346" s="89" t="n">
        <f aca="false">IF(AND($A346&lt;&gt;"",ISNUMBER(E346)),IF(E346&gt;0,1,0),0)</f>
        <v>1</v>
      </c>
      <c r="R346" s="43" t="str">
        <f aca="false">IF(Q346=1,UPPER(LEFT($A346,FIND(" ",$A346&amp;" ")-1)),"")</f>
        <v>EIBKOR</v>
      </c>
      <c r="S346" s="89" t="n">
        <f aca="false">IF(Q346=1,IF(OR(ISNUMBER(SEARCH("Float",$A346)),ISNUMBER(SEARCH("FRN",$A346))),1,0),0)</f>
        <v>0</v>
      </c>
      <c r="T346" s="43" t="str">
        <f aca="false">IF(AND(Q346=1,ISNUMBER(I346)),TEXT(I346,"yyyymmdd")&amp;"|"&amp;IF(S346=1,"F",TEXT(J346,"0.000")),"")</f>
        <v>20310209|1.375</v>
      </c>
      <c r="U346" s="90" t="n">
        <f aca="false">IF(AND(Q346=1,ISNUMBER(I346)),(I346-설정!$C$4)/365.25,"")</f>
        <v>4.35865845311431</v>
      </c>
      <c r="V346" s="43" t="str">
        <f aca="false">IF(Q346&lt;&gt;1,"",IF(ISNUMBER(U346),IF(U346&lt;=1,"1년 이하",IF(U346&lt;=2,"1-2년",IF(U346&lt;=3,"2-3년",IF(U346&lt;=4,"3-4년",IF(U346&lt;=5,"4-5년",IF(U346&lt;=7,"5-7년",IF(U346&lt;=10,"7-10년",IF(U346&lt;=20,"10-20년","20년 이상")))))))),"미분류"))</f>
        <v>4-5년</v>
      </c>
      <c r="W346" s="43" t="str">
        <f aca="false">IF(Q346&lt;&gt;1,"",IF(AB346&lt;&gt;"",INDEX(시장분석!$C:$C,AB346),IF(K346=1,"USD","비USD")))</f>
        <v>USD</v>
      </c>
      <c r="X346" s="91" t="n">
        <f aca="false">IF(Q346=1,E346*K346/1000000,0)</f>
        <v>10</v>
      </c>
      <c r="Y346" s="89" t="n">
        <f aca="false">IF(R346="T",1,0)</f>
        <v>0</v>
      </c>
      <c r="Z346" s="92" t="n">
        <f aca="false">IF(Q346&lt;&gt;1,"",IF(AD346=1,IF(ISNUMBER(U346),MAX(U346,0),H346),H346))</f>
        <v>4.0464</v>
      </c>
      <c r="AA346" s="91" t="n">
        <f aca="false">IF(Q346=1,IF(ISNUMBER(L346),L346,0)*K346/1000000,0)</f>
        <v>8.5133</v>
      </c>
      <c r="AB346" s="89" t="n">
        <f aca="false">IF(Q346&lt;&gt;1,"",IFERROR(MATCH(VLOOKUP(B346,매핑!$H$4:$I$15,2,0),시장분석!$A$2:$A$601,0)+1,IFERROR(MATCH(R346&amp;"|"&amp;T346,시장분석!$V$2:$V$601,0)+1,IF(COUNTIF(시장분석!$U$2:$U$601,T346)=1,MATCH(T346,시장분석!$U$2:$U$601,0)+1,""))))</f>
        <v>26</v>
      </c>
      <c r="AC346" s="89" t="n">
        <f aca="false">IF(Q346&lt;&gt;1,0,IF(OR(설정!$C$5="전체",AND(설정!$C$5="선택펀드",IFERROR(COUNTIFS(설정!$F$16:$F$36,C346,설정!$G$16:$G$36,"Y")+COUNTIFS(설정!$F$16:$F$36,VALUE(C346),설정!$G$16:$G$36,"Y"),0)&gt;0),C346&amp;""=설정!$C$5&amp;""),1,0))</f>
        <v>0</v>
      </c>
      <c r="AD346" s="89" t="n">
        <f aca="false">IF(Q346&lt;&gt;1,0,IF(OR(S346=1,IF(AB346="",FALSE(),INDEX(시장분석!$R:$R,AB346)=1)),1,0))</f>
        <v>0</v>
      </c>
      <c r="AE346" s="43" t="str">
        <f aca="false">IF(AB346="","",INDEX(시장분석!$A:$A,AB346))</f>
        <v>EIBKOR 1 3/8 02/09/31</v>
      </c>
      <c r="AF346" s="93" t="n">
        <f aca="false">IF(AB346="","",IF(ISNUMBER(IF(AB346="","",INDEX(시장분석!$E:$E,AB346))),IF(AB346="","",INDEX(시장분석!$E:$E,AB346)),""))</f>
        <v>9.941</v>
      </c>
      <c r="AG346" s="43" t="str">
        <f aca="false">IF(Q346&lt;&gt;1,"",IF(AB346&lt;&gt;"",IF(AB346="","",INDEX(시장분석!$L:$L,AB346)),IFERROR(IF(VLOOKUP(R346,매핑!$A$4:$E$92,5,0)="","미분류",VLOOKUP(R346,매핑!$A$4:$E$92,5,0)),"미분류")))</f>
        <v>정부</v>
      </c>
      <c r="AH346" s="43" t="str">
        <f aca="false">IF(Q346&lt;&gt;1,"",IF(AB346&lt;&gt;"",IF(AB346="","",INDEX(시장분석!$N:$N,AB346)),IFERROR(IF(VLOOKUP(R346,매핑!$A$4:$E$92,4,0)="","미분류",VLOOKUP(R346,매핑!$A$4:$E$92,4,0)),"미분류")))</f>
        <v>아시아/기타</v>
      </c>
      <c r="AI346" s="43" t="str">
        <f aca="false">IF(Q346&lt;&gt;1,"",IFERROR(IF(VLOOKUP(R346,매핑!$A$4:$E$92,3,0)="","미분류",VLOOKUP(R346,매핑!$A$4:$E$92,3,0)),IF(AB346&lt;&gt;"",IF(AB346="","",INDEX(시장분석!$W:$W,AB346)),"미분류")))</f>
        <v>한국</v>
      </c>
      <c r="AJ346" s="43" t="str">
        <f aca="false">IF(Q346&lt;&gt;1,"",IFERROR(VLOOKUP(IF(N346&lt;&gt;"",N346,IF(P346&lt;&gt;"",P346,O346)),설정!$A$15:$D$47,2,0),""))</f>
        <v>AA</v>
      </c>
      <c r="AK346" s="43" t="str">
        <f aca="false">IF(Q346&lt;&gt;1,"",IF(AJ346="","무등급",IFERROR(VLOOKUP(AJ346,설정!$A$15:$D$47,3,0),"무등급")))</f>
        <v>AA이상</v>
      </c>
      <c r="AL346" s="89" t="n">
        <f aca="false">IF(AJ346="",99,IFERROR(VLOOKUP(AJ346,설정!$A$15:$D$47,4,0),99))</f>
        <v>3</v>
      </c>
      <c r="AM346" s="94" t="n">
        <f aca="false">IF(ISNUMBER(H346),AA346*1000000*H346/10000,0)</f>
        <v>3444.821712</v>
      </c>
      <c r="AN346" s="94" t="n">
        <f aca="false">IF(OR(Y346=1,NOT(ISNUMBER(Z346))),0,AA346*1000000*Z346/10000)</f>
        <v>3444.821712</v>
      </c>
      <c r="AO346" s="94" t="n">
        <f aca="false">IF(ISNUMBER(G346),AA346*1000000*G346/100,0)</f>
        <v>445483.9624</v>
      </c>
      <c r="AP346" s="94" t="n">
        <f aca="false">IF(ISNUMBER(M346),M346*K346,0)</f>
        <v>-318610</v>
      </c>
      <c r="AQ346" s="95" t="n">
        <f aca="false">IF(AB346="","",INDEX(시장분석!$AK:$AK,AB346))</f>
        <v>-1.24965920523678</v>
      </c>
      <c r="AR346" s="43" t="str">
        <f aca="false">IF(AB346="","-",IF(AB346="","",INDEX(시장분석!$AL:$AL,AB346)))</f>
        <v>Rich</v>
      </c>
      <c r="AS346" s="96" t="n">
        <f aca="false">IF(AB346="","",INDEX(시장분석!$AJ:$AJ,AB346))</f>
        <v>-17.1116136324364</v>
      </c>
      <c r="AT346" s="93" t="n">
        <f aca="false">IF(AB346="",0,IF(AB346="","",INDEX(시장분석!$AN:$AN,AB346)))</f>
        <v>5.37470258732494</v>
      </c>
      <c r="AU346" s="94" t="n">
        <f aca="false">IF(ISNUMBER(Z346),AT346/10000*MAX(Z346-1,0)*AA346*1000000,0)</f>
        <v>13939.2466146922</v>
      </c>
      <c r="AV346" s="94" t="n">
        <f aca="false">AO346+AU346</f>
        <v>459423.209014692</v>
      </c>
      <c r="AW346" s="43" t="str">
        <f aca="false">IF(Q346&lt;&gt;1,"",TRIM(IF(AD346=1,"FRN ","")&amp;IF(AND(AL346&gt;=10,AL346&lt;99),"BBB0미만 ","")&amp;IF(AJ346="","등급없음 ","")&amp;IF(K346&lt;&gt;1,"비USD ","")&amp;IF(AND(AB346="",Y346=0),"시장데이터없음 ","")&amp;IF(AND(ISNUMBER(U346),U346&lt;0),"만기경과 ","")))</f>
        <v/>
      </c>
      <c r="AX346" s="90" t="n">
        <f aca="false">IF(Q346&lt;&gt;1,1,IF(스프레드쇼크!$C$4="Y",INDEX(스프레드쇼크!$B$12:$L$16,IFERROR(MATCH(AH346,스프레드쇼크!$A$12:$A$16,0),MATCH("목록외",스프레드쇼크!$A$12:$A$16,0)),IFERROR(MATCH(AG346,스프레드쇼크!$B$11:$L$11,0),MATCH("목록외",스프레드쇼크!$B$11:$L$11,0))),1))</f>
        <v>1</v>
      </c>
      <c r="AY346" s="90" t="n">
        <f aca="false">IF(스프레드쇼크!$C$5="Y",IF(ISNUMBER(AF346),MIN(스프레드쇼크!$C$7,MAX(스프레드쇼크!$C$6,AF346/스프레드쇼크!$C$8)),1),1)</f>
        <v>0.25</v>
      </c>
      <c r="AZ346" s="94" t="n">
        <f aca="false">AN346*AX346*AY346</f>
        <v>861.205428</v>
      </c>
      <c r="BA346" s="90" t="n">
        <f aca="false">IF(ISNUMBER(G346),AA346*G346,0)</f>
        <v>44.54839624</v>
      </c>
      <c r="BB346" s="90" t="n">
        <f aca="false">IF(ISNUMBER(G346),AA346,0)</f>
        <v>8.5133</v>
      </c>
      <c r="BC346" s="90" t="n">
        <f aca="false">IF(AND(Y346=0,ISNUMBER(AF346)),AA346*AF346,0)</f>
        <v>84.6307153</v>
      </c>
      <c r="BD346" s="90" t="n">
        <f aca="false">IF(AND(Y346=0,ISNUMBER(AF346)),AA346,0)</f>
        <v>8.5133</v>
      </c>
      <c r="BE346" s="90" t="n">
        <f aca="false">IF(ISNUMBER(H346),AA346*H346,0)</f>
        <v>34.44821712</v>
      </c>
      <c r="BF346" s="90" t="n">
        <f aca="false">IF(ISNUMBER(H346),AA346,0)</f>
        <v>8.5133</v>
      </c>
      <c r="BG346" s="90" t="n">
        <f aca="false">IF(AND(Y346=0,ISNUMBER(AF346),ISNUMBER(Z346)),AA346*Z346,0)</f>
        <v>34.44821712</v>
      </c>
      <c r="BH346" s="90" t="n">
        <f aca="false">IF(AND(Y346=0,ISNUMBER(AF346),ISNUMBER(Z346)),AA346*AT346*MAX(Z346-1,0),0)</f>
        <v>139.392466146922</v>
      </c>
      <c r="BI346" s="90" t="n">
        <f aca="false">IF(Y346=0,AA346,0)</f>
        <v>8.5133</v>
      </c>
    </row>
    <row r="347" customFormat="false" ht="15" hidden="false" customHeight="false" outlineLevel="0" collapsed="false">
      <c r="A347" s="83" t="str">
        <f aca="false">IFERROR(IF(INDEX(원자료_잔고!$A$1:$EZ$1500,설정!$L$5+ROW()-1,설정!$L$8)&amp;""="0","",INDEX(원자료_잔고!$A$1:$EZ$1500,설정!$L$5+ROW()-1,설정!$L$8)&amp;""),"")</f>
        <v>EIBKOR 5.125 09/18/28</v>
      </c>
      <c r="B347" s="83" t="str">
        <f aca="false">IFERROR(IF(INDEX(원자료_잔고!$A$1:$EZ$1500,설정!$L$5+ROW()-1,설정!$L$7)&amp;""="0","",INDEX(원자료_잔고!$A$1:$EZ$1500,설정!$L$5+ROW()-1,설정!$L$7)&amp;""),"")</f>
        <v>US302154DY27</v>
      </c>
      <c r="C347" s="83" t="str">
        <f aca="false">IFERROR(IF(INDEX(원자료_잔고!$A$1:$EZ$1500,설정!$L$5+ROW()-1,설정!$L$9)&amp;""="0","",INDEX(원자료_잔고!$A$1:$EZ$1500,설정!$L$5+ROW()-1,설정!$L$9)&amp;""),"")</f>
        <v>42003</v>
      </c>
      <c r="D34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7" s="84" t="n">
        <f aca="false">IFERROR(IF(ISNUMBER(INDEX(원자료_잔고!$A$1:$EZ$1500,설정!$L$5+ROW()-1,설정!$L$11)),INDEX(원자료_잔고!$A$1:$EZ$1500,설정!$L$5+ROW()-1,설정!$L$11),""),"")</f>
        <v>500000</v>
      </c>
      <c r="F347" s="85" t="n">
        <f aca="false">IFERROR(IF(ISNUMBER(INDEX(원자료_잔고!$A$1:$EZ$1500,설정!$L$5+ROW()-1,설정!$L$12)),INDEX(원자료_잔고!$A$1:$EZ$1500,설정!$L$5+ROW()-1,설정!$L$12),""),"")</f>
        <v>100.2218</v>
      </c>
      <c r="G347" s="85" t="n">
        <f aca="false">IFERROR(IF(ISNUMBER(INDEX(원자료_잔고!$A$1:$EZ$1500,설정!$L$5+ROW()-1,설정!$L$13)),INDEX(원자료_잔고!$A$1:$EZ$1500,설정!$L$5+ROW()-1,설정!$L$13),""),"")</f>
        <v>5.0035</v>
      </c>
      <c r="H347" s="85" t="n">
        <f aca="false">IFERROR(IF(ISNUMBER(INDEX(원자료_잔고!$A$1:$EZ$1500,설정!$L$5+ROW()-1,설정!$L$14)),INDEX(원자료_잔고!$A$1:$EZ$1500,설정!$L$5+ROW()-1,설정!$L$14),""),"")</f>
        <v>1.8158</v>
      </c>
      <c r="I347" s="86" t="n">
        <f aca="false">IFERROR(IF(ISNUMBER(INDEX(원자료_잔고!$A$1:$EZ$1500,설정!$L$5+ROW()-1,설정!$L$15)),INDEX(원자료_잔고!$A$1:$EZ$1500,설정!$L$5+ROW()-1,설정!$L$15),""),"")</f>
        <v>47014</v>
      </c>
      <c r="J347" s="85" t="n">
        <f aca="false">IFERROR(IF(ISNUMBER(INDEX(원자료_잔고!$A$1:$EZ$1500,설정!$L$5+ROW()-1,설정!$L$16)),INDEX(원자료_잔고!$A$1:$EZ$1500,설정!$L$5+ROW()-1,설정!$L$16),""),"")</f>
        <v>5.125</v>
      </c>
      <c r="K347" s="87" t="n">
        <f aca="false">IFERROR(IF(ISNUMBER(INDEX(원자료_잔고!$A$1:$EZ$1500,설정!$L$5+ROW()-1,설정!$L$17)),INDEX(원자료_잔고!$A$1:$EZ$1500,설정!$L$5+ROW()-1,설정!$L$17),""),"")</f>
        <v>1</v>
      </c>
      <c r="L347" s="84" t="n">
        <f aca="false">IFERROR(IF(ISNUMBER(INDEX(원자료_잔고!$A$1:$EZ$1500,설정!$L$5+ROW()-1,설정!$L$18)),INDEX(원자료_잔고!$A$1:$EZ$1500,설정!$L$5+ROW()-1,설정!$L$18),""),"")</f>
        <v>501109</v>
      </c>
      <c r="M347" s="88" t="n">
        <f aca="false">IFERROR(IF(ISNUMBER(INDEX(원자료_잔고!$A$1:$EZ$1500,설정!$L$5+ROW()-1,설정!$L$19)),INDEX(원자료_잔고!$A$1:$EZ$1500,설정!$L$5+ROW()-1,설정!$L$19),""),"")</f>
        <v>-17059.5</v>
      </c>
      <c r="N347" s="83" t="str">
        <f aca="false">IFERROR(IF(INDEX(원자료_잔고!$A$1:$EZ$1500,설정!$L$5+ROW()-1,설정!$L$21)&amp;""="0","",INDEX(원자료_잔고!$A$1:$EZ$1500,설정!$L$5+ROW()-1,설정!$L$21)&amp;""),"")</f>
        <v>AA</v>
      </c>
      <c r="O347" s="83" t="str">
        <f aca="false">IFERROR(IF(INDEX(원자료_잔고!$A$1:$EZ$1500,설정!$L$5+ROW()-1,설정!$L$22)&amp;""="0","",INDEX(원자료_잔고!$A$1:$EZ$1500,설정!$L$5+ROW()-1,설정!$L$22)&amp;""),"")</f>
        <v/>
      </c>
      <c r="P347" s="83" t="str">
        <f aca="false">IFERROR(IF(INDEX(원자료_잔고!$A$1:$EZ$1500,설정!$L$5+ROW()-1,설정!$L$23)&amp;""="0","",INDEX(원자료_잔고!$A$1:$EZ$1500,설정!$L$5+ROW()-1,설정!$L$23)&amp;""),"")</f>
        <v>AA-</v>
      </c>
      <c r="Q347" s="89" t="n">
        <f aca="false">IF(AND($A347&lt;&gt;"",ISNUMBER(E347)),IF(E347&gt;0,1,0),0)</f>
        <v>1</v>
      </c>
      <c r="R347" s="43" t="str">
        <f aca="false">IF(Q347=1,UPPER(LEFT($A347,FIND(" ",$A347&amp;" ")-1)),"")</f>
        <v>EIBKOR</v>
      </c>
      <c r="S347" s="89" t="n">
        <f aca="false">IF(Q347=1,IF(OR(ISNUMBER(SEARCH("Float",$A347)),ISNUMBER(SEARCH("FRN",$A347))),1,0),0)</f>
        <v>0</v>
      </c>
      <c r="T347" s="43" t="str">
        <f aca="false">IF(AND(Q347=1,ISNUMBER(I347)),TEXT(I347,"yyyymmdd")&amp;"|"&amp;IF(S347=1,"F",TEXT(J347,"0.000")),"")</f>
        <v>20280918|5.125</v>
      </c>
      <c r="U347" s="90" t="n">
        <f aca="false">IF(AND(Q347=1,ISNUMBER(I347)),(I347-설정!$C$4)/365.25,"")</f>
        <v>1.96577686516085</v>
      </c>
      <c r="V347" s="43" t="str">
        <f aca="false">IF(Q347&lt;&gt;1,"",IF(ISNUMBER(U347),IF(U347&lt;=1,"1년 이하",IF(U347&lt;=2,"1-2년",IF(U347&lt;=3,"2-3년",IF(U347&lt;=4,"3-4년",IF(U347&lt;=5,"4-5년",IF(U347&lt;=7,"5-7년",IF(U347&lt;=10,"7-10년",IF(U347&lt;=20,"10-20년","20년 이상")))))))),"미분류"))</f>
        <v>1-2년</v>
      </c>
      <c r="W347" s="43" t="str">
        <f aca="false">IF(Q347&lt;&gt;1,"",IF(AB347&lt;&gt;"",INDEX(시장분석!$C:$C,AB347),IF(K347=1,"USD","비USD")))</f>
        <v>USD</v>
      </c>
      <c r="X347" s="91" t="n">
        <f aca="false">IF(Q347=1,E347*K347/1000000,0)</f>
        <v>0.5</v>
      </c>
      <c r="Y347" s="89" t="n">
        <f aca="false">IF(R347="T",1,0)</f>
        <v>0</v>
      </c>
      <c r="Z347" s="92" t="n">
        <f aca="false">IF(Q347&lt;&gt;1,"",IF(AD347=1,IF(ISNUMBER(U347),MAX(U347,0),H347),H347))</f>
        <v>1.8158</v>
      </c>
      <c r="AA347" s="91" t="n">
        <f aca="false">IF(Q347=1,IF(ISNUMBER(L347),L347,0)*K347/1000000,0)</f>
        <v>0.501109</v>
      </c>
      <c r="AB347" s="89" t="n">
        <f aca="false">IF(Q347&lt;&gt;1,"",IFERROR(MATCH(VLOOKUP(B347,매핑!$H$4:$I$15,2,0),시장분석!$A$2:$A$601,0)+1,IFERROR(MATCH(R347&amp;"|"&amp;T347,시장분석!$V$2:$V$601,0)+1,IF(COUNTIF(시장분석!$U$2:$U$601,T347)=1,MATCH(T347,시장분석!$U$2:$U$601,0)+1,""))))</f>
        <v>28</v>
      </c>
      <c r="AC347" s="89" t="n">
        <f aca="false">IF(Q347&lt;&gt;1,0,IF(OR(설정!$C$5="전체",AND(설정!$C$5="선택펀드",IFERROR(COUNTIFS(설정!$F$16:$F$36,C347,설정!$G$16:$G$36,"Y")+COUNTIFS(설정!$F$16:$F$36,VALUE(C347),설정!$G$16:$G$36,"Y"),0)&gt;0),C347&amp;""=설정!$C$5&amp;""),1,0))</f>
        <v>0</v>
      </c>
      <c r="AD347" s="89" t="n">
        <f aca="false">IF(Q347&lt;&gt;1,0,IF(OR(S347=1,IF(AB347="",FALSE(),INDEX(시장분석!$R:$R,AB347)=1)),1,0))</f>
        <v>0</v>
      </c>
      <c r="AE347" s="43" t="str">
        <f aca="false">IF(AB347="","",INDEX(시장분석!$A:$A,AB347))</f>
        <v>EIBKOR 5 1/8 09/18/28</v>
      </c>
      <c r="AF347" s="93" t="n">
        <f aca="false">IF(AB347="","",IF(ISNUMBER(IF(AB347="","",INDEX(시장분석!$E:$E,AB347))),IF(AB347="","",INDEX(시장분석!$E:$E,AB347)),""))</f>
        <v>14.114</v>
      </c>
      <c r="AG347" s="43" t="str">
        <f aca="false">IF(Q347&lt;&gt;1,"",IF(AB347&lt;&gt;"",IF(AB347="","",INDEX(시장분석!$L:$L,AB347)),IFERROR(IF(VLOOKUP(R347,매핑!$A$4:$E$92,5,0)="","미분류",VLOOKUP(R347,매핑!$A$4:$E$92,5,0)),"미분류")))</f>
        <v>정부</v>
      </c>
      <c r="AH347" s="43" t="str">
        <f aca="false">IF(Q347&lt;&gt;1,"",IF(AB347&lt;&gt;"",IF(AB347="","",INDEX(시장분석!$N:$N,AB347)),IFERROR(IF(VLOOKUP(R347,매핑!$A$4:$E$92,4,0)="","미분류",VLOOKUP(R347,매핑!$A$4:$E$92,4,0)),"미분류")))</f>
        <v>아시아/기타</v>
      </c>
      <c r="AI347" s="43" t="str">
        <f aca="false">IF(Q347&lt;&gt;1,"",IFERROR(IF(VLOOKUP(R347,매핑!$A$4:$E$92,3,0)="","미분류",VLOOKUP(R347,매핑!$A$4:$E$92,3,0)),IF(AB347&lt;&gt;"",IF(AB347="","",INDEX(시장분석!$W:$W,AB347)),"미분류")))</f>
        <v>한국</v>
      </c>
      <c r="AJ347" s="43" t="str">
        <f aca="false">IF(Q347&lt;&gt;1,"",IFERROR(VLOOKUP(IF(N347&lt;&gt;"",N347,IF(P347&lt;&gt;"",P347,O347)),설정!$A$15:$D$47,2,0),""))</f>
        <v>AA</v>
      </c>
      <c r="AK347" s="43" t="str">
        <f aca="false">IF(Q347&lt;&gt;1,"",IF(AJ347="","무등급",IFERROR(VLOOKUP(AJ347,설정!$A$15:$D$47,3,0),"무등급")))</f>
        <v>AA이상</v>
      </c>
      <c r="AL347" s="89" t="n">
        <f aca="false">IF(AJ347="",99,IFERROR(VLOOKUP(AJ347,설정!$A$15:$D$47,4,0),99))</f>
        <v>3</v>
      </c>
      <c r="AM347" s="94" t="n">
        <f aca="false">IF(ISNUMBER(H347),AA347*1000000*H347/10000,0)</f>
        <v>90.99137222</v>
      </c>
      <c r="AN347" s="94" t="n">
        <f aca="false">IF(OR(Y347=1,NOT(ISNUMBER(Z347))),0,AA347*1000000*Z347/10000)</f>
        <v>90.99137222</v>
      </c>
      <c r="AO347" s="94" t="n">
        <f aca="false">IF(ISNUMBER(G347),AA347*1000000*G347/100,0)</f>
        <v>25072.988815</v>
      </c>
      <c r="AP347" s="94" t="n">
        <f aca="false">IF(ISNUMBER(M347),M347*K347,0)</f>
        <v>-17059.5</v>
      </c>
      <c r="AQ347" s="95" t="n">
        <f aca="false">IF(AB347="","",INDEX(시장분석!$AK:$AK,AB347))</f>
        <v>0.22252005254901</v>
      </c>
      <c r="AR347" s="43" t="str">
        <f aca="false">IF(AB347="","-",IF(AB347="","",INDEX(시장분석!$AL:$AL,AB347)))</f>
        <v>Fair</v>
      </c>
      <c r="AS347" s="96" t="n">
        <f aca="false">IF(AB347="","",INDEX(시장분석!$AJ:$AJ,AB347))</f>
        <v>3.04697244555297</v>
      </c>
      <c r="AT347" s="93" t="n">
        <f aca="false">IF(AB347="",0,IF(AB347="","",INDEX(시장분석!$AN:$AN,AB347)))</f>
        <v>14.9979467795817</v>
      </c>
      <c r="AU347" s="94" t="n">
        <f aca="false">IF(ISNUMBER(Z347),AT347/10000*MAX(Z347-1,0)*AA347*1000000,0)</f>
        <v>613.123146679728</v>
      </c>
      <c r="AV347" s="94" t="n">
        <f aca="false">AO347+AU347</f>
        <v>25686.1119616797</v>
      </c>
      <c r="AW347" s="43" t="str">
        <f aca="false">IF(Q347&lt;&gt;1,"",TRIM(IF(AD347=1,"FRN ","")&amp;IF(AND(AL347&gt;=10,AL347&lt;99),"BBB0미만 ","")&amp;IF(AJ347="","등급없음 ","")&amp;IF(K347&lt;&gt;1,"비USD ","")&amp;IF(AND(AB347="",Y347=0),"시장데이터없음 ","")&amp;IF(AND(ISNUMBER(U347),U347&lt;0),"만기경과 ","")))</f>
        <v/>
      </c>
      <c r="AX347" s="90" t="n">
        <f aca="false">IF(Q347&lt;&gt;1,1,IF(스프레드쇼크!$C$4="Y",INDEX(스프레드쇼크!$B$12:$L$16,IFERROR(MATCH(AH347,스프레드쇼크!$A$12:$A$16,0),MATCH("목록외",스프레드쇼크!$A$12:$A$16,0)),IFERROR(MATCH(AG347,스프레드쇼크!$B$11:$L$11,0),MATCH("목록외",스프레드쇼크!$B$11:$L$11,0))),1))</f>
        <v>1</v>
      </c>
      <c r="AY347" s="90" t="n">
        <f aca="false">IF(스프레드쇼크!$C$5="Y",IF(ISNUMBER(AF347),MIN(스프레드쇼크!$C$7,MAX(스프레드쇼크!$C$6,AF347/스프레드쇼크!$C$8)),1),1)</f>
        <v>0.25</v>
      </c>
      <c r="AZ347" s="94" t="n">
        <f aca="false">AN347*AX347*AY347</f>
        <v>22.747843055</v>
      </c>
      <c r="BA347" s="90" t="n">
        <f aca="false">IF(ISNUMBER(G347),AA347*G347,0)</f>
        <v>2.5072988815</v>
      </c>
      <c r="BB347" s="90" t="n">
        <f aca="false">IF(ISNUMBER(G347),AA347,0)</f>
        <v>0.501109</v>
      </c>
      <c r="BC347" s="90" t="n">
        <f aca="false">IF(AND(Y347=0,ISNUMBER(AF347)),AA347*AF347,0)</f>
        <v>7.072652426</v>
      </c>
      <c r="BD347" s="90" t="n">
        <f aca="false">IF(AND(Y347=0,ISNUMBER(AF347)),AA347,0)</f>
        <v>0.501109</v>
      </c>
      <c r="BE347" s="90" t="n">
        <f aca="false">IF(ISNUMBER(H347),AA347*H347,0)</f>
        <v>0.9099137222</v>
      </c>
      <c r="BF347" s="90" t="n">
        <f aca="false">IF(ISNUMBER(H347),AA347,0)</f>
        <v>0.501109</v>
      </c>
      <c r="BG347" s="90" t="n">
        <f aca="false">IF(AND(Y347=0,ISNUMBER(AF347),ISNUMBER(Z347)),AA347*Z347,0)</f>
        <v>0.9099137222</v>
      </c>
      <c r="BH347" s="90" t="n">
        <f aca="false">IF(AND(Y347=0,ISNUMBER(AF347),ISNUMBER(Z347)),AA347*AT347*MAX(Z347-1,0),0)</f>
        <v>6.13123146679728</v>
      </c>
      <c r="BI347" s="90" t="n">
        <f aca="false">IF(Y347=0,AA347,0)</f>
        <v>0.501109</v>
      </c>
    </row>
    <row r="348" customFormat="false" ht="15" hidden="false" customHeight="false" outlineLevel="0" collapsed="false">
      <c r="A348" s="83" t="str">
        <f aca="false">IFERROR(IF(INDEX(원자료_잔고!$A$1:$EZ$1500,설정!$L$5+ROW()-1,설정!$L$8)&amp;""="0","",INDEX(원자료_잔고!$A$1:$EZ$1500,설정!$L$5+ROW()-1,설정!$L$8)&amp;""),"")</f>
        <v>EIBKOR 5.125 09/18/28</v>
      </c>
      <c r="B348" s="83" t="str">
        <f aca="false">IFERROR(IF(INDEX(원자료_잔고!$A$1:$EZ$1500,설정!$L$5+ROW()-1,설정!$L$7)&amp;""="0","",INDEX(원자료_잔고!$A$1:$EZ$1500,설정!$L$5+ROW()-1,설정!$L$7)&amp;""),"")</f>
        <v>US302154DY27</v>
      </c>
      <c r="C348" s="83" t="str">
        <f aca="false">IFERROR(IF(INDEX(원자료_잔고!$A$1:$EZ$1500,설정!$L$5+ROW()-1,설정!$L$9)&amp;""="0","",INDEX(원자료_잔고!$A$1:$EZ$1500,설정!$L$5+ROW()-1,설정!$L$9)&amp;""),"")</f>
        <v>42003</v>
      </c>
      <c r="D34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8" s="84" t="n">
        <f aca="false">IFERROR(IF(ISNUMBER(INDEX(원자료_잔고!$A$1:$EZ$1500,설정!$L$5+ROW()-1,설정!$L$11)),INDEX(원자료_잔고!$A$1:$EZ$1500,설정!$L$5+ROW()-1,설정!$L$11),""),"")</f>
        <v>1500000</v>
      </c>
      <c r="F348" s="85" t="n">
        <f aca="false">IFERROR(IF(ISNUMBER(INDEX(원자료_잔고!$A$1:$EZ$1500,설정!$L$5+ROW()-1,설정!$L$12)),INDEX(원자료_잔고!$A$1:$EZ$1500,설정!$L$5+ROW()-1,설정!$L$12),""),"")</f>
        <v>100.2218</v>
      </c>
      <c r="G348" s="85" t="n">
        <f aca="false">IFERROR(IF(ISNUMBER(INDEX(원자료_잔고!$A$1:$EZ$1500,설정!$L$5+ROW()-1,설정!$L$13)),INDEX(원자료_잔고!$A$1:$EZ$1500,설정!$L$5+ROW()-1,설정!$L$13),""),"")</f>
        <v>5.0035</v>
      </c>
      <c r="H348" s="85" t="n">
        <f aca="false">IFERROR(IF(ISNUMBER(INDEX(원자료_잔고!$A$1:$EZ$1500,설정!$L$5+ROW()-1,설정!$L$14)),INDEX(원자료_잔고!$A$1:$EZ$1500,설정!$L$5+ROW()-1,설정!$L$14),""),"")</f>
        <v>1.8158</v>
      </c>
      <c r="I348" s="86" t="n">
        <f aca="false">IFERROR(IF(ISNUMBER(INDEX(원자료_잔고!$A$1:$EZ$1500,설정!$L$5+ROW()-1,설정!$L$15)),INDEX(원자료_잔고!$A$1:$EZ$1500,설정!$L$5+ROW()-1,설정!$L$15),""),"")</f>
        <v>47014</v>
      </c>
      <c r="J348" s="85" t="n">
        <f aca="false">IFERROR(IF(ISNUMBER(INDEX(원자료_잔고!$A$1:$EZ$1500,설정!$L$5+ROW()-1,설정!$L$16)),INDEX(원자료_잔고!$A$1:$EZ$1500,설정!$L$5+ROW()-1,설정!$L$16),""),"")</f>
        <v>5.125</v>
      </c>
      <c r="K348" s="87" t="n">
        <f aca="false">IFERROR(IF(ISNUMBER(INDEX(원자료_잔고!$A$1:$EZ$1500,설정!$L$5+ROW()-1,설정!$L$17)),INDEX(원자료_잔고!$A$1:$EZ$1500,설정!$L$5+ROW()-1,설정!$L$17),""),"")</f>
        <v>1</v>
      </c>
      <c r="L348" s="84" t="n">
        <f aca="false">IFERROR(IF(ISNUMBER(INDEX(원자료_잔고!$A$1:$EZ$1500,설정!$L$5+ROW()-1,설정!$L$18)),INDEX(원자료_잔고!$A$1:$EZ$1500,설정!$L$5+ROW()-1,설정!$L$18),""),"")</f>
        <v>1503327</v>
      </c>
      <c r="M348" s="88" t="n">
        <f aca="false">IFERROR(IF(ISNUMBER(INDEX(원자료_잔고!$A$1:$EZ$1500,설정!$L$5+ROW()-1,설정!$L$19)),INDEX(원자료_잔고!$A$1:$EZ$1500,설정!$L$5+ROW()-1,설정!$L$19),""),"")</f>
        <v>-21123</v>
      </c>
      <c r="N348" s="83" t="str">
        <f aca="false">IFERROR(IF(INDEX(원자료_잔고!$A$1:$EZ$1500,설정!$L$5+ROW()-1,설정!$L$21)&amp;""="0","",INDEX(원자료_잔고!$A$1:$EZ$1500,설정!$L$5+ROW()-1,설정!$L$21)&amp;""),"")</f>
        <v>AA</v>
      </c>
      <c r="O348" s="83" t="str">
        <f aca="false">IFERROR(IF(INDEX(원자료_잔고!$A$1:$EZ$1500,설정!$L$5+ROW()-1,설정!$L$22)&amp;""="0","",INDEX(원자료_잔고!$A$1:$EZ$1500,설정!$L$5+ROW()-1,설정!$L$22)&amp;""),"")</f>
        <v/>
      </c>
      <c r="P348" s="83" t="str">
        <f aca="false">IFERROR(IF(INDEX(원자료_잔고!$A$1:$EZ$1500,설정!$L$5+ROW()-1,설정!$L$23)&amp;""="0","",INDEX(원자료_잔고!$A$1:$EZ$1500,설정!$L$5+ROW()-1,설정!$L$23)&amp;""),"")</f>
        <v>AA-</v>
      </c>
      <c r="Q348" s="89" t="n">
        <f aca="false">IF(AND($A348&lt;&gt;"",ISNUMBER(E348)),IF(E348&gt;0,1,0),0)</f>
        <v>1</v>
      </c>
      <c r="R348" s="43" t="str">
        <f aca="false">IF(Q348=1,UPPER(LEFT($A348,FIND(" ",$A348&amp;" ")-1)),"")</f>
        <v>EIBKOR</v>
      </c>
      <c r="S348" s="89" t="n">
        <f aca="false">IF(Q348=1,IF(OR(ISNUMBER(SEARCH("Float",$A348)),ISNUMBER(SEARCH("FRN",$A348))),1,0),0)</f>
        <v>0</v>
      </c>
      <c r="T348" s="43" t="str">
        <f aca="false">IF(AND(Q348=1,ISNUMBER(I348)),TEXT(I348,"yyyymmdd")&amp;"|"&amp;IF(S348=1,"F",TEXT(J348,"0.000")),"")</f>
        <v>20280918|5.125</v>
      </c>
      <c r="U348" s="90" t="n">
        <f aca="false">IF(AND(Q348=1,ISNUMBER(I348)),(I348-설정!$C$4)/365.25,"")</f>
        <v>1.96577686516085</v>
      </c>
      <c r="V348" s="43" t="str">
        <f aca="false">IF(Q348&lt;&gt;1,"",IF(ISNUMBER(U348),IF(U348&lt;=1,"1년 이하",IF(U348&lt;=2,"1-2년",IF(U348&lt;=3,"2-3년",IF(U348&lt;=4,"3-4년",IF(U348&lt;=5,"4-5년",IF(U348&lt;=7,"5-7년",IF(U348&lt;=10,"7-10년",IF(U348&lt;=20,"10-20년","20년 이상")))))))),"미분류"))</f>
        <v>1-2년</v>
      </c>
      <c r="W348" s="43" t="str">
        <f aca="false">IF(Q348&lt;&gt;1,"",IF(AB348&lt;&gt;"",INDEX(시장분석!$C:$C,AB348),IF(K348=1,"USD","비USD")))</f>
        <v>USD</v>
      </c>
      <c r="X348" s="91" t="n">
        <f aca="false">IF(Q348=1,E348*K348/1000000,0)</f>
        <v>1.5</v>
      </c>
      <c r="Y348" s="89" t="n">
        <f aca="false">IF(R348="T",1,0)</f>
        <v>0</v>
      </c>
      <c r="Z348" s="92" t="n">
        <f aca="false">IF(Q348&lt;&gt;1,"",IF(AD348=1,IF(ISNUMBER(U348),MAX(U348,0),H348),H348))</f>
        <v>1.8158</v>
      </c>
      <c r="AA348" s="91" t="n">
        <f aca="false">IF(Q348=1,IF(ISNUMBER(L348),L348,0)*K348/1000000,0)</f>
        <v>1.503327</v>
      </c>
      <c r="AB348" s="89" t="n">
        <f aca="false">IF(Q348&lt;&gt;1,"",IFERROR(MATCH(VLOOKUP(B348,매핑!$H$4:$I$15,2,0),시장분석!$A$2:$A$601,0)+1,IFERROR(MATCH(R348&amp;"|"&amp;T348,시장분석!$V$2:$V$601,0)+1,IF(COUNTIF(시장분석!$U$2:$U$601,T348)=1,MATCH(T348,시장분석!$U$2:$U$601,0)+1,""))))</f>
        <v>28</v>
      </c>
      <c r="AC348" s="89" t="n">
        <f aca="false">IF(Q348&lt;&gt;1,0,IF(OR(설정!$C$5="전체",AND(설정!$C$5="선택펀드",IFERROR(COUNTIFS(설정!$F$16:$F$36,C348,설정!$G$16:$G$36,"Y")+COUNTIFS(설정!$F$16:$F$36,VALUE(C348),설정!$G$16:$G$36,"Y"),0)&gt;0),C348&amp;""=설정!$C$5&amp;""),1,0))</f>
        <v>0</v>
      </c>
      <c r="AD348" s="89" t="n">
        <f aca="false">IF(Q348&lt;&gt;1,0,IF(OR(S348=1,IF(AB348="",FALSE(),INDEX(시장분석!$R:$R,AB348)=1)),1,0))</f>
        <v>0</v>
      </c>
      <c r="AE348" s="43" t="str">
        <f aca="false">IF(AB348="","",INDEX(시장분석!$A:$A,AB348))</f>
        <v>EIBKOR 5 1/8 09/18/28</v>
      </c>
      <c r="AF348" s="93" t="n">
        <f aca="false">IF(AB348="","",IF(ISNUMBER(IF(AB348="","",INDEX(시장분석!$E:$E,AB348))),IF(AB348="","",INDEX(시장분석!$E:$E,AB348)),""))</f>
        <v>14.114</v>
      </c>
      <c r="AG348" s="43" t="str">
        <f aca="false">IF(Q348&lt;&gt;1,"",IF(AB348&lt;&gt;"",IF(AB348="","",INDEX(시장분석!$L:$L,AB348)),IFERROR(IF(VLOOKUP(R348,매핑!$A$4:$E$92,5,0)="","미분류",VLOOKUP(R348,매핑!$A$4:$E$92,5,0)),"미분류")))</f>
        <v>정부</v>
      </c>
      <c r="AH348" s="43" t="str">
        <f aca="false">IF(Q348&lt;&gt;1,"",IF(AB348&lt;&gt;"",IF(AB348="","",INDEX(시장분석!$N:$N,AB348)),IFERROR(IF(VLOOKUP(R348,매핑!$A$4:$E$92,4,0)="","미분류",VLOOKUP(R348,매핑!$A$4:$E$92,4,0)),"미분류")))</f>
        <v>아시아/기타</v>
      </c>
      <c r="AI348" s="43" t="str">
        <f aca="false">IF(Q348&lt;&gt;1,"",IFERROR(IF(VLOOKUP(R348,매핑!$A$4:$E$92,3,0)="","미분류",VLOOKUP(R348,매핑!$A$4:$E$92,3,0)),IF(AB348&lt;&gt;"",IF(AB348="","",INDEX(시장분석!$W:$W,AB348)),"미분류")))</f>
        <v>한국</v>
      </c>
      <c r="AJ348" s="43" t="str">
        <f aca="false">IF(Q348&lt;&gt;1,"",IFERROR(VLOOKUP(IF(N348&lt;&gt;"",N348,IF(P348&lt;&gt;"",P348,O348)),설정!$A$15:$D$47,2,0),""))</f>
        <v>AA</v>
      </c>
      <c r="AK348" s="43" t="str">
        <f aca="false">IF(Q348&lt;&gt;1,"",IF(AJ348="","무등급",IFERROR(VLOOKUP(AJ348,설정!$A$15:$D$47,3,0),"무등급")))</f>
        <v>AA이상</v>
      </c>
      <c r="AL348" s="89" t="n">
        <f aca="false">IF(AJ348="",99,IFERROR(VLOOKUP(AJ348,설정!$A$15:$D$47,4,0),99))</f>
        <v>3</v>
      </c>
      <c r="AM348" s="94" t="n">
        <f aca="false">IF(ISNUMBER(H348),AA348*1000000*H348/10000,0)</f>
        <v>272.97411666</v>
      </c>
      <c r="AN348" s="94" t="n">
        <f aca="false">IF(OR(Y348=1,NOT(ISNUMBER(Z348))),0,AA348*1000000*Z348/10000)</f>
        <v>272.97411666</v>
      </c>
      <c r="AO348" s="94" t="n">
        <f aca="false">IF(ISNUMBER(G348),AA348*1000000*G348/100,0)</f>
        <v>75218.966445</v>
      </c>
      <c r="AP348" s="94" t="n">
        <f aca="false">IF(ISNUMBER(M348),M348*K348,0)</f>
        <v>-21123</v>
      </c>
      <c r="AQ348" s="95" t="n">
        <f aca="false">IF(AB348="","",INDEX(시장분석!$AK:$AK,AB348))</f>
        <v>0.22252005254901</v>
      </c>
      <c r="AR348" s="43" t="str">
        <f aca="false">IF(AB348="","-",IF(AB348="","",INDEX(시장분석!$AL:$AL,AB348)))</f>
        <v>Fair</v>
      </c>
      <c r="AS348" s="96" t="n">
        <f aca="false">IF(AB348="","",INDEX(시장분석!$AJ:$AJ,AB348))</f>
        <v>3.04697244555297</v>
      </c>
      <c r="AT348" s="93" t="n">
        <f aca="false">IF(AB348="",0,IF(AB348="","",INDEX(시장분석!$AN:$AN,AB348)))</f>
        <v>14.9979467795817</v>
      </c>
      <c r="AU348" s="94" t="n">
        <f aca="false">IF(ISNUMBER(Z348),AT348/10000*MAX(Z348-1,0)*AA348*1000000,0)</f>
        <v>1839.36944003918</v>
      </c>
      <c r="AV348" s="94" t="n">
        <f aca="false">AO348+AU348</f>
        <v>77058.3358850392</v>
      </c>
      <c r="AW348" s="43" t="str">
        <f aca="false">IF(Q348&lt;&gt;1,"",TRIM(IF(AD348=1,"FRN ","")&amp;IF(AND(AL348&gt;=10,AL348&lt;99),"BBB0미만 ","")&amp;IF(AJ348="","등급없음 ","")&amp;IF(K348&lt;&gt;1,"비USD ","")&amp;IF(AND(AB348="",Y348=0),"시장데이터없음 ","")&amp;IF(AND(ISNUMBER(U348),U348&lt;0),"만기경과 ","")))</f>
        <v/>
      </c>
      <c r="AX348" s="90" t="n">
        <f aca="false">IF(Q348&lt;&gt;1,1,IF(스프레드쇼크!$C$4="Y",INDEX(스프레드쇼크!$B$12:$L$16,IFERROR(MATCH(AH348,스프레드쇼크!$A$12:$A$16,0),MATCH("목록외",스프레드쇼크!$A$12:$A$16,0)),IFERROR(MATCH(AG348,스프레드쇼크!$B$11:$L$11,0),MATCH("목록외",스프레드쇼크!$B$11:$L$11,0))),1))</f>
        <v>1</v>
      </c>
      <c r="AY348" s="90" t="n">
        <f aca="false">IF(스프레드쇼크!$C$5="Y",IF(ISNUMBER(AF348),MIN(스프레드쇼크!$C$7,MAX(스프레드쇼크!$C$6,AF348/스프레드쇼크!$C$8)),1),1)</f>
        <v>0.25</v>
      </c>
      <c r="AZ348" s="94" t="n">
        <f aca="false">AN348*AX348*AY348</f>
        <v>68.243529165</v>
      </c>
      <c r="BA348" s="90" t="n">
        <f aca="false">IF(ISNUMBER(G348),AA348*G348,0)</f>
        <v>7.5218966445</v>
      </c>
      <c r="BB348" s="90" t="n">
        <f aca="false">IF(ISNUMBER(G348),AA348,0)</f>
        <v>1.503327</v>
      </c>
      <c r="BC348" s="90" t="n">
        <f aca="false">IF(AND(Y348=0,ISNUMBER(AF348)),AA348*AF348,0)</f>
        <v>21.217957278</v>
      </c>
      <c r="BD348" s="90" t="n">
        <f aca="false">IF(AND(Y348=0,ISNUMBER(AF348)),AA348,0)</f>
        <v>1.503327</v>
      </c>
      <c r="BE348" s="90" t="n">
        <f aca="false">IF(ISNUMBER(H348),AA348*H348,0)</f>
        <v>2.7297411666</v>
      </c>
      <c r="BF348" s="90" t="n">
        <f aca="false">IF(ISNUMBER(H348),AA348,0)</f>
        <v>1.503327</v>
      </c>
      <c r="BG348" s="90" t="n">
        <f aca="false">IF(AND(Y348=0,ISNUMBER(AF348),ISNUMBER(Z348)),AA348*Z348,0)</f>
        <v>2.7297411666</v>
      </c>
      <c r="BH348" s="90" t="n">
        <f aca="false">IF(AND(Y348=0,ISNUMBER(AF348),ISNUMBER(Z348)),AA348*AT348*MAX(Z348-1,0),0)</f>
        <v>18.3936944003918</v>
      </c>
      <c r="BI348" s="90" t="n">
        <f aca="false">IF(Y348=0,AA348,0)</f>
        <v>1.503327</v>
      </c>
    </row>
    <row r="349" customFormat="false" ht="15" hidden="false" customHeight="false" outlineLevel="0" collapsed="false">
      <c r="A349" s="83" t="str">
        <f aca="false">IFERROR(IF(INDEX(원자료_잔고!$A$1:$EZ$1500,설정!$L$5+ROW()-1,설정!$L$8)&amp;""="0","",INDEX(원자료_잔고!$A$1:$EZ$1500,설정!$L$5+ROW()-1,설정!$L$8)&amp;""),"")</f>
        <v>EIBKOR 5.125 09/18/28</v>
      </c>
      <c r="B349" s="83" t="str">
        <f aca="false">IFERROR(IF(INDEX(원자료_잔고!$A$1:$EZ$1500,설정!$L$5+ROW()-1,설정!$L$7)&amp;""="0","",INDEX(원자료_잔고!$A$1:$EZ$1500,설정!$L$5+ROW()-1,설정!$L$7)&amp;""),"")</f>
        <v>US302154DY27</v>
      </c>
      <c r="C349" s="83" t="str">
        <f aca="false">IFERROR(IF(INDEX(원자료_잔고!$A$1:$EZ$1500,설정!$L$5+ROW()-1,설정!$L$9)&amp;""="0","",INDEX(원자료_잔고!$A$1:$EZ$1500,설정!$L$5+ROW()-1,설정!$L$9)&amp;""),"")</f>
        <v>42003</v>
      </c>
      <c r="D34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49" s="84" t="n">
        <f aca="false">IFERROR(IF(ISNUMBER(INDEX(원자료_잔고!$A$1:$EZ$1500,설정!$L$5+ROW()-1,설정!$L$11)),INDEX(원자료_잔고!$A$1:$EZ$1500,설정!$L$5+ROW()-1,설정!$L$11),""),"")</f>
        <v>13000000</v>
      </c>
      <c r="F349" s="85" t="n">
        <f aca="false">IFERROR(IF(ISNUMBER(INDEX(원자료_잔고!$A$1:$EZ$1500,설정!$L$5+ROW()-1,설정!$L$12)),INDEX(원자료_잔고!$A$1:$EZ$1500,설정!$L$5+ROW()-1,설정!$L$12),""),"")</f>
        <v>100.2218</v>
      </c>
      <c r="G349" s="85" t="n">
        <f aca="false">IFERROR(IF(ISNUMBER(INDEX(원자료_잔고!$A$1:$EZ$1500,설정!$L$5+ROW()-1,설정!$L$13)),INDEX(원자료_잔고!$A$1:$EZ$1500,설정!$L$5+ROW()-1,설정!$L$13),""),"")</f>
        <v>5.0035</v>
      </c>
      <c r="H349" s="85" t="n">
        <f aca="false">IFERROR(IF(ISNUMBER(INDEX(원자료_잔고!$A$1:$EZ$1500,설정!$L$5+ROW()-1,설정!$L$14)),INDEX(원자료_잔고!$A$1:$EZ$1500,설정!$L$5+ROW()-1,설정!$L$14),""),"")</f>
        <v>1.8158</v>
      </c>
      <c r="I349" s="86" t="n">
        <f aca="false">IFERROR(IF(ISNUMBER(INDEX(원자료_잔고!$A$1:$EZ$1500,설정!$L$5+ROW()-1,설정!$L$15)),INDEX(원자료_잔고!$A$1:$EZ$1500,설정!$L$5+ROW()-1,설정!$L$15),""),"")</f>
        <v>47014</v>
      </c>
      <c r="J349" s="85" t="n">
        <f aca="false">IFERROR(IF(ISNUMBER(INDEX(원자료_잔고!$A$1:$EZ$1500,설정!$L$5+ROW()-1,설정!$L$16)),INDEX(원자료_잔고!$A$1:$EZ$1500,설정!$L$5+ROW()-1,설정!$L$16),""),"")</f>
        <v>5.125</v>
      </c>
      <c r="K349" s="87" t="n">
        <f aca="false">IFERROR(IF(ISNUMBER(INDEX(원자료_잔고!$A$1:$EZ$1500,설정!$L$5+ROW()-1,설정!$L$17)),INDEX(원자료_잔고!$A$1:$EZ$1500,설정!$L$5+ROW()-1,설정!$L$17),""),"")</f>
        <v>1</v>
      </c>
      <c r="L349" s="84" t="n">
        <f aca="false">IFERROR(IF(ISNUMBER(INDEX(원자료_잔고!$A$1:$EZ$1500,설정!$L$5+ROW()-1,설정!$L$18)),INDEX(원자료_잔고!$A$1:$EZ$1500,설정!$L$5+ROW()-1,설정!$L$18),""),"")</f>
        <v>13028834</v>
      </c>
      <c r="M349" s="88" t="n">
        <f aca="false">IFERROR(IF(ISNUMBER(INDEX(원자료_잔고!$A$1:$EZ$1500,설정!$L$5+ROW()-1,설정!$L$19)),INDEX(원자료_잔고!$A$1:$EZ$1500,설정!$L$5+ROW()-1,설정!$L$19),""),"")</f>
        <v>-144066</v>
      </c>
      <c r="N349" s="83" t="str">
        <f aca="false">IFERROR(IF(INDEX(원자료_잔고!$A$1:$EZ$1500,설정!$L$5+ROW()-1,설정!$L$21)&amp;""="0","",INDEX(원자료_잔고!$A$1:$EZ$1500,설정!$L$5+ROW()-1,설정!$L$21)&amp;""),"")</f>
        <v>AA</v>
      </c>
      <c r="O349" s="83" t="str">
        <f aca="false">IFERROR(IF(INDEX(원자료_잔고!$A$1:$EZ$1500,설정!$L$5+ROW()-1,설정!$L$22)&amp;""="0","",INDEX(원자료_잔고!$A$1:$EZ$1500,설정!$L$5+ROW()-1,설정!$L$22)&amp;""),"")</f>
        <v/>
      </c>
      <c r="P349" s="83" t="str">
        <f aca="false">IFERROR(IF(INDEX(원자료_잔고!$A$1:$EZ$1500,설정!$L$5+ROW()-1,설정!$L$23)&amp;""="0","",INDEX(원자료_잔고!$A$1:$EZ$1500,설정!$L$5+ROW()-1,설정!$L$23)&amp;""),"")</f>
        <v>AA-</v>
      </c>
      <c r="Q349" s="89" t="n">
        <f aca="false">IF(AND($A349&lt;&gt;"",ISNUMBER(E349)),IF(E349&gt;0,1,0),0)</f>
        <v>1</v>
      </c>
      <c r="R349" s="43" t="str">
        <f aca="false">IF(Q349=1,UPPER(LEFT($A349,FIND(" ",$A349&amp;" ")-1)),"")</f>
        <v>EIBKOR</v>
      </c>
      <c r="S349" s="89" t="n">
        <f aca="false">IF(Q349=1,IF(OR(ISNUMBER(SEARCH("Float",$A349)),ISNUMBER(SEARCH("FRN",$A349))),1,0),0)</f>
        <v>0</v>
      </c>
      <c r="T349" s="43" t="str">
        <f aca="false">IF(AND(Q349=1,ISNUMBER(I349)),TEXT(I349,"yyyymmdd")&amp;"|"&amp;IF(S349=1,"F",TEXT(J349,"0.000")),"")</f>
        <v>20280918|5.125</v>
      </c>
      <c r="U349" s="90" t="n">
        <f aca="false">IF(AND(Q349=1,ISNUMBER(I349)),(I349-설정!$C$4)/365.25,"")</f>
        <v>1.96577686516085</v>
      </c>
      <c r="V349" s="43" t="str">
        <f aca="false">IF(Q349&lt;&gt;1,"",IF(ISNUMBER(U349),IF(U349&lt;=1,"1년 이하",IF(U349&lt;=2,"1-2년",IF(U349&lt;=3,"2-3년",IF(U349&lt;=4,"3-4년",IF(U349&lt;=5,"4-5년",IF(U349&lt;=7,"5-7년",IF(U349&lt;=10,"7-10년",IF(U349&lt;=20,"10-20년","20년 이상")))))))),"미분류"))</f>
        <v>1-2년</v>
      </c>
      <c r="W349" s="43" t="str">
        <f aca="false">IF(Q349&lt;&gt;1,"",IF(AB349&lt;&gt;"",INDEX(시장분석!$C:$C,AB349),IF(K349=1,"USD","비USD")))</f>
        <v>USD</v>
      </c>
      <c r="X349" s="91" t="n">
        <f aca="false">IF(Q349=1,E349*K349/1000000,0)</f>
        <v>13</v>
      </c>
      <c r="Y349" s="89" t="n">
        <f aca="false">IF(R349="T",1,0)</f>
        <v>0</v>
      </c>
      <c r="Z349" s="92" t="n">
        <f aca="false">IF(Q349&lt;&gt;1,"",IF(AD349=1,IF(ISNUMBER(U349),MAX(U349,0),H349),H349))</f>
        <v>1.8158</v>
      </c>
      <c r="AA349" s="91" t="n">
        <f aca="false">IF(Q349=1,IF(ISNUMBER(L349),L349,0)*K349/1000000,0)</f>
        <v>13.028834</v>
      </c>
      <c r="AB349" s="89" t="n">
        <f aca="false">IF(Q349&lt;&gt;1,"",IFERROR(MATCH(VLOOKUP(B349,매핑!$H$4:$I$15,2,0),시장분석!$A$2:$A$601,0)+1,IFERROR(MATCH(R349&amp;"|"&amp;T349,시장분석!$V$2:$V$601,0)+1,IF(COUNTIF(시장분석!$U$2:$U$601,T349)=1,MATCH(T349,시장분석!$U$2:$U$601,0)+1,""))))</f>
        <v>28</v>
      </c>
      <c r="AC349" s="89" t="n">
        <f aca="false">IF(Q349&lt;&gt;1,0,IF(OR(설정!$C$5="전체",AND(설정!$C$5="선택펀드",IFERROR(COUNTIFS(설정!$F$16:$F$36,C349,설정!$G$16:$G$36,"Y")+COUNTIFS(설정!$F$16:$F$36,VALUE(C349),설정!$G$16:$G$36,"Y"),0)&gt;0),C349&amp;""=설정!$C$5&amp;""),1,0))</f>
        <v>0</v>
      </c>
      <c r="AD349" s="89" t="n">
        <f aca="false">IF(Q349&lt;&gt;1,0,IF(OR(S349=1,IF(AB349="",FALSE(),INDEX(시장분석!$R:$R,AB349)=1)),1,0))</f>
        <v>0</v>
      </c>
      <c r="AE349" s="43" t="str">
        <f aca="false">IF(AB349="","",INDEX(시장분석!$A:$A,AB349))</f>
        <v>EIBKOR 5 1/8 09/18/28</v>
      </c>
      <c r="AF349" s="93" t="n">
        <f aca="false">IF(AB349="","",IF(ISNUMBER(IF(AB349="","",INDEX(시장분석!$E:$E,AB349))),IF(AB349="","",INDEX(시장분석!$E:$E,AB349)),""))</f>
        <v>14.114</v>
      </c>
      <c r="AG349" s="43" t="str">
        <f aca="false">IF(Q349&lt;&gt;1,"",IF(AB349&lt;&gt;"",IF(AB349="","",INDEX(시장분석!$L:$L,AB349)),IFERROR(IF(VLOOKUP(R349,매핑!$A$4:$E$92,5,0)="","미분류",VLOOKUP(R349,매핑!$A$4:$E$92,5,0)),"미분류")))</f>
        <v>정부</v>
      </c>
      <c r="AH349" s="43" t="str">
        <f aca="false">IF(Q349&lt;&gt;1,"",IF(AB349&lt;&gt;"",IF(AB349="","",INDEX(시장분석!$N:$N,AB349)),IFERROR(IF(VLOOKUP(R349,매핑!$A$4:$E$92,4,0)="","미분류",VLOOKUP(R349,매핑!$A$4:$E$92,4,0)),"미분류")))</f>
        <v>아시아/기타</v>
      </c>
      <c r="AI349" s="43" t="str">
        <f aca="false">IF(Q349&lt;&gt;1,"",IFERROR(IF(VLOOKUP(R349,매핑!$A$4:$E$92,3,0)="","미분류",VLOOKUP(R349,매핑!$A$4:$E$92,3,0)),IF(AB349&lt;&gt;"",IF(AB349="","",INDEX(시장분석!$W:$W,AB349)),"미분류")))</f>
        <v>한국</v>
      </c>
      <c r="AJ349" s="43" t="str">
        <f aca="false">IF(Q349&lt;&gt;1,"",IFERROR(VLOOKUP(IF(N349&lt;&gt;"",N349,IF(P349&lt;&gt;"",P349,O349)),설정!$A$15:$D$47,2,0),""))</f>
        <v>AA</v>
      </c>
      <c r="AK349" s="43" t="str">
        <f aca="false">IF(Q349&lt;&gt;1,"",IF(AJ349="","무등급",IFERROR(VLOOKUP(AJ349,설정!$A$15:$D$47,3,0),"무등급")))</f>
        <v>AA이상</v>
      </c>
      <c r="AL349" s="89" t="n">
        <f aca="false">IF(AJ349="",99,IFERROR(VLOOKUP(AJ349,설정!$A$15:$D$47,4,0),99))</f>
        <v>3</v>
      </c>
      <c r="AM349" s="94" t="n">
        <f aca="false">IF(ISNUMBER(H349),AA349*1000000*H349/10000,0)</f>
        <v>2365.77567772</v>
      </c>
      <c r="AN349" s="94" t="n">
        <f aca="false">IF(OR(Y349=1,NOT(ISNUMBER(Z349))),0,AA349*1000000*Z349/10000)</f>
        <v>2365.77567772</v>
      </c>
      <c r="AO349" s="94" t="n">
        <f aca="false">IF(ISNUMBER(G349),AA349*1000000*G349/100,0)</f>
        <v>651897.70919</v>
      </c>
      <c r="AP349" s="94" t="n">
        <f aca="false">IF(ISNUMBER(M349),M349*K349,0)</f>
        <v>-144066</v>
      </c>
      <c r="AQ349" s="95" t="n">
        <f aca="false">IF(AB349="","",INDEX(시장분석!$AK:$AK,AB349))</f>
        <v>0.22252005254901</v>
      </c>
      <c r="AR349" s="43" t="str">
        <f aca="false">IF(AB349="","-",IF(AB349="","",INDEX(시장분석!$AL:$AL,AB349)))</f>
        <v>Fair</v>
      </c>
      <c r="AS349" s="96" t="n">
        <f aca="false">IF(AB349="","",INDEX(시장분석!$AJ:$AJ,AB349))</f>
        <v>3.04697244555297</v>
      </c>
      <c r="AT349" s="93" t="n">
        <f aca="false">IF(AB349="",0,IF(AB349="","",INDEX(시장분석!$AN:$AN,AB349)))</f>
        <v>14.9979467795817</v>
      </c>
      <c r="AU349" s="94" t="n">
        <f aca="false">IF(ISNUMBER(Z349),AT349/10000*MAX(Z349-1,0)*AA349*1000000,0)</f>
        <v>15941.2018136729</v>
      </c>
      <c r="AV349" s="94" t="n">
        <f aca="false">AO349+AU349</f>
        <v>667838.911003673</v>
      </c>
      <c r="AW349" s="43" t="str">
        <f aca="false">IF(Q349&lt;&gt;1,"",TRIM(IF(AD349=1,"FRN ","")&amp;IF(AND(AL349&gt;=10,AL349&lt;99),"BBB0미만 ","")&amp;IF(AJ349="","등급없음 ","")&amp;IF(K349&lt;&gt;1,"비USD ","")&amp;IF(AND(AB349="",Y349=0),"시장데이터없음 ","")&amp;IF(AND(ISNUMBER(U349),U349&lt;0),"만기경과 ","")))</f>
        <v/>
      </c>
      <c r="AX349" s="90" t="n">
        <f aca="false">IF(Q349&lt;&gt;1,1,IF(스프레드쇼크!$C$4="Y",INDEX(스프레드쇼크!$B$12:$L$16,IFERROR(MATCH(AH349,스프레드쇼크!$A$12:$A$16,0),MATCH("목록외",스프레드쇼크!$A$12:$A$16,0)),IFERROR(MATCH(AG349,스프레드쇼크!$B$11:$L$11,0),MATCH("목록외",스프레드쇼크!$B$11:$L$11,0))),1))</f>
        <v>1</v>
      </c>
      <c r="AY349" s="90" t="n">
        <f aca="false">IF(스프레드쇼크!$C$5="Y",IF(ISNUMBER(AF349),MIN(스프레드쇼크!$C$7,MAX(스프레드쇼크!$C$6,AF349/스프레드쇼크!$C$8)),1),1)</f>
        <v>0.25</v>
      </c>
      <c r="AZ349" s="94" t="n">
        <f aca="false">AN349*AX349*AY349</f>
        <v>591.44391943</v>
      </c>
      <c r="BA349" s="90" t="n">
        <f aca="false">IF(ISNUMBER(G349),AA349*G349,0)</f>
        <v>65.189770919</v>
      </c>
      <c r="BB349" s="90" t="n">
        <f aca="false">IF(ISNUMBER(G349),AA349,0)</f>
        <v>13.028834</v>
      </c>
      <c r="BC349" s="90" t="n">
        <f aca="false">IF(AND(Y349=0,ISNUMBER(AF349)),AA349*AF349,0)</f>
        <v>183.888963076</v>
      </c>
      <c r="BD349" s="90" t="n">
        <f aca="false">IF(AND(Y349=0,ISNUMBER(AF349)),AA349,0)</f>
        <v>13.028834</v>
      </c>
      <c r="BE349" s="90" t="n">
        <f aca="false">IF(ISNUMBER(H349),AA349*H349,0)</f>
        <v>23.6577567772</v>
      </c>
      <c r="BF349" s="90" t="n">
        <f aca="false">IF(ISNUMBER(H349),AA349,0)</f>
        <v>13.028834</v>
      </c>
      <c r="BG349" s="90" t="n">
        <f aca="false">IF(AND(Y349=0,ISNUMBER(AF349),ISNUMBER(Z349)),AA349*Z349,0)</f>
        <v>23.6577567772</v>
      </c>
      <c r="BH349" s="90" t="n">
        <f aca="false">IF(AND(Y349=0,ISNUMBER(AF349),ISNUMBER(Z349)),AA349*AT349*MAX(Z349-1,0),0)</f>
        <v>159.412018136729</v>
      </c>
      <c r="BI349" s="90" t="n">
        <f aca="false">IF(Y349=0,AA349,0)</f>
        <v>13.028834</v>
      </c>
    </row>
    <row r="350" customFormat="false" ht="15" hidden="false" customHeight="false" outlineLevel="0" collapsed="false">
      <c r="A350" s="83" t="str">
        <f aca="false">IFERROR(IF(INDEX(원자료_잔고!$A$1:$EZ$1500,설정!$L$5+ROW()-1,설정!$L$8)&amp;""="0","",INDEX(원자료_잔고!$A$1:$EZ$1500,설정!$L$5+ROW()-1,설정!$L$8)&amp;""),"")</f>
        <v>EIBKOR 5.125 09/18/33</v>
      </c>
      <c r="B350" s="83" t="str">
        <f aca="false">IFERROR(IF(INDEX(원자료_잔고!$A$1:$EZ$1500,설정!$L$5+ROW()-1,설정!$L$7)&amp;""="0","",INDEX(원자료_잔고!$A$1:$EZ$1500,설정!$L$5+ROW()-1,설정!$L$7)&amp;""),"")</f>
        <v>US302154DZ91</v>
      </c>
      <c r="C350" s="83" t="str">
        <f aca="false">IFERROR(IF(INDEX(원자료_잔고!$A$1:$EZ$1500,설정!$L$5+ROW()-1,설정!$L$9)&amp;""="0","",INDEX(원자료_잔고!$A$1:$EZ$1500,설정!$L$5+ROW()-1,설정!$L$9)&amp;""),"")</f>
        <v>42003</v>
      </c>
      <c r="D35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0" s="84" t="n">
        <f aca="false">IFERROR(IF(ISNUMBER(INDEX(원자료_잔고!$A$1:$EZ$1500,설정!$L$5+ROW()-1,설정!$L$11)),INDEX(원자료_잔고!$A$1:$EZ$1500,설정!$L$5+ROW()-1,설정!$L$11),""),"")</f>
        <v>500000</v>
      </c>
      <c r="F350" s="85" t="n">
        <f aca="false">IFERROR(IF(ISNUMBER(INDEX(원자료_잔고!$A$1:$EZ$1500,설정!$L$5+ROW()-1,설정!$L$12)),INDEX(원자료_잔고!$A$1:$EZ$1500,설정!$L$5+ROW()-1,설정!$L$12),""),"")</f>
        <v>98.4674</v>
      </c>
      <c r="G350" s="85" t="n">
        <f aca="false">IFERROR(IF(ISNUMBER(INDEX(원자료_잔고!$A$1:$EZ$1500,설정!$L$5+ROW()-1,설정!$L$13)),INDEX(원자료_잔고!$A$1:$EZ$1500,설정!$L$5+ROW()-1,설정!$L$13),""),"")</f>
        <v>5.3909</v>
      </c>
      <c r="H350" s="85" t="n">
        <f aca="false">IFERROR(IF(ISNUMBER(INDEX(원자료_잔고!$A$1:$EZ$1500,설정!$L$5+ROW()-1,설정!$L$14)),INDEX(원자료_잔고!$A$1:$EZ$1500,설정!$L$5+ROW()-1,설정!$L$14),""),"")</f>
        <v>5.6658</v>
      </c>
      <c r="I350" s="86" t="n">
        <f aca="false">IFERROR(IF(ISNUMBER(INDEX(원자료_잔고!$A$1:$EZ$1500,설정!$L$5+ROW()-1,설정!$L$15)),INDEX(원자료_잔고!$A$1:$EZ$1500,설정!$L$5+ROW()-1,설정!$L$15),""),"")</f>
        <v>48840</v>
      </c>
      <c r="J350" s="85" t="n">
        <f aca="false">IFERROR(IF(ISNUMBER(INDEX(원자료_잔고!$A$1:$EZ$1500,설정!$L$5+ROW()-1,설정!$L$16)),INDEX(원자료_잔고!$A$1:$EZ$1500,설정!$L$5+ROW()-1,설정!$L$16),""),"")</f>
        <v>5.125</v>
      </c>
      <c r="K350" s="87" t="n">
        <f aca="false">IFERROR(IF(ISNUMBER(INDEX(원자료_잔고!$A$1:$EZ$1500,설정!$L$5+ROW()-1,설정!$L$17)),INDEX(원자료_잔고!$A$1:$EZ$1500,설정!$L$5+ROW()-1,설정!$L$17),""),"")</f>
        <v>1</v>
      </c>
      <c r="L350" s="84" t="n">
        <f aca="false">IFERROR(IF(ISNUMBER(INDEX(원자료_잔고!$A$1:$EZ$1500,설정!$L$5+ROW()-1,설정!$L$18)),INDEX(원자료_잔고!$A$1:$EZ$1500,설정!$L$5+ROW()-1,설정!$L$18),""),"")</f>
        <v>492337</v>
      </c>
      <c r="M350" s="88" t="n">
        <f aca="false">IFERROR(IF(ISNUMBER(INDEX(원자료_잔고!$A$1:$EZ$1500,설정!$L$5+ROW()-1,설정!$L$19)),INDEX(원자료_잔고!$A$1:$EZ$1500,설정!$L$5+ROW()-1,설정!$L$19),""),"")</f>
        <v>-35231.5</v>
      </c>
      <c r="N350" s="83" t="str">
        <f aca="false">IFERROR(IF(INDEX(원자료_잔고!$A$1:$EZ$1500,설정!$L$5+ROW()-1,설정!$L$21)&amp;""="0","",INDEX(원자료_잔고!$A$1:$EZ$1500,설정!$L$5+ROW()-1,설정!$L$21)&amp;""),"")</f>
        <v>AA</v>
      </c>
      <c r="O350" s="83" t="str">
        <f aca="false">IFERROR(IF(INDEX(원자료_잔고!$A$1:$EZ$1500,설정!$L$5+ROW()-1,설정!$L$22)&amp;""="0","",INDEX(원자료_잔고!$A$1:$EZ$1500,설정!$L$5+ROW()-1,설정!$L$22)&amp;""),"")</f>
        <v/>
      </c>
      <c r="P350" s="83" t="str">
        <f aca="false">IFERROR(IF(INDEX(원자료_잔고!$A$1:$EZ$1500,설정!$L$5+ROW()-1,설정!$L$23)&amp;""="0","",INDEX(원자료_잔고!$A$1:$EZ$1500,설정!$L$5+ROW()-1,설정!$L$23)&amp;""),"")</f>
        <v>AA-</v>
      </c>
      <c r="Q350" s="89" t="n">
        <f aca="false">IF(AND($A350&lt;&gt;"",ISNUMBER(E350)),IF(E350&gt;0,1,0),0)</f>
        <v>1</v>
      </c>
      <c r="R350" s="43" t="str">
        <f aca="false">IF(Q350=1,UPPER(LEFT($A350,FIND(" ",$A350&amp;" ")-1)),"")</f>
        <v>EIBKOR</v>
      </c>
      <c r="S350" s="89" t="n">
        <f aca="false">IF(Q350=1,IF(OR(ISNUMBER(SEARCH("Float",$A350)),ISNUMBER(SEARCH("FRN",$A350))),1,0),0)</f>
        <v>0</v>
      </c>
      <c r="T350" s="43" t="str">
        <f aca="false">IF(AND(Q350=1,ISNUMBER(I350)),TEXT(I350,"yyyymmdd")&amp;"|"&amp;IF(S350=1,"F",TEXT(J350,"0.000")),"")</f>
        <v>20330918|5.125</v>
      </c>
      <c r="U350" s="90" t="n">
        <f aca="false">IF(AND(Q350=1,ISNUMBER(I350)),(I350-설정!$C$4)/365.25,"")</f>
        <v>6.96509240246407</v>
      </c>
      <c r="V350" s="43" t="str">
        <f aca="false">IF(Q350&lt;&gt;1,"",IF(ISNUMBER(U350),IF(U350&lt;=1,"1년 이하",IF(U350&lt;=2,"1-2년",IF(U350&lt;=3,"2-3년",IF(U350&lt;=4,"3-4년",IF(U350&lt;=5,"4-5년",IF(U350&lt;=7,"5-7년",IF(U350&lt;=10,"7-10년",IF(U350&lt;=20,"10-20년","20년 이상")))))))),"미분류"))</f>
        <v>5-7년</v>
      </c>
      <c r="W350" s="43" t="str">
        <f aca="false">IF(Q350&lt;&gt;1,"",IF(AB350&lt;&gt;"",INDEX(시장분석!$C:$C,AB350),IF(K350=1,"USD","비USD")))</f>
        <v>USD</v>
      </c>
      <c r="X350" s="91" t="n">
        <f aca="false">IF(Q350=1,E350*K350/1000000,0)</f>
        <v>0.5</v>
      </c>
      <c r="Y350" s="89" t="n">
        <f aca="false">IF(R350="T",1,0)</f>
        <v>0</v>
      </c>
      <c r="Z350" s="92" t="n">
        <f aca="false">IF(Q350&lt;&gt;1,"",IF(AD350=1,IF(ISNUMBER(U350),MAX(U350,0),H350),H350))</f>
        <v>5.6658</v>
      </c>
      <c r="AA350" s="91" t="n">
        <f aca="false">IF(Q350=1,IF(ISNUMBER(L350),L350,0)*K350/1000000,0)</f>
        <v>0.492337</v>
      </c>
      <c r="AB350" s="89" t="n">
        <f aca="false">IF(Q350&lt;&gt;1,"",IFERROR(MATCH(VLOOKUP(B350,매핑!$H$4:$I$15,2,0),시장분석!$A$2:$A$601,0)+1,IFERROR(MATCH(R350&amp;"|"&amp;T350,시장분석!$V$2:$V$601,0)+1,IF(COUNTIF(시장분석!$U$2:$U$601,T350)=1,MATCH(T350,시장분석!$U$2:$U$601,0)+1,""))))</f>
        <v>29</v>
      </c>
      <c r="AC350" s="89" t="n">
        <f aca="false">IF(Q350&lt;&gt;1,0,IF(OR(설정!$C$5="전체",AND(설정!$C$5="선택펀드",IFERROR(COUNTIFS(설정!$F$16:$F$36,C350,설정!$G$16:$G$36,"Y")+COUNTIFS(설정!$F$16:$F$36,VALUE(C350),설정!$G$16:$G$36,"Y"),0)&gt;0),C350&amp;""=설정!$C$5&amp;""),1,0))</f>
        <v>0</v>
      </c>
      <c r="AD350" s="89" t="n">
        <f aca="false">IF(Q350&lt;&gt;1,0,IF(OR(S350=1,IF(AB350="",FALSE(),INDEX(시장분석!$R:$R,AB350)=1)),1,0))</f>
        <v>0</v>
      </c>
      <c r="AE350" s="43" t="str">
        <f aca="false">IF(AB350="","",INDEX(시장분석!$A:$A,AB350))</f>
        <v>EIBKOR 5 1/8 09/18/33</v>
      </c>
      <c r="AF350" s="93" t="n">
        <f aca="false">IF(AB350="","",IF(ISNUMBER(IF(AB350="","",INDEX(시장분석!$E:$E,AB350))),IF(AB350="","",INDEX(시장분석!$E:$E,AB350)),""))</f>
        <v>16.446</v>
      </c>
      <c r="AG350" s="43" t="str">
        <f aca="false">IF(Q350&lt;&gt;1,"",IF(AB350&lt;&gt;"",IF(AB350="","",INDEX(시장분석!$L:$L,AB350)),IFERROR(IF(VLOOKUP(R350,매핑!$A$4:$E$92,5,0)="","미분류",VLOOKUP(R350,매핑!$A$4:$E$92,5,0)),"미분류")))</f>
        <v>정부</v>
      </c>
      <c r="AH350" s="43" t="str">
        <f aca="false">IF(Q350&lt;&gt;1,"",IF(AB350&lt;&gt;"",IF(AB350="","",INDEX(시장분석!$N:$N,AB350)),IFERROR(IF(VLOOKUP(R350,매핑!$A$4:$E$92,4,0)="","미분류",VLOOKUP(R350,매핑!$A$4:$E$92,4,0)),"미분류")))</f>
        <v>아시아/기타</v>
      </c>
      <c r="AI350" s="43" t="str">
        <f aca="false">IF(Q350&lt;&gt;1,"",IFERROR(IF(VLOOKUP(R350,매핑!$A$4:$E$92,3,0)="","미분류",VLOOKUP(R350,매핑!$A$4:$E$92,3,0)),IF(AB350&lt;&gt;"",IF(AB350="","",INDEX(시장분석!$W:$W,AB350)),"미분류")))</f>
        <v>한국</v>
      </c>
      <c r="AJ350" s="43" t="str">
        <f aca="false">IF(Q350&lt;&gt;1,"",IFERROR(VLOOKUP(IF(N350&lt;&gt;"",N350,IF(P350&lt;&gt;"",P350,O350)),설정!$A$15:$D$47,2,0),""))</f>
        <v>AA</v>
      </c>
      <c r="AK350" s="43" t="str">
        <f aca="false">IF(Q350&lt;&gt;1,"",IF(AJ350="","무등급",IFERROR(VLOOKUP(AJ350,설정!$A$15:$D$47,3,0),"무등급")))</f>
        <v>AA이상</v>
      </c>
      <c r="AL350" s="89" t="n">
        <f aca="false">IF(AJ350="",99,IFERROR(VLOOKUP(AJ350,설정!$A$15:$D$47,4,0),99))</f>
        <v>3</v>
      </c>
      <c r="AM350" s="94" t="n">
        <f aca="false">IF(ISNUMBER(H350),AA350*1000000*H350/10000,0)</f>
        <v>278.94829746</v>
      </c>
      <c r="AN350" s="94" t="n">
        <f aca="false">IF(OR(Y350=1,NOT(ISNUMBER(Z350))),0,AA350*1000000*Z350/10000)</f>
        <v>278.94829746</v>
      </c>
      <c r="AO350" s="94" t="n">
        <f aca="false">IF(ISNUMBER(G350),AA350*1000000*G350/100,0)</f>
        <v>26541.395333</v>
      </c>
      <c r="AP350" s="94" t="n">
        <f aca="false">IF(ISNUMBER(M350),M350*K350,0)</f>
        <v>-35231.5</v>
      </c>
      <c r="AQ350" s="95" t="n">
        <f aca="false">IF(AB350="","",INDEX(시장분석!$AK:$AK,AB350))</f>
        <v>-1.2658372983315</v>
      </c>
      <c r="AR350" s="43" t="str">
        <f aca="false">IF(AB350="","-",IF(AB350="","",INDEX(시장분석!$AL:$AL,AB350)))</f>
        <v>Rich</v>
      </c>
      <c r="AS350" s="96" t="n">
        <f aca="false">IF(AB350="","",INDEX(시장분석!$AJ:$AJ,AB350))</f>
        <v>-17.3331406513119</v>
      </c>
      <c r="AT350" s="93" t="n">
        <f aca="false">IF(AB350="",0,IF(AB350="","",INDEX(시장분석!$AN:$AN,AB350)))</f>
        <v>3.67672430528575</v>
      </c>
      <c r="AU350" s="94" t="n">
        <f aca="false">IF(ISNUMBER(Z350),AT350/10000*MAX(Z350-1,0)*AA350*1000000,0)</f>
        <v>844.597243760115</v>
      </c>
      <c r="AV350" s="94" t="n">
        <f aca="false">AO350+AU350</f>
        <v>27385.9925767601</v>
      </c>
      <c r="AW350" s="43" t="str">
        <f aca="false">IF(Q350&lt;&gt;1,"",TRIM(IF(AD350=1,"FRN ","")&amp;IF(AND(AL350&gt;=10,AL350&lt;99),"BBB0미만 ","")&amp;IF(AJ350="","등급없음 ","")&amp;IF(K350&lt;&gt;1,"비USD ","")&amp;IF(AND(AB350="",Y350=0),"시장데이터없음 ","")&amp;IF(AND(ISNUMBER(U350),U350&lt;0),"만기경과 ","")))</f>
        <v/>
      </c>
      <c r="AX350" s="90" t="n">
        <f aca="false">IF(Q350&lt;&gt;1,1,IF(스프레드쇼크!$C$4="Y",INDEX(스프레드쇼크!$B$12:$L$16,IFERROR(MATCH(AH350,스프레드쇼크!$A$12:$A$16,0),MATCH("목록외",스프레드쇼크!$A$12:$A$16,0)),IFERROR(MATCH(AG350,스프레드쇼크!$B$11:$L$11,0),MATCH("목록외",스프레드쇼크!$B$11:$L$11,0))),1))</f>
        <v>1</v>
      </c>
      <c r="AY350" s="90" t="n">
        <f aca="false">IF(스프레드쇼크!$C$5="Y",IF(ISNUMBER(AF350),MIN(스프레드쇼크!$C$7,MAX(스프레드쇼크!$C$6,AF350/스프레드쇼크!$C$8)),1),1)</f>
        <v>0.25</v>
      </c>
      <c r="AZ350" s="94" t="n">
        <f aca="false">AN350*AX350*AY350</f>
        <v>69.737074365</v>
      </c>
      <c r="BA350" s="90" t="n">
        <f aca="false">IF(ISNUMBER(G350),AA350*G350,0)</f>
        <v>2.6541395333</v>
      </c>
      <c r="BB350" s="90" t="n">
        <f aca="false">IF(ISNUMBER(G350),AA350,0)</f>
        <v>0.492337</v>
      </c>
      <c r="BC350" s="90" t="n">
        <f aca="false">IF(AND(Y350=0,ISNUMBER(AF350)),AA350*AF350,0)</f>
        <v>8.096974302</v>
      </c>
      <c r="BD350" s="90" t="n">
        <f aca="false">IF(AND(Y350=0,ISNUMBER(AF350)),AA350,0)</f>
        <v>0.492337</v>
      </c>
      <c r="BE350" s="90" t="n">
        <f aca="false">IF(ISNUMBER(H350),AA350*H350,0)</f>
        <v>2.7894829746</v>
      </c>
      <c r="BF350" s="90" t="n">
        <f aca="false">IF(ISNUMBER(H350),AA350,0)</f>
        <v>0.492337</v>
      </c>
      <c r="BG350" s="90" t="n">
        <f aca="false">IF(AND(Y350=0,ISNUMBER(AF350),ISNUMBER(Z350)),AA350*Z350,0)</f>
        <v>2.7894829746</v>
      </c>
      <c r="BH350" s="90" t="n">
        <f aca="false">IF(AND(Y350=0,ISNUMBER(AF350),ISNUMBER(Z350)),AA350*AT350*MAX(Z350-1,0),0)</f>
        <v>8.44597243760115</v>
      </c>
      <c r="BI350" s="90" t="n">
        <f aca="false">IF(Y350=0,AA350,0)</f>
        <v>0.492337</v>
      </c>
    </row>
    <row r="351" customFormat="false" ht="15" hidden="false" customHeight="false" outlineLevel="0" collapsed="false">
      <c r="A351" s="83" t="str">
        <f aca="false">IFERROR(IF(INDEX(원자료_잔고!$A$1:$EZ$1500,설정!$L$5+ROW()-1,설정!$L$8)&amp;""="0","",INDEX(원자료_잔고!$A$1:$EZ$1500,설정!$L$5+ROW()-1,설정!$L$8)&amp;""),"")</f>
        <v>EIBKOR 4 09/11/27</v>
      </c>
      <c r="B351" s="83" t="str">
        <f aca="false">IFERROR(IF(INDEX(원자료_잔고!$A$1:$EZ$1500,설정!$L$5+ROW()-1,설정!$L$7)&amp;""="0","",INDEX(원자료_잔고!$A$1:$EZ$1500,설정!$L$5+ROW()-1,설정!$L$7)&amp;""),"")</f>
        <v>US302154ED70</v>
      </c>
      <c r="C351" s="83" t="str">
        <f aca="false">IFERROR(IF(INDEX(원자료_잔고!$A$1:$EZ$1500,설정!$L$5+ROW()-1,설정!$L$9)&amp;""="0","",INDEX(원자료_잔고!$A$1:$EZ$1500,설정!$L$5+ROW()-1,설정!$L$9)&amp;""),"")</f>
        <v>42003</v>
      </c>
      <c r="D35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1" s="84" t="n">
        <f aca="false">IFERROR(IF(ISNUMBER(INDEX(원자료_잔고!$A$1:$EZ$1500,설정!$L$5+ROW()-1,설정!$L$11)),INDEX(원자료_잔고!$A$1:$EZ$1500,설정!$L$5+ROW()-1,설정!$L$11),""),"")</f>
        <v>200000</v>
      </c>
      <c r="F351" s="85" t="n">
        <f aca="false">IFERROR(IF(ISNUMBER(INDEX(원자료_잔고!$A$1:$EZ$1500,설정!$L$5+ROW()-1,설정!$L$12)),INDEX(원자료_잔고!$A$1:$EZ$1500,설정!$L$5+ROW()-1,설정!$L$12),""),"")</f>
        <v>99.2569</v>
      </c>
      <c r="G351" s="85" t="n">
        <f aca="false">IFERROR(IF(ISNUMBER(INDEX(원자료_잔고!$A$1:$EZ$1500,설정!$L$5+ROW()-1,설정!$L$13)),INDEX(원자료_잔고!$A$1:$EZ$1500,설정!$L$5+ROW()-1,설정!$L$13),""),"")</f>
        <v>4.8077</v>
      </c>
      <c r="H351" s="85" t="n">
        <f aca="false">IFERROR(IF(ISNUMBER(INDEX(원자료_잔고!$A$1:$EZ$1500,설정!$L$5+ROW()-1,설정!$L$14)),INDEX(원자료_잔고!$A$1:$EZ$1500,설정!$L$5+ROW()-1,설정!$L$14),""),"")</f>
        <v>0.9006</v>
      </c>
      <c r="I351" s="86" t="n">
        <f aca="false">IFERROR(IF(ISNUMBER(INDEX(원자료_잔고!$A$1:$EZ$1500,설정!$L$5+ROW()-1,설정!$L$15)),INDEX(원자료_잔고!$A$1:$EZ$1500,설정!$L$5+ROW()-1,설정!$L$15),""),"")</f>
        <v>46641</v>
      </c>
      <c r="J351" s="85" t="n">
        <f aca="false">IFERROR(IF(ISNUMBER(INDEX(원자료_잔고!$A$1:$EZ$1500,설정!$L$5+ROW()-1,설정!$L$16)),INDEX(원자료_잔고!$A$1:$EZ$1500,설정!$L$5+ROW()-1,설정!$L$16),""),"")</f>
        <v>4</v>
      </c>
      <c r="K351" s="87" t="n">
        <f aca="false">IFERROR(IF(ISNUMBER(INDEX(원자료_잔고!$A$1:$EZ$1500,설정!$L$5+ROW()-1,설정!$L$17)),INDEX(원자료_잔고!$A$1:$EZ$1500,설정!$L$5+ROW()-1,설정!$L$17),""),"")</f>
        <v>1</v>
      </c>
      <c r="L351" s="84" t="n">
        <f aca="false">IFERROR(IF(ISNUMBER(INDEX(원자료_잔고!$A$1:$EZ$1500,설정!$L$5+ROW()-1,설정!$L$18)),INDEX(원자료_잔고!$A$1:$EZ$1500,설정!$L$5+ROW()-1,설정!$L$18),""),"")</f>
        <v>198513.8</v>
      </c>
      <c r="M351" s="88" t="n">
        <f aca="false">IFERROR(IF(ISNUMBER(INDEX(원자료_잔고!$A$1:$EZ$1500,설정!$L$5+ROW()-1,설정!$L$19)),INDEX(원자료_잔고!$A$1:$EZ$1500,설정!$L$5+ROW()-1,설정!$L$19),""),"")</f>
        <v>-2354.4</v>
      </c>
      <c r="N351" s="83" t="str">
        <f aca="false">IFERROR(IF(INDEX(원자료_잔고!$A$1:$EZ$1500,설정!$L$5+ROW()-1,설정!$L$21)&amp;""="0","",INDEX(원자료_잔고!$A$1:$EZ$1500,설정!$L$5+ROW()-1,설정!$L$21)&amp;""),"")</f>
        <v>AA</v>
      </c>
      <c r="O351" s="83" t="str">
        <f aca="false">IFERROR(IF(INDEX(원자료_잔고!$A$1:$EZ$1500,설정!$L$5+ROW()-1,설정!$L$22)&amp;""="0","",INDEX(원자료_잔고!$A$1:$EZ$1500,설정!$L$5+ROW()-1,설정!$L$22)&amp;""),"")</f>
        <v/>
      </c>
      <c r="P351" s="83" t="str">
        <f aca="false">IFERROR(IF(INDEX(원자료_잔고!$A$1:$EZ$1500,설정!$L$5+ROW()-1,설정!$L$23)&amp;""="0","",INDEX(원자료_잔고!$A$1:$EZ$1500,설정!$L$5+ROW()-1,설정!$L$23)&amp;""),"")</f>
        <v>AA-</v>
      </c>
      <c r="Q351" s="89" t="n">
        <f aca="false">IF(AND($A351&lt;&gt;"",ISNUMBER(E351)),IF(E351&gt;0,1,0),0)</f>
        <v>1</v>
      </c>
      <c r="R351" s="43" t="str">
        <f aca="false">IF(Q351=1,UPPER(LEFT($A351,FIND(" ",$A351&amp;" ")-1)),"")</f>
        <v>EIBKOR</v>
      </c>
      <c r="S351" s="89" t="n">
        <f aca="false">IF(Q351=1,IF(OR(ISNUMBER(SEARCH("Float",$A351)),ISNUMBER(SEARCH("FRN",$A351))),1,0),0)</f>
        <v>0</v>
      </c>
      <c r="T351" s="43" t="str">
        <f aca="false">IF(AND(Q351=1,ISNUMBER(I351)),TEXT(I351,"yyyymmdd")&amp;"|"&amp;IF(S351=1,"F",TEXT(J351,"0.000")),"")</f>
        <v>20270911|4.000</v>
      </c>
      <c r="U351" s="90" t="n">
        <f aca="false">IF(AND(Q351=1,ISNUMBER(I351)),(I351-설정!$C$4)/365.25,"")</f>
        <v>0.944558521560575</v>
      </c>
      <c r="V351" s="43" t="str">
        <f aca="false">IF(Q351&lt;&gt;1,"",IF(ISNUMBER(U351),IF(U351&lt;=1,"1년 이하",IF(U351&lt;=2,"1-2년",IF(U351&lt;=3,"2-3년",IF(U351&lt;=4,"3-4년",IF(U351&lt;=5,"4-5년",IF(U351&lt;=7,"5-7년",IF(U351&lt;=10,"7-10년",IF(U351&lt;=20,"10-20년","20년 이상")))))))),"미분류"))</f>
        <v>1년 이하</v>
      </c>
      <c r="W351" s="43" t="str">
        <f aca="false">IF(Q351&lt;&gt;1,"",IF(AB351&lt;&gt;"",INDEX(시장분석!$C:$C,AB351),IF(K351=1,"USD","비USD")))</f>
        <v>USD</v>
      </c>
      <c r="X351" s="91" t="n">
        <f aca="false">IF(Q351=1,E351*K351/1000000,0)</f>
        <v>0.2</v>
      </c>
      <c r="Y351" s="89" t="n">
        <f aca="false">IF(R351="T",1,0)</f>
        <v>0</v>
      </c>
      <c r="Z351" s="92" t="n">
        <f aca="false">IF(Q351&lt;&gt;1,"",IF(AD351=1,IF(ISNUMBER(U351),MAX(U351,0),H351),H351))</f>
        <v>0.9006</v>
      </c>
      <c r="AA351" s="91" t="n">
        <f aca="false">IF(Q351=1,IF(ISNUMBER(L351),L351,0)*K351/1000000,0)</f>
        <v>0.1985138</v>
      </c>
      <c r="AB351" s="89" t="n">
        <f aca="false">IF(Q351&lt;&gt;1,"",IFERROR(MATCH(VLOOKUP(B351,매핑!$H$4:$I$15,2,0),시장분석!$A$2:$A$601,0)+1,IFERROR(MATCH(R351&amp;"|"&amp;T351,시장분석!$V$2:$V$601,0)+1,IF(COUNTIF(시장분석!$U$2:$U$601,T351)=1,MATCH(T351,시장분석!$U$2:$U$601,0)+1,""))))</f>
        <v>31</v>
      </c>
      <c r="AC351" s="89" t="n">
        <f aca="false">IF(Q351&lt;&gt;1,0,IF(OR(설정!$C$5="전체",AND(설정!$C$5="선택펀드",IFERROR(COUNTIFS(설정!$F$16:$F$36,C351,설정!$G$16:$G$36,"Y")+COUNTIFS(설정!$F$16:$F$36,VALUE(C351),설정!$G$16:$G$36,"Y"),0)&gt;0),C351&amp;""=설정!$C$5&amp;""),1,0))</f>
        <v>0</v>
      </c>
      <c r="AD351" s="89" t="n">
        <f aca="false">IF(Q351&lt;&gt;1,0,IF(OR(S351=1,IF(AB351="",FALSE(),INDEX(시장분석!$R:$R,AB351)=1)),1,0))</f>
        <v>0</v>
      </c>
      <c r="AE351" s="43" t="str">
        <f aca="false">IF(AB351="","",INDEX(시장분석!$A:$A,AB351))</f>
        <v>EIBKOR 4 09/11/27</v>
      </c>
      <c r="AF351" s="93" t="n">
        <f aca="false">IF(AB351="","",IF(ISNUMBER(IF(AB351="","",INDEX(시장분석!$E:$E,AB351))),IF(AB351="","",INDEX(시장분석!$E:$E,AB351)),""))</f>
        <v>-17.91</v>
      </c>
      <c r="AG351" s="43" t="str">
        <f aca="false">IF(Q351&lt;&gt;1,"",IF(AB351&lt;&gt;"",IF(AB351="","",INDEX(시장분석!$L:$L,AB351)),IFERROR(IF(VLOOKUP(R351,매핑!$A$4:$E$92,5,0)="","미분류",VLOOKUP(R351,매핑!$A$4:$E$92,5,0)),"미분류")))</f>
        <v>정부</v>
      </c>
      <c r="AH351" s="43" t="str">
        <f aca="false">IF(Q351&lt;&gt;1,"",IF(AB351&lt;&gt;"",IF(AB351="","",INDEX(시장분석!$N:$N,AB351)),IFERROR(IF(VLOOKUP(R351,매핑!$A$4:$E$92,4,0)="","미분류",VLOOKUP(R351,매핑!$A$4:$E$92,4,0)),"미분류")))</f>
        <v>아시아/기타</v>
      </c>
      <c r="AI351" s="43" t="str">
        <f aca="false">IF(Q351&lt;&gt;1,"",IFERROR(IF(VLOOKUP(R351,매핑!$A$4:$E$92,3,0)="","미분류",VLOOKUP(R351,매핑!$A$4:$E$92,3,0)),IF(AB351&lt;&gt;"",IF(AB351="","",INDEX(시장분석!$W:$W,AB351)),"미분류")))</f>
        <v>한국</v>
      </c>
      <c r="AJ351" s="43" t="str">
        <f aca="false">IF(Q351&lt;&gt;1,"",IFERROR(VLOOKUP(IF(N351&lt;&gt;"",N351,IF(P351&lt;&gt;"",P351,O351)),설정!$A$15:$D$47,2,0),""))</f>
        <v>AA</v>
      </c>
      <c r="AK351" s="43" t="str">
        <f aca="false">IF(Q351&lt;&gt;1,"",IF(AJ351="","무등급",IFERROR(VLOOKUP(AJ351,설정!$A$15:$D$47,3,0),"무등급")))</f>
        <v>AA이상</v>
      </c>
      <c r="AL351" s="89" t="n">
        <f aca="false">IF(AJ351="",99,IFERROR(VLOOKUP(AJ351,설정!$A$15:$D$47,4,0),99))</f>
        <v>3</v>
      </c>
      <c r="AM351" s="94" t="n">
        <f aca="false">IF(ISNUMBER(H351),AA351*1000000*H351/10000,0)</f>
        <v>17.878152828</v>
      </c>
      <c r="AN351" s="94" t="n">
        <f aca="false">IF(OR(Y351=1,NOT(ISNUMBER(Z351))),0,AA351*1000000*Z351/10000)</f>
        <v>17.878152828</v>
      </c>
      <c r="AO351" s="94" t="n">
        <f aca="false">IF(ISNUMBER(G351),AA351*1000000*G351/100,0)</f>
        <v>9543.9479626</v>
      </c>
      <c r="AP351" s="94" t="n">
        <f aca="false">IF(ISNUMBER(M351),M351*K351,0)</f>
        <v>-2354.4</v>
      </c>
      <c r="AQ351" s="95" t="n">
        <f aca="false">IF(AB351="","",INDEX(시장분석!$AK:$AK,AB351))</f>
        <v>-1.09269363229219</v>
      </c>
      <c r="AR351" s="43" t="str">
        <f aca="false">IF(AB351="","-",IF(AB351="","",INDEX(시장분석!$AL:$AL,AB351)))</f>
        <v>Rich</v>
      </c>
      <c r="AS351" s="96" t="n">
        <f aca="false">IF(AB351="","",INDEX(시장분석!$AJ:$AJ,AB351))</f>
        <v>-14.9622802569318</v>
      </c>
      <c r="AT351" s="93" t="n">
        <f aca="false">IF(AB351="",0,IF(AB351="","",INDEX(시장분석!$AN:$AN,AB351)))</f>
        <v>0</v>
      </c>
      <c r="AU351" s="94" t="n">
        <f aca="false">IF(ISNUMBER(Z351),AT351/10000*MAX(Z351-1,0)*AA351*1000000,0)</f>
        <v>0</v>
      </c>
      <c r="AV351" s="94" t="n">
        <f aca="false">AO351+AU351</f>
        <v>9543.9479626</v>
      </c>
      <c r="AW351" s="43" t="str">
        <f aca="false">IF(Q351&lt;&gt;1,"",TRIM(IF(AD351=1,"FRN ","")&amp;IF(AND(AL351&gt;=10,AL351&lt;99),"BBB0미만 ","")&amp;IF(AJ351="","등급없음 ","")&amp;IF(K351&lt;&gt;1,"비USD ","")&amp;IF(AND(AB351="",Y351=0),"시장데이터없음 ","")&amp;IF(AND(ISNUMBER(U351),U351&lt;0),"만기경과 ","")))</f>
        <v/>
      </c>
      <c r="AX351" s="90" t="n">
        <f aca="false">IF(Q351&lt;&gt;1,1,IF(스프레드쇼크!$C$4="Y",INDEX(스프레드쇼크!$B$12:$L$16,IFERROR(MATCH(AH351,스프레드쇼크!$A$12:$A$16,0),MATCH("목록외",스프레드쇼크!$A$12:$A$16,0)),IFERROR(MATCH(AG351,스프레드쇼크!$B$11:$L$11,0),MATCH("목록외",스프레드쇼크!$B$11:$L$11,0))),1))</f>
        <v>1</v>
      </c>
      <c r="AY351" s="90" t="n">
        <f aca="false">IF(스프레드쇼크!$C$5="Y",IF(ISNUMBER(AF351),MIN(스프레드쇼크!$C$7,MAX(스프레드쇼크!$C$6,AF351/스프레드쇼크!$C$8)),1),1)</f>
        <v>0.25</v>
      </c>
      <c r="AZ351" s="94" t="n">
        <f aca="false">AN351*AX351*AY351</f>
        <v>4.469538207</v>
      </c>
      <c r="BA351" s="90" t="n">
        <f aca="false">IF(ISNUMBER(G351),AA351*G351,0)</f>
        <v>0.95439479626</v>
      </c>
      <c r="BB351" s="90" t="n">
        <f aca="false">IF(ISNUMBER(G351),AA351,0)</f>
        <v>0.1985138</v>
      </c>
      <c r="BC351" s="90" t="n">
        <f aca="false">IF(AND(Y351=0,ISNUMBER(AF351)),AA351*AF351,0)</f>
        <v>-3.555382158</v>
      </c>
      <c r="BD351" s="90" t="n">
        <f aca="false">IF(AND(Y351=0,ISNUMBER(AF351)),AA351,0)</f>
        <v>0.1985138</v>
      </c>
      <c r="BE351" s="90" t="n">
        <f aca="false">IF(ISNUMBER(H351),AA351*H351,0)</f>
        <v>0.17878152828</v>
      </c>
      <c r="BF351" s="90" t="n">
        <f aca="false">IF(ISNUMBER(H351),AA351,0)</f>
        <v>0.1985138</v>
      </c>
      <c r="BG351" s="90" t="n">
        <f aca="false">IF(AND(Y351=0,ISNUMBER(AF351),ISNUMBER(Z351)),AA351*Z351,0)</f>
        <v>0.17878152828</v>
      </c>
      <c r="BH351" s="90" t="n">
        <f aca="false">IF(AND(Y351=0,ISNUMBER(AF351),ISNUMBER(Z351)),AA351*AT351*MAX(Z351-1,0),0)</f>
        <v>0</v>
      </c>
      <c r="BI351" s="90" t="n">
        <f aca="false">IF(Y351=0,AA351,0)</f>
        <v>0.1985138</v>
      </c>
    </row>
    <row r="352" customFormat="false" ht="15" hidden="false" customHeight="false" outlineLevel="0" collapsed="false">
      <c r="A352" s="83" t="str">
        <f aca="false">IFERROR(IF(INDEX(원자료_잔고!$A$1:$EZ$1500,설정!$L$5+ROW()-1,설정!$L$8)&amp;""="0","",INDEX(원자료_잔고!$A$1:$EZ$1500,설정!$L$5+ROW()-1,설정!$L$8)&amp;""),"")</f>
        <v>EIBKOR 4 09/11/29</v>
      </c>
      <c r="B352" s="83" t="str">
        <f aca="false">IFERROR(IF(INDEX(원자료_잔고!$A$1:$EZ$1500,설정!$L$5+ROW()-1,설정!$L$7)&amp;""="0","",INDEX(원자료_잔고!$A$1:$EZ$1500,설정!$L$5+ROW()-1,설정!$L$7)&amp;""),"")</f>
        <v>US302154EE53</v>
      </c>
      <c r="C352" s="83" t="str">
        <f aca="false">IFERROR(IF(INDEX(원자료_잔고!$A$1:$EZ$1500,설정!$L$5+ROW()-1,설정!$L$9)&amp;""="0","",INDEX(원자료_잔고!$A$1:$EZ$1500,설정!$L$5+ROW()-1,설정!$L$9)&amp;""),"")</f>
        <v>42003</v>
      </c>
      <c r="D35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2" s="84" t="n">
        <f aca="false">IFERROR(IF(ISNUMBER(INDEX(원자료_잔고!$A$1:$EZ$1500,설정!$L$5+ROW()-1,설정!$L$11)),INDEX(원자료_잔고!$A$1:$EZ$1500,설정!$L$5+ROW()-1,설정!$L$11),""),"")</f>
        <v>800000</v>
      </c>
      <c r="F352" s="85" t="n">
        <f aca="false">IFERROR(IF(ISNUMBER(INDEX(원자료_잔고!$A$1:$EZ$1500,설정!$L$5+ROW()-1,설정!$L$12)),INDEX(원자료_잔고!$A$1:$EZ$1500,설정!$L$5+ROW()-1,설정!$L$12),""),"")</f>
        <v>97.0589</v>
      </c>
      <c r="G352" s="85" t="n">
        <f aca="false">IFERROR(IF(ISNUMBER(INDEX(원자료_잔고!$A$1:$EZ$1500,설정!$L$5+ROW()-1,설정!$L$13)),INDEX(원자료_잔고!$A$1:$EZ$1500,설정!$L$5+ROW()-1,설정!$L$13),""),"")</f>
        <v>5.0857</v>
      </c>
      <c r="H352" s="85" t="n">
        <f aca="false">IFERROR(IF(ISNUMBER(INDEX(원자료_잔고!$A$1:$EZ$1500,설정!$L$5+ROW()-1,설정!$L$14)),INDEX(원자료_잔고!$A$1:$EZ$1500,설정!$L$5+ROW()-1,설정!$L$14),""),"")</f>
        <v>2.6849</v>
      </c>
      <c r="I352" s="86" t="n">
        <f aca="false">IFERROR(IF(ISNUMBER(INDEX(원자료_잔고!$A$1:$EZ$1500,설정!$L$5+ROW()-1,설정!$L$15)),INDEX(원자료_잔고!$A$1:$EZ$1500,설정!$L$5+ROW()-1,설정!$L$15),""),"")</f>
        <v>47372</v>
      </c>
      <c r="J352" s="85" t="n">
        <f aca="false">IFERROR(IF(ISNUMBER(INDEX(원자료_잔고!$A$1:$EZ$1500,설정!$L$5+ROW()-1,설정!$L$16)),INDEX(원자료_잔고!$A$1:$EZ$1500,설정!$L$5+ROW()-1,설정!$L$16),""),"")</f>
        <v>4</v>
      </c>
      <c r="K352" s="87" t="n">
        <f aca="false">IFERROR(IF(ISNUMBER(INDEX(원자료_잔고!$A$1:$EZ$1500,설정!$L$5+ROW()-1,설정!$L$17)),INDEX(원자료_잔고!$A$1:$EZ$1500,설정!$L$5+ROW()-1,설정!$L$17),""),"")</f>
        <v>1</v>
      </c>
      <c r="L352" s="84" t="n">
        <f aca="false">IFERROR(IF(ISNUMBER(INDEX(원자료_잔고!$A$1:$EZ$1500,설정!$L$5+ROW()-1,설정!$L$18)),INDEX(원자료_잔고!$A$1:$EZ$1500,설정!$L$5+ROW()-1,설정!$L$18),""),"")</f>
        <v>776471.2</v>
      </c>
      <c r="M352" s="88" t="n">
        <f aca="false">IFERROR(IF(ISNUMBER(INDEX(원자료_잔고!$A$1:$EZ$1500,설정!$L$5+ROW()-1,설정!$L$19)),INDEX(원자료_잔고!$A$1:$EZ$1500,설정!$L$5+ROW()-1,설정!$L$19),""),"")</f>
        <v>-26492</v>
      </c>
      <c r="N352" s="83" t="str">
        <f aca="false">IFERROR(IF(INDEX(원자료_잔고!$A$1:$EZ$1500,설정!$L$5+ROW()-1,설정!$L$21)&amp;""="0","",INDEX(원자료_잔고!$A$1:$EZ$1500,설정!$L$5+ROW()-1,설정!$L$21)&amp;""),"")</f>
        <v>AA</v>
      </c>
      <c r="O352" s="83" t="str">
        <f aca="false">IFERROR(IF(INDEX(원자료_잔고!$A$1:$EZ$1500,설정!$L$5+ROW()-1,설정!$L$22)&amp;""="0","",INDEX(원자료_잔고!$A$1:$EZ$1500,설정!$L$5+ROW()-1,설정!$L$22)&amp;""),"")</f>
        <v/>
      </c>
      <c r="P352" s="83" t="str">
        <f aca="false">IFERROR(IF(INDEX(원자료_잔고!$A$1:$EZ$1500,설정!$L$5+ROW()-1,설정!$L$23)&amp;""="0","",INDEX(원자료_잔고!$A$1:$EZ$1500,설정!$L$5+ROW()-1,설정!$L$23)&amp;""),"")</f>
        <v>AA-</v>
      </c>
      <c r="Q352" s="89" t="n">
        <f aca="false">IF(AND($A352&lt;&gt;"",ISNUMBER(E352)),IF(E352&gt;0,1,0),0)</f>
        <v>1</v>
      </c>
      <c r="R352" s="43" t="str">
        <f aca="false">IF(Q352=1,UPPER(LEFT($A352,FIND(" ",$A352&amp;" ")-1)),"")</f>
        <v>EIBKOR</v>
      </c>
      <c r="S352" s="89" t="n">
        <f aca="false">IF(Q352=1,IF(OR(ISNUMBER(SEARCH("Float",$A352)),ISNUMBER(SEARCH("FRN",$A352))),1,0),0)</f>
        <v>0</v>
      </c>
      <c r="T352" s="43" t="str">
        <f aca="false">IF(AND(Q352=1,ISNUMBER(I352)),TEXT(I352,"yyyymmdd")&amp;"|"&amp;IF(S352=1,"F",TEXT(J352,"0.000")),"")</f>
        <v>20290911|4.000</v>
      </c>
      <c r="U352" s="90" t="n">
        <f aca="false">IF(AND(Q352=1,ISNUMBER(I352)),(I352-설정!$C$4)/365.25,"")</f>
        <v>2.94592744695414</v>
      </c>
      <c r="V352" s="43" t="str">
        <f aca="false">IF(Q352&lt;&gt;1,"",IF(ISNUMBER(U352),IF(U352&lt;=1,"1년 이하",IF(U352&lt;=2,"1-2년",IF(U352&lt;=3,"2-3년",IF(U352&lt;=4,"3-4년",IF(U352&lt;=5,"4-5년",IF(U352&lt;=7,"5-7년",IF(U352&lt;=10,"7-10년",IF(U352&lt;=20,"10-20년","20년 이상")))))))),"미분류"))</f>
        <v>2-3년</v>
      </c>
      <c r="W352" s="43" t="str">
        <f aca="false">IF(Q352&lt;&gt;1,"",IF(AB352&lt;&gt;"",INDEX(시장분석!$C:$C,AB352),IF(K352=1,"USD","비USD")))</f>
        <v>USD</v>
      </c>
      <c r="X352" s="91" t="n">
        <f aca="false">IF(Q352=1,E352*K352/1000000,0)</f>
        <v>0.8</v>
      </c>
      <c r="Y352" s="89" t="n">
        <f aca="false">IF(R352="T",1,0)</f>
        <v>0</v>
      </c>
      <c r="Z352" s="92" t="n">
        <f aca="false">IF(Q352&lt;&gt;1,"",IF(AD352=1,IF(ISNUMBER(U352),MAX(U352,0),H352),H352))</f>
        <v>2.6849</v>
      </c>
      <c r="AA352" s="91" t="n">
        <f aca="false">IF(Q352=1,IF(ISNUMBER(L352),L352,0)*K352/1000000,0)</f>
        <v>0.7764712</v>
      </c>
      <c r="AB352" s="89" t="n">
        <f aca="false">IF(Q352&lt;&gt;1,"",IFERROR(MATCH(VLOOKUP(B352,매핑!$H$4:$I$15,2,0),시장분석!$A$2:$A$601,0)+1,IFERROR(MATCH(R352&amp;"|"&amp;T352,시장분석!$V$2:$V$601,0)+1,IF(COUNTIF(시장분석!$U$2:$U$601,T352)=1,MATCH(T352,시장분석!$U$2:$U$601,0)+1,""))))</f>
        <v>32</v>
      </c>
      <c r="AC352" s="89" t="n">
        <f aca="false">IF(Q352&lt;&gt;1,0,IF(OR(설정!$C$5="전체",AND(설정!$C$5="선택펀드",IFERROR(COUNTIFS(설정!$F$16:$F$36,C352,설정!$G$16:$G$36,"Y")+COUNTIFS(설정!$F$16:$F$36,VALUE(C352),설정!$G$16:$G$36,"Y"),0)&gt;0),C352&amp;""=설정!$C$5&amp;""),1,0))</f>
        <v>0</v>
      </c>
      <c r="AD352" s="89" t="n">
        <f aca="false">IF(Q352&lt;&gt;1,0,IF(OR(S352=1,IF(AB352="",FALSE(),INDEX(시장분석!$R:$R,AB352)=1)),1,0))</f>
        <v>0</v>
      </c>
      <c r="AE352" s="43" t="str">
        <f aca="false">IF(AB352="","",INDEX(시장분석!$A:$A,AB352))</f>
        <v>EIBKOR 4 09/11/29</v>
      </c>
      <c r="AF352" s="93" t="n">
        <f aca="false">IF(AB352="","",IF(ISNUMBER(IF(AB352="","",INDEX(시장분석!$E:$E,AB352))),IF(AB352="","",INDEX(시장분석!$E:$E,AB352)),""))</f>
        <v>-4.883</v>
      </c>
      <c r="AG352" s="43" t="str">
        <f aca="false">IF(Q352&lt;&gt;1,"",IF(AB352&lt;&gt;"",IF(AB352="","",INDEX(시장분석!$L:$L,AB352)),IFERROR(IF(VLOOKUP(R352,매핑!$A$4:$E$92,5,0)="","미분류",VLOOKUP(R352,매핑!$A$4:$E$92,5,0)),"미분류")))</f>
        <v>정부</v>
      </c>
      <c r="AH352" s="43" t="str">
        <f aca="false">IF(Q352&lt;&gt;1,"",IF(AB352&lt;&gt;"",IF(AB352="","",INDEX(시장분석!$N:$N,AB352)),IFERROR(IF(VLOOKUP(R352,매핑!$A$4:$E$92,4,0)="","미분류",VLOOKUP(R352,매핑!$A$4:$E$92,4,0)),"미분류")))</f>
        <v>아시아/기타</v>
      </c>
      <c r="AI352" s="43" t="str">
        <f aca="false">IF(Q352&lt;&gt;1,"",IFERROR(IF(VLOOKUP(R352,매핑!$A$4:$E$92,3,0)="","미분류",VLOOKUP(R352,매핑!$A$4:$E$92,3,0)),IF(AB352&lt;&gt;"",IF(AB352="","",INDEX(시장분석!$W:$W,AB352)),"미분류")))</f>
        <v>한국</v>
      </c>
      <c r="AJ352" s="43" t="str">
        <f aca="false">IF(Q352&lt;&gt;1,"",IFERROR(VLOOKUP(IF(N352&lt;&gt;"",N352,IF(P352&lt;&gt;"",P352,O352)),설정!$A$15:$D$47,2,0),""))</f>
        <v>AA</v>
      </c>
      <c r="AK352" s="43" t="str">
        <f aca="false">IF(Q352&lt;&gt;1,"",IF(AJ352="","무등급",IFERROR(VLOOKUP(AJ352,설정!$A$15:$D$47,3,0),"무등급")))</f>
        <v>AA이상</v>
      </c>
      <c r="AL352" s="89" t="n">
        <f aca="false">IF(AJ352="",99,IFERROR(VLOOKUP(AJ352,설정!$A$15:$D$47,4,0),99))</f>
        <v>3</v>
      </c>
      <c r="AM352" s="94" t="n">
        <f aca="false">IF(ISNUMBER(H352),AA352*1000000*H352/10000,0)</f>
        <v>208.474752488</v>
      </c>
      <c r="AN352" s="94" t="n">
        <f aca="false">IF(OR(Y352=1,NOT(ISNUMBER(Z352))),0,AA352*1000000*Z352/10000)</f>
        <v>208.474752488</v>
      </c>
      <c r="AO352" s="94" t="n">
        <f aca="false">IF(ISNUMBER(G352),AA352*1000000*G352/100,0)</f>
        <v>39488.9958184</v>
      </c>
      <c r="AP352" s="94" t="n">
        <f aca="false">IF(ISNUMBER(M352),M352*K352,0)</f>
        <v>-26492</v>
      </c>
      <c r="AQ352" s="95" t="n">
        <f aca="false">IF(AB352="","",INDEX(시장분석!$AK:$AK,AB352))</f>
        <v>-1.73533319512994</v>
      </c>
      <c r="AR352" s="43" t="str">
        <f aca="false">IF(AB352="","-",IF(AB352="","",INDEX(시장분석!$AL:$AL,AB352)))</f>
        <v>Rich</v>
      </c>
      <c r="AS352" s="96" t="n">
        <f aca="false">IF(AB352="","",INDEX(시장분석!$AJ:$AJ,AB352))</f>
        <v>-23.7619592879152</v>
      </c>
      <c r="AT352" s="93" t="n">
        <f aca="false">IF(AB352="",0,IF(AB352="","",INDEX(시장분석!$AN:$AN,AB352)))</f>
        <v>8.7939086516796</v>
      </c>
      <c r="AU352" s="94" t="n">
        <f aca="false">IF(ISNUMBER(Z352),AT352/10000*MAX(Z352-1,0)*AA352*1000000,0)</f>
        <v>1150.48624921498</v>
      </c>
      <c r="AV352" s="94" t="n">
        <f aca="false">AO352+AU352</f>
        <v>40639.482067615</v>
      </c>
      <c r="AW352" s="43" t="str">
        <f aca="false">IF(Q352&lt;&gt;1,"",TRIM(IF(AD352=1,"FRN ","")&amp;IF(AND(AL352&gt;=10,AL352&lt;99),"BBB0미만 ","")&amp;IF(AJ352="","등급없음 ","")&amp;IF(K352&lt;&gt;1,"비USD ","")&amp;IF(AND(AB352="",Y352=0),"시장데이터없음 ","")&amp;IF(AND(ISNUMBER(U352),U352&lt;0),"만기경과 ","")))</f>
        <v/>
      </c>
      <c r="AX352" s="90" t="n">
        <f aca="false">IF(Q352&lt;&gt;1,1,IF(스프레드쇼크!$C$4="Y",INDEX(스프레드쇼크!$B$12:$L$16,IFERROR(MATCH(AH352,스프레드쇼크!$A$12:$A$16,0),MATCH("목록외",스프레드쇼크!$A$12:$A$16,0)),IFERROR(MATCH(AG352,스프레드쇼크!$B$11:$L$11,0),MATCH("목록외",스프레드쇼크!$B$11:$L$11,0))),1))</f>
        <v>1</v>
      </c>
      <c r="AY352" s="90" t="n">
        <f aca="false">IF(스프레드쇼크!$C$5="Y",IF(ISNUMBER(AF352),MIN(스프레드쇼크!$C$7,MAX(스프레드쇼크!$C$6,AF352/스프레드쇼크!$C$8)),1),1)</f>
        <v>0.25</v>
      </c>
      <c r="AZ352" s="94" t="n">
        <f aca="false">AN352*AX352*AY352</f>
        <v>52.118688122</v>
      </c>
      <c r="BA352" s="90" t="n">
        <f aca="false">IF(ISNUMBER(G352),AA352*G352,0)</f>
        <v>3.94889958184</v>
      </c>
      <c r="BB352" s="90" t="n">
        <f aca="false">IF(ISNUMBER(G352),AA352,0)</f>
        <v>0.7764712</v>
      </c>
      <c r="BC352" s="90" t="n">
        <f aca="false">IF(AND(Y352=0,ISNUMBER(AF352)),AA352*AF352,0)</f>
        <v>-3.7915088696</v>
      </c>
      <c r="BD352" s="90" t="n">
        <f aca="false">IF(AND(Y352=0,ISNUMBER(AF352)),AA352,0)</f>
        <v>0.7764712</v>
      </c>
      <c r="BE352" s="90" t="n">
        <f aca="false">IF(ISNUMBER(H352),AA352*H352,0)</f>
        <v>2.08474752488</v>
      </c>
      <c r="BF352" s="90" t="n">
        <f aca="false">IF(ISNUMBER(H352),AA352,0)</f>
        <v>0.7764712</v>
      </c>
      <c r="BG352" s="90" t="n">
        <f aca="false">IF(AND(Y352=0,ISNUMBER(AF352),ISNUMBER(Z352)),AA352*Z352,0)</f>
        <v>2.08474752488</v>
      </c>
      <c r="BH352" s="90" t="n">
        <f aca="false">IF(AND(Y352=0,ISNUMBER(AF352),ISNUMBER(Z352)),AA352*AT352*MAX(Z352-1,0),0)</f>
        <v>11.5048624921498</v>
      </c>
      <c r="BI352" s="90" t="n">
        <f aca="false">IF(Y352=0,AA352,0)</f>
        <v>0.7764712</v>
      </c>
    </row>
    <row r="353" customFormat="false" ht="15" hidden="false" customHeight="false" outlineLevel="0" collapsed="false">
      <c r="A353" s="83" t="str">
        <f aca="false">IFERROR(IF(INDEX(원자료_잔고!$A$1:$EZ$1500,설정!$L$5+ROW()-1,설정!$L$8)&amp;""="0","",INDEX(원자료_잔고!$A$1:$EZ$1500,설정!$L$5+ROW()-1,설정!$L$8)&amp;""),"")</f>
        <v>EIBKOR 3.75 09/22/30</v>
      </c>
      <c r="B353" s="83" t="str">
        <f aca="false">IFERROR(IF(INDEX(원자료_잔고!$A$1:$EZ$1500,설정!$L$5+ROW()-1,설정!$L$7)&amp;""="0","",INDEX(원자료_잔고!$A$1:$EZ$1500,설정!$L$5+ROW()-1,설정!$L$7)&amp;""),"")</f>
        <v>US302154EM79</v>
      </c>
      <c r="C353" s="83" t="str">
        <f aca="false">IFERROR(IF(INDEX(원자료_잔고!$A$1:$EZ$1500,설정!$L$5+ROW()-1,설정!$L$9)&amp;""="0","",INDEX(원자료_잔고!$A$1:$EZ$1500,설정!$L$5+ROW()-1,설정!$L$9)&amp;""),"")</f>
        <v>42003</v>
      </c>
      <c r="D35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3" s="84" t="n">
        <f aca="false">IFERROR(IF(ISNUMBER(INDEX(원자료_잔고!$A$1:$EZ$1500,설정!$L$5+ROW()-1,설정!$L$11)),INDEX(원자료_잔고!$A$1:$EZ$1500,설정!$L$5+ROW()-1,설정!$L$11),""),"")</f>
        <v>10000000</v>
      </c>
      <c r="F353" s="85" t="n">
        <f aca="false">IFERROR(IF(ISNUMBER(INDEX(원자료_잔고!$A$1:$EZ$1500,설정!$L$5+ROW()-1,설정!$L$12)),INDEX(원자료_잔고!$A$1:$EZ$1500,설정!$L$5+ROW()-1,설정!$L$12),""),"")</f>
        <v>94.7819</v>
      </c>
      <c r="G353" s="85" t="n">
        <f aca="false">IFERROR(IF(ISNUMBER(INDEX(원자료_잔고!$A$1:$EZ$1500,설정!$L$5+ROW()-1,설정!$L$13)),INDEX(원자료_잔고!$A$1:$EZ$1500,설정!$L$5+ROW()-1,설정!$L$13),""),"")</f>
        <v>5.2189</v>
      </c>
      <c r="H353" s="85" t="n">
        <f aca="false">IFERROR(IF(ISNUMBER(INDEX(원자료_잔고!$A$1:$EZ$1500,설정!$L$5+ROW()-1,설정!$L$14)),INDEX(원자료_잔고!$A$1:$EZ$1500,설정!$L$5+ROW()-1,설정!$L$14),""),"")</f>
        <v>3.5635</v>
      </c>
      <c r="I353" s="86" t="n">
        <f aca="false">IFERROR(IF(ISNUMBER(INDEX(원자료_잔고!$A$1:$EZ$1500,설정!$L$5+ROW()-1,설정!$L$15)),INDEX(원자료_잔고!$A$1:$EZ$1500,설정!$L$5+ROW()-1,설정!$L$15),""),"")</f>
        <v>47748</v>
      </c>
      <c r="J353" s="85" t="n">
        <f aca="false">IFERROR(IF(ISNUMBER(INDEX(원자료_잔고!$A$1:$EZ$1500,설정!$L$5+ROW()-1,설정!$L$16)),INDEX(원자료_잔고!$A$1:$EZ$1500,설정!$L$5+ROW()-1,설정!$L$16),""),"")</f>
        <v>3.75</v>
      </c>
      <c r="K353" s="87" t="n">
        <f aca="false">IFERROR(IF(ISNUMBER(INDEX(원자료_잔고!$A$1:$EZ$1500,설정!$L$5+ROW()-1,설정!$L$17)),INDEX(원자료_잔고!$A$1:$EZ$1500,설정!$L$5+ROW()-1,설정!$L$17),""),"")</f>
        <v>1</v>
      </c>
      <c r="L353" s="84" t="n">
        <f aca="false">IFERROR(IF(ISNUMBER(INDEX(원자료_잔고!$A$1:$EZ$1500,설정!$L$5+ROW()-1,설정!$L$18)),INDEX(원자료_잔고!$A$1:$EZ$1500,설정!$L$5+ROW()-1,설정!$L$18),""),"")</f>
        <v>9478190</v>
      </c>
      <c r="M353" s="88" t="n">
        <f aca="false">IFERROR(IF(ISNUMBER(INDEX(원자료_잔고!$A$1:$EZ$1500,설정!$L$5+ROW()-1,설정!$L$19)),INDEX(원자료_잔고!$A$1:$EZ$1500,설정!$L$5+ROW()-1,설정!$L$19),""),"")</f>
        <v>-455870</v>
      </c>
      <c r="N353" s="83" t="str">
        <f aca="false">IFERROR(IF(INDEX(원자료_잔고!$A$1:$EZ$1500,설정!$L$5+ROW()-1,설정!$L$21)&amp;""="0","",INDEX(원자료_잔고!$A$1:$EZ$1500,설정!$L$5+ROW()-1,설정!$L$21)&amp;""),"")</f>
        <v>AA</v>
      </c>
      <c r="O353" s="83" t="str">
        <f aca="false">IFERROR(IF(INDEX(원자료_잔고!$A$1:$EZ$1500,설정!$L$5+ROW()-1,설정!$L$22)&amp;""="0","",INDEX(원자료_잔고!$A$1:$EZ$1500,설정!$L$5+ROW()-1,설정!$L$22)&amp;""),"")</f>
        <v/>
      </c>
      <c r="P353" s="83" t="str">
        <f aca="false">IFERROR(IF(INDEX(원자료_잔고!$A$1:$EZ$1500,설정!$L$5+ROW()-1,설정!$L$23)&amp;""="0","",INDEX(원자료_잔고!$A$1:$EZ$1500,설정!$L$5+ROW()-1,설정!$L$23)&amp;""),"")</f>
        <v>AAA</v>
      </c>
      <c r="Q353" s="89" t="n">
        <f aca="false">IF(AND($A353&lt;&gt;"",ISNUMBER(E353)),IF(E353&gt;0,1,0),0)</f>
        <v>1</v>
      </c>
      <c r="R353" s="43" t="str">
        <f aca="false">IF(Q353=1,UPPER(LEFT($A353,FIND(" ",$A353&amp;" ")-1)),"")</f>
        <v>EIBKOR</v>
      </c>
      <c r="S353" s="89" t="n">
        <f aca="false">IF(Q353=1,IF(OR(ISNUMBER(SEARCH("Float",$A353)),ISNUMBER(SEARCH("FRN",$A353))),1,0),0)</f>
        <v>0</v>
      </c>
      <c r="T353" s="43" t="str">
        <f aca="false">IF(AND(Q353=1,ISNUMBER(I353)),TEXT(I353,"yyyymmdd")&amp;"|"&amp;IF(S353=1,"F",TEXT(J353,"0.000")),"")</f>
        <v>20300922|3.750</v>
      </c>
      <c r="U353" s="90" t="n">
        <f aca="false">IF(AND(Q353=1,ISNUMBER(I353)),(I353-설정!$C$4)/365.25,"")</f>
        <v>3.97535934291581</v>
      </c>
      <c r="V353" s="43" t="str">
        <f aca="false">IF(Q353&lt;&gt;1,"",IF(ISNUMBER(U353),IF(U353&lt;=1,"1년 이하",IF(U353&lt;=2,"1-2년",IF(U353&lt;=3,"2-3년",IF(U353&lt;=4,"3-4년",IF(U353&lt;=5,"4-5년",IF(U353&lt;=7,"5-7년",IF(U353&lt;=10,"7-10년",IF(U353&lt;=20,"10-20년","20년 이상")))))))),"미분류"))</f>
        <v>3-4년</v>
      </c>
      <c r="W353" s="43" t="str">
        <f aca="false">IF(Q353&lt;&gt;1,"",IF(AB353&lt;&gt;"",INDEX(시장분석!$C:$C,AB353),IF(K353=1,"USD","비USD")))</f>
        <v>USD</v>
      </c>
      <c r="X353" s="91" t="n">
        <f aca="false">IF(Q353=1,E353*K353/1000000,0)</f>
        <v>10</v>
      </c>
      <c r="Y353" s="89" t="n">
        <f aca="false">IF(R353="T",1,0)</f>
        <v>0</v>
      </c>
      <c r="Z353" s="92" t="n">
        <f aca="false">IF(Q353&lt;&gt;1,"",IF(AD353=1,IF(ISNUMBER(U353),MAX(U353,0),H353),H353))</f>
        <v>3.5635</v>
      </c>
      <c r="AA353" s="91" t="n">
        <f aca="false">IF(Q353=1,IF(ISNUMBER(L353),L353,0)*K353/1000000,0)</f>
        <v>9.47819</v>
      </c>
      <c r="AB353" s="89" t="n">
        <f aca="false">IF(Q353&lt;&gt;1,"",IFERROR(MATCH(VLOOKUP(B353,매핑!$H$4:$I$15,2,0),시장분석!$A$2:$A$601,0)+1,IFERROR(MATCH(R353&amp;"|"&amp;T353,시장분석!$V$2:$V$601,0)+1,IF(COUNTIF(시장분석!$U$2:$U$601,T353)=1,MATCH(T353,시장분석!$U$2:$U$601,0)+1,""))))</f>
        <v>34</v>
      </c>
      <c r="AC353" s="89" t="n">
        <f aca="false">IF(Q353&lt;&gt;1,0,IF(OR(설정!$C$5="전체",AND(설정!$C$5="선택펀드",IFERROR(COUNTIFS(설정!$F$16:$F$36,C353,설정!$G$16:$G$36,"Y")+COUNTIFS(설정!$F$16:$F$36,VALUE(C353),설정!$G$16:$G$36,"Y"),0)&gt;0),C353&amp;""=설정!$C$5&amp;""),1,0))</f>
        <v>0</v>
      </c>
      <c r="AD353" s="89" t="n">
        <f aca="false">IF(Q353&lt;&gt;1,0,IF(OR(S353=1,IF(AB353="",FALSE(),INDEX(시장분석!$R:$R,AB353)=1)),1,0))</f>
        <v>0</v>
      </c>
      <c r="AE353" s="43" t="str">
        <f aca="false">IF(AB353="","",INDEX(시장분석!$A:$A,AB353))</f>
        <v>EIBKOR 3 3/4 09/22/30</v>
      </c>
      <c r="AF353" s="93" t="n">
        <f aca="false">IF(AB353="","",IF(ISNUMBER(IF(AB353="","",INDEX(시장분석!$E:$E,AB353))),IF(AB353="","",INDEX(시장분석!$E:$E,AB353)),""))</f>
        <v>6.612</v>
      </c>
      <c r="AG353" s="43" t="str">
        <f aca="false">IF(Q353&lt;&gt;1,"",IF(AB353&lt;&gt;"",IF(AB353="","",INDEX(시장분석!$L:$L,AB353)),IFERROR(IF(VLOOKUP(R353,매핑!$A$4:$E$92,5,0)="","미분류",VLOOKUP(R353,매핑!$A$4:$E$92,5,0)),"미분류")))</f>
        <v>정부</v>
      </c>
      <c r="AH353" s="43" t="str">
        <f aca="false">IF(Q353&lt;&gt;1,"",IF(AB353&lt;&gt;"",IF(AB353="","",INDEX(시장분석!$N:$N,AB353)),IFERROR(IF(VLOOKUP(R353,매핑!$A$4:$E$92,4,0)="","미분류",VLOOKUP(R353,매핑!$A$4:$E$92,4,0)),"미분류")))</f>
        <v>아시아/기타</v>
      </c>
      <c r="AI353" s="43" t="str">
        <f aca="false">IF(Q353&lt;&gt;1,"",IFERROR(IF(VLOOKUP(R353,매핑!$A$4:$E$92,3,0)="","미분류",VLOOKUP(R353,매핑!$A$4:$E$92,3,0)),IF(AB353&lt;&gt;"",IF(AB353="","",INDEX(시장분석!$W:$W,AB353)),"미분류")))</f>
        <v>한국</v>
      </c>
      <c r="AJ353" s="43" t="str">
        <f aca="false">IF(Q353&lt;&gt;1,"",IFERROR(VLOOKUP(IF(N353&lt;&gt;"",N353,IF(P353&lt;&gt;"",P353,O353)),설정!$A$15:$D$47,2,0),""))</f>
        <v>AA</v>
      </c>
      <c r="AK353" s="43" t="str">
        <f aca="false">IF(Q353&lt;&gt;1,"",IF(AJ353="","무등급",IFERROR(VLOOKUP(AJ353,설정!$A$15:$D$47,3,0),"무등급")))</f>
        <v>AA이상</v>
      </c>
      <c r="AL353" s="89" t="n">
        <f aca="false">IF(AJ353="",99,IFERROR(VLOOKUP(AJ353,설정!$A$15:$D$47,4,0),99))</f>
        <v>3</v>
      </c>
      <c r="AM353" s="94" t="n">
        <f aca="false">IF(ISNUMBER(H353),AA353*1000000*H353/10000,0)</f>
        <v>3377.5530065</v>
      </c>
      <c r="AN353" s="94" t="n">
        <f aca="false">IF(OR(Y353=1,NOT(ISNUMBER(Z353))),0,AA353*1000000*Z353/10000)</f>
        <v>3377.5530065</v>
      </c>
      <c r="AO353" s="94" t="n">
        <f aca="false">IF(ISNUMBER(G353),AA353*1000000*G353/100,0)</f>
        <v>494657.25791</v>
      </c>
      <c r="AP353" s="94" t="n">
        <f aca="false">IF(ISNUMBER(M353),M353*K353,0)</f>
        <v>-455870</v>
      </c>
      <c r="AQ353" s="95" t="n">
        <f aca="false">IF(AB353="","",INDEX(시장분석!$AK:$AK,AB353))</f>
        <v>-1.30858079456299</v>
      </c>
      <c r="AR353" s="43" t="str">
        <f aca="false">IF(AB353="","-",IF(AB353="","",INDEX(시장분석!$AL:$AL,AB353)))</f>
        <v>Rich</v>
      </c>
      <c r="AS353" s="96" t="n">
        <f aca="false">IF(AB353="","",INDEX(시장분석!$AJ:$AJ,AB353))</f>
        <v>-17.9184283759553</v>
      </c>
      <c r="AT353" s="93" t="n">
        <f aca="false">IF(AB353="",0,IF(AB353="","",INDEX(시장분석!$AN:$AN,AB353)))</f>
        <v>6.22821494137026</v>
      </c>
      <c r="AU353" s="94" t="n">
        <f aca="false">IF(ISNUMBER(Z353),AT353/10000*MAX(Z353-1,0)*AA353*1000000,0)</f>
        <v>15132.9056428387</v>
      </c>
      <c r="AV353" s="94" t="n">
        <f aca="false">AO353+AU353</f>
        <v>509790.163552839</v>
      </c>
      <c r="AW353" s="43" t="str">
        <f aca="false">IF(Q353&lt;&gt;1,"",TRIM(IF(AD353=1,"FRN ","")&amp;IF(AND(AL353&gt;=10,AL353&lt;99),"BBB0미만 ","")&amp;IF(AJ353="","등급없음 ","")&amp;IF(K353&lt;&gt;1,"비USD ","")&amp;IF(AND(AB353="",Y353=0),"시장데이터없음 ","")&amp;IF(AND(ISNUMBER(U353),U353&lt;0),"만기경과 ","")))</f>
        <v/>
      </c>
      <c r="AX353" s="90" t="n">
        <f aca="false">IF(Q353&lt;&gt;1,1,IF(스프레드쇼크!$C$4="Y",INDEX(스프레드쇼크!$B$12:$L$16,IFERROR(MATCH(AH353,스프레드쇼크!$A$12:$A$16,0),MATCH("목록외",스프레드쇼크!$A$12:$A$16,0)),IFERROR(MATCH(AG353,스프레드쇼크!$B$11:$L$11,0),MATCH("목록외",스프레드쇼크!$B$11:$L$11,0))),1))</f>
        <v>1</v>
      </c>
      <c r="AY353" s="90" t="n">
        <f aca="false">IF(스프레드쇼크!$C$5="Y",IF(ISNUMBER(AF353),MIN(스프레드쇼크!$C$7,MAX(스프레드쇼크!$C$6,AF353/스프레드쇼크!$C$8)),1),1)</f>
        <v>0.25</v>
      </c>
      <c r="AZ353" s="94" t="n">
        <f aca="false">AN353*AX353*AY353</f>
        <v>844.388251625</v>
      </c>
      <c r="BA353" s="90" t="n">
        <f aca="false">IF(ISNUMBER(G353),AA353*G353,0)</f>
        <v>49.465725791</v>
      </c>
      <c r="BB353" s="90" t="n">
        <f aca="false">IF(ISNUMBER(G353),AA353,0)</f>
        <v>9.47819</v>
      </c>
      <c r="BC353" s="90" t="n">
        <f aca="false">IF(AND(Y353=0,ISNUMBER(AF353)),AA353*AF353,0)</f>
        <v>62.66979228</v>
      </c>
      <c r="BD353" s="90" t="n">
        <f aca="false">IF(AND(Y353=0,ISNUMBER(AF353)),AA353,0)</f>
        <v>9.47819</v>
      </c>
      <c r="BE353" s="90" t="n">
        <f aca="false">IF(ISNUMBER(H353),AA353*H353,0)</f>
        <v>33.775530065</v>
      </c>
      <c r="BF353" s="90" t="n">
        <f aca="false">IF(ISNUMBER(H353),AA353,0)</f>
        <v>9.47819</v>
      </c>
      <c r="BG353" s="90" t="n">
        <f aca="false">IF(AND(Y353=0,ISNUMBER(AF353),ISNUMBER(Z353)),AA353*Z353,0)</f>
        <v>33.775530065</v>
      </c>
      <c r="BH353" s="90" t="n">
        <f aca="false">IF(AND(Y353=0,ISNUMBER(AF353),ISNUMBER(Z353)),AA353*AT353*MAX(Z353-1,0),0)</f>
        <v>151.329056428387</v>
      </c>
      <c r="BI353" s="90" t="n">
        <f aca="false">IF(Y353=0,AA353,0)</f>
        <v>9.47819</v>
      </c>
    </row>
    <row r="354" customFormat="false" ht="15" hidden="false" customHeight="false" outlineLevel="0" collapsed="false">
      <c r="A354" s="83" t="str">
        <f aca="false">IFERROR(IF(INDEX(원자료_잔고!$A$1:$EZ$1500,설정!$L$5+ROW()-1,설정!$L$8)&amp;""="0","",INDEX(원자료_잔고!$A$1:$EZ$1500,설정!$L$5+ROW()-1,설정!$L$8)&amp;""),"")</f>
        <v>EIBKOR 3.75 01/13/29</v>
      </c>
      <c r="B354" s="83" t="str">
        <f aca="false">IFERROR(IF(INDEX(원자료_잔고!$A$1:$EZ$1500,설정!$L$5+ROW()-1,설정!$L$7)&amp;""="0","",INDEX(원자료_잔고!$A$1:$EZ$1500,설정!$L$5+ROW()-1,설정!$L$7)&amp;""),"")</f>
        <v>US302154EQ83</v>
      </c>
      <c r="C354" s="83" t="str">
        <f aca="false">IFERROR(IF(INDEX(원자료_잔고!$A$1:$EZ$1500,설정!$L$5+ROW()-1,설정!$L$9)&amp;""="0","",INDEX(원자료_잔고!$A$1:$EZ$1500,설정!$L$5+ROW()-1,설정!$L$9)&amp;""),"")</f>
        <v>42003</v>
      </c>
      <c r="D35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4" s="84" t="n">
        <f aca="false">IFERROR(IF(ISNUMBER(INDEX(원자료_잔고!$A$1:$EZ$1500,설정!$L$5+ROW()-1,설정!$L$11)),INDEX(원자료_잔고!$A$1:$EZ$1500,설정!$L$5+ROW()-1,설정!$L$11),""),"")</f>
        <v>3700000</v>
      </c>
      <c r="F354" s="85" t="n">
        <f aca="false">IFERROR(IF(ISNUMBER(INDEX(원자료_잔고!$A$1:$EZ$1500,설정!$L$5+ROW()-1,설정!$L$12)),INDEX(원자료_잔고!$A$1:$EZ$1500,설정!$L$5+ROW()-1,설정!$L$12),""),"")</f>
        <v>97.213</v>
      </c>
      <c r="G354" s="85" t="n">
        <f aca="false">IFERROR(IF(ISNUMBER(INDEX(원자료_잔고!$A$1:$EZ$1500,설정!$L$5+ROW()-1,설정!$L$13)),INDEX(원자료_잔고!$A$1:$EZ$1500,설정!$L$5+ROW()-1,설정!$L$13),""),"")</f>
        <v>5.0527</v>
      </c>
      <c r="H354" s="85" t="n">
        <f aca="false">IFERROR(IF(ISNUMBER(INDEX(원자료_잔고!$A$1:$EZ$1500,설정!$L$5+ROW()-1,설정!$L$14)),INDEX(원자료_잔고!$A$1:$EZ$1500,설정!$L$5+ROW()-1,설정!$L$14),""),"")</f>
        <v>2.1016</v>
      </c>
      <c r="I354" s="86" t="n">
        <f aca="false">IFERROR(IF(ISNUMBER(INDEX(원자료_잔고!$A$1:$EZ$1500,설정!$L$5+ROW()-1,설정!$L$15)),INDEX(원자료_잔고!$A$1:$EZ$1500,설정!$L$5+ROW()-1,설정!$L$15),""),"")</f>
        <v>47131</v>
      </c>
      <c r="J354" s="85" t="n">
        <f aca="false">IFERROR(IF(ISNUMBER(INDEX(원자료_잔고!$A$1:$EZ$1500,설정!$L$5+ROW()-1,설정!$L$16)),INDEX(원자료_잔고!$A$1:$EZ$1500,설정!$L$5+ROW()-1,설정!$L$16),""),"")</f>
        <v>3.75</v>
      </c>
      <c r="K354" s="87" t="n">
        <f aca="false">IFERROR(IF(ISNUMBER(INDEX(원자료_잔고!$A$1:$EZ$1500,설정!$L$5+ROW()-1,설정!$L$17)),INDEX(원자료_잔고!$A$1:$EZ$1500,설정!$L$5+ROW()-1,설정!$L$17),""),"")</f>
        <v>1</v>
      </c>
      <c r="L354" s="84" t="n">
        <f aca="false">IFERROR(IF(ISNUMBER(INDEX(원자료_잔고!$A$1:$EZ$1500,설정!$L$5+ROW()-1,설정!$L$18)),INDEX(원자료_잔고!$A$1:$EZ$1500,설정!$L$5+ROW()-1,설정!$L$18),""),"")</f>
        <v>3596881</v>
      </c>
      <c r="M354" s="88" t="n">
        <f aca="false">IFERROR(IF(ISNUMBER(INDEX(원자료_잔고!$A$1:$EZ$1500,설정!$L$5+ROW()-1,설정!$L$19)),INDEX(원자료_잔고!$A$1:$EZ$1500,설정!$L$5+ROW()-1,설정!$L$19),""),"")</f>
        <v>-97939</v>
      </c>
      <c r="N354" s="83" t="str">
        <f aca="false">IFERROR(IF(INDEX(원자료_잔고!$A$1:$EZ$1500,설정!$L$5+ROW()-1,설정!$L$21)&amp;""="0","",INDEX(원자료_잔고!$A$1:$EZ$1500,설정!$L$5+ROW()-1,설정!$L$21)&amp;""),"")</f>
        <v>AA</v>
      </c>
      <c r="O354" s="83" t="str">
        <f aca="false">IFERROR(IF(INDEX(원자료_잔고!$A$1:$EZ$1500,설정!$L$5+ROW()-1,설정!$L$22)&amp;""="0","",INDEX(원자료_잔고!$A$1:$EZ$1500,설정!$L$5+ROW()-1,설정!$L$22)&amp;""),"")</f>
        <v/>
      </c>
      <c r="P354" s="83" t="str">
        <f aca="false">IFERROR(IF(INDEX(원자료_잔고!$A$1:$EZ$1500,설정!$L$5+ROW()-1,설정!$L$23)&amp;""="0","",INDEX(원자료_잔고!$A$1:$EZ$1500,설정!$L$5+ROW()-1,설정!$L$23)&amp;""),"")</f>
        <v>AA-</v>
      </c>
      <c r="Q354" s="89" t="n">
        <f aca="false">IF(AND($A354&lt;&gt;"",ISNUMBER(E354)),IF(E354&gt;0,1,0),0)</f>
        <v>1</v>
      </c>
      <c r="R354" s="43" t="str">
        <f aca="false">IF(Q354=1,UPPER(LEFT($A354,FIND(" ",$A354&amp;" ")-1)),"")</f>
        <v>EIBKOR</v>
      </c>
      <c r="S354" s="89" t="n">
        <f aca="false">IF(Q354=1,IF(OR(ISNUMBER(SEARCH("Float",$A354)),ISNUMBER(SEARCH("FRN",$A354))),1,0),0)</f>
        <v>0</v>
      </c>
      <c r="T354" s="43" t="str">
        <f aca="false">IF(AND(Q354=1,ISNUMBER(I354)),TEXT(I354,"yyyymmdd")&amp;"|"&amp;IF(S354=1,"F",TEXT(J354,"0.000")),"")</f>
        <v>20290113|3.750</v>
      </c>
      <c r="U354" s="90" t="n">
        <f aca="false">IF(AND(Q354=1,ISNUMBER(I354)),(I354-설정!$C$4)/365.25,"")</f>
        <v>2.2861054072553</v>
      </c>
      <c r="V354" s="43" t="str">
        <f aca="false">IF(Q354&lt;&gt;1,"",IF(ISNUMBER(U354),IF(U354&lt;=1,"1년 이하",IF(U354&lt;=2,"1-2년",IF(U354&lt;=3,"2-3년",IF(U354&lt;=4,"3-4년",IF(U354&lt;=5,"4-5년",IF(U354&lt;=7,"5-7년",IF(U354&lt;=10,"7-10년",IF(U354&lt;=20,"10-20년","20년 이상")))))))),"미분류"))</f>
        <v>2-3년</v>
      </c>
      <c r="W354" s="43" t="str">
        <f aca="false">IF(Q354&lt;&gt;1,"",IF(AB354&lt;&gt;"",INDEX(시장분석!$C:$C,AB354),IF(K354=1,"USD","비USD")))</f>
        <v>USD</v>
      </c>
      <c r="X354" s="91" t="n">
        <f aca="false">IF(Q354=1,E354*K354/1000000,0)</f>
        <v>3.7</v>
      </c>
      <c r="Y354" s="89" t="n">
        <f aca="false">IF(R354="T",1,0)</f>
        <v>0</v>
      </c>
      <c r="Z354" s="92" t="n">
        <f aca="false">IF(Q354&lt;&gt;1,"",IF(AD354=1,IF(ISNUMBER(U354),MAX(U354,0),H354),H354))</f>
        <v>2.1016</v>
      </c>
      <c r="AA354" s="91" t="n">
        <f aca="false">IF(Q354=1,IF(ISNUMBER(L354),L354,0)*K354/1000000,0)</f>
        <v>3.596881</v>
      </c>
      <c r="AB354" s="89" t="n">
        <f aca="false">IF(Q354&lt;&gt;1,"",IFERROR(MATCH(VLOOKUP(B354,매핑!$H$4:$I$15,2,0),시장분석!$A$2:$A$601,0)+1,IFERROR(MATCH(R354&amp;"|"&amp;T354,시장분석!$V$2:$V$601,0)+1,IF(COUNTIF(시장분석!$U$2:$U$601,T354)=1,MATCH(T354,시장분석!$U$2:$U$601,0)+1,""))))</f>
        <v>35</v>
      </c>
      <c r="AC354" s="89" t="n">
        <f aca="false">IF(Q354&lt;&gt;1,0,IF(OR(설정!$C$5="전체",AND(설정!$C$5="선택펀드",IFERROR(COUNTIFS(설정!$F$16:$F$36,C354,설정!$G$16:$G$36,"Y")+COUNTIFS(설정!$F$16:$F$36,VALUE(C354),설정!$G$16:$G$36,"Y"),0)&gt;0),C354&amp;""=설정!$C$5&amp;""),1,0))</f>
        <v>0</v>
      </c>
      <c r="AD354" s="89" t="n">
        <f aca="false">IF(Q354&lt;&gt;1,0,IF(OR(S354=1,IF(AB354="",FALSE(),INDEX(시장분석!$R:$R,AB354)=1)),1,0))</f>
        <v>0</v>
      </c>
      <c r="AE354" s="43" t="str">
        <f aca="false">IF(AB354="","",INDEX(시장분석!$A:$A,AB354))</f>
        <v>EIBKOR 3 3/4 01/13/29</v>
      </c>
      <c r="AF354" s="93" t="n">
        <f aca="false">IF(AB354="","",IF(ISNUMBER(IF(AB354="","",INDEX(시장분석!$E:$E,AB354))),IF(AB354="","",INDEX(시장분석!$E:$E,AB354)),""))</f>
        <v>1.952</v>
      </c>
      <c r="AG354" s="43" t="str">
        <f aca="false">IF(Q354&lt;&gt;1,"",IF(AB354&lt;&gt;"",IF(AB354="","",INDEX(시장분석!$L:$L,AB354)),IFERROR(IF(VLOOKUP(R354,매핑!$A$4:$E$92,5,0)="","미분류",VLOOKUP(R354,매핑!$A$4:$E$92,5,0)),"미분류")))</f>
        <v>정부</v>
      </c>
      <c r="AH354" s="43" t="str">
        <f aca="false">IF(Q354&lt;&gt;1,"",IF(AB354&lt;&gt;"",IF(AB354="","",INDEX(시장분석!$N:$N,AB354)),IFERROR(IF(VLOOKUP(R354,매핑!$A$4:$E$92,4,0)="","미분류",VLOOKUP(R354,매핑!$A$4:$E$92,4,0)),"미분류")))</f>
        <v>아시아/기타</v>
      </c>
      <c r="AI354" s="43" t="str">
        <f aca="false">IF(Q354&lt;&gt;1,"",IFERROR(IF(VLOOKUP(R354,매핑!$A$4:$E$92,3,0)="","미분류",VLOOKUP(R354,매핑!$A$4:$E$92,3,0)),IF(AB354&lt;&gt;"",IF(AB354="","",INDEX(시장분석!$W:$W,AB354)),"미분류")))</f>
        <v>한국</v>
      </c>
      <c r="AJ354" s="43" t="str">
        <f aca="false">IF(Q354&lt;&gt;1,"",IFERROR(VLOOKUP(IF(N354&lt;&gt;"",N354,IF(P354&lt;&gt;"",P354,O354)),설정!$A$15:$D$47,2,0),""))</f>
        <v>AA</v>
      </c>
      <c r="AK354" s="43" t="str">
        <f aca="false">IF(Q354&lt;&gt;1,"",IF(AJ354="","무등급",IFERROR(VLOOKUP(AJ354,설정!$A$15:$D$47,3,0),"무등급")))</f>
        <v>AA이상</v>
      </c>
      <c r="AL354" s="89" t="n">
        <f aca="false">IF(AJ354="",99,IFERROR(VLOOKUP(AJ354,설정!$A$15:$D$47,4,0),99))</f>
        <v>3</v>
      </c>
      <c r="AM354" s="94" t="n">
        <f aca="false">IF(ISNUMBER(H354),AA354*1000000*H354/10000,0)</f>
        <v>755.92051096</v>
      </c>
      <c r="AN354" s="94" t="n">
        <f aca="false">IF(OR(Y354=1,NOT(ISNUMBER(Z354))),0,AA354*1000000*Z354/10000)</f>
        <v>755.92051096</v>
      </c>
      <c r="AO354" s="94" t="n">
        <f aca="false">IF(ISNUMBER(G354),AA354*1000000*G354/100,0)</f>
        <v>181739.606287</v>
      </c>
      <c r="AP354" s="94" t="n">
        <f aca="false">IF(ISNUMBER(M354),M354*K354,0)</f>
        <v>-97939</v>
      </c>
      <c r="AQ354" s="95" t="n">
        <f aca="false">IF(AB354="","",INDEX(시장분석!$AK:$AK,AB354))</f>
        <v>-0.881068193581333</v>
      </c>
      <c r="AR354" s="43" t="str">
        <f aca="false">IF(AB354="","-",IF(AB354="","",INDEX(시장분석!$AL:$AL,AB354)))</f>
        <v>Fair</v>
      </c>
      <c r="AS354" s="96" t="n">
        <f aca="false">IF(AB354="","",INDEX(시장분석!$AJ:$AJ,AB354))</f>
        <v>-12.0644880213848</v>
      </c>
      <c r="AT354" s="93" t="n">
        <f aca="false">IF(AB354="",0,IF(AB354="","",INDEX(시장분석!$AN:$AN,AB354)))</f>
        <v>12.1257746588523</v>
      </c>
      <c r="AU354" s="94" t="n">
        <f aca="false">IF(ISNUMBER(Z354),AT354/10000*MAX(Z354-1,0)*AA354*1000000,0)</f>
        <v>4804.62492783474</v>
      </c>
      <c r="AV354" s="94" t="n">
        <f aca="false">AO354+AU354</f>
        <v>186544.231214835</v>
      </c>
      <c r="AW354" s="43" t="str">
        <f aca="false">IF(Q354&lt;&gt;1,"",TRIM(IF(AD354=1,"FRN ","")&amp;IF(AND(AL354&gt;=10,AL354&lt;99),"BBB0미만 ","")&amp;IF(AJ354="","등급없음 ","")&amp;IF(K354&lt;&gt;1,"비USD ","")&amp;IF(AND(AB354="",Y354=0),"시장데이터없음 ","")&amp;IF(AND(ISNUMBER(U354),U354&lt;0),"만기경과 ","")))</f>
        <v/>
      </c>
      <c r="AX354" s="90" t="n">
        <f aca="false">IF(Q354&lt;&gt;1,1,IF(스프레드쇼크!$C$4="Y",INDEX(스프레드쇼크!$B$12:$L$16,IFERROR(MATCH(AH354,스프레드쇼크!$A$12:$A$16,0),MATCH("목록외",스프레드쇼크!$A$12:$A$16,0)),IFERROR(MATCH(AG354,스프레드쇼크!$B$11:$L$11,0),MATCH("목록외",스프레드쇼크!$B$11:$L$11,0))),1))</f>
        <v>1</v>
      </c>
      <c r="AY354" s="90" t="n">
        <f aca="false">IF(스프레드쇼크!$C$5="Y",IF(ISNUMBER(AF354),MIN(스프레드쇼크!$C$7,MAX(스프레드쇼크!$C$6,AF354/스프레드쇼크!$C$8)),1),1)</f>
        <v>0.25</v>
      </c>
      <c r="AZ354" s="94" t="n">
        <f aca="false">AN354*AX354*AY354</f>
        <v>188.98012774</v>
      </c>
      <c r="BA354" s="90" t="n">
        <f aca="false">IF(ISNUMBER(G354),AA354*G354,0)</f>
        <v>18.1739606287</v>
      </c>
      <c r="BB354" s="90" t="n">
        <f aca="false">IF(ISNUMBER(G354),AA354,0)</f>
        <v>3.596881</v>
      </c>
      <c r="BC354" s="90" t="n">
        <f aca="false">IF(AND(Y354=0,ISNUMBER(AF354)),AA354*AF354,0)</f>
        <v>7.021111712</v>
      </c>
      <c r="BD354" s="90" t="n">
        <f aca="false">IF(AND(Y354=0,ISNUMBER(AF354)),AA354,0)</f>
        <v>3.596881</v>
      </c>
      <c r="BE354" s="90" t="n">
        <f aca="false">IF(ISNUMBER(H354),AA354*H354,0)</f>
        <v>7.5592051096</v>
      </c>
      <c r="BF354" s="90" t="n">
        <f aca="false">IF(ISNUMBER(H354),AA354,0)</f>
        <v>3.596881</v>
      </c>
      <c r="BG354" s="90" t="n">
        <f aca="false">IF(AND(Y354=0,ISNUMBER(AF354),ISNUMBER(Z354)),AA354*Z354,0)</f>
        <v>7.5592051096</v>
      </c>
      <c r="BH354" s="90" t="n">
        <f aca="false">IF(AND(Y354=0,ISNUMBER(AF354),ISNUMBER(Z354)),AA354*AT354*MAX(Z354-1,0),0)</f>
        <v>48.0462492783473</v>
      </c>
      <c r="BI354" s="90" t="n">
        <f aca="false">IF(Y354=0,AA354,0)</f>
        <v>3.596881</v>
      </c>
    </row>
    <row r="355" customFormat="false" ht="15" hidden="false" customHeight="false" outlineLevel="0" collapsed="false">
      <c r="A355" s="83" t="str">
        <f aca="false">IFERROR(IF(INDEX(원자료_잔고!$A$1:$EZ$1500,설정!$L$5+ROW()-1,설정!$L$8)&amp;""="0","",INDEX(원자료_잔고!$A$1:$EZ$1500,설정!$L$5+ROW()-1,설정!$L$8)&amp;""),"")</f>
        <v>EIBKOR 3.875 01/13/31</v>
      </c>
      <c r="B355" s="83" t="str">
        <f aca="false">IFERROR(IF(INDEX(원자료_잔고!$A$1:$EZ$1500,설정!$L$5+ROW()-1,설정!$L$7)&amp;""="0","",INDEX(원자료_잔고!$A$1:$EZ$1500,설정!$L$5+ROW()-1,설정!$L$7)&amp;""),"")</f>
        <v>US302154ER66</v>
      </c>
      <c r="C355" s="83" t="str">
        <f aca="false">IFERROR(IF(INDEX(원자료_잔고!$A$1:$EZ$1500,설정!$L$5+ROW()-1,설정!$L$9)&amp;""="0","",INDEX(원자료_잔고!$A$1:$EZ$1500,설정!$L$5+ROW()-1,설정!$L$9)&amp;""),"")</f>
        <v>42003</v>
      </c>
      <c r="D35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5" s="84" t="n">
        <f aca="false">IFERROR(IF(ISNUMBER(INDEX(원자료_잔고!$A$1:$EZ$1500,설정!$L$5+ROW()-1,설정!$L$11)),INDEX(원자료_잔고!$A$1:$EZ$1500,설정!$L$5+ROW()-1,설정!$L$11),""),"")</f>
        <v>5000000</v>
      </c>
      <c r="F355" s="85" t="n">
        <f aca="false">IFERROR(IF(ISNUMBER(INDEX(원자료_잔고!$A$1:$EZ$1500,설정!$L$5+ROW()-1,설정!$L$12)),INDEX(원자료_잔고!$A$1:$EZ$1500,설정!$L$5+ROW()-1,설정!$L$12),""),"")</f>
        <v>94.8188</v>
      </c>
      <c r="G355" s="85" t="n">
        <f aca="false">IFERROR(IF(ISNUMBER(INDEX(원자료_잔고!$A$1:$EZ$1500,설정!$L$5+ROW()-1,설정!$L$13)),INDEX(원자료_잔고!$A$1:$EZ$1500,설정!$L$5+ROW()-1,설정!$L$13),""),"")</f>
        <v>5.2383</v>
      </c>
      <c r="H355" s="85" t="n">
        <f aca="false">IFERROR(IF(ISNUMBER(INDEX(원자료_잔고!$A$1:$EZ$1500,설정!$L$5+ROW()-1,설정!$L$14)),INDEX(원자료_잔고!$A$1:$EZ$1500,설정!$L$5+ROW()-1,설정!$L$14),""),"")</f>
        <v>3.7728</v>
      </c>
      <c r="I355" s="86" t="n">
        <f aca="false">IFERROR(IF(ISNUMBER(INDEX(원자료_잔고!$A$1:$EZ$1500,설정!$L$5+ROW()-1,설정!$L$15)),INDEX(원자료_잔고!$A$1:$EZ$1500,설정!$L$5+ROW()-1,설정!$L$15),""),"")</f>
        <v>47861</v>
      </c>
      <c r="J355" s="85" t="n">
        <f aca="false">IFERROR(IF(ISNUMBER(INDEX(원자료_잔고!$A$1:$EZ$1500,설정!$L$5+ROW()-1,설정!$L$16)),INDEX(원자료_잔고!$A$1:$EZ$1500,설정!$L$5+ROW()-1,설정!$L$16),""),"")</f>
        <v>3.875</v>
      </c>
      <c r="K355" s="87" t="n">
        <f aca="false">IFERROR(IF(ISNUMBER(INDEX(원자료_잔고!$A$1:$EZ$1500,설정!$L$5+ROW()-1,설정!$L$17)),INDEX(원자료_잔고!$A$1:$EZ$1500,설정!$L$5+ROW()-1,설정!$L$17),""),"")</f>
        <v>1</v>
      </c>
      <c r="L355" s="84" t="n">
        <f aca="false">IFERROR(IF(ISNUMBER(INDEX(원자료_잔고!$A$1:$EZ$1500,설정!$L$5+ROW()-1,설정!$L$18)),INDEX(원자료_잔고!$A$1:$EZ$1500,설정!$L$5+ROW()-1,설정!$L$18),""),"")</f>
        <v>4740940</v>
      </c>
      <c r="M355" s="88" t="n">
        <f aca="false">IFERROR(IF(ISNUMBER(INDEX(원자료_잔고!$A$1:$EZ$1500,설정!$L$5+ROW()-1,설정!$L$19)),INDEX(원자료_잔고!$A$1:$EZ$1500,설정!$L$5+ROW()-1,설정!$L$19),""),"")</f>
        <v>-231060</v>
      </c>
      <c r="N355" s="83" t="str">
        <f aca="false">IFERROR(IF(INDEX(원자료_잔고!$A$1:$EZ$1500,설정!$L$5+ROW()-1,설정!$L$21)&amp;""="0","",INDEX(원자료_잔고!$A$1:$EZ$1500,설정!$L$5+ROW()-1,설정!$L$21)&amp;""),"")</f>
        <v>AA</v>
      </c>
      <c r="O355" s="83" t="str">
        <f aca="false">IFERROR(IF(INDEX(원자료_잔고!$A$1:$EZ$1500,설정!$L$5+ROW()-1,설정!$L$22)&amp;""="0","",INDEX(원자료_잔고!$A$1:$EZ$1500,설정!$L$5+ROW()-1,설정!$L$22)&amp;""),"")</f>
        <v/>
      </c>
      <c r="P355" s="83" t="str">
        <f aca="false">IFERROR(IF(INDEX(원자료_잔고!$A$1:$EZ$1500,설정!$L$5+ROW()-1,설정!$L$23)&amp;""="0","",INDEX(원자료_잔고!$A$1:$EZ$1500,설정!$L$5+ROW()-1,설정!$L$23)&amp;""),"")</f>
        <v>AA-</v>
      </c>
      <c r="Q355" s="89" t="n">
        <f aca="false">IF(AND($A355&lt;&gt;"",ISNUMBER(E355)),IF(E355&gt;0,1,0),0)</f>
        <v>1</v>
      </c>
      <c r="R355" s="43" t="str">
        <f aca="false">IF(Q355=1,UPPER(LEFT($A355,FIND(" ",$A355&amp;" ")-1)),"")</f>
        <v>EIBKOR</v>
      </c>
      <c r="S355" s="89" t="n">
        <f aca="false">IF(Q355=1,IF(OR(ISNUMBER(SEARCH("Float",$A355)),ISNUMBER(SEARCH("FRN",$A355))),1,0),0)</f>
        <v>0</v>
      </c>
      <c r="T355" s="43" t="str">
        <f aca="false">IF(AND(Q355=1,ISNUMBER(I355)),TEXT(I355,"yyyymmdd")&amp;"|"&amp;IF(S355=1,"F",TEXT(J355,"0.000")),"")</f>
        <v>20310113|3.875</v>
      </c>
      <c r="U355" s="90" t="n">
        <f aca="false">IF(AND(Q355=1,ISNUMBER(I355)),(I355-설정!$C$4)/365.25,"")</f>
        <v>4.28473648186174</v>
      </c>
      <c r="V355" s="43" t="str">
        <f aca="false">IF(Q355&lt;&gt;1,"",IF(ISNUMBER(U355),IF(U355&lt;=1,"1년 이하",IF(U355&lt;=2,"1-2년",IF(U355&lt;=3,"2-3년",IF(U355&lt;=4,"3-4년",IF(U355&lt;=5,"4-5년",IF(U355&lt;=7,"5-7년",IF(U355&lt;=10,"7-10년",IF(U355&lt;=20,"10-20년","20년 이상")))))))),"미분류"))</f>
        <v>4-5년</v>
      </c>
      <c r="W355" s="43" t="str">
        <f aca="false">IF(Q355&lt;&gt;1,"",IF(AB355&lt;&gt;"",INDEX(시장분석!$C:$C,AB355),IF(K355=1,"USD","비USD")))</f>
        <v>USD</v>
      </c>
      <c r="X355" s="91" t="n">
        <f aca="false">IF(Q355=1,E355*K355/1000000,0)</f>
        <v>5</v>
      </c>
      <c r="Y355" s="89" t="n">
        <f aca="false">IF(R355="T",1,0)</f>
        <v>0</v>
      </c>
      <c r="Z355" s="92" t="n">
        <f aca="false">IF(Q355&lt;&gt;1,"",IF(AD355=1,IF(ISNUMBER(U355),MAX(U355,0),H355),H355))</f>
        <v>3.7728</v>
      </c>
      <c r="AA355" s="91" t="n">
        <f aca="false">IF(Q355=1,IF(ISNUMBER(L355),L355,0)*K355/1000000,0)</f>
        <v>4.74094</v>
      </c>
      <c r="AB355" s="89" t="n">
        <f aca="false">IF(Q355&lt;&gt;1,"",IFERROR(MATCH(VLOOKUP(B355,매핑!$H$4:$I$15,2,0),시장분석!$A$2:$A$601,0)+1,IFERROR(MATCH(R355&amp;"|"&amp;T355,시장분석!$V$2:$V$601,0)+1,IF(COUNTIF(시장분석!$U$2:$U$601,T355)=1,MATCH(T355,시장분석!$U$2:$U$601,0)+1,""))))</f>
        <v>36</v>
      </c>
      <c r="AC355" s="89" t="n">
        <f aca="false">IF(Q355&lt;&gt;1,0,IF(OR(설정!$C$5="전체",AND(설정!$C$5="선택펀드",IFERROR(COUNTIFS(설정!$F$16:$F$36,C355,설정!$G$16:$G$36,"Y")+COUNTIFS(설정!$F$16:$F$36,VALUE(C355),설정!$G$16:$G$36,"Y"),0)&gt;0),C355&amp;""=설정!$C$5&amp;""),1,0))</f>
        <v>0</v>
      </c>
      <c r="AD355" s="89" t="n">
        <f aca="false">IF(Q355&lt;&gt;1,0,IF(OR(S355=1,IF(AB355="",FALSE(),INDEX(시장분석!$R:$R,AB355)=1)),1,0))</f>
        <v>0</v>
      </c>
      <c r="AE355" s="43" t="str">
        <f aca="false">IF(AB355="","",INDEX(시장분석!$A:$A,AB355))</f>
        <v>EIBKOR 3 7/8 01/13/31</v>
      </c>
      <c r="AF355" s="93" t="n">
        <f aca="false">IF(AB355="","",IF(ISNUMBER(IF(AB355="","",INDEX(시장분석!$E:$E,AB355))),IF(AB355="","",INDEX(시장분석!$E:$E,AB355)),""))</f>
        <v>18.153</v>
      </c>
      <c r="AG355" s="43" t="str">
        <f aca="false">IF(Q355&lt;&gt;1,"",IF(AB355&lt;&gt;"",IF(AB355="","",INDEX(시장분석!$L:$L,AB355)),IFERROR(IF(VLOOKUP(R355,매핑!$A$4:$E$92,5,0)="","미분류",VLOOKUP(R355,매핑!$A$4:$E$92,5,0)),"미분류")))</f>
        <v>정부</v>
      </c>
      <c r="AH355" s="43" t="str">
        <f aca="false">IF(Q355&lt;&gt;1,"",IF(AB355&lt;&gt;"",IF(AB355="","",INDEX(시장분석!$N:$N,AB355)),IFERROR(IF(VLOOKUP(R355,매핑!$A$4:$E$92,4,0)="","미분류",VLOOKUP(R355,매핑!$A$4:$E$92,4,0)),"미분류")))</f>
        <v>아시아/기타</v>
      </c>
      <c r="AI355" s="43" t="str">
        <f aca="false">IF(Q355&lt;&gt;1,"",IFERROR(IF(VLOOKUP(R355,매핑!$A$4:$E$92,3,0)="","미분류",VLOOKUP(R355,매핑!$A$4:$E$92,3,0)),IF(AB355&lt;&gt;"",IF(AB355="","",INDEX(시장분석!$W:$W,AB355)),"미분류")))</f>
        <v>한국</v>
      </c>
      <c r="AJ355" s="43" t="str">
        <f aca="false">IF(Q355&lt;&gt;1,"",IFERROR(VLOOKUP(IF(N355&lt;&gt;"",N355,IF(P355&lt;&gt;"",P355,O355)),설정!$A$15:$D$47,2,0),""))</f>
        <v>AA</v>
      </c>
      <c r="AK355" s="43" t="str">
        <f aca="false">IF(Q355&lt;&gt;1,"",IF(AJ355="","무등급",IFERROR(VLOOKUP(AJ355,설정!$A$15:$D$47,3,0),"무등급")))</f>
        <v>AA이상</v>
      </c>
      <c r="AL355" s="89" t="n">
        <f aca="false">IF(AJ355="",99,IFERROR(VLOOKUP(AJ355,설정!$A$15:$D$47,4,0),99))</f>
        <v>3</v>
      </c>
      <c r="AM355" s="94" t="n">
        <f aca="false">IF(ISNUMBER(H355),AA355*1000000*H355/10000,0)</f>
        <v>1788.6618432</v>
      </c>
      <c r="AN355" s="94" t="n">
        <f aca="false">IF(OR(Y355=1,NOT(ISNUMBER(Z355))),0,AA355*1000000*Z355/10000)</f>
        <v>1788.6618432</v>
      </c>
      <c r="AO355" s="94" t="n">
        <f aca="false">IF(ISNUMBER(G355),AA355*1000000*G355/100,0)</f>
        <v>248344.66002</v>
      </c>
      <c r="AP355" s="94" t="n">
        <f aca="false">IF(ISNUMBER(M355),M355*K355,0)</f>
        <v>-231060</v>
      </c>
      <c r="AQ355" s="95" t="n">
        <f aca="false">IF(AB355="","",INDEX(시장분석!$AK:$AK,AB355))</f>
        <v>-0.551405824156552</v>
      </c>
      <c r="AR355" s="43" t="str">
        <f aca="false">IF(AB355="","-",IF(AB355="","",INDEX(시장분석!$AL:$AL,AB355)))</f>
        <v>Fair</v>
      </c>
      <c r="AS355" s="96" t="n">
        <f aca="false">IF(AB355="","",INDEX(시장분석!$AJ:$AJ,AB355))</f>
        <v>-7.55041324714946</v>
      </c>
      <c r="AT355" s="93" t="n">
        <f aca="false">IF(AB355="",0,IF(AB355="","",INDEX(시장분석!$AN:$AN,AB355)))</f>
        <v>5.8132022547434</v>
      </c>
      <c r="AU355" s="94" t="n">
        <f aca="false">IF(ISNUMBER(Z355),AT355/10000*MAX(Z355-1,0)*AA355*1000000,0)</f>
        <v>7641.84875010341</v>
      </c>
      <c r="AV355" s="94" t="n">
        <f aca="false">AO355+AU355</f>
        <v>255986.508770103</v>
      </c>
      <c r="AW355" s="43" t="str">
        <f aca="false">IF(Q355&lt;&gt;1,"",TRIM(IF(AD355=1,"FRN ","")&amp;IF(AND(AL355&gt;=10,AL355&lt;99),"BBB0미만 ","")&amp;IF(AJ355="","등급없음 ","")&amp;IF(K355&lt;&gt;1,"비USD ","")&amp;IF(AND(AB355="",Y355=0),"시장데이터없음 ","")&amp;IF(AND(ISNUMBER(U355),U355&lt;0),"만기경과 ","")))</f>
        <v/>
      </c>
      <c r="AX355" s="90" t="n">
        <f aca="false">IF(Q355&lt;&gt;1,1,IF(스프레드쇼크!$C$4="Y",INDEX(스프레드쇼크!$B$12:$L$16,IFERROR(MATCH(AH355,스프레드쇼크!$A$12:$A$16,0),MATCH("목록외",스프레드쇼크!$A$12:$A$16,0)),IFERROR(MATCH(AG355,스프레드쇼크!$B$11:$L$11,0),MATCH("목록외",스프레드쇼크!$B$11:$L$11,0))),1))</f>
        <v>1</v>
      </c>
      <c r="AY355" s="90" t="n">
        <f aca="false">IF(스프레드쇼크!$C$5="Y",IF(ISNUMBER(AF355),MIN(스프레드쇼크!$C$7,MAX(스프레드쇼크!$C$6,AF355/스프레드쇼크!$C$8)),1),1)</f>
        <v>0.274571169936761</v>
      </c>
      <c r="AZ355" s="94" t="n">
        <f aca="false">AN355*AX355*AY355</f>
        <v>491.114974908667</v>
      </c>
      <c r="BA355" s="90" t="n">
        <f aca="false">IF(ISNUMBER(G355),AA355*G355,0)</f>
        <v>24.834466002</v>
      </c>
      <c r="BB355" s="90" t="n">
        <f aca="false">IF(ISNUMBER(G355),AA355,0)</f>
        <v>4.74094</v>
      </c>
      <c r="BC355" s="90" t="n">
        <f aca="false">IF(AND(Y355=0,ISNUMBER(AF355)),AA355*AF355,0)</f>
        <v>86.06228382</v>
      </c>
      <c r="BD355" s="90" t="n">
        <f aca="false">IF(AND(Y355=0,ISNUMBER(AF355)),AA355,0)</f>
        <v>4.74094</v>
      </c>
      <c r="BE355" s="90" t="n">
        <f aca="false">IF(ISNUMBER(H355),AA355*H355,0)</f>
        <v>17.886618432</v>
      </c>
      <c r="BF355" s="90" t="n">
        <f aca="false">IF(ISNUMBER(H355),AA355,0)</f>
        <v>4.74094</v>
      </c>
      <c r="BG355" s="90" t="n">
        <f aca="false">IF(AND(Y355=0,ISNUMBER(AF355),ISNUMBER(Z355)),AA355*Z355,0)</f>
        <v>17.886618432</v>
      </c>
      <c r="BH355" s="90" t="n">
        <f aca="false">IF(AND(Y355=0,ISNUMBER(AF355),ISNUMBER(Z355)),AA355*AT355*MAX(Z355-1,0),0)</f>
        <v>76.4184875010341</v>
      </c>
      <c r="BI355" s="90" t="n">
        <f aca="false">IF(Y355=0,AA355,0)</f>
        <v>4.74094</v>
      </c>
    </row>
    <row r="356" customFormat="false" ht="15" hidden="false" customHeight="false" outlineLevel="0" collapsed="false">
      <c r="A356" s="83" t="str">
        <f aca="false">IFERROR(IF(INDEX(원자료_잔고!$A$1:$EZ$1500,설정!$L$5+ROW()-1,설정!$L$8)&amp;""="0","",INDEX(원자료_잔고!$A$1:$EZ$1500,설정!$L$5+ROW()-1,설정!$L$8)&amp;""),"")</f>
        <v>EIBKOR 4.375 01/13/36</v>
      </c>
      <c r="B356" s="83" t="str">
        <f aca="false">IFERROR(IF(INDEX(원자료_잔고!$A$1:$EZ$1500,설정!$L$5+ROW()-1,설정!$L$7)&amp;""="0","",INDEX(원자료_잔고!$A$1:$EZ$1500,설정!$L$5+ROW()-1,설정!$L$7)&amp;""),"")</f>
        <v>US302154ES40</v>
      </c>
      <c r="C356" s="83" t="str">
        <f aca="false">IFERROR(IF(INDEX(원자료_잔고!$A$1:$EZ$1500,설정!$L$5+ROW()-1,설정!$L$9)&amp;""="0","",INDEX(원자료_잔고!$A$1:$EZ$1500,설정!$L$5+ROW()-1,설정!$L$9)&amp;""),"")</f>
        <v>42003</v>
      </c>
      <c r="D35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6" s="84" t="n">
        <f aca="false">IFERROR(IF(ISNUMBER(INDEX(원자료_잔고!$A$1:$EZ$1500,설정!$L$5+ROW()-1,설정!$L$11)),INDEX(원자료_잔고!$A$1:$EZ$1500,설정!$L$5+ROW()-1,설정!$L$11),""),"")</f>
        <v>5000000</v>
      </c>
      <c r="F356" s="85" t="n">
        <f aca="false">IFERROR(IF(ISNUMBER(INDEX(원자료_잔고!$A$1:$EZ$1500,설정!$L$5+ROW()-1,설정!$L$12)),INDEX(원자료_잔고!$A$1:$EZ$1500,설정!$L$5+ROW()-1,설정!$L$12),""),"")</f>
        <v>91.5523</v>
      </c>
      <c r="G356" s="85" t="n">
        <f aca="false">IFERROR(IF(ISNUMBER(INDEX(원자료_잔고!$A$1:$EZ$1500,설정!$L$5+ROW()-1,설정!$L$13)),INDEX(원자료_잔고!$A$1:$EZ$1500,설정!$L$5+ROW()-1,설정!$L$13),""),"")</f>
        <v>5.5501</v>
      </c>
      <c r="H356" s="85" t="n">
        <f aca="false">IFERROR(IF(ISNUMBER(INDEX(원자료_잔고!$A$1:$EZ$1500,설정!$L$5+ROW()-1,설정!$L$14)),INDEX(원자료_잔고!$A$1:$EZ$1500,설정!$L$5+ROW()-1,설정!$L$14),""),"")</f>
        <v>7.2107</v>
      </c>
      <c r="I356" s="86" t="n">
        <f aca="false">IFERROR(IF(ISNUMBER(INDEX(원자료_잔고!$A$1:$EZ$1500,설정!$L$5+ROW()-1,설정!$L$15)),INDEX(원자료_잔고!$A$1:$EZ$1500,설정!$L$5+ROW()-1,설정!$L$15),""),"")</f>
        <v>49687</v>
      </c>
      <c r="J356" s="85" t="n">
        <f aca="false">IFERROR(IF(ISNUMBER(INDEX(원자료_잔고!$A$1:$EZ$1500,설정!$L$5+ROW()-1,설정!$L$16)),INDEX(원자료_잔고!$A$1:$EZ$1500,설정!$L$5+ROW()-1,설정!$L$16),""),"")</f>
        <v>4.375</v>
      </c>
      <c r="K356" s="87" t="n">
        <f aca="false">IFERROR(IF(ISNUMBER(INDEX(원자료_잔고!$A$1:$EZ$1500,설정!$L$5+ROW()-1,설정!$L$17)),INDEX(원자료_잔고!$A$1:$EZ$1500,설정!$L$5+ROW()-1,설정!$L$17),""),"")</f>
        <v>1</v>
      </c>
      <c r="L356" s="84" t="n">
        <f aca="false">IFERROR(IF(ISNUMBER(INDEX(원자료_잔고!$A$1:$EZ$1500,설정!$L$5+ROW()-1,설정!$L$18)),INDEX(원자료_잔고!$A$1:$EZ$1500,설정!$L$5+ROW()-1,설정!$L$18),""),"")</f>
        <v>4577615</v>
      </c>
      <c r="M356" s="88" t="n">
        <f aca="false">IFERROR(IF(ISNUMBER(INDEX(원자료_잔고!$A$1:$EZ$1500,설정!$L$5+ROW()-1,설정!$L$19)),INDEX(원자료_잔고!$A$1:$EZ$1500,설정!$L$5+ROW()-1,설정!$L$19),""),"")</f>
        <v>-328605.19</v>
      </c>
      <c r="N356" s="83" t="str">
        <f aca="false">IFERROR(IF(INDEX(원자료_잔고!$A$1:$EZ$1500,설정!$L$5+ROW()-1,설정!$L$21)&amp;""="0","",INDEX(원자료_잔고!$A$1:$EZ$1500,설정!$L$5+ROW()-1,설정!$L$21)&amp;""),"")</f>
        <v>AA</v>
      </c>
      <c r="O356" s="83" t="str">
        <f aca="false">IFERROR(IF(INDEX(원자료_잔고!$A$1:$EZ$1500,설정!$L$5+ROW()-1,설정!$L$22)&amp;""="0","",INDEX(원자료_잔고!$A$1:$EZ$1500,설정!$L$5+ROW()-1,설정!$L$22)&amp;""),"")</f>
        <v/>
      </c>
      <c r="P356" s="83" t="str">
        <f aca="false">IFERROR(IF(INDEX(원자료_잔고!$A$1:$EZ$1500,설정!$L$5+ROW()-1,설정!$L$23)&amp;""="0","",INDEX(원자료_잔고!$A$1:$EZ$1500,설정!$L$5+ROW()-1,설정!$L$23)&amp;""),"")</f>
        <v>AA-</v>
      </c>
      <c r="Q356" s="89" t="n">
        <f aca="false">IF(AND($A356&lt;&gt;"",ISNUMBER(E356)),IF(E356&gt;0,1,0),0)</f>
        <v>1</v>
      </c>
      <c r="R356" s="43" t="str">
        <f aca="false">IF(Q356=1,UPPER(LEFT($A356,FIND(" ",$A356&amp;" ")-1)),"")</f>
        <v>EIBKOR</v>
      </c>
      <c r="S356" s="89" t="n">
        <f aca="false">IF(Q356=1,IF(OR(ISNUMBER(SEARCH("Float",$A356)),ISNUMBER(SEARCH("FRN",$A356))),1,0),0)</f>
        <v>0</v>
      </c>
      <c r="T356" s="43" t="str">
        <f aca="false">IF(AND(Q356=1,ISNUMBER(I356)),TEXT(I356,"yyyymmdd")&amp;"|"&amp;IF(S356=1,"F",TEXT(J356,"0.000")),"")</f>
        <v>20360113|4.375</v>
      </c>
      <c r="U356" s="90" t="n">
        <f aca="false">IF(AND(Q356=1,ISNUMBER(I356)),(I356-설정!$C$4)/365.25,"")</f>
        <v>9.28405201916496</v>
      </c>
      <c r="V356" s="43" t="str">
        <f aca="false">IF(Q356&lt;&gt;1,"",IF(ISNUMBER(U356),IF(U356&lt;=1,"1년 이하",IF(U356&lt;=2,"1-2년",IF(U356&lt;=3,"2-3년",IF(U356&lt;=4,"3-4년",IF(U356&lt;=5,"4-5년",IF(U356&lt;=7,"5-7년",IF(U356&lt;=10,"7-10년",IF(U356&lt;=20,"10-20년","20년 이상")))))))),"미분류"))</f>
        <v>7-10년</v>
      </c>
      <c r="W356" s="43" t="str">
        <f aca="false">IF(Q356&lt;&gt;1,"",IF(AB356&lt;&gt;"",INDEX(시장분석!$C:$C,AB356),IF(K356=1,"USD","비USD")))</f>
        <v>USD</v>
      </c>
      <c r="X356" s="91" t="n">
        <f aca="false">IF(Q356=1,E356*K356/1000000,0)</f>
        <v>5</v>
      </c>
      <c r="Y356" s="89" t="n">
        <f aca="false">IF(R356="T",1,0)</f>
        <v>0</v>
      </c>
      <c r="Z356" s="92" t="n">
        <f aca="false">IF(Q356&lt;&gt;1,"",IF(AD356=1,IF(ISNUMBER(U356),MAX(U356,0),H356),H356))</f>
        <v>7.2107</v>
      </c>
      <c r="AA356" s="91" t="n">
        <f aca="false">IF(Q356=1,IF(ISNUMBER(L356),L356,0)*K356/1000000,0)</f>
        <v>4.577615</v>
      </c>
      <c r="AB356" s="89" t="n">
        <f aca="false">IF(Q356&lt;&gt;1,"",IFERROR(MATCH(VLOOKUP(B356,매핑!$H$4:$I$15,2,0),시장분석!$A$2:$A$601,0)+1,IFERROR(MATCH(R356&amp;"|"&amp;T356,시장분석!$V$2:$V$601,0)+1,IF(COUNTIF(시장분석!$U$2:$U$601,T356)=1,MATCH(T356,시장분석!$U$2:$U$601,0)+1,""))))</f>
        <v>37</v>
      </c>
      <c r="AC356" s="89" t="n">
        <f aca="false">IF(Q356&lt;&gt;1,0,IF(OR(설정!$C$5="전체",AND(설정!$C$5="선택펀드",IFERROR(COUNTIFS(설정!$F$16:$F$36,C356,설정!$G$16:$G$36,"Y")+COUNTIFS(설정!$F$16:$F$36,VALUE(C356),설정!$G$16:$G$36,"Y"),0)&gt;0),C356&amp;""=설정!$C$5&amp;""),1,0))</f>
        <v>0</v>
      </c>
      <c r="AD356" s="89" t="n">
        <f aca="false">IF(Q356&lt;&gt;1,0,IF(OR(S356=1,IF(AB356="",FALSE(),INDEX(시장분석!$R:$R,AB356)=1)),1,0))</f>
        <v>0</v>
      </c>
      <c r="AE356" s="43" t="str">
        <f aca="false">IF(AB356="","",INDEX(시장분석!$A:$A,AB356))</f>
        <v>EIBKOR 4 3/8 01/13/36</v>
      </c>
      <c r="AF356" s="93" t="n">
        <f aca="false">IF(AB356="","",IF(ISNUMBER(IF(AB356="","",INDEX(시장분석!$E:$E,AB356))),IF(AB356="","",INDEX(시장분석!$E:$E,AB356)),""))</f>
        <v>32.403</v>
      </c>
      <c r="AG356" s="43" t="str">
        <f aca="false">IF(Q356&lt;&gt;1,"",IF(AB356&lt;&gt;"",IF(AB356="","",INDEX(시장분석!$L:$L,AB356)),IFERROR(IF(VLOOKUP(R356,매핑!$A$4:$E$92,5,0)="","미분류",VLOOKUP(R356,매핑!$A$4:$E$92,5,0)),"미분류")))</f>
        <v>정부</v>
      </c>
      <c r="AH356" s="43" t="str">
        <f aca="false">IF(Q356&lt;&gt;1,"",IF(AB356&lt;&gt;"",IF(AB356="","",INDEX(시장분석!$N:$N,AB356)),IFERROR(IF(VLOOKUP(R356,매핑!$A$4:$E$92,4,0)="","미분류",VLOOKUP(R356,매핑!$A$4:$E$92,4,0)),"미분류")))</f>
        <v>아시아/기타</v>
      </c>
      <c r="AI356" s="43" t="str">
        <f aca="false">IF(Q356&lt;&gt;1,"",IFERROR(IF(VLOOKUP(R356,매핑!$A$4:$E$92,3,0)="","미분류",VLOOKUP(R356,매핑!$A$4:$E$92,3,0)),IF(AB356&lt;&gt;"",IF(AB356="","",INDEX(시장분석!$W:$W,AB356)),"미분류")))</f>
        <v>한국</v>
      </c>
      <c r="AJ356" s="43" t="str">
        <f aca="false">IF(Q356&lt;&gt;1,"",IFERROR(VLOOKUP(IF(N356&lt;&gt;"",N356,IF(P356&lt;&gt;"",P356,O356)),설정!$A$15:$D$47,2,0),""))</f>
        <v>AA</v>
      </c>
      <c r="AK356" s="43" t="str">
        <f aca="false">IF(Q356&lt;&gt;1,"",IF(AJ356="","무등급",IFERROR(VLOOKUP(AJ356,설정!$A$15:$D$47,3,0),"무등급")))</f>
        <v>AA이상</v>
      </c>
      <c r="AL356" s="89" t="n">
        <f aca="false">IF(AJ356="",99,IFERROR(VLOOKUP(AJ356,설정!$A$15:$D$47,4,0),99))</f>
        <v>3</v>
      </c>
      <c r="AM356" s="94" t="n">
        <f aca="false">IF(ISNUMBER(H356),AA356*1000000*H356/10000,0)</f>
        <v>3300.78084805</v>
      </c>
      <c r="AN356" s="94" t="n">
        <f aca="false">IF(OR(Y356=1,NOT(ISNUMBER(Z356))),0,AA356*1000000*Z356/10000)</f>
        <v>3300.78084805</v>
      </c>
      <c r="AO356" s="94" t="n">
        <f aca="false">IF(ISNUMBER(G356),AA356*1000000*G356/100,0)</f>
        <v>254062.210115</v>
      </c>
      <c r="AP356" s="94" t="n">
        <f aca="false">IF(ISNUMBER(M356),M356*K356,0)</f>
        <v>-328605.19</v>
      </c>
      <c r="AQ356" s="95" t="n">
        <f aca="false">IF(AB356="","",INDEX(시장분석!$AK:$AK,AB356))</f>
        <v>-0.455353219650429</v>
      </c>
      <c r="AR356" s="43" t="str">
        <f aca="false">IF(AB356="","-",IF(AB356="","",INDEX(시장분석!$AL:$AL,AB356)))</f>
        <v>Fair</v>
      </c>
      <c r="AS356" s="96" t="n">
        <f aca="false">IF(AB356="","",INDEX(시장분석!$AJ:$AJ,AB356))</f>
        <v>-6.23516261736951</v>
      </c>
      <c r="AT356" s="93" t="n">
        <f aca="false">IF(AB356="",0,IF(AB356="","",INDEX(시장분석!$AN:$AN,AB356)))</f>
        <v>2.81921315074074</v>
      </c>
      <c r="AU356" s="94" t="n">
        <f aca="false">IF(ISNUMBER(Z356),AT356/10000*MAX(Z356-1,0)*AA356*1000000,0)</f>
        <v>8015.07753383292</v>
      </c>
      <c r="AV356" s="94" t="n">
        <f aca="false">AO356+AU356</f>
        <v>262077.287648833</v>
      </c>
      <c r="AW356" s="43" t="str">
        <f aca="false">IF(Q356&lt;&gt;1,"",TRIM(IF(AD356=1,"FRN ","")&amp;IF(AND(AL356&gt;=10,AL356&lt;99),"BBB0미만 ","")&amp;IF(AJ356="","등급없음 ","")&amp;IF(K356&lt;&gt;1,"비USD ","")&amp;IF(AND(AB356="",Y356=0),"시장데이터없음 ","")&amp;IF(AND(ISNUMBER(U356),U356&lt;0),"만기경과 ","")))</f>
        <v/>
      </c>
      <c r="AX356" s="90" t="n">
        <f aca="false">IF(Q356&lt;&gt;1,1,IF(스프레드쇼크!$C$4="Y",INDEX(스프레드쇼크!$B$12:$L$16,IFERROR(MATCH(AH356,스프레드쇼크!$A$12:$A$16,0),MATCH("목록외",스프레드쇼크!$A$12:$A$16,0)),IFERROR(MATCH(AG356,스프레드쇼크!$B$11:$L$11,0),MATCH("목록외",스프레드쇼크!$B$11:$L$11,0))),1))</f>
        <v>1</v>
      </c>
      <c r="AY356" s="90" t="n">
        <f aca="false">IF(스프레드쇼크!$C$5="Y",IF(ISNUMBER(AF356),MIN(스프레드쇼크!$C$7,MAX(스프레드쇼크!$C$6,AF356/스프레드쇼크!$C$8)),1),1)</f>
        <v>0.490107950171369</v>
      </c>
      <c r="AZ356" s="94" t="n">
        <f aca="false">AN356*AX356*AY356</f>
        <v>1617.7389354027</v>
      </c>
      <c r="BA356" s="90" t="n">
        <f aca="false">IF(ISNUMBER(G356),AA356*G356,0)</f>
        <v>25.4062210115</v>
      </c>
      <c r="BB356" s="90" t="n">
        <f aca="false">IF(ISNUMBER(G356),AA356,0)</f>
        <v>4.577615</v>
      </c>
      <c r="BC356" s="90" t="n">
        <f aca="false">IF(AND(Y356=0,ISNUMBER(AF356)),AA356*AF356,0)</f>
        <v>148.328458845</v>
      </c>
      <c r="BD356" s="90" t="n">
        <f aca="false">IF(AND(Y356=0,ISNUMBER(AF356)),AA356,0)</f>
        <v>4.577615</v>
      </c>
      <c r="BE356" s="90" t="n">
        <f aca="false">IF(ISNUMBER(H356),AA356*H356,0)</f>
        <v>33.0078084805</v>
      </c>
      <c r="BF356" s="90" t="n">
        <f aca="false">IF(ISNUMBER(H356),AA356,0)</f>
        <v>4.577615</v>
      </c>
      <c r="BG356" s="90" t="n">
        <f aca="false">IF(AND(Y356=0,ISNUMBER(AF356),ISNUMBER(Z356)),AA356*Z356,0)</f>
        <v>33.0078084805</v>
      </c>
      <c r="BH356" s="90" t="n">
        <f aca="false">IF(AND(Y356=0,ISNUMBER(AF356),ISNUMBER(Z356)),AA356*AT356*MAX(Z356-1,0),0)</f>
        <v>80.1507753383292</v>
      </c>
      <c r="BI356" s="90" t="n">
        <f aca="false">IF(Y356=0,AA356,0)</f>
        <v>4.577615</v>
      </c>
    </row>
    <row r="357" customFormat="false" ht="15" hidden="false" customHeight="false" outlineLevel="0" collapsed="false">
      <c r="A357" s="83" t="str">
        <f aca="false">IFERROR(IF(INDEX(원자료_잔고!$A$1:$EZ$1500,설정!$L$5+ROW()-1,설정!$L$8)&amp;""="0","",INDEX(원자료_잔고!$A$1:$EZ$1500,설정!$L$5+ROW()-1,설정!$L$8)&amp;""),"")</f>
        <v>EIBKOR 4.375 01/13/36</v>
      </c>
      <c r="B357" s="83" t="str">
        <f aca="false">IFERROR(IF(INDEX(원자료_잔고!$A$1:$EZ$1500,설정!$L$5+ROW()-1,설정!$L$7)&amp;""="0","",INDEX(원자료_잔고!$A$1:$EZ$1500,설정!$L$5+ROW()-1,설정!$L$7)&amp;""),"")</f>
        <v>US302154ES40</v>
      </c>
      <c r="C357" s="83" t="str">
        <f aca="false">IFERROR(IF(INDEX(원자료_잔고!$A$1:$EZ$1500,설정!$L$5+ROW()-1,설정!$L$9)&amp;""="0","",INDEX(원자료_잔고!$A$1:$EZ$1500,설정!$L$5+ROW()-1,설정!$L$9)&amp;""),"")</f>
        <v>42003</v>
      </c>
      <c r="D35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7" s="84" t="n">
        <f aca="false">IFERROR(IF(ISNUMBER(INDEX(원자료_잔고!$A$1:$EZ$1500,설정!$L$5+ROW()-1,설정!$L$11)),INDEX(원자료_잔고!$A$1:$EZ$1500,설정!$L$5+ROW()-1,설정!$L$11),""),"")</f>
        <v>5000000</v>
      </c>
      <c r="F357" s="85" t="n">
        <f aca="false">IFERROR(IF(ISNUMBER(INDEX(원자료_잔고!$A$1:$EZ$1500,설정!$L$5+ROW()-1,설정!$L$12)),INDEX(원자료_잔고!$A$1:$EZ$1500,설정!$L$5+ROW()-1,설정!$L$12),""),"")</f>
        <v>91.5523</v>
      </c>
      <c r="G357" s="85" t="n">
        <f aca="false">IFERROR(IF(ISNUMBER(INDEX(원자료_잔고!$A$1:$EZ$1500,설정!$L$5+ROW()-1,설정!$L$13)),INDEX(원자료_잔고!$A$1:$EZ$1500,설정!$L$5+ROW()-1,설정!$L$13),""),"")</f>
        <v>5.5501</v>
      </c>
      <c r="H357" s="85" t="n">
        <f aca="false">IFERROR(IF(ISNUMBER(INDEX(원자료_잔고!$A$1:$EZ$1500,설정!$L$5+ROW()-1,설정!$L$14)),INDEX(원자료_잔고!$A$1:$EZ$1500,설정!$L$5+ROW()-1,설정!$L$14),""),"")</f>
        <v>7.2107</v>
      </c>
      <c r="I357" s="86" t="n">
        <f aca="false">IFERROR(IF(ISNUMBER(INDEX(원자료_잔고!$A$1:$EZ$1500,설정!$L$5+ROW()-1,설정!$L$15)),INDEX(원자료_잔고!$A$1:$EZ$1500,설정!$L$5+ROW()-1,설정!$L$15),""),"")</f>
        <v>49687</v>
      </c>
      <c r="J357" s="85" t="n">
        <f aca="false">IFERROR(IF(ISNUMBER(INDEX(원자료_잔고!$A$1:$EZ$1500,설정!$L$5+ROW()-1,설정!$L$16)),INDEX(원자료_잔고!$A$1:$EZ$1500,설정!$L$5+ROW()-1,설정!$L$16),""),"")</f>
        <v>4.375</v>
      </c>
      <c r="K357" s="87" t="n">
        <f aca="false">IFERROR(IF(ISNUMBER(INDEX(원자료_잔고!$A$1:$EZ$1500,설정!$L$5+ROW()-1,설정!$L$17)),INDEX(원자료_잔고!$A$1:$EZ$1500,설정!$L$5+ROW()-1,설정!$L$17),""),"")</f>
        <v>1</v>
      </c>
      <c r="L357" s="84" t="n">
        <f aca="false">IFERROR(IF(ISNUMBER(INDEX(원자료_잔고!$A$1:$EZ$1500,설정!$L$5+ROW()-1,설정!$L$18)),INDEX(원자료_잔고!$A$1:$EZ$1500,설정!$L$5+ROW()-1,설정!$L$18),""),"")</f>
        <v>4577615</v>
      </c>
      <c r="M357" s="88" t="n">
        <f aca="false">IFERROR(IF(ISNUMBER(INDEX(원자료_잔고!$A$1:$EZ$1500,설정!$L$5+ROW()-1,설정!$L$19)),INDEX(원자료_잔고!$A$1:$EZ$1500,설정!$L$5+ROW()-1,설정!$L$19),""),"")</f>
        <v>-271569.74</v>
      </c>
      <c r="N357" s="83" t="str">
        <f aca="false">IFERROR(IF(INDEX(원자료_잔고!$A$1:$EZ$1500,설정!$L$5+ROW()-1,설정!$L$21)&amp;""="0","",INDEX(원자료_잔고!$A$1:$EZ$1500,설정!$L$5+ROW()-1,설정!$L$21)&amp;""),"")</f>
        <v>AA</v>
      </c>
      <c r="O357" s="83" t="str">
        <f aca="false">IFERROR(IF(INDEX(원자료_잔고!$A$1:$EZ$1500,설정!$L$5+ROW()-1,설정!$L$22)&amp;""="0","",INDEX(원자료_잔고!$A$1:$EZ$1500,설정!$L$5+ROW()-1,설정!$L$22)&amp;""),"")</f>
        <v/>
      </c>
      <c r="P357" s="83" t="str">
        <f aca="false">IFERROR(IF(INDEX(원자료_잔고!$A$1:$EZ$1500,설정!$L$5+ROW()-1,설정!$L$23)&amp;""="0","",INDEX(원자료_잔고!$A$1:$EZ$1500,설정!$L$5+ROW()-1,설정!$L$23)&amp;""),"")</f>
        <v>AA-</v>
      </c>
      <c r="Q357" s="89" t="n">
        <f aca="false">IF(AND($A357&lt;&gt;"",ISNUMBER(E357)),IF(E357&gt;0,1,0),0)</f>
        <v>1</v>
      </c>
      <c r="R357" s="43" t="str">
        <f aca="false">IF(Q357=1,UPPER(LEFT($A357,FIND(" ",$A357&amp;" ")-1)),"")</f>
        <v>EIBKOR</v>
      </c>
      <c r="S357" s="89" t="n">
        <f aca="false">IF(Q357=1,IF(OR(ISNUMBER(SEARCH("Float",$A357)),ISNUMBER(SEARCH("FRN",$A357))),1,0),0)</f>
        <v>0</v>
      </c>
      <c r="T357" s="43" t="str">
        <f aca="false">IF(AND(Q357=1,ISNUMBER(I357)),TEXT(I357,"yyyymmdd")&amp;"|"&amp;IF(S357=1,"F",TEXT(J357,"0.000")),"")</f>
        <v>20360113|4.375</v>
      </c>
      <c r="U357" s="90" t="n">
        <f aca="false">IF(AND(Q357=1,ISNUMBER(I357)),(I357-설정!$C$4)/365.25,"")</f>
        <v>9.28405201916496</v>
      </c>
      <c r="V357" s="43" t="str">
        <f aca="false">IF(Q357&lt;&gt;1,"",IF(ISNUMBER(U357),IF(U357&lt;=1,"1년 이하",IF(U357&lt;=2,"1-2년",IF(U357&lt;=3,"2-3년",IF(U357&lt;=4,"3-4년",IF(U357&lt;=5,"4-5년",IF(U357&lt;=7,"5-7년",IF(U357&lt;=10,"7-10년",IF(U357&lt;=20,"10-20년","20년 이상")))))))),"미분류"))</f>
        <v>7-10년</v>
      </c>
      <c r="W357" s="43" t="str">
        <f aca="false">IF(Q357&lt;&gt;1,"",IF(AB357&lt;&gt;"",INDEX(시장분석!$C:$C,AB357),IF(K357=1,"USD","비USD")))</f>
        <v>USD</v>
      </c>
      <c r="X357" s="91" t="n">
        <f aca="false">IF(Q357=1,E357*K357/1000000,0)</f>
        <v>5</v>
      </c>
      <c r="Y357" s="89" t="n">
        <f aca="false">IF(R357="T",1,0)</f>
        <v>0</v>
      </c>
      <c r="Z357" s="92" t="n">
        <f aca="false">IF(Q357&lt;&gt;1,"",IF(AD357=1,IF(ISNUMBER(U357),MAX(U357,0),H357),H357))</f>
        <v>7.2107</v>
      </c>
      <c r="AA357" s="91" t="n">
        <f aca="false">IF(Q357=1,IF(ISNUMBER(L357),L357,0)*K357/1000000,0)</f>
        <v>4.577615</v>
      </c>
      <c r="AB357" s="89" t="n">
        <f aca="false">IF(Q357&lt;&gt;1,"",IFERROR(MATCH(VLOOKUP(B357,매핑!$H$4:$I$15,2,0),시장분석!$A$2:$A$601,0)+1,IFERROR(MATCH(R357&amp;"|"&amp;T357,시장분석!$V$2:$V$601,0)+1,IF(COUNTIF(시장분석!$U$2:$U$601,T357)=1,MATCH(T357,시장분석!$U$2:$U$601,0)+1,""))))</f>
        <v>37</v>
      </c>
      <c r="AC357" s="89" t="n">
        <f aca="false">IF(Q357&lt;&gt;1,0,IF(OR(설정!$C$5="전체",AND(설정!$C$5="선택펀드",IFERROR(COUNTIFS(설정!$F$16:$F$36,C357,설정!$G$16:$G$36,"Y")+COUNTIFS(설정!$F$16:$F$36,VALUE(C357),설정!$G$16:$G$36,"Y"),0)&gt;0),C357&amp;""=설정!$C$5&amp;""),1,0))</f>
        <v>0</v>
      </c>
      <c r="AD357" s="89" t="n">
        <f aca="false">IF(Q357&lt;&gt;1,0,IF(OR(S357=1,IF(AB357="",FALSE(),INDEX(시장분석!$R:$R,AB357)=1)),1,0))</f>
        <v>0</v>
      </c>
      <c r="AE357" s="43" t="str">
        <f aca="false">IF(AB357="","",INDEX(시장분석!$A:$A,AB357))</f>
        <v>EIBKOR 4 3/8 01/13/36</v>
      </c>
      <c r="AF357" s="93" t="n">
        <f aca="false">IF(AB357="","",IF(ISNUMBER(IF(AB357="","",INDEX(시장분석!$E:$E,AB357))),IF(AB357="","",INDEX(시장분석!$E:$E,AB357)),""))</f>
        <v>32.403</v>
      </c>
      <c r="AG357" s="43" t="str">
        <f aca="false">IF(Q357&lt;&gt;1,"",IF(AB357&lt;&gt;"",IF(AB357="","",INDEX(시장분석!$L:$L,AB357)),IFERROR(IF(VLOOKUP(R357,매핑!$A$4:$E$92,5,0)="","미분류",VLOOKUP(R357,매핑!$A$4:$E$92,5,0)),"미분류")))</f>
        <v>정부</v>
      </c>
      <c r="AH357" s="43" t="str">
        <f aca="false">IF(Q357&lt;&gt;1,"",IF(AB357&lt;&gt;"",IF(AB357="","",INDEX(시장분석!$N:$N,AB357)),IFERROR(IF(VLOOKUP(R357,매핑!$A$4:$E$92,4,0)="","미분류",VLOOKUP(R357,매핑!$A$4:$E$92,4,0)),"미분류")))</f>
        <v>아시아/기타</v>
      </c>
      <c r="AI357" s="43" t="str">
        <f aca="false">IF(Q357&lt;&gt;1,"",IFERROR(IF(VLOOKUP(R357,매핑!$A$4:$E$92,3,0)="","미분류",VLOOKUP(R357,매핑!$A$4:$E$92,3,0)),IF(AB357&lt;&gt;"",IF(AB357="","",INDEX(시장분석!$W:$W,AB357)),"미분류")))</f>
        <v>한국</v>
      </c>
      <c r="AJ357" s="43" t="str">
        <f aca="false">IF(Q357&lt;&gt;1,"",IFERROR(VLOOKUP(IF(N357&lt;&gt;"",N357,IF(P357&lt;&gt;"",P357,O357)),설정!$A$15:$D$47,2,0),""))</f>
        <v>AA</v>
      </c>
      <c r="AK357" s="43" t="str">
        <f aca="false">IF(Q357&lt;&gt;1,"",IF(AJ357="","무등급",IFERROR(VLOOKUP(AJ357,설정!$A$15:$D$47,3,0),"무등급")))</f>
        <v>AA이상</v>
      </c>
      <c r="AL357" s="89" t="n">
        <f aca="false">IF(AJ357="",99,IFERROR(VLOOKUP(AJ357,설정!$A$15:$D$47,4,0),99))</f>
        <v>3</v>
      </c>
      <c r="AM357" s="94" t="n">
        <f aca="false">IF(ISNUMBER(H357),AA357*1000000*H357/10000,0)</f>
        <v>3300.78084805</v>
      </c>
      <c r="AN357" s="94" t="n">
        <f aca="false">IF(OR(Y357=1,NOT(ISNUMBER(Z357))),0,AA357*1000000*Z357/10000)</f>
        <v>3300.78084805</v>
      </c>
      <c r="AO357" s="94" t="n">
        <f aca="false">IF(ISNUMBER(G357),AA357*1000000*G357/100,0)</f>
        <v>254062.210115</v>
      </c>
      <c r="AP357" s="94" t="n">
        <f aca="false">IF(ISNUMBER(M357),M357*K357,0)</f>
        <v>-271569.74</v>
      </c>
      <c r="AQ357" s="95" t="n">
        <f aca="false">IF(AB357="","",INDEX(시장분석!$AK:$AK,AB357))</f>
        <v>-0.455353219650429</v>
      </c>
      <c r="AR357" s="43" t="str">
        <f aca="false">IF(AB357="","-",IF(AB357="","",INDEX(시장분석!$AL:$AL,AB357)))</f>
        <v>Fair</v>
      </c>
      <c r="AS357" s="96" t="n">
        <f aca="false">IF(AB357="","",INDEX(시장분석!$AJ:$AJ,AB357))</f>
        <v>-6.23516261736951</v>
      </c>
      <c r="AT357" s="93" t="n">
        <f aca="false">IF(AB357="",0,IF(AB357="","",INDEX(시장분석!$AN:$AN,AB357)))</f>
        <v>2.81921315074074</v>
      </c>
      <c r="AU357" s="94" t="n">
        <f aca="false">IF(ISNUMBER(Z357),AT357/10000*MAX(Z357-1,0)*AA357*1000000,0)</f>
        <v>8015.07753383292</v>
      </c>
      <c r="AV357" s="94" t="n">
        <f aca="false">AO357+AU357</f>
        <v>262077.287648833</v>
      </c>
      <c r="AW357" s="43" t="str">
        <f aca="false">IF(Q357&lt;&gt;1,"",TRIM(IF(AD357=1,"FRN ","")&amp;IF(AND(AL357&gt;=10,AL357&lt;99),"BBB0미만 ","")&amp;IF(AJ357="","등급없음 ","")&amp;IF(K357&lt;&gt;1,"비USD ","")&amp;IF(AND(AB357="",Y357=0),"시장데이터없음 ","")&amp;IF(AND(ISNUMBER(U357),U357&lt;0),"만기경과 ","")))</f>
        <v/>
      </c>
      <c r="AX357" s="90" t="n">
        <f aca="false">IF(Q357&lt;&gt;1,1,IF(스프레드쇼크!$C$4="Y",INDEX(스프레드쇼크!$B$12:$L$16,IFERROR(MATCH(AH357,스프레드쇼크!$A$12:$A$16,0),MATCH("목록외",스프레드쇼크!$A$12:$A$16,0)),IFERROR(MATCH(AG357,스프레드쇼크!$B$11:$L$11,0),MATCH("목록외",스프레드쇼크!$B$11:$L$11,0))),1))</f>
        <v>1</v>
      </c>
      <c r="AY357" s="90" t="n">
        <f aca="false">IF(스프레드쇼크!$C$5="Y",IF(ISNUMBER(AF357),MIN(스프레드쇼크!$C$7,MAX(스프레드쇼크!$C$6,AF357/스프레드쇼크!$C$8)),1),1)</f>
        <v>0.490107950171369</v>
      </c>
      <c r="AZ357" s="94" t="n">
        <f aca="false">AN357*AX357*AY357</f>
        <v>1617.7389354027</v>
      </c>
      <c r="BA357" s="90" t="n">
        <f aca="false">IF(ISNUMBER(G357),AA357*G357,0)</f>
        <v>25.4062210115</v>
      </c>
      <c r="BB357" s="90" t="n">
        <f aca="false">IF(ISNUMBER(G357),AA357,0)</f>
        <v>4.577615</v>
      </c>
      <c r="BC357" s="90" t="n">
        <f aca="false">IF(AND(Y357=0,ISNUMBER(AF357)),AA357*AF357,0)</f>
        <v>148.328458845</v>
      </c>
      <c r="BD357" s="90" t="n">
        <f aca="false">IF(AND(Y357=0,ISNUMBER(AF357)),AA357,0)</f>
        <v>4.577615</v>
      </c>
      <c r="BE357" s="90" t="n">
        <f aca="false">IF(ISNUMBER(H357),AA357*H357,0)</f>
        <v>33.0078084805</v>
      </c>
      <c r="BF357" s="90" t="n">
        <f aca="false">IF(ISNUMBER(H357),AA357,0)</f>
        <v>4.577615</v>
      </c>
      <c r="BG357" s="90" t="n">
        <f aca="false">IF(AND(Y357=0,ISNUMBER(AF357),ISNUMBER(Z357)),AA357*Z357,0)</f>
        <v>33.0078084805</v>
      </c>
      <c r="BH357" s="90" t="n">
        <f aca="false">IF(AND(Y357=0,ISNUMBER(AF357),ISNUMBER(Z357)),AA357*AT357*MAX(Z357-1,0),0)</f>
        <v>80.1507753383292</v>
      </c>
      <c r="BI357" s="90" t="n">
        <f aca="false">IF(Y357=0,AA357,0)</f>
        <v>4.577615</v>
      </c>
    </row>
    <row r="358" customFormat="false" ht="15" hidden="false" customHeight="false" outlineLevel="0" collapsed="false">
      <c r="A358" s="83" t="str">
        <f aca="false">IFERROR(IF(INDEX(원자료_잔고!$A$1:$EZ$1500,설정!$L$5+ROW()-1,설정!$L$8)&amp;""="0","",INDEX(원자료_잔고!$A$1:$EZ$1500,설정!$L$5+ROW()-1,설정!$L$8)&amp;""),"")</f>
        <v>EIBKOR 4.375 07/20/29</v>
      </c>
      <c r="B358" s="83" t="str">
        <f aca="false">IFERROR(IF(INDEX(원자료_잔고!$A$1:$EZ$1500,설정!$L$5+ROW()-1,설정!$L$7)&amp;""="0","",INDEX(원자료_잔고!$A$1:$EZ$1500,설정!$L$5+ROW()-1,설정!$L$7)&amp;""),"")</f>
        <v>US302154EV78</v>
      </c>
      <c r="C358" s="83" t="str">
        <f aca="false">IFERROR(IF(INDEX(원자료_잔고!$A$1:$EZ$1500,설정!$L$5+ROW()-1,설정!$L$9)&amp;""="0","",INDEX(원자료_잔고!$A$1:$EZ$1500,설정!$L$5+ROW()-1,설정!$L$9)&amp;""),"")</f>
        <v>42003</v>
      </c>
      <c r="D35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8" s="84" t="n">
        <f aca="false">IFERROR(IF(ISNUMBER(INDEX(원자료_잔고!$A$1:$EZ$1500,설정!$L$5+ROW()-1,설정!$L$11)),INDEX(원자료_잔고!$A$1:$EZ$1500,설정!$L$5+ROW()-1,설정!$L$11),""),"")</f>
        <v>500000</v>
      </c>
      <c r="F358" s="85" t="n">
        <f aca="false">IFERROR(IF(ISNUMBER(INDEX(원자료_잔고!$A$1:$EZ$1500,설정!$L$5+ROW()-1,설정!$L$12)),INDEX(원자료_잔고!$A$1:$EZ$1500,설정!$L$5+ROW()-1,설정!$L$12),""),"")</f>
        <v>98.2669</v>
      </c>
      <c r="G358" s="85" t="n">
        <f aca="false">IFERROR(IF(ISNUMBER(INDEX(원자료_잔고!$A$1:$EZ$1500,설정!$L$5+ROW()-1,설정!$L$13)),INDEX(원자료_잔고!$A$1:$EZ$1500,설정!$L$5+ROW()-1,설정!$L$13),""),"")</f>
        <v>5.0424</v>
      </c>
      <c r="H358" s="85" t="n">
        <f aca="false">IFERROR(IF(ISNUMBER(INDEX(원자료_잔고!$A$1:$EZ$1500,설정!$L$5+ROW()-1,설정!$L$14)),INDEX(원자료_잔고!$A$1:$EZ$1500,설정!$L$5+ROW()-1,설정!$L$14),""),"")</f>
        <v>2.533</v>
      </c>
      <c r="I358" s="86" t="n">
        <f aca="false">IFERROR(IF(ISNUMBER(INDEX(원자료_잔고!$A$1:$EZ$1500,설정!$L$5+ROW()-1,설정!$L$15)),INDEX(원자료_잔고!$A$1:$EZ$1500,설정!$L$5+ROW()-1,설정!$L$15),""),"")</f>
        <v>47319</v>
      </c>
      <c r="J358" s="85" t="n">
        <f aca="false">IFERROR(IF(ISNUMBER(INDEX(원자료_잔고!$A$1:$EZ$1500,설정!$L$5+ROW()-1,설정!$L$16)),INDEX(원자료_잔고!$A$1:$EZ$1500,설정!$L$5+ROW()-1,설정!$L$16),""),"")</f>
        <v>4.375</v>
      </c>
      <c r="K358" s="87" t="n">
        <f aca="false">IFERROR(IF(ISNUMBER(INDEX(원자료_잔고!$A$1:$EZ$1500,설정!$L$5+ROW()-1,설정!$L$17)),INDEX(원자료_잔고!$A$1:$EZ$1500,설정!$L$5+ROW()-1,설정!$L$17),""),"")</f>
        <v>1</v>
      </c>
      <c r="L358" s="84" t="n">
        <f aca="false">IFERROR(IF(ISNUMBER(INDEX(원자료_잔고!$A$1:$EZ$1500,설정!$L$5+ROW()-1,설정!$L$18)),INDEX(원자료_잔고!$A$1:$EZ$1500,설정!$L$5+ROW()-1,설정!$L$18),""),"")</f>
        <v>491334.5</v>
      </c>
      <c r="M358" s="88" t="n">
        <f aca="false">IFERROR(IF(ISNUMBER(INDEX(원자료_잔고!$A$1:$EZ$1500,설정!$L$5+ROW()-1,설정!$L$19)),INDEX(원자료_잔고!$A$1:$EZ$1500,설정!$L$5+ROW()-1,설정!$L$19),""),"")</f>
        <v>-7203.71</v>
      </c>
      <c r="N358" s="83" t="str">
        <f aca="false">IFERROR(IF(INDEX(원자료_잔고!$A$1:$EZ$1500,설정!$L$5+ROW()-1,설정!$L$21)&amp;""="0","",INDEX(원자료_잔고!$A$1:$EZ$1500,설정!$L$5+ROW()-1,설정!$L$21)&amp;""),"")</f>
        <v>AA</v>
      </c>
      <c r="O358" s="83" t="str">
        <f aca="false">IFERROR(IF(INDEX(원자료_잔고!$A$1:$EZ$1500,설정!$L$5+ROW()-1,설정!$L$22)&amp;""="0","",INDEX(원자료_잔고!$A$1:$EZ$1500,설정!$L$5+ROW()-1,설정!$L$22)&amp;""),"")</f>
        <v/>
      </c>
      <c r="P358" s="83" t="str">
        <f aca="false">IFERROR(IF(INDEX(원자료_잔고!$A$1:$EZ$1500,설정!$L$5+ROW()-1,설정!$L$23)&amp;""="0","",INDEX(원자료_잔고!$A$1:$EZ$1500,설정!$L$5+ROW()-1,설정!$L$23)&amp;""),"")</f>
        <v>N/A</v>
      </c>
      <c r="Q358" s="89" t="n">
        <f aca="false">IF(AND($A358&lt;&gt;"",ISNUMBER(E358)),IF(E358&gt;0,1,0),0)</f>
        <v>1</v>
      </c>
      <c r="R358" s="43" t="str">
        <f aca="false">IF(Q358=1,UPPER(LEFT($A358,FIND(" ",$A358&amp;" ")-1)),"")</f>
        <v>EIBKOR</v>
      </c>
      <c r="S358" s="89" t="n">
        <f aca="false">IF(Q358=1,IF(OR(ISNUMBER(SEARCH("Float",$A358)),ISNUMBER(SEARCH("FRN",$A358))),1,0),0)</f>
        <v>0</v>
      </c>
      <c r="T358" s="43" t="str">
        <f aca="false">IF(AND(Q358=1,ISNUMBER(I358)),TEXT(I358,"yyyymmdd")&amp;"|"&amp;IF(S358=1,"F",TEXT(J358,"0.000")),"")</f>
        <v>20290720|4.375</v>
      </c>
      <c r="U358" s="90" t="n">
        <f aca="false">IF(AND(Q358=1,ISNUMBER(I358)),(I358-설정!$C$4)/365.25,"")</f>
        <v>2.80082135523614</v>
      </c>
      <c r="V358" s="43" t="str">
        <f aca="false">IF(Q358&lt;&gt;1,"",IF(ISNUMBER(U358),IF(U358&lt;=1,"1년 이하",IF(U358&lt;=2,"1-2년",IF(U358&lt;=3,"2-3년",IF(U358&lt;=4,"3-4년",IF(U358&lt;=5,"4-5년",IF(U358&lt;=7,"5-7년",IF(U358&lt;=10,"7-10년",IF(U358&lt;=20,"10-20년","20년 이상")))))))),"미분류"))</f>
        <v>2-3년</v>
      </c>
      <c r="W358" s="43" t="str">
        <f aca="false">IF(Q358&lt;&gt;1,"",IF(AB358&lt;&gt;"",INDEX(시장분석!$C:$C,AB358),IF(K358=1,"USD","비USD")))</f>
        <v>USD</v>
      </c>
      <c r="X358" s="91" t="n">
        <f aca="false">IF(Q358=1,E358*K358/1000000,0)</f>
        <v>0.5</v>
      </c>
      <c r="Y358" s="89" t="n">
        <f aca="false">IF(R358="T",1,0)</f>
        <v>0</v>
      </c>
      <c r="Z358" s="92" t="n">
        <f aca="false">IF(Q358&lt;&gt;1,"",IF(AD358=1,IF(ISNUMBER(U358),MAX(U358,0),H358),H358))</f>
        <v>2.533</v>
      </c>
      <c r="AA358" s="91" t="n">
        <f aca="false">IF(Q358=1,IF(ISNUMBER(L358),L358,0)*K358/1000000,0)</f>
        <v>0.4913345</v>
      </c>
      <c r="AB358" s="89" t="n">
        <f aca="false">IF(Q358&lt;&gt;1,"",IFERROR(MATCH(VLOOKUP(B358,매핑!$H$4:$I$15,2,0),시장분석!$A$2:$A$601,0)+1,IFERROR(MATCH(R358&amp;"|"&amp;T358,시장분석!$V$2:$V$601,0)+1,IF(COUNTIF(시장분석!$U$2:$U$601,T358)=1,MATCH(T358,시장분석!$U$2:$U$601,0)+1,""))))</f>
        <v>38</v>
      </c>
      <c r="AC358" s="89" t="n">
        <f aca="false">IF(Q358&lt;&gt;1,0,IF(OR(설정!$C$5="전체",AND(설정!$C$5="선택펀드",IFERROR(COUNTIFS(설정!$F$16:$F$36,C358,설정!$G$16:$G$36,"Y")+COUNTIFS(설정!$F$16:$F$36,VALUE(C358),설정!$G$16:$G$36,"Y"),0)&gt;0),C358&amp;""=설정!$C$5&amp;""),1,0))</f>
        <v>0</v>
      </c>
      <c r="AD358" s="89" t="n">
        <f aca="false">IF(Q358&lt;&gt;1,0,IF(OR(S358=1,IF(AB358="",FALSE(),INDEX(시장분석!$R:$R,AB358)=1)),1,0))</f>
        <v>0</v>
      </c>
      <c r="AE358" s="43" t="str">
        <f aca="false">IF(AB358="","",INDEX(시장분석!$A:$A,AB358))</f>
        <v>EIBKOR 4 3/8 07/20/29</v>
      </c>
      <c r="AF358" s="93" t="n">
        <f aca="false">IF(AB358="","",IF(ISNUMBER(IF(AB358="","",INDEX(시장분석!$E:$E,AB358))),IF(AB358="","",INDEX(시장분석!$E:$E,AB358)),""))</f>
        <v>2.838</v>
      </c>
      <c r="AG358" s="43" t="str">
        <f aca="false">IF(Q358&lt;&gt;1,"",IF(AB358&lt;&gt;"",IF(AB358="","",INDEX(시장분석!$L:$L,AB358)),IFERROR(IF(VLOOKUP(R358,매핑!$A$4:$E$92,5,0)="","미분류",VLOOKUP(R358,매핑!$A$4:$E$92,5,0)),"미분류")))</f>
        <v>정부</v>
      </c>
      <c r="AH358" s="43" t="str">
        <f aca="false">IF(Q358&lt;&gt;1,"",IF(AB358&lt;&gt;"",IF(AB358="","",INDEX(시장분석!$N:$N,AB358)),IFERROR(IF(VLOOKUP(R358,매핑!$A$4:$E$92,4,0)="","미분류",VLOOKUP(R358,매핑!$A$4:$E$92,4,0)),"미분류")))</f>
        <v>아시아/기타</v>
      </c>
      <c r="AI358" s="43" t="str">
        <f aca="false">IF(Q358&lt;&gt;1,"",IFERROR(IF(VLOOKUP(R358,매핑!$A$4:$E$92,3,0)="","미분류",VLOOKUP(R358,매핑!$A$4:$E$92,3,0)),IF(AB358&lt;&gt;"",IF(AB358="","",INDEX(시장분석!$W:$W,AB358)),"미분류")))</f>
        <v>한국</v>
      </c>
      <c r="AJ358" s="43" t="str">
        <f aca="false">IF(Q358&lt;&gt;1,"",IFERROR(VLOOKUP(IF(N358&lt;&gt;"",N358,IF(P358&lt;&gt;"",P358,O358)),설정!$A$15:$D$47,2,0),""))</f>
        <v>AA</v>
      </c>
      <c r="AK358" s="43" t="str">
        <f aca="false">IF(Q358&lt;&gt;1,"",IF(AJ358="","무등급",IFERROR(VLOOKUP(AJ358,설정!$A$15:$D$47,3,0),"무등급")))</f>
        <v>AA이상</v>
      </c>
      <c r="AL358" s="89" t="n">
        <f aca="false">IF(AJ358="",99,IFERROR(VLOOKUP(AJ358,설정!$A$15:$D$47,4,0),99))</f>
        <v>3</v>
      </c>
      <c r="AM358" s="94" t="n">
        <f aca="false">IF(ISNUMBER(H358),AA358*1000000*H358/10000,0)</f>
        <v>124.45502885</v>
      </c>
      <c r="AN358" s="94" t="n">
        <f aca="false">IF(OR(Y358=1,NOT(ISNUMBER(Z358))),0,AA358*1000000*Z358/10000)</f>
        <v>124.45502885</v>
      </c>
      <c r="AO358" s="94" t="n">
        <f aca="false">IF(ISNUMBER(G358),AA358*1000000*G358/100,0)</f>
        <v>24775.050828</v>
      </c>
      <c r="AP358" s="94" t="n">
        <f aca="false">IF(ISNUMBER(M358),M358*K358,0)</f>
        <v>-7203.71</v>
      </c>
      <c r="AQ358" s="95" t="n">
        <f aca="false">IF(AB358="","",INDEX(시장분석!$AK:$AK,AB358))</f>
        <v>-1.0892695020225</v>
      </c>
      <c r="AR358" s="43" t="str">
        <f aca="false">IF(AB358="","-",IF(AB358="","",INDEX(시장분석!$AL:$AL,AB358)))</f>
        <v>Rich</v>
      </c>
      <c r="AS358" s="96" t="n">
        <f aca="false">IF(AB358="","",INDEX(시장분석!$AJ:$AJ,AB358))</f>
        <v>-14.9153935585772</v>
      </c>
      <c r="AT358" s="93" t="n">
        <f aca="false">IF(AB358="",0,IF(AB358="","",INDEX(시장분석!$AN:$AN,AB358)))</f>
        <v>9.44940382717634</v>
      </c>
      <c r="AU358" s="94" t="n">
        <f aca="false">IF(ISNUMBER(Z358),AT358/10000*MAX(Z358-1,0)*AA358*1000000,0)</f>
        <v>711.744015454154</v>
      </c>
      <c r="AV358" s="94" t="n">
        <f aca="false">AO358+AU358</f>
        <v>25486.7948434542</v>
      </c>
      <c r="AW358" s="43" t="str">
        <f aca="false">IF(Q358&lt;&gt;1,"",TRIM(IF(AD358=1,"FRN ","")&amp;IF(AND(AL358&gt;=10,AL358&lt;99),"BBB0미만 ","")&amp;IF(AJ358="","등급없음 ","")&amp;IF(K358&lt;&gt;1,"비USD ","")&amp;IF(AND(AB358="",Y358=0),"시장데이터없음 ","")&amp;IF(AND(ISNUMBER(U358),U358&lt;0),"만기경과 ","")))</f>
        <v/>
      </c>
      <c r="AX358" s="90" t="n">
        <f aca="false">IF(Q358&lt;&gt;1,1,IF(스프레드쇼크!$C$4="Y",INDEX(스프레드쇼크!$B$12:$L$16,IFERROR(MATCH(AH358,스프레드쇼크!$A$12:$A$16,0),MATCH("목록외",스프레드쇼크!$A$12:$A$16,0)),IFERROR(MATCH(AG358,스프레드쇼크!$B$11:$L$11,0),MATCH("목록외",스프레드쇼크!$B$11:$L$11,0))),1))</f>
        <v>1</v>
      </c>
      <c r="AY358" s="90" t="n">
        <f aca="false">IF(스프레드쇼크!$C$5="Y",IF(ISNUMBER(AF358),MIN(스프레드쇼크!$C$7,MAX(스프레드쇼크!$C$6,AF358/스프레드쇼크!$C$8)),1),1)</f>
        <v>0.25</v>
      </c>
      <c r="AZ358" s="94" t="n">
        <f aca="false">AN358*AX358*AY358</f>
        <v>31.1137572125</v>
      </c>
      <c r="BA358" s="90" t="n">
        <f aca="false">IF(ISNUMBER(G358),AA358*G358,0)</f>
        <v>2.4775050828</v>
      </c>
      <c r="BB358" s="90" t="n">
        <f aca="false">IF(ISNUMBER(G358),AA358,0)</f>
        <v>0.4913345</v>
      </c>
      <c r="BC358" s="90" t="n">
        <f aca="false">IF(AND(Y358=0,ISNUMBER(AF358)),AA358*AF358,0)</f>
        <v>1.394407311</v>
      </c>
      <c r="BD358" s="90" t="n">
        <f aca="false">IF(AND(Y358=0,ISNUMBER(AF358)),AA358,0)</f>
        <v>0.4913345</v>
      </c>
      <c r="BE358" s="90" t="n">
        <f aca="false">IF(ISNUMBER(H358),AA358*H358,0)</f>
        <v>1.2445502885</v>
      </c>
      <c r="BF358" s="90" t="n">
        <f aca="false">IF(ISNUMBER(H358),AA358,0)</f>
        <v>0.4913345</v>
      </c>
      <c r="BG358" s="90" t="n">
        <f aca="false">IF(AND(Y358=0,ISNUMBER(AF358),ISNUMBER(Z358)),AA358*Z358,0)</f>
        <v>1.2445502885</v>
      </c>
      <c r="BH358" s="90" t="n">
        <f aca="false">IF(AND(Y358=0,ISNUMBER(AF358),ISNUMBER(Z358)),AA358*AT358*MAX(Z358-1,0),0)</f>
        <v>7.11744015454155</v>
      </c>
      <c r="BI358" s="90" t="n">
        <f aca="false">IF(Y358=0,AA358,0)</f>
        <v>0.4913345</v>
      </c>
    </row>
    <row r="359" customFormat="false" ht="15" hidden="false" customHeight="false" outlineLevel="0" collapsed="false">
      <c r="A359" s="83" t="str">
        <f aca="false">IFERROR(IF(INDEX(원자료_잔고!$A$1:$EZ$1500,설정!$L$5+ROW()-1,설정!$L$8)&amp;""="0","",INDEX(원자료_잔고!$A$1:$EZ$1500,설정!$L$5+ROW()-1,설정!$L$8)&amp;""),"")</f>
        <v>EIBKOR 4.5 07/20/31</v>
      </c>
      <c r="B359" s="83" t="str">
        <f aca="false">IFERROR(IF(INDEX(원자료_잔고!$A$1:$EZ$1500,설정!$L$5+ROW()-1,설정!$L$7)&amp;""="0","",INDEX(원자료_잔고!$A$1:$EZ$1500,설정!$L$5+ROW()-1,설정!$L$7)&amp;""),"")</f>
        <v>US302154EW51</v>
      </c>
      <c r="C359" s="83" t="str">
        <f aca="false">IFERROR(IF(INDEX(원자료_잔고!$A$1:$EZ$1500,설정!$L$5+ROW()-1,설정!$L$9)&amp;""="0","",INDEX(원자료_잔고!$A$1:$EZ$1500,설정!$L$5+ROW()-1,설정!$L$9)&amp;""),"")</f>
        <v>42003</v>
      </c>
      <c r="D35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59" s="84" t="n">
        <f aca="false">IFERROR(IF(ISNUMBER(INDEX(원자료_잔고!$A$1:$EZ$1500,설정!$L$5+ROW()-1,설정!$L$11)),INDEX(원자료_잔고!$A$1:$EZ$1500,설정!$L$5+ROW()-1,설정!$L$11),""),"")</f>
        <v>500000</v>
      </c>
      <c r="F359" s="85" t="n">
        <f aca="false">IFERROR(IF(ISNUMBER(INDEX(원자료_잔고!$A$1:$EZ$1500,설정!$L$5+ROW()-1,설정!$L$12)),INDEX(원자료_잔고!$A$1:$EZ$1500,설정!$L$5+ROW()-1,설정!$L$12),""),"")</f>
        <v>96.935</v>
      </c>
      <c r="G359" s="85" t="n">
        <f aca="false">IFERROR(IF(ISNUMBER(INDEX(원자료_잔고!$A$1:$EZ$1500,설정!$L$5+ROW()-1,설정!$L$13)),INDEX(원자료_잔고!$A$1:$EZ$1500,설정!$L$5+ROW()-1,설정!$L$13),""),"")</f>
        <v>5.2277</v>
      </c>
      <c r="H359" s="85" t="n">
        <f aca="false">IFERROR(IF(ISNUMBER(INDEX(원자료_잔고!$A$1:$EZ$1500,설정!$L$5+ROW()-1,설정!$L$14)),INDEX(원자료_잔고!$A$1:$EZ$1500,설정!$L$5+ROW()-1,설정!$L$14),""),"")</f>
        <v>4.1352</v>
      </c>
      <c r="I359" s="86" t="n">
        <f aca="false">IFERROR(IF(ISNUMBER(INDEX(원자료_잔고!$A$1:$EZ$1500,설정!$L$5+ROW()-1,설정!$L$15)),INDEX(원자료_잔고!$A$1:$EZ$1500,설정!$L$5+ROW()-1,설정!$L$15),""),"")</f>
        <v>48049</v>
      </c>
      <c r="J359" s="85" t="n">
        <f aca="false">IFERROR(IF(ISNUMBER(INDEX(원자료_잔고!$A$1:$EZ$1500,설정!$L$5+ROW()-1,설정!$L$16)),INDEX(원자료_잔고!$A$1:$EZ$1500,설정!$L$5+ROW()-1,설정!$L$16),""),"")</f>
        <v>4.5</v>
      </c>
      <c r="K359" s="87" t="n">
        <f aca="false">IFERROR(IF(ISNUMBER(INDEX(원자료_잔고!$A$1:$EZ$1500,설정!$L$5+ROW()-1,설정!$L$17)),INDEX(원자료_잔고!$A$1:$EZ$1500,설정!$L$5+ROW()-1,설정!$L$17),""),"")</f>
        <v>1</v>
      </c>
      <c r="L359" s="84" t="n">
        <f aca="false">IFERROR(IF(ISNUMBER(INDEX(원자료_잔고!$A$1:$EZ$1500,설정!$L$5+ROW()-1,설정!$L$18)),INDEX(원자료_잔고!$A$1:$EZ$1500,설정!$L$5+ROW()-1,설정!$L$18),""),"")</f>
        <v>484675</v>
      </c>
      <c r="M359" s="88" t="n">
        <f aca="false">IFERROR(IF(ISNUMBER(INDEX(원자료_잔고!$A$1:$EZ$1500,설정!$L$5+ROW()-1,설정!$L$19)),INDEX(원자료_잔고!$A$1:$EZ$1500,설정!$L$5+ROW()-1,설정!$L$19),""),"")</f>
        <v>-13656.85</v>
      </c>
      <c r="N359" s="83" t="str">
        <f aca="false">IFERROR(IF(INDEX(원자료_잔고!$A$1:$EZ$1500,설정!$L$5+ROW()-1,설정!$L$21)&amp;""="0","",INDEX(원자료_잔고!$A$1:$EZ$1500,설정!$L$5+ROW()-1,설정!$L$21)&amp;""),"")</f>
        <v>AA</v>
      </c>
      <c r="O359" s="83" t="str">
        <f aca="false">IFERROR(IF(INDEX(원자료_잔고!$A$1:$EZ$1500,설정!$L$5+ROW()-1,설정!$L$22)&amp;""="0","",INDEX(원자료_잔고!$A$1:$EZ$1500,설정!$L$5+ROW()-1,설정!$L$22)&amp;""),"")</f>
        <v/>
      </c>
      <c r="P359" s="83" t="str">
        <f aca="false">IFERROR(IF(INDEX(원자료_잔고!$A$1:$EZ$1500,설정!$L$5+ROW()-1,설정!$L$23)&amp;""="0","",INDEX(원자료_잔고!$A$1:$EZ$1500,설정!$L$5+ROW()-1,설정!$L$23)&amp;""),"")</f>
        <v>N/A</v>
      </c>
      <c r="Q359" s="89" t="n">
        <f aca="false">IF(AND($A359&lt;&gt;"",ISNUMBER(E359)),IF(E359&gt;0,1,0),0)</f>
        <v>1</v>
      </c>
      <c r="R359" s="43" t="str">
        <f aca="false">IF(Q359=1,UPPER(LEFT($A359,FIND(" ",$A359&amp;" ")-1)),"")</f>
        <v>EIBKOR</v>
      </c>
      <c r="S359" s="89" t="n">
        <f aca="false">IF(Q359=1,IF(OR(ISNUMBER(SEARCH("Float",$A359)),ISNUMBER(SEARCH("FRN",$A359))),1,0),0)</f>
        <v>0</v>
      </c>
      <c r="T359" s="43" t="str">
        <f aca="false">IF(AND(Q359=1,ISNUMBER(I359)),TEXT(I359,"yyyymmdd")&amp;"|"&amp;IF(S359=1,"F",TEXT(J359,"0.000")),"")</f>
        <v>20310720|4.500</v>
      </c>
      <c r="U359" s="90" t="n">
        <f aca="false">IF(AND(Q359=1,ISNUMBER(I359)),(I359-설정!$C$4)/365.25,"")</f>
        <v>4.79945242984257</v>
      </c>
      <c r="V359" s="43" t="str">
        <f aca="false">IF(Q359&lt;&gt;1,"",IF(ISNUMBER(U359),IF(U359&lt;=1,"1년 이하",IF(U359&lt;=2,"1-2년",IF(U359&lt;=3,"2-3년",IF(U359&lt;=4,"3-4년",IF(U359&lt;=5,"4-5년",IF(U359&lt;=7,"5-7년",IF(U359&lt;=10,"7-10년",IF(U359&lt;=20,"10-20년","20년 이상")))))))),"미분류"))</f>
        <v>4-5년</v>
      </c>
      <c r="W359" s="43" t="str">
        <f aca="false">IF(Q359&lt;&gt;1,"",IF(AB359&lt;&gt;"",INDEX(시장분석!$C:$C,AB359),IF(K359=1,"USD","비USD")))</f>
        <v>USD</v>
      </c>
      <c r="X359" s="91" t="n">
        <f aca="false">IF(Q359=1,E359*K359/1000000,0)</f>
        <v>0.5</v>
      </c>
      <c r="Y359" s="89" t="n">
        <f aca="false">IF(R359="T",1,0)</f>
        <v>0</v>
      </c>
      <c r="Z359" s="92" t="n">
        <f aca="false">IF(Q359&lt;&gt;1,"",IF(AD359=1,IF(ISNUMBER(U359),MAX(U359,0),H359),H359))</f>
        <v>4.1352</v>
      </c>
      <c r="AA359" s="91" t="n">
        <f aca="false">IF(Q359=1,IF(ISNUMBER(L359),L359,0)*K359/1000000,0)</f>
        <v>0.484675</v>
      </c>
      <c r="AB359" s="89" t="n">
        <f aca="false">IF(Q359&lt;&gt;1,"",IFERROR(MATCH(VLOOKUP(B359,매핑!$H$4:$I$15,2,0),시장분석!$A$2:$A$601,0)+1,IFERROR(MATCH(R359&amp;"|"&amp;T359,시장분석!$V$2:$V$601,0)+1,IF(COUNTIF(시장분석!$U$2:$U$601,T359)=1,MATCH(T359,시장분석!$U$2:$U$601,0)+1,""))))</f>
        <v>39</v>
      </c>
      <c r="AC359" s="89" t="n">
        <f aca="false">IF(Q359&lt;&gt;1,0,IF(OR(설정!$C$5="전체",AND(설정!$C$5="선택펀드",IFERROR(COUNTIFS(설정!$F$16:$F$36,C359,설정!$G$16:$G$36,"Y")+COUNTIFS(설정!$F$16:$F$36,VALUE(C359),설정!$G$16:$G$36,"Y"),0)&gt;0),C359&amp;""=설정!$C$5&amp;""),1,0))</f>
        <v>0</v>
      </c>
      <c r="AD359" s="89" t="n">
        <f aca="false">IF(Q359&lt;&gt;1,0,IF(OR(S359=1,IF(AB359="",FALSE(),INDEX(시장분석!$R:$R,AB359)=1)),1,0))</f>
        <v>0</v>
      </c>
      <c r="AE359" s="43" t="str">
        <f aca="false">IF(AB359="","",INDEX(시장분석!$A:$A,AB359))</f>
        <v>EIBKOR 4 1/2 07/20/31</v>
      </c>
      <c r="AF359" s="93" t="n">
        <f aca="false">IF(AB359="","",IF(ISNUMBER(IF(AB359="","",INDEX(시장분석!$E:$E,AB359))),IF(AB359="","",INDEX(시장분석!$E:$E,AB359)),""))</f>
        <v>15.142</v>
      </c>
      <c r="AG359" s="43" t="str">
        <f aca="false">IF(Q359&lt;&gt;1,"",IF(AB359&lt;&gt;"",IF(AB359="","",INDEX(시장분석!$L:$L,AB359)),IFERROR(IF(VLOOKUP(R359,매핑!$A$4:$E$92,5,0)="","미분류",VLOOKUP(R359,매핑!$A$4:$E$92,5,0)),"미분류")))</f>
        <v>정부</v>
      </c>
      <c r="AH359" s="43" t="str">
        <f aca="false">IF(Q359&lt;&gt;1,"",IF(AB359&lt;&gt;"",IF(AB359="","",INDEX(시장분석!$N:$N,AB359)),IFERROR(IF(VLOOKUP(R359,매핑!$A$4:$E$92,4,0)="","미분류",VLOOKUP(R359,매핑!$A$4:$E$92,4,0)),"미분류")))</f>
        <v>아시아/기타</v>
      </c>
      <c r="AI359" s="43" t="str">
        <f aca="false">IF(Q359&lt;&gt;1,"",IFERROR(IF(VLOOKUP(R359,매핑!$A$4:$E$92,3,0)="","미분류",VLOOKUP(R359,매핑!$A$4:$E$92,3,0)),IF(AB359&lt;&gt;"",IF(AB359="","",INDEX(시장분석!$W:$W,AB359)),"미분류")))</f>
        <v>한국</v>
      </c>
      <c r="AJ359" s="43" t="str">
        <f aca="false">IF(Q359&lt;&gt;1,"",IFERROR(VLOOKUP(IF(N359&lt;&gt;"",N359,IF(P359&lt;&gt;"",P359,O359)),설정!$A$15:$D$47,2,0),""))</f>
        <v>AA</v>
      </c>
      <c r="AK359" s="43" t="str">
        <f aca="false">IF(Q359&lt;&gt;1,"",IF(AJ359="","무등급",IFERROR(VLOOKUP(AJ359,설정!$A$15:$D$47,3,0),"무등급")))</f>
        <v>AA이상</v>
      </c>
      <c r="AL359" s="89" t="n">
        <f aca="false">IF(AJ359="",99,IFERROR(VLOOKUP(AJ359,설정!$A$15:$D$47,4,0),99))</f>
        <v>3</v>
      </c>
      <c r="AM359" s="94" t="n">
        <f aca="false">IF(ISNUMBER(H359),AA359*1000000*H359/10000,0)</f>
        <v>200.422806</v>
      </c>
      <c r="AN359" s="94" t="n">
        <f aca="false">IF(OR(Y359=1,NOT(ISNUMBER(Z359))),0,AA359*1000000*Z359/10000)</f>
        <v>200.422806</v>
      </c>
      <c r="AO359" s="94" t="n">
        <f aca="false">IF(ISNUMBER(G359),AA359*1000000*G359/100,0)</f>
        <v>25337.354975</v>
      </c>
      <c r="AP359" s="94" t="n">
        <f aca="false">IF(ISNUMBER(M359),M359*K359,0)</f>
        <v>-13656.85</v>
      </c>
      <c r="AQ359" s="95" t="n">
        <f aca="false">IF(AB359="","",INDEX(시장분석!$AK:$AK,AB359))</f>
        <v>-0.905162832970681</v>
      </c>
      <c r="AR359" s="43" t="str">
        <f aca="false">IF(AB359="","-",IF(AB359="","",INDEX(시장분석!$AL:$AL,AB359)))</f>
        <v>Fair</v>
      </c>
      <c r="AS359" s="96" t="n">
        <f aca="false">IF(AB359="","",INDEX(시장분석!$AJ:$AJ,AB359))</f>
        <v>-12.3944164995776</v>
      </c>
      <c r="AT359" s="93" t="n">
        <f aca="false">IF(AB359="",0,IF(AB359="","",INDEX(시장분석!$AN:$AN,AB359)))</f>
        <v>5.22677386503521</v>
      </c>
      <c r="AU359" s="94" t="n">
        <f aca="false">IF(ISNUMBER(Z359),AT359/10000*MAX(Z359-1,0)*AA359*1000000,0)</f>
        <v>794.236022054228</v>
      </c>
      <c r="AV359" s="94" t="n">
        <f aca="false">AO359+AU359</f>
        <v>26131.5909970542</v>
      </c>
      <c r="AW359" s="43" t="str">
        <f aca="false">IF(Q359&lt;&gt;1,"",TRIM(IF(AD359=1,"FRN ","")&amp;IF(AND(AL359&gt;=10,AL359&lt;99),"BBB0미만 ","")&amp;IF(AJ359="","등급없음 ","")&amp;IF(K359&lt;&gt;1,"비USD ","")&amp;IF(AND(AB359="",Y359=0),"시장데이터없음 ","")&amp;IF(AND(ISNUMBER(U359),U359&lt;0),"만기경과 ","")))</f>
        <v/>
      </c>
      <c r="AX359" s="90" t="n">
        <f aca="false">IF(Q359&lt;&gt;1,1,IF(스프레드쇼크!$C$4="Y",INDEX(스프레드쇼크!$B$12:$L$16,IFERROR(MATCH(AH359,스프레드쇼크!$A$12:$A$16,0),MATCH("목록외",스프레드쇼크!$A$12:$A$16,0)),IFERROR(MATCH(AG359,스프레드쇼크!$B$11:$L$11,0),MATCH("목록외",스프레드쇼크!$B$11:$L$11,0))),1))</f>
        <v>1</v>
      </c>
      <c r="AY359" s="90" t="n">
        <f aca="false">IF(스프레드쇼크!$C$5="Y",IF(ISNUMBER(AF359),MIN(스프레드쇼크!$C$7,MAX(스프레드쇼크!$C$6,AF359/스프레드쇼크!$C$8)),1),1)</f>
        <v>0.25</v>
      </c>
      <c r="AZ359" s="94" t="n">
        <f aca="false">AN359*AX359*AY359</f>
        <v>50.1057015</v>
      </c>
      <c r="BA359" s="90" t="n">
        <f aca="false">IF(ISNUMBER(G359),AA359*G359,0)</f>
        <v>2.5337354975</v>
      </c>
      <c r="BB359" s="90" t="n">
        <f aca="false">IF(ISNUMBER(G359),AA359,0)</f>
        <v>0.484675</v>
      </c>
      <c r="BC359" s="90" t="n">
        <f aca="false">IF(AND(Y359=0,ISNUMBER(AF359)),AA359*AF359,0)</f>
        <v>7.33894885</v>
      </c>
      <c r="BD359" s="90" t="n">
        <f aca="false">IF(AND(Y359=0,ISNUMBER(AF359)),AA359,0)</f>
        <v>0.484675</v>
      </c>
      <c r="BE359" s="90" t="n">
        <f aca="false">IF(ISNUMBER(H359),AA359*H359,0)</f>
        <v>2.00422806</v>
      </c>
      <c r="BF359" s="90" t="n">
        <f aca="false">IF(ISNUMBER(H359),AA359,0)</f>
        <v>0.484675</v>
      </c>
      <c r="BG359" s="90" t="n">
        <f aca="false">IF(AND(Y359=0,ISNUMBER(AF359),ISNUMBER(Z359)),AA359*Z359,0)</f>
        <v>2.00422806</v>
      </c>
      <c r="BH359" s="90" t="n">
        <f aca="false">IF(AND(Y359=0,ISNUMBER(AF359),ISNUMBER(Z359)),AA359*AT359*MAX(Z359-1,0),0)</f>
        <v>7.94236022054228</v>
      </c>
      <c r="BI359" s="90" t="n">
        <f aca="false">IF(Y359=0,AA359,0)</f>
        <v>0.484675</v>
      </c>
    </row>
    <row r="360" customFormat="false" ht="15" hidden="false" customHeight="false" outlineLevel="0" collapsed="false">
      <c r="A360" s="83" t="str">
        <f aca="false">IFERROR(IF(INDEX(원자료_잔고!$A$1:$EZ$1500,설정!$L$5+ROW()-1,설정!$L$8)&amp;""="0","",INDEX(원자료_잔고!$A$1:$EZ$1500,설정!$L$5+ROW()-1,설정!$L$8)&amp;""),"")</f>
        <v>INDKOR 5.375 10/04/28</v>
      </c>
      <c r="B360" s="83" t="str">
        <f aca="false">IFERROR(IF(INDEX(원자료_잔고!$A$1:$EZ$1500,설정!$L$5+ROW()-1,설정!$L$7)&amp;""="0","",INDEX(원자료_잔고!$A$1:$EZ$1500,설정!$L$5+ROW()-1,설정!$L$7)&amp;""),"")</f>
        <v>US45604HAN70</v>
      </c>
      <c r="C360" s="83" t="str">
        <f aca="false">IFERROR(IF(INDEX(원자료_잔고!$A$1:$EZ$1500,설정!$L$5+ROW()-1,설정!$L$9)&amp;""="0","",INDEX(원자료_잔고!$A$1:$EZ$1500,설정!$L$5+ROW()-1,설정!$L$9)&amp;""),"")</f>
        <v>42003</v>
      </c>
      <c r="D36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0" s="84" t="n">
        <f aca="false">IFERROR(IF(ISNUMBER(INDEX(원자료_잔고!$A$1:$EZ$1500,설정!$L$5+ROW()-1,설정!$L$11)),INDEX(원자료_잔고!$A$1:$EZ$1500,설정!$L$5+ROW()-1,설정!$L$11),""),"")</f>
        <v>10000000</v>
      </c>
      <c r="F360" s="85" t="n">
        <f aca="false">IFERROR(IF(ISNUMBER(INDEX(원자료_잔고!$A$1:$EZ$1500,설정!$L$5+ROW()-1,설정!$L$12)),INDEX(원자료_잔고!$A$1:$EZ$1500,설정!$L$5+ROW()-1,설정!$L$12),""),"")</f>
        <v>100.6319</v>
      </c>
      <c r="G360" s="85" t="n">
        <f aca="false">IFERROR(IF(ISNUMBER(INDEX(원자료_잔고!$A$1:$EZ$1500,설정!$L$5+ROW()-1,설정!$L$13)),INDEX(원자료_잔고!$A$1:$EZ$1500,설정!$L$5+ROW()-1,설정!$L$13),""),"")</f>
        <v>5.0402</v>
      </c>
      <c r="H360" s="85" t="n">
        <f aca="false">IFERROR(IF(ISNUMBER(INDEX(원자료_잔고!$A$1:$EZ$1500,설정!$L$5+ROW()-1,설정!$L$14)),INDEX(원자료_잔고!$A$1:$EZ$1500,설정!$L$5+ROW()-1,설정!$L$14),""),"")</f>
        <v>1.7933</v>
      </c>
      <c r="I360" s="86" t="n">
        <f aca="false">IFERROR(IF(ISNUMBER(INDEX(원자료_잔고!$A$1:$EZ$1500,설정!$L$5+ROW()-1,설정!$L$15)),INDEX(원자료_잔고!$A$1:$EZ$1500,설정!$L$5+ROW()-1,설정!$L$15),""),"")</f>
        <v>47030</v>
      </c>
      <c r="J360" s="85" t="n">
        <f aca="false">IFERROR(IF(ISNUMBER(INDEX(원자료_잔고!$A$1:$EZ$1500,설정!$L$5+ROW()-1,설정!$L$16)),INDEX(원자료_잔고!$A$1:$EZ$1500,설정!$L$5+ROW()-1,설정!$L$16),""),"")</f>
        <v>5.375</v>
      </c>
      <c r="K360" s="87" t="n">
        <f aca="false">IFERROR(IF(ISNUMBER(INDEX(원자료_잔고!$A$1:$EZ$1500,설정!$L$5+ROW()-1,설정!$L$17)),INDEX(원자료_잔고!$A$1:$EZ$1500,설정!$L$5+ROW()-1,설정!$L$17),""),"")</f>
        <v>1</v>
      </c>
      <c r="L360" s="84" t="n">
        <f aca="false">IFERROR(IF(ISNUMBER(INDEX(원자료_잔고!$A$1:$EZ$1500,설정!$L$5+ROW()-1,설정!$L$18)),INDEX(원자료_잔고!$A$1:$EZ$1500,설정!$L$5+ROW()-1,설정!$L$18),""),"")</f>
        <v>10063190</v>
      </c>
      <c r="M360" s="88" t="n">
        <f aca="false">IFERROR(IF(ISNUMBER(INDEX(원자료_잔고!$A$1:$EZ$1500,설정!$L$5+ROW()-1,설정!$L$19)),INDEX(원자료_잔고!$A$1:$EZ$1500,설정!$L$5+ROW()-1,설정!$L$19),""),"")</f>
        <v>-103686.91</v>
      </c>
      <c r="N360" s="83" t="str">
        <f aca="false">IFERROR(IF(INDEX(원자료_잔고!$A$1:$EZ$1500,설정!$L$5+ROW()-1,설정!$L$21)&amp;""="0","",INDEX(원자료_잔고!$A$1:$EZ$1500,설정!$L$5+ROW()-1,설정!$L$21)&amp;""),"")</f>
        <v/>
      </c>
      <c r="O360" s="83" t="str">
        <f aca="false">IFERROR(IF(INDEX(원자료_잔고!$A$1:$EZ$1500,설정!$L$5+ROW()-1,설정!$L$22)&amp;""="0","",INDEX(원자료_잔고!$A$1:$EZ$1500,설정!$L$5+ROW()-1,설정!$L$22)&amp;""),"")</f>
        <v/>
      </c>
      <c r="P360" s="83" t="str">
        <f aca="false">IFERROR(IF(INDEX(원자료_잔고!$A$1:$EZ$1500,설정!$L$5+ROW()-1,설정!$L$23)&amp;""="0","",INDEX(원자료_잔고!$A$1:$EZ$1500,설정!$L$5+ROW()-1,설정!$L$23)&amp;""),"")</f>
        <v>AA-</v>
      </c>
      <c r="Q360" s="89" t="n">
        <f aca="false">IF(AND($A360&lt;&gt;"",ISNUMBER(E360)),IF(E360&gt;0,1,0),0)</f>
        <v>1</v>
      </c>
      <c r="R360" s="43" t="str">
        <f aca="false">IF(Q360=1,UPPER(LEFT($A360,FIND(" ",$A360&amp;" ")-1)),"")</f>
        <v>INDKOR</v>
      </c>
      <c r="S360" s="89" t="n">
        <f aca="false">IF(Q360=1,IF(OR(ISNUMBER(SEARCH("Float",$A360)),ISNUMBER(SEARCH("FRN",$A360))),1,0),0)</f>
        <v>0</v>
      </c>
      <c r="T360" s="43" t="str">
        <f aca="false">IF(AND(Q360=1,ISNUMBER(I360)),TEXT(I360,"yyyymmdd")&amp;"|"&amp;IF(S360=1,"F",TEXT(J360,"0.000")),"")</f>
        <v>20281004|5.375</v>
      </c>
      <c r="U360" s="90" t="n">
        <f aca="false">IF(AND(Q360=1,ISNUMBER(I360)),(I360-설정!$C$4)/365.25,"")</f>
        <v>2.00958247775496</v>
      </c>
      <c r="V360" s="43" t="str">
        <f aca="false">IF(Q360&lt;&gt;1,"",IF(ISNUMBER(U360),IF(U360&lt;=1,"1년 이하",IF(U360&lt;=2,"1-2년",IF(U360&lt;=3,"2-3년",IF(U360&lt;=4,"3-4년",IF(U360&lt;=5,"4-5년",IF(U360&lt;=7,"5-7년",IF(U360&lt;=10,"7-10년",IF(U360&lt;=20,"10-20년","20년 이상")))))))),"미분류"))</f>
        <v>2-3년</v>
      </c>
      <c r="W360" s="43" t="str">
        <f aca="false">IF(Q360&lt;&gt;1,"",IF(AB360&lt;&gt;"",INDEX(시장분석!$C:$C,AB360),IF(K360=1,"USD","비USD")))</f>
        <v>USD</v>
      </c>
      <c r="X360" s="91" t="n">
        <f aca="false">IF(Q360=1,E360*K360/1000000,0)</f>
        <v>10</v>
      </c>
      <c r="Y360" s="89" t="n">
        <f aca="false">IF(R360="T",1,0)</f>
        <v>0</v>
      </c>
      <c r="Z360" s="92" t="n">
        <f aca="false">IF(Q360&lt;&gt;1,"",IF(AD360=1,IF(ISNUMBER(U360),MAX(U360,0),H360),H360))</f>
        <v>1.7933</v>
      </c>
      <c r="AA360" s="91" t="n">
        <f aca="false">IF(Q360=1,IF(ISNUMBER(L360),L360,0)*K360/1000000,0)</f>
        <v>10.06319</v>
      </c>
      <c r="AB360" s="89" t="n">
        <f aca="false">IF(Q360&lt;&gt;1,"",IFERROR(MATCH(VLOOKUP(B360,매핑!$H$4:$I$15,2,0),시장분석!$A$2:$A$601,0)+1,IFERROR(MATCH(R360&amp;"|"&amp;T360,시장분석!$V$2:$V$601,0)+1,IF(COUNTIF(시장분석!$U$2:$U$601,T360)=1,MATCH(T360,시장분석!$U$2:$U$601,0)+1,""))))</f>
        <v>74</v>
      </c>
      <c r="AC360" s="89" t="n">
        <f aca="false">IF(Q360&lt;&gt;1,0,IF(OR(설정!$C$5="전체",AND(설정!$C$5="선택펀드",IFERROR(COUNTIFS(설정!$F$16:$F$36,C360,설정!$G$16:$G$36,"Y")+COUNTIFS(설정!$F$16:$F$36,VALUE(C360),설정!$G$16:$G$36,"Y"),0)&gt;0),C360&amp;""=설정!$C$5&amp;""),1,0))</f>
        <v>0</v>
      </c>
      <c r="AD360" s="89" t="n">
        <f aca="false">IF(Q360&lt;&gt;1,0,IF(OR(S360=1,IF(AB360="",FALSE(),INDEX(시장분석!$R:$R,AB360)=1)),1,0))</f>
        <v>0</v>
      </c>
      <c r="AE360" s="43" t="str">
        <f aca="false">IF(AB360="","",INDEX(시장분석!$A:$A,AB360))</f>
        <v>INDKOR 5 3/8 10/04/28</v>
      </c>
      <c r="AF360" s="93" t="n">
        <f aca="false">IF(AB360="","",IF(ISNUMBER(IF(AB360="","",INDEX(시장분석!$E:$E,AB360))),IF(AB360="","",INDEX(시장분석!$E:$E,AB360)),""))</f>
        <v>9.837</v>
      </c>
      <c r="AG360" s="43" t="str">
        <f aca="false">IF(Q360&lt;&gt;1,"",IF(AB360&lt;&gt;"",IF(AB360="","",INDEX(시장분석!$L:$L,AB360)),IFERROR(IF(VLOOKUP(R360,매핑!$A$4:$E$92,5,0)="","미분류",VLOOKUP(R360,매핑!$A$4:$E$92,5,0)),"미분류")))</f>
        <v>정부</v>
      </c>
      <c r="AH360" s="43" t="str">
        <f aca="false">IF(Q360&lt;&gt;1,"",IF(AB360&lt;&gt;"",IF(AB360="","",INDEX(시장분석!$N:$N,AB360)),IFERROR(IF(VLOOKUP(R360,매핑!$A$4:$E$92,4,0)="","미분류",VLOOKUP(R360,매핑!$A$4:$E$92,4,0)),"미분류")))</f>
        <v>아시아/기타</v>
      </c>
      <c r="AI360" s="43" t="str">
        <f aca="false">IF(Q360&lt;&gt;1,"",IFERROR(IF(VLOOKUP(R360,매핑!$A$4:$E$92,3,0)="","미분류",VLOOKUP(R360,매핑!$A$4:$E$92,3,0)),IF(AB360&lt;&gt;"",IF(AB360="","",INDEX(시장분석!$W:$W,AB360)),"미분류")))</f>
        <v>한국</v>
      </c>
      <c r="AJ360" s="43" t="str">
        <f aca="false">IF(Q360&lt;&gt;1,"",IFERROR(VLOOKUP(IF(N360&lt;&gt;"",N360,IF(P360&lt;&gt;"",P360,O360)),설정!$A$15:$D$47,2,0),""))</f>
        <v>AA-</v>
      </c>
      <c r="AK360" s="43" t="str">
        <f aca="false">IF(Q360&lt;&gt;1,"",IF(AJ360="","무등급",IFERROR(VLOOKUP(AJ360,설정!$A$15:$D$47,3,0),"무등급")))</f>
        <v>AA이상</v>
      </c>
      <c r="AL360" s="89" t="n">
        <f aca="false">IF(AJ360="",99,IFERROR(VLOOKUP(AJ360,설정!$A$15:$D$47,4,0),99))</f>
        <v>4</v>
      </c>
      <c r="AM360" s="94" t="n">
        <f aca="false">IF(ISNUMBER(H360),AA360*1000000*H360/10000,0)</f>
        <v>1804.6318627</v>
      </c>
      <c r="AN360" s="94" t="n">
        <f aca="false">IF(OR(Y360=1,NOT(ISNUMBER(Z360))),0,AA360*1000000*Z360/10000)</f>
        <v>1804.6318627</v>
      </c>
      <c r="AO360" s="94" t="n">
        <f aca="false">IF(ISNUMBER(G360),AA360*1000000*G360/100,0)</f>
        <v>507204.90238</v>
      </c>
      <c r="AP360" s="94" t="n">
        <f aca="false">IF(ISNUMBER(M360),M360*K360,0)</f>
        <v>-103686.91</v>
      </c>
      <c r="AQ360" s="95" t="n">
        <f aca="false">IF(AB360="","",INDEX(시장분석!$AK:$AK,AB360))</f>
        <v>-0.0836644674299034</v>
      </c>
      <c r="AR360" s="43" t="str">
        <f aca="false">IF(AB360="","-",IF(AB360="","",INDEX(시장분석!$AL:$AL,AB360)))</f>
        <v>Fair</v>
      </c>
      <c r="AS360" s="96" t="n">
        <f aca="false">IF(AB360="","",INDEX(시장분석!$AJ:$AJ,AB360))</f>
        <v>-1.14561957005934</v>
      </c>
      <c r="AT360" s="93" t="n">
        <f aca="false">IF(AB360="",0,IF(AB360="","",INDEX(시장분석!$AN:$AN,AB360)))</f>
        <v>15.0935400214047</v>
      </c>
      <c r="AU360" s="94" t="n">
        <f aca="false">IF(ISNUMBER(Z360),AT360/10000*MAX(Z360-1,0)*AA360*1000000,0)</f>
        <v>12049.3671427646</v>
      </c>
      <c r="AV360" s="94" t="n">
        <f aca="false">AO360+AU360</f>
        <v>519254.269522765</v>
      </c>
      <c r="AW360" s="43" t="str">
        <f aca="false">IF(Q360&lt;&gt;1,"",TRIM(IF(AD360=1,"FRN ","")&amp;IF(AND(AL360&gt;=10,AL360&lt;99),"BBB0미만 ","")&amp;IF(AJ360="","등급없음 ","")&amp;IF(K360&lt;&gt;1,"비USD ","")&amp;IF(AND(AB360="",Y360=0),"시장데이터없음 ","")&amp;IF(AND(ISNUMBER(U360),U360&lt;0),"만기경과 ","")))</f>
        <v/>
      </c>
      <c r="AX360" s="90" t="n">
        <f aca="false">IF(Q360&lt;&gt;1,1,IF(스프레드쇼크!$C$4="Y",INDEX(스프레드쇼크!$B$12:$L$16,IFERROR(MATCH(AH360,스프레드쇼크!$A$12:$A$16,0),MATCH("목록외",스프레드쇼크!$A$12:$A$16,0)),IFERROR(MATCH(AG360,스프레드쇼크!$B$11:$L$11,0),MATCH("목록외",스프레드쇼크!$B$11:$L$11,0))),1))</f>
        <v>1</v>
      </c>
      <c r="AY360" s="90" t="n">
        <f aca="false">IF(스프레드쇼크!$C$5="Y",IF(ISNUMBER(AF360),MIN(스프레드쇼크!$C$7,MAX(스프레드쇼크!$C$6,AF360/스프레드쇼크!$C$8)),1),1)</f>
        <v>0.25</v>
      </c>
      <c r="AZ360" s="94" t="n">
        <f aca="false">AN360*AX360*AY360</f>
        <v>451.157965675</v>
      </c>
      <c r="BA360" s="90" t="n">
        <f aca="false">IF(ISNUMBER(G360),AA360*G360,0)</f>
        <v>50.720490238</v>
      </c>
      <c r="BB360" s="90" t="n">
        <f aca="false">IF(ISNUMBER(G360),AA360,0)</f>
        <v>10.06319</v>
      </c>
      <c r="BC360" s="90" t="n">
        <f aca="false">IF(AND(Y360=0,ISNUMBER(AF360)),AA360*AF360,0)</f>
        <v>98.99160003</v>
      </c>
      <c r="BD360" s="90" t="n">
        <f aca="false">IF(AND(Y360=0,ISNUMBER(AF360)),AA360,0)</f>
        <v>10.06319</v>
      </c>
      <c r="BE360" s="90" t="n">
        <f aca="false">IF(ISNUMBER(H360),AA360*H360,0)</f>
        <v>18.046318627</v>
      </c>
      <c r="BF360" s="90" t="n">
        <f aca="false">IF(ISNUMBER(H360),AA360,0)</f>
        <v>10.06319</v>
      </c>
      <c r="BG360" s="90" t="n">
        <f aca="false">IF(AND(Y360=0,ISNUMBER(AF360),ISNUMBER(Z360)),AA360*Z360,0)</f>
        <v>18.046318627</v>
      </c>
      <c r="BH360" s="90" t="n">
        <f aca="false">IF(AND(Y360=0,ISNUMBER(AF360),ISNUMBER(Z360)),AA360*AT360*MAX(Z360-1,0),0)</f>
        <v>120.493671427646</v>
      </c>
      <c r="BI360" s="90" t="n">
        <f aca="false">IF(Y360=0,AA360,0)</f>
        <v>10.06319</v>
      </c>
    </row>
    <row r="361" customFormat="false" ht="15" hidden="false" customHeight="false" outlineLevel="0" collapsed="false">
      <c r="A361" s="83" t="str">
        <f aca="false">IFERROR(IF(INDEX(원자료_잔고!$A$1:$EZ$1500,설정!$L$5+ROW()-1,설정!$L$8)&amp;""="0","",INDEX(원자료_잔고!$A$1:$EZ$1500,설정!$L$5+ROW()-1,설정!$L$8)&amp;""),"")</f>
        <v>INDKOR 4 09/30/29</v>
      </c>
      <c r="B361" s="83" t="str">
        <f aca="false">IFERROR(IF(INDEX(원자료_잔고!$A$1:$EZ$1500,설정!$L$5+ROW()-1,설정!$L$7)&amp;""="0","",INDEX(원자료_잔고!$A$1:$EZ$1500,설정!$L$5+ROW()-1,설정!$L$7)&amp;""),"")</f>
        <v>US45604HAQ02</v>
      </c>
      <c r="C361" s="83" t="str">
        <f aca="false">IFERROR(IF(INDEX(원자료_잔고!$A$1:$EZ$1500,설정!$L$5+ROW()-1,설정!$L$9)&amp;""="0","",INDEX(원자료_잔고!$A$1:$EZ$1500,설정!$L$5+ROW()-1,설정!$L$9)&amp;""),"")</f>
        <v>42003</v>
      </c>
      <c r="D36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1" s="84" t="n">
        <f aca="false">IFERROR(IF(ISNUMBER(INDEX(원자료_잔고!$A$1:$EZ$1500,설정!$L$5+ROW()-1,설정!$L$11)),INDEX(원자료_잔고!$A$1:$EZ$1500,설정!$L$5+ROW()-1,설정!$L$11),""),"")</f>
        <v>200000</v>
      </c>
      <c r="F361" s="85" t="n">
        <f aca="false">IFERROR(IF(ISNUMBER(INDEX(원자료_잔고!$A$1:$EZ$1500,설정!$L$5+ROW()-1,설정!$L$12)),INDEX(원자료_잔고!$A$1:$EZ$1500,설정!$L$5+ROW()-1,설정!$L$12),""),"")</f>
        <v>96.8876</v>
      </c>
      <c r="G361" s="85" t="n">
        <f aca="false">IFERROR(IF(ISNUMBER(INDEX(원자료_잔고!$A$1:$EZ$1500,설정!$L$5+ROW()-1,설정!$L$13)),INDEX(원자료_잔고!$A$1:$EZ$1500,설정!$L$5+ROW()-1,설정!$L$13),""),"")</f>
        <v>5.1323</v>
      </c>
      <c r="H361" s="85" t="n">
        <f aca="false">IFERROR(IF(ISNUMBER(INDEX(원자료_잔고!$A$1:$EZ$1500,설정!$L$5+ROW()-1,설정!$L$14)),INDEX(원자료_잔고!$A$1:$EZ$1500,설정!$L$5+ROW()-1,설정!$L$14),""),"")</f>
        <v>2.7356</v>
      </c>
      <c r="I361" s="86" t="n">
        <f aca="false">IFERROR(IF(ISNUMBER(INDEX(원자료_잔고!$A$1:$EZ$1500,설정!$L$5+ROW()-1,설정!$L$15)),INDEX(원자료_잔고!$A$1:$EZ$1500,설정!$L$5+ROW()-1,설정!$L$15),""),"")</f>
        <v>47391</v>
      </c>
      <c r="J361" s="85" t="n">
        <f aca="false">IFERROR(IF(ISNUMBER(INDEX(원자료_잔고!$A$1:$EZ$1500,설정!$L$5+ROW()-1,설정!$L$16)),INDEX(원자료_잔고!$A$1:$EZ$1500,설정!$L$5+ROW()-1,설정!$L$16),""),"")</f>
        <v>4</v>
      </c>
      <c r="K361" s="87" t="n">
        <f aca="false">IFERROR(IF(ISNUMBER(INDEX(원자료_잔고!$A$1:$EZ$1500,설정!$L$5+ROW()-1,설정!$L$17)),INDEX(원자료_잔고!$A$1:$EZ$1500,설정!$L$5+ROW()-1,설정!$L$17),""),"")</f>
        <v>1</v>
      </c>
      <c r="L361" s="84" t="n">
        <f aca="false">IFERROR(IF(ISNUMBER(INDEX(원자료_잔고!$A$1:$EZ$1500,설정!$L$5+ROW()-1,설정!$L$18)),INDEX(원자료_잔고!$A$1:$EZ$1500,설정!$L$5+ROW()-1,설정!$L$18),""),"")</f>
        <v>193775.2</v>
      </c>
      <c r="M361" s="88" t="n">
        <f aca="false">IFERROR(IF(ISNUMBER(INDEX(원자료_잔고!$A$1:$EZ$1500,설정!$L$5+ROW()-1,설정!$L$19)),INDEX(원자료_잔고!$A$1:$EZ$1500,설정!$L$5+ROW()-1,설정!$L$19),""),"")</f>
        <v>-6820.4</v>
      </c>
      <c r="N361" s="83" t="str">
        <f aca="false">IFERROR(IF(INDEX(원자료_잔고!$A$1:$EZ$1500,설정!$L$5+ROW()-1,설정!$L$21)&amp;""="0","",INDEX(원자료_잔고!$A$1:$EZ$1500,설정!$L$5+ROW()-1,설정!$L$21)&amp;""),"")</f>
        <v/>
      </c>
      <c r="O361" s="83" t="str">
        <f aca="false">IFERROR(IF(INDEX(원자료_잔고!$A$1:$EZ$1500,설정!$L$5+ROW()-1,설정!$L$22)&amp;""="0","",INDEX(원자료_잔고!$A$1:$EZ$1500,설정!$L$5+ROW()-1,설정!$L$22)&amp;""),"")</f>
        <v/>
      </c>
      <c r="P361" s="83" t="str">
        <f aca="false">IFERROR(IF(INDEX(원자료_잔고!$A$1:$EZ$1500,설정!$L$5+ROW()-1,설정!$L$23)&amp;""="0","",INDEX(원자료_잔고!$A$1:$EZ$1500,설정!$L$5+ROW()-1,설정!$L$23)&amp;""),"")</f>
        <v>AA-</v>
      </c>
      <c r="Q361" s="89" t="n">
        <f aca="false">IF(AND($A361&lt;&gt;"",ISNUMBER(E361)),IF(E361&gt;0,1,0),0)</f>
        <v>1</v>
      </c>
      <c r="R361" s="43" t="str">
        <f aca="false">IF(Q361=1,UPPER(LEFT($A361,FIND(" ",$A361&amp;" ")-1)),"")</f>
        <v>INDKOR</v>
      </c>
      <c r="S361" s="89" t="n">
        <f aca="false">IF(Q361=1,IF(OR(ISNUMBER(SEARCH("Float",$A361)),ISNUMBER(SEARCH("FRN",$A361))),1,0),0)</f>
        <v>0</v>
      </c>
      <c r="T361" s="43" t="str">
        <f aca="false">IF(AND(Q361=1,ISNUMBER(I361)),TEXT(I361,"yyyymmdd")&amp;"|"&amp;IF(S361=1,"F",TEXT(J361,"0.000")),"")</f>
        <v>20290930|4.000</v>
      </c>
      <c r="U361" s="90" t="n">
        <f aca="false">IF(AND(Q361=1,ISNUMBER(I361)),(I361-설정!$C$4)/365.25,"")</f>
        <v>2.99794661190965</v>
      </c>
      <c r="V361" s="43" t="str">
        <f aca="false">IF(Q361&lt;&gt;1,"",IF(ISNUMBER(U361),IF(U361&lt;=1,"1년 이하",IF(U361&lt;=2,"1-2년",IF(U361&lt;=3,"2-3년",IF(U361&lt;=4,"3-4년",IF(U361&lt;=5,"4-5년",IF(U361&lt;=7,"5-7년",IF(U361&lt;=10,"7-10년",IF(U361&lt;=20,"10-20년","20년 이상")))))))),"미분류"))</f>
        <v>2-3년</v>
      </c>
      <c r="W361" s="43" t="str">
        <f aca="false">IF(Q361&lt;&gt;1,"",IF(AB361&lt;&gt;"",INDEX(시장분석!$C:$C,AB361),IF(K361=1,"USD","비USD")))</f>
        <v>USD</v>
      </c>
      <c r="X361" s="91" t="n">
        <f aca="false">IF(Q361=1,E361*K361/1000000,0)</f>
        <v>0.2</v>
      </c>
      <c r="Y361" s="89" t="n">
        <f aca="false">IF(R361="T",1,0)</f>
        <v>0</v>
      </c>
      <c r="Z361" s="92" t="n">
        <f aca="false">IF(Q361&lt;&gt;1,"",IF(AD361=1,IF(ISNUMBER(U361),MAX(U361,0),H361),H361))</f>
        <v>2.7356</v>
      </c>
      <c r="AA361" s="91" t="n">
        <f aca="false">IF(Q361=1,IF(ISNUMBER(L361),L361,0)*K361/1000000,0)</f>
        <v>0.1937752</v>
      </c>
      <c r="AB361" s="89" t="n">
        <f aca="false">IF(Q361&lt;&gt;1,"",IFERROR(MATCH(VLOOKUP(B361,매핑!$H$4:$I$15,2,0),시장분석!$A$2:$A$601,0)+1,IFERROR(MATCH(R361&amp;"|"&amp;T361,시장분석!$V$2:$V$601,0)+1,IF(COUNTIF(시장분석!$U$2:$U$601,T361)=1,MATCH(T361,시장분석!$U$2:$U$601,0)+1,""))))</f>
        <v>75</v>
      </c>
      <c r="AC361" s="89" t="n">
        <f aca="false">IF(Q361&lt;&gt;1,0,IF(OR(설정!$C$5="전체",AND(설정!$C$5="선택펀드",IFERROR(COUNTIFS(설정!$F$16:$F$36,C361,설정!$G$16:$G$36,"Y")+COUNTIFS(설정!$F$16:$F$36,VALUE(C361),설정!$G$16:$G$36,"Y"),0)&gt;0),C361&amp;""=설정!$C$5&amp;""),1,0))</f>
        <v>0</v>
      </c>
      <c r="AD361" s="89" t="n">
        <f aca="false">IF(Q361&lt;&gt;1,0,IF(OR(S361=1,IF(AB361="",FALSE(),INDEX(시장분석!$R:$R,AB361)=1)),1,0))</f>
        <v>0</v>
      </c>
      <c r="AE361" s="43" t="str">
        <f aca="false">IF(AB361="","",INDEX(시장분석!$A:$A,AB361))</f>
        <v>INDKOR 4 09/30/29</v>
      </c>
      <c r="AF361" s="93" t="n">
        <f aca="false">IF(AB361="","",IF(ISNUMBER(IF(AB361="","",INDEX(시장분석!$E:$E,AB361))),IF(AB361="","",INDEX(시장분석!$E:$E,AB361)),""))</f>
        <v>11.572</v>
      </c>
      <c r="AG361" s="43" t="str">
        <f aca="false">IF(Q361&lt;&gt;1,"",IF(AB361&lt;&gt;"",IF(AB361="","",INDEX(시장분석!$L:$L,AB361)),IFERROR(IF(VLOOKUP(R361,매핑!$A$4:$E$92,5,0)="","미분류",VLOOKUP(R361,매핑!$A$4:$E$92,5,0)),"미분류")))</f>
        <v>정부</v>
      </c>
      <c r="AH361" s="43" t="str">
        <f aca="false">IF(Q361&lt;&gt;1,"",IF(AB361&lt;&gt;"",IF(AB361="","",INDEX(시장분석!$N:$N,AB361)),IFERROR(IF(VLOOKUP(R361,매핑!$A$4:$E$92,4,0)="","미분류",VLOOKUP(R361,매핑!$A$4:$E$92,4,0)),"미분류")))</f>
        <v>아시아/기타</v>
      </c>
      <c r="AI361" s="43" t="str">
        <f aca="false">IF(Q361&lt;&gt;1,"",IFERROR(IF(VLOOKUP(R361,매핑!$A$4:$E$92,3,0)="","미분류",VLOOKUP(R361,매핑!$A$4:$E$92,3,0)),IF(AB361&lt;&gt;"",IF(AB361="","",INDEX(시장분석!$W:$W,AB361)),"미분류")))</f>
        <v>한국</v>
      </c>
      <c r="AJ361" s="43" t="str">
        <f aca="false">IF(Q361&lt;&gt;1,"",IFERROR(VLOOKUP(IF(N361&lt;&gt;"",N361,IF(P361&lt;&gt;"",P361,O361)),설정!$A$15:$D$47,2,0),""))</f>
        <v>AA-</v>
      </c>
      <c r="AK361" s="43" t="str">
        <f aca="false">IF(Q361&lt;&gt;1,"",IF(AJ361="","무등급",IFERROR(VLOOKUP(AJ361,설정!$A$15:$D$47,3,0),"무등급")))</f>
        <v>AA이상</v>
      </c>
      <c r="AL361" s="89" t="n">
        <f aca="false">IF(AJ361="",99,IFERROR(VLOOKUP(AJ361,설정!$A$15:$D$47,4,0),99))</f>
        <v>4</v>
      </c>
      <c r="AM361" s="94" t="n">
        <f aca="false">IF(ISNUMBER(H361),AA361*1000000*H361/10000,0)</f>
        <v>53.009143712</v>
      </c>
      <c r="AN361" s="94" t="n">
        <f aca="false">IF(OR(Y361=1,NOT(ISNUMBER(Z361))),0,AA361*1000000*Z361/10000)</f>
        <v>53.009143712</v>
      </c>
      <c r="AO361" s="94" t="n">
        <f aca="false">IF(ISNUMBER(G361),AA361*1000000*G361/100,0)</f>
        <v>9945.1245896</v>
      </c>
      <c r="AP361" s="94" t="n">
        <f aca="false">IF(ISNUMBER(M361),M361*K361,0)</f>
        <v>-6820.4</v>
      </c>
      <c r="AQ361" s="95" t="n">
        <f aca="false">IF(AB361="","",INDEX(시장분석!$AK:$AK,AB361))</f>
        <v>-0.560362780128066</v>
      </c>
      <c r="AR361" s="43" t="str">
        <f aca="false">IF(AB361="","-",IF(AB361="","",INDEX(시장분석!$AL:$AL,AB361)))</f>
        <v>Fair</v>
      </c>
      <c r="AS361" s="96" t="n">
        <f aca="false">IF(AB361="","",INDEX(시장분석!$AJ:$AJ,AB361))</f>
        <v>-7.67306106126151</v>
      </c>
      <c r="AT361" s="93" t="n">
        <f aca="false">IF(AB361="",0,IF(AB361="","",INDEX(시장분석!$AN:$AN,AB361)))</f>
        <v>8.59295218963385</v>
      </c>
      <c r="AU361" s="94" t="n">
        <f aca="false">IF(ISNUMBER(Z361),AT361/10000*MAX(Z361-1,0)*AA361*1000000,0)</f>
        <v>288.994934616972</v>
      </c>
      <c r="AV361" s="94" t="n">
        <f aca="false">AO361+AU361</f>
        <v>10234.119524217</v>
      </c>
      <c r="AW361" s="43" t="str">
        <f aca="false">IF(Q361&lt;&gt;1,"",TRIM(IF(AD361=1,"FRN ","")&amp;IF(AND(AL361&gt;=10,AL361&lt;99),"BBB0미만 ","")&amp;IF(AJ361="","등급없음 ","")&amp;IF(K361&lt;&gt;1,"비USD ","")&amp;IF(AND(AB361="",Y361=0),"시장데이터없음 ","")&amp;IF(AND(ISNUMBER(U361),U361&lt;0),"만기경과 ","")))</f>
        <v/>
      </c>
      <c r="AX361" s="90" t="n">
        <f aca="false">IF(Q361&lt;&gt;1,1,IF(스프레드쇼크!$C$4="Y",INDEX(스프레드쇼크!$B$12:$L$16,IFERROR(MATCH(AH361,스프레드쇼크!$A$12:$A$16,0),MATCH("목록외",스프레드쇼크!$A$12:$A$16,0)),IFERROR(MATCH(AG361,스프레드쇼크!$B$11:$L$11,0),MATCH("목록외",스프레드쇼크!$B$11:$L$11,0))),1))</f>
        <v>1</v>
      </c>
      <c r="AY361" s="90" t="n">
        <f aca="false">IF(스프레드쇼크!$C$5="Y",IF(ISNUMBER(AF361),MIN(스프레드쇼크!$C$7,MAX(스프레드쇼크!$C$6,AF361/스프레드쇼크!$C$8)),1),1)</f>
        <v>0.25</v>
      </c>
      <c r="AZ361" s="94" t="n">
        <f aca="false">AN361*AX361*AY361</f>
        <v>13.252285928</v>
      </c>
      <c r="BA361" s="90" t="n">
        <f aca="false">IF(ISNUMBER(G361),AA361*G361,0)</f>
        <v>0.99451245896</v>
      </c>
      <c r="BB361" s="90" t="n">
        <f aca="false">IF(ISNUMBER(G361),AA361,0)</f>
        <v>0.1937752</v>
      </c>
      <c r="BC361" s="90" t="n">
        <f aca="false">IF(AND(Y361=0,ISNUMBER(AF361)),AA361*AF361,0)</f>
        <v>2.2423666144</v>
      </c>
      <c r="BD361" s="90" t="n">
        <f aca="false">IF(AND(Y361=0,ISNUMBER(AF361)),AA361,0)</f>
        <v>0.1937752</v>
      </c>
      <c r="BE361" s="90" t="n">
        <f aca="false">IF(ISNUMBER(H361),AA361*H361,0)</f>
        <v>0.53009143712</v>
      </c>
      <c r="BF361" s="90" t="n">
        <f aca="false">IF(ISNUMBER(H361),AA361,0)</f>
        <v>0.1937752</v>
      </c>
      <c r="BG361" s="90" t="n">
        <f aca="false">IF(AND(Y361=0,ISNUMBER(AF361),ISNUMBER(Z361)),AA361*Z361,0)</f>
        <v>0.53009143712</v>
      </c>
      <c r="BH361" s="90" t="n">
        <f aca="false">IF(AND(Y361=0,ISNUMBER(AF361),ISNUMBER(Z361)),AA361*AT361*MAX(Z361-1,0),0)</f>
        <v>2.88994934616972</v>
      </c>
      <c r="BI361" s="90" t="n">
        <f aca="false">IF(Y361=0,AA361,0)</f>
        <v>0.1937752</v>
      </c>
    </row>
    <row r="362" customFormat="false" ht="15" hidden="false" customHeight="false" outlineLevel="0" collapsed="false">
      <c r="A362" s="83" t="str">
        <f aca="false">IFERROR(IF(INDEX(원자료_잔고!$A$1:$EZ$1500,설정!$L$5+ROW()-1,설정!$L$8)&amp;""="0","",INDEX(원자료_잔고!$A$1:$EZ$1500,설정!$L$5+ROW()-1,설정!$L$8)&amp;""),"")</f>
        <v>INDKOR 4.375 06/24/30</v>
      </c>
      <c r="B362" s="83" t="str">
        <f aca="false">IFERROR(IF(INDEX(원자료_잔고!$A$1:$EZ$1500,설정!$L$5+ROW()-1,설정!$L$7)&amp;""="0","",INDEX(원자료_잔고!$A$1:$EZ$1500,설정!$L$5+ROW()-1,설정!$L$7)&amp;""),"")</f>
        <v>US45604HAS67</v>
      </c>
      <c r="C362" s="83" t="str">
        <f aca="false">IFERROR(IF(INDEX(원자료_잔고!$A$1:$EZ$1500,설정!$L$5+ROW()-1,설정!$L$9)&amp;""="0","",INDEX(원자료_잔고!$A$1:$EZ$1500,설정!$L$5+ROW()-1,설정!$L$9)&amp;""),"")</f>
        <v>42003</v>
      </c>
      <c r="D36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2" s="84" t="n">
        <f aca="false">IFERROR(IF(ISNUMBER(INDEX(원자료_잔고!$A$1:$EZ$1500,설정!$L$5+ROW()-1,설정!$L$11)),INDEX(원자료_잔고!$A$1:$EZ$1500,설정!$L$5+ROW()-1,설정!$L$11),""),"")</f>
        <v>6000000</v>
      </c>
      <c r="F362" s="85" t="n">
        <f aca="false">IFERROR(IF(ISNUMBER(INDEX(원자료_잔고!$A$1:$EZ$1500,설정!$L$5+ROW()-1,설정!$L$12)),INDEX(원자료_잔고!$A$1:$EZ$1500,설정!$L$5+ROW()-1,설정!$L$12),""),"")</f>
        <v>97.0134</v>
      </c>
      <c r="G362" s="85" t="n">
        <f aca="false">IFERROR(IF(ISNUMBER(INDEX(원자료_잔고!$A$1:$EZ$1500,설정!$L$5+ROW()-1,설정!$L$13)),INDEX(원자료_잔고!$A$1:$EZ$1500,설정!$L$5+ROW()-1,설정!$L$13),""),"")</f>
        <v>5.2639</v>
      </c>
      <c r="H362" s="85" t="n">
        <f aca="false">IFERROR(IF(ISNUMBER(INDEX(원자료_잔고!$A$1:$EZ$1500,설정!$L$5+ROW()-1,설정!$L$14)),INDEX(원자료_잔고!$A$1:$EZ$1500,설정!$L$5+ROW()-1,설정!$L$14),""),"")</f>
        <v>3.2824</v>
      </c>
      <c r="I362" s="86" t="n">
        <f aca="false">IFERROR(IF(ISNUMBER(INDEX(원자료_잔고!$A$1:$EZ$1500,설정!$L$5+ROW()-1,설정!$L$15)),INDEX(원자료_잔고!$A$1:$EZ$1500,설정!$L$5+ROW()-1,설정!$L$15),""),"")</f>
        <v>47658</v>
      </c>
      <c r="J362" s="85" t="n">
        <f aca="false">IFERROR(IF(ISNUMBER(INDEX(원자료_잔고!$A$1:$EZ$1500,설정!$L$5+ROW()-1,설정!$L$16)),INDEX(원자료_잔고!$A$1:$EZ$1500,설정!$L$5+ROW()-1,설정!$L$16),""),"")</f>
        <v>4.375</v>
      </c>
      <c r="K362" s="87" t="n">
        <f aca="false">IFERROR(IF(ISNUMBER(INDEX(원자료_잔고!$A$1:$EZ$1500,설정!$L$5+ROW()-1,설정!$L$17)),INDEX(원자료_잔고!$A$1:$EZ$1500,설정!$L$5+ROW()-1,설정!$L$17),""),"")</f>
        <v>1</v>
      </c>
      <c r="L362" s="84" t="n">
        <f aca="false">IFERROR(IF(ISNUMBER(INDEX(원자료_잔고!$A$1:$EZ$1500,설정!$L$5+ROW()-1,설정!$L$18)),INDEX(원자료_잔고!$A$1:$EZ$1500,설정!$L$5+ROW()-1,설정!$L$18),""),"")</f>
        <v>5820804</v>
      </c>
      <c r="M362" s="88" t="n">
        <f aca="false">IFERROR(IF(ISNUMBER(INDEX(원자료_잔고!$A$1:$EZ$1500,설정!$L$5+ROW()-1,설정!$L$19)),INDEX(원자료_잔고!$A$1:$EZ$1500,설정!$L$5+ROW()-1,설정!$L$19),""),"")</f>
        <v>-288492</v>
      </c>
      <c r="N362" s="83" t="str">
        <f aca="false">IFERROR(IF(INDEX(원자료_잔고!$A$1:$EZ$1500,설정!$L$5+ROW()-1,설정!$L$21)&amp;""="0","",INDEX(원자료_잔고!$A$1:$EZ$1500,설정!$L$5+ROW()-1,설정!$L$21)&amp;""),"")</f>
        <v/>
      </c>
      <c r="O362" s="83" t="str">
        <f aca="false">IFERROR(IF(INDEX(원자료_잔고!$A$1:$EZ$1500,설정!$L$5+ROW()-1,설정!$L$22)&amp;""="0","",INDEX(원자료_잔고!$A$1:$EZ$1500,설정!$L$5+ROW()-1,설정!$L$22)&amp;""),"")</f>
        <v/>
      </c>
      <c r="P362" s="83" t="str">
        <f aca="false">IFERROR(IF(INDEX(원자료_잔고!$A$1:$EZ$1500,설정!$L$5+ROW()-1,설정!$L$23)&amp;""="0","",INDEX(원자료_잔고!$A$1:$EZ$1500,설정!$L$5+ROW()-1,설정!$L$23)&amp;""),"")</f>
        <v>AA-</v>
      </c>
      <c r="Q362" s="89" t="n">
        <f aca="false">IF(AND($A362&lt;&gt;"",ISNUMBER(E362)),IF(E362&gt;0,1,0),0)</f>
        <v>1</v>
      </c>
      <c r="R362" s="43" t="str">
        <f aca="false">IF(Q362=1,UPPER(LEFT($A362,FIND(" ",$A362&amp;" ")-1)),"")</f>
        <v>INDKOR</v>
      </c>
      <c r="S362" s="89" t="n">
        <f aca="false">IF(Q362=1,IF(OR(ISNUMBER(SEARCH("Float",$A362)),ISNUMBER(SEARCH("FRN",$A362))),1,0),0)</f>
        <v>0</v>
      </c>
      <c r="T362" s="43" t="str">
        <f aca="false">IF(AND(Q362=1,ISNUMBER(I362)),TEXT(I362,"yyyymmdd")&amp;"|"&amp;IF(S362=1,"F",TEXT(J362,"0.000")),"")</f>
        <v>20300624|4.375</v>
      </c>
      <c r="U362" s="90" t="n">
        <f aca="false">IF(AND(Q362=1,ISNUMBER(I362)),(I362-설정!$C$4)/365.25,"")</f>
        <v>3.72895277207392</v>
      </c>
      <c r="V362" s="43" t="str">
        <f aca="false">IF(Q362&lt;&gt;1,"",IF(ISNUMBER(U362),IF(U362&lt;=1,"1년 이하",IF(U362&lt;=2,"1-2년",IF(U362&lt;=3,"2-3년",IF(U362&lt;=4,"3-4년",IF(U362&lt;=5,"4-5년",IF(U362&lt;=7,"5-7년",IF(U362&lt;=10,"7-10년",IF(U362&lt;=20,"10-20년","20년 이상")))))))),"미분류"))</f>
        <v>3-4년</v>
      </c>
      <c r="W362" s="43" t="str">
        <f aca="false">IF(Q362&lt;&gt;1,"",IF(AB362&lt;&gt;"",INDEX(시장분석!$C:$C,AB362),IF(K362=1,"USD","비USD")))</f>
        <v>USD</v>
      </c>
      <c r="X362" s="91" t="n">
        <f aca="false">IF(Q362=1,E362*K362/1000000,0)</f>
        <v>6</v>
      </c>
      <c r="Y362" s="89" t="n">
        <f aca="false">IF(R362="T",1,0)</f>
        <v>0</v>
      </c>
      <c r="Z362" s="92" t="n">
        <f aca="false">IF(Q362&lt;&gt;1,"",IF(AD362=1,IF(ISNUMBER(U362),MAX(U362,0),H362),H362))</f>
        <v>3.2824</v>
      </c>
      <c r="AA362" s="91" t="n">
        <f aca="false">IF(Q362=1,IF(ISNUMBER(L362),L362,0)*K362/1000000,0)</f>
        <v>5.820804</v>
      </c>
      <c r="AB362" s="89" t="n">
        <f aca="false">IF(Q362&lt;&gt;1,"",IFERROR(MATCH(VLOOKUP(B362,매핑!$H$4:$I$15,2,0),시장분석!$A$2:$A$601,0)+1,IFERROR(MATCH(R362&amp;"|"&amp;T362,시장분석!$V$2:$V$601,0)+1,IF(COUNTIF(시장분석!$U$2:$U$601,T362)=1,MATCH(T362,시장분석!$U$2:$U$601,0)+1,""))))</f>
        <v>76</v>
      </c>
      <c r="AC362" s="89" t="n">
        <f aca="false">IF(Q362&lt;&gt;1,0,IF(OR(설정!$C$5="전체",AND(설정!$C$5="선택펀드",IFERROR(COUNTIFS(설정!$F$16:$F$36,C362,설정!$G$16:$G$36,"Y")+COUNTIFS(설정!$F$16:$F$36,VALUE(C362),설정!$G$16:$G$36,"Y"),0)&gt;0),C362&amp;""=설정!$C$5&amp;""),1,0))</f>
        <v>0</v>
      </c>
      <c r="AD362" s="89" t="n">
        <f aca="false">IF(Q362&lt;&gt;1,0,IF(OR(S362=1,IF(AB362="",FALSE(),INDEX(시장분석!$R:$R,AB362)=1)),1,0))</f>
        <v>0</v>
      </c>
      <c r="AE362" s="43" t="str">
        <f aca="false">IF(AB362="","",INDEX(시장분석!$A:$A,AB362))</f>
        <v>INDKOR 4 3/8 06/24/30</v>
      </c>
      <c r="AF362" s="93" t="n">
        <f aca="false">IF(AB362="","",IF(ISNUMBER(IF(AB362="","",INDEX(시장분석!$E:$E,AB362))),IF(AB362="","",INDEX(시장분석!$E:$E,AB362)),""))</f>
        <v>19.307</v>
      </c>
      <c r="AG362" s="43" t="str">
        <f aca="false">IF(Q362&lt;&gt;1,"",IF(AB362&lt;&gt;"",IF(AB362="","",INDEX(시장분석!$L:$L,AB362)),IFERROR(IF(VLOOKUP(R362,매핑!$A$4:$E$92,5,0)="","미분류",VLOOKUP(R362,매핑!$A$4:$E$92,5,0)),"미분류")))</f>
        <v>정부</v>
      </c>
      <c r="AH362" s="43" t="str">
        <f aca="false">IF(Q362&lt;&gt;1,"",IF(AB362&lt;&gt;"",IF(AB362="","",INDEX(시장분석!$N:$N,AB362)),IFERROR(IF(VLOOKUP(R362,매핑!$A$4:$E$92,4,0)="","미분류",VLOOKUP(R362,매핑!$A$4:$E$92,4,0)),"미분류")))</f>
        <v>아시아/기타</v>
      </c>
      <c r="AI362" s="43" t="str">
        <f aca="false">IF(Q362&lt;&gt;1,"",IFERROR(IF(VLOOKUP(R362,매핑!$A$4:$E$92,3,0)="","미분류",VLOOKUP(R362,매핑!$A$4:$E$92,3,0)),IF(AB362&lt;&gt;"",IF(AB362="","",INDEX(시장분석!$W:$W,AB362)),"미분류")))</f>
        <v>한국</v>
      </c>
      <c r="AJ362" s="43" t="str">
        <f aca="false">IF(Q362&lt;&gt;1,"",IFERROR(VLOOKUP(IF(N362&lt;&gt;"",N362,IF(P362&lt;&gt;"",P362,O362)),설정!$A$15:$D$47,2,0),""))</f>
        <v>AA-</v>
      </c>
      <c r="AK362" s="43" t="str">
        <f aca="false">IF(Q362&lt;&gt;1,"",IF(AJ362="","무등급",IFERROR(VLOOKUP(AJ362,설정!$A$15:$D$47,3,0),"무등급")))</f>
        <v>AA이상</v>
      </c>
      <c r="AL362" s="89" t="n">
        <f aca="false">IF(AJ362="",99,IFERROR(VLOOKUP(AJ362,설정!$A$15:$D$47,4,0),99))</f>
        <v>4</v>
      </c>
      <c r="AM362" s="94" t="n">
        <f aca="false">IF(ISNUMBER(H362),AA362*1000000*H362/10000,0)</f>
        <v>1910.62070496</v>
      </c>
      <c r="AN362" s="94" t="n">
        <f aca="false">IF(OR(Y362=1,NOT(ISNUMBER(Z362))),0,AA362*1000000*Z362/10000)</f>
        <v>1910.62070496</v>
      </c>
      <c r="AO362" s="94" t="n">
        <f aca="false">IF(ISNUMBER(G362),AA362*1000000*G362/100,0)</f>
        <v>306401.301756</v>
      </c>
      <c r="AP362" s="94" t="n">
        <f aca="false">IF(ISNUMBER(M362),M362*K362,0)</f>
        <v>-288492</v>
      </c>
      <c r="AQ362" s="95" t="n">
        <f aca="false">IF(AB362="","",INDEX(시장분석!$AK:$AK,AB362))</f>
        <v>-0.267379147026006</v>
      </c>
      <c r="AR362" s="43" t="str">
        <f aca="false">IF(AB362="","-",IF(AB362="","",INDEX(시장분석!$AL:$AL,AB362)))</f>
        <v>Fair</v>
      </c>
      <c r="AS362" s="96" t="n">
        <f aca="false">IF(AB362="","",INDEX(시장분석!$AJ:$AJ,AB362))</f>
        <v>-3.66122910798909</v>
      </c>
      <c r="AT362" s="93" t="n">
        <f aca="false">IF(AB362="",0,IF(AB362="","",INDEX(시장분석!$AN:$AN,AB362)))</f>
        <v>6.83581389304707</v>
      </c>
      <c r="AU362" s="94" t="n">
        <f aca="false">IF(ISNUMBER(Z362),AT362/10000*MAX(Z362-1,0)*AA362*1000000,0)</f>
        <v>9081.65427411856</v>
      </c>
      <c r="AV362" s="94" t="n">
        <f aca="false">AO362+AU362</f>
        <v>315482.956030119</v>
      </c>
      <c r="AW362" s="43" t="str">
        <f aca="false">IF(Q362&lt;&gt;1,"",TRIM(IF(AD362=1,"FRN ","")&amp;IF(AND(AL362&gt;=10,AL362&lt;99),"BBB0미만 ","")&amp;IF(AJ362="","등급없음 ","")&amp;IF(K362&lt;&gt;1,"비USD ","")&amp;IF(AND(AB362="",Y362=0),"시장데이터없음 ","")&amp;IF(AND(ISNUMBER(U362),U362&lt;0),"만기경과 ","")))</f>
        <v/>
      </c>
      <c r="AX362" s="90" t="n">
        <f aca="false">IF(Q362&lt;&gt;1,1,IF(스프레드쇼크!$C$4="Y",INDEX(스프레드쇼크!$B$12:$L$16,IFERROR(MATCH(AH362,스프레드쇼크!$A$12:$A$16,0),MATCH("목록외",스프레드쇼크!$A$12:$A$16,0)),IFERROR(MATCH(AG362,스프레드쇼크!$B$11:$L$11,0),MATCH("목록외",스프레드쇼크!$B$11:$L$11,0))),1))</f>
        <v>1</v>
      </c>
      <c r="AY362" s="90" t="n">
        <f aca="false">IF(스프레드쇼크!$C$5="Y",IF(ISNUMBER(AF362),MIN(스프레드쇼크!$C$7,MAX(스프레드쇼크!$C$6,AF362/스프레드쇼크!$C$8)),1),1)</f>
        <v>0.292025867788743</v>
      </c>
      <c r="AZ362" s="94" t="n">
        <f aca="false">AN362*AX362*AY362</f>
        <v>557.950669381083</v>
      </c>
      <c r="BA362" s="90" t="n">
        <f aca="false">IF(ISNUMBER(G362),AA362*G362,0)</f>
        <v>30.6401301756</v>
      </c>
      <c r="BB362" s="90" t="n">
        <f aca="false">IF(ISNUMBER(G362),AA362,0)</f>
        <v>5.820804</v>
      </c>
      <c r="BC362" s="90" t="n">
        <f aca="false">IF(AND(Y362=0,ISNUMBER(AF362)),AA362*AF362,0)</f>
        <v>112.382262828</v>
      </c>
      <c r="BD362" s="90" t="n">
        <f aca="false">IF(AND(Y362=0,ISNUMBER(AF362)),AA362,0)</f>
        <v>5.820804</v>
      </c>
      <c r="BE362" s="90" t="n">
        <f aca="false">IF(ISNUMBER(H362),AA362*H362,0)</f>
        <v>19.1062070496</v>
      </c>
      <c r="BF362" s="90" t="n">
        <f aca="false">IF(ISNUMBER(H362),AA362,0)</f>
        <v>5.820804</v>
      </c>
      <c r="BG362" s="90" t="n">
        <f aca="false">IF(AND(Y362=0,ISNUMBER(AF362),ISNUMBER(Z362)),AA362*Z362,0)</f>
        <v>19.1062070496</v>
      </c>
      <c r="BH362" s="90" t="n">
        <f aca="false">IF(AND(Y362=0,ISNUMBER(AF362),ISNUMBER(Z362)),AA362*AT362*MAX(Z362-1,0),0)</f>
        <v>90.8165427411856</v>
      </c>
      <c r="BI362" s="90" t="n">
        <f aca="false">IF(Y362=0,AA362,0)</f>
        <v>5.820804</v>
      </c>
    </row>
    <row r="363" customFormat="false" ht="15" hidden="false" customHeight="false" outlineLevel="0" collapsed="false">
      <c r="A363" s="83" t="str">
        <f aca="false">IFERROR(IF(INDEX(원자료_잔고!$A$1:$EZ$1500,설정!$L$5+ROW()-1,설정!$L$8)&amp;""="0","",INDEX(원자료_잔고!$A$1:$EZ$1500,설정!$L$5+ROW()-1,설정!$L$8)&amp;""),"")</f>
        <v>INDKOR 4.375 06/24/30</v>
      </c>
      <c r="B363" s="83" t="str">
        <f aca="false">IFERROR(IF(INDEX(원자료_잔고!$A$1:$EZ$1500,설정!$L$5+ROW()-1,설정!$L$7)&amp;""="0","",INDEX(원자료_잔고!$A$1:$EZ$1500,설정!$L$5+ROW()-1,설정!$L$7)&amp;""),"")</f>
        <v>US45604HAS67</v>
      </c>
      <c r="C363" s="83" t="str">
        <f aca="false">IFERROR(IF(INDEX(원자료_잔고!$A$1:$EZ$1500,설정!$L$5+ROW()-1,설정!$L$9)&amp;""="0","",INDEX(원자료_잔고!$A$1:$EZ$1500,설정!$L$5+ROW()-1,설정!$L$9)&amp;""),"")</f>
        <v>42003</v>
      </c>
      <c r="D36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3" s="84" t="n">
        <f aca="false">IFERROR(IF(ISNUMBER(INDEX(원자료_잔고!$A$1:$EZ$1500,설정!$L$5+ROW()-1,설정!$L$11)),INDEX(원자료_잔고!$A$1:$EZ$1500,설정!$L$5+ROW()-1,설정!$L$11),""),"")</f>
        <v>4000000</v>
      </c>
      <c r="F363" s="85" t="n">
        <f aca="false">IFERROR(IF(ISNUMBER(INDEX(원자료_잔고!$A$1:$EZ$1500,설정!$L$5+ROW()-1,설정!$L$12)),INDEX(원자료_잔고!$A$1:$EZ$1500,설정!$L$5+ROW()-1,설정!$L$12),""),"")</f>
        <v>97.0134</v>
      </c>
      <c r="G363" s="85" t="n">
        <f aca="false">IFERROR(IF(ISNUMBER(INDEX(원자료_잔고!$A$1:$EZ$1500,설정!$L$5+ROW()-1,설정!$L$13)),INDEX(원자료_잔고!$A$1:$EZ$1500,설정!$L$5+ROW()-1,설정!$L$13),""),"")</f>
        <v>5.2639</v>
      </c>
      <c r="H363" s="85" t="n">
        <f aca="false">IFERROR(IF(ISNUMBER(INDEX(원자료_잔고!$A$1:$EZ$1500,설정!$L$5+ROW()-1,설정!$L$14)),INDEX(원자료_잔고!$A$1:$EZ$1500,설정!$L$5+ROW()-1,설정!$L$14),""),"")</f>
        <v>3.2824</v>
      </c>
      <c r="I363" s="86" t="n">
        <f aca="false">IFERROR(IF(ISNUMBER(INDEX(원자료_잔고!$A$1:$EZ$1500,설정!$L$5+ROW()-1,설정!$L$15)),INDEX(원자료_잔고!$A$1:$EZ$1500,설정!$L$5+ROW()-1,설정!$L$15),""),"")</f>
        <v>47658</v>
      </c>
      <c r="J363" s="85" t="n">
        <f aca="false">IFERROR(IF(ISNUMBER(INDEX(원자료_잔고!$A$1:$EZ$1500,설정!$L$5+ROW()-1,설정!$L$16)),INDEX(원자료_잔고!$A$1:$EZ$1500,설정!$L$5+ROW()-1,설정!$L$16),""),"")</f>
        <v>4.375</v>
      </c>
      <c r="K363" s="87" t="n">
        <f aca="false">IFERROR(IF(ISNUMBER(INDEX(원자료_잔고!$A$1:$EZ$1500,설정!$L$5+ROW()-1,설정!$L$17)),INDEX(원자료_잔고!$A$1:$EZ$1500,설정!$L$5+ROW()-1,설정!$L$17),""),"")</f>
        <v>1</v>
      </c>
      <c r="L363" s="84" t="n">
        <f aca="false">IFERROR(IF(ISNUMBER(INDEX(원자료_잔고!$A$1:$EZ$1500,설정!$L$5+ROW()-1,설정!$L$18)),INDEX(원자료_잔고!$A$1:$EZ$1500,설정!$L$5+ROW()-1,설정!$L$18),""),"")</f>
        <v>3880536</v>
      </c>
      <c r="M363" s="88" t="n">
        <f aca="false">IFERROR(IF(ISNUMBER(INDEX(원자료_잔고!$A$1:$EZ$1500,설정!$L$5+ROW()-1,설정!$L$19)),INDEX(원자료_잔고!$A$1:$EZ$1500,설정!$L$5+ROW()-1,설정!$L$19),""),"")</f>
        <v>-192328</v>
      </c>
      <c r="N363" s="83" t="str">
        <f aca="false">IFERROR(IF(INDEX(원자료_잔고!$A$1:$EZ$1500,설정!$L$5+ROW()-1,설정!$L$21)&amp;""="0","",INDEX(원자료_잔고!$A$1:$EZ$1500,설정!$L$5+ROW()-1,설정!$L$21)&amp;""),"")</f>
        <v/>
      </c>
      <c r="O363" s="83" t="str">
        <f aca="false">IFERROR(IF(INDEX(원자료_잔고!$A$1:$EZ$1500,설정!$L$5+ROW()-1,설정!$L$22)&amp;""="0","",INDEX(원자료_잔고!$A$1:$EZ$1500,설정!$L$5+ROW()-1,설정!$L$22)&amp;""),"")</f>
        <v/>
      </c>
      <c r="P363" s="83" t="str">
        <f aca="false">IFERROR(IF(INDEX(원자료_잔고!$A$1:$EZ$1500,설정!$L$5+ROW()-1,설정!$L$23)&amp;""="0","",INDEX(원자료_잔고!$A$1:$EZ$1500,설정!$L$5+ROW()-1,설정!$L$23)&amp;""),"")</f>
        <v>AA-</v>
      </c>
      <c r="Q363" s="89" t="n">
        <f aca="false">IF(AND($A363&lt;&gt;"",ISNUMBER(E363)),IF(E363&gt;0,1,0),0)</f>
        <v>1</v>
      </c>
      <c r="R363" s="43" t="str">
        <f aca="false">IF(Q363=1,UPPER(LEFT($A363,FIND(" ",$A363&amp;" ")-1)),"")</f>
        <v>INDKOR</v>
      </c>
      <c r="S363" s="89" t="n">
        <f aca="false">IF(Q363=1,IF(OR(ISNUMBER(SEARCH("Float",$A363)),ISNUMBER(SEARCH("FRN",$A363))),1,0),0)</f>
        <v>0</v>
      </c>
      <c r="T363" s="43" t="str">
        <f aca="false">IF(AND(Q363=1,ISNUMBER(I363)),TEXT(I363,"yyyymmdd")&amp;"|"&amp;IF(S363=1,"F",TEXT(J363,"0.000")),"")</f>
        <v>20300624|4.375</v>
      </c>
      <c r="U363" s="90" t="n">
        <f aca="false">IF(AND(Q363=1,ISNUMBER(I363)),(I363-설정!$C$4)/365.25,"")</f>
        <v>3.72895277207392</v>
      </c>
      <c r="V363" s="43" t="str">
        <f aca="false">IF(Q363&lt;&gt;1,"",IF(ISNUMBER(U363),IF(U363&lt;=1,"1년 이하",IF(U363&lt;=2,"1-2년",IF(U363&lt;=3,"2-3년",IF(U363&lt;=4,"3-4년",IF(U363&lt;=5,"4-5년",IF(U363&lt;=7,"5-7년",IF(U363&lt;=10,"7-10년",IF(U363&lt;=20,"10-20년","20년 이상")))))))),"미분류"))</f>
        <v>3-4년</v>
      </c>
      <c r="W363" s="43" t="str">
        <f aca="false">IF(Q363&lt;&gt;1,"",IF(AB363&lt;&gt;"",INDEX(시장분석!$C:$C,AB363),IF(K363=1,"USD","비USD")))</f>
        <v>USD</v>
      </c>
      <c r="X363" s="91" t="n">
        <f aca="false">IF(Q363=1,E363*K363/1000000,0)</f>
        <v>4</v>
      </c>
      <c r="Y363" s="89" t="n">
        <f aca="false">IF(R363="T",1,0)</f>
        <v>0</v>
      </c>
      <c r="Z363" s="92" t="n">
        <f aca="false">IF(Q363&lt;&gt;1,"",IF(AD363=1,IF(ISNUMBER(U363),MAX(U363,0),H363),H363))</f>
        <v>3.2824</v>
      </c>
      <c r="AA363" s="91" t="n">
        <f aca="false">IF(Q363=1,IF(ISNUMBER(L363),L363,0)*K363/1000000,0)</f>
        <v>3.880536</v>
      </c>
      <c r="AB363" s="89" t="n">
        <f aca="false">IF(Q363&lt;&gt;1,"",IFERROR(MATCH(VLOOKUP(B363,매핑!$H$4:$I$15,2,0),시장분석!$A$2:$A$601,0)+1,IFERROR(MATCH(R363&amp;"|"&amp;T363,시장분석!$V$2:$V$601,0)+1,IF(COUNTIF(시장분석!$U$2:$U$601,T363)=1,MATCH(T363,시장분석!$U$2:$U$601,0)+1,""))))</f>
        <v>76</v>
      </c>
      <c r="AC363" s="89" t="n">
        <f aca="false">IF(Q363&lt;&gt;1,0,IF(OR(설정!$C$5="전체",AND(설정!$C$5="선택펀드",IFERROR(COUNTIFS(설정!$F$16:$F$36,C363,설정!$G$16:$G$36,"Y")+COUNTIFS(설정!$F$16:$F$36,VALUE(C363),설정!$G$16:$G$36,"Y"),0)&gt;0),C363&amp;""=설정!$C$5&amp;""),1,0))</f>
        <v>0</v>
      </c>
      <c r="AD363" s="89" t="n">
        <f aca="false">IF(Q363&lt;&gt;1,0,IF(OR(S363=1,IF(AB363="",FALSE(),INDEX(시장분석!$R:$R,AB363)=1)),1,0))</f>
        <v>0</v>
      </c>
      <c r="AE363" s="43" t="str">
        <f aca="false">IF(AB363="","",INDEX(시장분석!$A:$A,AB363))</f>
        <v>INDKOR 4 3/8 06/24/30</v>
      </c>
      <c r="AF363" s="93" t="n">
        <f aca="false">IF(AB363="","",IF(ISNUMBER(IF(AB363="","",INDEX(시장분석!$E:$E,AB363))),IF(AB363="","",INDEX(시장분석!$E:$E,AB363)),""))</f>
        <v>19.307</v>
      </c>
      <c r="AG363" s="43" t="str">
        <f aca="false">IF(Q363&lt;&gt;1,"",IF(AB363&lt;&gt;"",IF(AB363="","",INDEX(시장분석!$L:$L,AB363)),IFERROR(IF(VLOOKUP(R363,매핑!$A$4:$E$92,5,0)="","미분류",VLOOKUP(R363,매핑!$A$4:$E$92,5,0)),"미분류")))</f>
        <v>정부</v>
      </c>
      <c r="AH363" s="43" t="str">
        <f aca="false">IF(Q363&lt;&gt;1,"",IF(AB363&lt;&gt;"",IF(AB363="","",INDEX(시장분석!$N:$N,AB363)),IFERROR(IF(VLOOKUP(R363,매핑!$A$4:$E$92,4,0)="","미분류",VLOOKUP(R363,매핑!$A$4:$E$92,4,0)),"미분류")))</f>
        <v>아시아/기타</v>
      </c>
      <c r="AI363" s="43" t="str">
        <f aca="false">IF(Q363&lt;&gt;1,"",IFERROR(IF(VLOOKUP(R363,매핑!$A$4:$E$92,3,0)="","미분류",VLOOKUP(R363,매핑!$A$4:$E$92,3,0)),IF(AB363&lt;&gt;"",IF(AB363="","",INDEX(시장분석!$W:$W,AB363)),"미분류")))</f>
        <v>한국</v>
      </c>
      <c r="AJ363" s="43" t="str">
        <f aca="false">IF(Q363&lt;&gt;1,"",IFERROR(VLOOKUP(IF(N363&lt;&gt;"",N363,IF(P363&lt;&gt;"",P363,O363)),설정!$A$15:$D$47,2,0),""))</f>
        <v>AA-</v>
      </c>
      <c r="AK363" s="43" t="str">
        <f aca="false">IF(Q363&lt;&gt;1,"",IF(AJ363="","무등급",IFERROR(VLOOKUP(AJ363,설정!$A$15:$D$47,3,0),"무등급")))</f>
        <v>AA이상</v>
      </c>
      <c r="AL363" s="89" t="n">
        <f aca="false">IF(AJ363="",99,IFERROR(VLOOKUP(AJ363,설정!$A$15:$D$47,4,0),99))</f>
        <v>4</v>
      </c>
      <c r="AM363" s="94" t="n">
        <f aca="false">IF(ISNUMBER(H363),AA363*1000000*H363/10000,0)</f>
        <v>1273.74713664</v>
      </c>
      <c r="AN363" s="94" t="n">
        <f aca="false">IF(OR(Y363=1,NOT(ISNUMBER(Z363))),0,AA363*1000000*Z363/10000)</f>
        <v>1273.74713664</v>
      </c>
      <c r="AO363" s="94" t="n">
        <f aca="false">IF(ISNUMBER(G363),AA363*1000000*G363/100,0)</f>
        <v>204267.534504</v>
      </c>
      <c r="AP363" s="94" t="n">
        <f aca="false">IF(ISNUMBER(M363),M363*K363,0)</f>
        <v>-192328</v>
      </c>
      <c r="AQ363" s="95" t="n">
        <f aca="false">IF(AB363="","",INDEX(시장분석!$AK:$AK,AB363))</f>
        <v>-0.267379147026006</v>
      </c>
      <c r="AR363" s="43" t="str">
        <f aca="false">IF(AB363="","-",IF(AB363="","",INDEX(시장분석!$AL:$AL,AB363)))</f>
        <v>Fair</v>
      </c>
      <c r="AS363" s="96" t="n">
        <f aca="false">IF(AB363="","",INDEX(시장분석!$AJ:$AJ,AB363))</f>
        <v>-3.66122910798909</v>
      </c>
      <c r="AT363" s="93" t="n">
        <f aca="false">IF(AB363="",0,IF(AB363="","",INDEX(시장분석!$AN:$AN,AB363)))</f>
        <v>6.83581389304707</v>
      </c>
      <c r="AU363" s="94" t="n">
        <f aca="false">IF(ISNUMBER(Z363),AT363/10000*MAX(Z363-1,0)*AA363*1000000,0)</f>
        <v>6054.43618274571</v>
      </c>
      <c r="AV363" s="94" t="n">
        <f aca="false">AO363+AU363</f>
        <v>210321.970686746</v>
      </c>
      <c r="AW363" s="43" t="str">
        <f aca="false">IF(Q363&lt;&gt;1,"",TRIM(IF(AD363=1,"FRN ","")&amp;IF(AND(AL363&gt;=10,AL363&lt;99),"BBB0미만 ","")&amp;IF(AJ363="","등급없음 ","")&amp;IF(K363&lt;&gt;1,"비USD ","")&amp;IF(AND(AB363="",Y363=0),"시장데이터없음 ","")&amp;IF(AND(ISNUMBER(U363),U363&lt;0),"만기경과 ","")))</f>
        <v/>
      </c>
      <c r="AX363" s="90" t="n">
        <f aca="false">IF(Q363&lt;&gt;1,1,IF(스프레드쇼크!$C$4="Y",INDEX(스프레드쇼크!$B$12:$L$16,IFERROR(MATCH(AH363,스프레드쇼크!$A$12:$A$16,0),MATCH("목록외",스프레드쇼크!$A$12:$A$16,0)),IFERROR(MATCH(AG363,스프레드쇼크!$B$11:$L$11,0),MATCH("목록외",스프레드쇼크!$B$11:$L$11,0))),1))</f>
        <v>1</v>
      </c>
      <c r="AY363" s="90" t="n">
        <f aca="false">IF(스프레드쇼크!$C$5="Y",IF(ISNUMBER(AF363),MIN(스프레드쇼크!$C$7,MAX(스프레드쇼크!$C$6,AF363/스프레드쇼크!$C$8)),1),1)</f>
        <v>0.292025867788743</v>
      </c>
      <c r="AZ363" s="94" t="n">
        <f aca="false">AN363*AX363*AY363</f>
        <v>371.967112920722</v>
      </c>
      <c r="BA363" s="90" t="n">
        <f aca="false">IF(ISNUMBER(G363),AA363*G363,0)</f>
        <v>20.4267534504</v>
      </c>
      <c r="BB363" s="90" t="n">
        <f aca="false">IF(ISNUMBER(G363),AA363,0)</f>
        <v>3.880536</v>
      </c>
      <c r="BC363" s="90" t="n">
        <f aca="false">IF(AND(Y363=0,ISNUMBER(AF363)),AA363*AF363,0)</f>
        <v>74.921508552</v>
      </c>
      <c r="BD363" s="90" t="n">
        <f aca="false">IF(AND(Y363=0,ISNUMBER(AF363)),AA363,0)</f>
        <v>3.880536</v>
      </c>
      <c r="BE363" s="90" t="n">
        <f aca="false">IF(ISNUMBER(H363),AA363*H363,0)</f>
        <v>12.7374713664</v>
      </c>
      <c r="BF363" s="90" t="n">
        <f aca="false">IF(ISNUMBER(H363),AA363,0)</f>
        <v>3.880536</v>
      </c>
      <c r="BG363" s="90" t="n">
        <f aca="false">IF(AND(Y363=0,ISNUMBER(AF363),ISNUMBER(Z363)),AA363*Z363,0)</f>
        <v>12.7374713664</v>
      </c>
      <c r="BH363" s="90" t="n">
        <f aca="false">IF(AND(Y363=0,ISNUMBER(AF363),ISNUMBER(Z363)),AA363*AT363*MAX(Z363-1,0),0)</f>
        <v>60.5443618274571</v>
      </c>
      <c r="BI363" s="90" t="n">
        <f aca="false">IF(Y363=0,AA363,0)</f>
        <v>3.880536</v>
      </c>
    </row>
    <row r="364" customFormat="false" ht="15" hidden="false" customHeight="false" outlineLevel="0" collapsed="false">
      <c r="A364" s="83" t="str">
        <f aca="false">IFERROR(IF(INDEX(원자료_잔고!$A$1:$EZ$1500,설정!$L$5+ROW()-1,설정!$L$8)&amp;""="0","",INDEX(원자료_잔고!$A$1:$EZ$1500,설정!$L$5+ROW()-1,설정!$L$8)&amp;""),"")</f>
        <v>KDB 4.625 02/03/2028</v>
      </c>
      <c r="B364" s="83" t="str">
        <f aca="false">IFERROR(IF(INDEX(원자료_잔고!$A$1:$EZ$1500,설정!$L$5+ROW()-1,설정!$L$7)&amp;""="0","",INDEX(원자료_잔고!$A$1:$EZ$1500,설정!$L$5+ROW()-1,설정!$L$7)&amp;""),"")</f>
        <v>US500630EG96</v>
      </c>
      <c r="C364" s="83" t="str">
        <f aca="false">IFERROR(IF(INDEX(원자료_잔고!$A$1:$EZ$1500,설정!$L$5+ROW()-1,설정!$L$9)&amp;""="0","",INDEX(원자료_잔고!$A$1:$EZ$1500,설정!$L$5+ROW()-1,설정!$L$9)&amp;""),"")</f>
        <v>42003</v>
      </c>
      <c r="D36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4" s="84" t="n">
        <f aca="false">IFERROR(IF(ISNUMBER(INDEX(원자료_잔고!$A$1:$EZ$1500,설정!$L$5+ROW()-1,설정!$L$11)),INDEX(원자료_잔고!$A$1:$EZ$1500,설정!$L$5+ROW()-1,설정!$L$11),""),"")</f>
        <v>500000</v>
      </c>
      <c r="F364" s="85" t="n">
        <f aca="false">IFERROR(IF(ISNUMBER(INDEX(원자료_잔고!$A$1:$EZ$1500,설정!$L$5+ROW()-1,설정!$L$12)),INDEX(원자료_잔고!$A$1:$EZ$1500,설정!$L$5+ROW()-1,설정!$L$12),""),"")</f>
        <v>99.5299</v>
      </c>
      <c r="G364" s="85" t="n">
        <f aca="false">IFERROR(IF(ISNUMBER(INDEX(원자료_잔고!$A$1:$EZ$1500,설정!$L$5+ROW()-1,설정!$L$13)),INDEX(원자료_잔고!$A$1:$EZ$1500,설정!$L$5+ROW()-1,설정!$L$13),""),"")</f>
        <v>4.9838</v>
      </c>
      <c r="H364" s="85" t="n">
        <f aca="false">IFERROR(IF(ISNUMBER(INDEX(원자료_잔고!$A$1:$EZ$1500,설정!$L$5+ROW()-1,설정!$L$14)),INDEX(원자료_잔고!$A$1:$EZ$1500,설정!$L$5+ROW()-1,설정!$L$14),""),"")</f>
        <v>1.2557</v>
      </c>
      <c r="I364" s="86" t="n">
        <f aca="false">IFERROR(IF(ISNUMBER(INDEX(원자료_잔고!$A$1:$EZ$1500,설정!$L$5+ROW()-1,설정!$L$15)),INDEX(원자료_잔고!$A$1:$EZ$1500,설정!$L$5+ROW()-1,설정!$L$15),""),"")</f>
        <v>46786</v>
      </c>
      <c r="J364" s="85" t="n">
        <f aca="false">IFERROR(IF(ISNUMBER(INDEX(원자료_잔고!$A$1:$EZ$1500,설정!$L$5+ROW()-1,설정!$L$16)),INDEX(원자료_잔고!$A$1:$EZ$1500,설정!$L$5+ROW()-1,설정!$L$16),""),"")</f>
        <v>4.625</v>
      </c>
      <c r="K364" s="87" t="n">
        <f aca="false">IFERROR(IF(ISNUMBER(INDEX(원자료_잔고!$A$1:$EZ$1500,설정!$L$5+ROW()-1,설정!$L$17)),INDEX(원자료_잔고!$A$1:$EZ$1500,설정!$L$5+ROW()-1,설정!$L$17),""),"")</f>
        <v>1</v>
      </c>
      <c r="L364" s="84" t="n">
        <f aca="false">IFERROR(IF(ISNUMBER(INDEX(원자료_잔고!$A$1:$EZ$1500,설정!$L$5+ROW()-1,설정!$L$18)),INDEX(원자료_잔고!$A$1:$EZ$1500,설정!$L$5+ROW()-1,설정!$L$18),""),"")</f>
        <v>497649.5</v>
      </c>
      <c r="M364" s="88" t="n">
        <f aca="false">IFERROR(IF(ISNUMBER(INDEX(원자료_잔고!$A$1:$EZ$1500,설정!$L$5+ROW()-1,설정!$L$19)),INDEX(원자료_잔고!$A$1:$EZ$1500,설정!$L$5+ROW()-1,설정!$L$19),""),"")</f>
        <v>-11477</v>
      </c>
      <c r="N364" s="83" t="str">
        <f aca="false">IFERROR(IF(INDEX(원자료_잔고!$A$1:$EZ$1500,설정!$L$5+ROW()-1,설정!$L$21)&amp;""="0","",INDEX(원자료_잔고!$A$1:$EZ$1500,설정!$L$5+ROW()-1,설정!$L$21)&amp;""),"")</f>
        <v>AA</v>
      </c>
      <c r="O364" s="83" t="str">
        <f aca="false">IFERROR(IF(INDEX(원자료_잔고!$A$1:$EZ$1500,설정!$L$5+ROW()-1,설정!$L$22)&amp;""="0","",INDEX(원자료_잔고!$A$1:$EZ$1500,설정!$L$5+ROW()-1,설정!$L$22)&amp;""),"")</f>
        <v/>
      </c>
      <c r="P364" s="83" t="str">
        <f aca="false">IFERROR(IF(INDEX(원자료_잔고!$A$1:$EZ$1500,설정!$L$5+ROW()-1,설정!$L$23)&amp;""="0","",INDEX(원자료_잔고!$A$1:$EZ$1500,설정!$L$5+ROW()-1,설정!$L$23)&amp;""),"")</f>
        <v>AA-</v>
      </c>
      <c r="Q364" s="89" t="n">
        <f aca="false">IF(AND($A364&lt;&gt;"",ISNUMBER(E364)),IF(E364&gt;0,1,0),0)</f>
        <v>1</v>
      </c>
      <c r="R364" s="43" t="str">
        <f aca="false">IF(Q364=1,UPPER(LEFT($A364,FIND(" ",$A364&amp;" ")-1)),"")</f>
        <v>KDB</v>
      </c>
      <c r="S364" s="89" t="n">
        <f aca="false">IF(Q364=1,IF(OR(ISNUMBER(SEARCH("Float",$A364)),ISNUMBER(SEARCH("FRN",$A364))),1,0),0)</f>
        <v>0</v>
      </c>
      <c r="T364" s="43" t="str">
        <f aca="false">IF(AND(Q364=1,ISNUMBER(I364)),TEXT(I364,"yyyymmdd")&amp;"|"&amp;IF(S364=1,"F",TEXT(J364,"0.000")),"")</f>
        <v>20280203|4.625</v>
      </c>
      <c r="U364" s="90" t="n">
        <f aca="false">IF(AND(Q364=1,ISNUMBER(I364)),(I364-설정!$C$4)/365.25,"")</f>
        <v>1.34154688569473</v>
      </c>
      <c r="V364" s="43" t="str">
        <f aca="false">IF(Q364&lt;&gt;1,"",IF(ISNUMBER(U364),IF(U364&lt;=1,"1년 이하",IF(U364&lt;=2,"1-2년",IF(U364&lt;=3,"2-3년",IF(U364&lt;=4,"3-4년",IF(U364&lt;=5,"4-5년",IF(U364&lt;=7,"5-7년",IF(U364&lt;=10,"7-10년",IF(U364&lt;=20,"10-20년","20년 이상")))))))),"미분류"))</f>
        <v>1-2년</v>
      </c>
      <c r="W364" s="43" t="str">
        <f aca="false">IF(Q364&lt;&gt;1,"",IF(AB364&lt;&gt;"",INDEX(시장분석!$C:$C,AB364),IF(K364=1,"USD","비USD")))</f>
        <v>USD</v>
      </c>
      <c r="X364" s="91" t="n">
        <f aca="false">IF(Q364=1,E364*K364/1000000,0)</f>
        <v>0.5</v>
      </c>
      <c r="Y364" s="89" t="n">
        <f aca="false">IF(R364="T",1,0)</f>
        <v>0</v>
      </c>
      <c r="Z364" s="92" t="n">
        <f aca="false">IF(Q364&lt;&gt;1,"",IF(AD364=1,IF(ISNUMBER(U364),MAX(U364,0),H364),H364))</f>
        <v>1.2557</v>
      </c>
      <c r="AA364" s="91" t="n">
        <f aca="false">IF(Q364=1,IF(ISNUMBER(L364),L364,0)*K364/1000000,0)</f>
        <v>0.4976495</v>
      </c>
      <c r="AB364" s="89" t="n">
        <f aca="false">IF(Q364&lt;&gt;1,"",IFERROR(MATCH(VLOOKUP(B364,매핑!$H$4:$I$15,2,0),시장분석!$A$2:$A$601,0)+1,IFERROR(MATCH(R364&amp;"|"&amp;T364,시장분석!$V$2:$V$601,0)+1,IF(COUNTIF(시장분석!$U$2:$U$601,T364)=1,MATCH(T364,시장분석!$U$2:$U$601,0)+1,""))))</f>
        <v>86</v>
      </c>
      <c r="AC364" s="89" t="n">
        <f aca="false">IF(Q364&lt;&gt;1,0,IF(OR(설정!$C$5="전체",AND(설정!$C$5="선택펀드",IFERROR(COUNTIFS(설정!$F$16:$F$36,C364,설정!$G$16:$G$36,"Y")+COUNTIFS(설정!$F$16:$F$36,VALUE(C364),설정!$G$16:$G$36,"Y"),0)&gt;0),C364&amp;""=설정!$C$5&amp;""),1,0))</f>
        <v>0</v>
      </c>
      <c r="AD364" s="89" t="n">
        <f aca="false">IF(Q364&lt;&gt;1,0,IF(OR(S364=1,IF(AB364="",FALSE(),INDEX(시장분석!$R:$R,AB364)=1)),1,0))</f>
        <v>0</v>
      </c>
      <c r="AE364" s="43" t="str">
        <f aca="false">IF(AB364="","",INDEX(시장분석!$A:$A,AB364))</f>
        <v>KDB 4 5/8 02/03/28</v>
      </c>
      <c r="AF364" s="93" t="n">
        <f aca="false">IF(AB364="","",IF(ISNUMBER(IF(AB364="","",INDEX(시장분석!$E:$E,AB364))),IF(AB364="","",INDEX(시장분석!$E:$E,AB364)),""))</f>
        <v>11.933</v>
      </c>
      <c r="AG364" s="43" t="str">
        <f aca="false">IF(Q364&lt;&gt;1,"",IF(AB364&lt;&gt;"",IF(AB364="","",INDEX(시장분석!$L:$L,AB364)),IFERROR(IF(VLOOKUP(R364,매핑!$A$4:$E$92,5,0)="","미분류",VLOOKUP(R364,매핑!$A$4:$E$92,5,0)),"미분류")))</f>
        <v>정부</v>
      </c>
      <c r="AH364" s="43" t="str">
        <f aca="false">IF(Q364&lt;&gt;1,"",IF(AB364&lt;&gt;"",IF(AB364="","",INDEX(시장분석!$N:$N,AB364)),IFERROR(IF(VLOOKUP(R364,매핑!$A$4:$E$92,4,0)="","미분류",VLOOKUP(R364,매핑!$A$4:$E$92,4,0)),"미분류")))</f>
        <v>아시아/기타</v>
      </c>
      <c r="AI364" s="43" t="str">
        <f aca="false">IF(Q364&lt;&gt;1,"",IFERROR(IF(VLOOKUP(R364,매핑!$A$4:$E$92,3,0)="","미분류",VLOOKUP(R364,매핑!$A$4:$E$92,3,0)),IF(AB364&lt;&gt;"",IF(AB364="","",INDEX(시장분석!$W:$W,AB364)),"미분류")))</f>
        <v>한국</v>
      </c>
      <c r="AJ364" s="43" t="str">
        <f aca="false">IF(Q364&lt;&gt;1,"",IFERROR(VLOOKUP(IF(N364&lt;&gt;"",N364,IF(P364&lt;&gt;"",P364,O364)),설정!$A$15:$D$47,2,0),""))</f>
        <v>AA</v>
      </c>
      <c r="AK364" s="43" t="str">
        <f aca="false">IF(Q364&lt;&gt;1,"",IF(AJ364="","무등급",IFERROR(VLOOKUP(AJ364,설정!$A$15:$D$47,3,0),"무등급")))</f>
        <v>AA이상</v>
      </c>
      <c r="AL364" s="89" t="n">
        <f aca="false">IF(AJ364="",99,IFERROR(VLOOKUP(AJ364,설정!$A$15:$D$47,4,0),99))</f>
        <v>3</v>
      </c>
      <c r="AM364" s="94" t="n">
        <f aca="false">IF(ISNUMBER(H364),AA364*1000000*H364/10000,0)</f>
        <v>62.489847715</v>
      </c>
      <c r="AN364" s="94" t="n">
        <f aca="false">IF(OR(Y364=1,NOT(ISNUMBER(Z364))),0,AA364*1000000*Z364/10000)</f>
        <v>62.489847715</v>
      </c>
      <c r="AO364" s="94" t="n">
        <f aca="false">IF(ISNUMBER(G364),AA364*1000000*G364/100,0)</f>
        <v>24801.855781</v>
      </c>
      <c r="AP364" s="94" t="n">
        <f aca="false">IF(ISNUMBER(M364),M364*K364,0)</f>
        <v>-11477</v>
      </c>
      <c r="AQ364" s="95" t="n">
        <f aca="false">IF(AB364="","",INDEX(시장분석!$AK:$AK,AB364))</f>
        <v>0.601659474954012</v>
      </c>
      <c r="AR364" s="43" t="str">
        <f aca="false">IF(AB364="","-",IF(AB364="","",INDEX(시장분석!$AL:$AL,AB364)))</f>
        <v>Fair</v>
      </c>
      <c r="AS364" s="96" t="n">
        <f aca="false">IF(AB364="","",INDEX(시장분석!$AJ:$AJ,AB364))</f>
        <v>8.23853769936967</v>
      </c>
      <c r="AT364" s="93" t="n">
        <f aca="false">IF(AB364="",0,IF(AB364="","",INDEX(시장분석!$AN:$AN,AB364)))</f>
        <v>0</v>
      </c>
      <c r="AU364" s="94" t="n">
        <f aca="false">IF(ISNUMBER(Z364),AT364/10000*MAX(Z364-1,0)*AA364*1000000,0)</f>
        <v>0</v>
      </c>
      <c r="AV364" s="94" t="n">
        <f aca="false">AO364+AU364</f>
        <v>24801.855781</v>
      </c>
      <c r="AW364" s="43" t="str">
        <f aca="false">IF(Q364&lt;&gt;1,"",TRIM(IF(AD364=1,"FRN ","")&amp;IF(AND(AL364&gt;=10,AL364&lt;99),"BBB0미만 ","")&amp;IF(AJ364="","등급없음 ","")&amp;IF(K364&lt;&gt;1,"비USD ","")&amp;IF(AND(AB364="",Y364=0),"시장데이터없음 ","")&amp;IF(AND(ISNUMBER(U364),U364&lt;0),"만기경과 ","")))</f>
        <v/>
      </c>
      <c r="AX364" s="90" t="n">
        <f aca="false">IF(Q364&lt;&gt;1,1,IF(스프레드쇼크!$C$4="Y",INDEX(스프레드쇼크!$B$12:$L$16,IFERROR(MATCH(AH364,스프레드쇼크!$A$12:$A$16,0),MATCH("목록외",스프레드쇼크!$A$12:$A$16,0)),IFERROR(MATCH(AG364,스프레드쇼크!$B$11:$L$11,0),MATCH("목록외",스프레드쇼크!$B$11:$L$11,0))),1))</f>
        <v>1</v>
      </c>
      <c r="AY364" s="90" t="n">
        <f aca="false">IF(스프레드쇼크!$C$5="Y",IF(ISNUMBER(AF364),MIN(스프레드쇼크!$C$7,MAX(스프레드쇼크!$C$6,AF364/스프레드쇼크!$C$8)),1),1)</f>
        <v>0.25</v>
      </c>
      <c r="AZ364" s="94" t="n">
        <f aca="false">AN364*AX364*AY364</f>
        <v>15.62246192875</v>
      </c>
      <c r="BA364" s="90" t="n">
        <f aca="false">IF(ISNUMBER(G364),AA364*G364,0)</f>
        <v>2.4801855781</v>
      </c>
      <c r="BB364" s="90" t="n">
        <f aca="false">IF(ISNUMBER(G364),AA364,0)</f>
        <v>0.4976495</v>
      </c>
      <c r="BC364" s="90" t="n">
        <f aca="false">IF(AND(Y364=0,ISNUMBER(AF364)),AA364*AF364,0)</f>
        <v>5.9384514835</v>
      </c>
      <c r="BD364" s="90" t="n">
        <f aca="false">IF(AND(Y364=0,ISNUMBER(AF364)),AA364,0)</f>
        <v>0.4976495</v>
      </c>
      <c r="BE364" s="90" t="n">
        <f aca="false">IF(ISNUMBER(H364),AA364*H364,0)</f>
        <v>0.62489847715</v>
      </c>
      <c r="BF364" s="90" t="n">
        <f aca="false">IF(ISNUMBER(H364),AA364,0)</f>
        <v>0.4976495</v>
      </c>
      <c r="BG364" s="90" t="n">
        <f aca="false">IF(AND(Y364=0,ISNUMBER(AF364),ISNUMBER(Z364)),AA364*Z364,0)</f>
        <v>0.62489847715</v>
      </c>
      <c r="BH364" s="90" t="n">
        <f aca="false">IF(AND(Y364=0,ISNUMBER(AF364),ISNUMBER(Z364)),AA364*AT364*MAX(Z364-1,0),0)</f>
        <v>0</v>
      </c>
      <c r="BI364" s="90" t="n">
        <f aca="false">IF(Y364=0,AA364,0)</f>
        <v>0.4976495</v>
      </c>
    </row>
    <row r="365" customFormat="false" ht="15" hidden="false" customHeight="false" outlineLevel="0" collapsed="false">
      <c r="A365" s="83" t="str">
        <f aca="false">IFERROR(IF(INDEX(원자료_잔고!$A$1:$EZ$1500,설정!$L$5+ROW()-1,설정!$L$8)&amp;""="0","",INDEX(원자료_잔고!$A$1:$EZ$1500,설정!$L$5+ROW()-1,설정!$L$8)&amp;""),"")</f>
        <v>KDB 4.875 02/03/2030</v>
      </c>
      <c r="B365" s="83" t="str">
        <f aca="false">IFERROR(IF(INDEX(원자료_잔고!$A$1:$EZ$1500,설정!$L$5+ROW()-1,설정!$L$7)&amp;""="0","",INDEX(원자료_잔고!$A$1:$EZ$1500,설정!$L$5+ROW()-1,설정!$L$7)&amp;""),"")</f>
        <v>US500630EH79</v>
      </c>
      <c r="C365" s="83" t="str">
        <f aca="false">IFERROR(IF(INDEX(원자료_잔고!$A$1:$EZ$1500,설정!$L$5+ROW()-1,설정!$L$9)&amp;""="0","",INDEX(원자료_잔고!$A$1:$EZ$1500,설정!$L$5+ROW()-1,설정!$L$9)&amp;""),"")</f>
        <v>42003</v>
      </c>
      <c r="D36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5" s="84" t="n">
        <f aca="false">IFERROR(IF(ISNUMBER(INDEX(원자료_잔고!$A$1:$EZ$1500,설정!$L$5+ROW()-1,설정!$L$11)),INDEX(원자료_잔고!$A$1:$EZ$1500,설정!$L$5+ROW()-1,설정!$L$11),""),"")</f>
        <v>500000</v>
      </c>
      <c r="F365" s="85" t="n">
        <f aca="false">IFERROR(IF(ISNUMBER(INDEX(원자료_잔고!$A$1:$EZ$1500,설정!$L$5+ROW()-1,설정!$L$12)),INDEX(원자료_잔고!$A$1:$EZ$1500,설정!$L$5+ROW()-1,설정!$L$12),""),"")</f>
        <v>98.9167</v>
      </c>
      <c r="G365" s="85" t="n">
        <f aca="false">IFERROR(IF(ISNUMBER(INDEX(원자료_잔고!$A$1:$EZ$1500,설정!$L$5+ROW()-1,설정!$L$13)),INDEX(원자료_잔고!$A$1:$EZ$1500,설정!$L$5+ROW()-1,설정!$L$13),""),"")</f>
        <v>5.229</v>
      </c>
      <c r="H365" s="85" t="n">
        <f aca="false">IFERROR(IF(ISNUMBER(INDEX(원자료_잔고!$A$1:$EZ$1500,설정!$L$5+ROW()-1,설정!$L$14)),INDEX(원자료_잔고!$A$1:$EZ$1500,설정!$L$5+ROW()-1,설정!$L$14),""),"")</f>
        <v>2.9653</v>
      </c>
      <c r="I365" s="86" t="n">
        <f aca="false">IFERROR(IF(ISNUMBER(INDEX(원자료_잔고!$A$1:$EZ$1500,설정!$L$5+ROW()-1,설정!$L$15)),INDEX(원자료_잔고!$A$1:$EZ$1500,설정!$L$5+ROW()-1,설정!$L$15),""),"")</f>
        <v>47517</v>
      </c>
      <c r="J365" s="85" t="n">
        <f aca="false">IFERROR(IF(ISNUMBER(INDEX(원자료_잔고!$A$1:$EZ$1500,설정!$L$5+ROW()-1,설정!$L$16)),INDEX(원자료_잔고!$A$1:$EZ$1500,설정!$L$5+ROW()-1,설정!$L$16),""),"")</f>
        <v>4.875</v>
      </c>
      <c r="K365" s="87" t="n">
        <f aca="false">IFERROR(IF(ISNUMBER(INDEX(원자료_잔고!$A$1:$EZ$1500,설정!$L$5+ROW()-1,설정!$L$17)),INDEX(원자료_잔고!$A$1:$EZ$1500,설정!$L$5+ROW()-1,설정!$L$17),""),"")</f>
        <v>1</v>
      </c>
      <c r="L365" s="84" t="n">
        <f aca="false">IFERROR(IF(ISNUMBER(INDEX(원자료_잔고!$A$1:$EZ$1500,설정!$L$5+ROW()-1,설정!$L$18)),INDEX(원자료_잔고!$A$1:$EZ$1500,설정!$L$5+ROW()-1,설정!$L$18),""),"")</f>
        <v>494583.5</v>
      </c>
      <c r="M365" s="88" t="n">
        <f aca="false">IFERROR(IF(ISNUMBER(INDEX(원자료_잔고!$A$1:$EZ$1500,설정!$L$5+ROW()-1,설정!$L$19)),INDEX(원자료_잔고!$A$1:$EZ$1500,설정!$L$5+ROW()-1,설정!$L$19),""),"")</f>
        <v>-23698.5</v>
      </c>
      <c r="N365" s="83" t="str">
        <f aca="false">IFERROR(IF(INDEX(원자료_잔고!$A$1:$EZ$1500,설정!$L$5+ROW()-1,설정!$L$21)&amp;""="0","",INDEX(원자료_잔고!$A$1:$EZ$1500,설정!$L$5+ROW()-1,설정!$L$21)&amp;""),"")</f>
        <v>AA</v>
      </c>
      <c r="O365" s="83" t="str">
        <f aca="false">IFERROR(IF(INDEX(원자료_잔고!$A$1:$EZ$1500,설정!$L$5+ROW()-1,설정!$L$22)&amp;""="0","",INDEX(원자료_잔고!$A$1:$EZ$1500,설정!$L$5+ROW()-1,설정!$L$22)&amp;""),"")</f>
        <v/>
      </c>
      <c r="P365" s="83" t="str">
        <f aca="false">IFERROR(IF(INDEX(원자료_잔고!$A$1:$EZ$1500,설정!$L$5+ROW()-1,설정!$L$23)&amp;""="0","",INDEX(원자료_잔고!$A$1:$EZ$1500,설정!$L$5+ROW()-1,설정!$L$23)&amp;""),"")</f>
        <v>AA-</v>
      </c>
      <c r="Q365" s="89" t="n">
        <f aca="false">IF(AND($A365&lt;&gt;"",ISNUMBER(E365)),IF(E365&gt;0,1,0),0)</f>
        <v>1</v>
      </c>
      <c r="R365" s="43" t="str">
        <f aca="false">IF(Q365=1,UPPER(LEFT($A365,FIND(" ",$A365&amp;" ")-1)),"")</f>
        <v>KDB</v>
      </c>
      <c r="S365" s="89" t="n">
        <f aca="false">IF(Q365=1,IF(OR(ISNUMBER(SEARCH("Float",$A365)),ISNUMBER(SEARCH("FRN",$A365))),1,0),0)</f>
        <v>0</v>
      </c>
      <c r="T365" s="43" t="str">
        <f aca="false">IF(AND(Q365=1,ISNUMBER(I365)),TEXT(I365,"yyyymmdd")&amp;"|"&amp;IF(S365=1,"F",TEXT(J365,"0.000")),"")</f>
        <v>20300203|4.875</v>
      </c>
      <c r="U365" s="90" t="n">
        <f aca="false">IF(AND(Q365=1,ISNUMBER(I365)),(I365-설정!$C$4)/365.25,"")</f>
        <v>3.3429158110883</v>
      </c>
      <c r="V365" s="43" t="str">
        <f aca="false">IF(Q365&lt;&gt;1,"",IF(ISNUMBER(U365),IF(U365&lt;=1,"1년 이하",IF(U365&lt;=2,"1-2년",IF(U365&lt;=3,"2-3년",IF(U365&lt;=4,"3-4년",IF(U365&lt;=5,"4-5년",IF(U365&lt;=7,"5-7년",IF(U365&lt;=10,"7-10년",IF(U365&lt;=20,"10-20년","20년 이상")))))))),"미분류"))</f>
        <v>3-4년</v>
      </c>
      <c r="W365" s="43" t="str">
        <f aca="false">IF(Q365&lt;&gt;1,"",IF(AB365&lt;&gt;"",INDEX(시장분석!$C:$C,AB365),IF(K365=1,"USD","비USD")))</f>
        <v>USD</v>
      </c>
      <c r="X365" s="91" t="n">
        <f aca="false">IF(Q365=1,E365*K365/1000000,0)</f>
        <v>0.5</v>
      </c>
      <c r="Y365" s="89" t="n">
        <f aca="false">IF(R365="T",1,0)</f>
        <v>0</v>
      </c>
      <c r="Z365" s="92" t="n">
        <f aca="false">IF(Q365&lt;&gt;1,"",IF(AD365=1,IF(ISNUMBER(U365),MAX(U365,0),H365),H365))</f>
        <v>2.9653</v>
      </c>
      <c r="AA365" s="91" t="n">
        <f aca="false">IF(Q365=1,IF(ISNUMBER(L365),L365,0)*K365/1000000,0)</f>
        <v>0.4945835</v>
      </c>
      <c r="AB365" s="89" t="n">
        <f aca="false">IF(Q365&lt;&gt;1,"",IFERROR(MATCH(VLOOKUP(B365,매핑!$H$4:$I$15,2,0),시장분석!$A$2:$A$601,0)+1,IFERROR(MATCH(R365&amp;"|"&amp;T365,시장분석!$V$2:$V$601,0)+1,IF(COUNTIF(시장분석!$U$2:$U$601,T365)=1,MATCH(T365,시장분석!$U$2:$U$601,0)+1,""))))</f>
        <v>87</v>
      </c>
      <c r="AC365" s="89" t="n">
        <f aca="false">IF(Q365&lt;&gt;1,0,IF(OR(설정!$C$5="전체",AND(설정!$C$5="선택펀드",IFERROR(COUNTIFS(설정!$F$16:$F$36,C365,설정!$G$16:$G$36,"Y")+COUNTIFS(설정!$F$16:$F$36,VALUE(C365),설정!$G$16:$G$36,"Y"),0)&gt;0),C365&amp;""=설정!$C$5&amp;""),1,0))</f>
        <v>0</v>
      </c>
      <c r="AD365" s="89" t="n">
        <f aca="false">IF(Q365&lt;&gt;1,0,IF(OR(S365=1,IF(AB365="",FALSE(),INDEX(시장분석!$R:$R,AB365)=1)),1,0))</f>
        <v>0</v>
      </c>
      <c r="AE365" s="43" t="str">
        <f aca="false">IF(AB365="","",INDEX(시장분석!$A:$A,AB365))</f>
        <v>KDB 4 7/8 02/03/30</v>
      </c>
      <c r="AF365" s="93" t="n">
        <f aca="false">IF(AB365="","",IF(ISNUMBER(IF(AB365="","",INDEX(시장분석!$E:$E,AB365))),IF(AB365="","",INDEX(시장분석!$E:$E,AB365)),""))</f>
        <v>17.919</v>
      </c>
      <c r="AG365" s="43" t="str">
        <f aca="false">IF(Q365&lt;&gt;1,"",IF(AB365&lt;&gt;"",IF(AB365="","",INDEX(시장분석!$L:$L,AB365)),IFERROR(IF(VLOOKUP(R365,매핑!$A$4:$E$92,5,0)="","미분류",VLOOKUP(R365,매핑!$A$4:$E$92,5,0)),"미분류")))</f>
        <v>정부</v>
      </c>
      <c r="AH365" s="43" t="str">
        <f aca="false">IF(Q365&lt;&gt;1,"",IF(AB365&lt;&gt;"",IF(AB365="","",INDEX(시장분석!$N:$N,AB365)),IFERROR(IF(VLOOKUP(R365,매핑!$A$4:$E$92,4,0)="","미분류",VLOOKUP(R365,매핑!$A$4:$E$92,4,0)),"미분류")))</f>
        <v>아시아/기타</v>
      </c>
      <c r="AI365" s="43" t="str">
        <f aca="false">IF(Q365&lt;&gt;1,"",IFERROR(IF(VLOOKUP(R365,매핑!$A$4:$E$92,3,0)="","미분류",VLOOKUP(R365,매핑!$A$4:$E$92,3,0)),IF(AB365&lt;&gt;"",IF(AB365="","",INDEX(시장분석!$W:$W,AB365)),"미분류")))</f>
        <v>한국</v>
      </c>
      <c r="AJ365" s="43" t="str">
        <f aca="false">IF(Q365&lt;&gt;1,"",IFERROR(VLOOKUP(IF(N365&lt;&gt;"",N365,IF(P365&lt;&gt;"",P365,O365)),설정!$A$15:$D$47,2,0),""))</f>
        <v>AA</v>
      </c>
      <c r="AK365" s="43" t="str">
        <f aca="false">IF(Q365&lt;&gt;1,"",IF(AJ365="","무등급",IFERROR(VLOOKUP(AJ365,설정!$A$15:$D$47,3,0),"무등급")))</f>
        <v>AA이상</v>
      </c>
      <c r="AL365" s="89" t="n">
        <f aca="false">IF(AJ365="",99,IFERROR(VLOOKUP(AJ365,설정!$A$15:$D$47,4,0),99))</f>
        <v>3</v>
      </c>
      <c r="AM365" s="94" t="n">
        <f aca="false">IF(ISNUMBER(H365),AA365*1000000*H365/10000,0)</f>
        <v>146.658845255</v>
      </c>
      <c r="AN365" s="94" t="n">
        <f aca="false">IF(OR(Y365=1,NOT(ISNUMBER(Z365))),0,AA365*1000000*Z365/10000)</f>
        <v>146.658845255</v>
      </c>
      <c r="AO365" s="94" t="n">
        <f aca="false">IF(ISNUMBER(G365),AA365*1000000*G365/100,0)</f>
        <v>25861.771215</v>
      </c>
      <c r="AP365" s="94" t="n">
        <f aca="false">IF(ISNUMBER(M365),M365*K365,0)</f>
        <v>-23698.5</v>
      </c>
      <c r="AQ365" s="95" t="n">
        <f aca="false">IF(AB365="","",INDEX(시장분석!$AK:$AK,AB365))</f>
        <v>-0.217047661208135</v>
      </c>
      <c r="AR365" s="43" t="str">
        <f aca="false">IF(AB365="","-",IF(AB365="","",INDEX(시장분석!$AL:$AL,AB365)))</f>
        <v>Fair</v>
      </c>
      <c r="AS365" s="96" t="n">
        <f aca="false">IF(AB365="","",INDEX(시장분석!$AJ:$AJ,AB365))</f>
        <v>-2.97203885895741</v>
      </c>
      <c r="AT365" s="93" t="n">
        <f aca="false">IF(AB365="",0,IF(AB365="","",INDEX(시장분석!$AN:$AN,AB365)))</f>
        <v>7.75604608106062</v>
      </c>
      <c r="AU365" s="94" t="n">
        <f aca="false">IF(ISNUMBER(Z365),AT365/10000*MAX(Z365-1,0)*AA365*1000000,0)</f>
        <v>753.891520299694</v>
      </c>
      <c r="AV365" s="94" t="n">
        <f aca="false">AO365+AU365</f>
        <v>26615.6627352997</v>
      </c>
      <c r="AW365" s="43" t="str">
        <f aca="false">IF(Q365&lt;&gt;1,"",TRIM(IF(AD365=1,"FRN ","")&amp;IF(AND(AL365&gt;=10,AL365&lt;99),"BBB0미만 ","")&amp;IF(AJ365="","등급없음 ","")&amp;IF(K365&lt;&gt;1,"비USD ","")&amp;IF(AND(AB365="",Y365=0),"시장데이터없음 ","")&amp;IF(AND(ISNUMBER(U365),U365&lt;0),"만기경과 ","")))</f>
        <v/>
      </c>
      <c r="AX365" s="90" t="n">
        <f aca="false">IF(Q365&lt;&gt;1,1,IF(스프레드쇼크!$C$4="Y",INDEX(스프레드쇼크!$B$12:$L$16,IFERROR(MATCH(AH365,스프레드쇼크!$A$12:$A$16,0),MATCH("목록외",스프레드쇼크!$A$12:$A$16,0)),IFERROR(MATCH(AG365,스프레드쇼크!$B$11:$L$11,0),MATCH("목록외",스프레드쇼크!$B$11:$L$11,0))),1))</f>
        <v>1</v>
      </c>
      <c r="AY365" s="90" t="n">
        <f aca="false">IF(스프레드쇼크!$C$5="Y",IF(ISNUMBER(AF365),MIN(스프레드쇼크!$C$7,MAX(스프레드쇼크!$C$6,AF365/스프레드쇼크!$C$8)),1),1)</f>
        <v>0.271031829124487</v>
      </c>
      <c r="AZ365" s="94" t="n">
        <f aca="false">AN365*AX365*AY365</f>
        <v>39.7492150867478</v>
      </c>
      <c r="BA365" s="90" t="n">
        <f aca="false">IF(ISNUMBER(G365),AA365*G365,0)</f>
        <v>2.5861771215</v>
      </c>
      <c r="BB365" s="90" t="n">
        <f aca="false">IF(ISNUMBER(G365),AA365,0)</f>
        <v>0.4945835</v>
      </c>
      <c r="BC365" s="90" t="n">
        <f aca="false">IF(AND(Y365=0,ISNUMBER(AF365)),AA365*AF365,0)</f>
        <v>8.8624417365</v>
      </c>
      <c r="BD365" s="90" t="n">
        <f aca="false">IF(AND(Y365=0,ISNUMBER(AF365)),AA365,0)</f>
        <v>0.4945835</v>
      </c>
      <c r="BE365" s="90" t="n">
        <f aca="false">IF(ISNUMBER(H365),AA365*H365,0)</f>
        <v>1.46658845255</v>
      </c>
      <c r="BF365" s="90" t="n">
        <f aca="false">IF(ISNUMBER(H365),AA365,0)</f>
        <v>0.4945835</v>
      </c>
      <c r="BG365" s="90" t="n">
        <f aca="false">IF(AND(Y365=0,ISNUMBER(AF365),ISNUMBER(Z365)),AA365*Z365,0)</f>
        <v>1.46658845255</v>
      </c>
      <c r="BH365" s="90" t="n">
        <f aca="false">IF(AND(Y365=0,ISNUMBER(AF365),ISNUMBER(Z365)),AA365*AT365*MAX(Z365-1,0),0)</f>
        <v>7.53891520299694</v>
      </c>
      <c r="BI365" s="90" t="n">
        <f aca="false">IF(Y365=0,AA365,0)</f>
        <v>0.4945835</v>
      </c>
    </row>
    <row r="366" customFormat="false" ht="15" hidden="false" customHeight="false" outlineLevel="0" collapsed="false">
      <c r="A366" s="83" t="str">
        <f aca="false">IFERROR(IF(INDEX(원자료_잔고!$A$1:$EZ$1500,설정!$L$5+ROW()-1,설정!$L$8)&amp;""="0","",INDEX(원자료_잔고!$A$1:$EZ$1500,설정!$L$5+ROW()-1,설정!$L$8)&amp;""),"")</f>
        <v>KDB 3.75 09/16/30</v>
      </c>
      <c r="B366" s="83" t="str">
        <f aca="false">IFERROR(IF(INDEX(원자료_잔고!$A$1:$EZ$1500,설정!$L$5+ROW()-1,설정!$L$7)&amp;""="0","",INDEX(원자료_잔고!$A$1:$EZ$1500,설정!$L$5+ROW()-1,설정!$L$7)&amp;""),"")</f>
        <v>US500630EK09</v>
      </c>
      <c r="C366" s="83" t="str">
        <f aca="false">IFERROR(IF(INDEX(원자료_잔고!$A$1:$EZ$1500,설정!$L$5+ROW()-1,설정!$L$9)&amp;""="0","",INDEX(원자료_잔고!$A$1:$EZ$1500,설정!$L$5+ROW()-1,설정!$L$9)&amp;""),"")</f>
        <v>42003</v>
      </c>
      <c r="D36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6" s="84" t="n">
        <f aca="false">IFERROR(IF(ISNUMBER(INDEX(원자료_잔고!$A$1:$EZ$1500,설정!$L$5+ROW()-1,설정!$L$11)),INDEX(원자료_잔고!$A$1:$EZ$1500,설정!$L$5+ROW()-1,설정!$L$11),""),"")</f>
        <v>13400000</v>
      </c>
      <c r="F366" s="85" t="n">
        <f aca="false">IFERROR(IF(ISNUMBER(INDEX(원자료_잔고!$A$1:$EZ$1500,설정!$L$5+ROW()-1,설정!$L$12)),INDEX(원자료_잔고!$A$1:$EZ$1500,설정!$L$5+ROW()-1,설정!$L$12),""),"")</f>
        <v>94.7742</v>
      </c>
      <c r="G366" s="85" t="n">
        <f aca="false">IFERROR(IF(ISNUMBER(INDEX(원자료_잔고!$A$1:$EZ$1500,설정!$L$5+ROW()-1,설정!$L$13)),INDEX(원자료_잔고!$A$1:$EZ$1500,설정!$L$5+ROW()-1,설정!$L$13),""),"")</f>
        <v>5.2267</v>
      </c>
      <c r="H366" s="85" t="n">
        <f aca="false">IFERROR(IF(ISNUMBER(INDEX(원자료_잔고!$A$1:$EZ$1500,설정!$L$5+ROW()-1,설정!$L$14)),INDEX(원자료_잔고!$A$1:$EZ$1500,설정!$L$5+ROW()-1,설정!$L$14),""),"")</f>
        <v>3.5467</v>
      </c>
      <c r="I366" s="86" t="n">
        <f aca="false">IFERROR(IF(ISNUMBER(INDEX(원자료_잔고!$A$1:$EZ$1500,설정!$L$5+ROW()-1,설정!$L$15)),INDEX(원자료_잔고!$A$1:$EZ$1500,설정!$L$5+ROW()-1,설정!$L$15),""),"")</f>
        <v>47742</v>
      </c>
      <c r="J366" s="85" t="n">
        <f aca="false">IFERROR(IF(ISNUMBER(INDEX(원자료_잔고!$A$1:$EZ$1500,설정!$L$5+ROW()-1,설정!$L$16)),INDEX(원자료_잔고!$A$1:$EZ$1500,설정!$L$5+ROW()-1,설정!$L$16),""),"")</f>
        <v>3.75</v>
      </c>
      <c r="K366" s="87" t="n">
        <f aca="false">IFERROR(IF(ISNUMBER(INDEX(원자료_잔고!$A$1:$EZ$1500,설정!$L$5+ROW()-1,설정!$L$17)),INDEX(원자료_잔고!$A$1:$EZ$1500,설정!$L$5+ROW()-1,설정!$L$17),""),"")</f>
        <v>1</v>
      </c>
      <c r="L366" s="84" t="n">
        <f aca="false">IFERROR(IF(ISNUMBER(INDEX(원자료_잔고!$A$1:$EZ$1500,설정!$L$5+ROW()-1,설정!$L$18)),INDEX(원자료_잔고!$A$1:$EZ$1500,설정!$L$5+ROW()-1,설정!$L$18),""),"")</f>
        <v>12699742.8</v>
      </c>
      <c r="M366" s="88" t="n">
        <f aca="false">IFERROR(IF(ISNUMBER(INDEX(원자료_잔고!$A$1:$EZ$1500,설정!$L$5+ROW()-1,설정!$L$19)),INDEX(원자료_잔고!$A$1:$EZ$1500,설정!$L$5+ROW()-1,설정!$L$19),""),"")</f>
        <v>-614725</v>
      </c>
      <c r="N366" s="83" t="str">
        <f aca="false">IFERROR(IF(INDEX(원자료_잔고!$A$1:$EZ$1500,설정!$L$5+ROW()-1,설정!$L$21)&amp;""="0","",INDEX(원자료_잔고!$A$1:$EZ$1500,설정!$L$5+ROW()-1,설정!$L$21)&amp;""),"")</f>
        <v>AA</v>
      </c>
      <c r="O366" s="83" t="str">
        <f aca="false">IFERROR(IF(INDEX(원자료_잔고!$A$1:$EZ$1500,설정!$L$5+ROW()-1,설정!$L$22)&amp;""="0","",INDEX(원자료_잔고!$A$1:$EZ$1500,설정!$L$5+ROW()-1,설정!$L$22)&amp;""),"")</f>
        <v/>
      </c>
      <c r="P366" s="83" t="str">
        <f aca="false">IFERROR(IF(INDEX(원자료_잔고!$A$1:$EZ$1500,설정!$L$5+ROW()-1,설정!$L$23)&amp;""="0","",INDEX(원자료_잔고!$A$1:$EZ$1500,설정!$L$5+ROW()-1,설정!$L$23)&amp;""),"")</f>
        <v>AA-</v>
      </c>
      <c r="Q366" s="89" t="n">
        <f aca="false">IF(AND($A366&lt;&gt;"",ISNUMBER(E366)),IF(E366&gt;0,1,0),0)</f>
        <v>1</v>
      </c>
      <c r="R366" s="43" t="str">
        <f aca="false">IF(Q366=1,UPPER(LEFT($A366,FIND(" ",$A366&amp;" ")-1)),"")</f>
        <v>KDB</v>
      </c>
      <c r="S366" s="89" t="n">
        <f aca="false">IF(Q366=1,IF(OR(ISNUMBER(SEARCH("Float",$A366)),ISNUMBER(SEARCH("FRN",$A366))),1,0),0)</f>
        <v>0</v>
      </c>
      <c r="T366" s="43" t="str">
        <f aca="false">IF(AND(Q366=1,ISNUMBER(I366)),TEXT(I366,"yyyymmdd")&amp;"|"&amp;IF(S366=1,"F",TEXT(J366,"0.000")),"")</f>
        <v>20300916|3.750</v>
      </c>
      <c r="U366" s="90" t="n">
        <f aca="false">IF(AND(Q366=1,ISNUMBER(I366)),(I366-설정!$C$4)/365.25,"")</f>
        <v>3.95893223819302</v>
      </c>
      <c r="V366" s="43" t="str">
        <f aca="false">IF(Q366&lt;&gt;1,"",IF(ISNUMBER(U366),IF(U366&lt;=1,"1년 이하",IF(U366&lt;=2,"1-2년",IF(U366&lt;=3,"2-3년",IF(U366&lt;=4,"3-4년",IF(U366&lt;=5,"4-5년",IF(U366&lt;=7,"5-7년",IF(U366&lt;=10,"7-10년",IF(U366&lt;=20,"10-20년","20년 이상")))))))),"미분류"))</f>
        <v>3-4년</v>
      </c>
      <c r="W366" s="43" t="str">
        <f aca="false">IF(Q366&lt;&gt;1,"",IF(AB366&lt;&gt;"",INDEX(시장분석!$C:$C,AB366),IF(K366=1,"USD","비USD")))</f>
        <v>USD</v>
      </c>
      <c r="X366" s="91" t="n">
        <f aca="false">IF(Q366=1,E366*K366/1000000,0)</f>
        <v>13.4</v>
      </c>
      <c r="Y366" s="89" t="n">
        <f aca="false">IF(R366="T",1,0)</f>
        <v>0</v>
      </c>
      <c r="Z366" s="92" t="n">
        <f aca="false">IF(Q366&lt;&gt;1,"",IF(AD366=1,IF(ISNUMBER(U366),MAX(U366,0),H366),H366))</f>
        <v>3.5467</v>
      </c>
      <c r="AA366" s="91" t="n">
        <f aca="false">IF(Q366=1,IF(ISNUMBER(L366),L366,0)*K366/1000000,0)</f>
        <v>12.6997428</v>
      </c>
      <c r="AB366" s="89" t="n">
        <f aca="false">IF(Q366&lt;&gt;1,"",IFERROR(MATCH(VLOOKUP(B366,매핑!$H$4:$I$15,2,0),시장분석!$A$2:$A$601,0)+1,IFERROR(MATCH(R366&amp;"|"&amp;T366,시장분석!$V$2:$V$601,0)+1,IF(COUNTIF(시장분석!$U$2:$U$601,T366)=1,MATCH(T366,시장분석!$U$2:$U$601,0)+1,""))))</f>
        <v>88</v>
      </c>
      <c r="AC366" s="89" t="n">
        <f aca="false">IF(Q366&lt;&gt;1,0,IF(OR(설정!$C$5="전체",AND(설정!$C$5="선택펀드",IFERROR(COUNTIFS(설정!$F$16:$F$36,C366,설정!$G$16:$G$36,"Y")+COUNTIFS(설정!$F$16:$F$36,VALUE(C366),설정!$G$16:$G$36,"Y"),0)&gt;0),C366&amp;""=설정!$C$5&amp;""),1,0))</f>
        <v>0</v>
      </c>
      <c r="AD366" s="89" t="n">
        <f aca="false">IF(Q366&lt;&gt;1,0,IF(OR(S366=1,IF(AB366="",FALSE(),INDEX(시장분석!$R:$R,AB366)=1)),1,0))</f>
        <v>0</v>
      </c>
      <c r="AE366" s="43" t="str">
        <f aca="false">IF(AB366="","",INDEX(시장분석!$A:$A,AB366))</f>
        <v>KDB 3 3/4 09/16/30</v>
      </c>
      <c r="AF366" s="93" t="n">
        <f aca="false">IF(AB366="","",IF(ISNUMBER(IF(AB366="","",INDEX(시장분석!$E:$E,AB366))),IF(AB366="","",INDEX(시장분석!$E:$E,AB366)),""))</f>
        <v>15.182</v>
      </c>
      <c r="AG366" s="43" t="str">
        <f aca="false">IF(Q366&lt;&gt;1,"",IF(AB366&lt;&gt;"",IF(AB366="","",INDEX(시장분석!$L:$L,AB366)),IFERROR(IF(VLOOKUP(R366,매핑!$A$4:$E$92,5,0)="","미분류",VLOOKUP(R366,매핑!$A$4:$E$92,5,0)),"미분류")))</f>
        <v>정부</v>
      </c>
      <c r="AH366" s="43" t="str">
        <f aca="false">IF(Q366&lt;&gt;1,"",IF(AB366&lt;&gt;"",IF(AB366="","",INDEX(시장분석!$N:$N,AB366)),IFERROR(IF(VLOOKUP(R366,매핑!$A$4:$E$92,4,0)="","미분류",VLOOKUP(R366,매핑!$A$4:$E$92,4,0)),"미분류")))</f>
        <v>아시아/기타</v>
      </c>
      <c r="AI366" s="43" t="str">
        <f aca="false">IF(Q366&lt;&gt;1,"",IFERROR(IF(VLOOKUP(R366,매핑!$A$4:$E$92,3,0)="","미분류",VLOOKUP(R366,매핑!$A$4:$E$92,3,0)),IF(AB366&lt;&gt;"",IF(AB366="","",INDEX(시장분석!$W:$W,AB366)),"미분류")))</f>
        <v>한국</v>
      </c>
      <c r="AJ366" s="43" t="str">
        <f aca="false">IF(Q366&lt;&gt;1,"",IFERROR(VLOOKUP(IF(N366&lt;&gt;"",N366,IF(P366&lt;&gt;"",P366,O366)),설정!$A$15:$D$47,2,0),""))</f>
        <v>AA</v>
      </c>
      <c r="AK366" s="43" t="str">
        <f aca="false">IF(Q366&lt;&gt;1,"",IF(AJ366="","무등급",IFERROR(VLOOKUP(AJ366,설정!$A$15:$D$47,3,0),"무등급")))</f>
        <v>AA이상</v>
      </c>
      <c r="AL366" s="89" t="n">
        <f aca="false">IF(AJ366="",99,IFERROR(VLOOKUP(AJ366,설정!$A$15:$D$47,4,0),99))</f>
        <v>3</v>
      </c>
      <c r="AM366" s="94" t="n">
        <f aca="false">IF(ISNUMBER(H366),AA366*1000000*H366/10000,0)</f>
        <v>4504.217778876</v>
      </c>
      <c r="AN366" s="94" t="n">
        <f aca="false">IF(OR(Y366=1,NOT(ISNUMBER(Z366))),0,AA366*1000000*Z366/10000)</f>
        <v>4504.217778876</v>
      </c>
      <c r="AO366" s="94" t="n">
        <f aca="false">IF(ISNUMBER(G366),AA366*1000000*G366/100,0)</f>
        <v>663777.4569276</v>
      </c>
      <c r="AP366" s="94" t="n">
        <f aca="false">IF(ISNUMBER(M366),M366*K366,0)</f>
        <v>-614725</v>
      </c>
      <c r="AQ366" s="95" t="n">
        <f aca="false">IF(AB366="","",INDEX(시장분석!$AK:$AK,AB366))</f>
        <v>-0.676061744453759</v>
      </c>
      <c r="AR366" s="43" t="str">
        <f aca="false">IF(AB366="","-",IF(AB366="","",INDEX(시장분석!$AL:$AL,AB366)))</f>
        <v>Fair</v>
      </c>
      <c r="AS366" s="96" t="n">
        <f aca="false">IF(AB366="","",INDEX(시장분석!$AJ:$AJ,AB366))</f>
        <v>-9.25732976981647</v>
      </c>
      <c r="AT366" s="93" t="n">
        <f aca="false">IF(AB366="",0,IF(AB366="","",INDEX(시장분석!$AN:$AN,AB366)))</f>
        <v>6.26186189390808</v>
      </c>
      <c r="AU366" s="94" t="n">
        <f aca="false">IF(ISNUMBER(Z366),AT366/10000*MAX(Z366-1,0)*AA366*1000000,0)</f>
        <v>20252.3861212316</v>
      </c>
      <c r="AV366" s="94" t="n">
        <f aca="false">AO366+AU366</f>
        <v>684029.843048832</v>
      </c>
      <c r="AW366" s="43" t="str">
        <f aca="false">IF(Q366&lt;&gt;1,"",TRIM(IF(AD366=1,"FRN ","")&amp;IF(AND(AL366&gt;=10,AL366&lt;99),"BBB0미만 ","")&amp;IF(AJ366="","등급없음 ","")&amp;IF(K366&lt;&gt;1,"비USD ","")&amp;IF(AND(AB366="",Y366=0),"시장데이터없음 ","")&amp;IF(AND(ISNUMBER(U366),U366&lt;0),"만기경과 ","")))</f>
        <v/>
      </c>
      <c r="AX366" s="90" t="n">
        <f aca="false">IF(Q366&lt;&gt;1,1,IF(스프레드쇼크!$C$4="Y",INDEX(스프레드쇼크!$B$12:$L$16,IFERROR(MATCH(AH366,스프레드쇼크!$A$12:$A$16,0),MATCH("목록외",스프레드쇼크!$A$12:$A$16,0)),IFERROR(MATCH(AG366,스프레드쇼크!$B$11:$L$11,0),MATCH("목록외",스프레드쇼크!$B$11:$L$11,0))),1))</f>
        <v>1</v>
      </c>
      <c r="AY366" s="90" t="n">
        <f aca="false">IF(스프레드쇼크!$C$5="Y",IF(ISNUMBER(AF366),MIN(스프레드쇼크!$C$7,MAX(스프레드쇼크!$C$6,AF366/스프레드쇼크!$C$8)),1),1)</f>
        <v>0.25</v>
      </c>
      <c r="AZ366" s="94" t="n">
        <f aca="false">AN366*AX366*AY366</f>
        <v>1126.054444719</v>
      </c>
      <c r="BA366" s="90" t="n">
        <f aca="false">IF(ISNUMBER(G366),AA366*G366,0)</f>
        <v>66.37774569276</v>
      </c>
      <c r="BB366" s="90" t="n">
        <f aca="false">IF(ISNUMBER(G366),AA366,0)</f>
        <v>12.6997428</v>
      </c>
      <c r="BC366" s="90" t="n">
        <f aca="false">IF(AND(Y366=0,ISNUMBER(AF366)),AA366*AF366,0)</f>
        <v>192.8074951896</v>
      </c>
      <c r="BD366" s="90" t="n">
        <f aca="false">IF(AND(Y366=0,ISNUMBER(AF366)),AA366,0)</f>
        <v>12.6997428</v>
      </c>
      <c r="BE366" s="90" t="n">
        <f aca="false">IF(ISNUMBER(H366),AA366*H366,0)</f>
        <v>45.04217778876</v>
      </c>
      <c r="BF366" s="90" t="n">
        <f aca="false">IF(ISNUMBER(H366),AA366,0)</f>
        <v>12.6997428</v>
      </c>
      <c r="BG366" s="90" t="n">
        <f aca="false">IF(AND(Y366=0,ISNUMBER(AF366),ISNUMBER(Z366)),AA366*Z366,0)</f>
        <v>45.04217778876</v>
      </c>
      <c r="BH366" s="90" t="n">
        <f aca="false">IF(AND(Y366=0,ISNUMBER(AF366),ISNUMBER(Z366)),AA366*AT366*MAX(Z366-1,0),0)</f>
        <v>202.523861212316</v>
      </c>
      <c r="BI366" s="90" t="n">
        <f aca="false">IF(Y366=0,AA366,0)</f>
        <v>12.6997428</v>
      </c>
    </row>
    <row r="367" customFormat="false" ht="15" hidden="false" customHeight="false" outlineLevel="0" collapsed="false">
      <c r="A367" s="83" t="str">
        <f aca="false">IFERROR(IF(INDEX(원자료_잔고!$A$1:$EZ$1500,설정!$L$5+ROW()-1,설정!$L$8)&amp;""="0","",INDEX(원자료_잔고!$A$1:$EZ$1500,설정!$L$5+ROW()-1,설정!$L$8)&amp;""),"")</f>
        <v>KDB 3.75 01/28/29</v>
      </c>
      <c r="B367" s="83" t="str">
        <f aca="false">IFERROR(IF(INDEX(원자료_잔고!$A$1:$EZ$1500,설정!$L$5+ROW()-1,설정!$L$7)&amp;""="0","",INDEX(원자료_잔고!$A$1:$EZ$1500,설정!$L$5+ROW()-1,설정!$L$7)&amp;""),"")</f>
        <v>US500630EM64</v>
      </c>
      <c r="C367" s="83" t="str">
        <f aca="false">IFERROR(IF(INDEX(원자료_잔고!$A$1:$EZ$1500,설정!$L$5+ROW()-1,설정!$L$9)&amp;""="0","",INDEX(원자료_잔고!$A$1:$EZ$1500,설정!$L$5+ROW()-1,설정!$L$9)&amp;""),"")</f>
        <v>42003</v>
      </c>
      <c r="D36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7" s="84" t="n">
        <f aca="false">IFERROR(IF(ISNUMBER(INDEX(원자료_잔고!$A$1:$EZ$1500,설정!$L$5+ROW()-1,설정!$L$11)),INDEX(원자료_잔고!$A$1:$EZ$1500,설정!$L$5+ROW()-1,설정!$L$11),""),"")</f>
        <v>3700000</v>
      </c>
      <c r="F367" s="85" t="n">
        <f aca="false">IFERROR(IF(ISNUMBER(INDEX(원자료_잔고!$A$1:$EZ$1500,설정!$L$5+ROW()-1,설정!$L$12)),INDEX(원자료_잔고!$A$1:$EZ$1500,설정!$L$5+ROW()-1,설정!$L$12),""),"")</f>
        <v>97.1471</v>
      </c>
      <c r="G367" s="85" t="n">
        <f aca="false">IFERROR(IF(ISNUMBER(INDEX(원자료_잔고!$A$1:$EZ$1500,설정!$L$5+ROW()-1,설정!$L$13)),INDEX(원자료_잔고!$A$1:$EZ$1500,설정!$L$5+ROW()-1,설정!$L$13),""),"")</f>
        <v>5.0622</v>
      </c>
      <c r="H367" s="85" t="n">
        <f aca="false">IFERROR(IF(ISNUMBER(INDEX(원자료_잔고!$A$1:$EZ$1500,설정!$L$5+ROW()-1,설정!$L$14)),INDEX(원자료_잔고!$A$1:$EZ$1500,설정!$L$5+ROW()-1,설정!$L$14),""),"")</f>
        <v>2.1419</v>
      </c>
      <c r="I367" s="86" t="n">
        <f aca="false">IFERROR(IF(ISNUMBER(INDEX(원자료_잔고!$A$1:$EZ$1500,설정!$L$5+ROW()-1,설정!$L$15)),INDEX(원자료_잔고!$A$1:$EZ$1500,설정!$L$5+ROW()-1,설정!$L$15),""),"")</f>
        <v>47146</v>
      </c>
      <c r="J367" s="85" t="n">
        <f aca="false">IFERROR(IF(ISNUMBER(INDEX(원자료_잔고!$A$1:$EZ$1500,설정!$L$5+ROW()-1,설정!$L$16)),INDEX(원자료_잔고!$A$1:$EZ$1500,설정!$L$5+ROW()-1,설정!$L$16),""),"")</f>
        <v>3.75</v>
      </c>
      <c r="K367" s="87" t="n">
        <f aca="false">IFERROR(IF(ISNUMBER(INDEX(원자료_잔고!$A$1:$EZ$1500,설정!$L$5+ROW()-1,설정!$L$17)),INDEX(원자료_잔고!$A$1:$EZ$1500,설정!$L$5+ROW()-1,설정!$L$17),""),"")</f>
        <v>1</v>
      </c>
      <c r="L367" s="84" t="n">
        <f aca="false">IFERROR(IF(ISNUMBER(INDEX(원자료_잔고!$A$1:$EZ$1500,설정!$L$5+ROW()-1,설정!$L$18)),INDEX(원자료_잔고!$A$1:$EZ$1500,설정!$L$5+ROW()-1,설정!$L$18),""),"")</f>
        <v>3594442.7</v>
      </c>
      <c r="M367" s="88" t="n">
        <f aca="false">IFERROR(IF(ISNUMBER(INDEX(원자료_잔고!$A$1:$EZ$1500,설정!$L$5+ROW()-1,설정!$L$19)),INDEX(원자료_잔고!$A$1:$EZ$1500,설정!$L$5+ROW()-1,설정!$L$19),""),"")</f>
        <v>-94087.3</v>
      </c>
      <c r="N367" s="83" t="str">
        <f aca="false">IFERROR(IF(INDEX(원자료_잔고!$A$1:$EZ$1500,설정!$L$5+ROW()-1,설정!$L$21)&amp;""="0","",INDEX(원자료_잔고!$A$1:$EZ$1500,설정!$L$5+ROW()-1,설정!$L$21)&amp;""),"")</f>
        <v>AA</v>
      </c>
      <c r="O367" s="83" t="str">
        <f aca="false">IFERROR(IF(INDEX(원자료_잔고!$A$1:$EZ$1500,설정!$L$5+ROW()-1,설정!$L$22)&amp;""="0","",INDEX(원자료_잔고!$A$1:$EZ$1500,설정!$L$5+ROW()-1,설정!$L$22)&amp;""),"")</f>
        <v/>
      </c>
      <c r="P367" s="83" t="str">
        <f aca="false">IFERROR(IF(INDEX(원자료_잔고!$A$1:$EZ$1500,설정!$L$5+ROW()-1,설정!$L$23)&amp;""="0","",INDEX(원자료_잔고!$A$1:$EZ$1500,설정!$L$5+ROW()-1,설정!$L$23)&amp;""),"")</f>
        <v>N/A</v>
      </c>
      <c r="Q367" s="89" t="n">
        <f aca="false">IF(AND($A367&lt;&gt;"",ISNUMBER(E367)),IF(E367&gt;0,1,0),0)</f>
        <v>1</v>
      </c>
      <c r="R367" s="43" t="str">
        <f aca="false">IF(Q367=1,UPPER(LEFT($A367,FIND(" ",$A367&amp;" ")-1)),"")</f>
        <v>KDB</v>
      </c>
      <c r="S367" s="89" t="n">
        <f aca="false">IF(Q367=1,IF(OR(ISNUMBER(SEARCH("Float",$A367)),ISNUMBER(SEARCH("FRN",$A367))),1,0),0)</f>
        <v>0</v>
      </c>
      <c r="T367" s="43" t="str">
        <f aca="false">IF(AND(Q367=1,ISNUMBER(I367)),TEXT(I367,"yyyymmdd")&amp;"|"&amp;IF(S367=1,"F",TEXT(J367,"0.000")),"")</f>
        <v>20290128|3.750</v>
      </c>
      <c r="U367" s="90" t="n">
        <f aca="false">IF(AND(Q367=1,ISNUMBER(I367)),(I367-설정!$C$4)/365.25,"")</f>
        <v>2.32717316906229</v>
      </c>
      <c r="V367" s="43" t="str">
        <f aca="false">IF(Q367&lt;&gt;1,"",IF(ISNUMBER(U367),IF(U367&lt;=1,"1년 이하",IF(U367&lt;=2,"1-2년",IF(U367&lt;=3,"2-3년",IF(U367&lt;=4,"3-4년",IF(U367&lt;=5,"4-5년",IF(U367&lt;=7,"5-7년",IF(U367&lt;=10,"7-10년",IF(U367&lt;=20,"10-20년","20년 이상")))))))),"미분류"))</f>
        <v>2-3년</v>
      </c>
      <c r="W367" s="43" t="str">
        <f aca="false">IF(Q367&lt;&gt;1,"",IF(AB367&lt;&gt;"",INDEX(시장분석!$C:$C,AB367),IF(K367=1,"USD","비USD")))</f>
        <v>USD</v>
      </c>
      <c r="X367" s="91" t="n">
        <f aca="false">IF(Q367=1,E367*K367/1000000,0)</f>
        <v>3.7</v>
      </c>
      <c r="Y367" s="89" t="n">
        <f aca="false">IF(R367="T",1,0)</f>
        <v>0</v>
      </c>
      <c r="Z367" s="92" t="n">
        <f aca="false">IF(Q367&lt;&gt;1,"",IF(AD367=1,IF(ISNUMBER(U367),MAX(U367,0),H367),H367))</f>
        <v>2.1419</v>
      </c>
      <c r="AA367" s="91" t="n">
        <f aca="false">IF(Q367=1,IF(ISNUMBER(L367),L367,0)*K367/1000000,0)</f>
        <v>3.5944427</v>
      </c>
      <c r="AB367" s="89" t="n">
        <f aca="false">IF(Q367&lt;&gt;1,"",IFERROR(MATCH(VLOOKUP(B367,매핑!$H$4:$I$15,2,0),시장분석!$A$2:$A$601,0)+1,IFERROR(MATCH(R367&amp;"|"&amp;T367,시장분석!$V$2:$V$601,0)+1,IF(COUNTIF(시장분석!$U$2:$U$601,T367)=1,MATCH(T367,시장분석!$U$2:$U$601,0)+1,""))))</f>
        <v>89</v>
      </c>
      <c r="AC367" s="89" t="n">
        <f aca="false">IF(Q367&lt;&gt;1,0,IF(OR(설정!$C$5="전체",AND(설정!$C$5="선택펀드",IFERROR(COUNTIFS(설정!$F$16:$F$36,C367,설정!$G$16:$G$36,"Y")+COUNTIFS(설정!$F$16:$F$36,VALUE(C367),설정!$G$16:$G$36,"Y"),0)&gt;0),C367&amp;""=설정!$C$5&amp;""),1,0))</f>
        <v>0</v>
      </c>
      <c r="AD367" s="89" t="n">
        <f aca="false">IF(Q367&lt;&gt;1,0,IF(OR(S367=1,IF(AB367="",FALSE(),INDEX(시장분석!$R:$R,AB367)=1)),1,0))</f>
        <v>0</v>
      </c>
      <c r="AE367" s="43" t="str">
        <f aca="false">IF(AB367="","",INDEX(시장분석!$A:$A,AB367))</f>
        <v>KDB 3 3/4 01/28/29</v>
      </c>
      <c r="AF367" s="93" t="n">
        <f aca="false">IF(AB367="","",IF(ISNUMBER(IF(AB367="","",INDEX(시장분석!$E:$E,AB367))),IF(AB367="","",INDEX(시장분석!$E:$E,AB367)),""))</f>
        <v>7.298</v>
      </c>
      <c r="AG367" s="43" t="str">
        <f aca="false">IF(Q367&lt;&gt;1,"",IF(AB367&lt;&gt;"",IF(AB367="","",INDEX(시장분석!$L:$L,AB367)),IFERROR(IF(VLOOKUP(R367,매핑!$A$4:$E$92,5,0)="","미분류",VLOOKUP(R367,매핑!$A$4:$E$92,5,0)),"미분류")))</f>
        <v>정부</v>
      </c>
      <c r="AH367" s="43" t="str">
        <f aca="false">IF(Q367&lt;&gt;1,"",IF(AB367&lt;&gt;"",IF(AB367="","",INDEX(시장분석!$N:$N,AB367)),IFERROR(IF(VLOOKUP(R367,매핑!$A$4:$E$92,4,0)="","미분류",VLOOKUP(R367,매핑!$A$4:$E$92,4,0)),"미분류")))</f>
        <v>아시아/기타</v>
      </c>
      <c r="AI367" s="43" t="str">
        <f aca="false">IF(Q367&lt;&gt;1,"",IFERROR(IF(VLOOKUP(R367,매핑!$A$4:$E$92,3,0)="","미분류",VLOOKUP(R367,매핑!$A$4:$E$92,3,0)),IF(AB367&lt;&gt;"",IF(AB367="","",INDEX(시장분석!$W:$W,AB367)),"미분류")))</f>
        <v>한국</v>
      </c>
      <c r="AJ367" s="43" t="str">
        <f aca="false">IF(Q367&lt;&gt;1,"",IFERROR(VLOOKUP(IF(N367&lt;&gt;"",N367,IF(P367&lt;&gt;"",P367,O367)),설정!$A$15:$D$47,2,0),""))</f>
        <v>AA</v>
      </c>
      <c r="AK367" s="43" t="str">
        <f aca="false">IF(Q367&lt;&gt;1,"",IF(AJ367="","무등급",IFERROR(VLOOKUP(AJ367,설정!$A$15:$D$47,3,0),"무등급")))</f>
        <v>AA이상</v>
      </c>
      <c r="AL367" s="89" t="n">
        <f aca="false">IF(AJ367="",99,IFERROR(VLOOKUP(AJ367,설정!$A$15:$D$47,4,0),99))</f>
        <v>3</v>
      </c>
      <c r="AM367" s="94" t="n">
        <f aca="false">IF(ISNUMBER(H367),AA367*1000000*H367/10000,0)</f>
        <v>769.893681913</v>
      </c>
      <c r="AN367" s="94" t="n">
        <f aca="false">IF(OR(Y367=1,NOT(ISNUMBER(Z367))),0,AA367*1000000*Z367/10000)</f>
        <v>769.893681913</v>
      </c>
      <c r="AO367" s="94" t="n">
        <f aca="false">IF(ISNUMBER(G367),AA367*1000000*G367/100,0)</f>
        <v>181957.8783594</v>
      </c>
      <c r="AP367" s="94" t="n">
        <f aca="false">IF(ISNUMBER(M367),M367*K367,0)</f>
        <v>-94087.3</v>
      </c>
      <c r="AQ367" s="95" t="n">
        <f aca="false">IF(AB367="","",INDEX(시장분석!$AK:$AK,AB367))</f>
        <v>-0.517574826325052</v>
      </c>
      <c r="AR367" s="43" t="str">
        <f aca="false">IF(AB367="","-",IF(AB367="","",INDEX(시장분석!$AL:$AL,AB367)))</f>
        <v>Fair</v>
      </c>
      <c r="AS367" s="96" t="n">
        <f aca="false">IF(AB367="","",INDEX(시장분석!$AJ:$AJ,AB367))</f>
        <v>-7.08716457801912</v>
      </c>
      <c r="AT367" s="93" t="n">
        <f aca="false">IF(AB367="",0,IF(AB367="","",INDEX(시장분석!$AN:$AN,AB367)))</f>
        <v>11.8209121565212</v>
      </c>
      <c r="AU367" s="94" t="n">
        <f aca="false">IF(ISNUMBER(Z367),AT367/10000*MAX(Z367-1,0)*AA367*1000000,0)</f>
        <v>4851.88644291936</v>
      </c>
      <c r="AV367" s="94" t="n">
        <f aca="false">AO367+AU367</f>
        <v>186809.764802319</v>
      </c>
      <c r="AW367" s="43" t="str">
        <f aca="false">IF(Q367&lt;&gt;1,"",TRIM(IF(AD367=1,"FRN ","")&amp;IF(AND(AL367&gt;=10,AL367&lt;99),"BBB0미만 ","")&amp;IF(AJ367="","등급없음 ","")&amp;IF(K367&lt;&gt;1,"비USD ","")&amp;IF(AND(AB367="",Y367=0),"시장데이터없음 ","")&amp;IF(AND(ISNUMBER(U367),U367&lt;0),"만기경과 ","")))</f>
        <v/>
      </c>
      <c r="AX367" s="90" t="n">
        <f aca="false">IF(Q367&lt;&gt;1,1,IF(스프레드쇼크!$C$4="Y",INDEX(스프레드쇼크!$B$12:$L$16,IFERROR(MATCH(AH367,스프레드쇼크!$A$12:$A$16,0),MATCH("목록외",스프레드쇼크!$A$12:$A$16,0)),IFERROR(MATCH(AG367,스프레드쇼크!$B$11:$L$11,0),MATCH("목록외",스프레드쇼크!$B$11:$L$11,0))),1))</f>
        <v>1</v>
      </c>
      <c r="AY367" s="90" t="n">
        <f aca="false">IF(스프레드쇼크!$C$5="Y",IF(ISNUMBER(AF367),MIN(스프레드쇼크!$C$7,MAX(스프레드쇼크!$C$6,AF367/스프레드쇼크!$C$8)),1),1)</f>
        <v>0.25</v>
      </c>
      <c r="AZ367" s="94" t="n">
        <f aca="false">AN367*AX367*AY367</f>
        <v>192.47342047825</v>
      </c>
      <c r="BA367" s="90" t="n">
        <f aca="false">IF(ISNUMBER(G367),AA367*G367,0)</f>
        <v>18.19578783594</v>
      </c>
      <c r="BB367" s="90" t="n">
        <f aca="false">IF(ISNUMBER(G367),AA367,0)</f>
        <v>3.5944427</v>
      </c>
      <c r="BC367" s="90" t="n">
        <f aca="false">IF(AND(Y367=0,ISNUMBER(AF367)),AA367*AF367,0)</f>
        <v>26.2322428246</v>
      </c>
      <c r="BD367" s="90" t="n">
        <f aca="false">IF(AND(Y367=0,ISNUMBER(AF367)),AA367,0)</f>
        <v>3.5944427</v>
      </c>
      <c r="BE367" s="90" t="n">
        <f aca="false">IF(ISNUMBER(H367),AA367*H367,0)</f>
        <v>7.69893681913</v>
      </c>
      <c r="BF367" s="90" t="n">
        <f aca="false">IF(ISNUMBER(H367),AA367,0)</f>
        <v>3.5944427</v>
      </c>
      <c r="BG367" s="90" t="n">
        <f aca="false">IF(AND(Y367=0,ISNUMBER(AF367),ISNUMBER(Z367)),AA367*Z367,0)</f>
        <v>7.69893681913</v>
      </c>
      <c r="BH367" s="90" t="n">
        <f aca="false">IF(AND(Y367=0,ISNUMBER(AF367),ISNUMBER(Z367)),AA367*AT367*MAX(Z367-1,0),0)</f>
        <v>48.5188644291936</v>
      </c>
      <c r="BI367" s="90" t="n">
        <f aca="false">IF(Y367=0,AA367,0)</f>
        <v>3.5944427</v>
      </c>
    </row>
    <row r="368" customFormat="false" ht="15" hidden="false" customHeight="false" outlineLevel="0" collapsed="false">
      <c r="A368" s="83" t="str">
        <f aca="false">IFERROR(IF(INDEX(원자료_잔고!$A$1:$EZ$1500,설정!$L$5+ROW()-1,설정!$L$8)&amp;""="0","",INDEX(원자료_잔고!$A$1:$EZ$1500,설정!$L$5+ROW()-1,설정!$L$8)&amp;""),"")</f>
        <v>KDB 4 01/28/31</v>
      </c>
      <c r="B368" s="83" t="str">
        <f aca="false">IFERROR(IF(INDEX(원자료_잔고!$A$1:$EZ$1500,설정!$L$5+ROW()-1,설정!$L$7)&amp;""="0","",INDEX(원자료_잔고!$A$1:$EZ$1500,설정!$L$5+ROW()-1,설정!$L$7)&amp;""),"")</f>
        <v>US500630ER51</v>
      </c>
      <c r="C368" s="83" t="str">
        <f aca="false">IFERROR(IF(INDEX(원자료_잔고!$A$1:$EZ$1500,설정!$L$5+ROW()-1,설정!$L$9)&amp;""="0","",INDEX(원자료_잔고!$A$1:$EZ$1500,설정!$L$5+ROW()-1,설정!$L$9)&amp;""),"")</f>
        <v>42003</v>
      </c>
      <c r="D36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8" s="84" t="n">
        <f aca="false">IFERROR(IF(ISNUMBER(INDEX(원자료_잔고!$A$1:$EZ$1500,설정!$L$5+ROW()-1,설정!$L$11)),INDEX(원자료_잔고!$A$1:$EZ$1500,설정!$L$5+ROW()-1,설정!$L$11),""),"")</f>
        <v>500000</v>
      </c>
      <c r="F368" s="85" t="n">
        <f aca="false">IFERROR(IF(ISNUMBER(INDEX(원자료_잔고!$A$1:$EZ$1500,설정!$L$5+ROW()-1,설정!$L$12)),INDEX(원자료_잔고!$A$1:$EZ$1500,설정!$L$5+ROW()-1,설정!$L$12),""),"")</f>
        <v>95.2825</v>
      </c>
      <c r="G368" s="85" t="n">
        <f aca="false">IFERROR(IF(ISNUMBER(INDEX(원자료_잔고!$A$1:$EZ$1500,설정!$L$5+ROW()-1,설정!$L$13)),INDEX(원자료_잔고!$A$1:$EZ$1500,설정!$L$5+ROW()-1,설정!$L$13),""),"")</f>
        <v>5.2307</v>
      </c>
      <c r="H368" s="85" t="n">
        <f aca="false">IFERROR(IF(ISNUMBER(INDEX(원자료_잔고!$A$1:$EZ$1500,설정!$L$5+ROW()-1,설정!$L$14)),INDEX(원자료_잔고!$A$1:$EZ$1500,설정!$L$5+ROW()-1,설정!$L$14),""),"")</f>
        <v>3.8056</v>
      </c>
      <c r="I368" s="86" t="n">
        <f aca="false">IFERROR(IF(ISNUMBER(INDEX(원자료_잔고!$A$1:$EZ$1500,설정!$L$5+ROW()-1,설정!$L$15)),INDEX(원자료_잔고!$A$1:$EZ$1500,설정!$L$5+ROW()-1,설정!$L$15),""),"")</f>
        <v>47876</v>
      </c>
      <c r="J368" s="85" t="n">
        <f aca="false">IFERROR(IF(ISNUMBER(INDEX(원자료_잔고!$A$1:$EZ$1500,설정!$L$5+ROW()-1,설정!$L$16)),INDEX(원자료_잔고!$A$1:$EZ$1500,설정!$L$5+ROW()-1,설정!$L$16),""),"")</f>
        <v>4</v>
      </c>
      <c r="K368" s="87" t="n">
        <f aca="false">IFERROR(IF(ISNUMBER(INDEX(원자료_잔고!$A$1:$EZ$1500,설정!$L$5+ROW()-1,설정!$L$17)),INDEX(원자료_잔고!$A$1:$EZ$1500,설정!$L$5+ROW()-1,설정!$L$17),""),"")</f>
        <v>1</v>
      </c>
      <c r="L368" s="84" t="n">
        <f aca="false">IFERROR(IF(ISNUMBER(INDEX(원자료_잔고!$A$1:$EZ$1500,설정!$L$5+ROW()-1,설정!$L$18)),INDEX(원자료_잔고!$A$1:$EZ$1500,설정!$L$5+ROW()-1,설정!$L$18),""),"")</f>
        <v>476412.5</v>
      </c>
      <c r="M368" s="88" t="n">
        <f aca="false">IFERROR(IF(ISNUMBER(INDEX(원자료_잔고!$A$1:$EZ$1500,설정!$L$5+ROW()-1,설정!$L$19)),INDEX(원자료_잔고!$A$1:$EZ$1500,설정!$L$5+ROW()-1,설정!$L$19),""),"")</f>
        <v>-21257.5</v>
      </c>
      <c r="N368" s="83" t="str">
        <f aca="false">IFERROR(IF(INDEX(원자료_잔고!$A$1:$EZ$1500,설정!$L$5+ROW()-1,설정!$L$21)&amp;""="0","",INDEX(원자료_잔고!$A$1:$EZ$1500,설정!$L$5+ROW()-1,설정!$L$21)&amp;""),"")</f>
        <v>AA</v>
      </c>
      <c r="O368" s="83" t="str">
        <f aca="false">IFERROR(IF(INDEX(원자료_잔고!$A$1:$EZ$1500,설정!$L$5+ROW()-1,설정!$L$22)&amp;""="0","",INDEX(원자료_잔고!$A$1:$EZ$1500,설정!$L$5+ROW()-1,설정!$L$22)&amp;""),"")</f>
        <v/>
      </c>
      <c r="P368" s="83" t="str">
        <f aca="false">IFERROR(IF(INDEX(원자료_잔고!$A$1:$EZ$1500,설정!$L$5+ROW()-1,설정!$L$23)&amp;""="0","",INDEX(원자료_잔고!$A$1:$EZ$1500,설정!$L$5+ROW()-1,설정!$L$23)&amp;""),"")</f>
        <v>N/A</v>
      </c>
      <c r="Q368" s="89" t="n">
        <f aca="false">IF(AND($A368&lt;&gt;"",ISNUMBER(E368)),IF(E368&gt;0,1,0),0)</f>
        <v>1</v>
      </c>
      <c r="R368" s="43" t="str">
        <f aca="false">IF(Q368=1,UPPER(LEFT($A368,FIND(" ",$A368&amp;" ")-1)),"")</f>
        <v>KDB</v>
      </c>
      <c r="S368" s="89" t="n">
        <f aca="false">IF(Q368=1,IF(OR(ISNUMBER(SEARCH("Float",$A368)),ISNUMBER(SEARCH("FRN",$A368))),1,0),0)</f>
        <v>0</v>
      </c>
      <c r="T368" s="43" t="str">
        <f aca="false">IF(AND(Q368=1,ISNUMBER(I368)),TEXT(I368,"yyyymmdd")&amp;"|"&amp;IF(S368=1,"F",TEXT(J368,"0.000")),"")</f>
        <v>20310128|4.000</v>
      </c>
      <c r="U368" s="90" t="n">
        <f aca="false">IF(AND(Q368=1,ISNUMBER(I368)),(I368-설정!$C$4)/365.25,"")</f>
        <v>4.32580424366872</v>
      </c>
      <c r="V368" s="43" t="str">
        <f aca="false">IF(Q368&lt;&gt;1,"",IF(ISNUMBER(U368),IF(U368&lt;=1,"1년 이하",IF(U368&lt;=2,"1-2년",IF(U368&lt;=3,"2-3년",IF(U368&lt;=4,"3-4년",IF(U368&lt;=5,"4-5년",IF(U368&lt;=7,"5-7년",IF(U368&lt;=10,"7-10년",IF(U368&lt;=20,"10-20년","20년 이상")))))))),"미분류"))</f>
        <v>4-5년</v>
      </c>
      <c r="W368" s="43" t="str">
        <f aca="false">IF(Q368&lt;&gt;1,"",IF(AB368&lt;&gt;"",INDEX(시장분석!$C:$C,AB368),IF(K368=1,"USD","비USD")))</f>
        <v>USD</v>
      </c>
      <c r="X368" s="91" t="n">
        <f aca="false">IF(Q368=1,E368*K368/1000000,0)</f>
        <v>0.5</v>
      </c>
      <c r="Y368" s="89" t="n">
        <f aca="false">IF(R368="T",1,0)</f>
        <v>0</v>
      </c>
      <c r="Z368" s="92" t="n">
        <f aca="false">IF(Q368&lt;&gt;1,"",IF(AD368=1,IF(ISNUMBER(U368),MAX(U368,0),H368),H368))</f>
        <v>3.8056</v>
      </c>
      <c r="AA368" s="91" t="n">
        <f aca="false">IF(Q368=1,IF(ISNUMBER(L368),L368,0)*K368/1000000,0)</f>
        <v>0.4764125</v>
      </c>
      <c r="AB368" s="89" t="n">
        <f aca="false">IF(Q368&lt;&gt;1,"",IFERROR(MATCH(VLOOKUP(B368,매핑!$H$4:$I$15,2,0),시장분석!$A$2:$A$601,0)+1,IFERROR(MATCH(R368&amp;"|"&amp;T368,시장분석!$V$2:$V$601,0)+1,IF(COUNTIF(시장분석!$U$2:$U$601,T368)=1,MATCH(T368,시장분석!$U$2:$U$601,0)+1,""))))</f>
        <v>90</v>
      </c>
      <c r="AC368" s="89" t="n">
        <f aca="false">IF(Q368&lt;&gt;1,0,IF(OR(설정!$C$5="전체",AND(설정!$C$5="선택펀드",IFERROR(COUNTIFS(설정!$F$16:$F$36,C368,설정!$G$16:$G$36,"Y")+COUNTIFS(설정!$F$16:$F$36,VALUE(C368),설정!$G$16:$G$36,"Y"),0)&gt;0),C368&amp;""=설정!$C$5&amp;""),1,0))</f>
        <v>0</v>
      </c>
      <c r="AD368" s="89" t="n">
        <f aca="false">IF(Q368&lt;&gt;1,0,IF(OR(S368=1,IF(AB368="",FALSE(),INDEX(시장분석!$R:$R,AB368)=1)),1,0))</f>
        <v>0</v>
      </c>
      <c r="AE368" s="43" t="str">
        <f aca="false">IF(AB368="","",INDEX(시장분석!$A:$A,AB368))</f>
        <v>KDB 4 01/28/31</v>
      </c>
      <c r="AF368" s="93" t="n">
        <f aca="false">IF(AB368="","",IF(ISNUMBER(IF(AB368="","",INDEX(시장분석!$E:$E,AB368))),IF(AB368="","",INDEX(시장분석!$E:$E,AB368)),""))</f>
        <v>18.976</v>
      </c>
      <c r="AG368" s="43" t="str">
        <f aca="false">IF(Q368&lt;&gt;1,"",IF(AB368&lt;&gt;"",IF(AB368="","",INDEX(시장분석!$L:$L,AB368)),IFERROR(IF(VLOOKUP(R368,매핑!$A$4:$E$92,5,0)="","미분류",VLOOKUP(R368,매핑!$A$4:$E$92,5,0)),"미분류")))</f>
        <v>정부</v>
      </c>
      <c r="AH368" s="43" t="str">
        <f aca="false">IF(Q368&lt;&gt;1,"",IF(AB368&lt;&gt;"",IF(AB368="","",INDEX(시장분석!$N:$N,AB368)),IFERROR(IF(VLOOKUP(R368,매핑!$A$4:$E$92,4,0)="","미분류",VLOOKUP(R368,매핑!$A$4:$E$92,4,0)),"미분류")))</f>
        <v>아시아/기타</v>
      </c>
      <c r="AI368" s="43" t="str">
        <f aca="false">IF(Q368&lt;&gt;1,"",IFERROR(IF(VLOOKUP(R368,매핑!$A$4:$E$92,3,0)="","미분류",VLOOKUP(R368,매핑!$A$4:$E$92,3,0)),IF(AB368&lt;&gt;"",IF(AB368="","",INDEX(시장분석!$W:$W,AB368)),"미분류")))</f>
        <v>한국</v>
      </c>
      <c r="AJ368" s="43" t="str">
        <f aca="false">IF(Q368&lt;&gt;1,"",IFERROR(VLOOKUP(IF(N368&lt;&gt;"",N368,IF(P368&lt;&gt;"",P368,O368)),설정!$A$15:$D$47,2,0),""))</f>
        <v>AA</v>
      </c>
      <c r="AK368" s="43" t="str">
        <f aca="false">IF(Q368&lt;&gt;1,"",IF(AJ368="","무등급",IFERROR(VLOOKUP(AJ368,설정!$A$15:$D$47,3,0),"무등급")))</f>
        <v>AA이상</v>
      </c>
      <c r="AL368" s="89" t="n">
        <f aca="false">IF(AJ368="",99,IFERROR(VLOOKUP(AJ368,설정!$A$15:$D$47,4,0),99))</f>
        <v>3</v>
      </c>
      <c r="AM368" s="94" t="n">
        <f aca="false">IF(ISNUMBER(H368),AA368*1000000*H368/10000,0)</f>
        <v>181.303541</v>
      </c>
      <c r="AN368" s="94" t="n">
        <f aca="false">IF(OR(Y368=1,NOT(ISNUMBER(Z368))),0,AA368*1000000*Z368/10000)</f>
        <v>181.303541</v>
      </c>
      <c r="AO368" s="94" t="n">
        <f aca="false">IF(ISNUMBER(G368),AA368*1000000*G368/100,0)</f>
        <v>24919.7086375</v>
      </c>
      <c r="AP368" s="94" t="n">
        <f aca="false">IF(ISNUMBER(M368),M368*K368,0)</f>
        <v>-21257.5</v>
      </c>
      <c r="AQ368" s="95" t="n">
        <f aca="false">IF(AB368="","",INDEX(시장분석!$AK:$AK,AB368))</f>
        <v>-0.503032831826248</v>
      </c>
      <c r="AR368" s="43" t="str">
        <f aca="false">IF(AB368="","-",IF(AB368="","",INDEX(시장분석!$AL:$AL,AB368)))</f>
        <v>Fair</v>
      </c>
      <c r="AS368" s="96" t="n">
        <f aca="false">IF(AB368="","",INDEX(시장분석!$AJ:$AJ,AB368))</f>
        <v>-6.88804069667149</v>
      </c>
      <c r="AT368" s="93" t="n">
        <f aca="false">IF(AB368="",0,IF(AB368="","",INDEX(시장분석!$AN:$AN,AB368)))</f>
        <v>5.75889860806481</v>
      </c>
      <c r="AU368" s="94" t="n">
        <f aca="false">IF(ISNUMBER(Z368),AT368/10000*MAX(Z368-1,0)*AA368*1000000,0)</f>
        <v>769.747581590654</v>
      </c>
      <c r="AV368" s="94" t="n">
        <f aca="false">AO368+AU368</f>
        <v>25689.4562190907</v>
      </c>
      <c r="AW368" s="43" t="str">
        <f aca="false">IF(Q368&lt;&gt;1,"",TRIM(IF(AD368=1,"FRN ","")&amp;IF(AND(AL368&gt;=10,AL368&lt;99),"BBB0미만 ","")&amp;IF(AJ368="","등급없음 ","")&amp;IF(K368&lt;&gt;1,"비USD ","")&amp;IF(AND(AB368="",Y368=0),"시장데이터없음 ","")&amp;IF(AND(ISNUMBER(U368),U368&lt;0),"만기경과 ","")))</f>
        <v/>
      </c>
      <c r="AX368" s="90" t="n">
        <f aca="false">IF(Q368&lt;&gt;1,1,IF(스프레드쇼크!$C$4="Y",INDEX(스프레드쇼크!$B$12:$L$16,IFERROR(MATCH(AH368,스프레드쇼크!$A$12:$A$16,0),MATCH("목록외",스프레드쇼크!$A$12:$A$16,0)),IFERROR(MATCH(AG368,스프레드쇼크!$B$11:$L$11,0),MATCH("목록외",스프레드쇼크!$B$11:$L$11,0))),1))</f>
        <v>1</v>
      </c>
      <c r="AY368" s="90" t="n">
        <f aca="false">IF(스프레드쇼크!$C$5="Y",IF(ISNUMBER(AF368),MIN(스프레드쇼크!$C$7,MAX(스프레드쇼크!$C$6,AF368/스프레드쇼크!$C$8)),1),1)</f>
        <v>0.287019364332065</v>
      </c>
      <c r="AZ368" s="94" t="n">
        <f aca="false">AN368*AX368*AY368</f>
        <v>52.0376270889725</v>
      </c>
      <c r="BA368" s="90" t="n">
        <f aca="false">IF(ISNUMBER(G368),AA368*G368,0)</f>
        <v>2.49197086375</v>
      </c>
      <c r="BB368" s="90" t="n">
        <f aca="false">IF(ISNUMBER(G368),AA368,0)</f>
        <v>0.4764125</v>
      </c>
      <c r="BC368" s="90" t="n">
        <f aca="false">IF(AND(Y368=0,ISNUMBER(AF368)),AA368*AF368,0)</f>
        <v>9.0404036</v>
      </c>
      <c r="BD368" s="90" t="n">
        <f aca="false">IF(AND(Y368=0,ISNUMBER(AF368)),AA368,0)</f>
        <v>0.4764125</v>
      </c>
      <c r="BE368" s="90" t="n">
        <f aca="false">IF(ISNUMBER(H368),AA368*H368,0)</f>
        <v>1.81303541</v>
      </c>
      <c r="BF368" s="90" t="n">
        <f aca="false">IF(ISNUMBER(H368),AA368,0)</f>
        <v>0.4764125</v>
      </c>
      <c r="BG368" s="90" t="n">
        <f aca="false">IF(AND(Y368=0,ISNUMBER(AF368),ISNUMBER(Z368)),AA368*Z368,0)</f>
        <v>1.81303541</v>
      </c>
      <c r="BH368" s="90" t="n">
        <f aca="false">IF(AND(Y368=0,ISNUMBER(AF368),ISNUMBER(Z368)),AA368*AT368*MAX(Z368-1,0),0)</f>
        <v>7.69747581590654</v>
      </c>
      <c r="BI368" s="90" t="n">
        <f aca="false">IF(Y368=0,AA368,0)</f>
        <v>0.4764125</v>
      </c>
    </row>
    <row r="369" customFormat="false" ht="15" hidden="false" customHeight="false" outlineLevel="0" collapsed="false">
      <c r="A369" s="83" t="str">
        <f aca="false">IFERROR(IF(INDEX(원자료_잔고!$A$1:$EZ$1500,설정!$L$5+ROW()-1,설정!$L$8)&amp;""="0","",INDEX(원자료_잔고!$A$1:$EZ$1500,설정!$L$5+ROW()-1,설정!$L$8)&amp;""),"")</f>
        <v>KDB 4.625 09/10/29</v>
      </c>
      <c r="B369" s="83" t="str">
        <f aca="false">IFERROR(IF(INDEX(원자료_잔고!$A$1:$EZ$1500,설정!$L$5+ROW()-1,설정!$L$7)&amp;""="0","",INDEX(원자료_잔고!$A$1:$EZ$1500,설정!$L$5+ROW()-1,설정!$L$7)&amp;""),"")</f>
        <v>US500630ES35</v>
      </c>
      <c r="C369" s="83" t="str">
        <f aca="false">IFERROR(IF(INDEX(원자료_잔고!$A$1:$EZ$1500,설정!$L$5+ROW()-1,설정!$L$9)&amp;""="0","",INDEX(원자료_잔고!$A$1:$EZ$1500,설정!$L$5+ROW()-1,설정!$L$9)&amp;""),"")</f>
        <v>42003</v>
      </c>
      <c r="D36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69" s="84" t="n">
        <f aca="false">IFERROR(IF(ISNUMBER(INDEX(원자료_잔고!$A$1:$EZ$1500,설정!$L$5+ROW()-1,설정!$L$11)),INDEX(원자료_잔고!$A$1:$EZ$1500,설정!$L$5+ROW()-1,설정!$L$11),""),"")</f>
        <v>19000000</v>
      </c>
      <c r="F369" s="85" t="n">
        <f aca="false">IFERROR(IF(ISNUMBER(INDEX(원자료_잔고!$A$1:$EZ$1500,설정!$L$5+ROW()-1,설정!$L$12)),INDEX(원자료_잔고!$A$1:$EZ$1500,설정!$L$5+ROW()-1,설정!$L$12),""),"")</f>
        <v>98.6547</v>
      </c>
      <c r="G369" s="85" t="n">
        <f aca="false">IFERROR(IF(ISNUMBER(INDEX(원자료_잔고!$A$1:$EZ$1500,설정!$L$5+ROW()-1,설정!$L$13)),INDEX(원자료_잔고!$A$1:$EZ$1500,설정!$L$5+ROW()-1,설정!$L$13),""),"")</f>
        <v>5.121</v>
      </c>
      <c r="H369" s="85" t="n">
        <f aca="false">IFERROR(IF(ISNUMBER(INDEX(원자료_잔고!$A$1:$EZ$1500,설정!$L$5+ROW()-1,설정!$L$14)),INDEX(원자료_잔고!$A$1:$EZ$1500,설정!$L$5+ROW()-1,설정!$L$14),""),"")</f>
        <v>2.662</v>
      </c>
      <c r="I369" s="86" t="n">
        <f aca="false">IFERROR(IF(ISNUMBER(INDEX(원자료_잔고!$A$1:$EZ$1500,설정!$L$5+ROW()-1,설정!$L$15)),INDEX(원자료_잔고!$A$1:$EZ$1500,설정!$L$5+ROW()-1,설정!$L$15),""),"")</f>
        <v>47371</v>
      </c>
      <c r="J369" s="85" t="n">
        <f aca="false">IFERROR(IF(ISNUMBER(INDEX(원자료_잔고!$A$1:$EZ$1500,설정!$L$5+ROW()-1,설정!$L$16)),INDEX(원자료_잔고!$A$1:$EZ$1500,설정!$L$5+ROW()-1,설정!$L$16),""),"")</f>
        <v>4.625</v>
      </c>
      <c r="K369" s="87" t="n">
        <f aca="false">IFERROR(IF(ISNUMBER(INDEX(원자료_잔고!$A$1:$EZ$1500,설정!$L$5+ROW()-1,설정!$L$17)),INDEX(원자료_잔고!$A$1:$EZ$1500,설정!$L$5+ROW()-1,설정!$L$17),""),"")</f>
        <v>1</v>
      </c>
      <c r="L369" s="84" t="n">
        <f aca="false">IFERROR(IF(ISNUMBER(INDEX(원자료_잔고!$A$1:$EZ$1500,설정!$L$5+ROW()-1,설정!$L$18)),INDEX(원자료_잔고!$A$1:$EZ$1500,설정!$L$5+ROW()-1,설정!$L$18),""),"")</f>
        <v>18744393</v>
      </c>
      <c r="M369" s="88" t="n">
        <f aca="false">IFERROR(IF(ISNUMBER(INDEX(원자료_잔고!$A$1:$EZ$1500,설정!$L$5+ROW()-1,설정!$L$19)),INDEX(원자료_잔고!$A$1:$EZ$1500,설정!$L$5+ROW()-1,설정!$L$19),""),"")</f>
        <v>-255912.66</v>
      </c>
      <c r="N369" s="83" t="str">
        <f aca="false">IFERROR(IF(INDEX(원자료_잔고!$A$1:$EZ$1500,설정!$L$5+ROW()-1,설정!$L$21)&amp;""="0","",INDEX(원자료_잔고!$A$1:$EZ$1500,설정!$L$5+ROW()-1,설정!$L$21)&amp;""),"")</f>
        <v>AA</v>
      </c>
      <c r="O369" s="83" t="str">
        <f aca="false">IFERROR(IF(INDEX(원자료_잔고!$A$1:$EZ$1500,설정!$L$5+ROW()-1,설정!$L$22)&amp;""="0","",INDEX(원자료_잔고!$A$1:$EZ$1500,설정!$L$5+ROW()-1,설정!$L$22)&amp;""),"")</f>
        <v/>
      </c>
      <c r="P369" s="83" t="str">
        <f aca="false">IFERROR(IF(INDEX(원자료_잔고!$A$1:$EZ$1500,설정!$L$5+ROW()-1,설정!$L$23)&amp;""="0","",INDEX(원자료_잔고!$A$1:$EZ$1500,설정!$L$5+ROW()-1,설정!$L$23)&amp;""),"")</f>
        <v>N/A</v>
      </c>
      <c r="Q369" s="89" t="n">
        <f aca="false">IF(AND($A369&lt;&gt;"",ISNUMBER(E369)),IF(E369&gt;0,1,0),0)</f>
        <v>1</v>
      </c>
      <c r="R369" s="43" t="str">
        <f aca="false">IF(Q369=1,UPPER(LEFT($A369,FIND(" ",$A369&amp;" ")-1)),"")</f>
        <v>KDB</v>
      </c>
      <c r="S369" s="89" t="n">
        <f aca="false">IF(Q369=1,IF(OR(ISNUMBER(SEARCH("Float",$A369)),ISNUMBER(SEARCH("FRN",$A369))),1,0),0)</f>
        <v>0</v>
      </c>
      <c r="T369" s="43" t="str">
        <f aca="false">IF(AND(Q369=1,ISNUMBER(I369)),TEXT(I369,"yyyymmdd")&amp;"|"&amp;IF(S369=1,"F",TEXT(J369,"0.000")),"")</f>
        <v>20290910|4.625</v>
      </c>
      <c r="U369" s="90" t="n">
        <f aca="false">IF(AND(Q369=1,ISNUMBER(I369)),(I369-설정!$C$4)/365.25,"")</f>
        <v>2.94318959616701</v>
      </c>
      <c r="V369" s="43" t="str">
        <f aca="false">IF(Q369&lt;&gt;1,"",IF(ISNUMBER(U369),IF(U369&lt;=1,"1년 이하",IF(U369&lt;=2,"1-2년",IF(U369&lt;=3,"2-3년",IF(U369&lt;=4,"3-4년",IF(U369&lt;=5,"4-5년",IF(U369&lt;=7,"5-7년",IF(U369&lt;=10,"7-10년",IF(U369&lt;=20,"10-20년","20년 이상")))))))),"미분류"))</f>
        <v>2-3년</v>
      </c>
      <c r="W369" s="43" t="str">
        <f aca="false">IF(Q369&lt;&gt;1,"",IF(AB369&lt;&gt;"",INDEX(시장분석!$C:$C,AB369),IF(K369=1,"USD","비USD")))</f>
        <v>USD</v>
      </c>
      <c r="X369" s="91" t="n">
        <f aca="false">IF(Q369=1,E369*K369/1000000,0)</f>
        <v>19</v>
      </c>
      <c r="Y369" s="89" t="n">
        <f aca="false">IF(R369="T",1,0)</f>
        <v>0</v>
      </c>
      <c r="Z369" s="92" t="n">
        <f aca="false">IF(Q369&lt;&gt;1,"",IF(AD369=1,IF(ISNUMBER(U369),MAX(U369,0),H369),H369))</f>
        <v>2.662</v>
      </c>
      <c r="AA369" s="91" t="n">
        <f aca="false">IF(Q369=1,IF(ISNUMBER(L369),L369,0)*K369/1000000,0)</f>
        <v>18.744393</v>
      </c>
      <c r="AB369" s="89" t="str">
        <f aca="false">IF(Q369&lt;&gt;1,"",IFERROR(MATCH(VLOOKUP(B369,매핑!$H$4:$I$15,2,0),시장분석!$A$2:$A$601,0)+1,IFERROR(MATCH(R369&amp;"|"&amp;T369,시장분석!$V$2:$V$601,0)+1,IF(COUNTIF(시장분석!$U$2:$U$601,T369)=1,MATCH(T369,시장분석!$U$2:$U$601,0)+1,""))))</f>
        <v/>
      </c>
      <c r="AC369" s="89" t="n">
        <f aca="false">IF(Q369&lt;&gt;1,0,IF(OR(설정!$C$5="전체",AND(설정!$C$5="선택펀드",IFERROR(COUNTIFS(설정!$F$16:$F$36,C369,설정!$G$16:$G$36,"Y")+COUNTIFS(설정!$F$16:$F$36,VALUE(C369),설정!$G$16:$G$36,"Y"),0)&gt;0),C369&amp;""=설정!$C$5&amp;""),1,0))</f>
        <v>0</v>
      </c>
      <c r="AD369" s="89" t="n">
        <f aca="false">IF(Q369&lt;&gt;1,0,IF(OR(S369=1,IF(AB369="",FALSE(),INDEX(시장분석!$R:$R,AB369)=1)),1,0))</f>
        <v>0</v>
      </c>
      <c r="AE369" s="43" t="str">
        <f aca="false">IF(AB369="","",INDEX(시장분석!$A:$A,AB369))</f>
        <v/>
      </c>
      <c r="AF369" s="93" t="str">
        <f aca="false">IF(AB369="","",IF(ISNUMBER(IF(AB369="","",INDEX(시장분석!$E:$E,AB369))),IF(AB369="","",INDEX(시장분석!$E:$E,AB369)),""))</f>
        <v/>
      </c>
      <c r="AG369" s="43" t="str">
        <f aca="false">IF(Q369&lt;&gt;1,"",IF(AB369&lt;&gt;"",IF(AB369="","",INDEX(시장분석!$L:$L,AB369)),IFERROR(IF(VLOOKUP(R369,매핑!$A$4:$E$92,5,0)="","미분류",VLOOKUP(R369,매핑!$A$4:$E$92,5,0)),"미분류")))</f>
        <v>정부</v>
      </c>
      <c r="AH369" s="43" t="str">
        <f aca="false">IF(Q369&lt;&gt;1,"",IF(AB369&lt;&gt;"",IF(AB369="","",INDEX(시장분석!$N:$N,AB369)),IFERROR(IF(VLOOKUP(R369,매핑!$A$4:$E$92,4,0)="","미분류",VLOOKUP(R369,매핑!$A$4:$E$92,4,0)),"미분류")))</f>
        <v>아시아/기타</v>
      </c>
      <c r="AI369" s="43" t="str">
        <f aca="false">IF(Q369&lt;&gt;1,"",IFERROR(IF(VLOOKUP(R369,매핑!$A$4:$E$92,3,0)="","미분류",VLOOKUP(R369,매핑!$A$4:$E$92,3,0)),IF(AB369&lt;&gt;"",IF(AB369="","",INDEX(시장분석!$W:$W,AB369)),"미분류")))</f>
        <v>한국</v>
      </c>
      <c r="AJ369" s="43" t="str">
        <f aca="false">IF(Q369&lt;&gt;1,"",IFERROR(VLOOKUP(IF(N369&lt;&gt;"",N369,IF(P369&lt;&gt;"",P369,O369)),설정!$A$15:$D$47,2,0),""))</f>
        <v>AA</v>
      </c>
      <c r="AK369" s="43" t="str">
        <f aca="false">IF(Q369&lt;&gt;1,"",IF(AJ369="","무등급",IFERROR(VLOOKUP(AJ369,설정!$A$15:$D$47,3,0),"무등급")))</f>
        <v>AA이상</v>
      </c>
      <c r="AL369" s="89" t="n">
        <f aca="false">IF(AJ369="",99,IFERROR(VLOOKUP(AJ369,설정!$A$15:$D$47,4,0),99))</f>
        <v>3</v>
      </c>
      <c r="AM369" s="94" t="n">
        <f aca="false">IF(ISNUMBER(H369),AA369*1000000*H369/10000,0)</f>
        <v>4989.7574166</v>
      </c>
      <c r="AN369" s="94" t="n">
        <f aca="false">IF(OR(Y369=1,NOT(ISNUMBER(Z369))),0,AA369*1000000*Z369/10000)</f>
        <v>4989.7574166</v>
      </c>
      <c r="AO369" s="94" t="n">
        <f aca="false">IF(ISNUMBER(G369),AA369*1000000*G369/100,0)</f>
        <v>959900.36553</v>
      </c>
      <c r="AP369" s="94" t="n">
        <f aca="false">IF(ISNUMBER(M369),M369*K369,0)</f>
        <v>-255912.66</v>
      </c>
      <c r="AQ369" s="95" t="str">
        <f aca="false">IF(AB369="","",INDEX(시장분석!$AK:$AK,AB369))</f>
        <v/>
      </c>
      <c r="AR369" s="43" t="str">
        <f aca="false">IF(AB369="","-",IF(AB369="","",INDEX(시장분석!$AL:$AL,AB369)))</f>
        <v>-</v>
      </c>
      <c r="AS369" s="96" t="str">
        <f aca="false">IF(AB369="","",INDEX(시장분석!$AJ:$AJ,AB369))</f>
        <v/>
      </c>
      <c r="AT369" s="93" t="n">
        <f aca="false">IF(AB369="",0,IF(AB369="","",INDEX(시장분석!$AN:$AN,AB369)))</f>
        <v>0</v>
      </c>
      <c r="AU369" s="94" t="n">
        <f aca="false">IF(ISNUMBER(Z369),AT369/10000*MAX(Z369-1,0)*AA369*1000000,0)</f>
        <v>0</v>
      </c>
      <c r="AV369" s="94" t="n">
        <f aca="false">AO369+AU369</f>
        <v>959900.36553</v>
      </c>
      <c r="AW369" s="43" t="str">
        <f aca="false">IF(Q369&lt;&gt;1,"",TRIM(IF(AD369=1,"FRN ","")&amp;IF(AND(AL369&gt;=10,AL369&lt;99),"BBB0미만 ","")&amp;IF(AJ369="","등급없음 ","")&amp;IF(K369&lt;&gt;1,"비USD ","")&amp;IF(AND(AB369="",Y369=0),"시장데이터없음 ","")&amp;IF(AND(ISNUMBER(U369),U369&lt;0),"만기경과 ","")))</f>
        <v>시장데이터없음</v>
      </c>
      <c r="AX369" s="90" t="n">
        <f aca="false">IF(Q369&lt;&gt;1,1,IF(스프레드쇼크!$C$4="Y",INDEX(스프레드쇼크!$B$12:$L$16,IFERROR(MATCH(AH369,스프레드쇼크!$A$12:$A$16,0),MATCH("목록외",스프레드쇼크!$A$12:$A$16,0)),IFERROR(MATCH(AG369,스프레드쇼크!$B$11:$L$11,0),MATCH("목록외",스프레드쇼크!$B$11:$L$11,0))),1))</f>
        <v>1</v>
      </c>
      <c r="AY369" s="90" t="n">
        <f aca="false">IF(스프레드쇼크!$C$5="Y",IF(ISNUMBER(AF369),MIN(스프레드쇼크!$C$7,MAX(스프레드쇼크!$C$6,AF369/스프레드쇼크!$C$8)),1),1)</f>
        <v>1</v>
      </c>
      <c r="AZ369" s="94" t="n">
        <f aca="false">AN369*AX369*AY369</f>
        <v>4989.7574166</v>
      </c>
      <c r="BA369" s="90" t="n">
        <f aca="false">IF(ISNUMBER(G369),AA369*G369,0)</f>
        <v>95.990036553</v>
      </c>
      <c r="BB369" s="90" t="n">
        <f aca="false">IF(ISNUMBER(G369),AA369,0)</f>
        <v>18.744393</v>
      </c>
      <c r="BC369" s="90" t="n">
        <f aca="false">IF(AND(Y369=0,ISNUMBER(AF369)),AA369*AF369,0)</f>
        <v>0</v>
      </c>
      <c r="BD369" s="90" t="n">
        <f aca="false">IF(AND(Y369=0,ISNUMBER(AF369)),AA369,0)</f>
        <v>0</v>
      </c>
      <c r="BE369" s="90" t="n">
        <f aca="false">IF(ISNUMBER(H369),AA369*H369,0)</f>
        <v>49.897574166</v>
      </c>
      <c r="BF369" s="90" t="n">
        <f aca="false">IF(ISNUMBER(H369),AA369,0)</f>
        <v>18.744393</v>
      </c>
      <c r="BG369" s="90" t="n">
        <f aca="false">IF(AND(Y369=0,ISNUMBER(AF369),ISNUMBER(Z369)),AA369*Z369,0)</f>
        <v>0</v>
      </c>
      <c r="BH369" s="90" t="n">
        <f aca="false">IF(AND(Y369=0,ISNUMBER(AF369),ISNUMBER(Z369)),AA369*AT369*MAX(Z369-1,0),0)</f>
        <v>0</v>
      </c>
      <c r="BI369" s="90" t="n">
        <f aca="false">IF(Y369=0,AA369,0)</f>
        <v>18.744393</v>
      </c>
    </row>
    <row r="370" customFormat="false" ht="15" hidden="false" customHeight="false" outlineLevel="0" collapsed="false">
      <c r="A370" s="83" t="str">
        <f aca="false">IFERROR(IF(INDEX(원자료_잔고!$A$1:$EZ$1500,설정!$L$5+ROW()-1,설정!$L$8)&amp;""="0","",INDEX(원자료_잔고!$A$1:$EZ$1500,설정!$L$5+ROW()-1,설정!$L$8)&amp;""),"")</f>
        <v>KDB 4.75 09/10/31</v>
      </c>
      <c r="B370" s="83" t="str">
        <f aca="false">IFERROR(IF(INDEX(원자료_잔고!$A$1:$EZ$1500,설정!$L$5+ROW()-1,설정!$L$7)&amp;""="0","",INDEX(원자료_잔고!$A$1:$EZ$1500,설정!$L$5+ROW()-1,설정!$L$7)&amp;""),"")</f>
        <v>US500630ET18</v>
      </c>
      <c r="C370" s="83" t="str">
        <f aca="false">IFERROR(IF(INDEX(원자료_잔고!$A$1:$EZ$1500,설정!$L$5+ROW()-1,설정!$L$9)&amp;""="0","",INDEX(원자료_잔고!$A$1:$EZ$1500,설정!$L$5+ROW()-1,설정!$L$9)&amp;""),"")</f>
        <v>42003</v>
      </c>
      <c r="D37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0" s="84" t="n">
        <f aca="false">IFERROR(IF(ISNUMBER(INDEX(원자료_잔고!$A$1:$EZ$1500,설정!$L$5+ROW()-1,설정!$L$11)),INDEX(원자료_잔고!$A$1:$EZ$1500,설정!$L$5+ROW()-1,설정!$L$11),""),"")</f>
        <v>9000000</v>
      </c>
      <c r="F370" s="85" t="n">
        <f aca="false">IFERROR(IF(ISNUMBER(INDEX(원자료_잔고!$A$1:$EZ$1500,설정!$L$5+ROW()-1,설정!$L$12)),INDEX(원자료_잔고!$A$1:$EZ$1500,설정!$L$5+ROW()-1,설정!$L$12),""),"")</f>
        <v>97.7538</v>
      </c>
      <c r="G370" s="85" t="n">
        <f aca="false">IFERROR(IF(ISNUMBER(INDEX(원자료_잔고!$A$1:$EZ$1500,설정!$L$5+ROW()-1,설정!$L$13)),INDEX(원자료_잔고!$A$1:$EZ$1500,설정!$L$5+ROW()-1,설정!$L$13),""),"")</f>
        <v>5.2708</v>
      </c>
      <c r="H370" s="85" t="n">
        <f aca="false">IFERROR(IF(ISNUMBER(INDEX(원자료_잔고!$A$1:$EZ$1500,설정!$L$5+ROW()-1,설정!$L$14)),INDEX(원자료_잔고!$A$1:$EZ$1500,설정!$L$5+ROW()-1,설정!$L$14),""),"")</f>
        <v>4.2544</v>
      </c>
      <c r="I370" s="86" t="n">
        <f aca="false">IFERROR(IF(ISNUMBER(INDEX(원자료_잔고!$A$1:$EZ$1500,설정!$L$5+ROW()-1,설정!$L$15)),INDEX(원자료_잔고!$A$1:$EZ$1500,설정!$L$5+ROW()-1,설정!$L$15),""),"")</f>
        <v>48101</v>
      </c>
      <c r="J370" s="85" t="n">
        <f aca="false">IFERROR(IF(ISNUMBER(INDEX(원자료_잔고!$A$1:$EZ$1500,설정!$L$5+ROW()-1,설정!$L$16)),INDEX(원자료_잔고!$A$1:$EZ$1500,설정!$L$5+ROW()-1,설정!$L$16),""),"")</f>
        <v>4.75</v>
      </c>
      <c r="K370" s="87" t="n">
        <f aca="false">IFERROR(IF(ISNUMBER(INDEX(원자료_잔고!$A$1:$EZ$1500,설정!$L$5+ROW()-1,설정!$L$17)),INDEX(원자료_잔고!$A$1:$EZ$1500,설정!$L$5+ROW()-1,설정!$L$17),""),"")</f>
        <v>1</v>
      </c>
      <c r="L370" s="84" t="n">
        <f aca="false">IFERROR(IF(ISNUMBER(INDEX(원자료_잔고!$A$1:$EZ$1500,설정!$L$5+ROW()-1,설정!$L$18)),INDEX(원자료_잔고!$A$1:$EZ$1500,설정!$L$5+ROW()-1,설정!$L$18),""),"")</f>
        <v>8797842</v>
      </c>
      <c r="M370" s="88" t="n">
        <f aca="false">IFERROR(IF(ISNUMBER(INDEX(원자료_잔고!$A$1:$EZ$1500,설정!$L$5+ROW()-1,설정!$L$19)),INDEX(원자료_잔고!$A$1:$EZ$1500,설정!$L$5+ROW()-1,설정!$L$19),""),"")</f>
        <v>-196060.87</v>
      </c>
      <c r="N370" s="83" t="str">
        <f aca="false">IFERROR(IF(INDEX(원자료_잔고!$A$1:$EZ$1500,설정!$L$5+ROW()-1,설정!$L$21)&amp;""="0","",INDEX(원자료_잔고!$A$1:$EZ$1500,설정!$L$5+ROW()-1,설정!$L$21)&amp;""),"")</f>
        <v>AA</v>
      </c>
      <c r="O370" s="83" t="str">
        <f aca="false">IFERROR(IF(INDEX(원자료_잔고!$A$1:$EZ$1500,설정!$L$5+ROW()-1,설정!$L$22)&amp;""="0","",INDEX(원자료_잔고!$A$1:$EZ$1500,설정!$L$5+ROW()-1,설정!$L$22)&amp;""),"")</f>
        <v/>
      </c>
      <c r="P370" s="83" t="str">
        <f aca="false">IFERROR(IF(INDEX(원자료_잔고!$A$1:$EZ$1500,설정!$L$5+ROW()-1,설정!$L$23)&amp;""="0","",INDEX(원자료_잔고!$A$1:$EZ$1500,설정!$L$5+ROW()-1,설정!$L$23)&amp;""),"")</f>
        <v>N/A</v>
      </c>
      <c r="Q370" s="89" t="n">
        <f aca="false">IF(AND($A370&lt;&gt;"",ISNUMBER(E370)),IF(E370&gt;0,1,0),0)</f>
        <v>1</v>
      </c>
      <c r="R370" s="43" t="str">
        <f aca="false">IF(Q370=1,UPPER(LEFT($A370,FIND(" ",$A370&amp;" ")-1)),"")</f>
        <v>KDB</v>
      </c>
      <c r="S370" s="89" t="n">
        <f aca="false">IF(Q370=1,IF(OR(ISNUMBER(SEARCH("Float",$A370)),ISNUMBER(SEARCH("FRN",$A370))),1,0),0)</f>
        <v>0</v>
      </c>
      <c r="T370" s="43" t="str">
        <f aca="false">IF(AND(Q370=1,ISNUMBER(I370)),TEXT(I370,"yyyymmdd")&amp;"|"&amp;IF(S370=1,"F",TEXT(J370,"0.000")),"")</f>
        <v>20310910|4.750</v>
      </c>
      <c r="U370" s="90" t="n">
        <f aca="false">IF(AND(Q370=1,ISNUMBER(I370)),(I370-설정!$C$4)/365.25,"")</f>
        <v>4.94182067077344</v>
      </c>
      <c r="V370" s="43" t="str">
        <f aca="false">IF(Q370&lt;&gt;1,"",IF(ISNUMBER(U370),IF(U370&lt;=1,"1년 이하",IF(U370&lt;=2,"1-2년",IF(U370&lt;=3,"2-3년",IF(U370&lt;=4,"3-4년",IF(U370&lt;=5,"4-5년",IF(U370&lt;=7,"5-7년",IF(U370&lt;=10,"7-10년",IF(U370&lt;=20,"10-20년","20년 이상")))))))),"미분류"))</f>
        <v>4-5년</v>
      </c>
      <c r="W370" s="43" t="str">
        <f aca="false">IF(Q370&lt;&gt;1,"",IF(AB370&lt;&gt;"",INDEX(시장분석!$C:$C,AB370),IF(K370=1,"USD","비USD")))</f>
        <v>USD</v>
      </c>
      <c r="X370" s="91" t="n">
        <f aca="false">IF(Q370=1,E370*K370/1000000,0)</f>
        <v>9</v>
      </c>
      <c r="Y370" s="89" t="n">
        <f aca="false">IF(R370="T",1,0)</f>
        <v>0</v>
      </c>
      <c r="Z370" s="92" t="n">
        <f aca="false">IF(Q370&lt;&gt;1,"",IF(AD370=1,IF(ISNUMBER(U370),MAX(U370,0),H370),H370))</f>
        <v>4.2544</v>
      </c>
      <c r="AA370" s="91" t="n">
        <f aca="false">IF(Q370=1,IF(ISNUMBER(L370),L370,0)*K370/1000000,0)</f>
        <v>8.797842</v>
      </c>
      <c r="AB370" s="89" t="str">
        <f aca="false">IF(Q370&lt;&gt;1,"",IFERROR(MATCH(VLOOKUP(B370,매핑!$H$4:$I$15,2,0),시장분석!$A$2:$A$601,0)+1,IFERROR(MATCH(R370&amp;"|"&amp;T370,시장분석!$V$2:$V$601,0)+1,IF(COUNTIF(시장분석!$U$2:$U$601,T370)=1,MATCH(T370,시장분석!$U$2:$U$601,0)+1,""))))</f>
        <v/>
      </c>
      <c r="AC370" s="89" t="n">
        <f aca="false">IF(Q370&lt;&gt;1,0,IF(OR(설정!$C$5="전체",AND(설정!$C$5="선택펀드",IFERROR(COUNTIFS(설정!$F$16:$F$36,C370,설정!$G$16:$G$36,"Y")+COUNTIFS(설정!$F$16:$F$36,VALUE(C370),설정!$G$16:$G$36,"Y"),0)&gt;0),C370&amp;""=설정!$C$5&amp;""),1,0))</f>
        <v>0</v>
      </c>
      <c r="AD370" s="89" t="n">
        <f aca="false">IF(Q370&lt;&gt;1,0,IF(OR(S370=1,IF(AB370="",FALSE(),INDEX(시장분석!$R:$R,AB370)=1)),1,0))</f>
        <v>0</v>
      </c>
      <c r="AE370" s="43" t="str">
        <f aca="false">IF(AB370="","",INDEX(시장분석!$A:$A,AB370))</f>
        <v/>
      </c>
      <c r="AF370" s="93" t="str">
        <f aca="false">IF(AB370="","",IF(ISNUMBER(IF(AB370="","",INDEX(시장분석!$E:$E,AB370))),IF(AB370="","",INDEX(시장분석!$E:$E,AB370)),""))</f>
        <v/>
      </c>
      <c r="AG370" s="43" t="str">
        <f aca="false">IF(Q370&lt;&gt;1,"",IF(AB370&lt;&gt;"",IF(AB370="","",INDEX(시장분석!$L:$L,AB370)),IFERROR(IF(VLOOKUP(R370,매핑!$A$4:$E$92,5,0)="","미분류",VLOOKUP(R370,매핑!$A$4:$E$92,5,0)),"미분류")))</f>
        <v>정부</v>
      </c>
      <c r="AH370" s="43" t="str">
        <f aca="false">IF(Q370&lt;&gt;1,"",IF(AB370&lt;&gt;"",IF(AB370="","",INDEX(시장분석!$N:$N,AB370)),IFERROR(IF(VLOOKUP(R370,매핑!$A$4:$E$92,4,0)="","미분류",VLOOKUP(R370,매핑!$A$4:$E$92,4,0)),"미분류")))</f>
        <v>아시아/기타</v>
      </c>
      <c r="AI370" s="43" t="str">
        <f aca="false">IF(Q370&lt;&gt;1,"",IFERROR(IF(VLOOKUP(R370,매핑!$A$4:$E$92,3,0)="","미분류",VLOOKUP(R370,매핑!$A$4:$E$92,3,0)),IF(AB370&lt;&gt;"",IF(AB370="","",INDEX(시장분석!$W:$W,AB370)),"미분류")))</f>
        <v>한국</v>
      </c>
      <c r="AJ370" s="43" t="str">
        <f aca="false">IF(Q370&lt;&gt;1,"",IFERROR(VLOOKUP(IF(N370&lt;&gt;"",N370,IF(P370&lt;&gt;"",P370,O370)),설정!$A$15:$D$47,2,0),""))</f>
        <v>AA</v>
      </c>
      <c r="AK370" s="43" t="str">
        <f aca="false">IF(Q370&lt;&gt;1,"",IF(AJ370="","무등급",IFERROR(VLOOKUP(AJ370,설정!$A$15:$D$47,3,0),"무등급")))</f>
        <v>AA이상</v>
      </c>
      <c r="AL370" s="89" t="n">
        <f aca="false">IF(AJ370="",99,IFERROR(VLOOKUP(AJ370,설정!$A$15:$D$47,4,0),99))</f>
        <v>3</v>
      </c>
      <c r="AM370" s="94" t="n">
        <f aca="false">IF(ISNUMBER(H370),AA370*1000000*H370/10000,0)</f>
        <v>3742.95390048</v>
      </c>
      <c r="AN370" s="94" t="n">
        <f aca="false">IF(OR(Y370=1,NOT(ISNUMBER(Z370))),0,AA370*1000000*Z370/10000)</f>
        <v>3742.95390048</v>
      </c>
      <c r="AO370" s="94" t="n">
        <f aca="false">IF(ISNUMBER(G370),AA370*1000000*G370/100,0)</f>
        <v>463716.656136</v>
      </c>
      <c r="AP370" s="94" t="n">
        <f aca="false">IF(ISNUMBER(M370),M370*K370,0)</f>
        <v>-196060.87</v>
      </c>
      <c r="AQ370" s="95" t="str">
        <f aca="false">IF(AB370="","",INDEX(시장분석!$AK:$AK,AB370))</f>
        <v/>
      </c>
      <c r="AR370" s="43" t="str">
        <f aca="false">IF(AB370="","-",IF(AB370="","",INDEX(시장분석!$AL:$AL,AB370)))</f>
        <v>-</v>
      </c>
      <c r="AS370" s="96" t="str">
        <f aca="false">IF(AB370="","",INDEX(시장분석!$AJ:$AJ,AB370))</f>
        <v/>
      </c>
      <c r="AT370" s="93" t="n">
        <f aca="false">IF(AB370="",0,IF(AB370="","",INDEX(시장분석!$AN:$AN,AB370)))</f>
        <v>0</v>
      </c>
      <c r="AU370" s="94" t="n">
        <f aca="false">IF(ISNUMBER(Z370),AT370/10000*MAX(Z370-1,0)*AA370*1000000,0)</f>
        <v>0</v>
      </c>
      <c r="AV370" s="94" t="n">
        <f aca="false">AO370+AU370</f>
        <v>463716.656136</v>
      </c>
      <c r="AW370" s="43" t="str">
        <f aca="false">IF(Q370&lt;&gt;1,"",TRIM(IF(AD370=1,"FRN ","")&amp;IF(AND(AL370&gt;=10,AL370&lt;99),"BBB0미만 ","")&amp;IF(AJ370="","등급없음 ","")&amp;IF(K370&lt;&gt;1,"비USD ","")&amp;IF(AND(AB370="",Y370=0),"시장데이터없음 ","")&amp;IF(AND(ISNUMBER(U370),U370&lt;0),"만기경과 ","")))</f>
        <v>시장데이터없음</v>
      </c>
      <c r="AX370" s="90" t="n">
        <f aca="false">IF(Q370&lt;&gt;1,1,IF(스프레드쇼크!$C$4="Y",INDEX(스프레드쇼크!$B$12:$L$16,IFERROR(MATCH(AH370,스프레드쇼크!$A$12:$A$16,0),MATCH("목록외",스프레드쇼크!$A$12:$A$16,0)),IFERROR(MATCH(AG370,스프레드쇼크!$B$11:$L$11,0),MATCH("목록외",스프레드쇼크!$B$11:$L$11,0))),1))</f>
        <v>1</v>
      </c>
      <c r="AY370" s="90" t="n">
        <f aca="false">IF(스프레드쇼크!$C$5="Y",IF(ISNUMBER(AF370),MIN(스프레드쇼크!$C$7,MAX(스프레드쇼크!$C$6,AF370/스프레드쇼크!$C$8)),1),1)</f>
        <v>1</v>
      </c>
      <c r="AZ370" s="94" t="n">
        <f aca="false">AN370*AX370*AY370</f>
        <v>3742.95390048</v>
      </c>
      <c r="BA370" s="90" t="n">
        <f aca="false">IF(ISNUMBER(G370),AA370*G370,0)</f>
        <v>46.3716656136</v>
      </c>
      <c r="BB370" s="90" t="n">
        <f aca="false">IF(ISNUMBER(G370),AA370,0)</f>
        <v>8.797842</v>
      </c>
      <c r="BC370" s="90" t="n">
        <f aca="false">IF(AND(Y370=0,ISNUMBER(AF370)),AA370*AF370,0)</f>
        <v>0</v>
      </c>
      <c r="BD370" s="90" t="n">
        <f aca="false">IF(AND(Y370=0,ISNUMBER(AF370)),AA370,0)</f>
        <v>0</v>
      </c>
      <c r="BE370" s="90" t="n">
        <f aca="false">IF(ISNUMBER(H370),AA370*H370,0)</f>
        <v>37.4295390048</v>
      </c>
      <c r="BF370" s="90" t="n">
        <f aca="false">IF(ISNUMBER(H370),AA370,0)</f>
        <v>8.797842</v>
      </c>
      <c r="BG370" s="90" t="n">
        <f aca="false">IF(AND(Y370=0,ISNUMBER(AF370),ISNUMBER(Z370)),AA370*Z370,0)</f>
        <v>0</v>
      </c>
      <c r="BH370" s="90" t="n">
        <f aca="false">IF(AND(Y370=0,ISNUMBER(AF370),ISNUMBER(Z370)),AA370*AT370*MAX(Z370-1,0),0)</f>
        <v>0</v>
      </c>
      <c r="BI370" s="90" t="n">
        <f aca="false">IF(Y370=0,AA370,0)</f>
        <v>8.797842</v>
      </c>
    </row>
    <row r="371" customFormat="false" ht="15" hidden="false" customHeight="false" outlineLevel="0" collapsed="false">
      <c r="A371" s="83" t="str">
        <f aca="false">IFERROR(IF(INDEX(원자료_잔고!$A$1:$EZ$1500,설정!$L$5+ROW()-1,설정!$L$8)&amp;""="0","",INDEX(원자료_잔고!$A$1:$EZ$1500,설정!$L$5+ROW()-1,설정!$L$8)&amp;""),"")</f>
        <v>KORGAS 5 07/08/29</v>
      </c>
      <c r="B371" s="83" t="str">
        <f aca="false">IFERROR(IF(INDEX(원자료_잔고!$A$1:$EZ$1500,설정!$L$5+ROW()-1,설정!$L$7)&amp;""="0","",INDEX(원자료_잔고!$A$1:$EZ$1500,설정!$L$5+ROW()-1,설정!$L$7)&amp;""),"")</f>
        <v>US50066CAV19</v>
      </c>
      <c r="C371" s="83" t="str">
        <f aca="false">IFERROR(IF(INDEX(원자료_잔고!$A$1:$EZ$1500,설정!$L$5+ROW()-1,설정!$L$9)&amp;""="0","",INDEX(원자료_잔고!$A$1:$EZ$1500,설정!$L$5+ROW()-1,설정!$L$9)&amp;""),"")</f>
        <v>42003</v>
      </c>
      <c r="D37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1" s="84" t="n">
        <f aca="false">IFERROR(IF(ISNUMBER(INDEX(원자료_잔고!$A$1:$EZ$1500,설정!$L$5+ROW()-1,설정!$L$11)),INDEX(원자료_잔고!$A$1:$EZ$1500,설정!$L$5+ROW()-1,설정!$L$11),""),"")</f>
        <v>200000</v>
      </c>
      <c r="F371" s="85" t="n">
        <f aca="false">IFERROR(IF(ISNUMBER(INDEX(원자료_잔고!$A$1:$EZ$1500,설정!$L$5+ROW()-1,설정!$L$12)),INDEX(원자료_잔고!$A$1:$EZ$1500,설정!$L$5+ROW()-1,설정!$L$12),""),"")</f>
        <v>99.5385</v>
      </c>
      <c r="G371" s="85" t="n">
        <f aca="false">IFERROR(IF(ISNUMBER(INDEX(원자료_잔고!$A$1:$EZ$1500,설정!$L$5+ROW()-1,설정!$L$13)),INDEX(원자료_잔고!$A$1:$EZ$1500,설정!$L$5+ROW()-1,설정!$L$13),""),"")</f>
        <v>5.1768</v>
      </c>
      <c r="H371" s="85" t="n">
        <f aca="false">IFERROR(IF(ISNUMBER(INDEX(원자료_잔고!$A$1:$EZ$1500,설정!$L$5+ROW()-1,설정!$L$14)),INDEX(원자료_잔고!$A$1:$EZ$1500,설정!$L$5+ROW()-1,설정!$L$14),""),"")</f>
        <v>2.4778</v>
      </c>
      <c r="I371" s="86" t="n">
        <f aca="false">IFERROR(IF(ISNUMBER(INDEX(원자료_잔고!$A$1:$EZ$1500,설정!$L$5+ROW()-1,설정!$L$15)),INDEX(원자료_잔고!$A$1:$EZ$1500,설정!$L$5+ROW()-1,설정!$L$15),""),"")</f>
        <v>47307</v>
      </c>
      <c r="J371" s="85" t="n">
        <f aca="false">IFERROR(IF(ISNUMBER(INDEX(원자료_잔고!$A$1:$EZ$1500,설정!$L$5+ROW()-1,설정!$L$16)),INDEX(원자료_잔고!$A$1:$EZ$1500,설정!$L$5+ROW()-1,설정!$L$16),""),"")</f>
        <v>5</v>
      </c>
      <c r="K371" s="87" t="n">
        <f aca="false">IFERROR(IF(ISNUMBER(INDEX(원자료_잔고!$A$1:$EZ$1500,설정!$L$5+ROW()-1,설정!$L$17)),INDEX(원자료_잔고!$A$1:$EZ$1500,설정!$L$5+ROW()-1,설정!$L$17),""),"")</f>
        <v>1</v>
      </c>
      <c r="L371" s="84" t="n">
        <f aca="false">IFERROR(IF(ISNUMBER(INDEX(원자료_잔고!$A$1:$EZ$1500,설정!$L$5+ROW()-1,설정!$L$18)),INDEX(원자료_잔고!$A$1:$EZ$1500,설정!$L$5+ROW()-1,설정!$L$18),""),"")</f>
        <v>199077</v>
      </c>
      <c r="M371" s="88" t="n">
        <f aca="false">IFERROR(IF(ISNUMBER(INDEX(원자료_잔고!$A$1:$EZ$1500,설정!$L$5+ROW()-1,설정!$L$19)),INDEX(원자료_잔고!$A$1:$EZ$1500,설정!$L$5+ROW()-1,설정!$L$19),""),"")</f>
        <v>-7453.6</v>
      </c>
      <c r="N371" s="83" t="str">
        <f aca="false">IFERROR(IF(INDEX(원자료_잔고!$A$1:$EZ$1500,설정!$L$5+ROW()-1,설정!$L$21)&amp;""="0","",INDEX(원자료_잔고!$A$1:$EZ$1500,설정!$L$5+ROW()-1,설정!$L$21)&amp;""),"")</f>
        <v>AA</v>
      </c>
      <c r="O371" s="83" t="str">
        <f aca="false">IFERROR(IF(INDEX(원자료_잔고!$A$1:$EZ$1500,설정!$L$5+ROW()-1,설정!$L$22)&amp;""="0","",INDEX(원자료_잔고!$A$1:$EZ$1500,설정!$L$5+ROW()-1,설정!$L$22)&amp;""),"")</f>
        <v/>
      </c>
      <c r="P371" s="83" t="str">
        <f aca="false">IFERROR(IF(INDEX(원자료_잔고!$A$1:$EZ$1500,설정!$L$5+ROW()-1,설정!$L$23)&amp;""="0","",INDEX(원자료_잔고!$A$1:$EZ$1500,설정!$L$5+ROW()-1,설정!$L$23)&amp;""),"")</f>
        <v>AA-</v>
      </c>
      <c r="Q371" s="89" t="n">
        <f aca="false">IF(AND($A371&lt;&gt;"",ISNUMBER(E371)),IF(E371&gt;0,1,0),0)</f>
        <v>1</v>
      </c>
      <c r="R371" s="43" t="str">
        <f aca="false">IF(Q371=1,UPPER(LEFT($A371,FIND(" ",$A371&amp;" ")-1)),"")</f>
        <v>KORGAS</v>
      </c>
      <c r="S371" s="89" t="n">
        <f aca="false">IF(Q371=1,IF(OR(ISNUMBER(SEARCH("Float",$A371)),ISNUMBER(SEARCH("FRN",$A371))),1,0),0)</f>
        <v>0</v>
      </c>
      <c r="T371" s="43" t="str">
        <f aca="false">IF(AND(Q371=1,ISNUMBER(I371)),TEXT(I371,"yyyymmdd")&amp;"|"&amp;IF(S371=1,"F",TEXT(J371,"0.000")),"")</f>
        <v>20290708|5.000</v>
      </c>
      <c r="U371" s="90" t="n">
        <f aca="false">IF(AND(Q371=1,ISNUMBER(I371)),(I371-설정!$C$4)/365.25,"")</f>
        <v>2.76796714579055</v>
      </c>
      <c r="V371" s="43" t="str">
        <f aca="false">IF(Q371&lt;&gt;1,"",IF(ISNUMBER(U371),IF(U371&lt;=1,"1년 이하",IF(U371&lt;=2,"1-2년",IF(U371&lt;=3,"2-3년",IF(U371&lt;=4,"3-4년",IF(U371&lt;=5,"4-5년",IF(U371&lt;=7,"5-7년",IF(U371&lt;=10,"7-10년",IF(U371&lt;=20,"10-20년","20년 이상")))))))),"미분류"))</f>
        <v>2-3년</v>
      </c>
      <c r="W371" s="43" t="str">
        <f aca="false">IF(Q371&lt;&gt;1,"",IF(AB371&lt;&gt;"",INDEX(시장분석!$C:$C,AB371),IF(K371=1,"USD","비USD")))</f>
        <v>USD</v>
      </c>
      <c r="X371" s="91" t="n">
        <f aca="false">IF(Q371=1,E371*K371/1000000,0)</f>
        <v>0.2</v>
      </c>
      <c r="Y371" s="89" t="n">
        <f aca="false">IF(R371="T",1,0)</f>
        <v>0</v>
      </c>
      <c r="Z371" s="92" t="n">
        <f aca="false">IF(Q371&lt;&gt;1,"",IF(AD371=1,IF(ISNUMBER(U371),MAX(U371,0),H371),H371))</f>
        <v>2.4778</v>
      </c>
      <c r="AA371" s="91" t="n">
        <f aca="false">IF(Q371=1,IF(ISNUMBER(L371),L371,0)*K371/1000000,0)</f>
        <v>0.199077</v>
      </c>
      <c r="AB371" s="89" t="n">
        <f aca="false">IF(Q371&lt;&gt;1,"",IFERROR(MATCH(VLOOKUP(B371,매핑!$H$4:$I$15,2,0),시장분석!$A$2:$A$601,0)+1,IFERROR(MATCH(R371&amp;"|"&amp;T371,시장분석!$V$2:$V$601,0)+1,IF(COUNTIF(시장분석!$U$2:$U$601,T371)=1,MATCH(T371,시장분석!$U$2:$U$601,0)+1,""))))</f>
        <v>95</v>
      </c>
      <c r="AC371" s="89" t="n">
        <f aca="false">IF(Q371&lt;&gt;1,0,IF(OR(설정!$C$5="전체",AND(설정!$C$5="선택펀드",IFERROR(COUNTIFS(설정!$F$16:$F$36,C371,설정!$G$16:$G$36,"Y")+COUNTIFS(설정!$F$16:$F$36,VALUE(C371),설정!$G$16:$G$36,"Y"),0)&gt;0),C371&amp;""=설정!$C$5&amp;""),1,0))</f>
        <v>0</v>
      </c>
      <c r="AD371" s="89" t="n">
        <f aca="false">IF(Q371&lt;&gt;1,0,IF(OR(S371=1,IF(AB371="",FALSE(),INDEX(시장분석!$R:$R,AB371)=1)),1,0))</f>
        <v>0</v>
      </c>
      <c r="AE371" s="43" t="str">
        <f aca="false">IF(AB371="","",INDEX(시장분석!$A:$A,AB371))</f>
        <v>KORGAS 5 07/08/29</v>
      </c>
      <c r="AF371" s="93" t="n">
        <f aca="false">IF(AB371="","",IF(ISNUMBER(IF(AB371="","",INDEX(시장분석!$E:$E,AB371))),IF(AB371="","",INDEX(시장분석!$E:$E,AB371)),""))</f>
        <v>19.199</v>
      </c>
      <c r="AG371" s="43" t="str">
        <f aca="false">IF(Q371&lt;&gt;1,"",IF(AB371&lt;&gt;"",IF(AB371="","",INDEX(시장분석!$L:$L,AB371)),IFERROR(IF(VLOOKUP(R371,매핑!$A$4:$E$92,5,0)="","미분류",VLOOKUP(R371,매핑!$A$4:$E$92,5,0)),"미분류")))</f>
        <v>정부</v>
      </c>
      <c r="AH371" s="43" t="str">
        <f aca="false">IF(Q371&lt;&gt;1,"",IF(AB371&lt;&gt;"",IF(AB371="","",INDEX(시장분석!$N:$N,AB371)),IFERROR(IF(VLOOKUP(R371,매핑!$A$4:$E$92,4,0)="","미분류",VLOOKUP(R371,매핑!$A$4:$E$92,4,0)),"미분류")))</f>
        <v>아시아/기타</v>
      </c>
      <c r="AI371" s="43" t="str">
        <f aca="false">IF(Q371&lt;&gt;1,"",IFERROR(IF(VLOOKUP(R371,매핑!$A$4:$E$92,3,0)="","미분류",VLOOKUP(R371,매핑!$A$4:$E$92,3,0)),IF(AB371&lt;&gt;"",IF(AB371="","",INDEX(시장분석!$W:$W,AB371)),"미분류")))</f>
        <v>한국</v>
      </c>
      <c r="AJ371" s="43" t="str">
        <f aca="false">IF(Q371&lt;&gt;1,"",IFERROR(VLOOKUP(IF(N371&lt;&gt;"",N371,IF(P371&lt;&gt;"",P371,O371)),설정!$A$15:$D$47,2,0),""))</f>
        <v>AA</v>
      </c>
      <c r="AK371" s="43" t="str">
        <f aca="false">IF(Q371&lt;&gt;1,"",IF(AJ371="","무등급",IFERROR(VLOOKUP(AJ371,설정!$A$15:$D$47,3,0),"무등급")))</f>
        <v>AA이상</v>
      </c>
      <c r="AL371" s="89" t="n">
        <f aca="false">IF(AJ371="",99,IFERROR(VLOOKUP(AJ371,설정!$A$15:$D$47,4,0),99))</f>
        <v>3</v>
      </c>
      <c r="AM371" s="94" t="n">
        <f aca="false">IF(ISNUMBER(H371),AA371*1000000*H371/10000,0)</f>
        <v>49.32729906</v>
      </c>
      <c r="AN371" s="94" t="n">
        <f aca="false">IF(OR(Y371=1,NOT(ISNUMBER(Z371))),0,AA371*1000000*Z371/10000)</f>
        <v>49.32729906</v>
      </c>
      <c r="AO371" s="94" t="n">
        <f aca="false">IF(ISNUMBER(G371),AA371*1000000*G371/100,0)</f>
        <v>10305.818136</v>
      </c>
      <c r="AP371" s="94" t="n">
        <f aca="false">IF(ISNUMBER(M371),M371*K371,0)</f>
        <v>-7453.6</v>
      </c>
      <c r="AQ371" s="95" t="n">
        <f aca="false">IF(AB371="","",INDEX(시장분석!$AK:$AK,AB371))</f>
        <v>0.134974675738137</v>
      </c>
      <c r="AR371" s="43" t="str">
        <f aca="false">IF(AB371="","-",IF(AB371="","",INDEX(시장분석!$AL:$AL,AB371)))</f>
        <v>Fair</v>
      </c>
      <c r="AS371" s="96" t="n">
        <f aca="false">IF(AB371="","",INDEX(시장분석!$AJ:$AJ,AB371))</f>
        <v>1.84821148975313</v>
      </c>
      <c r="AT371" s="93" t="n">
        <f aca="false">IF(AB371="",0,IF(AB371="","",INDEX(시장분석!$AN:$AN,AB371)))</f>
        <v>9.69865388865756</v>
      </c>
      <c r="AU371" s="94" t="n">
        <f aca="false">IF(ISNUMBER(Z371),AT371/10000*MAX(Z371-1,0)*AA371*1000000,0)</f>
        <v>285.330508826015</v>
      </c>
      <c r="AV371" s="94" t="n">
        <f aca="false">AO371+AU371</f>
        <v>10591.148644826</v>
      </c>
      <c r="AW371" s="43" t="str">
        <f aca="false">IF(Q371&lt;&gt;1,"",TRIM(IF(AD371=1,"FRN ","")&amp;IF(AND(AL371&gt;=10,AL371&lt;99),"BBB0미만 ","")&amp;IF(AJ371="","등급없음 ","")&amp;IF(K371&lt;&gt;1,"비USD ","")&amp;IF(AND(AB371="",Y371=0),"시장데이터없음 ","")&amp;IF(AND(ISNUMBER(U371),U371&lt;0),"만기경과 ","")))</f>
        <v/>
      </c>
      <c r="AX371" s="90" t="n">
        <f aca="false">IF(Q371&lt;&gt;1,1,IF(스프레드쇼크!$C$4="Y",INDEX(스프레드쇼크!$B$12:$L$16,IFERROR(MATCH(AH371,스프레드쇼크!$A$12:$A$16,0),MATCH("목록외",스프레드쇼크!$A$12:$A$16,0)),IFERROR(MATCH(AG371,스프레드쇼크!$B$11:$L$11,0),MATCH("목록외",스프레드쇼크!$B$11:$L$11,0))),1))</f>
        <v>1</v>
      </c>
      <c r="AY371" s="90" t="n">
        <f aca="false">IF(스프레드쇼크!$C$5="Y",IF(ISNUMBER(AF371),MIN(스프레드쇼크!$C$7,MAX(스프레드쇼크!$C$6,AF371/스프레드쇼크!$C$8)),1),1)</f>
        <v>0.290392325875386</v>
      </c>
      <c r="AZ371" s="94" t="n">
        <f aca="false">AN371*AX371*AY371</f>
        <v>14.3242691031841</v>
      </c>
      <c r="BA371" s="90" t="n">
        <f aca="false">IF(ISNUMBER(G371),AA371*G371,0)</f>
        <v>1.0305818136</v>
      </c>
      <c r="BB371" s="90" t="n">
        <f aca="false">IF(ISNUMBER(G371),AA371,0)</f>
        <v>0.199077</v>
      </c>
      <c r="BC371" s="90" t="n">
        <f aca="false">IF(AND(Y371=0,ISNUMBER(AF371)),AA371*AF371,0)</f>
        <v>3.822079323</v>
      </c>
      <c r="BD371" s="90" t="n">
        <f aca="false">IF(AND(Y371=0,ISNUMBER(AF371)),AA371,0)</f>
        <v>0.199077</v>
      </c>
      <c r="BE371" s="90" t="n">
        <f aca="false">IF(ISNUMBER(H371),AA371*H371,0)</f>
        <v>0.4932729906</v>
      </c>
      <c r="BF371" s="90" t="n">
        <f aca="false">IF(ISNUMBER(H371),AA371,0)</f>
        <v>0.199077</v>
      </c>
      <c r="BG371" s="90" t="n">
        <f aca="false">IF(AND(Y371=0,ISNUMBER(AF371),ISNUMBER(Z371)),AA371*Z371,0)</f>
        <v>0.4932729906</v>
      </c>
      <c r="BH371" s="90" t="n">
        <f aca="false">IF(AND(Y371=0,ISNUMBER(AF371),ISNUMBER(Z371)),AA371*AT371*MAX(Z371-1,0),0)</f>
        <v>2.85330508826015</v>
      </c>
      <c r="BI371" s="90" t="n">
        <f aca="false">IF(Y371=0,AA371,0)</f>
        <v>0.199077</v>
      </c>
    </row>
    <row r="372" customFormat="false" ht="15" hidden="false" customHeight="false" outlineLevel="0" collapsed="false">
      <c r="A372" s="83" t="str">
        <f aca="false">IFERROR(IF(INDEX(원자료_잔고!$A$1:$EZ$1500,설정!$L$5+ROW()-1,설정!$L$8)&amp;""="0","",INDEX(원자료_잔고!$A$1:$EZ$1500,설정!$L$5+ROW()-1,설정!$L$8)&amp;""),"")</f>
        <v>NACF 4.875 07/03/28</v>
      </c>
      <c r="B372" s="83" t="str">
        <f aca="false">IFERROR(IF(INDEX(원자료_잔고!$A$1:$EZ$1500,설정!$L$5+ROW()-1,설정!$L$7)&amp;""="0","",INDEX(원자료_잔고!$A$1:$EZ$1500,설정!$L$5+ROW()-1,설정!$L$7)&amp;""),"")</f>
        <v>US65540KAK16</v>
      </c>
      <c r="C372" s="83" t="str">
        <f aca="false">IFERROR(IF(INDEX(원자료_잔고!$A$1:$EZ$1500,설정!$L$5+ROW()-1,설정!$L$9)&amp;""="0","",INDEX(원자료_잔고!$A$1:$EZ$1500,설정!$L$5+ROW()-1,설정!$L$9)&amp;""),"")</f>
        <v>42003</v>
      </c>
      <c r="D37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2" s="84" t="n">
        <f aca="false">IFERROR(IF(ISNUMBER(INDEX(원자료_잔고!$A$1:$EZ$1500,설정!$L$5+ROW()-1,설정!$L$11)),INDEX(원자료_잔고!$A$1:$EZ$1500,설정!$L$5+ROW()-1,설정!$L$11),""),"")</f>
        <v>2000000</v>
      </c>
      <c r="F372" s="85" t="n">
        <f aca="false">IFERROR(IF(ISNUMBER(INDEX(원자료_잔고!$A$1:$EZ$1500,설정!$L$5+ROW()-1,설정!$L$12)),INDEX(원자료_잔고!$A$1:$EZ$1500,설정!$L$5+ROW()-1,설정!$L$12),""),"")</f>
        <v>99.3824</v>
      </c>
      <c r="G372" s="85" t="n">
        <f aca="false">IFERROR(IF(ISNUMBER(INDEX(원자료_잔고!$A$1:$EZ$1500,설정!$L$5+ROW()-1,설정!$L$13)),INDEX(원자료_잔고!$A$1:$EZ$1500,설정!$L$5+ROW()-1,설정!$L$13),""),"")</f>
        <v>5.2408</v>
      </c>
      <c r="H372" s="85" t="n">
        <f aca="false">IFERROR(IF(ISNUMBER(INDEX(원자료_잔고!$A$1:$EZ$1500,설정!$L$5+ROW()-1,설정!$L$14)),INDEX(원자료_잔고!$A$1:$EZ$1500,설정!$L$5+ROW()-1,설정!$L$14),""),"")</f>
        <v>1.6118</v>
      </c>
      <c r="I372" s="86" t="n">
        <f aca="false">IFERROR(IF(ISNUMBER(INDEX(원자료_잔고!$A$1:$EZ$1500,설정!$L$5+ROW()-1,설정!$L$15)),INDEX(원자료_잔고!$A$1:$EZ$1500,설정!$L$5+ROW()-1,설정!$L$15),""),"")</f>
        <v>46937</v>
      </c>
      <c r="J372" s="85" t="n">
        <f aca="false">IFERROR(IF(ISNUMBER(INDEX(원자료_잔고!$A$1:$EZ$1500,설정!$L$5+ROW()-1,설정!$L$16)),INDEX(원자료_잔고!$A$1:$EZ$1500,설정!$L$5+ROW()-1,설정!$L$16),""),"")</f>
        <v>4.875</v>
      </c>
      <c r="K372" s="87" t="n">
        <f aca="false">IFERROR(IF(ISNUMBER(INDEX(원자료_잔고!$A$1:$EZ$1500,설정!$L$5+ROW()-1,설정!$L$17)),INDEX(원자료_잔고!$A$1:$EZ$1500,설정!$L$5+ROW()-1,설정!$L$17),""),"")</f>
        <v>1</v>
      </c>
      <c r="L372" s="84" t="n">
        <f aca="false">IFERROR(IF(ISNUMBER(INDEX(원자료_잔고!$A$1:$EZ$1500,설정!$L$5+ROW()-1,설정!$L$18)),INDEX(원자료_잔고!$A$1:$EZ$1500,설정!$L$5+ROW()-1,설정!$L$18),""),"")</f>
        <v>1987648</v>
      </c>
      <c r="M372" s="88" t="n">
        <f aca="false">IFERROR(IF(ISNUMBER(INDEX(원자료_잔고!$A$1:$EZ$1500,설정!$L$5+ROW()-1,설정!$L$19)),INDEX(원자료_잔고!$A$1:$EZ$1500,설정!$L$5+ROW()-1,설정!$L$19),""),"")</f>
        <v>-59638</v>
      </c>
      <c r="N372" s="83" t="str">
        <f aca="false">IFERROR(IF(INDEX(원자료_잔고!$A$1:$EZ$1500,설정!$L$5+ROW()-1,설정!$L$21)&amp;""="0","",INDEX(원자료_잔고!$A$1:$EZ$1500,설정!$L$5+ROW()-1,설정!$L$21)&amp;""),"")</f>
        <v>A+</v>
      </c>
      <c r="O372" s="83" t="str">
        <f aca="false">IFERROR(IF(INDEX(원자료_잔고!$A$1:$EZ$1500,설정!$L$5+ROW()-1,설정!$L$22)&amp;""="0","",INDEX(원자료_잔고!$A$1:$EZ$1500,설정!$L$5+ROW()-1,설정!$L$22)&amp;""),"")</f>
        <v/>
      </c>
      <c r="P372" s="83" t="str">
        <f aca="false">IFERROR(IF(INDEX(원자료_잔고!$A$1:$EZ$1500,설정!$L$5+ROW()-1,설정!$L$23)&amp;""="0","",INDEX(원자료_잔고!$A$1:$EZ$1500,설정!$L$5+ROW()-1,설정!$L$23)&amp;""),"")</f>
        <v>N/A</v>
      </c>
      <c r="Q372" s="89" t="n">
        <f aca="false">IF(AND($A372&lt;&gt;"",ISNUMBER(E372)),IF(E372&gt;0,1,0),0)</f>
        <v>1</v>
      </c>
      <c r="R372" s="43" t="str">
        <f aca="false">IF(Q372=1,UPPER(LEFT($A372,FIND(" ",$A372&amp;" ")-1)),"")</f>
        <v>NACF</v>
      </c>
      <c r="S372" s="89" t="n">
        <f aca="false">IF(Q372=1,IF(OR(ISNUMBER(SEARCH("Float",$A372)),ISNUMBER(SEARCH("FRN",$A372))),1,0),0)</f>
        <v>0</v>
      </c>
      <c r="T372" s="43" t="str">
        <f aca="false">IF(AND(Q372=1,ISNUMBER(I372)),TEXT(I372,"yyyymmdd")&amp;"|"&amp;IF(S372=1,"F",TEXT(J372,"0.000")),"")</f>
        <v>20280703|4.875</v>
      </c>
      <c r="U372" s="90" t="n">
        <f aca="false">IF(AND(Q372=1,ISNUMBER(I372)),(I372-설정!$C$4)/365.25,"")</f>
        <v>1.75496235455168</v>
      </c>
      <c r="V372" s="43" t="str">
        <f aca="false">IF(Q372&lt;&gt;1,"",IF(ISNUMBER(U372),IF(U372&lt;=1,"1년 이하",IF(U372&lt;=2,"1-2년",IF(U372&lt;=3,"2-3년",IF(U372&lt;=4,"3-4년",IF(U372&lt;=5,"4-5년",IF(U372&lt;=7,"5-7년",IF(U372&lt;=10,"7-10년",IF(U372&lt;=20,"10-20년","20년 이상")))))))),"미분류"))</f>
        <v>1-2년</v>
      </c>
      <c r="W372" s="43" t="str">
        <f aca="false">IF(Q372&lt;&gt;1,"",IF(AB372&lt;&gt;"",INDEX(시장분석!$C:$C,AB372),IF(K372=1,"USD","비USD")))</f>
        <v>USD</v>
      </c>
      <c r="X372" s="91" t="n">
        <f aca="false">IF(Q372=1,E372*K372/1000000,0)</f>
        <v>2</v>
      </c>
      <c r="Y372" s="89" t="n">
        <f aca="false">IF(R372="T",1,0)</f>
        <v>0</v>
      </c>
      <c r="Z372" s="92" t="n">
        <f aca="false">IF(Q372&lt;&gt;1,"",IF(AD372=1,IF(ISNUMBER(U372),MAX(U372,0),H372),H372))</f>
        <v>1.6118</v>
      </c>
      <c r="AA372" s="91" t="n">
        <f aca="false">IF(Q372=1,IF(ISNUMBER(L372),L372,0)*K372/1000000,0)</f>
        <v>1.987648</v>
      </c>
      <c r="AB372" s="89" t="n">
        <f aca="false">IF(Q372&lt;&gt;1,"",IFERROR(MATCH(VLOOKUP(B372,매핑!$H$4:$I$15,2,0),시장분석!$A$2:$A$601,0)+1,IFERROR(MATCH(R372&amp;"|"&amp;T372,시장분석!$V$2:$V$601,0)+1,IF(COUNTIF(시장분석!$U$2:$U$601,T372)=1,MATCH(T372,시장분석!$U$2:$U$601,0)+1,""))))</f>
        <v>111</v>
      </c>
      <c r="AC372" s="89" t="n">
        <f aca="false">IF(Q372&lt;&gt;1,0,IF(OR(설정!$C$5="전체",AND(설정!$C$5="선택펀드",IFERROR(COUNTIFS(설정!$F$16:$F$36,C372,설정!$G$16:$G$36,"Y")+COUNTIFS(설정!$F$16:$F$36,VALUE(C372),설정!$G$16:$G$36,"Y"),0)&gt;0),C372&amp;""=설정!$C$5&amp;""),1,0))</f>
        <v>0</v>
      </c>
      <c r="AD372" s="89" t="n">
        <f aca="false">IF(Q372&lt;&gt;1,0,IF(OR(S372=1,IF(AB372="",FALSE(),INDEX(시장분석!$R:$R,AB372)=1)),1,0))</f>
        <v>0</v>
      </c>
      <c r="AE372" s="43" t="str">
        <f aca="false">IF(AB372="","",INDEX(시장분석!$A:$A,AB372))</f>
        <v>NACF 4 7/8 07/03/28</v>
      </c>
      <c r="AF372" s="93" t="n">
        <f aca="false">IF(AB372="","",IF(ISNUMBER(IF(AB372="","",INDEX(시장분석!$E:$E,AB372))),IF(AB372="","",INDEX(시장분석!$E:$E,AB372)),""))</f>
        <v>36.624</v>
      </c>
      <c r="AG372" s="43" t="str">
        <f aca="false">IF(Q372&lt;&gt;1,"",IF(AB372&lt;&gt;"",IF(AB372="","",INDEX(시장분석!$L:$L,AB372)),IFERROR(IF(VLOOKUP(R372,매핑!$A$4:$E$92,5,0)="","미분류",VLOOKUP(R372,매핑!$A$4:$E$92,5,0)),"미분류")))</f>
        <v>금융기관</v>
      </c>
      <c r="AH372" s="43" t="str">
        <f aca="false">IF(Q372&lt;&gt;1,"",IF(AB372&lt;&gt;"",IF(AB372="","",INDEX(시장분석!$N:$N,AB372)),IFERROR(IF(VLOOKUP(R372,매핑!$A$4:$E$92,4,0)="","미분류",VLOOKUP(R372,매핑!$A$4:$E$92,4,0)),"미분류")))</f>
        <v>아시아/기타</v>
      </c>
      <c r="AI372" s="43" t="str">
        <f aca="false">IF(Q372&lt;&gt;1,"",IFERROR(IF(VLOOKUP(R372,매핑!$A$4:$E$92,3,0)="","미분류",VLOOKUP(R372,매핑!$A$4:$E$92,3,0)),IF(AB372&lt;&gt;"",IF(AB372="","",INDEX(시장분석!$W:$W,AB372)),"미분류")))</f>
        <v>한국</v>
      </c>
      <c r="AJ372" s="43" t="str">
        <f aca="false">IF(Q372&lt;&gt;1,"",IFERROR(VLOOKUP(IF(N372&lt;&gt;"",N372,IF(P372&lt;&gt;"",P372,O372)),설정!$A$15:$D$47,2,0),""))</f>
        <v>A+</v>
      </c>
      <c r="AK372" s="43" t="str">
        <f aca="false">IF(Q372&lt;&gt;1,"",IF(AJ372="","무등급",IFERROR(VLOOKUP(AJ372,설정!$A$15:$D$47,3,0),"무등급")))</f>
        <v>A</v>
      </c>
      <c r="AL372" s="89" t="n">
        <f aca="false">IF(AJ372="",99,IFERROR(VLOOKUP(AJ372,설정!$A$15:$D$47,4,0),99))</f>
        <v>5</v>
      </c>
      <c r="AM372" s="94" t="n">
        <f aca="false">IF(ISNUMBER(H372),AA372*1000000*H372/10000,0)</f>
        <v>320.36910464</v>
      </c>
      <c r="AN372" s="94" t="n">
        <f aca="false">IF(OR(Y372=1,NOT(ISNUMBER(Z372))),0,AA372*1000000*Z372/10000)</f>
        <v>320.36910464</v>
      </c>
      <c r="AO372" s="94" t="n">
        <f aca="false">IF(ISNUMBER(G372),AA372*1000000*G372/100,0)</f>
        <v>104168.656384</v>
      </c>
      <c r="AP372" s="94" t="n">
        <f aca="false">IF(ISNUMBER(M372),M372*K372,0)</f>
        <v>-59638</v>
      </c>
      <c r="AQ372" s="95" t="n">
        <f aca="false">IF(AB372="","",INDEX(시장분석!$AK:$AK,AB372))</f>
        <v>-1.01255951293116</v>
      </c>
      <c r="AR372" s="43" t="str">
        <f aca="false">IF(AB372="","-",IF(AB372="","",INDEX(시장분석!$AL:$AL,AB372)))</f>
        <v>Rich</v>
      </c>
      <c r="AS372" s="96" t="n">
        <f aca="false">IF(AB372="","",INDEX(시장분석!$AJ:$AJ,AB372))</f>
        <v>-20.7307258341835</v>
      </c>
      <c r="AT372" s="93" t="n">
        <f aca="false">IF(AB372="",0,IF(AB372="","",INDEX(시장분석!$AN:$AN,AB372)))</f>
        <v>12.564191689806</v>
      </c>
      <c r="AU372" s="94" t="n">
        <f aca="false">IF(ISNUMBER(Z372),AT372/10000*MAX(Z372-1,0)*AA372*1000000,0)</f>
        <v>1527.85979380253</v>
      </c>
      <c r="AV372" s="94" t="n">
        <f aca="false">AO372+AU372</f>
        <v>105696.516177803</v>
      </c>
      <c r="AW372" s="43" t="str">
        <f aca="false">IF(Q372&lt;&gt;1,"",TRIM(IF(AD372=1,"FRN ","")&amp;IF(AND(AL372&gt;=10,AL372&lt;99),"BBB0미만 ","")&amp;IF(AJ372="","등급없음 ","")&amp;IF(K372&lt;&gt;1,"비USD ","")&amp;IF(AND(AB372="",Y372=0),"시장데이터없음 ","")&amp;IF(AND(ISNUMBER(U372),U372&lt;0),"만기경과 ","")))</f>
        <v/>
      </c>
      <c r="AX372" s="90" t="n">
        <f aca="false">IF(Q372&lt;&gt;1,1,IF(스프레드쇼크!$C$4="Y",INDEX(스프레드쇼크!$B$12:$L$16,IFERROR(MATCH(AH372,스프레드쇼크!$A$12:$A$16,0),MATCH("목록외",스프레드쇼크!$A$12:$A$16,0)),IFERROR(MATCH(AG372,스프레드쇼크!$B$11:$L$11,0),MATCH("목록외",스프레드쇼크!$B$11:$L$11,0))),1))</f>
        <v>1</v>
      </c>
      <c r="AY372" s="90" t="n">
        <f aca="false">IF(스프레드쇼크!$C$5="Y",IF(ISNUMBER(AF372),MIN(스프레드쇼크!$C$7,MAX(스프레드쇼크!$C$6,AF372/스프레드쇼크!$C$8)),1),1)</f>
        <v>0.553952213285073</v>
      </c>
      <c r="AZ372" s="94" t="n">
        <f aca="false">AN372*AX372*AY372</f>
        <v>177.469174583485</v>
      </c>
      <c r="BA372" s="90" t="n">
        <f aca="false">IF(ISNUMBER(G372),AA372*G372,0)</f>
        <v>10.4168656384</v>
      </c>
      <c r="BB372" s="90" t="n">
        <f aca="false">IF(ISNUMBER(G372),AA372,0)</f>
        <v>1.987648</v>
      </c>
      <c r="BC372" s="90" t="n">
        <f aca="false">IF(AND(Y372=0,ISNUMBER(AF372)),AA372*AF372,0)</f>
        <v>72.795620352</v>
      </c>
      <c r="BD372" s="90" t="n">
        <f aca="false">IF(AND(Y372=0,ISNUMBER(AF372)),AA372,0)</f>
        <v>1.987648</v>
      </c>
      <c r="BE372" s="90" t="n">
        <f aca="false">IF(ISNUMBER(H372),AA372*H372,0)</f>
        <v>3.2036910464</v>
      </c>
      <c r="BF372" s="90" t="n">
        <f aca="false">IF(ISNUMBER(H372),AA372,0)</f>
        <v>1.987648</v>
      </c>
      <c r="BG372" s="90" t="n">
        <f aca="false">IF(AND(Y372=0,ISNUMBER(AF372),ISNUMBER(Z372)),AA372*Z372,0)</f>
        <v>3.2036910464</v>
      </c>
      <c r="BH372" s="90" t="n">
        <f aca="false">IF(AND(Y372=0,ISNUMBER(AF372),ISNUMBER(Z372)),AA372*AT372*MAX(Z372-1,0),0)</f>
        <v>15.2785979380252</v>
      </c>
      <c r="BI372" s="90" t="n">
        <f aca="false">IF(Y372=0,AA372,0)</f>
        <v>1.987648</v>
      </c>
    </row>
    <row r="373" customFormat="false" ht="15" hidden="false" customHeight="false" outlineLevel="0" collapsed="false">
      <c r="A373" s="83" t="str">
        <f aca="false">IFERROR(IF(INDEX(원자료_잔고!$A$1:$EZ$1500,설정!$L$5+ROW()-1,설정!$L$8)&amp;""="0","",INDEX(원자료_잔고!$A$1:$EZ$1500,설정!$L$5+ROW()-1,설정!$L$8)&amp;""),"")</f>
        <v>WOORIB 4.75 01/24/29</v>
      </c>
      <c r="B373" s="83" t="str">
        <f aca="false">IFERROR(IF(INDEX(원자료_잔고!$A$1:$EZ$1500,설정!$L$5+ROW()-1,설정!$L$7)&amp;""="0","",INDEX(원자료_잔고!$A$1:$EZ$1500,설정!$L$5+ROW()-1,설정!$L$7)&amp;""),"")</f>
        <v>US98105GAP72</v>
      </c>
      <c r="C373" s="83" t="str">
        <f aca="false">IFERROR(IF(INDEX(원자료_잔고!$A$1:$EZ$1500,설정!$L$5+ROW()-1,설정!$L$9)&amp;""="0","",INDEX(원자료_잔고!$A$1:$EZ$1500,설정!$L$5+ROW()-1,설정!$L$9)&amp;""),"")</f>
        <v>42003</v>
      </c>
      <c r="D37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3" s="84" t="n">
        <f aca="false">IFERROR(IF(ISNUMBER(INDEX(원자료_잔고!$A$1:$EZ$1500,설정!$L$5+ROW()-1,설정!$L$11)),INDEX(원자료_잔고!$A$1:$EZ$1500,설정!$L$5+ROW()-1,설정!$L$11),""),"")</f>
        <v>500000</v>
      </c>
      <c r="F373" s="85" t="n">
        <f aca="false">IFERROR(IF(ISNUMBER(INDEX(원자료_잔고!$A$1:$EZ$1500,설정!$L$5+ROW()-1,설정!$L$12)),INDEX(원자료_잔고!$A$1:$EZ$1500,설정!$L$5+ROW()-1,설정!$L$12),""),"")</f>
        <v>98.8672</v>
      </c>
      <c r="G373" s="85" t="n">
        <f aca="false">IFERROR(IF(ISNUMBER(INDEX(원자료_잔고!$A$1:$EZ$1500,설정!$L$5+ROW()-1,설정!$L$13)),INDEX(원자료_잔고!$A$1:$EZ$1500,설정!$L$5+ROW()-1,설정!$L$13),""),"")</f>
        <v>5.2723</v>
      </c>
      <c r="H373" s="85" t="n">
        <f aca="false">IFERROR(IF(ISNUMBER(INDEX(원자료_잔고!$A$1:$EZ$1500,설정!$L$5+ROW()-1,설정!$L$14)),INDEX(원자료_잔고!$A$1:$EZ$1500,설정!$L$5+ROW()-1,설정!$L$14),""),"")</f>
        <v>2.1052</v>
      </c>
      <c r="I373" s="86" t="n">
        <f aca="false">IFERROR(IF(ISNUMBER(INDEX(원자료_잔고!$A$1:$EZ$1500,설정!$L$5+ROW()-1,설정!$L$15)),INDEX(원자료_잔고!$A$1:$EZ$1500,설정!$L$5+ROW()-1,설정!$L$15),""),"")</f>
        <v>47142</v>
      </c>
      <c r="J373" s="85" t="n">
        <f aca="false">IFERROR(IF(ISNUMBER(INDEX(원자료_잔고!$A$1:$EZ$1500,설정!$L$5+ROW()-1,설정!$L$16)),INDEX(원자료_잔고!$A$1:$EZ$1500,설정!$L$5+ROW()-1,설정!$L$16),""),"")</f>
        <v>4.75</v>
      </c>
      <c r="K373" s="87" t="n">
        <f aca="false">IFERROR(IF(ISNUMBER(INDEX(원자료_잔고!$A$1:$EZ$1500,설정!$L$5+ROW()-1,설정!$L$17)),INDEX(원자료_잔고!$A$1:$EZ$1500,설정!$L$5+ROW()-1,설정!$L$17),""),"")</f>
        <v>1</v>
      </c>
      <c r="L373" s="84" t="n">
        <f aca="false">IFERROR(IF(ISNUMBER(INDEX(원자료_잔고!$A$1:$EZ$1500,설정!$L$5+ROW()-1,설정!$L$18)),INDEX(원자료_잔고!$A$1:$EZ$1500,설정!$L$5+ROW()-1,설정!$L$18),""),"")</f>
        <v>494336</v>
      </c>
      <c r="M373" s="88" t="n">
        <f aca="false">IFERROR(IF(ISNUMBER(INDEX(원자료_잔고!$A$1:$EZ$1500,설정!$L$5+ROW()-1,설정!$L$19)),INDEX(원자료_잔고!$A$1:$EZ$1500,설정!$L$5+ROW()-1,설정!$L$19),""),"")</f>
        <v>-17214</v>
      </c>
      <c r="N373" s="83" t="str">
        <f aca="false">IFERROR(IF(INDEX(원자료_잔고!$A$1:$EZ$1500,설정!$L$5+ROW()-1,설정!$L$21)&amp;""="0","",INDEX(원자료_잔고!$A$1:$EZ$1500,설정!$L$5+ROW()-1,설정!$L$21)&amp;""),"")</f>
        <v>A+</v>
      </c>
      <c r="O373" s="83" t="str">
        <f aca="false">IFERROR(IF(INDEX(원자료_잔고!$A$1:$EZ$1500,설정!$L$5+ROW()-1,설정!$L$22)&amp;""="0","",INDEX(원자료_잔고!$A$1:$EZ$1500,설정!$L$5+ROW()-1,설정!$L$22)&amp;""),"")</f>
        <v/>
      </c>
      <c r="P373" s="83" t="str">
        <f aca="false">IFERROR(IF(INDEX(원자료_잔고!$A$1:$EZ$1500,설정!$L$5+ROW()-1,설정!$L$23)&amp;""="0","",INDEX(원자료_잔고!$A$1:$EZ$1500,설정!$L$5+ROW()-1,설정!$L$23)&amp;""),"")</f>
        <v>N/A</v>
      </c>
      <c r="Q373" s="89" t="n">
        <f aca="false">IF(AND($A373&lt;&gt;"",ISNUMBER(E373)),IF(E373&gt;0,1,0),0)</f>
        <v>1</v>
      </c>
      <c r="R373" s="43" t="str">
        <f aca="false">IF(Q373=1,UPPER(LEFT($A373,FIND(" ",$A373&amp;" ")-1)),"")</f>
        <v>WOORIB</v>
      </c>
      <c r="S373" s="89" t="n">
        <f aca="false">IF(Q373=1,IF(OR(ISNUMBER(SEARCH("Float",$A373)),ISNUMBER(SEARCH("FRN",$A373))),1,0),0)</f>
        <v>0</v>
      </c>
      <c r="T373" s="43" t="str">
        <f aca="false">IF(AND(Q373=1,ISNUMBER(I373)),TEXT(I373,"yyyymmdd")&amp;"|"&amp;IF(S373=1,"F",TEXT(J373,"0.000")),"")</f>
        <v>20290124|4.750</v>
      </c>
      <c r="U373" s="90" t="n">
        <f aca="false">IF(AND(Q373=1,ISNUMBER(I373)),(I373-설정!$C$4)/365.25,"")</f>
        <v>2.31622176591376</v>
      </c>
      <c r="V373" s="43" t="str">
        <f aca="false">IF(Q373&lt;&gt;1,"",IF(ISNUMBER(U373),IF(U373&lt;=1,"1년 이하",IF(U373&lt;=2,"1-2년",IF(U373&lt;=3,"2-3년",IF(U373&lt;=4,"3-4년",IF(U373&lt;=5,"4-5년",IF(U373&lt;=7,"5-7년",IF(U373&lt;=10,"7-10년",IF(U373&lt;=20,"10-20년","20년 이상")))))))),"미분류"))</f>
        <v>2-3년</v>
      </c>
      <c r="W373" s="43" t="str">
        <f aca="false">IF(Q373&lt;&gt;1,"",IF(AB373&lt;&gt;"",INDEX(시장분석!$C:$C,AB373),IF(K373=1,"USD","비USD")))</f>
        <v>USD</v>
      </c>
      <c r="X373" s="91" t="n">
        <f aca="false">IF(Q373=1,E373*K373/1000000,0)</f>
        <v>0.5</v>
      </c>
      <c r="Y373" s="89" t="n">
        <f aca="false">IF(R373="T",1,0)</f>
        <v>0</v>
      </c>
      <c r="Z373" s="92" t="n">
        <f aca="false">IF(Q373&lt;&gt;1,"",IF(AD373=1,IF(ISNUMBER(U373),MAX(U373,0),H373),H373))</f>
        <v>2.1052</v>
      </c>
      <c r="AA373" s="91" t="n">
        <f aca="false">IF(Q373=1,IF(ISNUMBER(L373),L373,0)*K373/1000000,0)</f>
        <v>0.494336</v>
      </c>
      <c r="AB373" s="89" t="n">
        <f aca="false">IF(Q373&lt;&gt;1,"",IFERROR(MATCH(VLOOKUP(B373,매핑!$H$4:$I$15,2,0),시장분석!$A$2:$A$601,0)+1,IFERROR(MATCH(R373&amp;"|"&amp;T373,시장분석!$V$2:$V$601,0)+1,IF(COUNTIF(시장분석!$U$2:$U$601,T373)=1,MATCH(T373,시장분석!$U$2:$U$601,0)+1,""))))</f>
        <v>134</v>
      </c>
      <c r="AC373" s="89" t="n">
        <f aca="false">IF(Q373&lt;&gt;1,0,IF(OR(설정!$C$5="전체",AND(설정!$C$5="선택펀드",IFERROR(COUNTIFS(설정!$F$16:$F$36,C373,설정!$G$16:$G$36,"Y")+COUNTIFS(설정!$F$16:$F$36,VALUE(C373),설정!$G$16:$G$36,"Y"),0)&gt;0),C373&amp;""=설정!$C$5&amp;""),1,0))</f>
        <v>0</v>
      </c>
      <c r="AD373" s="89" t="n">
        <f aca="false">IF(Q373&lt;&gt;1,0,IF(OR(S373=1,IF(AB373="",FALSE(),INDEX(시장분석!$R:$R,AB373)=1)),1,0))</f>
        <v>0</v>
      </c>
      <c r="AE373" s="43" t="str">
        <f aca="false">IF(AB373="","",INDEX(시장분석!$A:$A,AB373))</f>
        <v>WOORIB 4 3/4 01/24/29</v>
      </c>
      <c r="AF373" s="93" t="n">
        <f aca="false">IF(AB373="","",IF(ISNUMBER(IF(AB373="","",INDEX(시장분석!$E:$E,AB373))),IF(AB373="","",INDEX(시장분석!$E:$E,AB373)),""))</f>
        <v>25.503</v>
      </c>
      <c r="AG373" s="43" t="str">
        <f aca="false">IF(Q373&lt;&gt;1,"",IF(AB373&lt;&gt;"",IF(AB373="","",INDEX(시장분석!$L:$L,AB373)),IFERROR(IF(VLOOKUP(R373,매핑!$A$4:$E$92,5,0)="","미분류",VLOOKUP(R373,매핑!$A$4:$E$92,5,0)),"미분류")))</f>
        <v>금융기관</v>
      </c>
      <c r="AH373" s="43" t="str">
        <f aca="false">IF(Q373&lt;&gt;1,"",IF(AB373&lt;&gt;"",IF(AB373="","",INDEX(시장분석!$N:$N,AB373)),IFERROR(IF(VLOOKUP(R373,매핑!$A$4:$E$92,4,0)="","미분류",VLOOKUP(R373,매핑!$A$4:$E$92,4,0)),"미분류")))</f>
        <v>아시아/기타</v>
      </c>
      <c r="AI373" s="43" t="str">
        <f aca="false">IF(Q373&lt;&gt;1,"",IFERROR(IF(VLOOKUP(R373,매핑!$A$4:$E$92,3,0)="","미분류",VLOOKUP(R373,매핑!$A$4:$E$92,3,0)),IF(AB373&lt;&gt;"",IF(AB373="","",INDEX(시장분석!$W:$W,AB373)),"미분류")))</f>
        <v>한국</v>
      </c>
      <c r="AJ373" s="43" t="str">
        <f aca="false">IF(Q373&lt;&gt;1,"",IFERROR(VLOOKUP(IF(N373&lt;&gt;"",N373,IF(P373&lt;&gt;"",P373,O373)),설정!$A$15:$D$47,2,0),""))</f>
        <v>A+</v>
      </c>
      <c r="AK373" s="43" t="str">
        <f aca="false">IF(Q373&lt;&gt;1,"",IF(AJ373="","무등급",IFERROR(VLOOKUP(AJ373,설정!$A$15:$D$47,3,0),"무등급")))</f>
        <v>A</v>
      </c>
      <c r="AL373" s="89" t="n">
        <f aca="false">IF(AJ373="",99,IFERROR(VLOOKUP(AJ373,설정!$A$15:$D$47,4,0),99))</f>
        <v>5</v>
      </c>
      <c r="AM373" s="94" t="n">
        <f aca="false">IF(ISNUMBER(H373),AA373*1000000*H373/10000,0)</f>
        <v>104.06761472</v>
      </c>
      <c r="AN373" s="94" t="n">
        <f aca="false">IF(OR(Y373=1,NOT(ISNUMBER(Z373))),0,AA373*1000000*Z373/10000)</f>
        <v>104.06761472</v>
      </c>
      <c r="AO373" s="94" t="n">
        <f aca="false">IF(ISNUMBER(G373),AA373*1000000*G373/100,0)</f>
        <v>26062.876928</v>
      </c>
      <c r="AP373" s="94" t="n">
        <f aca="false">IF(ISNUMBER(M373),M373*K373,0)</f>
        <v>-17214</v>
      </c>
      <c r="AQ373" s="95" t="n">
        <f aca="false">IF(AB373="","",INDEX(시장분석!$AK:$AK,AB373))</f>
        <v>-1.73733286641471</v>
      </c>
      <c r="AR373" s="43" t="str">
        <f aca="false">IF(AB373="","-",IF(AB373="","",INDEX(시장분석!$AL:$AL,AB373)))</f>
        <v>Rich</v>
      </c>
      <c r="AS373" s="96" t="n">
        <f aca="false">IF(AB373="","",INDEX(시장분석!$AJ:$AJ,AB373))</f>
        <v>-35.5694365382037</v>
      </c>
      <c r="AT373" s="93" t="n">
        <f aca="false">IF(AB373="",0,IF(AB373="","",INDEX(시장분석!$AN:$AN,AB373)))</f>
        <v>8.4522365557241</v>
      </c>
      <c r="AU373" s="94" t="n">
        <f aca="false">IF(ISNUMBER(Z373),AT373/10000*MAX(Z373-1,0)*AA373*1000000,0)</f>
        <v>461.779616402352</v>
      </c>
      <c r="AV373" s="94" t="n">
        <f aca="false">AO373+AU373</f>
        <v>26524.6565444024</v>
      </c>
      <c r="AW373" s="43" t="str">
        <f aca="false">IF(Q373&lt;&gt;1,"",TRIM(IF(AD373=1,"FRN ","")&amp;IF(AND(AL373&gt;=10,AL373&lt;99),"BBB0미만 ","")&amp;IF(AJ373="","등급없음 ","")&amp;IF(K373&lt;&gt;1,"비USD ","")&amp;IF(AND(AB373="",Y373=0),"시장데이터없음 ","")&amp;IF(AND(ISNUMBER(U373),U373&lt;0),"만기경과 ","")))</f>
        <v/>
      </c>
      <c r="AX373" s="90" t="n">
        <f aca="false">IF(Q373&lt;&gt;1,1,IF(스프레드쇼크!$C$4="Y",INDEX(스프레드쇼크!$B$12:$L$16,IFERROR(MATCH(AH373,스프레드쇼크!$A$12:$A$16,0),MATCH("목록외",스프레드쇼크!$A$12:$A$16,0)),IFERROR(MATCH(AG373,스프레드쇼크!$B$11:$L$11,0),MATCH("목록외",스프레드쇼크!$B$11:$L$11,0))),1))</f>
        <v>1</v>
      </c>
      <c r="AY373" s="90" t="n">
        <f aca="false">IF(스프레드쇼크!$C$5="Y",IF(ISNUMBER(AF373),MIN(스프레드쇼크!$C$7,MAX(스프레드쇼크!$C$6,AF373/스프레드쇼크!$C$8)),1),1)</f>
        <v>0.385742772373559</v>
      </c>
      <c r="AZ373" s="94" t="n">
        <f aca="false">AN373*AX373*AY373</f>
        <v>40.1433302163962</v>
      </c>
      <c r="BA373" s="90" t="n">
        <f aca="false">IF(ISNUMBER(G373),AA373*G373,0)</f>
        <v>2.6062876928</v>
      </c>
      <c r="BB373" s="90" t="n">
        <f aca="false">IF(ISNUMBER(G373),AA373,0)</f>
        <v>0.494336</v>
      </c>
      <c r="BC373" s="90" t="n">
        <f aca="false">IF(AND(Y373=0,ISNUMBER(AF373)),AA373*AF373,0)</f>
        <v>12.607051008</v>
      </c>
      <c r="BD373" s="90" t="n">
        <f aca="false">IF(AND(Y373=0,ISNUMBER(AF373)),AA373,0)</f>
        <v>0.494336</v>
      </c>
      <c r="BE373" s="90" t="n">
        <f aca="false">IF(ISNUMBER(H373),AA373*H373,0)</f>
        <v>1.0406761472</v>
      </c>
      <c r="BF373" s="90" t="n">
        <f aca="false">IF(ISNUMBER(H373),AA373,0)</f>
        <v>0.494336</v>
      </c>
      <c r="BG373" s="90" t="n">
        <f aca="false">IF(AND(Y373=0,ISNUMBER(AF373),ISNUMBER(Z373)),AA373*Z373,0)</f>
        <v>1.0406761472</v>
      </c>
      <c r="BH373" s="90" t="n">
        <f aca="false">IF(AND(Y373=0,ISNUMBER(AF373),ISNUMBER(Z373)),AA373*AT373*MAX(Z373-1,0),0)</f>
        <v>4.61779616402352</v>
      </c>
      <c r="BI373" s="90" t="n">
        <f aca="false">IF(Y373=0,AA373,0)</f>
        <v>0.494336</v>
      </c>
    </row>
    <row r="374" customFormat="false" ht="15" hidden="false" customHeight="false" outlineLevel="0" collapsed="false">
      <c r="A374" s="83" t="str">
        <f aca="false">IFERROR(IF(INDEX(원자료_잔고!$A$1:$EZ$1500,설정!$L$5+ROW()-1,설정!$L$8)&amp;""="0","",INDEX(원자료_잔고!$A$1:$EZ$1500,설정!$L$5+ROW()-1,설정!$L$8)&amp;""),"")</f>
        <v>CITNAT 4.25 05/07/31</v>
      </c>
      <c r="B374" s="83" t="str">
        <f aca="false">IFERROR(IF(INDEX(원자료_잔고!$A$1:$EZ$1500,설정!$L$5+ROW()-1,설정!$L$7)&amp;""="0","",INDEX(원자료_잔고!$A$1:$EZ$1500,설정!$L$5+ROW()-1,설정!$L$7)&amp;""),"")</f>
        <v>USY2350DER36</v>
      </c>
      <c r="C374" s="83" t="str">
        <f aca="false">IFERROR(IF(INDEX(원자료_잔고!$A$1:$EZ$1500,설정!$L$5+ROW()-1,설정!$L$9)&amp;""="0","",INDEX(원자료_잔고!$A$1:$EZ$1500,설정!$L$5+ROW()-1,설정!$L$9)&amp;""),"")</f>
        <v>42003</v>
      </c>
      <c r="D37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4" s="84" t="n">
        <f aca="false">IFERROR(IF(ISNUMBER(INDEX(원자료_잔고!$A$1:$EZ$1500,설정!$L$5+ROW()-1,설정!$L$11)),INDEX(원자료_잔고!$A$1:$EZ$1500,설정!$L$5+ROW()-1,설정!$L$11),""),"")</f>
        <v>4200000</v>
      </c>
      <c r="F374" s="85" t="n">
        <f aca="false">IFERROR(IF(ISNUMBER(INDEX(원자료_잔고!$A$1:$EZ$1500,설정!$L$5+ROW()-1,설정!$L$12)),INDEX(원자료_잔고!$A$1:$EZ$1500,설정!$L$5+ROW()-1,설정!$L$12),""),"")</f>
        <v>95.327</v>
      </c>
      <c r="G374" s="85" t="n">
        <f aca="false">IFERROR(IF(ISNUMBER(INDEX(원자료_잔고!$A$1:$EZ$1500,설정!$L$5+ROW()-1,설정!$L$13)),INDEX(원자료_잔고!$A$1:$EZ$1500,설정!$L$5+ROW()-1,설정!$L$13),""),"")</f>
        <v>5.4084</v>
      </c>
      <c r="H374" s="85" t="n">
        <f aca="false">IFERROR(IF(ISNUMBER(INDEX(원자료_잔고!$A$1:$EZ$1500,설정!$L$5+ROW()-1,설정!$L$14)),INDEX(원자료_잔고!$A$1:$EZ$1500,설정!$L$5+ROW()-1,설정!$L$14),""),"")</f>
        <v>3.9437</v>
      </c>
      <c r="I374" s="86" t="n">
        <f aca="false">IFERROR(IF(ISNUMBER(INDEX(원자료_잔고!$A$1:$EZ$1500,설정!$L$5+ROW()-1,설정!$L$15)),INDEX(원자료_잔고!$A$1:$EZ$1500,설정!$L$5+ROW()-1,설정!$L$15),""),"")</f>
        <v>47975</v>
      </c>
      <c r="J374" s="85" t="n">
        <f aca="false">IFERROR(IF(ISNUMBER(INDEX(원자료_잔고!$A$1:$EZ$1500,설정!$L$5+ROW()-1,설정!$L$16)),INDEX(원자료_잔고!$A$1:$EZ$1500,설정!$L$5+ROW()-1,설정!$L$16),""),"")</f>
        <v>4.25</v>
      </c>
      <c r="K374" s="87" t="n">
        <f aca="false">IFERROR(IF(ISNUMBER(INDEX(원자료_잔고!$A$1:$EZ$1500,설정!$L$5+ROW()-1,설정!$L$17)),INDEX(원자료_잔고!$A$1:$EZ$1500,설정!$L$5+ROW()-1,설정!$L$17),""),"")</f>
        <v>1</v>
      </c>
      <c r="L374" s="84" t="n">
        <f aca="false">IFERROR(IF(ISNUMBER(INDEX(원자료_잔고!$A$1:$EZ$1500,설정!$L$5+ROW()-1,설정!$L$18)),INDEX(원자료_잔고!$A$1:$EZ$1500,설정!$L$5+ROW()-1,설정!$L$18),""),"")</f>
        <v>4003734</v>
      </c>
      <c r="M374" s="88" t="n">
        <f aca="false">IFERROR(IF(ISNUMBER(INDEX(원자료_잔고!$A$1:$EZ$1500,설정!$L$5+ROW()-1,설정!$L$19)),INDEX(원자료_잔고!$A$1:$EZ$1500,설정!$L$5+ROW()-1,설정!$L$19),""),"")</f>
        <v>-194350.38</v>
      </c>
      <c r="N374" s="83" t="str">
        <f aca="false">IFERROR(IF(INDEX(원자료_잔고!$A$1:$EZ$1500,설정!$L$5+ROW()-1,설정!$L$21)&amp;""="0","",INDEX(원자료_잔고!$A$1:$EZ$1500,설정!$L$5+ROW()-1,설정!$L$21)&amp;""),"")</f>
        <v>A+</v>
      </c>
      <c r="O374" s="83" t="str">
        <f aca="false">IFERROR(IF(INDEX(원자료_잔고!$A$1:$EZ$1500,설정!$L$5+ROW()-1,설정!$L$22)&amp;""="0","",INDEX(원자료_잔고!$A$1:$EZ$1500,설정!$L$5+ROW()-1,설정!$L$22)&amp;""),"")</f>
        <v/>
      </c>
      <c r="P374" s="83" t="str">
        <f aca="false">IFERROR(IF(INDEX(원자료_잔고!$A$1:$EZ$1500,설정!$L$5+ROW()-1,설정!$L$23)&amp;""="0","",INDEX(원자료_잔고!$A$1:$EZ$1500,설정!$L$5+ROW()-1,설정!$L$23)&amp;""),"")</f>
        <v>N/A</v>
      </c>
      <c r="Q374" s="89" t="n">
        <f aca="false">IF(AND($A374&lt;&gt;"",ISNUMBER(E374)),IF(E374&gt;0,1,0),0)</f>
        <v>1</v>
      </c>
      <c r="R374" s="43" t="str">
        <f aca="false">IF(Q374=1,UPPER(LEFT($A374,FIND(" ",$A374&amp;" ")-1)),"")</f>
        <v>CITNAT</v>
      </c>
      <c r="S374" s="89" t="n">
        <f aca="false">IF(Q374=1,IF(OR(ISNUMBER(SEARCH("Float",$A374)),ISNUMBER(SEARCH("FRN",$A374))),1,0),0)</f>
        <v>0</v>
      </c>
      <c r="T374" s="43" t="str">
        <f aca="false">IF(AND(Q374=1,ISNUMBER(I374)),TEXT(I374,"yyyymmdd")&amp;"|"&amp;IF(S374=1,"F",TEXT(J374,"0.000")),"")</f>
        <v>20310507|4.250</v>
      </c>
      <c r="U374" s="90" t="n">
        <f aca="false">IF(AND(Q374=1,ISNUMBER(I374)),(I374-설정!$C$4)/365.25,"")</f>
        <v>4.5968514715948</v>
      </c>
      <c r="V374" s="43" t="str">
        <f aca="false">IF(Q374&lt;&gt;1,"",IF(ISNUMBER(U374),IF(U374&lt;=1,"1년 이하",IF(U374&lt;=2,"1-2년",IF(U374&lt;=3,"2-3년",IF(U374&lt;=4,"3-4년",IF(U374&lt;=5,"4-5년",IF(U374&lt;=7,"5-7년",IF(U374&lt;=10,"7-10년",IF(U374&lt;=20,"10-20년","20년 이상")))))))),"미분류"))</f>
        <v>4-5년</v>
      </c>
      <c r="W374" s="43" t="str">
        <f aca="false">IF(Q374&lt;&gt;1,"",IF(AB374&lt;&gt;"",INDEX(시장분석!$C:$C,AB374),IF(K374=1,"USD","비USD")))</f>
        <v>USD</v>
      </c>
      <c r="X374" s="91" t="n">
        <f aca="false">IF(Q374=1,E374*K374/1000000,0)</f>
        <v>4.2</v>
      </c>
      <c r="Y374" s="89" t="n">
        <f aca="false">IF(R374="T",1,0)</f>
        <v>0</v>
      </c>
      <c r="Z374" s="92" t="n">
        <f aca="false">IF(Q374&lt;&gt;1,"",IF(AD374=1,IF(ISNUMBER(U374),MAX(U374,0),H374),H374))</f>
        <v>3.9437</v>
      </c>
      <c r="AA374" s="91" t="n">
        <f aca="false">IF(Q374=1,IF(ISNUMBER(L374),L374,0)*K374/1000000,0)</f>
        <v>4.003734</v>
      </c>
      <c r="AB374" s="89" t="n">
        <f aca="false">IF(Q374&lt;&gt;1,"",IFERROR(MATCH(VLOOKUP(B374,매핑!$H$4:$I$15,2,0),시장분석!$A$2:$A$601,0)+1,IFERROR(MATCH(R374&amp;"|"&amp;T374,시장분석!$V$2:$V$601,0)+1,IF(COUNTIF(시장분석!$U$2:$U$601,T374)=1,MATCH(T374,시장분석!$U$2:$U$601,0)+1,""))))</f>
        <v>152</v>
      </c>
      <c r="AC374" s="89" t="n">
        <f aca="false">IF(Q374&lt;&gt;1,0,IF(OR(설정!$C$5="전체",AND(설정!$C$5="선택펀드",IFERROR(COUNTIFS(설정!$F$16:$F$36,C374,설정!$G$16:$G$36,"Y")+COUNTIFS(설정!$F$16:$F$36,VALUE(C374),설정!$G$16:$G$36,"Y"),0)&gt;0),C374&amp;""=설정!$C$5&amp;""),1,0))</f>
        <v>0</v>
      </c>
      <c r="AD374" s="89" t="n">
        <f aca="false">IF(Q374&lt;&gt;1,0,IF(OR(S374=1,IF(AB374="",FALSE(),INDEX(시장분석!$R:$R,AB374)=1)),1,0))</f>
        <v>0</v>
      </c>
      <c r="AE374" s="43" t="str">
        <f aca="false">IF(AB374="","",INDEX(시장분석!$A:$A,AB374))</f>
        <v>CITNAT 4 1/4 05/07/31</v>
      </c>
      <c r="AF374" s="93" t="n">
        <f aca="false">IF(AB374="","",IF(ISNUMBER(IF(AB374="","",INDEX(시장분석!$E:$E,AB374))),IF(AB374="","",INDEX(시장분석!$E:$E,AB374)),""))</f>
        <v>37.493</v>
      </c>
      <c r="AG374" s="43" t="str">
        <f aca="false">IF(Q374&lt;&gt;1,"",IF(AB374&lt;&gt;"",IF(AB374="","",INDEX(시장분석!$L:$L,AB374)),IFERROR(IF(VLOOKUP(R374,매핑!$A$4:$E$92,5,0)="","미분류",VLOOKUP(R374,매핑!$A$4:$E$92,5,0)),"미분류")))</f>
        <v>금융기관</v>
      </c>
      <c r="AH374" s="43" t="str">
        <f aca="false">IF(Q374&lt;&gt;1,"",IF(AB374&lt;&gt;"",IF(AB374="","",INDEX(시장분석!$N:$N,AB374)),IFERROR(IF(VLOOKUP(R374,매핑!$A$4:$E$92,4,0)="","미분류",VLOOKUP(R374,매핑!$A$4:$E$92,4,0)),"미분류")))</f>
        <v>아시아/기타</v>
      </c>
      <c r="AI374" s="43" t="str">
        <f aca="false">IF(Q374&lt;&gt;1,"",IFERROR(IF(VLOOKUP(R374,매핑!$A$4:$E$92,3,0)="","미분류",VLOOKUP(R374,매핑!$A$4:$E$92,3,0)),IF(AB374&lt;&gt;"",IF(AB374="","",INDEX(시장분석!$W:$W,AB374)),"미분류")))</f>
        <v>한국</v>
      </c>
      <c r="AJ374" s="43" t="str">
        <f aca="false">IF(Q374&lt;&gt;1,"",IFERROR(VLOOKUP(IF(N374&lt;&gt;"",N374,IF(P374&lt;&gt;"",P374,O374)),설정!$A$15:$D$47,2,0),""))</f>
        <v>A+</v>
      </c>
      <c r="AK374" s="43" t="str">
        <f aca="false">IF(Q374&lt;&gt;1,"",IF(AJ374="","무등급",IFERROR(VLOOKUP(AJ374,설정!$A$15:$D$47,3,0),"무등급")))</f>
        <v>A</v>
      </c>
      <c r="AL374" s="89" t="n">
        <f aca="false">IF(AJ374="",99,IFERROR(VLOOKUP(AJ374,설정!$A$15:$D$47,4,0),99))</f>
        <v>5</v>
      </c>
      <c r="AM374" s="94" t="n">
        <f aca="false">IF(ISNUMBER(H374),AA374*1000000*H374/10000,0)</f>
        <v>1578.95257758</v>
      </c>
      <c r="AN374" s="94" t="n">
        <f aca="false">IF(OR(Y374=1,NOT(ISNUMBER(Z374))),0,AA374*1000000*Z374/10000)</f>
        <v>1578.95257758</v>
      </c>
      <c r="AO374" s="94" t="n">
        <f aca="false">IF(ISNUMBER(G374),AA374*1000000*G374/100,0)</f>
        <v>216537.949656</v>
      </c>
      <c r="AP374" s="94" t="n">
        <f aca="false">IF(ISNUMBER(M374),M374*K374,0)</f>
        <v>-194350.38</v>
      </c>
      <c r="AQ374" s="95" t="n">
        <f aca="false">IF(AB374="","",INDEX(시장분석!$AK:$AK,AB374))</f>
        <v>-1.58227085808427</v>
      </c>
      <c r="AR374" s="43" t="str">
        <f aca="false">IF(AB374="","-",IF(AB374="","",INDEX(시장분석!$AL:$AL,AB374)))</f>
        <v>Rich</v>
      </c>
      <c r="AS374" s="96" t="n">
        <f aca="false">IF(AB374="","",INDEX(시장분석!$AJ:$AJ,AB374))</f>
        <v>-32.3947609354921</v>
      </c>
      <c r="AT374" s="93" t="n">
        <f aca="false">IF(AB374="",0,IF(AB374="","",INDEX(시장분석!$AN:$AN,AB374)))</f>
        <v>3.84910939270633</v>
      </c>
      <c r="AU374" s="94" t="n">
        <f aca="false">IF(ISNUMBER(Z374),AT374/10000*MAX(Z374-1,0)*AA374*1000000,0)</f>
        <v>4536.48018247127</v>
      </c>
      <c r="AV374" s="94" t="n">
        <f aca="false">AO374+AU374</f>
        <v>221074.429838471</v>
      </c>
      <c r="AW374" s="43" t="str">
        <f aca="false">IF(Q374&lt;&gt;1,"",TRIM(IF(AD374=1,"FRN ","")&amp;IF(AND(AL374&gt;=10,AL374&lt;99),"BBB0미만 ","")&amp;IF(AJ374="","등급없음 ","")&amp;IF(K374&lt;&gt;1,"비USD ","")&amp;IF(AND(AB374="",Y374=0),"시장데이터없음 ","")&amp;IF(AND(ISNUMBER(U374),U374&lt;0),"만기경과 ","")))</f>
        <v/>
      </c>
      <c r="AX374" s="90" t="n">
        <f aca="false">IF(Q374&lt;&gt;1,1,IF(스프레드쇼크!$C$4="Y",INDEX(스프레드쇼크!$B$12:$L$16,IFERROR(MATCH(AH374,스프레드쇼크!$A$12:$A$16,0),MATCH("목록외",스프레드쇼크!$A$12:$A$16,0)),IFERROR(MATCH(AG374,스프레드쇼크!$B$11:$L$11,0),MATCH("목록외",스프레드쇼크!$B$11:$L$11,0))),1))</f>
        <v>1</v>
      </c>
      <c r="AY374" s="90" t="n">
        <f aca="false">IF(스프레드쇼크!$C$5="Y",IF(ISNUMBER(AF374),MIN(스프레드쇼크!$C$7,MAX(스프레드쇼크!$C$6,AF374/스프레드쇼크!$C$8)),1),1)</f>
        <v>0.567096175532363</v>
      </c>
      <c r="AZ374" s="94" t="n">
        <f aca="false">AN374*AX374*AY374</f>
        <v>895.417968092584</v>
      </c>
      <c r="BA374" s="90" t="n">
        <f aca="false">IF(ISNUMBER(G374),AA374*G374,0)</f>
        <v>21.6537949656</v>
      </c>
      <c r="BB374" s="90" t="n">
        <f aca="false">IF(ISNUMBER(G374),AA374,0)</f>
        <v>4.003734</v>
      </c>
      <c r="BC374" s="90" t="n">
        <f aca="false">IF(AND(Y374=0,ISNUMBER(AF374)),AA374*AF374,0)</f>
        <v>150.111998862</v>
      </c>
      <c r="BD374" s="90" t="n">
        <f aca="false">IF(AND(Y374=0,ISNUMBER(AF374)),AA374,0)</f>
        <v>4.003734</v>
      </c>
      <c r="BE374" s="90" t="n">
        <f aca="false">IF(ISNUMBER(H374),AA374*H374,0)</f>
        <v>15.7895257758</v>
      </c>
      <c r="BF374" s="90" t="n">
        <f aca="false">IF(ISNUMBER(H374),AA374,0)</f>
        <v>4.003734</v>
      </c>
      <c r="BG374" s="90" t="n">
        <f aca="false">IF(AND(Y374=0,ISNUMBER(AF374),ISNUMBER(Z374)),AA374*Z374,0)</f>
        <v>15.7895257758</v>
      </c>
      <c r="BH374" s="90" t="n">
        <f aca="false">IF(AND(Y374=0,ISNUMBER(AF374),ISNUMBER(Z374)),AA374*AT374*MAX(Z374-1,0),0)</f>
        <v>45.3648018247127</v>
      </c>
      <c r="BI374" s="90" t="n">
        <f aca="false">IF(Y374=0,AA374,0)</f>
        <v>4.003734</v>
      </c>
    </row>
    <row r="375" customFormat="false" ht="15" hidden="false" customHeight="false" outlineLevel="0" collapsed="false">
      <c r="A375" s="83" t="str">
        <f aca="false">IFERROR(IF(INDEX(원자료_잔고!$A$1:$EZ$1500,설정!$L$5+ROW()-1,설정!$L$8)&amp;""="0","",INDEX(원자료_잔고!$A$1:$EZ$1500,설정!$L$5+ROW()-1,설정!$L$8)&amp;""),"")</f>
        <v>EIBKOR 4 04/09/31</v>
      </c>
      <c r="B375" s="83" t="str">
        <f aca="false">IFERROR(IF(INDEX(원자료_잔고!$A$1:$EZ$1500,설정!$L$5+ROW()-1,설정!$L$7)&amp;""="0","",INDEX(원자료_잔고!$A$1:$EZ$1500,설정!$L$5+ROW()-1,설정!$L$7)&amp;""),"")</f>
        <v>USY2387CVK89</v>
      </c>
      <c r="C375" s="83" t="str">
        <f aca="false">IFERROR(IF(INDEX(원자료_잔고!$A$1:$EZ$1500,설정!$L$5+ROW()-1,설정!$L$9)&amp;""="0","",INDEX(원자료_잔고!$A$1:$EZ$1500,설정!$L$5+ROW()-1,설정!$L$9)&amp;""),"")</f>
        <v>42003</v>
      </c>
      <c r="D37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5" s="84" t="n">
        <f aca="false">IFERROR(IF(ISNUMBER(INDEX(원자료_잔고!$A$1:$EZ$1500,설정!$L$5+ROW()-1,설정!$L$11)),INDEX(원자료_잔고!$A$1:$EZ$1500,설정!$L$5+ROW()-1,설정!$L$11),""),"")</f>
        <v>3200000</v>
      </c>
      <c r="F375" s="85" t="n">
        <f aca="false">IFERROR(IF(ISNUMBER(INDEX(원자료_잔고!$A$1:$EZ$1500,설정!$L$5+ROW()-1,설정!$L$12)),INDEX(원자료_잔고!$A$1:$EZ$1500,설정!$L$5+ROW()-1,설정!$L$12),""),"")</f>
        <v>95.0444</v>
      </c>
      <c r="G375" s="85" t="n">
        <f aca="false">IFERROR(IF(ISNUMBER(INDEX(원자료_잔고!$A$1:$EZ$1500,설정!$L$5+ROW()-1,설정!$L$13)),INDEX(원자료_잔고!$A$1:$EZ$1500,설정!$L$5+ROW()-1,설정!$L$13),""),"")</f>
        <v>5.2441</v>
      </c>
      <c r="H375" s="85" t="n">
        <f aca="false">IFERROR(IF(ISNUMBER(INDEX(원자료_잔고!$A$1:$EZ$1500,설정!$L$5+ROW()-1,설정!$L$14)),INDEX(원자료_잔고!$A$1:$EZ$1500,설정!$L$5+ROW()-1,설정!$L$14),""),"")</f>
        <v>3.894</v>
      </c>
      <c r="I375" s="86" t="n">
        <f aca="false">IFERROR(IF(ISNUMBER(INDEX(원자료_잔고!$A$1:$EZ$1500,설정!$L$5+ROW()-1,설정!$L$15)),INDEX(원자료_잔고!$A$1:$EZ$1500,설정!$L$5+ROW()-1,설정!$L$15),""),"")</f>
        <v>47947</v>
      </c>
      <c r="J375" s="85" t="n">
        <f aca="false">IFERROR(IF(ISNUMBER(INDEX(원자료_잔고!$A$1:$EZ$1500,설정!$L$5+ROW()-1,설정!$L$16)),INDEX(원자료_잔고!$A$1:$EZ$1500,설정!$L$5+ROW()-1,설정!$L$16),""),"")</f>
        <v>4</v>
      </c>
      <c r="K375" s="87" t="n">
        <f aca="false">IFERROR(IF(ISNUMBER(INDEX(원자료_잔고!$A$1:$EZ$1500,설정!$L$5+ROW()-1,설정!$L$17)),INDEX(원자료_잔고!$A$1:$EZ$1500,설정!$L$5+ROW()-1,설정!$L$17),""),"")</f>
        <v>1</v>
      </c>
      <c r="L375" s="84" t="n">
        <f aca="false">IFERROR(IF(ISNUMBER(INDEX(원자료_잔고!$A$1:$EZ$1500,설정!$L$5+ROW()-1,설정!$L$18)),INDEX(원자료_잔고!$A$1:$EZ$1500,설정!$L$5+ROW()-1,설정!$L$18),""),"")</f>
        <v>3041420.8</v>
      </c>
      <c r="M375" s="88" t="n">
        <f aca="false">IFERROR(IF(ISNUMBER(INDEX(원자료_잔고!$A$1:$EZ$1500,설정!$L$5+ROW()-1,설정!$L$19)),INDEX(원자료_잔고!$A$1:$EZ$1500,설정!$L$5+ROW()-1,설정!$L$19),""),"")</f>
        <v>-129834.2</v>
      </c>
      <c r="N375" s="83" t="str">
        <f aca="false">IFERROR(IF(INDEX(원자료_잔고!$A$1:$EZ$1500,설정!$L$5+ROW()-1,설정!$L$21)&amp;""="0","",INDEX(원자료_잔고!$A$1:$EZ$1500,설정!$L$5+ROW()-1,설정!$L$21)&amp;""),"")</f>
        <v/>
      </c>
      <c r="O375" s="83" t="str">
        <f aca="false">IFERROR(IF(INDEX(원자료_잔고!$A$1:$EZ$1500,설정!$L$5+ROW()-1,설정!$L$22)&amp;""="0","",INDEX(원자료_잔고!$A$1:$EZ$1500,설정!$L$5+ROW()-1,설정!$L$22)&amp;""),"")</f>
        <v/>
      </c>
      <c r="P375" s="83" t="str">
        <f aca="false">IFERROR(IF(INDEX(원자료_잔고!$A$1:$EZ$1500,설정!$L$5+ROW()-1,설정!$L$23)&amp;""="0","",INDEX(원자료_잔고!$A$1:$EZ$1500,설정!$L$5+ROW()-1,설정!$L$23)&amp;""),"")</f>
        <v>N/A</v>
      </c>
      <c r="Q375" s="89" t="n">
        <f aca="false">IF(AND($A375&lt;&gt;"",ISNUMBER(E375)),IF(E375&gt;0,1,0),0)</f>
        <v>1</v>
      </c>
      <c r="R375" s="43" t="str">
        <f aca="false">IF(Q375=1,UPPER(LEFT($A375,FIND(" ",$A375&amp;" ")-1)),"")</f>
        <v>EIBKOR</v>
      </c>
      <c r="S375" s="89" t="n">
        <f aca="false">IF(Q375=1,IF(OR(ISNUMBER(SEARCH("Float",$A375)),ISNUMBER(SEARCH("FRN",$A375))),1,0),0)</f>
        <v>0</v>
      </c>
      <c r="T375" s="43" t="str">
        <f aca="false">IF(AND(Q375=1,ISNUMBER(I375)),TEXT(I375,"yyyymmdd")&amp;"|"&amp;IF(S375=1,"F",TEXT(J375,"0.000")),"")</f>
        <v>20310409|4.000</v>
      </c>
      <c r="U375" s="90" t="n">
        <f aca="false">IF(AND(Q375=1,ISNUMBER(I375)),(I375-설정!$C$4)/365.25,"")</f>
        <v>4.5201916495551</v>
      </c>
      <c r="V375" s="43" t="str">
        <f aca="false">IF(Q375&lt;&gt;1,"",IF(ISNUMBER(U375),IF(U375&lt;=1,"1년 이하",IF(U375&lt;=2,"1-2년",IF(U375&lt;=3,"2-3년",IF(U375&lt;=4,"3-4년",IF(U375&lt;=5,"4-5년",IF(U375&lt;=7,"5-7년",IF(U375&lt;=10,"7-10년",IF(U375&lt;=20,"10-20년","20년 이상")))))))),"미분류"))</f>
        <v>4-5년</v>
      </c>
      <c r="W375" s="43" t="str">
        <f aca="false">IF(Q375&lt;&gt;1,"",IF(AB375&lt;&gt;"",INDEX(시장분석!$C:$C,AB375),IF(K375=1,"USD","비USD")))</f>
        <v>USD</v>
      </c>
      <c r="X375" s="91" t="n">
        <f aca="false">IF(Q375=1,E375*K375/1000000,0)</f>
        <v>3.2</v>
      </c>
      <c r="Y375" s="89" t="n">
        <f aca="false">IF(R375="T",1,0)</f>
        <v>0</v>
      </c>
      <c r="Z375" s="92" t="n">
        <f aca="false">IF(Q375&lt;&gt;1,"",IF(AD375=1,IF(ISNUMBER(U375),MAX(U375,0),H375),H375))</f>
        <v>3.894</v>
      </c>
      <c r="AA375" s="91" t="n">
        <f aca="false">IF(Q375=1,IF(ISNUMBER(L375),L375,0)*K375/1000000,0)</f>
        <v>3.0414208</v>
      </c>
      <c r="AB375" s="89" t="n">
        <f aca="false">IF(Q375&lt;&gt;1,"",IFERROR(MATCH(VLOOKUP(B375,매핑!$H$4:$I$15,2,0),시장분석!$A$2:$A$601,0)+1,IFERROR(MATCH(R375&amp;"|"&amp;T375,시장분석!$V$2:$V$601,0)+1,IF(COUNTIF(시장분석!$U$2:$U$601,T375)=1,MATCH(T375,시장분석!$U$2:$U$601,0)+1,""))))</f>
        <v>153</v>
      </c>
      <c r="AC375" s="89" t="n">
        <f aca="false">IF(Q375&lt;&gt;1,0,IF(OR(설정!$C$5="전체",AND(설정!$C$5="선택펀드",IFERROR(COUNTIFS(설정!$F$16:$F$36,C375,설정!$G$16:$G$36,"Y")+COUNTIFS(설정!$F$16:$F$36,VALUE(C375),설정!$G$16:$G$36,"Y"),0)&gt;0),C375&amp;""=설정!$C$5&amp;""),1,0))</f>
        <v>0</v>
      </c>
      <c r="AD375" s="89" t="n">
        <f aca="false">IF(Q375&lt;&gt;1,0,IF(OR(S375=1,IF(AB375="",FALSE(),INDEX(시장분석!$R:$R,AB375)=1)),1,0))</f>
        <v>0</v>
      </c>
      <c r="AE375" s="43" t="str">
        <f aca="false">IF(AB375="","",INDEX(시장분석!$A:$A,AB375))</f>
        <v>EIBKOR 4 04/09/31</v>
      </c>
      <c r="AF375" s="93" t="n">
        <f aca="false">IF(AB375="","",IF(ISNUMBER(IF(AB375="","",INDEX(시장분석!$E:$E,AB375))),IF(AB375="","",INDEX(시장분석!$E:$E,AB375)),""))</f>
        <v>17.98</v>
      </c>
      <c r="AG375" s="43" t="str">
        <f aca="false">IF(Q375&lt;&gt;1,"",IF(AB375&lt;&gt;"",IF(AB375="","",INDEX(시장분석!$L:$L,AB375)),IFERROR(IF(VLOOKUP(R375,매핑!$A$4:$E$92,5,0)="","미분류",VLOOKUP(R375,매핑!$A$4:$E$92,5,0)),"미분류")))</f>
        <v>정부</v>
      </c>
      <c r="AH375" s="43" t="str">
        <f aca="false">IF(Q375&lt;&gt;1,"",IF(AB375&lt;&gt;"",IF(AB375="","",INDEX(시장분석!$N:$N,AB375)),IFERROR(IF(VLOOKUP(R375,매핑!$A$4:$E$92,4,0)="","미분류",VLOOKUP(R375,매핑!$A$4:$E$92,4,0)),"미분류")))</f>
        <v>아시아/기타</v>
      </c>
      <c r="AI375" s="43" t="str">
        <f aca="false">IF(Q375&lt;&gt;1,"",IFERROR(IF(VLOOKUP(R375,매핑!$A$4:$E$92,3,0)="","미분류",VLOOKUP(R375,매핑!$A$4:$E$92,3,0)),IF(AB375&lt;&gt;"",IF(AB375="","",INDEX(시장분석!$W:$W,AB375)),"미분류")))</f>
        <v>한국</v>
      </c>
      <c r="AJ375" s="43" t="str">
        <f aca="false">IF(Q375&lt;&gt;1,"",IFERROR(VLOOKUP(IF(N375&lt;&gt;"",N375,IF(P375&lt;&gt;"",P375,O375)),설정!$A$15:$D$47,2,0),""))</f>
        <v/>
      </c>
      <c r="AK375" s="43" t="str">
        <f aca="false">IF(Q375&lt;&gt;1,"",IF(AJ375="","무등급",IFERROR(VLOOKUP(AJ375,설정!$A$15:$D$47,3,0),"무등급")))</f>
        <v>무등급</v>
      </c>
      <c r="AL375" s="89" t="n">
        <f aca="false">IF(AJ375="",99,IFERROR(VLOOKUP(AJ375,설정!$A$15:$D$47,4,0),99))</f>
        <v>99</v>
      </c>
      <c r="AM375" s="94" t="n">
        <f aca="false">IF(ISNUMBER(H375),AA375*1000000*H375/10000,0)</f>
        <v>1184.32925952</v>
      </c>
      <c r="AN375" s="94" t="n">
        <f aca="false">IF(OR(Y375=1,NOT(ISNUMBER(Z375))),0,AA375*1000000*Z375/10000)</f>
        <v>1184.32925952</v>
      </c>
      <c r="AO375" s="94" t="n">
        <f aca="false">IF(ISNUMBER(G375),AA375*1000000*G375/100,0)</f>
        <v>159495.1481728</v>
      </c>
      <c r="AP375" s="94" t="n">
        <f aca="false">IF(ISNUMBER(M375),M375*K375,0)</f>
        <v>-129834.2</v>
      </c>
      <c r="AQ375" s="95" t="n">
        <f aca="false">IF(AB375="","",INDEX(시장분석!$AK:$AK,AB375))</f>
        <v>-0.616096563960096</v>
      </c>
      <c r="AR375" s="43" t="str">
        <f aca="false">IF(AB375="","-",IF(AB375="","",INDEX(시장분석!$AL:$AL,AB375)))</f>
        <v>Fair</v>
      </c>
      <c r="AS375" s="96" t="n">
        <f aca="false">IF(AB375="","",INDEX(시장분석!$AJ:$AJ,AB375))</f>
        <v>-8.43622510727574</v>
      </c>
      <c r="AT375" s="93" t="n">
        <f aca="false">IF(AB375="",0,IF(AB375="","",INDEX(시장분석!$AN:$AN,AB375)))</f>
        <v>5.57662316880635</v>
      </c>
      <c r="AU375" s="94" t="n">
        <f aca="false">IF(ISNUMBER(Z375),AT375/10000*MAX(Z375-1,0)*AA375*1000000,0)</f>
        <v>4908.47221819755</v>
      </c>
      <c r="AV375" s="94" t="n">
        <f aca="false">AO375+AU375</f>
        <v>164403.620390998</v>
      </c>
      <c r="AW375" s="43" t="str">
        <f aca="false">IF(Q375&lt;&gt;1,"",TRIM(IF(AD375=1,"FRN ","")&amp;IF(AND(AL375&gt;=10,AL375&lt;99),"BBB0미만 ","")&amp;IF(AJ375="","등급없음 ","")&amp;IF(K375&lt;&gt;1,"비USD ","")&amp;IF(AND(AB375="",Y375=0),"시장데이터없음 ","")&amp;IF(AND(ISNUMBER(U375),U375&lt;0),"만기경과 ","")))</f>
        <v>등급없음</v>
      </c>
      <c r="AX375" s="90" t="n">
        <f aca="false">IF(Q375&lt;&gt;1,1,IF(스프레드쇼크!$C$4="Y",INDEX(스프레드쇼크!$B$12:$L$16,IFERROR(MATCH(AH375,스프레드쇼크!$A$12:$A$16,0),MATCH("목록외",스프레드쇼크!$A$12:$A$16,0)),IFERROR(MATCH(AG375,스프레드쇼크!$B$11:$L$11,0),MATCH("목록외",스프레드쇼크!$B$11:$L$11,0))),1))</f>
        <v>1</v>
      </c>
      <c r="AY375" s="90" t="n">
        <f aca="false">IF(스프레드쇼크!$C$5="Y",IF(ISNUMBER(AF375),MIN(스프레드쇼크!$C$7,MAX(스프레드쇼크!$C$6,AF375/스프레드쇼크!$C$8)),1),1)</f>
        <v>0.271954477797772</v>
      </c>
      <c r="AZ375" s="94" t="n">
        <f aca="false">AN375*AX375*AY375</f>
        <v>322.083645313384</v>
      </c>
      <c r="BA375" s="90" t="n">
        <f aca="false">IF(ISNUMBER(G375),AA375*G375,0)</f>
        <v>15.94951481728</v>
      </c>
      <c r="BB375" s="90" t="n">
        <f aca="false">IF(ISNUMBER(G375),AA375,0)</f>
        <v>3.0414208</v>
      </c>
      <c r="BC375" s="90" t="n">
        <f aca="false">IF(AND(Y375=0,ISNUMBER(AF375)),AA375*AF375,0)</f>
        <v>54.684745984</v>
      </c>
      <c r="BD375" s="90" t="n">
        <f aca="false">IF(AND(Y375=0,ISNUMBER(AF375)),AA375,0)</f>
        <v>3.0414208</v>
      </c>
      <c r="BE375" s="90" t="n">
        <f aca="false">IF(ISNUMBER(H375),AA375*H375,0)</f>
        <v>11.8432925952</v>
      </c>
      <c r="BF375" s="90" t="n">
        <f aca="false">IF(ISNUMBER(H375),AA375,0)</f>
        <v>3.0414208</v>
      </c>
      <c r="BG375" s="90" t="n">
        <f aca="false">IF(AND(Y375=0,ISNUMBER(AF375),ISNUMBER(Z375)),AA375*Z375,0)</f>
        <v>11.8432925952</v>
      </c>
      <c r="BH375" s="90" t="n">
        <f aca="false">IF(AND(Y375=0,ISNUMBER(AF375),ISNUMBER(Z375)),AA375*AT375*MAX(Z375-1,0),0)</f>
        <v>49.0847221819755</v>
      </c>
      <c r="BI375" s="90" t="n">
        <f aca="false">IF(Y375=0,AA375,0)</f>
        <v>3.0414208</v>
      </c>
    </row>
    <row r="376" customFormat="false" ht="15" hidden="false" customHeight="false" outlineLevel="0" collapsed="false">
      <c r="A376" s="83" t="str">
        <f aca="false">IFERROR(IF(INDEX(원자료_잔고!$A$1:$EZ$1500,설정!$L$5+ROW()-1,설정!$L$8)&amp;""="0","",INDEX(원자료_잔고!$A$1:$EZ$1500,설정!$L$5+ROW()-1,설정!$L$8)&amp;""),"")</f>
        <v>HYUCAP 5.25 01/22/28</v>
      </c>
      <c r="B376" s="83" t="str">
        <f aca="false">IFERROR(IF(INDEX(원자료_잔고!$A$1:$EZ$1500,설정!$L$5+ROW()-1,설정!$L$7)&amp;""="0","",INDEX(원자료_잔고!$A$1:$EZ$1500,설정!$L$5+ROW()-1,설정!$L$7)&amp;""),"")</f>
        <v>USY3815NBK64</v>
      </c>
      <c r="C376" s="83" t="str">
        <f aca="false">IFERROR(IF(INDEX(원자료_잔고!$A$1:$EZ$1500,설정!$L$5+ROW()-1,설정!$L$9)&amp;""="0","",INDEX(원자료_잔고!$A$1:$EZ$1500,설정!$L$5+ROW()-1,설정!$L$9)&amp;""),"")</f>
        <v>42003</v>
      </c>
      <c r="D37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6" s="84" t="n">
        <f aca="false">IFERROR(IF(ISNUMBER(INDEX(원자료_잔고!$A$1:$EZ$1500,설정!$L$5+ROW()-1,설정!$L$11)),INDEX(원자료_잔고!$A$1:$EZ$1500,설정!$L$5+ROW()-1,설정!$L$11),""),"")</f>
        <v>2000000</v>
      </c>
      <c r="F376" s="85" t="n">
        <f aca="false">IFERROR(IF(ISNUMBER(INDEX(원자료_잔고!$A$1:$EZ$1500,설정!$L$5+ROW()-1,설정!$L$12)),INDEX(원자료_잔고!$A$1:$EZ$1500,설정!$L$5+ROW()-1,설정!$L$12),""),"")</f>
        <v>99.8852</v>
      </c>
      <c r="G376" s="85" t="n">
        <f aca="false">IFERROR(IF(ISNUMBER(INDEX(원자료_잔고!$A$1:$EZ$1500,설정!$L$5+ROW()-1,설정!$L$13)),INDEX(원자료_잔고!$A$1:$EZ$1500,설정!$L$5+ROW()-1,설정!$L$13),""),"")</f>
        <v>5.3348</v>
      </c>
      <c r="H376" s="85" t="n">
        <f aca="false">IFERROR(IF(ISNUMBER(INDEX(원자료_잔고!$A$1:$EZ$1500,설정!$L$5+ROW()-1,설정!$L$14)),INDEX(원자료_잔고!$A$1:$EZ$1500,설정!$L$5+ROW()-1,설정!$L$14),""),"")</f>
        <v>1.2168</v>
      </c>
      <c r="I376" s="86" t="n">
        <f aca="false">IFERROR(IF(ISNUMBER(INDEX(원자료_잔고!$A$1:$EZ$1500,설정!$L$5+ROW()-1,설정!$L$15)),INDEX(원자료_잔고!$A$1:$EZ$1500,설정!$L$5+ROW()-1,설정!$L$15),""),"")</f>
        <v>46774</v>
      </c>
      <c r="J376" s="85" t="n">
        <f aca="false">IFERROR(IF(ISNUMBER(INDEX(원자료_잔고!$A$1:$EZ$1500,설정!$L$5+ROW()-1,설정!$L$16)),INDEX(원자료_잔고!$A$1:$EZ$1500,설정!$L$5+ROW()-1,설정!$L$16),""),"")</f>
        <v>5.25</v>
      </c>
      <c r="K376" s="87" t="n">
        <f aca="false">IFERROR(IF(ISNUMBER(INDEX(원자료_잔고!$A$1:$EZ$1500,설정!$L$5+ROW()-1,설정!$L$17)),INDEX(원자료_잔고!$A$1:$EZ$1500,설정!$L$5+ROW()-1,설정!$L$17),""),"")</f>
        <v>1</v>
      </c>
      <c r="L376" s="84" t="n">
        <f aca="false">IFERROR(IF(ISNUMBER(INDEX(원자료_잔고!$A$1:$EZ$1500,설정!$L$5+ROW()-1,설정!$L$18)),INDEX(원자료_잔고!$A$1:$EZ$1500,설정!$L$5+ROW()-1,설정!$L$18),""),"")</f>
        <v>1997704</v>
      </c>
      <c r="M376" s="88" t="n">
        <f aca="false">IFERROR(IF(ISNUMBER(INDEX(원자료_잔고!$A$1:$EZ$1500,설정!$L$5+ROW()-1,설정!$L$19)),INDEX(원자료_잔고!$A$1:$EZ$1500,설정!$L$5+ROW()-1,설정!$L$19),""),"")</f>
        <v>-42996</v>
      </c>
      <c r="N376" s="83" t="str">
        <f aca="false">IFERROR(IF(INDEX(원자료_잔고!$A$1:$EZ$1500,설정!$L$5+ROW()-1,설정!$L$21)&amp;""="0","",INDEX(원자료_잔고!$A$1:$EZ$1500,설정!$L$5+ROW()-1,설정!$L$21)&amp;""),"")</f>
        <v/>
      </c>
      <c r="O376" s="83" t="str">
        <f aca="false">IFERROR(IF(INDEX(원자료_잔고!$A$1:$EZ$1500,설정!$L$5+ROW()-1,설정!$L$22)&amp;""="0","",INDEX(원자료_잔고!$A$1:$EZ$1500,설정!$L$5+ROW()-1,설정!$L$22)&amp;""),"")</f>
        <v/>
      </c>
      <c r="P376" s="83" t="str">
        <f aca="false">IFERROR(IF(INDEX(원자료_잔고!$A$1:$EZ$1500,설정!$L$5+ROW()-1,설정!$L$23)&amp;""="0","",INDEX(원자료_잔고!$A$1:$EZ$1500,설정!$L$5+ROW()-1,설정!$L$23)&amp;""),"")</f>
        <v>A-</v>
      </c>
      <c r="Q376" s="89" t="n">
        <f aca="false">IF(AND($A376&lt;&gt;"",ISNUMBER(E376)),IF(E376&gt;0,1,0),0)</f>
        <v>1</v>
      </c>
      <c r="R376" s="43" t="str">
        <f aca="false">IF(Q376=1,UPPER(LEFT($A376,FIND(" ",$A376&amp;" ")-1)),"")</f>
        <v>HYUCAP</v>
      </c>
      <c r="S376" s="89" t="n">
        <f aca="false">IF(Q376=1,IF(OR(ISNUMBER(SEARCH("Float",$A376)),ISNUMBER(SEARCH("FRN",$A376))),1,0),0)</f>
        <v>0</v>
      </c>
      <c r="T376" s="43" t="str">
        <f aca="false">IF(AND(Q376=1,ISNUMBER(I376)),TEXT(I376,"yyyymmdd")&amp;"|"&amp;IF(S376=1,"F",TEXT(J376,"0.000")),"")</f>
        <v>20280122|5.250</v>
      </c>
      <c r="U376" s="90" t="n">
        <f aca="false">IF(AND(Q376=1,ISNUMBER(I376)),(I376-설정!$C$4)/365.25,"")</f>
        <v>1.30869267624914</v>
      </c>
      <c r="V376" s="43" t="str">
        <f aca="false">IF(Q376&lt;&gt;1,"",IF(ISNUMBER(U376),IF(U376&lt;=1,"1년 이하",IF(U376&lt;=2,"1-2년",IF(U376&lt;=3,"2-3년",IF(U376&lt;=4,"3-4년",IF(U376&lt;=5,"4-5년",IF(U376&lt;=7,"5-7년",IF(U376&lt;=10,"7-10년",IF(U376&lt;=20,"10-20년","20년 이상")))))))),"미분류"))</f>
        <v>1-2년</v>
      </c>
      <c r="W376" s="43" t="str">
        <f aca="false">IF(Q376&lt;&gt;1,"",IF(AB376&lt;&gt;"",INDEX(시장분석!$C:$C,AB376),IF(K376=1,"USD","비USD")))</f>
        <v>USD</v>
      </c>
      <c r="X376" s="91" t="n">
        <f aca="false">IF(Q376=1,E376*K376/1000000,0)</f>
        <v>2</v>
      </c>
      <c r="Y376" s="89" t="n">
        <f aca="false">IF(R376="T",1,0)</f>
        <v>0</v>
      </c>
      <c r="Z376" s="92" t="n">
        <f aca="false">IF(Q376&lt;&gt;1,"",IF(AD376=1,IF(ISNUMBER(U376),MAX(U376,0),H376),H376))</f>
        <v>1.2168</v>
      </c>
      <c r="AA376" s="91" t="n">
        <f aca="false">IF(Q376=1,IF(ISNUMBER(L376),L376,0)*K376/1000000,0)</f>
        <v>1.997704</v>
      </c>
      <c r="AB376" s="89" t="n">
        <f aca="false">IF(Q376&lt;&gt;1,"",IFERROR(MATCH(VLOOKUP(B376,매핑!$H$4:$I$15,2,0),시장분석!$A$2:$A$601,0)+1,IFERROR(MATCH(R376&amp;"|"&amp;T376,시장분석!$V$2:$V$601,0)+1,IF(COUNTIF(시장분석!$U$2:$U$601,T376)=1,MATCH(T376,시장분석!$U$2:$U$601,0)+1,""))))</f>
        <v>156</v>
      </c>
      <c r="AC376" s="89" t="n">
        <f aca="false">IF(Q376&lt;&gt;1,0,IF(OR(설정!$C$5="전체",AND(설정!$C$5="선택펀드",IFERROR(COUNTIFS(설정!$F$16:$F$36,C376,설정!$G$16:$G$36,"Y")+COUNTIFS(설정!$F$16:$F$36,VALUE(C376),설정!$G$16:$G$36,"Y"),0)&gt;0),C376&amp;""=설정!$C$5&amp;""),1,0))</f>
        <v>0</v>
      </c>
      <c r="AD376" s="89" t="n">
        <f aca="false">IF(Q376&lt;&gt;1,0,IF(OR(S376=1,IF(AB376="",FALSE(),INDEX(시장분석!$R:$R,AB376)=1)),1,0))</f>
        <v>0</v>
      </c>
      <c r="AE376" s="43" t="str">
        <f aca="false">IF(AB376="","",INDEX(시장분석!$A:$A,AB376))</f>
        <v>HYUCAP 5 1/4 01/22/28</v>
      </c>
      <c r="AF376" s="93" t="n">
        <f aca="false">IF(AB376="","",IF(ISNUMBER(IF(AB376="","",INDEX(시장분석!$E:$E,AB376))),IF(AB376="","",INDEX(시장분석!$E:$E,AB376)),""))</f>
        <v>43.538</v>
      </c>
      <c r="AG376" s="43" t="str">
        <f aca="false">IF(Q376&lt;&gt;1,"",IF(AB376&lt;&gt;"",IF(AB376="","",INDEX(시장분석!$L:$L,AB376)),IFERROR(IF(VLOOKUP(R376,매핑!$A$4:$E$92,5,0)="","미분류",VLOOKUP(R376,매핑!$A$4:$E$92,5,0)),"미분류")))</f>
        <v>자유 소비재</v>
      </c>
      <c r="AH376" s="43" t="str">
        <f aca="false">IF(Q376&lt;&gt;1,"",IF(AB376&lt;&gt;"",IF(AB376="","",INDEX(시장분석!$N:$N,AB376)),IFERROR(IF(VLOOKUP(R376,매핑!$A$4:$E$92,4,0)="","미분류",VLOOKUP(R376,매핑!$A$4:$E$92,4,0)),"미분류")))</f>
        <v>아시아/기타</v>
      </c>
      <c r="AI376" s="43" t="str">
        <f aca="false">IF(Q376&lt;&gt;1,"",IFERROR(IF(VLOOKUP(R376,매핑!$A$4:$E$92,3,0)="","미분류",VLOOKUP(R376,매핑!$A$4:$E$92,3,0)),IF(AB376&lt;&gt;"",IF(AB376="","",INDEX(시장분석!$W:$W,AB376)),"미분류")))</f>
        <v>한국</v>
      </c>
      <c r="AJ376" s="43" t="str">
        <f aca="false">IF(Q376&lt;&gt;1,"",IFERROR(VLOOKUP(IF(N376&lt;&gt;"",N376,IF(P376&lt;&gt;"",P376,O376)),설정!$A$15:$D$47,2,0),""))</f>
        <v>A-</v>
      </c>
      <c r="AK376" s="43" t="str">
        <f aca="false">IF(Q376&lt;&gt;1,"",IF(AJ376="","무등급",IFERROR(VLOOKUP(AJ376,설정!$A$15:$D$47,3,0),"무등급")))</f>
        <v>A</v>
      </c>
      <c r="AL376" s="89" t="n">
        <f aca="false">IF(AJ376="",99,IFERROR(VLOOKUP(AJ376,설정!$A$15:$D$47,4,0),99))</f>
        <v>7</v>
      </c>
      <c r="AM376" s="94" t="n">
        <f aca="false">IF(ISNUMBER(H376),AA376*1000000*H376/10000,0)</f>
        <v>243.08062272</v>
      </c>
      <c r="AN376" s="94" t="n">
        <f aca="false">IF(OR(Y376=1,NOT(ISNUMBER(Z376))),0,AA376*1000000*Z376/10000)</f>
        <v>243.08062272</v>
      </c>
      <c r="AO376" s="94" t="n">
        <f aca="false">IF(ISNUMBER(G376),AA376*1000000*G376/100,0)</f>
        <v>106573.512992</v>
      </c>
      <c r="AP376" s="94" t="n">
        <f aca="false">IF(ISNUMBER(M376),M376*K376,0)</f>
        <v>-42996</v>
      </c>
      <c r="AQ376" s="95" t="n">
        <f aca="false">IF(AB376="","",INDEX(시장분석!$AK:$AK,AB376))</f>
        <v>-0.0452416615046535</v>
      </c>
      <c r="AR376" s="43" t="str">
        <f aca="false">IF(AB376="","-",IF(AB376="","",INDEX(시장분석!$AL:$AL,AB376)))</f>
        <v>Fair</v>
      </c>
      <c r="AS376" s="96" t="n">
        <f aca="false">IF(AB376="","",INDEX(시장분석!$AJ:$AJ,AB376))</f>
        <v>-0.937178346666286</v>
      </c>
      <c r="AT376" s="93" t="n">
        <f aca="false">IF(AB376="",0,IF(AB376="","",INDEX(시장분석!$AN:$AN,AB376)))</f>
        <v>0</v>
      </c>
      <c r="AU376" s="94" t="n">
        <f aca="false">IF(ISNUMBER(Z376),AT376/10000*MAX(Z376-1,0)*AA376*1000000,0)</f>
        <v>0</v>
      </c>
      <c r="AV376" s="94" t="n">
        <f aca="false">AO376+AU376</f>
        <v>106573.512992</v>
      </c>
      <c r="AW376" s="43" t="str">
        <f aca="false">IF(Q376&lt;&gt;1,"",TRIM(IF(AD376=1,"FRN ","")&amp;IF(AND(AL376&gt;=10,AL376&lt;99),"BBB0미만 ","")&amp;IF(AJ376="","등급없음 ","")&amp;IF(K376&lt;&gt;1,"비USD ","")&amp;IF(AND(AB376="",Y376=0),"시장데이터없음 ","")&amp;IF(AND(ISNUMBER(U376),U376&lt;0),"만기경과 ","")))</f>
        <v/>
      </c>
      <c r="AX376" s="90" t="n">
        <f aca="false">IF(Q376&lt;&gt;1,1,IF(스프레드쇼크!$C$4="Y",INDEX(스프레드쇼크!$B$12:$L$16,IFERROR(MATCH(AH376,스프레드쇼크!$A$12:$A$16,0),MATCH("목록외",스프레드쇼크!$A$12:$A$16,0)),IFERROR(MATCH(AG376,스프레드쇼크!$B$11:$L$11,0),MATCH("목록외",스프레드쇼크!$B$11:$L$11,0))),1))</f>
        <v>1</v>
      </c>
      <c r="AY376" s="90" t="n">
        <f aca="false">IF(스프레드쇼크!$C$5="Y",IF(ISNUMBER(AF376),MIN(스프레드쇼크!$C$7,MAX(스프레드쇼크!$C$6,AF376/스프레드쇼크!$C$8)),1),1)</f>
        <v>0.658529146516096</v>
      </c>
      <c r="AZ376" s="94" t="n">
        <f aca="false">AN376*AX376*AY376</f>
        <v>160.075675014403</v>
      </c>
      <c r="BA376" s="90" t="n">
        <f aca="false">IF(ISNUMBER(G376),AA376*G376,0)</f>
        <v>10.6573512992</v>
      </c>
      <c r="BB376" s="90" t="n">
        <f aca="false">IF(ISNUMBER(G376),AA376,0)</f>
        <v>1.997704</v>
      </c>
      <c r="BC376" s="90" t="n">
        <f aca="false">IF(AND(Y376=0,ISNUMBER(AF376)),AA376*AF376,0)</f>
        <v>86.976036752</v>
      </c>
      <c r="BD376" s="90" t="n">
        <f aca="false">IF(AND(Y376=0,ISNUMBER(AF376)),AA376,0)</f>
        <v>1.997704</v>
      </c>
      <c r="BE376" s="90" t="n">
        <f aca="false">IF(ISNUMBER(H376),AA376*H376,0)</f>
        <v>2.4308062272</v>
      </c>
      <c r="BF376" s="90" t="n">
        <f aca="false">IF(ISNUMBER(H376),AA376,0)</f>
        <v>1.997704</v>
      </c>
      <c r="BG376" s="90" t="n">
        <f aca="false">IF(AND(Y376=0,ISNUMBER(AF376),ISNUMBER(Z376)),AA376*Z376,0)</f>
        <v>2.4308062272</v>
      </c>
      <c r="BH376" s="90" t="n">
        <f aca="false">IF(AND(Y376=0,ISNUMBER(AF376),ISNUMBER(Z376)),AA376*AT376*MAX(Z376-1,0),0)</f>
        <v>0</v>
      </c>
      <c r="BI376" s="90" t="n">
        <f aca="false">IF(Y376=0,AA376,0)</f>
        <v>1.997704</v>
      </c>
    </row>
    <row r="377" customFormat="false" ht="15" hidden="false" customHeight="false" outlineLevel="0" collapsed="false">
      <c r="A377" s="83" t="str">
        <f aca="false">IFERROR(IF(INDEX(원자료_잔고!$A$1:$EZ$1500,설정!$L$5+ROW()-1,설정!$L$8)&amp;""="0","",INDEX(원자료_잔고!$A$1:$EZ$1500,설정!$L$5+ROW()-1,설정!$L$8)&amp;""),"")</f>
        <v>KHFC 4.875 08/27/27</v>
      </c>
      <c r="B377" s="83" t="str">
        <f aca="false">IFERROR(IF(INDEX(원자료_잔고!$A$1:$EZ$1500,설정!$L$5+ROW()-1,설정!$L$7)&amp;""="0","",INDEX(원자료_잔고!$A$1:$EZ$1500,설정!$L$5+ROW()-1,설정!$L$7)&amp;""),"")</f>
        <v>USY4841M6A22</v>
      </c>
      <c r="C377" s="83" t="str">
        <f aca="false">IFERROR(IF(INDEX(원자료_잔고!$A$1:$EZ$1500,설정!$L$5+ROW()-1,설정!$L$9)&amp;""="0","",INDEX(원자료_잔고!$A$1:$EZ$1500,설정!$L$5+ROW()-1,설정!$L$9)&amp;""),"")</f>
        <v>42003</v>
      </c>
      <c r="D37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7" s="84" t="n">
        <f aca="false">IFERROR(IF(ISNUMBER(INDEX(원자료_잔고!$A$1:$EZ$1500,설정!$L$5+ROW()-1,설정!$L$11)),INDEX(원자료_잔고!$A$1:$EZ$1500,설정!$L$5+ROW()-1,설정!$L$11),""),"")</f>
        <v>500000</v>
      </c>
      <c r="F377" s="85" t="n">
        <f aca="false">IFERROR(IF(ISNUMBER(INDEX(원자료_잔고!$A$1:$EZ$1500,설정!$L$5+ROW()-1,설정!$L$12)),INDEX(원자료_잔고!$A$1:$EZ$1500,설정!$L$5+ROW()-1,설정!$L$12),""),"")</f>
        <v>99.9988</v>
      </c>
      <c r="G377" s="85" t="n">
        <f aca="false">IFERROR(IF(ISNUMBER(INDEX(원자료_잔고!$A$1:$EZ$1500,설정!$L$5+ROW()-1,설정!$L$13)),INDEX(원자료_잔고!$A$1:$EZ$1500,설정!$L$5+ROW()-1,설정!$L$13),""),"")</f>
        <v>4.8709</v>
      </c>
      <c r="H377" s="85" t="n">
        <f aca="false">IFERROR(IF(ISNUMBER(INDEX(원자료_잔고!$A$1:$EZ$1500,설정!$L$5+ROW()-1,설정!$L$14)),INDEX(원자료_잔고!$A$1:$EZ$1500,설정!$L$5+ROW()-1,설정!$L$14),""),"")</f>
        <v>0.8598</v>
      </c>
      <c r="I377" s="86" t="n">
        <f aca="false">IFERROR(IF(ISNUMBER(INDEX(원자료_잔고!$A$1:$EZ$1500,설정!$L$5+ROW()-1,설정!$L$15)),INDEX(원자료_잔고!$A$1:$EZ$1500,설정!$L$5+ROW()-1,설정!$L$15),""),"")</f>
        <v>46626</v>
      </c>
      <c r="J377" s="85" t="n">
        <f aca="false">IFERROR(IF(ISNUMBER(INDEX(원자료_잔고!$A$1:$EZ$1500,설정!$L$5+ROW()-1,설정!$L$16)),INDEX(원자료_잔고!$A$1:$EZ$1500,설정!$L$5+ROW()-1,설정!$L$16),""),"")</f>
        <v>4.875</v>
      </c>
      <c r="K377" s="87" t="n">
        <f aca="false">IFERROR(IF(ISNUMBER(INDEX(원자료_잔고!$A$1:$EZ$1500,설정!$L$5+ROW()-1,설정!$L$17)),INDEX(원자료_잔고!$A$1:$EZ$1500,설정!$L$5+ROW()-1,설정!$L$17),""),"")</f>
        <v>1</v>
      </c>
      <c r="L377" s="84" t="n">
        <f aca="false">IFERROR(IF(ISNUMBER(INDEX(원자료_잔고!$A$1:$EZ$1500,설정!$L$5+ROW()-1,설정!$L$18)),INDEX(원자료_잔고!$A$1:$EZ$1500,설정!$L$5+ROW()-1,설정!$L$18),""),"")</f>
        <v>499994</v>
      </c>
      <c r="M377" s="88" t="n">
        <f aca="false">IFERROR(IF(ISNUMBER(INDEX(원자료_잔고!$A$1:$EZ$1500,설정!$L$5+ROW()-1,설정!$L$19)),INDEX(원자료_잔고!$A$1:$EZ$1500,설정!$L$5+ROW()-1,설정!$L$19),""),"")</f>
        <v>-8384.5</v>
      </c>
      <c r="N377" s="83" t="str">
        <f aca="false">IFERROR(IF(INDEX(원자료_잔고!$A$1:$EZ$1500,설정!$L$5+ROW()-1,설정!$L$21)&amp;""="0","",INDEX(원자료_잔고!$A$1:$EZ$1500,설정!$L$5+ROW()-1,설정!$L$21)&amp;""),"")</f>
        <v>AA</v>
      </c>
      <c r="O377" s="83" t="str">
        <f aca="false">IFERROR(IF(INDEX(원자료_잔고!$A$1:$EZ$1500,설정!$L$5+ROW()-1,설정!$L$22)&amp;""="0","",INDEX(원자료_잔고!$A$1:$EZ$1500,설정!$L$5+ROW()-1,설정!$L$22)&amp;""),"")</f>
        <v/>
      </c>
      <c r="P377" s="83" t="str">
        <f aca="false">IFERROR(IF(INDEX(원자료_잔고!$A$1:$EZ$1500,설정!$L$5+ROW()-1,설정!$L$23)&amp;""="0","",INDEX(원자료_잔고!$A$1:$EZ$1500,설정!$L$5+ROW()-1,설정!$L$23)&amp;""),"")</f>
        <v>N/A</v>
      </c>
      <c r="Q377" s="89" t="n">
        <f aca="false">IF(AND($A377&lt;&gt;"",ISNUMBER(E377)),IF(E377&gt;0,1,0),0)</f>
        <v>1</v>
      </c>
      <c r="R377" s="43" t="str">
        <f aca="false">IF(Q377=1,UPPER(LEFT($A377,FIND(" ",$A377&amp;" ")-1)),"")</f>
        <v>KHFC</v>
      </c>
      <c r="S377" s="89" t="n">
        <f aca="false">IF(Q377=1,IF(OR(ISNUMBER(SEARCH("Float",$A377)),ISNUMBER(SEARCH("FRN",$A377))),1,0),0)</f>
        <v>0</v>
      </c>
      <c r="T377" s="43" t="str">
        <f aca="false">IF(AND(Q377=1,ISNUMBER(I377)),TEXT(I377,"yyyymmdd")&amp;"|"&amp;IF(S377=1,"F",TEXT(J377,"0.000")),"")</f>
        <v>20270827|4.875</v>
      </c>
      <c r="U377" s="90" t="n">
        <f aca="false">IF(AND(Q377=1,ISNUMBER(I377)),(I377-설정!$C$4)/365.25,"")</f>
        <v>0.903490759753593</v>
      </c>
      <c r="V377" s="43" t="str">
        <f aca="false">IF(Q377&lt;&gt;1,"",IF(ISNUMBER(U377),IF(U377&lt;=1,"1년 이하",IF(U377&lt;=2,"1-2년",IF(U377&lt;=3,"2-3년",IF(U377&lt;=4,"3-4년",IF(U377&lt;=5,"4-5년",IF(U377&lt;=7,"5-7년",IF(U377&lt;=10,"7-10년",IF(U377&lt;=20,"10-20년","20년 이상")))))))),"미분류"))</f>
        <v>1년 이하</v>
      </c>
      <c r="W377" s="43" t="str">
        <f aca="false">IF(Q377&lt;&gt;1,"",IF(AB377&lt;&gt;"",INDEX(시장분석!$C:$C,AB377),IF(K377=1,"USD","비USD")))</f>
        <v>USD</v>
      </c>
      <c r="X377" s="91" t="n">
        <f aca="false">IF(Q377=1,E377*K377/1000000,0)</f>
        <v>0.5</v>
      </c>
      <c r="Y377" s="89" t="n">
        <f aca="false">IF(R377="T",1,0)</f>
        <v>0</v>
      </c>
      <c r="Z377" s="92" t="n">
        <f aca="false">IF(Q377&lt;&gt;1,"",IF(AD377=1,IF(ISNUMBER(U377),MAX(U377,0),H377),H377))</f>
        <v>0.8598</v>
      </c>
      <c r="AA377" s="91" t="n">
        <f aca="false">IF(Q377=1,IF(ISNUMBER(L377),L377,0)*K377/1000000,0)</f>
        <v>0.499994</v>
      </c>
      <c r="AB377" s="89" t="n">
        <f aca="false">IF(Q377&lt;&gt;1,"",IFERROR(MATCH(VLOOKUP(B377,매핑!$H$4:$I$15,2,0),시장분석!$A$2:$A$601,0)+1,IFERROR(MATCH(R377&amp;"|"&amp;T377,시장분석!$V$2:$V$601,0)+1,IF(COUNTIF(시장분석!$U$2:$U$601,T377)=1,MATCH(T377,시장분석!$U$2:$U$601,0)+1,""))))</f>
        <v>157</v>
      </c>
      <c r="AC377" s="89" t="n">
        <f aca="false">IF(Q377&lt;&gt;1,0,IF(OR(설정!$C$5="전체",AND(설정!$C$5="선택펀드",IFERROR(COUNTIFS(설정!$F$16:$F$36,C377,설정!$G$16:$G$36,"Y")+COUNTIFS(설정!$F$16:$F$36,VALUE(C377),설정!$G$16:$G$36,"Y"),0)&gt;0),C377&amp;""=설정!$C$5&amp;""),1,0))</f>
        <v>0</v>
      </c>
      <c r="AD377" s="89" t="n">
        <f aca="false">IF(Q377&lt;&gt;1,0,IF(OR(S377=1,IF(AB377="",FALSE(),INDEX(시장분석!$R:$R,AB377)=1)),1,0))</f>
        <v>0</v>
      </c>
      <c r="AE377" s="43" t="str">
        <f aca="false">IF(AB377="","",INDEX(시장분석!$A:$A,AB377))</f>
        <v>KHFC 4 7/8 08/27/27</v>
      </c>
      <c r="AF377" s="93" t="n">
        <f aca="false">IF(AB377="","",IF(ISNUMBER(IF(AB377="","",INDEX(시장분석!$E:$E,AB377))),IF(AB377="","",INDEX(시장분석!$E:$E,AB377)),""))</f>
        <v>-6.459</v>
      </c>
      <c r="AG377" s="43" t="str">
        <f aca="false">IF(Q377&lt;&gt;1,"",IF(AB377&lt;&gt;"",IF(AB377="","",INDEX(시장분석!$L:$L,AB377)),IFERROR(IF(VLOOKUP(R377,매핑!$A$4:$E$92,5,0)="","미분류",VLOOKUP(R377,매핑!$A$4:$E$92,5,0)),"미분류")))</f>
        <v>정부</v>
      </c>
      <c r="AH377" s="43" t="str">
        <f aca="false">IF(Q377&lt;&gt;1,"",IF(AB377&lt;&gt;"",IF(AB377="","",INDEX(시장분석!$N:$N,AB377)),IFERROR(IF(VLOOKUP(R377,매핑!$A$4:$E$92,4,0)="","미분류",VLOOKUP(R377,매핑!$A$4:$E$92,4,0)),"미분류")))</f>
        <v>아시아/기타</v>
      </c>
      <c r="AI377" s="43" t="str">
        <f aca="false">IF(Q377&lt;&gt;1,"",IFERROR(IF(VLOOKUP(R377,매핑!$A$4:$E$92,3,0)="","미분류",VLOOKUP(R377,매핑!$A$4:$E$92,3,0)),IF(AB377&lt;&gt;"",IF(AB377="","",INDEX(시장분석!$W:$W,AB377)),"미분류")))</f>
        <v>한국</v>
      </c>
      <c r="AJ377" s="43" t="str">
        <f aca="false">IF(Q377&lt;&gt;1,"",IFERROR(VLOOKUP(IF(N377&lt;&gt;"",N377,IF(P377&lt;&gt;"",P377,O377)),설정!$A$15:$D$47,2,0),""))</f>
        <v>AA</v>
      </c>
      <c r="AK377" s="43" t="str">
        <f aca="false">IF(Q377&lt;&gt;1,"",IF(AJ377="","무등급",IFERROR(VLOOKUP(AJ377,설정!$A$15:$D$47,3,0),"무등급")))</f>
        <v>AA이상</v>
      </c>
      <c r="AL377" s="89" t="n">
        <f aca="false">IF(AJ377="",99,IFERROR(VLOOKUP(AJ377,설정!$A$15:$D$47,4,0),99))</f>
        <v>3</v>
      </c>
      <c r="AM377" s="94" t="n">
        <f aca="false">IF(ISNUMBER(H377),AA377*1000000*H377/10000,0)</f>
        <v>42.98948412</v>
      </c>
      <c r="AN377" s="94" t="n">
        <f aca="false">IF(OR(Y377=1,NOT(ISNUMBER(Z377))),0,AA377*1000000*Z377/10000)</f>
        <v>42.98948412</v>
      </c>
      <c r="AO377" s="94" t="n">
        <f aca="false">IF(ISNUMBER(G377),AA377*1000000*G377/100,0)</f>
        <v>24354.207746</v>
      </c>
      <c r="AP377" s="94" t="n">
        <f aca="false">IF(ISNUMBER(M377),M377*K377,0)</f>
        <v>-8384.5</v>
      </c>
      <c r="AQ377" s="95" t="n">
        <f aca="false">IF(AB377="","",INDEX(시장분석!$AK:$AK,AB377))</f>
        <v>-0.191153793140928</v>
      </c>
      <c r="AR377" s="43" t="str">
        <f aca="false">IF(AB377="","-",IF(AB377="","",INDEX(시장분석!$AL:$AL,AB377)))</f>
        <v>Fair</v>
      </c>
      <c r="AS377" s="96" t="n">
        <f aca="false">IF(AB377="","",INDEX(시장분석!$AJ:$AJ,AB377))</f>
        <v>-2.61747349909086</v>
      </c>
      <c r="AT377" s="93" t="n">
        <f aca="false">IF(AB377="",0,IF(AB377="","",INDEX(시장분석!$AN:$AN,AB377)))</f>
        <v>0</v>
      </c>
      <c r="AU377" s="94" t="n">
        <f aca="false">IF(ISNUMBER(Z377),AT377/10000*MAX(Z377-1,0)*AA377*1000000,0)</f>
        <v>0</v>
      </c>
      <c r="AV377" s="94" t="n">
        <f aca="false">AO377+AU377</f>
        <v>24354.207746</v>
      </c>
      <c r="AW377" s="43" t="str">
        <f aca="false">IF(Q377&lt;&gt;1,"",TRIM(IF(AD377=1,"FRN ","")&amp;IF(AND(AL377&gt;=10,AL377&lt;99),"BBB0미만 ","")&amp;IF(AJ377="","등급없음 ","")&amp;IF(K377&lt;&gt;1,"비USD ","")&amp;IF(AND(AB377="",Y377=0),"시장데이터없음 ","")&amp;IF(AND(ISNUMBER(U377),U377&lt;0),"만기경과 ","")))</f>
        <v/>
      </c>
      <c r="AX377" s="90" t="n">
        <f aca="false">IF(Q377&lt;&gt;1,1,IF(스프레드쇼크!$C$4="Y",INDEX(스프레드쇼크!$B$12:$L$16,IFERROR(MATCH(AH377,스프레드쇼크!$A$12:$A$16,0),MATCH("목록외",스프레드쇼크!$A$12:$A$16,0)),IFERROR(MATCH(AG377,스프레드쇼크!$B$11:$L$11,0),MATCH("목록외",스프레드쇼크!$B$11:$L$11,0))),1))</f>
        <v>1</v>
      </c>
      <c r="AY377" s="90" t="n">
        <f aca="false">IF(스프레드쇼크!$C$5="Y",IF(ISNUMBER(AF377),MIN(스프레드쇼크!$C$7,MAX(스프레드쇼크!$C$6,AF377/스프레드쇼크!$C$8)),1),1)</f>
        <v>0.25</v>
      </c>
      <c r="AZ377" s="94" t="n">
        <f aca="false">AN377*AX377*AY377</f>
        <v>10.74737103</v>
      </c>
      <c r="BA377" s="90" t="n">
        <f aca="false">IF(ISNUMBER(G377),AA377*G377,0)</f>
        <v>2.4354207746</v>
      </c>
      <c r="BB377" s="90" t="n">
        <f aca="false">IF(ISNUMBER(G377),AA377,0)</f>
        <v>0.499994</v>
      </c>
      <c r="BC377" s="90" t="n">
        <f aca="false">IF(AND(Y377=0,ISNUMBER(AF377)),AA377*AF377,0)</f>
        <v>-3.229461246</v>
      </c>
      <c r="BD377" s="90" t="n">
        <f aca="false">IF(AND(Y377=0,ISNUMBER(AF377)),AA377,0)</f>
        <v>0.499994</v>
      </c>
      <c r="BE377" s="90" t="n">
        <f aca="false">IF(ISNUMBER(H377),AA377*H377,0)</f>
        <v>0.4298948412</v>
      </c>
      <c r="BF377" s="90" t="n">
        <f aca="false">IF(ISNUMBER(H377),AA377,0)</f>
        <v>0.499994</v>
      </c>
      <c r="BG377" s="90" t="n">
        <f aca="false">IF(AND(Y377=0,ISNUMBER(AF377),ISNUMBER(Z377)),AA377*Z377,0)</f>
        <v>0.4298948412</v>
      </c>
      <c r="BH377" s="90" t="n">
        <f aca="false">IF(AND(Y377=0,ISNUMBER(AF377),ISNUMBER(Z377)),AA377*AT377*MAX(Z377-1,0),0)</f>
        <v>0</v>
      </c>
      <c r="BI377" s="90" t="n">
        <f aca="false">IF(Y377=0,AA377,0)</f>
        <v>0.499994</v>
      </c>
    </row>
    <row r="378" customFormat="false" ht="15" hidden="false" customHeight="false" outlineLevel="0" collapsed="false">
      <c r="A378" s="83" t="str">
        <f aca="false">IFERROR(IF(INDEX(원자료_잔고!$A$1:$EZ$1500,설정!$L$5+ROW()-1,설정!$L$8)&amp;""="0","",INDEX(원자료_잔고!$A$1:$EZ$1500,설정!$L$5+ROW()-1,설정!$L$8)&amp;""),"")</f>
        <v>KHFC 5.125 01/21/30</v>
      </c>
      <c r="B378" s="83" t="str">
        <f aca="false">IFERROR(IF(INDEX(원자료_잔고!$A$1:$EZ$1500,설정!$L$5+ROW()-1,설정!$L$7)&amp;""="0","",INDEX(원자료_잔고!$A$1:$EZ$1500,설정!$L$5+ROW()-1,설정!$L$7)&amp;""),"")</f>
        <v>USY4841PAD43</v>
      </c>
      <c r="C378" s="83" t="str">
        <f aca="false">IFERROR(IF(INDEX(원자료_잔고!$A$1:$EZ$1500,설정!$L$5+ROW()-1,설정!$L$9)&amp;""="0","",INDEX(원자료_잔고!$A$1:$EZ$1500,설정!$L$5+ROW()-1,설정!$L$9)&amp;""),"")</f>
        <v>42003</v>
      </c>
      <c r="D37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8" s="84" t="n">
        <f aca="false">IFERROR(IF(ISNUMBER(INDEX(원자료_잔고!$A$1:$EZ$1500,설정!$L$5+ROW()-1,설정!$L$11)),INDEX(원자료_잔고!$A$1:$EZ$1500,설정!$L$5+ROW()-1,설정!$L$11),""),"")</f>
        <v>1000000</v>
      </c>
      <c r="F378" s="85" t="n">
        <f aca="false">IFERROR(IF(ISNUMBER(INDEX(원자료_잔고!$A$1:$EZ$1500,설정!$L$5+ROW()-1,설정!$L$12)),INDEX(원자료_잔고!$A$1:$EZ$1500,설정!$L$5+ROW()-1,설정!$L$12),""),"")</f>
        <v>99.5408</v>
      </c>
      <c r="G378" s="85" t="n">
        <f aca="false">IFERROR(IF(ISNUMBER(INDEX(원자료_잔고!$A$1:$EZ$1500,설정!$L$5+ROW()-1,설정!$L$13)),INDEX(원자료_잔고!$A$1:$EZ$1500,설정!$L$5+ROW()-1,설정!$L$13),""),"")</f>
        <v>5.2751</v>
      </c>
      <c r="H378" s="85" t="n">
        <f aca="false">IFERROR(IF(ISNUMBER(INDEX(원자료_잔고!$A$1:$EZ$1500,설정!$L$5+ROW()-1,설정!$L$14)),INDEX(원자료_잔고!$A$1:$EZ$1500,설정!$L$5+ROW()-1,설정!$L$14),""),"")</f>
        <v>2.919</v>
      </c>
      <c r="I378" s="86" t="n">
        <f aca="false">IFERROR(IF(ISNUMBER(INDEX(원자료_잔고!$A$1:$EZ$1500,설정!$L$5+ROW()-1,설정!$L$15)),INDEX(원자료_잔고!$A$1:$EZ$1500,설정!$L$5+ROW()-1,설정!$L$15),""),"")</f>
        <v>47504</v>
      </c>
      <c r="J378" s="85" t="n">
        <f aca="false">IFERROR(IF(ISNUMBER(INDEX(원자료_잔고!$A$1:$EZ$1500,설정!$L$5+ROW()-1,설정!$L$16)),INDEX(원자료_잔고!$A$1:$EZ$1500,설정!$L$5+ROW()-1,설정!$L$16),""),"")</f>
        <v>5.125</v>
      </c>
      <c r="K378" s="87" t="n">
        <f aca="false">IFERROR(IF(ISNUMBER(INDEX(원자료_잔고!$A$1:$EZ$1500,설정!$L$5+ROW()-1,설정!$L$17)),INDEX(원자료_잔고!$A$1:$EZ$1500,설정!$L$5+ROW()-1,설정!$L$17),""),"")</f>
        <v>1</v>
      </c>
      <c r="L378" s="84" t="n">
        <f aca="false">IFERROR(IF(ISNUMBER(INDEX(원자료_잔고!$A$1:$EZ$1500,설정!$L$5+ROW()-1,설정!$L$18)),INDEX(원자료_잔고!$A$1:$EZ$1500,설정!$L$5+ROW()-1,설정!$L$18),""),"")</f>
        <v>995408</v>
      </c>
      <c r="M378" s="88" t="n">
        <f aca="false">IFERROR(IF(ISNUMBER(INDEX(원자료_잔고!$A$1:$EZ$1500,설정!$L$5+ROW()-1,설정!$L$19)),INDEX(원자료_잔고!$A$1:$EZ$1500,설정!$L$5+ROW()-1,설정!$L$19),""),"")</f>
        <v>-46084</v>
      </c>
      <c r="N378" s="83" t="str">
        <f aca="false">IFERROR(IF(INDEX(원자료_잔고!$A$1:$EZ$1500,설정!$L$5+ROW()-1,설정!$L$21)&amp;""="0","",INDEX(원자료_잔고!$A$1:$EZ$1500,설정!$L$5+ROW()-1,설정!$L$21)&amp;""),"")</f>
        <v>AA</v>
      </c>
      <c r="O378" s="83" t="str">
        <f aca="false">IFERROR(IF(INDEX(원자료_잔고!$A$1:$EZ$1500,설정!$L$5+ROW()-1,설정!$L$22)&amp;""="0","",INDEX(원자료_잔고!$A$1:$EZ$1500,설정!$L$5+ROW()-1,설정!$L$22)&amp;""),"")</f>
        <v/>
      </c>
      <c r="P378" s="83" t="str">
        <f aca="false">IFERROR(IF(INDEX(원자료_잔고!$A$1:$EZ$1500,설정!$L$5+ROW()-1,설정!$L$23)&amp;""="0","",INDEX(원자료_잔고!$A$1:$EZ$1500,설정!$L$5+ROW()-1,설정!$L$23)&amp;""),"")</f>
        <v>AA-</v>
      </c>
      <c r="Q378" s="89" t="n">
        <f aca="false">IF(AND($A378&lt;&gt;"",ISNUMBER(E378)),IF(E378&gt;0,1,0),0)</f>
        <v>1</v>
      </c>
      <c r="R378" s="43" t="str">
        <f aca="false">IF(Q378=1,UPPER(LEFT($A378,FIND(" ",$A378&amp;" ")-1)),"")</f>
        <v>KHFC</v>
      </c>
      <c r="S378" s="89" t="n">
        <f aca="false">IF(Q378=1,IF(OR(ISNUMBER(SEARCH("Float",$A378)),ISNUMBER(SEARCH("FRN",$A378))),1,0),0)</f>
        <v>0</v>
      </c>
      <c r="T378" s="43" t="str">
        <f aca="false">IF(AND(Q378=1,ISNUMBER(I378)),TEXT(I378,"yyyymmdd")&amp;"|"&amp;IF(S378=1,"F",TEXT(J378,"0.000")),"")</f>
        <v>20300121|5.125</v>
      </c>
      <c r="U378" s="90" t="n">
        <f aca="false">IF(AND(Q378=1,ISNUMBER(I378)),(I378-설정!$C$4)/365.25,"")</f>
        <v>3.30732375085558</v>
      </c>
      <c r="V378" s="43" t="str">
        <f aca="false">IF(Q378&lt;&gt;1,"",IF(ISNUMBER(U378),IF(U378&lt;=1,"1년 이하",IF(U378&lt;=2,"1-2년",IF(U378&lt;=3,"2-3년",IF(U378&lt;=4,"3-4년",IF(U378&lt;=5,"4-5년",IF(U378&lt;=7,"5-7년",IF(U378&lt;=10,"7-10년",IF(U378&lt;=20,"10-20년","20년 이상")))))))),"미분류"))</f>
        <v>3-4년</v>
      </c>
      <c r="W378" s="43" t="str">
        <f aca="false">IF(Q378&lt;&gt;1,"",IF(AB378&lt;&gt;"",INDEX(시장분석!$C:$C,AB378),IF(K378=1,"USD","비USD")))</f>
        <v>USD</v>
      </c>
      <c r="X378" s="91" t="n">
        <f aca="false">IF(Q378=1,E378*K378/1000000,0)</f>
        <v>1</v>
      </c>
      <c r="Y378" s="89" t="n">
        <f aca="false">IF(R378="T",1,0)</f>
        <v>0</v>
      </c>
      <c r="Z378" s="92" t="n">
        <f aca="false">IF(Q378&lt;&gt;1,"",IF(AD378=1,IF(ISNUMBER(U378),MAX(U378,0),H378),H378))</f>
        <v>2.919</v>
      </c>
      <c r="AA378" s="91" t="n">
        <f aca="false">IF(Q378=1,IF(ISNUMBER(L378),L378,0)*K378/1000000,0)</f>
        <v>0.995408</v>
      </c>
      <c r="AB378" s="89" t="n">
        <f aca="false">IF(Q378&lt;&gt;1,"",IFERROR(MATCH(VLOOKUP(B378,매핑!$H$4:$I$15,2,0),시장분석!$A$2:$A$601,0)+1,IFERROR(MATCH(R378&amp;"|"&amp;T378,시장분석!$V$2:$V$601,0)+1,IF(COUNTIF(시장분석!$U$2:$U$601,T378)=1,MATCH(T378,시장분석!$U$2:$U$601,0)+1,""))))</f>
        <v>158</v>
      </c>
      <c r="AC378" s="89" t="n">
        <f aca="false">IF(Q378&lt;&gt;1,0,IF(OR(설정!$C$5="전체",AND(설정!$C$5="선택펀드",IFERROR(COUNTIFS(설정!$F$16:$F$36,C378,설정!$G$16:$G$36,"Y")+COUNTIFS(설정!$F$16:$F$36,VALUE(C378),설정!$G$16:$G$36,"Y"),0)&gt;0),C378&amp;""=설정!$C$5&amp;""),1,0))</f>
        <v>0</v>
      </c>
      <c r="AD378" s="89" t="n">
        <f aca="false">IF(Q378&lt;&gt;1,0,IF(OR(S378=1,IF(AB378="",FALSE(),INDEX(시장분석!$R:$R,AB378)=1)),1,0))</f>
        <v>0</v>
      </c>
      <c r="AE378" s="43" t="str">
        <f aca="false">IF(AB378="","",INDEX(시장분석!$A:$A,AB378))</f>
        <v>KHFC 5 1/8 01/21/30</v>
      </c>
      <c r="AF378" s="93" t="n">
        <f aca="false">IF(AB378="","",IF(ISNUMBER(IF(AB378="","",INDEX(시장분석!$E:$E,AB378))),IF(AB378="","",INDEX(시장분석!$E:$E,AB378)),""))</f>
        <v>25.028</v>
      </c>
      <c r="AG378" s="43" t="str">
        <f aca="false">IF(Q378&lt;&gt;1,"",IF(AB378&lt;&gt;"",IF(AB378="","",INDEX(시장분석!$L:$L,AB378)),IFERROR(IF(VLOOKUP(R378,매핑!$A$4:$E$92,5,0)="","미분류",VLOOKUP(R378,매핑!$A$4:$E$92,5,0)),"미분류")))</f>
        <v>정부</v>
      </c>
      <c r="AH378" s="43" t="str">
        <f aca="false">IF(Q378&lt;&gt;1,"",IF(AB378&lt;&gt;"",IF(AB378="","",INDEX(시장분석!$N:$N,AB378)),IFERROR(IF(VLOOKUP(R378,매핑!$A$4:$E$92,4,0)="","미분류",VLOOKUP(R378,매핑!$A$4:$E$92,4,0)),"미분류")))</f>
        <v>아시아/기타</v>
      </c>
      <c r="AI378" s="43" t="str">
        <f aca="false">IF(Q378&lt;&gt;1,"",IFERROR(IF(VLOOKUP(R378,매핑!$A$4:$E$92,3,0)="","미분류",VLOOKUP(R378,매핑!$A$4:$E$92,3,0)),IF(AB378&lt;&gt;"",IF(AB378="","",INDEX(시장분석!$W:$W,AB378)),"미분류")))</f>
        <v>한국</v>
      </c>
      <c r="AJ378" s="43" t="str">
        <f aca="false">IF(Q378&lt;&gt;1,"",IFERROR(VLOOKUP(IF(N378&lt;&gt;"",N378,IF(P378&lt;&gt;"",P378,O378)),설정!$A$15:$D$47,2,0),""))</f>
        <v>AA</v>
      </c>
      <c r="AK378" s="43" t="str">
        <f aca="false">IF(Q378&lt;&gt;1,"",IF(AJ378="","무등급",IFERROR(VLOOKUP(AJ378,설정!$A$15:$D$47,3,0),"무등급")))</f>
        <v>AA이상</v>
      </c>
      <c r="AL378" s="89" t="n">
        <f aca="false">IF(AJ378="",99,IFERROR(VLOOKUP(AJ378,설정!$A$15:$D$47,4,0),99))</f>
        <v>3</v>
      </c>
      <c r="AM378" s="94" t="n">
        <f aca="false">IF(ISNUMBER(H378),AA378*1000000*H378/10000,0)</f>
        <v>290.5595952</v>
      </c>
      <c r="AN378" s="94" t="n">
        <f aca="false">IF(OR(Y378=1,NOT(ISNUMBER(Z378))),0,AA378*1000000*Z378/10000)</f>
        <v>290.5595952</v>
      </c>
      <c r="AO378" s="94" t="n">
        <f aca="false">IF(ISNUMBER(G378),AA378*1000000*G378/100,0)</f>
        <v>52508.767408</v>
      </c>
      <c r="AP378" s="94" t="n">
        <f aca="false">IF(ISNUMBER(M378),M378*K378,0)</f>
        <v>-46084</v>
      </c>
      <c r="AQ378" s="95" t="n">
        <f aca="false">IF(AB378="","",INDEX(시장분석!$AK:$AK,AB378))</f>
        <v>0.322903582710009</v>
      </c>
      <c r="AR378" s="43" t="str">
        <f aca="false">IF(AB378="","-",IF(AB378="","",INDEX(시장분석!$AL:$AL,AB378)))</f>
        <v>Fair</v>
      </c>
      <c r="AS378" s="96" t="n">
        <f aca="false">IF(AB378="","",INDEX(시장분석!$AJ:$AJ,AB378))</f>
        <v>4.42152654476401</v>
      </c>
      <c r="AT378" s="93" t="n">
        <f aca="false">IF(AB378="",0,IF(AB378="","",INDEX(시장분석!$AN:$AN,AB378)))</f>
        <v>7.89339323912156</v>
      </c>
      <c r="AU378" s="94" t="n">
        <f aca="false">IF(ISNUMBER(Z378),AT378/10000*MAX(Z378-1,0)*AA378*1000000,0)</f>
        <v>1507.78646657683</v>
      </c>
      <c r="AV378" s="94" t="n">
        <f aca="false">AO378+AU378</f>
        <v>54016.5538745768</v>
      </c>
      <c r="AW378" s="43" t="str">
        <f aca="false">IF(Q378&lt;&gt;1,"",TRIM(IF(AD378=1,"FRN ","")&amp;IF(AND(AL378&gt;=10,AL378&lt;99),"BBB0미만 ","")&amp;IF(AJ378="","등급없음 ","")&amp;IF(K378&lt;&gt;1,"비USD ","")&amp;IF(AND(AB378="",Y378=0),"시장데이터없음 ","")&amp;IF(AND(ISNUMBER(U378),U378&lt;0),"만기경과 ","")))</f>
        <v/>
      </c>
      <c r="AX378" s="90" t="n">
        <f aca="false">IF(Q378&lt;&gt;1,1,IF(스프레드쇼크!$C$4="Y",INDEX(스프레드쇼크!$B$12:$L$16,IFERROR(MATCH(AH378,스프레드쇼크!$A$12:$A$16,0),MATCH("목록외",스프레드쇼크!$A$12:$A$16,0)),IFERROR(MATCH(AG378,스프레드쇼크!$B$11:$L$11,0),MATCH("목록외",스프레드쇼크!$B$11:$L$11,0))),1))</f>
        <v>1</v>
      </c>
      <c r="AY378" s="90" t="n">
        <f aca="false">IF(스프레드쇼크!$C$5="Y",IF(ISNUMBER(AF378),MIN(스프레드쇼크!$C$7,MAX(스프레드쇼크!$C$6,AF378/스프레드쇼크!$C$8)),1),1)</f>
        <v>0.378558213032405</v>
      </c>
      <c r="AZ378" s="94" t="n">
        <f aca="false">AN378*AX378*AY378</f>
        <v>109.993721138331</v>
      </c>
      <c r="BA378" s="90" t="n">
        <f aca="false">IF(ISNUMBER(G378),AA378*G378,0)</f>
        <v>5.2508767408</v>
      </c>
      <c r="BB378" s="90" t="n">
        <f aca="false">IF(ISNUMBER(G378),AA378,0)</f>
        <v>0.995408</v>
      </c>
      <c r="BC378" s="90" t="n">
        <f aca="false">IF(AND(Y378=0,ISNUMBER(AF378)),AA378*AF378,0)</f>
        <v>24.913071424</v>
      </c>
      <c r="BD378" s="90" t="n">
        <f aca="false">IF(AND(Y378=0,ISNUMBER(AF378)),AA378,0)</f>
        <v>0.995408</v>
      </c>
      <c r="BE378" s="90" t="n">
        <f aca="false">IF(ISNUMBER(H378),AA378*H378,0)</f>
        <v>2.905595952</v>
      </c>
      <c r="BF378" s="90" t="n">
        <f aca="false">IF(ISNUMBER(H378),AA378,0)</f>
        <v>0.995408</v>
      </c>
      <c r="BG378" s="90" t="n">
        <f aca="false">IF(AND(Y378=0,ISNUMBER(AF378),ISNUMBER(Z378)),AA378*Z378,0)</f>
        <v>2.905595952</v>
      </c>
      <c r="BH378" s="90" t="n">
        <f aca="false">IF(AND(Y378=0,ISNUMBER(AF378),ISNUMBER(Z378)),AA378*AT378*MAX(Z378-1,0),0)</f>
        <v>15.0778646657683</v>
      </c>
      <c r="BI378" s="90" t="n">
        <f aca="false">IF(Y378=0,AA378,0)</f>
        <v>0.995408</v>
      </c>
    </row>
    <row r="379" customFormat="false" ht="15" hidden="false" customHeight="false" outlineLevel="0" collapsed="false">
      <c r="A379" s="83" t="str">
        <f aca="false">IFERROR(IF(INDEX(원자료_잔고!$A$1:$EZ$1500,설정!$L$5+ROW()-1,설정!$L$8)&amp;""="0","",INDEX(원자료_잔고!$A$1:$EZ$1500,설정!$L$5+ROW()-1,설정!$L$8)&amp;""),"")</f>
        <v>KHFC 5.125 01/21/30</v>
      </c>
      <c r="B379" s="83" t="str">
        <f aca="false">IFERROR(IF(INDEX(원자료_잔고!$A$1:$EZ$1500,설정!$L$5+ROW()-1,설정!$L$7)&amp;""="0","",INDEX(원자료_잔고!$A$1:$EZ$1500,설정!$L$5+ROW()-1,설정!$L$7)&amp;""),"")</f>
        <v>USY4841PAD43</v>
      </c>
      <c r="C379" s="83" t="str">
        <f aca="false">IFERROR(IF(INDEX(원자료_잔고!$A$1:$EZ$1500,설정!$L$5+ROW()-1,설정!$L$9)&amp;""="0","",INDEX(원자료_잔고!$A$1:$EZ$1500,설정!$L$5+ROW()-1,설정!$L$9)&amp;""),"")</f>
        <v>42003</v>
      </c>
      <c r="D37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79" s="84" t="n">
        <f aca="false">IFERROR(IF(ISNUMBER(INDEX(원자료_잔고!$A$1:$EZ$1500,설정!$L$5+ROW()-1,설정!$L$11)),INDEX(원자료_잔고!$A$1:$EZ$1500,설정!$L$5+ROW()-1,설정!$L$11),""),"")</f>
        <v>3000000</v>
      </c>
      <c r="F379" s="85" t="n">
        <f aca="false">IFERROR(IF(ISNUMBER(INDEX(원자료_잔고!$A$1:$EZ$1500,설정!$L$5+ROW()-1,설정!$L$12)),INDEX(원자료_잔고!$A$1:$EZ$1500,설정!$L$5+ROW()-1,설정!$L$12),""),"")</f>
        <v>99.5408</v>
      </c>
      <c r="G379" s="85" t="n">
        <f aca="false">IFERROR(IF(ISNUMBER(INDEX(원자료_잔고!$A$1:$EZ$1500,설정!$L$5+ROW()-1,설정!$L$13)),INDEX(원자료_잔고!$A$1:$EZ$1500,설정!$L$5+ROW()-1,설정!$L$13),""),"")</f>
        <v>5.2751</v>
      </c>
      <c r="H379" s="85" t="n">
        <f aca="false">IFERROR(IF(ISNUMBER(INDEX(원자료_잔고!$A$1:$EZ$1500,설정!$L$5+ROW()-1,설정!$L$14)),INDEX(원자료_잔고!$A$1:$EZ$1500,설정!$L$5+ROW()-1,설정!$L$14),""),"")</f>
        <v>2.919</v>
      </c>
      <c r="I379" s="86" t="n">
        <f aca="false">IFERROR(IF(ISNUMBER(INDEX(원자료_잔고!$A$1:$EZ$1500,설정!$L$5+ROW()-1,설정!$L$15)),INDEX(원자료_잔고!$A$1:$EZ$1500,설정!$L$5+ROW()-1,설정!$L$15),""),"")</f>
        <v>47504</v>
      </c>
      <c r="J379" s="85" t="n">
        <f aca="false">IFERROR(IF(ISNUMBER(INDEX(원자료_잔고!$A$1:$EZ$1500,설정!$L$5+ROW()-1,설정!$L$16)),INDEX(원자료_잔고!$A$1:$EZ$1500,설정!$L$5+ROW()-1,설정!$L$16),""),"")</f>
        <v>5.125</v>
      </c>
      <c r="K379" s="87" t="n">
        <f aca="false">IFERROR(IF(ISNUMBER(INDEX(원자료_잔고!$A$1:$EZ$1500,설정!$L$5+ROW()-1,설정!$L$17)),INDEX(원자료_잔고!$A$1:$EZ$1500,설정!$L$5+ROW()-1,설정!$L$17),""),"")</f>
        <v>1</v>
      </c>
      <c r="L379" s="84" t="n">
        <f aca="false">IFERROR(IF(ISNUMBER(INDEX(원자료_잔고!$A$1:$EZ$1500,설정!$L$5+ROW()-1,설정!$L$18)),INDEX(원자료_잔고!$A$1:$EZ$1500,설정!$L$5+ROW()-1,설정!$L$18),""),"")</f>
        <v>2986224</v>
      </c>
      <c r="M379" s="88" t="n">
        <f aca="false">IFERROR(IF(ISNUMBER(INDEX(원자료_잔고!$A$1:$EZ$1500,설정!$L$5+ROW()-1,설정!$L$19)),INDEX(원자료_잔고!$A$1:$EZ$1500,설정!$L$5+ROW()-1,설정!$L$19),""),"")</f>
        <v>-138252</v>
      </c>
      <c r="N379" s="83" t="str">
        <f aca="false">IFERROR(IF(INDEX(원자료_잔고!$A$1:$EZ$1500,설정!$L$5+ROW()-1,설정!$L$21)&amp;""="0","",INDEX(원자료_잔고!$A$1:$EZ$1500,설정!$L$5+ROW()-1,설정!$L$21)&amp;""),"")</f>
        <v>AA</v>
      </c>
      <c r="O379" s="83" t="str">
        <f aca="false">IFERROR(IF(INDEX(원자료_잔고!$A$1:$EZ$1500,설정!$L$5+ROW()-1,설정!$L$22)&amp;""="0","",INDEX(원자료_잔고!$A$1:$EZ$1500,설정!$L$5+ROW()-1,설정!$L$22)&amp;""),"")</f>
        <v/>
      </c>
      <c r="P379" s="83" t="str">
        <f aca="false">IFERROR(IF(INDEX(원자료_잔고!$A$1:$EZ$1500,설정!$L$5+ROW()-1,설정!$L$23)&amp;""="0","",INDEX(원자료_잔고!$A$1:$EZ$1500,설정!$L$5+ROW()-1,설정!$L$23)&amp;""),"")</f>
        <v>AA-</v>
      </c>
      <c r="Q379" s="89" t="n">
        <f aca="false">IF(AND($A379&lt;&gt;"",ISNUMBER(E379)),IF(E379&gt;0,1,0),0)</f>
        <v>1</v>
      </c>
      <c r="R379" s="43" t="str">
        <f aca="false">IF(Q379=1,UPPER(LEFT($A379,FIND(" ",$A379&amp;" ")-1)),"")</f>
        <v>KHFC</v>
      </c>
      <c r="S379" s="89" t="n">
        <f aca="false">IF(Q379=1,IF(OR(ISNUMBER(SEARCH("Float",$A379)),ISNUMBER(SEARCH("FRN",$A379))),1,0),0)</f>
        <v>0</v>
      </c>
      <c r="T379" s="43" t="str">
        <f aca="false">IF(AND(Q379=1,ISNUMBER(I379)),TEXT(I379,"yyyymmdd")&amp;"|"&amp;IF(S379=1,"F",TEXT(J379,"0.000")),"")</f>
        <v>20300121|5.125</v>
      </c>
      <c r="U379" s="90" t="n">
        <f aca="false">IF(AND(Q379=1,ISNUMBER(I379)),(I379-설정!$C$4)/365.25,"")</f>
        <v>3.30732375085558</v>
      </c>
      <c r="V379" s="43" t="str">
        <f aca="false">IF(Q379&lt;&gt;1,"",IF(ISNUMBER(U379),IF(U379&lt;=1,"1년 이하",IF(U379&lt;=2,"1-2년",IF(U379&lt;=3,"2-3년",IF(U379&lt;=4,"3-4년",IF(U379&lt;=5,"4-5년",IF(U379&lt;=7,"5-7년",IF(U379&lt;=10,"7-10년",IF(U379&lt;=20,"10-20년","20년 이상")))))))),"미분류"))</f>
        <v>3-4년</v>
      </c>
      <c r="W379" s="43" t="str">
        <f aca="false">IF(Q379&lt;&gt;1,"",IF(AB379&lt;&gt;"",INDEX(시장분석!$C:$C,AB379),IF(K379=1,"USD","비USD")))</f>
        <v>USD</v>
      </c>
      <c r="X379" s="91" t="n">
        <f aca="false">IF(Q379=1,E379*K379/1000000,0)</f>
        <v>3</v>
      </c>
      <c r="Y379" s="89" t="n">
        <f aca="false">IF(R379="T",1,0)</f>
        <v>0</v>
      </c>
      <c r="Z379" s="92" t="n">
        <f aca="false">IF(Q379&lt;&gt;1,"",IF(AD379=1,IF(ISNUMBER(U379),MAX(U379,0),H379),H379))</f>
        <v>2.919</v>
      </c>
      <c r="AA379" s="91" t="n">
        <f aca="false">IF(Q379=1,IF(ISNUMBER(L379),L379,0)*K379/1000000,0)</f>
        <v>2.986224</v>
      </c>
      <c r="AB379" s="89" t="n">
        <f aca="false">IF(Q379&lt;&gt;1,"",IFERROR(MATCH(VLOOKUP(B379,매핑!$H$4:$I$15,2,0),시장분석!$A$2:$A$601,0)+1,IFERROR(MATCH(R379&amp;"|"&amp;T379,시장분석!$V$2:$V$601,0)+1,IF(COUNTIF(시장분석!$U$2:$U$601,T379)=1,MATCH(T379,시장분석!$U$2:$U$601,0)+1,""))))</f>
        <v>158</v>
      </c>
      <c r="AC379" s="89" t="n">
        <f aca="false">IF(Q379&lt;&gt;1,0,IF(OR(설정!$C$5="전체",AND(설정!$C$5="선택펀드",IFERROR(COUNTIFS(설정!$F$16:$F$36,C379,설정!$G$16:$G$36,"Y")+COUNTIFS(설정!$F$16:$F$36,VALUE(C379),설정!$G$16:$G$36,"Y"),0)&gt;0),C379&amp;""=설정!$C$5&amp;""),1,0))</f>
        <v>0</v>
      </c>
      <c r="AD379" s="89" t="n">
        <f aca="false">IF(Q379&lt;&gt;1,0,IF(OR(S379=1,IF(AB379="",FALSE(),INDEX(시장분석!$R:$R,AB379)=1)),1,0))</f>
        <v>0</v>
      </c>
      <c r="AE379" s="43" t="str">
        <f aca="false">IF(AB379="","",INDEX(시장분석!$A:$A,AB379))</f>
        <v>KHFC 5 1/8 01/21/30</v>
      </c>
      <c r="AF379" s="93" t="n">
        <f aca="false">IF(AB379="","",IF(ISNUMBER(IF(AB379="","",INDEX(시장분석!$E:$E,AB379))),IF(AB379="","",INDEX(시장분석!$E:$E,AB379)),""))</f>
        <v>25.028</v>
      </c>
      <c r="AG379" s="43" t="str">
        <f aca="false">IF(Q379&lt;&gt;1,"",IF(AB379&lt;&gt;"",IF(AB379="","",INDEX(시장분석!$L:$L,AB379)),IFERROR(IF(VLOOKUP(R379,매핑!$A$4:$E$92,5,0)="","미분류",VLOOKUP(R379,매핑!$A$4:$E$92,5,0)),"미분류")))</f>
        <v>정부</v>
      </c>
      <c r="AH379" s="43" t="str">
        <f aca="false">IF(Q379&lt;&gt;1,"",IF(AB379&lt;&gt;"",IF(AB379="","",INDEX(시장분석!$N:$N,AB379)),IFERROR(IF(VLOOKUP(R379,매핑!$A$4:$E$92,4,0)="","미분류",VLOOKUP(R379,매핑!$A$4:$E$92,4,0)),"미분류")))</f>
        <v>아시아/기타</v>
      </c>
      <c r="AI379" s="43" t="str">
        <f aca="false">IF(Q379&lt;&gt;1,"",IFERROR(IF(VLOOKUP(R379,매핑!$A$4:$E$92,3,0)="","미분류",VLOOKUP(R379,매핑!$A$4:$E$92,3,0)),IF(AB379&lt;&gt;"",IF(AB379="","",INDEX(시장분석!$W:$W,AB379)),"미분류")))</f>
        <v>한국</v>
      </c>
      <c r="AJ379" s="43" t="str">
        <f aca="false">IF(Q379&lt;&gt;1,"",IFERROR(VLOOKUP(IF(N379&lt;&gt;"",N379,IF(P379&lt;&gt;"",P379,O379)),설정!$A$15:$D$47,2,0),""))</f>
        <v>AA</v>
      </c>
      <c r="AK379" s="43" t="str">
        <f aca="false">IF(Q379&lt;&gt;1,"",IF(AJ379="","무등급",IFERROR(VLOOKUP(AJ379,설정!$A$15:$D$47,3,0),"무등급")))</f>
        <v>AA이상</v>
      </c>
      <c r="AL379" s="89" t="n">
        <f aca="false">IF(AJ379="",99,IFERROR(VLOOKUP(AJ379,설정!$A$15:$D$47,4,0),99))</f>
        <v>3</v>
      </c>
      <c r="AM379" s="94" t="n">
        <f aca="false">IF(ISNUMBER(H379),AA379*1000000*H379/10000,0)</f>
        <v>871.6787856</v>
      </c>
      <c r="AN379" s="94" t="n">
        <f aca="false">IF(OR(Y379=1,NOT(ISNUMBER(Z379))),0,AA379*1000000*Z379/10000)</f>
        <v>871.6787856</v>
      </c>
      <c r="AO379" s="94" t="n">
        <f aca="false">IF(ISNUMBER(G379),AA379*1000000*G379/100,0)</f>
        <v>157526.302224</v>
      </c>
      <c r="AP379" s="94" t="n">
        <f aca="false">IF(ISNUMBER(M379),M379*K379,0)</f>
        <v>-138252</v>
      </c>
      <c r="AQ379" s="95" t="n">
        <f aca="false">IF(AB379="","",INDEX(시장분석!$AK:$AK,AB379))</f>
        <v>0.322903582710009</v>
      </c>
      <c r="AR379" s="43" t="str">
        <f aca="false">IF(AB379="","-",IF(AB379="","",INDEX(시장분석!$AL:$AL,AB379)))</f>
        <v>Fair</v>
      </c>
      <c r="AS379" s="96" t="n">
        <f aca="false">IF(AB379="","",INDEX(시장분석!$AJ:$AJ,AB379))</f>
        <v>4.42152654476401</v>
      </c>
      <c r="AT379" s="93" t="n">
        <f aca="false">IF(AB379="",0,IF(AB379="","",INDEX(시장분석!$AN:$AN,AB379)))</f>
        <v>7.89339323912156</v>
      </c>
      <c r="AU379" s="94" t="n">
        <f aca="false">IF(ISNUMBER(Z379),AT379/10000*MAX(Z379-1,0)*AA379*1000000,0)</f>
        <v>4523.35939973048</v>
      </c>
      <c r="AV379" s="94" t="n">
        <f aca="false">AO379+AU379</f>
        <v>162049.661623731</v>
      </c>
      <c r="AW379" s="43" t="str">
        <f aca="false">IF(Q379&lt;&gt;1,"",TRIM(IF(AD379=1,"FRN ","")&amp;IF(AND(AL379&gt;=10,AL379&lt;99),"BBB0미만 ","")&amp;IF(AJ379="","등급없음 ","")&amp;IF(K379&lt;&gt;1,"비USD ","")&amp;IF(AND(AB379="",Y379=0),"시장데이터없음 ","")&amp;IF(AND(ISNUMBER(U379),U379&lt;0),"만기경과 ","")))</f>
        <v/>
      </c>
      <c r="AX379" s="90" t="n">
        <f aca="false">IF(Q379&lt;&gt;1,1,IF(스프레드쇼크!$C$4="Y",INDEX(스프레드쇼크!$B$12:$L$16,IFERROR(MATCH(AH379,스프레드쇼크!$A$12:$A$16,0),MATCH("목록외",스프레드쇼크!$A$12:$A$16,0)),IFERROR(MATCH(AG379,스프레드쇼크!$B$11:$L$11,0),MATCH("목록외",스프레드쇼크!$B$11:$L$11,0))),1))</f>
        <v>1</v>
      </c>
      <c r="AY379" s="90" t="n">
        <f aca="false">IF(스프레드쇼크!$C$5="Y",IF(ISNUMBER(AF379),MIN(스프레드쇼크!$C$7,MAX(스프레드쇼크!$C$6,AF379/스프레드쇼크!$C$8)),1),1)</f>
        <v>0.378558213032405</v>
      </c>
      <c r="AZ379" s="94" t="n">
        <f aca="false">AN379*AX379*AY379</f>
        <v>329.981163414993</v>
      </c>
      <c r="BA379" s="90" t="n">
        <f aca="false">IF(ISNUMBER(G379),AA379*G379,0)</f>
        <v>15.7526302224</v>
      </c>
      <c r="BB379" s="90" t="n">
        <f aca="false">IF(ISNUMBER(G379),AA379,0)</f>
        <v>2.986224</v>
      </c>
      <c r="BC379" s="90" t="n">
        <f aca="false">IF(AND(Y379=0,ISNUMBER(AF379)),AA379*AF379,0)</f>
        <v>74.739214272</v>
      </c>
      <c r="BD379" s="90" t="n">
        <f aca="false">IF(AND(Y379=0,ISNUMBER(AF379)),AA379,0)</f>
        <v>2.986224</v>
      </c>
      <c r="BE379" s="90" t="n">
        <f aca="false">IF(ISNUMBER(H379),AA379*H379,0)</f>
        <v>8.716787856</v>
      </c>
      <c r="BF379" s="90" t="n">
        <f aca="false">IF(ISNUMBER(H379),AA379,0)</f>
        <v>2.986224</v>
      </c>
      <c r="BG379" s="90" t="n">
        <f aca="false">IF(AND(Y379=0,ISNUMBER(AF379),ISNUMBER(Z379)),AA379*Z379,0)</f>
        <v>8.716787856</v>
      </c>
      <c r="BH379" s="90" t="n">
        <f aca="false">IF(AND(Y379=0,ISNUMBER(AF379),ISNUMBER(Z379)),AA379*AT379*MAX(Z379-1,0),0)</f>
        <v>45.2335939973048</v>
      </c>
      <c r="BI379" s="90" t="n">
        <f aca="false">IF(Y379=0,AA379,0)</f>
        <v>2.986224</v>
      </c>
    </row>
    <row r="380" customFormat="false" ht="15" hidden="false" customHeight="false" outlineLevel="0" collapsed="false">
      <c r="A380" s="83" t="str">
        <f aca="false">IFERROR(IF(INDEX(원자료_잔고!$A$1:$EZ$1500,설정!$L$5+ROW()-1,설정!$L$8)&amp;""="0","",INDEX(원자료_잔고!$A$1:$EZ$1500,설정!$L$5+ROW()-1,설정!$L$8)&amp;""),"")</f>
        <v>KHFC 5.125 01/21/30</v>
      </c>
      <c r="B380" s="83" t="str">
        <f aca="false">IFERROR(IF(INDEX(원자료_잔고!$A$1:$EZ$1500,설정!$L$5+ROW()-1,설정!$L$7)&amp;""="0","",INDEX(원자료_잔고!$A$1:$EZ$1500,설정!$L$5+ROW()-1,설정!$L$7)&amp;""),"")</f>
        <v>USY4841PAD43</v>
      </c>
      <c r="C380" s="83" t="str">
        <f aca="false">IFERROR(IF(INDEX(원자료_잔고!$A$1:$EZ$1500,설정!$L$5+ROW()-1,설정!$L$9)&amp;""="0","",INDEX(원자료_잔고!$A$1:$EZ$1500,설정!$L$5+ROW()-1,설정!$L$9)&amp;""),"")</f>
        <v>42003</v>
      </c>
      <c r="D38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0" s="84" t="n">
        <f aca="false">IFERROR(IF(ISNUMBER(INDEX(원자료_잔고!$A$1:$EZ$1500,설정!$L$5+ROW()-1,설정!$L$11)),INDEX(원자료_잔고!$A$1:$EZ$1500,설정!$L$5+ROW()-1,설정!$L$11),""),"")</f>
        <v>1000000</v>
      </c>
      <c r="F380" s="85" t="n">
        <f aca="false">IFERROR(IF(ISNUMBER(INDEX(원자료_잔고!$A$1:$EZ$1500,설정!$L$5+ROW()-1,설정!$L$12)),INDEX(원자료_잔고!$A$1:$EZ$1500,설정!$L$5+ROW()-1,설정!$L$12),""),"")</f>
        <v>99.5408</v>
      </c>
      <c r="G380" s="85" t="n">
        <f aca="false">IFERROR(IF(ISNUMBER(INDEX(원자료_잔고!$A$1:$EZ$1500,설정!$L$5+ROW()-1,설정!$L$13)),INDEX(원자료_잔고!$A$1:$EZ$1500,설정!$L$5+ROW()-1,설정!$L$13),""),"")</f>
        <v>5.2751</v>
      </c>
      <c r="H380" s="85" t="n">
        <f aca="false">IFERROR(IF(ISNUMBER(INDEX(원자료_잔고!$A$1:$EZ$1500,설정!$L$5+ROW()-1,설정!$L$14)),INDEX(원자료_잔고!$A$1:$EZ$1500,설정!$L$5+ROW()-1,설정!$L$14),""),"")</f>
        <v>2.919</v>
      </c>
      <c r="I380" s="86" t="n">
        <f aca="false">IFERROR(IF(ISNUMBER(INDEX(원자료_잔고!$A$1:$EZ$1500,설정!$L$5+ROW()-1,설정!$L$15)),INDEX(원자료_잔고!$A$1:$EZ$1500,설정!$L$5+ROW()-1,설정!$L$15),""),"")</f>
        <v>47504</v>
      </c>
      <c r="J380" s="85" t="n">
        <f aca="false">IFERROR(IF(ISNUMBER(INDEX(원자료_잔고!$A$1:$EZ$1500,설정!$L$5+ROW()-1,설정!$L$16)),INDEX(원자료_잔고!$A$1:$EZ$1500,설정!$L$5+ROW()-1,설정!$L$16),""),"")</f>
        <v>5.125</v>
      </c>
      <c r="K380" s="87" t="n">
        <f aca="false">IFERROR(IF(ISNUMBER(INDEX(원자료_잔고!$A$1:$EZ$1500,설정!$L$5+ROW()-1,설정!$L$17)),INDEX(원자료_잔고!$A$1:$EZ$1500,설정!$L$5+ROW()-1,설정!$L$17),""),"")</f>
        <v>1</v>
      </c>
      <c r="L380" s="84" t="n">
        <f aca="false">IFERROR(IF(ISNUMBER(INDEX(원자료_잔고!$A$1:$EZ$1500,설정!$L$5+ROW()-1,설정!$L$18)),INDEX(원자료_잔고!$A$1:$EZ$1500,설정!$L$5+ROW()-1,설정!$L$18),""),"")</f>
        <v>995408</v>
      </c>
      <c r="M380" s="88" t="n">
        <f aca="false">IFERROR(IF(ISNUMBER(INDEX(원자료_잔고!$A$1:$EZ$1500,설정!$L$5+ROW()-1,설정!$L$19)),INDEX(원자료_잔고!$A$1:$EZ$1500,설정!$L$5+ROW()-1,설정!$L$19),""),"")</f>
        <v>-46084</v>
      </c>
      <c r="N380" s="83" t="str">
        <f aca="false">IFERROR(IF(INDEX(원자료_잔고!$A$1:$EZ$1500,설정!$L$5+ROW()-1,설정!$L$21)&amp;""="0","",INDEX(원자료_잔고!$A$1:$EZ$1500,설정!$L$5+ROW()-1,설정!$L$21)&amp;""),"")</f>
        <v>AA</v>
      </c>
      <c r="O380" s="83" t="str">
        <f aca="false">IFERROR(IF(INDEX(원자료_잔고!$A$1:$EZ$1500,설정!$L$5+ROW()-1,설정!$L$22)&amp;""="0","",INDEX(원자료_잔고!$A$1:$EZ$1500,설정!$L$5+ROW()-1,설정!$L$22)&amp;""),"")</f>
        <v/>
      </c>
      <c r="P380" s="83" t="str">
        <f aca="false">IFERROR(IF(INDEX(원자료_잔고!$A$1:$EZ$1500,설정!$L$5+ROW()-1,설정!$L$23)&amp;""="0","",INDEX(원자료_잔고!$A$1:$EZ$1500,설정!$L$5+ROW()-1,설정!$L$23)&amp;""),"")</f>
        <v>AA-</v>
      </c>
      <c r="Q380" s="89" t="n">
        <f aca="false">IF(AND($A380&lt;&gt;"",ISNUMBER(E380)),IF(E380&gt;0,1,0),0)</f>
        <v>1</v>
      </c>
      <c r="R380" s="43" t="str">
        <f aca="false">IF(Q380=1,UPPER(LEFT($A380,FIND(" ",$A380&amp;" ")-1)),"")</f>
        <v>KHFC</v>
      </c>
      <c r="S380" s="89" t="n">
        <f aca="false">IF(Q380=1,IF(OR(ISNUMBER(SEARCH("Float",$A380)),ISNUMBER(SEARCH("FRN",$A380))),1,0),0)</f>
        <v>0</v>
      </c>
      <c r="T380" s="43" t="str">
        <f aca="false">IF(AND(Q380=1,ISNUMBER(I380)),TEXT(I380,"yyyymmdd")&amp;"|"&amp;IF(S380=1,"F",TEXT(J380,"0.000")),"")</f>
        <v>20300121|5.125</v>
      </c>
      <c r="U380" s="90" t="n">
        <f aca="false">IF(AND(Q380=1,ISNUMBER(I380)),(I380-설정!$C$4)/365.25,"")</f>
        <v>3.30732375085558</v>
      </c>
      <c r="V380" s="43" t="str">
        <f aca="false">IF(Q380&lt;&gt;1,"",IF(ISNUMBER(U380),IF(U380&lt;=1,"1년 이하",IF(U380&lt;=2,"1-2년",IF(U380&lt;=3,"2-3년",IF(U380&lt;=4,"3-4년",IF(U380&lt;=5,"4-5년",IF(U380&lt;=7,"5-7년",IF(U380&lt;=10,"7-10년",IF(U380&lt;=20,"10-20년","20년 이상")))))))),"미분류"))</f>
        <v>3-4년</v>
      </c>
      <c r="W380" s="43" t="str">
        <f aca="false">IF(Q380&lt;&gt;1,"",IF(AB380&lt;&gt;"",INDEX(시장분석!$C:$C,AB380),IF(K380=1,"USD","비USD")))</f>
        <v>USD</v>
      </c>
      <c r="X380" s="91" t="n">
        <f aca="false">IF(Q380=1,E380*K380/1000000,0)</f>
        <v>1</v>
      </c>
      <c r="Y380" s="89" t="n">
        <f aca="false">IF(R380="T",1,0)</f>
        <v>0</v>
      </c>
      <c r="Z380" s="92" t="n">
        <f aca="false">IF(Q380&lt;&gt;1,"",IF(AD380=1,IF(ISNUMBER(U380),MAX(U380,0),H380),H380))</f>
        <v>2.919</v>
      </c>
      <c r="AA380" s="91" t="n">
        <f aca="false">IF(Q380=1,IF(ISNUMBER(L380),L380,0)*K380/1000000,0)</f>
        <v>0.995408</v>
      </c>
      <c r="AB380" s="89" t="n">
        <f aca="false">IF(Q380&lt;&gt;1,"",IFERROR(MATCH(VLOOKUP(B380,매핑!$H$4:$I$15,2,0),시장분석!$A$2:$A$601,0)+1,IFERROR(MATCH(R380&amp;"|"&amp;T380,시장분석!$V$2:$V$601,0)+1,IF(COUNTIF(시장분석!$U$2:$U$601,T380)=1,MATCH(T380,시장분석!$U$2:$U$601,0)+1,""))))</f>
        <v>158</v>
      </c>
      <c r="AC380" s="89" t="n">
        <f aca="false">IF(Q380&lt;&gt;1,0,IF(OR(설정!$C$5="전체",AND(설정!$C$5="선택펀드",IFERROR(COUNTIFS(설정!$F$16:$F$36,C380,설정!$G$16:$G$36,"Y")+COUNTIFS(설정!$F$16:$F$36,VALUE(C380),설정!$G$16:$G$36,"Y"),0)&gt;0),C380&amp;""=설정!$C$5&amp;""),1,0))</f>
        <v>0</v>
      </c>
      <c r="AD380" s="89" t="n">
        <f aca="false">IF(Q380&lt;&gt;1,0,IF(OR(S380=1,IF(AB380="",FALSE(),INDEX(시장분석!$R:$R,AB380)=1)),1,0))</f>
        <v>0</v>
      </c>
      <c r="AE380" s="43" t="str">
        <f aca="false">IF(AB380="","",INDEX(시장분석!$A:$A,AB380))</f>
        <v>KHFC 5 1/8 01/21/30</v>
      </c>
      <c r="AF380" s="93" t="n">
        <f aca="false">IF(AB380="","",IF(ISNUMBER(IF(AB380="","",INDEX(시장분석!$E:$E,AB380))),IF(AB380="","",INDEX(시장분석!$E:$E,AB380)),""))</f>
        <v>25.028</v>
      </c>
      <c r="AG380" s="43" t="str">
        <f aca="false">IF(Q380&lt;&gt;1,"",IF(AB380&lt;&gt;"",IF(AB380="","",INDEX(시장분석!$L:$L,AB380)),IFERROR(IF(VLOOKUP(R380,매핑!$A$4:$E$92,5,0)="","미분류",VLOOKUP(R380,매핑!$A$4:$E$92,5,0)),"미분류")))</f>
        <v>정부</v>
      </c>
      <c r="AH380" s="43" t="str">
        <f aca="false">IF(Q380&lt;&gt;1,"",IF(AB380&lt;&gt;"",IF(AB380="","",INDEX(시장분석!$N:$N,AB380)),IFERROR(IF(VLOOKUP(R380,매핑!$A$4:$E$92,4,0)="","미분류",VLOOKUP(R380,매핑!$A$4:$E$92,4,0)),"미분류")))</f>
        <v>아시아/기타</v>
      </c>
      <c r="AI380" s="43" t="str">
        <f aca="false">IF(Q380&lt;&gt;1,"",IFERROR(IF(VLOOKUP(R380,매핑!$A$4:$E$92,3,0)="","미분류",VLOOKUP(R380,매핑!$A$4:$E$92,3,0)),IF(AB380&lt;&gt;"",IF(AB380="","",INDEX(시장분석!$W:$W,AB380)),"미분류")))</f>
        <v>한국</v>
      </c>
      <c r="AJ380" s="43" t="str">
        <f aca="false">IF(Q380&lt;&gt;1,"",IFERROR(VLOOKUP(IF(N380&lt;&gt;"",N380,IF(P380&lt;&gt;"",P380,O380)),설정!$A$15:$D$47,2,0),""))</f>
        <v>AA</v>
      </c>
      <c r="AK380" s="43" t="str">
        <f aca="false">IF(Q380&lt;&gt;1,"",IF(AJ380="","무등급",IFERROR(VLOOKUP(AJ380,설정!$A$15:$D$47,3,0),"무등급")))</f>
        <v>AA이상</v>
      </c>
      <c r="AL380" s="89" t="n">
        <f aca="false">IF(AJ380="",99,IFERROR(VLOOKUP(AJ380,설정!$A$15:$D$47,4,0),99))</f>
        <v>3</v>
      </c>
      <c r="AM380" s="94" t="n">
        <f aca="false">IF(ISNUMBER(H380),AA380*1000000*H380/10000,0)</f>
        <v>290.5595952</v>
      </c>
      <c r="AN380" s="94" t="n">
        <f aca="false">IF(OR(Y380=1,NOT(ISNUMBER(Z380))),0,AA380*1000000*Z380/10000)</f>
        <v>290.5595952</v>
      </c>
      <c r="AO380" s="94" t="n">
        <f aca="false">IF(ISNUMBER(G380),AA380*1000000*G380/100,0)</f>
        <v>52508.767408</v>
      </c>
      <c r="AP380" s="94" t="n">
        <f aca="false">IF(ISNUMBER(M380),M380*K380,0)</f>
        <v>-46084</v>
      </c>
      <c r="AQ380" s="95" t="n">
        <f aca="false">IF(AB380="","",INDEX(시장분석!$AK:$AK,AB380))</f>
        <v>0.322903582710009</v>
      </c>
      <c r="AR380" s="43" t="str">
        <f aca="false">IF(AB380="","-",IF(AB380="","",INDEX(시장분석!$AL:$AL,AB380)))</f>
        <v>Fair</v>
      </c>
      <c r="AS380" s="96" t="n">
        <f aca="false">IF(AB380="","",INDEX(시장분석!$AJ:$AJ,AB380))</f>
        <v>4.42152654476401</v>
      </c>
      <c r="AT380" s="93" t="n">
        <f aca="false">IF(AB380="",0,IF(AB380="","",INDEX(시장분석!$AN:$AN,AB380)))</f>
        <v>7.89339323912156</v>
      </c>
      <c r="AU380" s="94" t="n">
        <f aca="false">IF(ISNUMBER(Z380),AT380/10000*MAX(Z380-1,0)*AA380*1000000,0)</f>
        <v>1507.78646657683</v>
      </c>
      <c r="AV380" s="94" t="n">
        <f aca="false">AO380+AU380</f>
        <v>54016.5538745768</v>
      </c>
      <c r="AW380" s="43" t="str">
        <f aca="false">IF(Q380&lt;&gt;1,"",TRIM(IF(AD380=1,"FRN ","")&amp;IF(AND(AL380&gt;=10,AL380&lt;99),"BBB0미만 ","")&amp;IF(AJ380="","등급없음 ","")&amp;IF(K380&lt;&gt;1,"비USD ","")&amp;IF(AND(AB380="",Y380=0),"시장데이터없음 ","")&amp;IF(AND(ISNUMBER(U380),U380&lt;0),"만기경과 ","")))</f>
        <v/>
      </c>
      <c r="AX380" s="90" t="n">
        <f aca="false">IF(Q380&lt;&gt;1,1,IF(스프레드쇼크!$C$4="Y",INDEX(스프레드쇼크!$B$12:$L$16,IFERROR(MATCH(AH380,스프레드쇼크!$A$12:$A$16,0),MATCH("목록외",스프레드쇼크!$A$12:$A$16,0)),IFERROR(MATCH(AG380,스프레드쇼크!$B$11:$L$11,0),MATCH("목록외",스프레드쇼크!$B$11:$L$11,0))),1))</f>
        <v>1</v>
      </c>
      <c r="AY380" s="90" t="n">
        <f aca="false">IF(스프레드쇼크!$C$5="Y",IF(ISNUMBER(AF380),MIN(스프레드쇼크!$C$7,MAX(스프레드쇼크!$C$6,AF380/스프레드쇼크!$C$8)),1),1)</f>
        <v>0.378558213032405</v>
      </c>
      <c r="AZ380" s="94" t="n">
        <f aca="false">AN380*AX380*AY380</f>
        <v>109.993721138331</v>
      </c>
      <c r="BA380" s="90" t="n">
        <f aca="false">IF(ISNUMBER(G380),AA380*G380,0)</f>
        <v>5.2508767408</v>
      </c>
      <c r="BB380" s="90" t="n">
        <f aca="false">IF(ISNUMBER(G380),AA380,0)</f>
        <v>0.995408</v>
      </c>
      <c r="BC380" s="90" t="n">
        <f aca="false">IF(AND(Y380=0,ISNUMBER(AF380)),AA380*AF380,0)</f>
        <v>24.913071424</v>
      </c>
      <c r="BD380" s="90" t="n">
        <f aca="false">IF(AND(Y380=0,ISNUMBER(AF380)),AA380,0)</f>
        <v>0.995408</v>
      </c>
      <c r="BE380" s="90" t="n">
        <f aca="false">IF(ISNUMBER(H380),AA380*H380,0)</f>
        <v>2.905595952</v>
      </c>
      <c r="BF380" s="90" t="n">
        <f aca="false">IF(ISNUMBER(H380),AA380,0)</f>
        <v>0.995408</v>
      </c>
      <c r="BG380" s="90" t="n">
        <f aca="false">IF(AND(Y380=0,ISNUMBER(AF380),ISNUMBER(Z380)),AA380*Z380,0)</f>
        <v>2.905595952</v>
      </c>
      <c r="BH380" s="90" t="n">
        <f aca="false">IF(AND(Y380=0,ISNUMBER(AF380),ISNUMBER(Z380)),AA380*AT380*MAX(Z380-1,0),0)</f>
        <v>15.0778646657683</v>
      </c>
      <c r="BI380" s="90" t="n">
        <f aca="false">IF(Y380=0,AA380,0)</f>
        <v>0.995408</v>
      </c>
    </row>
    <row r="381" customFormat="false" ht="15" hidden="false" customHeight="false" outlineLevel="0" collapsed="false">
      <c r="A381" s="83" t="str">
        <f aca="false">IFERROR(IF(INDEX(원자료_잔고!$A$1:$EZ$1500,설정!$L$5+ROW()-1,설정!$L$8)&amp;""="0","",INDEX(원자료_잔고!$A$1:$EZ$1500,설정!$L$5+ROW()-1,설정!$L$8)&amp;""),"")</f>
        <v>KHFC 3.875 09/17/30</v>
      </c>
      <c r="B381" s="83" t="str">
        <f aca="false">IFERROR(IF(INDEX(원자료_잔고!$A$1:$EZ$1500,설정!$L$5+ROW()-1,설정!$L$7)&amp;""="0","",INDEX(원자료_잔고!$A$1:$EZ$1500,설정!$L$5+ROW()-1,설정!$L$7)&amp;""),"")</f>
        <v>USY4841PAG73</v>
      </c>
      <c r="C381" s="83" t="str">
        <f aca="false">IFERROR(IF(INDEX(원자료_잔고!$A$1:$EZ$1500,설정!$L$5+ROW()-1,설정!$L$9)&amp;""="0","",INDEX(원자료_잔고!$A$1:$EZ$1500,설정!$L$5+ROW()-1,설정!$L$9)&amp;""),"")</f>
        <v>42003</v>
      </c>
      <c r="D38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1" s="84" t="n">
        <f aca="false">IFERROR(IF(ISNUMBER(INDEX(원자료_잔고!$A$1:$EZ$1500,설정!$L$5+ROW()-1,설정!$L$11)),INDEX(원자료_잔고!$A$1:$EZ$1500,설정!$L$5+ROW()-1,설정!$L$11),""),"")</f>
        <v>3500000</v>
      </c>
      <c r="F381" s="85" t="n">
        <f aca="false">IFERROR(IF(ISNUMBER(INDEX(원자료_잔고!$A$1:$EZ$1500,설정!$L$5+ROW()-1,설정!$L$12)),INDEX(원자료_잔고!$A$1:$EZ$1500,설정!$L$5+ROW()-1,설정!$L$12),""),"")</f>
        <v>94.933</v>
      </c>
      <c r="G381" s="85" t="n">
        <f aca="false">IFERROR(IF(ISNUMBER(INDEX(원자료_잔고!$A$1:$EZ$1500,설정!$L$5+ROW()-1,설정!$L$13)),INDEX(원자료_잔고!$A$1:$EZ$1500,설정!$L$5+ROW()-1,설정!$L$13),""),"")</f>
        <v>5.3083</v>
      </c>
      <c r="H381" s="85" t="n">
        <f aca="false">IFERROR(IF(ISNUMBER(INDEX(원자료_잔고!$A$1:$EZ$1500,설정!$L$5+ROW()-1,설정!$L$14)),INDEX(원자료_잔고!$A$1:$EZ$1500,설정!$L$5+ROW()-1,설정!$L$14),""),"")</f>
        <v>3.5397</v>
      </c>
      <c r="I381" s="86" t="n">
        <f aca="false">IFERROR(IF(ISNUMBER(INDEX(원자료_잔고!$A$1:$EZ$1500,설정!$L$5+ROW()-1,설정!$L$15)),INDEX(원자료_잔고!$A$1:$EZ$1500,설정!$L$5+ROW()-1,설정!$L$15),""),"")</f>
        <v>47743</v>
      </c>
      <c r="J381" s="85" t="n">
        <f aca="false">IFERROR(IF(ISNUMBER(INDEX(원자료_잔고!$A$1:$EZ$1500,설정!$L$5+ROW()-1,설정!$L$16)),INDEX(원자료_잔고!$A$1:$EZ$1500,설정!$L$5+ROW()-1,설정!$L$16),""),"")</f>
        <v>3.875</v>
      </c>
      <c r="K381" s="87" t="n">
        <f aca="false">IFERROR(IF(ISNUMBER(INDEX(원자료_잔고!$A$1:$EZ$1500,설정!$L$5+ROW()-1,설정!$L$17)),INDEX(원자료_잔고!$A$1:$EZ$1500,설정!$L$5+ROW()-1,설정!$L$17),""),"")</f>
        <v>1</v>
      </c>
      <c r="L381" s="84" t="n">
        <f aca="false">IFERROR(IF(ISNUMBER(INDEX(원자료_잔고!$A$1:$EZ$1500,설정!$L$5+ROW()-1,설정!$L$18)),INDEX(원자료_잔고!$A$1:$EZ$1500,설정!$L$5+ROW()-1,설정!$L$18),""),"")</f>
        <v>3322655</v>
      </c>
      <c r="M381" s="88" t="n">
        <f aca="false">IFERROR(IF(ISNUMBER(INDEX(원자료_잔고!$A$1:$EZ$1500,설정!$L$5+ROW()-1,설정!$L$19)),INDEX(원자료_잔고!$A$1:$EZ$1500,설정!$L$5+ROW()-1,설정!$L$19),""),"")</f>
        <v>-159299</v>
      </c>
      <c r="N381" s="83" t="str">
        <f aca="false">IFERROR(IF(INDEX(원자료_잔고!$A$1:$EZ$1500,설정!$L$5+ROW()-1,설정!$L$21)&amp;""="0","",INDEX(원자료_잔고!$A$1:$EZ$1500,설정!$L$5+ROW()-1,설정!$L$21)&amp;""),"")</f>
        <v>AA</v>
      </c>
      <c r="O381" s="83" t="str">
        <f aca="false">IFERROR(IF(INDEX(원자료_잔고!$A$1:$EZ$1500,설정!$L$5+ROW()-1,설정!$L$22)&amp;""="0","",INDEX(원자료_잔고!$A$1:$EZ$1500,설정!$L$5+ROW()-1,설정!$L$22)&amp;""),"")</f>
        <v/>
      </c>
      <c r="P381" s="83" t="str">
        <f aca="false">IFERROR(IF(INDEX(원자료_잔고!$A$1:$EZ$1500,설정!$L$5+ROW()-1,설정!$L$23)&amp;""="0","",INDEX(원자료_잔고!$A$1:$EZ$1500,설정!$L$5+ROW()-1,설정!$L$23)&amp;""),"")</f>
        <v>AAA</v>
      </c>
      <c r="Q381" s="89" t="n">
        <f aca="false">IF(AND($A381&lt;&gt;"",ISNUMBER(E381)),IF(E381&gt;0,1,0),0)</f>
        <v>1</v>
      </c>
      <c r="R381" s="43" t="str">
        <f aca="false">IF(Q381=1,UPPER(LEFT($A381,FIND(" ",$A381&amp;" ")-1)),"")</f>
        <v>KHFC</v>
      </c>
      <c r="S381" s="89" t="n">
        <f aca="false">IF(Q381=1,IF(OR(ISNUMBER(SEARCH("Float",$A381)),ISNUMBER(SEARCH("FRN",$A381))),1,0),0)</f>
        <v>0</v>
      </c>
      <c r="T381" s="43" t="str">
        <f aca="false">IF(AND(Q381=1,ISNUMBER(I381)),TEXT(I381,"yyyymmdd")&amp;"|"&amp;IF(S381=1,"F",TEXT(J381,"0.000")),"")</f>
        <v>20300917|3.875</v>
      </c>
      <c r="U381" s="90" t="n">
        <f aca="false">IF(AND(Q381=1,ISNUMBER(I381)),(I381-설정!$C$4)/365.25,"")</f>
        <v>3.96167008898015</v>
      </c>
      <c r="V381" s="43" t="str">
        <f aca="false">IF(Q381&lt;&gt;1,"",IF(ISNUMBER(U381),IF(U381&lt;=1,"1년 이하",IF(U381&lt;=2,"1-2년",IF(U381&lt;=3,"2-3년",IF(U381&lt;=4,"3-4년",IF(U381&lt;=5,"4-5년",IF(U381&lt;=7,"5-7년",IF(U381&lt;=10,"7-10년",IF(U381&lt;=20,"10-20년","20년 이상")))))))),"미분류"))</f>
        <v>3-4년</v>
      </c>
      <c r="W381" s="43" t="str">
        <f aca="false">IF(Q381&lt;&gt;1,"",IF(AB381&lt;&gt;"",INDEX(시장분석!$C:$C,AB381),IF(K381=1,"USD","비USD")))</f>
        <v>USD</v>
      </c>
      <c r="X381" s="91" t="n">
        <f aca="false">IF(Q381=1,E381*K381/1000000,0)</f>
        <v>3.5</v>
      </c>
      <c r="Y381" s="89" t="n">
        <f aca="false">IF(R381="T",1,0)</f>
        <v>0</v>
      </c>
      <c r="Z381" s="92" t="n">
        <f aca="false">IF(Q381&lt;&gt;1,"",IF(AD381=1,IF(ISNUMBER(U381),MAX(U381,0),H381),H381))</f>
        <v>3.5397</v>
      </c>
      <c r="AA381" s="91" t="n">
        <f aca="false">IF(Q381=1,IF(ISNUMBER(L381),L381,0)*K381/1000000,0)</f>
        <v>3.322655</v>
      </c>
      <c r="AB381" s="89" t="n">
        <f aca="false">IF(Q381&lt;&gt;1,"",IFERROR(MATCH(VLOOKUP(B381,매핑!$H$4:$I$15,2,0),시장분석!$A$2:$A$601,0)+1,IFERROR(MATCH(R381&amp;"|"&amp;T381,시장분석!$V$2:$V$601,0)+1,IF(COUNTIF(시장분석!$U$2:$U$601,T381)=1,MATCH(T381,시장분석!$U$2:$U$601,0)+1,""))))</f>
        <v>159</v>
      </c>
      <c r="AC381" s="89" t="n">
        <f aca="false">IF(Q381&lt;&gt;1,0,IF(OR(설정!$C$5="전체",AND(설정!$C$5="선택펀드",IFERROR(COUNTIFS(설정!$F$16:$F$36,C381,설정!$G$16:$G$36,"Y")+COUNTIFS(설정!$F$16:$F$36,VALUE(C381),설정!$G$16:$G$36,"Y"),0)&gt;0),C381&amp;""=설정!$C$5&amp;""),1,0))</f>
        <v>0</v>
      </c>
      <c r="AD381" s="89" t="n">
        <f aca="false">IF(Q381&lt;&gt;1,0,IF(OR(S381=1,IF(AB381="",FALSE(),INDEX(시장분석!$R:$R,AB381)=1)),1,0))</f>
        <v>0</v>
      </c>
      <c r="AE381" s="43" t="str">
        <f aca="false">IF(AB381="","",INDEX(시장분석!$A:$A,AB381))</f>
        <v>KHFC 3 7/8 09/17/30</v>
      </c>
      <c r="AF381" s="93" t="n">
        <f aca="false">IF(AB381="","",IF(ISNUMBER(IF(AB381="","",INDEX(시장분석!$E:$E,AB381))),IF(AB381="","",INDEX(시장분석!$E:$E,AB381)),""))</f>
        <v>20.575</v>
      </c>
      <c r="AG381" s="43" t="str">
        <f aca="false">IF(Q381&lt;&gt;1,"",IF(AB381&lt;&gt;"",IF(AB381="","",INDEX(시장분석!$L:$L,AB381)),IFERROR(IF(VLOOKUP(R381,매핑!$A$4:$E$92,5,0)="","미분류",VLOOKUP(R381,매핑!$A$4:$E$92,5,0)),"미분류")))</f>
        <v>정부</v>
      </c>
      <c r="AH381" s="43" t="str">
        <f aca="false">IF(Q381&lt;&gt;1,"",IF(AB381&lt;&gt;"",IF(AB381="","",INDEX(시장분석!$N:$N,AB381)),IFERROR(IF(VLOOKUP(R381,매핑!$A$4:$E$92,4,0)="","미분류",VLOOKUP(R381,매핑!$A$4:$E$92,4,0)),"미분류")))</f>
        <v>아시아/기타</v>
      </c>
      <c r="AI381" s="43" t="str">
        <f aca="false">IF(Q381&lt;&gt;1,"",IFERROR(IF(VLOOKUP(R381,매핑!$A$4:$E$92,3,0)="","미분류",VLOOKUP(R381,매핑!$A$4:$E$92,3,0)),IF(AB381&lt;&gt;"",IF(AB381="","",INDEX(시장분석!$W:$W,AB381)),"미분류")))</f>
        <v>한국</v>
      </c>
      <c r="AJ381" s="43" t="str">
        <f aca="false">IF(Q381&lt;&gt;1,"",IFERROR(VLOOKUP(IF(N381&lt;&gt;"",N381,IF(P381&lt;&gt;"",P381,O381)),설정!$A$15:$D$47,2,0),""))</f>
        <v>AA</v>
      </c>
      <c r="AK381" s="43" t="str">
        <f aca="false">IF(Q381&lt;&gt;1,"",IF(AJ381="","무등급",IFERROR(VLOOKUP(AJ381,설정!$A$15:$D$47,3,0),"무등급")))</f>
        <v>AA이상</v>
      </c>
      <c r="AL381" s="89" t="n">
        <f aca="false">IF(AJ381="",99,IFERROR(VLOOKUP(AJ381,설정!$A$15:$D$47,4,0),99))</f>
        <v>3</v>
      </c>
      <c r="AM381" s="94" t="n">
        <f aca="false">IF(ISNUMBER(H381),AA381*1000000*H381/10000,0)</f>
        <v>1176.12019035</v>
      </c>
      <c r="AN381" s="94" t="n">
        <f aca="false">IF(OR(Y381=1,NOT(ISNUMBER(Z381))),0,AA381*1000000*Z381/10000)</f>
        <v>1176.12019035</v>
      </c>
      <c r="AO381" s="94" t="n">
        <f aca="false">IF(ISNUMBER(G381),AA381*1000000*G381/100,0)</f>
        <v>176376.495365</v>
      </c>
      <c r="AP381" s="94" t="n">
        <f aca="false">IF(ISNUMBER(M381),M381*K381,0)</f>
        <v>-159299</v>
      </c>
      <c r="AQ381" s="95" t="n">
        <f aca="false">IF(AB381="","",INDEX(시장분석!$AK:$AK,AB381))</f>
        <v>-0.280249004207258</v>
      </c>
      <c r="AR381" s="43" t="str">
        <f aca="false">IF(AB381="","-",IF(AB381="","",INDEX(시장분석!$AL:$AL,AB381)))</f>
        <v>Fair</v>
      </c>
      <c r="AS381" s="96" t="n">
        <f aca="false">IF(AB381="","",INDEX(시장분석!$AJ:$AJ,AB381))</f>
        <v>-3.83745637272443</v>
      </c>
      <c r="AT381" s="93" t="n">
        <f aca="false">IF(AB381="",0,IF(AB381="","",INDEX(시장분석!$AN:$AN,AB381)))</f>
        <v>6.27182792780708</v>
      </c>
      <c r="AU381" s="94" t="n">
        <f aca="false">IF(ISNUMBER(Z381),AT381/10000*MAX(Z381-1,0)*AA381*1000000,0)</f>
        <v>5292.51141394813</v>
      </c>
      <c r="AV381" s="94" t="n">
        <f aca="false">AO381+AU381</f>
        <v>181669.006778948</v>
      </c>
      <c r="AW381" s="43" t="str">
        <f aca="false">IF(Q381&lt;&gt;1,"",TRIM(IF(AD381=1,"FRN ","")&amp;IF(AND(AL381&gt;=10,AL381&lt;99),"BBB0미만 ","")&amp;IF(AJ381="","등급없음 ","")&amp;IF(K381&lt;&gt;1,"비USD ","")&amp;IF(AND(AB381="",Y381=0),"시장데이터없음 ","")&amp;IF(AND(ISNUMBER(U381),U381&lt;0),"만기경과 ","")))</f>
        <v/>
      </c>
      <c r="AX381" s="90" t="n">
        <f aca="false">IF(Q381&lt;&gt;1,1,IF(스프레드쇼크!$C$4="Y",INDEX(스프레드쇼크!$B$12:$L$16,IFERROR(MATCH(AH381,스프레드쇼크!$A$12:$A$16,0),MATCH("목록외",스프레드쇼크!$A$12:$A$16,0)),IFERROR(MATCH(AG381,스프레드쇼크!$B$11:$L$11,0),MATCH("목록외",스프레드쇼크!$B$11:$L$11,0))),1))</f>
        <v>1</v>
      </c>
      <c r="AY381" s="90" t="n">
        <f aca="false">IF(스프레드쇼크!$C$5="Y",IF(ISNUMBER(AF381),MIN(스프레드쇼크!$C$7,MAX(스프레드쇼크!$C$6,AF381/스프레드쇼크!$C$8)),1),1)</f>
        <v>0.311204859882601</v>
      </c>
      <c r="AZ381" s="94" t="n">
        <f aca="false">AN381*AX381*AY381</f>
        <v>366.01431904297</v>
      </c>
      <c r="BA381" s="90" t="n">
        <f aca="false">IF(ISNUMBER(G381),AA381*G381,0)</f>
        <v>17.6376495365</v>
      </c>
      <c r="BB381" s="90" t="n">
        <f aca="false">IF(ISNUMBER(G381),AA381,0)</f>
        <v>3.322655</v>
      </c>
      <c r="BC381" s="90" t="n">
        <f aca="false">IF(AND(Y381=0,ISNUMBER(AF381)),AA381*AF381,0)</f>
        <v>68.363626625</v>
      </c>
      <c r="BD381" s="90" t="n">
        <f aca="false">IF(AND(Y381=0,ISNUMBER(AF381)),AA381,0)</f>
        <v>3.322655</v>
      </c>
      <c r="BE381" s="90" t="n">
        <f aca="false">IF(ISNUMBER(H381),AA381*H381,0)</f>
        <v>11.7612019035</v>
      </c>
      <c r="BF381" s="90" t="n">
        <f aca="false">IF(ISNUMBER(H381),AA381,0)</f>
        <v>3.322655</v>
      </c>
      <c r="BG381" s="90" t="n">
        <f aca="false">IF(AND(Y381=0,ISNUMBER(AF381),ISNUMBER(Z381)),AA381*Z381,0)</f>
        <v>11.7612019035</v>
      </c>
      <c r="BH381" s="90" t="n">
        <f aca="false">IF(AND(Y381=0,ISNUMBER(AF381),ISNUMBER(Z381)),AA381*AT381*MAX(Z381-1,0),0)</f>
        <v>52.9251141394813</v>
      </c>
      <c r="BI381" s="90" t="n">
        <f aca="false">IF(Y381=0,AA381,0)</f>
        <v>3.322655</v>
      </c>
    </row>
    <row r="382" customFormat="false" ht="15" hidden="false" customHeight="false" outlineLevel="0" collapsed="false">
      <c r="A382" s="83" t="str">
        <f aca="false">IFERROR(IF(INDEX(원자료_잔고!$A$1:$EZ$1500,설정!$L$5+ROW()-1,설정!$L$8)&amp;""="0","",INDEX(원자료_잔고!$A$1:$EZ$1500,설정!$L$5+ROW()-1,설정!$L$8)&amp;""),"")</f>
        <v>KHFC 3.875 01/15/31</v>
      </c>
      <c r="B382" s="83" t="str">
        <f aca="false">IFERROR(IF(INDEX(원자료_잔고!$A$1:$EZ$1500,설정!$L$5+ROW()-1,설정!$L$7)&amp;""="0","",INDEX(원자료_잔고!$A$1:$EZ$1500,설정!$L$5+ROW()-1,설정!$L$7)&amp;""),"")</f>
        <v>USY4841PAK85</v>
      </c>
      <c r="C382" s="83" t="str">
        <f aca="false">IFERROR(IF(INDEX(원자료_잔고!$A$1:$EZ$1500,설정!$L$5+ROW()-1,설정!$L$9)&amp;""="0","",INDEX(원자료_잔고!$A$1:$EZ$1500,설정!$L$5+ROW()-1,설정!$L$9)&amp;""),"")</f>
        <v>42003</v>
      </c>
      <c r="D38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2" s="84" t="n">
        <f aca="false">IFERROR(IF(ISNUMBER(INDEX(원자료_잔고!$A$1:$EZ$1500,설정!$L$5+ROW()-1,설정!$L$11)),INDEX(원자료_잔고!$A$1:$EZ$1500,설정!$L$5+ROW()-1,설정!$L$11),""),"")</f>
        <v>6000000</v>
      </c>
      <c r="F382" s="85" t="n">
        <f aca="false">IFERROR(IF(ISNUMBER(INDEX(원자료_잔고!$A$1:$EZ$1500,설정!$L$5+ROW()-1,설정!$L$12)),INDEX(원자료_잔고!$A$1:$EZ$1500,설정!$L$5+ROW()-1,설정!$L$12),""),"")</f>
        <v>94.4631</v>
      </c>
      <c r="G382" s="85" t="n">
        <f aca="false">IFERROR(IF(ISNUMBER(INDEX(원자료_잔고!$A$1:$EZ$1500,설정!$L$5+ROW()-1,설정!$L$13)),INDEX(원자료_잔고!$A$1:$EZ$1500,설정!$L$5+ROW()-1,설정!$L$13),""),"")</f>
        <v>5.3332</v>
      </c>
      <c r="H382" s="85" t="n">
        <f aca="false">IFERROR(IF(ISNUMBER(INDEX(원자료_잔고!$A$1:$EZ$1500,설정!$L$5+ROW()-1,설정!$L$14)),INDEX(원자료_잔고!$A$1:$EZ$1500,설정!$L$5+ROW()-1,설정!$L$14),""),"")</f>
        <v>3.7746</v>
      </c>
      <c r="I382" s="86" t="n">
        <f aca="false">IFERROR(IF(ISNUMBER(INDEX(원자료_잔고!$A$1:$EZ$1500,설정!$L$5+ROW()-1,설정!$L$15)),INDEX(원자료_잔고!$A$1:$EZ$1500,설정!$L$5+ROW()-1,설정!$L$15),""),"")</f>
        <v>47863</v>
      </c>
      <c r="J382" s="85" t="n">
        <f aca="false">IFERROR(IF(ISNUMBER(INDEX(원자료_잔고!$A$1:$EZ$1500,설정!$L$5+ROW()-1,설정!$L$16)),INDEX(원자료_잔고!$A$1:$EZ$1500,설정!$L$5+ROW()-1,설정!$L$16),""),"")</f>
        <v>3.875</v>
      </c>
      <c r="K382" s="87" t="n">
        <f aca="false">IFERROR(IF(ISNUMBER(INDEX(원자료_잔고!$A$1:$EZ$1500,설정!$L$5+ROW()-1,설정!$L$17)),INDEX(원자료_잔고!$A$1:$EZ$1500,설정!$L$5+ROW()-1,설정!$L$17),""),"")</f>
        <v>1</v>
      </c>
      <c r="L382" s="84" t="n">
        <f aca="false">IFERROR(IF(ISNUMBER(INDEX(원자료_잔고!$A$1:$EZ$1500,설정!$L$5+ROW()-1,설정!$L$18)),INDEX(원자료_잔고!$A$1:$EZ$1500,설정!$L$5+ROW()-1,설정!$L$18),""),"")</f>
        <v>5667786</v>
      </c>
      <c r="M382" s="88" t="n">
        <f aca="false">IFERROR(IF(ISNUMBER(INDEX(원자료_잔고!$A$1:$EZ$1500,설정!$L$5+ROW()-1,설정!$L$19)),INDEX(원자료_잔고!$A$1:$EZ$1500,설정!$L$5+ROW()-1,설정!$L$19),""),"")</f>
        <v>-273174</v>
      </c>
      <c r="N382" s="83" t="str">
        <f aca="false">IFERROR(IF(INDEX(원자료_잔고!$A$1:$EZ$1500,설정!$L$5+ROW()-1,설정!$L$21)&amp;""="0","",INDEX(원자료_잔고!$A$1:$EZ$1500,설정!$L$5+ROW()-1,설정!$L$21)&amp;""),"")</f>
        <v>AA</v>
      </c>
      <c r="O382" s="83" t="str">
        <f aca="false">IFERROR(IF(INDEX(원자료_잔고!$A$1:$EZ$1500,설정!$L$5+ROW()-1,설정!$L$22)&amp;""="0","",INDEX(원자료_잔고!$A$1:$EZ$1500,설정!$L$5+ROW()-1,설정!$L$22)&amp;""),"")</f>
        <v/>
      </c>
      <c r="P382" s="83" t="str">
        <f aca="false">IFERROR(IF(INDEX(원자료_잔고!$A$1:$EZ$1500,설정!$L$5+ROW()-1,설정!$L$23)&amp;""="0","",INDEX(원자료_잔고!$A$1:$EZ$1500,설정!$L$5+ROW()-1,설정!$L$23)&amp;""),"")</f>
        <v>AA</v>
      </c>
      <c r="Q382" s="89" t="n">
        <f aca="false">IF(AND($A382&lt;&gt;"",ISNUMBER(E382)),IF(E382&gt;0,1,0),0)</f>
        <v>1</v>
      </c>
      <c r="R382" s="43" t="str">
        <f aca="false">IF(Q382=1,UPPER(LEFT($A382,FIND(" ",$A382&amp;" ")-1)),"")</f>
        <v>KHFC</v>
      </c>
      <c r="S382" s="89" t="n">
        <f aca="false">IF(Q382=1,IF(OR(ISNUMBER(SEARCH("Float",$A382)),ISNUMBER(SEARCH("FRN",$A382))),1,0),0)</f>
        <v>0</v>
      </c>
      <c r="T382" s="43" t="str">
        <f aca="false">IF(AND(Q382=1,ISNUMBER(I382)),TEXT(I382,"yyyymmdd")&amp;"|"&amp;IF(S382=1,"F",TEXT(J382,"0.000")),"")</f>
        <v>20310115|3.875</v>
      </c>
      <c r="U382" s="90" t="n">
        <f aca="false">IF(AND(Q382=1,ISNUMBER(I382)),(I382-설정!$C$4)/365.25,"")</f>
        <v>4.290212183436</v>
      </c>
      <c r="V382" s="43" t="str">
        <f aca="false">IF(Q382&lt;&gt;1,"",IF(ISNUMBER(U382),IF(U382&lt;=1,"1년 이하",IF(U382&lt;=2,"1-2년",IF(U382&lt;=3,"2-3년",IF(U382&lt;=4,"3-4년",IF(U382&lt;=5,"4-5년",IF(U382&lt;=7,"5-7년",IF(U382&lt;=10,"7-10년",IF(U382&lt;=20,"10-20년","20년 이상")))))))),"미분류"))</f>
        <v>4-5년</v>
      </c>
      <c r="W382" s="43" t="str">
        <f aca="false">IF(Q382&lt;&gt;1,"",IF(AB382&lt;&gt;"",INDEX(시장분석!$C:$C,AB382),IF(K382=1,"USD","비USD")))</f>
        <v>USD</v>
      </c>
      <c r="X382" s="91" t="n">
        <f aca="false">IF(Q382=1,E382*K382/1000000,0)</f>
        <v>6</v>
      </c>
      <c r="Y382" s="89" t="n">
        <f aca="false">IF(R382="T",1,0)</f>
        <v>0</v>
      </c>
      <c r="Z382" s="92" t="n">
        <f aca="false">IF(Q382&lt;&gt;1,"",IF(AD382=1,IF(ISNUMBER(U382),MAX(U382,0),H382),H382))</f>
        <v>3.7746</v>
      </c>
      <c r="AA382" s="91" t="n">
        <f aca="false">IF(Q382=1,IF(ISNUMBER(L382),L382,0)*K382/1000000,0)</f>
        <v>5.667786</v>
      </c>
      <c r="AB382" s="89" t="n">
        <f aca="false">IF(Q382&lt;&gt;1,"",IFERROR(MATCH(VLOOKUP(B382,매핑!$H$4:$I$15,2,0),시장분석!$A$2:$A$601,0)+1,IFERROR(MATCH(R382&amp;"|"&amp;T382,시장분석!$V$2:$V$601,0)+1,IF(COUNTIF(시장분석!$U$2:$U$601,T382)=1,MATCH(T382,시장분석!$U$2:$U$601,0)+1,""))))</f>
        <v>160</v>
      </c>
      <c r="AC382" s="89" t="n">
        <f aca="false">IF(Q382&lt;&gt;1,0,IF(OR(설정!$C$5="전체",AND(설정!$C$5="선택펀드",IFERROR(COUNTIFS(설정!$F$16:$F$36,C382,설정!$G$16:$G$36,"Y")+COUNTIFS(설정!$F$16:$F$36,VALUE(C382),설정!$G$16:$G$36,"Y"),0)&gt;0),C382&amp;""=설정!$C$5&amp;""),1,0))</f>
        <v>0</v>
      </c>
      <c r="AD382" s="89" t="n">
        <f aca="false">IF(Q382&lt;&gt;1,0,IF(OR(S382=1,IF(AB382="",FALSE(),INDEX(시장분석!$R:$R,AB382)=1)),1,0))</f>
        <v>0</v>
      </c>
      <c r="AE382" s="43" t="str">
        <f aca="false">IF(AB382="","",INDEX(시장분석!$A:$A,AB382))</f>
        <v>KHFC 3 7/8 01/15/31</v>
      </c>
      <c r="AF382" s="93" t="n">
        <f aca="false">IF(AB382="","",IF(ISNUMBER(IF(AB382="","",INDEX(시장분석!$E:$E,AB382))),IF(AB382="","",INDEX(시장분석!$E:$E,AB382)),""))</f>
        <v>22.155</v>
      </c>
      <c r="AG382" s="43" t="str">
        <f aca="false">IF(Q382&lt;&gt;1,"",IF(AB382&lt;&gt;"",IF(AB382="","",INDEX(시장분석!$L:$L,AB382)),IFERROR(IF(VLOOKUP(R382,매핑!$A$4:$E$92,5,0)="","미분류",VLOOKUP(R382,매핑!$A$4:$E$92,5,0)),"미분류")))</f>
        <v>정부</v>
      </c>
      <c r="AH382" s="43" t="str">
        <f aca="false">IF(Q382&lt;&gt;1,"",IF(AB382&lt;&gt;"",IF(AB382="","",INDEX(시장분석!$N:$N,AB382)),IFERROR(IF(VLOOKUP(R382,매핑!$A$4:$E$92,4,0)="","미분류",VLOOKUP(R382,매핑!$A$4:$E$92,4,0)),"미분류")))</f>
        <v>아시아/기타</v>
      </c>
      <c r="AI382" s="43" t="str">
        <f aca="false">IF(Q382&lt;&gt;1,"",IFERROR(IF(VLOOKUP(R382,매핑!$A$4:$E$92,3,0)="","미분류",VLOOKUP(R382,매핑!$A$4:$E$92,3,0)),IF(AB382&lt;&gt;"",IF(AB382="","",INDEX(시장분석!$W:$W,AB382)),"미분류")))</f>
        <v>한국</v>
      </c>
      <c r="AJ382" s="43" t="str">
        <f aca="false">IF(Q382&lt;&gt;1,"",IFERROR(VLOOKUP(IF(N382&lt;&gt;"",N382,IF(P382&lt;&gt;"",P382,O382)),설정!$A$15:$D$47,2,0),""))</f>
        <v>AA</v>
      </c>
      <c r="AK382" s="43" t="str">
        <f aca="false">IF(Q382&lt;&gt;1,"",IF(AJ382="","무등급",IFERROR(VLOOKUP(AJ382,설정!$A$15:$D$47,3,0),"무등급")))</f>
        <v>AA이상</v>
      </c>
      <c r="AL382" s="89" t="n">
        <f aca="false">IF(AJ382="",99,IFERROR(VLOOKUP(AJ382,설정!$A$15:$D$47,4,0),99))</f>
        <v>3</v>
      </c>
      <c r="AM382" s="94" t="n">
        <f aca="false">IF(ISNUMBER(H382),AA382*1000000*H382/10000,0)</f>
        <v>2139.36250356</v>
      </c>
      <c r="AN382" s="94" t="n">
        <f aca="false">IF(OR(Y382=1,NOT(ISNUMBER(Z382))),0,AA382*1000000*Z382/10000)</f>
        <v>2139.36250356</v>
      </c>
      <c r="AO382" s="94" t="n">
        <f aca="false">IF(ISNUMBER(G382),AA382*1000000*G382/100,0)</f>
        <v>302274.362952</v>
      </c>
      <c r="AP382" s="94" t="n">
        <f aca="false">IF(ISNUMBER(M382),M382*K382,0)</f>
        <v>-273174</v>
      </c>
      <c r="AQ382" s="95" t="n">
        <f aca="false">IF(AB382="","",INDEX(시장분석!$AK:$AK,AB382))</f>
        <v>-0.260979387760699</v>
      </c>
      <c r="AR382" s="43" t="str">
        <f aca="false">IF(AB382="","-",IF(AB382="","",INDEX(시장분석!$AL:$AL,AB382)))</f>
        <v>Fair</v>
      </c>
      <c r="AS382" s="96" t="n">
        <f aca="false">IF(AB382="","",INDEX(시장분석!$AJ:$AJ,AB382))</f>
        <v>-3.5735970500411</v>
      </c>
      <c r="AT382" s="93" t="n">
        <f aca="false">IF(AB382="",0,IF(AB382="","",INDEX(시장분석!$AN:$AN,AB382)))</f>
        <v>5.8046494228669</v>
      </c>
      <c r="AU382" s="94" t="n">
        <f aca="false">IF(ISNUMBER(Z382),AT382/10000*MAX(Z382-1,0)*AA382*1000000,0)</f>
        <v>9128.29824820934</v>
      </c>
      <c r="AV382" s="94" t="n">
        <f aca="false">AO382+AU382</f>
        <v>311402.661200209</v>
      </c>
      <c r="AW382" s="43" t="str">
        <f aca="false">IF(Q382&lt;&gt;1,"",TRIM(IF(AD382=1,"FRN ","")&amp;IF(AND(AL382&gt;=10,AL382&lt;99),"BBB0미만 ","")&amp;IF(AJ382="","등급없음 ","")&amp;IF(K382&lt;&gt;1,"비USD ","")&amp;IF(AND(AB382="",Y382=0),"시장데이터없음 ","")&amp;IF(AND(ISNUMBER(U382),U382&lt;0),"만기경과 ","")))</f>
        <v/>
      </c>
      <c r="AX382" s="90" t="n">
        <f aca="false">IF(Q382&lt;&gt;1,1,IF(스프레드쇼크!$C$4="Y",INDEX(스프레드쇼크!$B$12:$L$16,IFERROR(MATCH(AH382,스프레드쇼크!$A$12:$A$16,0),MATCH("목록외",스프레드쇼크!$A$12:$A$16,0)),IFERROR(MATCH(AG382,스프레드쇼크!$B$11:$L$11,0),MATCH("목록외",스프레드쇼크!$B$11:$L$11,0))),1))</f>
        <v>1</v>
      </c>
      <c r="AY382" s="90" t="n">
        <f aca="false">IF(스프레드쇼크!$C$5="Y",IF(ISNUMBER(AF382),MIN(스프레드쇼크!$C$7,MAX(스프레드쇼크!$C$6,AF382/스프레드쇼크!$C$8)),1),1)</f>
        <v>0.335102973059491</v>
      </c>
      <c r="AZ382" s="94" t="n">
        <f aca="false">AN382*AX382*AY382</f>
        <v>716.906735394952</v>
      </c>
      <c r="BA382" s="90" t="n">
        <f aca="false">IF(ISNUMBER(G382),AA382*G382,0)</f>
        <v>30.2274362952</v>
      </c>
      <c r="BB382" s="90" t="n">
        <f aca="false">IF(ISNUMBER(G382),AA382,0)</f>
        <v>5.667786</v>
      </c>
      <c r="BC382" s="90" t="n">
        <f aca="false">IF(AND(Y382=0,ISNUMBER(AF382)),AA382*AF382,0)</f>
        <v>125.56979883</v>
      </c>
      <c r="BD382" s="90" t="n">
        <f aca="false">IF(AND(Y382=0,ISNUMBER(AF382)),AA382,0)</f>
        <v>5.667786</v>
      </c>
      <c r="BE382" s="90" t="n">
        <f aca="false">IF(ISNUMBER(H382),AA382*H382,0)</f>
        <v>21.3936250356</v>
      </c>
      <c r="BF382" s="90" t="n">
        <f aca="false">IF(ISNUMBER(H382),AA382,0)</f>
        <v>5.667786</v>
      </c>
      <c r="BG382" s="90" t="n">
        <f aca="false">IF(AND(Y382=0,ISNUMBER(AF382),ISNUMBER(Z382)),AA382*Z382,0)</f>
        <v>21.3936250356</v>
      </c>
      <c r="BH382" s="90" t="n">
        <f aca="false">IF(AND(Y382=0,ISNUMBER(AF382),ISNUMBER(Z382)),AA382*AT382*MAX(Z382-1,0),0)</f>
        <v>91.2829824820934</v>
      </c>
      <c r="BI382" s="90" t="n">
        <f aca="false">IF(Y382=0,AA382,0)</f>
        <v>5.667786</v>
      </c>
    </row>
    <row r="383" customFormat="false" ht="15" hidden="false" customHeight="false" outlineLevel="0" collapsed="false">
      <c r="A383" s="83" t="str">
        <f aca="false">IFERROR(IF(INDEX(원자료_잔고!$A$1:$EZ$1500,설정!$L$5+ROW()-1,설정!$L$8)&amp;""="0","",INDEX(원자료_잔고!$A$1:$EZ$1500,설정!$L$5+ROW()-1,설정!$L$8)&amp;""),"")</f>
        <v>HIGHWY 5 05/14/27</v>
      </c>
      <c r="B383" s="83" t="str">
        <f aca="false">IFERROR(IF(INDEX(원자료_잔고!$A$1:$EZ$1500,설정!$L$5+ROW()-1,설정!$L$7)&amp;""="0","",INDEX(원자료_잔고!$A$1:$EZ$1500,설정!$L$5+ROW()-1,설정!$L$7)&amp;""),"")</f>
        <v>USY4872AMX28</v>
      </c>
      <c r="C383" s="83" t="str">
        <f aca="false">IFERROR(IF(INDEX(원자료_잔고!$A$1:$EZ$1500,설정!$L$5+ROW()-1,설정!$L$9)&amp;""="0","",INDEX(원자료_잔고!$A$1:$EZ$1500,설정!$L$5+ROW()-1,설정!$L$9)&amp;""),"")</f>
        <v>42003</v>
      </c>
      <c r="D38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3" s="84" t="n">
        <f aca="false">IFERROR(IF(ISNUMBER(INDEX(원자료_잔고!$A$1:$EZ$1500,설정!$L$5+ROW()-1,설정!$L$11)),INDEX(원자료_잔고!$A$1:$EZ$1500,설정!$L$5+ROW()-1,설정!$L$11),""),"")</f>
        <v>1000000</v>
      </c>
      <c r="F383" s="85" t="n">
        <f aca="false">IFERROR(IF(ISNUMBER(INDEX(원자료_잔고!$A$1:$EZ$1500,설정!$L$5+ROW()-1,설정!$L$12)),INDEX(원자료_잔고!$A$1:$EZ$1500,설정!$L$5+ROW()-1,설정!$L$12),""),"")</f>
        <v>100.0695</v>
      </c>
      <c r="G383" s="85" t="n">
        <f aca="false">IFERROR(IF(ISNUMBER(INDEX(원자료_잔고!$A$1:$EZ$1500,설정!$L$5+ROW()-1,설정!$L$13)),INDEX(원자료_잔고!$A$1:$EZ$1500,설정!$L$5+ROW()-1,설정!$L$13),""),"")</f>
        <v>4.8727</v>
      </c>
      <c r="H383" s="85" t="n">
        <f aca="false">IFERROR(IF(ISNUMBER(INDEX(원자료_잔고!$A$1:$EZ$1500,설정!$L$5+ROW()-1,설정!$L$14)),INDEX(원자료_잔고!$A$1:$EZ$1500,설정!$L$5+ROW()-1,설정!$L$14),""),"")</f>
        <v>0.5822</v>
      </c>
      <c r="I383" s="86" t="n">
        <f aca="false">IFERROR(IF(ISNUMBER(INDEX(원자료_잔고!$A$1:$EZ$1500,설정!$L$5+ROW()-1,설정!$L$15)),INDEX(원자료_잔고!$A$1:$EZ$1500,설정!$L$5+ROW()-1,설정!$L$15),""),"")</f>
        <v>46521</v>
      </c>
      <c r="J383" s="85" t="n">
        <f aca="false">IFERROR(IF(ISNUMBER(INDEX(원자료_잔고!$A$1:$EZ$1500,설정!$L$5+ROW()-1,설정!$L$16)),INDEX(원자료_잔고!$A$1:$EZ$1500,설정!$L$5+ROW()-1,설정!$L$16),""),"")</f>
        <v>5</v>
      </c>
      <c r="K383" s="87" t="n">
        <f aca="false">IFERROR(IF(ISNUMBER(INDEX(원자료_잔고!$A$1:$EZ$1500,설정!$L$5+ROW()-1,설정!$L$17)),INDEX(원자료_잔고!$A$1:$EZ$1500,설정!$L$5+ROW()-1,설정!$L$17),""),"")</f>
        <v>1</v>
      </c>
      <c r="L383" s="84" t="n">
        <f aca="false">IFERROR(IF(ISNUMBER(INDEX(원자료_잔고!$A$1:$EZ$1500,설정!$L$5+ROW()-1,설정!$L$18)),INDEX(원자료_잔고!$A$1:$EZ$1500,설정!$L$5+ROW()-1,설정!$L$18),""),"")</f>
        <v>1000695</v>
      </c>
      <c r="M383" s="88" t="n">
        <f aca="false">IFERROR(IF(ISNUMBER(INDEX(원자료_잔고!$A$1:$EZ$1500,설정!$L$5+ROW()-1,설정!$L$19)),INDEX(원자료_잔고!$A$1:$EZ$1500,설정!$L$5+ROW()-1,설정!$L$19),""),"")</f>
        <v>-15291</v>
      </c>
      <c r="N383" s="83" t="str">
        <f aca="false">IFERROR(IF(INDEX(원자료_잔고!$A$1:$EZ$1500,설정!$L$5+ROW()-1,설정!$L$21)&amp;""="0","",INDEX(원자료_잔고!$A$1:$EZ$1500,설정!$L$5+ROW()-1,설정!$L$21)&amp;""),"")</f>
        <v>AA</v>
      </c>
      <c r="O383" s="83" t="str">
        <f aca="false">IFERROR(IF(INDEX(원자료_잔고!$A$1:$EZ$1500,설정!$L$5+ROW()-1,설정!$L$22)&amp;""="0","",INDEX(원자료_잔고!$A$1:$EZ$1500,설정!$L$5+ROW()-1,설정!$L$22)&amp;""),"")</f>
        <v/>
      </c>
      <c r="P383" s="83" t="str">
        <f aca="false">IFERROR(IF(INDEX(원자료_잔고!$A$1:$EZ$1500,설정!$L$5+ROW()-1,설정!$L$23)&amp;""="0","",INDEX(원자료_잔고!$A$1:$EZ$1500,설정!$L$5+ROW()-1,설정!$L$23)&amp;""),"")</f>
        <v>N/A</v>
      </c>
      <c r="Q383" s="89" t="n">
        <f aca="false">IF(AND($A383&lt;&gt;"",ISNUMBER(E383)),IF(E383&gt;0,1,0),0)</f>
        <v>1</v>
      </c>
      <c r="R383" s="43" t="str">
        <f aca="false">IF(Q383=1,UPPER(LEFT($A383,FIND(" ",$A383&amp;" ")-1)),"")</f>
        <v>HIGHWY</v>
      </c>
      <c r="S383" s="89" t="n">
        <f aca="false">IF(Q383=1,IF(OR(ISNUMBER(SEARCH("Float",$A383)),ISNUMBER(SEARCH("FRN",$A383))),1,0),0)</f>
        <v>0</v>
      </c>
      <c r="T383" s="43" t="str">
        <f aca="false">IF(AND(Q383=1,ISNUMBER(I383)),TEXT(I383,"yyyymmdd")&amp;"|"&amp;IF(S383=1,"F",TEXT(J383,"0.000")),"")</f>
        <v>20270514|5.000</v>
      </c>
      <c r="U383" s="90" t="n">
        <f aca="false">IF(AND(Q383=1,ISNUMBER(I383)),(I383-설정!$C$4)/365.25,"")</f>
        <v>0.616016427104723</v>
      </c>
      <c r="V383" s="43" t="str">
        <f aca="false">IF(Q383&lt;&gt;1,"",IF(ISNUMBER(U383),IF(U383&lt;=1,"1년 이하",IF(U383&lt;=2,"1-2년",IF(U383&lt;=3,"2-3년",IF(U383&lt;=4,"3-4년",IF(U383&lt;=5,"4-5년",IF(U383&lt;=7,"5-7년",IF(U383&lt;=10,"7-10년",IF(U383&lt;=20,"10-20년","20년 이상")))))))),"미분류"))</f>
        <v>1년 이하</v>
      </c>
      <c r="W383" s="43" t="str">
        <f aca="false">IF(Q383&lt;&gt;1,"",IF(AB383&lt;&gt;"",INDEX(시장분석!$C:$C,AB383),IF(K383=1,"USD","비USD")))</f>
        <v>USD</v>
      </c>
      <c r="X383" s="91" t="n">
        <f aca="false">IF(Q383=1,E383*K383/1000000,0)</f>
        <v>1</v>
      </c>
      <c r="Y383" s="89" t="n">
        <f aca="false">IF(R383="T",1,0)</f>
        <v>0</v>
      </c>
      <c r="Z383" s="92" t="n">
        <f aca="false">IF(Q383&lt;&gt;1,"",IF(AD383=1,IF(ISNUMBER(U383),MAX(U383,0),H383),H383))</f>
        <v>0.5822</v>
      </c>
      <c r="AA383" s="91" t="n">
        <f aca="false">IF(Q383=1,IF(ISNUMBER(L383),L383,0)*K383/1000000,0)</f>
        <v>1.000695</v>
      </c>
      <c r="AB383" s="89" t="n">
        <f aca="false">IF(Q383&lt;&gt;1,"",IFERROR(MATCH(VLOOKUP(B383,매핑!$H$4:$I$15,2,0),시장분석!$A$2:$A$601,0)+1,IFERROR(MATCH(R383&amp;"|"&amp;T383,시장분석!$V$2:$V$601,0)+1,IF(COUNTIF(시장분석!$U$2:$U$601,T383)=1,MATCH(T383,시장분석!$U$2:$U$601,0)+1,""))))</f>
        <v>161</v>
      </c>
      <c r="AC383" s="89" t="n">
        <f aca="false">IF(Q383&lt;&gt;1,0,IF(OR(설정!$C$5="전체",AND(설정!$C$5="선택펀드",IFERROR(COUNTIFS(설정!$F$16:$F$36,C383,설정!$G$16:$G$36,"Y")+COUNTIFS(설정!$F$16:$F$36,VALUE(C383),설정!$G$16:$G$36,"Y"),0)&gt;0),C383&amp;""=설정!$C$5&amp;""),1,0))</f>
        <v>0</v>
      </c>
      <c r="AD383" s="89" t="n">
        <f aca="false">IF(Q383&lt;&gt;1,0,IF(OR(S383=1,IF(AB383="",FALSE(),INDEX(시장분석!$R:$R,AB383)=1)),1,0))</f>
        <v>0</v>
      </c>
      <c r="AE383" s="43" t="str">
        <f aca="false">IF(AB383="","",INDEX(시장분석!$A:$A,AB383))</f>
        <v>HIGHWY 5 05/14/27</v>
      </c>
      <c r="AF383" s="93" t="n">
        <f aca="false">IF(AB383="","",IF(ISNUMBER(IF(AB383="","",INDEX(시장분석!$E:$E,AB383))),IF(AB383="","",INDEX(시장분석!$E:$E,AB383)),""))</f>
        <v>-15.09</v>
      </c>
      <c r="AG383" s="43" t="str">
        <f aca="false">IF(Q383&lt;&gt;1,"",IF(AB383&lt;&gt;"",IF(AB383="","",INDEX(시장분석!$L:$L,AB383)),IFERROR(IF(VLOOKUP(R383,매핑!$A$4:$E$92,5,0)="","미분류",VLOOKUP(R383,매핑!$A$4:$E$92,5,0)),"미분류")))</f>
        <v>정부</v>
      </c>
      <c r="AH383" s="43" t="str">
        <f aca="false">IF(Q383&lt;&gt;1,"",IF(AB383&lt;&gt;"",IF(AB383="","",INDEX(시장분석!$N:$N,AB383)),IFERROR(IF(VLOOKUP(R383,매핑!$A$4:$E$92,4,0)="","미분류",VLOOKUP(R383,매핑!$A$4:$E$92,4,0)),"미분류")))</f>
        <v>아시아/기타</v>
      </c>
      <c r="AI383" s="43" t="str">
        <f aca="false">IF(Q383&lt;&gt;1,"",IFERROR(IF(VLOOKUP(R383,매핑!$A$4:$E$92,3,0)="","미분류",VLOOKUP(R383,매핑!$A$4:$E$92,3,0)),IF(AB383&lt;&gt;"",IF(AB383="","",INDEX(시장분석!$W:$W,AB383)),"미분류")))</f>
        <v>한국</v>
      </c>
      <c r="AJ383" s="43" t="str">
        <f aca="false">IF(Q383&lt;&gt;1,"",IFERROR(VLOOKUP(IF(N383&lt;&gt;"",N383,IF(P383&lt;&gt;"",P383,O383)),설정!$A$15:$D$47,2,0),""))</f>
        <v>AA</v>
      </c>
      <c r="AK383" s="43" t="str">
        <f aca="false">IF(Q383&lt;&gt;1,"",IF(AJ383="","무등급",IFERROR(VLOOKUP(AJ383,설정!$A$15:$D$47,3,0),"무등급")))</f>
        <v>AA이상</v>
      </c>
      <c r="AL383" s="89" t="n">
        <f aca="false">IF(AJ383="",99,IFERROR(VLOOKUP(AJ383,설정!$A$15:$D$47,4,0),99))</f>
        <v>3</v>
      </c>
      <c r="AM383" s="94" t="n">
        <f aca="false">IF(ISNUMBER(H383),AA383*1000000*H383/10000,0)</f>
        <v>58.2604629</v>
      </c>
      <c r="AN383" s="94" t="n">
        <f aca="false">IF(OR(Y383=1,NOT(ISNUMBER(Z383))),0,AA383*1000000*Z383/10000)</f>
        <v>58.2604629</v>
      </c>
      <c r="AO383" s="94" t="n">
        <f aca="false">IF(ISNUMBER(G383),AA383*1000000*G383/100,0)</f>
        <v>48760.865265</v>
      </c>
      <c r="AP383" s="94" t="n">
        <f aca="false">IF(ISNUMBER(M383),M383*K383,0)</f>
        <v>-15291</v>
      </c>
      <c r="AQ383" s="95" t="n">
        <f aca="false">IF(AB383="","",INDEX(시장분석!$AK:$AK,AB383))</f>
        <v>-0.257399764404936</v>
      </c>
      <c r="AR383" s="43" t="str">
        <f aca="false">IF(AB383="","-",IF(AB383="","",INDEX(시장분석!$AL:$AL,AB383)))</f>
        <v>Fair</v>
      </c>
      <c r="AS383" s="96" t="n">
        <f aca="false">IF(AB383="","",INDEX(시장분석!$AJ:$AJ,AB383))</f>
        <v>-3.52458118110917</v>
      </c>
      <c r="AT383" s="93" t="n">
        <f aca="false">IF(AB383="",0,IF(AB383="","",INDEX(시장분석!$AN:$AN,AB383)))</f>
        <v>0</v>
      </c>
      <c r="AU383" s="94" t="n">
        <f aca="false">IF(ISNUMBER(Z383),AT383/10000*MAX(Z383-1,0)*AA383*1000000,0)</f>
        <v>0</v>
      </c>
      <c r="AV383" s="94" t="n">
        <f aca="false">AO383+AU383</f>
        <v>48760.865265</v>
      </c>
      <c r="AW383" s="43" t="str">
        <f aca="false">IF(Q383&lt;&gt;1,"",TRIM(IF(AD383=1,"FRN ","")&amp;IF(AND(AL383&gt;=10,AL383&lt;99),"BBB0미만 ","")&amp;IF(AJ383="","등급없음 ","")&amp;IF(K383&lt;&gt;1,"비USD ","")&amp;IF(AND(AB383="",Y383=0),"시장데이터없음 ","")&amp;IF(AND(ISNUMBER(U383),U383&lt;0),"만기경과 ","")))</f>
        <v/>
      </c>
      <c r="AX383" s="90" t="n">
        <f aca="false">IF(Q383&lt;&gt;1,1,IF(스프레드쇼크!$C$4="Y",INDEX(스프레드쇼크!$B$12:$L$16,IFERROR(MATCH(AH383,스프레드쇼크!$A$12:$A$16,0),MATCH("목록외",스프레드쇼크!$A$12:$A$16,0)),IFERROR(MATCH(AG383,스프레드쇼크!$B$11:$L$11,0),MATCH("목록외",스프레드쇼크!$B$11:$L$11,0))),1))</f>
        <v>1</v>
      </c>
      <c r="AY383" s="90" t="n">
        <f aca="false">IF(스프레드쇼크!$C$5="Y",IF(ISNUMBER(AF383),MIN(스프레드쇼크!$C$7,MAX(스프레드쇼크!$C$6,AF383/스프레드쇼크!$C$8)),1),1)</f>
        <v>0.25</v>
      </c>
      <c r="AZ383" s="94" t="n">
        <f aca="false">AN383*AX383*AY383</f>
        <v>14.565115725</v>
      </c>
      <c r="BA383" s="90" t="n">
        <f aca="false">IF(ISNUMBER(G383),AA383*G383,0)</f>
        <v>4.8760865265</v>
      </c>
      <c r="BB383" s="90" t="n">
        <f aca="false">IF(ISNUMBER(G383),AA383,0)</f>
        <v>1.000695</v>
      </c>
      <c r="BC383" s="90" t="n">
        <f aca="false">IF(AND(Y383=0,ISNUMBER(AF383)),AA383*AF383,0)</f>
        <v>-15.10048755</v>
      </c>
      <c r="BD383" s="90" t="n">
        <f aca="false">IF(AND(Y383=0,ISNUMBER(AF383)),AA383,0)</f>
        <v>1.000695</v>
      </c>
      <c r="BE383" s="90" t="n">
        <f aca="false">IF(ISNUMBER(H383),AA383*H383,0)</f>
        <v>0.582604629</v>
      </c>
      <c r="BF383" s="90" t="n">
        <f aca="false">IF(ISNUMBER(H383),AA383,0)</f>
        <v>1.000695</v>
      </c>
      <c r="BG383" s="90" t="n">
        <f aca="false">IF(AND(Y383=0,ISNUMBER(AF383),ISNUMBER(Z383)),AA383*Z383,0)</f>
        <v>0.582604629</v>
      </c>
      <c r="BH383" s="90" t="n">
        <f aca="false">IF(AND(Y383=0,ISNUMBER(AF383),ISNUMBER(Z383)),AA383*AT383*MAX(Z383-1,0),0)</f>
        <v>0</v>
      </c>
      <c r="BI383" s="90" t="n">
        <f aca="false">IF(Y383=0,AA383,0)</f>
        <v>1.000695</v>
      </c>
    </row>
    <row r="384" customFormat="false" ht="15" hidden="false" customHeight="false" outlineLevel="0" collapsed="false">
      <c r="A384" s="83" t="str">
        <f aca="false">IFERROR(IF(INDEX(원자료_잔고!$A$1:$EZ$1500,설정!$L$5+ROW()-1,설정!$L$8)&amp;""="0","",INDEX(원자료_잔고!$A$1:$EZ$1500,설정!$L$5+ROW()-1,설정!$L$8)&amp;""),"")</f>
        <v>HIGHWY 4.25 05/06/31</v>
      </c>
      <c r="B384" s="83" t="str">
        <f aca="false">IFERROR(IF(INDEX(원자료_잔고!$A$1:$EZ$1500,설정!$L$5+ROW()-1,설정!$L$7)&amp;""="0","",INDEX(원자료_잔고!$A$1:$EZ$1500,설정!$L$5+ROW()-1,설정!$L$7)&amp;""),"")</f>
        <v>USY4872ATJ60</v>
      </c>
      <c r="C384" s="83" t="str">
        <f aca="false">IFERROR(IF(INDEX(원자료_잔고!$A$1:$EZ$1500,설정!$L$5+ROW()-1,설정!$L$9)&amp;""="0","",INDEX(원자료_잔고!$A$1:$EZ$1500,설정!$L$5+ROW()-1,설정!$L$9)&amp;""),"")</f>
        <v>42003</v>
      </c>
      <c r="D38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4" s="84" t="n">
        <f aca="false">IFERROR(IF(ISNUMBER(INDEX(원자료_잔고!$A$1:$EZ$1500,설정!$L$5+ROW()-1,설정!$L$11)),INDEX(원자료_잔고!$A$1:$EZ$1500,설정!$L$5+ROW()-1,설정!$L$11),""),"")</f>
        <v>5000000</v>
      </c>
      <c r="F384" s="85" t="n">
        <f aca="false">IFERROR(IF(ISNUMBER(INDEX(원자료_잔고!$A$1:$EZ$1500,설정!$L$5+ROW()-1,설정!$L$12)),INDEX(원자료_잔고!$A$1:$EZ$1500,설정!$L$5+ROW()-1,설정!$L$12),""),"")</f>
        <v>95.3226</v>
      </c>
      <c r="G384" s="85" t="n">
        <f aca="false">IFERROR(IF(ISNUMBER(INDEX(원자료_잔고!$A$1:$EZ$1500,설정!$L$5+ROW()-1,설정!$L$13)),INDEX(원자료_잔고!$A$1:$EZ$1500,설정!$L$5+ROW()-1,설정!$L$13),""),"")</f>
        <v>5.4101</v>
      </c>
      <c r="H384" s="85" t="n">
        <f aca="false">IFERROR(IF(ISNUMBER(INDEX(원자료_잔고!$A$1:$EZ$1500,설정!$L$5+ROW()-1,설정!$L$14)),INDEX(원자료_잔고!$A$1:$EZ$1500,설정!$L$5+ROW()-1,설정!$L$14),""),"")</f>
        <v>3.9408</v>
      </c>
      <c r="I384" s="86" t="n">
        <f aca="false">IFERROR(IF(ISNUMBER(INDEX(원자료_잔고!$A$1:$EZ$1500,설정!$L$5+ROW()-1,설정!$L$15)),INDEX(원자료_잔고!$A$1:$EZ$1500,설정!$L$5+ROW()-1,설정!$L$15),""),"")</f>
        <v>47974</v>
      </c>
      <c r="J384" s="85" t="n">
        <f aca="false">IFERROR(IF(ISNUMBER(INDEX(원자료_잔고!$A$1:$EZ$1500,설정!$L$5+ROW()-1,설정!$L$16)),INDEX(원자료_잔고!$A$1:$EZ$1500,설정!$L$5+ROW()-1,설정!$L$16),""),"")</f>
        <v>4.25</v>
      </c>
      <c r="K384" s="87" t="n">
        <f aca="false">IFERROR(IF(ISNUMBER(INDEX(원자료_잔고!$A$1:$EZ$1500,설정!$L$5+ROW()-1,설정!$L$17)),INDEX(원자료_잔고!$A$1:$EZ$1500,설정!$L$5+ROW()-1,설정!$L$17),""),"")</f>
        <v>1</v>
      </c>
      <c r="L384" s="84" t="n">
        <f aca="false">IFERROR(IF(ISNUMBER(INDEX(원자료_잔고!$A$1:$EZ$1500,설정!$L$5+ROW()-1,설정!$L$18)),INDEX(원자료_잔고!$A$1:$EZ$1500,설정!$L$5+ROW()-1,설정!$L$18),""),"")</f>
        <v>4766130</v>
      </c>
      <c r="M384" s="88" t="n">
        <f aca="false">IFERROR(IF(ISNUMBER(INDEX(원자료_잔고!$A$1:$EZ$1500,설정!$L$5+ROW()-1,설정!$L$19)),INDEX(원자료_잔고!$A$1:$EZ$1500,설정!$L$5+ROW()-1,설정!$L$19),""),"")</f>
        <v>-223797.77</v>
      </c>
      <c r="N384" s="83" t="str">
        <f aca="false">IFERROR(IF(INDEX(원자료_잔고!$A$1:$EZ$1500,설정!$L$5+ROW()-1,설정!$L$21)&amp;""="0","",INDEX(원자료_잔고!$A$1:$EZ$1500,설정!$L$5+ROW()-1,설정!$L$21)&amp;""),"")</f>
        <v>AA</v>
      </c>
      <c r="O384" s="83" t="str">
        <f aca="false">IFERROR(IF(INDEX(원자료_잔고!$A$1:$EZ$1500,설정!$L$5+ROW()-1,설정!$L$22)&amp;""="0","",INDEX(원자료_잔고!$A$1:$EZ$1500,설정!$L$5+ROW()-1,설정!$L$22)&amp;""),"")</f>
        <v/>
      </c>
      <c r="P384" s="83" t="str">
        <f aca="false">IFERROR(IF(INDEX(원자료_잔고!$A$1:$EZ$1500,설정!$L$5+ROW()-1,설정!$L$23)&amp;""="0","",INDEX(원자료_잔고!$A$1:$EZ$1500,설정!$L$5+ROW()-1,설정!$L$23)&amp;""),"")</f>
        <v>N/A</v>
      </c>
      <c r="Q384" s="89" t="n">
        <f aca="false">IF(AND($A384&lt;&gt;"",ISNUMBER(E384)),IF(E384&gt;0,1,0),0)</f>
        <v>1</v>
      </c>
      <c r="R384" s="43" t="str">
        <f aca="false">IF(Q384=1,UPPER(LEFT($A384,FIND(" ",$A384&amp;" ")-1)),"")</f>
        <v>HIGHWY</v>
      </c>
      <c r="S384" s="89" t="n">
        <f aca="false">IF(Q384=1,IF(OR(ISNUMBER(SEARCH("Float",$A384)),ISNUMBER(SEARCH("FRN",$A384))),1,0),0)</f>
        <v>0</v>
      </c>
      <c r="T384" s="43" t="str">
        <f aca="false">IF(AND(Q384=1,ISNUMBER(I384)),TEXT(I384,"yyyymmdd")&amp;"|"&amp;IF(S384=1,"F",TEXT(J384,"0.000")),"")</f>
        <v>20310506|4.250</v>
      </c>
      <c r="U384" s="90" t="n">
        <f aca="false">IF(AND(Q384=1,ISNUMBER(I384)),(I384-설정!$C$4)/365.25,"")</f>
        <v>4.59411362080767</v>
      </c>
      <c r="V384" s="43" t="str">
        <f aca="false">IF(Q384&lt;&gt;1,"",IF(ISNUMBER(U384),IF(U384&lt;=1,"1년 이하",IF(U384&lt;=2,"1-2년",IF(U384&lt;=3,"2-3년",IF(U384&lt;=4,"3-4년",IF(U384&lt;=5,"4-5년",IF(U384&lt;=7,"5-7년",IF(U384&lt;=10,"7-10년",IF(U384&lt;=20,"10-20년","20년 이상")))))))),"미분류"))</f>
        <v>4-5년</v>
      </c>
      <c r="W384" s="43" t="str">
        <f aca="false">IF(Q384&lt;&gt;1,"",IF(AB384&lt;&gt;"",INDEX(시장분석!$C:$C,AB384),IF(K384=1,"USD","비USD")))</f>
        <v>USD</v>
      </c>
      <c r="X384" s="91" t="n">
        <f aca="false">IF(Q384=1,E384*K384/1000000,0)</f>
        <v>5</v>
      </c>
      <c r="Y384" s="89" t="n">
        <f aca="false">IF(R384="T",1,0)</f>
        <v>0</v>
      </c>
      <c r="Z384" s="92" t="n">
        <f aca="false">IF(Q384&lt;&gt;1,"",IF(AD384=1,IF(ISNUMBER(U384),MAX(U384,0),H384),H384))</f>
        <v>3.9408</v>
      </c>
      <c r="AA384" s="91" t="n">
        <f aca="false">IF(Q384=1,IF(ISNUMBER(L384),L384,0)*K384/1000000,0)</f>
        <v>4.76613</v>
      </c>
      <c r="AB384" s="89" t="n">
        <f aca="false">IF(Q384&lt;&gt;1,"",IFERROR(MATCH(VLOOKUP(B384,매핑!$H$4:$I$15,2,0),시장분석!$A$2:$A$601,0)+1,IFERROR(MATCH(R384&amp;"|"&amp;T384,시장분석!$V$2:$V$601,0)+1,IF(COUNTIF(시장분석!$U$2:$U$601,T384)=1,MATCH(T384,시장분석!$U$2:$U$601,0)+1,""))))</f>
        <v>162</v>
      </c>
      <c r="AC384" s="89" t="n">
        <f aca="false">IF(Q384&lt;&gt;1,0,IF(OR(설정!$C$5="전체",AND(설정!$C$5="선택펀드",IFERROR(COUNTIFS(설정!$F$16:$F$36,C384,설정!$G$16:$G$36,"Y")+COUNTIFS(설정!$F$16:$F$36,VALUE(C384),설정!$G$16:$G$36,"Y"),0)&gt;0),C384&amp;""=설정!$C$5&amp;""),1,0))</f>
        <v>0</v>
      </c>
      <c r="AD384" s="89" t="n">
        <f aca="false">IF(Q384&lt;&gt;1,0,IF(OR(S384=1,IF(AB384="",FALSE(),INDEX(시장분석!$R:$R,AB384)=1)),1,0))</f>
        <v>0</v>
      </c>
      <c r="AE384" s="43" t="str">
        <f aca="false">IF(AB384="","",INDEX(시장분석!$A:$A,AB384))</f>
        <v>HIGHWY 4 1/4 05/06/31</v>
      </c>
      <c r="AF384" s="93" t="n">
        <f aca="false">IF(AB384="","",IF(ISNUMBER(IF(AB384="","",INDEX(시장분석!$E:$E,AB384))),IF(AB384="","",INDEX(시장분석!$E:$E,AB384)),""))</f>
        <v>37.241</v>
      </c>
      <c r="AG384" s="43" t="str">
        <f aca="false">IF(Q384&lt;&gt;1,"",IF(AB384&lt;&gt;"",IF(AB384="","",INDEX(시장분석!$L:$L,AB384)),IFERROR(IF(VLOOKUP(R384,매핑!$A$4:$E$92,5,0)="","미분류",VLOOKUP(R384,매핑!$A$4:$E$92,5,0)),"미분류")))</f>
        <v>정부</v>
      </c>
      <c r="AH384" s="43" t="str">
        <f aca="false">IF(Q384&lt;&gt;1,"",IF(AB384&lt;&gt;"",IF(AB384="","",INDEX(시장분석!$N:$N,AB384)),IFERROR(IF(VLOOKUP(R384,매핑!$A$4:$E$92,4,0)="","미분류",VLOOKUP(R384,매핑!$A$4:$E$92,4,0)),"미분류")))</f>
        <v>아시아/기타</v>
      </c>
      <c r="AI384" s="43" t="str">
        <f aca="false">IF(Q384&lt;&gt;1,"",IFERROR(IF(VLOOKUP(R384,매핑!$A$4:$E$92,3,0)="","미분류",VLOOKUP(R384,매핑!$A$4:$E$92,3,0)),IF(AB384&lt;&gt;"",IF(AB384="","",INDEX(시장분석!$W:$W,AB384)),"미분류")))</f>
        <v>한국</v>
      </c>
      <c r="AJ384" s="43" t="str">
        <f aca="false">IF(Q384&lt;&gt;1,"",IFERROR(VLOOKUP(IF(N384&lt;&gt;"",N384,IF(P384&lt;&gt;"",P384,O384)),설정!$A$15:$D$47,2,0),""))</f>
        <v>AA</v>
      </c>
      <c r="AK384" s="43" t="str">
        <f aca="false">IF(Q384&lt;&gt;1,"",IF(AJ384="","무등급",IFERROR(VLOOKUP(AJ384,설정!$A$15:$D$47,3,0),"무등급")))</f>
        <v>AA이상</v>
      </c>
      <c r="AL384" s="89" t="n">
        <f aca="false">IF(AJ384="",99,IFERROR(VLOOKUP(AJ384,설정!$A$15:$D$47,4,0),99))</f>
        <v>3</v>
      </c>
      <c r="AM384" s="94" t="n">
        <f aca="false">IF(ISNUMBER(H384),AA384*1000000*H384/10000,0)</f>
        <v>1878.2365104</v>
      </c>
      <c r="AN384" s="94" t="n">
        <f aca="false">IF(OR(Y384=1,NOT(ISNUMBER(Z384))),0,AA384*1000000*Z384/10000)</f>
        <v>1878.2365104</v>
      </c>
      <c r="AO384" s="94" t="n">
        <f aca="false">IF(ISNUMBER(G384),AA384*1000000*G384/100,0)</f>
        <v>257852.39913</v>
      </c>
      <c r="AP384" s="94" t="n">
        <f aca="false">IF(ISNUMBER(M384),M384*K384,0)</f>
        <v>-223797.77</v>
      </c>
      <c r="AQ384" s="95" t="n">
        <f aca="false">IF(AB384="","",INDEX(시장분석!$AK:$AK,AB384))</f>
        <v>0.772534289811189</v>
      </c>
      <c r="AR384" s="43" t="str">
        <f aca="false">IF(AB384="","-",IF(AB384="","",INDEX(시장분석!$AL:$AL,AB384)))</f>
        <v>Fair</v>
      </c>
      <c r="AS384" s="96" t="n">
        <f aca="false">IF(AB384="","",INDEX(시장분석!$AJ:$AJ,AB384))</f>
        <v>10.5783306598001</v>
      </c>
      <c r="AT384" s="93" t="n">
        <f aca="false">IF(AB384="",0,IF(AB384="","",INDEX(시장분석!$AN:$AN,AB384)))</f>
        <v>5.49741573626477</v>
      </c>
      <c r="AU384" s="94" t="n">
        <f aca="false">IF(ISNUMBER(Z384),AT384/10000*MAX(Z384-1,0)*AA384*1000000,0)</f>
        <v>7705.30714239163</v>
      </c>
      <c r="AV384" s="94" t="n">
        <f aca="false">AO384+AU384</f>
        <v>265557.706272392</v>
      </c>
      <c r="AW384" s="43" t="str">
        <f aca="false">IF(Q384&lt;&gt;1,"",TRIM(IF(AD384=1,"FRN ","")&amp;IF(AND(AL384&gt;=10,AL384&lt;99),"BBB0미만 ","")&amp;IF(AJ384="","등급없음 ","")&amp;IF(K384&lt;&gt;1,"비USD ","")&amp;IF(AND(AB384="",Y384=0),"시장데이터없음 ","")&amp;IF(AND(ISNUMBER(U384),U384&lt;0),"만기경과 ","")))</f>
        <v/>
      </c>
      <c r="AX384" s="90" t="n">
        <f aca="false">IF(Q384&lt;&gt;1,1,IF(스프레드쇼크!$C$4="Y",INDEX(스프레드쇼크!$B$12:$L$16,IFERROR(MATCH(AH384,스프레드쇼크!$A$12:$A$16,0),MATCH("목록외",스프레드쇼크!$A$12:$A$16,0)),IFERROR(MATCH(AG384,스프레드쇼크!$B$11:$L$11,0),MATCH("목록외",스프레드쇼크!$B$11:$L$11,0))),1))</f>
        <v>1</v>
      </c>
      <c r="AY384" s="90" t="n">
        <f aca="false">IF(스프레드쇼크!$C$5="Y",IF(ISNUMBER(AF384),MIN(스프레드쇼크!$C$7,MAX(스프레드쇼크!$C$6,AF384/스프레드쇼크!$C$8)),1),1)</f>
        <v>0.56328457773453</v>
      </c>
      <c r="AZ384" s="94" t="n">
        <f aca="false">AN384*AX384*AY384</f>
        <v>1057.98165964624</v>
      </c>
      <c r="BA384" s="90" t="n">
        <f aca="false">IF(ISNUMBER(G384),AA384*G384,0)</f>
        <v>25.785239913</v>
      </c>
      <c r="BB384" s="90" t="n">
        <f aca="false">IF(ISNUMBER(G384),AA384,0)</f>
        <v>4.76613</v>
      </c>
      <c r="BC384" s="90" t="n">
        <f aca="false">IF(AND(Y384=0,ISNUMBER(AF384)),AA384*AF384,0)</f>
        <v>177.49544733</v>
      </c>
      <c r="BD384" s="90" t="n">
        <f aca="false">IF(AND(Y384=0,ISNUMBER(AF384)),AA384,0)</f>
        <v>4.76613</v>
      </c>
      <c r="BE384" s="90" t="n">
        <f aca="false">IF(ISNUMBER(H384),AA384*H384,0)</f>
        <v>18.782365104</v>
      </c>
      <c r="BF384" s="90" t="n">
        <f aca="false">IF(ISNUMBER(H384),AA384,0)</f>
        <v>4.76613</v>
      </c>
      <c r="BG384" s="90" t="n">
        <f aca="false">IF(AND(Y384=0,ISNUMBER(AF384),ISNUMBER(Z384)),AA384*Z384,0)</f>
        <v>18.782365104</v>
      </c>
      <c r="BH384" s="90" t="n">
        <f aca="false">IF(AND(Y384=0,ISNUMBER(AF384),ISNUMBER(Z384)),AA384*AT384*MAX(Z384-1,0),0)</f>
        <v>77.0530714239163</v>
      </c>
      <c r="BI384" s="90" t="n">
        <f aca="false">IF(Y384=0,AA384,0)</f>
        <v>4.76613</v>
      </c>
    </row>
    <row r="385" customFormat="false" ht="15" hidden="false" customHeight="false" outlineLevel="0" collapsed="false">
      <c r="A385" s="83" t="str">
        <f aca="false">IFERROR(IF(INDEX(원자료_잔고!$A$1:$EZ$1500,설정!$L$5+ROW()-1,설정!$L$8)&amp;""="0","",INDEX(원자료_잔고!$A$1:$EZ$1500,설정!$L$5+ROW()-1,설정!$L$8)&amp;""),"")</f>
        <v>KORGAS 4.5 06/23/31</v>
      </c>
      <c r="B385" s="83" t="str">
        <f aca="false">IFERROR(IF(INDEX(원자료_잔고!$A$1:$EZ$1500,설정!$L$5+ROW()-1,설정!$L$7)&amp;""="0","",INDEX(원자료_잔고!$A$1:$EZ$1500,설정!$L$5+ROW()-1,설정!$L$7)&amp;""),"")</f>
        <v>USY48861DE86</v>
      </c>
      <c r="C385" s="83" t="str">
        <f aca="false">IFERROR(IF(INDEX(원자료_잔고!$A$1:$EZ$1500,설정!$L$5+ROW()-1,설정!$L$9)&amp;""="0","",INDEX(원자료_잔고!$A$1:$EZ$1500,설정!$L$5+ROW()-1,설정!$L$9)&amp;""),"")</f>
        <v>42003</v>
      </c>
      <c r="D38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5" s="84" t="n">
        <f aca="false">IFERROR(IF(ISNUMBER(INDEX(원자료_잔고!$A$1:$EZ$1500,설정!$L$5+ROW()-1,설정!$L$11)),INDEX(원자료_잔고!$A$1:$EZ$1500,설정!$L$5+ROW()-1,설정!$L$11),""),"")</f>
        <v>10000000</v>
      </c>
      <c r="F385" s="85" t="n">
        <f aca="false">IFERROR(IF(ISNUMBER(INDEX(원자료_잔고!$A$1:$EZ$1500,설정!$L$5+ROW()-1,설정!$L$12)),INDEX(원자료_잔고!$A$1:$EZ$1500,설정!$L$5+ROW()-1,설정!$L$12),""),"")</f>
        <v>96.0871</v>
      </c>
      <c r="G385" s="85" t="n">
        <f aca="false">IFERROR(IF(ISNUMBER(INDEX(원자료_잔고!$A$1:$EZ$1500,설정!$L$5+ROW()-1,설정!$L$13)),INDEX(원자료_잔고!$A$1:$EZ$1500,설정!$L$5+ROW()-1,설정!$L$13),""),"")</f>
        <v>5.4471</v>
      </c>
      <c r="H385" s="85" t="n">
        <f aca="false">IFERROR(IF(ISNUMBER(INDEX(원자료_잔고!$A$1:$EZ$1500,설정!$L$5+ROW()-1,설정!$L$14)),INDEX(원자료_잔고!$A$1:$EZ$1500,설정!$L$5+ROW()-1,설정!$L$14),""),"")</f>
        <v>4.0493</v>
      </c>
      <c r="I385" s="86" t="n">
        <f aca="false">IFERROR(IF(ISNUMBER(INDEX(원자료_잔고!$A$1:$EZ$1500,설정!$L$5+ROW()-1,설정!$L$15)),INDEX(원자료_잔고!$A$1:$EZ$1500,설정!$L$5+ROW()-1,설정!$L$15),""),"")</f>
        <v>48022</v>
      </c>
      <c r="J385" s="85" t="n">
        <f aca="false">IFERROR(IF(ISNUMBER(INDEX(원자료_잔고!$A$1:$EZ$1500,설정!$L$5+ROW()-1,설정!$L$16)),INDEX(원자료_잔고!$A$1:$EZ$1500,설정!$L$5+ROW()-1,설정!$L$16),""),"")</f>
        <v>4.5</v>
      </c>
      <c r="K385" s="87" t="n">
        <f aca="false">IFERROR(IF(ISNUMBER(INDEX(원자료_잔고!$A$1:$EZ$1500,설정!$L$5+ROW()-1,설정!$L$17)),INDEX(원자료_잔고!$A$1:$EZ$1500,설정!$L$5+ROW()-1,설정!$L$17),""),"")</f>
        <v>1</v>
      </c>
      <c r="L385" s="84" t="n">
        <f aca="false">IFERROR(IF(ISNUMBER(INDEX(원자료_잔고!$A$1:$EZ$1500,설정!$L$5+ROW()-1,설정!$L$18)),INDEX(원자료_잔고!$A$1:$EZ$1500,설정!$L$5+ROW()-1,설정!$L$18),""),"")</f>
        <v>9608710</v>
      </c>
      <c r="M385" s="88" t="n">
        <f aca="false">IFERROR(IF(ISNUMBER(INDEX(원자료_잔고!$A$1:$EZ$1500,설정!$L$5+ROW()-1,설정!$L$19)),INDEX(원자료_잔고!$A$1:$EZ$1500,설정!$L$5+ROW()-1,설정!$L$19),""),"")</f>
        <v>-392573.11</v>
      </c>
      <c r="N385" s="83" t="str">
        <f aca="false">IFERROR(IF(INDEX(원자료_잔고!$A$1:$EZ$1500,설정!$L$5+ROW()-1,설정!$L$21)&amp;""="0","",INDEX(원자료_잔고!$A$1:$EZ$1500,설정!$L$5+ROW()-1,설정!$L$21)&amp;""),"")</f>
        <v>AA</v>
      </c>
      <c r="O385" s="83" t="str">
        <f aca="false">IFERROR(IF(INDEX(원자료_잔고!$A$1:$EZ$1500,설정!$L$5+ROW()-1,설정!$L$22)&amp;""="0","",INDEX(원자료_잔고!$A$1:$EZ$1500,설정!$L$5+ROW()-1,설정!$L$22)&amp;""),"")</f>
        <v/>
      </c>
      <c r="P385" s="83" t="str">
        <f aca="false">IFERROR(IF(INDEX(원자료_잔고!$A$1:$EZ$1500,설정!$L$5+ROW()-1,설정!$L$23)&amp;""="0","",INDEX(원자료_잔고!$A$1:$EZ$1500,설정!$L$5+ROW()-1,설정!$L$23)&amp;""),"")</f>
        <v>N/A</v>
      </c>
      <c r="Q385" s="89" t="n">
        <f aca="false">IF(AND($A385&lt;&gt;"",ISNUMBER(E385)),IF(E385&gt;0,1,0),0)</f>
        <v>1</v>
      </c>
      <c r="R385" s="43" t="str">
        <f aca="false">IF(Q385=1,UPPER(LEFT($A385,FIND(" ",$A385&amp;" ")-1)),"")</f>
        <v>KORGAS</v>
      </c>
      <c r="S385" s="89" t="n">
        <f aca="false">IF(Q385=1,IF(OR(ISNUMBER(SEARCH("Float",$A385)),ISNUMBER(SEARCH("FRN",$A385))),1,0),0)</f>
        <v>0</v>
      </c>
      <c r="T385" s="43" t="str">
        <f aca="false">IF(AND(Q385=1,ISNUMBER(I385)),TEXT(I385,"yyyymmdd")&amp;"|"&amp;IF(S385=1,"F",TEXT(J385,"0.000")),"")</f>
        <v>20310623|4.500</v>
      </c>
      <c r="U385" s="90" t="n">
        <f aca="false">IF(AND(Q385=1,ISNUMBER(I385)),(I385-설정!$C$4)/365.25,"")</f>
        <v>4.72553045859001</v>
      </c>
      <c r="V385" s="43" t="str">
        <f aca="false">IF(Q385&lt;&gt;1,"",IF(ISNUMBER(U385),IF(U385&lt;=1,"1년 이하",IF(U385&lt;=2,"1-2년",IF(U385&lt;=3,"2-3년",IF(U385&lt;=4,"3-4년",IF(U385&lt;=5,"4-5년",IF(U385&lt;=7,"5-7년",IF(U385&lt;=10,"7-10년",IF(U385&lt;=20,"10-20년","20년 이상")))))))),"미분류"))</f>
        <v>4-5년</v>
      </c>
      <c r="W385" s="43" t="str">
        <f aca="false">IF(Q385&lt;&gt;1,"",IF(AB385&lt;&gt;"",INDEX(시장분석!$C:$C,AB385),IF(K385=1,"USD","비USD")))</f>
        <v>USD</v>
      </c>
      <c r="X385" s="91" t="n">
        <f aca="false">IF(Q385=1,E385*K385/1000000,0)</f>
        <v>10</v>
      </c>
      <c r="Y385" s="89" t="n">
        <f aca="false">IF(R385="T",1,0)</f>
        <v>0</v>
      </c>
      <c r="Z385" s="92" t="n">
        <f aca="false">IF(Q385&lt;&gt;1,"",IF(AD385=1,IF(ISNUMBER(U385),MAX(U385,0),H385),H385))</f>
        <v>4.0493</v>
      </c>
      <c r="AA385" s="91" t="n">
        <f aca="false">IF(Q385=1,IF(ISNUMBER(L385),L385,0)*K385/1000000,0)</f>
        <v>9.60871</v>
      </c>
      <c r="AB385" s="89" t="n">
        <f aca="false">IF(Q385&lt;&gt;1,"",IFERROR(MATCH(VLOOKUP(B385,매핑!$H$4:$I$15,2,0),시장분석!$A$2:$A$601,0)+1,IFERROR(MATCH(R385&amp;"|"&amp;T385,시장분석!$V$2:$V$601,0)+1,IF(COUNTIF(시장분석!$U$2:$U$601,T385)=1,MATCH(T385,시장분석!$U$2:$U$601,0)+1,""))))</f>
        <v>163</v>
      </c>
      <c r="AC385" s="89" t="n">
        <f aca="false">IF(Q385&lt;&gt;1,0,IF(OR(설정!$C$5="전체",AND(설정!$C$5="선택펀드",IFERROR(COUNTIFS(설정!$F$16:$F$36,C385,설정!$G$16:$G$36,"Y")+COUNTIFS(설정!$F$16:$F$36,VALUE(C385),설정!$G$16:$G$36,"Y"),0)&gt;0),C385&amp;""=설정!$C$5&amp;""),1,0))</f>
        <v>0</v>
      </c>
      <c r="AD385" s="89" t="n">
        <f aca="false">IF(Q385&lt;&gt;1,0,IF(OR(S385=1,IF(AB385="",FALSE(),INDEX(시장분석!$R:$R,AB385)=1)),1,0))</f>
        <v>0</v>
      </c>
      <c r="AE385" s="43" t="str">
        <f aca="false">IF(AB385="","",INDEX(시장분석!$A:$A,AB385))</f>
        <v>KORGAS 4 1/2 06/23/31</v>
      </c>
      <c r="AF385" s="93" t="n">
        <f aca="false">IF(AB385="","",IF(ISNUMBER(IF(AB385="","",INDEX(시장분석!$E:$E,AB385))),IF(AB385="","",INDEX(시장분석!$E:$E,AB385)),""))</f>
        <v>41.416</v>
      </c>
      <c r="AG385" s="43" t="str">
        <f aca="false">IF(Q385&lt;&gt;1,"",IF(AB385&lt;&gt;"",IF(AB385="","",INDEX(시장분석!$L:$L,AB385)),IFERROR(IF(VLOOKUP(R385,매핑!$A$4:$E$92,5,0)="","미분류",VLOOKUP(R385,매핑!$A$4:$E$92,5,0)),"미분류")))</f>
        <v>정부</v>
      </c>
      <c r="AH385" s="43" t="str">
        <f aca="false">IF(Q385&lt;&gt;1,"",IF(AB385&lt;&gt;"",IF(AB385="","",INDEX(시장분석!$N:$N,AB385)),IFERROR(IF(VLOOKUP(R385,매핑!$A$4:$E$92,4,0)="","미분류",VLOOKUP(R385,매핑!$A$4:$E$92,4,0)),"미분류")))</f>
        <v>아시아/기타</v>
      </c>
      <c r="AI385" s="43" t="str">
        <f aca="false">IF(Q385&lt;&gt;1,"",IFERROR(IF(VLOOKUP(R385,매핑!$A$4:$E$92,3,0)="","미분류",VLOOKUP(R385,매핑!$A$4:$E$92,3,0)),IF(AB385&lt;&gt;"",IF(AB385="","",INDEX(시장분석!$W:$W,AB385)),"미분류")))</f>
        <v>한국</v>
      </c>
      <c r="AJ385" s="43" t="str">
        <f aca="false">IF(Q385&lt;&gt;1,"",IFERROR(VLOOKUP(IF(N385&lt;&gt;"",N385,IF(P385&lt;&gt;"",P385,O385)),설정!$A$15:$D$47,2,0),""))</f>
        <v>AA</v>
      </c>
      <c r="AK385" s="43" t="str">
        <f aca="false">IF(Q385&lt;&gt;1,"",IF(AJ385="","무등급",IFERROR(VLOOKUP(AJ385,설정!$A$15:$D$47,3,0),"무등급")))</f>
        <v>AA이상</v>
      </c>
      <c r="AL385" s="89" t="n">
        <f aca="false">IF(AJ385="",99,IFERROR(VLOOKUP(AJ385,설정!$A$15:$D$47,4,0),99))</f>
        <v>3</v>
      </c>
      <c r="AM385" s="94" t="n">
        <f aca="false">IF(ISNUMBER(H385),AA385*1000000*H385/10000,0)</f>
        <v>3890.8549403</v>
      </c>
      <c r="AN385" s="94" t="n">
        <f aca="false">IF(OR(Y385=1,NOT(ISNUMBER(Z385))),0,AA385*1000000*Z385/10000)</f>
        <v>3890.8549403</v>
      </c>
      <c r="AO385" s="94" t="n">
        <f aca="false">IF(ISNUMBER(G385),AA385*1000000*G385/100,0)</f>
        <v>523396.04241</v>
      </c>
      <c r="AP385" s="94" t="n">
        <f aca="false">IF(ISNUMBER(M385),M385*K385,0)</f>
        <v>-392573.11</v>
      </c>
      <c r="AQ385" s="95" t="n">
        <f aca="false">IF(AB385="","",INDEX(시장분석!$AK:$AK,AB385))</f>
        <v>1.04004247402059</v>
      </c>
      <c r="AR385" s="43" t="str">
        <f aca="false">IF(AB385="","-",IF(AB385="","",INDEX(시장분석!$AL:$AL,AB385)))</f>
        <v>Cheap</v>
      </c>
      <c r="AS385" s="96" t="n">
        <f aca="false">IF(AB385="","",INDEX(시장분석!$AJ:$AJ,AB385))</f>
        <v>14.2413266770531</v>
      </c>
      <c r="AT385" s="93" t="n">
        <f aca="false">IF(AB385="",0,IF(AB385="","",INDEX(시장분석!$AN:$AN,AB385)))</f>
        <v>5.33693623475852</v>
      </c>
      <c r="AU385" s="94" t="n">
        <f aca="false">IF(ISNUMBER(Z385),AT385/10000*MAX(Z385-1,0)*AA385*1000000,0)</f>
        <v>15637.1374582476</v>
      </c>
      <c r="AV385" s="94" t="n">
        <f aca="false">AO385+AU385</f>
        <v>539033.179868248</v>
      </c>
      <c r="AW385" s="43" t="str">
        <f aca="false">IF(Q385&lt;&gt;1,"",TRIM(IF(AD385=1,"FRN ","")&amp;IF(AND(AL385&gt;=10,AL385&lt;99),"BBB0미만 ","")&amp;IF(AJ385="","등급없음 ","")&amp;IF(K385&lt;&gt;1,"비USD ","")&amp;IF(AND(AB385="",Y385=0),"시장데이터없음 ","")&amp;IF(AND(ISNUMBER(U385),U385&lt;0),"만기경과 ","")))</f>
        <v/>
      </c>
      <c r="AX385" s="90" t="n">
        <f aca="false">IF(Q385&lt;&gt;1,1,IF(스프레드쇼크!$C$4="Y",INDEX(스프레드쇼크!$B$12:$L$16,IFERROR(MATCH(AH385,스프레드쇼크!$A$12:$A$16,0),MATCH("목록외",스프레드쇼크!$A$12:$A$16,0)),IFERROR(MATCH(AG385,스프레드쇼크!$B$11:$L$11,0),MATCH("목록외",스프레드쇼크!$B$11:$L$11,0))),1))</f>
        <v>1</v>
      </c>
      <c r="AY385" s="90" t="n">
        <f aca="false">IF(스프레드쇼크!$C$5="Y",IF(ISNUMBER(AF385),MIN(스프레드쇼크!$C$7,MAX(스프레드쇼크!$C$6,AF385/스프레드쇼크!$C$8)),1),1)</f>
        <v>0.626433072996248</v>
      </c>
      <c r="AZ385" s="94" t="n">
        <f aca="false">AN385*AX385*AY385</f>
        <v>2437.36021683476</v>
      </c>
      <c r="BA385" s="90" t="n">
        <f aca="false">IF(ISNUMBER(G385),AA385*G385,0)</f>
        <v>52.339604241</v>
      </c>
      <c r="BB385" s="90" t="n">
        <f aca="false">IF(ISNUMBER(G385),AA385,0)</f>
        <v>9.60871</v>
      </c>
      <c r="BC385" s="90" t="n">
        <f aca="false">IF(AND(Y385=0,ISNUMBER(AF385)),AA385*AF385,0)</f>
        <v>397.95433336</v>
      </c>
      <c r="BD385" s="90" t="n">
        <f aca="false">IF(AND(Y385=0,ISNUMBER(AF385)),AA385,0)</f>
        <v>9.60871</v>
      </c>
      <c r="BE385" s="90" t="n">
        <f aca="false">IF(ISNUMBER(H385),AA385*H385,0)</f>
        <v>38.908549403</v>
      </c>
      <c r="BF385" s="90" t="n">
        <f aca="false">IF(ISNUMBER(H385),AA385,0)</f>
        <v>9.60871</v>
      </c>
      <c r="BG385" s="90" t="n">
        <f aca="false">IF(AND(Y385=0,ISNUMBER(AF385),ISNUMBER(Z385)),AA385*Z385,0)</f>
        <v>38.908549403</v>
      </c>
      <c r="BH385" s="90" t="n">
        <f aca="false">IF(AND(Y385=0,ISNUMBER(AF385),ISNUMBER(Z385)),AA385*AT385*MAX(Z385-1,0),0)</f>
        <v>156.371374582476</v>
      </c>
      <c r="BI385" s="90" t="n">
        <f aca="false">IF(Y385=0,AA385,0)</f>
        <v>9.60871</v>
      </c>
    </row>
    <row r="386" customFormat="false" ht="15" hidden="false" customHeight="false" outlineLevel="0" collapsed="false">
      <c r="A386" s="83" t="str">
        <f aca="false">IFERROR(IF(INDEX(원자료_잔고!$A$1:$EZ$1500,설정!$L$5+ROW()-1,설정!$L$8)&amp;""="0","",INDEX(원자료_잔고!$A$1:$EZ$1500,설정!$L$5+ROW()-1,설정!$L$8)&amp;""),"")</f>
        <v>KOHNPW 4.5 06/16/31</v>
      </c>
      <c r="B386" s="83" t="str">
        <f aca="false">IFERROR(IF(INDEX(원자료_잔고!$A$1:$EZ$1500,설정!$L$5+ROW()-1,설정!$L$7)&amp;""="0","",INDEX(원자료_잔고!$A$1:$EZ$1500,설정!$L$5+ROW()-1,설정!$L$7)&amp;""),"")</f>
        <v>USY4899GHF38</v>
      </c>
      <c r="C386" s="83" t="str">
        <f aca="false">IFERROR(IF(INDEX(원자료_잔고!$A$1:$EZ$1500,설정!$L$5+ROW()-1,설정!$L$9)&amp;""="0","",INDEX(원자료_잔고!$A$1:$EZ$1500,설정!$L$5+ROW()-1,설정!$L$9)&amp;""),"")</f>
        <v>42003</v>
      </c>
      <c r="D38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6" s="84" t="n">
        <f aca="false">IFERROR(IF(ISNUMBER(INDEX(원자료_잔고!$A$1:$EZ$1500,설정!$L$5+ROW()-1,설정!$L$11)),INDEX(원자료_잔고!$A$1:$EZ$1500,설정!$L$5+ROW()-1,설정!$L$11),""),"")</f>
        <v>6000000</v>
      </c>
      <c r="F386" s="85" t="n">
        <f aca="false">IFERROR(IF(ISNUMBER(INDEX(원자료_잔고!$A$1:$EZ$1500,설정!$L$5+ROW()-1,설정!$L$12)),INDEX(원자료_잔고!$A$1:$EZ$1500,설정!$L$5+ROW()-1,설정!$L$12),""),"")</f>
        <v>96.0291</v>
      </c>
      <c r="G386" s="85" t="n">
        <f aca="false">IFERROR(IF(ISNUMBER(INDEX(원자료_잔고!$A$1:$EZ$1500,설정!$L$5+ROW()-1,설정!$L$13)),INDEX(원자료_잔고!$A$1:$EZ$1500,설정!$L$5+ROW()-1,설정!$L$13),""),"")</f>
        <v>5.4649</v>
      </c>
      <c r="H386" s="85" t="n">
        <f aca="false">IFERROR(IF(ISNUMBER(INDEX(원자료_잔고!$A$1:$EZ$1500,설정!$L$5+ROW()-1,설정!$L$14)),INDEX(원자료_잔고!$A$1:$EZ$1500,설정!$L$5+ROW()-1,설정!$L$14),""),"")</f>
        <v>4.0286</v>
      </c>
      <c r="I386" s="86" t="n">
        <f aca="false">IFERROR(IF(ISNUMBER(INDEX(원자료_잔고!$A$1:$EZ$1500,설정!$L$5+ROW()-1,설정!$L$15)),INDEX(원자료_잔고!$A$1:$EZ$1500,설정!$L$5+ROW()-1,설정!$L$15),""),"")</f>
        <v>48015</v>
      </c>
      <c r="J386" s="85" t="n">
        <f aca="false">IFERROR(IF(ISNUMBER(INDEX(원자료_잔고!$A$1:$EZ$1500,설정!$L$5+ROW()-1,설정!$L$16)),INDEX(원자료_잔고!$A$1:$EZ$1500,설정!$L$5+ROW()-1,설정!$L$16),""),"")</f>
        <v>4.5</v>
      </c>
      <c r="K386" s="87" t="n">
        <f aca="false">IFERROR(IF(ISNUMBER(INDEX(원자료_잔고!$A$1:$EZ$1500,설정!$L$5+ROW()-1,설정!$L$17)),INDEX(원자료_잔고!$A$1:$EZ$1500,설정!$L$5+ROW()-1,설정!$L$17),""),"")</f>
        <v>1</v>
      </c>
      <c r="L386" s="84" t="n">
        <f aca="false">IFERROR(IF(ISNUMBER(INDEX(원자료_잔고!$A$1:$EZ$1500,설정!$L$5+ROW()-1,설정!$L$18)),INDEX(원자료_잔고!$A$1:$EZ$1500,설정!$L$5+ROW()-1,설정!$L$18),""),"")</f>
        <v>5761746</v>
      </c>
      <c r="M386" s="88" t="n">
        <f aca="false">IFERROR(IF(ISNUMBER(INDEX(원자료_잔고!$A$1:$EZ$1500,설정!$L$5+ROW()-1,설정!$L$19)),INDEX(원자료_잔고!$A$1:$EZ$1500,설정!$L$5+ROW()-1,설정!$L$19),""),"")</f>
        <v>-191955.47</v>
      </c>
      <c r="N386" s="83" t="str">
        <f aca="false">IFERROR(IF(INDEX(원자료_잔고!$A$1:$EZ$1500,설정!$L$5+ROW()-1,설정!$L$21)&amp;""="0","",INDEX(원자료_잔고!$A$1:$EZ$1500,설정!$L$5+ROW()-1,설정!$L$21)&amp;""),"")</f>
        <v/>
      </c>
      <c r="O386" s="83" t="str">
        <f aca="false">IFERROR(IF(INDEX(원자료_잔고!$A$1:$EZ$1500,설정!$L$5+ROW()-1,설정!$L$22)&amp;""="0","",INDEX(원자료_잔고!$A$1:$EZ$1500,설정!$L$5+ROW()-1,설정!$L$22)&amp;""),"")</f>
        <v/>
      </c>
      <c r="P386" s="83" t="str">
        <f aca="false">IFERROR(IF(INDEX(원자료_잔고!$A$1:$EZ$1500,설정!$L$5+ROW()-1,설정!$L$23)&amp;""="0","",INDEX(원자료_잔고!$A$1:$EZ$1500,설정!$L$5+ROW()-1,설정!$L$23)&amp;""),"")</f>
        <v>AA-</v>
      </c>
      <c r="Q386" s="89" t="n">
        <f aca="false">IF(AND($A386&lt;&gt;"",ISNUMBER(E386)),IF(E386&gt;0,1,0),0)</f>
        <v>1</v>
      </c>
      <c r="R386" s="43" t="str">
        <f aca="false">IF(Q386=1,UPPER(LEFT($A386,FIND(" ",$A386&amp;" ")-1)),"")</f>
        <v>KOHNPW</v>
      </c>
      <c r="S386" s="89" t="n">
        <f aca="false">IF(Q386=1,IF(OR(ISNUMBER(SEARCH("Float",$A386)),ISNUMBER(SEARCH("FRN",$A386))),1,0),0)</f>
        <v>0</v>
      </c>
      <c r="T386" s="43" t="str">
        <f aca="false">IF(AND(Q386=1,ISNUMBER(I386)),TEXT(I386,"yyyymmdd")&amp;"|"&amp;IF(S386=1,"F",TEXT(J386,"0.000")),"")</f>
        <v>20310616|4.500</v>
      </c>
      <c r="U386" s="90" t="n">
        <f aca="false">IF(AND(Q386=1,ISNUMBER(I386)),(I386-설정!$C$4)/365.25,"")</f>
        <v>4.70636550308008</v>
      </c>
      <c r="V386" s="43" t="str">
        <f aca="false">IF(Q386&lt;&gt;1,"",IF(ISNUMBER(U386),IF(U386&lt;=1,"1년 이하",IF(U386&lt;=2,"1-2년",IF(U386&lt;=3,"2-3년",IF(U386&lt;=4,"3-4년",IF(U386&lt;=5,"4-5년",IF(U386&lt;=7,"5-7년",IF(U386&lt;=10,"7-10년",IF(U386&lt;=20,"10-20년","20년 이상")))))))),"미분류"))</f>
        <v>4-5년</v>
      </c>
      <c r="W386" s="43" t="str">
        <f aca="false">IF(Q386&lt;&gt;1,"",IF(AB386&lt;&gt;"",INDEX(시장분석!$C:$C,AB386),IF(K386=1,"USD","비USD")))</f>
        <v>USD</v>
      </c>
      <c r="X386" s="91" t="n">
        <f aca="false">IF(Q386=1,E386*K386/1000000,0)</f>
        <v>6</v>
      </c>
      <c r="Y386" s="89" t="n">
        <f aca="false">IF(R386="T",1,0)</f>
        <v>0</v>
      </c>
      <c r="Z386" s="92" t="n">
        <f aca="false">IF(Q386&lt;&gt;1,"",IF(AD386=1,IF(ISNUMBER(U386),MAX(U386,0),H386),H386))</f>
        <v>4.0286</v>
      </c>
      <c r="AA386" s="91" t="n">
        <f aca="false">IF(Q386=1,IF(ISNUMBER(L386),L386,0)*K386/1000000,0)</f>
        <v>5.761746</v>
      </c>
      <c r="AB386" s="89" t="n">
        <f aca="false">IF(Q386&lt;&gt;1,"",IFERROR(MATCH(VLOOKUP(B386,매핑!$H$4:$I$15,2,0),시장분석!$A$2:$A$601,0)+1,IFERROR(MATCH(R386&amp;"|"&amp;T386,시장분석!$V$2:$V$601,0)+1,IF(COUNTIF(시장분석!$U$2:$U$601,T386)=1,MATCH(T386,시장분석!$U$2:$U$601,0)+1,""))))</f>
        <v>165</v>
      </c>
      <c r="AC386" s="89" t="n">
        <f aca="false">IF(Q386&lt;&gt;1,0,IF(OR(설정!$C$5="전체",AND(설정!$C$5="선택펀드",IFERROR(COUNTIFS(설정!$F$16:$F$36,C386,설정!$G$16:$G$36,"Y")+COUNTIFS(설정!$F$16:$F$36,VALUE(C386),설정!$G$16:$G$36,"Y"),0)&gt;0),C386&amp;""=설정!$C$5&amp;""),1,0))</f>
        <v>0</v>
      </c>
      <c r="AD386" s="89" t="n">
        <f aca="false">IF(Q386&lt;&gt;1,0,IF(OR(S386=1,IF(AB386="",FALSE(),INDEX(시장분석!$R:$R,AB386)=1)),1,0))</f>
        <v>0</v>
      </c>
      <c r="AE386" s="43" t="str">
        <f aca="false">IF(AB386="","",INDEX(시장분석!$A:$A,AB386))</f>
        <v>KOHNPW 4 1/2 06/16/31</v>
      </c>
      <c r="AF386" s="93" t="n">
        <f aca="false">IF(AB386="","",IF(ISNUMBER(IF(AB386="","",INDEX(시장분석!$E:$E,AB386))),IF(AB386="","",INDEX(시장분석!$E:$E,AB386)),""))</f>
        <v>44.295</v>
      </c>
      <c r="AG386" s="43" t="str">
        <f aca="false">IF(Q386&lt;&gt;1,"",IF(AB386&lt;&gt;"",IF(AB386="","",INDEX(시장분석!$L:$L,AB386)),IFERROR(IF(VLOOKUP(R386,매핑!$A$4:$E$92,5,0)="","미분류",VLOOKUP(R386,매핑!$A$4:$E$92,5,0)),"미분류")))</f>
        <v>유틸리티</v>
      </c>
      <c r="AH386" s="43" t="str">
        <f aca="false">IF(Q386&lt;&gt;1,"",IF(AB386&lt;&gt;"",IF(AB386="","",INDEX(시장분석!$N:$N,AB386)),IFERROR(IF(VLOOKUP(R386,매핑!$A$4:$E$92,4,0)="","미분류",VLOOKUP(R386,매핑!$A$4:$E$92,4,0)),"미분류")))</f>
        <v>아시아/기타</v>
      </c>
      <c r="AI386" s="43" t="str">
        <f aca="false">IF(Q386&lt;&gt;1,"",IFERROR(IF(VLOOKUP(R386,매핑!$A$4:$E$92,3,0)="","미분류",VLOOKUP(R386,매핑!$A$4:$E$92,3,0)),IF(AB386&lt;&gt;"",IF(AB386="","",INDEX(시장분석!$W:$W,AB386)),"미분류")))</f>
        <v>한국</v>
      </c>
      <c r="AJ386" s="43" t="str">
        <f aca="false">IF(Q386&lt;&gt;1,"",IFERROR(VLOOKUP(IF(N386&lt;&gt;"",N386,IF(P386&lt;&gt;"",P386,O386)),설정!$A$15:$D$47,2,0),""))</f>
        <v>AA-</v>
      </c>
      <c r="AK386" s="43" t="str">
        <f aca="false">IF(Q386&lt;&gt;1,"",IF(AJ386="","무등급",IFERROR(VLOOKUP(AJ386,설정!$A$15:$D$47,3,0),"무등급")))</f>
        <v>AA이상</v>
      </c>
      <c r="AL386" s="89" t="n">
        <f aca="false">IF(AJ386="",99,IFERROR(VLOOKUP(AJ386,설정!$A$15:$D$47,4,0),99))</f>
        <v>4</v>
      </c>
      <c r="AM386" s="94" t="n">
        <f aca="false">IF(ISNUMBER(H386),AA386*1000000*H386/10000,0)</f>
        <v>2321.17699356</v>
      </c>
      <c r="AN386" s="94" t="n">
        <f aca="false">IF(OR(Y386=1,NOT(ISNUMBER(Z386))),0,AA386*1000000*Z386/10000)</f>
        <v>2321.17699356</v>
      </c>
      <c r="AO386" s="94" t="n">
        <f aca="false">IF(ISNUMBER(G386),AA386*1000000*G386/100,0)</f>
        <v>314873.657154</v>
      </c>
      <c r="AP386" s="94" t="n">
        <f aca="false">IF(ISNUMBER(M386),M386*K386,0)</f>
        <v>-191955.47</v>
      </c>
      <c r="AQ386" s="95" t="n">
        <f aca="false">IF(AB386="","",INDEX(시장분석!$AK:$AK,AB386))</f>
        <v>-0.813959297649171</v>
      </c>
      <c r="AR386" s="43" t="str">
        <f aca="false">IF(AB386="","-",IF(AB386="","",INDEX(시장분석!$AL:$AL,AB386)))</f>
        <v>Fair</v>
      </c>
      <c r="AS386" s="96" t="n">
        <f aca="false">IF(AB386="","",INDEX(시장분석!$AJ:$AJ,AB386))</f>
        <v>-4.36056773961873</v>
      </c>
      <c r="AT386" s="93" t="n">
        <f aca="false">IF(AB386="",0,IF(AB386="","",INDEX(시장분석!$AN:$AN,AB386)))</f>
        <v>10.1976423538441</v>
      </c>
      <c r="AU386" s="94" t="n">
        <f aca="false">IF(ISNUMBER(Z386),AT386/10000*MAX(Z386-1,0)*AA386*1000000,0)</f>
        <v>17794.9103161268</v>
      </c>
      <c r="AV386" s="94" t="n">
        <f aca="false">AO386+AU386</f>
        <v>332668.567470127</v>
      </c>
      <c r="AW386" s="43" t="str">
        <f aca="false">IF(Q386&lt;&gt;1,"",TRIM(IF(AD386=1,"FRN ","")&amp;IF(AND(AL386&gt;=10,AL386&lt;99),"BBB0미만 ","")&amp;IF(AJ386="","등급없음 ","")&amp;IF(K386&lt;&gt;1,"비USD ","")&amp;IF(AND(AB386="",Y386=0),"시장데이터없음 ","")&amp;IF(AND(ISNUMBER(U386),U386&lt;0),"만기경과 ","")))</f>
        <v/>
      </c>
      <c r="AX386" s="90" t="n">
        <f aca="false">IF(Q386&lt;&gt;1,1,IF(스프레드쇼크!$C$4="Y",INDEX(스프레드쇼크!$B$12:$L$16,IFERROR(MATCH(AH386,스프레드쇼크!$A$12:$A$16,0),MATCH("목록외",스프레드쇼크!$A$12:$A$16,0)),IFERROR(MATCH(AG386,스프레드쇼크!$B$11:$L$11,0),MATCH("목록외",스프레드쇼크!$B$11:$L$11,0))),1))</f>
        <v>1</v>
      </c>
      <c r="AY386" s="90" t="n">
        <f aca="false">IF(스프레드쇼크!$C$5="Y",IF(ISNUMBER(AF386),MIN(스프레드쇼크!$C$7,MAX(스프레드쇼크!$C$6,AF386/스프레드쇼크!$C$8)),1),1)</f>
        <v>0.669979065297682</v>
      </c>
      <c r="AZ386" s="94" t="n">
        <f aca="false">AN386*AX386*AY386</f>
        <v>1555.13999253581</v>
      </c>
      <c r="BA386" s="90" t="n">
        <f aca="false">IF(ISNUMBER(G386),AA386*G386,0)</f>
        <v>31.4873657154</v>
      </c>
      <c r="BB386" s="90" t="n">
        <f aca="false">IF(ISNUMBER(G386),AA386,0)</f>
        <v>5.761746</v>
      </c>
      <c r="BC386" s="90" t="n">
        <f aca="false">IF(AND(Y386=0,ISNUMBER(AF386)),AA386*AF386,0)</f>
        <v>255.21653907</v>
      </c>
      <c r="BD386" s="90" t="n">
        <f aca="false">IF(AND(Y386=0,ISNUMBER(AF386)),AA386,0)</f>
        <v>5.761746</v>
      </c>
      <c r="BE386" s="90" t="n">
        <f aca="false">IF(ISNUMBER(H386),AA386*H386,0)</f>
        <v>23.2117699356</v>
      </c>
      <c r="BF386" s="90" t="n">
        <f aca="false">IF(ISNUMBER(H386),AA386,0)</f>
        <v>5.761746</v>
      </c>
      <c r="BG386" s="90" t="n">
        <f aca="false">IF(AND(Y386=0,ISNUMBER(AF386),ISNUMBER(Z386)),AA386*Z386,0)</f>
        <v>23.2117699356</v>
      </c>
      <c r="BH386" s="90" t="n">
        <f aca="false">IF(AND(Y386=0,ISNUMBER(AF386),ISNUMBER(Z386)),AA386*AT386*MAX(Z386-1,0),0)</f>
        <v>177.949103161268</v>
      </c>
      <c r="BI386" s="90" t="n">
        <f aca="false">IF(Y386=0,AA386,0)</f>
        <v>5.761746</v>
      </c>
    </row>
    <row r="387" customFormat="false" ht="15" hidden="false" customHeight="false" outlineLevel="0" collapsed="false">
      <c r="A387" s="83" t="str">
        <f aca="false">IFERROR(IF(INDEX(원자료_잔고!$A$1:$EZ$1500,설정!$L$5+ROW()-1,설정!$L$8)&amp;""="0","",INDEX(원자료_잔고!$A$1:$EZ$1500,설정!$L$5+ROW()-1,설정!$L$8)&amp;""),"")</f>
        <v>KORELE 4.125 11/12/30</v>
      </c>
      <c r="B387" s="83" t="str">
        <f aca="false">IFERROR(IF(INDEX(원자료_잔고!$A$1:$EZ$1500,설정!$L$5+ROW()-1,설정!$L$7)&amp;""="0","",INDEX(원자료_잔고!$A$1:$EZ$1500,설정!$L$5+ROW()-1,설정!$L$7)&amp;""),"")</f>
        <v>USY4907LAR34</v>
      </c>
      <c r="C387" s="83" t="str">
        <f aca="false">IFERROR(IF(INDEX(원자료_잔고!$A$1:$EZ$1500,설정!$L$5+ROW()-1,설정!$L$9)&amp;""="0","",INDEX(원자료_잔고!$A$1:$EZ$1500,설정!$L$5+ROW()-1,설정!$L$9)&amp;""),"")</f>
        <v>42003</v>
      </c>
      <c r="D38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7" s="84" t="n">
        <f aca="false">IFERROR(IF(ISNUMBER(INDEX(원자료_잔고!$A$1:$EZ$1500,설정!$L$5+ROW()-1,설정!$L$11)),INDEX(원자료_잔고!$A$1:$EZ$1500,설정!$L$5+ROW()-1,설정!$L$11),""),"")</f>
        <v>200000</v>
      </c>
      <c r="F387" s="85" t="n">
        <f aca="false">IFERROR(IF(ISNUMBER(INDEX(원자료_잔고!$A$1:$EZ$1500,설정!$L$5+ROW()-1,설정!$L$12)),INDEX(원자료_잔고!$A$1:$EZ$1500,설정!$L$5+ROW()-1,설정!$L$12),""),"")</f>
        <v>95.403</v>
      </c>
      <c r="G387" s="85" t="n">
        <f aca="false">IFERROR(IF(ISNUMBER(INDEX(원자료_잔고!$A$1:$EZ$1500,설정!$L$5+ROW()-1,설정!$L$13)),INDEX(원자료_잔고!$A$1:$EZ$1500,설정!$L$5+ROW()-1,설정!$L$13),""),"")</f>
        <v>5.3826</v>
      </c>
      <c r="H387" s="85" t="n">
        <f aca="false">IFERROR(IF(ISNUMBER(INDEX(원자료_잔고!$A$1:$EZ$1500,설정!$L$5+ROW()-1,설정!$L$14)),INDEX(원자료_잔고!$A$1:$EZ$1500,설정!$L$5+ROW()-1,설정!$L$14),""),"")</f>
        <v>3.5793</v>
      </c>
      <c r="I387" s="86" t="n">
        <f aca="false">IFERROR(IF(ISNUMBER(INDEX(원자료_잔고!$A$1:$EZ$1500,설정!$L$5+ROW()-1,설정!$L$15)),INDEX(원자료_잔고!$A$1:$EZ$1500,설정!$L$5+ROW()-1,설정!$L$15),""),"")</f>
        <v>47799</v>
      </c>
      <c r="J387" s="85" t="n">
        <f aca="false">IFERROR(IF(ISNUMBER(INDEX(원자료_잔고!$A$1:$EZ$1500,설정!$L$5+ROW()-1,설정!$L$16)),INDEX(원자료_잔고!$A$1:$EZ$1500,설정!$L$5+ROW()-1,설정!$L$16),""),"")</f>
        <v>4.125</v>
      </c>
      <c r="K387" s="87" t="n">
        <f aca="false">IFERROR(IF(ISNUMBER(INDEX(원자료_잔고!$A$1:$EZ$1500,설정!$L$5+ROW()-1,설정!$L$17)),INDEX(원자료_잔고!$A$1:$EZ$1500,설정!$L$5+ROW()-1,설정!$L$17),""),"")</f>
        <v>1</v>
      </c>
      <c r="L387" s="84" t="n">
        <f aca="false">IFERROR(IF(ISNUMBER(INDEX(원자료_잔고!$A$1:$EZ$1500,설정!$L$5+ROW()-1,설정!$L$18)),INDEX(원자료_잔고!$A$1:$EZ$1500,설정!$L$5+ROW()-1,설정!$L$18),""),"")</f>
        <v>190806</v>
      </c>
      <c r="M387" s="88" t="n">
        <f aca="false">IFERROR(IF(ISNUMBER(INDEX(원자료_잔고!$A$1:$EZ$1500,설정!$L$5+ROW()-1,설정!$L$19)),INDEX(원자료_잔고!$A$1:$EZ$1500,설정!$L$5+ROW()-1,설정!$L$19),""),"")</f>
        <v>-9372.2</v>
      </c>
      <c r="N387" s="83" t="str">
        <f aca="false">IFERROR(IF(INDEX(원자료_잔고!$A$1:$EZ$1500,설정!$L$5+ROW()-1,설정!$L$21)&amp;""="0","",INDEX(원자료_잔고!$A$1:$EZ$1500,설정!$L$5+ROW()-1,설정!$L$21)&amp;""),"")</f>
        <v>AA</v>
      </c>
      <c r="O387" s="83" t="str">
        <f aca="false">IFERROR(IF(INDEX(원자료_잔고!$A$1:$EZ$1500,설정!$L$5+ROW()-1,설정!$L$22)&amp;""="0","",INDEX(원자료_잔고!$A$1:$EZ$1500,설정!$L$5+ROW()-1,설정!$L$22)&amp;""),"")</f>
        <v/>
      </c>
      <c r="P387" s="83" t="str">
        <f aca="false">IFERROR(IF(INDEX(원자료_잔고!$A$1:$EZ$1500,설정!$L$5+ROW()-1,설정!$L$23)&amp;""="0","",INDEX(원자료_잔고!$A$1:$EZ$1500,설정!$L$5+ROW()-1,설정!$L$23)&amp;""),"")</f>
        <v>N/A</v>
      </c>
      <c r="Q387" s="89" t="n">
        <f aca="false">IF(AND($A387&lt;&gt;"",ISNUMBER(E387)),IF(E387&gt;0,1,0),0)</f>
        <v>1</v>
      </c>
      <c r="R387" s="43" t="str">
        <f aca="false">IF(Q387=1,UPPER(LEFT($A387,FIND(" ",$A387&amp;" ")-1)),"")</f>
        <v>KORELE</v>
      </c>
      <c r="S387" s="89" t="n">
        <f aca="false">IF(Q387=1,IF(OR(ISNUMBER(SEARCH("Float",$A387)),ISNUMBER(SEARCH("FRN",$A387))),1,0),0)</f>
        <v>0</v>
      </c>
      <c r="T387" s="43" t="str">
        <f aca="false">IF(AND(Q387=1,ISNUMBER(I387)),TEXT(I387,"yyyymmdd")&amp;"|"&amp;IF(S387=1,"F",TEXT(J387,"0.000")),"")</f>
        <v>20301112|4.125</v>
      </c>
      <c r="U387" s="90" t="n">
        <f aca="false">IF(AND(Q387=1,ISNUMBER(I387)),(I387-설정!$C$4)/365.25,"")</f>
        <v>4.11498973305955</v>
      </c>
      <c r="V387" s="43" t="str">
        <f aca="false">IF(Q387&lt;&gt;1,"",IF(ISNUMBER(U387),IF(U387&lt;=1,"1년 이하",IF(U387&lt;=2,"1-2년",IF(U387&lt;=3,"2-3년",IF(U387&lt;=4,"3-4년",IF(U387&lt;=5,"4-5년",IF(U387&lt;=7,"5-7년",IF(U387&lt;=10,"7-10년",IF(U387&lt;=20,"10-20년","20년 이상")))))))),"미분류"))</f>
        <v>4-5년</v>
      </c>
      <c r="W387" s="43" t="str">
        <f aca="false">IF(Q387&lt;&gt;1,"",IF(AB387&lt;&gt;"",INDEX(시장분석!$C:$C,AB387),IF(K387=1,"USD","비USD")))</f>
        <v>USD</v>
      </c>
      <c r="X387" s="91" t="n">
        <f aca="false">IF(Q387=1,E387*K387/1000000,0)</f>
        <v>0.2</v>
      </c>
      <c r="Y387" s="89" t="n">
        <f aca="false">IF(R387="T",1,0)</f>
        <v>0</v>
      </c>
      <c r="Z387" s="92" t="n">
        <f aca="false">IF(Q387&lt;&gt;1,"",IF(AD387=1,IF(ISNUMBER(U387),MAX(U387,0),H387),H387))</f>
        <v>3.5793</v>
      </c>
      <c r="AA387" s="91" t="n">
        <f aca="false">IF(Q387=1,IF(ISNUMBER(L387),L387,0)*K387/1000000,0)</f>
        <v>0.190806</v>
      </c>
      <c r="AB387" s="89" t="n">
        <f aca="false">IF(Q387&lt;&gt;1,"",IFERROR(MATCH(VLOOKUP(B387,매핑!$H$4:$I$15,2,0),시장분석!$A$2:$A$601,0)+1,IFERROR(MATCH(R387&amp;"|"&amp;T387,시장분석!$V$2:$V$601,0)+1,IF(COUNTIF(시장분석!$U$2:$U$601,T387)=1,MATCH(T387,시장분석!$U$2:$U$601,0)+1,""))))</f>
        <v>167</v>
      </c>
      <c r="AC387" s="89" t="n">
        <f aca="false">IF(Q387&lt;&gt;1,0,IF(OR(설정!$C$5="전체",AND(설정!$C$5="선택펀드",IFERROR(COUNTIFS(설정!$F$16:$F$36,C387,설정!$G$16:$G$36,"Y")+COUNTIFS(설정!$F$16:$F$36,VALUE(C387),설정!$G$16:$G$36,"Y"),0)&gt;0),C387&amp;""=설정!$C$5&amp;""),1,0))</f>
        <v>0</v>
      </c>
      <c r="AD387" s="89" t="n">
        <f aca="false">IF(Q387&lt;&gt;1,0,IF(OR(S387=1,IF(AB387="",FALSE(),INDEX(시장분석!$R:$R,AB387)=1)),1,0))</f>
        <v>0</v>
      </c>
      <c r="AE387" s="43" t="str">
        <f aca="false">IF(AB387="","",INDEX(시장분석!$A:$A,AB387))</f>
        <v>KORELE 4 1/8 11/12/30</v>
      </c>
      <c r="AF387" s="93" t="n">
        <f aca="false">IF(AB387="","",IF(ISNUMBER(IF(AB387="","",INDEX(시장분석!$E:$E,AB387))),IF(AB387="","",INDEX(시장분석!$E:$E,AB387)),""))</f>
        <v>33.196</v>
      </c>
      <c r="AG387" s="43" t="str">
        <f aca="false">IF(Q387&lt;&gt;1,"",IF(AB387&lt;&gt;"",IF(AB387="","",INDEX(시장분석!$L:$L,AB387)),IFERROR(IF(VLOOKUP(R387,매핑!$A$4:$E$92,5,0)="","미분류",VLOOKUP(R387,매핑!$A$4:$E$92,5,0)),"미분류")))</f>
        <v>정부</v>
      </c>
      <c r="AH387" s="43" t="str">
        <f aca="false">IF(Q387&lt;&gt;1,"",IF(AB387&lt;&gt;"",IF(AB387="","",INDEX(시장분석!$N:$N,AB387)),IFERROR(IF(VLOOKUP(R387,매핑!$A$4:$E$92,4,0)="","미분류",VLOOKUP(R387,매핑!$A$4:$E$92,4,0)),"미분류")))</f>
        <v>아시아/기타</v>
      </c>
      <c r="AI387" s="43" t="str">
        <f aca="false">IF(Q387&lt;&gt;1,"",IFERROR(IF(VLOOKUP(R387,매핑!$A$4:$E$92,3,0)="","미분류",VLOOKUP(R387,매핑!$A$4:$E$92,3,0)),IF(AB387&lt;&gt;"",IF(AB387="","",INDEX(시장분석!$W:$W,AB387)),"미분류")))</f>
        <v>한국</v>
      </c>
      <c r="AJ387" s="43" t="str">
        <f aca="false">IF(Q387&lt;&gt;1,"",IFERROR(VLOOKUP(IF(N387&lt;&gt;"",N387,IF(P387&lt;&gt;"",P387,O387)),설정!$A$15:$D$47,2,0),""))</f>
        <v>AA</v>
      </c>
      <c r="AK387" s="43" t="str">
        <f aca="false">IF(Q387&lt;&gt;1,"",IF(AJ387="","무등급",IFERROR(VLOOKUP(AJ387,설정!$A$15:$D$47,3,0),"무등급")))</f>
        <v>AA이상</v>
      </c>
      <c r="AL387" s="89" t="n">
        <f aca="false">IF(AJ387="",99,IFERROR(VLOOKUP(AJ387,설정!$A$15:$D$47,4,0),99))</f>
        <v>3</v>
      </c>
      <c r="AM387" s="94" t="n">
        <f aca="false">IF(ISNUMBER(H387),AA387*1000000*H387/10000,0)</f>
        <v>68.29519158</v>
      </c>
      <c r="AN387" s="94" t="n">
        <f aca="false">IF(OR(Y387=1,NOT(ISNUMBER(Z387))),0,AA387*1000000*Z387/10000)</f>
        <v>68.29519158</v>
      </c>
      <c r="AO387" s="94" t="n">
        <f aca="false">IF(ISNUMBER(G387),AA387*1000000*G387/100,0)</f>
        <v>10270.323756</v>
      </c>
      <c r="AP387" s="94" t="n">
        <f aca="false">IF(ISNUMBER(M387),M387*K387,0)</f>
        <v>-9372.2</v>
      </c>
      <c r="AQ387" s="95" t="n">
        <f aca="false">IF(AB387="","",INDEX(시장분석!$AK:$AK,AB387))</f>
        <v>0.618470422952346</v>
      </c>
      <c r="AR387" s="43" t="str">
        <f aca="false">IF(AB387="","-",IF(AB387="","",INDEX(시장분석!$AL:$AL,AB387)))</f>
        <v>Fair</v>
      </c>
      <c r="AS387" s="96" t="n">
        <f aca="false">IF(AB387="","",INDEX(시장분석!$AJ:$AJ,AB387))</f>
        <v>8.46873041570146</v>
      </c>
      <c r="AT387" s="93" t="n">
        <f aca="false">IF(AB387="",0,IF(AB387="","",INDEX(시장분석!$AN:$AN,AB387)))</f>
        <v>6.15622868767844</v>
      </c>
      <c r="AU387" s="94" t="n">
        <f aca="false">IF(ISNUMBER(Z387),AT387/10000*MAX(Z387-1,0)*AA387*1000000,0)</f>
        <v>302.976280537174</v>
      </c>
      <c r="AV387" s="94" t="n">
        <f aca="false">AO387+AU387</f>
        <v>10573.3000365372</v>
      </c>
      <c r="AW387" s="43" t="str">
        <f aca="false">IF(Q387&lt;&gt;1,"",TRIM(IF(AD387=1,"FRN ","")&amp;IF(AND(AL387&gt;=10,AL387&lt;99),"BBB0미만 ","")&amp;IF(AJ387="","등급없음 ","")&amp;IF(K387&lt;&gt;1,"비USD ","")&amp;IF(AND(AB387="",Y387=0),"시장데이터없음 ","")&amp;IF(AND(ISNUMBER(U387),U387&lt;0),"만기경과 ","")))</f>
        <v/>
      </c>
      <c r="AX387" s="90" t="n">
        <f aca="false">IF(Q387&lt;&gt;1,1,IF(스프레드쇼크!$C$4="Y",INDEX(스프레드쇼크!$B$12:$L$16,IFERROR(MATCH(AH387,스프레드쇼크!$A$12:$A$16,0),MATCH("목록외",스프레드쇼크!$A$12:$A$16,0)),IFERROR(MATCH(AG387,스프레드쇼크!$B$11:$L$11,0),MATCH("목록외",스프레드쇼크!$B$11:$L$11,0))),1))</f>
        <v>1</v>
      </c>
      <c r="AY387" s="90" t="n">
        <f aca="false">IF(스프레드쇼크!$C$5="Y",IF(ISNUMBER(AF387),MIN(스프레드쇼크!$C$7,MAX(스프레드쇼크!$C$6,AF387/스프레드쇼크!$C$8)),1),1)</f>
        <v>0.502102382924074</v>
      </c>
      <c r="AZ387" s="94" t="n">
        <f aca="false">AN387*AX387*AY387</f>
        <v>34.2911784345742</v>
      </c>
      <c r="BA387" s="90" t="n">
        <f aca="false">IF(ISNUMBER(G387),AA387*G387,0)</f>
        <v>1.0270323756</v>
      </c>
      <c r="BB387" s="90" t="n">
        <f aca="false">IF(ISNUMBER(G387),AA387,0)</f>
        <v>0.190806</v>
      </c>
      <c r="BC387" s="90" t="n">
        <f aca="false">IF(AND(Y387=0,ISNUMBER(AF387)),AA387*AF387,0)</f>
        <v>6.333995976</v>
      </c>
      <c r="BD387" s="90" t="n">
        <f aca="false">IF(AND(Y387=0,ISNUMBER(AF387)),AA387,0)</f>
        <v>0.190806</v>
      </c>
      <c r="BE387" s="90" t="n">
        <f aca="false">IF(ISNUMBER(H387),AA387*H387,0)</f>
        <v>0.6829519158</v>
      </c>
      <c r="BF387" s="90" t="n">
        <f aca="false">IF(ISNUMBER(H387),AA387,0)</f>
        <v>0.190806</v>
      </c>
      <c r="BG387" s="90" t="n">
        <f aca="false">IF(AND(Y387=0,ISNUMBER(AF387),ISNUMBER(Z387)),AA387*Z387,0)</f>
        <v>0.6829519158</v>
      </c>
      <c r="BH387" s="90" t="n">
        <f aca="false">IF(AND(Y387=0,ISNUMBER(AF387),ISNUMBER(Z387)),AA387*AT387*MAX(Z387-1,0),0)</f>
        <v>3.02976280537174</v>
      </c>
      <c r="BI387" s="90" t="n">
        <f aca="false">IF(Y387=0,AA387,0)</f>
        <v>0.190806</v>
      </c>
    </row>
    <row r="388" customFormat="false" ht="15" hidden="false" customHeight="false" outlineLevel="0" collapsed="false">
      <c r="A388" s="83" t="str">
        <f aca="false">IFERROR(IF(INDEX(원자료_잔고!$A$1:$EZ$1500,설정!$L$5+ROW()-1,설정!$L$8)&amp;""="0","",INDEX(원자료_잔고!$A$1:$EZ$1500,설정!$L$5+ROW()-1,설정!$L$8)&amp;""),"")</f>
        <v>KORELE Float 07/21/29</v>
      </c>
      <c r="B388" s="83" t="str">
        <f aca="false">IFERROR(IF(INDEX(원자료_잔고!$A$1:$EZ$1500,설정!$L$5+ROW()-1,설정!$L$7)&amp;""="0","",INDEX(원자료_잔고!$A$1:$EZ$1500,설정!$L$5+ROW()-1,설정!$L$7)&amp;""),"")</f>
        <v>USY4907LAT99</v>
      </c>
      <c r="C388" s="83" t="str">
        <f aca="false">IFERROR(IF(INDEX(원자료_잔고!$A$1:$EZ$1500,설정!$L$5+ROW()-1,설정!$L$9)&amp;""="0","",INDEX(원자료_잔고!$A$1:$EZ$1500,설정!$L$5+ROW()-1,설정!$L$9)&amp;""),"")</f>
        <v>42003</v>
      </c>
      <c r="D38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8" s="84" t="n">
        <f aca="false">IFERROR(IF(ISNUMBER(INDEX(원자료_잔고!$A$1:$EZ$1500,설정!$L$5+ROW()-1,설정!$L$11)),INDEX(원자료_잔고!$A$1:$EZ$1500,설정!$L$5+ROW()-1,설정!$L$11),""),"")</f>
        <v>200000</v>
      </c>
      <c r="F388" s="85" t="n">
        <f aca="false">IFERROR(IF(ISNUMBER(INDEX(원자료_잔고!$A$1:$EZ$1500,설정!$L$5+ROW()-1,설정!$L$12)),INDEX(원자료_잔고!$A$1:$EZ$1500,설정!$L$5+ROW()-1,설정!$L$12),""),"")</f>
        <v>100.2564</v>
      </c>
      <c r="G388" s="85" t="n">
        <f aca="false">IFERROR(IF(ISNUMBER(INDEX(원자료_잔고!$A$1:$EZ$1500,설정!$L$5+ROW()-1,설정!$L$13)),INDEX(원자료_잔고!$A$1:$EZ$1500,설정!$L$5+ROW()-1,설정!$L$13),""),"")</f>
        <v>4.4482</v>
      </c>
      <c r="H388" s="85" t="n">
        <f aca="false">IFERROR(IF(ISNUMBER(INDEX(원자료_잔고!$A$1:$EZ$1500,설정!$L$5+ROW()-1,설정!$L$14)),INDEX(원자료_잔고!$A$1:$EZ$1500,설정!$L$5+ROW()-1,설정!$L$14),""),"")</f>
        <v>0.0359</v>
      </c>
      <c r="I388" s="86" t="n">
        <f aca="false">IFERROR(IF(ISNUMBER(INDEX(원자료_잔고!$A$1:$EZ$1500,설정!$L$5+ROW()-1,설정!$L$15)),INDEX(원자료_잔고!$A$1:$EZ$1500,설정!$L$5+ROW()-1,설정!$L$15),""),"")</f>
        <v>47320</v>
      </c>
      <c r="J388" s="85" t="n">
        <f aca="false">IFERROR(IF(ISNUMBER(INDEX(원자료_잔고!$A$1:$EZ$1500,설정!$L$5+ROW()-1,설정!$L$16)),INDEX(원자료_잔고!$A$1:$EZ$1500,설정!$L$5+ROW()-1,설정!$L$16),""),"")</f>
        <v>1</v>
      </c>
      <c r="K388" s="87" t="n">
        <f aca="false">IFERROR(IF(ISNUMBER(INDEX(원자료_잔고!$A$1:$EZ$1500,설정!$L$5+ROW()-1,설정!$L$17)),INDEX(원자료_잔고!$A$1:$EZ$1500,설정!$L$5+ROW()-1,설정!$L$17),""),"")</f>
        <v>1</v>
      </c>
      <c r="L388" s="84" t="n">
        <f aca="false">IFERROR(IF(ISNUMBER(INDEX(원자료_잔고!$A$1:$EZ$1500,설정!$L$5+ROW()-1,설정!$L$18)),INDEX(원자료_잔고!$A$1:$EZ$1500,설정!$L$5+ROW()-1,설정!$L$18),""),"")</f>
        <v>200512.8</v>
      </c>
      <c r="M388" s="88" t="n">
        <f aca="false">IFERROR(IF(ISNUMBER(INDEX(원자료_잔고!$A$1:$EZ$1500,설정!$L$5+ROW()-1,설정!$L$19)),INDEX(원자료_잔고!$A$1:$EZ$1500,설정!$L$5+ROW()-1,설정!$L$19),""),"")</f>
        <v>17872.8</v>
      </c>
      <c r="N388" s="83" t="str">
        <f aca="false">IFERROR(IF(INDEX(원자료_잔고!$A$1:$EZ$1500,설정!$L$5+ROW()-1,설정!$L$21)&amp;""="0","",INDEX(원자료_잔고!$A$1:$EZ$1500,설정!$L$5+ROW()-1,설정!$L$21)&amp;""),"")</f>
        <v>AA</v>
      </c>
      <c r="O388" s="83" t="str">
        <f aca="false">IFERROR(IF(INDEX(원자료_잔고!$A$1:$EZ$1500,설정!$L$5+ROW()-1,설정!$L$22)&amp;""="0","",INDEX(원자료_잔고!$A$1:$EZ$1500,설정!$L$5+ROW()-1,설정!$L$22)&amp;""),"")</f>
        <v/>
      </c>
      <c r="P388" s="83" t="str">
        <f aca="false">IFERROR(IF(INDEX(원자료_잔고!$A$1:$EZ$1500,설정!$L$5+ROW()-1,설정!$L$23)&amp;""="0","",INDEX(원자료_잔고!$A$1:$EZ$1500,설정!$L$5+ROW()-1,설정!$L$23)&amp;""),"")</f>
        <v>N/A</v>
      </c>
      <c r="Q388" s="89" t="n">
        <f aca="false">IF(AND($A388&lt;&gt;"",ISNUMBER(E388)),IF(E388&gt;0,1,0),0)</f>
        <v>1</v>
      </c>
      <c r="R388" s="43" t="str">
        <f aca="false">IF(Q388=1,UPPER(LEFT($A388,FIND(" ",$A388&amp;" ")-1)),"")</f>
        <v>KORELE</v>
      </c>
      <c r="S388" s="89" t="n">
        <f aca="false">IF(Q388=1,IF(OR(ISNUMBER(SEARCH("Float",$A388)),ISNUMBER(SEARCH("FRN",$A388))),1,0),0)</f>
        <v>1</v>
      </c>
      <c r="T388" s="43" t="str">
        <f aca="false">IF(AND(Q388=1,ISNUMBER(I388)),TEXT(I388,"yyyymmdd")&amp;"|"&amp;IF(S388=1,"F",TEXT(J388,"0.000")),"")</f>
        <v>20290721|F</v>
      </c>
      <c r="U388" s="90" t="n">
        <f aca="false">IF(AND(Q388=1,ISNUMBER(I388)),(I388-설정!$C$4)/365.25,"")</f>
        <v>2.80355920602327</v>
      </c>
      <c r="V388" s="43" t="str">
        <f aca="false">IF(Q388&lt;&gt;1,"",IF(ISNUMBER(U388),IF(U388&lt;=1,"1년 이하",IF(U388&lt;=2,"1-2년",IF(U388&lt;=3,"2-3년",IF(U388&lt;=4,"3-4년",IF(U388&lt;=5,"4-5년",IF(U388&lt;=7,"5-7년",IF(U388&lt;=10,"7-10년",IF(U388&lt;=20,"10-20년","20년 이상")))))))),"미분류"))</f>
        <v>2-3년</v>
      </c>
      <c r="W388" s="43" t="str">
        <f aca="false">IF(Q388&lt;&gt;1,"",IF(AB388&lt;&gt;"",INDEX(시장분석!$C:$C,AB388),IF(K388=1,"USD","비USD")))</f>
        <v>USD</v>
      </c>
      <c r="X388" s="91" t="n">
        <f aca="false">IF(Q388=1,E388*K388/1000000,0)</f>
        <v>0.2</v>
      </c>
      <c r="Y388" s="89" t="n">
        <f aca="false">IF(R388="T",1,0)</f>
        <v>0</v>
      </c>
      <c r="Z388" s="92" t="n">
        <f aca="false">IF(Q388&lt;&gt;1,"",IF(AD388=1,IF(ISNUMBER(U388),MAX(U388,0),H388),H388))</f>
        <v>2.80355920602327</v>
      </c>
      <c r="AA388" s="91" t="n">
        <f aca="false">IF(Q388=1,IF(ISNUMBER(L388),L388,0)*K388/1000000,0)</f>
        <v>0.2005128</v>
      </c>
      <c r="AB388" s="89" t="n">
        <f aca="false">IF(Q388&lt;&gt;1,"",IFERROR(MATCH(VLOOKUP(B388,매핑!$H$4:$I$15,2,0),시장분석!$A$2:$A$601,0)+1,IFERROR(MATCH(R388&amp;"|"&amp;T388,시장분석!$V$2:$V$601,0)+1,IF(COUNTIF(시장분석!$U$2:$U$601,T388)=1,MATCH(T388,시장분석!$U$2:$U$601,0)+1,""))))</f>
        <v>168</v>
      </c>
      <c r="AC388" s="89" t="n">
        <f aca="false">IF(Q388&lt;&gt;1,0,IF(OR(설정!$C$5="전체",AND(설정!$C$5="선택펀드",IFERROR(COUNTIFS(설정!$F$16:$F$36,C388,설정!$G$16:$G$36,"Y")+COUNTIFS(설정!$F$16:$F$36,VALUE(C388),설정!$G$16:$G$36,"Y"),0)&gt;0),C388&amp;""=설정!$C$5&amp;""),1,0))</f>
        <v>0</v>
      </c>
      <c r="AD388" s="89" t="n">
        <f aca="false">IF(Q388&lt;&gt;1,0,IF(OR(S388=1,IF(AB388="",FALSE(),INDEX(시장분석!$R:$R,AB388)=1)),1,0))</f>
        <v>1</v>
      </c>
      <c r="AE388" s="43" t="str">
        <f aca="false">IF(AB388="","",INDEX(시장분석!$A:$A,AB388))</f>
        <v>KORELE Float 07/21/29</v>
      </c>
      <c r="AF388" s="93" t="str">
        <f aca="false">IF(AB388="","",IF(ISNUMBER(IF(AB388="","",INDEX(시장분석!$E:$E,AB388))),IF(AB388="","",INDEX(시장분석!$E:$E,AB388)),""))</f>
        <v/>
      </c>
      <c r="AG388" s="43" t="str">
        <f aca="false">IF(Q388&lt;&gt;1,"",IF(AB388&lt;&gt;"",IF(AB388="","",INDEX(시장분석!$L:$L,AB388)),IFERROR(IF(VLOOKUP(R388,매핑!$A$4:$E$92,5,0)="","미분류",VLOOKUP(R388,매핑!$A$4:$E$92,5,0)),"미분류")))</f>
        <v>정부</v>
      </c>
      <c r="AH388" s="43" t="str">
        <f aca="false">IF(Q388&lt;&gt;1,"",IF(AB388&lt;&gt;"",IF(AB388="","",INDEX(시장분석!$N:$N,AB388)),IFERROR(IF(VLOOKUP(R388,매핑!$A$4:$E$92,4,0)="","미분류",VLOOKUP(R388,매핑!$A$4:$E$92,4,0)),"미분류")))</f>
        <v>아시아/기타</v>
      </c>
      <c r="AI388" s="43" t="str">
        <f aca="false">IF(Q388&lt;&gt;1,"",IFERROR(IF(VLOOKUP(R388,매핑!$A$4:$E$92,3,0)="","미분류",VLOOKUP(R388,매핑!$A$4:$E$92,3,0)),IF(AB388&lt;&gt;"",IF(AB388="","",INDEX(시장분석!$W:$W,AB388)),"미분류")))</f>
        <v>한국</v>
      </c>
      <c r="AJ388" s="43" t="str">
        <f aca="false">IF(Q388&lt;&gt;1,"",IFERROR(VLOOKUP(IF(N388&lt;&gt;"",N388,IF(P388&lt;&gt;"",P388,O388)),설정!$A$15:$D$47,2,0),""))</f>
        <v>AA</v>
      </c>
      <c r="AK388" s="43" t="str">
        <f aca="false">IF(Q388&lt;&gt;1,"",IF(AJ388="","무등급",IFERROR(VLOOKUP(AJ388,설정!$A$15:$D$47,3,0),"무등급")))</f>
        <v>AA이상</v>
      </c>
      <c r="AL388" s="89" t="n">
        <f aca="false">IF(AJ388="",99,IFERROR(VLOOKUP(AJ388,설정!$A$15:$D$47,4,0),99))</f>
        <v>3</v>
      </c>
      <c r="AM388" s="94" t="n">
        <f aca="false">IF(ISNUMBER(H388),AA388*1000000*H388/10000,0)</f>
        <v>0.719840952</v>
      </c>
      <c r="AN388" s="94" t="n">
        <f aca="false">IF(OR(Y388=1,NOT(ISNUMBER(Z388))),0,AA388*1000000*Z388/10000)</f>
        <v>56.2149506365503</v>
      </c>
      <c r="AO388" s="94" t="n">
        <f aca="false">IF(ISNUMBER(G388),AA388*1000000*G388/100,0)</f>
        <v>8919.2103696</v>
      </c>
      <c r="AP388" s="94" t="n">
        <f aca="false">IF(ISNUMBER(M388),M388*K388,0)</f>
        <v>17872.8</v>
      </c>
      <c r="AQ388" s="95" t="str">
        <f aca="false">IF(AB388="","",INDEX(시장분석!$AK:$AK,AB388))</f>
        <v/>
      </c>
      <c r="AR388" s="43" t="str">
        <f aca="false">IF(AB388="","-",IF(AB388="","",INDEX(시장분석!$AL:$AL,AB388)))</f>
        <v>-</v>
      </c>
      <c r="AS388" s="96" t="str">
        <f aca="false">IF(AB388="","",INDEX(시장분석!$AJ:$AJ,AB388))</f>
        <v/>
      </c>
      <c r="AT388" s="93" t="n">
        <f aca="false">IF(AB388="",0,IF(AB388="","",INDEX(시장분석!$AN:$AN,AB388)))</f>
        <v>0</v>
      </c>
      <c r="AU388" s="94" t="n">
        <f aca="false">IF(ISNUMBER(Z388),AT388/10000*MAX(Z388-1,0)*AA388*1000000,0)</f>
        <v>0</v>
      </c>
      <c r="AV388" s="94" t="n">
        <f aca="false">AO388+AU388</f>
        <v>8919.2103696</v>
      </c>
      <c r="AW388" s="43" t="str">
        <f aca="false">IF(Q388&lt;&gt;1,"",TRIM(IF(AD388=1,"FRN ","")&amp;IF(AND(AL388&gt;=10,AL388&lt;99),"BBB0미만 ","")&amp;IF(AJ388="","등급없음 ","")&amp;IF(K388&lt;&gt;1,"비USD ","")&amp;IF(AND(AB388="",Y388=0),"시장데이터없음 ","")&amp;IF(AND(ISNUMBER(U388),U388&lt;0),"만기경과 ","")))</f>
        <v>FRN</v>
      </c>
      <c r="AX388" s="90" t="n">
        <f aca="false">IF(Q388&lt;&gt;1,1,IF(스프레드쇼크!$C$4="Y",INDEX(스프레드쇼크!$B$12:$L$16,IFERROR(MATCH(AH388,스프레드쇼크!$A$12:$A$16,0),MATCH("목록외",스프레드쇼크!$A$12:$A$16,0)),IFERROR(MATCH(AG388,스프레드쇼크!$B$11:$L$11,0),MATCH("목록외",스프레드쇼크!$B$11:$L$11,0))),1))</f>
        <v>1</v>
      </c>
      <c r="AY388" s="90" t="n">
        <f aca="false">IF(스프레드쇼크!$C$5="Y",IF(ISNUMBER(AF388),MIN(스프레드쇼크!$C$7,MAX(스프레드쇼크!$C$6,AF388/스프레드쇼크!$C$8)),1),1)</f>
        <v>1</v>
      </c>
      <c r="AZ388" s="94" t="n">
        <f aca="false">AN388*AX388*AY388</f>
        <v>56.2149506365503</v>
      </c>
      <c r="BA388" s="90" t="n">
        <f aca="false">IF(ISNUMBER(G388),AA388*G388,0)</f>
        <v>0.89192103696</v>
      </c>
      <c r="BB388" s="90" t="n">
        <f aca="false">IF(ISNUMBER(G388),AA388,0)</f>
        <v>0.2005128</v>
      </c>
      <c r="BC388" s="90" t="n">
        <f aca="false">IF(AND(Y388=0,ISNUMBER(AF388)),AA388*AF388,0)</f>
        <v>0</v>
      </c>
      <c r="BD388" s="90" t="n">
        <f aca="false">IF(AND(Y388=0,ISNUMBER(AF388)),AA388,0)</f>
        <v>0</v>
      </c>
      <c r="BE388" s="90" t="n">
        <f aca="false">IF(ISNUMBER(H388),AA388*H388,0)</f>
        <v>0.00719840952</v>
      </c>
      <c r="BF388" s="90" t="n">
        <f aca="false">IF(ISNUMBER(H388),AA388,0)</f>
        <v>0.2005128</v>
      </c>
      <c r="BG388" s="90" t="n">
        <f aca="false">IF(AND(Y388=0,ISNUMBER(AF388),ISNUMBER(Z388)),AA388*Z388,0)</f>
        <v>0</v>
      </c>
      <c r="BH388" s="90" t="n">
        <f aca="false">IF(AND(Y388=0,ISNUMBER(AF388),ISNUMBER(Z388)),AA388*AT388*MAX(Z388-1,0),0)</f>
        <v>0</v>
      </c>
      <c r="BI388" s="90" t="n">
        <f aca="false">IF(Y388=0,AA388,0)</f>
        <v>0.2005128</v>
      </c>
    </row>
    <row r="389" customFormat="false" ht="15" hidden="false" customHeight="false" outlineLevel="0" collapsed="false">
      <c r="A389" s="83" t="str">
        <f aca="false">IFERROR(IF(INDEX(원자료_잔고!$A$1:$EZ$1500,설정!$L$5+ROW()-1,설정!$L$8)&amp;""="0","",INDEX(원자료_잔고!$A$1:$EZ$1500,설정!$L$5+ROW()-1,설정!$L$8)&amp;""),"")</f>
        <v>KORELE 4.75 07/21/31</v>
      </c>
      <c r="B389" s="83" t="str">
        <f aca="false">IFERROR(IF(INDEX(원자료_잔고!$A$1:$EZ$1500,설정!$L$5+ROW()-1,설정!$L$7)&amp;""="0","",INDEX(원자료_잔고!$A$1:$EZ$1500,설정!$L$5+ROW()-1,설정!$L$7)&amp;""),"")</f>
        <v>USY4907LAU62</v>
      </c>
      <c r="C389" s="83" t="str">
        <f aca="false">IFERROR(IF(INDEX(원자료_잔고!$A$1:$EZ$1500,설정!$L$5+ROW()-1,설정!$L$9)&amp;""="0","",INDEX(원자료_잔고!$A$1:$EZ$1500,설정!$L$5+ROW()-1,설정!$L$9)&amp;""),"")</f>
        <v>42003</v>
      </c>
      <c r="D38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89" s="84" t="n">
        <f aca="false">IFERROR(IF(ISNUMBER(INDEX(원자료_잔고!$A$1:$EZ$1500,설정!$L$5+ROW()-1,설정!$L$11)),INDEX(원자료_잔고!$A$1:$EZ$1500,설정!$L$5+ROW()-1,설정!$L$11),""),"")</f>
        <v>200000</v>
      </c>
      <c r="F389" s="85" t="n">
        <f aca="false">IFERROR(IF(ISNUMBER(INDEX(원자료_잔고!$A$1:$EZ$1500,설정!$L$5+ROW()-1,설정!$L$12)),INDEX(원자료_잔고!$A$1:$EZ$1500,설정!$L$5+ROW()-1,설정!$L$12),""),"")</f>
        <v>96.9484</v>
      </c>
      <c r="G389" s="85" t="n">
        <f aca="false">IFERROR(IF(ISNUMBER(INDEX(원자료_잔고!$A$1:$EZ$1500,설정!$L$5+ROW()-1,설정!$L$13)),INDEX(원자료_잔고!$A$1:$EZ$1500,설정!$L$5+ROW()-1,설정!$L$13),""),"")</f>
        <v>5.4783</v>
      </c>
      <c r="H389" s="85" t="n">
        <f aca="false">IFERROR(IF(ISNUMBER(INDEX(원자료_잔고!$A$1:$EZ$1500,설정!$L$5+ROW()-1,설정!$L$14)),INDEX(원자료_잔고!$A$1:$EZ$1500,설정!$L$5+ROW()-1,설정!$L$14),""),"")</f>
        <v>4.1061</v>
      </c>
      <c r="I389" s="86" t="n">
        <f aca="false">IFERROR(IF(ISNUMBER(INDEX(원자료_잔고!$A$1:$EZ$1500,설정!$L$5+ROW()-1,설정!$L$15)),INDEX(원자료_잔고!$A$1:$EZ$1500,설정!$L$5+ROW()-1,설정!$L$15),""),"")</f>
        <v>48050</v>
      </c>
      <c r="J389" s="85" t="n">
        <f aca="false">IFERROR(IF(ISNUMBER(INDEX(원자료_잔고!$A$1:$EZ$1500,설정!$L$5+ROW()-1,설정!$L$16)),INDEX(원자료_잔고!$A$1:$EZ$1500,설정!$L$5+ROW()-1,설정!$L$16),""),"")</f>
        <v>4.75</v>
      </c>
      <c r="K389" s="87" t="n">
        <f aca="false">IFERROR(IF(ISNUMBER(INDEX(원자료_잔고!$A$1:$EZ$1500,설정!$L$5+ROW()-1,설정!$L$17)),INDEX(원자료_잔고!$A$1:$EZ$1500,설정!$L$5+ROW()-1,설정!$L$17),""),"")</f>
        <v>1</v>
      </c>
      <c r="L389" s="84" t="n">
        <f aca="false">IFERROR(IF(ISNUMBER(INDEX(원자료_잔고!$A$1:$EZ$1500,설정!$L$5+ROW()-1,설정!$L$18)),INDEX(원자료_잔고!$A$1:$EZ$1500,설정!$L$5+ROW()-1,설정!$L$18),""),"")</f>
        <v>193896.8</v>
      </c>
      <c r="M389" s="88" t="n">
        <f aca="false">IFERROR(IF(ISNUMBER(INDEX(원자료_잔고!$A$1:$EZ$1500,설정!$L$5+ROW()-1,설정!$L$19)),INDEX(원자료_잔고!$A$1:$EZ$1500,설정!$L$5+ROW()-1,설정!$L$19),""),"")</f>
        <v>-5138.12</v>
      </c>
      <c r="N389" s="83" t="str">
        <f aca="false">IFERROR(IF(INDEX(원자료_잔고!$A$1:$EZ$1500,설정!$L$5+ROW()-1,설정!$L$21)&amp;""="0","",INDEX(원자료_잔고!$A$1:$EZ$1500,설정!$L$5+ROW()-1,설정!$L$21)&amp;""),"")</f>
        <v>AA</v>
      </c>
      <c r="O389" s="83" t="str">
        <f aca="false">IFERROR(IF(INDEX(원자료_잔고!$A$1:$EZ$1500,설정!$L$5+ROW()-1,설정!$L$22)&amp;""="0","",INDEX(원자료_잔고!$A$1:$EZ$1500,설정!$L$5+ROW()-1,설정!$L$22)&amp;""),"")</f>
        <v/>
      </c>
      <c r="P389" s="83" t="str">
        <f aca="false">IFERROR(IF(INDEX(원자료_잔고!$A$1:$EZ$1500,설정!$L$5+ROW()-1,설정!$L$23)&amp;""="0","",INDEX(원자료_잔고!$A$1:$EZ$1500,설정!$L$5+ROW()-1,설정!$L$23)&amp;""),"")</f>
        <v>N/A</v>
      </c>
      <c r="Q389" s="89" t="n">
        <f aca="false">IF(AND($A389&lt;&gt;"",ISNUMBER(E389)),IF(E389&gt;0,1,0),0)</f>
        <v>1</v>
      </c>
      <c r="R389" s="43" t="str">
        <f aca="false">IF(Q389=1,UPPER(LEFT($A389,FIND(" ",$A389&amp;" ")-1)),"")</f>
        <v>KORELE</v>
      </c>
      <c r="S389" s="89" t="n">
        <f aca="false">IF(Q389=1,IF(OR(ISNUMBER(SEARCH("Float",$A389)),ISNUMBER(SEARCH("FRN",$A389))),1,0),0)</f>
        <v>0</v>
      </c>
      <c r="T389" s="43" t="str">
        <f aca="false">IF(AND(Q389=1,ISNUMBER(I389)),TEXT(I389,"yyyymmdd")&amp;"|"&amp;IF(S389=1,"F",TEXT(J389,"0.000")),"")</f>
        <v>20310721|4.750</v>
      </c>
      <c r="U389" s="90" t="n">
        <f aca="false">IF(AND(Q389=1,ISNUMBER(I389)),(I389-설정!$C$4)/365.25,"")</f>
        <v>4.80219028062971</v>
      </c>
      <c r="V389" s="43" t="str">
        <f aca="false">IF(Q389&lt;&gt;1,"",IF(ISNUMBER(U389),IF(U389&lt;=1,"1년 이하",IF(U389&lt;=2,"1-2년",IF(U389&lt;=3,"2-3년",IF(U389&lt;=4,"3-4년",IF(U389&lt;=5,"4-5년",IF(U389&lt;=7,"5-7년",IF(U389&lt;=10,"7-10년",IF(U389&lt;=20,"10-20년","20년 이상")))))))),"미분류"))</f>
        <v>4-5년</v>
      </c>
      <c r="W389" s="43" t="str">
        <f aca="false">IF(Q389&lt;&gt;1,"",IF(AB389&lt;&gt;"",INDEX(시장분석!$C:$C,AB389),IF(K389=1,"USD","비USD")))</f>
        <v>USD</v>
      </c>
      <c r="X389" s="91" t="n">
        <f aca="false">IF(Q389=1,E389*K389/1000000,0)</f>
        <v>0.2</v>
      </c>
      <c r="Y389" s="89" t="n">
        <f aca="false">IF(R389="T",1,0)</f>
        <v>0</v>
      </c>
      <c r="Z389" s="92" t="n">
        <f aca="false">IF(Q389&lt;&gt;1,"",IF(AD389=1,IF(ISNUMBER(U389),MAX(U389,0),H389),H389))</f>
        <v>4.1061</v>
      </c>
      <c r="AA389" s="91" t="n">
        <f aca="false">IF(Q389=1,IF(ISNUMBER(L389),L389,0)*K389/1000000,0)</f>
        <v>0.1938968</v>
      </c>
      <c r="AB389" s="89" t="n">
        <f aca="false">IF(Q389&lt;&gt;1,"",IFERROR(MATCH(VLOOKUP(B389,매핑!$H$4:$I$15,2,0),시장분석!$A$2:$A$601,0)+1,IFERROR(MATCH(R389&amp;"|"&amp;T389,시장분석!$V$2:$V$601,0)+1,IF(COUNTIF(시장분석!$U$2:$U$601,T389)=1,MATCH(T389,시장분석!$U$2:$U$601,0)+1,""))))</f>
        <v>169</v>
      </c>
      <c r="AC389" s="89" t="n">
        <f aca="false">IF(Q389&lt;&gt;1,0,IF(OR(설정!$C$5="전체",AND(설정!$C$5="선택펀드",IFERROR(COUNTIFS(설정!$F$16:$F$36,C389,설정!$G$16:$G$36,"Y")+COUNTIFS(설정!$F$16:$F$36,VALUE(C389),설정!$G$16:$G$36,"Y"),0)&gt;0),C389&amp;""=설정!$C$5&amp;""),1,0))</f>
        <v>0</v>
      </c>
      <c r="AD389" s="89" t="n">
        <f aca="false">IF(Q389&lt;&gt;1,0,IF(OR(S389=1,IF(AB389="",FALSE(),INDEX(시장분석!$R:$R,AB389)=1)),1,0))</f>
        <v>0</v>
      </c>
      <c r="AE389" s="43" t="str">
        <f aca="false">IF(AB389="","",INDEX(시장분석!$A:$A,AB389))</f>
        <v>KORELE 4 3/4 07/21/31</v>
      </c>
      <c r="AF389" s="93" t="n">
        <f aca="false">IF(AB389="","",IF(ISNUMBER(IF(AB389="","",INDEX(시장분석!$E:$E,AB389))),IF(AB389="","",INDEX(시장분석!$E:$E,AB389)),""))</f>
        <v>47.011</v>
      </c>
      <c r="AG389" s="43" t="str">
        <f aca="false">IF(Q389&lt;&gt;1,"",IF(AB389&lt;&gt;"",IF(AB389="","",INDEX(시장분석!$L:$L,AB389)),IFERROR(IF(VLOOKUP(R389,매핑!$A$4:$E$92,5,0)="","미분류",VLOOKUP(R389,매핑!$A$4:$E$92,5,0)),"미분류")))</f>
        <v>정부</v>
      </c>
      <c r="AH389" s="43" t="str">
        <f aca="false">IF(Q389&lt;&gt;1,"",IF(AB389&lt;&gt;"",IF(AB389="","",INDEX(시장분석!$N:$N,AB389)),IFERROR(IF(VLOOKUP(R389,매핑!$A$4:$E$92,4,0)="","미분류",VLOOKUP(R389,매핑!$A$4:$E$92,4,0)),"미분류")))</f>
        <v>아시아/기타</v>
      </c>
      <c r="AI389" s="43" t="str">
        <f aca="false">IF(Q389&lt;&gt;1,"",IFERROR(IF(VLOOKUP(R389,매핑!$A$4:$E$92,3,0)="","미분류",VLOOKUP(R389,매핑!$A$4:$E$92,3,0)),IF(AB389&lt;&gt;"",IF(AB389="","",INDEX(시장분석!$W:$W,AB389)),"미분류")))</f>
        <v>한국</v>
      </c>
      <c r="AJ389" s="43" t="str">
        <f aca="false">IF(Q389&lt;&gt;1,"",IFERROR(VLOOKUP(IF(N389&lt;&gt;"",N389,IF(P389&lt;&gt;"",P389,O389)),설정!$A$15:$D$47,2,0),""))</f>
        <v>AA</v>
      </c>
      <c r="AK389" s="43" t="str">
        <f aca="false">IF(Q389&lt;&gt;1,"",IF(AJ389="","무등급",IFERROR(VLOOKUP(AJ389,설정!$A$15:$D$47,3,0),"무등급")))</f>
        <v>AA이상</v>
      </c>
      <c r="AL389" s="89" t="n">
        <f aca="false">IF(AJ389="",99,IFERROR(VLOOKUP(AJ389,설정!$A$15:$D$47,4,0),99))</f>
        <v>3</v>
      </c>
      <c r="AM389" s="94" t="n">
        <f aca="false">IF(ISNUMBER(H389),AA389*1000000*H389/10000,0)</f>
        <v>79.615965048</v>
      </c>
      <c r="AN389" s="94" t="n">
        <f aca="false">IF(OR(Y389=1,NOT(ISNUMBER(Z389))),0,AA389*1000000*Z389/10000)</f>
        <v>79.615965048</v>
      </c>
      <c r="AO389" s="94" t="n">
        <f aca="false">IF(ISNUMBER(G389),AA389*1000000*G389/100,0)</f>
        <v>10622.2483944</v>
      </c>
      <c r="AP389" s="94" t="n">
        <f aca="false">IF(ISNUMBER(M389),M389*K389,0)</f>
        <v>-5138.12</v>
      </c>
      <c r="AQ389" s="95" t="n">
        <f aca="false">IF(AB389="","",INDEX(시장분석!$AK:$AK,AB389))</f>
        <v>1.42962930244092</v>
      </c>
      <c r="AR389" s="43" t="str">
        <f aca="false">IF(AB389="","-",IF(AB389="","",INDEX(시장분석!$AL:$AL,AB389)))</f>
        <v>Cheap</v>
      </c>
      <c r="AS389" s="96" t="n">
        <f aca="false">IF(AB389="","",INDEX(시장분석!$AJ:$AJ,AB389))</f>
        <v>19.5759485133736</v>
      </c>
      <c r="AT389" s="93" t="n">
        <f aca="false">IF(AB389="",0,IF(AB389="","",INDEX(시장분석!$AN:$AN,AB389)))</f>
        <v>5.25737944231237</v>
      </c>
      <c r="AU389" s="94" t="n">
        <f aca="false">IF(ISNUMBER(Z389),AT389/10000*MAX(Z389-1,0)*AA389*1000000,0)</f>
        <v>316.6324328982</v>
      </c>
      <c r="AV389" s="94" t="n">
        <f aca="false">AO389+AU389</f>
        <v>10938.8808272982</v>
      </c>
      <c r="AW389" s="43" t="str">
        <f aca="false">IF(Q389&lt;&gt;1,"",TRIM(IF(AD389=1,"FRN ","")&amp;IF(AND(AL389&gt;=10,AL389&lt;99),"BBB0미만 ","")&amp;IF(AJ389="","등급없음 ","")&amp;IF(K389&lt;&gt;1,"비USD ","")&amp;IF(AND(AB389="",Y389=0),"시장데이터없음 ","")&amp;IF(AND(ISNUMBER(U389),U389&lt;0),"만기경과 ","")))</f>
        <v/>
      </c>
      <c r="AX389" s="90" t="n">
        <f aca="false">IF(Q389&lt;&gt;1,1,IF(스프레드쇼크!$C$4="Y",INDEX(스프레드쇼크!$B$12:$L$16,IFERROR(MATCH(AH389,스프레드쇼크!$A$12:$A$16,0),MATCH("목록외",스프레드쇼크!$A$12:$A$16,0)),IFERROR(MATCH(AG389,스프레드쇼크!$B$11:$L$11,0),MATCH("목록외",스프레드쇼크!$B$11:$L$11,0))),1))</f>
        <v>1</v>
      </c>
      <c r="AY389" s="90" t="n">
        <f aca="false">IF(스프레드쇼크!$C$5="Y",IF(ISNUMBER(AF389),MIN(스프레드쇼크!$C$7,MAX(스프레드쇼크!$C$6,AF389/스프레드쇼크!$C$8)),1),1)</f>
        <v>0.711059619340994</v>
      </c>
      <c r="AZ389" s="94" t="n">
        <f aca="false">AN389*AX389*AY389</f>
        <v>56.6116978004968</v>
      </c>
      <c r="BA389" s="90" t="n">
        <f aca="false">IF(ISNUMBER(G389),AA389*G389,0)</f>
        <v>1.06222483944</v>
      </c>
      <c r="BB389" s="90" t="n">
        <f aca="false">IF(ISNUMBER(G389),AA389,0)</f>
        <v>0.1938968</v>
      </c>
      <c r="BC389" s="90" t="n">
        <f aca="false">IF(AND(Y389=0,ISNUMBER(AF389)),AA389*AF389,0)</f>
        <v>9.1152824648</v>
      </c>
      <c r="BD389" s="90" t="n">
        <f aca="false">IF(AND(Y389=0,ISNUMBER(AF389)),AA389,0)</f>
        <v>0.1938968</v>
      </c>
      <c r="BE389" s="90" t="n">
        <f aca="false">IF(ISNUMBER(H389),AA389*H389,0)</f>
        <v>0.79615965048</v>
      </c>
      <c r="BF389" s="90" t="n">
        <f aca="false">IF(ISNUMBER(H389),AA389,0)</f>
        <v>0.1938968</v>
      </c>
      <c r="BG389" s="90" t="n">
        <f aca="false">IF(AND(Y389=0,ISNUMBER(AF389),ISNUMBER(Z389)),AA389*Z389,0)</f>
        <v>0.79615965048</v>
      </c>
      <c r="BH389" s="90" t="n">
        <f aca="false">IF(AND(Y389=0,ISNUMBER(AF389),ISNUMBER(Z389)),AA389*AT389*MAX(Z389-1,0),0)</f>
        <v>3.166324328982</v>
      </c>
      <c r="BI389" s="90" t="n">
        <f aca="false">IF(Y389=0,AA389,0)</f>
        <v>0.1938968</v>
      </c>
    </row>
    <row r="390" customFormat="false" ht="15" hidden="false" customHeight="false" outlineLevel="0" collapsed="false">
      <c r="A390" s="83" t="str">
        <f aca="false">IFERROR(IF(INDEX(원자료_잔고!$A$1:$EZ$1500,설정!$L$5+ROW()-1,설정!$L$8)&amp;""="0","",INDEX(원자료_잔고!$A$1:$EZ$1500,설정!$L$5+ROW()-1,설정!$L$8)&amp;""),"")</f>
        <v>KOROIL 4.125 09/30/27</v>
      </c>
      <c r="B390" s="83" t="str">
        <f aca="false">IFERROR(IF(INDEX(원자료_잔고!$A$1:$EZ$1500,설정!$L$5+ROW()-1,설정!$L$7)&amp;""="0","",INDEX(원자료_잔고!$A$1:$EZ$1500,설정!$L$5+ROW()-1,설정!$L$7)&amp;""),"")</f>
        <v>USY4938AAM19</v>
      </c>
      <c r="C390" s="83" t="str">
        <f aca="false">IFERROR(IF(INDEX(원자료_잔고!$A$1:$EZ$1500,설정!$L$5+ROW()-1,설정!$L$9)&amp;""="0","",INDEX(원자료_잔고!$A$1:$EZ$1500,설정!$L$5+ROW()-1,설정!$L$9)&amp;""),"")</f>
        <v>42003</v>
      </c>
      <c r="D39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0" s="84" t="n">
        <f aca="false">IFERROR(IF(ISNUMBER(INDEX(원자료_잔고!$A$1:$EZ$1500,설정!$L$5+ROW()-1,설정!$L$11)),INDEX(원자료_잔고!$A$1:$EZ$1500,설정!$L$5+ROW()-1,설정!$L$11),""),"")</f>
        <v>200000</v>
      </c>
      <c r="F390" s="85" t="n">
        <f aca="false">IFERROR(IF(ISNUMBER(INDEX(원자료_잔고!$A$1:$EZ$1500,설정!$L$5+ROW()-1,설정!$L$12)),INDEX(원자료_잔고!$A$1:$EZ$1500,설정!$L$5+ROW()-1,설정!$L$12),""),"")</f>
        <v>99.1685</v>
      </c>
      <c r="G390" s="85" t="n">
        <f aca="false">IFERROR(IF(ISNUMBER(INDEX(원자료_잔고!$A$1:$EZ$1500,설정!$L$5+ROW()-1,설정!$L$13)),INDEX(원자료_잔고!$A$1:$EZ$1500,설정!$L$5+ROW()-1,설정!$L$13),""),"")</f>
        <v>4.9874</v>
      </c>
      <c r="H390" s="85" t="n">
        <f aca="false">IFERROR(IF(ISNUMBER(INDEX(원자료_잔고!$A$1:$EZ$1500,설정!$L$5+ROW()-1,설정!$L$14)),INDEX(원자료_잔고!$A$1:$EZ$1500,설정!$L$5+ROW()-1,설정!$L$14),""),"")</f>
        <v>0.9498</v>
      </c>
      <c r="I390" s="86" t="n">
        <f aca="false">IFERROR(IF(ISNUMBER(INDEX(원자료_잔고!$A$1:$EZ$1500,설정!$L$5+ROW()-1,설정!$L$15)),INDEX(원자료_잔고!$A$1:$EZ$1500,설정!$L$5+ROW()-1,설정!$L$15),""),"")</f>
        <v>46660</v>
      </c>
      <c r="J390" s="85" t="n">
        <f aca="false">IFERROR(IF(ISNUMBER(INDEX(원자료_잔고!$A$1:$EZ$1500,설정!$L$5+ROW()-1,설정!$L$16)),INDEX(원자료_잔고!$A$1:$EZ$1500,설정!$L$5+ROW()-1,설정!$L$16),""),"")</f>
        <v>4.125</v>
      </c>
      <c r="K390" s="87" t="n">
        <f aca="false">IFERROR(IF(ISNUMBER(INDEX(원자료_잔고!$A$1:$EZ$1500,설정!$L$5+ROW()-1,설정!$L$17)),INDEX(원자료_잔고!$A$1:$EZ$1500,설정!$L$5+ROW()-1,설정!$L$17),""),"")</f>
        <v>1</v>
      </c>
      <c r="L390" s="84" t="n">
        <f aca="false">IFERROR(IF(ISNUMBER(INDEX(원자료_잔고!$A$1:$EZ$1500,설정!$L$5+ROW()-1,설정!$L$18)),INDEX(원자료_잔고!$A$1:$EZ$1500,설정!$L$5+ROW()-1,설정!$L$18),""),"")</f>
        <v>198337</v>
      </c>
      <c r="M390" s="88" t="n">
        <f aca="false">IFERROR(IF(ISNUMBER(INDEX(원자료_잔고!$A$1:$EZ$1500,설정!$L$5+ROW()-1,설정!$L$19)),INDEX(원자료_잔고!$A$1:$EZ$1500,설정!$L$5+ROW()-1,설정!$L$19),""),"")</f>
        <v>-2350.4</v>
      </c>
      <c r="N390" s="83" t="str">
        <f aca="false">IFERROR(IF(INDEX(원자료_잔고!$A$1:$EZ$1500,설정!$L$5+ROW()-1,설정!$L$21)&amp;""="0","",INDEX(원자료_잔고!$A$1:$EZ$1500,설정!$L$5+ROW()-1,설정!$L$21)&amp;""),"")</f>
        <v>AA</v>
      </c>
      <c r="O390" s="83" t="str">
        <f aca="false">IFERROR(IF(INDEX(원자료_잔고!$A$1:$EZ$1500,설정!$L$5+ROW()-1,설정!$L$22)&amp;""="0","",INDEX(원자료_잔고!$A$1:$EZ$1500,설정!$L$5+ROW()-1,설정!$L$22)&amp;""),"")</f>
        <v/>
      </c>
      <c r="P390" s="83" t="str">
        <f aca="false">IFERROR(IF(INDEX(원자료_잔고!$A$1:$EZ$1500,설정!$L$5+ROW()-1,설정!$L$23)&amp;""="0","",INDEX(원자료_잔고!$A$1:$EZ$1500,설정!$L$5+ROW()-1,설정!$L$23)&amp;""),"")</f>
        <v>N/A</v>
      </c>
      <c r="Q390" s="89" t="n">
        <f aca="false">IF(AND($A390&lt;&gt;"",ISNUMBER(E390)),IF(E390&gt;0,1,0),0)</f>
        <v>1</v>
      </c>
      <c r="R390" s="43" t="str">
        <f aca="false">IF(Q390=1,UPPER(LEFT($A390,FIND(" ",$A390&amp;" ")-1)),"")</f>
        <v>KOROIL</v>
      </c>
      <c r="S390" s="89" t="n">
        <f aca="false">IF(Q390=1,IF(OR(ISNUMBER(SEARCH("Float",$A390)),ISNUMBER(SEARCH("FRN",$A390))),1,0),0)</f>
        <v>0</v>
      </c>
      <c r="T390" s="43" t="str">
        <f aca="false">IF(AND(Q390=1,ISNUMBER(I390)),TEXT(I390,"yyyymmdd")&amp;"|"&amp;IF(S390=1,"F",TEXT(J390,"0.000")),"")</f>
        <v>20270930|4.125</v>
      </c>
      <c r="U390" s="90" t="n">
        <f aca="false">IF(AND(Q390=1,ISNUMBER(I390)),(I390-설정!$C$4)/365.25,"")</f>
        <v>0.996577686516085</v>
      </c>
      <c r="V390" s="43" t="str">
        <f aca="false">IF(Q390&lt;&gt;1,"",IF(ISNUMBER(U390),IF(U390&lt;=1,"1년 이하",IF(U390&lt;=2,"1-2년",IF(U390&lt;=3,"2-3년",IF(U390&lt;=4,"3-4년",IF(U390&lt;=5,"4-5년",IF(U390&lt;=7,"5-7년",IF(U390&lt;=10,"7-10년",IF(U390&lt;=20,"10-20년","20년 이상")))))))),"미분류"))</f>
        <v>1년 이하</v>
      </c>
      <c r="W390" s="43" t="str">
        <f aca="false">IF(Q390&lt;&gt;1,"",IF(AB390&lt;&gt;"",INDEX(시장분석!$C:$C,AB390),IF(K390=1,"USD","비USD")))</f>
        <v>USD</v>
      </c>
      <c r="X390" s="91" t="n">
        <f aca="false">IF(Q390=1,E390*K390/1000000,0)</f>
        <v>0.2</v>
      </c>
      <c r="Y390" s="89" t="n">
        <f aca="false">IF(R390="T",1,0)</f>
        <v>0</v>
      </c>
      <c r="Z390" s="92" t="n">
        <f aca="false">IF(Q390&lt;&gt;1,"",IF(AD390=1,IF(ISNUMBER(U390),MAX(U390,0),H390),H390))</f>
        <v>0.9498</v>
      </c>
      <c r="AA390" s="91" t="n">
        <f aca="false">IF(Q390=1,IF(ISNUMBER(L390),L390,0)*K390/1000000,0)</f>
        <v>0.198337</v>
      </c>
      <c r="AB390" s="89" t="n">
        <f aca="false">IF(Q390&lt;&gt;1,"",IFERROR(MATCH(VLOOKUP(B390,매핑!$H$4:$I$15,2,0),시장분석!$A$2:$A$601,0)+1,IFERROR(MATCH(R390&amp;"|"&amp;T390,시장분석!$V$2:$V$601,0)+1,IF(COUNTIF(시장분석!$U$2:$U$601,T390)=1,MATCH(T390,시장분석!$U$2:$U$601,0)+1,""))))</f>
        <v>170</v>
      </c>
      <c r="AC390" s="89" t="n">
        <f aca="false">IF(Q390&lt;&gt;1,0,IF(OR(설정!$C$5="전체",AND(설정!$C$5="선택펀드",IFERROR(COUNTIFS(설정!$F$16:$F$36,C390,설정!$G$16:$G$36,"Y")+COUNTIFS(설정!$F$16:$F$36,VALUE(C390),설정!$G$16:$G$36,"Y"),0)&gt;0),C390&amp;""=설정!$C$5&amp;""),1,0))</f>
        <v>0</v>
      </c>
      <c r="AD390" s="89" t="n">
        <f aca="false">IF(Q390&lt;&gt;1,0,IF(OR(S390=1,IF(AB390="",FALSE(),INDEX(시장분석!$R:$R,AB390)=1)),1,0))</f>
        <v>0</v>
      </c>
      <c r="AE390" s="43" t="str">
        <f aca="false">IF(AB390="","",INDEX(시장분석!$A:$A,AB390))</f>
        <v>KOROIL 4 1/8 09/30/27</v>
      </c>
      <c r="AF390" s="93" t="n">
        <f aca="false">IF(AB390="","",IF(ISNUMBER(IF(AB390="","",INDEX(시장분석!$E:$E,AB390))),IF(AB390="","",INDEX(시장분석!$E:$E,AB390)),""))</f>
        <v>7.625</v>
      </c>
      <c r="AG390" s="43" t="str">
        <f aca="false">IF(Q390&lt;&gt;1,"",IF(AB390&lt;&gt;"",IF(AB390="","",INDEX(시장분석!$L:$L,AB390)),IFERROR(IF(VLOOKUP(R390,매핑!$A$4:$E$92,5,0)="","미분류",VLOOKUP(R390,매핑!$A$4:$E$92,5,0)),"미분류")))</f>
        <v>정부</v>
      </c>
      <c r="AH390" s="43" t="str">
        <f aca="false">IF(Q390&lt;&gt;1,"",IF(AB390&lt;&gt;"",IF(AB390="","",INDEX(시장분석!$N:$N,AB390)),IFERROR(IF(VLOOKUP(R390,매핑!$A$4:$E$92,4,0)="","미분류",VLOOKUP(R390,매핑!$A$4:$E$92,4,0)),"미분류")))</f>
        <v>아시아/기타</v>
      </c>
      <c r="AI390" s="43" t="str">
        <f aca="false">IF(Q390&lt;&gt;1,"",IFERROR(IF(VLOOKUP(R390,매핑!$A$4:$E$92,3,0)="","미분류",VLOOKUP(R390,매핑!$A$4:$E$92,3,0)),IF(AB390&lt;&gt;"",IF(AB390="","",INDEX(시장분석!$W:$W,AB390)),"미분류")))</f>
        <v>한국</v>
      </c>
      <c r="AJ390" s="43" t="str">
        <f aca="false">IF(Q390&lt;&gt;1,"",IFERROR(VLOOKUP(IF(N390&lt;&gt;"",N390,IF(P390&lt;&gt;"",P390,O390)),설정!$A$15:$D$47,2,0),""))</f>
        <v>AA</v>
      </c>
      <c r="AK390" s="43" t="str">
        <f aca="false">IF(Q390&lt;&gt;1,"",IF(AJ390="","무등급",IFERROR(VLOOKUP(AJ390,설정!$A$15:$D$47,3,0),"무등급")))</f>
        <v>AA이상</v>
      </c>
      <c r="AL390" s="89" t="n">
        <f aca="false">IF(AJ390="",99,IFERROR(VLOOKUP(AJ390,설정!$A$15:$D$47,4,0),99))</f>
        <v>3</v>
      </c>
      <c r="AM390" s="94" t="n">
        <f aca="false">IF(ISNUMBER(H390),AA390*1000000*H390/10000,0)</f>
        <v>18.83804826</v>
      </c>
      <c r="AN390" s="94" t="n">
        <f aca="false">IF(OR(Y390=1,NOT(ISNUMBER(Z390))),0,AA390*1000000*Z390/10000)</f>
        <v>18.83804826</v>
      </c>
      <c r="AO390" s="94" t="n">
        <f aca="false">IF(ISNUMBER(G390),AA390*1000000*G390/100,0)</f>
        <v>9891.859538</v>
      </c>
      <c r="AP390" s="94" t="n">
        <f aca="false">IF(ISNUMBER(M390),M390*K390,0)</f>
        <v>-2350.4</v>
      </c>
      <c r="AQ390" s="95" t="n">
        <f aca="false">IF(AB390="","",INDEX(시장분석!$AK:$AK,AB390))</f>
        <v>0.69334953915124</v>
      </c>
      <c r="AR390" s="43" t="str">
        <f aca="false">IF(AB390="","-",IF(AB390="","",INDEX(시장분석!$AL:$AL,AB390)))</f>
        <v>Fair</v>
      </c>
      <c r="AS390" s="96" t="n">
        <f aca="false">IF(AB390="","",INDEX(시장분석!$AJ:$AJ,AB390))</f>
        <v>9.49405195949868</v>
      </c>
      <c r="AT390" s="93" t="n">
        <f aca="false">IF(AB390="",0,IF(AB390="","",INDEX(시장분석!$AN:$AN,AB390)))</f>
        <v>0</v>
      </c>
      <c r="AU390" s="94" t="n">
        <f aca="false">IF(ISNUMBER(Z390),AT390/10000*MAX(Z390-1,0)*AA390*1000000,0)</f>
        <v>0</v>
      </c>
      <c r="AV390" s="94" t="n">
        <f aca="false">AO390+AU390</f>
        <v>9891.859538</v>
      </c>
      <c r="AW390" s="43" t="str">
        <f aca="false">IF(Q390&lt;&gt;1,"",TRIM(IF(AD390=1,"FRN ","")&amp;IF(AND(AL390&gt;=10,AL390&lt;99),"BBB0미만 ","")&amp;IF(AJ390="","등급없음 ","")&amp;IF(K390&lt;&gt;1,"비USD ","")&amp;IF(AND(AB390="",Y390=0),"시장데이터없음 ","")&amp;IF(AND(ISNUMBER(U390),U390&lt;0),"만기경과 ","")))</f>
        <v/>
      </c>
      <c r="AX390" s="90" t="n">
        <f aca="false">IF(Q390&lt;&gt;1,1,IF(스프레드쇼크!$C$4="Y",INDEX(스프레드쇼크!$B$12:$L$16,IFERROR(MATCH(AH390,스프레드쇼크!$A$12:$A$16,0),MATCH("목록외",스프레드쇼크!$A$12:$A$16,0)),IFERROR(MATCH(AG390,스프레드쇼크!$B$11:$L$11,0),MATCH("목록외",스프레드쇼크!$B$11:$L$11,0))),1))</f>
        <v>1</v>
      </c>
      <c r="AY390" s="90" t="n">
        <f aca="false">IF(스프레드쇼크!$C$5="Y",IF(ISNUMBER(AF390),MIN(스프레드쇼크!$C$7,MAX(스프레드쇼크!$C$6,AF390/스프레드쇼크!$C$8)),1),1)</f>
        <v>0.25</v>
      </c>
      <c r="AZ390" s="94" t="n">
        <f aca="false">AN390*AX390*AY390</f>
        <v>4.709512065</v>
      </c>
      <c r="BA390" s="90" t="n">
        <f aca="false">IF(ISNUMBER(G390),AA390*G390,0)</f>
        <v>0.9891859538</v>
      </c>
      <c r="BB390" s="90" t="n">
        <f aca="false">IF(ISNUMBER(G390),AA390,0)</f>
        <v>0.198337</v>
      </c>
      <c r="BC390" s="90" t="n">
        <f aca="false">IF(AND(Y390=0,ISNUMBER(AF390)),AA390*AF390,0)</f>
        <v>1.512319625</v>
      </c>
      <c r="BD390" s="90" t="n">
        <f aca="false">IF(AND(Y390=0,ISNUMBER(AF390)),AA390,0)</f>
        <v>0.198337</v>
      </c>
      <c r="BE390" s="90" t="n">
        <f aca="false">IF(ISNUMBER(H390),AA390*H390,0)</f>
        <v>0.1883804826</v>
      </c>
      <c r="BF390" s="90" t="n">
        <f aca="false">IF(ISNUMBER(H390),AA390,0)</f>
        <v>0.198337</v>
      </c>
      <c r="BG390" s="90" t="n">
        <f aca="false">IF(AND(Y390=0,ISNUMBER(AF390),ISNUMBER(Z390)),AA390*Z390,0)</f>
        <v>0.1883804826</v>
      </c>
      <c r="BH390" s="90" t="n">
        <f aca="false">IF(AND(Y390=0,ISNUMBER(AF390),ISNUMBER(Z390)),AA390*AT390*MAX(Z390-1,0),0)</f>
        <v>0</v>
      </c>
      <c r="BI390" s="90" t="n">
        <f aca="false">IF(Y390=0,AA390,0)</f>
        <v>0.198337</v>
      </c>
    </row>
    <row r="391" customFormat="false" ht="15" hidden="false" customHeight="false" outlineLevel="0" collapsed="false">
      <c r="A391" s="83" t="str">
        <f aca="false">IFERROR(IF(INDEX(원자료_잔고!$A$1:$EZ$1500,설정!$L$5+ROW()-1,설정!$L$8)&amp;""="0","",INDEX(원자료_잔고!$A$1:$EZ$1500,설정!$L$5+ROW()-1,설정!$L$8)&amp;""),"")</f>
        <v>KOROIL 4 09/29/28</v>
      </c>
      <c r="B391" s="83" t="str">
        <f aca="false">IFERROR(IF(INDEX(원자료_잔고!$A$1:$EZ$1500,설정!$L$5+ROW()-1,설정!$L$7)&amp;""="0","",INDEX(원자료_잔고!$A$1:$EZ$1500,설정!$L$5+ROW()-1,설정!$L$7)&amp;""),"")</f>
        <v>USY4938AAT61</v>
      </c>
      <c r="C391" s="83" t="str">
        <f aca="false">IFERROR(IF(INDEX(원자료_잔고!$A$1:$EZ$1500,설정!$L$5+ROW()-1,설정!$L$9)&amp;""="0","",INDEX(원자료_잔고!$A$1:$EZ$1500,설정!$L$5+ROW()-1,설정!$L$9)&amp;""),"")</f>
        <v>42003</v>
      </c>
      <c r="D39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1" s="84" t="n">
        <f aca="false">IFERROR(IF(ISNUMBER(INDEX(원자료_잔고!$A$1:$EZ$1500,설정!$L$5+ROW()-1,설정!$L$11)),INDEX(원자료_잔고!$A$1:$EZ$1500,설정!$L$5+ROW()-1,설정!$L$11),""),"")</f>
        <v>500000</v>
      </c>
      <c r="F391" s="85" t="n">
        <f aca="false">IFERROR(IF(ISNUMBER(INDEX(원자료_잔고!$A$1:$EZ$1500,설정!$L$5+ROW()-1,설정!$L$12)),INDEX(원자료_잔고!$A$1:$EZ$1500,설정!$L$5+ROW()-1,설정!$L$12),""),"")</f>
        <v>97.6723</v>
      </c>
      <c r="G391" s="85" t="n">
        <f aca="false">IFERROR(IF(ISNUMBER(INDEX(원자료_잔고!$A$1:$EZ$1500,설정!$L$5+ROW()-1,설정!$L$13)),INDEX(원자료_잔고!$A$1:$EZ$1500,설정!$L$5+ROW()-1,설정!$L$13),""),"")</f>
        <v>5.2423</v>
      </c>
      <c r="H391" s="85" t="n">
        <f aca="false">IFERROR(IF(ISNUMBER(INDEX(원자료_잔고!$A$1:$EZ$1500,설정!$L$5+ROW()-1,설정!$L$14)),INDEX(원자료_잔고!$A$1:$EZ$1500,설정!$L$5+ROW()-1,설정!$L$14),""),"")</f>
        <v>1.8562</v>
      </c>
      <c r="I391" s="86" t="n">
        <f aca="false">IFERROR(IF(ISNUMBER(INDEX(원자료_잔고!$A$1:$EZ$1500,설정!$L$5+ROW()-1,설정!$L$15)),INDEX(원자료_잔고!$A$1:$EZ$1500,설정!$L$5+ROW()-1,설정!$L$15),""),"")</f>
        <v>47025</v>
      </c>
      <c r="J391" s="85" t="n">
        <f aca="false">IFERROR(IF(ISNUMBER(INDEX(원자료_잔고!$A$1:$EZ$1500,설정!$L$5+ROW()-1,설정!$L$16)),INDEX(원자료_잔고!$A$1:$EZ$1500,설정!$L$5+ROW()-1,설정!$L$16),""),"")</f>
        <v>4</v>
      </c>
      <c r="K391" s="87" t="n">
        <f aca="false">IFERROR(IF(ISNUMBER(INDEX(원자료_잔고!$A$1:$EZ$1500,설정!$L$5+ROW()-1,설정!$L$17)),INDEX(원자료_잔고!$A$1:$EZ$1500,설정!$L$5+ROW()-1,설정!$L$17),""),"")</f>
        <v>1</v>
      </c>
      <c r="L391" s="84" t="n">
        <f aca="false">IFERROR(IF(ISNUMBER(INDEX(원자료_잔고!$A$1:$EZ$1500,설정!$L$5+ROW()-1,설정!$L$18)),INDEX(원자료_잔고!$A$1:$EZ$1500,설정!$L$5+ROW()-1,설정!$L$18),""),"")</f>
        <v>488361.5</v>
      </c>
      <c r="M391" s="88" t="n">
        <f aca="false">IFERROR(IF(ISNUMBER(INDEX(원자료_잔고!$A$1:$EZ$1500,설정!$L$5+ROW()-1,설정!$L$19)),INDEX(원자료_잔고!$A$1:$EZ$1500,설정!$L$5+ROW()-1,설정!$L$19),""),"")</f>
        <v>-12806.5</v>
      </c>
      <c r="N391" s="83" t="str">
        <f aca="false">IFERROR(IF(INDEX(원자료_잔고!$A$1:$EZ$1500,설정!$L$5+ROW()-1,설정!$L$21)&amp;""="0","",INDEX(원자료_잔고!$A$1:$EZ$1500,설정!$L$5+ROW()-1,설정!$L$21)&amp;""),"")</f>
        <v>AA</v>
      </c>
      <c r="O391" s="83" t="str">
        <f aca="false">IFERROR(IF(INDEX(원자료_잔고!$A$1:$EZ$1500,설정!$L$5+ROW()-1,설정!$L$22)&amp;""="0","",INDEX(원자료_잔고!$A$1:$EZ$1500,설정!$L$5+ROW()-1,설정!$L$22)&amp;""),"")</f>
        <v/>
      </c>
      <c r="P391" s="83" t="str">
        <f aca="false">IFERROR(IF(INDEX(원자료_잔고!$A$1:$EZ$1500,설정!$L$5+ROW()-1,설정!$L$23)&amp;""="0","",INDEX(원자료_잔고!$A$1:$EZ$1500,설정!$L$5+ROW()-1,설정!$L$23)&amp;""),"")</f>
        <v>N/A</v>
      </c>
      <c r="Q391" s="89" t="n">
        <f aca="false">IF(AND($A391&lt;&gt;"",ISNUMBER(E391)),IF(E391&gt;0,1,0),0)</f>
        <v>1</v>
      </c>
      <c r="R391" s="43" t="str">
        <f aca="false">IF(Q391=1,UPPER(LEFT($A391,FIND(" ",$A391&amp;" ")-1)),"")</f>
        <v>KOROIL</v>
      </c>
      <c r="S391" s="89" t="n">
        <f aca="false">IF(Q391=1,IF(OR(ISNUMBER(SEARCH("Float",$A391)),ISNUMBER(SEARCH("FRN",$A391))),1,0),0)</f>
        <v>0</v>
      </c>
      <c r="T391" s="43" t="str">
        <f aca="false">IF(AND(Q391=1,ISNUMBER(I391)),TEXT(I391,"yyyymmdd")&amp;"|"&amp;IF(S391=1,"F",TEXT(J391,"0.000")),"")</f>
        <v>20280929|4.000</v>
      </c>
      <c r="U391" s="90" t="n">
        <f aca="false">IF(AND(Q391=1,ISNUMBER(I391)),(I391-설정!$C$4)/365.25,"")</f>
        <v>1.9958932238193</v>
      </c>
      <c r="V391" s="43" t="str">
        <f aca="false">IF(Q391&lt;&gt;1,"",IF(ISNUMBER(U391),IF(U391&lt;=1,"1년 이하",IF(U391&lt;=2,"1-2년",IF(U391&lt;=3,"2-3년",IF(U391&lt;=4,"3-4년",IF(U391&lt;=5,"4-5년",IF(U391&lt;=7,"5-7년",IF(U391&lt;=10,"7-10년",IF(U391&lt;=20,"10-20년","20년 이상")))))))),"미분류"))</f>
        <v>1-2년</v>
      </c>
      <c r="W391" s="43" t="str">
        <f aca="false">IF(Q391&lt;&gt;1,"",IF(AB391&lt;&gt;"",INDEX(시장분석!$C:$C,AB391),IF(K391=1,"USD","비USD")))</f>
        <v>USD</v>
      </c>
      <c r="X391" s="91" t="n">
        <f aca="false">IF(Q391=1,E391*K391/1000000,0)</f>
        <v>0.5</v>
      </c>
      <c r="Y391" s="89" t="n">
        <f aca="false">IF(R391="T",1,0)</f>
        <v>0</v>
      </c>
      <c r="Z391" s="92" t="n">
        <f aca="false">IF(Q391&lt;&gt;1,"",IF(AD391=1,IF(ISNUMBER(U391),MAX(U391,0),H391),H391))</f>
        <v>1.8562</v>
      </c>
      <c r="AA391" s="91" t="n">
        <f aca="false">IF(Q391=1,IF(ISNUMBER(L391),L391,0)*K391/1000000,0)</f>
        <v>0.4883615</v>
      </c>
      <c r="AB391" s="89" t="n">
        <f aca="false">IF(Q391&lt;&gt;1,"",IFERROR(MATCH(VLOOKUP(B391,매핑!$H$4:$I$15,2,0),시장분석!$A$2:$A$601,0)+1,IFERROR(MATCH(R391&amp;"|"&amp;T391,시장분석!$V$2:$V$601,0)+1,IF(COUNTIF(시장분석!$U$2:$U$601,T391)=1,MATCH(T391,시장분석!$U$2:$U$601,0)+1,""))))</f>
        <v>171</v>
      </c>
      <c r="AC391" s="89" t="n">
        <f aca="false">IF(Q391&lt;&gt;1,0,IF(OR(설정!$C$5="전체",AND(설정!$C$5="선택펀드",IFERROR(COUNTIFS(설정!$F$16:$F$36,C391,설정!$G$16:$G$36,"Y")+COUNTIFS(설정!$F$16:$F$36,VALUE(C391),설정!$G$16:$G$36,"Y"),0)&gt;0),C391&amp;""=설정!$C$5&amp;""),1,0))</f>
        <v>0</v>
      </c>
      <c r="AD391" s="89" t="n">
        <f aca="false">IF(Q391&lt;&gt;1,0,IF(OR(S391=1,IF(AB391="",FALSE(),INDEX(시장분석!$R:$R,AB391)=1)),1,0))</f>
        <v>0</v>
      </c>
      <c r="AE391" s="43" t="str">
        <f aca="false">IF(AB391="","",INDEX(시장분석!$A:$A,AB391))</f>
        <v>KOROIL 4 09/29/28</v>
      </c>
      <c r="AF391" s="93" t="n">
        <f aca="false">IF(AB391="","",IF(ISNUMBER(IF(AB391="","",INDEX(시장분석!$E:$E,AB391))),IF(AB391="","",INDEX(시장분석!$E:$E,AB391)),""))</f>
        <v>34.22</v>
      </c>
      <c r="AG391" s="43" t="str">
        <f aca="false">IF(Q391&lt;&gt;1,"",IF(AB391&lt;&gt;"",IF(AB391="","",INDEX(시장분석!$L:$L,AB391)),IFERROR(IF(VLOOKUP(R391,매핑!$A$4:$E$92,5,0)="","미분류",VLOOKUP(R391,매핑!$A$4:$E$92,5,0)),"미분류")))</f>
        <v>정부</v>
      </c>
      <c r="AH391" s="43" t="str">
        <f aca="false">IF(Q391&lt;&gt;1,"",IF(AB391&lt;&gt;"",IF(AB391="","",INDEX(시장분석!$N:$N,AB391)),IFERROR(IF(VLOOKUP(R391,매핑!$A$4:$E$92,4,0)="","미분류",VLOOKUP(R391,매핑!$A$4:$E$92,4,0)),"미분류")))</f>
        <v>아시아/기타</v>
      </c>
      <c r="AI391" s="43" t="str">
        <f aca="false">IF(Q391&lt;&gt;1,"",IFERROR(IF(VLOOKUP(R391,매핑!$A$4:$E$92,3,0)="","미분류",VLOOKUP(R391,매핑!$A$4:$E$92,3,0)),IF(AB391&lt;&gt;"",IF(AB391="","",INDEX(시장분석!$W:$W,AB391)),"미분류")))</f>
        <v>한국</v>
      </c>
      <c r="AJ391" s="43" t="str">
        <f aca="false">IF(Q391&lt;&gt;1,"",IFERROR(VLOOKUP(IF(N391&lt;&gt;"",N391,IF(P391&lt;&gt;"",P391,O391)),설정!$A$15:$D$47,2,0),""))</f>
        <v>AA</v>
      </c>
      <c r="AK391" s="43" t="str">
        <f aca="false">IF(Q391&lt;&gt;1,"",IF(AJ391="","무등급",IFERROR(VLOOKUP(AJ391,설정!$A$15:$D$47,3,0),"무등급")))</f>
        <v>AA이상</v>
      </c>
      <c r="AL391" s="89" t="n">
        <f aca="false">IF(AJ391="",99,IFERROR(VLOOKUP(AJ391,설정!$A$15:$D$47,4,0),99))</f>
        <v>3</v>
      </c>
      <c r="AM391" s="94" t="n">
        <f aca="false">IF(ISNUMBER(H391),AA391*1000000*H391/10000,0)</f>
        <v>90.64966163</v>
      </c>
      <c r="AN391" s="94" t="n">
        <f aca="false">IF(OR(Y391=1,NOT(ISNUMBER(Z391))),0,AA391*1000000*Z391/10000)</f>
        <v>90.64966163</v>
      </c>
      <c r="AO391" s="94" t="n">
        <f aca="false">IF(ISNUMBER(G391),AA391*1000000*G391/100,0)</f>
        <v>25601.3749145</v>
      </c>
      <c r="AP391" s="94" t="n">
        <f aca="false">IF(ISNUMBER(M391),M391*K391,0)</f>
        <v>-12806.5</v>
      </c>
      <c r="AQ391" s="95" t="n">
        <f aca="false">IF(AB391="","",INDEX(시장분석!$AK:$AK,AB391))</f>
        <v>1.65591361309658</v>
      </c>
      <c r="AR391" s="43" t="str">
        <f aca="false">IF(AB391="","-",IF(AB391="","",INDEX(시장분석!$AL:$AL,AB391)))</f>
        <v>Cheap</v>
      </c>
      <c r="AS391" s="96" t="n">
        <f aca="false">IF(AB391="","",INDEX(시장분석!$AJ:$AJ,AB391))</f>
        <v>22.6744650359547</v>
      </c>
      <c r="AT391" s="93" t="n">
        <f aca="false">IF(AB391="",0,IF(AB391="","",INDEX(시장분석!$AN:$AN,AB391)))</f>
        <v>14.4719490756443</v>
      </c>
      <c r="AU391" s="94" t="n">
        <f aca="false">IF(ISNUMBER(Z391),AT391/10000*MAX(Z391-1,0)*AA391*1000000,0)</f>
        <v>605.123010983222</v>
      </c>
      <c r="AV391" s="94" t="n">
        <f aca="false">AO391+AU391</f>
        <v>26206.4979254832</v>
      </c>
      <c r="AW391" s="43" t="str">
        <f aca="false">IF(Q391&lt;&gt;1,"",TRIM(IF(AD391=1,"FRN ","")&amp;IF(AND(AL391&gt;=10,AL391&lt;99),"BBB0미만 ","")&amp;IF(AJ391="","등급없음 ","")&amp;IF(K391&lt;&gt;1,"비USD ","")&amp;IF(AND(AB391="",Y391=0),"시장데이터없음 ","")&amp;IF(AND(ISNUMBER(U391),U391&lt;0),"만기경과 ","")))</f>
        <v/>
      </c>
      <c r="AX391" s="90" t="n">
        <f aca="false">IF(Q391&lt;&gt;1,1,IF(스프레드쇼크!$C$4="Y",INDEX(스프레드쇼크!$B$12:$L$16,IFERROR(MATCH(AH391,스프레드쇼크!$A$12:$A$16,0),MATCH("목록외",스프레드쇼크!$A$12:$A$16,0)),IFERROR(MATCH(AG391,스프레드쇼크!$B$11:$L$11,0),MATCH("목록외",스프레드쇼크!$B$11:$L$11,0))),1))</f>
        <v>1</v>
      </c>
      <c r="AY391" s="90" t="n">
        <f aca="false">IF(스프레드쇼크!$C$5="Y",IF(ISNUMBER(AF391),MIN(스프레드쇼크!$C$7,MAX(스프레드쇼크!$C$6,AF391/스프레드쇼크!$C$8)),1),1)</f>
        <v>0.517590780324793</v>
      </c>
      <c r="AZ391" s="94" t="n">
        <f aca="false">AN391*AX391*AY391</f>
        <v>46.9194290992501</v>
      </c>
      <c r="BA391" s="90" t="n">
        <f aca="false">IF(ISNUMBER(G391),AA391*G391,0)</f>
        <v>2.56013749145</v>
      </c>
      <c r="BB391" s="90" t="n">
        <f aca="false">IF(ISNUMBER(G391),AA391,0)</f>
        <v>0.4883615</v>
      </c>
      <c r="BC391" s="90" t="n">
        <f aca="false">IF(AND(Y391=0,ISNUMBER(AF391)),AA391*AF391,0)</f>
        <v>16.71173053</v>
      </c>
      <c r="BD391" s="90" t="n">
        <f aca="false">IF(AND(Y391=0,ISNUMBER(AF391)),AA391,0)</f>
        <v>0.4883615</v>
      </c>
      <c r="BE391" s="90" t="n">
        <f aca="false">IF(ISNUMBER(H391),AA391*H391,0)</f>
        <v>0.9064966163</v>
      </c>
      <c r="BF391" s="90" t="n">
        <f aca="false">IF(ISNUMBER(H391),AA391,0)</f>
        <v>0.4883615</v>
      </c>
      <c r="BG391" s="90" t="n">
        <f aca="false">IF(AND(Y391=0,ISNUMBER(AF391),ISNUMBER(Z391)),AA391*Z391,0)</f>
        <v>0.9064966163</v>
      </c>
      <c r="BH391" s="90" t="n">
        <f aca="false">IF(AND(Y391=0,ISNUMBER(AF391),ISNUMBER(Z391)),AA391*AT391*MAX(Z391-1,0),0)</f>
        <v>6.05123010983222</v>
      </c>
      <c r="BI391" s="90" t="n">
        <f aca="false">IF(Y391=0,AA391,0)</f>
        <v>0.4883615</v>
      </c>
    </row>
    <row r="392" customFormat="false" ht="15" hidden="false" customHeight="false" outlineLevel="0" collapsed="false">
      <c r="A392" s="83" t="str">
        <f aca="false">IFERROR(IF(INDEX(원자료_잔고!$A$1:$EZ$1500,설정!$L$5+ROW()-1,설정!$L$8)&amp;""="0","",INDEX(원자료_잔고!$A$1:$EZ$1500,설정!$L$5+ROW()-1,설정!$L$8)&amp;""),"")</f>
        <v>KOROIL 4.125 09/29/30</v>
      </c>
      <c r="B392" s="83" t="str">
        <f aca="false">IFERROR(IF(INDEX(원자료_잔고!$A$1:$EZ$1500,설정!$L$5+ROW()-1,설정!$L$7)&amp;""="0","",INDEX(원자료_잔고!$A$1:$EZ$1500,설정!$L$5+ROW()-1,설정!$L$7)&amp;""),"")</f>
        <v>USY4938AAV18</v>
      </c>
      <c r="C392" s="83" t="str">
        <f aca="false">IFERROR(IF(INDEX(원자료_잔고!$A$1:$EZ$1500,설정!$L$5+ROW()-1,설정!$L$9)&amp;""="0","",INDEX(원자료_잔고!$A$1:$EZ$1500,설정!$L$5+ROW()-1,설정!$L$9)&amp;""),"")</f>
        <v>42003</v>
      </c>
      <c r="D39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2" s="84" t="n">
        <f aca="false">IFERROR(IF(ISNUMBER(INDEX(원자료_잔고!$A$1:$EZ$1500,설정!$L$5+ROW()-1,설정!$L$11)),INDEX(원자료_잔고!$A$1:$EZ$1500,설정!$L$5+ROW()-1,설정!$L$11),""),"")</f>
        <v>200000</v>
      </c>
      <c r="F392" s="85" t="n">
        <f aca="false">IFERROR(IF(ISNUMBER(INDEX(원자료_잔고!$A$1:$EZ$1500,설정!$L$5+ROW()-1,설정!$L$12)),INDEX(원자료_잔고!$A$1:$EZ$1500,설정!$L$5+ROW()-1,설정!$L$12),""),"")</f>
        <v>95.2447</v>
      </c>
      <c r="G392" s="85" t="n">
        <f aca="false">IFERROR(IF(ISNUMBER(INDEX(원자료_잔고!$A$1:$EZ$1500,설정!$L$5+ROW()-1,설정!$L$13)),INDEX(원자료_잔고!$A$1:$EZ$1500,설정!$L$5+ROW()-1,설정!$L$13),""),"")</f>
        <v>5.4651</v>
      </c>
      <c r="H392" s="85" t="n">
        <f aca="false">IFERROR(IF(ISNUMBER(INDEX(원자료_잔고!$A$1:$EZ$1500,설정!$L$5+ROW()-1,설정!$L$14)),INDEX(원자료_잔고!$A$1:$EZ$1500,설정!$L$5+ROW()-1,설정!$L$14),""),"")</f>
        <v>3.5534</v>
      </c>
      <c r="I392" s="86" t="n">
        <f aca="false">IFERROR(IF(ISNUMBER(INDEX(원자료_잔고!$A$1:$EZ$1500,설정!$L$5+ROW()-1,설정!$L$15)),INDEX(원자료_잔고!$A$1:$EZ$1500,설정!$L$5+ROW()-1,설정!$L$15),""),"")</f>
        <v>47755</v>
      </c>
      <c r="J392" s="85" t="n">
        <f aca="false">IFERROR(IF(ISNUMBER(INDEX(원자료_잔고!$A$1:$EZ$1500,설정!$L$5+ROW()-1,설정!$L$16)),INDEX(원자료_잔고!$A$1:$EZ$1500,설정!$L$5+ROW()-1,설정!$L$16),""),"")</f>
        <v>4.125</v>
      </c>
      <c r="K392" s="87" t="n">
        <f aca="false">IFERROR(IF(ISNUMBER(INDEX(원자료_잔고!$A$1:$EZ$1500,설정!$L$5+ROW()-1,설정!$L$17)),INDEX(원자료_잔고!$A$1:$EZ$1500,설정!$L$5+ROW()-1,설정!$L$17),""),"")</f>
        <v>1</v>
      </c>
      <c r="L392" s="84" t="n">
        <f aca="false">IFERROR(IF(ISNUMBER(INDEX(원자료_잔고!$A$1:$EZ$1500,설정!$L$5+ROW()-1,설정!$L$18)),INDEX(원자료_잔고!$A$1:$EZ$1500,설정!$L$5+ROW()-1,설정!$L$18),""),"")</f>
        <v>190489.4</v>
      </c>
      <c r="M392" s="88" t="n">
        <f aca="false">IFERROR(IF(ISNUMBER(INDEX(원자료_잔고!$A$1:$EZ$1500,설정!$L$5+ROW()-1,설정!$L$19)),INDEX(원자료_잔고!$A$1:$EZ$1500,설정!$L$5+ROW()-1,설정!$L$19),""),"")</f>
        <v>-9174.8</v>
      </c>
      <c r="N392" s="83" t="str">
        <f aca="false">IFERROR(IF(INDEX(원자료_잔고!$A$1:$EZ$1500,설정!$L$5+ROW()-1,설정!$L$21)&amp;""="0","",INDEX(원자료_잔고!$A$1:$EZ$1500,설정!$L$5+ROW()-1,설정!$L$21)&amp;""),"")</f>
        <v>AA</v>
      </c>
      <c r="O392" s="83" t="str">
        <f aca="false">IFERROR(IF(INDEX(원자료_잔고!$A$1:$EZ$1500,설정!$L$5+ROW()-1,설정!$L$22)&amp;""="0","",INDEX(원자료_잔고!$A$1:$EZ$1500,설정!$L$5+ROW()-1,설정!$L$22)&amp;""),"")</f>
        <v/>
      </c>
      <c r="P392" s="83" t="str">
        <f aca="false">IFERROR(IF(INDEX(원자료_잔고!$A$1:$EZ$1500,설정!$L$5+ROW()-1,설정!$L$23)&amp;""="0","",INDEX(원자료_잔고!$A$1:$EZ$1500,설정!$L$5+ROW()-1,설정!$L$23)&amp;""),"")</f>
        <v>N/A</v>
      </c>
      <c r="Q392" s="89" t="n">
        <f aca="false">IF(AND($A392&lt;&gt;"",ISNUMBER(E392)),IF(E392&gt;0,1,0),0)</f>
        <v>1</v>
      </c>
      <c r="R392" s="43" t="str">
        <f aca="false">IF(Q392=1,UPPER(LEFT($A392,FIND(" ",$A392&amp;" ")-1)),"")</f>
        <v>KOROIL</v>
      </c>
      <c r="S392" s="89" t="n">
        <f aca="false">IF(Q392=1,IF(OR(ISNUMBER(SEARCH("Float",$A392)),ISNUMBER(SEARCH("FRN",$A392))),1,0),0)</f>
        <v>0</v>
      </c>
      <c r="T392" s="43" t="str">
        <f aca="false">IF(AND(Q392=1,ISNUMBER(I392)),TEXT(I392,"yyyymmdd")&amp;"|"&amp;IF(S392=1,"F",TEXT(J392,"0.000")),"")</f>
        <v>20300929|4.125</v>
      </c>
      <c r="U392" s="90" t="n">
        <f aca="false">IF(AND(Q392=1,ISNUMBER(I392)),(I392-설정!$C$4)/365.25,"")</f>
        <v>3.99452429842574</v>
      </c>
      <c r="V392" s="43" t="str">
        <f aca="false">IF(Q392&lt;&gt;1,"",IF(ISNUMBER(U392),IF(U392&lt;=1,"1년 이하",IF(U392&lt;=2,"1-2년",IF(U392&lt;=3,"2-3년",IF(U392&lt;=4,"3-4년",IF(U392&lt;=5,"4-5년",IF(U392&lt;=7,"5-7년",IF(U392&lt;=10,"7-10년",IF(U392&lt;=20,"10-20년","20년 이상")))))))),"미분류"))</f>
        <v>3-4년</v>
      </c>
      <c r="W392" s="43" t="str">
        <f aca="false">IF(Q392&lt;&gt;1,"",IF(AB392&lt;&gt;"",INDEX(시장분석!$C:$C,AB392),IF(K392=1,"USD","비USD")))</f>
        <v>USD</v>
      </c>
      <c r="X392" s="91" t="n">
        <f aca="false">IF(Q392=1,E392*K392/1000000,0)</f>
        <v>0.2</v>
      </c>
      <c r="Y392" s="89" t="n">
        <f aca="false">IF(R392="T",1,0)</f>
        <v>0</v>
      </c>
      <c r="Z392" s="92" t="n">
        <f aca="false">IF(Q392&lt;&gt;1,"",IF(AD392=1,IF(ISNUMBER(U392),MAX(U392,0),H392),H392))</f>
        <v>3.5534</v>
      </c>
      <c r="AA392" s="91" t="n">
        <f aca="false">IF(Q392=1,IF(ISNUMBER(L392),L392,0)*K392/1000000,0)</f>
        <v>0.1904894</v>
      </c>
      <c r="AB392" s="89" t="n">
        <f aca="false">IF(Q392&lt;&gt;1,"",IFERROR(MATCH(VLOOKUP(B392,매핑!$H$4:$I$15,2,0),시장분석!$A$2:$A$601,0)+1,IFERROR(MATCH(R392&amp;"|"&amp;T392,시장분석!$V$2:$V$601,0)+1,IF(COUNTIF(시장분석!$U$2:$U$601,T392)=1,MATCH(T392,시장분석!$U$2:$U$601,0)+1,""))))</f>
        <v>172</v>
      </c>
      <c r="AC392" s="89" t="n">
        <f aca="false">IF(Q392&lt;&gt;1,0,IF(OR(설정!$C$5="전체",AND(설정!$C$5="선택펀드",IFERROR(COUNTIFS(설정!$F$16:$F$36,C392,설정!$G$16:$G$36,"Y")+COUNTIFS(설정!$F$16:$F$36,VALUE(C392),설정!$G$16:$G$36,"Y"),0)&gt;0),C392&amp;""=설정!$C$5&amp;""),1,0))</f>
        <v>0</v>
      </c>
      <c r="AD392" s="89" t="n">
        <f aca="false">IF(Q392&lt;&gt;1,0,IF(OR(S392=1,IF(AB392="",FALSE(),INDEX(시장분석!$R:$R,AB392)=1)),1,0))</f>
        <v>0</v>
      </c>
      <c r="AE392" s="43" t="str">
        <f aca="false">IF(AB392="","",INDEX(시장분석!$A:$A,AB392))</f>
        <v>KOROIL 4 1/8 09/29/30</v>
      </c>
      <c r="AF392" s="93" t="n">
        <f aca="false">IF(AB392="","",IF(ISNUMBER(IF(AB392="","",INDEX(시장분석!$E:$E,AB392))),IF(AB392="","",INDEX(시장분석!$E:$E,AB392)),""))</f>
        <v>40.269</v>
      </c>
      <c r="AG392" s="43" t="str">
        <f aca="false">IF(Q392&lt;&gt;1,"",IF(AB392&lt;&gt;"",IF(AB392="","",INDEX(시장분석!$L:$L,AB392)),IFERROR(IF(VLOOKUP(R392,매핑!$A$4:$E$92,5,0)="","미분류",VLOOKUP(R392,매핑!$A$4:$E$92,5,0)),"미분류")))</f>
        <v>정부</v>
      </c>
      <c r="AH392" s="43" t="str">
        <f aca="false">IF(Q392&lt;&gt;1,"",IF(AB392&lt;&gt;"",IF(AB392="","",INDEX(시장분석!$N:$N,AB392)),IFERROR(IF(VLOOKUP(R392,매핑!$A$4:$E$92,4,0)="","미분류",VLOOKUP(R392,매핑!$A$4:$E$92,4,0)),"미분류")))</f>
        <v>아시아/기타</v>
      </c>
      <c r="AI392" s="43" t="str">
        <f aca="false">IF(Q392&lt;&gt;1,"",IFERROR(IF(VLOOKUP(R392,매핑!$A$4:$E$92,3,0)="","미분류",VLOOKUP(R392,매핑!$A$4:$E$92,3,0)),IF(AB392&lt;&gt;"",IF(AB392="","",INDEX(시장분석!$W:$W,AB392)),"미분류")))</f>
        <v>한국</v>
      </c>
      <c r="AJ392" s="43" t="str">
        <f aca="false">IF(Q392&lt;&gt;1,"",IFERROR(VLOOKUP(IF(N392&lt;&gt;"",N392,IF(P392&lt;&gt;"",P392,O392)),설정!$A$15:$D$47,2,0),""))</f>
        <v>AA</v>
      </c>
      <c r="AK392" s="43" t="str">
        <f aca="false">IF(Q392&lt;&gt;1,"",IF(AJ392="","무등급",IFERROR(VLOOKUP(AJ392,설정!$A$15:$D$47,3,0),"무등급")))</f>
        <v>AA이상</v>
      </c>
      <c r="AL392" s="89" t="n">
        <f aca="false">IF(AJ392="",99,IFERROR(VLOOKUP(AJ392,설정!$A$15:$D$47,4,0),99))</f>
        <v>3</v>
      </c>
      <c r="AM392" s="94" t="n">
        <f aca="false">IF(ISNUMBER(H392),AA392*1000000*H392/10000,0)</f>
        <v>67.688503396</v>
      </c>
      <c r="AN392" s="94" t="n">
        <f aca="false">IF(OR(Y392=1,NOT(ISNUMBER(Z392))),0,AA392*1000000*Z392/10000)</f>
        <v>67.688503396</v>
      </c>
      <c r="AO392" s="94" t="n">
        <f aca="false">IF(ISNUMBER(G392),AA392*1000000*G392/100,0)</f>
        <v>10410.4361994</v>
      </c>
      <c r="AP392" s="94" t="n">
        <f aca="false">IF(ISNUMBER(M392),M392*K392,0)</f>
        <v>-9174.8</v>
      </c>
      <c r="AQ392" s="95" t="n">
        <f aca="false">IF(AB392="","",INDEX(시장분석!$AK:$AK,AB392))</f>
        <v>1.15094875381131</v>
      </c>
      <c r="AR392" s="43" t="str">
        <f aca="false">IF(AB392="","-",IF(AB392="","",INDEX(시장분석!$AL:$AL,AB392)))</f>
        <v>Cheap</v>
      </c>
      <c r="AS392" s="96" t="n">
        <f aca="false">IF(AB392="","",INDEX(시장분석!$AJ:$AJ,AB392))</f>
        <v>15.7599690406967</v>
      </c>
      <c r="AT392" s="93" t="n">
        <f aca="false">IF(AB392="",0,IF(AB392="","",INDEX(시장분석!$AN:$AN,AB392)))</f>
        <v>6.23609903251092</v>
      </c>
      <c r="AU392" s="94" t="n">
        <f aca="false">IF(ISNUMBER(Z392),AT392/10000*MAX(Z392-1,0)*AA392*1000000,0)</f>
        <v>303.321134235549</v>
      </c>
      <c r="AV392" s="94" t="n">
        <f aca="false">AO392+AU392</f>
        <v>10713.7573336355</v>
      </c>
      <c r="AW392" s="43" t="str">
        <f aca="false">IF(Q392&lt;&gt;1,"",TRIM(IF(AD392=1,"FRN ","")&amp;IF(AND(AL392&gt;=10,AL392&lt;99),"BBB0미만 ","")&amp;IF(AJ392="","등급없음 ","")&amp;IF(K392&lt;&gt;1,"비USD ","")&amp;IF(AND(AB392="",Y392=0),"시장데이터없음 ","")&amp;IF(AND(ISNUMBER(U392),U392&lt;0),"만기경과 ","")))</f>
        <v/>
      </c>
      <c r="AX392" s="90" t="n">
        <f aca="false">IF(Q392&lt;&gt;1,1,IF(스프레드쇼크!$C$4="Y",INDEX(스프레드쇼크!$B$12:$L$16,IFERROR(MATCH(AH392,스프레드쇼크!$A$12:$A$16,0),MATCH("목록외",스프레드쇼크!$A$12:$A$16,0)),IFERROR(MATCH(AG392,스프레드쇼크!$B$11:$L$11,0),MATCH("목록외",스프레드쇼크!$B$11:$L$11,0))),1))</f>
        <v>1</v>
      </c>
      <c r="AY392" s="90" t="n">
        <f aca="false">IF(스프레드쇼크!$C$5="Y",IF(ISNUMBER(AF392),MIN(스프레드쇼크!$C$7,MAX(스프레드쇼크!$C$6,AF392/스프레드쇼크!$C$8)),1),1)</f>
        <v>0.609084252860873</v>
      </c>
      <c r="AZ392" s="94" t="n">
        <f aca="false">AN392*AX392*AY392</f>
        <v>41.2280015182233</v>
      </c>
      <c r="BA392" s="90" t="n">
        <f aca="false">IF(ISNUMBER(G392),AA392*G392,0)</f>
        <v>1.04104361994</v>
      </c>
      <c r="BB392" s="90" t="n">
        <f aca="false">IF(ISNUMBER(G392),AA392,0)</f>
        <v>0.1904894</v>
      </c>
      <c r="BC392" s="90" t="n">
        <f aca="false">IF(AND(Y392=0,ISNUMBER(AF392)),AA392*AF392,0)</f>
        <v>7.6708176486</v>
      </c>
      <c r="BD392" s="90" t="n">
        <f aca="false">IF(AND(Y392=0,ISNUMBER(AF392)),AA392,0)</f>
        <v>0.1904894</v>
      </c>
      <c r="BE392" s="90" t="n">
        <f aca="false">IF(ISNUMBER(H392),AA392*H392,0)</f>
        <v>0.67688503396</v>
      </c>
      <c r="BF392" s="90" t="n">
        <f aca="false">IF(ISNUMBER(H392),AA392,0)</f>
        <v>0.1904894</v>
      </c>
      <c r="BG392" s="90" t="n">
        <f aca="false">IF(AND(Y392=0,ISNUMBER(AF392),ISNUMBER(Z392)),AA392*Z392,0)</f>
        <v>0.67688503396</v>
      </c>
      <c r="BH392" s="90" t="n">
        <f aca="false">IF(AND(Y392=0,ISNUMBER(AF392),ISNUMBER(Z392)),AA392*AT392*MAX(Z392-1,0),0)</f>
        <v>3.03321134235549</v>
      </c>
      <c r="BI392" s="90" t="n">
        <f aca="false">IF(Y392=0,AA392,0)</f>
        <v>0.1904894</v>
      </c>
    </row>
    <row r="393" customFormat="false" ht="15" hidden="false" customHeight="false" outlineLevel="0" collapsed="false">
      <c r="A393" s="83" t="str">
        <f aca="false">IFERROR(IF(INDEX(원자료_잔고!$A$1:$EZ$1500,설정!$L$5+ROW()-1,설정!$L$8)&amp;""="0","",INDEX(원자료_잔고!$A$1:$EZ$1500,설정!$L$5+ROW()-1,설정!$L$8)&amp;""),"")</f>
        <v>KOROIL 4.125 09/29/30</v>
      </c>
      <c r="B393" s="83" t="str">
        <f aca="false">IFERROR(IF(INDEX(원자료_잔고!$A$1:$EZ$1500,설정!$L$5+ROW()-1,설정!$L$7)&amp;""="0","",INDEX(원자료_잔고!$A$1:$EZ$1500,설정!$L$5+ROW()-1,설정!$L$7)&amp;""),"")</f>
        <v>USY4938AAV18</v>
      </c>
      <c r="C393" s="83" t="str">
        <f aca="false">IFERROR(IF(INDEX(원자료_잔고!$A$1:$EZ$1500,설정!$L$5+ROW()-1,설정!$L$9)&amp;""="0","",INDEX(원자료_잔고!$A$1:$EZ$1500,설정!$L$5+ROW()-1,설정!$L$9)&amp;""),"")</f>
        <v>42003</v>
      </c>
      <c r="D39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3" s="84" t="n">
        <f aca="false">IFERROR(IF(ISNUMBER(INDEX(원자료_잔고!$A$1:$EZ$1500,설정!$L$5+ROW()-1,설정!$L$11)),INDEX(원자료_잔고!$A$1:$EZ$1500,설정!$L$5+ROW()-1,설정!$L$11),""),"")</f>
        <v>2000000</v>
      </c>
      <c r="F393" s="85" t="n">
        <f aca="false">IFERROR(IF(ISNUMBER(INDEX(원자료_잔고!$A$1:$EZ$1500,설정!$L$5+ROW()-1,설정!$L$12)),INDEX(원자료_잔고!$A$1:$EZ$1500,설정!$L$5+ROW()-1,설정!$L$12),""),"")</f>
        <v>95.2447</v>
      </c>
      <c r="G393" s="85" t="n">
        <f aca="false">IFERROR(IF(ISNUMBER(INDEX(원자료_잔고!$A$1:$EZ$1500,설정!$L$5+ROW()-1,설정!$L$13)),INDEX(원자료_잔고!$A$1:$EZ$1500,설정!$L$5+ROW()-1,설정!$L$13),""),"")</f>
        <v>5.4651</v>
      </c>
      <c r="H393" s="85" t="n">
        <f aca="false">IFERROR(IF(ISNUMBER(INDEX(원자료_잔고!$A$1:$EZ$1500,설정!$L$5+ROW()-1,설정!$L$14)),INDEX(원자료_잔고!$A$1:$EZ$1500,설정!$L$5+ROW()-1,설정!$L$14),""),"")</f>
        <v>3.5534</v>
      </c>
      <c r="I393" s="86" t="n">
        <f aca="false">IFERROR(IF(ISNUMBER(INDEX(원자료_잔고!$A$1:$EZ$1500,설정!$L$5+ROW()-1,설정!$L$15)),INDEX(원자료_잔고!$A$1:$EZ$1500,설정!$L$5+ROW()-1,설정!$L$15),""),"")</f>
        <v>47755</v>
      </c>
      <c r="J393" s="85" t="n">
        <f aca="false">IFERROR(IF(ISNUMBER(INDEX(원자료_잔고!$A$1:$EZ$1500,설정!$L$5+ROW()-1,설정!$L$16)),INDEX(원자료_잔고!$A$1:$EZ$1500,설정!$L$5+ROW()-1,설정!$L$16),""),"")</f>
        <v>4.125</v>
      </c>
      <c r="K393" s="87" t="n">
        <f aca="false">IFERROR(IF(ISNUMBER(INDEX(원자료_잔고!$A$1:$EZ$1500,설정!$L$5+ROW()-1,설정!$L$17)),INDEX(원자료_잔고!$A$1:$EZ$1500,설정!$L$5+ROW()-1,설정!$L$17),""),"")</f>
        <v>1</v>
      </c>
      <c r="L393" s="84" t="n">
        <f aca="false">IFERROR(IF(ISNUMBER(INDEX(원자료_잔고!$A$1:$EZ$1500,설정!$L$5+ROW()-1,설정!$L$18)),INDEX(원자료_잔고!$A$1:$EZ$1500,설정!$L$5+ROW()-1,설정!$L$18),""),"")</f>
        <v>1904894</v>
      </c>
      <c r="M393" s="88" t="n">
        <f aca="false">IFERROR(IF(ISNUMBER(INDEX(원자료_잔고!$A$1:$EZ$1500,설정!$L$5+ROW()-1,설정!$L$19)),INDEX(원자료_잔고!$A$1:$EZ$1500,설정!$L$5+ROW()-1,설정!$L$19),""),"")</f>
        <v>-91748</v>
      </c>
      <c r="N393" s="83" t="str">
        <f aca="false">IFERROR(IF(INDEX(원자료_잔고!$A$1:$EZ$1500,설정!$L$5+ROW()-1,설정!$L$21)&amp;""="0","",INDEX(원자료_잔고!$A$1:$EZ$1500,설정!$L$5+ROW()-1,설정!$L$21)&amp;""),"")</f>
        <v>AA</v>
      </c>
      <c r="O393" s="83" t="str">
        <f aca="false">IFERROR(IF(INDEX(원자료_잔고!$A$1:$EZ$1500,설정!$L$5+ROW()-1,설정!$L$22)&amp;""="0","",INDEX(원자료_잔고!$A$1:$EZ$1500,설정!$L$5+ROW()-1,설정!$L$22)&amp;""),"")</f>
        <v/>
      </c>
      <c r="P393" s="83" t="str">
        <f aca="false">IFERROR(IF(INDEX(원자료_잔고!$A$1:$EZ$1500,설정!$L$5+ROW()-1,설정!$L$23)&amp;""="0","",INDEX(원자료_잔고!$A$1:$EZ$1500,설정!$L$5+ROW()-1,설정!$L$23)&amp;""),"")</f>
        <v>N/A</v>
      </c>
      <c r="Q393" s="89" t="n">
        <f aca="false">IF(AND($A393&lt;&gt;"",ISNUMBER(E393)),IF(E393&gt;0,1,0),0)</f>
        <v>1</v>
      </c>
      <c r="R393" s="43" t="str">
        <f aca="false">IF(Q393=1,UPPER(LEFT($A393,FIND(" ",$A393&amp;" ")-1)),"")</f>
        <v>KOROIL</v>
      </c>
      <c r="S393" s="89" t="n">
        <f aca="false">IF(Q393=1,IF(OR(ISNUMBER(SEARCH("Float",$A393)),ISNUMBER(SEARCH("FRN",$A393))),1,0),0)</f>
        <v>0</v>
      </c>
      <c r="T393" s="43" t="str">
        <f aca="false">IF(AND(Q393=1,ISNUMBER(I393)),TEXT(I393,"yyyymmdd")&amp;"|"&amp;IF(S393=1,"F",TEXT(J393,"0.000")),"")</f>
        <v>20300929|4.125</v>
      </c>
      <c r="U393" s="90" t="n">
        <f aca="false">IF(AND(Q393=1,ISNUMBER(I393)),(I393-설정!$C$4)/365.25,"")</f>
        <v>3.99452429842574</v>
      </c>
      <c r="V393" s="43" t="str">
        <f aca="false">IF(Q393&lt;&gt;1,"",IF(ISNUMBER(U393),IF(U393&lt;=1,"1년 이하",IF(U393&lt;=2,"1-2년",IF(U393&lt;=3,"2-3년",IF(U393&lt;=4,"3-4년",IF(U393&lt;=5,"4-5년",IF(U393&lt;=7,"5-7년",IF(U393&lt;=10,"7-10년",IF(U393&lt;=20,"10-20년","20년 이상")))))))),"미분류"))</f>
        <v>3-4년</v>
      </c>
      <c r="W393" s="43" t="str">
        <f aca="false">IF(Q393&lt;&gt;1,"",IF(AB393&lt;&gt;"",INDEX(시장분석!$C:$C,AB393),IF(K393=1,"USD","비USD")))</f>
        <v>USD</v>
      </c>
      <c r="X393" s="91" t="n">
        <f aca="false">IF(Q393=1,E393*K393/1000000,0)</f>
        <v>2</v>
      </c>
      <c r="Y393" s="89" t="n">
        <f aca="false">IF(R393="T",1,0)</f>
        <v>0</v>
      </c>
      <c r="Z393" s="92" t="n">
        <f aca="false">IF(Q393&lt;&gt;1,"",IF(AD393=1,IF(ISNUMBER(U393),MAX(U393,0),H393),H393))</f>
        <v>3.5534</v>
      </c>
      <c r="AA393" s="91" t="n">
        <f aca="false">IF(Q393=1,IF(ISNUMBER(L393),L393,0)*K393/1000000,0)</f>
        <v>1.904894</v>
      </c>
      <c r="AB393" s="89" t="n">
        <f aca="false">IF(Q393&lt;&gt;1,"",IFERROR(MATCH(VLOOKUP(B393,매핑!$H$4:$I$15,2,0),시장분석!$A$2:$A$601,0)+1,IFERROR(MATCH(R393&amp;"|"&amp;T393,시장분석!$V$2:$V$601,0)+1,IF(COUNTIF(시장분석!$U$2:$U$601,T393)=1,MATCH(T393,시장분석!$U$2:$U$601,0)+1,""))))</f>
        <v>172</v>
      </c>
      <c r="AC393" s="89" t="n">
        <f aca="false">IF(Q393&lt;&gt;1,0,IF(OR(설정!$C$5="전체",AND(설정!$C$5="선택펀드",IFERROR(COUNTIFS(설정!$F$16:$F$36,C393,설정!$G$16:$G$36,"Y")+COUNTIFS(설정!$F$16:$F$36,VALUE(C393),설정!$G$16:$G$36,"Y"),0)&gt;0),C393&amp;""=설정!$C$5&amp;""),1,0))</f>
        <v>0</v>
      </c>
      <c r="AD393" s="89" t="n">
        <f aca="false">IF(Q393&lt;&gt;1,0,IF(OR(S393=1,IF(AB393="",FALSE(),INDEX(시장분석!$R:$R,AB393)=1)),1,0))</f>
        <v>0</v>
      </c>
      <c r="AE393" s="43" t="str">
        <f aca="false">IF(AB393="","",INDEX(시장분석!$A:$A,AB393))</f>
        <v>KOROIL 4 1/8 09/29/30</v>
      </c>
      <c r="AF393" s="93" t="n">
        <f aca="false">IF(AB393="","",IF(ISNUMBER(IF(AB393="","",INDEX(시장분석!$E:$E,AB393))),IF(AB393="","",INDEX(시장분석!$E:$E,AB393)),""))</f>
        <v>40.269</v>
      </c>
      <c r="AG393" s="43" t="str">
        <f aca="false">IF(Q393&lt;&gt;1,"",IF(AB393&lt;&gt;"",IF(AB393="","",INDEX(시장분석!$L:$L,AB393)),IFERROR(IF(VLOOKUP(R393,매핑!$A$4:$E$92,5,0)="","미분류",VLOOKUP(R393,매핑!$A$4:$E$92,5,0)),"미분류")))</f>
        <v>정부</v>
      </c>
      <c r="AH393" s="43" t="str">
        <f aca="false">IF(Q393&lt;&gt;1,"",IF(AB393&lt;&gt;"",IF(AB393="","",INDEX(시장분석!$N:$N,AB393)),IFERROR(IF(VLOOKUP(R393,매핑!$A$4:$E$92,4,0)="","미분류",VLOOKUP(R393,매핑!$A$4:$E$92,4,0)),"미분류")))</f>
        <v>아시아/기타</v>
      </c>
      <c r="AI393" s="43" t="str">
        <f aca="false">IF(Q393&lt;&gt;1,"",IFERROR(IF(VLOOKUP(R393,매핑!$A$4:$E$92,3,0)="","미분류",VLOOKUP(R393,매핑!$A$4:$E$92,3,0)),IF(AB393&lt;&gt;"",IF(AB393="","",INDEX(시장분석!$W:$W,AB393)),"미분류")))</f>
        <v>한국</v>
      </c>
      <c r="AJ393" s="43" t="str">
        <f aca="false">IF(Q393&lt;&gt;1,"",IFERROR(VLOOKUP(IF(N393&lt;&gt;"",N393,IF(P393&lt;&gt;"",P393,O393)),설정!$A$15:$D$47,2,0),""))</f>
        <v>AA</v>
      </c>
      <c r="AK393" s="43" t="str">
        <f aca="false">IF(Q393&lt;&gt;1,"",IF(AJ393="","무등급",IFERROR(VLOOKUP(AJ393,설정!$A$15:$D$47,3,0),"무등급")))</f>
        <v>AA이상</v>
      </c>
      <c r="AL393" s="89" t="n">
        <f aca="false">IF(AJ393="",99,IFERROR(VLOOKUP(AJ393,설정!$A$15:$D$47,4,0),99))</f>
        <v>3</v>
      </c>
      <c r="AM393" s="94" t="n">
        <f aca="false">IF(ISNUMBER(H393),AA393*1000000*H393/10000,0)</f>
        <v>676.88503396</v>
      </c>
      <c r="AN393" s="94" t="n">
        <f aca="false">IF(OR(Y393=1,NOT(ISNUMBER(Z393))),0,AA393*1000000*Z393/10000)</f>
        <v>676.88503396</v>
      </c>
      <c r="AO393" s="94" t="n">
        <f aca="false">IF(ISNUMBER(G393),AA393*1000000*G393/100,0)</f>
        <v>104104.361994</v>
      </c>
      <c r="AP393" s="94" t="n">
        <f aca="false">IF(ISNUMBER(M393),M393*K393,0)</f>
        <v>-91748</v>
      </c>
      <c r="AQ393" s="95" t="n">
        <f aca="false">IF(AB393="","",INDEX(시장분석!$AK:$AK,AB393))</f>
        <v>1.15094875381131</v>
      </c>
      <c r="AR393" s="43" t="str">
        <f aca="false">IF(AB393="","-",IF(AB393="","",INDEX(시장분석!$AL:$AL,AB393)))</f>
        <v>Cheap</v>
      </c>
      <c r="AS393" s="96" t="n">
        <f aca="false">IF(AB393="","",INDEX(시장분석!$AJ:$AJ,AB393))</f>
        <v>15.7599690406967</v>
      </c>
      <c r="AT393" s="93" t="n">
        <f aca="false">IF(AB393="",0,IF(AB393="","",INDEX(시장분석!$AN:$AN,AB393)))</f>
        <v>6.23609903251092</v>
      </c>
      <c r="AU393" s="94" t="n">
        <f aca="false">IF(ISNUMBER(Z393),AT393/10000*MAX(Z393-1,0)*AA393*1000000,0)</f>
        <v>3033.21134235549</v>
      </c>
      <c r="AV393" s="94" t="n">
        <f aca="false">AO393+AU393</f>
        <v>107137.573336355</v>
      </c>
      <c r="AW393" s="43" t="str">
        <f aca="false">IF(Q393&lt;&gt;1,"",TRIM(IF(AD393=1,"FRN ","")&amp;IF(AND(AL393&gt;=10,AL393&lt;99),"BBB0미만 ","")&amp;IF(AJ393="","등급없음 ","")&amp;IF(K393&lt;&gt;1,"비USD ","")&amp;IF(AND(AB393="",Y393=0),"시장데이터없음 ","")&amp;IF(AND(ISNUMBER(U393),U393&lt;0),"만기경과 ","")))</f>
        <v/>
      </c>
      <c r="AX393" s="90" t="n">
        <f aca="false">IF(Q393&lt;&gt;1,1,IF(스프레드쇼크!$C$4="Y",INDEX(스프레드쇼크!$B$12:$L$16,IFERROR(MATCH(AH393,스프레드쇼크!$A$12:$A$16,0),MATCH("목록외",스프레드쇼크!$A$12:$A$16,0)),IFERROR(MATCH(AG393,스프레드쇼크!$B$11:$L$11,0),MATCH("목록외",스프레드쇼크!$B$11:$L$11,0))),1))</f>
        <v>1</v>
      </c>
      <c r="AY393" s="90" t="n">
        <f aca="false">IF(스프레드쇼크!$C$5="Y",IF(ISNUMBER(AF393),MIN(스프레드쇼크!$C$7,MAX(스프레드쇼크!$C$6,AF393/스프레드쇼크!$C$8)),1),1)</f>
        <v>0.609084252860873</v>
      </c>
      <c r="AZ393" s="94" t="n">
        <f aca="false">AN393*AX393*AY393</f>
        <v>412.280015182233</v>
      </c>
      <c r="BA393" s="90" t="n">
        <f aca="false">IF(ISNUMBER(G393),AA393*G393,0)</f>
        <v>10.4104361994</v>
      </c>
      <c r="BB393" s="90" t="n">
        <f aca="false">IF(ISNUMBER(G393),AA393,0)</f>
        <v>1.904894</v>
      </c>
      <c r="BC393" s="90" t="n">
        <f aca="false">IF(AND(Y393=0,ISNUMBER(AF393)),AA393*AF393,0)</f>
        <v>76.708176486</v>
      </c>
      <c r="BD393" s="90" t="n">
        <f aca="false">IF(AND(Y393=0,ISNUMBER(AF393)),AA393,0)</f>
        <v>1.904894</v>
      </c>
      <c r="BE393" s="90" t="n">
        <f aca="false">IF(ISNUMBER(H393),AA393*H393,0)</f>
        <v>6.7688503396</v>
      </c>
      <c r="BF393" s="90" t="n">
        <f aca="false">IF(ISNUMBER(H393),AA393,0)</f>
        <v>1.904894</v>
      </c>
      <c r="BG393" s="90" t="n">
        <f aca="false">IF(AND(Y393=0,ISNUMBER(AF393),ISNUMBER(Z393)),AA393*Z393,0)</f>
        <v>6.7688503396</v>
      </c>
      <c r="BH393" s="90" t="n">
        <f aca="false">IF(AND(Y393=0,ISNUMBER(AF393),ISNUMBER(Z393)),AA393*AT393*MAX(Z393-1,0),0)</f>
        <v>30.3321134235549</v>
      </c>
      <c r="BI393" s="90" t="n">
        <f aca="false">IF(Y393=0,AA393,0)</f>
        <v>1.904894</v>
      </c>
    </row>
    <row r="394" customFormat="false" ht="15" hidden="false" customHeight="false" outlineLevel="0" collapsed="false">
      <c r="A394" s="83" t="str">
        <f aca="false">IFERROR(IF(INDEX(원자료_잔고!$A$1:$EZ$1500,설정!$L$5+ROW()-1,설정!$L$8)&amp;""="0","",INDEX(원자료_잔고!$A$1:$EZ$1500,설정!$L$5+ROW()-1,설정!$L$8)&amp;""),"")</f>
        <v>KOROIL 4.5 03/30/29</v>
      </c>
      <c r="B394" s="83" t="str">
        <f aca="false">IFERROR(IF(INDEX(원자료_잔고!$A$1:$EZ$1500,설정!$L$5+ROW()-1,설정!$L$7)&amp;""="0","",INDEX(원자료_잔고!$A$1:$EZ$1500,설정!$L$5+ROW()-1,설정!$L$7)&amp;""),"")</f>
        <v>USY4938AAW90</v>
      </c>
      <c r="C394" s="83" t="str">
        <f aca="false">IFERROR(IF(INDEX(원자료_잔고!$A$1:$EZ$1500,설정!$L$5+ROW()-1,설정!$L$9)&amp;""="0","",INDEX(원자료_잔고!$A$1:$EZ$1500,설정!$L$5+ROW()-1,설정!$L$9)&amp;""),"")</f>
        <v>42003</v>
      </c>
      <c r="D39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4" s="84" t="n">
        <f aca="false">IFERROR(IF(ISNUMBER(INDEX(원자료_잔고!$A$1:$EZ$1500,설정!$L$5+ROW()-1,설정!$L$11)),INDEX(원자료_잔고!$A$1:$EZ$1500,설정!$L$5+ROW()-1,설정!$L$11),""),"")</f>
        <v>500000</v>
      </c>
      <c r="F394" s="85" t="n">
        <f aca="false">IFERROR(IF(ISNUMBER(INDEX(원자료_잔고!$A$1:$EZ$1500,설정!$L$5+ROW()-1,설정!$L$12)),INDEX(원자료_잔고!$A$1:$EZ$1500,설정!$L$5+ROW()-1,설정!$L$12),""),"")</f>
        <v>98.1418</v>
      </c>
      <c r="G394" s="85" t="n">
        <f aca="false">IFERROR(IF(ISNUMBER(INDEX(원자료_잔고!$A$1:$EZ$1500,설정!$L$5+ROW()-1,설정!$L$13)),INDEX(원자료_잔고!$A$1:$EZ$1500,설정!$L$5+ROW()-1,설정!$L$13),""),"")</f>
        <v>5.3033</v>
      </c>
      <c r="H394" s="85" t="n">
        <f aca="false">IFERROR(IF(ISNUMBER(INDEX(원자료_잔고!$A$1:$EZ$1500,설정!$L$5+ROW()-1,설정!$L$14)),INDEX(원자료_잔고!$A$1:$EZ$1500,설정!$L$5+ROW()-1,설정!$L$14),""),"")</f>
        <v>2.2868</v>
      </c>
      <c r="I394" s="86" t="n">
        <f aca="false">IFERROR(IF(ISNUMBER(INDEX(원자료_잔고!$A$1:$EZ$1500,설정!$L$5+ROW()-1,설정!$L$15)),INDEX(원자료_잔고!$A$1:$EZ$1500,설정!$L$5+ROW()-1,설정!$L$15),""),"")</f>
        <v>47207</v>
      </c>
      <c r="J394" s="85" t="n">
        <f aca="false">IFERROR(IF(ISNUMBER(INDEX(원자료_잔고!$A$1:$EZ$1500,설정!$L$5+ROW()-1,설정!$L$16)),INDEX(원자료_잔고!$A$1:$EZ$1500,설정!$L$5+ROW()-1,설정!$L$16),""),"")</f>
        <v>4.5</v>
      </c>
      <c r="K394" s="87" t="n">
        <f aca="false">IFERROR(IF(ISNUMBER(INDEX(원자료_잔고!$A$1:$EZ$1500,설정!$L$5+ROW()-1,설정!$L$17)),INDEX(원자료_잔고!$A$1:$EZ$1500,설정!$L$5+ROW()-1,설정!$L$17),""),"")</f>
        <v>1</v>
      </c>
      <c r="L394" s="84" t="n">
        <f aca="false">IFERROR(IF(ISNUMBER(INDEX(원자료_잔고!$A$1:$EZ$1500,설정!$L$5+ROW()-1,설정!$L$18)),INDEX(원자료_잔고!$A$1:$EZ$1500,설정!$L$5+ROW()-1,설정!$L$18),""),"")</f>
        <v>490709</v>
      </c>
      <c r="M394" s="88" t="n">
        <f aca="false">IFERROR(IF(ISNUMBER(INDEX(원자료_잔고!$A$1:$EZ$1500,설정!$L$5+ROW()-1,설정!$L$19)),INDEX(원자료_잔고!$A$1:$EZ$1500,설정!$L$5+ROW()-1,설정!$L$19),""),"")</f>
        <v>-7791</v>
      </c>
      <c r="N394" s="83" t="str">
        <f aca="false">IFERROR(IF(INDEX(원자료_잔고!$A$1:$EZ$1500,설정!$L$5+ROW()-1,설정!$L$21)&amp;""="0","",INDEX(원자료_잔고!$A$1:$EZ$1500,설정!$L$5+ROW()-1,설정!$L$21)&amp;""),"")</f>
        <v>AA</v>
      </c>
      <c r="O394" s="83" t="str">
        <f aca="false">IFERROR(IF(INDEX(원자료_잔고!$A$1:$EZ$1500,설정!$L$5+ROW()-1,설정!$L$22)&amp;""="0","",INDEX(원자료_잔고!$A$1:$EZ$1500,설정!$L$5+ROW()-1,설정!$L$22)&amp;""),"")</f>
        <v/>
      </c>
      <c r="P394" s="83" t="str">
        <f aca="false">IFERROR(IF(INDEX(원자료_잔고!$A$1:$EZ$1500,설정!$L$5+ROW()-1,설정!$L$23)&amp;""="0","",INDEX(원자료_잔고!$A$1:$EZ$1500,설정!$L$5+ROW()-1,설정!$L$23)&amp;""),"")</f>
        <v>N/A</v>
      </c>
      <c r="Q394" s="89" t="n">
        <f aca="false">IF(AND($A394&lt;&gt;"",ISNUMBER(E394)),IF(E394&gt;0,1,0),0)</f>
        <v>1</v>
      </c>
      <c r="R394" s="43" t="str">
        <f aca="false">IF(Q394=1,UPPER(LEFT($A394,FIND(" ",$A394&amp;" ")-1)),"")</f>
        <v>KOROIL</v>
      </c>
      <c r="S394" s="89" t="n">
        <f aca="false">IF(Q394=1,IF(OR(ISNUMBER(SEARCH("Float",$A394)),ISNUMBER(SEARCH("FRN",$A394))),1,0),0)</f>
        <v>0</v>
      </c>
      <c r="T394" s="43" t="str">
        <f aca="false">IF(AND(Q394=1,ISNUMBER(I394)),TEXT(I394,"yyyymmdd")&amp;"|"&amp;IF(S394=1,"F",TEXT(J394,"0.000")),"")</f>
        <v>20290330|4.500</v>
      </c>
      <c r="U394" s="90" t="n">
        <f aca="false">IF(AND(Q394=1,ISNUMBER(I394)),(I394-설정!$C$4)/365.25,"")</f>
        <v>2.49418206707734</v>
      </c>
      <c r="V394" s="43" t="str">
        <f aca="false">IF(Q394&lt;&gt;1,"",IF(ISNUMBER(U394),IF(U394&lt;=1,"1년 이하",IF(U394&lt;=2,"1-2년",IF(U394&lt;=3,"2-3년",IF(U394&lt;=4,"3-4년",IF(U394&lt;=5,"4-5년",IF(U394&lt;=7,"5-7년",IF(U394&lt;=10,"7-10년",IF(U394&lt;=20,"10-20년","20년 이상")))))))),"미분류"))</f>
        <v>2-3년</v>
      </c>
      <c r="W394" s="43" t="str">
        <f aca="false">IF(Q394&lt;&gt;1,"",IF(AB394&lt;&gt;"",INDEX(시장분석!$C:$C,AB394),IF(K394=1,"USD","비USD")))</f>
        <v>USD</v>
      </c>
      <c r="X394" s="91" t="n">
        <f aca="false">IF(Q394=1,E394*K394/1000000,0)</f>
        <v>0.5</v>
      </c>
      <c r="Y394" s="89" t="n">
        <f aca="false">IF(R394="T",1,0)</f>
        <v>0</v>
      </c>
      <c r="Z394" s="92" t="n">
        <f aca="false">IF(Q394&lt;&gt;1,"",IF(AD394=1,IF(ISNUMBER(U394),MAX(U394,0),H394),H394))</f>
        <v>2.2868</v>
      </c>
      <c r="AA394" s="91" t="n">
        <f aca="false">IF(Q394=1,IF(ISNUMBER(L394),L394,0)*K394/1000000,0)</f>
        <v>0.490709</v>
      </c>
      <c r="AB394" s="89" t="n">
        <f aca="false">IF(Q394&lt;&gt;1,"",IFERROR(MATCH(VLOOKUP(B394,매핑!$H$4:$I$15,2,0),시장분석!$A$2:$A$601,0)+1,IFERROR(MATCH(R394&amp;"|"&amp;T394,시장분석!$V$2:$V$601,0)+1,IF(COUNTIF(시장분석!$U$2:$U$601,T394)=1,MATCH(T394,시장분석!$U$2:$U$601,0)+1,""))))</f>
        <v>173</v>
      </c>
      <c r="AC394" s="89" t="n">
        <f aca="false">IF(Q394&lt;&gt;1,0,IF(OR(설정!$C$5="전체",AND(설정!$C$5="선택펀드",IFERROR(COUNTIFS(설정!$F$16:$F$36,C394,설정!$G$16:$G$36,"Y")+COUNTIFS(설정!$F$16:$F$36,VALUE(C394),설정!$G$16:$G$36,"Y"),0)&gt;0),C394&amp;""=설정!$C$5&amp;""),1,0))</f>
        <v>0</v>
      </c>
      <c r="AD394" s="89" t="n">
        <f aca="false">IF(Q394&lt;&gt;1,0,IF(OR(S394=1,IF(AB394="",FALSE(),INDEX(시장분석!$R:$R,AB394)=1)),1,0))</f>
        <v>0</v>
      </c>
      <c r="AE394" s="43" t="str">
        <f aca="false">IF(AB394="","",INDEX(시장분석!$A:$A,AB394))</f>
        <v>KOROIL 4 1/2 03/30/29</v>
      </c>
      <c r="AF394" s="93" t="n">
        <f aca="false">IF(AB394="","",IF(ISNUMBER(IF(AB394="","",INDEX(시장분석!$E:$E,AB394))),IF(AB394="","",INDEX(시장분석!$E:$E,AB394)),""))</f>
        <v>29.129</v>
      </c>
      <c r="AG394" s="43" t="str">
        <f aca="false">IF(Q394&lt;&gt;1,"",IF(AB394&lt;&gt;"",IF(AB394="","",INDEX(시장분석!$L:$L,AB394)),IFERROR(IF(VLOOKUP(R394,매핑!$A$4:$E$92,5,0)="","미분류",VLOOKUP(R394,매핑!$A$4:$E$92,5,0)),"미분류")))</f>
        <v>정부</v>
      </c>
      <c r="AH394" s="43" t="str">
        <f aca="false">IF(Q394&lt;&gt;1,"",IF(AB394&lt;&gt;"",IF(AB394="","",INDEX(시장분석!$N:$N,AB394)),IFERROR(IF(VLOOKUP(R394,매핑!$A$4:$E$92,4,0)="","미분류",VLOOKUP(R394,매핑!$A$4:$E$92,4,0)),"미분류")))</f>
        <v>아시아/기타</v>
      </c>
      <c r="AI394" s="43" t="str">
        <f aca="false">IF(Q394&lt;&gt;1,"",IFERROR(IF(VLOOKUP(R394,매핑!$A$4:$E$92,3,0)="","미분류",VLOOKUP(R394,매핑!$A$4:$E$92,3,0)),IF(AB394&lt;&gt;"",IF(AB394="","",INDEX(시장분석!$W:$W,AB394)),"미분류")))</f>
        <v>한국</v>
      </c>
      <c r="AJ394" s="43" t="str">
        <f aca="false">IF(Q394&lt;&gt;1,"",IFERROR(VLOOKUP(IF(N394&lt;&gt;"",N394,IF(P394&lt;&gt;"",P394,O394)),설정!$A$15:$D$47,2,0),""))</f>
        <v>AA</v>
      </c>
      <c r="AK394" s="43" t="str">
        <f aca="false">IF(Q394&lt;&gt;1,"",IF(AJ394="","무등급",IFERROR(VLOOKUP(AJ394,설정!$A$15:$D$47,3,0),"무등급")))</f>
        <v>AA이상</v>
      </c>
      <c r="AL394" s="89" t="n">
        <f aca="false">IF(AJ394="",99,IFERROR(VLOOKUP(AJ394,설정!$A$15:$D$47,4,0),99))</f>
        <v>3</v>
      </c>
      <c r="AM394" s="94" t="n">
        <f aca="false">IF(ISNUMBER(H394),AA394*1000000*H394/10000,0)</f>
        <v>112.21533412</v>
      </c>
      <c r="AN394" s="94" t="n">
        <f aca="false">IF(OR(Y394=1,NOT(ISNUMBER(Z394))),0,AA394*1000000*Z394/10000)</f>
        <v>112.21533412</v>
      </c>
      <c r="AO394" s="94" t="n">
        <f aca="false">IF(ISNUMBER(G394),AA394*1000000*G394/100,0)</f>
        <v>26023.770397</v>
      </c>
      <c r="AP394" s="94" t="n">
        <f aca="false">IF(ISNUMBER(M394),M394*K394,0)</f>
        <v>-7791</v>
      </c>
      <c r="AQ394" s="95" t="n">
        <f aca="false">IF(AB394="","",INDEX(시장분석!$AK:$AK,AB394))</f>
        <v>0.978634069529816</v>
      </c>
      <c r="AR394" s="43" t="str">
        <f aca="false">IF(AB394="","-",IF(AB394="","",INDEX(시장분석!$AL:$AL,AB394)))</f>
        <v>Fair</v>
      </c>
      <c r="AS394" s="96" t="n">
        <f aca="false">IF(AB394="","",INDEX(시장분석!$AJ:$AJ,AB394))</f>
        <v>13.4004599135171</v>
      </c>
      <c r="AT394" s="93" t="n">
        <f aca="false">IF(AB394="",0,IF(AB394="","",INDEX(시장분석!$AN:$AN,AB394)))</f>
        <v>10.7919546284752</v>
      </c>
      <c r="AU394" s="94" t="n">
        <f aca="false">IF(ISNUMBER(Z394),AT394/10000*MAX(Z394-1,0)*AA394*1000000,0)</f>
        <v>681.45186806378</v>
      </c>
      <c r="AV394" s="94" t="n">
        <f aca="false">AO394+AU394</f>
        <v>26705.2222650638</v>
      </c>
      <c r="AW394" s="43" t="str">
        <f aca="false">IF(Q394&lt;&gt;1,"",TRIM(IF(AD394=1,"FRN ","")&amp;IF(AND(AL394&gt;=10,AL394&lt;99),"BBB0미만 ","")&amp;IF(AJ394="","등급없음 ","")&amp;IF(K394&lt;&gt;1,"비USD ","")&amp;IF(AND(AB394="",Y394=0),"시장데이터없음 ","")&amp;IF(AND(ISNUMBER(U394),U394&lt;0),"만기경과 ","")))</f>
        <v/>
      </c>
      <c r="AX394" s="90" t="n">
        <f aca="false">IF(Q394&lt;&gt;1,1,IF(스프레드쇼크!$C$4="Y",INDEX(스프레드쇼크!$B$12:$L$16,IFERROR(MATCH(AH394,스프레드쇼크!$A$12:$A$16,0),MATCH("목록외",스프레드쇼크!$A$12:$A$16,0)),IFERROR(MATCH(AG394,스프레드쇼크!$B$11:$L$11,0),MATCH("목록외",스프레드쇼크!$B$11:$L$11,0))),1))</f>
        <v>1</v>
      </c>
      <c r="AY394" s="90" t="n">
        <f aca="false">IF(스프레드쇼크!$C$5="Y",IF(ISNUMBER(AF394),MIN(스프레드쇼크!$C$7,MAX(스프레드쇼크!$C$6,AF394/스프레드쇼크!$C$8)),1),1)</f>
        <v>0.440587429575713</v>
      </c>
      <c r="AZ394" s="94" t="n">
        <f aca="false">AN394*AX394*AY394</f>
        <v>49.4406656189106</v>
      </c>
      <c r="BA394" s="90" t="n">
        <f aca="false">IF(ISNUMBER(G394),AA394*G394,0)</f>
        <v>2.6023770397</v>
      </c>
      <c r="BB394" s="90" t="n">
        <f aca="false">IF(ISNUMBER(G394),AA394,0)</f>
        <v>0.490709</v>
      </c>
      <c r="BC394" s="90" t="n">
        <f aca="false">IF(AND(Y394=0,ISNUMBER(AF394)),AA394*AF394,0)</f>
        <v>14.293862461</v>
      </c>
      <c r="BD394" s="90" t="n">
        <f aca="false">IF(AND(Y394=0,ISNUMBER(AF394)),AA394,0)</f>
        <v>0.490709</v>
      </c>
      <c r="BE394" s="90" t="n">
        <f aca="false">IF(ISNUMBER(H394),AA394*H394,0)</f>
        <v>1.1221533412</v>
      </c>
      <c r="BF394" s="90" t="n">
        <f aca="false">IF(ISNUMBER(H394),AA394,0)</f>
        <v>0.490709</v>
      </c>
      <c r="BG394" s="90" t="n">
        <f aca="false">IF(AND(Y394=0,ISNUMBER(AF394),ISNUMBER(Z394)),AA394*Z394,0)</f>
        <v>1.1221533412</v>
      </c>
      <c r="BH394" s="90" t="n">
        <f aca="false">IF(AND(Y394=0,ISNUMBER(AF394),ISNUMBER(Z394)),AA394*AT394*MAX(Z394-1,0),0)</f>
        <v>6.8145186806378</v>
      </c>
      <c r="BI394" s="90" t="n">
        <f aca="false">IF(Y394=0,AA394,0)</f>
        <v>0.490709</v>
      </c>
    </row>
    <row r="395" customFormat="false" ht="15" hidden="false" customHeight="false" outlineLevel="0" collapsed="false">
      <c r="A395" s="83" t="str">
        <f aca="false">IFERROR(IF(INDEX(원자료_잔고!$A$1:$EZ$1500,설정!$L$5+ROW()-1,설정!$L$8)&amp;""="0","",INDEX(원자료_잔고!$A$1:$EZ$1500,설정!$L$5+ROW()-1,설정!$L$8)&amp;""),"")</f>
        <v>KOROIL 4.625 03/30/31</v>
      </c>
      <c r="B395" s="83" t="str">
        <f aca="false">IFERROR(IF(INDEX(원자료_잔고!$A$1:$EZ$1500,설정!$L$5+ROW()-1,설정!$L$7)&amp;""="0","",INDEX(원자료_잔고!$A$1:$EZ$1500,설정!$L$5+ROW()-1,설정!$L$7)&amp;""),"")</f>
        <v>USY4938AAY56</v>
      </c>
      <c r="C395" s="83" t="str">
        <f aca="false">IFERROR(IF(INDEX(원자료_잔고!$A$1:$EZ$1500,설정!$L$5+ROW()-1,설정!$L$9)&amp;""="0","",INDEX(원자료_잔고!$A$1:$EZ$1500,설정!$L$5+ROW()-1,설정!$L$9)&amp;""),"")</f>
        <v>42003</v>
      </c>
      <c r="D39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5" s="84" t="n">
        <f aca="false">IFERROR(IF(ISNUMBER(INDEX(원자료_잔고!$A$1:$EZ$1500,설정!$L$5+ROW()-1,설정!$L$11)),INDEX(원자료_잔고!$A$1:$EZ$1500,설정!$L$5+ROW()-1,설정!$L$11),""),"")</f>
        <v>200000</v>
      </c>
      <c r="F395" s="85" t="n">
        <f aca="false">IFERROR(IF(ISNUMBER(INDEX(원자료_잔고!$A$1:$EZ$1500,설정!$L$5+ROW()-1,설정!$L$12)),INDEX(원자료_잔고!$A$1:$EZ$1500,설정!$L$5+ROW()-1,설정!$L$12),""),"")</f>
        <v>96.5146</v>
      </c>
      <c r="G395" s="85" t="n">
        <f aca="false">IFERROR(IF(ISNUMBER(INDEX(원자료_잔고!$A$1:$EZ$1500,설정!$L$5+ROW()-1,설정!$L$13)),INDEX(원자료_잔고!$A$1:$EZ$1500,설정!$L$5+ROW()-1,설정!$L$13),""),"")</f>
        <v>5.5098</v>
      </c>
      <c r="H395" s="85" t="n">
        <f aca="false">IFERROR(IF(ISNUMBER(INDEX(원자료_잔고!$A$1:$EZ$1500,설정!$L$5+ROW()-1,설정!$L$14)),INDEX(원자료_잔고!$A$1:$EZ$1500,설정!$L$5+ROW()-1,설정!$L$14),""),"")</f>
        <v>3.9226</v>
      </c>
      <c r="I395" s="86" t="n">
        <f aca="false">IFERROR(IF(ISNUMBER(INDEX(원자료_잔고!$A$1:$EZ$1500,설정!$L$5+ROW()-1,설정!$L$15)),INDEX(원자료_잔고!$A$1:$EZ$1500,설정!$L$5+ROW()-1,설정!$L$15),""),"")</f>
        <v>47937</v>
      </c>
      <c r="J395" s="85" t="n">
        <f aca="false">IFERROR(IF(ISNUMBER(INDEX(원자료_잔고!$A$1:$EZ$1500,설정!$L$5+ROW()-1,설정!$L$16)),INDEX(원자료_잔고!$A$1:$EZ$1500,설정!$L$5+ROW()-1,설정!$L$16),""),"")</f>
        <v>4.625</v>
      </c>
      <c r="K395" s="87" t="n">
        <f aca="false">IFERROR(IF(ISNUMBER(INDEX(원자료_잔고!$A$1:$EZ$1500,설정!$L$5+ROW()-1,설정!$L$17)),INDEX(원자료_잔고!$A$1:$EZ$1500,설정!$L$5+ROW()-1,설정!$L$17),""),"")</f>
        <v>1</v>
      </c>
      <c r="L395" s="84" t="n">
        <f aca="false">IFERROR(IF(ISNUMBER(INDEX(원자료_잔고!$A$1:$EZ$1500,설정!$L$5+ROW()-1,설정!$L$18)),INDEX(원자료_잔고!$A$1:$EZ$1500,설정!$L$5+ROW()-1,설정!$L$18),""),"")</f>
        <v>193029.2</v>
      </c>
      <c r="M395" s="88" t="n">
        <f aca="false">IFERROR(IF(ISNUMBER(INDEX(원자료_잔고!$A$1:$EZ$1500,설정!$L$5+ROW()-1,설정!$L$19)),INDEX(원자료_잔고!$A$1:$EZ$1500,설정!$L$5+ROW()-1,설정!$L$19),""),"")</f>
        <v>-5810.8</v>
      </c>
      <c r="N395" s="83" t="str">
        <f aca="false">IFERROR(IF(INDEX(원자료_잔고!$A$1:$EZ$1500,설정!$L$5+ROW()-1,설정!$L$21)&amp;""="0","",INDEX(원자료_잔고!$A$1:$EZ$1500,설정!$L$5+ROW()-1,설정!$L$21)&amp;""),"")</f>
        <v>AA</v>
      </c>
      <c r="O395" s="83" t="str">
        <f aca="false">IFERROR(IF(INDEX(원자료_잔고!$A$1:$EZ$1500,설정!$L$5+ROW()-1,설정!$L$22)&amp;""="0","",INDEX(원자료_잔고!$A$1:$EZ$1500,설정!$L$5+ROW()-1,설정!$L$22)&amp;""),"")</f>
        <v/>
      </c>
      <c r="P395" s="83" t="str">
        <f aca="false">IFERROR(IF(INDEX(원자료_잔고!$A$1:$EZ$1500,설정!$L$5+ROW()-1,설정!$L$23)&amp;""="0","",INDEX(원자료_잔고!$A$1:$EZ$1500,설정!$L$5+ROW()-1,설정!$L$23)&amp;""),"")</f>
        <v>N/A</v>
      </c>
      <c r="Q395" s="89" t="n">
        <f aca="false">IF(AND($A395&lt;&gt;"",ISNUMBER(E395)),IF(E395&gt;0,1,0),0)</f>
        <v>1</v>
      </c>
      <c r="R395" s="43" t="str">
        <f aca="false">IF(Q395=1,UPPER(LEFT($A395,FIND(" ",$A395&amp;" ")-1)),"")</f>
        <v>KOROIL</v>
      </c>
      <c r="S395" s="89" t="n">
        <f aca="false">IF(Q395=1,IF(OR(ISNUMBER(SEARCH("Float",$A395)),ISNUMBER(SEARCH("FRN",$A395))),1,0),0)</f>
        <v>0</v>
      </c>
      <c r="T395" s="43" t="str">
        <f aca="false">IF(AND(Q395=1,ISNUMBER(I395)),TEXT(I395,"yyyymmdd")&amp;"|"&amp;IF(S395=1,"F",TEXT(J395,"0.000")),"")</f>
        <v>20310330|4.625</v>
      </c>
      <c r="U395" s="90" t="n">
        <f aca="false">IF(AND(Q395=1,ISNUMBER(I395)),(I395-설정!$C$4)/365.25,"")</f>
        <v>4.49281314168378</v>
      </c>
      <c r="V395" s="43" t="str">
        <f aca="false">IF(Q395&lt;&gt;1,"",IF(ISNUMBER(U395),IF(U395&lt;=1,"1년 이하",IF(U395&lt;=2,"1-2년",IF(U395&lt;=3,"2-3년",IF(U395&lt;=4,"3-4년",IF(U395&lt;=5,"4-5년",IF(U395&lt;=7,"5-7년",IF(U395&lt;=10,"7-10년",IF(U395&lt;=20,"10-20년","20년 이상")))))))),"미분류"))</f>
        <v>4-5년</v>
      </c>
      <c r="W395" s="43" t="str">
        <f aca="false">IF(Q395&lt;&gt;1,"",IF(AB395&lt;&gt;"",INDEX(시장분석!$C:$C,AB395),IF(K395=1,"USD","비USD")))</f>
        <v>USD</v>
      </c>
      <c r="X395" s="91" t="n">
        <f aca="false">IF(Q395=1,E395*K395/1000000,0)</f>
        <v>0.2</v>
      </c>
      <c r="Y395" s="89" t="n">
        <f aca="false">IF(R395="T",1,0)</f>
        <v>0</v>
      </c>
      <c r="Z395" s="92" t="n">
        <f aca="false">IF(Q395&lt;&gt;1,"",IF(AD395=1,IF(ISNUMBER(U395),MAX(U395,0),H395),H395))</f>
        <v>3.9226</v>
      </c>
      <c r="AA395" s="91" t="n">
        <f aca="false">IF(Q395=1,IF(ISNUMBER(L395),L395,0)*K395/1000000,0)</f>
        <v>0.1930292</v>
      </c>
      <c r="AB395" s="89" t="n">
        <f aca="false">IF(Q395&lt;&gt;1,"",IFERROR(MATCH(VLOOKUP(B395,매핑!$H$4:$I$15,2,0),시장분석!$A$2:$A$601,0)+1,IFERROR(MATCH(R395&amp;"|"&amp;T395,시장분석!$V$2:$V$601,0)+1,IF(COUNTIF(시장분석!$U$2:$U$601,T395)=1,MATCH(T395,시장분석!$U$2:$U$601,0)+1,""))))</f>
        <v>174</v>
      </c>
      <c r="AC395" s="89" t="n">
        <f aca="false">IF(Q395&lt;&gt;1,0,IF(OR(설정!$C$5="전체",AND(설정!$C$5="선택펀드",IFERROR(COUNTIFS(설정!$F$16:$F$36,C395,설정!$G$16:$G$36,"Y")+COUNTIFS(설정!$F$16:$F$36,VALUE(C395),설정!$G$16:$G$36,"Y"),0)&gt;0),C395&amp;""=설정!$C$5&amp;""),1,0))</f>
        <v>0</v>
      </c>
      <c r="AD395" s="89" t="n">
        <f aca="false">IF(Q395&lt;&gt;1,0,IF(OR(S395=1,IF(AB395="",FALSE(),INDEX(시장분석!$R:$R,AB395)=1)),1,0))</f>
        <v>0</v>
      </c>
      <c r="AE395" s="43" t="str">
        <f aca="false">IF(AB395="","",INDEX(시장분석!$A:$A,AB395))</f>
        <v>KOROIL 4 5/8 03/30/31</v>
      </c>
      <c r="AF395" s="93" t="n">
        <f aca="false">IF(AB395="","",IF(ISNUMBER(IF(AB395="","",INDEX(시장분석!$E:$E,AB395))),IF(AB395="","",INDEX(시장분석!$E:$E,AB395)),""))</f>
        <v>46.541</v>
      </c>
      <c r="AG395" s="43" t="str">
        <f aca="false">IF(Q395&lt;&gt;1,"",IF(AB395&lt;&gt;"",IF(AB395="","",INDEX(시장분석!$L:$L,AB395)),IFERROR(IF(VLOOKUP(R395,매핑!$A$4:$E$92,5,0)="","미분류",VLOOKUP(R395,매핑!$A$4:$E$92,5,0)),"미분류")))</f>
        <v>정부</v>
      </c>
      <c r="AH395" s="43" t="str">
        <f aca="false">IF(Q395&lt;&gt;1,"",IF(AB395&lt;&gt;"",IF(AB395="","",INDEX(시장분석!$N:$N,AB395)),IFERROR(IF(VLOOKUP(R395,매핑!$A$4:$E$92,4,0)="","미분류",VLOOKUP(R395,매핑!$A$4:$E$92,4,0)),"미분류")))</f>
        <v>아시아/기타</v>
      </c>
      <c r="AI395" s="43" t="str">
        <f aca="false">IF(Q395&lt;&gt;1,"",IFERROR(IF(VLOOKUP(R395,매핑!$A$4:$E$92,3,0)="","미분류",VLOOKUP(R395,매핑!$A$4:$E$92,3,0)),IF(AB395&lt;&gt;"",IF(AB395="","",INDEX(시장분석!$W:$W,AB395)),"미분류")))</f>
        <v>한국</v>
      </c>
      <c r="AJ395" s="43" t="str">
        <f aca="false">IF(Q395&lt;&gt;1,"",IFERROR(VLOOKUP(IF(N395&lt;&gt;"",N395,IF(P395&lt;&gt;"",P395,O395)),설정!$A$15:$D$47,2,0),""))</f>
        <v>AA</v>
      </c>
      <c r="AK395" s="43" t="str">
        <f aca="false">IF(Q395&lt;&gt;1,"",IF(AJ395="","무등급",IFERROR(VLOOKUP(AJ395,설정!$A$15:$D$47,3,0),"무등급")))</f>
        <v>AA이상</v>
      </c>
      <c r="AL395" s="89" t="n">
        <f aca="false">IF(AJ395="",99,IFERROR(VLOOKUP(AJ395,설정!$A$15:$D$47,4,0),99))</f>
        <v>3</v>
      </c>
      <c r="AM395" s="94" t="n">
        <f aca="false">IF(ISNUMBER(H395),AA395*1000000*H395/10000,0)</f>
        <v>75.717633992</v>
      </c>
      <c r="AN395" s="94" t="n">
        <f aca="false">IF(OR(Y395=1,NOT(ISNUMBER(Z395))),0,AA395*1000000*Z395/10000)</f>
        <v>75.717633992</v>
      </c>
      <c r="AO395" s="94" t="n">
        <f aca="false">IF(ISNUMBER(G395),AA395*1000000*G395/100,0)</f>
        <v>10635.5228616</v>
      </c>
      <c r="AP395" s="94" t="n">
        <f aca="false">IF(ISNUMBER(M395),M395*K395,0)</f>
        <v>-5810.8</v>
      </c>
      <c r="AQ395" s="95" t="n">
        <f aca="false">IF(AB395="","",INDEX(시장분석!$AK:$AK,AB395))</f>
        <v>1.46474718759055</v>
      </c>
      <c r="AR395" s="43" t="str">
        <f aca="false">IF(AB395="","-",IF(AB395="","",INDEX(시장분석!$AL:$AL,AB395)))</f>
        <v>Cheap</v>
      </c>
      <c r="AS395" s="96" t="n">
        <f aca="false">IF(AB395="","",INDEX(시장분석!$AJ:$AJ,AB395))</f>
        <v>20.0568185615839</v>
      </c>
      <c r="AT395" s="93" t="n">
        <f aca="false">IF(AB395="",0,IF(AB395="","",INDEX(시장분석!$AN:$AN,AB395)))</f>
        <v>5.55465209384973</v>
      </c>
      <c r="AU395" s="94" t="n">
        <f aca="false">IF(ISNUMBER(Z395),AT395/10000*MAX(Z395-1,0)*AA395*1000000,0)</f>
        <v>313.364109199597</v>
      </c>
      <c r="AV395" s="94" t="n">
        <f aca="false">AO395+AU395</f>
        <v>10948.8869707996</v>
      </c>
      <c r="AW395" s="43" t="str">
        <f aca="false">IF(Q395&lt;&gt;1,"",TRIM(IF(AD395=1,"FRN ","")&amp;IF(AND(AL395&gt;=10,AL395&lt;99),"BBB0미만 ","")&amp;IF(AJ395="","등급없음 ","")&amp;IF(K395&lt;&gt;1,"비USD ","")&amp;IF(AND(AB395="",Y395=0),"시장데이터없음 ","")&amp;IF(AND(ISNUMBER(U395),U395&lt;0),"만기경과 ","")))</f>
        <v/>
      </c>
      <c r="AX395" s="90" t="n">
        <f aca="false">IF(Q395&lt;&gt;1,1,IF(스프레드쇼크!$C$4="Y",INDEX(스프레드쇼크!$B$12:$L$16,IFERROR(MATCH(AH395,스프레드쇼크!$A$12:$A$16,0),MATCH("목록외",스프레드쇼크!$A$12:$A$16,0)),IFERROR(MATCH(AG395,스프레드쇼크!$B$11:$L$11,0),MATCH("목록외",스프레드쇼크!$B$11:$L$11,0))),1))</f>
        <v>1</v>
      </c>
      <c r="AY395" s="90" t="n">
        <f aca="false">IF(스프레드쇼크!$C$5="Y",IF(ISNUMBER(AF395),MIN(스프레드쇼크!$C$7,MAX(스프레드쇼크!$C$6,AF395/스프레드쇼크!$C$8)),1),1)</f>
        <v>0.703950686940274</v>
      </c>
      <c r="AZ395" s="94" t="n">
        <f aca="false">AN395*AX395*AY395</f>
        <v>53.3014804621606</v>
      </c>
      <c r="BA395" s="90" t="n">
        <f aca="false">IF(ISNUMBER(G395),AA395*G395,0)</f>
        <v>1.06355228616</v>
      </c>
      <c r="BB395" s="90" t="n">
        <f aca="false">IF(ISNUMBER(G395),AA395,0)</f>
        <v>0.1930292</v>
      </c>
      <c r="BC395" s="90" t="n">
        <f aca="false">IF(AND(Y395=0,ISNUMBER(AF395)),AA395*AF395,0)</f>
        <v>8.9837719972</v>
      </c>
      <c r="BD395" s="90" t="n">
        <f aca="false">IF(AND(Y395=0,ISNUMBER(AF395)),AA395,0)</f>
        <v>0.1930292</v>
      </c>
      <c r="BE395" s="90" t="n">
        <f aca="false">IF(ISNUMBER(H395),AA395*H395,0)</f>
        <v>0.75717633992</v>
      </c>
      <c r="BF395" s="90" t="n">
        <f aca="false">IF(ISNUMBER(H395),AA395,0)</f>
        <v>0.1930292</v>
      </c>
      <c r="BG395" s="90" t="n">
        <f aca="false">IF(AND(Y395=0,ISNUMBER(AF395),ISNUMBER(Z395)),AA395*Z395,0)</f>
        <v>0.75717633992</v>
      </c>
      <c r="BH395" s="90" t="n">
        <f aca="false">IF(AND(Y395=0,ISNUMBER(AF395),ISNUMBER(Z395)),AA395*AT395*MAX(Z395-1,0),0)</f>
        <v>3.13364109199597</v>
      </c>
      <c r="BI395" s="90" t="n">
        <f aca="false">IF(Y395=0,AA395,0)</f>
        <v>0.1930292</v>
      </c>
    </row>
    <row r="396" customFormat="false" ht="15" hidden="false" customHeight="false" outlineLevel="0" collapsed="false">
      <c r="A396" s="83" t="str">
        <f aca="false">IFERROR(IF(INDEX(원자료_잔고!$A$1:$EZ$1500,설정!$L$5+ROW()-1,설정!$L$8)&amp;""="0","",INDEX(원자료_잔고!$A$1:$EZ$1500,설정!$L$5+ROW()-1,설정!$L$8)&amp;""),"")</f>
        <v>KOREAT 4.125 02/02/28</v>
      </c>
      <c r="B396" s="83" t="str">
        <f aca="false">IFERROR(IF(INDEX(원자료_잔고!$A$1:$EZ$1500,설정!$L$5+ROW()-1,설정!$L$7)&amp;""="0","",INDEX(원자료_잔고!$A$1:$EZ$1500,설정!$L$5+ROW()-1,설정!$L$7)&amp;""),"")</f>
        <v>USY49915BC76</v>
      </c>
      <c r="C396" s="83" t="str">
        <f aca="false">IFERROR(IF(INDEX(원자료_잔고!$A$1:$EZ$1500,설정!$L$5+ROW()-1,설정!$L$9)&amp;""="0","",INDEX(원자료_잔고!$A$1:$EZ$1500,설정!$L$5+ROW()-1,설정!$L$9)&amp;""),"")</f>
        <v>42003</v>
      </c>
      <c r="D39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6" s="84" t="n">
        <f aca="false">IFERROR(IF(ISNUMBER(INDEX(원자료_잔고!$A$1:$EZ$1500,설정!$L$5+ROW()-1,설정!$L$11)),INDEX(원자료_잔고!$A$1:$EZ$1500,설정!$L$5+ROW()-1,설정!$L$11),""),"")</f>
        <v>500000</v>
      </c>
      <c r="F396" s="85" t="n">
        <f aca="false">IFERROR(IF(ISNUMBER(INDEX(원자료_잔고!$A$1:$EZ$1500,설정!$L$5+ROW()-1,설정!$L$12)),INDEX(원자료_잔고!$A$1:$EZ$1500,설정!$L$5+ROW()-1,설정!$L$12),""),"")</f>
        <v>98.6115</v>
      </c>
      <c r="G396" s="85" t="n">
        <f aca="false">IFERROR(IF(ISNUMBER(INDEX(원자료_잔고!$A$1:$EZ$1500,설정!$L$5+ROW()-1,설정!$L$13)),INDEX(원자료_잔고!$A$1:$EZ$1500,설정!$L$5+ROW()-1,설정!$L$13),""),"")</f>
        <v>5.2045</v>
      </c>
      <c r="H396" s="85" t="n">
        <f aca="false">IFERROR(IF(ISNUMBER(INDEX(원자료_잔고!$A$1:$EZ$1500,설정!$L$5+ROW()-1,설정!$L$14)),INDEX(원자료_잔고!$A$1:$EZ$1500,설정!$L$5+ROW()-1,설정!$L$14),""),"")</f>
        <v>1.2545</v>
      </c>
      <c r="I396" s="86" t="n">
        <f aca="false">IFERROR(IF(ISNUMBER(INDEX(원자료_잔고!$A$1:$EZ$1500,설정!$L$5+ROW()-1,설정!$L$15)),INDEX(원자료_잔고!$A$1:$EZ$1500,설정!$L$5+ROW()-1,설정!$L$15),""),"")</f>
        <v>46785</v>
      </c>
      <c r="J396" s="85" t="n">
        <f aca="false">IFERROR(IF(ISNUMBER(INDEX(원자료_잔고!$A$1:$EZ$1500,설정!$L$5+ROW()-1,설정!$L$16)),INDEX(원자료_잔고!$A$1:$EZ$1500,설정!$L$5+ROW()-1,설정!$L$16),""),"")</f>
        <v>4.125</v>
      </c>
      <c r="K396" s="87" t="n">
        <f aca="false">IFERROR(IF(ISNUMBER(INDEX(원자료_잔고!$A$1:$EZ$1500,설정!$L$5+ROW()-1,설정!$L$17)),INDEX(원자료_잔고!$A$1:$EZ$1500,설정!$L$5+ROW()-1,설정!$L$17),""),"")</f>
        <v>1</v>
      </c>
      <c r="L396" s="84" t="n">
        <f aca="false">IFERROR(IF(ISNUMBER(INDEX(원자료_잔고!$A$1:$EZ$1500,설정!$L$5+ROW()-1,설정!$L$18)),INDEX(원자료_잔고!$A$1:$EZ$1500,설정!$L$5+ROW()-1,설정!$L$18),""),"")</f>
        <v>493057.5</v>
      </c>
      <c r="M396" s="88" t="n">
        <f aca="false">IFERROR(IF(ISNUMBER(INDEX(원자료_잔고!$A$1:$EZ$1500,설정!$L$5+ROW()-1,설정!$L$19)),INDEX(원자료_잔고!$A$1:$EZ$1500,설정!$L$5+ROW()-1,설정!$L$19),""),"")</f>
        <v>-8154</v>
      </c>
      <c r="N396" s="83" t="str">
        <f aca="false">IFERROR(IF(INDEX(원자료_잔고!$A$1:$EZ$1500,설정!$L$5+ROW()-1,설정!$L$21)&amp;""="0","",INDEX(원자료_잔고!$A$1:$EZ$1500,설정!$L$5+ROW()-1,설정!$L$21)&amp;""),"")</f>
        <v>A-</v>
      </c>
      <c r="O396" s="83" t="str">
        <f aca="false">IFERROR(IF(INDEX(원자료_잔고!$A$1:$EZ$1500,설정!$L$5+ROW()-1,설정!$L$22)&amp;""="0","",INDEX(원자료_잔고!$A$1:$EZ$1500,설정!$L$5+ROW()-1,설정!$L$22)&amp;""),"")</f>
        <v/>
      </c>
      <c r="P396" s="83" t="str">
        <f aca="false">IFERROR(IF(INDEX(원자료_잔고!$A$1:$EZ$1500,설정!$L$5+ROW()-1,설정!$L$23)&amp;""="0","",INDEX(원자료_잔고!$A$1:$EZ$1500,설정!$L$5+ROW()-1,설정!$L$23)&amp;""),"")</f>
        <v>N/A</v>
      </c>
      <c r="Q396" s="89" t="n">
        <f aca="false">IF(AND($A396&lt;&gt;"",ISNUMBER(E396)),IF(E396&gt;0,1,0),0)</f>
        <v>1</v>
      </c>
      <c r="R396" s="43" t="str">
        <f aca="false">IF(Q396=1,UPPER(LEFT($A396,FIND(" ",$A396&amp;" ")-1)),"")</f>
        <v>KOREAT</v>
      </c>
      <c r="S396" s="89" t="n">
        <f aca="false">IF(Q396=1,IF(OR(ISNUMBER(SEARCH("Float",$A396)),ISNUMBER(SEARCH("FRN",$A396))),1,0),0)</f>
        <v>0</v>
      </c>
      <c r="T396" s="43" t="str">
        <f aca="false">IF(AND(Q396=1,ISNUMBER(I396)),TEXT(I396,"yyyymmdd")&amp;"|"&amp;IF(S396=1,"F",TEXT(J396,"0.000")),"")</f>
        <v>20280202|4.125</v>
      </c>
      <c r="U396" s="90" t="n">
        <f aca="false">IF(AND(Q396=1,ISNUMBER(I396)),(I396-설정!$C$4)/365.25,"")</f>
        <v>1.3388090349076</v>
      </c>
      <c r="V396" s="43" t="str">
        <f aca="false">IF(Q396&lt;&gt;1,"",IF(ISNUMBER(U396),IF(U396&lt;=1,"1년 이하",IF(U396&lt;=2,"1-2년",IF(U396&lt;=3,"2-3년",IF(U396&lt;=4,"3-4년",IF(U396&lt;=5,"4-5년",IF(U396&lt;=7,"5-7년",IF(U396&lt;=10,"7-10년",IF(U396&lt;=20,"10-20년","20년 이상")))))))),"미분류"))</f>
        <v>1-2년</v>
      </c>
      <c r="W396" s="43" t="str">
        <f aca="false">IF(Q396&lt;&gt;1,"",IF(AB396&lt;&gt;"",INDEX(시장분석!$C:$C,AB396),IF(K396=1,"USD","비USD")))</f>
        <v>USD</v>
      </c>
      <c r="X396" s="91" t="n">
        <f aca="false">IF(Q396=1,E396*K396/1000000,0)</f>
        <v>0.5</v>
      </c>
      <c r="Y396" s="89" t="n">
        <f aca="false">IF(R396="T",1,0)</f>
        <v>0</v>
      </c>
      <c r="Z396" s="92" t="n">
        <f aca="false">IF(Q396&lt;&gt;1,"",IF(AD396=1,IF(ISNUMBER(U396),MAX(U396,0),H396),H396))</f>
        <v>1.2545</v>
      </c>
      <c r="AA396" s="91" t="n">
        <f aca="false">IF(Q396=1,IF(ISNUMBER(L396),L396,0)*K396/1000000,0)</f>
        <v>0.4930575</v>
      </c>
      <c r="AB396" s="89" t="n">
        <f aca="false">IF(Q396&lt;&gt;1,"",IFERROR(MATCH(VLOOKUP(B396,매핑!$H$4:$I$15,2,0),시장분석!$A$2:$A$601,0)+1,IFERROR(MATCH(R396&amp;"|"&amp;T396,시장분석!$V$2:$V$601,0)+1,IF(COUNTIF(시장분석!$U$2:$U$601,T396)=1,MATCH(T396,시장분석!$U$2:$U$601,0)+1,""))))</f>
        <v>175</v>
      </c>
      <c r="AC396" s="89" t="n">
        <f aca="false">IF(Q396&lt;&gt;1,0,IF(OR(설정!$C$5="전체",AND(설정!$C$5="선택펀드",IFERROR(COUNTIFS(설정!$F$16:$F$36,C396,설정!$G$16:$G$36,"Y")+COUNTIFS(설정!$F$16:$F$36,VALUE(C396),설정!$G$16:$G$36,"Y"),0)&gt;0),C396&amp;""=설정!$C$5&amp;""),1,0))</f>
        <v>0</v>
      </c>
      <c r="AD396" s="89" t="n">
        <f aca="false">IF(Q396&lt;&gt;1,0,IF(OR(S396=1,IF(AB396="",FALSE(),INDEX(시장분석!$R:$R,AB396)=1)),1,0))</f>
        <v>0</v>
      </c>
      <c r="AE396" s="43" t="str">
        <f aca="false">IF(AB396="","",INDEX(시장분석!$A:$A,AB396))</f>
        <v>KOREAT 4 1/8 02/02/28</v>
      </c>
      <c r="AF396" s="93" t="n">
        <f aca="false">IF(AB396="","",IF(ISNUMBER(IF(AB396="","",INDEX(시장분석!$E:$E,AB396))),IF(AB396="","",INDEX(시장분석!$E:$E,AB396)),""))</f>
        <v>27.355</v>
      </c>
      <c r="AG396" s="43" t="str">
        <f aca="false">IF(Q396&lt;&gt;1,"",IF(AB396&lt;&gt;"",IF(AB396="","",INDEX(시장분석!$L:$L,AB396)),IFERROR(IF(VLOOKUP(R396,매핑!$A$4:$E$92,5,0)="","미분류",VLOOKUP(R396,매핑!$A$4:$E$92,5,0)),"미분류")))</f>
        <v>통신</v>
      </c>
      <c r="AH396" s="43" t="str">
        <f aca="false">IF(Q396&lt;&gt;1,"",IF(AB396&lt;&gt;"",IF(AB396="","",INDEX(시장분석!$N:$N,AB396)),IFERROR(IF(VLOOKUP(R396,매핑!$A$4:$E$92,4,0)="","미분류",VLOOKUP(R396,매핑!$A$4:$E$92,4,0)),"미분류")))</f>
        <v>아시아/기타</v>
      </c>
      <c r="AI396" s="43" t="str">
        <f aca="false">IF(Q396&lt;&gt;1,"",IFERROR(IF(VLOOKUP(R396,매핑!$A$4:$E$92,3,0)="","미분류",VLOOKUP(R396,매핑!$A$4:$E$92,3,0)),IF(AB396&lt;&gt;"",IF(AB396="","",INDEX(시장분석!$W:$W,AB396)),"미분류")))</f>
        <v>한국</v>
      </c>
      <c r="AJ396" s="43" t="str">
        <f aca="false">IF(Q396&lt;&gt;1,"",IFERROR(VLOOKUP(IF(N396&lt;&gt;"",N396,IF(P396&lt;&gt;"",P396,O396)),설정!$A$15:$D$47,2,0),""))</f>
        <v>A-</v>
      </c>
      <c r="AK396" s="43" t="str">
        <f aca="false">IF(Q396&lt;&gt;1,"",IF(AJ396="","무등급",IFERROR(VLOOKUP(AJ396,설정!$A$15:$D$47,3,0),"무등급")))</f>
        <v>A</v>
      </c>
      <c r="AL396" s="89" t="n">
        <f aca="false">IF(AJ396="",99,IFERROR(VLOOKUP(AJ396,설정!$A$15:$D$47,4,0),99))</f>
        <v>7</v>
      </c>
      <c r="AM396" s="94" t="n">
        <f aca="false">IF(ISNUMBER(H396),AA396*1000000*H396/10000,0)</f>
        <v>61.854063375</v>
      </c>
      <c r="AN396" s="94" t="n">
        <f aca="false">IF(OR(Y396=1,NOT(ISNUMBER(Z396))),0,AA396*1000000*Z396/10000)</f>
        <v>61.854063375</v>
      </c>
      <c r="AO396" s="94" t="n">
        <f aca="false">IF(ISNUMBER(G396),AA396*1000000*G396/100,0)</f>
        <v>25661.1775875</v>
      </c>
      <c r="AP396" s="94" t="n">
        <f aca="false">IF(ISNUMBER(M396),M396*K396,0)</f>
        <v>-8154</v>
      </c>
      <c r="AQ396" s="95" t="n">
        <f aca="false">IF(AB396="","",INDEX(시장분석!$AK:$AK,AB396))</f>
        <v>-0.191423898821204</v>
      </c>
      <c r="AR396" s="43" t="str">
        <f aca="false">IF(AB396="","-",IF(AB396="","",INDEX(시장분석!$AL:$AL,AB396)))</f>
        <v>Fair</v>
      </c>
      <c r="AS396" s="96" t="n">
        <f aca="false">IF(AB396="","",INDEX(시장분석!$AJ:$AJ,AB396))</f>
        <v>-2.95908945084905</v>
      </c>
      <c r="AT396" s="93" t="n">
        <f aca="false">IF(AB396="",0,IF(AB396="","",INDEX(시장분석!$AN:$AN,AB396)))</f>
        <v>0</v>
      </c>
      <c r="AU396" s="94" t="n">
        <f aca="false">IF(ISNUMBER(Z396),AT396/10000*MAX(Z396-1,0)*AA396*1000000,0)</f>
        <v>0</v>
      </c>
      <c r="AV396" s="94" t="n">
        <f aca="false">AO396+AU396</f>
        <v>25661.1775875</v>
      </c>
      <c r="AW396" s="43" t="str">
        <f aca="false">IF(Q396&lt;&gt;1,"",TRIM(IF(AD396=1,"FRN ","")&amp;IF(AND(AL396&gt;=10,AL396&lt;99),"BBB0미만 ","")&amp;IF(AJ396="","등급없음 ","")&amp;IF(K396&lt;&gt;1,"비USD ","")&amp;IF(AND(AB396="",Y396=0),"시장데이터없음 ","")&amp;IF(AND(ISNUMBER(U396),U396&lt;0),"만기경과 ","")))</f>
        <v/>
      </c>
      <c r="AX396" s="90" t="n">
        <f aca="false">IF(Q396&lt;&gt;1,1,IF(스프레드쇼크!$C$4="Y",INDEX(스프레드쇼크!$B$12:$L$16,IFERROR(MATCH(AH396,스프레드쇼크!$A$12:$A$16,0),MATCH("목록외",스프레드쇼크!$A$12:$A$16,0)),IFERROR(MATCH(AG396,스프레드쇼크!$B$11:$L$11,0),MATCH("목록외",스프레드쇼크!$B$11:$L$11,0))),1))</f>
        <v>1</v>
      </c>
      <c r="AY396" s="90" t="n">
        <f aca="false">IF(스프레드쇼크!$C$5="Y",IF(ISNUMBER(AF396),MIN(스프레드쇼크!$C$7,MAX(스프레드쇼크!$C$6,AF396/스프레드쇼크!$C$8)),1),1)</f>
        <v>0.413754991110015</v>
      </c>
      <c r="AZ396" s="94" t="n">
        <f aca="false">AN396*AX396*AY396</f>
        <v>25.5924274418414</v>
      </c>
      <c r="BA396" s="90" t="n">
        <f aca="false">IF(ISNUMBER(G396),AA396*G396,0)</f>
        <v>2.56611775875</v>
      </c>
      <c r="BB396" s="90" t="n">
        <f aca="false">IF(ISNUMBER(G396),AA396,0)</f>
        <v>0.4930575</v>
      </c>
      <c r="BC396" s="90" t="n">
        <f aca="false">IF(AND(Y396=0,ISNUMBER(AF396)),AA396*AF396,0)</f>
        <v>13.4875879125</v>
      </c>
      <c r="BD396" s="90" t="n">
        <f aca="false">IF(AND(Y396=0,ISNUMBER(AF396)),AA396,0)</f>
        <v>0.4930575</v>
      </c>
      <c r="BE396" s="90" t="n">
        <f aca="false">IF(ISNUMBER(H396),AA396*H396,0)</f>
        <v>0.61854063375</v>
      </c>
      <c r="BF396" s="90" t="n">
        <f aca="false">IF(ISNUMBER(H396),AA396,0)</f>
        <v>0.4930575</v>
      </c>
      <c r="BG396" s="90" t="n">
        <f aca="false">IF(AND(Y396=0,ISNUMBER(AF396),ISNUMBER(Z396)),AA396*Z396,0)</f>
        <v>0.61854063375</v>
      </c>
      <c r="BH396" s="90" t="n">
        <f aca="false">IF(AND(Y396=0,ISNUMBER(AF396),ISNUMBER(Z396)),AA396*AT396*MAX(Z396-1,0),0)</f>
        <v>0</v>
      </c>
      <c r="BI396" s="90" t="n">
        <f aca="false">IF(Y396=0,AA396,0)</f>
        <v>0.4930575</v>
      </c>
    </row>
    <row r="397" customFormat="false" ht="15" hidden="false" customHeight="false" outlineLevel="0" collapsed="false">
      <c r="A397" s="83" t="str">
        <f aca="false">IFERROR(IF(INDEX(원자료_잔고!$A$1:$EZ$1500,설정!$L$5+ROW()-1,설정!$L$8)&amp;""="0","",INDEX(원자료_잔고!$A$1:$EZ$1500,설정!$L$5+ROW()-1,설정!$L$8)&amp;""),"")</f>
        <v>KOREAT 4.625 01/13/30</v>
      </c>
      <c r="B397" s="83" t="str">
        <f aca="false">IFERROR(IF(INDEX(원자료_잔고!$A$1:$EZ$1500,설정!$L$5+ROW()-1,설정!$L$7)&amp;""="0","",INDEX(원자료_잔고!$A$1:$EZ$1500,설정!$L$5+ROW()-1,설정!$L$7)&amp;""),"")</f>
        <v>USY49915BF08</v>
      </c>
      <c r="C397" s="83" t="str">
        <f aca="false">IFERROR(IF(INDEX(원자료_잔고!$A$1:$EZ$1500,설정!$L$5+ROW()-1,설정!$L$9)&amp;""="0","",INDEX(원자료_잔고!$A$1:$EZ$1500,설정!$L$5+ROW()-1,설정!$L$9)&amp;""),"")</f>
        <v>42003</v>
      </c>
      <c r="D39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7" s="84" t="n">
        <f aca="false">IFERROR(IF(ISNUMBER(INDEX(원자료_잔고!$A$1:$EZ$1500,설정!$L$5+ROW()-1,설정!$L$11)),INDEX(원자료_잔고!$A$1:$EZ$1500,설정!$L$5+ROW()-1,설정!$L$11),""),"")</f>
        <v>200000</v>
      </c>
      <c r="F397" s="85" t="n">
        <f aca="false">IFERROR(IF(ISNUMBER(INDEX(원자료_잔고!$A$1:$EZ$1500,설정!$L$5+ROW()-1,설정!$L$12)),INDEX(원자료_잔고!$A$1:$EZ$1500,설정!$L$5+ROW()-1,설정!$L$12),""),"")</f>
        <v>97.5525</v>
      </c>
      <c r="G397" s="85" t="n">
        <f aca="false">IFERROR(IF(ISNUMBER(INDEX(원자료_잔고!$A$1:$EZ$1500,설정!$L$5+ROW()-1,설정!$L$13)),INDEX(원자료_잔고!$A$1:$EZ$1500,설정!$L$5+ROW()-1,설정!$L$13),""),"")</f>
        <v>5.4452</v>
      </c>
      <c r="H397" s="85" t="n">
        <f aca="false">IFERROR(IF(ISNUMBER(INDEX(원자료_잔고!$A$1:$EZ$1500,설정!$L$5+ROW()-1,설정!$L$14)),INDEX(원자료_잔고!$A$1:$EZ$1500,설정!$L$5+ROW()-1,설정!$L$14),""),"")</f>
        <v>2.9132</v>
      </c>
      <c r="I397" s="86" t="n">
        <f aca="false">IFERROR(IF(ISNUMBER(INDEX(원자료_잔고!$A$1:$EZ$1500,설정!$L$5+ROW()-1,설정!$L$15)),INDEX(원자료_잔고!$A$1:$EZ$1500,설정!$L$5+ROW()-1,설정!$L$15),""),"")</f>
        <v>47496</v>
      </c>
      <c r="J397" s="85" t="n">
        <f aca="false">IFERROR(IF(ISNUMBER(INDEX(원자료_잔고!$A$1:$EZ$1500,설정!$L$5+ROW()-1,설정!$L$16)),INDEX(원자료_잔고!$A$1:$EZ$1500,설정!$L$5+ROW()-1,설정!$L$16),""),"")</f>
        <v>4.625</v>
      </c>
      <c r="K397" s="87" t="n">
        <f aca="false">IFERROR(IF(ISNUMBER(INDEX(원자료_잔고!$A$1:$EZ$1500,설정!$L$5+ROW()-1,설정!$L$17)),INDEX(원자료_잔고!$A$1:$EZ$1500,설정!$L$5+ROW()-1,설정!$L$17),""),"")</f>
        <v>1</v>
      </c>
      <c r="L397" s="84" t="n">
        <f aca="false">IFERROR(IF(ISNUMBER(INDEX(원자료_잔고!$A$1:$EZ$1500,설정!$L$5+ROW()-1,설정!$L$18)),INDEX(원자료_잔고!$A$1:$EZ$1500,설정!$L$5+ROW()-1,설정!$L$18),""),"")</f>
        <v>195105</v>
      </c>
      <c r="M397" s="88" t="n">
        <f aca="false">IFERROR(IF(ISNUMBER(INDEX(원자료_잔고!$A$1:$EZ$1500,설정!$L$5+ROW()-1,설정!$L$19)),INDEX(원자료_잔고!$A$1:$EZ$1500,설정!$L$5+ROW()-1,설정!$L$19),""),"")</f>
        <v>-4351.3</v>
      </c>
      <c r="N397" s="83" t="str">
        <f aca="false">IFERROR(IF(INDEX(원자료_잔고!$A$1:$EZ$1500,설정!$L$5+ROW()-1,설정!$L$21)&amp;""="0","",INDEX(원자료_잔고!$A$1:$EZ$1500,설정!$L$5+ROW()-1,설정!$L$21)&amp;""),"")</f>
        <v/>
      </c>
      <c r="O397" s="83" t="str">
        <f aca="false">IFERROR(IF(INDEX(원자료_잔고!$A$1:$EZ$1500,설정!$L$5+ROW()-1,설정!$L$22)&amp;""="0","",INDEX(원자료_잔고!$A$1:$EZ$1500,설정!$L$5+ROW()-1,설정!$L$22)&amp;""),"")</f>
        <v/>
      </c>
      <c r="P397" s="83" t="str">
        <f aca="false">IFERROR(IF(INDEX(원자료_잔고!$A$1:$EZ$1500,설정!$L$5+ROW()-1,설정!$L$23)&amp;""="0","",INDEX(원자료_잔고!$A$1:$EZ$1500,설정!$L$5+ROW()-1,설정!$L$23)&amp;""),"")</f>
        <v>N/A</v>
      </c>
      <c r="Q397" s="89" t="n">
        <f aca="false">IF(AND($A397&lt;&gt;"",ISNUMBER(E397)),IF(E397&gt;0,1,0),0)</f>
        <v>1</v>
      </c>
      <c r="R397" s="43" t="str">
        <f aca="false">IF(Q397=1,UPPER(LEFT($A397,FIND(" ",$A397&amp;" ")-1)),"")</f>
        <v>KOREAT</v>
      </c>
      <c r="S397" s="89" t="n">
        <f aca="false">IF(Q397=1,IF(OR(ISNUMBER(SEARCH("Float",$A397)),ISNUMBER(SEARCH("FRN",$A397))),1,0),0)</f>
        <v>0</v>
      </c>
      <c r="T397" s="43" t="str">
        <f aca="false">IF(AND(Q397=1,ISNUMBER(I397)),TEXT(I397,"yyyymmdd")&amp;"|"&amp;IF(S397=1,"F",TEXT(J397,"0.000")),"")</f>
        <v>20300113|4.625</v>
      </c>
      <c r="U397" s="90" t="n">
        <f aca="false">IF(AND(Q397=1,ISNUMBER(I397)),(I397-설정!$C$4)/365.25,"")</f>
        <v>3.28542094455852</v>
      </c>
      <c r="V397" s="43" t="str">
        <f aca="false">IF(Q397&lt;&gt;1,"",IF(ISNUMBER(U397),IF(U397&lt;=1,"1년 이하",IF(U397&lt;=2,"1-2년",IF(U397&lt;=3,"2-3년",IF(U397&lt;=4,"3-4년",IF(U397&lt;=5,"4-5년",IF(U397&lt;=7,"5-7년",IF(U397&lt;=10,"7-10년",IF(U397&lt;=20,"10-20년","20년 이상")))))))),"미분류"))</f>
        <v>3-4년</v>
      </c>
      <c r="W397" s="43" t="str">
        <f aca="false">IF(Q397&lt;&gt;1,"",IF(AB397&lt;&gt;"",INDEX(시장분석!$C:$C,AB397),IF(K397=1,"USD","비USD")))</f>
        <v>USD</v>
      </c>
      <c r="X397" s="91" t="n">
        <f aca="false">IF(Q397=1,E397*K397/1000000,0)</f>
        <v>0.2</v>
      </c>
      <c r="Y397" s="89" t="n">
        <f aca="false">IF(R397="T",1,0)</f>
        <v>0</v>
      </c>
      <c r="Z397" s="92" t="n">
        <f aca="false">IF(Q397&lt;&gt;1,"",IF(AD397=1,IF(ISNUMBER(U397),MAX(U397,0),H397),H397))</f>
        <v>2.9132</v>
      </c>
      <c r="AA397" s="91" t="n">
        <f aca="false">IF(Q397=1,IF(ISNUMBER(L397),L397,0)*K397/1000000,0)</f>
        <v>0.195105</v>
      </c>
      <c r="AB397" s="89" t="n">
        <f aca="false">IF(Q397&lt;&gt;1,"",IFERROR(MATCH(VLOOKUP(B397,매핑!$H$4:$I$15,2,0),시장분석!$A$2:$A$601,0)+1,IFERROR(MATCH(R397&amp;"|"&amp;T397,시장분석!$V$2:$V$601,0)+1,IF(COUNTIF(시장분석!$U$2:$U$601,T397)=1,MATCH(T397,시장분석!$U$2:$U$601,0)+1,""))))</f>
        <v>176</v>
      </c>
      <c r="AC397" s="89" t="n">
        <f aca="false">IF(Q397&lt;&gt;1,0,IF(OR(설정!$C$5="전체",AND(설정!$C$5="선택펀드",IFERROR(COUNTIFS(설정!$F$16:$F$36,C397,설정!$G$16:$G$36,"Y")+COUNTIFS(설정!$F$16:$F$36,VALUE(C397),설정!$G$16:$G$36,"Y"),0)&gt;0),C397&amp;""=설정!$C$5&amp;""),1,0))</f>
        <v>0</v>
      </c>
      <c r="AD397" s="89" t="n">
        <f aca="false">IF(Q397&lt;&gt;1,0,IF(OR(S397=1,IF(AB397="",FALSE(),INDEX(시장분석!$R:$R,AB397)=1)),1,0))</f>
        <v>0</v>
      </c>
      <c r="AE397" s="43" t="str">
        <f aca="false">IF(AB397="","",INDEX(시장분석!$A:$A,AB397))</f>
        <v>KOREAT 4 5/8 01/13/30</v>
      </c>
      <c r="AF397" s="93" t="n">
        <f aca="false">IF(AB397="","",IF(ISNUMBER(IF(AB397="","",INDEX(시장분석!$E:$E,AB397))),IF(AB397="","",INDEX(시장분석!$E:$E,AB397)),""))</f>
        <v>49.042</v>
      </c>
      <c r="AG397" s="43" t="str">
        <f aca="false">IF(Q397&lt;&gt;1,"",IF(AB397&lt;&gt;"",IF(AB397="","",INDEX(시장분석!$L:$L,AB397)),IFERROR(IF(VLOOKUP(R397,매핑!$A$4:$E$92,5,0)="","미분류",VLOOKUP(R397,매핑!$A$4:$E$92,5,0)),"미분류")))</f>
        <v>통신</v>
      </c>
      <c r="AH397" s="43" t="str">
        <f aca="false">IF(Q397&lt;&gt;1,"",IF(AB397&lt;&gt;"",IF(AB397="","",INDEX(시장분석!$N:$N,AB397)),IFERROR(IF(VLOOKUP(R397,매핑!$A$4:$E$92,4,0)="","미분류",VLOOKUP(R397,매핑!$A$4:$E$92,4,0)),"미분류")))</f>
        <v>아시아/기타</v>
      </c>
      <c r="AI397" s="43" t="str">
        <f aca="false">IF(Q397&lt;&gt;1,"",IFERROR(IF(VLOOKUP(R397,매핑!$A$4:$E$92,3,0)="","미분류",VLOOKUP(R397,매핑!$A$4:$E$92,3,0)),IF(AB397&lt;&gt;"",IF(AB397="","",INDEX(시장분석!$W:$W,AB397)),"미분류")))</f>
        <v>한국</v>
      </c>
      <c r="AJ397" s="43" t="str">
        <f aca="false">IF(Q397&lt;&gt;1,"",IFERROR(VLOOKUP(IF(N397&lt;&gt;"",N397,IF(P397&lt;&gt;"",P397,O397)),설정!$A$15:$D$47,2,0),""))</f>
        <v/>
      </c>
      <c r="AK397" s="43" t="str">
        <f aca="false">IF(Q397&lt;&gt;1,"",IF(AJ397="","무등급",IFERROR(VLOOKUP(AJ397,설정!$A$15:$D$47,3,0),"무등급")))</f>
        <v>무등급</v>
      </c>
      <c r="AL397" s="89" t="n">
        <f aca="false">IF(AJ397="",99,IFERROR(VLOOKUP(AJ397,설정!$A$15:$D$47,4,0),99))</f>
        <v>99</v>
      </c>
      <c r="AM397" s="94" t="n">
        <f aca="false">IF(ISNUMBER(H397),AA397*1000000*H397/10000,0)</f>
        <v>56.8379886</v>
      </c>
      <c r="AN397" s="94" t="n">
        <f aca="false">IF(OR(Y397=1,NOT(ISNUMBER(Z397))),0,AA397*1000000*Z397/10000)</f>
        <v>56.8379886</v>
      </c>
      <c r="AO397" s="94" t="n">
        <f aca="false">IF(ISNUMBER(G397),AA397*1000000*G397/100,0)</f>
        <v>10623.85746</v>
      </c>
      <c r="AP397" s="94" t="n">
        <f aca="false">IF(ISNUMBER(M397),M397*K397,0)</f>
        <v>-4351.3</v>
      </c>
      <c r="AQ397" s="95" t="n">
        <f aca="false">IF(AB397="","",INDEX(시장분석!$AK:$AK,AB397))</f>
        <v>-0.946017745635417</v>
      </c>
      <c r="AR397" s="43" t="str">
        <f aca="false">IF(AB397="","-",IF(AB397="","",INDEX(시장분석!$AL:$AL,AB397)))</f>
        <v>Fair</v>
      </c>
      <c r="AS397" s="96" t="n">
        <f aca="false">IF(AB397="","",INDEX(시장분석!$AJ:$AJ,AB397))</f>
        <v>-14.6238330149175</v>
      </c>
      <c r="AT397" s="93" t="n">
        <f aca="false">IF(AB397="",0,IF(AB397="","",INDEX(시장분석!$AN:$AN,AB397)))</f>
        <v>15.6050008068336</v>
      </c>
      <c r="AU397" s="94" t="n">
        <f aca="false">IF(ISNUMBER(Z397),AT397/10000*MAX(Z397-1,0)*AA397*1000000,0)</f>
        <v>582.495489720072</v>
      </c>
      <c r="AV397" s="94" t="n">
        <f aca="false">AO397+AU397</f>
        <v>11206.3529497201</v>
      </c>
      <c r="AW397" s="43" t="str">
        <f aca="false">IF(Q397&lt;&gt;1,"",TRIM(IF(AD397=1,"FRN ","")&amp;IF(AND(AL397&gt;=10,AL397&lt;99),"BBB0미만 ","")&amp;IF(AJ397="","등급없음 ","")&amp;IF(K397&lt;&gt;1,"비USD ","")&amp;IF(AND(AB397="",Y397=0),"시장데이터없음 ","")&amp;IF(AND(ISNUMBER(U397),U397&lt;0),"만기경과 ","")))</f>
        <v>등급없음</v>
      </c>
      <c r="AX397" s="90" t="n">
        <f aca="false">IF(Q397&lt;&gt;1,1,IF(스프레드쇼크!$C$4="Y",INDEX(스프레드쇼크!$B$12:$L$16,IFERROR(MATCH(AH397,스프레드쇼크!$A$12:$A$16,0),MATCH("목록외",스프레드쇼크!$A$12:$A$16,0)),IFERROR(MATCH(AG397,스프레드쇼크!$B$11:$L$11,0),MATCH("목록외",스프레드쇼크!$B$11:$L$11,0))),1))</f>
        <v>1</v>
      </c>
      <c r="AY397" s="90" t="n">
        <f aca="false">IF(스프레드쇼크!$C$5="Y",IF(ISNUMBER(AF397),MIN(스프레드쇼크!$C$7,MAX(스프레드쇼크!$C$6,AF397/스프레드쇼크!$C$8)),1),1)</f>
        <v>0.741779282544959</v>
      </c>
      <c r="AZ397" s="94" t="n">
        <f aca="false">AN397*AX397*AY397</f>
        <v>42.1612424050065</v>
      </c>
      <c r="BA397" s="90" t="n">
        <f aca="false">IF(ISNUMBER(G397),AA397*G397,0)</f>
        <v>1.062385746</v>
      </c>
      <c r="BB397" s="90" t="n">
        <f aca="false">IF(ISNUMBER(G397),AA397,0)</f>
        <v>0.195105</v>
      </c>
      <c r="BC397" s="90" t="n">
        <f aca="false">IF(AND(Y397=0,ISNUMBER(AF397)),AA397*AF397,0)</f>
        <v>9.56833941</v>
      </c>
      <c r="BD397" s="90" t="n">
        <f aca="false">IF(AND(Y397=0,ISNUMBER(AF397)),AA397,0)</f>
        <v>0.195105</v>
      </c>
      <c r="BE397" s="90" t="n">
        <f aca="false">IF(ISNUMBER(H397),AA397*H397,0)</f>
        <v>0.568379886</v>
      </c>
      <c r="BF397" s="90" t="n">
        <f aca="false">IF(ISNUMBER(H397),AA397,0)</f>
        <v>0.195105</v>
      </c>
      <c r="BG397" s="90" t="n">
        <f aca="false">IF(AND(Y397=0,ISNUMBER(AF397),ISNUMBER(Z397)),AA397*Z397,0)</f>
        <v>0.568379886</v>
      </c>
      <c r="BH397" s="90" t="n">
        <f aca="false">IF(AND(Y397=0,ISNUMBER(AF397),ISNUMBER(Z397)),AA397*AT397*MAX(Z397-1,0),0)</f>
        <v>5.82495489720072</v>
      </c>
      <c r="BI397" s="90" t="n">
        <f aca="false">IF(Y397=0,AA397,0)</f>
        <v>0.195105</v>
      </c>
    </row>
    <row r="398" customFormat="false" ht="15" hidden="false" customHeight="false" outlineLevel="0" collapsed="false">
      <c r="A398" s="83" t="str">
        <f aca="false">IFERROR(IF(INDEX(원자료_잔고!$A$1:$EZ$1500,설정!$L$5+ROW()-1,설정!$L$8)&amp;""="0","",INDEX(원자료_잔고!$A$1:$EZ$1500,설정!$L$5+ROW()-1,설정!$L$8)&amp;""),"")</f>
        <v>NACF Float 07/22/27</v>
      </c>
      <c r="B398" s="83" t="str">
        <f aca="false">IFERROR(IF(INDEX(원자료_잔고!$A$1:$EZ$1500,설정!$L$5+ROW()-1,설정!$L$7)&amp;""="0","",INDEX(원자료_잔고!$A$1:$EZ$1500,설정!$L$5+ROW()-1,설정!$L$7)&amp;""),"")</f>
        <v>USY6396XAF60</v>
      </c>
      <c r="C398" s="83" t="str">
        <f aca="false">IFERROR(IF(INDEX(원자료_잔고!$A$1:$EZ$1500,설정!$L$5+ROW()-1,설정!$L$9)&amp;""="0","",INDEX(원자료_잔고!$A$1:$EZ$1500,설정!$L$5+ROW()-1,설정!$L$9)&amp;""),"")</f>
        <v>42003</v>
      </c>
      <c r="D39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8" s="84" t="n">
        <f aca="false">IFERROR(IF(ISNUMBER(INDEX(원자료_잔고!$A$1:$EZ$1500,설정!$L$5+ROW()-1,설정!$L$11)),INDEX(원자료_잔고!$A$1:$EZ$1500,설정!$L$5+ROW()-1,설정!$L$11),""),"")</f>
        <v>200000</v>
      </c>
      <c r="F398" s="85" t="n">
        <f aca="false">IFERROR(IF(ISNUMBER(INDEX(원자료_잔고!$A$1:$EZ$1500,설정!$L$5+ROW()-1,설정!$L$12)),INDEX(원자료_잔고!$A$1:$EZ$1500,설정!$L$5+ROW()-1,설정!$L$12),""),"")</f>
        <v>100.2577</v>
      </c>
      <c r="G398" s="85" t="n">
        <f aca="false">IFERROR(IF(ISNUMBER(INDEX(원자료_잔고!$A$1:$EZ$1500,설정!$L$5+ROW()-1,설정!$L$13)),INDEX(원자료_잔고!$A$1:$EZ$1500,설정!$L$5+ROW()-1,설정!$L$13),""),"")</f>
        <v>4.3954</v>
      </c>
      <c r="H398" s="85" t="n">
        <f aca="false">IFERROR(IF(ISNUMBER(INDEX(원자료_잔고!$A$1:$EZ$1500,설정!$L$5+ROW()-1,설정!$L$14)),INDEX(원자료_잔고!$A$1:$EZ$1500,설정!$L$5+ROW()-1,설정!$L$14),""),"")</f>
        <v>0.0352</v>
      </c>
      <c r="I398" s="86" t="n">
        <f aca="false">IFERROR(IF(ISNUMBER(INDEX(원자료_잔고!$A$1:$EZ$1500,설정!$L$5+ROW()-1,설정!$L$15)),INDEX(원자료_잔고!$A$1:$EZ$1500,설정!$L$5+ROW()-1,설정!$L$15),""),"")</f>
        <v>46590</v>
      </c>
      <c r="J398" s="85" t="n">
        <f aca="false">IFERROR(IF(ISNUMBER(INDEX(원자료_잔고!$A$1:$EZ$1500,설정!$L$5+ROW()-1,설정!$L$16)),INDEX(원자료_잔고!$A$1:$EZ$1500,설정!$L$5+ROW()-1,설정!$L$16),""),"")</f>
        <v>1</v>
      </c>
      <c r="K398" s="87" t="n">
        <f aca="false">IFERROR(IF(ISNUMBER(INDEX(원자료_잔고!$A$1:$EZ$1500,설정!$L$5+ROW()-1,설정!$L$17)),INDEX(원자료_잔고!$A$1:$EZ$1500,설정!$L$5+ROW()-1,설정!$L$17),""),"")</f>
        <v>1</v>
      </c>
      <c r="L398" s="84" t="n">
        <f aca="false">IFERROR(IF(ISNUMBER(INDEX(원자료_잔고!$A$1:$EZ$1500,설정!$L$5+ROW()-1,설정!$L$18)),INDEX(원자료_잔고!$A$1:$EZ$1500,설정!$L$5+ROW()-1,설정!$L$18),""),"")</f>
        <v>200515.4</v>
      </c>
      <c r="M398" s="88" t="n">
        <f aca="false">IFERROR(IF(ISNUMBER(INDEX(원자료_잔고!$A$1:$EZ$1500,설정!$L$5+ROW()-1,설정!$L$19)),INDEX(원자료_잔고!$A$1:$EZ$1500,설정!$L$5+ROW()-1,설정!$L$19),""),"")</f>
        <v>-400.2</v>
      </c>
      <c r="N398" s="83" t="str">
        <f aca="false">IFERROR(IF(INDEX(원자료_잔고!$A$1:$EZ$1500,설정!$L$5+ROW()-1,설정!$L$21)&amp;""="0","",INDEX(원자료_잔고!$A$1:$EZ$1500,설정!$L$5+ROW()-1,설정!$L$21)&amp;""),"")</f>
        <v>A+</v>
      </c>
      <c r="O398" s="83" t="str">
        <f aca="false">IFERROR(IF(INDEX(원자료_잔고!$A$1:$EZ$1500,설정!$L$5+ROW()-1,설정!$L$22)&amp;""="0","",INDEX(원자료_잔고!$A$1:$EZ$1500,설정!$L$5+ROW()-1,설정!$L$22)&amp;""),"")</f>
        <v/>
      </c>
      <c r="P398" s="83" t="str">
        <f aca="false">IFERROR(IF(INDEX(원자료_잔고!$A$1:$EZ$1500,설정!$L$5+ROW()-1,설정!$L$23)&amp;""="0","",INDEX(원자료_잔고!$A$1:$EZ$1500,설정!$L$5+ROW()-1,설정!$L$23)&amp;""),"")</f>
        <v>N/A</v>
      </c>
      <c r="Q398" s="89" t="n">
        <f aca="false">IF(AND($A398&lt;&gt;"",ISNUMBER(E398)),IF(E398&gt;0,1,0),0)</f>
        <v>1</v>
      </c>
      <c r="R398" s="43" t="str">
        <f aca="false">IF(Q398=1,UPPER(LEFT($A398,FIND(" ",$A398&amp;" ")-1)),"")</f>
        <v>NACF</v>
      </c>
      <c r="S398" s="89" t="n">
        <f aca="false">IF(Q398=1,IF(OR(ISNUMBER(SEARCH("Float",$A398)),ISNUMBER(SEARCH("FRN",$A398))),1,0),0)</f>
        <v>1</v>
      </c>
      <c r="T398" s="43" t="str">
        <f aca="false">IF(AND(Q398=1,ISNUMBER(I398)),TEXT(I398,"yyyymmdd")&amp;"|"&amp;IF(S398=1,"F",TEXT(J398,"0.000")),"")</f>
        <v>20270722|F</v>
      </c>
      <c r="U398" s="90" t="n">
        <f aca="false">IF(AND(Q398=1,ISNUMBER(I398)),(I398-설정!$C$4)/365.25,"")</f>
        <v>0.804928131416838</v>
      </c>
      <c r="V398" s="43" t="str">
        <f aca="false">IF(Q398&lt;&gt;1,"",IF(ISNUMBER(U398),IF(U398&lt;=1,"1년 이하",IF(U398&lt;=2,"1-2년",IF(U398&lt;=3,"2-3년",IF(U398&lt;=4,"3-4년",IF(U398&lt;=5,"4-5년",IF(U398&lt;=7,"5-7년",IF(U398&lt;=10,"7-10년",IF(U398&lt;=20,"10-20년","20년 이상")))))))),"미분류"))</f>
        <v>1년 이하</v>
      </c>
      <c r="W398" s="43" t="str">
        <f aca="false">IF(Q398&lt;&gt;1,"",IF(AB398&lt;&gt;"",INDEX(시장분석!$C:$C,AB398),IF(K398=1,"USD","비USD")))</f>
        <v>USD</v>
      </c>
      <c r="X398" s="91" t="n">
        <f aca="false">IF(Q398=1,E398*K398/1000000,0)</f>
        <v>0.2</v>
      </c>
      <c r="Y398" s="89" t="n">
        <f aca="false">IF(R398="T",1,0)</f>
        <v>0</v>
      </c>
      <c r="Z398" s="92" t="n">
        <f aca="false">IF(Q398&lt;&gt;1,"",IF(AD398=1,IF(ISNUMBER(U398),MAX(U398,0),H398),H398))</f>
        <v>0.804928131416838</v>
      </c>
      <c r="AA398" s="91" t="n">
        <f aca="false">IF(Q398=1,IF(ISNUMBER(L398),L398,0)*K398/1000000,0)</f>
        <v>0.2005154</v>
      </c>
      <c r="AB398" s="89" t="n">
        <f aca="false">IF(Q398&lt;&gt;1,"",IFERROR(MATCH(VLOOKUP(B398,매핑!$H$4:$I$15,2,0),시장분석!$A$2:$A$601,0)+1,IFERROR(MATCH(R398&amp;"|"&amp;T398,시장분석!$V$2:$V$601,0)+1,IF(COUNTIF(시장분석!$U$2:$U$601,T398)=1,MATCH(T398,시장분석!$U$2:$U$601,0)+1,""))))</f>
        <v>186</v>
      </c>
      <c r="AC398" s="89" t="n">
        <f aca="false">IF(Q398&lt;&gt;1,0,IF(OR(설정!$C$5="전체",AND(설정!$C$5="선택펀드",IFERROR(COUNTIFS(설정!$F$16:$F$36,C398,설정!$G$16:$G$36,"Y")+COUNTIFS(설정!$F$16:$F$36,VALUE(C398),설정!$G$16:$G$36,"Y"),0)&gt;0),C398&amp;""=설정!$C$5&amp;""),1,0))</f>
        <v>0</v>
      </c>
      <c r="AD398" s="89" t="n">
        <f aca="false">IF(Q398&lt;&gt;1,0,IF(OR(S398=1,IF(AB398="",FALSE(),INDEX(시장분석!$R:$R,AB398)=1)),1,0))</f>
        <v>1</v>
      </c>
      <c r="AE398" s="43" t="str">
        <f aca="false">IF(AB398="","",INDEX(시장분석!$A:$A,AB398))</f>
        <v>NACF Float 07/22/27</v>
      </c>
      <c r="AF398" s="93" t="str">
        <f aca="false">IF(AB398="","",IF(ISNUMBER(IF(AB398="","",INDEX(시장분석!$E:$E,AB398))),IF(AB398="","",INDEX(시장분석!$E:$E,AB398)),""))</f>
        <v/>
      </c>
      <c r="AG398" s="43" t="str">
        <f aca="false">IF(Q398&lt;&gt;1,"",IF(AB398&lt;&gt;"",IF(AB398="","",INDEX(시장분석!$L:$L,AB398)),IFERROR(IF(VLOOKUP(R398,매핑!$A$4:$E$92,5,0)="","미분류",VLOOKUP(R398,매핑!$A$4:$E$92,5,0)),"미분류")))</f>
        <v>금융기관</v>
      </c>
      <c r="AH398" s="43" t="str">
        <f aca="false">IF(Q398&lt;&gt;1,"",IF(AB398&lt;&gt;"",IF(AB398="","",INDEX(시장분석!$N:$N,AB398)),IFERROR(IF(VLOOKUP(R398,매핑!$A$4:$E$92,4,0)="","미분류",VLOOKUP(R398,매핑!$A$4:$E$92,4,0)),"미분류")))</f>
        <v>아시아/기타</v>
      </c>
      <c r="AI398" s="43" t="str">
        <f aca="false">IF(Q398&lt;&gt;1,"",IFERROR(IF(VLOOKUP(R398,매핑!$A$4:$E$92,3,0)="","미분류",VLOOKUP(R398,매핑!$A$4:$E$92,3,0)),IF(AB398&lt;&gt;"",IF(AB398="","",INDEX(시장분석!$W:$W,AB398)),"미분류")))</f>
        <v>한국</v>
      </c>
      <c r="AJ398" s="43" t="str">
        <f aca="false">IF(Q398&lt;&gt;1,"",IFERROR(VLOOKUP(IF(N398&lt;&gt;"",N398,IF(P398&lt;&gt;"",P398,O398)),설정!$A$15:$D$47,2,0),""))</f>
        <v>A+</v>
      </c>
      <c r="AK398" s="43" t="str">
        <f aca="false">IF(Q398&lt;&gt;1,"",IF(AJ398="","무등급",IFERROR(VLOOKUP(AJ398,설정!$A$15:$D$47,3,0),"무등급")))</f>
        <v>A</v>
      </c>
      <c r="AL398" s="89" t="n">
        <f aca="false">IF(AJ398="",99,IFERROR(VLOOKUP(AJ398,설정!$A$15:$D$47,4,0),99))</f>
        <v>5</v>
      </c>
      <c r="AM398" s="94" t="n">
        <f aca="false">IF(ISNUMBER(H398),AA398*1000000*H398/10000,0)</f>
        <v>0.705814208</v>
      </c>
      <c r="AN398" s="94" t="n">
        <f aca="false">IF(OR(Y398=1,NOT(ISNUMBER(Z398))),0,AA398*1000000*Z398/10000)</f>
        <v>16.14004862423</v>
      </c>
      <c r="AO398" s="94" t="n">
        <f aca="false">IF(ISNUMBER(G398),AA398*1000000*G398/100,0)</f>
        <v>8813.4538916</v>
      </c>
      <c r="AP398" s="94" t="n">
        <f aca="false">IF(ISNUMBER(M398),M398*K398,0)</f>
        <v>-400.2</v>
      </c>
      <c r="AQ398" s="95" t="str">
        <f aca="false">IF(AB398="","",INDEX(시장분석!$AK:$AK,AB398))</f>
        <v/>
      </c>
      <c r="AR398" s="43" t="str">
        <f aca="false">IF(AB398="","-",IF(AB398="","",INDEX(시장분석!$AL:$AL,AB398)))</f>
        <v>-</v>
      </c>
      <c r="AS398" s="96" t="str">
        <f aca="false">IF(AB398="","",INDEX(시장분석!$AJ:$AJ,AB398))</f>
        <v/>
      </c>
      <c r="AT398" s="93" t="n">
        <f aca="false">IF(AB398="",0,IF(AB398="","",INDEX(시장분석!$AN:$AN,AB398)))</f>
        <v>0</v>
      </c>
      <c r="AU398" s="94" t="n">
        <f aca="false">IF(ISNUMBER(Z398),AT398/10000*MAX(Z398-1,0)*AA398*1000000,0)</f>
        <v>0</v>
      </c>
      <c r="AV398" s="94" t="n">
        <f aca="false">AO398+AU398</f>
        <v>8813.4538916</v>
      </c>
      <c r="AW398" s="43" t="str">
        <f aca="false">IF(Q398&lt;&gt;1,"",TRIM(IF(AD398=1,"FRN ","")&amp;IF(AND(AL398&gt;=10,AL398&lt;99),"BBB0미만 ","")&amp;IF(AJ398="","등급없음 ","")&amp;IF(K398&lt;&gt;1,"비USD ","")&amp;IF(AND(AB398="",Y398=0),"시장데이터없음 ","")&amp;IF(AND(ISNUMBER(U398),U398&lt;0),"만기경과 ","")))</f>
        <v>FRN</v>
      </c>
      <c r="AX398" s="90" t="n">
        <f aca="false">IF(Q398&lt;&gt;1,1,IF(스프레드쇼크!$C$4="Y",INDEX(스프레드쇼크!$B$12:$L$16,IFERROR(MATCH(AH398,스프레드쇼크!$A$12:$A$16,0),MATCH("목록외",스프레드쇼크!$A$12:$A$16,0)),IFERROR(MATCH(AG398,스프레드쇼크!$B$11:$L$11,0),MATCH("목록외",스프레드쇼크!$B$11:$L$11,0))),1))</f>
        <v>1</v>
      </c>
      <c r="AY398" s="90" t="n">
        <f aca="false">IF(스프레드쇼크!$C$5="Y",IF(ISNUMBER(AF398),MIN(스프레드쇼크!$C$7,MAX(스프레드쇼크!$C$6,AF398/스프레드쇼크!$C$8)),1),1)</f>
        <v>1</v>
      </c>
      <c r="AZ398" s="94" t="n">
        <f aca="false">AN398*AX398*AY398</f>
        <v>16.14004862423</v>
      </c>
      <c r="BA398" s="90" t="n">
        <f aca="false">IF(ISNUMBER(G398),AA398*G398,0)</f>
        <v>0.88134538916</v>
      </c>
      <c r="BB398" s="90" t="n">
        <f aca="false">IF(ISNUMBER(G398),AA398,0)</f>
        <v>0.2005154</v>
      </c>
      <c r="BC398" s="90" t="n">
        <f aca="false">IF(AND(Y398=0,ISNUMBER(AF398)),AA398*AF398,0)</f>
        <v>0</v>
      </c>
      <c r="BD398" s="90" t="n">
        <f aca="false">IF(AND(Y398=0,ISNUMBER(AF398)),AA398,0)</f>
        <v>0</v>
      </c>
      <c r="BE398" s="90" t="n">
        <f aca="false">IF(ISNUMBER(H398),AA398*H398,0)</f>
        <v>0.00705814208</v>
      </c>
      <c r="BF398" s="90" t="n">
        <f aca="false">IF(ISNUMBER(H398),AA398,0)</f>
        <v>0.2005154</v>
      </c>
      <c r="BG398" s="90" t="n">
        <f aca="false">IF(AND(Y398=0,ISNUMBER(AF398),ISNUMBER(Z398)),AA398*Z398,0)</f>
        <v>0</v>
      </c>
      <c r="BH398" s="90" t="n">
        <f aca="false">IF(AND(Y398=0,ISNUMBER(AF398),ISNUMBER(Z398)),AA398*AT398*MAX(Z398-1,0),0)</f>
        <v>0</v>
      </c>
      <c r="BI398" s="90" t="n">
        <f aca="false">IF(Y398=0,AA398,0)</f>
        <v>0.2005154</v>
      </c>
    </row>
    <row r="399" customFormat="false" ht="15" hidden="false" customHeight="false" outlineLevel="0" collapsed="false">
      <c r="A399" s="83" t="str">
        <f aca="false">IFERROR(IF(INDEX(원자료_잔고!$A$1:$EZ$1500,설정!$L$5+ROW()-1,설정!$L$8)&amp;""="0","",INDEX(원자료_잔고!$A$1:$EZ$1500,설정!$L$5+ROW()-1,설정!$L$8)&amp;""),"")</f>
        <v>NACF Float 07/22/27</v>
      </c>
      <c r="B399" s="83" t="str">
        <f aca="false">IFERROR(IF(INDEX(원자료_잔고!$A$1:$EZ$1500,설정!$L$5+ROW()-1,설정!$L$7)&amp;""="0","",INDEX(원자료_잔고!$A$1:$EZ$1500,설정!$L$5+ROW()-1,설정!$L$7)&amp;""),"")</f>
        <v>USY6396XAF60</v>
      </c>
      <c r="C399" s="83" t="str">
        <f aca="false">IFERROR(IF(INDEX(원자료_잔고!$A$1:$EZ$1500,설정!$L$5+ROW()-1,설정!$L$9)&amp;""="0","",INDEX(원자료_잔고!$A$1:$EZ$1500,설정!$L$5+ROW()-1,설정!$L$9)&amp;""),"")</f>
        <v>42003</v>
      </c>
      <c r="D39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399" s="84" t="n">
        <f aca="false">IFERROR(IF(ISNUMBER(INDEX(원자료_잔고!$A$1:$EZ$1500,설정!$L$5+ROW()-1,설정!$L$11)),INDEX(원자료_잔고!$A$1:$EZ$1500,설정!$L$5+ROW()-1,설정!$L$11),""),"")</f>
        <v>800000</v>
      </c>
      <c r="F399" s="85" t="n">
        <f aca="false">IFERROR(IF(ISNUMBER(INDEX(원자료_잔고!$A$1:$EZ$1500,설정!$L$5+ROW()-1,설정!$L$12)),INDEX(원자료_잔고!$A$1:$EZ$1500,설정!$L$5+ROW()-1,설정!$L$12),""),"")</f>
        <v>100.2577</v>
      </c>
      <c r="G399" s="85" t="n">
        <f aca="false">IFERROR(IF(ISNUMBER(INDEX(원자료_잔고!$A$1:$EZ$1500,설정!$L$5+ROW()-1,설정!$L$13)),INDEX(원자료_잔고!$A$1:$EZ$1500,설정!$L$5+ROW()-1,설정!$L$13),""),"")</f>
        <v>4.3954</v>
      </c>
      <c r="H399" s="85" t="n">
        <f aca="false">IFERROR(IF(ISNUMBER(INDEX(원자료_잔고!$A$1:$EZ$1500,설정!$L$5+ROW()-1,설정!$L$14)),INDEX(원자료_잔고!$A$1:$EZ$1500,설정!$L$5+ROW()-1,설정!$L$14),""),"")</f>
        <v>0.0352</v>
      </c>
      <c r="I399" s="86" t="n">
        <f aca="false">IFERROR(IF(ISNUMBER(INDEX(원자료_잔고!$A$1:$EZ$1500,설정!$L$5+ROW()-1,설정!$L$15)),INDEX(원자료_잔고!$A$1:$EZ$1500,설정!$L$5+ROW()-1,설정!$L$15),""),"")</f>
        <v>46590</v>
      </c>
      <c r="J399" s="85" t="n">
        <f aca="false">IFERROR(IF(ISNUMBER(INDEX(원자료_잔고!$A$1:$EZ$1500,설정!$L$5+ROW()-1,설정!$L$16)),INDEX(원자료_잔고!$A$1:$EZ$1500,설정!$L$5+ROW()-1,설정!$L$16),""),"")</f>
        <v>1</v>
      </c>
      <c r="K399" s="87" t="n">
        <f aca="false">IFERROR(IF(ISNUMBER(INDEX(원자료_잔고!$A$1:$EZ$1500,설정!$L$5+ROW()-1,설정!$L$17)),INDEX(원자료_잔고!$A$1:$EZ$1500,설정!$L$5+ROW()-1,설정!$L$17),""),"")</f>
        <v>1</v>
      </c>
      <c r="L399" s="84" t="n">
        <f aca="false">IFERROR(IF(ISNUMBER(INDEX(원자료_잔고!$A$1:$EZ$1500,설정!$L$5+ROW()-1,설정!$L$18)),INDEX(원자료_잔고!$A$1:$EZ$1500,설정!$L$5+ROW()-1,설정!$L$18),""),"")</f>
        <v>802061.6</v>
      </c>
      <c r="M399" s="88" t="n">
        <f aca="false">IFERROR(IF(ISNUMBER(INDEX(원자료_잔고!$A$1:$EZ$1500,설정!$L$5+ROW()-1,설정!$L$19)),INDEX(원자료_잔고!$A$1:$EZ$1500,설정!$L$5+ROW()-1,설정!$L$19),""),"")</f>
        <v>-1600.8</v>
      </c>
      <c r="N399" s="83" t="str">
        <f aca="false">IFERROR(IF(INDEX(원자료_잔고!$A$1:$EZ$1500,설정!$L$5+ROW()-1,설정!$L$21)&amp;""="0","",INDEX(원자료_잔고!$A$1:$EZ$1500,설정!$L$5+ROW()-1,설정!$L$21)&amp;""),"")</f>
        <v>A+</v>
      </c>
      <c r="O399" s="83" t="str">
        <f aca="false">IFERROR(IF(INDEX(원자료_잔고!$A$1:$EZ$1500,설정!$L$5+ROW()-1,설정!$L$22)&amp;""="0","",INDEX(원자료_잔고!$A$1:$EZ$1500,설정!$L$5+ROW()-1,설정!$L$22)&amp;""),"")</f>
        <v/>
      </c>
      <c r="P399" s="83" t="str">
        <f aca="false">IFERROR(IF(INDEX(원자료_잔고!$A$1:$EZ$1500,설정!$L$5+ROW()-1,설정!$L$23)&amp;""="0","",INDEX(원자료_잔고!$A$1:$EZ$1500,설정!$L$5+ROW()-1,설정!$L$23)&amp;""),"")</f>
        <v>N/A</v>
      </c>
      <c r="Q399" s="89" t="n">
        <f aca="false">IF(AND($A399&lt;&gt;"",ISNUMBER(E399)),IF(E399&gt;0,1,0),0)</f>
        <v>1</v>
      </c>
      <c r="R399" s="43" t="str">
        <f aca="false">IF(Q399=1,UPPER(LEFT($A399,FIND(" ",$A399&amp;" ")-1)),"")</f>
        <v>NACF</v>
      </c>
      <c r="S399" s="89" t="n">
        <f aca="false">IF(Q399=1,IF(OR(ISNUMBER(SEARCH("Float",$A399)),ISNUMBER(SEARCH("FRN",$A399))),1,0),0)</f>
        <v>1</v>
      </c>
      <c r="T399" s="43" t="str">
        <f aca="false">IF(AND(Q399=1,ISNUMBER(I399)),TEXT(I399,"yyyymmdd")&amp;"|"&amp;IF(S399=1,"F",TEXT(J399,"0.000")),"")</f>
        <v>20270722|F</v>
      </c>
      <c r="U399" s="90" t="n">
        <f aca="false">IF(AND(Q399=1,ISNUMBER(I399)),(I399-설정!$C$4)/365.25,"")</f>
        <v>0.804928131416838</v>
      </c>
      <c r="V399" s="43" t="str">
        <f aca="false">IF(Q399&lt;&gt;1,"",IF(ISNUMBER(U399),IF(U399&lt;=1,"1년 이하",IF(U399&lt;=2,"1-2년",IF(U399&lt;=3,"2-3년",IF(U399&lt;=4,"3-4년",IF(U399&lt;=5,"4-5년",IF(U399&lt;=7,"5-7년",IF(U399&lt;=10,"7-10년",IF(U399&lt;=20,"10-20년","20년 이상")))))))),"미분류"))</f>
        <v>1년 이하</v>
      </c>
      <c r="W399" s="43" t="str">
        <f aca="false">IF(Q399&lt;&gt;1,"",IF(AB399&lt;&gt;"",INDEX(시장분석!$C:$C,AB399),IF(K399=1,"USD","비USD")))</f>
        <v>USD</v>
      </c>
      <c r="X399" s="91" t="n">
        <f aca="false">IF(Q399=1,E399*K399/1000000,0)</f>
        <v>0.8</v>
      </c>
      <c r="Y399" s="89" t="n">
        <f aca="false">IF(R399="T",1,0)</f>
        <v>0</v>
      </c>
      <c r="Z399" s="92" t="n">
        <f aca="false">IF(Q399&lt;&gt;1,"",IF(AD399=1,IF(ISNUMBER(U399),MAX(U399,0),H399),H399))</f>
        <v>0.804928131416838</v>
      </c>
      <c r="AA399" s="91" t="n">
        <f aca="false">IF(Q399=1,IF(ISNUMBER(L399),L399,0)*K399/1000000,0)</f>
        <v>0.8020616</v>
      </c>
      <c r="AB399" s="89" t="n">
        <f aca="false">IF(Q399&lt;&gt;1,"",IFERROR(MATCH(VLOOKUP(B399,매핑!$H$4:$I$15,2,0),시장분석!$A$2:$A$601,0)+1,IFERROR(MATCH(R399&amp;"|"&amp;T399,시장분석!$V$2:$V$601,0)+1,IF(COUNTIF(시장분석!$U$2:$U$601,T399)=1,MATCH(T399,시장분석!$U$2:$U$601,0)+1,""))))</f>
        <v>186</v>
      </c>
      <c r="AC399" s="89" t="n">
        <f aca="false">IF(Q399&lt;&gt;1,0,IF(OR(설정!$C$5="전체",AND(설정!$C$5="선택펀드",IFERROR(COUNTIFS(설정!$F$16:$F$36,C399,설정!$G$16:$G$36,"Y")+COUNTIFS(설정!$F$16:$F$36,VALUE(C399),설정!$G$16:$G$36,"Y"),0)&gt;0),C399&amp;""=설정!$C$5&amp;""),1,0))</f>
        <v>0</v>
      </c>
      <c r="AD399" s="89" t="n">
        <f aca="false">IF(Q399&lt;&gt;1,0,IF(OR(S399=1,IF(AB399="",FALSE(),INDEX(시장분석!$R:$R,AB399)=1)),1,0))</f>
        <v>1</v>
      </c>
      <c r="AE399" s="43" t="str">
        <f aca="false">IF(AB399="","",INDEX(시장분석!$A:$A,AB399))</f>
        <v>NACF Float 07/22/27</v>
      </c>
      <c r="AF399" s="93" t="str">
        <f aca="false">IF(AB399="","",IF(ISNUMBER(IF(AB399="","",INDEX(시장분석!$E:$E,AB399))),IF(AB399="","",INDEX(시장분석!$E:$E,AB399)),""))</f>
        <v/>
      </c>
      <c r="AG399" s="43" t="str">
        <f aca="false">IF(Q399&lt;&gt;1,"",IF(AB399&lt;&gt;"",IF(AB399="","",INDEX(시장분석!$L:$L,AB399)),IFERROR(IF(VLOOKUP(R399,매핑!$A$4:$E$92,5,0)="","미분류",VLOOKUP(R399,매핑!$A$4:$E$92,5,0)),"미분류")))</f>
        <v>금융기관</v>
      </c>
      <c r="AH399" s="43" t="str">
        <f aca="false">IF(Q399&lt;&gt;1,"",IF(AB399&lt;&gt;"",IF(AB399="","",INDEX(시장분석!$N:$N,AB399)),IFERROR(IF(VLOOKUP(R399,매핑!$A$4:$E$92,4,0)="","미분류",VLOOKUP(R399,매핑!$A$4:$E$92,4,0)),"미분류")))</f>
        <v>아시아/기타</v>
      </c>
      <c r="AI399" s="43" t="str">
        <f aca="false">IF(Q399&lt;&gt;1,"",IFERROR(IF(VLOOKUP(R399,매핑!$A$4:$E$92,3,0)="","미분류",VLOOKUP(R399,매핑!$A$4:$E$92,3,0)),IF(AB399&lt;&gt;"",IF(AB399="","",INDEX(시장분석!$W:$W,AB399)),"미분류")))</f>
        <v>한국</v>
      </c>
      <c r="AJ399" s="43" t="str">
        <f aca="false">IF(Q399&lt;&gt;1,"",IFERROR(VLOOKUP(IF(N399&lt;&gt;"",N399,IF(P399&lt;&gt;"",P399,O399)),설정!$A$15:$D$47,2,0),""))</f>
        <v>A+</v>
      </c>
      <c r="AK399" s="43" t="str">
        <f aca="false">IF(Q399&lt;&gt;1,"",IF(AJ399="","무등급",IFERROR(VLOOKUP(AJ399,설정!$A$15:$D$47,3,0),"무등급")))</f>
        <v>A</v>
      </c>
      <c r="AL399" s="89" t="n">
        <f aca="false">IF(AJ399="",99,IFERROR(VLOOKUP(AJ399,설정!$A$15:$D$47,4,0),99))</f>
        <v>5</v>
      </c>
      <c r="AM399" s="94" t="n">
        <f aca="false">IF(ISNUMBER(H399),AA399*1000000*H399/10000,0)</f>
        <v>2.823256832</v>
      </c>
      <c r="AN399" s="94" t="n">
        <f aca="false">IF(OR(Y399=1,NOT(ISNUMBER(Z399))),0,AA399*1000000*Z399/10000)</f>
        <v>64.5601944969199</v>
      </c>
      <c r="AO399" s="94" t="n">
        <f aca="false">IF(ISNUMBER(G399),AA399*1000000*G399/100,0)</f>
        <v>35253.8155664</v>
      </c>
      <c r="AP399" s="94" t="n">
        <f aca="false">IF(ISNUMBER(M399),M399*K399,0)</f>
        <v>-1600.8</v>
      </c>
      <c r="AQ399" s="95" t="str">
        <f aca="false">IF(AB399="","",INDEX(시장분석!$AK:$AK,AB399))</f>
        <v/>
      </c>
      <c r="AR399" s="43" t="str">
        <f aca="false">IF(AB399="","-",IF(AB399="","",INDEX(시장분석!$AL:$AL,AB399)))</f>
        <v>-</v>
      </c>
      <c r="AS399" s="96" t="str">
        <f aca="false">IF(AB399="","",INDEX(시장분석!$AJ:$AJ,AB399))</f>
        <v/>
      </c>
      <c r="AT399" s="93" t="n">
        <f aca="false">IF(AB399="",0,IF(AB399="","",INDEX(시장분석!$AN:$AN,AB399)))</f>
        <v>0</v>
      </c>
      <c r="AU399" s="94" t="n">
        <f aca="false">IF(ISNUMBER(Z399),AT399/10000*MAX(Z399-1,0)*AA399*1000000,0)</f>
        <v>0</v>
      </c>
      <c r="AV399" s="94" t="n">
        <f aca="false">AO399+AU399</f>
        <v>35253.8155664</v>
      </c>
      <c r="AW399" s="43" t="str">
        <f aca="false">IF(Q399&lt;&gt;1,"",TRIM(IF(AD399=1,"FRN ","")&amp;IF(AND(AL399&gt;=10,AL399&lt;99),"BBB0미만 ","")&amp;IF(AJ399="","등급없음 ","")&amp;IF(K399&lt;&gt;1,"비USD ","")&amp;IF(AND(AB399="",Y399=0),"시장데이터없음 ","")&amp;IF(AND(ISNUMBER(U399),U399&lt;0),"만기경과 ","")))</f>
        <v>FRN</v>
      </c>
      <c r="AX399" s="90" t="n">
        <f aca="false">IF(Q399&lt;&gt;1,1,IF(스프레드쇼크!$C$4="Y",INDEX(스프레드쇼크!$B$12:$L$16,IFERROR(MATCH(AH399,스프레드쇼크!$A$12:$A$16,0),MATCH("목록외",스프레드쇼크!$A$12:$A$16,0)),IFERROR(MATCH(AG399,스프레드쇼크!$B$11:$L$11,0),MATCH("목록외",스프레드쇼크!$B$11:$L$11,0))),1))</f>
        <v>1</v>
      </c>
      <c r="AY399" s="90" t="n">
        <f aca="false">IF(스프레드쇼크!$C$5="Y",IF(ISNUMBER(AF399),MIN(스프레드쇼크!$C$7,MAX(스프레드쇼크!$C$6,AF399/스프레드쇼크!$C$8)),1),1)</f>
        <v>1</v>
      </c>
      <c r="AZ399" s="94" t="n">
        <f aca="false">AN399*AX399*AY399</f>
        <v>64.5601944969199</v>
      </c>
      <c r="BA399" s="90" t="n">
        <f aca="false">IF(ISNUMBER(G399),AA399*G399,0)</f>
        <v>3.52538155664</v>
      </c>
      <c r="BB399" s="90" t="n">
        <f aca="false">IF(ISNUMBER(G399),AA399,0)</f>
        <v>0.8020616</v>
      </c>
      <c r="BC399" s="90" t="n">
        <f aca="false">IF(AND(Y399=0,ISNUMBER(AF399)),AA399*AF399,0)</f>
        <v>0</v>
      </c>
      <c r="BD399" s="90" t="n">
        <f aca="false">IF(AND(Y399=0,ISNUMBER(AF399)),AA399,0)</f>
        <v>0</v>
      </c>
      <c r="BE399" s="90" t="n">
        <f aca="false">IF(ISNUMBER(H399),AA399*H399,0)</f>
        <v>0.02823256832</v>
      </c>
      <c r="BF399" s="90" t="n">
        <f aca="false">IF(ISNUMBER(H399),AA399,0)</f>
        <v>0.8020616</v>
      </c>
      <c r="BG399" s="90" t="n">
        <f aca="false">IF(AND(Y399=0,ISNUMBER(AF399),ISNUMBER(Z399)),AA399*Z399,0)</f>
        <v>0</v>
      </c>
      <c r="BH399" s="90" t="n">
        <f aca="false">IF(AND(Y399=0,ISNUMBER(AF399),ISNUMBER(Z399)),AA399*AT399*MAX(Z399-1,0),0)</f>
        <v>0</v>
      </c>
      <c r="BI399" s="90" t="n">
        <f aca="false">IF(Y399=0,AA399,0)</f>
        <v>0.8020616</v>
      </c>
    </row>
    <row r="400" customFormat="false" ht="15" hidden="false" customHeight="false" outlineLevel="0" collapsed="false">
      <c r="A400" s="83" t="str">
        <f aca="false">IFERROR(IF(INDEX(원자료_잔고!$A$1:$EZ$1500,설정!$L$5+ROW()-1,설정!$L$8)&amp;""="0","",INDEX(원자료_잔고!$A$1:$EZ$1500,설정!$L$5+ROW()-1,설정!$L$8)&amp;""),"")</f>
        <v>NACF 4.75 07/22/29</v>
      </c>
      <c r="B400" s="83" t="str">
        <f aca="false">IFERROR(IF(INDEX(원자료_잔고!$A$1:$EZ$1500,설정!$L$5+ROW()-1,설정!$L$7)&amp;""="0","",INDEX(원자료_잔고!$A$1:$EZ$1500,설정!$L$5+ROW()-1,설정!$L$7)&amp;""),"")</f>
        <v>USY6396XAG44</v>
      </c>
      <c r="C400" s="83" t="str">
        <f aca="false">IFERROR(IF(INDEX(원자료_잔고!$A$1:$EZ$1500,설정!$L$5+ROW()-1,설정!$L$9)&amp;""="0","",INDEX(원자료_잔고!$A$1:$EZ$1500,설정!$L$5+ROW()-1,설정!$L$9)&amp;""),"")</f>
        <v>42003</v>
      </c>
      <c r="D40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0" s="84" t="n">
        <f aca="false">IFERROR(IF(ISNUMBER(INDEX(원자료_잔고!$A$1:$EZ$1500,설정!$L$5+ROW()-1,설정!$L$11)),INDEX(원자료_잔고!$A$1:$EZ$1500,설정!$L$5+ROW()-1,설정!$L$11),""),"")</f>
        <v>200000</v>
      </c>
      <c r="F400" s="85" t="n">
        <f aca="false">IFERROR(IF(ISNUMBER(INDEX(원자료_잔고!$A$1:$EZ$1500,설정!$L$5+ROW()-1,설정!$L$12)),INDEX(원자료_잔고!$A$1:$EZ$1500,설정!$L$5+ROW()-1,설정!$L$12),""),"")</f>
        <v>98.5492</v>
      </c>
      <c r="G400" s="85" t="n">
        <f aca="false">IFERROR(IF(ISNUMBER(INDEX(원자료_잔고!$A$1:$EZ$1500,설정!$L$5+ROW()-1,설정!$L$13)),INDEX(원자료_잔고!$A$1:$EZ$1500,설정!$L$5+ROW()-1,설정!$L$13),""),"")</f>
        <v>5.3092</v>
      </c>
      <c r="H400" s="85" t="n">
        <f aca="false">IFERROR(IF(ISNUMBER(INDEX(원자료_잔고!$A$1:$EZ$1500,설정!$L$5+ROW()-1,설정!$L$14)),INDEX(원자료_잔고!$A$1:$EZ$1500,설정!$L$5+ROW()-1,설정!$L$14),""),"")</f>
        <v>2.5209</v>
      </c>
      <c r="I400" s="86" t="n">
        <f aca="false">IFERROR(IF(ISNUMBER(INDEX(원자료_잔고!$A$1:$EZ$1500,설정!$L$5+ROW()-1,설정!$L$15)),INDEX(원자료_잔고!$A$1:$EZ$1500,설정!$L$5+ROW()-1,설정!$L$15),""),"")</f>
        <v>47321</v>
      </c>
      <c r="J400" s="85" t="n">
        <f aca="false">IFERROR(IF(ISNUMBER(INDEX(원자료_잔고!$A$1:$EZ$1500,설정!$L$5+ROW()-1,설정!$L$16)),INDEX(원자료_잔고!$A$1:$EZ$1500,설정!$L$5+ROW()-1,설정!$L$16),""),"")</f>
        <v>4.75</v>
      </c>
      <c r="K400" s="87" t="n">
        <f aca="false">IFERROR(IF(ISNUMBER(INDEX(원자료_잔고!$A$1:$EZ$1500,설정!$L$5+ROW()-1,설정!$L$17)),INDEX(원자료_잔고!$A$1:$EZ$1500,설정!$L$5+ROW()-1,설정!$L$17),""),"")</f>
        <v>1</v>
      </c>
      <c r="L400" s="84" t="n">
        <f aca="false">IFERROR(IF(ISNUMBER(INDEX(원자료_잔고!$A$1:$EZ$1500,설정!$L$5+ROW()-1,설정!$L$18)),INDEX(원자료_잔고!$A$1:$EZ$1500,설정!$L$5+ROW()-1,설정!$L$18),""),"")</f>
        <v>197098.4</v>
      </c>
      <c r="M400" s="88" t="n">
        <f aca="false">IFERROR(IF(ISNUMBER(INDEX(원자료_잔고!$A$1:$EZ$1500,설정!$L$5+ROW()-1,설정!$L$19)),INDEX(원자료_잔고!$A$1:$EZ$1500,설정!$L$5+ROW()-1,설정!$L$19),""),"")</f>
        <v>-7726.8</v>
      </c>
      <c r="N400" s="83" t="str">
        <f aca="false">IFERROR(IF(INDEX(원자료_잔고!$A$1:$EZ$1500,설정!$L$5+ROW()-1,설정!$L$21)&amp;""="0","",INDEX(원자료_잔고!$A$1:$EZ$1500,설정!$L$5+ROW()-1,설정!$L$21)&amp;""),"")</f>
        <v>A+</v>
      </c>
      <c r="O400" s="83" t="str">
        <f aca="false">IFERROR(IF(INDEX(원자료_잔고!$A$1:$EZ$1500,설정!$L$5+ROW()-1,설정!$L$22)&amp;""="0","",INDEX(원자료_잔고!$A$1:$EZ$1500,설정!$L$5+ROW()-1,설정!$L$22)&amp;""),"")</f>
        <v/>
      </c>
      <c r="P400" s="83" t="str">
        <f aca="false">IFERROR(IF(INDEX(원자료_잔고!$A$1:$EZ$1500,설정!$L$5+ROW()-1,설정!$L$23)&amp;""="0","",INDEX(원자료_잔고!$A$1:$EZ$1500,설정!$L$5+ROW()-1,설정!$L$23)&amp;""),"")</f>
        <v>N/A</v>
      </c>
      <c r="Q400" s="89" t="n">
        <f aca="false">IF(AND($A400&lt;&gt;"",ISNUMBER(E400)),IF(E400&gt;0,1,0),0)</f>
        <v>1</v>
      </c>
      <c r="R400" s="43" t="str">
        <f aca="false">IF(Q400=1,UPPER(LEFT($A400,FIND(" ",$A400&amp;" ")-1)),"")</f>
        <v>NACF</v>
      </c>
      <c r="S400" s="89" t="n">
        <f aca="false">IF(Q400=1,IF(OR(ISNUMBER(SEARCH("Float",$A400)),ISNUMBER(SEARCH("FRN",$A400))),1,0),0)</f>
        <v>0</v>
      </c>
      <c r="T400" s="43" t="str">
        <f aca="false">IF(AND(Q400=1,ISNUMBER(I400)),TEXT(I400,"yyyymmdd")&amp;"|"&amp;IF(S400=1,"F",TEXT(J400,"0.000")),"")</f>
        <v>20290722|4.750</v>
      </c>
      <c r="U400" s="90" t="n">
        <f aca="false">IF(AND(Q400=1,ISNUMBER(I400)),(I400-설정!$C$4)/365.25,"")</f>
        <v>2.8062970568104</v>
      </c>
      <c r="V400" s="43" t="str">
        <f aca="false">IF(Q400&lt;&gt;1,"",IF(ISNUMBER(U400),IF(U400&lt;=1,"1년 이하",IF(U400&lt;=2,"1-2년",IF(U400&lt;=3,"2-3년",IF(U400&lt;=4,"3-4년",IF(U400&lt;=5,"4-5년",IF(U400&lt;=7,"5-7년",IF(U400&lt;=10,"7-10년",IF(U400&lt;=20,"10-20년","20년 이상")))))))),"미분류"))</f>
        <v>2-3년</v>
      </c>
      <c r="W400" s="43" t="str">
        <f aca="false">IF(Q400&lt;&gt;1,"",IF(AB400&lt;&gt;"",INDEX(시장분석!$C:$C,AB400),IF(K400=1,"USD","비USD")))</f>
        <v>USD</v>
      </c>
      <c r="X400" s="91" t="n">
        <f aca="false">IF(Q400=1,E400*K400/1000000,0)</f>
        <v>0.2</v>
      </c>
      <c r="Y400" s="89" t="n">
        <f aca="false">IF(R400="T",1,0)</f>
        <v>0</v>
      </c>
      <c r="Z400" s="92" t="n">
        <f aca="false">IF(Q400&lt;&gt;1,"",IF(AD400=1,IF(ISNUMBER(U400),MAX(U400,0),H400),H400))</f>
        <v>2.5209</v>
      </c>
      <c r="AA400" s="91" t="n">
        <f aca="false">IF(Q400=1,IF(ISNUMBER(L400),L400,0)*K400/1000000,0)</f>
        <v>0.1970984</v>
      </c>
      <c r="AB400" s="89" t="n">
        <f aca="false">IF(Q400&lt;&gt;1,"",IFERROR(MATCH(VLOOKUP(B400,매핑!$H$4:$I$15,2,0),시장분석!$A$2:$A$601,0)+1,IFERROR(MATCH(R400&amp;"|"&amp;T400,시장분석!$V$2:$V$601,0)+1,IF(COUNTIF(시장분석!$U$2:$U$601,T400)=1,MATCH(T400,시장분석!$U$2:$U$601,0)+1,""))))</f>
        <v>187</v>
      </c>
      <c r="AC400" s="89" t="n">
        <f aca="false">IF(Q400&lt;&gt;1,0,IF(OR(설정!$C$5="전체",AND(설정!$C$5="선택펀드",IFERROR(COUNTIFS(설정!$F$16:$F$36,C400,설정!$G$16:$G$36,"Y")+COUNTIFS(설정!$F$16:$F$36,VALUE(C400),설정!$G$16:$G$36,"Y"),0)&gt;0),C400&amp;""=설정!$C$5&amp;""),1,0))</f>
        <v>0</v>
      </c>
      <c r="AD400" s="89" t="n">
        <f aca="false">IF(Q400&lt;&gt;1,0,IF(OR(S400=1,IF(AB400="",FALSE(),INDEX(시장분석!$R:$R,AB400)=1)),1,0))</f>
        <v>0</v>
      </c>
      <c r="AE400" s="43" t="str">
        <f aca="false">IF(AB400="","",INDEX(시장분석!$A:$A,AB400))</f>
        <v>NACF 4 3/4 07/22/29</v>
      </c>
      <c r="AF400" s="93" t="n">
        <f aca="false">IF(AB400="","",IF(ISNUMBER(IF(AB400="","",INDEX(시장분석!$E:$E,AB400))),IF(AB400="","",INDEX(시장분석!$E:$E,AB400)),""))</f>
        <v>27.633</v>
      </c>
      <c r="AG400" s="43" t="str">
        <f aca="false">IF(Q400&lt;&gt;1,"",IF(AB400&lt;&gt;"",IF(AB400="","",INDEX(시장분석!$L:$L,AB400)),IFERROR(IF(VLOOKUP(R400,매핑!$A$4:$E$92,5,0)="","미분류",VLOOKUP(R400,매핑!$A$4:$E$92,5,0)),"미분류")))</f>
        <v>금융기관</v>
      </c>
      <c r="AH400" s="43" t="str">
        <f aca="false">IF(Q400&lt;&gt;1,"",IF(AB400&lt;&gt;"",IF(AB400="","",INDEX(시장분석!$N:$N,AB400)),IFERROR(IF(VLOOKUP(R400,매핑!$A$4:$E$92,4,0)="","미분류",VLOOKUP(R400,매핑!$A$4:$E$92,4,0)),"미분류")))</f>
        <v>아시아/기타</v>
      </c>
      <c r="AI400" s="43" t="str">
        <f aca="false">IF(Q400&lt;&gt;1,"",IFERROR(IF(VLOOKUP(R400,매핑!$A$4:$E$92,3,0)="","미분류",VLOOKUP(R400,매핑!$A$4:$E$92,3,0)),IF(AB400&lt;&gt;"",IF(AB400="","",INDEX(시장분석!$W:$W,AB400)),"미분류")))</f>
        <v>한국</v>
      </c>
      <c r="AJ400" s="43" t="str">
        <f aca="false">IF(Q400&lt;&gt;1,"",IFERROR(VLOOKUP(IF(N400&lt;&gt;"",N400,IF(P400&lt;&gt;"",P400,O400)),설정!$A$15:$D$47,2,0),""))</f>
        <v>A+</v>
      </c>
      <c r="AK400" s="43" t="str">
        <f aca="false">IF(Q400&lt;&gt;1,"",IF(AJ400="","무등급",IFERROR(VLOOKUP(AJ400,설정!$A$15:$D$47,3,0),"무등급")))</f>
        <v>A</v>
      </c>
      <c r="AL400" s="89" t="n">
        <f aca="false">IF(AJ400="",99,IFERROR(VLOOKUP(AJ400,설정!$A$15:$D$47,4,0),99))</f>
        <v>5</v>
      </c>
      <c r="AM400" s="94" t="n">
        <f aca="false">IF(ISNUMBER(H400),AA400*1000000*H400/10000,0)</f>
        <v>49.686535656</v>
      </c>
      <c r="AN400" s="94" t="n">
        <f aca="false">IF(OR(Y400=1,NOT(ISNUMBER(Z400))),0,AA400*1000000*Z400/10000)</f>
        <v>49.686535656</v>
      </c>
      <c r="AO400" s="94" t="n">
        <f aca="false">IF(ISNUMBER(G400),AA400*1000000*G400/100,0)</f>
        <v>10464.3482528</v>
      </c>
      <c r="AP400" s="94" t="n">
        <f aca="false">IF(ISNUMBER(M400),M400*K400,0)</f>
        <v>-7726.8</v>
      </c>
      <c r="AQ400" s="95" t="n">
        <f aca="false">IF(AB400="","",INDEX(시장분석!$AK:$AK,AB400))</f>
        <v>-1.7568807878088</v>
      </c>
      <c r="AR400" s="43" t="str">
        <f aca="false">IF(AB400="","-",IF(AB400="","",INDEX(시장분석!$AL:$AL,AB400)))</f>
        <v>Rich</v>
      </c>
      <c r="AS400" s="96" t="n">
        <f aca="false">IF(AB400="","",INDEX(시장분석!$AJ:$AJ,AB400))</f>
        <v>-35.9696526182207</v>
      </c>
      <c r="AT400" s="93" t="n">
        <f aca="false">IF(AB400="",0,IF(AB400="","",INDEX(시장분석!$AN:$AN,AB400)))</f>
        <v>6.64238239935896</v>
      </c>
      <c r="AU400" s="94" t="n">
        <f aca="false">IF(ISNUMBER(Z400),AT400/10000*MAX(Z400-1,0)*AA400*1000000,0)</f>
        <v>199.116675616355</v>
      </c>
      <c r="AV400" s="94" t="n">
        <f aca="false">AO400+AU400</f>
        <v>10663.4649284164</v>
      </c>
      <c r="AW400" s="43" t="str">
        <f aca="false">IF(Q400&lt;&gt;1,"",TRIM(IF(AD400=1,"FRN ","")&amp;IF(AND(AL400&gt;=10,AL400&lt;99),"BBB0미만 ","")&amp;IF(AJ400="","등급없음 ","")&amp;IF(K400&lt;&gt;1,"비USD ","")&amp;IF(AND(AB400="",Y400=0),"시장데이터없음 ","")&amp;IF(AND(ISNUMBER(U400),U400&lt;0),"만기경과 ","")))</f>
        <v/>
      </c>
      <c r="AX400" s="90" t="n">
        <f aca="false">IF(Q400&lt;&gt;1,1,IF(스프레드쇼크!$C$4="Y",INDEX(스프레드쇼크!$B$12:$L$16,IFERROR(MATCH(AH400,스프레드쇼크!$A$12:$A$16,0),MATCH("목록외",스프레드쇼크!$A$12:$A$16,0)),IFERROR(MATCH(AG400,스프레드쇼크!$B$11:$L$11,0),MATCH("목록외",스프레드쇼크!$B$11:$L$11,0))),1))</f>
        <v>1</v>
      </c>
      <c r="AY400" s="90" t="n">
        <f aca="false">IF(스프레드쇼크!$C$5="Y",IF(ISNUMBER(AF400),MIN(스프레드쇼크!$C$7,MAX(스프레드쇼크!$C$6,AF400/스프레드쇼크!$C$8)),1),1)</f>
        <v>0.4179598489981</v>
      </c>
      <c r="AZ400" s="94" t="n">
        <f aca="false">AN400*AX400*AY400</f>
        <v>20.7669769400205</v>
      </c>
      <c r="BA400" s="90" t="n">
        <f aca="false">IF(ISNUMBER(G400),AA400*G400,0)</f>
        <v>1.04643482528</v>
      </c>
      <c r="BB400" s="90" t="n">
        <f aca="false">IF(ISNUMBER(G400),AA400,0)</f>
        <v>0.1970984</v>
      </c>
      <c r="BC400" s="90" t="n">
        <f aca="false">IF(AND(Y400=0,ISNUMBER(AF400)),AA400*AF400,0)</f>
        <v>5.4464200872</v>
      </c>
      <c r="BD400" s="90" t="n">
        <f aca="false">IF(AND(Y400=0,ISNUMBER(AF400)),AA400,0)</f>
        <v>0.1970984</v>
      </c>
      <c r="BE400" s="90" t="n">
        <f aca="false">IF(ISNUMBER(H400),AA400*H400,0)</f>
        <v>0.49686535656</v>
      </c>
      <c r="BF400" s="90" t="n">
        <f aca="false">IF(ISNUMBER(H400),AA400,0)</f>
        <v>0.1970984</v>
      </c>
      <c r="BG400" s="90" t="n">
        <f aca="false">IF(AND(Y400=0,ISNUMBER(AF400),ISNUMBER(Z400)),AA400*Z400,0)</f>
        <v>0.49686535656</v>
      </c>
      <c r="BH400" s="90" t="n">
        <f aca="false">IF(AND(Y400=0,ISNUMBER(AF400),ISNUMBER(Z400)),AA400*AT400*MAX(Z400-1,0),0)</f>
        <v>1.99116675616355</v>
      </c>
      <c r="BI400" s="90" t="n">
        <f aca="false">IF(Y400=0,AA400,0)</f>
        <v>0.1970984</v>
      </c>
    </row>
    <row r="401" customFormat="false" ht="15" hidden="false" customHeight="false" outlineLevel="0" collapsed="false">
      <c r="A401" s="83" t="str">
        <f aca="false">IFERROR(IF(INDEX(원자료_잔고!$A$1:$EZ$1500,설정!$L$5+ROW()-1,설정!$L$8)&amp;""="0","",INDEX(원자료_잔고!$A$1:$EZ$1500,설정!$L$5+ROW()-1,설정!$L$8)&amp;""),"")</f>
        <v>NACF 4.75 07/22/29</v>
      </c>
      <c r="B401" s="83" t="str">
        <f aca="false">IFERROR(IF(INDEX(원자료_잔고!$A$1:$EZ$1500,설정!$L$5+ROW()-1,설정!$L$7)&amp;""="0","",INDEX(원자료_잔고!$A$1:$EZ$1500,설정!$L$5+ROW()-1,설정!$L$7)&amp;""),"")</f>
        <v>USY6396XAG44</v>
      </c>
      <c r="C401" s="83" t="str">
        <f aca="false">IFERROR(IF(INDEX(원자료_잔고!$A$1:$EZ$1500,설정!$L$5+ROW()-1,설정!$L$9)&amp;""="0","",INDEX(원자료_잔고!$A$1:$EZ$1500,설정!$L$5+ROW()-1,설정!$L$9)&amp;""),"")</f>
        <v>42003</v>
      </c>
      <c r="D40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1" s="84" t="n">
        <f aca="false">IFERROR(IF(ISNUMBER(INDEX(원자료_잔고!$A$1:$EZ$1500,설정!$L$5+ROW()-1,설정!$L$11)),INDEX(원자료_잔고!$A$1:$EZ$1500,설정!$L$5+ROW()-1,설정!$L$11),""),"")</f>
        <v>800000</v>
      </c>
      <c r="F401" s="85" t="n">
        <f aca="false">IFERROR(IF(ISNUMBER(INDEX(원자료_잔고!$A$1:$EZ$1500,설정!$L$5+ROW()-1,설정!$L$12)),INDEX(원자료_잔고!$A$1:$EZ$1500,설정!$L$5+ROW()-1,설정!$L$12),""),"")</f>
        <v>98.5492</v>
      </c>
      <c r="G401" s="85" t="n">
        <f aca="false">IFERROR(IF(ISNUMBER(INDEX(원자료_잔고!$A$1:$EZ$1500,설정!$L$5+ROW()-1,설정!$L$13)),INDEX(원자료_잔고!$A$1:$EZ$1500,설정!$L$5+ROW()-1,설정!$L$13),""),"")</f>
        <v>5.3092</v>
      </c>
      <c r="H401" s="85" t="n">
        <f aca="false">IFERROR(IF(ISNUMBER(INDEX(원자료_잔고!$A$1:$EZ$1500,설정!$L$5+ROW()-1,설정!$L$14)),INDEX(원자료_잔고!$A$1:$EZ$1500,설정!$L$5+ROW()-1,설정!$L$14),""),"")</f>
        <v>2.5209</v>
      </c>
      <c r="I401" s="86" t="n">
        <f aca="false">IFERROR(IF(ISNUMBER(INDEX(원자료_잔고!$A$1:$EZ$1500,설정!$L$5+ROW()-1,설정!$L$15)),INDEX(원자료_잔고!$A$1:$EZ$1500,설정!$L$5+ROW()-1,설정!$L$15),""),"")</f>
        <v>47321</v>
      </c>
      <c r="J401" s="85" t="n">
        <f aca="false">IFERROR(IF(ISNUMBER(INDEX(원자료_잔고!$A$1:$EZ$1500,설정!$L$5+ROW()-1,설정!$L$16)),INDEX(원자료_잔고!$A$1:$EZ$1500,설정!$L$5+ROW()-1,설정!$L$16),""),"")</f>
        <v>4.75</v>
      </c>
      <c r="K401" s="87" t="n">
        <f aca="false">IFERROR(IF(ISNUMBER(INDEX(원자료_잔고!$A$1:$EZ$1500,설정!$L$5+ROW()-1,설정!$L$17)),INDEX(원자료_잔고!$A$1:$EZ$1500,설정!$L$5+ROW()-1,설정!$L$17),""),"")</f>
        <v>1</v>
      </c>
      <c r="L401" s="84" t="n">
        <f aca="false">IFERROR(IF(ISNUMBER(INDEX(원자료_잔고!$A$1:$EZ$1500,설정!$L$5+ROW()-1,설정!$L$18)),INDEX(원자료_잔고!$A$1:$EZ$1500,설정!$L$5+ROW()-1,설정!$L$18),""),"")</f>
        <v>788393.6</v>
      </c>
      <c r="M401" s="88" t="n">
        <f aca="false">IFERROR(IF(ISNUMBER(INDEX(원자료_잔고!$A$1:$EZ$1500,설정!$L$5+ROW()-1,설정!$L$19)),INDEX(원자료_잔고!$A$1:$EZ$1500,설정!$L$5+ROW()-1,설정!$L$19),""),"")</f>
        <v>-30907.2</v>
      </c>
      <c r="N401" s="83" t="str">
        <f aca="false">IFERROR(IF(INDEX(원자료_잔고!$A$1:$EZ$1500,설정!$L$5+ROW()-1,설정!$L$21)&amp;""="0","",INDEX(원자료_잔고!$A$1:$EZ$1500,설정!$L$5+ROW()-1,설정!$L$21)&amp;""),"")</f>
        <v>A+</v>
      </c>
      <c r="O401" s="83" t="str">
        <f aca="false">IFERROR(IF(INDEX(원자료_잔고!$A$1:$EZ$1500,설정!$L$5+ROW()-1,설정!$L$22)&amp;""="0","",INDEX(원자료_잔고!$A$1:$EZ$1500,설정!$L$5+ROW()-1,설정!$L$22)&amp;""),"")</f>
        <v/>
      </c>
      <c r="P401" s="83" t="str">
        <f aca="false">IFERROR(IF(INDEX(원자료_잔고!$A$1:$EZ$1500,설정!$L$5+ROW()-1,설정!$L$23)&amp;""="0","",INDEX(원자료_잔고!$A$1:$EZ$1500,설정!$L$5+ROW()-1,설정!$L$23)&amp;""),"")</f>
        <v>N/A</v>
      </c>
      <c r="Q401" s="89" t="n">
        <f aca="false">IF(AND($A401&lt;&gt;"",ISNUMBER(E401)),IF(E401&gt;0,1,0),0)</f>
        <v>1</v>
      </c>
      <c r="R401" s="43" t="str">
        <f aca="false">IF(Q401=1,UPPER(LEFT($A401,FIND(" ",$A401&amp;" ")-1)),"")</f>
        <v>NACF</v>
      </c>
      <c r="S401" s="89" t="n">
        <f aca="false">IF(Q401=1,IF(OR(ISNUMBER(SEARCH("Float",$A401)),ISNUMBER(SEARCH("FRN",$A401))),1,0),0)</f>
        <v>0</v>
      </c>
      <c r="T401" s="43" t="str">
        <f aca="false">IF(AND(Q401=1,ISNUMBER(I401)),TEXT(I401,"yyyymmdd")&amp;"|"&amp;IF(S401=1,"F",TEXT(J401,"0.000")),"")</f>
        <v>20290722|4.750</v>
      </c>
      <c r="U401" s="90" t="n">
        <f aca="false">IF(AND(Q401=1,ISNUMBER(I401)),(I401-설정!$C$4)/365.25,"")</f>
        <v>2.8062970568104</v>
      </c>
      <c r="V401" s="43" t="str">
        <f aca="false">IF(Q401&lt;&gt;1,"",IF(ISNUMBER(U401),IF(U401&lt;=1,"1년 이하",IF(U401&lt;=2,"1-2년",IF(U401&lt;=3,"2-3년",IF(U401&lt;=4,"3-4년",IF(U401&lt;=5,"4-5년",IF(U401&lt;=7,"5-7년",IF(U401&lt;=10,"7-10년",IF(U401&lt;=20,"10-20년","20년 이상")))))))),"미분류"))</f>
        <v>2-3년</v>
      </c>
      <c r="W401" s="43" t="str">
        <f aca="false">IF(Q401&lt;&gt;1,"",IF(AB401&lt;&gt;"",INDEX(시장분석!$C:$C,AB401),IF(K401=1,"USD","비USD")))</f>
        <v>USD</v>
      </c>
      <c r="X401" s="91" t="n">
        <f aca="false">IF(Q401=1,E401*K401/1000000,0)</f>
        <v>0.8</v>
      </c>
      <c r="Y401" s="89" t="n">
        <f aca="false">IF(R401="T",1,0)</f>
        <v>0</v>
      </c>
      <c r="Z401" s="92" t="n">
        <f aca="false">IF(Q401&lt;&gt;1,"",IF(AD401=1,IF(ISNUMBER(U401),MAX(U401,0),H401),H401))</f>
        <v>2.5209</v>
      </c>
      <c r="AA401" s="91" t="n">
        <f aca="false">IF(Q401=1,IF(ISNUMBER(L401),L401,0)*K401/1000000,0)</f>
        <v>0.7883936</v>
      </c>
      <c r="AB401" s="89" t="n">
        <f aca="false">IF(Q401&lt;&gt;1,"",IFERROR(MATCH(VLOOKUP(B401,매핑!$H$4:$I$15,2,0),시장분석!$A$2:$A$601,0)+1,IFERROR(MATCH(R401&amp;"|"&amp;T401,시장분석!$V$2:$V$601,0)+1,IF(COUNTIF(시장분석!$U$2:$U$601,T401)=1,MATCH(T401,시장분석!$U$2:$U$601,0)+1,""))))</f>
        <v>187</v>
      </c>
      <c r="AC401" s="89" t="n">
        <f aca="false">IF(Q401&lt;&gt;1,0,IF(OR(설정!$C$5="전체",AND(설정!$C$5="선택펀드",IFERROR(COUNTIFS(설정!$F$16:$F$36,C401,설정!$G$16:$G$36,"Y")+COUNTIFS(설정!$F$16:$F$36,VALUE(C401),설정!$G$16:$G$36,"Y"),0)&gt;0),C401&amp;""=설정!$C$5&amp;""),1,0))</f>
        <v>0</v>
      </c>
      <c r="AD401" s="89" t="n">
        <f aca="false">IF(Q401&lt;&gt;1,0,IF(OR(S401=1,IF(AB401="",FALSE(),INDEX(시장분석!$R:$R,AB401)=1)),1,0))</f>
        <v>0</v>
      </c>
      <c r="AE401" s="43" t="str">
        <f aca="false">IF(AB401="","",INDEX(시장분석!$A:$A,AB401))</f>
        <v>NACF 4 3/4 07/22/29</v>
      </c>
      <c r="AF401" s="93" t="n">
        <f aca="false">IF(AB401="","",IF(ISNUMBER(IF(AB401="","",INDEX(시장분석!$E:$E,AB401))),IF(AB401="","",INDEX(시장분석!$E:$E,AB401)),""))</f>
        <v>27.633</v>
      </c>
      <c r="AG401" s="43" t="str">
        <f aca="false">IF(Q401&lt;&gt;1,"",IF(AB401&lt;&gt;"",IF(AB401="","",INDEX(시장분석!$L:$L,AB401)),IFERROR(IF(VLOOKUP(R401,매핑!$A$4:$E$92,5,0)="","미분류",VLOOKUP(R401,매핑!$A$4:$E$92,5,0)),"미분류")))</f>
        <v>금융기관</v>
      </c>
      <c r="AH401" s="43" t="str">
        <f aca="false">IF(Q401&lt;&gt;1,"",IF(AB401&lt;&gt;"",IF(AB401="","",INDEX(시장분석!$N:$N,AB401)),IFERROR(IF(VLOOKUP(R401,매핑!$A$4:$E$92,4,0)="","미분류",VLOOKUP(R401,매핑!$A$4:$E$92,4,0)),"미분류")))</f>
        <v>아시아/기타</v>
      </c>
      <c r="AI401" s="43" t="str">
        <f aca="false">IF(Q401&lt;&gt;1,"",IFERROR(IF(VLOOKUP(R401,매핑!$A$4:$E$92,3,0)="","미분류",VLOOKUP(R401,매핑!$A$4:$E$92,3,0)),IF(AB401&lt;&gt;"",IF(AB401="","",INDEX(시장분석!$W:$W,AB401)),"미분류")))</f>
        <v>한국</v>
      </c>
      <c r="AJ401" s="43" t="str">
        <f aca="false">IF(Q401&lt;&gt;1,"",IFERROR(VLOOKUP(IF(N401&lt;&gt;"",N401,IF(P401&lt;&gt;"",P401,O401)),설정!$A$15:$D$47,2,0),""))</f>
        <v>A+</v>
      </c>
      <c r="AK401" s="43" t="str">
        <f aca="false">IF(Q401&lt;&gt;1,"",IF(AJ401="","무등급",IFERROR(VLOOKUP(AJ401,설정!$A$15:$D$47,3,0),"무등급")))</f>
        <v>A</v>
      </c>
      <c r="AL401" s="89" t="n">
        <f aca="false">IF(AJ401="",99,IFERROR(VLOOKUP(AJ401,설정!$A$15:$D$47,4,0),99))</f>
        <v>5</v>
      </c>
      <c r="AM401" s="94" t="n">
        <f aca="false">IF(ISNUMBER(H401),AA401*1000000*H401/10000,0)</f>
        <v>198.746142624</v>
      </c>
      <c r="AN401" s="94" t="n">
        <f aca="false">IF(OR(Y401=1,NOT(ISNUMBER(Z401))),0,AA401*1000000*Z401/10000)</f>
        <v>198.746142624</v>
      </c>
      <c r="AO401" s="94" t="n">
        <f aca="false">IF(ISNUMBER(G401),AA401*1000000*G401/100,0)</f>
        <v>41857.3930112</v>
      </c>
      <c r="AP401" s="94" t="n">
        <f aca="false">IF(ISNUMBER(M401),M401*K401,0)</f>
        <v>-30907.2</v>
      </c>
      <c r="AQ401" s="95" t="n">
        <f aca="false">IF(AB401="","",INDEX(시장분석!$AK:$AK,AB401))</f>
        <v>-1.7568807878088</v>
      </c>
      <c r="AR401" s="43" t="str">
        <f aca="false">IF(AB401="","-",IF(AB401="","",INDEX(시장분석!$AL:$AL,AB401)))</f>
        <v>Rich</v>
      </c>
      <c r="AS401" s="96" t="n">
        <f aca="false">IF(AB401="","",INDEX(시장분석!$AJ:$AJ,AB401))</f>
        <v>-35.9696526182207</v>
      </c>
      <c r="AT401" s="93" t="n">
        <f aca="false">IF(AB401="",0,IF(AB401="","",INDEX(시장분석!$AN:$AN,AB401)))</f>
        <v>6.64238239935896</v>
      </c>
      <c r="AU401" s="94" t="n">
        <f aca="false">IF(ISNUMBER(Z401),AT401/10000*MAX(Z401-1,0)*AA401*1000000,0)</f>
        <v>796.466702465419</v>
      </c>
      <c r="AV401" s="94" t="n">
        <f aca="false">AO401+AU401</f>
        <v>42653.8597136654</v>
      </c>
      <c r="AW401" s="43" t="str">
        <f aca="false">IF(Q401&lt;&gt;1,"",TRIM(IF(AD401=1,"FRN ","")&amp;IF(AND(AL401&gt;=10,AL401&lt;99),"BBB0미만 ","")&amp;IF(AJ401="","등급없음 ","")&amp;IF(K401&lt;&gt;1,"비USD ","")&amp;IF(AND(AB401="",Y401=0),"시장데이터없음 ","")&amp;IF(AND(ISNUMBER(U401),U401&lt;0),"만기경과 ","")))</f>
        <v/>
      </c>
      <c r="AX401" s="90" t="n">
        <f aca="false">IF(Q401&lt;&gt;1,1,IF(스프레드쇼크!$C$4="Y",INDEX(스프레드쇼크!$B$12:$L$16,IFERROR(MATCH(AH401,스프레드쇼크!$A$12:$A$16,0),MATCH("목록외",스프레드쇼크!$A$12:$A$16,0)),IFERROR(MATCH(AG401,스프레드쇼크!$B$11:$L$11,0),MATCH("목록외",스프레드쇼크!$B$11:$L$11,0))),1))</f>
        <v>1</v>
      </c>
      <c r="AY401" s="90" t="n">
        <f aca="false">IF(스프레드쇼크!$C$5="Y",IF(ISNUMBER(AF401),MIN(스프레드쇼크!$C$7,MAX(스프레드쇼크!$C$6,AF401/스프레드쇼크!$C$8)),1),1)</f>
        <v>0.4179598489981</v>
      </c>
      <c r="AZ401" s="94" t="n">
        <f aca="false">AN401*AX401*AY401</f>
        <v>83.067907760082</v>
      </c>
      <c r="BA401" s="90" t="n">
        <f aca="false">IF(ISNUMBER(G401),AA401*G401,0)</f>
        <v>4.18573930112</v>
      </c>
      <c r="BB401" s="90" t="n">
        <f aca="false">IF(ISNUMBER(G401),AA401,0)</f>
        <v>0.7883936</v>
      </c>
      <c r="BC401" s="90" t="n">
        <f aca="false">IF(AND(Y401=0,ISNUMBER(AF401)),AA401*AF401,0)</f>
        <v>21.7856803488</v>
      </c>
      <c r="BD401" s="90" t="n">
        <f aca="false">IF(AND(Y401=0,ISNUMBER(AF401)),AA401,0)</f>
        <v>0.7883936</v>
      </c>
      <c r="BE401" s="90" t="n">
        <f aca="false">IF(ISNUMBER(H401),AA401*H401,0)</f>
        <v>1.98746142624</v>
      </c>
      <c r="BF401" s="90" t="n">
        <f aca="false">IF(ISNUMBER(H401),AA401,0)</f>
        <v>0.7883936</v>
      </c>
      <c r="BG401" s="90" t="n">
        <f aca="false">IF(AND(Y401=0,ISNUMBER(AF401),ISNUMBER(Z401)),AA401*Z401,0)</f>
        <v>1.98746142624</v>
      </c>
      <c r="BH401" s="90" t="n">
        <f aca="false">IF(AND(Y401=0,ISNUMBER(AF401),ISNUMBER(Z401)),AA401*AT401*MAX(Z401-1,0),0)</f>
        <v>7.96466702465418</v>
      </c>
      <c r="BI401" s="90" t="n">
        <f aca="false">IF(Y401=0,AA401,0)</f>
        <v>0.7883936</v>
      </c>
    </row>
    <row r="402" customFormat="false" ht="15" hidden="false" customHeight="false" outlineLevel="0" collapsed="false">
      <c r="A402" s="83" t="str">
        <f aca="false">IFERROR(IF(INDEX(원자료_잔고!$A$1:$EZ$1500,설정!$L$5+ROW()-1,설정!$L$8)&amp;""="0","",INDEX(원자료_잔고!$A$1:$EZ$1500,설정!$L$5+ROW()-1,설정!$L$8)&amp;""),"")</f>
        <v>NACF 4.375 07/21/30</v>
      </c>
      <c r="B402" s="83" t="str">
        <f aca="false">IFERROR(IF(INDEX(원자료_잔고!$A$1:$EZ$1500,설정!$L$5+ROW()-1,설정!$L$7)&amp;""="0","",INDEX(원자료_잔고!$A$1:$EZ$1500,설정!$L$5+ROW()-1,설정!$L$7)&amp;""),"")</f>
        <v>USY6396XAK55</v>
      </c>
      <c r="C402" s="83" t="str">
        <f aca="false">IFERROR(IF(INDEX(원자료_잔고!$A$1:$EZ$1500,설정!$L$5+ROW()-1,설정!$L$9)&amp;""="0","",INDEX(원자료_잔고!$A$1:$EZ$1500,설정!$L$5+ROW()-1,설정!$L$9)&amp;""),"")</f>
        <v>42003</v>
      </c>
      <c r="D40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2" s="84" t="n">
        <f aca="false">IFERROR(IF(ISNUMBER(INDEX(원자료_잔고!$A$1:$EZ$1500,설정!$L$5+ROW()-1,설정!$L$11)),INDEX(원자료_잔고!$A$1:$EZ$1500,설정!$L$5+ROW()-1,설정!$L$11),""),"")</f>
        <v>500000</v>
      </c>
      <c r="F402" s="85" t="n">
        <f aca="false">IFERROR(IF(ISNUMBER(INDEX(원자료_잔고!$A$1:$EZ$1500,설정!$L$5+ROW()-1,설정!$L$12)),INDEX(원자료_잔고!$A$1:$EZ$1500,설정!$L$5+ROW()-1,설정!$L$12),""),"")</f>
        <v>96.7134</v>
      </c>
      <c r="G402" s="85" t="n">
        <f aca="false">IFERROR(IF(ISNUMBER(INDEX(원자료_잔고!$A$1:$EZ$1500,설정!$L$5+ROW()-1,설정!$L$13)),INDEX(원자료_잔고!$A$1:$EZ$1500,설정!$L$5+ROW()-1,설정!$L$13),""),"")</f>
        <v>5.3378</v>
      </c>
      <c r="H402" s="85" t="n">
        <f aca="false">IFERROR(IF(ISNUMBER(INDEX(원자료_잔고!$A$1:$EZ$1500,설정!$L$5+ROW()-1,설정!$L$14)),INDEX(원자료_잔고!$A$1:$EZ$1500,설정!$L$5+ROW()-1,설정!$L$14),""),"")</f>
        <v>3.3551</v>
      </c>
      <c r="I402" s="86" t="n">
        <f aca="false">IFERROR(IF(ISNUMBER(INDEX(원자료_잔고!$A$1:$EZ$1500,설정!$L$5+ROW()-1,설정!$L$15)),INDEX(원자료_잔고!$A$1:$EZ$1500,설정!$L$5+ROW()-1,설정!$L$15),""),"")</f>
        <v>47685</v>
      </c>
      <c r="J402" s="85" t="n">
        <f aca="false">IFERROR(IF(ISNUMBER(INDEX(원자료_잔고!$A$1:$EZ$1500,설정!$L$5+ROW()-1,설정!$L$16)),INDEX(원자료_잔고!$A$1:$EZ$1500,설정!$L$5+ROW()-1,설정!$L$16),""),"")</f>
        <v>4.375</v>
      </c>
      <c r="K402" s="87" t="n">
        <f aca="false">IFERROR(IF(ISNUMBER(INDEX(원자료_잔고!$A$1:$EZ$1500,설정!$L$5+ROW()-1,설정!$L$17)),INDEX(원자료_잔고!$A$1:$EZ$1500,설정!$L$5+ROW()-1,설정!$L$17),""),"")</f>
        <v>1</v>
      </c>
      <c r="L402" s="84" t="n">
        <f aca="false">IFERROR(IF(ISNUMBER(INDEX(원자료_잔고!$A$1:$EZ$1500,설정!$L$5+ROW()-1,설정!$L$18)),INDEX(원자료_잔고!$A$1:$EZ$1500,설정!$L$5+ROW()-1,설정!$L$18),""),"")</f>
        <v>483567</v>
      </c>
      <c r="M402" s="88" t="n">
        <f aca="false">IFERROR(IF(ISNUMBER(INDEX(원자료_잔고!$A$1:$EZ$1500,설정!$L$5+ROW()-1,설정!$L$19)),INDEX(원자료_잔고!$A$1:$EZ$1500,설정!$L$5+ROW()-1,설정!$L$19),""),"")</f>
        <v>-24151.5</v>
      </c>
      <c r="N402" s="83" t="str">
        <f aca="false">IFERROR(IF(INDEX(원자료_잔고!$A$1:$EZ$1500,설정!$L$5+ROW()-1,설정!$L$21)&amp;""="0","",INDEX(원자료_잔고!$A$1:$EZ$1500,설정!$L$5+ROW()-1,설정!$L$21)&amp;""),"")</f>
        <v>A+</v>
      </c>
      <c r="O402" s="83" t="str">
        <f aca="false">IFERROR(IF(INDEX(원자료_잔고!$A$1:$EZ$1500,설정!$L$5+ROW()-1,설정!$L$22)&amp;""="0","",INDEX(원자료_잔고!$A$1:$EZ$1500,설정!$L$5+ROW()-1,설정!$L$22)&amp;""),"")</f>
        <v/>
      </c>
      <c r="P402" s="83" t="str">
        <f aca="false">IFERROR(IF(INDEX(원자료_잔고!$A$1:$EZ$1500,설정!$L$5+ROW()-1,설정!$L$23)&amp;""="0","",INDEX(원자료_잔고!$A$1:$EZ$1500,설정!$L$5+ROW()-1,설정!$L$23)&amp;""),"")</f>
        <v>N/A</v>
      </c>
      <c r="Q402" s="89" t="n">
        <f aca="false">IF(AND($A402&lt;&gt;"",ISNUMBER(E402)),IF(E402&gt;0,1,0),0)</f>
        <v>1</v>
      </c>
      <c r="R402" s="43" t="str">
        <f aca="false">IF(Q402=1,UPPER(LEFT($A402,FIND(" ",$A402&amp;" ")-1)),"")</f>
        <v>NACF</v>
      </c>
      <c r="S402" s="89" t="n">
        <f aca="false">IF(Q402=1,IF(OR(ISNUMBER(SEARCH("Float",$A402)),ISNUMBER(SEARCH("FRN",$A402))),1,0),0)</f>
        <v>0</v>
      </c>
      <c r="T402" s="43" t="str">
        <f aca="false">IF(AND(Q402=1,ISNUMBER(I402)),TEXT(I402,"yyyymmdd")&amp;"|"&amp;IF(S402=1,"F",TEXT(J402,"0.000")),"")</f>
        <v>20300721|4.375</v>
      </c>
      <c r="U402" s="90" t="n">
        <f aca="false">IF(AND(Q402=1,ISNUMBER(I402)),(I402-설정!$C$4)/365.25,"")</f>
        <v>3.80287474332649</v>
      </c>
      <c r="V402" s="43" t="str">
        <f aca="false">IF(Q402&lt;&gt;1,"",IF(ISNUMBER(U402),IF(U402&lt;=1,"1년 이하",IF(U402&lt;=2,"1-2년",IF(U402&lt;=3,"2-3년",IF(U402&lt;=4,"3-4년",IF(U402&lt;=5,"4-5년",IF(U402&lt;=7,"5-7년",IF(U402&lt;=10,"7-10년",IF(U402&lt;=20,"10-20년","20년 이상")))))))),"미분류"))</f>
        <v>3-4년</v>
      </c>
      <c r="W402" s="43" t="str">
        <f aca="false">IF(Q402&lt;&gt;1,"",IF(AB402&lt;&gt;"",INDEX(시장분석!$C:$C,AB402),IF(K402=1,"USD","비USD")))</f>
        <v>USD</v>
      </c>
      <c r="X402" s="91" t="n">
        <f aca="false">IF(Q402=1,E402*K402/1000000,0)</f>
        <v>0.5</v>
      </c>
      <c r="Y402" s="89" t="n">
        <f aca="false">IF(R402="T",1,0)</f>
        <v>0</v>
      </c>
      <c r="Z402" s="92" t="n">
        <f aca="false">IF(Q402&lt;&gt;1,"",IF(AD402=1,IF(ISNUMBER(U402),MAX(U402,0),H402),H402))</f>
        <v>3.3551</v>
      </c>
      <c r="AA402" s="91" t="n">
        <f aca="false">IF(Q402=1,IF(ISNUMBER(L402),L402,0)*K402/1000000,0)</f>
        <v>0.483567</v>
      </c>
      <c r="AB402" s="89" t="n">
        <f aca="false">IF(Q402&lt;&gt;1,"",IFERROR(MATCH(VLOOKUP(B402,매핑!$H$4:$I$15,2,0),시장분석!$A$2:$A$601,0)+1,IFERROR(MATCH(R402&amp;"|"&amp;T402,시장분석!$V$2:$V$601,0)+1,IF(COUNTIF(시장분석!$U$2:$U$601,T402)=1,MATCH(T402,시장분석!$U$2:$U$601,0)+1,""))))</f>
        <v>188</v>
      </c>
      <c r="AC402" s="89" t="n">
        <f aca="false">IF(Q402&lt;&gt;1,0,IF(OR(설정!$C$5="전체",AND(설정!$C$5="선택펀드",IFERROR(COUNTIFS(설정!$F$16:$F$36,C402,설정!$G$16:$G$36,"Y")+COUNTIFS(설정!$F$16:$F$36,VALUE(C402),설정!$G$16:$G$36,"Y"),0)&gt;0),C402&amp;""=설정!$C$5&amp;""),1,0))</f>
        <v>0</v>
      </c>
      <c r="AD402" s="89" t="n">
        <f aca="false">IF(Q402&lt;&gt;1,0,IF(OR(S402=1,IF(AB402="",FALSE(),INDEX(시장분석!$R:$R,AB402)=1)),1,0))</f>
        <v>0</v>
      </c>
      <c r="AE402" s="43" t="str">
        <f aca="false">IF(AB402="","",INDEX(시장분석!$A:$A,AB402))</f>
        <v>NACF 4 3/8 07/21/30</v>
      </c>
      <c r="AF402" s="93" t="n">
        <f aca="false">IF(AB402="","",IF(ISNUMBER(IF(AB402="","",INDEX(시장분석!$E:$E,AB402))),IF(AB402="","",INDEX(시장분석!$E:$E,AB402)),""))</f>
        <v>26.638</v>
      </c>
      <c r="AG402" s="43" t="str">
        <f aca="false">IF(Q402&lt;&gt;1,"",IF(AB402&lt;&gt;"",IF(AB402="","",INDEX(시장분석!$L:$L,AB402)),IFERROR(IF(VLOOKUP(R402,매핑!$A$4:$E$92,5,0)="","미분류",VLOOKUP(R402,매핑!$A$4:$E$92,5,0)),"미분류")))</f>
        <v>금융기관</v>
      </c>
      <c r="AH402" s="43" t="str">
        <f aca="false">IF(Q402&lt;&gt;1,"",IF(AB402&lt;&gt;"",IF(AB402="","",INDEX(시장분석!$N:$N,AB402)),IFERROR(IF(VLOOKUP(R402,매핑!$A$4:$E$92,4,0)="","미분류",VLOOKUP(R402,매핑!$A$4:$E$92,4,0)),"미분류")))</f>
        <v>아시아/기타</v>
      </c>
      <c r="AI402" s="43" t="str">
        <f aca="false">IF(Q402&lt;&gt;1,"",IFERROR(IF(VLOOKUP(R402,매핑!$A$4:$E$92,3,0)="","미분류",VLOOKUP(R402,매핑!$A$4:$E$92,3,0)),IF(AB402&lt;&gt;"",IF(AB402="","",INDEX(시장분석!$W:$W,AB402)),"미분류")))</f>
        <v>한국</v>
      </c>
      <c r="AJ402" s="43" t="str">
        <f aca="false">IF(Q402&lt;&gt;1,"",IFERROR(VLOOKUP(IF(N402&lt;&gt;"",N402,IF(P402&lt;&gt;"",P402,O402)),설정!$A$15:$D$47,2,0),""))</f>
        <v>A+</v>
      </c>
      <c r="AK402" s="43" t="str">
        <f aca="false">IF(Q402&lt;&gt;1,"",IF(AJ402="","무등급",IFERROR(VLOOKUP(AJ402,설정!$A$15:$D$47,3,0),"무등급")))</f>
        <v>A</v>
      </c>
      <c r="AL402" s="89" t="n">
        <f aca="false">IF(AJ402="",99,IFERROR(VLOOKUP(AJ402,설정!$A$15:$D$47,4,0),99))</f>
        <v>5</v>
      </c>
      <c r="AM402" s="94" t="n">
        <f aca="false">IF(ISNUMBER(H402),AA402*1000000*H402/10000,0)</f>
        <v>162.24156417</v>
      </c>
      <c r="AN402" s="94" t="n">
        <f aca="false">IF(OR(Y402=1,NOT(ISNUMBER(Z402))),0,AA402*1000000*Z402/10000)</f>
        <v>162.24156417</v>
      </c>
      <c r="AO402" s="94" t="n">
        <f aca="false">IF(ISNUMBER(G402),AA402*1000000*G402/100,0)</f>
        <v>25811.839326</v>
      </c>
      <c r="AP402" s="94" t="n">
        <f aca="false">IF(ISNUMBER(M402),M402*K402,0)</f>
        <v>-24151.5</v>
      </c>
      <c r="AQ402" s="95" t="n">
        <f aca="false">IF(AB402="","",INDEX(시장분석!$AK:$AK,AB402))</f>
        <v>-2.00021247508219</v>
      </c>
      <c r="AR402" s="43" t="str">
        <f aca="false">IF(AB402="","-",IF(AB402="","",INDEX(시장분석!$AL:$AL,AB402)))</f>
        <v>Rich</v>
      </c>
      <c r="AS402" s="96" t="n">
        <f aca="false">IF(AB402="","",INDEX(시장분석!$AJ:$AJ,AB402))</f>
        <v>-40.9515252204851</v>
      </c>
      <c r="AT402" s="93" t="n">
        <f aca="false">IF(AB402="",0,IF(AB402="","",INDEX(시장분석!$AN:$AN,AB402)))</f>
        <v>4.66885498102593</v>
      </c>
      <c r="AU402" s="94" t="n">
        <f aca="false">IF(ISNUMBER(Z402),AT402/10000*MAX(Z402-1,0)*AA402*1000000,0)</f>
        <v>531.711915343566</v>
      </c>
      <c r="AV402" s="94" t="n">
        <f aca="false">AO402+AU402</f>
        <v>26343.5512413436</v>
      </c>
      <c r="AW402" s="43" t="str">
        <f aca="false">IF(Q402&lt;&gt;1,"",TRIM(IF(AD402=1,"FRN ","")&amp;IF(AND(AL402&gt;=10,AL402&lt;99),"BBB0미만 ","")&amp;IF(AJ402="","등급없음 ","")&amp;IF(K402&lt;&gt;1,"비USD ","")&amp;IF(AND(AB402="",Y402=0),"시장데이터없음 ","")&amp;IF(AND(ISNUMBER(U402),U402&lt;0),"만기경과 ","")))</f>
        <v/>
      </c>
      <c r="AX402" s="90" t="n">
        <f aca="false">IF(Q402&lt;&gt;1,1,IF(스프레드쇼크!$C$4="Y",INDEX(스프레드쇼크!$B$12:$L$16,IFERROR(MATCH(AH402,스프레드쇼크!$A$12:$A$16,0),MATCH("목록외",스프레드쇼크!$A$12:$A$16,0)),IFERROR(MATCH(AG402,스프레드쇼크!$B$11:$L$11,0),MATCH("목록외",스프레드쇼크!$B$11:$L$11,0))),1))</f>
        <v>1</v>
      </c>
      <c r="AY402" s="90" t="n">
        <f aca="false">IF(스프레드쇼크!$C$5="Y",IF(ISNUMBER(AF402),MIN(스프레드쇼크!$C$7,MAX(스프레드쇼크!$C$6,AF402/스프레드쇼크!$C$8)),1),1)</f>
        <v>0.402910087851894</v>
      </c>
      <c r="AZ402" s="94" t="n">
        <f aca="false">AN402*AX402*AY402</f>
        <v>65.3687628729635</v>
      </c>
      <c r="BA402" s="90" t="n">
        <f aca="false">IF(ISNUMBER(G402),AA402*G402,0)</f>
        <v>2.5811839326</v>
      </c>
      <c r="BB402" s="90" t="n">
        <f aca="false">IF(ISNUMBER(G402),AA402,0)</f>
        <v>0.483567</v>
      </c>
      <c r="BC402" s="90" t="n">
        <f aca="false">IF(AND(Y402=0,ISNUMBER(AF402)),AA402*AF402,0)</f>
        <v>12.881257746</v>
      </c>
      <c r="BD402" s="90" t="n">
        <f aca="false">IF(AND(Y402=0,ISNUMBER(AF402)),AA402,0)</f>
        <v>0.483567</v>
      </c>
      <c r="BE402" s="90" t="n">
        <f aca="false">IF(ISNUMBER(H402),AA402*H402,0)</f>
        <v>1.6224156417</v>
      </c>
      <c r="BF402" s="90" t="n">
        <f aca="false">IF(ISNUMBER(H402),AA402,0)</f>
        <v>0.483567</v>
      </c>
      <c r="BG402" s="90" t="n">
        <f aca="false">IF(AND(Y402=0,ISNUMBER(AF402),ISNUMBER(Z402)),AA402*Z402,0)</f>
        <v>1.6224156417</v>
      </c>
      <c r="BH402" s="90" t="n">
        <f aca="false">IF(AND(Y402=0,ISNUMBER(AF402),ISNUMBER(Z402)),AA402*AT402*MAX(Z402-1,0),0)</f>
        <v>5.31711915343566</v>
      </c>
      <c r="BI402" s="90" t="n">
        <f aca="false">IF(Y402=0,AA402,0)</f>
        <v>0.483567</v>
      </c>
    </row>
    <row r="403" customFormat="false" ht="15" hidden="false" customHeight="false" outlineLevel="0" collapsed="false">
      <c r="A403" s="83" t="str">
        <f aca="false">IFERROR(IF(INDEX(원자료_잔고!$A$1:$EZ$1500,설정!$L$5+ROW()-1,설정!$L$8)&amp;""="0","",INDEX(원자료_잔고!$A$1:$EZ$1500,설정!$L$5+ROW()-1,설정!$L$8)&amp;""),"")</f>
        <v>NACF 4.375 07/21/30</v>
      </c>
      <c r="B403" s="83" t="str">
        <f aca="false">IFERROR(IF(INDEX(원자료_잔고!$A$1:$EZ$1500,설정!$L$5+ROW()-1,설정!$L$7)&amp;""="0","",INDEX(원자료_잔고!$A$1:$EZ$1500,설정!$L$5+ROW()-1,설정!$L$7)&amp;""),"")</f>
        <v>USY6396XAK55</v>
      </c>
      <c r="C403" s="83" t="str">
        <f aca="false">IFERROR(IF(INDEX(원자료_잔고!$A$1:$EZ$1500,설정!$L$5+ROW()-1,설정!$L$9)&amp;""="0","",INDEX(원자료_잔고!$A$1:$EZ$1500,설정!$L$5+ROW()-1,설정!$L$9)&amp;""),"")</f>
        <v>42003</v>
      </c>
      <c r="D40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3" s="84" t="n">
        <f aca="false">IFERROR(IF(ISNUMBER(INDEX(원자료_잔고!$A$1:$EZ$1500,설정!$L$5+ROW()-1,설정!$L$11)),INDEX(원자료_잔고!$A$1:$EZ$1500,설정!$L$5+ROW()-1,설정!$L$11),""),"")</f>
        <v>5000000</v>
      </c>
      <c r="F403" s="85" t="n">
        <f aca="false">IFERROR(IF(ISNUMBER(INDEX(원자료_잔고!$A$1:$EZ$1500,설정!$L$5+ROW()-1,설정!$L$12)),INDEX(원자료_잔고!$A$1:$EZ$1500,설정!$L$5+ROW()-1,설정!$L$12),""),"")</f>
        <v>96.7134</v>
      </c>
      <c r="G403" s="85" t="n">
        <f aca="false">IFERROR(IF(ISNUMBER(INDEX(원자료_잔고!$A$1:$EZ$1500,설정!$L$5+ROW()-1,설정!$L$13)),INDEX(원자료_잔고!$A$1:$EZ$1500,설정!$L$5+ROW()-1,설정!$L$13),""),"")</f>
        <v>5.3378</v>
      </c>
      <c r="H403" s="85" t="n">
        <f aca="false">IFERROR(IF(ISNUMBER(INDEX(원자료_잔고!$A$1:$EZ$1500,설정!$L$5+ROW()-1,설정!$L$14)),INDEX(원자료_잔고!$A$1:$EZ$1500,설정!$L$5+ROW()-1,설정!$L$14),""),"")</f>
        <v>3.3551</v>
      </c>
      <c r="I403" s="86" t="n">
        <f aca="false">IFERROR(IF(ISNUMBER(INDEX(원자료_잔고!$A$1:$EZ$1500,설정!$L$5+ROW()-1,설정!$L$15)),INDEX(원자료_잔고!$A$1:$EZ$1500,설정!$L$5+ROW()-1,설정!$L$15),""),"")</f>
        <v>47685</v>
      </c>
      <c r="J403" s="85" t="n">
        <f aca="false">IFERROR(IF(ISNUMBER(INDEX(원자료_잔고!$A$1:$EZ$1500,설정!$L$5+ROW()-1,설정!$L$16)),INDEX(원자료_잔고!$A$1:$EZ$1500,설정!$L$5+ROW()-1,설정!$L$16),""),"")</f>
        <v>4.375</v>
      </c>
      <c r="K403" s="87" t="n">
        <f aca="false">IFERROR(IF(ISNUMBER(INDEX(원자료_잔고!$A$1:$EZ$1500,설정!$L$5+ROW()-1,설정!$L$17)),INDEX(원자료_잔고!$A$1:$EZ$1500,설정!$L$5+ROW()-1,설정!$L$17),""),"")</f>
        <v>1</v>
      </c>
      <c r="L403" s="84" t="n">
        <f aca="false">IFERROR(IF(ISNUMBER(INDEX(원자료_잔고!$A$1:$EZ$1500,설정!$L$5+ROW()-1,설정!$L$18)),INDEX(원자료_잔고!$A$1:$EZ$1500,설정!$L$5+ROW()-1,설정!$L$18),""),"")</f>
        <v>4835670</v>
      </c>
      <c r="M403" s="88" t="n">
        <f aca="false">IFERROR(IF(ISNUMBER(INDEX(원자료_잔고!$A$1:$EZ$1500,설정!$L$5+ROW()-1,설정!$L$19)),INDEX(원자료_잔고!$A$1:$EZ$1500,설정!$L$5+ROW()-1,설정!$L$19),""),"")</f>
        <v>-241515</v>
      </c>
      <c r="N403" s="83" t="str">
        <f aca="false">IFERROR(IF(INDEX(원자료_잔고!$A$1:$EZ$1500,설정!$L$5+ROW()-1,설정!$L$21)&amp;""="0","",INDEX(원자료_잔고!$A$1:$EZ$1500,설정!$L$5+ROW()-1,설정!$L$21)&amp;""),"")</f>
        <v>A+</v>
      </c>
      <c r="O403" s="83" t="str">
        <f aca="false">IFERROR(IF(INDEX(원자료_잔고!$A$1:$EZ$1500,설정!$L$5+ROW()-1,설정!$L$22)&amp;""="0","",INDEX(원자료_잔고!$A$1:$EZ$1500,설정!$L$5+ROW()-1,설정!$L$22)&amp;""),"")</f>
        <v/>
      </c>
      <c r="P403" s="83" t="str">
        <f aca="false">IFERROR(IF(INDEX(원자료_잔고!$A$1:$EZ$1500,설정!$L$5+ROW()-1,설정!$L$23)&amp;""="0","",INDEX(원자료_잔고!$A$1:$EZ$1500,설정!$L$5+ROW()-1,설정!$L$23)&amp;""),"")</f>
        <v>N/A</v>
      </c>
      <c r="Q403" s="89" t="n">
        <f aca="false">IF(AND($A403&lt;&gt;"",ISNUMBER(E403)),IF(E403&gt;0,1,0),0)</f>
        <v>1</v>
      </c>
      <c r="R403" s="43" t="str">
        <f aca="false">IF(Q403=1,UPPER(LEFT($A403,FIND(" ",$A403&amp;" ")-1)),"")</f>
        <v>NACF</v>
      </c>
      <c r="S403" s="89" t="n">
        <f aca="false">IF(Q403=1,IF(OR(ISNUMBER(SEARCH("Float",$A403)),ISNUMBER(SEARCH("FRN",$A403))),1,0),0)</f>
        <v>0</v>
      </c>
      <c r="T403" s="43" t="str">
        <f aca="false">IF(AND(Q403=1,ISNUMBER(I403)),TEXT(I403,"yyyymmdd")&amp;"|"&amp;IF(S403=1,"F",TEXT(J403,"0.000")),"")</f>
        <v>20300721|4.375</v>
      </c>
      <c r="U403" s="90" t="n">
        <f aca="false">IF(AND(Q403=1,ISNUMBER(I403)),(I403-설정!$C$4)/365.25,"")</f>
        <v>3.80287474332649</v>
      </c>
      <c r="V403" s="43" t="str">
        <f aca="false">IF(Q403&lt;&gt;1,"",IF(ISNUMBER(U403),IF(U403&lt;=1,"1년 이하",IF(U403&lt;=2,"1-2년",IF(U403&lt;=3,"2-3년",IF(U403&lt;=4,"3-4년",IF(U403&lt;=5,"4-5년",IF(U403&lt;=7,"5-7년",IF(U403&lt;=10,"7-10년",IF(U403&lt;=20,"10-20년","20년 이상")))))))),"미분류"))</f>
        <v>3-4년</v>
      </c>
      <c r="W403" s="43" t="str">
        <f aca="false">IF(Q403&lt;&gt;1,"",IF(AB403&lt;&gt;"",INDEX(시장분석!$C:$C,AB403),IF(K403=1,"USD","비USD")))</f>
        <v>USD</v>
      </c>
      <c r="X403" s="91" t="n">
        <f aca="false">IF(Q403=1,E403*K403/1000000,0)</f>
        <v>5</v>
      </c>
      <c r="Y403" s="89" t="n">
        <f aca="false">IF(R403="T",1,0)</f>
        <v>0</v>
      </c>
      <c r="Z403" s="92" t="n">
        <f aca="false">IF(Q403&lt;&gt;1,"",IF(AD403=1,IF(ISNUMBER(U403),MAX(U403,0),H403),H403))</f>
        <v>3.3551</v>
      </c>
      <c r="AA403" s="91" t="n">
        <f aca="false">IF(Q403=1,IF(ISNUMBER(L403),L403,0)*K403/1000000,0)</f>
        <v>4.83567</v>
      </c>
      <c r="AB403" s="89" t="n">
        <f aca="false">IF(Q403&lt;&gt;1,"",IFERROR(MATCH(VLOOKUP(B403,매핑!$H$4:$I$15,2,0),시장분석!$A$2:$A$601,0)+1,IFERROR(MATCH(R403&amp;"|"&amp;T403,시장분석!$V$2:$V$601,0)+1,IF(COUNTIF(시장분석!$U$2:$U$601,T403)=1,MATCH(T403,시장분석!$U$2:$U$601,0)+1,""))))</f>
        <v>188</v>
      </c>
      <c r="AC403" s="89" t="n">
        <f aca="false">IF(Q403&lt;&gt;1,0,IF(OR(설정!$C$5="전체",AND(설정!$C$5="선택펀드",IFERROR(COUNTIFS(설정!$F$16:$F$36,C403,설정!$G$16:$G$36,"Y")+COUNTIFS(설정!$F$16:$F$36,VALUE(C403),설정!$G$16:$G$36,"Y"),0)&gt;0),C403&amp;""=설정!$C$5&amp;""),1,0))</f>
        <v>0</v>
      </c>
      <c r="AD403" s="89" t="n">
        <f aca="false">IF(Q403&lt;&gt;1,0,IF(OR(S403=1,IF(AB403="",FALSE(),INDEX(시장분석!$R:$R,AB403)=1)),1,0))</f>
        <v>0</v>
      </c>
      <c r="AE403" s="43" t="str">
        <f aca="false">IF(AB403="","",INDEX(시장분석!$A:$A,AB403))</f>
        <v>NACF 4 3/8 07/21/30</v>
      </c>
      <c r="AF403" s="93" t="n">
        <f aca="false">IF(AB403="","",IF(ISNUMBER(IF(AB403="","",INDEX(시장분석!$E:$E,AB403))),IF(AB403="","",INDEX(시장분석!$E:$E,AB403)),""))</f>
        <v>26.638</v>
      </c>
      <c r="AG403" s="43" t="str">
        <f aca="false">IF(Q403&lt;&gt;1,"",IF(AB403&lt;&gt;"",IF(AB403="","",INDEX(시장분석!$L:$L,AB403)),IFERROR(IF(VLOOKUP(R403,매핑!$A$4:$E$92,5,0)="","미분류",VLOOKUP(R403,매핑!$A$4:$E$92,5,0)),"미분류")))</f>
        <v>금융기관</v>
      </c>
      <c r="AH403" s="43" t="str">
        <f aca="false">IF(Q403&lt;&gt;1,"",IF(AB403&lt;&gt;"",IF(AB403="","",INDEX(시장분석!$N:$N,AB403)),IFERROR(IF(VLOOKUP(R403,매핑!$A$4:$E$92,4,0)="","미분류",VLOOKUP(R403,매핑!$A$4:$E$92,4,0)),"미분류")))</f>
        <v>아시아/기타</v>
      </c>
      <c r="AI403" s="43" t="str">
        <f aca="false">IF(Q403&lt;&gt;1,"",IFERROR(IF(VLOOKUP(R403,매핑!$A$4:$E$92,3,0)="","미분류",VLOOKUP(R403,매핑!$A$4:$E$92,3,0)),IF(AB403&lt;&gt;"",IF(AB403="","",INDEX(시장분석!$W:$W,AB403)),"미분류")))</f>
        <v>한국</v>
      </c>
      <c r="AJ403" s="43" t="str">
        <f aca="false">IF(Q403&lt;&gt;1,"",IFERROR(VLOOKUP(IF(N403&lt;&gt;"",N403,IF(P403&lt;&gt;"",P403,O403)),설정!$A$15:$D$47,2,0),""))</f>
        <v>A+</v>
      </c>
      <c r="AK403" s="43" t="str">
        <f aca="false">IF(Q403&lt;&gt;1,"",IF(AJ403="","무등급",IFERROR(VLOOKUP(AJ403,설정!$A$15:$D$47,3,0),"무등급")))</f>
        <v>A</v>
      </c>
      <c r="AL403" s="89" t="n">
        <f aca="false">IF(AJ403="",99,IFERROR(VLOOKUP(AJ403,설정!$A$15:$D$47,4,0),99))</f>
        <v>5</v>
      </c>
      <c r="AM403" s="94" t="n">
        <f aca="false">IF(ISNUMBER(H403),AA403*1000000*H403/10000,0)</f>
        <v>1622.4156417</v>
      </c>
      <c r="AN403" s="94" t="n">
        <f aca="false">IF(OR(Y403=1,NOT(ISNUMBER(Z403))),0,AA403*1000000*Z403/10000)</f>
        <v>1622.4156417</v>
      </c>
      <c r="AO403" s="94" t="n">
        <f aca="false">IF(ISNUMBER(G403),AA403*1000000*G403/100,0)</f>
        <v>258118.39326</v>
      </c>
      <c r="AP403" s="94" t="n">
        <f aca="false">IF(ISNUMBER(M403),M403*K403,0)</f>
        <v>-241515</v>
      </c>
      <c r="AQ403" s="95" t="n">
        <f aca="false">IF(AB403="","",INDEX(시장분석!$AK:$AK,AB403))</f>
        <v>-2.00021247508219</v>
      </c>
      <c r="AR403" s="43" t="str">
        <f aca="false">IF(AB403="","-",IF(AB403="","",INDEX(시장분석!$AL:$AL,AB403)))</f>
        <v>Rich</v>
      </c>
      <c r="AS403" s="96" t="n">
        <f aca="false">IF(AB403="","",INDEX(시장분석!$AJ:$AJ,AB403))</f>
        <v>-40.9515252204851</v>
      </c>
      <c r="AT403" s="93" t="n">
        <f aca="false">IF(AB403="",0,IF(AB403="","",INDEX(시장분석!$AN:$AN,AB403)))</f>
        <v>4.66885498102593</v>
      </c>
      <c r="AU403" s="94" t="n">
        <f aca="false">IF(ISNUMBER(Z403),AT403/10000*MAX(Z403-1,0)*AA403*1000000,0)</f>
        <v>5317.11915343566</v>
      </c>
      <c r="AV403" s="94" t="n">
        <f aca="false">AO403+AU403</f>
        <v>263435.512413436</v>
      </c>
      <c r="AW403" s="43" t="str">
        <f aca="false">IF(Q403&lt;&gt;1,"",TRIM(IF(AD403=1,"FRN ","")&amp;IF(AND(AL403&gt;=10,AL403&lt;99),"BBB0미만 ","")&amp;IF(AJ403="","등급없음 ","")&amp;IF(K403&lt;&gt;1,"비USD ","")&amp;IF(AND(AB403="",Y403=0),"시장데이터없음 ","")&amp;IF(AND(ISNUMBER(U403),U403&lt;0),"만기경과 ","")))</f>
        <v/>
      </c>
      <c r="AX403" s="90" t="n">
        <f aca="false">IF(Q403&lt;&gt;1,1,IF(스프레드쇼크!$C$4="Y",INDEX(스프레드쇼크!$B$12:$L$16,IFERROR(MATCH(AH403,스프레드쇼크!$A$12:$A$16,0),MATCH("목록외",스프레드쇼크!$A$12:$A$16,0)),IFERROR(MATCH(AG403,스프레드쇼크!$B$11:$L$11,0),MATCH("목록외",스프레드쇼크!$B$11:$L$11,0))),1))</f>
        <v>1</v>
      </c>
      <c r="AY403" s="90" t="n">
        <f aca="false">IF(스프레드쇼크!$C$5="Y",IF(ISNUMBER(AF403),MIN(스프레드쇼크!$C$7,MAX(스프레드쇼크!$C$6,AF403/스프레드쇼크!$C$8)),1),1)</f>
        <v>0.402910087851894</v>
      </c>
      <c r="AZ403" s="94" t="n">
        <f aca="false">AN403*AX403*AY403</f>
        <v>653.687628729635</v>
      </c>
      <c r="BA403" s="90" t="n">
        <f aca="false">IF(ISNUMBER(G403),AA403*G403,0)</f>
        <v>25.811839326</v>
      </c>
      <c r="BB403" s="90" t="n">
        <f aca="false">IF(ISNUMBER(G403),AA403,0)</f>
        <v>4.83567</v>
      </c>
      <c r="BC403" s="90" t="n">
        <f aca="false">IF(AND(Y403=0,ISNUMBER(AF403)),AA403*AF403,0)</f>
        <v>128.81257746</v>
      </c>
      <c r="BD403" s="90" t="n">
        <f aca="false">IF(AND(Y403=0,ISNUMBER(AF403)),AA403,0)</f>
        <v>4.83567</v>
      </c>
      <c r="BE403" s="90" t="n">
        <f aca="false">IF(ISNUMBER(H403),AA403*H403,0)</f>
        <v>16.224156417</v>
      </c>
      <c r="BF403" s="90" t="n">
        <f aca="false">IF(ISNUMBER(H403),AA403,0)</f>
        <v>4.83567</v>
      </c>
      <c r="BG403" s="90" t="n">
        <f aca="false">IF(AND(Y403=0,ISNUMBER(AF403),ISNUMBER(Z403)),AA403*Z403,0)</f>
        <v>16.224156417</v>
      </c>
      <c r="BH403" s="90" t="n">
        <f aca="false">IF(AND(Y403=0,ISNUMBER(AF403),ISNUMBER(Z403)),AA403*AT403*MAX(Z403-1,0),0)</f>
        <v>53.1711915343566</v>
      </c>
      <c r="BI403" s="90" t="n">
        <f aca="false">IF(Y403=0,AA403,0)</f>
        <v>4.83567</v>
      </c>
    </row>
    <row r="404" customFormat="false" ht="15" hidden="false" customHeight="false" outlineLevel="0" collapsed="false">
      <c r="A404" s="83" t="str">
        <f aca="false">IFERROR(IF(INDEX(원자료_잔고!$A$1:$EZ$1500,설정!$L$5+ROW()-1,설정!$L$8)&amp;""="0","",INDEX(원자료_잔고!$A$1:$EZ$1500,설정!$L$5+ROW()-1,설정!$L$8)&amp;""),"")</f>
        <v>NACF Float 01/23/30</v>
      </c>
      <c r="B404" s="83" t="str">
        <f aca="false">IFERROR(IF(INDEX(원자료_잔고!$A$1:$EZ$1500,설정!$L$5+ROW()-1,설정!$L$7)&amp;""="0","",INDEX(원자료_잔고!$A$1:$EZ$1500,설정!$L$5+ROW()-1,설정!$L$7)&amp;""),"")</f>
        <v>USY6396XAL39</v>
      </c>
      <c r="C404" s="83" t="str">
        <f aca="false">IFERROR(IF(INDEX(원자료_잔고!$A$1:$EZ$1500,설정!$L$5+ROW()-1,설정!$L$9)&amp;""="0","",INDEX(원자료_잔고!$A$1:$EZ$1500,설정!$L$5+ROW()-1,설정!$L$9)&amp;""),"")</f>
        <v>42003</v>
      </c>
      <c r="D40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4" s="84" t="n">
        <f aca="false">IFERROR(IF(ISNUMBER(INDEX(원자료_잔고!$A$1:$EZ$1500,설정!$L$5+ROW()-1,설정!$L$11)),INDEX(원자료_잔고!$A$1:$EZ$1500,설정!$L$5+ROW()-1,설정!$L$11),""),"")</f>
        <v>200000</v>
      </c>
      <c r="F404" s="85" t="n">
        <f aca="false">IFERROR(IF(ISNUMBER(INDEX(원자료_잔고!$A$1:$EZ$1500,설정!$L$5+ROW()-1,설정!$L$12)),INDEX(원자료_잔고!$A$1:$EZ$1500,설정!$L$5+ROW()-1,설정!$L$12),""),"")</f>
        <v>99.9256</v>
      </c>
      <c r="G404" s="85" t="n">
        <f aca="false">IFERROR(IF(ISNUMBER(INDEX(원자료_잔고!$A$1:$EZ$1500,설정!$L$5+ROW()-1,설정!$L$13)),INDEX(원자료_잔고!$A$1:$EZ$1500,설정!$L$5+ROW()-1,설정!$L$13),""),"")</f>
        <v>4.5589</v>
      </c>
      <c r="H404" s="85" t="n">
        <f aca="false">IFERROR(IF(ISNUMBER(INDEX(원자료_잔고!$A$1:$EZ$1500,설정!$L$5+ROW()-1,설정!$L$14)),INDEX(원자료_잔고!$A$1:$EZ$1500,설정!$L$5+ROW()-1,설정!$L$14),""),"")</f>
        <v>0.0305</v>
      </c>
      <c r="I404" s="86" t="n">
        <f aca="false">IFERROR(IF(ISNUMBER(INDEX(원자료_잔고!$A$1:$EZ$1500,설정!$L$5+ROW()-1,설정!$L$15)),INDEX(원자료_잔고!$A$1:$EZ$1500,설정!$L$5+ROW()-1,설정!$L$15),""),"")</f>
        <v>47506</v>
      </c>
      <c r="J404" s="85" t="n">
        <f aca="false">IFERROR(IF(ISNUMBER(INDEX(원자료_잔고!$A$1:$EZ$1500,설정!$L$5+ROW()-1,설정!$L$16)),INDEX(원자료_잔고!$A$1:$EZ$1500,설정!$L$5+ROW()-1,설정!$L$16),""),"")</f>
        <v>0.6</v>
      </c>
      <c r="K404" s="87" t="n">
        <f aca="false">IFERROR(IF(ISNUMBER(INDEX(원자료_잔고!$A$1:$EZ$1500,설정!$L$5+ROW()-1,설정!$L$17)),INDEX(원자료_잔고!$A$1:$EZ$1500,설정!$L$5+ROW()-1,설정!$L$17),""),"")</f>
        <v>1</v>
      </c>
      <c r="L404" s="84" t="n">
        <f aca="false">IFERROR(IF(ISNUMBER(INDEX(원자료_잔고!$A$1:$EZ$1500,설정!$L$5+ROW()-1,설정!$L$18)),INDEX(원자료_잔고!$A$1:$EZ$1500,설정!$L$5+ROW()-1,설정!$L$18),""),"")</f>
        <v>199851.2</v>
      </c>
      <c r="M404" s="88" t="n">
        <f aca="false">IFERROR(IF(ISNUMBER(INDEX(원자료_잔고!$A$1:$EZ$1500,설정!$L$5+ROW()-1,설정!$L$19)),INDEX(원자료_잔고!$A$1:$EZ$1500,설정!$L$5+ROW()-1,설정!$L$19),""),"")</f>
        <v>-148.8</v>
      </c>
      <c r="N404" s="83" t="str">
        <f aca="false">IFERROR(IF(INDEX(원자료_잔고!$A$1:$EZ$1500,설정!$L$5+ROW()-1,설정!$L$21)&amp;""="0","",INDEX(원자료_잔고!$A$1:$EZ$1500,설정!$L$5+ROW()-1,설정!$L$21)&amp;""),"")</f>
        <v>A+</v>
      </c>
      <c r="O404" s="83" t="str">
        <f aca="false">IFERROR(IF(INDEX(원자료_잔고!$A$1:$EZ$1500,설정!$L$5+ROW()-1,설정!$L$22)&amp;""="0","",INDEX(원자료_잔고!$A$1:$EZ$1500,설정!$L$5+ROW()-1,설정!$L$22)&amp;""),"")</f>
        <v/>
      </c>
      <c r="P404" s="83" t="str">
        <f aca="false">IFERROR(IF(INDEX(원자료_잔고!$A$1:$EZ$1500,설정!$L$5+ROW()-1,설정!$L$23)&amp;""="0","",INDEX(원자료_잔고!$A$1:$EZ$1500,설정!$L$5+ROW()-1,설정!$L$23)&amp;""),"")</f>
        <v>N/A</v>
      </c>
      <c r="Q404" s="89" t="n">
        <f aca="false">IF(AND($A404&lt;&gt;"",ISNUMBER(E404)),IF(E404&gt;0,1,0),0)</f>
        <v>1</v>
      </c>
      <c r="R404" s="43" t="str">
        <f aca="false">IF(Q404=1,UPPER(LEFT($A404,FIND(" ",$A404&amp;" ")-1)),"")</f>
        <v>NACF</v>
      </c>
      <c r="S404" s="89" t="n">
        <f aca="false">IF(Q404=1,IF(OR(ISNUMBER(SEARCH("Float",$A404)),ISNUMBER(SEARCH("FRN",$A404))),1,0),0)</f>
        <v>1</v>
      </c>
      <c r="T404" s="43" t="str">
        <f aca="false">IF(AND(Q404=1,ISNUMBER(I404)),TEXT(I404,"yyyymmdd")&amp;"|"&amp;IF(S404=1,"F",TEXT(J404,"0.000")),"")</f>
        <v>20300123|F</v>
      </c>
      <c r="U404" s="90" t="n">
        <f aca="false">IF(AND(Q404=1,ISNUMBER(I404)),(I404-설정!$C$4)/365.25,"")</f>
        <v>3.31279945242984</v>
      </c>
      <c r="V404" s="43" t="str">
        <f aca="false">IF(Q404&lt;&gt;1,"",IF(ISNUMBER(U404),IF(U404&lt;=1,"1년 이하",IF(U404&lt;=2,"1-2년",IF(U404&lt;=3,"2-3년",IF(U404&lt;=4,"3-4년",IF(U404&lt;=5,"4-5년",IF(U404&lt;=7,"5-7년",IF(U404&lt;=10,"7-10년",IF(U404&lt;=20,"10-20년","20년 이상")))))))),"미분류"))</f>
        <v>3-4년</v>
      </c>
      <c r="W404" s="43" t="str">
        <f aca="false">IF(Q404&lt;&gt;1,"",IF(AB404&lt;&gt;"",INDEX(시장분석!$C:$C,AB404),IF(K404=1,"USD","비USD")))</f>
        <v>USD</v>
      </c>
      <c r="X404" s="91" t="n">
        <f aca="false">IF(Q404=1,E404*K404/1000000,0)</f>
        <v>0.2</v>
      </c>
      <c r="Y404" s="89" t="n">
        <f aca="false">IF(R404="T",1,0)</f>
        <v>0</v>
      </c>
      <c r="Z404" s="92" t="n">
        <f aca="false">IF(Q404&lt;&gt;1,"",IF(AD404=1,IF(ISNUMBER(U404),MAX(U404,0),H404),H404))</f>
        <v>3.31279945242984</v>
      </c>
      <c r="AA404" s="91" t="n">
        <f aca="false">IF(Q404=1,IF(ISNUMBER(L404),L404,0)*K404/1000000,0)</f>
        <v>0.1998512</v>
      </c>
      <c r="AB404" s="89" t="n">
        <f aca="false">IF(Q404&lt;&gt;1,"",IFERROR(MATCH(VLOOKUP(B404,매핑!$H$4:$I$15,2,0),시장분석!$A$2:$A$601,0)+1,IFERROR(MATCH(R404&amp;"|"&amp;T404,시장분석!$V$2:$V$601,0)+1,IF(COUNTIF(시장분석!$U$2:$U$601,T404)=1,MATCH(T404,시장분석!$U$2:$U$601,0)+1,""))))</f>
        <v>189</v>
      </c>
      <c r="AC404" s="89" t="n">
        <f aca="false">IF(Q404&lt;&gt;1,0,IF(OR(설정!$C$5="전체",AND(설정!$C$5="선택펀드",IFERROR(COUNTIFS(설정!$F$16:$F$36,C404,설정!$G$16:$G$36,"Y")+COUNTIFS(설정!$F$16:$F$36,VALUE(C404),설정!$G$16:$G$36,"Y"),0)&gt;0),C404&amp;""=설정!$C$5&amp;""),1,0))</f>
        <v>0</v>
      </c>
      <c r="AD404" s="89" t="n">
        <f aca="false">IF(Q404&lt;&gt;1,0,IF(OR(S404=1,IF(AB404="",FALSE(),INDEX(시장분석!$R:$R,AB404)=1)),1,0))</f>
        <v>1</v>
      </c>
      <c r="AE404" s="43" t="str">
        <f aca="false">IF(AB404="","",INDEX(시장분석!$A:$A,AB404))</f>
        <v>NACF Float 01/23/30</v>
      </c>
      <c r="AF404" s="93" t="str">
        <f aca="false">IF(AB404="","",IF(ISNUMBER(IF(AB404="","",INDEX(시장분석!$E:$E,AB404))),IF(AB404="","",INDEX(시장분석!$E:$E,AB404)),""))</f>
        <v/>
      </c>
      <c r="AG404" s="43" t="str">
        <f aca="false">IF(Q404&lt;&gt;1,"",IF(AB404&lt;&gt;"",IF(AB404="","",INDEX(시장분석!$L:$L,AB404)),IFERROR(IF(VLOOKUP(R404,매핑!$A$4:$E$92,5,0)="","미분류",VLOOKUP(R404,매핑!$A$4:$E$92,5,0)),"미분류")))</f>
        <v>금융기관</v>
      </c>
      <c r="AH404" s="43" t="str">
        <f aca="false">IF(Q404&lt;&gt;1,"",IF(AB404&lt;&gt;"",IF(AB404="","",INDEX(시장분석!$N:$N,AB404)),IFERROR(IF(VLOOKUP(R404,매핑!$A$4:$E$92,4,0)="","미분류",VLOOKUP(R404,매핑!$A$4:$E$92,4,0)),"미분류")))</f>
        <v>아시아/기타</v>
      </c>
      <c r="AI404" s="43" t="str">
        <f aca="false">IF(Q404&lt;&gt;1,"",IFERROR(IF(VLOOKUP(R404,매핑!$A$4:$E$92,3,0)="","미분류",VLOOKUP(R404,매핑!$A$4:$E$92,3,0)),IF(AB404&lt;&gt;"",IF(AB404="","",INDEX(시장분석!$W:$W,AB404)),"미분류")))</f>
        <v>한국</v>
      </c>
      <c r="AJ404" s="43" t="str">
        <f aca="false">IF(Q404&lt;&gt;1,"",IFERROR(VLOOKUP(IF(N404&lt;&gt;"",N404,IF(P404&lt;&gt;"",P404,O404)),설정!$A$15:$D$47,2,0),""))</f>
        <v>A+</v>
      </c>
      <c r="AK404" s="43" t="str">
        <f aca="false">IF(Q404&lt;&gt;1,"",IF(AJ404="","무등급",IFERROR(VLOOKUP(AJ404,설정!$A$15:$D$47,3,0),"무등급")))</f>
        <v>A</v>
      </c>
      <c r="AL404" s="89" t="n">
        <f aca="false">IF(AJ404="",99,IFERROR(VLOOKUP(AJ404,설정!$A$15:$D$47,4,0),99))</f>
        <v>5</v>
      </c>
      <c r="AM404" s="94" t="n">
        <f aca="false">IF(ISNUMBER(H404),AA404*1000000*H404/10000,0)</f>
        <v>0.60954616</v>
      </c>
      <c r="AN404" s="94" t="n">
        <f aca="false">IF(OR(Y404=1,NOT(ISNUMBER(Z404))),0,AA404*1000000*Z404/10000)</f>
        <v>66.2066945927447</v>
      </c>
      <c r="AO404" s="94" t="n">
        <f aca="false">IF(ISNUMBER(G404),AA404*1000000*G404/100,0)</f>
        <v>9111.0163568</v>
      </c>
      <c r="AP404" s="94" t="n">
        <f aca="false">IF(ISNUMBER(M404),M404*K404,0)</f>
        <v>-148.8</v>
      </c>
      <c r="AQ404" s="95" t="str">
        <f aca="false">IF(AB404="","",INDEX(시장분석!$AK:$AK,AB404))</f>
        <v/>
      </c>
      <c r="AR404" s="43" t="str">
        <f aca="false">IF(AB404="","-",IF(AB404="","",INDEX(시장분석!$AL:$AL,AB404)))</f>
        <v>-</v>
      </c>
      <c r="AS404" s="96" t="str">
        <f aca="false">IF(AB404="","",INDEX(시장분석!$AJ:$AJ,AB404))</f>
        <v/>
      </c>
      <c r="AT404" s="93" t="n">
        <f aca="false">IF(AB404="",0,IF(AB404="","",INDEX(시장분석!$AN:$AN,AB404)))</f>
        <v>0</v>
      </c>
      <c r="AU404" s="94" t="n">
        <f aca="false">IF(ISNUMBER(Z404),AT404/10000*MAX(Z404-1,0)*AA404*1000000,0)</f>
        <v>0</v>
      </c>
      <c r="AV404" s="94" t="n">
        <f aca="false">AO404+AU404</f>
        <v>9111.0163568</v>
      </c>
      <c r="AW404" s="43" t="str">
        <f aca="false">IF(Q404&lt;&gt;1,"",TRIM(IF(AD404=1,"FRN ","")&amp;IF(AND(AL404&gt;=10,AL404&lt;99),"BBB0미만 ","")&amp;IF(AJ404="","등급없음 ","")&amp;IF(K404&lt;&gt;1,"비USD ","")&amp;IF(AND(AB404="",Y404=0),"시장데이터없음 ","")&amp;IF(AND(ISNUMBER(U404),U404&lt;0),"만기경과 ","")))</f>
        <v>FRN</v>
      </c>
      <c r="AX404" s="90" t="n">
        <f aca="false">IF(Q404&lt;&gt;1,1,IF(스프레드쇼크!$C$4="Y",INDEX(스프레드쇼크!$B$12:$L$16,IFERROR(MATCH(AH404,스프레드쇼크!$A$12:$A$16,0),MATCH("목록외",스프레드쇼크!$A$12:$A$16,0)),IFERROR(MATCH(AG404,스프레드쇼크!$B$11:$L$11,0),MATCH("목록외",스프레드쇼크!$B$11:$L$11,0))),1))</f>
        <v>1</v>
      </c>
      <c r="AY404" s="90" t="n">
        <f aca="false">IF(스프레드쇼크!$C$5="Y",IF(ISNUMBER(AF404),MIN(스프레드쇼크!$C$7,MAX(스프레드쇼크!$C$6,AF404/스프레드쇼크!$C$8)),1),1)</f>
        <v>1</v>
      </c>
      <c r="AZ404" s="94" t="n">
        <f aca="false">AN404*AX404*AY404</f>
        <v>66.2066945927447</v>
      </c>
      <c r="BA404" s="90" t="n">
        <f aca="false">IF(ISNUMBER(G404),AA404*G404,0)</f>
        <v>0.91110163568</v>
      </c>
      <c r="BB404" s="90" t="n">
        <f aca="false">IF(ISNUMBER(G404),AA404,0)</f>
        <v>0.1998512</v>
      </c>
      <c r="BC404" s="90" t="n">
        <f aca="false">IF(AND(Y404=0,ISNUMBER(AF404)),AA404*AF404,0)</f>
        <v>0</v>
      </c>
      <c r="BD404" s="90" t="n">
        <f aca="false">IF(AND(Y404=0,ISNUMBER(AF404)),AA404,0)</f>
        <v>0</v>
      </c>
      <c r="BE404" s="90" t="n">
        <f aca="false">IF(ISNUMBER(H404),AA404*H404,0)</f>
        <v>0.0060954616</v>
      </c>
      <c r="BF404" s="90" t="n">
        <f aca="false">IF(ISNUMBER(H404),AA404,0)</f>
        <v>0.1998512</v>
      </c>
      <c r="BG404" s="90" t="n">
        <f aca="false">IF(AND(Y404=0,ISNUMBER(AF404),ISNUMBER(Z404)),AA404*Z404,0)</f>
        <v>0</v>
      </c>
      <c r="BH404" s="90" t="n">
        <f aca="false">IF(AND(Y404=0,ISNUMBER(AF404),ISNUMBER(Z404)),AA404*AT404*MAX(Z404-1,0),0)</f>
        <v>0</v>
      </c>
      <c r="BI404" s="90" t="n">
        <f aca="false">IF(Y404=0,AA404,0)</f>
        <v>0.1998512</v>
      </c>
    </row>
    <row r="405" customFormat="false" ht="15" hidden="false" customHeight="false" outlineLevel="0" collapsed="false">
      <c r="A405" s="83" t="str">
        <f aca="false">IFERROR(IF(INDEX(원자료_잔고!$A$1:$EZ$1500,설정!$L$5+ROW()-1,설정!$L$8)&amp;""="0","",INDEX(원자료_잔고!$A$1:$EZ$1500,설정!$L$5+ROW()-1,설정!$L$8)&amp;""),"")</f>
        <v>NACF 4.625 07/23/31</v>
      </c>
      <c r="B405" s="83" t="str">
        <f aca="false">IFERROR(IF(INDEX(원자료_잔고!$A$1:$EZ$1500,설정!$L$5+ROW()-1,설정!$L$7)&amp;""="0","",INDEX(원자료_잔고!$A$1:$EZ$1500,설정!$L$5+ROW()-1,설정!$L$7)&amp;""),"")</f>
        <v>USY6396XAM12</v>
      </c>
      <c r="C405" s="83" t="str">
        <f aca="false">IFERROR(IF(INDEX(원자료_잔고!$A$1:$EZ$1500,설정!$L$5+ROW()-1,설정!$L$9)&amp;""="0","",INDEX(원자료_잔고!$A$1:$EZ$1500,설정!$L$5+ROW()-1,설정!$L$9)&amp;""),"")</f>
        <v>42003</v>
      </c>
      <c r="D40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5" s="84" t="n">
        <f aca="false">IFERROR(IF(ISNUMBER(INDEX(원자료_잔고!$A$1:$EZ$1500,설정!$L$5+ROW()-1,설정!$L$11)),INDEX(원자료_잔고!$A$1:$EZ$1500,설정!$L$5+ROW()-1,설정!$L$11),""),"")</f>
        <v>200000</v>
      </c>
      <c r="F405" s="85" t="n">
        <f aca="false">IFERROR(IF(ISNUMBER(INDEX(원자료_잔고!$A$1:$EZ$1500,설정!$L$5+ROW()-1,설정!$L$12)),INDEX(원자료_잔고!$A$1:$EZ$1500,설정!$L$5+ROW()-1,설정!$L$12),""),"")</f>
        <v>96.5868</v>
      </c>
      <c r="G405" s="85" t="n">
        <f aca="false">IFERROR(IF(ISNUMBER(INDEX(원자료_잔고!$A$1:$EZ$1500,설정!$L$5+ROW()-1,설정!$L$13)),INDEX(원자료_잔고!$A$1:$EZ$1500,설정!$L$5+ROW()-1,설정!$L$13),""),"")</f>
        <v>5.4385</v>
      </c>
      <c r="H405" s="85" t="n">
        <f aca="false">IFERROR(IF(ISNUMBER(INDEX(원자료_잔고!$A$1:$EZ$1500,설정!$L$5+ROW()-1,설정!$L$14)),INDEX(원자료_잔고!$A$1:$EZ$1500,설정!$L$5+ROW()-1,설정!$L$14),""),"")</f>
        <v>4.1239</v>
      </c>
      <c r="I405" s="86" t="n">
        <f aca="false">IFERROR(IF(ISNUMBER(INDEX(원자료_잔고!$A$1:$EZ$1500,설정!$L$5+ROW()-1,설정!$L$15)),INDEX(원자료_잔고!$A$1:$EZ$1500,설정!$L$5+ROW()-1,설정!$L$15),""),"")</f>
        <v>48052</v>
      </c>
      <c r="J405" s="85" t="n">
        <f aca="false">IFERROR(IF(ISNUMBER(INDEX(원자료_잔고!$A$1:$EZ$1500,설정!$L$5+ROW()-1,설정!$L$16)),INDEX(원자료_잔고!$A$1:$EZ$1500,설정!$L$5+ROW()-1,설정!$L$16),""),"")</f>
        <v>4.625</v>
      </c>
      <c r="K405" s="87" t="n">
        <f aca="false">IFERROR(IF(ISNUMBER(INDEX(원자료_잔고!$A$1:$EZ$1500,설정!$L$5+ROW()-1,설정!$L$17)),INDEX(원자료_잔고!$A$1:$EZ$1500,설정!$L$5+ROW()-1,설정!$L$17),""),"")</f>
        <v>1</v>
      </c>
      <c r="L405" s="84" t="n">
        <f aca="false">IFERROR(IF(ISNUMBER(INDEX(원자료_잔고!$A$1:$EZ$1500,설정!$L$5+ROW()-1,설정!$L$18)),INDEX(원자료_잔고!$A$1:$EZ$1500,설정!$L$5+ROW()-1,설정!$L$18),""),"")</f>
        <v>193173.6</v>
      </c>
      <c r="M405" s="88" t="n">
        <f aca="false">IFERROR(IF(ISNUMBER(INDEX(원자료_잔고!$A$1:$EZ$1500,설정!$L$5+ROW()-1,설정!$L$19)),INDEX(원자료_잔고!$A$1:$EZ$1500,설정!$L$5+ROW()-1,설정!$L$19),""),"")</f>
        <v>-6120.27</v>
      </c>
      <c r="N405" s="83" t="str">
        <f aca="false">IFERROR(IF(INDEX(원자료_잔고!$A$1:$EZ$1500,설정!$L$5+ROW()-1,설정!$L$21)&amp;""="0","",INDEX(원자료_잔고!$A$1:$EZ$1500,설정!$L$5+ROW()-1,설정!$L$21)&amp;""),"")</f>
        <v>A+</v>
      </c>
      <c r="O405" s="83" t="str">
        <f aca="false">IFERROR(IF(INDEX(원자료_잔고!$A$1:$EZ$1500,설정!$L$5+ROW()-1,설정!$L$22)&amp;""="0","",INDEX(원자료_잔고!$A$1:$EZ$1500,설정!$L$5+ROW()-1,설정!$L$22)&amp;""),"")</f>
        <v/>
      </c>
      <c r="P405" s="83" t="str">
        <f aca="false">IFERROR(IF(INDEX(원자료_잔고!$A$1:$EZ$1500,설정!$L$5+ROW()-1,설정!$L$23)&amp;""="0","",INDEX(원자료_잔고!$A$1:$EZ$1500,설정!$L$5+ROW()-1,설정!$L$23)&amp;""),"")</f>
        <v>N/A</v>
      </c>
      <c r="Q405" s="89" t="n">
        <f aca="false">IF(AND($A405&lt;&gt;"",ISNUMBER(E405)),IF(E405&gt;0,1,0),0)</f>
        <v>1</v>
      </c>
      <c r="R405" s="43" t="str">
        <f aca="false">IF(Q405=1,UPPER(LEFT($A405,FIND(" ",$A405&amp;" ")-1)),"")</f>
        <v>NACF</v>
      </c>
      <c r="S405" s="89" t="n">
        <f aca="false">IF(Q405=1,IF(OR(ISNUMBER(SEARCH("Float",$A405)),ISNUMBER(SEARCH("FRN",$A405))),1,0),0)</f>
        <v>0</v>
      </c>
      <c r="T405" s="43" t="str">
        <f aca="false">IF(AND(Q405=1,ISNUMBER(I405)),TEXT(I405,"yyyymmdd")&amp;"|"&amp;IF(S405=1,"F",TEXT(J405,"0.000")),"")</f>
        <v>20310723|4.625</v>
      </c>
      <c r="U405" s="90" t="n">
        <f aca="false">IF(AND(Q405=1,ISNUMBER(I405)),(I405-설정!$C$4)/365.25,"")</f>
        <v>4.80766598220397</v>
      </c>
      <c r="V405" s="43" t="str">
        <f aca="false">IF(Q405&lt;&gt;1,"",IF(ISNUMBER(U405),IF(U405&lt;=1,"1년 이하",IF(U405&lt;=2,"1-2년",IF(U405&lt;=3,"2-3년",IF(U405&lt;=4,"3-4년",IF(U405&lt;=5,"4-5년",IF(U405&lt;=7,"5-7년",IF(U405&lt;=10,"7-10년",IF(U405&lt;=20,"10-20년","20년 이상")))))))),"미분류"))</f>
        <v>4-5년</v>
      </c>
      <c r="W405" s="43" t="str">
        <f aca="false">IF(Q405&lt;&gt;1,"",IF(AB405&lt;&gt;"",INDEX(시장분석!$C:$C,AB405),IF(K405=1,"USD","비USD")))</f>
        <v>USD</v>
      </c>
      <c r="X405" s="91" t="n">
        <f aca="false">IF(Q405=1,E405*K405/1000000,0)</f>
        <v>0.2</v>
      </c>
      <c r="Y405" s="89" t="n">
        <f aca="false">IF(R405="T",1,0)</f>
        <v>0</v>
      </c>
      <c r="Z405" s="92" t="n">
        <f aca="false">IF(Q405&lt;&gt;1,"",IF(AD405=1,IF(ISNUMBER(U405),MAX(U405,0),H405),H405))</f>
        <v>4.1239</v>
      </c>
      <c r="AA405" s="91" t="n">
        <f aca="false">IF(Q405=1,IF(ISNUMBER(L405),L405,0)*K405/1000000,0)</f>
        <v>0.1931736</v>
      </c>
      <c r="AB405" s="89" t="n">
        <f aca="false">IF(Q405&lt;&gt;1,"",IFERROR(MATCH(VLOOKUP(B405,매핑!$H$4:$I$15,2,0),시장분석!$A$2:$A$601,0)+1,IFERROR(MATCH(R405&amp;"|"&amp;T405,시장분석!$V$2:$V$601,0)+1,IF(COUNTIF(시장분석!$U$2:$U$601,T405)=1,MATCH(T405,시장분석!$U$2:$U$601,0)+1,""))))</f>
        <v>190</v>
      </c>
      <c r="AC405" s="89" t="n">
        <f aca="false">IF(Q405&lt;&gt;1,0,IF(OR(설정!$C$5="전체",AND(설정!$C$5="선택펀드",IFERROR(COUNTIFS(설정!$F$16:$F$36,C405,설정!$G$16:$G$36,"Y")+COUNTIFS(설정!$F$16:$F$36,VALUE(C405),설정!$G$16:$G$36,"Y"),0)&gt;0),C405&amp;""=설정!$C$5&amp;""),1,0))</f>
        <v>0</v>
      </c>
      <c r="AD405" s="89" t="n">
        <f aca="false">IF(Q405&lt;&gt;1,0,IF(OR(S405=1,IF(AB405="",FALSE(),INDEX(시장분석!$R:$R,AB405)=1)),1,0))</f>
        <v>0</v>
      </c>
      <c r="AE405" s="43" t="str">
        <f aca="false">IF(AB405="","",INDEX(시장분석!$A:$A,AB405))</f>
        <v>NACF 4 5/8 07/23/31</v>
      </c>
      <c r="AF405" s="93" t="n">
        <f aca="false">IF(AB405="","",IF(ISNUMBER(IF(AB405="","",INDEX(시장분석!$E:$E,AB405))),IF(AB405="","",INDEX(시장분석!$E:$E,AB405)),""))</f>
        <v>37.296</v>
      </c>
      <c r="AG405" s="43" t="str">
        <f aca="false">IF(Q405&lt;&gt;1,"",IF(AB405&lt;&gt;"",IF(AB405="","",INDEX(시장분석!$L:$L,AB405)),IFERROR(IF(VLOOKUP(R405,매핑!$A$4:$E$92,5,0)="","미분류",VLOOKUP(R405,매핑!$A$4:$E$92,5,0)),"미분류")))</f>
        <v>금융기관</v>
      </c>
      <c r="AH405" s="43" t="str">
        <f aca="false">IF(Q405&lt;&gt;1,"",IF(AB405&lt;&gt;"",IF(AB405="","",INDEX(시장분석!$N:$N,AB405)),IFERROR(IF(VLOOKUP(R405,매핑!$A$4:$E$92,4,0)="","미분류",VLOOKUP(R405,매핑!$A$4:$E$92,4,0)),"미분류")))</f>
        <v>아시아/기타</v>
      </c>
      <c r="AI405" s="43" t="str">
        <f aca="false">IF(Q405&lt;&gt;1,"",IFERROR(IF(VLOOKUP(R405,매핑!$A$4:$E$92,3,0)="","미분류",VLOOKUP(R405,매핑!$A$4:$E$92,3,0)),IF(AB405&lt;&gt;"",IF(AB405="","",INDEX(시장분석!$W:$W,AB405)),"미분류")))</f>
        <v>한국</v>
      </c>
      <c r="AJ405" s="43" t="str">
        <f aca="false">IF(Q405&lt;&gt;1,"",IFERROR(VLOOKUP(IF(N405&lt;&gt;"",N405,IF(P405&lt;&gt;"",P405,O405)),설정!$A$15:$D$47,2,0),""))</f>
        <v>A+</v>
      </c>
      <c r="AK405" s="43" t="str">
        <f aca="false">IF(Q405&lt;&gt;1,"",IF(AJ405="","무등급",IFERROR(VLOOKUP(AJ405,설정!$A$15:$D$47,3,0),"무등급")))</f>
        <v>A</v>
      </c>
      <c r="AL405" s="89" t="n">
        <f aca="false">IF(AJ405="",99,IFERROR(VLOOKUP(AJ405,설정!$A$15:$D$47,4,0),99))</f>
        <v>5</v>
      </c>
      <c r="AM405" s="94" t="n">
        <f aca="false">IF(ISNUMBER(H405),AA405*1000000*H405/10000,0)</f>
        <v>79.662860904</v>
      </c>
      <c r="AN405" s="94" t="n">
        <f aca="false">IF(OR(Y405=1,NOT(ISNUMBER(Z405))),0,AA405*1000000*Z405/10000)</f>
        <v>79.662860904</v>
      </c>
      <c r="AO405" s="94" t="n">
        <f aca="false">IF(ISNUMBER(G405),AA405*1000000*G405/100,0)</f>
        <v>10505.746236</v>
      </c>
      <c r="AP405" s="94" t="n">
        <f aca="false">IF(ISNUMBER(M405),M405*K405,0)</f>
        <v>-6120.27</v>
      </c>
      <c r="AQ405" s="95" t="n">
        <f aca="false">IF(AB405="","",INDEX(시장분석!$AK:$AK,AB405))</f>
        <v>-1.62067523265691</v>
      </c>
      <c r="AR405" s="43" t="str">
        <f aca="false">IF(AB405="","-",IF(AB405="","",INDEX(시장분석!$AL:$AL,AB405)))</f>
        <v>Rich</v>
      </c>
      <c r="AS405" s="96" t="n">
        <f aca="false">IF(AB405="","",INDEX(시장분석!$AJ:$AJ,AB405))</f>
        <v>-33.181036260479</v>
      </c>
      <c r="AT405" s="93" t="n">
        <f aca="false">IF(AB405="",0,IF(AB405="","",INDEX(시장분석!$AN:$AN,AB405)))</f>
        <v>3.66650394543122</v>
      </c>
      <c r="AU405" s="94" t="n">
        <f aca="false">IF(ISNUMBER(Z405),AT405/10000*MAX(Z405-1,0)*AA405*1000000,0)</f>
        <v>221.257017153539</v>
      </c>
      <c r="AV405" s="94" t="n">
        <f aca="false">AO405+AU405</f>
        <v>10727.0032531535</v>
      </c>
      <c r="AW405" s="43" t="str">
        <f aca="false">IF(Q405&lt;&gt;1,"",TRIM(IF(AD405=1,"FRN ","")&amp;IF(AND(AL405&gt;=10,AL405&lt;99),"BBB0미만 ","")&amp;IF(AJ405="","등급없음 ","")&amp;IF(K405&lt;&gt;1,"비USD ","")&amp;IF(AND(AB405="",Y405=0),"시장데이터없음 ","")&amp;IF(AND(ISNUMBER(U405),U405&lt;0),"만기경과 ","")))</f>
        <v/>
      </c>
      <c r="AX405" s="90" t="n">
        <f aca="false">IF(Q405&lt;&gt;1,1,IF(스프레드쇼크!$C$4="Y",INDEX(스프레드쇼크!$B$12:$L$16,IFERROR(MATCH(AH405,스프레드쇼크!$A$12:$A$16,0),MATCH("목록외",스프레드쇼크!$A$12:$A$16,0)),IFERROR(MATCH(AG405,스프레드쇼크!$B$11:$L$11,0),MATCH("목록외",스프레드쇼크!$B$11:$L$11,0))),1))</f>
        <v>1</v>
      </c>
      <c r="AY405" s="90" t="n">
        <f aca="false">IF(스프레드쇼크!$C$5="Y",IF(ISNUMBER(AF405),MIN(스프레드쇼크!$C$7,MAX(스프레드쇼크!$C$6,AF405/스프레드쇼크!$C$8)),1),1)</f>
        <v>0.564116474079295</v>
      </c>
      <c r="AZ405" s="94" t="n">
        <f aca="false">AN405*AX405*AY405</f>
        <v>44.9391322082338</v>
      </c>
      <c r="BA405" s="90" t="n">
        <f aca="false">IF(ISNUMBER(G405),AA405*G405,0)</f>
        <v>1.0505746236</v>
      </c>
      <c r="BB405" s="90" t="n">
        <f aca="false">IF(ISNUMBER(G405),AA405,0)</f>
        <v>0.1931736</v>
      </c>
      <c r="BC405" s="90" t="n">
        <f aca="false">IF(AND(Y405=0,ISNUMBER(AF405)),AA405*AF405,0)</f>
        <v>7.2046025856</v>
      </c>
      <c r="BD405" s="90" t="n">
        <f aca="false">IF(AND(Y405=0,ISNUMBER(AF405)),AA405,0)</f>
        <v>0.1931736</v>
      </c>
      <c r="BE405" s="90" t="n">
        <f aca="false">IF(ISNUMBER(H405),AA405*H405,0)</f>
        <v>0.79662860904</v>
      </c>
      <c r="BF405" s="90" t="n">
        <f aca="false">IF(ISNUMBER(H405),AA405,0)</f>
        <v>0.1931736</v>
      </c>
      <c r="BG405" s="90" t="n">
        <f aca="false">IF(AND(Y405=0,ISNUMBER(AF405),ISNUMBER(Z405)),AA405*Z405,0)</f>
        <v>0.79662860904</v>
      </c>
      <c r="BH405" s="90" t="n">
        <f aca="false">IF(AND(Y405=0,ISNUMBER(AF405),ISNUMBER(Z405)),AA405*AT405*MAX(Z405-1,0),0)</f>
        <v>2.21257017153539</v>
      </c>
      <c r="BI405" s="90" t="n">
        <f aca="false">IF(Y405=0,AA405,0)</f>
        <v>0.1931736</v>
      </c>
    </row>
    <row r="406" customFormat="false" ht="15" hidden="false" customHeight="false" outlineLevel="0" collapsed="false">
      <c r="A406" s="83" t="str">
        <f aca="false">IFERROR(IF(INDEX(원자료_잔고!$A$1:$EZ$1500,설정!$L$5+ROW()-1,설정!$L$8)&amp;""="0","",INDEX(원자료_잔고!$A$1:$EZ$1500,설정!$L$5+ROW()-1,설정!$L$8)&amp;""),"")</f>
        <v>SHNHAN 4.375 04/10/31</v>
      </c>
      <c r="B406" s="83" t="str">
        <f aca="false">IFERROR(IF(INDEX(원자료_잔고!$A$1:$EZ$1500,설정!$L$5+ROW()-1,설정!$L$7)&amp;""="0","",INDEX(원자료_잔고!$A$1:$EZ$1500,설정!$L$5+ROW()-1,설정!$L$7)&amp;""),"")</f>
        <v>USY7770HAE81</v>
      </c>
      <c r="C406" s="83" t="str">
        <f aca="false">IFERROR(IF(INDEX(원자료_잔고!$A$1:$EZ$1500,설정!$L$5+ROW()-1,설정!$L$9)&amp;""="0","",INDEX(원자료_잔고!$A$1:$EZ$1500,설정!$L$5+ROW()-1,설정!$L$9)&amp;""),"")</f>
        <v>42003</v>
      </c>
      <c r="D40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6" s="84" t="n">
        <f aca="false">IFERROR(IF(ISNUMBER(INDEX(원자료_잔고!$A$1:$EZ$1500,설정!$L$5+ROW()-1,설정!$L$11)),INDEX(원자료_잔고!$A$1:$EZ$1500,설정!$L$5+ROW()-1,설정!$L$11),""),"")</f>
        <v>200000</v>
      </c>
      <c r="F406" s="85" t="n">
        <f aca="false">IFERROR(IF(ISNUMBER(INDEX(원자료_잔고!$A$1:$EZ$1500,설정!$L$5+ROW()-1,설정!$L$12)),INDEX(원자료_잔고!$A$1:$EZ$1500,설정!$L$5+ROW()-1,설정!$L$12),""),"")</f>
        <v>95.9359</v>
      </c>
      <c r="G406" s="85" t="n">
        <f aca="false">IFERROR(IF(ISNUMBER(INDEX(원자료_잔고!$A$1:$EZ$1500,설정!$L$5+ROW()-1,설정!$L$13)),INDEX(원자료_잔고!$A$1:$EZ$1500,설정!$L$5+ROW()-1,설정!$L$13),""),"")</f>
        <v>5.3983</v>
      </c>
      <c r="H406" s="85" t="n">
        <f aca="false">IFERROR(IF(ISNUMBER(INDEX(원자료_잔고!$A$1:$EZ$1500,설정!$L$5+ROW()-1,설정!$L$14)),INDEX(원자료_잔고!$A$1:$EZ$1500,설정!$L$5+ROW()-1,설정!$L$14),""),"")</f>
        <v>3.8572</v>
      </c>
      <c r="I406" s="86" t="n">
        <f aca="false">IFERROR(IF(ISNUMBER(INDEX(원자료_잔고!$A$1:$EZ$1500,설정!$L$5+ROW()-1,설정!$L$15)),INDEX(원자료_잔고!$A$1:$EZ$1500,설정!$L$5+ROW()-1,설정!$L$15),""),"")</f>
        <v>47948</v>
      </c>
      <c r="J406" s="85" t="n">
        <f aca="false">IFERROR(IF(ISNUMBER(INDEX(원자료_잔고!$A$1:$EZ$1500,설정!$L$5+ROW()-1,설정!$L$16)),INDEX(원자료_잔고!$A$1:$EZ$1500,설정!$L$5+ROW()-1,설정!$L$16),""),"")</f>
        <v>4.375</v>
      </c>
      <c r="K406" s="87" t="n">
        <f aca="false">IFERROR(IF(ISNUMBER(INDEX(원자료_잔고!$A$1:$EZ$1500,설정!$L$5+ROW()-1,설정!$L$17)),INDEX(원자료_잔고!$A$1:$EZ$1500,설정!$L$5+ROW()-1,설정!$L$17),""),"")</f>
        <v>1</v>
      </c>
      <c r="L406" s="84" t="n">
        <f aca="false">IFERROR(IF(ISNUMBER(INDEX(원자료_잔고!$A$1:$EZ$1500,설정!$L$5+ROW()-1,설정!$L$18)),INDEX(원자료_잔고!$A$1:$EZ$1500,설정!$L$5+ROW()-1,설정!$L$18),""),"")</f>
        <v>191871.8</v>
      </c>
      <c r="M406" s="88" t="n">
        <f aca="false">IFERROR(IF(ISNUMBER(INDEX(원자료_잔고!$A$1:$EZ$1500,설정!$L$5+ROW()-1,설정!$L$19)),INDEX(원자료_잔고!$A$1:$EZ$1500,설정!$L$5+ROW()-1,설정!$L$19),""),"")</f>
        <v>-7987.45</v>
      </c>
      <c r="N406" s="83" t="str">
        <f aca="false">IFERROR(IF(INDEX(원자료_잔고!$A$1:$EZ$1500,설정!$L$5+ROW()-1,설정!$L$21)&amp;""="0","",INDEX(원자료_잔고!$A$1:$EZ$1500,설정!$L$5+ROW()-1,설정!$L$21)&amp;""),"")</f>
        <v>A+</v>
      </c>
      <c r="O406" s="83" t="str">
        <f aca="false">IFERROR(IF(INDEX(원자료_잔고!$A$1:$EZ$1500,설정!$L$5+ROW()-1,설정!$L$22)&amp;""="0","",INDEX(원자료_잔고!$A$1:$EZ$1500,설정!$L$5+ROW()-1,설정!$L$22)&amp;""),"")</f>
        <v/>
      </c>
      <c r="P406" s="83" t="str">
        <f aca="false">IFERROR(IF(INDEX(원자료_잔고!$A$1:$EZ$1500,설정!$L$5+ROW()-1,설정!$L$23)&amp;""="0","",INDEX(원자료_잔고!$A$1:$EZ$1500,설정!$L$5+ROW()-1,설정!$L$23)&amp;""),"")</f>
        <v>N/A</v>
      </c>
      <c r="Q406" s="89" t="n">
        <f aca="false">IF(AND($A406&lt;&gt;"",ISNUMBER(E406)),IF(E406&gt;0,1,0),0)</f>
        <v>1</v>
      </c>
      <c r="R406" s="43" t="str">
        <f aca="false">IF(Q406=1,UPPER(LEFT($A406,FIND(" ",$A406&amp;" ")-1)),"")</f>
        <v>SHNHAN</v>
      </c>
      <c r="S406" s="89" t="n">
        <f aca="false">IF(Q406=1,IF(OR(ISNUMBER(SEARCH("Float",$A406)),ISNUMBER(SEARCH("FRN",$A406))),1,0),0)</f>
        <v>0</v>
      </c>
      <c r="T406" s="43" t="str">
        <f aca="false">IF(AND(Q406=1,ISNUMBER(I406)),TEXT(I406,"yyyymmdd")&amp;"|"&amp;IF(S406=1,"F",TEXT(J406,"0.000")),"")</f>
        <v>20310410|4.375</v>
      </c>
      <c r="U406" s="90" t="n">
        <f aca="false">IF(AND(Q406=1,ISNUMBER(I406)),(I406-설정!$C$4)/365.25,"")</f>
        <v>4.52292950034223</v>
      </c>
      <c r="V406" s="43" t="str">
        <f aca="false">IF(Q406&lt;&gt;1,"",IF(ISNUMBER(U406),IF(U406&lt;=1,"1년 이하",IF(U406&lt;=2,"1-2년",IF(U406&lt;=3,"2-3년",IF(U406&lt;=4,"3-4년",IF(U406&lt;=5,"4-5년",IF(U406&lt;=7,"5-7년",IF(U406&lt;=10,"7-10년",IF(U406&lt;=20,"10-20년","20년 이상")))))))),"미분류"))</f>
        <v>4-5년</v>
      </c>
      <c r="W406" s="43" t="str">
        <f aca="false">IF(Q406&lt;&gt;1,"",IF(AB406&lt;&gt;"",INDEX(시장분석!$C:$C,AB406),IF(K406=1,"USD","비USD")))</f>
        <v>USD</v>
      </c>
      <c r="X406" s="91" t="n">
        <f aca="false">IF(Q406=1,E406*K406/1000000,0)</f>
        <v>0.2</v>
      </c>
      <c r="Y406" s="89" t="n">
        <f aca="false">IF(R406="T",1,0)</f>
        <v>0</v>
      </c>
      <c r="Z406" s="92" t="n">
        <f aca="false">IF(Q406&lt;&gt;1,"",IF(AD406=1,IF(ISNUMBER(U406),MAX(U406,0),H406),H406))</f>
        <v>3.8572</v>
      </c>
      <c r="AA406" s="91" t="n">
        <f aca="false">IF(Q406=1,IF(ISNUMBER(L406),L406,0)*K406/1000000,0)</f>
        <v>0.1918718</v>
      </c>
      <c r="AB406" s="89" t="n">
        <f aca="false">IF(Q406&lt;&gt;1,"",IFERROR(MATCH(VLOOKUP(B406,매핑!$H$4:$I$15,2,0),시장분석!$A$2:$A$601,0)+1,IFERROR(MATCH(R406&amp;"|"&amp;T406,시장분석!$V$2:$V$601,0)+1,IF(COUNTIF(시장분석!$U$2:$U$601,T406)=1,MATCH(T406,시장분석!$U$2:$U$601,0)+1,""))))</f>
        <v>193</v>
      </c>
      <c r="AC406" s="89" t="n">
        <f aca="false">IF(Q406&lt;&gt;1,0,IF(OR(설정!$C$5="전체",AND(설정!$C$5="선택펀드",IFERROR(COUNTIFS(설정!$F$16:$F$36,C406,설정!$G$16:$G$36,"Y")+COUNTIFS(설정!$F$16:$F$36,VALUE(C406),설정!$G$16:$G$36,"Y"),0)&gt;0),C406&amp;""=설정!$C$5&amp;""),1,0))</f>
        <v>0</v>
      </c>
      <c r="AD406" s="89" t="n">
        <f aca="false">IF(Q406&lt;&gt;1,0,IF(OR(S406=1,IF(AB406="",FALSE(),INDEX(시장분석!$R:$R,AB406)=1)),1,0))</f>
        <v>0</v>
      </c>
      <c r="AE406" s="43" t="str">
        <f aca="false">IF(AB406="","",INDEX(시장분석!$A:$A,AB406))</f>
        <v>SHNHAN 4 3/8 04/10/31</v>
      </c>
      <c r="AF406" s="93" t="n">
        <f aca="false">IF(AB406="","",IF(ISNUMBER(IF(AB406="","",INDEX(시장분석!$E:$E,AB406))),IF(AB406="","",INDEX(시장분석!$E:$E,AB406)),""))</f>
        <v>35.234</v>
      </c>
      <c r="AG406" s="43" t="str">
        <f aca="false">IF(Q406&lt;&gt;1,"",IF(AB406&lt;&gt;"",IF(AB406="","",INDEX(시장분석!$L:$L,AB406)),IFERROR(IF(VLOOKUP(R406,매핑!$A$4:$E$92,5,0)="","미분류",VLOOKUP(R406,매핑!$A$4:$E$92,5,0)),"미분류")))</f>
        <v>금융기관</v>
      </c>
      <c r="AH406" s="43" t="str">
        <f aca="false">IF(Q406&lt;&gt;1,"",IF(AB406&lt;&gt;"",IF(AB406="","",INDEX(시장분석!$N:$N,AB406)),IFERROR(IF(VLOOKUP(R406,매핑!$A$4:$E$92,4,0)="","미분류",VLOOKUP(R406,매핑!$A$4:$E$92,4,0)),"미분류")))</f>
        <v>아시아/기타</v>
      </c>
      <c r="AI406" s="43" t="str">
        <f aca="false">IF(Q406&lt;&gt;1,"",IFERROR(IF(VLOOKUP(R406,매핑!$A$4:$E$92,3,0)="","미분류",VLOOKUP(R406,매핑!$A$4:$E$92,3,0)),IF(AB406&lt;&gt;"",IF(AB406="","",INDEX(시장분석!$W:$W,AB406)),"미분류")))</f>
        <v>한국</v>
      </c>
      <c r="AJ406" s="43" t="str">
        <f aca="false">IF(Q406&lt;&gt;1,"",IFERROR(VLOOKUP(IF(N406&lt;&gt;"",N406,IF(P406&lt;&gt;"",P406,O406)),설정!$A$15:$D$47,2,0),""))</f>
        <v>A+</v>
      </c>
      <c r="AK406" s="43" t="str">
        <f aca="false">IF(Q406&lt;&gt;1,"",IF(AJ406="","무등급",IFERROR(VLOOKUP(AJ406,설정!$A$15:$D$47,3,0),"무등급")))</f>
        <v>A</v>
      </c>
      <c r="AL406" s="89" t="n">
        <f aca="false">IF(AJ406="",99,IFERROR(VLOOKUP(AJ406,설정!$A$15:$D$47,4,0),99))</f>
        <v>5</v>
      </c>
      <c r="AM406" s="94" t="n">
        <f aca="false">IF(ISNUMBER(H406),AA406*1000000*H406/10000,0)</f>
        <v>74.008790696</v>
      </c>
      <c r="AN406" s="94" t="n">
        <f aca="false">IF(OR(Y406=1,NOT(ISNUMBER(Z406))),0,AA406*1000000*Z406/10000)</f>
        <v>74.008790696</v>
      </c>
      <c r="AO406" s="94" t="n">
        <f aca="false">IF(ISNUMBER(G406),AA406*1000000*G406/100,0)</f>
        <v>10357.8153794</v>
      </c>
      <c r="AP406" s="94" t="n">
        <f aca="false">IF(ISNUMBER(M406),M406*K406,0)</f>
        <v>-7987.45</v>
      </c>
      <c r="AQ406" s="95" t="n">
        <f aca="false">IF(AB406="","",INDEX(시장분석!$AK:$AK,AB406))</f>
        <v>-1.6785018017323</v>
      </c>
      <c r="AR406" s="43" t="str">
        <f aca="false">IF(AB406="","-",IF(AB406="","",INDEX(시장분석!$AL:$AL,AB406)))</f>
        <v>Rich</v>
      </c>
      <c r="AS406" s="96" t="n">
        <f aca="false">IF(AB406="","",INDEX(시장분석!$AJ:$AJ,AB406))</f>
        <v>-34.3649535849661</v>
      </c>
      <c r="AT406" s="93" t="n">
        <f aca="false">IF(AB406="",0,IF(AB406="","",INDEX(시장분석!$AN:$AN,AB406)))</f>
        <v>3.94238864297773</v>
      </c>
      <c r="AU406" s="94" t="n">
        <f aca="false">IF(ISNUMBER(Z406),AT406/10000*MAX(Z406-1,0)*AA406*1000000,0)</f>
        <v>216.128095397657</v>
      </c>
      <c r="AV406" s="94" t="n">
        <f aca="false">AO406+AU406</f>
        <v>10573.9434747977</v>
      </c>
      <c r="AW406" s="43" t="str">
        <f aca="false">IF(Q406&lt;&gt;1,"",TRIM(IF(AD406=1,"FRN ","")&amp;IF(AND(AL406&gt;=10,AL406&lt;99),"BBB0미만 ","")&amp;IF(AJ406="","등급없음 ","")&amp;IF(K406&lt;&gt;1,"비USD ","")&amp;IF(AND(AB406="",Y406=0),"시장데이터없음 ","")&amp;IF(AND(ISNUMBER(U406),U406&lt;0),"만기경과 ","")))</f>
        <v/>
      </c>
      <c r="AX406" s="90" t="n">
        <f aca="false">IF(Q406&lt;&gt;1,1,IF(스프레드쇼크!$C$4="Y",INDEX(스프레드쇼크!$B$12:$L$16,IFERROR(MATCH(AH406,스프레드쇼크!$A$12:$A$16,0),MATCH("목록외",스프레드쇼크!$A$12:$A$16,0)),IFERROR(MATCH(AG406,스프레드쇼크!$B$11:$L$11,0),MATCH("목록외",스프레드쇼크!$B$11:$L$11,0))),1))</f>
        <v>1</v>
      </c>
      <c r="AY406" s="90" t="n">
        <f aca="false">IF(스프레드쇼크!$C$5="Y",IF(ISNUMBER(AF406),MIN(스프레드쇼크!$C$7,MAX(스프레드쇼크!$C$6,AF406/스프레드쇼크!$C$8)),1),1)</f>
        <v>0.532927923844645</v>
      </c>
      <c r="AZ406" s="94" t="n">
        <f aca="false">AN406*AX406*AY406</f>
        <v>39.4413511718721</v>
      </c>
      <c r="BA406" s="90" t="n">
        <f aca="false">IF(ISNUMBER(G406),AA406*G406,0)</f>
        <v>1.03578153794</v>
      </c>
      <c r="BB406" s="90" t="n">
        <f aca="false">IF(ISNUMBER(G406),AA406,0)</f>
        <v>0.1918718</v>
      </c>
      <c r="BC406" s="90" t="n">
        <f aca="false">IF(AND(Y406=0,ISNUMBER(AF406)),AA406*AF406,0)</f>
        <v>6.7604110012</v>
      </c>
      <c r="BD406" s="90" t="n">
        <f aca="false">IF(AND(Y406=0,ISNUMBER(AF406)),AA406,0)</f>
        <v>0.1918718</v>
      </c>
      <c r="BE406" s="90" t="n">
        <f aca="false">IF(ISNUMBER(H406),AA406*H406,0)</f>
        <v>0.74008790696</v>
      </c>
      <c r="BF406" s="90" t="n">
        <f aca="false">IF(ISNUMBER(H406),AA406,0)</f>
        <v>0.1918718</v>
      </c>
      <c r="BG406" s="90" t="n">
        <f aca="false">IF(AND(Y406=0,ISNUMBER(AF406),ISNUMBER(Z406)),AA406*Z406,0)</f>
        <v>0.74008790696</v>
      </c>
      <c r="BH406" s="90" t="n">
        <f aca="false">IF(AND(Y406=0,ISNUMBER(AF406),ISNUMBER(Z406)),AA406*AT406*MAX(Z406-1,0),0)</f>
        <v>2.16128095397657</v>
      </c>
      <c r="BI406" s="90" t="n">
        <f aca="false">IF(Y406=0,AA406,0)</f>
        <v>0.1918718</v>
      </c>
    </row>
    <row r="407" customFormat="false" ht="15" hidden="false" customHeight="false" outlineLevel="0" collapsed="false">
      <c r="A407" s="83" t="str">
        <f aca="false">IFERROR(IF(INDEX(원자료_잔고!$A$1:$EZ$1500,설정!$L$5+ROW()-1,설정!$L$8)&amp;""="0","",INDEX(원자료_잔고!$A$1:$EZ$1500,설정!$L$5+ROW()-1,설정!$L$8)&amp;""),"")</f>
        <v>SHINFN 4.5 07/30/30</v>
      </c>
      <c r="B407" s="83" t="str">
        <f aca="false">IFERROR(IF(INDEX(원자료_잔고!$A$1:$EZ$1500,설정!$L$5+ROW()-1,설정!$L$7)&amp;""="0","",INDEX(원자료_잔고!$A$1:$EZ$1500,설정!$L$5+ROW()-1,설정!$L$7)&amp;""),"")</f>
        <v>USY7T4K3AC40</v>
      </c>
      <c r="C407" s="83" t="str">
        <f aca="false">IFERROR(IF(INDEX(원자료_잔고!$A$1:$EZ$1500,설정!$L$5+ROW()-1,설정!$L$9)&amp;""="0","",INDEX(원자료_잔고!$A$1:$EZ$1500,설정!$L$5+ROW()-1,설정!$L$9)&amp;""),"")</f>
        <v>42003</v>
      </c>
      <c r="D40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7" s="84" t="n">
        <f aca="false">IFERROR(IF(ISNUMBER(INDEX(원자료_잔고!$A$1:$EZ$1500,설정!$L$5+ROW()-1,설정!$L$11)),INDEX(원자료_잔고!$A$1:$EZ$1500,설정!$L$5+ROW()-1,설정!$L$11),""),"")</f>
        <v>8000000</v>
      </c>
      <c r="F407" s="85" t="n">
        <f aca="false">IFERROR(IF(ISNUMBER(INDEX(원자료_잔고!$A$1:$EZ$1500,설정!$L$5+ROW()-1,설정!$L$12)),INDEX(원자료_잔고!$A$1:$EZ$1500,설정!$L$5+ROW()-1,설정!$L$12),""),"")</f>
        <v>96.4828</v>
      </c>
      <c r="G407" s="85" t="n">
        <f aca="false">IFERROR(IF(ISNUMBER(INDEX(원자료_잔고!$A$1:$EZ$1500,설정!$L$5+ROW()-1,설정!$L$13)),INDEX(원자료_잔고!$A$1:$EZ$1500,설정!$L$5+ROW()-1,설정!$L$13),""),"")</f>
        <v>5.5287</v>
      </c>
      <c r="H407" s="85" t="n">
        <f aca="false">IFERROR(IF(ISNUMBER(INDEX(원자료_잔고!$A$1:$EZ$1500,설정!$L$5+ROW()-1,설정!$L$14)),INDEX(원자료_잔고!$A$1:$EZ$1500,설정!$L$5+ROW()-1,설정!$L$14),""),"")</f>
        <v>3.3665</v>
      </c>
      <c r="I407" s="86" t="n">
        <f aca="false">IFERROR(IF(ISNUMBER(INDEX(원자료_잔고!$A$1:$EZ$1500,설정!$L$5+ROW()-1,설정!$L$15)),INDEX(원자료_잔고!$A$1:$EZ$1500,설정!$L$5+ROW()-1,설정!$L$15),""),"")</f>
        <v>47694</v>
      </c>
      <c r="J407" s="85" t="n">
        <f aca="false">IFERROR(IF(ISNUMBER(INDEX(원자료_잔고!$A$1:$EZ$1500,설정!$L$5+ROW()-1,설정!$L$16)),INDEX(원자료_잔고!$A$1:$EZ$1500,설정!$L$5+ROW()-1,설정!$L$16),""),"")</f>
        <v>4.5</v>
      </c>
      <c r="K407" s="87" t="n">
        <f aca="false">IFERROR(IF(ISNUMBER(INDEX(원자료_잔고!$A$1:$EZ$1500,설정!$L$5+ROW()-1,설정!$L$17)),INDEX(원자료_잔고!$A$1:$EZ$1500,설정!$L$5+ROW()-1,설정!$L$17),""),"")</f>
        <v>1</v>
      </c>
      <c r="L407" s="84" t="n">
        <f aca="false">IFERROR(IF(ISNUMBER(INDEX(원자료_잔고!$A$1:$EZ$1500,설정!$L$5+ROW()-1,설정!$L$18)),INDEX(원자료_잔고!$A$1:$EZ$1500,설정!$L$5+ROW()-1,설정!$L$18),""),"")</f>
        <v>7718624</v>
      </c>
      <c r="M407" s="88" t="n">
        <f aca="false">IFERROR(IF(ISNUMBER(INDEX(원자료_잔고!$A$1:$EZ$1500,설정!$L$5+ROW()-1,설정!$L$19)),INDEX(원자료_잔고!$A$1:$EZ$1500,설정!$L$5+ROW()-1,설정!$L$19),""),"")</f>
        <v>-338160</v>
      </c>
      <c r="N407" s="83" t="str">
        <f aca="false">IFERROR(IF(INDEX(원자료_잔고!$A$1:$EZ$1500,설정!$L$5+ROW()-1,설정!$L$21)&amp;""="0","",INDEX(원자료_잔고!$A$1:$EZ$1500,설정!$L$5+ROW()-1,설정!$L$21)&amp;""),"")</f>
        <v>A</v>
      </c>
      <c r="O407" s="83" t="str">
        <f aca="false">IFERROR(IF(INDEX(원자료_잔고!$A$1:$EZ$1500,설정!$L$5+ROW()-1,설정!$L$22)&amp;""="0","",INDEX(원자료_잔고!$A$1:$EZ$1500,설정!$L$5+ROW()-1,설정!$L$22)&amp;""),"")</f>
        <v/>
      </c>
      <c r="P407" s="83" t="str">
        <f aca="false">IFERROR(IF(INDEX(원자료_잔고!$A$1:$EZ$1500,설정!$L$5+ROW()-1,설정!$L$23)&amp;""="0","",INDEX(원자료_잔고!$A$1:$EZ$1500,설정!$L$5+ROW()-1,설정!$L$23)&amp;""),"")</f>
        <v>N/A</v>
      </c>
      <c r="Q407" s="89" t="n">
        <f aca="false">IF(AND($A407&lt;&gt;"",ISNUMBER(E407)),IF(E407&gt;0,1,0),0)</f>
        <v>1</v>
      </c>
      <c r="R407" s="43" t="str">
        <f aca="false">IF(Q407=1,UPPER(LEFT($A407,FIND(" ",$A407&amp;" ")-1)),"")</f>
        <v>SHINFN</v>
      </c>
      <c r="S407" s="89" t="n">
        <f aca="false">IF(Q407=1,IF(OR(ISNUMBER(SEARCH("Float",$A407)),ISNUMBER(SEARCH("FRN",$A407))),1,0),0)</f>
        <v>0</v>
      </c>
      <c r="T407" s="43" t="str">
        <f aca="false">IF(AND(Q407=1,ISNUMBER(I407)),TEXT(I407,"yyyymmdd")&amp;"|"&amp;IF(S407=1,"F",TEXT(J407,"0.000")),"")</f>
        <v>20300730|4.500</v>
      </c>
      <c r="U407" s="90" t="n">
        <f aca="false">IF(AND(Q407=1,ISNUMBER(I407)),(I407-설정!$C$4)/365.25,"")</f>
        <v>3.82751540041068</v>
      </c>
      <c r="V407" s="43" t="str">
        <f aca="false">IF(Q407&lt;&gt;1,"",IF(ISNUMBER(U407),IF(U407&lt;=1,"1년 이하",IF(U407&lt;=2,"1-2년",IF(U407&lt;=3,"2-3년",IF(U407&lt;=4,"3-4년",IF(U407&lt;=5,"4-5년",IF(U407&lt;=7,"5-7년",IF(U407&lt;=10,"7-10년",IF(U407&lt;=20,"10-20년","20년 이상")))))))),"미분류"))</f>
        <v>3-4년</v>
      </c>
      <c r="W407" s="43" t="str">
        <f aca="false">IF(Q407&lt;&gt;1,"",IF(AB407&lt;&gt;"",INDEX(시장분석!$C:$C,AB407),IF(K407=1,"USD","비USD")))</f>
        <v>USD</v>
      </c>
      <c r="X407" s="91" t="n">
        <f aca="false">IF(Q407=1,E407*K407/1000000,0)</f>
        <v>8</v>
      </c>
      <c r="Y407" s="89" t="n">
        <f aca="false">IF(R407="T",1,0)</f>
        <v>0</v>
      </c>
      <c r="Z407" s="92" t="n">
        <f aca="false">IF(Q407&lt;&gt;1,"",IF(AD407=1,IF(ISNUMBER(U407),MAX(U407,0),H407),H407))</f>
        <v>3.3665</v>
      </c>
      <c r="AA407" s="91" t="n">
        <f aca="false">IF(Q407=1,IF(ISNUMBER(L407),L407,0)*K407/1000000,0)</f>
        <v>7.718624</v>
      </c>
      <c r="AB407" s="89" t="n">
        <f aca="false">IF(Q407&lt;&gt;1,"",IFERROR(MATCH(VLOOKUP(B407,매핑!$H$4:$I$15,2,0),시장분석!$A$2:$A$601,0)+1,IFERROR(MATCH(R407&amp;"|"&amp;T407,시장분석!$V$2:$V$601,0)+1,IF(COUNTIF(시장분석!$U$2:$U$601,T407)=1,MATCH(T407,시장분석!$U$2:$U$601,0)+1,""))))</f>
        <v>199</v>
      </c>
      <c r="AC407" s="89" t="n">
        <f aca="false">IF(Q407&lt;&gt;1,0,IF(OR(설정!$C$5="전체",AND(설정!$C$5="선택펀드",IFERROR(COUNTIFS(설정!$F$16:$F$36,C407,설정!$G$16:$G$36,"Y")+COUNTIFS(설정!$F$16:$F$36,VALUE(C407),설정!$G$16:$G$36,"Y"),0)&gt;0),C407&amp;""=설정!$C$5&amp;""),1,0))</f>
        <v>0</v>
      </c>
      <c r="AD407" s="89" t="n">
        <f aca="false">IF(Q407&lt;&gt;1,0,IF(OR(S407=1,IF(AB407="",FALSE(),INDEX(시장분석!$R:$R,AB407)=1)),1,0))</f>
        <v>0</v>
      </c>
      <c r="AE407" s="43" t="str">
        <f aca="false">IF(AB407="","",INDEX(시장분석!$A:$A,AB407))</f>
        <v>SHINFN 4 1/2 07/30/30</v>
      </c>
      <c r="AF407" s="93" t="n">
        <f aca="false">IF(AB407="","",IF(ISNUMBER(IF(AB407="","",INDEX(시장분석!$E:$E,AB407))),IF(AB407="","",INDEX(시장분석!$E:$E,AB407)),""))</f>
        <v>49.756</v>
      </c>
      <c r="AG407" s="43" t="str">
        <f aca="false">IF(Q407&lt;&gt;1,"",IF(AB407&lt;&gt;"",IF(AB407="","",INDEX(시장분석!$L:$L,AB407)),IFERROR(IF(VLOOKUP(R407,매핑!$A$4:$E$92,5,0)="","미분류",VLOOKUP(R407,매핑!$A$4:$E$92,5,0)),"미분류")))</f>
        <v>금융기관</v>
      </c>
      <c r="AH407" s="43" t="str">
        <f aca="false">IF(Q407&lt;&gt;1,"",IF(AB407&lt;&gt;"",IF(AB407="","",INDEX(시장분석!$N:$N,AB407)),IFERROR(IF(VLOOKUP(R407,매핑!$A$4:$E$92,4,0)="","미분류",VLOOKUP(R407,매핑!$A$4:$E$92,4,0)),"미분류")))</f>
        <v>아시아/기타</v>
      </c>
      <c r="AI407" s="43" t="str">
        <f aca="false">IF(Q407&lt;&gt;1,"",IFERROR(IF(VLOOKUP(R407,매핑!$A$4:$E$92,3,0)="","미분류",VLOOKUP(R407,매핑!$A$4:$E$92,3,0)),IF(AB407&lt;&gt;"",IF(AB407="","",INDEX(시장분석!$W:$W,AB407)),"미분류")))</f>
        <v>한국</v>
      </c>
      <c r="AJ407" s="43" t="str">
        <f aca="false">IF(Q407&lt;&gt;1,"",IFERROR(VLOOKUP(IF(N407&lt;&gt;"",N407,IF(P407&lt;&gt;"",P407,O407)),설정!$A$15:$D$47,2,0),""))</f>
        <v>A</v>
      </c>
      <c r="AK407" s="43" t="str">
        <f aca="false">IF(Q407&lt;&gt;1,"",IF(AJ407="","무등급",IFERROR(VLOOKUP(AJ407,설정!$A$15:$D$47,3,0),"무등급")))</f>
        <v>A</v>
      </c>
      <c r="AL407" s="89" t="n">
        <f aca="false">IF(AJ407="",99,IFERROR(VLOOKUP(AJ407,설정!$A$15:$D$47,4,0),99))</f>
        <v>6</v>
      </c>
      <c r="AM407" s="94" t="n">
        <f aca="false">IF(ISNUMBER(H407),AA407*1000000*H407/10000,0)</f>
        <v>2598.4747696</v>
      </c>
      <c r="AN407" s="94" t="n">
        <f aca="false">IF(OR(Y407=1,NOT(ISNUMBER(Z407))),0,AA407*1000000*Z407/10000)</f>
        <v>2598.4747696</v>
      </c>
      <c r="AO407" s="94" t="n">
        <f aca="false">IF(ISNUMBER(G407),AA407*1000000*G407/100,0)</f>
        <v>426739.565088</v>
      </c>
      <c r="AP407" s="94" t="n">
        <f aca="false">IF(ISNUMBER(M407),M407*K407,0)</f>
        <v>-338160</v>
      </c>
      <c r="AQ407" s="95" t="n">
        <f aca="false">IF(AB407="","",INDEX(시장분석!$AK:$AK,AB407))</f>
        <v>-0.874335883995004</v>
      </c>
      <c r="AR407" s="43" t="str">
        <f aca="false">IF(AB407="","-",IF(AB407="","",INDEX(시장분석!$AL:$AL,AB407)))</f>
        <v>Fair</v>
      </c>
      <c r="AS407" s="96" t="n">
        <f aca="false">IF(AB407="","",INDEX(시장분석!$AJ:$AJ,AB407))</f>
        <v>-17.9007922661442</v>
      </c>
      <c r="AT407" s="93" t="n">
        <f aca="false">IF(AB407="",0,IF(AB407="","",INDEX(시장분석!$AN:$AN,AB407)))</f>
        <v>4.64213502701723</v>
      </c>
      <c r="AU407" s="94" t="n">
        <f aca="false">IF(ISNUMBER(Z407),AT407/10000*MAX(Z407-1,0)*AA407*1000000,0)</f>
        <v>8479.38126170311</v>
      </c>
      <c r="AV407" s="94" t="n">
        <f aca="false">AO407+AU407</f>
        <v>435218.946349703</v>
      </c>
      <c r="AW407" s="43" t="str">
        <f aca="false">IF(Q407&lt;&gt;1,"",TRIM(IF(AD407=1,"FRN ","")&amp;IF(AND(AL407&gt;=10,AL407&lt;99),"BBB0미만 ","")&amp;IF(AJ407="","등급없음 ","")&amp;IF(K407&lt;&gt;1,"비USD ","")&amp;IF(AND(AB407="",Y407=0),"시장데이터없음 ","")&amp;IF(AND(ISNUMBER(U407),U407&lt;0),"만기경과 ","")))</f>
        <v/>
      </c>
      <c r="AX407" s="90" t="n">
        <f aca="false">IF(Q407&lt;&gt;1,1,IF(스프레드쇼크!$C$4="Y",INDEX(스프레드쇼크!$B$12:$L$16,IFERROR(MATCH(AH407,스프레드쇼크!$A$12:$A$16,0),MATCH("목록외",스프레드쇼크!$A$12:$A$16,0)),IFERROR(MATCH(AG407,스프레드쇼크!$B$11:$L$11,0),MATCH("목록외",스프레드쇼크!$B$11:$L$11,0))),1))</f>
        <v>1</v>
      </c>
      <c r="AY407" s="90" t="n">
        <f aca="false">IF(스프레드쇼크!$C$5="Y",IF(ISNUMBER(AF407),MIN(스프레드쇼크!$C$7,MAX(스프레드쇼크!$C$6,AF407/스프레드쇼크!$C$8)),1),1)</f>
        <v>0.752578809638819</v>
      </c>
      <c r="AZ407" s="94" t="n">
        <f aca="false">AN407*AX407*AY407</f>
        <v>1955.55704898207</v>
      </c>
      <c r="BA407" s="90" t="n">
        <f aca="false">IF(ISNUMBER(G407),AA407*G407,0)</f>
        <v>42.6739565088</v>
      </c>
      <c r="BB407" s="90" t="n">
        <f aca="false">IF(ISNUMBER(G407),AA407,0)</f>
        <v>7.718624</v>
      </c>
      <c r="BC407" s="90" t="n">
        <f aca="false">IF(AND(Y407=0,ISNUMBER(AF407)),AA407*AF407,0)</f>
        <v>384.047855744</v>
      </c>
      <c r="BD407" s="90" t="n">
        <f aca="false">IF(AND(Y407=0,ISNUMBER(AF407)),AA407,0)</f>
        <v>7.718624</v>
      </c>
      <c r="BE407" s="90" t="n">
        <f aca="false">IF(ISNUMBER(H407),AA407*H407,0)</f>
        <v>25.984747696</v>
      </c>
      <c r="BF407" s="90" t="n">
        <f aca="false">IF(ISNUMBER(H407),AA407,0)</f>
        <v>7.718624</v>
      </c>
      <c r="BG407" s="90" t="n">
        <f aca="false">IF(AND(Y407=0,ISNUMBER(AF407),ISNUMBER(Z407)),AA407*Z407,0)</f>
        <v>25.984747696</v>
      </c>
      <c r="BH407" s="90" t="n">
        <f aca="false">IF(AND(Y407=0,ISNUMBER(AF407),ISNUMBER(Z407)),AA407*AT407*MAX(Z407-1,0),0)</f>
        <v>84.7938126170311</v>
      </c>
      <c r="BI407" s="90" t="n">
        <f aca="false">IF(Y407=0,AA407,0)</f>
        <v>7.718624</v>
      </c>
    </row>
    <row r="408" customFormat="false" ht="15" hidden="false" customHeight="false" outlineLevel="0" collapsed="false">
      <c r="A408" s="83" t="str">
        <f aca="false">IFERROR(IF(INDEX(원자료_잔고!$A$1:$EZ$1500,설정!$L$5+ROW()-1,설정!$L$8)&amp;""="0","",INDEX(원자료_잔고!$A$1:$EZ$1500,설정!$L$5+ROW()-1,설정!$L$8)&amp;""),"")</f>
        <v>WOORIB 4.125 01/27/31</v>
      </c>
      <c r="B408" s="83" t="str">
        <f aca="false">IFERROR(IF(INDEX(원자료_잔고!$A$1:$EZ$1500,설정!$L$5+ROW()-1,설정!$L$7)&amp;""="0","",INDEX(원자료_잔고!$A$1:$EZ$1500,설정!$L$5+ROW()-1,설정!$L$7)&amp;""),"")</f>
        <v>USY9700WAD84</v>
      </c>
      <c r="C408" s="83" t="str">
        <f aca="false">IFERROR(IF(INDEX(원자료_잔고!$A$1:$EZ$1500,설정!$L$5+ROW()-1,설정!$L$9)&amp;""="0","",INDEX(원자료_잔고!$A$1:$EZ$1500,설정!$L$5+ROW()-1,설정!$L$9)&amp;""),"")</f>
        <v>42003</v>
      </c>
      <c r="D40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8" s="84" t="n">
        <f aca="false">IFERROR(IF(ISNUMBER(INDEX(원자료_잔고!$A$1:$EZ$1500,설정!$L$5+ROW()-1,설정!$L$11)),INDEX(원자료_잔고!$A$1:$EZ$1500,설정!$L$5+ROW()-1,설정!$L$11),""),"")</f>
        <v>200000</v>
      </c>
      <c r="F408" s="85" t="n">
        <f aca="false">IFERROR(IF(ISNUMBER(INDEX(원자료_잔고!$A$1:$EZ$1500,설정!$L$5+ROW()-1,설정!$L$12)),INDEX(원자료_잔고!$A$1:$EZ$1500,설정!$L$5+ROW()-1,설정!$L$12),""),"")</f>
        <v>95.2492</v>
      </c>
      <c r="G408" s="85" t="n">
        <f aca="false">IFERROR(IF(ISNUMBER(INDEX(원자료_잔고!$A$1:$EZ$1500,설정!$L$5+ROW()-1,설정!$L$13)),INDEX(원자료_잔고!$A$1:$EZ$1500,설정!$L$5+ROW()-1,설정!$L$13),""),"")</f>
        <v>5.3688</v>
      </c>
      <c r="H408" s="85" t="n">
        <f aca="false">IFERROR(IF(ISNUMBER(INDEX(원자료_잔고!$A$1:$EZ$1500,설정!$L$5+ROW()-1,설정!$L$14)),INDEX(원자료_잔고!$A$1:$EZ$1500,설정!$L$5+ROW()-1,설정!$L$14),""),"")</f>
        <v>3.7885</v>
      </c>
      <c r="I408" s="86" t="n">
        <f aca="false">IFERROR(IF(ISNUMBER(INDEX(원자료_잔고!$A$1:$EZ$1500,설정!$L$5+ROW()-1,설정!$L$15)),INDEX(원자료_잔고!$A$1:$EZ$1500,설정!$L$5+ROW()-1,설정!$L$15),""),"")</f>
        <v>47875</v>
      </c>
      <c r="J408" s="85" t="n">
        <f aca="false">IFERROR(IF(ISNUMBER(INDEX(원자료_잔고!$A$1:$EZ$1500,설정!$L$5+ROW()-1,설정!$L$16)),INDEX(원자료_잔고!$A$1:$EZ$1500,설정!$L$5+ROW()-1,설정!$L$16),""),"")</f>
        <v>4.125</v>
      </c>
      <c r="K408" s="87" t="n">
        <f aca="false">IFERROR(IF(ISNUMBER(INDEX(원자료_잔고!$A$1:$EZ$1500,설정!$L$5+ROW()-1,설정!$L$17)),INDEX(원자료_잔고!$A$1:$EZ$1500,설정!$L$5+ROW()-1,설정!$L$17),""),"")</f>
        <v>1</v>
      </c>
      <c r="L408" s="84" t="n">
        <f aca="false">IFERROR(IF(ISNUMBER(INDEX(원자료_잔고!$A$1:$EZ$1500,설정!$L$5+ROW()-1,설정!$L$18)),INDEX(원자료_잔고!$A$1:$EZ$1500,설정!$L$5+ROW()-1,설정!$L$18),""),"")</f>
        <v>190498.4</v>
      </c>
      <c r="M408" s="88" t="n">
        <f aca="false">IFERROR(IF(ISNUMBER(INDEX(원자료_잔고!$A$1:$EZ$1500,설정!$L$5+ROW()-1,설정!$L$19)),INDEX(원자료_잔고!$A$1:$EZ$1500,설정!$L$5+ROW()-1,설정!$L$19),""),"")</f>
        <v>-9081.6</v>
      </c>
      <c r="N408" s="83" t="str">
        <f aca="false">IFERROR(IF(INDEX(원자료_잔고!$A$1:$EZ$1500,설정!$L$5+ROW()-1,설정!$L$21)&amp;""="0","",INDEX(원자료_잔고!$A$1:$EZ$1500,설정!$L$5+ROW()-1,설정!$L$21)&amp;""),"")</f>
        <v>A+</v>
      </c>
      <c r="O408" s="83" t="str">
        <f aca="false">IFERROR(IF(INDEX(원자료_잔고!$A$1:$EZ$1500,설정!$L$5+ROW()-1,설정!$L$22)&amp;""="0","",INDEX(원자료_잔고!$A$1:$EZ$1500,설정!$L$5+ROW()-1,설정!$L$22)&amp;""),"")</f>
        <v/>
      </c>
      <c r="P408" s="83" t="str">
        <f aca="false">IFERROR(IF(INDEX(원자료_잔고!$A$1:$EZ$1500,설정!$L$5+ROW()-1,설정!$L$23)&amp;""="0","",INDEX(원자료_잔고!$A$1:$EZ$1500,설정!$L$5+ROW()-1,설정!$L$23)&amp;""),"")</f>
        <v>A+</v>
      </c>
      <c r="Q408" s="89" t="n">
        <f aca="false">IF(AND($A408&lt;&gt;"",ISNUMBER(E408)),IF(E408&gt;0,1,0),0)</f>
        <v>1</v>
      </c>
      <c r="R408" s="43" t="str">
        <f aca="false">IF(Q408=1,UPPER(LEFT($A408,FIND(" ",$A408&amp;" ")-1)),"")</f>
        <v>WOORIB</v>
      </c>
      <c r="S408" s="89" t="n">
        <f aca="false">IF(Q408=1,IF(OR(ISNUMBER(SEARCH("Float",$A408)),ISNUMBER(SEARCH("FRN",$A408))),1,0),0)</f>
        <v>0</v>
      </c>
      <c r="T408" s="43" t="str">
        <f aca="false">IF(AND(Q408=1,ISNUMBER(I408)),TEXT(I408,"yyyymmdd")&amp;"|"&amp;IF(S408=1,"F",TEXT(J408,"0.000")),"")</f>
        <v>20310127|4.125</v>
      </c>
      <c r="U408" s="90" t="n">
        <f aca="false">IF(AND(Q408=1,ISNUMBER(I408)),(I408-설정!$C$4)/365.25,"")</f>
        <v>4.32306639288159</v>
      </c>
      <c r="V408" s="43" t="str">
        <f aca="false">IF(Q408&lt;&gt;1,"",IF(ISNUMBER(U408),IF(U408&lt;=1,"1년 이하",IF(U408&lt;=2,"1-2년",IF(U408&lt;=3,"2-3년",IF(U408&lt;=4,"3-4년",IF(U408&lt;=5,"4-5년",IF(U408&lt;=7,"5-7년",IF(U408&lt;=10,"7-10년",IF(U408&lt;=20,"10-20년","20년 이상")))))))),"미분류"))</f>
        <v>4-5년</v>
      </c>
      <c r="W408" s="43" t="str">
        <f aca="false">IF(Q408&lt;&gt;1,"",IF(AB408&lt;&gt;"",INDEX(시장분석!$C:$C,AB408),IF(K408=1,"USD","비USD")))</f>
        <v>USD</v>
      </c>
      <c r="X408" s="91" t="n">
        <f aca="false">IF(Q408=1,E408*K408/1000000,0)</f>
        <v>0.2</v>
      </c>
      <c r="Y408" s="89" t="n">
        <f aca="false">IF(R408="T",1,0)</f>
        <v>0</v>
      </c>
      <c r="Z408" s="92" t="n">
        <f aca="false">IF(Q408&lt;&gt;1,"",IF(AD408=1,IF(ISNUMBER(U408),MAX(U408,0),H408),H408))</f>
        <v>3.7885</v>
      </c>
      <c r="AA408" s="91" t="n">
        <f aca="false">IF(Q408=1,IF(ISNUMBER(L408),L408,0)*K408/1000000,0)</f>
        <v>0.1904984</v>
      </c>
      <c r="AB408" s="89" t="n">
        <f aca="false">IF(Q408&lt;&gt;1,"",IFERROR(MATCH(VLOOKUP(B408,매핑!$H$4:$I$15,2,0),시장분석!$A$2:$A$601,0)+1,IFERROR(MATCH(R408&amp;"|"&amp;T408,시장분석!$V$2:$V$601,0)+1,IF(COUNTIF(시장분석!$U$2:$U$601,T408)=1,MATCH(T408,시장분석!$U$2:$U$601,0)+1,""))))</f>
        <v>206</v>
      </c>
      <c r="AC408" s="89" t="n">
        <f aca="false">IF(Q408&lt;&gt;1,0,IF(OR(설정!$C$5="전체",AND(설정!$C$5="선택펀드",IFERROR(COUNTIFS(설정!$F$16:$F$36,C408,설정!$G$16:$G$36,"Y")+COUNTIFS(설정!$F$16:$F$36,VALUE(C408),설정!$G$16:$G$36,"Y"),0)&gt;0),C408&amp;""=설정!$C$5&amp;""),1,0))</f>
        <v>0</v>
      </c>
      <c r="AD408" s="89" t="n">
        <f aca="false">IF(Q408&lt;&gt;1,0,IF(OR(S408=1,IF(AB408="",FALSE(),INDEX(시장분석!$R:$R,AB408)=1)),1,0))</f>
        <v>0</v>
      </c>
      <c r="AE408" s="43" t="str">
        <f aca="false">IF(AB408="","",INDEX(시장분석!$A:$A,AB408))</f>
        <v>WOORIB 4 1/8 01/27/31</v>
      </c>
      <c r="AF408" s="93" t="n">
        <f aca="false">IF(AB408="","",IF(ISNUMBER(IF(AB408="","",INDEX(시장분석!$E:$E,AB408))),IF(AB408="","",INDEX(시장분석!$E:$E,AB408)),""))</f>
        <v>27.038</v>
      </c>
      <c r="AG408" s="43" t="str">
        <f aca="false">IF(Q408&lt;&gt;1,"",IF(AB408&lt;&gt;"",IF(AB408="","",INDEX(시장분석!$L:$L,AB408)),IFERROR(IF(VLOOKUP(R408,매핑!$A$4:$E$92,5,0)="","미분류",VLOOKUP(R408,매핑!$A$4:$E$92,5,0)),"미분류")))</f>
        <v>금융기관</v>
      </c>
      <c r="AH408" s="43" t="str">
        <f aca="false">IF(Q408&lt;&gt;1,"",IF(AB408&lt;&gt;"",IF(AB408="","",INDEX(시장분석!$N:$N,AB408)),IFERROR(IF(VLOOKUP(R408,매핑!$A$4:$E$92,4,0)="","미분류",VLOOKUP(R408,매핑!$A$4:$E$92,4,0)),"미분류")))</f>
        <v>아시아/기타</v>
      </c>
      <c r="AI408" s="43" t="str">
        <f aca="false">IF(Q408&lt;&gt;1,"",IFERROR(IF(VLOOKUP(R408,매핑!$A$4:$E$92,3,0)="","미분류",VLOOKUP(R408,매핑!$A$4:$E$92,3,0)),IF(AB408&lt;&gt;"",IF(AB408="","",INDEX(시장분석!$W:$W,AB408)),"미분류")))</f>
        <v>한국</v>
      </c>
      <c r="AJ408" s="43" t="str">
        <f aca="false">IF(Q408&lt;&gt;1,"",IFERROR(VLOOKUP(IF(N408&lt;&gt;"",N408,IF(P408&lt;&gt;"",P408,O408)),설정!$A$15:$D$47,2,0),""))</f>
        <v>A+</v>
      </c>
      <c r="AK408" s="43" t="str">
        <f aca="false">IF(Q408&lt;&gt;1,"",IF(AJ408="","무등급",IFERROR(VLOOKUP(AJ408,설정!$A$15:$D$47,3,0),"무등급")))</f>
        <v>A</v>
      </c>
      <c r="AL408" s="89" t="n">
        <f aca="false">IF(AJ408="",99,IFERROR(VLOOKUP(AJ408,설정!$A$15:$D$47,4,0),99))</f>
        <v>5</v>
      </c>
      <c r="AM408" s="94" t="n">
        <f aca="false">IF(ISNUMBER(H408),AA408*1000000*H408/10000,0)</f>
        <v>72.17031884</v>
      </c>
      <c r="AN408" s="94" t="n">
        <f aca="false">IF(OR(Y408=1,NOT(ISNUMBER(Z408))),0,AA408*1000000*Z408/10000)</f>
        <v>72.17031884</v>
      </c>
      <c r="AO408" s="94" t="n">
        <f aca="false">IF(ISNUMBER(G408),AA408*1000000*G408/100,0)</f>
        <v>10227.4780992</v>
      </c>
      <c r="AP408" s="94" t="n">
        <f aca="false">IF(ISNUMBER(M408),M408*K408,0)</f>
        <v>-9081.6</v>
      </c>
      <c r="AQ408" s="95" t="n">
        <f aca="false">IF(AB408="","",INDEX(시장분석!$AK:$AK,AB408))</f>
        <v>-2.06321716483791</v>
      </c>
      <c r="AR408" s="43" t="str">
        <f aca="false">IF(AB408="","-",IF(AB408="","",INDEX(시장분석!$AL:$AL,AB408)))</f>
        <v>Rich</v>
      </c>
      <c r="AS408" s="96" t="n">
        <f aca="false">IF(AB408="","",INDEX(시장분석!$AJ:$AJ,AB408))</f>
        <v>-42.2414572520478</v>
      </c>
      <c r="AT408" s="93" t="n">
        <f aca="false">IF(AB408="",0,IF(AB408="","",INDEX(시장분석!$AN:$AN,AB408)))</f>
        <v>4.04861867574402</v>
      </c>
      <c r="AU408" s="94" t="n">
        <f aca="false">IF(ISNUMBER(Z408),AT408/10000*MAX(Z408-1,0)*AA408*1000000,0)</f>
        <v>215.064562696089</v>
      </c>
      <c r="AV408" s="94" t="n">
        <f aca="false">AO408+AU408</f>
        <v>10442.5426618961</v>
      </c>
      <c r="AW408" s="43" t="str">
        <f aca="false">IF(Q408&lt;&gt;1,"",TRIM(IF(AD408=1,"FRN ","")&amp;IF(AND(AL408&gt;=10,AL408&lt;99),"BBB0미만 ","")&amp;IF(AJ408="","등급없음 ","")&amp;IF(K408&lt;&gt;1,"비USD ","")&amp;IF(AND(AB408="",Y408=0),"시장데이터없음 ","")&amp;IF(AND(ISNUMBER(U408),U408&lt;0),"만기경과 ","")))</f>
        <v/>
      </c>
      <c r="AX408" s="90" t="n">
        <f aca="false">IF(Q408&lt;&gt;1,1,IF(스프레드쇼크!$C$4="Y",INDEX(스프레드쇼크!$B$12:$L$16,IFERROR(MATCH(AH408,스프레드쇼크!$A$12:$A$16,0),MATCH("목록외",스프레드쇼크!$A$12:$A$16,0)),IFERROR(MATCH(AG408,스프레드쇼크!$B$11:$L$11,0),MATCH("목록외",스프레드쇼크!$B$11:$L$11,0))),1))</f>
        <v>1</v>
      </c>
      <c r="AY408" s="90" t="n">
        <f aca="false">IF(스프레드쇼크!$C$5="Y",IF(ISNUMBER(AF408),MIN(스프레드쇼크!$C$7,MAX(스프레드쇼크!$C$6,AF408/스프레드쇼크!$C$8)),1),1)</f>
        <v>0.40896024308655</v>
      </c>
      <c r="AZ408" s="94" t="n">
        <f aca="false">AN408*AX408*AY408</f>
        <v>29.5147911364402</v>
      </c>
      <c r="BA408" s="90" t="n">
        <f aca="false">IF(ISNUMBER(G408),AA408*G408,0)</f>
        <v>1.02274780992</v>
      </c>
      <c r="BB408" s="90" t="n">
        <f aca="false">IF(ISNUMBER(G408),AA408,0)</f>
        <v>0.1904984</v>
      </c>
      <c r="BC408" s="90" t="n">
        <f aca="false">IF(AND(Y408=0,ISNUMBER(AF408)),AA408*AF408,0)</f>
        <v>5.1506957392</v>
      </c>
      <c r="BD408" s="90" t="n">
        <f aca="false">IF(AND(Y408=0,ISNUMBER(AF408)),AA408,0)</f>
        <v>0.1904984</v>
      </c>
      <c r="BE408" s="90" t="n">
        <f aca="false">IF(ISNUMBER(H408),AA408*H408,0)</f>
        <v>0.7217031884</v>
      </c>
      <c r="BF408" s="90" t="n">
        <f aca="false">IF(ISNUMBER(H408),AA408,0)</f>
        <v>0.1904984</v>
      </c>
      <c r="BG408" s="90" t="n">
        <f aca="false">IF(AND(Y408=0,ISNUMBER(AF408),ISNUMBER(Z408)),AA408*Z408,0)</f>
        <v>0.7217031884</v>
      </c>
      <c r="BH408" s="90" t="n">
        <f aca="false">IF(AND(Y408=0,ISNUMBER(AF408),ISNUMBER(Z408)),AA408*AT408*MAX(Z408-1,0),0)</f>
        <v>2.15064562696089</v>
      </c>
      <c r="BI408" s="90" t="n">
        <f aca="false">IF(Y408=0,AA408,0)</f>
        <v>0.1904984</v>
      </c>
    </row>
    <row r="409" customFormat="false" ht="15" hidden="false" customHeight="false" outlineLevel="0" collapsed="false">
      <c r="A409" s="83" t="str">
        <f aca="false">IFERROR(IF(INDEX(원자료_잔고!$A$1:$EZ$1500,설정!$L$5+ROW()-1,설정!$L$8)&amp;""="0","",INDEX(원자료_잔고!$A$1:$EZ$1500,설정!$L$5+ROW()-1,설정!$L$8)&amp;""),"")</f>
        <v>EIBKOR 2.7 04/01/27</v>
      </c>
      <c r="B409" s="83" t="str">
        <f aca="false">IFERROR(IF(INDEX(원자료_잔고!$A$1:$EZ$1500,설정!$L$5+ROW()-1,설정!$L$7)&amp;""="0","",INDEX(원자료_잔고!$A$1:$EZ$1500,설정!$L$5+ROW()-1,설정!$L$7)&amp;""),"")</f>
        <v>XS1211568735</v>
      </c>
      <c r="C409" s="83" t="str">
        <f aca="false">IFERROR(IF(INDEX(원자료_잔고!$A$1:$EZ$1500,설정!$L$5+ROW()-1,설정!$L$9)&amp;""="0","",INDEX(원자료_잔고!$A$1:$EZ$1500,설정!$L$5+ROW()-1,설정!$L$9)&amp;""),"")</f>
        <v>42003</v>
      </c>
      <c r="D40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09" s="84" t="n">
        <f aca="false">IFERROR(IF(ISNUMBER(INDEX(원자료_잔고!$A$1:$EZ$1500,설정!$L$5+ROW()-1,설정!$L$11)),INDEX(원자료_잔고!$A$1:$EZ$1500,설정!$L$5+ROW()-1,설정!$L$11),""),"")</f>
        <v>10000000</v>
      </c>
      <c r="F409" s="85" t="n">
        <f aca="false">IFERROR(IF(ISNUMBER(INDEX(원자료_잔고!$A$1:$EZ$1500,설정!$L$5+ROW()-1,설정!$L$12)),INDEX(원자료_잔고!$A$1:$EZ$1500,설정!$L$5+ROW()-1,설정!$L$12),""),"")</f>
        <v>98.9464</v>
      </c>
      <c r="G409" s="85" t="n">
        <f aca="false">IFERROR(IF(ISNUMBER(INDEX(원자료_잔고!$A$1:$EZ$1500,설정!$L$5+ROW()-1,설정!$L$13)),INDEX(원자료_잔고!$A$1:$EZ$1500,설정!$L$5+ROW()-1,설정!$L$13),""),"")</f>
        <v>4.803</v>
      </c>
      <c r="H409" s="85" t="n">
        <f aca="false">IFERROR(IF(ISNUMBER(INDEX(원자료_잔고!$A$1:$EZ$1500,설정!$L$5+ROW()-1,설정!$L$14)),INDEX(원자료_잔고!$A$1:$EZ$1500,설정!$L$5+ROW()-1,설정!$L$14),""),"")</f>
        <v>0.469</v>
      </c>
      <c r="I409" s="86" t="n">
        <f aca="false">IFERROR(IF(ISNUMBER(INDEX(원자료_잔고!$A$1:$EZ$1500,설정!$L$5+ROW()-1,설정!$L$15)),INDEX(원자료_잔고!$A$1:$EZ$1500,설정!$L$5+ROW()-1,설정!$L$15),""),"")</f>
        <v>46478</v>
      </c>
      <c r="J409" s="85" t="n">
        <f aca="false">IFERROR(IF(ISNUMBER(INDEX(원자료_잔고!$A$1:$EZ$1500,설정!$L$5+ROW()-1,설정!$L$16)),INDEX(원자료_잔고!$A$1:$EZ$1500,설정!$L$5+ROW()-1,설정!$L$16),""),"")</f>
        <v>2.7</v>
      </c>
      <c r="K409" s="87" t="n">
        <f aca="false">IFERROR(IF(ISNUMBER(INDEX(원자료_잔고!$A$1:$EZ$1500,설정!$L$5+ROW()-1,설정!$L$17)),INDEX(원자료_잔고!$A$1:$EZ$1500,설정!$L$5+ROW()-1,설정!$L$17),""),"")</f>
        <v>1</v>
      </c>
      <c r="L409" s="84" t="n">
        <f aca="false">IFERROR(IF(ISNUMBER(INDEX(원자료_잔고!$A$1:$EZ$1500,설정!$L$5+ROW()-1,설정!$L$18)),INDEX(원자료_잔고!$A$1:$EZ$1500,설정!$L$5+ROW()-1,설정!$L$18),""),"")</f>
        <v>9894640</v>
      </c>
      <c r="M409" s="88" t="n">
        <f aca="false">IFERROR(IF(ISNUMBER(INDEX(원자료_잔고!$A$1:$EZ$1500,설정!$L$5+ROW()-1,설정!$L$19)),INDEX(원자료_잔고!$A$1:$EZ$1500,설정!$L$5+ROW()-1,설정!$L$19),""),"")</f>
        <v>24640</v>
      </c>
      <c r="N409" s="83" t="str">
        <f aca="false">IFERROR(IF(INDEX(원자료_잔고!$A$1:$EZ$1500,설정!$L$5+ROW()-1,설정!$L$21)&amp;""="0","",INDEX(원자료_잔고!$A$1:$EZ$1500,설정!$L$5+ROW()-1,설정!$L$21)&amp;""),"")</f>
        <v/>
      </c>
      <c r="O409" s="83" t="str">
        <f aca="false">IFERROR(IF(INDEX(원자료_잔고!$A$1:$EZ$1500,설정!$L$5+ROW()-1,설정!$L$22)&amp;""="0","",INDEX(원자료_잔고!$A$1:$EZ$1500,설정!$L$5+ROW()-1,설정!$L$22)&amp;""),"")</f>
        <v/>
      </c>
      <c r="P409" s="83" t="str">
        <f aca="false">IFERROR(IF(INDEX(원자료_잔고!$A$1:$EZ$1500,설정!$L$5+ROW()-1,설정!$L$23)&amp;""="0","",INDEX(원자료_잔고!$A$1:$EZ$1500,설정!$L$5+ROW()-1,설정!$L$23)&amp;""),"")</f>
        <v>AA-</v>
      </c>
      <c r="Q409" s="89" t="n">
        <f aca="false">IF(AND($A409&lt;&gt;"",ISNUMBER(E409)),IF(E409&gt;0,1,0),0)</f>
        <v>1</v>
      </c>
      <c r="R409" s="43" t="str">
        <f aca="false">IF(Q409=1,UPPER(LEFT($A409,FIND(" ",$A409&amp;" ")-1)),"")</f>
        <v>EIBKOR</v>
      </c>
      <c r="S409" s="89" t="n">
        <f aca="false">IF(Q409=1,IF(OR(ISNUMBER(SEARCH("Float",$A409)),ISNUMBER(SEARCH("FRN",$A409))),1,0),0)</f>
        <v>0</v>
      </c>
      <c r="T409" s="43" t="str">
        <f aca="false">IF(AND(Q409=1,ISNUMBER(I409)),TEXT(I409,"yyyymmdd")&amp;"|"&amp;IF(S409=1,"F",TEXT(J409,"0.000")),"")</f>
        <v>20270401|2.700</v>
      </c>
      <c r="U409" s="90" t="n">
        <f aca="false">IF(AND(Q409=1,ISNUMBER(I409)),(I409-설정!$C$4)/365.25,"")</f>
        <v>0.498288843258042</v>
      </c>
      <c r="V409" s="43" t="str">
        <f aca="false">IF(Q409&lt;&gt;1,"",IF(ISNUMBER(U409),IF(U409&lt;=1,"1년 이하",IF(U409&lt;=2,"1-2년",IF(U409&lt;=3,"2-3년",IF(U409&lt;=4,"3-4년",IF(U409&lt;=5,"4-5년",IF(U409&lt;=7,"5-7년",IF(U409&lt;=10,"7-10년",IF(U409&lt;=20,"10-20년","20년 이상")))))))),"미분류"))</f>
        <v>1년 이하</v>
      </c>
      <c r="W409" s="43" t="str">
        <f aca="false">IF(Q409&lt;&gt;1,"",IF(AB409&lt;&gt;"",INDEX(시장분석!$C:$C,AB409),IF(K409=1,"USD","비USD")))</f>
        <v>USD</v>
      </c>
      <c r="X409" s="91" t="n">
        <f aca="false">IF(Q409=1,E409*K409/1000000,0)</f>
        <v>10</v>
      </c>
      <c r="Y409" s="89" t="n">
        <f aca="false">IF(R409="T",1,0)</f>
        <v>0</v>
      </c>
      <c r="Z409" s="92" t="n">
        <f aca="false">IF(Q409&lt;&gt;1,"",IF(AD409=1,IF(ISNUMBER(U409),MAX(U409,0),H409),H409))</f>
        <v>0.469</v>
      </c>
      <c r="AA409" s="91" t="n">
        <f aca="false">IF(Q409=1,IF(ISNUMBER(L409),L409,0)*K409/1000000,0)</f>
        <v>9.89464</v>
      </c>
      <c r="AB409" s="89" t="n">
        <f aca="false">IF(Q409&lt;&gt;1,"",IFERROR(MATCH(VLOOKUP(B409,매핑!$H$4:$I$15,2,0),시장분석!$A$2:$A$601,0)+1,IFERROR(MATCH(R409&amp;"|"&amp;T409,시장분석!$V$2:$V$601,0)+1,IF(COUNTIF(시장분석!$U$2:$U$601,T409)=1,MATCH(T409,시장분석!$U$2:$U$601,0)+1,""))))</f>
        <v>207</v>
      </c>
      <c r="AC409" s="89" t="n">
        <f aca="false">IF(Q409&lt;&gt;1,0,IF(OR(설정!$C$5="전체",AND(설정!$C$5="선택펀드",IFERROR(COUNTIFS(설정!$F$16:$F$36,C409,설정!$G$16:$G$36,"Y")+COUNTIFS(설정!$F$16:$F$36,VALUE(C409),설정!$G$16:$G$36,"Y"),0)&gt;0),C409&amp;""=설정!$C$5&amp;""),1,0))</f>
        <v>0</v>
      </c>
      <c r="AD409" s="89" t="n">
        <f aca="false">IF(Q409&lt;&gt;1,0,IF(OR(S409=1,IF(AB409="",FALSE(),INDEX(시장분석!$R:$R,AB409)=1)),1,0))</f>
        <v>0</v>
      </c>
      <c r="AE409" s="43" t="str">
        <f aca="false">IF(AB409="","",INDEX(시장분석!$A:$A,AB409))</f>
        <v>EIBKOR 2.7 04/01/27</v>
      </c>
      <c r="AF409" s="93" t="n">
        <f aca="false">IF(AB409="","",IF(ISNUMBER(IF(AB409="","",INDEX(시장분석!$E:$E,AB409))),IF(AB409="","",INDEX(시장분석!$E:$E,AB409)),""))</f>
        <v>12.748</v>
      </c>
      <c r="AG409" s="43" t="str">
        <f aca="false">IF(Q409&lt;&gt;1,"",IF(AB409&lt;&gt;"",IF(AB409="","",INDEX(시장분석!$L:$L,AB409)),IFERROR(IF(VLOOKUP(R409,매핑!$A$4:$E$92,5,0)="","미분류",VLOOKUP(R409,매핑!$A$4:$E$92,5,0)),"미분류")))</f>
        <v>정부</v>
      </c>
      <c r="AH409" s="43" t="str">
        <f aca="false">IF(Q409&lt;&gt;1,"",IF(AB409&lt;&gt;"",IF(AB409="","",INDEX(시장분석!$N:$N,AB409)),IFERROR(IF(VLOOKUP(R409,매핑!$A$4:$E$92,4,0)="","미분류",VLOOKUP(R409,매핑!$A$4:$E$92,4,0)),"미분류")))</f>
        <v>아시아/기타</v>
      </c>
      <c r="AI409" s="43" t="str">
        <f aca="false">IF(Q409&lt;&gt;1,"",IFERROR(IF(VLOOKUP(R409,매핑!$A$4:$E$92,3,0)="","미분류",VLOOKUP(R409,매핑!$A$4:$E$92,3,0)),IF(AB409&lt;&gt;"",IF(AB409="","",INDEX(시장분석!$W:$W,AB409)),"미분류")))</f>
        <v>한국</v>
      </c>
      <c r="AJ409" s="43" t="str">
        <f aca="false">IF(Q409&lt;&gt;1,"",IFERROR(VLOOKUP(IF(N409&lt;&gt;"",N409,IF(P409&lt;&gt;"",P409,O409)),설정!$A$15:$D$47,2,0),""))</f>
        <v>AA-</v>
      </c>
      <c r="AK409" s="43" t="str">
        <f aca="false">IF(Q409&lt;&gt;1,"",IF(AJ409="","무등급",IFERROR(VLOOKUP(AJ409,설정!$A$15:$D$47,3,0),"무등급")))</f>
        <v>AA이상</v>
      </c>
      <c r="AL409" s="89" t="n">
        <f aca="false">IF(AJ409="",99,IFERROR(VLOOKUP(AJ409,설정!$A$15:$D$47,4,0),99))</f>
        <v>4</v>
      </c>
      <c r="AM409" s="94" t="n">
        <f aca="false">IF(ISNUMBER(H409),AA409*1000000*H409/10000,0)</f>
        <v>464.058616</v>
      </c>
      <c r="AN409" s="94" t="n">
        <f aca="false">IF(OR(Y409=1,NOT(ISNUMBER(Z409))),0,AA409*1000000*Z409/10000)</f>
        <v>464.058616</v>
      </c>
      <c r="AO409" s="94" t="n">
        <f aca="false">IF(ISNUMBER(G409),AA409*1000000*G409/100,0)</f>
        <v>475239.5592</v>
      </c>
      <c r="AP409" s="94" t="n">
        <f aca="false">IF(ISNUMBER(M409),M409*K409,0)</f>
        <v>24640</v>
      </c>
      <c r="AQ409" s="95" t="str">
        <f aca="false">IF(AB409="","",INDEX(시장분석!$AK:$AK,AB409))</f>
        <v/>
      </c>
      <c r="AR409" s="43" t="str">
        <f aca="false">IF(AB409="","-",IF(AB409="","",INDEX(시장분석!$AL:$AL,AB409)))</f>
        <v>-</v>
      </c>
      <c r="AS409" s="96" t="str">
        <f aca="false">IF(AB409="","",INDEX(시장분석!$AJ:$AJ,AB409))</f>
        <v/>
      </c>
      <c r="AT409" s="93" t="n">
        <f aca="false">IF(AB409="",0,IF(AB409="","",INDEX(시장분석!$AN:$AN,AB409)))</f>
        <v>0</v>
      </c>
      <c r="AU409" s="94" t="n">
        <f aca="false">IF(ISNUMBER(Z409),AT409/10000*MAX(Z409-1,0)*AA409*1000000,0)</f>
        <v>0</v>
      </c>
      <c r="AV409" s="94" t="n">
        <f aca="false">AO409+AU409</f>
        <v>475239.5592</v>
      </c>
      <c r="AW409" s="43" t="str">
        <f aca="false">IF(Q409&lt;&gt;1,"",TRIM(IF(AD409=1,"FRN ","")&amp;IF(AND(AL409&gt;=10,AL409&lt;99),"BBB0미만 ","")&amp;IF(AJ409="","등급없음 ","")&amp;IF(K409&lt;&gt;1,"비USD ","")&amp;IF(AND(AB409="",Y409=0),"시장데이터없음 ","")&amp;IF(AND(ISNUMBER(U409),U409&lt;0),"만기경과 ","")))</f>
        <v/>
      </c>
      <c r="AX409" s="90" t="n">
        <f aca="false">IF(Q409&lt;&gt;1,1,IF(스프레드쇼크!$C$4="Y",INDEX(스프레드쇼크!$B$12:$L$16,IFERROR(MATCH(AH409,스프레드쇼크!$A$12:$A$16,0),MATCH("목록외",스프레드쇼크!$A$12:$A$16,0)),IFERROR(MATCH(AG409,스프레드쇼크!$B$11:$L$11,0),MATCH("목록외",스프레드쇼크!$B$11:$L$11,0))),1))</f>
        <v>1</v>
      </c>
      <c r="AY409" s="90" t="n">
        <f aca="false">IF(스프레드쇼크!$C$5="Y",IF(ISNUMBER(AF409),MIN(스프레드쇼크!$C$7,MAX(스프레드쇼크!$C$6,AF409/스프레드쇼크!$C$8)),1),1)</f>
        <v>0.25</v>
      </c>
      <c r="AZ409" s="94" t="n">
        <f aca="false">AN409*AX409*AY409</f>
        <v>116.014654</v>
      </c>
      <c r="BA409" s="90" t="n">
        <f aca="false">IF(ISNUMBER(G409),AA409*G409,0)</f>
        <v>47.52395592</v>
      </c>
      <c r="BB409" s="90" t="n">
        <f aca="false">IF(ISNUMBER(G409),AA409,0)</f>
        <v>9.89464</v>
      </c>
      <c r="BC409" s="90" t="n">
        <f aca="false">IF(AND(Y409=0,ISNUMBER(AF409)),AA409*AF409,0)</f>
        <v>126.13687072</v>
      </c>
      <c r="BD409" s="90" t="n">
        <f aca="false">IF(AND(Y409=0,ISNUMBER(AF409)),AA409,0)</f>
        <v>9.89464</v>
      </c>
      <c r="BE409" s="90" t="n">
        <f aca="false">IF(ISNUMBER(H409),AA409*H409,0)</f>
        <v>4.64058616</v>
      </c>
      <c r="BF409" s="90" t="n">
        <f aca="false">IF(ISNUMBER(H409),AA409,0)</f>
        <v>9.89464</v>
      </c>
      <c r="BG409" s="90" t="n">
        <f aca="false">IF(AND(Y409=0,ISNUMBER(AF409),ISNUMBER(Z409)),AA409*Z409,0)</f>
        <v>4.64058616</v>
      </c>
      <c r="BH409" s="90" t="n">
        <f aca="false">IF(AND(Y409=0,ISNUMBER(AF409),ISNUMBER(Z409)),AA409*AT409*MAX(Z409-1,0),0)</f>
        <v>0</v>
      </c>
      <c r="BI409" s="90" t="n">
        <f aca="false">IF(Y409=0,AA409,0)</f>
        <v>9.89464</v>
      </c>
    </row>
    <row r="410" customFormat="false" ht="15" hidden="false" customHeight="false" outlineLevel="0" collapsed="false">
      <c r="A410" s="83" t="str">
        <f aca="false">IFERROR(IF(INDEX(원자료_잔고!$A$1:$EZ$1500,설정!$L$5+ROW()-1,설정!$L$8)&amp;""="0","",INDEX(원자료_잔고!$A$1:$EZ$1500,설정!$L$5+ROW()-1,설정!$L$8)&amp;""),"")</f>
        <v>HYUSEC 2.125 11/01/26</v>
      </c>
      <c r="B410" s="83" t="str">
        <f aca="false">IFERROR(IF(INDEX(원자료_잔고!$A$1:$EZ$1500,설정!$L$5+ROW()-1,설정!$L$7)&amp;""="0","",INDEX(원자료_잔고!$A$1:$EZ$1500,설정!$L$5+ROW()-1,설정!$L$7)&amp;""),"")</f>
        <v>XS2393758987</v>
      </c>
      <c r="C410" s="83" t="str">
        <f aca="false">IFERROR(IF(INDEX(원자료_잔고!$A$1:$EZ$1500,설정!$L$5+ROW()-1,설정!$L$9)&amp;""="0","",INDEX(원자료_잔고!$A$1:$EZ$1500,설정!$L$5+ROW()-1,설정!$L$9)&amp;""),"")</f>
        <v>42003</v>
      </c>
      <c r="D41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0" s="84" t="n">
        <f aca="false">IFERROR(IF(ISNUMBER(INDEX(원자료_잔고!$A$1:$EZ$1500,설정!$L$5+ROW()-1,설정!$L$11)),INDEX(원자료_잔고!$A$1:$EZ$1500,설정!$L$5+ROW()-1,설정!$L$11),""),"")</f>
        <v>2000000</v>
      </c>
      <c r="F410" s="85" t="n">
        <f aca="false">IFERROR(IF(ISNUMBER(INDEX(원자료_잔고!$A$1:$EZ$1500,설정!$L$5+ROW()-1,설정!$L$12)),INDEX(원자료_잔고!$A$1:$EZ$1500,설정!$L$5+ROW()-1,설정!$L$12),""),"")</f>
        <v>99.7392</v>
      </c>
      <c r="G410" s="85" t="n">
        <f aca="false">IFERROR(IF(ISNUMBER(INDEX(원자료_잔고!$A$1:$EZ$1500,설정!$L$5+ROW()-1,설정!$L$13)),INDEX(원자료_잔고!$A$1:$EZ$1500,설정!$L$5+ROW()-1,설정!$L$13),""),"")</f>
        <v>5.1187</v>
      </c>
      <c r="H410" s="85" t="n">
        <f aca="false">IFERROR(IF(ISNUMBER(INDEX(원자료_잔고!$A$1:$EZ$1500,설정!$L$5+ROW()-1,설정!$L$14)),INDEX(원자료_잔고!$A$1:$EZ$1500,설정!$L$5+ROW()-1,설정!$L$14),""),"")</f>
        <v>0.0841</v>
      </c>
      <c r="I410" s="86" t="n">
        <f aca="false">IFERROR(IF(ISNUMBER(INDEX(원자료_잔고!$A$1:$EZ$1500,설정!$L$5+ROW()-1,설정!$L$15)),INDEX(원자료_잔고!$A$1:$EZ$1500,설정!$L$5+ROW()-1,설정!$L$15),""),"")</f>
        <v>46327</v>
      </c>
      <c r="J410" s="85" t="n">
        <f aca="false">IFERROR(IF(ISNUMBER(INDEX(원자료_잔고!$A$1:$EZ$1500,설정!$L$5+ROW()-1,설정!$L$16)),INDEX(원자료_잔고!$A$1:$EZ$1500,설정!$L$5+ROW()-1,설정!$L$16),""),"")</f>
        <v>2.125</v>
      </c>
      <c r="K410" s="87" t="n">
        <f aca="false">IFERROR(IF(ISNUMBER(INDEX(원자료_잔고!$A$1:$EZ$1500,설정!$L$5+ROW()-1,설정!$L$17)),INDEX(원자료_잔고!$A$1:$EZ$1500,설정!$L$5+ROW()-1,설정!$L$17),""),"")</f>
        <v>1</v>
      </c>
      <c r="L410" s="84" t="n">
        <f aca="false">IFERROR(IF(ISNUMBER(INDEX(원자료_잔고!$A$1:$EZ$1500,설정!$L$5+ROW()-1,설정!$L$18)),INDEX(원자료_잔고!$A$1:$EZ$1500,설정!$L$5+ROW()-1,설정!$L$18),""),"")</f>
        <v>1994784</v>
      </c>
      <c r="M410" s="88" t="n">
        <f aca="false">IFERROR(IF(ISNUMBER(INDEX(원자료_잔고!$A$1:$EZ$1500,설정!$L$5+ROW()-1,설정!$L$19)),INDEX(원자료_잔고!$A$1:$EZ$1500,설정!$L$5+ROW()-1,설정!$L$19),""),"")</f>
        <v>20984</v>
      </c>
      <c r="N410" s="83" t="str">
        <f aca="false">IFERROR(IF(INDEX(원자료_잔고!$A$1:$EZ$1500,설정!$L$5+ROW()-1,설정!$L$21)&amp;""="0","",INDEX(원자료_잔고!$A$1:$EZ$1500,설정!$L$5+ROW()-1,설정!$L$21)&amp;""),"")</f>
        <v>A-</v>
      </c>
      <c r="O410" s="83" t="str">
        <f aca="false">IFERROR(IF(INDEX(원자료_잔고!$A$1:$EZ$1500,설정!$L$5+ROW()-1,설정!$L$22)&amp;""="0","",INDEX(원자료_잔고!$A$1:$EZ$1500,설정!$L$5+ROW()-1,설정!$L$22)&amp;""),"")</f>
        <v/>
      </c>
      <c r="P410" s="83" t="str">
        <f aca="false">IFERROR(IF(INDEX(원자료_잔고!$A$1:$EZ$1500,설정!$L$5+ROW()-1,설정!$L$23)&amp;""="0","",INDEX(원자료_잔고!$A$1:$EZ$1500,설정!$L$5+ROW()-1,설정!$L$23)&amp;""),"")</f>
        <v>N/A</v>
      </c>
      <c r="Q410" s="89" t="n">
        <f aca="false">IF(AND($A410&lt;&gt;"",ISNUMBER(E410)),IF(E410&gt;0,1,0),0)</f>
        <v>1</v>
      </c>
      <c r="R410" s="43" t="str">
        <f aca="false">IF(Q410=1,UPPER(LEFT($A410,FIND(" ",$A410&amp;" ")-1)),"")</f>
        <v>HYUSEC</v>
      </c>
      <c r="S410" s="89" t="n">
        <f aca="false">IF(Q410=1,IF(OR(ISNUMBER(SEARCH("Float",$A410)),ISNUMBER(SEARCH("FRN",$A410))),1,0),0)</f>
        <v>0</v>
      </c>
      <c r="T410" s="43" t="str">
        <f aca="false">IF(AND(Q410=1,ISNUMBER(I410)),TEXT(I410,"yyyymmdd")&amp;"|"&amp;IF(S410=1,"F",TEXT(J410,"0.000")),"")</f>
        <v>20261101|2.125</v>
      </c>
      <c r="U410" s="90" t="n">
        <f aca="false">IF(AND(Q410=1,ISNUMBER(I410)),(I410-설정!$C$4)/365.25,"")</f>
        <v>0.0848733744010951</v>
      </c>
      <c r="V410" s="43" t="str">
        <f aca="false">IF(Q410&lt;&gt;1,"",IF(ISNUMBER(U410),IF(U410&lt;=1,"1년 이하",IF(U410&lt;=2,"1-2년",IF(U410&lt;=3,"2-3년",IF(U410&lt;=4,"3-4년",IF(U410&lt;=5,"4-5년",IF(U410&lt;=7,"5-7년",IF(U410&lt;=10,"7-10년",IF(U410&lt;=20,"10-20년","20년 이상")))))))),"미분류"))</f>
        <v>1년 이하</v>
      </c>
      <c r="W410" s="43" t="str">
        <f aca="false">IF(Q410&lt;&gt;1,"",IF(AB410&lt;&gt;"",INDEX(시장분석!$C:$C,AB410),IF(K410=1,"USD","비USD")))</f>
        <v>USD</v>
      </c>
      <c r="X410" s="91" t="n">
        <f aca="false">IF(Q410=1,E410*K410/1000000,0)</f>
        <v>2</v>
      </c>
      <c r="Y410" s="89" t="n">
        <f aca="false">IF(R410="T",1,0)</f>
        <v>0</v>
      </c>
      <c r="Z410" s="92" t="n">
        <f aca="false">IF(Q410&lt;&gt;1,"",IF(AD410=1,IF(ISNUMBER(U410),MAX(U410,0),H410),H410))</f>
        <v>0.0841</v>
      </c>
      <c r="AA410" s="91" t="n">
        <f aca="false">IF(Q410=1,IF(ISNUMBER(L410),L410,0)*K410/1000000,0)</f>
        <v>1.994784</v>
      </c>
      <c r="AB410" s="89" t="n">
        <f aca="false">IF(Q410&lt;&gt;1,"",IFERROR(MATCH(VLOOKUP(B410,매핑!$H$4:$I$15,2,0),시장분석!$A$2:$A$601,0)+1,IFERROR(MATCH(R410&amp;"|"&amp;T410,시장분석!$V$2:$V$601,0)+1,IF(COUNTIF(시장분석!$U$2:$U$601,T410)=1,MATCH(T410,시장분석!$U$2:$U$601,0)+1,""))))</f>
        <v>215</v>
      </c>
      <c r="AC410" s="89" t="n">
        <f aca="false">IF(Q410&lt;&gt;1,0,IF(OR(설정!$C$5="전체",AND(설정!$C$5="선택펀드",IFERROR(COUNTIFS(설정!$F$16:$F$36,C410,설정!$G$16:$G$36,"Y")+COUNTIFS(설정!$F$16:$F$36,VALUE(C410),설정!$G$16:$G$36,"Y"),0)&gt;0),C410&amp;""=설정!$C$5&amp;""),1,0))</f>
        <v>0</v>
      </c>
      <c r="AD410" s="89" t="n">
        <f aca="false">IF(Q410&lt;&gt;1,0,IF(OR(S410=1,IF(AB410="",FALSE(),INDEX(시장분석!$R:$R,AB410)=1)),1,0))</f>
        <v>0</v>
      </c>
      <c r="AE410" s="43" t="str">
        <f aca="false">IF(AB410="","",INDEX(시장분석!$A:$A,AB410))</f>
        <v>HYUSEC 2 1/8 11/01/26</v>
      </c>
      <c r="AF410" s="93" t="n">
        <f aca="false">IF(AB410="","",IF(ISNUMBER(IF(AB410="","",INDEX(시장분석!$E:$E,AB410))),IF(AB410="","",INDEX(시장분석!$E:$E,AB410)),""))</f>
        <v>-18.113</v>
      </c>
      <c r="AG410" s="43" t="str">
        <f aca="false">IF(Q410&lt;&gt;1,"",IF(AB410&lt;&gt;"",IF(AB410="","",INDEX(시장분석!$L:$L,AB410)),IFERROR(IF(VLOOKUP(R410,매핑!$A$4:$E$92,5,0)="","미분류",VLOOKUP(R410,매핑!$A$4:$E$92,5,0)),"미분류")))</f>
        <v>금융기관</v>
      </c>
      <c r="AH410" s="43" t="str">
        <f aca="false">IF(Q410&lt;&gt;1,"",IF(AB410&lt;&gt;"",IF(AB410="","",INDEX(시장분석!$N:$N,AB410)),IFERROR(IF(VLOOKUP(R410,매핑!$A$4:$E$92,4,0)="","미분류",VLOOKUP(R410,매핑!$A$4:$E$92,4,0)),"미분류")))</f>
        <v>아시아/기타</v>
      </c>
      <c r="AI410" s="43" t="str">
        <f aca="false">IF(Q410&lt;&gt;1,"",IFERROR(IF(VLOOKUP(R410,매핑!$A$4:$E$92,3,0)="","미분류",VLOOKUP(R410,매핑!$A$4:$E$92,3,0)),IF(AB410&lt;&gt;"",IF(AB410="","",INDEX(시장분석!$W:$W,AB410)),"미분류")))</f>
        <v>한국</v>
      </c>
      <c r="AJ410" s="43" t="str">
        <f aca="false">IF(Q410&lt;&gt;1,"",IFERROR(VLOOKUP(IF(N410&lt;&gt;"",N410,IF(P410&lt;&gt;"",P410,O410)),설정!$A$15:$D$47,2,0),""))</f>
        <v>A-</v>
      </c>
      <c r="AK410" s="43" t="str">
        <f aca="false">IF(Q410&lt;&gt;1,"",IF(AJ410="","무등급",IFERROR(VLOOKUP(AJ410,설정!$A$15:$D$47,3,0),"무등급")))</f>
        <v>A</v>
      </c>
      <c r="AL410" s="89" t="n">
        <f aca="false">IF(AJ410="",99,IFERROR(VLOOKUP(AJ410,설정!$A$15:$D$47,4,0),99))</f>
        <v>7</v>
      </c>
      <c r="AM410" s="94" t="n">
        <f aca="false">IF(ISNUMBER(H410),AA410*1000000*H410/10000,0)</f>
        <v>16.77613344</v>
      </c>
      <c r="AN410" s="94" t="n">
        <f aca="false">IF(OR(Y410=1,NOT(ISNUMBER(Z410))),0,AA410*1000000*Z410/10000)</f>
        <v>16.77613344</v>
      </c>
      <c r="AO410" s="94" t="n">
        <f aca="false">IF(ISNUMBER(G410),AA410*1000000*G410/100,0)</f>
        <v>102107.008608</v>
      </c>
      <c r="AP410" s="94" t="n">
        <f aca="false">IF(ISNUMBER(M410),M410*K410,0)</f>
        <v>20984</v>
      </c>
      <c r="AQ410" s="95" t="str">
        <f aca="false">IF(AB410="","",INDEX(시장분석!$AK:$AK,AB410))</f>
        <v/>
      </c>
      <c r="AR410" s="43" t="str">
        <f aca="false">IF(AB410="","-",IF(AB410="","",INDEX(시장분석!$AL:$AL,AB410)))</f>
        <v>-</v>
      </c>
      <c r="AS410" s="96" t="str">
        <f aca="false">IF(AB410="","",INDEX(시장분석!$AJ:$AJ,AB410))</f>
        <v/>
      </c>
      <c r="AT410" s="93" t="n">
        <f aca="false">IF(AB410="",0,IF(AB410="","",INDEX(시장분석!$AN:$AN,AB410)))</f>
        <v>0</v>
      </c>
      <c r="AU410" s="94" t="n">
        <f aca="false">IF(ISNUMBER(Z410),AT410/10000*MAX(Z410-1,0)*AA410*1000000,0)</f>
        <v>0</v>
      </c>
      <c r="AV410" s="94" t="n">
        <f aca="false">AO410+AU410</f>
        <v>102107.008608</v>
      </c>
      <c r="AW410" s="43" t="str">
        <f aca="false">IF(Q410&lt;&gt;1,"",TRIM(IF(AD410=1,"FRN ","")&amp;IF(AND(AL410&gt;=10,AL410&lt;99),"BBB0미만 ","")&amp;IF(AJ410="","등급없음 ","")&amp;IF(K410&lt;&gt;1,"비USD ","")&amp;IF(AND(AB410="",Y410=0),"시장데이터없음 ","")&amp;IF(AND(ISNUMBER(U410),U410&lt;0),"만기경과 ","")))</f>
        <v/>
      </c>
      <c r="AX410" s="90" t="n">
        <f aca="false">IF(Q410&lt;&gt;1,1,IF(스프레드쇼크!$C$4="Y",INDEX(스프레드쇼크!$B$12:$L$16,IFERROR(MATCH(AH410,스프레드쇼크!$A$12:$A$16,0),MATCH("목록외",스프레드쇼크!$A$12:$A$16,0)),IFERROR(MATCH(AG410,스프레드쇼크!$B$11:$L$11,0),MATCH("목록외",스프레드쇼크!$B$11:$L$11,0))),1))</f>
        <v>1</v>
      </c>
      <c r="AY410" s="90" t="n">
        <f aca="false">IF(스프레드쇼크!$C$5="Y",IF(ISNUMBER(AF410),MIN(스프레드쇼크!$C$7,MAX(스프레드쇼크!$C$6,AF410/스프레드쇼크!$C$8)),1),1)</f>
        <v>0.25</v>
      </c>
      <c r="AZ410" s="94" t="n">
        <f aca="false">AN410*AX410*AY410</f>
        <v>4.19403336</v>
      </c>
      <c r="BA410" s="90" t="n">
        <f aca="false">IF(ISNUMBER(G410),AA410*G410,0)</f>
        <v>10.2107008608</v>
      </c>
      <c r="BB410" s="90" t="n">
        <f aca="false">IF(ISNUMBER(G410),AA410,0)</f>
        <v>1.994784</v>
      </c>
      <c r="BC410" s="90" t="n">
        <f aca="false">IF(AND(Y410=0,ISNUMBER(AF410)),AA410*AF410,0)</f>
        <v>-36.131522592</v>
      </c>
      <c r="BD410" s="90" t="n">
        <f aca="false">IF(AND(Y410=0,ISNUMBER(AF410)),AA410,0)</f>
        <v>1.994784</v>
      </c>
      <c r="BE410" s="90" t="n">
        <f aca="false">IF(ISNUMBER(H410),AA410*H410,0)</f>
        <v>0.1677613344</v>
      </c>
      <c r="BF410" s="90" t="n">
        <f aca="false">IF(ISNUMBER(H410),AA410,0)</f>
        <v>1.994784</v>
      </c>
      <c r="BG410" s="90" t="n">
        <f aca="false">IF(AND(Y410=0,ISNUMBER(AF410),ISNUMBER(Z410)),AA410*Z410,0)</f>
        <v>0.1677613344</v>
      </c>
      <c r="BH410" s="90" t="n">
        <f aca="false">IF(AND(Y410=0,ISNUMBER(AF410),ISNUMBER(Z410)),AA410*AT410*MAX(Z410-1,0),0)</f>
        <v>0</v>
      </c>
      <c r="BI410" s="90" t="n">
        <f aca="false">IF(Y410=0,AA410,0)</f>
        <v>1.994784</v>
      </c>
    </row>
    <row r="411" customFormat="false" ht="15" hidden="false" customHeight="false" outlineLevel="0" collapsed="false">
      <c r="A411" s="83" t="str">
        <f aca="false">IFERROR(IF(INDEX(원자료_잔고!$A$1:$EZ$1500,설정!$L$5+ROW()-1,설정!$L$8)&amp;""="0","",INDEX(원자료_잔고!$A$1:$EZ$1500,설정!$L$5+ROW()-1,설정!$L$8)&amp;""),"")</f>
        <v>KOMRMR 4.125 04/20/27</v>
      </c>
      <c r="B411" s="83" t="str">
        <f aca="false">IFERROR(IF(INDEX(원자료_잔고!$A$1:$EZ$1500,설정!$L$5+ROW()-1,설정!$L$7)&amp;""="0","",INDEX(원자료_잔고!$A$1:$EZ$1500,설정!$L$5+ROW()-1,설정!$L$7)&amp;""),"")</f>
        <v>XS2457676257</v>
      </c>
      <c r="C411" s="83" t="str">
        <f aca="false">IFERROR(IF(INDEX(원자료_잔고!$A$1:$EZ$1500,설정!$L$5+ROW()-1,설정!$L$9)&amp;""="0","",INDEX(원자료_잔고!$A$1:$EZ$1500,설정!$L$5+ROW()-1,설정!$L$9)&amp;""),"")</f>
        <v>42003</v>
      </c>
      <c r="D41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1" s="84" t="n">
        <f aca="false">IFERROR(IF(ISNUMBER(INDEX(원자료_잔고!$A$1:$EZ$1500,설정!$L$5+ROW()-1,설정!$L$11)),INDEX(원자료_잔고!$A$1:$EZ$1500,설정!$L$5+ROW()-1,설정!$L$11),""),"")</f>
        <v>8266000</v>
      </c>
      <c r="F411" s="85" t="n">
        <f aca="false">IFERROR(IF(ISNUMBER(INDEX(원자료_잔고!$A$1:$EZ$1500,설정!$L$5+ROW()-1,설정!$L$12)),INDEX(원자료_잔고!$A$1:$EZ$1500,설정!$L$5+ROW()-1,설정!$L$12),""),"")</f>
        <v>99.5323</v>
      </c>
      <c r="G411" s="85" t="n">
        <f aca="false">IFERROR(IF(ISNUMBER(INDEX(원자료_잔고!$A$1:$EZ$1500,설정!$L$5+ROW()-1,설정!$L$13)),INDEX(원자료_잔고!$A$1:$EZ$1500,설정!$L$5+ROW()-1,설정!$L$13),""),"")</f>
        <v>4.9851</v>
      </c>
      <c r="H411" s="85" t="n">
        <f aca="false">IFERROR(IF(ISNUMBER(INDEX(원자료_잔고!$A$1:$EZ$1500,설정!$L$5+ROW()-1,설정!$L$14)),INDEX(원자료_잔고!$A$1:$EZ$1500,설정!$L$5+ROW()-1,설정!$L$14),""),"")</f>
        <v>0.5197</v>
      </c>
      <c r="I411" s="86" t="n">
        <f aca="false">IFERROR(IF(ISNUMBER(INDEX(원자료_잔고!$A$1:$EZ$1500,설정!$L$5+ROW()-1,설정!$L$15)),INDEX(원자료_잔고!$A$1:$EZ$1500,설정!$L$5+ROW()-1,설정!$L$15),""),"")</f>
        <v>46497</v>
      </c>
      <c r="J411" s="85" t="n">
        <f aca="false">IFERROR(IF(ISNUMBER(INDEX(원자료_잔고!$A$1:$EZ$1500,설정!$L$5+ROW()-1,설정!$L$16)),INDEX(원자료_잔고!$A$1:$EZ$1500,설정!$L$5+ROW()-1,설정!$L$16),""),"")</f>
        <v>4.125</v>
      </c>
      <c r="K411" s="87" t="n">
        <f aca="false">IFERROR(IF(ISNUMBER(INDEX(원자료_잔고!$A$1:$EZ$1500,설정!$L$5+ROW()-1,설정!$L$17)),INDEX(원자료_잔고!$A$1:$EZ$1500,설정!$L$5+ROW()-1,설정!$L$17),""),"")</f>
        <v>1</v>
      </c>
      <c r="L411" s="84" t="n">
        <f aca="false">IFERROR(IF(ISNUMBER(INDEX(원자료_잔고!$A$1:$EZ$1500,설정!$L$5+ROW()-1,설정!$L$18)),INDEX(원자료_잔고!$A$1:$EZ$1500,설정!$L$5+ROW()-1,설정!$L$18),""),"")</f>
        <v>8227339.92</v>
      </c>
      <c r="M411" s="88" t="n">
        <f aca="false">IFERROR(IF(ISNUMBER(INDEX(원자료_잔고!$A$1:$EZ$1500,설정!$L$5+ROW()-1,설정!$L$19)),INDEX(원자료_잔고!$A$1:$EZ$1500,설정!$L$5+ROW()-1,설정!$L$19),""),"")</f>
        <v>-41577.98</v>
      </c>
      <c r="N411" s="83" t="str">
        <f aca="false">IFERROR(IF(INDEX(원자료_잔고!$A$1:$EZ$1500,설정!$L$5+ROW()-1,설정!$L$21)&amp;""="0","",INDEX(원자료_잔고!$A$1:$EZ$1500,설정!$L$5+ROW()-1,설정!$L$21)&amp;""),"")</f>
        <v>A+</v>
      </c>
      <c r="O411" s="83" t="str">
        <f aca="false">IFERROR(IF(INDEX(원자료_잔고!$A$1:$EZ$1500,설정!$L$5+ROW()-1,설정!$L$22)&amp;""="0","",INDEX(원자료_잔고!$A$1:$EZ$1500,설정!$L$5+ROW()-1,설정!$L$22)&amp;""),"")</f>
        <v/>
      </c>
      <c r="P411" s="83" t="str">
        <f aca="false">IFERROR(IF(INDEX(원자료_잔고!$A$1:$EZ$1500,설정!$L$5+ROW()-1,설정!$L$23)&amp;""="0","",INDEX(원자료_잔고!$A$1:$EZ$1500,설정!$L$5+ROW()-1,설정!$L$23)&amp;""),"")</f>
        <v>N/A</v>
      </c>
      <c r="Q411" s="89" t="n">
        <f aca="false">IF(AND($A411&lt;&gt;"",ISNUMBER(E411)),IF(E411&gt;0,1,0),0)</f>
        <v>1</v>
      </c>
      <c r="R411" s="43" t="str">
        <f aca="false">IF(Q411=1,UPPER(LEFT($A411,FIND(" ",$A411&amp;" ")-1)),"")</f>
        <v>KOMRMR</v>
      </c>
      <c r="S411" s="89" t="n">
        <f aca="false">IF(Q411=1,IF(OR(ISNUMBER(SEARCH("Float",$A411)),ISNUMBER(SEARCH("FRN",$A411))),1,0),0)</f>
        <v>0</v>
      </c>
      <c r="T411" s="43" t="str">
        <f aca="false">IF(AND(Q411=1,ISNUMBER(I411)),TEXT(I411,"yyyymmdd")&amp;"|"&amp;IF(S411=1,"F",TEXT(J411,"0.000")),"")</f>
        <v>20270420|4.125</v>
      </c>
      <c r="U411" s="90" t="n">
        <f aca="false">IF(AND(Q411=1,ISNUMBER(I411)),(I411-설정!$C$4)/365.25,"")</f>
        <v>0.550308008213552</v>
      </c>
      <c r="V411" s="43" t="str">
        <f aca="false">IF(Q411&lt;&gt;1,"",IF(ISNUMBER(U411),IF(U411&lt;=1,"1년 이하",IF(U411&lt;=2,"1-2년",IF(U411&lt;=3,"2-3년",IF(U411&lt;=4,"3-4년",IF(U411&lt;=5,"4-5년",IF(U411&lt;=7,"5-7년",IF(U411&lt;=10,"7-10년",IF(U411&lt;=20,"10-20년","20년 이상")))))))),"미분류"))</f>
        <v>1년 이하</v>
      </c>
      <c r="W411" s="43" t="str">
        <f aca="false">IF(Q411&lt;&gt;1,"",IF(AB411&lt;&gt;"",INDEX(시장분석!$C:$C,AB411),IF(K411=1,"USD","비USD")))</f>
        <v>USD</v>
      </c>
      <c r="X411" s="91" t="n">
        <f aca="false">IF(Q411=1,E411*K411/1000000,0)</f>
        <v>8.266</v>
      </c>
      <c r="Y411" s="89" t="n">
        <f aca="false">IF(R411="T",1,0)</f>
        <v>0</v>
      </c>
      <c r="Z411" s="92" t="n">
        <f aca="false">IF(Q411&lt;&gt;1,"",IF(AD411=1,IF(ISNUMBER(U411),MAX(U411,0),H411),H411))</f>
        <v>0.5197</v>
      </c>
      <c r="AA411" s="91" t="n">
        <f aca="false">IF(Q411=1,IF(ISNUMBER(L411),L411,0)*K411/1000000,0)</f>
        <v>8.22733992</v>
      </c>
      <c r="AB411" s="89" t="n">
        <f aca="false">IF(Q411&lt;&gt;1,"",IFERROR(MATCH(VLOOKUP(B411,매핑!$H$4:$I$15,2,0),시장분석!$A$2:$A$601,0)+1,IFERROR(MATCH(R411&amp;"|"&amp;T411,시장분석!$V$2:$V$601,0)+1,IF(COUNTIF(시장분석!$U$2:$U$601,T411)=1,MATCH(T411,시장분석!$U$2:$U$601,0)+1,""))))</f>
        <v>217</v>
      </c>
      <c r="AC411" s="89" t="n">
        <f aca="false">IF(Q411&lt;&gt;1,0,IF(OR(설정!$C$5="전체",AND(설정!$C$5="선택펀드",IFERROR(COUNTIFS(설정!$F$16:$F$36,C411,설정!$G$16:$G$36,"Y")+COUNTIFS(설정!$F$16:$F$36,VALUE(C411),설정!$G$16:$G$36,"Y"),0)&gt;0),C411&amp;""=설정!$C$5&amp;""),1,0))</f>
        <v>0</v>
      </c>
      <c r="AD411" s="89" t="n">
        <f aca="false">IF(Q411&lt;&gt;1,0,IF(OR(S411=1,IF(AB411="",FALSE(),INDEX(시장분석!$R:$R,AB411)=1)),1,0))</f>
        <v>0</v>
      </c>
      <c r="AE411" s="43" t="str">
        <f aca="false">IF(AB411="","",INDEX(시장분석!$A:$A,AB411))</f>
        <v>KOMRMR 4 1/8 04/20/27</v>
      </c>
      <c r="AF411" s="93" t="n">
        <f aca="false">IF(AB411="","",IF(ISNUMBER(IF(AB411="","",INDEX(시장분석!$E:$E,AB411))),IF(AB411="","",INDEX(시장분석!$E:$E,AB411)),""))</f>
        <v>-22.867</v>
      </c>
      <c r="AG411" s="43" t="str">
        <f aca="false">IF(Q411&lt;&gt;1,"",IF(AB411&lt;&gt;"",IF(AB411="","",INDEX(시장분석!$L:$L,AB411)),IFERROR(IF(VLOOKUP(R411,매핑!$A$4:$E$92,5,0)="","미분류",VLOOKUP(R411,매핑!$A$4:$E$92,5,0)),"미분류")))</f>
        <v>정부</v>
      </c>
      <c r="AH411" s="43" t="str">
        <f aca="false">IF(Q411&lt;&gt;1,"",IF(AB411&lt;&gt;"",IF(AB411="","",INDEX(시장분석!$N:$N,AB411)),IFERROR(IF(VLOOKUP(R411,매핑!$A$4:$E$92,4,0)="","미분류",VLOOKUP(R411,매핑!$A$4:$E$92,4,0)),"미분류")))</f>
        <v>아시아/기타</v>
      </c>
      <c r="AI411" s="43" t="str">
        <f aca="false">IF(Q411&lt;&gt;1,"",IFERROR(IF(VLOOKUP(R411,매핑!$A$4:$E$92,3,0)="","미분류",VLOOKUP(R411,매핑!$A$4:$E$92,3,0)),IF(AB411&lt;&gt;"",IF(AB411="","",INDEX(시장분석!$W:$W,AB411)),"미분류")))</f>
        <v>한국</v>
      </c>
      <c r="AJ411" s="43" t="str">
        <f aca="false">IF(Q411&lt;&gt;1,"",IFERROR(VLOOKUP(IF(N411&lt;&gt;"",N411,IF(P411&lt;&gt;"",P411,O411)),설정!$A$15:$D$47,2,0),""))</f>
        <v>A+</v>
      </c>
      <c r="AK411" s="43" t="str">
        <f aca="false">IF(Q411&lt;&gt;1,"",IF(AJ411="","무등급",IFERROR(VLOOKUP(AJ411,설정!$A$15:$D$47,3,0),"무등급")))</f>
        <v>A</v>
      </c>
      <c r="AL411" s="89" t="n">
        <f aca="false">IF(AJ411="",99,IFERROR(VLOOKUP(AJ411,설정!$A$15:$D$47,4,0),99))</f>
        <v>5</v>
      </c>
      <c r="AM411" s="94" t="n">
        <f aca="false">IF(ISNUMBER(H411),AA411*1000000*H411/10000,0)</f>
        <v>427.5748556424</v>
      </c>
      <c r="AN411" s="94" t="n">
        <f aca="false">IF(OR(Y411=1,NOT(ISNUMBER(Z411))),0,AA411*1000000*Z411/10000)</f>
        <v>427.5748556424</v>
      </c>
      <c r="AO411" s="94" t="n">
        <f aca="false">IF(ISNUMBER(G411),AA411*1000000*G411/100,0)</f>
        <v>410141.12235192</v>
      </c>
      <c r="AP411" s="94" t="n">
        <f aca="false">IF(ISNUMBER(M411),M411*K411,0)</f>
        <v>-41577.98</v>
      </c>
      <c r="AQ411" s="95" t="n">
        <f aca="false">IF(AB411="","",INDEX(시장분석!$AK:$AK,AB411))</f>
        <v>-0.641186733154008</v>
      </c>
      <c r="AR411" s="43" t="str">
        <f aca="false">IF(AB411="","-",IF(AB411="","",INDEX(시장분석!$AL:$AL,AB411)))</f>
        <v>Fair</v>
      </c>
      <c r="AS411" s="96" t="n">
        <f aca="false">IF(AB411="","",INDEX(시장분석!$AJ:$AJ,AB411))</f>
        <v>-8.77978539908932</v>
      </c>
      <c r="AT411" s="93" t="n">
        <f aca="false">IF(AB411="",0,IF(AB411="","",INDEX(시장분석!$AN:$AN,AB411)))</f>
        <v>0</v>
      </c>
      <c r="AU411" s="94" t="n">
        <f aca="false">IF(ISNUMBER(Z411),AT411/10000*MAX(Z411-1,0)*AA411*1000000,0)</f>
        <v>0</v>
      </c>
      <c r="AV411" s="94" t="n">
        <f aca="false">AO411+AU411</f>
        <v>410141.12235192</v>
      </c>
      <c r="AW411" s="43" t="str">
        <f aca="false">IF(Q411&lt;&gt;1,"",TRIM(IF(AD411=1,"FRN ","")&amp;IF(AND(AL411&gt;=10,AL411&lt;99),"BBB0미만 ","")&amp;IF(AJ411="","등급없음 ","")&amp;IF(K411&lt;&gt;1,"비USD ","")&amp;IF(AND(AB411="",Y411=0),"시장데이터없음 ","")&amp;IF(AND(ISNUMBER(U411),U411&lt;0),"만기경과 ","")))</f>
        <v/>
      </c>
      <c r="AX411" s="90" t="n">
        <f aca="false">IF(Q411&lt;&gt;1,1,IF(스프레드쇼크!$C$4="Y",INDEX(스프레드쇼크!$B$12:$L$16,IFERROR(MATCH(AH411,스프레드쇼크!$A$12:$A$16,0),MATCH("목록외",스프레드쇼크!$A$12:$A$16,0)),IFERROR(MATCH(AG411,스프레드쇼크!$B$11:$L$11,0),MATCH("목록외",스프레드쇼크!$B$11:$L$11,0))),1))</f>
        <v>1</v>
      </c>
      <c r="AY411" s="90" t="n">
        <f aca="false">IF(스프레드쇼크!$C$5="Y",IF(ISNUMBER(AF411),MIN(스프레드쇼크!$C$7,MAX(스프레드쇼크!$C$6,AF411/스프레드쇼크!$C$8)),1),1)</f>
        <v>0.25</v>
      </c>
      <c r="AZ411" s="94" t="n">
        <f aca="false">AN411*AX411*AY411</f>
        <v>106.8937139106</v>
      </c>
      <c r="BA411" s="90" t="n">
        <f aca="false">IF(ISNUMBER(G411),AA411*G411,0)</f>
        <v>41.014112235192</v>
      </c>
      <c r="BB411" s="90" t="n">
        <f aca="false">IF(ISNUMBER(G411),AA411,0)</f>
        <v>8.22733992</v>
      </c>
      <c r="BC411" s="90" t="n">
        <f aca="false">IF(AND(Y411=0,ISNUMBER(AF411)),AA411*AF411,0)</f>
        <v>-188.13458195064</v>
      </c>
      <c r="BD411" s="90" t="n">
        <f aca="false">IF(AND(Y411=0,ISNUMBER(AF411)),AA411,0)</f>
        <v>8.22733992</v>
      </c>
      <c r="BE411" s="90" t="n">
        <f aca="false">IF(ISNUMBER(H411),AA411*H411,0)</f>
        <v>4.275748556424</v>
      </c>
      <c r="BF411" s="90" t="n">
        <f aca="false">IF(ISNUMBER(H411),AA411,0)</f>
        <v>8.22733992</v>
      </c>
      <c r="BG411" s="90" t="n">
        <f aca="false">IF(AND(Y411=0,ISNUMBER(AF411),ISNUMBER(Z411)),AA411*Z411,0)</f>
        <v>4.275748556424</v>
      </c>
      <c r="BH411" s="90" t="n">
        <f aca="false">IF(AND(Y411=0,ISNUMBER(AF411),ISNUMBER(Z411)),AA411*AT411*MAX(Z411-1,0),0)</f>
        <v>0</v>
      </c>
      <c r="BI411" s="90" t="n">
        <f aca="false">IF(Y411=0,AA411,0)</f>
        <v>8.22733992</v>
      </c>
    </row>
    <row r="412" customFormat="false" ht="15" hidden="false" customHeight="false" outlineLevel="0" collapsed="false">
      <c r="A412" s="83" t="str">
        <f aca="false">IFERROR(IF(INDEX(원자료_잔고!$A$1:$EZ$1500,설정!$L$5+ROW()-1,설정!$L$8)&amp;""="0","",INDEX(원자료_잔고!$A$1:$EZ$1500,설정!$L$5+ROW()-1,설정!$L$8)&amp;""),"")</f>
        <v>KOMRMR 5.375 05/11/28</v>
      </c>
      <c r="B412" s="83" t="str">
        <f aca="false">IFERROR(IF(INDEX(원자료_잔고!$A$1:$EZ$1500,설정!$L$5+ROW()-1,설정!$L$7)&amp;""="0","",INDEX(원자료_잔고!$A$1:$EZ$1500,설정!$L$5+ROW()-1,설정!$L$7)&amp;""),"")</f>
        <v>XS2600704956</v>
      </c>
      <c r="C412" s="83" t="str">
        <f aca="false">IFERROR(IF(INDEX(원자료_잔고!$A$1:$EZ$1500,설정!$L$5+ROW()-1,설정!$L$9)&amp;""="0","",INDEX(원자료_잔고!$A$1:$EZ$1500,설정!$L$5+ROW()-1,설정!$L$9)&amp;""),"")</f>
        <v>42003</v>
      </c>
      <c r="D41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2" s="84" t="n">
        <f aca="false">IFERROR(IF(ISNUMBER(INDEX(원자료_잔고!$A$1:$EZ$1500,설정!$L$5+ROW()-1,설정!$L$11)),INDEX(원자료_잔고!$A$1:$EZ$1500,설정!$L$5+ROW()-1,설정!$L$11),""),"")</f>
        <v>2119000</v>
      </c>
      <c r="F412" s="85" t="n">
        <f aca="false">IFERROR(IF(ISNUMBER(INDEX(원자료_잔고!$A$1:$EZ$1500,설정!$L$5+ROW()-1,설정!$L$12)),INDEX(원자료_잔고!$A$1:$EZ$1500,설정!$L$5+ROW()-1,설정!$L$12),""),"")</f>
        <v>100.0377</v>
      </c>
      <c r="G412" s="85" t="n">
        <f aca="false">IFERROR(IF(ISNUMBER(INDEX(원자료_잔고!$A$1:$EZ$1500,설정!$L$5+ROW()-1,설정!$L$13)),INDEX(원자료_잔고!$A$1:$EZ$1500,설정!$L$5+ROW()-1,설정!$L$13),""),"")</f>
        <v>5.3444</v>
      </c>
      <c r="H412" s="85" t="n">
        <f aca="false">IFERROR(IF(ISNUMBER(INDEX(원자료_잔고!$A$1:$EZ$1500,설정!$L$5+ROW()-1,설정!$L$14)),INDEX(원자료_잔고!$A$1:$EZ$1500,설정!$L$5+ROW()-1,설정!$L$14),""),"")</f>
        <v>1.4618</v>
      </c>
      <c r="I412" s="86" t="n">
        <f aca="false">IFERROR(IF(ISNUMBER(INDEX(원자료_잔고!$A$1:$EZ$1500,설정!$L$5+ROW()-1,설정!$L$15)),INDEX(원자료_잔고!$A$1:$EZ$1500,설정!$L$5+ROW()-1,설정!$L$15),""),"")</f>
        <v>46884</v>
      </c>
      <c r="J412" s="85" t="n">
        <f aca="false">IFERROR(IF(ISNUMBER(INDEX(원자료_잔고!$A$1:$EZ$1500,설정!$L$5+ROW()-1,설정!$L$16)),INDEX(원자료_잔고!$A$1:$EZ$1500,설정!$L$5+ROW()-1,설정!$L$16),""),"")</f>
        <v>5.375</v>
      </c>
      <c r="K412" s="87" t="n">
        <f aca="false">IFERROR(IF(ISNUMBER(INDEX(원자료_잔고!$A$1:$EZ$1500,설정!$L$5+ROW()-1,설정!$L$17)),INDEX(원자료_잔고!$A$1:$EZ$1500,설정!$L$5+ROW()-1,설정!$L$17),""),"")</f>
        <v>1</v>
      </c>
      <c r="L412" s="84" t="n">
        <f aca="false">IFERROR(IF(ISNUMBER(INDEX(원자료_잔고!$A$1:$EZ$1500,설정!$L$5+ROW()-1,설정!$L$18)),INDEX(원자료_잔고!$A$1:$EZ$1500,설정!$L$5+ROW()-1,설정!$L$18),""),"")</f>
        <v>2119798.86</v>
      </c>
      <c r="M412" s="88" t="n">
        <f aca="false">IFERROR(IF(ISNUMBER(INDEX(원자료_잔고!$A$1:$EZ$1500,설정!$L$5+ROW()-1,설정!$L$19)),INDEX(원자료_잔고!$A$1:$EZ$1500,설정!$L$5+ROW()-1,설정!$L$19),""),"")</f>
        <v>-44335.84</v>
      </c>
      <c r="N412" s="83" t="str">
        <f aca="false">IFERROR(IF(INDEX(원자료_잔고!$A$1:$EZ$1500,설정!$L$5+ROW()-1,설정!$L$21)&amp;""="0","",INDEX(원자료_잔고!$A$1:$EZ$1500,설정!$L$5+ROW()-1,설정!$L$21)&amp;""),"")</f>
        <v/>
      </c>
      <c r="O412" s="83" t="str">
        <f aca="false">IFERROR(IF(INDEX(원자료_잔고!$A$1:$EZ$1500,설정!$L$5+ROW()-1,설정!$L$22)&amp;""="0","",INDEX(원자료_잔고!$A$1:$EZ$1500,설정!$L$5+ROW()-1,설정!$L$22)&amp;""),"")</f>
        <v/>
      </c>
      <c r="P412" s="83" t="str">
        <f aca="false">IFERROR(IF(INDEX(원자료_잔고!$A$1:$EZ$1500,설정!$L$5+ROW()-1,설정!$L$23)&amp;""="0","",INDEX(원자료_잔고!$A$1:$EZ$1500,설정!$L$5+ROW()-1,설정!$L$23)&amp;""),"")</f>
        <v>N/A</v>
      </c>
      <c r="Q412" s="89" t="n">
        <f aca="false">IF(AND($A412&lt;&gt;"",ISNUMBER(E412)),IF(E412&gt;0,1,0),0)</f>
        <v>1</v>
      </c>
      <c r="R412" s="43" t="str">
        <f aca="false">IF(Q412=1,UPPER(LEFT($A412,FIND(" ",$A412&amp;" ")-1)),"")</f>
        <v>KOMRMR</v>
      </c>
      <c r="S412" s="89" t="n">
        <f aca="false">IF(Q412=1,IF(OR(ISNUMBER(SEARCH("Float",$A412)),ISNUMBER(SEARCH("FRN",$A412))),1,0),0)</f>
        <v>0</v>
      </c>
      <c r="T412" s="43" t="str">
        <f aca="false">IF(AND(Q412=1,ISNUMBER(I412)),TEXT(I412,"yyyymmdd")&amp;"|"&amp;IF(S412=1,"F",TEXT(J412,"0.000")),"")</f>
        <v>20280511|5.375</v>
      </c>
      <c r="U412" s="90" t="n">
        <f aca="false">IF(AND(Q412=1,ISNUMBER(I412)),(I412-설정!$C$4)/365.25,"")</f>
        <v>1.60985626283368</v>
      </c>
      <c r="V412" s="43" t="str">
        <f aca="false">IF(Q412&lt;&gt;1,"",IF(ISNUMBER(U412),IF(U412&lt;=1,"1년 이하",IF(U412&lt;=2,"1-2년",IF(U412&lt;=3,"2-3년",IF(U412&lt;=4,"3-4년",IF(U412&lt;=5,"4-5년",IF(U412&lt;=7,"5-7년",IF(U412&lt;=10,"7-10년",IF(U412&lt;=20,"10-20년","20년 이상")))))))),"미분류"))</f>
        <v>1-2년</v>
      </c>
      <c r="W412" s="43" t="str">
        <f aca="false">IF(Q412&lt;&gt;1,"",IF(AB412&lt;&gt;"",INDEX(시장분석!$C:$C,AB412),IF(K412=1,"USD","비USD")))</f>
        <v>USD</v>
      </c>
      <c r="X412" s="91" t="n">
        <f aca="false">IF(Q412=1,E412*K412/1000000,0)</f>
        <v>2.119</v>
      </c>
      <c r="Y412" s="89" t="n">
        <f aca="false">IF(R412="T",1,0)</f>
        <v>0</v>
      </c>
      <c r="Z412" s="92" t="n">
        <f aca="false">IF(Q412&lt;&gt;1,"",IF(AD412=1,IF(ISNUMBER(U412),MAX(U412,0),H412),H412))</f>
        <v>1.4618</v>
      </c>
      <c r="AA412" s="91" t="n">
        <f aca="false">IF(Q412=1,IF(ISNUMBER(L412),L412,0)*K412/1000000,0)</f>
        <v>2.11979886</v>
      </c>
      <c r="AB412" s="89" t="n">
        <f aca="false">IF(Q412&lt;&gt;1,"",IFERROR(MATCH(VLOOKUP(B412,매핑!$H$4:$I$15,2,0),시장분석!$A$2:$A$601,0)+1,IFERROR(MATCH(R412&amp;"|"&amp;T412,시장분석!$V$2:$V$601,0)+1,IF(COUNTIF(시장분석!$U$2:$U$601,T412)=1,MATCH(T412,시장분석!$U$2:$U$601,0)+1,""))))</f>
        <v>220</v>
      </c>
      <c r="AC412" s="89" t="n">
        <f aca="false">IF(Q412&lt;&gt;1,0,IF(OR(설정!$C$5="전체",AND(설정!$C$5="선택펀드",IFERROR(COUNTIFS(설정!$F$16:$F$36,C412,설정!$G$16:$G$36,"Y")+COUNTIFS(설정!$F$16:$F$36,VALUE(C412),설정!$G$16:$G$36,"Y"),0)&gt;0),C412&amp;""=설정!$C$5&amp;""),1,0))</f>
        <v>0</v>
      </c>
      <c r="AD412" s="89" t="n">
        <f aca="false">IF(Q412&lt;&gt;1,0,IF(OR(S412=1,IF(AB412="",FALSE(),INDEX(시장분석!$R:$R,AB412)=1)),1,0))</f>
        <v>0</v>
      </c>
      <c r="AE412" s="43" t="str">
        <f aca="false">IF(AB412="","",INDEX(시장분석!$A:$A,AB412))</f>
        <v>KOMRMR 5 3/8 05/11/28</v>
      </c>
      <c r="AF412" s="93" t="n">
        <f aca="false">IF(AB412="","",IF(ISNUMBER(IF(AB412="","",INDEX(시장분석!$E:$E,AB412))),IF(AB412="","",INDEX(시장분석!$E:$E,AB412)),""))</f>
        <v>38.777</v>
      </c>
      <c r="AG412" s="43" t="str">
        <f aca="false">IF(Q412&lt;&gt;1,"",IF(AB412&lt;&gt;"",IF(AB412="","",INDEX(시장분석!$L:$L,AB412)),IFERROR(IF(VLOOKUP(R412,매핑!$A$4:$E$92,5,0)="","미분류",VLOOKUP(R412,매핑!$A$4:$E$92,5,0)),"미분류")))</f>
        <v>정부</v>
      </c>
      <c r="AH412" s="43" t="str">
        <f aca="false">IF(Q412&lt;&gt;1,"",IF(AB412&lt;&gt;"",IF(AB412="","",INDEX(시장분석!$N:$N,AB412)),IFERROR(IF(VLOOKUP(R412,매핑!$A$4:$E$92,4,0)="","미분류",VLOOKUP(R412,매핑!$A$4:$E$92,4,0)),"미분류")))</f>
        <v>아시아/기타</v>
      </c>
      <c r="AI412" s="43" t="str">
        <f aca="false">IF(Q412&lt;&gt;1,"",IFERROR(IF(VLOOKUP(R412,매핑!$A$4:$E$92,3,0)="","미분류",VLOOKUP(R412,매핑!$A$4:$E$92,3,0)),IF(AB412&lt;&gt;"",IF(AB412="","",INDEX(시장분석!$W:$W,AB412)),"미분류")))</f>
        <v>한국</v>
      </c>
      <c r="AJ412" s="43" t="str">
        <f aca="false">IF(Q412&lt;&gt;1,"",IFERROR(VLOOKUP(IF(N412&lt;&gt;"",N412,IF(P412&lt;&gt;"",P412,O412)),설정!$A$15:$D$47,2,0),""))</f>
        <v/>
      </c>
      <c r="AK412" s="43" t="str">
        <f aca="false">IF(Q412&lt;&gt;1,"",IF(AJ412="","무등급",IFERROR(VLOOKUP(AJ412,설정!$A$15:$D$47,3,0),"무등급")))</f>
        <v>무등급</v>
      </c>
      <c r="AL412" s="89" t="n">
        <f aca="false">IF(AJ412="",99,IFERROR(VLOOKUP(AJ412,설정!$A$15:$D$47,4,0),99))</f>
        <v>99</v>
      </c>
      <c r="AM412" s="94" t="n">
        <f aca="false">IF(ISNUMBER(H412),AA412*1000000*H412/10000,0)</f>
        <v>309.8721973548</v>
      </c>
      <c r="AN412" s="94" t="n">
        <f aca="false">IF(OR(Y412=1,NOT(ISNUMBER(Z412))),0,AA412*1000000*Z412/10000)</f>
        <v>309.8721973548</v>
      </c>
      <c r="AO412" s="94" t="n">
        <f aca="false">IF(ISNUMBER(G412),AA412*1000000*G412/100,0)</f>
        <v>113290.53027384</v>
      </c>
      <c r="AP412" s="94" t="n">
        <f aca="false">IF(ISNUMBER(M412),M412*K412,0)</f>
        <v>-44335.84</v>
      </c>
      <c r="AQ412" s="95" t="n">
        <f aca="false">IF(AB412="","",INDEX(시장분석!$AK:$AK,AB412))</f>
        <v>2.33459755398027</v>
      </c>
      <c r="AR412" s="43" t="str">
        <f aca="false">IF(AB412="","-",IF(AB412="","",INDEX(시장분석!$AL:$AL,AB412)))</f>
        <v>Cheap</v>
      </c>
      <c r="AS412" s="96" t="n">
        <f aca="false">IF(AB412="","",INDEX(시장분석!$AJ:$AJ,AB412))</f>
        <v>31.9677006047197</v>
      </c>
      <c r="AT412" s="93" t="n">
        <f aca="false">IF(AB412="",0,IF(AB412="","",INDEX(시장분석!$AN:$AN,AB412)))</f>
        <v>21.2354937738385</v>
      </c>
      <c r="AU412" s="94" t="n">
        <f aca="false">IF(ISNUMBER(Z412),AT412/10000*MAX(Z412-1,0)*AA412*1000000,0)</f>
        <v>2078.79156828152</v>
      </c>
      <c r="AV412" s="94" t="n">
        <f aca="false">AO412+AU412</f>
        <v>115369.321842122</v>
      </c>
      <c r="AW412" s="43" t="str">
        <f aca="false">IF(Q412&lt;&gt;1,"",TRIM(IF(AD412=1,"FRN ","")&amp;IF(AND(AL412&gt;=10,AL412&lt;99),"BBB0미만 ","")&amp;IF(AJ412="","등급없음 ","")&amp;IF(K412&lt;&gt;1,"비USD ","")&amp;IF(AND(AB412="",Y412=0),"시장데이터없음 ","")&amp;IF(AND(ISNUMBER(U412),U412&lt;0),"만기경과 ","")))</f>
        <v>등급없음</v>
      </c>
      <c r="AX412" s="90" t="n">
        <f aca="false">IF(Q412&lt;&gt;1,1,IF(스프레드쇼크!$C$4="Y",INDEX(스프레드쇼크!$B$12:$L$16,IFERROR(MATCH(AH412,스프레드쇼크!$A$12:$A$16,0),MATCH("목록외",스프레드쇼크!$A$12:$A$16,0)),IFERROR(MATCH(AG412,스프레드쇼크!$B$11:$L$11,0),MATCH("목록외",스프레드쇼크!$B$11:$L$11,0))),1))</f>
        <v>1</v>
      </c>
      <c r="AY412" s="90" t="n">
        <f aca="false">IF(스프레드쇼크!$C$5="Y",IF(ISNUMBER(AF412),MIN(스프레드쇼크!$C$7,MAX(스프레드쇼크!$C$6,AF412/스프레드쇼크!$C$8)),1),1)</f>
        <v>0.586517173835607</v>
      </c>
      <c r="AZ412" s="94" t="n">
        <f aca="false">AN412*AX412*AY412</f>
        <v>181.745365442767</v>
      </c>
      <c r="BA412" s="90" t="n">
        <f aca="false">IF(ISNUMBER(G412),AA412*G412,0)</f>
        <v>11.329053027384</v>
      </c>
      <c r="BB412" s="90" t="n">
        <f aca="false">IF(ISNUMBER(G412),AA412,0)</f>
        <v>2.11979886</v>
      </c>
      <c r="BC412" s="90" t="n">
        <f aca="false">IF(AND(Y412=0,ISNUMBER(AF412)),AA412*AF412,0)</f>
        <v>82.19944039422</v>
      </c>
      <c r="BD412" s="90" t="n">
        <f aca="false">IF(AND(Y412=0,ISNUMBER(AF412)),AA412,0)</f>
        <v>2.11979886</v>
      </c>
      <c r="BE412" s="90" t="n">
        <f aca="false">IF(ISNUMBER(H412),AA412*H412,0)</f>
        <v>3.098721973548</v>
      </c>
      <c r="BF412" s="90" t="n">
        <f aca="false">IF(ISNUMBER(H412),AA412,0)</f>
        <v>2.11979886</v>
      </c>
      <c r="BG412" s="90" t="n">
        <f aca="false">IF(AND(Y412=0,ISNUMBER(AF412),ISNUMBER(Z412)),AA412*Z412,0)</f>
        <v>3.098721973548</v>
      </c>
      <c r="BH412" s="90" t="n">
        <f aca="false">IF(AND(Y412=0,ISNUMBER(AF412),ISNUMBER(Z412)),AA412*AT412*MAX(Z412-1,0),0)</f>
        <v>20.7879156828152</v>
      </c>
      <c r="BI412" s="90" t="n">
        <f aca="false">IF(Y412=0,AA412,0)</f>
        <v>2.11979886</v>
      </c>
    </row>
    <row r="413" customFormat="false" ht="15" hidden="false" customHeight="false" outlineLevel="0" collapsed="false">
      <c r="A413" s="83" t="str">
        <f aca="false">IFERROR(IF(INDEX(원자료_잔고!$A$1:$EZ$1500,설정!$L$5+ROW()-1,설정!$L$8)&amp;""="0","",INDEX(원자료_잔고!$A$1:$EZ$1500,설정!$L$5+ROW()-1,설정!$L$8)&amp;""),"")</f>
        <v>HATELE 4.875 06/28/28</v>
      </c>
      <c r="B413" s="83" t="str">
        <f aca="false">IFERROR(IF(INDEX(원자료_잔고!$A$1:$EZ$1500,설정!$L$5+ROW()-1,설정!$L$7)&amp;""="0","",INDEX(원자료_잔고!$A$1:$EZ$1500,설정!$L$5+ROW()-1,설정!$L$7)&amp;""),"")</f>
        <v>XS2629403499</v>
      </c>
      <c r="C413" s="83" t="str">
        <f aca="false">IFERROR(IF(INDEX(원자료_잔고!$A$1:$EZ$1500,설정!$L$5+ROW()-1,설정!$L$9)&amp;""="0","",INDEX(원자료_잔고!$A$1:$EZ$1500,설정!$L$5+ROW()-1,설정!$L$9)&amp;""),"")</f>
        <v>42003</v>
      </c>
      <c r="D41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3" s="84" t="n">
        <f aca="false">IFERROR(IF(ISNUMBER(INDEX(원자료_잔고!$A$1:$EZ$1500,설정!$L$5+ROW()-1,설정!$L$11)),INDEX(원자료_잔고!$A$1:$EZ$1500,설정!$L$5+ROW()-1,설정!$L$11),""),"")</f>
        <v>3400000</v>
      </c>
      <c r="F413" s="85" t="n">
        <f aca="false">IFERROR(IF(ISNUMBER(INDEX(원자료_잔고!$A$1:$EZ$1500,설정!$L$5+ROW()-1,설정!$L$12)),INDEX(원자료_잔고!$A$1:$EZ$1500,설정!$L$5+ROW()-1,설정!$L$12),""),"")</f>
        <v>99.0899</v>
      </c>
      <c r="G413" s="85" t="n">
        <f aca="false">IFERROR(IF(ISNUMBER(INDEX(원자료_잔고!$A$1:$EZ$1500,설정!$L$5+ROW()-1,설정!$L$13)),INDEX(원자료_잔고!$A$1:$EZ$1500,설정!$L$5+ROW()-1,설정!$L$13),""),"")</f>
        <v>5.4234</v>
      </c>
      <c r="H413" s="85" t="n">
        <f aca="false">IFERROR(IF(ISNUMBER(INDEX(원자료_잔고!$A$1:$EZ$1500,설정!$L$5+ROW()-1,설정!$L$14)),INDEX(원자료_잔고!$A$1:$EZ$1500,설정!$L$5+ROW()-1,설정!$L$14),""),"")</f>
        <v>1.5951</v>
      </c>
      <c r="I413" s="86" t="n">
        <f aca="false">IFERROR(IF(ISNUMBER(INDEX(원자료_잔고!$A$1:$EZ$1500,설정!$L$5+ROW()-1,설정!$L$15)),INDEX(원자료_잔고!$A$1:$EZ$1500,설정!$L$5+ROW()-1,설정!$L$15),""),"")</f>
        <v>46932</v>
      </c>
      <c r="J413" s="85" t="n">
        <f aca="false">IFERROR(IF(ISNUMBER(INDEX(원자료_잔고!$A$1:$EZ$1500,설정!$L$5+ROW()-1,설정!$L$16)),INDEX(원자료_잔고!$A$1:$EZ$1500,설정!$L$5+ROW()-1,설정!$L$16),""),"")</f>
        <v>4.875</v>
      </c>
      <c r="K413" s="87" t="n">
        <f aca="false">IFERROR(IF(ISNUMBER(INDEX(원자료_잔고!$A$1:$EZ$1500,설정!$L$5+ROW()-1,설정!$L$17)),INDEX(원자료_잔고!$A$1:$EZ$1500,설정!$L$5+ROW()-1,설정!$L$17),""),"")</f>
        <v>1</v>
      </c>
      <c r="L413" s="84" t="n">
        <f aca="false">IFERROR(IF(ISNUMBER(INDEX(원자료_잔고!$A$1:$EZ$1500,설정!$L$5+ROW()-1,설정!$L$18)),INDEX(원자료_잔고!$A$1:$EZ$1500,설정!$L$5+ROW()-1,설정!$L$18),""),"")</f>
        <v>3369056.6</v>
      </c>
      <c r="M413" s="88" t="n">
        <f aca="false">IFERROR(IF(ISNUMBER(INDEX(원자료_잔고!$A$1:$EZ$1500,설정!$L$5+ROW()-1,설정!$L$19)),INDEX(원자료_잔고!$A$1:$EZ$1500,설정!$L$5+ROW()-1,설정!$L$19),""),"")</f>
        <v>-101024.2</v>
      </c>
      <c r="N413" s="83" t="str">
        <f aca="false">IFERROR(IF(INDEX(원자료_잔고!$A$1:$EZ$1500,설정!$L$5+ROW()-1,설정!$L$21)&amp;""="0","",INDEX(원자료_잔고!$A$1:$EZ$1500,설정!$L$5+ROW()-1,설정!$L$21)&amp;""),"")</f>
        <v>N/A</v>
      </c>
      <c r="O413" s="83" t="str">
        <f aca="false">IFERROR(IF(INDEX(원자료_잔고!$A$1:$EZ$1500,설정!$L$5+ROW()-1,설정!$L$22)&amp;""="0","",INDEX(원자료_잔고!$A$1:$EZ$1500,설정!$L$5+ROW()-1,설정!$L$22)&amp;""),"")</f>
        <v/>
      </c>
      <c r="P413" s="83" t="str">
        <f aca="false">IFERROR(IF(INDEX(원자료_잔고!$A$1:$EZ$1500,설정!$L$5+ROW()-1,설정!$L$23)&amp;""="0","",INDEX(원자료_잔고!$A$1:$EZ$1500,설정!$L$5+ROW()-1,설정!$L$23)&amp;""),"")</f>
        <v>A-</v>
      </c>
      <c r="Q413" s="89" t="n">
        <f aca="false">IF(AND($A413&lt;&gt;"",ISNUMBER(E413)),IF(E413&gt;0,1,0),0)</f>
        <v>1</v>
      </c>
      <c r="R413" s="43" t="str">
        <f aca="false">IF(Q413=1,UPPER(LEFT($A413,FIND(" ",$A413&amp;" ")-1)),"")</f>
        <v>HATELE</v>
      </c>
      <c r="S413" s="89" t="n">
        <f aca="false">IF(Q413=1,IF(OR(ISNUMBER(SEARCH("Float",$A413)),ISNUMBER(SEARCH("FRN",$A413))),1,0),0)</f>
        <v>0</v>
      </c>
      <c r="T413" s="43" t="str">
        <f aca="false">IF(AND(Q413=1,ISNUMBER(I413)),TEXT(I413,"yyyymmdd")&amp;"|"&amp;IF(S413=1,"F",TEXT(J413,"0.000")),"")</f>
        <v>20280628|4.875</v>
      </c>
      <c r="U413" s="90" t="n">
        <f aca="false">IF(AND(Q413=1,ISNUMBER(I413)),(I413-설정!$C$4)/365.25,"")</f>
        <v>1.74127310061602</v>
      </c>
      <c r="V413" s="43" t="str">
        <f aca="false">IF(Q413&lt;&gt;1,"",IF(ISNUMBER(U413),IF(U413&lt;=1,"1년 이하",IF(U413&lt;=2,"1-2년",IF(U413&lt;=3,"2-3년",IF(U413&lt;=4,"3-4년",IF(U413&lt;=5,"4-5년",IF(U413&lt;=7,"5-7년",IF(U413&lt;=10,"7-10년",IF(U413&lt;=20,"10-20년","20년 이상")))))))),"미분류"))</f>
        <v>1-2년</v>
      </c>
      <c r="W413" s="43" t="str">
        <f aca="false">IF(Q413&lt;&gt;1,"",IF(AB413&lt;&gt;"",INDEX(시장분석!$C:$C,AB413),IF(K413=1,"USD","비USD")))</f>
        <v>USD</v>
      </c>
      <c r="X413" s="91" t="n">
        <f aca="false">IF(Q413=1,E413*K413/1000000,0)</f>
        <v>3.4</v>
      </c>
      <c r="Y413" s="89" t="n">
        <f aca="false">IF(R413="T",1,0)</f>
        <v>0</v>
      </c>
      <c r="Z413" s="92" t="n">
        <f aca="false">IF(Q413&lt;&gt;1,"",IF(AD413=1,IF(ISNUMBER(U413),MAX(U413,0),H413),H413))</f>
        <v>1.5951</v>
      </c>
      <c r="AA413" s="91" t="n">
        <f aca="false">IF(Q413=1,IF(ISNUMBER(L413),L413,0)*K413/1000000,0)</f>
        <v>3.3690566</v>
      </c>
      <c r="AB413" s="89" t="n">
        <f aca="false">IF(Q413&lt;&gt;1,"",IFERROR(MATCH(VLOOKUP(B413,매핑!$H$4:$I$15,2,0),시장분석!$A$2:$A$601,0)+1,IFERROR(MATCH(R413&amp;"|"&amp;T413,시장분석!$V$2:$V$601,0)+1,IF(COUNTIF(시장분석!$U$2:$U$601,T413)=1,MATCH(T413,시장분석!$U$2:$U$601,0)+1,""))))</f>
        <v>221</v>
      </c>
      <c r="AC413" s="89" t="n">
        <f aca="false">IF(Q413&lt;&gt;1,0,IF(OR(설정!$C$5="전체",AND(설정!$C$5="선택펀드",IFERROR(COUNTIFS(설정!$F$16:$F$36,C413,설정!$G$16:$G$36,"Y")+COUNTIFS(설정!$F$16:$F$36,VALUE(C413),설정!$G$16:$G$36,"Y"),0)&gt;0),C413&amp;""=설정!$C$5&amp;""),1,0))</f>
        <v>0</v>
      </c>
      <c r="AD413" s="89" t="n">
        <f aca="false">IF(Q413&lt;&gt;1,0,IF(OR(S413=1,IF(AB413="",FALSE(),INDEX(시장분석!$R:$R,AB413)=1)),1,0))</f>
        <v>0</v>
      </c>
      <c r="AE413" s="43" t="str">
        <f aca="false">IF(AB413="","",INDEX(시장분석!$A:$A,AB413))</f>
        <v>HATELE 4 7/8 06/28/28</v>
      </c>
      <c r="AF413" s="93" t="n">
        <f aca="false">IF(AB413="","",IF(ISNUMBER(IF(AB413="","",INDEX(시장분석!$E:$E,AB413))),IF(AB413="","",INDEX(시장분석!$E:$E,AB413)),""))</f>
        <v>51.579</v>
      </c>
      <c r="AG413" s="43" t="str">
        <f aca="false">IF(Q413&lt;&gt;1,"",IF(AB413&lt;&gt;"",IF(AB413="","",INDEX(시장분석!$L:$L,AB413)),IFERROR(IF(VLOOKUP(R413,매핑!$A$4:$E$92,5,0)="","미분류",VLOOKUP(R413,매핑!$A$4:$E$92,5,0)),"미분류")))</f>
        <v>통신</v>
      </c>
      <c r="AH413" s="43" t="str">
        <f aca="false">IF(Q413&lt;&gt;1,"",IF(AB413&lt;&gt;"",IF(AB413="","",INDEX(시장분석!$N:$N,AB413)),IFERROR(IF(VLOOKUP(R413,매핑!$A$4:$E$92,4,0)="","미분류",VLOOKUP(R413,매핑!$A$4:$E$92,4,0)),"미분류")))</f>
        <v>아시아/기타</v>
      </c>
      <c r="AI413" s="43" t="str">
        <f aca="false">IF(Q413&lt;&gt;1,"",IFERROR(IF(VLOOKUP(R413,매핑!$A$4:$E$92,3,0)="","미분류",VLOOKUP(R413,매핑!$A$4:$E$92,3,0)),IF(AB413&lt;&gt;"",IF(AB413="","",INDEX(시장분석!$W:$W,AB413)),"미분류")))</f>
        <v>한국</v>
      </c>
      <c r="AJ413" s="43" t="str">
        <f aca="false">IF(Q413&lt;&gt;1,"",IFERROR(VLOOKUP(IF(N413&lt;&gt;"",N413,IF(P413&lt;&gt;"",P413,O413)),설정!$A$15:$D$47,2,0),""))</f>
        <v/>
      </c>
      <c r="AK413" s="43" t="str">
        <f aca="false">IF(Q413&lt;&gt;1,"",IF(AJ413="","무등급",IFERROR(VLOOKUP(AJ413,설정!$A$15:$D$47,3,0),"무등급")))</f>
        <v>무등급</v>
      </c>
      <c r="AL413" s="89" t="n">
        <f aca="false">IF(AJ413="",99,IFERROR(VLOOKUP(AJ413,설정!$A$15:$D$47,4,0),99))</f>
        <v>99</v>
      </c>
      <c r="AM413" s="94" t="n">
        <f aca="false">IF(ISNUMBER(H413),AA413*1000000*H413/10000,0)</f>
        <v>537.398218266</v>
      </c>
      <c r="AN413" s="94" t="n">
        <f aca="false">IF(OR(Y413=1,NOT(ISNUMBER(Z413))),0,AA413*1000000*Z413/10000)</f>
        <v>537.398218266</v>
      </c>
      <c r="AO413" s="94" t="n">
        <f aca="false">IF(ISNUMBER(G413),AA413*1000000*G413/100,0)</f>
        <v>182717.4156444</v>
      </c>
      <c r="AP413" s="94" t="n">
        <f aca="false">IF(ISNUMBER(M413),M413*K413,0)</f>
        <v>-101024.2</v>
      </c>
      <c r="AQ413" s="95" t="n">
        <f aca="false">IF(AB413="","",INDEX(시장분석!$AK:$AK,AB413))</f>
        <v>0.760859536217845</v>
      </c>
      <c r="AR413" s="43" t="str">
        <f aca="false">IF(AB413="","-",IF(AB413="","",INDEX(시장분석!$AL:$AL,AB413)))</f>
        <v>Fair</v>
      </c>
      <c r="AS413" s="96" t="n">
        <f aca="false">IF(AB413="","",INDEX(시장분석!$AJ:$AJ,AB413))</f>
        <v>11.7616005162608</v>
      </c>
      <c r="AT413" s="93" t="n">
        <f aca="false">IF(AB413="",0,IF(AB413="","",INDEX(시장분석!$AN:$AN,AB413)))</f>
        <v>36.1977215610966</v>
      </c>
      <c r="AU413" s="94" t="n">
        <f aca="false">IF(ISNUMBER(Z413),AT413/10000*MAX(Z413-1,0)*AA413*1000000,0)</f>
        <v>7257.37379918461</v>
      </c>
      <c r="AV413" s="94" t="n">
        <f aca="false">AO413+AU413</f>
        <v>189974.789443585</v>
      </c>
      <c r="AW413" s="43" t="str">
        <f aca="false">IF(Q413&lt;&gt;1,"",TRIM(IF(AD413=1,"FRN ","")&amp;IF(AND(AL413&gt;=10,AL413&lt;99),"BBB0미만 ","")&amp;IF(AJ413="","등급없음 ","")&amp;IF(K413&lt;&gt;1,"비USD ","")&amp;IF(AND(AB413="",Y413=0),"시장데이터없음 ","")&amp;IF(AND(ISNUMBER(U413),U413&lt;0),"만기경과 ","")))</f>
        <v>등급없음</v>
      </c>
      <c r="AX413" s="90" t="n">
        <f aca="false">IF(Q413&lt;&gt;1,1,IF(스프레드쇼크!$C$4="Y",INDEX(스프레드쇼크!$B$12:$L$16,IFERROR(MATCH(AH413,스프레드쇼크!$A$12:$A$16,0),MATCH("목록외",스프레드쇼크!$A$12:$A$16,0)),IFERROR(MATCH(AG413,스프레드쇼크!$B$11:$L$11,0),MATCH("목록외",스프레드쇼크!$B$11:$L$11,0))),1))</f>
        <v>1</v>
      </c>
      <c r="AY413" s="90" t="n">
        <f aca="false">IF(스프레드쇼크!$C$5="Y",IF(ISNUMBER(AF413),MIN(스프레드쇼크!$C$7,MAX(스프레드쇼크!$C$6,AF413/스프레드쇼크!$C$8)),1),1)</f>
        <v>0.780152392120762</v>
      </c>
      <c r="AZ413" s="94" t="n">
        <f aca="false">AN413*AX413*AY413</f>
        <v>419.252505501655</v>
      </c>
      <c r="BA413" s="90" t="n">
        <f aca="false">IF(ISNUMBER(G413),AA413*G413,0)</f>
        <v>18.27174156444</v>
      </c>
      <c r="BB413" s="90" t="n">
        <f aca="false">IF(ISNUMBER(G413),AA413,0)</f>
        <v>3.3690566</v>
      </c>
      <c r="BC413" s="90" t="n">
        <f aca="false">IF(AND(Y413=0,ISNUMBER(AF413)),AA413*AF413,0)</f>
        <v>173.7725703714</v>
      </c>
      <c r="BD413" s="90" t="n">
        <f aca="false">IF(AND(Y413=0,ISNUMBER(AF413)),AA413,0)</f>
        <v>3.3690566</v>
      </c>
      <c r="BE413" s="90" t="n">
        <f aca="false">IF(ISNUMBER(H413),AA413*H413,0)</f>
        <v>5.37398218266</v>
      </c>
      <c r="BF413" s="90" t="n">
        <f aca="false">IF(ISNUMBER(H413),AA413,0)</f>
        <v>3.3690566</v>
      </c>
      <c r="BG413" s="90" t="n">
        <f aca="false">IF(AND(Y413=0,ISNUMBER(AF413),ISNUMBER(Z413)),AA413*Z413,0)</f>
        <v>5.37398218266</v>
      </c>
      <c r="BH413" s="90" t="n">
        <f aca="false">IF(AND(Y413=0,ISNUMBER(AF413),ISNUMBER(Z413)),AA413*AT413*MAX(Z413-1,0),0)</f>
        <v>72.5737379918461</v>
      </c>
      <c r="BI413" s="90" t="n">
        <f aca="false">IF(Y413=0,AA413,0)</f>
        <v>3.3690566</v>
      </c>
    </row>
    <row r="414" customFormat="false" ht="15" hidden="false" customHeight="false" outlineLevel="0" collapsed="false">
      <c r="A414" s="83" t="str">
        <f aca="false">IFERROR(IF(INDEX(원자료_잔고!$A$1:$EZ$1500,설정!$L$5+ROW()-1,설정!$L$8)&amp;""="0","",INDEX(원자료_잔고!$A$1:$EZ$1500,설정!$L$5+ROW()-1,설정!$L$8)&amp;""),"")</f>
        <v>HATELE 4.875 06/28/28</v>
      </c>
      <c r="B414" s="83" t="str">
        <f aca="false">IFERROR(IF(INDEX(원자료_잔고!$A$1:$EZ$1500,설정!$L$5+ROW()-1,설정!$L$7)&amp;""="0","",INDEX(원자료_잔고!$A$1:$EZ$1500,설정!$L$5+ROW()-1,설정!$L$7)&amp;""),"")</f>
        <v>XS2629403499</v>
      </c>
      <c r="C414" s="83" t="str">
        <f aca="false">IFERROR(IF(INDEX(원자료_잔고!$A$1:$EZ$1500,설정!$L$5+ROW()-1,설정!$L$9)&amp;""="0","",INDEX(원자료_잔고!$A$1:$EZ$1500,설정!$L$5+ROW()-1,설정!$L$9)&amp;""),"")</f>
        <v>42003</v>
      </c>
      <c r="D41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4" s="84" t="n">
        <f aca="false">IFERROR(IF(ISNUMBER(INDEX(원자료_잔고!$A$1:$EZ$1500,설정!$L$5+ROW()-1,설정!$L$11)),INDEX(원자료_잔고!$A$1:$EZ$1500,설정!$L$5+ROW()-1,설정!$L$11),""),"")</f>
        <v>10000000</v>
      </c>
      <c r="F414" s="85" t="n">
        <f aca="false">IFERROR(IF(ISNUMBER(INDEX(원자료_잔고!$A$1:$EZ$1500,설정!$L$5+ROW()-1,설정!$L$12)),INDEX(원자료_잔고!$A$1:$EZ$1500,설정!$L$5+ROW()-1,설정!$L$12),""),"")</f>
        <v>99.0899</v>
      </c>
      <c r="G414" s="85" t="n">
        <f aca="false">IFERROR(IF(ISNUMBER(INDEX(원자료_잔고!$A$1:$EZ$1500,설정!$L$5+ROW()-1,설정!$L$13)),INDEX(원자료_잔고!$A$1:$EZ$1500,설정!$L$5+ROW()-1,설정!$L$13),""),"")</f>
        <v>5.4234</v>
      </c>
      <c r="H414" s="85" t="n">
        <f aca="false">IFERROR(IF(ISNUMBER(INDEX(원자료_잔고!$A$1:$EZ$1500,설정!$L$5+ROW()-1,설정!$L$14)),INDEX(원자료_잔고!$A$1:$EZ$1500,설정!$L$5+ROW()-1,설정!$L$14),""),"")</f>
        <v>1.5951</v>
      </c>
      <c r="I414" s="86" t="n">
        <f aca="false">IFERROR(IF(ISNUMBER(INDEX(원자료_잔고!$A$1:$EZ$1500,설정!$L$5+ROW()-1,설정!$L$15)),INDEX(원자료_잔고!$A$1:$EZ$1500,설정!$L$5+ROW()-1,설정!$L$15),""),"")</f>
        <v>46932</v>
      </c>
      <c r="J414" s="85" t="n">
        <f aca="false">IFERROR(IF(ISNUMBER(INDEX(원자료_잔고!$A$1:$EZ$1500,설정!$L$5+ROW()-1,설정!$L$16)),INDEX(원자료_잔고!$A$1:$EZ$1500,설정!$L$5+ROW()-1,설정!$L$16),""),"")</f>
        <v>4.875</v>
      </c>
      <c r="K414" s="87" t="n">
        <f aca="false">IFERROR(IF(ISNUMBER(INDEX(원자료_잔고!$A$1:$EZ$1500,설정!$L$5+ROW()-1,설정!$L$17)),INDEX(원자료_잔고!$A$1:$EZ$1500,설정!$L$5+ROW()-1,설정!$L$17),""),"")</f>
        <v>1</v>
      </c>
      <c r="L414" s="84" t="n">
        <f aca="false">IFERROR(IF(ISNUMBER(INDEX(원자료_잔고!$A$1:$EZ$1500,설정!$L$5+ROW()-1,설정!$L$18)),INDEX(원자료_잔고!$A$1:$EZ$1500,설정!$L$5+ROW()-1,설정!$L$18),""),"")</f>
        <v>9908990</v>
      </c>
      <c r="M414" s="88" t="n">
        <f aca="false">IFERROR(IF(ISNUMBER(INDEX(원자료_잔고!$A$1:$EZ$1500,설정!$L$5+ROW()-1,설정!$L$19)),INDEX(원자료_잔고!$A$1:$EZ$1500,설정!$L$5+ROW()-1,설정!$L$19),""),"")</f>
        <v>-290010</v>
      </c>
      <c r="N414" s="83" t="str">
        <f aca="false">IFERROR(IF(INDEX(원자료_잔고!$A$1:$EZ$1500,설정!$L$5+ROW()-1,설정!$L$21)&amp;""="0","",INDEX(원자료_잔고!$A$1:$EZ$1500,설정!$L$5+ROW()-1,설정!$L$21)&amp;""),"")</f>
        <v>N/A</v>
      </c>
      <c r="O414" s="83" t="str">
        <f aca="false">IFERROR(IF(INDEX(원자료_잔고!$A$1:$EZ$1500,설정!$L$5+ROW()-1,설정!$L$22)&amp;""="0","",INDEX(원자료_잔고!$A$1:$EZ$1500,설정!$L$5+ROW()-1,설정!$L$22)&amp;""),"")</f>
        <v/>
      </c>
      <c r="P414" s="83" t="str">
        <f aca="false">IFERROR(IF(INDEX(원자료_잔고!$A$1:$EZ$1500,설정!$L$5+ROW()-1,설정!$L$23)&amp;""="0","",INDEX(원자료_잔고!$A$1:$EZ$1500,설정!$L$5+ROW()-1,설정!$L$23)&amp;""),"")</f>
        <v>A-</v>
      </c>
      <c r="Q414" s="89" t="n">
        <f aca="false">IF(AND($A414&lt;&gt;"",ISNUMBER(E414)),IF(E414&gt;0,1,0),0)</f>
        <v>1</v>
      </c>
      <c r="R414" s="43" t="str">
        <f aca="false">IF(Q414=1,UPPER(LEFT($A414,FIND(" ",$A414&amp;" ")-1)),"")</f>
        <v>HATELE</v>
      </c>
      <c r="S414" s="89" t="n">
        <f aca="false">IF(Q414=1,IF(OR(ISNUMBER(SEARCH("Float",$A414)),ISNUMBER(SEARCH("FRN",$A414))),1,0),0)</f>
        <v>0</v>
      </c>
      <c r="T414" s="43" t="str">
        <f aca="false">IF(AND(Q414=1,ISNUMBER(I414)),TEXT(I414,"yyyymmdd")&amp;"|"&amp;IF(S414=1,"F",TEXT(J414,"0.000")),"")</f>
        <v>20280628|4.875</v>
      </c>
      <c r="U414" s="90" t="n">
        <f aca="false">IF(AND(Q414=1,ISNUMBER(I414)),(I414-설정!$C$4)/365.25,"")</f>
        <v>1.74127310061602</v>
      </c>
      <c r="V414" s="43" t="str">
        <f aca="false">IF(Q414&lt;&gt;1,"",IF(ISNUMBER(U414),IF(U414&lt;=1,"1년 이하",IF(U414&lt;=2,"1-2년",IF(U414&lt;=3,"2-3년",IF(U414&lt;=4,"3-4년",IF(U414&lt;=5,"4-5년",IF(U414&lt;=7,"5-7년",IF(U414&lt;=10,"7-10년",IF(U414&lt;=20,"10-20년","20년 이상")))))))),"미분류"))</f>
        <v>1-2년</v>
      </c>
      <c r="W414" s="43" t="str">
        <f aca="false">IF(Q414&lt;&gt;1,"",IF(AB414&lt;&gt;"",INDEX(시장분석!$C:$C,AB414),IF(K414=1,"USD","비USD")))</f>
        <v>USD</v>
      </c>
      <c r="X414" s="91" t="n">
        <f aca="false">IF(Q414=1,E414*K414/1000000,0)</f>
        <v>10</v>
      </c>
      <c r="Y414" s="89" t="n">
        <f aca="false">IF(R414="T",1,0)</f>
        <v>0</v>
      </c>
      <c r="Z414" s="92" t="n">
        <f aca="false">IF(Q414&lt;&gt;1,"",IF(AD414=1,IF(ISNUMBER(U414),MAX(U414,0),H414),H414))</f>
        <v>1.5951</v>
      </c>
      <c r="AA414" s="91" t="n">
        <f aca="false">IF(Q414=1,IF(ISNUMBER(L414),L414,0)*K414/1000000,0)</f>
        <v>9.90899</v>
      </c>
      <c r="AB414" s="89" t="n">
        <f aca="false">IF(Q414&lt;&gt;1,"",IFERROR(MATCH(VLOOKUP(B414,매핑!$H$4:$I$15,2,0),시장분석!$A$2:$A$601,0)+1,IFERROR(MATCH(R414&amp;"|"&amp;T414,시장분석!$V$2:$V$601,0)+1,IF(COUNTIF(시장분석!$U$2:$U$601,T414)=1,MATCH(T414,시장분석!$U$2:$U$601,0)+1,""))))</f>
        <v>221</v>
      </c>
      <c r="AC414" s="89" t="n">
        <f aca="false">IF(Q414&lt;&gt;1,0,IF(OR(설정!$C$5="전체",AND(설정!$C$5="선택펀드",IFERROR(COUNTIFS(설정!$F$16:$F$36,C414,설정!$G$16:$G$36,"Y")+COUNTIFS(설정!$F$16:$F$36,VALUE(C414),설정!$G$16:$G$36,"Y"),0)&gt;0),C414&amp;""=설정!$C$5&amp;""),1,0))</f>
        <v>0</v>
      </c>
      <c r="AD414" s="89" t="n">
        <f aca="false">IF(Q414&lt;&gt;1,0,IF(OR(S414=1,IF(AB414="",FALSE(),INDEX(시장분석!$R:$R,AB414)=1)),1,0))</f>
        <v>0</v>
      </c>
      <c r="AE414" s="43" t="str">
        <f aca="false">IF(AB414="","",INDEX(시장분석!$A:$A,AB414))</f>
        <v>HATELE 4 7/8 06/28/28</v>
      </c>
      <c r="AF414" s="93" t="n">
        <f aca="false">IF(AB414="","",IF(ISNUMBER(IF(AB414="","",INDEX(시장분석!$E:$E,AB414))),IF(AB414="","",INDEX(시장분석!$E:$E,AB414)),""))</f>
        <v>51.579</v>
      </c>
      <c r="AG414" s="43" t="str">
        <f aca="false">IF(Q414&lt;&gt;1,"",IF(AB414&lt;&gt;"",IF(AB414="","",INDEX(시장분석!$L:$L,AB414)),IFERROR(IF(VLOOKUP(R414,매핑!$A$4:$E$92,5,0)="","미분류",VLOOKUP(R414,매핑!$A$4:$E$92,5,0)),"미분류")))</f>
        <v>통신</v>
      </c>
      <c r="AH414" s="43" t="str">
        <f aca="false">IF(Q414&lt;&gt;1,"",IF(AB414&lt;&gt;"",IF(AB414="","",INDEX(시장분석!$N:$N,AB414)),IFERROR(IF(VLOOKUP(R414,매핑!$A$4:$E$92,4,0)="","미분류",VLOOKUP(R414,매핑!$A$4:$E$92,4,0)),"미분류")))</f>
        <v>아시아/기타</v>
      </c>
      <c r="AI414" s="43" t="str">
        <f aca="false">IF(Q414&lt;&gt;1,"",IFERROR(IF(VLOOKUP(R414,매핑!$A$4:$E$92,3,0)="","미분류",VLOOKUP(R414,매핑!$A$4:$E$92,3,0)),IF(AB414&lt;&gt;"",IF(AB414="","",INDEX(시장분석!$W:$W,AB414)),"미분류")))</f>
        <v>한국</v>
      </c>
      <c r="AJ414" s="43" t="str">
        <f aca="false">IF(Q414&lt;&gt;1,"",IFERROR(VLOOKUP(IF(N414&lt;&gt;"",N414,IF(P414&lt;&gt;"",P414,O414)),설정!$A$15:$D$47,2,0),""))</f>
        <v/>
      </c>
      <c r="AK414" s="43" t="str">
        <f aca="false">IF(Q414&lt;&gt;1,"",IF(AJ414="","무등급",IFERROR(VLOOKUP(AJ414,설정!$A$15:$D$47,3,0),"무등급")))</f>
        <v>무등급</v>
      </c>
      <c r="AL414" s="89" t="n">
        <f aca="false">IF(AJ414="",99,IFERROR(VLOOKUP(AJ414,설정!$A$15:$D$47,4,0),99))</f>
        <v>99</v>
      </c>
      <c r="AM414" s="94" t="n">
        <f aca="false">IF(ISNUMBER(H414),AA414*1000000*H414/10000,0)</f>
        <v>1580.5829949</v>
      </c>
      <c r="AN414" s="94" t="n">
        <f aca="false">IF(OR(Y414=1,NOT(ISNUMBER(Z414))),0,AA414*1000000*Z414/10000)</f>
        <v>1580.5829949</v>
      </c>
      <c r="AO414" s="94" t="n">
        <f aca="false">IF(ISNUMBER(G414),AA414*1000000*G414/100,0)</f>
        <v>537404.16366</v>
      </c>
      <c r="AP414" s="94" t="n">
        <f aca="false">IF(ISNUMBER(M414),M414*K414,0)</f>
        <v>-290010</v>
      </c>
      <c r="AQ414" s="95" t="n">
        <f aca="false">IF(AB414="","",INDEX(시장분석!$AK:$AK,AB414))</f>
        <v>0.760859536217845</v>
      </c>
      <c r="AR414" s="43" t="str">
        <f aca="false">IF(AB414="","-",IF(AB414="","",INDEX(시장분석!$AL:$AL,AB414)))</f>
        <v>Fair</v>
      </c>
      <c r="AS414" s="96" t="n">
        <f aca="false">IF(AB414="","",INDEX(시장분석!$AJ:$AJ,AB414))</f>
        <v>11.7616005162608</v>
      </c>
      <c r="AT414" s="93" t="n">
        <f aca="false">IF(AB414="",0,IF(AB414="","",INDEX(시장분석!$AN:$AN,AB414)))</f>
        <v>36.1977215610966</v>
      </c>
      <c r="AU414" s="94" t="n">
        <f aca="false">IF(ISNUMBER(Z414),AT414/10000*MAX(Z414-1,0)*AA414*1000000,0)</f>
        <v>21345.2170564253</v>
      </c>
      <c r="AV414" s="94" t="n">
        <f aca="false">AO414+AU414</f>
        <v>558749.380716425</v>
      </c>
      <c r="AW414" s="43" t="str">
        <f aca="false">IF(Q414&lt;&gt;1,"",TRIM(IF(AD414=1,"FRN ","")&amp;IF(AND(AL414&gt;=10,AL414&lt;99),"BBB0미만 ","")&amp;IF(AJ414="","등급없음 ","")&amp;IF(K414&lt;&gt;1,"비USD ","")&amp;IF(AND(AB414="",Y414=0),"시장데이터없음 ","")&amp;IF(AND(ISNUMBER(U414),U414&lt;0),"만기경과 ","")))</f>
        <v>등급없음</v>
      </c>
      <c r="AX414" s="90" t="n">
        <f aca="false">IF(Q414&lt;&gt;1,1,IF(스프레드쇼크!$C$4="Y",INDEX(스프레드쇼크!$B$12:$L$16,IFERROR(MATCH(AH414,스프레드쇼크!$A$12:$A$16,0),MATCH("목록외",스프레드쇼크!$A$12:$A$16,0)),IFERROR(MATCH(AG414,스프레드쇼크!$B$11:$L$11,0),MATCH("목록외",스프레드쇼크!$B$11:$L$11,0))),1))</f>
        <v>1</v>
      </c>
      <c r="AY414" s="90" t="n">
        <f aca="false">IF(스프레드쇼크!$C$5="Y",IF(ISNUMBER(AF414),MIN(스프레드쇼크!$C$7,MAX(스프레드쇼크!$C$6,AF414/스프레드쇼크!$C$8)),1),1)</f>
        <v>0.780152392120762</v>
      </c>
      <c r="AZ414" s="94" t="n">
        <f aca="false">AN414*AX414*AY414</f>
        <v>1233.09560441663</v>
      </c>
      <c r="BA414" s="90" t="n">
        <f aca="false">IF(ISNUMBER(G414),AA414*G414,0)</f>
        <v>53.740416366</v>
      </c>
      <c r="BB414" s="90" t="n">
        <f aca="false">IF(ISNUMBER(G414),AA414,0)</f>
        <v>9.90899</v>
      </c>
      <c r="BC414" s="90" t="n">
        <f aca="false">IF(AND(Y414=0,ISNUMBER(AF414)),AA414*AF414,0)</f>
        <v>511.09579521</v>
      </c>
      <c r="BD414" s="90" t="n">
        <f aca="false">IF(AND(Y414=0,ISNUMBER(AF414)),AA414,0)</f>
        <v>9.90899</v>
      </c>
      <c r="BE414" s="90" t="n">
        <f aca="false">IF(ISNUMBER(H414),AA414*H414,0)</f>
        <v>15.805829949</v>
      </c>
      <c r="BF414" s="90" t="n">
        <f aca="false">IF(ISNUMBER(H414),AA414,0)</f>
        <v>9.90899</v>
      </c>
      <c r="BG414" s="90" t="n">
        <f aca="false">IF(AND(Y414=0,ISNUMBER(AF414),ISNUMBER(Z414)),AA414*Z414,0)</f>
        <v>15.805829949</v>
      </c>
      <c r="BH414" s="90" t="n">
        <f aca="false">IF(AND(Y414=0,ISNUMBER(AF414),ISNUMBER(Z414)),AA414*AT414*MAX(Z414-1,0),0)</f>
        <v>213.452170564253</v>
      </c>
      <c r="BI414" s="90" t="n">
        <f aca="false">IF(Y414=0,AA414,0)</f>
        <v>9.90899</v>
      </c>
    </row>
    <row r="415" customFormat="false" ht="15" hidden="false" customHeight="false" outlineLevel="0" collapsed="false">
      <c r="A415" s="83" t="str">
        <f aca="false">IFERROR(IF(INDEX(원자료_잔고!$A$1:$EZ$1500,설정!$L$5+ROW()-1,설정!$L$8)&amp;""="0","",INDEX(원자료_잔고!$A$1:$EZ$1500,설정!$L$5+ROW()-1,설정!$L$8)&amp;""),"")</f>
        <v>KOMRMR 5.125 05/08/29</v>
      </c>
      <c r="B415" s="83" t="str">
        <f aca="false">IFERROR(IF(INDEX(원자료_잔고!$A$1:$EZ$1500,설정!$L$5+ROW()-1,설정!$L$7)&amp;""="0","",INDEX(원자료_잔고!$A$1:$EZ$1500,설정!$L$5+ROW()-1,설정!$L$7)&amp;""),"")</f>
        <v>XS2790212828</v>
      </c>
      <c r="C415" s="83" t="str">
        <f aca="false">IFERROR(IF(INDEX(원자료_잔고!$A$1:$EZ$1500,설정!$L$5+ROW()-1,설정!$L$9)&amp;""="0","",INDEX(원자료_잔고!$A$1:$EZ$1500,설정!$L$5+ROW()-1,설정!$L$9)&amp;""),"")</f>
        <v>42003</v>
      </c>
      <c r="D41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5" s="84" t="n">
        <f aca="false">IFERROR(IF(ISNUMBER(INDEX(원자료_잔고!$A$1:$EZ$1500,설정!$L$5+ROW()-1,설정!$L$11)),INDEX(원자료_잔고!$A$1:$EZ$1500,설정!$L$5+ROW()-1,설정!$L$11),""),"")</f>
        <v>7322000</v>
      </c>
      <c r="F415" s="85" t="n">
        <f aca="false">IFERROR(IF(ISNUMBER(INDEX(원자료_잔고!$A$1:$EZ$1500,설정!$L$5+ROW()-1,설정!$L$12)),INDEX(원자료_잔고!$A$1:$EZ$1500,설정!$L$5+ROW()-1,설정!$L$12),""),"")</f>
        <v>99.4806</v>
      </c>
      <c r="G415" s="85" t="n">
        <f aca="false">IFERROR(IF(ISNUMBER(INDEX(원자료_잔고!$A$1:$EZ$1500,설정!$L$5+ROW()-1,설정!$L$13)),INDEX(원자료_잔고!$A$1:$EZ$1500,설정!$L$5+ROW()-1,설정!$L$13),""),"")</f>
        <v>5.3375</v>
      </c>
      <c r="H415" s="85" t="n">
        <f aca="false">IFERROR(IF(ISNUMBER(INDEX(원자료_잔고!$A$1:$EZ$1500,설정!$L$5+ROW()-1,설정!$L$14)),INDEX(원자료_잔고!$A$1:$EZ$1500,설정!$L$5+ROW()-1,설정!$L$14),""),"")</f>
        <v>2.3049</v>
      </c>
      <c r="I415" s="86" t="n">
        <f aca="false">IFERROR(IF(ISNUMBER(INDEX(원자료_잔고!$A$1:$EZ$1500,설정!$L$5+ROW()-1,설정!$L$15)),INDEX(원자료_잔고!$A$1:$EZ$1500,설정!$L$5+ROW()-1,설정!$L$15),""),"")</f>
        <v>47246</v>
      </c>
      <c r="J415" s="85" t="n">
        <f aca="false">IFERROR(IF(ISNUMBER(INDEX(원자료_잔고!$A$1:$EZ$1500,설정!$L$5+ROW()-1,설정!$L$16)),INDEX(원자료_잔고!$A$1:$EZ$1500,설정!$L$5+ROW()-1,설정!$L$16),""),"")</f>
        <v>5.125</v>
      </c>
      <c r="K415" s="87" t="n">
        <f aca="false">IFERROR(IF(ISNUMBER(INDEX(원자료_잔고!$A$1:$EZ$1500,설정!$L$5+ROW()-1,설정!$L$17)),INDEX(원자료_잔고!$A$1:$EZ$1500,설정!$L$5+ROW()-1,설정!$L$17),""),"")</f>
        <v>1</v>
      </c>
      <c r="L415" s="84" t="n">
        <f aca="false">IFERROR(IF(ISNUMBER(INDEX(원자료_잔고!$A$1:$EZ$1500,설정!$L$5+ROW()-1,설정!$L$18)),INDEX(원자료_잔고!$A$1:$EZ$1500,설정!$L$5+ROW()-1,설정!$L$18),""),"")</f>
        <v>7283969.53</v>
      </c>
      <c r="M415" s="88" t="n">
        <f aca="false">IFERROR(IF(ISNUMBER(INDEX(원자료_잔고!$A$1:$EZ$1500,설정!$L$5+ROW()-1,설정!$L$19)),INDEX(원자료_잔고!$A$1:$EZ$1500,설정!$L$5+ROW()-1,설정!$L$19),""),"")</f>
        <v>-245828.83</v>
      </c>
      <c r="N415" s="83" t="str">
        <f aca="false">IFERROR(IF(INDEX(원자료_잔고!$A$1:$EZ$1500,설정!$L$5+ROW()-1,설정!$L$21)&amp;""="0","",INDEX(원자료_잔고!$A$1:$EZ$1500,설정!$L$5+ROW()-1,설정!$L$21)&amp;""),"")</f>
        <v>A+</v>
      </c>
      <c r="O415" s="83" t="str">
        <f aca="false">IFERROR(IF(INDEX(원자료_잔고!$A$1:$EZ$1500,설정!$L$5+ROW()-1,설정!$L$22)&amp;""="0","",INDEX(원자료_잔고!$A$1:$EZ$1500,설정!$L$5+ROW()-1,설정!$L$22)&amp;""),"")</f>
        <v/>
      </c>
      <c r="P415" s="83" t="str">
        <f aca="false">IFERROR(IF(INDEX(원자료_잔고!$A$1:$EZ$1500,설정!$L$5+ROW()-1,설정!$L$23)&amp;""="0","",INDEX(원자료_잔고!$A$1:$EZ$1500,설정!$L$5+ROW()-1,설정!$L$23)&amp;""),"")</f>
        <v>A+</v>
      </c>
      <c r="Q415" s="89" t="n">
        <f aca="false">IF(AND($A415&lt;&gt;"",ISNUMBER(E415)),IF(E415&gt;0,1,0),0)</f>
        <v>1</v>
      </c>
      <c r="R415" s="43" t="str">
        <f aca="false">IF(Q415=1,UPPER(LEFT($A415,FIND(" ",$A415&amp;" ")-1)),"")</f>
        <v>KOMRMR</v>
      </c>
      <c r="S415" s="89" t="n">
        <f aca="false">IF(Q415=1,IF(OR(ISNUMBER(SEARCH("Float",$A415)),ISNUMBER(SEARCH("FRN",$A415))),1,0),0)</f>
        <v>0</v>
      </c>
      <c r="T415" s="43" t="str">
        <f aca="false">IF(AND(Q415=1,ISNUMBER(I415)),TEXT(I415,"yyyymmdd")&amp;"|"&amp;IF(S415=1,"F",TEXT(J415,"0.000")),"")</f>
        <v>20290508|5.125</v>
      </c>
      <c r="U415" s="90" t="n">
        <f aca="false">IF(AND(Q415=1,ISNUMBER(I415)),(I415-설정!$C$4)/365.25,"")</f>
        <v>2.6009582477755</v>
      </c>
      <c r="V415" s="43" t="str">
        <f aca="false">IF(Q415&lt;&gt;1,"",IF(ISNUMBER(U415),IF(U415&lt;=1,"1년 이하",IF(U415&lt;=2,"1-2년",IF(U415&lt;=3,"2-3년",IF(U415&lt;=4,"3-4년",IF(U415&lt;=5,"4-5년",IF(U415&lt;=7,"5-7년",IF(U415&lt;=10,"7-10년",IF(U415&lt;=20,"10-20년","20년 이상")))))))),"미분류"))</f>
        <v>2-3년</v>
      </c>
      <c r="W415" s="43" t="str">
        <f aca="false">IF(Q415&lt;&gt;1,"",IF(AB415&lt;&gt;"",INDEX(시장분석!$C:$C,AB415),IF(K415=1,"USD","비USD")))</f>
        <v>USD</v>
      </c>
      <c r="X415" s="91" t="n">
        <f aca="false">IF(Q415=1,E415*K415/1000000,0)</f>
        <v>7.322</v>
      </c>
      <c r="Y415" s="89" t="n">
        <f aca="false">IF(R415="T",1,0)</f>
        <v>0</v>
      </c>
      <c r="Z415" s="92" t="n">
        <f aca="false">IF(Q415&lt;&gt;1,"",IF(AD415=1,IF(ISNUMBER(U415),MAX(U415,0),H415),H415))</f>
        <v>2.3049</v>
      </c>
      <c r="AA415" s="91" t="n">
        <f aca="false">IF(Q415=1,IF(ISNUMBER(L415),L415,0)*K415/1000000,0)</f>
        <v>7.28396953</v>
      </c>
      <c r="AB415" s="89" t="n">
        <f aca="false">IF(Q415&lt;&gt;1,"",IFERROR(MATCH(VLOOKUP(B415,매핑!$H$4:$I$15,2,0),시장분석!$A$2:$A$601,0)+1,IFERROR(MATCH(R415&amp;"|"&amp;T415,시장분석!$V$2:$V$601,0)+1,IF(COUNTIF(시장분석!$U$2:$U$601,T415)=1,MATCH(T415,시장분석!$U$2:$U$601,0)+1,""))))</f>
        <v>228</v>
      </c>
      <c r="AC415" s="89" t="n">
        <f aca="false">IF(Q415&lt;&gt;1,0,IF(OR(설정!$C$5="전체",AND(설정!$C$5="선택펀드",IFERROR(COUNTIFS(설정!$F$16:$F$36,C415,설정!$G$16:$G$36,"Y")+COUNTIFS(설정!$F$16:$F$36,VALUE(C415),설정!$G$16:$G$36,"Y"),0)&gt;0),C415&amp;""=설정!$C$5&amp;""),1,0))</f>
        <v>0</v>
      </c>
      <c r="AD415" s="89" t="n">
        <f aca="false">IF(Q415&lt;&gt;1,0,IF(OR(S415=1,IF(AB415="",FALSE(),INDEX(시장분석!$R:$R,AB415)=1)),1,0))</f>
        <v>0</v>
      </c>
      <c r="AE415" s="43" t="str">
        <f aca="false">IF(AB415="","",INDEX(시장분석!$A:$A,AB415))</f>
        <v>KOMRMR 5 1/8 05/08/29</v>
      </c>
      <c r="AF415" s="93" t="n">
        <f aca="false">IF(AB415="","",IF(ISNUMBER(IF(AB415="","",INDEX(시장분석!$E:$E,AB415))),IF(AB415="","",INDEX(시장분석!$E:$E,AB415)),""))</f>
        <v>37.939</v>
      </c>
      <c r="AG415" s="43" t="str">
        <f aca="false">IF(Q415&lt;&gt;1,"",IF(AB415&lt;&gt;"",IF(AB415="","",INDEX(시장분석!$L:$L,AB415)),IFERROR(IF(VLOOKUP(R415,매핑!$A$4:$E$92,5,0)="","미분류",VLOOKUP(R415,매핑!$A$4:$E$92,5,0)),"미분류")))</f>
        <v>정부</v>
      </c>
      <c r="AH415" s="43" t="str">
        <f aca="false">IF(Q415&lt;&gt;1,"",IF(AB415&lt;&gt;"",IF(AB415="","",INDEX(시장분석!$N:$N,AB415)),IFERROR(IF(VLOOKUP(R415,매핑!$A$4:$E$92,4,0)="","미분류",VLOOKUP(R415,매핑!$A$4:$E$92,4,0)),"미분류")))</f>
        <v>아시아/기타</v>
      </c>
      <c r="AI415" s="43" t="str">
        <f aca="false">IF(Q415&lt;&gt;1,"",IFERROR(IF(VLOOKUP(R415,매핑!$A$4:$E$92,3,0)="","미분류",VLOOKUP(R415,매핑!$A$4:$E$92,3,0)),IF(AB415&lt;&gt;"",IF(AB415="","",INDEX(시장분석!$W:$W,AB415)),"미분류")))</f>
        <v>한국</v>
      </c>
      <c r="AJ415" s="43" t="str">
        <f aca="false">IF(Q415&lt;&gt;1,"",IFERROR(VLOOKUP(IF(N415&lt;&gt;"",N415,IF(P415&lt;&gt;"",P415,O415)),설정!$A$15:$D$47,2,0),""))</f>
        <v>A+</v>
      </c>
      <c r="AK415" s="43" t="str">
        <f aca="false">IF(Q415&lt;&gt;1,"",IF(AJ415="","무등급",IFERROR(VLOOKUP(AJ415,설정!$A$15:$D$47,3,0),"무등급")))</f>
        <v>A</v>
      </c>
      <c r="AL415" s="89" t="n">
        <f aca="false">IF(AJ415="",99,IFERROR(VLOOKUP(AJ415,설정!$A$15:$D$47,4,0),99))</f>
        <v>5</v>
      </c>
      <c r="AM415" s="94" t="n">
        <f aca="false">IF(ISNUMBER(H415),AA415*1000000*H415/10000,0)</f>
        <v>1678.8821369697</v>
      </c>
      <c r="AN415" s="94" t="n">
        <f aca="false">IF(OR(Y415=1,NOT(ISNUMBER(Z415))),0,AA415*1000000*Z415/10000)</f>
        <v>1678.8821369697</v>
      </c>
      <c r="AO415" s="94" t="n">
        <f aca="false">IF(ISNUMBER(G415),AA415*1000000*G415/100,0)</f>
        <v>388781.87366375</v>
      </c>
      <c r="AP415" s="94" t="n">
        <f aca="false">IF(ISNUMBER(M415),M415*K415,0)</f>
        <v>-245828.83</v>
      </c>
      <c r="AQ415" s="95" t="n">
        <f aca="false">IF(AB415="","",INDEX(시장분석!$AK:$AK,AB415))</f>
        <v>1.60750593691991</v>
      </c>
      <c r="AR415" s="43" t="str">
        <f aca="false">IF(AB415="","-",IF(AB415="","",INDEX(시장분석!$AL:$AL,AB415)))</f>
        <v>Cheap</v>
      </c>
      <c r="AS415" s="96" t="n">
        <f aca="false">IF(AB415="","",INDEX(시장분석!$AJ:$AJ,AB415))</f>
        <v>22.0116175587321</v>
      </c>
      <c r="AT415" s="93" t="n">
        <f aca="false">IF(AB415="",0,IF(AB415="","",INDEX(시장분석!$AN:$AN,AB415)))</f>
        <v>10.6497156543897</v>
      </c>
      <c r="AU415" s="94" t="n">
        <f aca="false">IF(ISNUMBER(Z415),AT415/10000*MAX(Z415-1,0)*AA415*1000000,0)</f>
        <v>10122.3969429876</v>
      </c>
      <c r="AV415" s="94" t="n">
        <f aca="false">AO415+AU415</f>
        <v>398904.270606738</v>
      </c>
      <c r="AW415" s="43" t="str">
        <f aca="false">IF(Q415&lt;&gt;1,"",TRIM(IF(AD415=1,"FRN ","")&amp;IF(AND(AL415&gt;=10,AL415&lt;99),"BBB0미만 ","")&amp;IF(AJ415="","등급없음 ","")&amp;IF(K415&lt;&gt;1,"비USD ","")&amp;IF(AND(AB415="",Y415=0),"시장데이터없음 ","")&amp;IF(AND(ISNUMBER(U415),U415&lt;0),"만기경과 ","")))</f>
        <v/>
      </c>
      <c r="AX415" s="90" t="n">
        <f aca="false">IF(Q415&lt;&gt;1,1,IF(스프레드쇼크!$C$4="Y",INDEX(스프레드쇼크!$B$12:$L$16,IFERROR(MATCH(AH415,스프레드쇼크!$A$12:$A$16,0),MATCH("목록외",스프레드쇼크!$A$12:$A$16,0)),IFERROR(MATCH(AG415,스프레드쇼크!$B$11:$L$11,0),MATCH("목록외",스프레드쇼크!$B$11:$L$11,0))),1))</f>
        <v>1</v>
      </c>
      <c r="AY415" s="90" t="n">
        <f aca="false">IF(스프레드쇼크!$C$5="Y",IF(ISNUMBER(AF415),MIN(스프레드쇼크!$C$7,MAX(스프레드쇼크!$C$6,AF415/스프레드쇼크!$C$8)),1),1)</f>
        <v>0.573842098619004</v>
      </c>
      <c r="AZ415" s="94" t="n">
        <f aca="false">AN415*AX415*AY415</f>
        <v>963.41324881265</v>
      </c>
      <c r="BA415" s="90" t="n">
        <f aca="false">IF(ISNUMBER(G415),AA415*G415,0)</f>
        <v>38.878187366375</v>
      </c>
      <c r="BB415" s="90" t="n">
        <f aca="false">IF(ISNUMBER(G415),AA415,0)</f>
        <v>7.28396953</v>
      </c>
      <c r="BC415" s="90" t="n">
        <f aca="false">IF(AND(Y415=0,ISNUMBER(AF415)),AA415*AF415,0)</f>
        <v>276.34651999867</v>
      </c>
      <c r="BD415" s="90" t="n">
        <f aca="false">IF(AND(Y415=0,ISNUMBER(AF415)),AA415,0)</f>
        <v>7.28396953</v>
      </c>
      <c r="BE415" s="90" t="n">
        <f aca="false">IF(ISNUMBER(H415),AA415*H415,0)</f>
        <v>16.788821369697</v>
      </c>
      <c r="BF415" s="90" t="n">
        <f aca="false">IF(ISNUMBER(H415),AA415,0)</f>
        <v>7.28396953</v>
      </c>
      <c r="BG415" s="90" t="n">
        <f aca="false">IF(AND(Y415=0,ISNUMBER(AF415),ISNUMBER(Z415)),AA415*Z415,0)</f>
        <v>16.788821369697</v>
      </c>
      <c r="BH415" s="90" t="n">
        <f aca="false">IF(AND(Y415=0,ISNUMBER(AF415),ISNUMBER(Z415)),AA415*AT415*MAX(Z415-1,0),0)</f>
        <v>101.223969429876</v>
      </c>
      <c r="BI415" s="90" t="n">
        <f aca="false">IF(Y415=0,AA415,0)</f>
        <v>7.28396953</v>
      </c>
    </row>
    <row r="416" customFormat="false" ht="15" hidden="false" customHeight="false" outlineLevel="0" collapsed="false">
      <c r="A416" s="83" t="str">
        <f aca="false">IFERROR(IF(INDEX(원자료_잔고!$A$1:$EZ$1500,설정!$L$5+ROW()-1,설정!$L$8)&amp;""="0","",INDEX(원자료_잔고!$A$1:$EZ$1500,설정!$L$5+ROW()-1,설정!$L$8)&amp;""),"")</f>
        <v>KOBCOP 5.375 05/02/27</v>
      </c>
      <c r="B416" s="83" t="str">
        <f aca="false">IFERROR(IF(INDEX(원자료_잔고!$A$1:$EZ$1500,설정!$L$5+ROW()-1,설정!$L$7)&amp;""="0","",INDEX(원자료_잔고!$A$1:$EZ$1500,설정!$L$5+ROW()-1,설정!$L$7)&amp;""),"")</f>
        <v>XS2803406698</v>
      </c>
      <c r="C416" s="83" t="str">
        <f aca="false">IFERROR(IF(INDEX(원자료_잔고!$A$1:$EZ$1500,설정!$L$5+ROW()-1,설정!$L$9)&amp;""="0","",INDEX(원자료_잔고!$A$1:$EZ$1500,설정!$L$5+ROW()-1,설정!$L$9)&amp;""),"")</f>
        <v>42003</v>
      </c>
      <c r="D41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6" s="84" t="n">
        <f aca="false">IFERROR(IF(ISNUMBER(INDEX(원자료_잔고!$A$1:$EZ$1500,설정!$L$5+ROW()-1,설정!$L$11)),INDEX(원자료_잔고!$A$1:$EZ$1500,설정!$L$5+ROW()-1,설정!$L$11),""),"")</f>
        <v>4000000</v>
      </c>
      <c r="F416" s="85" t="n">
        <f aca="false">IFERROR(IF(ISNUMBER(INDEX(원자료_잔고!$A$1:$EZ$1500,설정!$L$5+ROW()-1,설정!$L$12)),INDEX(원자료_잔고!$A$1:$EZ$1500,설정!$L$5+ROW()-1,설정!$L$12),""),"")</f>
        <v>100.2358</v>
      </c>
      <c r="G416" s="85" t="n">
        <f aca="false">IFERROR(IF(ISNUMBER(INDEX(원자료_잔고!$A$1:$EZ$1500,설정!$L$5+ROW()-1,설정!$L$13)),INDEX(원자료_잔고!$A$1:$EZ$1500,설정!$L$5+ROW()-1,설정!$L$13),""),"")</f>
        <v>4.9501</v>
      </c>
      <c r="H416" s="85" t="n">
        <f aca="false">IFERROR(IF(ISNUMBER(INDEX(원자료_잔고!$A$1:$EZ$1500,설정!$L$5+ROW()-1,설정!$L$14)),INDEX(원자료_잔고!$A$1:$EZ$1500,설정!$L$5+ROW()-1,설정!$L$14),""),"")</f>
        <v>0.5489</v>
      </c>
      <c r="I416" s="86" t="n">
        <f aca="false">IFERROR(IF(ISNUMBER(INDEX(원자료_잔고!$A$1:$EZ$1500,설정!$L$5+ROW()-1,설정!$L$15)),INDEX(원자료_잔고!$A$1:$EZ$1500,설정!$L$5+ROW()-1,설정!$L$15),""),"")</f>
        <v>46509</v>
      </c>
      <c r="J416" s="85" t="n">
        <f aca="false">IFERROR(IF(ISNUMBER(INDEX(원자료_잔고!$A$1:$EZ$1500,설정!$L$5+ROW()-1,설정!$L$16)),INDEX(원자료_잔고!$A$1:$EZ$1500,설정!$L$5+ROW()-1,설정!$L$16),""),"")</f>
        <v>5.375</v>
      </c>
      <c r="K416" s="87" t="n">
        <f aca="false">IFERROR(IF(ISNUMBER(INDEX(원자료_잔고!$A$1:$EZ$1500,설정!$L$5+ROW()-1,설정!$L$17)),INDEX(원자료_잔고!$A$1:$EZ$1500,설정!$L$5+ROW()-1,설정!$L$17),""),"")</f>
        <v>1</v>
      </c>
      <c r="L416" s="84" t="n">
        <f aca="false">IFERROR(IF(ISNUMBER(INDEX(원자료_잔고!$A$1:$EZ$1500,설정!$L$5+ROW()-1,설정!$L$18)),INDEX(원자료_잔고!$A$1:$EZ$1500,설정!$L$5+ROW()-1,설정!$L$18),""),"")</f>
        <v>4009432</v>
      </c>
      <c r="M416" s="88" t="n">
        <f aca="false">IFERROR(IF(ISNUMBER(INDEX(원자료_잔고!$A$1:$EZ$1500,설정!$L$5+ROW()-1,설정!$L$19)),INDEX(원자료_잔고!$A$1:$EZ$1500,설정!$L$5+ROW()-1,설정!$L$19),""),"")</f>
        <v>-67148</v>
      </c>
      <c r="N416" s="83" t="str">
        <f aca="false">IFERROR(IF(INDEX(원자료_잔고!$A$1:$EZ$1500,설정!$L$5+ROW()-1,설정!$L$21)&amp;""="0","",INDEX(원자료_잔고!$A$1:$EZ$1500,설정!$L$5+ROW()-1,설정!$L$21)&amp;""),"")</f>
        <v/>
      </c>
      <c r="O416" s="83" t="str">
        <f aca="false">IFERROR(IF(INDEX(원자료_잔고!$A$1:$EZ$1500,설정!$L$5+ROW()-1,설정!$L$22)&amp;""="0","",INDEX(원자료_잔고!$A$1:$EZ$1500,설정!$L$5+ROW()-1,설정!$L$22)&amp;""),"")</f>
        <v/>
      </c>
      <c r="P416" s="83" t="str">
        <f aca="false">IFERROR(IF(INDEX(원자료_잔고!$A$1:$EZ$1500,설정!$L$5+ROW()-1,설정!$L$23)&amp;""="0","",INDEX(원자료_잔고!$A$1:$EZ$1500,설정!$L$5+ROW()-1,설정!$L$23)&amp;""),"")</f>
        <v>AA-</v>
      </c>
      <c r="Q416" s="89" t="n">
        <f aca="false">IF(AND($A416&lt;&gt;"",ISNUMBER(E416)),IF(E416&gt;0,1,0),0)</f>
        <v>1</v>
      </c>
      <c r="R416" s="43" t="str">
        <f aca="false">IF(Q416=1,UPPER(LEFT($A416,FIND(" ",$A416&amp;" ")-1)),"")</f>
        <v>KOBCOP</v>
      </c>
      <c r="S416" s="89" t="n">
        <f aca="false">IF(Q416=1,IF(OR(ISNUMBER(SEARCH("Float",$A416)),ISNUMBER(SEARCH("FRN",$A416))),1,0),0)</f>
        <v>0</v>
      </c>
      <c r="T416" s="43" t="str">
        <f aca="false">IF(AND(Q416=1,ISNUMBER(I416)),TEXT(I416,"yyyymmdd")&amp;"|"&amp;IF(S416=1,"F",TEXT(J416,"0.000")),"")</f>
        <v>20270502|5.375</v>
      </c>
      <c r="U416" s="90" t="n">
        <f aca="false">IF(AND(Q416=1,ISNUMBER(I416)),(I416-설정!$C$4)/365.25,"")</f>
        <v>0.583162217659138</v>
      </c>
      <c r="V416" s="43" t="str">
        <f aca="false">IF(Q416&lt;&gt;1,"",IF(ISNUMBER(U416),IF(U416&lt;=1,"1년 이하",IF(U416&lt;=2,"1-2년",IF(U416&lt;=3,"2-3년",IF(U416&lt;=4,"3-4년",IF(U416&lt;=5,"4-5년",IF(U416&lt;=7,"5-7년",IF(U416&lt;=10,"7-10년",IF(U416&lt;=20,"10-20년","20년 이상")))))))),"미분류"))</f>
        <v>1년 이하</v>
      </c>
      <c r="W416" s="43" t="str">
        <f aca="false">IF(Q416&lt;&gt;1,"",IF(AB416&lt;&gt;"",INDEX(시장분석!$C:$C,AB416),IF(K416=1,"USD","비USD")))</f>
        <v>USD</v>
      </c>
      <c r="X416" s="91" t="n">
        <f aca="false">IF(Q416=1,E416*K416/1000000,0)</f>
        <v>4</v>
      </c>
      <c r="Y416" s="89" t="n">
        <f aca="false">IF(R416="T",1,0)</f>
        <v>0</v>
      </c>
      <c r="Z416" s="92" t="n">
        <f aca="false">IF(Q416&lt;&gt;1,"",IF(AD416=1,IF(ISNUMBER(U416),MAX(U416,0),H416),H416))</f>
        <v>0.5489</v>
      </c>
      <c r="AA416" s="91" t="n">
        <f aca="false">IF(Q416=1,IF(ISNUMBER(L416),L416,0)*K416/1000000,0)</f>
        <v>4.009432</v>
      </c>
      <c r="AB416" s="89" t="n">
        <f aca="false">IF(Q416&lt;&gt;1,"",IFERROR(MATCH(VLOOKUP(B416,매핑!$H$4:$I$15,2,0),시장분석!$A$2:$A$601,0)+1,IFERROR(MATCH(R416&amp;"|"&amp;T416,시장분석!$V$2:$V$601,0)+1,IF(COUNTIF(시장분석!$U$2:$U$601,T416)=1,MATCH(T416,시장분석!$U$2:$U$601,0)+1,""))))</f>
        <v>230</v>
      </c>
      <c r="AC416" s="89" t="n">
        <f aca="false">IF(Q416&lt;&gt;1,0,IF(OR(설정!$C$5="전체",AND(설정!$C$5="선택펀드",IFERROR(COUNTIFS(설정!$F$16:$F$36,C416,설정!$G$16:$G$36,"Y")+COUNTIFS(설정!$F$16:$F$36,VALUE(C416),설정!$G$16:$G$36,"Y"),0)&gt;0),C416&amp;""=설정!$C$5&amp;""),1,0))</f>
        <v>0</v>
      </c>
      <c r="AD416" s="89" t="n">
        <f aca="false">IF(Q416&lt;&gt;1,0,IF(OR(S416=1,IF(AB416="",FALSE(),INDEX(시장분석!$R:$R,AB416)=1)),1,0))</f>
        <v>0</v>
      </c>
      <c r="AE416" s="43" t="str">
        <f aca="false">IF(AB416="","",INDEX(시장분석!$A:$A,AB416))</f>
        <v>KOBCOP 5 3/8 05/02/27</v>
      </c>
      <c r="AF416" s="93" t="n">
        <f aca="false">IF(AB416="","",IF(ISNUMBER(IF(AB416="","",INDEX(시장분석!$E:$E,AB416))),IF(AB416="","",INDEX(시장분석!$E:$E,AB416)),""))</f>
        <v>-4.522</v>
      </c>
      <c r="AG416" s="43" t="str">
        <f aca="false">IF(Q416&lt;&gt;1,"",IF(AB416&lt;&gt;"",IF(AB416="","",INDEX(시장분석!$L:$L,AB416)),IFERROR(IF(VLOOKUP(R416,매핑!$A$4:$E$92,5,0)="","미분류",VLOOKUP(R416,매핑!$A$4:$E$92,5,0)),"미분류")))</f>
        <v>정부</v>
      </c>
      <c r="AH416" s="43" t="str">
        <f aca="false">IF(Q416&lt;&gt;1,"",IF(AB416&lt;&gt;"",IF(AB416="","",INDEX(시장분석!$N:$N,AB416)),IFERROR(IF(VLOOKUP(R416,매핑!$A$4:$E$92,4,0)="","미분류",VLOOKUP(R416,매핑!$A$4:$E$92,4,0)),"미분류")))</f>
        <v>아시아/기타</v>
      </c>
      <c r="AI416" s="43" t="str">
        <f aca="false">IF(Q416&lt;&gt;1,"",IFERROR(IF(VLOOKUP(R416,매핑!$A$4:$E$92,3,0)="","미분류",VLOOKUP(R416,매핑!$A$4:$E$92,3,0)),IF(AB416&lt;&gt;"",IF(AB416="","",INDEX(시장분석!$W:$W,AB416)),"미분류")))</f>
        <v>한국</v>
      </c>
      <c r="AJ416" s="43" t="str">
        <f aca="false">IF(Q416&lt;&gt;1,"",IFERROR(VLOOKUP(IF(N416&lt;&gt;"",N416,IF(P416&lt;&gt;"",P416,O416)),설정!$A$15:$D$47,2,0),""))</f>
        <v>AA-</v>
      </c>
      <c r="AK416" s="43" t="str">
        <f aca="false">IF(Q416&lt;&gt;1,"",IF(AJ416="","무등급",IFERROR(VLOOKUP(AJ416,설정!$A$15:$D$47,3,0),"무등급")))</f>
        <v>AA이상</v>
      </c>
      <c r="AL416" s="89" t="n">
        <f aca="false">IF(AJ416="",99,IFERROR(VLOOKUP(AJ416,설정!$A$15:$D$47,4,0),99))</f>
        <v>4</v>
      </c>
      <c r="AM416" s="94" t="n">
        <f aca="false">IF(ISNUMBER(H416),AA416*1000000*H416/10000,0)</f>
        <v>220.07772248</v>
      </c>
      <c r="AN416" s="94" t="n">
        <f aca="false">IF(OR(Y416=1,NOT(ISNUMBER(Z416))),0,AA416*1000000*Z416/10000)</f>
        <v>220.07772248</v>
      </c>
      <c r="AO416" s="94" t="n">
        <f aca="false">IF(ISNUMBER(G416),AA416*1000000*G416/100,0)</f>
        <v>198470.893432</v>
      </c>
      <c r="AP416" s="94" t="n">
        <f aca="false">IF(ISNUMBER(M416),M416*K416,0)</f>
        <v>-67148</v>
      </c>
      <c r="AQ416" s="95" t="n">
        <f aca="false">IF(AB416="","",INDEX(시장분석!$AK:$AK,AB416))</f>
        <v>0.618951378623818</v>
      </c>
      <c r="AR416" s="43" t="str">
        <f aca="false">IF(AB416="","-",IF(AB416="","",INDEX(시장분석!$AL:$AL,AB416)))</f>
        <v>Fair</v>
      </c>
      <c r="AS416" s="96" t="n">
        <f aca="false">IF(AB416="","",INDEX(시장분석!$AJ:$AJ,AB416))</f>
        <v>8.47531615330902</v>
      </c>
      <c r="AT416" s="93" t="n">
        <f aca="false">IF(AB416="",0,IF(AB416="","",INDEX(시장분석!$AN:$AN,AB416)))</f>
        <v>0</v>
      </c>
      <c r="AU416" s="94" t="n">
        <f aca="false">IF(ISNUMBER(Z416),AT416/10000*MAX(Z416-1,0)*AA416*1000000,0)</f>
        <v>0</v>
      </c>
      <c r="AV416" s="94" t="n">
        <f aca="false">AO416+AU416</f>
        <v>198470.893432</v>
      </c>
      <c r="AW416" s="43" t="str">
        <f aca="false">IF(Q416&lt;&gt;1,"",TRIM(IF(AD416=1,"FRN ","")&amp;IF(AND(AL416&gt;=10,AL416&lt;99),"BBB0미만 ","")&amp;IF(AJ416="","등급없음 ","")&amp;IF(K416&lt;&gt;1,"비USD ","")&amp;IF(AND(AB416="",Y416=0),"시장데이터없음 ","")&amp;IF(AND(ISNUMBER(U416),U416&lt;0),"만기경과 ","")))</f>
        <v/>
      </c>
      <c r="AX416" s="90" t="n">
        <f aca="false">IF(Q416&lt;&gt;1,1,IF(스프레드쇼크!$C$4="Y",INDEX(스프레드쇼크!$B$12:$L$16,IFERROR(MATCH(AH416,스프레드쇼크!$A$12:$A$16,0),MATCH("목록외",스프레드쇼크!$A$12:$A$16,0)),IFERROR(MATCH(AG416,스프레드쇼크!$B$11:$L$11,0),MATCH("목록외",스프레드쇼크!$B$11:$L$11,0))),1))</f>
        <v>1</v>
      </c>
      <c r="AY416" s="90" t="n">
        <f aca="false">IF(스프레드쇼크!$C$5="Y",IF(ISNUMBER(AF416),MIN(스프레드쇼크!$C$7,MAX(스프레드쇼크!$C$6,AF416/스프레드쇼크!$C$8)),1),1)</f>
        <v>0.25</v>
      </c>
      <c r="AZ416" s="94" t="n">
        <f aca="false">AN416*AX416*AY416</f>
        <v>55.01943062</v>
      </c>
      <c r="BA416" s="90" t="n">
        <f aca="false">IF(ISNUMBER(G416),AA416*G416,0)</f>
        <v>19.8470893432</v>
      </c>
      <c r="BB416" s="90" t="n">
        <f aca="false">IF(ISNUMBER(G416),AA416,0)</f>
        <v>4.009432</v>
      </c>
      <c r="BC416" s="90" t="n">
        <f aca="false">IF(AND(Y416=0,ISNUMBER(AF416)),AA416*AF416,0)</f>
        <v>-18.130651504</v>
      </c>
      <c r="BD416" s="90" t="n">
        <f aca="false">IF(AND(Y416=0,ISNUMBER(AF416)),AA416,0)</f>
        <v>4.009432</v>
      </c>
      <c r="BE416" s="90" t="n">
        <f aca="false">IF(ISNUMBER(H416),AA416*H416,0)</f>
        <v>2.2007772248</v>
      </c>
      <c r="BF416" s="90" t="n">
        <f aca="false">IF(ISNUMBER(H416),AA416,0)</f>
        <v>4.009432</v>
      </c>
      <c r="BG416" s="90" t="n">
        <f aca="false">IF(AND(Y416=0,ISNUMBER(AF416),ISNUMBER(Z416)),AA416*Z416,0)</f>
        <v>2.2007772248</v>
      </c>
      <c r="BH416" s="90" t="n">
        <f aca="false">IF(AND(Y416=0,ISNUMBER(AF416),ISNUMBER(Z416)),AA416*AT416*MAX(Z416-1,0),0)</f>
        <v>0</v>
      </c>
      <c r="BI416" s="90" t="n">
        <f aca="false">IF(Y416=0,AA416,0)</f>
        <v>4.009432</v>
      </c>
    </row>
    <row r="417" customFormat="false" ht="15" hidden="false" customHeight="false" outlineLevel="0" collapsed="false">
      <c r="A417" s="83" t="str">
        <f aca="false">IFERROR(IF(INDEX(원자료_잔고!$A$1:$EZ$1500,설정!$L$5+ROW()-1,설정!$L$8)&amp;""="0","",INDEX(원자료_잔고!$A$1:$EZ$1500,설정!$L$5+ROW()-1,설정!$L$8)&amp;""),"")</f>
        <v>KOBCOP 5.375 05/02/27</v>
      </c>
      <c r="B417" s="83" t="str">
        <f aca="false">IFERROR(IF(INDEX(원자료_잔고!$A$1:$EZ$1500,설정!$L$5+ROW()-1,설정!$L$7)&amp;""="0","",INDEX(원자료_잔고!$A$1:$EZ$1500,설정!$L$5+ROW()-1,설정!$L$7)&amp;""),"")</f>
        <v>XS2803406698</v>
      </c>
      <c r="C417" s="83" t="str">
        <f aca="false">IFERROR(IF(INDEX(원자료_잔고!$A$1:$EZ$1500,설정!$L$5+ROW()-1,설정!$L$9)&amp;""="0","",INDEX(원자료_잔고!$A$1:$EZ$1500,설정!$L$5+ROW()-1,설정!$L$9)&amp;""),"")</f>
        <v>42003</v>
      </c>
      <c r="D41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7" s="84" t="n">
        <f aca="false">IFERROR(IF(ISNUMBER(INDEX(원자료_잔고!$A$1:$EZ$1500,설정!$L$5+ROW()-1,설정!$L$11)),INDEX(원자료_잔고!$A$1:$EZ$1500,설정!$L$5+ROW()-1,설정!$L$11),""),"")</f>
        <v>1000000</v>
      </c>
      <c r="F417" s="85" t="n">
        <f aca="false">IFERROR(IF(ISNUMBER(INDEX(원자료_잔고!$A$1:$EZ$1500,설정!$L$5+ROW()-1,설정!$L$12)),INDEX(원자료_잔고!$A$1:$EZ$1500,설정!$L$5+ROW()-1,설정!$L$12),""),"")</f>
        <v>100.2358</v>
      </c>
      <c r="G417" s="85" t="n">
        <f aca="false">IFERROR(IF(ISNUMBER(INDEX(원자료_잔고!$A$1:$EZ$1500,설정!$L$5+ROW()-1,설정!$L$13)),INDEX(원자료_잔고!$A$1:$EZ$1500,설정!$L$5+ROW()-1,설정!$L$13),""),"")</f>
        <v>4.9501</v>
      </c>
      <c r="H417" s="85" t="n">
        <f aca="false">IFERROR(IF(ISNUMBER(INDEX(원자료_잔고!$A$1:$EZ$1500,설정!$L$5+ROW()-1,설정!$L$14)),INDEX(원자료_잔고!$A$1:$EZ$1500,설정!$L$5+ROW()-1,설정!$L$14),""),"")</f>
        <v>0.5489</v>
      </c>
      <c r="I417" s="86" t="n">
        <f aca="false">IFERROR(IF(ISNUMBER(INDEX(원자료_잔고!$A$1:$EZ$1500,설정!$L$5+ROW()-1,설정!$L$15)),INDEX(원자료_잔고!$A$1:$EZ$1500,설정!$L$5+ROW()-1,설정!$L$15),""),"")</f>
        <v>46509</v>
      </c>
      <c r="J417" s="85" t="n">
        <f aca="false">IFERROR(IF(ISNUMBER(INDEX(원자료_잔고!$A$1:$EZ$1500,설정!$L$5+ROW()-1,설정!$L$16)),INDEX(원자료_잔고!$A$1:$EZ$1500,설정!$L$5+ROW()-1,설정!$L$16),""),"")</f>
        <v>5.375</v>
      </c>
      <c r="K417" s="87" t="n">
        <f aca="false">IFERROR(IF(ISNUMBER(INDEX(원자료_잔고!$A$1:$EZ$1500,설정!$L$5+ROW()-1,설정!$L$17)),INDEX(원자료_잔고!$A$1:$EZ$1500,설정!$L$5+ROW()-1,설정!$L$17),""),"")</f>
        <v>1</v>
      </c>
      <c r="L417" s="84" t="n">
        <f aca="false">IFERROR(IF(ISNUMBER(INDEX(원자료_잔고!$A$1:$EZ$1500,설정!$L$5+ROW()-1,설정!$L$18)),INDEX(원자료_잔고!$A$1:$EZ$1500,설정!$L$5+ROW()-1,설정!$L$18),""),"")</f>
        <v>1002358</v>
      </c>
      <c r="M417" s="88" t="n">
        <f aca="false">IFERROR(IF(ISNUMBER(INDEX(원자료_잔고!$A$1:$EZ$1500,설정!$L$5+ROW()-1,설정!$L$19)),INDEX(원자료_잔고!$A$1:$EZ$1500,설정!$L$5+ROW()-1,설정!$L$19),""),"")</f>
        <v>-16787</v>
      </c>
      <c r="N417" s="83" t="str">
        <f aca="false">IFERROR(IF(INDEX(원자료_잔고!$A$1:$EZ$1500,설정!$L$5+ROW()-1,설정!$L$21)&amp;""="0","",INDEX(원자료_잔고!$A$1:$EZ$1500,설정!$L$5+ROW()-1,설정!$L$21)&amp;""),"")</f>
        <v/>
      </c>
      <c r="O417" s="83" t="str">
        <f aca="false">IFERROR(IF(INDEX(원자료_잔고!$A$1:$EZ$1500,설정!$L$5+ROW()-1,설정!$L$22)&amp;""="0","",INDEX(원자료_잔고!$A$1:$EZ$1500,설정!$L$5+ROW()-1,설정!$L$22)&amp;""),"")</f>
        <v/>
      </c>
      <c r="P417" s="83" t="str">
        <f aca="false">IFERROR(IF(INDEX(원자료_잔고!$A$1:$EZ$1500,설정!$L$5+ROW()-1,설정!$L$23)&amp;""="0","",INDEX(원자료_잔고!$A$1:$EZ$1500,설정!$L$5+ROW()-1,설정!$L$23)&amp;""),"")</f>
        <v>AA-</v>
      </c>
      <c r="Q417" s="89" t="n">
        <f aca="false">IF(AND($A417&lt;&gt;"",ISNUMBER(E417)),IF(E417&gt;0,1,0),0)</f>
        <v>1</v>
      </c>
      <c r="R417" s="43" t="str">
        <f aca="false">IF(Q417=1,UPPER(LEFT($A417,FIND(" ",$A417&amp;" ")-1)),"")</f>
        <v>KOBCOP</v>
      </c>
      <c r="S417" s="89" t="n">
        <f aca="false">IF(Q417=1,IF(OR(ISNUMBER(SEARCH("Float",$A417)),ISNUMBER(SEARCH("FRN",$A417))),1,0),0)</f>
        <v>0</v>
      </c>
      <c r="T417" s="43" t="str">
        <f aca="false">IF(AND(Q417=1,ISNUMBER(I417)),TEXT(I417,"yyyymmdd")&amp;"|"&amp;IF(S417=1,"F",TEXT(J417,"0.000")),"")</f>
        <v>20270502|5.375</v>
      </c>
      <c r="U417" s="90" t="n">
        <f aca="false">IF(AND(Q417=1,ISNUMBER(I417)),(I417-설정!$C$4)/365.25,"")</f>
        <v>0.583162217659138</v>
      </c>
      <c r="V417" s="43" t="str">
        <f aca="false">IF(Q417&lt;&gt;1,"",IF(ISNUMBER(U417),IF(U417&lt;=1,"1년 이하",IF(U417&lt;=2,"1-2년",IF(U417&lt;=3,"2-3년",IF(U417&lt;=4,"3-4년",IF(U417&lt;=5,"4-5년",IF(U417&lt;=7,"5-7년",IF(U417&lt;=10,"7-10년",IF(U417&lt;=20,"10-20년","20년 이상")))))))),"미분류"))</f>
        <v>1년 이하</v>
      </c>
      <c r="W417" s="43" t="str">
        <f aca="false">IF(Q417&lt;&gt;1,"",IF(AB417&lt;&gt;"",INDEX(시장분석!$C:$C,AB417),IF(K417=1,"USD","비USD")))</f>
        <v>USD</v>
      </c>
      <c r="X417" s="91" t="n">
        <f aca="false">IF(Q417=1,E417*K417/1000000,0)</f>
        <v>1</v>
      </c>
      <c r="Y417" s="89" t="n">
        <f aca="false">IF(R417="T",1,0)</f>
        <v>0</v>
      </c>
      <c r="Z417" s="92" t="n">
        <f aca="false">IF(Q417&lt;&gt;1,"",IF(AD417=1,IF(ISNUMBER(U417),MAX(U417,0),H417),H417))</f>
        <v>0.5489</v>
      </c>
      <c r="AA417" s="91" t="n">
        <f aca="false">IF(Q417=1,IF(ISNUMBER(L417),L417,0)*K417/1000000,0)</f>
        <v>1.002358</v>
      </c>
      <c r="AB417" s="89" t="n">
        <f aca="false">IF(Q417&lt;&gt;1,"",IFERROR(MATCH(VLOOKUP(B417,매핑!$H$4:$I$15,2,0),시장분석!$A$2:$A$601,0)+1,IFERROR(MATCH(R417&amp;"|"&amp;T417,시장분석!$V$2:$V$601,0)+1,IF(COUNTIF(시장분석!$U$2:$U$601,T417)=1,MATCH(T417,시장분석!$U$2:$U$601,0)+1,""))))</f>
        <v>230</v>
      </c>
      <c r="AC417" s="89" t="n">
        <f aca="false">IF(Q417&lt;&gt;1,0,IF(OR(설정!$C$5="전체",AND(설정!$C$5="선택펀드",IFERROR(COUNTIFS(설정!$F$16:$F$36,C417,설정!$G$16:$G$36,"Y")+COUNTIFS(설정!$F$16:$F$36,VALUE(C417),설정!$G$16:$G$36,"Y"),0)&gt;0),C417&amp;""=설정!$C$5&amp;""),1,0))</f>
        <v>0</v>
      </c>
      <c r="AD417" s="89" t="n">
        <f aca="false">IF(Q417&lt;&gt;1,0,IF(OR(S417=1,IF(AB417="",FALSE(),INDEX(시장분석!$R:$R,AB417)=1)),1,0))</f>
        <v>0</v>
      </c>
      <c r="AE417" s="43" t="str">
        <f aca="false">IF(AB417="","",INDEX(시장분석!$A:$A,AB417))</f>
        <v>KOBCOP 5 3/8 05/02/27</v>
      </c>
      <c r="AF417" s="93" t="n">
        <f aca="false">IF(AB417="","",IF(ISNUMBER(IF(AB417="","",INDEX(시장분석!$E:$E,AB417))),IF(AB417="","",INDEX(시장분석!$E:$E,AB417)),""))</f>
        <v>-4.522</v>
      </c>
      <c r="AG417" s="43" t="str">
        <f aca="false">IF(Q417&lt;&gt;1,"",IF(AB417&lt;&gt;"",IF(AB417="","",INDEX(시장분석!$L:$L,AB417)),IFERROR(IF(VLOOKUP(R417,매핑!$A$4:$E$92,5,0)="","미분류",VLOOKUP(R417,매핑!$A$4:$E$92,5,0)),"미분류")))</f>
        <v>정부</v>
      </c>
      <c r="AH417" s="43" t="str">
        <f aca="false">IF(Q417&lt;&gt;1,"",IF(AB417&lt;&gt;"",IF(AB417="","",INDEX(시장분석!$N:$N,AB417)),IFERROR(IF(VLOOKUP(R417,매핑!$A$4:$E$92,4,0)="","미분류",VLOOKUP(R417,매핑!$A$4:$E$92,4,0)),"미분류")))</f>
        <v>아시아/기타</v>
      </c>
      <c r="AI417" s="43" t="str">
        <f aca="false">IF(Q417&lt;&gt;1,"",IFERROR(IF(VLOOKUP(R417,매핑!$A$4:$E$92,3,0)="","미분류",VLOOKUP(R417,매핑!$A$4:$E$92,3,0)),IF(AB417&lt;&gt;"",IF(AB417="","",INDEX(시장분석!$W:$W,AB417)),"미분류")))</f>
        <v>한국</v>
      </c>
      <c r="AJ417" s="43" t="str">
        <f aca="false">IF(Q417&lt;&gt;1,"",IFERROR(VLOOKUP(IF(N417&lt;&gt;"",N417,IF(P417&lt;&gt;"",P417,O417)),설정!$A$15:$D$47,2,0),""))</f>
        <v>AA-</v>
      </c>
      <c r="AK417" s="43" t="str">
        <f aca="false">IF(Q417&lt;&gt;1,"",IF(AJ417="","무등급",IFERROR(VLOOKUP(AJ417,설정!$A$15:$D$47,3,0),"무등급")))</f>
        <v>AA이상</v>
      </c>
      <c r="AL417" s="89" t="n">
        <f aca="false">IF(AJ417="",99,IFERROR(VLOOKUP(AJ417,설정!$A$15:$D$47,4,0),99))</f>
        <v>4</v>
      </c>
      <c r="AM417" s="94" t="n">
        <f aca="false">IF(ISNUMBER(H417),AA417*1000000*H417/10000,0)</f>
        <v>55.01943062</v>
      </c>
      <c r="AN417" s="94" t="n">
        <f aca="false">IF(OR(Y417=1,NOT(ISNUMBER(Z417))),0,AA417*1000000*Z417/10000)</f>
        <v>55.01943062</v>
      </c>
      <c r="AO417" s="94" t="n">
        <f aca="false">IF(ISNUMBER(G417),AA417*1000000*G417/100,0)</f>
        <v>49617.723358</v>
      </c>
      <c r="AP417" s="94" t="n">
        <f aca="false">IF(ISNUMBER(M417),M417*K417,0)</f>
        <v>-16787</v>
      </c>
      <c r="AQ417" s="95" t="n">
        <f aca="false">IF(AB417="","",INDEX(시장분석!$AK:$AK,AB417))</f>
        <v>0.618951378623818</v>
      </c>
      <c r="AR417" s="43" t="str">
        <f aca="false">IF(AB417="","-",IF(AB417="","",INDEX(시장분석!$AL:$AL,AB417)))</f>
        <v>Fair</v>
      </c>
      <c r="AS417" s="96" t="n">
        <f aca="false">IF(AB417="","",INDEX(시장분석!$AJ:$AJ,AB417))</f>
        <v>8.47531615330902</v>
      </c>
      <c r="AT417" s="93" t="n">
        <f aca="false">IF(AB417="",0,IF(AB417="","",INDEX(시장분석!$AN:$AN,AB417)))</f>
        <v>0</v>
      </c>
      <c r="AU417" s="94" t="n">
        <f aca="false">IF(ISNUMBER(Z417),AT417/10000*MAX(Z417-1,0)*AA417*1000000,0)</f>
        <v>0</v>
      </c>
      <c r="AV417" s="94" t="n">
        <f aca="false">AO417+AU417</f>
        <v>49617.723358</v>
      </c>
      <c r="AW417" s="43" t="str">
        <f aca="false">IF(Q417&lt;&gt;1,"",TRIM(IF(AD417=1,"FRN ","")&amp;IF(AND(AL417&gt;=10,AL417&lt;99),"BBB0미만 ","")&amp;IF(AJ417="","등급없음 ","")&amp;IF(K417&lt;&gt;1,"비USD ","")&amp;IF(AND(AB417="",Y417=0),"시장데이터없음 ","")&amp;IF(AND(ISNUMBER(U417),U417&lt;0),"만기경과 ","")))</f>
        <v/>
      </c>
      <c r="AX417" s="90" t="n">
        <f aca="false">IF(Q417&lt;&gt;1,1,IF(스프레드쇼크!$C$4="Y",INDEX(스프레드쇼크!$B$12:$L$16,IFERROR(MATCH(AH417,스프레드쇼크!$A$12:$A$16,0),MATCH("목록외",스프레드쇼크!$A$12:$A$16,0)),IFERROR(MATCH(AG417,스프레드쇼크!$B$11:$L$11,0),MATCH("목록외",스프레드쇼크!$B$11:$L$11,0))),1))</f>
        <v>1</v>
      </c>
      <c r="AY417" s="90" t="n">
        <f aca="false">IF(스프레드쇼크!$C$5="Y",IF(ISNUMBER(AF417),MIN(스프레드쇼크!$C$7,MAX(스프레드쇼크!$C$6,AF417/스프레드쇼크!$C$8)),1),1)</f>
        <v>0.25</v>
      </c>
      <c r="AZ417" s="94" t="n">
        <f aca="false">AN417*AX417*AY417</f>
        <v>13.754857655</v>
      </c>
      <c r="BA417" s="90" t="n">
        <f aca="false">IF(ISNUMBER(G417),AA417*G417,0)</f>
        <v>4.9617723358</v>
      </c>
      <c r="BB417" s="90" t="n">
        <f aca="false">IF(ISNUMBER(G417),AA417,0)</f>
        <v>1.002358</v>
      </c>
      <c r="BC417" s="90" t="n">
        <f aca="false">IF(AND(Y417=0,ISNUMBER(AF417)),AA417*AF417,0)</f>
        <v>-4.532662876</v>
      </c>
      <c r="BD417" s="90" t="n">
        <f aca="false">IF(AND(Y417=0,ISNUMBER(AF417)),AA417,0)</f>
        <v>1.002358</v>
      </c>
      <c r="BE417" s="90" t="n">
        <f aca="false">IF(ISNUMBER(H417),AA417*H417,0)</f>
        <v>0.5501943062</v>
      </c>
      <c r="BF417" s="90" t="n">
        <f aca="false">IF(ISNUMBER(H417),AA417,0)</f>
        <v>1.002358</v>
      </c>
      <c r="BG417" s="90" t="n">
        <f aca="false">IF(AND(Y417=0,ISNUMBER(AF417),ISNUMBER(Z417)),AA417*Z417,0)</f>
        <v>0.5501943062</v>
      </c>
      <c r="BH417" s="90" t="n">
        <f aca="false">IF(AND(Y417=0,ISNUMBER(AF417),ISNUMBER(Z417)),AA417*AT417*MAX(Z417-1,0),0)</f>
        <v>0</v>
      </c>
      <c r="BI417" s="90" t="n">
        <f aca="false">IF(Y417=0,AA417,0)</f>
        <v>1.002358</v>
      </c>
    </row>
    <row r="418" customFormat="false" ht="15" hidden="false" customHeight="false" outlineLevel="0" collapsed="false">
      <c r="A418" s="83" t="str">
        <f aca="false">IFERROR(IF(INDEX(원자료_잔고!$A$1:$EZ$1500,설정!$L$5+ROW()-1,설정!$L$8)&amp;""="0","",INDEX(원자료_잔고!$A$1:$EZ$1500,설정!$L$5+ROW()-1,설정!$L$8)&amp;""),"")</f>
        <v>KOBCOP 5.25 05/02/29</v>
      </c>
      <c r="B418" s="83" t="str">
        <f aca="false">IFERROR(IF(INDEX(원자료_잔고!$A$1:$EZ$1500,설정!$L$5+ROW()-1,설정!$L$7)&amp;""="0","",INDEX(원자료_잔고!$A$1:$EZ$1500,설정!$L$5+ROW()-1,설정!$L$7)&amp;""),"")</f>
        <v>XS2803407233</v>
      </c>
      <c r="C418" s="83" t="str">
        <f aca="false">IFERROR(IF(INDEX(원자료_잔고!$A$1:$EZ$1500,설정!$L$5+ROW()-1,설정!$L$9)&amp;""="0","",INDEX(원자료_잔고!$A$1:$EZ$1500,설정!$L$5+ROW()-1,설정!$L$9)&amp;""),"")</f>
        <v>42003</v>
      </c>
      <c r="D41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8" s="84" t="n">
        <f aca="false">IFERROR(IF(ISNUMBER(INDEX(원자료_잔고!$A$1:$EZ$1500,설정!$L$5+ROW()-1,설정!$L$11)),INDEX(원자료_잔고!$A$1:$EZ$1500,설정!$L$5+ROW()-1,설정!$L$11),""),"")</f>
        <v>3200000</v>
      </c>
      <c r="F418" s="85" t="n">
        <f aca="false">IFERROR(IF(ISNUMBER(INDEX(원자료_잔고!$A$1:$EZ$1500,설정!$L$5+ROW()-1,설정!$L$12)),INDEX(원자료_잔고!$A$1:$EZ$1500,설정!$L$5+ROW()-1,설정!$L$12),""),"")</f>
        <v>99.8114</v>
      </c>
      <c r="G418" s="85" t="n">
        <f aca="false">IFERROR(IF(ISNUMBER(INDEX(원자료_잔고!$A$1:$EZ$1500,설정!$L$5+ROW()-1,설정!$L$13)),INDEX(원자료_잔고!$A$1:$EZ$1500,설정!$L$5+ROW()-1,설정!$L$13),""),"")</f>
        <v>5.3254</v>
      </c>
      <c r="H418" s="85" t="n">
        <f aca="false">IFERROR(IF(ISNUMBER(INDEX(원자료_잔고!$A$1:$EZ$1500,설정!$L$5+ROW()-1,설정!$L$14)),INDEX(원자료_잔고!$A$1:$EZ$1500,설정!$L$5+ROW()-1,설정!$L$14),""),"")</f>
        <v>2.285</v>
      </c>
      <c r="I418" s="86" t="n">
        <f aca="false">IFERROR(IF(ISNUMBER(INDEX(원자료_잔고!$A$1:$EZ$1500,설정!$L$5+ROW()-1,설정!$L$15)),INDEX(원자료_잔고!$A$1:$EZ$1500,설정!$L$5+ROW()-1,설정!$L$15),""),"")</f>
        <v>47240</v>
      </c>
      <c r="J418" s="85" t="n">
        <f aca="false">IFERROR(IF(ISNUMBER(INDEX(원자료_잔고!$A$1:$EZ$1500,설정!$L$5+ROW()-1,설정!$L$16)),INDEX(원자료_잔고!$A$1:$EZ$1500,설정!$L$5+ROW()-1,설정!$L$16),""),"")</f>
        <v>5.25</v>
      </c>
      <c r="K418" s="87" t="n">
        <f aca="false">IFERROR(IF(ISNUMBER(INDEX(원자료_잔고!$A$1:$EZ$1500,설정!$L$5+ROW()-1,설정!$L$17)),INDEX(원자료_잔고!$A$1:$EZ$1500,설정!$L$5+ROW()-1,설정!$L$17),""),"")</f>
        <v>1</v>
      </c>
      <c r="L418" s="84" t="n">
        <f aca="false">IFERROR(IF(ISNUMBER(INDEX(원자료_잔고!$A$1:$EZ$1500,설정!$L$5+ROW()-1,설정!$L$18)),INDEX(원자료_잔고!$A$1:$EZ$1500,설정!$L$5+ROW()-1,설정!$L$18),""),"")</f>
        <v>3193964.8</v>
      </c>
      <c r="M418" s="88" t="n">
        <f aca="false">IFERROR(IF(ISNUMBER(INDEX(원자료_잔고!$A$1:$EZ$1500,설정!$L$5+ROW()-1,설정!$L$19)),INDEX(원자료_잔고!$A$1:$EZ$1500,설정!$L$5+ROW()-1,설정!$L$19),""),"")</f>
        <v>-122598.4</v>
      </c>
      <c r="N418" s="83" t="str">
        <f aca="false">IFERROR(IF(INDEX(원자료_잔고!$A$1:$EZ$1500,설정!$L$5+ROW()-1,설정!$L$21)&amp;""="0","",INDEX(원자료_잔고!$A$1:$EZ$1500,설정!$L$5+ROW()-1,설정!$L$21)&amp;""),"")</f>
        <v/>
      </c>
      <c r="O418" s="83" t="str">
        <f aca="false">IFERROR(IF(INDEX(원자료_잔고!$A$1:$EZ$1500,설정!$L$5+ROW()-1,설정!$L$22)&amp;""="0","",INDEX(원자료_잔고!$A$1:$EZ$1500,설정!$L$5+ROW()-1,설정!$L$22)&amp;""),"")</f>
        <v/>
      </c>
      <c r="P418" s="83" t="str">
        <f aca="false">IFERROR(IF(INDEX(원자료_잔고!$A$1:$EZ$1500,설정!$L$5+ROW()-1,설정!$L$23)&amp;""="0","",INDEX(원자료_잔고!$A$1:$EZ$1500,설정!$L$5+ROW()-1,설정!$L$23)&amp;""),"")</f>
        <v>AA-</v>
      </c>
      <c r="Q418" s="89" t="n">
        <f aca="false">IF(AND($A418&lt;&gt;"",ISNUMBER(E418)),IF(E418&gt;0,1,0),0)</f>
        <v>1</v>
      </c>
      <c r="R418" s="43" t="str">
        <f aca="false">IF(Q418=1,UPPER(LEFT($A418,FIND(" ",$A418&amp;" ")-1)),"")</f>
        <v>KOBCOP</v>
      </c>
      <c r="S418" s="89" t="n">
        <f aca="false">IF(Q418=1,IF(OR(ISNUMBER(SEARCH("Float",$A418)),ISNUMBER(SEARCH("FRN",$A418))),1,0),0)</f>
        <v>0</v>
      </c>
      <c r="T418" s="43" t="str">
        <f aca="false">IF(AND(Q418=1,ISNUMBER(I418)),TEXT(I418,"yyyymmdd")&amp;"|"&amp;IF(S418=1,"F",TEXT(J418,"0.000")),"")</f>
        <v>20290502|5.250</v>
      </c>
      <c r="U418" s="90" t="n">
        <f aca="false">IF(AND(Q418=1,ISNUMBER(I418)),(I418-설정!$C$4)/365.25,"")</f>
        <v>2.5845311430527</v>
      </c>
      <c r="V418" s="43" t="str">
        <f aca="false">IF(Q418&lt;&gt;1,"",IF(ISNUMBER(U418),IF(U418&lt;=1,"1년 이하",IF(U418&lt;=2,"1-2년",IF(U418&lt;=3,"2-3년",IF(U418&lt;=4,"3-4년",IF(U418&lt;=5,"4-5년",IF(U418&lt;=7,"5-7년",IF(U418&lt;=10,"7-10년",IF(U418&lt;=20,"10-20년","20년 이상")))))))),"미분류"))</f>
        <v>2-3년</v>
      </c>
      <c r="W418" s="43" t="str">
        <f aca="false">IF(Q418&lt;&gt;1,"",IF(AB418&lt;&gt;"",INDEX(시장분석!$C:$C,AB418),IF(K418=1,"USD","비USD")))</f>
        <v>USD</v>
      </c>
      <c r="X418" s="91" t="n">
        <f aca="false">IF(Q418=1,E418*K418/1000000,0)</f>
        <v>3.2</v>
      </c>
      <c r="Y418" s="89" t="n">
        <f aca="false">IF(R418="T",1,0)</f>
        <v>0</v>
      </c>
      <c r="Z418" s="92" t="n">
        <f aca="false">IF(Q418&lt;&gt;1,"",IF(AD418=1,IF(ISNUMBER(U418),MAX(U418,0),H418),H418))</f>
        <v>2.285</v>
      </c>
      <c r="AA418" s="91" t="n">
        <f aca="false">IF(Q418=1,IF(ISNUMBER(L418),L418,0)*K418/1000000,0)</f>
        <v>3.1939648</v>
      </c>
      <c r="AB418" s="89" t="n">
        <f aca="false">IF(Q418&lt;&gt;1,"",IFERROR(MATCH(VLOOKUP(B418,매핑!$H$4:$I$15,2,0),시장분석!$A$2:$A$601,0)+1,IFERROR(MATCH(R418&amp;"|"&amp;T418,시장분석!$V$2:$V$601,0)+1,IF(COUNTIF(시장분석!$U$2:$U$601,T418)=1,MATCH(T418,시장분석!$U$2:$U$601,0)+1,""))))</f>
        <v>231</v>
      </c>
      <c r="AC418" s="89" t="n">
        <f aca="false">IF(Q418&lt;&gt;1,0,IF(OR(설정!$C$5="전체",AND(설정!$C$5="선택펀드",IFERROR(COUNTIFS(설정!$F$16:$F$36,C418,설정!$G$16:$G$36,"Y")+COUNTIFS(설정!$F$16:$F$36,VALUE(C418),설정!$G$16:$G$36,"Y"),0)&gt;0),C418&amp;""=설정!$C$5&amp;""),1,0))</f>
        <v>0</v>
      </c>
      <c r="AD418" s="89" t="n">
        <f aca="false">IF(Q418&lt;&gt;1,0,IF(OR(S418=1,IF(AB418="",FALSE(),INDEX(시장분석!$R:$R,AB418)=1)),1,0))</f>
        <v>0</v>
      </c>
      <c r="AE418" s="43" t="str">
        <f aca="false">IF(AB418="","",INDEX(시장분석!$A:$A,AB418))</f>
        <v>KOBCOP 5 1/4 05/02/29</v>
      </c>
      <c r="AF418" s="93" t="n">
        <f aca="false">IF(AB418="","",IF(ISNUMBER(IF(AB418="","",INDEX(시장분석!$E:$E,AB418))),IF(AB418="","",INDEX(시장분석!$E:$E,AB418)),""))</f>
        <v>31.857</v>
      </c>
      <c r="AG418" s="43" t="str">
        <f aca="false">IF(Q418&lt;&gt;1,"",IF(AB418&lt;&gt;"",IF(AB418="","",INDEX(시장분석!$L:$L,AB418)),IFERROR(IF(VLOOKUP(R418,매핑!$A$4:$E$92,5,0)="","미분류",VLOOKUP(R418,매핑!$A$4:$E$92,5,0)),"미분류")))</f>
        <v>정부</v>
      </c>
      <c r="AH418" s="43" t="str">
        <f aca="false">IF(Q418&lt;&gt;1,"",IF(AB418&lt;&gt;"",IF(AB418="","",INDEX(시장분석!$N:$N,AB418)),IFERROR(IF(VLOOKUP(R418,매핑!$A$4:$E$92,4,0)="","미분류",VLOOKUP(R418,매핑!$A$4:$E$92,4,0)),"미분류")))</f>
        <v>아시아/기타</v>
      </c>
      <c r="AI418" s="43" t="str">
        <f aca="false">IF(Q418&lt;&gt;1,"",IFERROR(IF(VLOOKUP(R418,매핑!$A$4:$E$92,3,0)="","미분류",VLOOKUP(R418,매핑!$A$4:$E$92,3,0)),IF(AB418&lt;&gt;"",IF(AB418="","",INDEX(시장분석!$W:$W,AB418)),"미분류")))</f>
        <v>한국</v>
      </c>
      <c r="AJ418" s="43" t="str">
        <f aca="false">IF(Q418&lt;&gt;1,"",IFERROR(VLOOKUP(IF(N418&lt;&gt;"",N418,IF(P418&lt;&gt;"",P418,O418)),설정!$A$15:$D$47,2,0),""))</f>
        <v>AA-</v>
      </c>
      <c r="AK418" s="43" t="str">
        <f aca="false">IF(Q418&lt;&gt;1,"",IF(AJ418="","무등급",IFERROR(VLOOKUP(AJ418,설정!$A$15:$D$47,3,0),"무등급")))</f>
        <v>AA이상</v>
      </c>
      <c r="AL418" s="89" t="n">
        <f aca="false">IF(AJ418="",99,IFERROR(VLOOKUP(AJ418,설정!$A$15:$D$47,4,0),99))</f>
        <v>4</v>
      </c>
      <c r="AM418" s="94" t="n">
        <f aca="false">IF(ISNUMBER(H418),AA418*1000000*H418/10000,0)</f>
        <v>729.8209568</v>
      </c>
      <c r="AN418" s="94" t="n">
        <f aca="false">IF(OR(Y418=1,NOT(ISNUMBER(Z418))),0,AA418*1000000*Z418/10000)</f>
        <v>729.8209568</v>
      </c>
      <c r="AO418" s="94" t="n">
        <f aca="false">IF(ISNUMBER(G418),AA418*1000000*G418/100,0)</f>
        <v>170091.4014592</v>
      </c>
      <c r="AP418" s="94" t="n">
        <f aca="false">IF(ISNUMBER(M418),M418*K418,0)</f>
        <v>-122598.4</v>
      </c>
      <c r="AQ418" s="95" t="n">
        <f aca="false">IF(AB418="","",INDEX(시장분석!$AK:$AK,AB418))</f>
        <v>1.17603645317234</v>
      </c>
      <c r="AR418" s="43" t="str">
        <f aca="false">IF(AB418="","-",IF(AB418="","",INDEX(시장분석!$AL:$AL,AB418)))</f>
        <v>Cheap</v>
      </c>
      <c r="AS418" s="96" t="n">
        <f aca="false">IF(AB418="","",INDEX(시장분석!$AJ:$AJ,AB418))</f>
        <v>16.103495513029</v>
      </c>
      <c r="AT418" s="93" t="n">
        <f aca="false">IF(AB418="",0,IF(AB418="","",INDEX(시장분석!$AN:$AN,AB418)))</f>
        <v>10.7739622566801</v>
      </c>
      <c r="AU418" s="94" t="n">
        <f aca="false">IF(ISNUMBER(Z418),AT418/10000*MAX(Z418-1,0)*AA418*1000000,0)</f>
        <v>4421.89782226087</v>
      </c>
      <c r="AV418" s="94" t="n">
        <f aca="false">AO418+AU418</f>
        <v>174513.299281461</v>
      </c>
      <c r="AW418" s="43" t="str">
        <f aca="false">IF(Q418&lt;&gt;1,"",TRIM(IF(AD418=1,"FRN ","")&amp;IF(AND(AL418&gt;=10,AL418&lt;99),"BBB0미만 ","")&amp;IF(AJ418="","등급없음 ","")&amp;IF(K418&lt;&gt;1,"비USD ","")&amp;IF(AND(AB418="",Y418=0),"시장데이터없음 ","")&amp;IF(AND(ISNUMBER(U418),U418&lt;0),"만기경과 ","")))</f>
        <v/>
      </c>
      <c r="AX418" s="90" t="n">
        <f aca="false">IF(Q418&lt;&gt;1,1,IF(스프레드쇼크!$C$4="Y",INDEX(스프레드쇼크!$B$12:$L$16,IFERROR(MATCH(AH418,스프레드쇼크!$A$12:$A$16,0),MATCH("목록외",스프레드쇼크!$A$12:$A$16,0)),IFERROR(MATCH(AG418,스프레드쇼크!$B$11:$L$11,0),MATCH("목록외",스프레드쇼크!$B$11:$L$11,0))),1))</f>
        <v>1</v>
      </c>
      <c r="AY418" s="90" t="n">
        <f aca="false">IF(스프레드쇼크!$C$5="Y",IF(ISNUMBER(AF418),MIN(스프레드쇼크!$C$7,MAX(스프레드쇼크!$C$6,AF418/스프레드쇼크!$C$8)),1),1)</f>
        <v>0.481849488276064</v>
      </c>
      <c r="AZ418" s="94" t="n">
        <f aca="false">AN418*AX418*AY418</f>
        <v>351.663854567228</v>
      </c>
      <c r="BA418" s="90" t="n">
        <f aca="false">IF(ISNUMBER(G418),AA418*G418,0)</f>
        <v>17.00914014592</v>
      </c>
      <c r="BB418" s="90" t="n">
        <f aca="false">IF(ISNUMBER(G418),AA418,0)</f>
        <v>3.1939648</v>
      </c>
      <c r="BC418" s="90" t="n">
        <f aca="false">IF(AND(Y418=0,ISNUMBER(AF418)),AA418*AF418,0)</f>
        <v>101.7501366336</v>
      </c>
      <c r="BD418" s="90" t="n">
        <f aca="false">IF(AND(Y418=0,ISNUMBER(AF418)),AA418,0)</f>
        <v>3.1939648</v>
      </c>
      <c r="BE418" s="90" t="n">
        <f aca="false">IF(ISNUMBER(H418),AA418*H418,0)</f>
        <v>7.298209568</v>
      </c>
      <c r="BF418" s="90" t="n">
        <f aca="false">IF(ISNUMBER(H418),AA418,0)</f>
        <v>3.1939648</v>
      </c>
      <c r="BG418" s="90" t="n">
        <f aca="false">IF(AND(Y418=0,ISNUMBER(AF418),ISNUMBER(Z418)),AA418*Z418,0)</f>
        <v>7.298209568</v>
      </c>
      <c r="BH418" s="90" t="n">
        <f aca="false">IF(AND(Y418=0,ISNUMBER(AF418),ISNUMBER(Z418)),AA418*AT418*MAX(Z418-1,0),0)</f>
        <v>44.2189782226087</v>
      </c>
      <c r="BI418" s="90" t="n">
        <f aca="false">IF(Y418=0,AA418,0)</f>
        <v>3.1939648</v>
      </c>
    </row>
    <row r="419" customFormat="false" ht="15" hidden="false" customHeight="false" outlineLevel="0" collapsed="false">
      <c r="A419" s="83" t="str">
        <f aca="false">IFERROR(IF(INDEX(원자료_잔고!$A$1:$EZ$1500,설정!$L$5+ROW()-1,설정!$L$8)&amp;""="0","",INDEX(원자료_잔고!$A$1:$EZ$1500,설정!$L$5+ROW()-1,설정!$L$8)&amp;""),"")</f>
        <v>KOBCOP 5.25 05/02/29</v>
      </c>
      <c r="B419" s="83" t="str">
        <f aca="false">IFERROR(IF(INDEX(원자료_잔고!$A$1:$EZ$1500,설정!$L$5+ROW()-1,설정!$L$7)&amp;""="0","",INDEX(원자료_잔고!$A$1:$EZ$1500,설정!$L$5+ROW()-1,설정!$L$7)&amp;""),"")</f>
        <v>XS2803407233</v>
      </c>
      <c r="C419" s="83" t="str">
        <f aca="false">IFERROR(IF(INDEX(원자료_잔고!$A$1:$EZ$1500,설정!$L$5+ROW()-1,설정!$L$9)&amp;""="0","",INDEX(원자료_잔고!$A$1:$EZ$1500,설정!$L$5+ROW()-1,설정!$L$9)&amp;""),"")</f>
        <v>42003</v>
      </c>
      <c r="D41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19" s="84" t="n">
        <f aca="false">IFERROR(IF(ISNUMBER(INDEX(원자료_잔고!$A$1:$EZ$1500,설정!$L$5+ROW()-1,설정!$L$11)),INDEX(원자료_잔고!$A$1:$EZ$1500,설정!$L$5+ROW()-1,설정!$L$11),""),"")</f>
        <v>2000000</v>
      </c>
      <c r="F419" s="85" t="n">
        <f aca="false">IFERROR(IF(ISNUMBER(INDEX(원자료_잔고!$A$1:$EZ$1500,설정!$L$5+ROW()-1,설정!$L$12)),INDEX(원자료_잔고!$A$1:$EZ$1500,설정!$L$5+ROW()-1,설정!$L$12),""),"")</f>
        <v>99.8114</v>
      </c>
      <c r="G419" s="85" t="n">
        <f aca="false">IFERROR(IF(ISNUMBER(INDEX(원자료_잔고!$A$1:$EZ$1500,설정!$L$5+ROW()-1,설정!$L$13)),INDEX(원자료_잔고!$A$1:$EZ$1500,설정!$L$5+ROW()-1,설정!$L$13),""),"")</f>
        <v>5.3254</v>
      </c>
      <c r="H419" s="85" t="n">
        <f aca="false">IFERROR(IF(ISNUMBER(INDEX(원자료_잔고!$A$1:$EZ$1500,설정!$L$5+ROW()-1,설정!$L$14)),INDEX(원자료_잔고!$A$1:$EZ$1500,설정!$L$5+ROW()-1,설정!$L$14),""),"")</f>
        <v>2.285</v>
      </c>
      <c r="I419" s="86" t="n">
        <f aca="false">IFERROR(IF(ISNUMBER(INDEX(원자료_잔고!$A$1:$EZ$1500,설정!$L$5+ROW()-1,설정!$L$15)),INDEX(원자료_잔고!$A$1:$EZ$1500,설정!$L$5+ROW()-1,설정!$L$15),""),"")</f>
        <v>47240</v>
      </c>
      <c r="J419" s="85" t="n">
        <f aca="false">IFERROR(IF(ISNUMBER(INDEX(원자료_잔고!$A$1:$EZ$1500,설정!$L$5+ROW()-1,설정!$L$16)),INDEX(원자료_잔고!$A$1:$EZ$1500,설정!$L$5+ROW()-1,설정!$L$16),""),"")</f>
        <v>5.25</v>
      </c>
      <c r="K419" s="87" t="n">
        <f aca="false">IFERROR(IF(ISNUMBER(INDEX(원자료_잔고!$A$1:$EZ$1500,설정!$L$5+ROW()-1,설정!$L$17)),INDEX(원자료_잔고!$A$1:$EZ$1500,설정!$L$5+ROW()-1,설정!$L$17),""),"")</f>
        <v>1</v>
      </c>
      <c r="L419" s="84" t="n">
        <f aca="false">IFERROR(IF(ISNUMBER(INDEX(원자료_잔고!$A$1:$EZ$1500,설정!$L$5+ROW()-1,설정!$L$18)),INDEX(원자료_잔고!$A$1:$EZ$1500,설정!$L$5+ROW()-1,설정!$L$18),""),"")</f>
        <v>1996228</v>
      </c>
      <c r="M419" s="88" t="n">
        <f aca="false">IFERROR(IF(ISNUMBER(INDEX(원자료_잔고!$A$1:$EZ$1500,설정!$L$5+ROW()-1,설정!$L$19)),INDEX(원자료_잔고!$A$1:$EZ$1500,설정!$L$5+ROW()-1,설정!$L$19),""),"")</f>
        <v>-76624</v>
      </c>
      <c r="N419" s="83" t="str">
        <f aca="false">IFERROR(IF(INDEX(원자료_잔고!$A$1:$EZ$1500,설정!$L$5+ROW()-1,설정!$L$21)&amp;""="0","",INDEX(원자료_잔고!$A$1:$EZ$1500,설정!$L$5+ROW()-1,설정!$L$21)&amp;""),"")</f>
        <v/>
      </c>
      <c r="O419" s="83" t="str">
        <f aca="false">IFERROR(IF(INDEX(원자료_잔고!$A$1:$EZ$1500,설정!$L$5+ROW()-1,설정!$L$22)&amp;""="0","",INDEX(원자료_잔고!$A$1:$EZ$1500,설정!$L$5+ROW()-1,설정!$L$22)&amp;""),"")</f>
        <v/>
      </c>
      <c r="P419" s="83" t="str">
        <f aca="false">IFERROR(IF(INDEX(원자료_잔고!$A$1:$EZ$1500,설정!$L$5+ROW()-1,설정!$L$23)&amp;""="0","",INDEX(원자료_잔고!$A$1:$EZ$1500,설정!$L$5+ROW()-1,설정!$L$23)&amp;""),"")</f>
        <v>AA-</v>
      </c>
      <c r="Q419" s="89" t="n">
        <f aca="false">IF(AND($A419&lt;&gt;"",ISNUMBER(E419)),IF(E419&gt;0,1,0),0)</f>
        <v>1</v>
      </c>
      <c r="R419" s="43" t="str">
        <f aca="false">IF(Q419=1,UPPER(LEFT($A419,FIND(" ",$A419&amp;" ")-1)),"")</f>
        <v>KOBCOP</v>
      </c>
      <c r="S419" s="89" t="n">
        <f aca="false">IF(Q419=1,IF(OR(ISNUMBER(SEARCH("Float",$A419)),ISNUMBER(SEARCH("FRN",$A419))),1,0),0)</f>
        <v>0</v>
      </c>
      <c r="T419" s="43" t="str">
        <f aca="false">IF(AND(Q419=1,ISNUMBER(I419)),TEXT(I419,"yyyymmdd")&amp;"|"&amp;IF(S419=1,"F",TEXT(J419,"0.000")),"")</f>
        <v>20290502|5.250</v>
      </c>
      <c r="U419" s="90" t="n">
        <f aca="false">IF(AND(Q419=1,ISNUMBER(I419)),(I419-설정!$C$4)/365.25,"")</f>
        <v>2.5845311430527</v>
      </c>
      <c r="V419" s="43" t="str">
        <f aca="false">IF(Q419&lt;&gt;1,"",IF(ISNUMBER(U419),IF(U419&lt;=1,"1년 이하",IF(U419&lt;=2,"1-2년",IF(U419&lt;=3,"2-3년",IF(U419&lt;=4,"3-4년",IF(U419&lt;=5,"4-5년",IF(U419&lt;=7,"5-7년",IF(U419&lt;=10,"7-10년",IF(U419&lt;=20,"10-20년","20년 이상")))))))),"미분류"))</f>
        <v>2-3년</v>
      </c>
      <c r="W419" s="43" t="str">
        <f aca="false">IF(Q419&lt;&gt;1,"",IF(AB419&lt;&gt;"",INDEX(시장분석!$C:$C,AB419),IF(K419=1,"USD","비USD")))</f>
        <v>USD</v>
      </c>
      <c r="X419" s="91" t="n">
        <f aca="false">IF(Q419=1,E419*K419/1000000,0)</f>
        <v>2</v>
      </c>
      <c r="Y419" s="89" t="n">
        <f aca="false">IF(R419="T",1,0)</f>
        <v>0</v>
      </c>
      <c r="Z419" s="92" t="n">
        <f aca="false">IF(Q419&lt;&gt;1,"",IF(AD419=1,IF(ISNUMBER(U419),MAX(U419,0),H419),H419))</f>
        <v>2.285</v>
      </c>
      <c r="AA419" s="91" t="n">
        <f aca="false">IF(Q419=1,IF(ISNUMBER(L419),L419,0)*K419/1000000,0)</f>
        <v>1.996228</v>
      </c>
      <c r="AB419" s="89" t="n">
        <f aca="false">IF(Q419&lt;&gt;1,"",IFERROR(MATCH(VLOOKUP(B419,매핑!$H$4:$I$15,2,0),시장분석!$A$2:$A$601,0)+1,IFERROR(MATCH(R419&amp;"|"&amp;T419,시장분석!$V$2:$V$601,0)+1,IF(COUNTIF(시장분석!$U$2:$U$601,T419)=1,MATCH(T419,시장분석!$U$2:$U$601,0)+1,""))))</f>
        <v>231</v>
      </c>
      <c r="AC419" s="89" t="n">
        <f aca="false">IF(Q419&lt;&gt;1,0,IF(OR(설정!$C$5="전체",AND(설정!$C$5="선택펀드",IFERROR(COUNTIFS(설정!$F$16:$F$36,C419,설정!$G$16:$G$36,"Y")+COUNTIFS(설정!$F$16:$F$36,VALUE(C419),설정!$G$16:$G$36,"Y"),0)&gt;0),C419&amp;""=설정!$C$5&amp;""),1,0))</f>
        <v>0</v>
      </c>
      <c r="AD419" s="89" t="n">
        <f aca="false">IF(Q419&lt;&gt;1,0,IF(OR(S419=1,IF(AB419="",FALSE(),INDEX(시장분석!$R:$R,AB419)=1)),1,0))</f>
        <v>0</v>
      </c>
      <c r="AE419" s="43" t="str">
        <f aca="false">IF(AB419="","",INDEX(시장분석!$A:$A,AB419))</f>
        <v>KOBCOP 5 1/4 05/02/29</v>
      </c>
      <c r="AF419" s="93" t="n">
        <f aca="false">IF(AB419="","",IF(ISNUMBER(IF(AB419="","",INDEX(시장분석!$E:$E,AB419))),IF(AB419="","",INDEX(시장분석!$E:$E,AB419)),""))</f>
        <v>31.857</v>
      </c>
      <c r="AG419" s="43" t="str">
        <f aca="false">IF(Q419&lt;&gt;1,"",IF(AB419&lt;&gt;"",IF(AB419="","",INDEX(시장분석!$L:$L,AB419)),IFERROR(IF(VLOOKUP(R419,매핑!$A$4:$E$92,5,0)="","미분류",VLOOKUP(R419,매핑!$A$4:$E$92,5,0)),"미분류")))</f>
        <v>정부</v>
      </c>
      <c r="AH419" s="43" t="str">
        <f aca="false">IF(Q419&lt;&gt;1,"",IF(AB419&lt;&gt;"",IF(AB419="","",INDEX(시장분석!$N:$N,AB419)),IFERROR(IF(VLOOKUP(R419,매핑!$A$4:$E$92,4,0)="","미분류",VLOOKUP(R419,매핑!$A$4:$E$92,4,0)),"미분류")))</f>
        <v>아시아/기타</v>
      </c>
      <c r="AI419" s="43" t="str">
        <f aca="false">IF(Q419&lt;&gt;1,"",IFERROR(IF(VLOOKUP(R419,매핑!$A$4:$E$92,3,0)="","미분류",VLOOKUP(R419,매핑!$A$4:$E$92,3,0)),IF(AB419&lt;&gt;"",IF(AB419="","",INDEX(시장분석!$W:$W,AB419)),"미분류")))</f>
        <v>한국</v>
      </c>
      <c r="AJ419" s="43" t="str">
        <f aca="false">IF(Q419&lt;&gt;1,"",IFERROR(VLOOKUP(IF(N419&lt;&gt;"",N419,IF(P419&lt;&gt;"",P419,O419)),설정!$A$15:$D$47,2,0),""))</f>
        <v>AA-</v>
      </c>
      <c r="AK419" s="43" t="str">
        <f aca="false">IF(Q419&lt;&gt;1,"",IF(AJ419="","무등급",IFERROR(VLOOKUP(AJ419,설정!$A$15:$D$47,3,0),"무등급")))</f>
        <v>AA이상</v>
      </c>
      <c r="AL419" s="89" t="n">
        <f aca="false">IF(AJ419="",99,IFERROR(VLOOKUP(AJ419,설정!$A$15:$D$47,4,0),99))</f>
        <v>4</v>
      </c>
      <c r="AM419" s="94" t="n">
        <f aca="false">IF(ISNUMBER(H419),AA419*1000000*H419/10000,0)</f>
        <v>456.138098</v>
      </c>
      <c r="AN419" s="94" t="n">
        <f aca="false">IF(OR(Y419=1,NOT(ISNUMBER(Z419))),0,AA419*1000000*Z419/10000)</f>
        <v>456.138098</v>
      </c>
      <c r="AO419" s="94" t="n">
        <f aca="false">IF(ISNUMBER(G419),AA419*1000000*G419/100,0)</f>
        <v>106307.125912</v>
      </c>
      <c r="AP419" s="94" t="n">
        <f aca="false">IF(ISNUMBER(M419),M419*K419,0)</f>
        <v>-76624</v>
      </c>
      <c r="AQ419" s="95" t="n">
        <f aca="false">IF(AB419="","",INDEX(시장분석!$AK:$AK,AB419))</f>
        <v>1.17603645317234</v>
      </c>
      <c r="AR419" s="43" t="str">
        <f aca="false">IF(AB419="","-",IF(AB419="","",INDEX(시장분석!$AL:$AL,AB419)))</f>
        <v>Cheap</v>
      </c>
      <c r="AS419" s="96" t="n">
        <f aca="false">IF(AB419="","",INDEX(시장분석!$AJ:$AJ,AB419))</f>
        <v>16.103495513029</v>
      </c>
      <c r="AT419" s="93" t="n">
        <f aca="false">IF(AB419="",0,IF(AB419="","",INDEX(시장분석!$AN:$AN,AB419)))</f>
        <v>10.7739622566801</v>
      </c>
      <c r="AU419" s="94" t="n">
        <f aca="false">IF(ISNUMBER(Z419),AT419/10000*MAX(Z419-1,0)*AA419*1000000,0)</f>
        <v>2763.68613891304</v>
      </c>
      <c r="AV419" s="94" t="n">
        <f aca="false">AO419+AU419</f>
        <v>109070.812050913</v>
      </c>
      <c r="AW419" s="43" t="str">
        <f aca="false">IF(Q419&lt;&gt;1,"",TRIM(IF(AD419=1,"FRN ","")&amp;IF(AND(AL419&gt;=10,AL419&lt;99),"BBB0미만 ","")&amp;IF(AJ419="","등급없음 ","")&amp;IF(K419&lt;&gt;1,"비USD ","")&amp;IF(AND(AB419="",Y419=0),"시장데이터없음 ","")&amp;IF(AND(ISNUMBER(U419),U419&lt;0),"만기경과 ","")))</f>
        <v/>
      </c>
      <c r="AX419" s="90" t="n">
        <f aca="false">IF(Q419&lt;&gt;1,1,IF(스프레드쇼크!$C$4="Y",INDEX(스프레드쇼크!$B$12:$L$16,IFERROR(MATCH(AH419,스프레드쇼크!$A$12:$A$16,0),MATCH("목록외",스프레드쇼크!$A$12:$A$16,0)),IFERROR(MATCH(AG419,스프레드쇼크!$B$11:$L$11,0),MATCH("목록외",스프레드쇼크!$B$11:$L$11,0))),1))</f>
        <v>1</v>
      </c>
      <c r="AY419" s="90" t="n">
        <f aca="false">IF(스프레드쇼크!$C$5="Y",IF(ISNUMBER(AF419),MIN(스프레드쇼크!$C$7,MAX(스프레드쇼크!$C$6,AF419/스프레드쇼크!$C$8)),1),1)</f>
        <v>0.481849488276064</v>
      </c>
      <c r="AZ419" s="94" t="n">
        <f aca="false">AN419*AX419*AY419</f>
        <v>219.789909104517</v>
      </c>
      <c r="BA419" s="90" t="n">
        <f aca="false">IF(ISNUMBER(G419),AA419*G419,0)</f>
        <v>10.6307125912</v>
      </c>
      <c r="BB419" s="90" t="n">
        <f aca="false">IF(ISNUMBER(G419),AA419,0)</f>
        <v>1.996228</v>
      </c>
      <c r="BC419" s="90" t="n">
        <f aca="false">IF(AND(Y419=0,ISNUMBER(AF419)),AA419*AF419,0)</f>
        <v>63.593835396</v>
      </c>
      <c r="BD419" s="90" t="n">
        <f aca="false">IF(AND(Y419=0,ISNUMBER(AF419)),AA419,0)</f>
        <v>1.996228</v>
      </c>
      <c r="BE419" s="90" t="n">
        <f aca="false">IF(ISNUMBER(H419),AA419*H419,0)</f>
        <v>4.56138098</v>
      </c>
      <c r="BF419" s="90" t="n">
        <f aca="false">IF(ISNUMBER(H419),AA419,0)</f>
        <v>1.996228</v>
      </c>
      <c r="BG419" s="90" t="n">
        <f aca="false">IF(AND(Y419=0,ISNUMBER(AF419),ISNUMBER(Z419)),AA419*Z419,0)</f>
        <v>4.56138098</v>
      </c>
      <c r="BH419" s="90" t="n">
        <f aca="false">IF(AND(Y419=0,ISNUMBER(AF419),ISNUMBER(Z419)),AA419*AT419*MAX(Z419-1,0),0)</f>
        <v>27.6368613891304</v>
      </c>
      <c r="BI419" s="90" t="n">
        <f aca="false">IF(Y419=0,AA419,0)</f>
        <v>1.996228</v>
      </c>
    </row>
    <row r="420" customFormat="false" ht="15" hidden="false" customHeight="false" outlineLevel="0" collapsed="false">
      <c r="A420" s="83" t="str">
        <f aca="false">IFERROR(IF(INDEX(원자료_잔고!$A$1:$EZ$1500,설정!$L$5+ROW()-1,설정!$L$8)&amp;""="0","",INDEX(원자료_잔고!$A$1:$EZ$1500,설정!$L$5+ROW()-1,설정!$L$8)&amp;""),"")</f>
        <v>KOLAHO 4.25 10/22/27</v>
      </c>
      <c r="B420" s="83" t="str">
        <f aca="false">IFERROR(IF(INDEX(원자료_잔고!$A$1:$EZ$1500,설정!$L$5+ROW()-1,설정!$L$7)&amp;""="0","",INDEX(원자료_잔고!$A$1:$EZ$1500,설정!$L$5+ROW()-1,설정!$L$7)&amp;""),"")</f>
        <v>XS2917896685</v>
      </c>
      <c r="C420" s="83" t="str">
        <f aca="false">IFERROR(IF(INDEX(원자료_잔고!$A$1:$EZ$1500,설정!$L$5+ROW()-1,설정!$L$9)&amp;""="0","",INDEX(원자료_잔고!$A$1:$EZ$1500,설정!$L$5+ROW()-1,설정!$L$9)&amp;""),"")</f>
        <v>42003</v>
      </c>
      <c r="D42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0" s="84" t="n">
        <f aca="false">IFERROR(IF(ISNUMBER(INDEX(원자료_잔고!$A$1:$EZ$1500,설정!$L$5+ROW()-1,설정!$L$11)),INDEX(원자료_잔고!$A$1:$EZ$1500,설정!$L$5+ROW()-1,설정!$L$11),""),"")</f>
        <v>200000</v>
      </c>
      <c r="F420" s="85" t="n">
        <f aca="false">IFERROR(IF(ISNUMBER(INDEX(원자료_잔고!$A$1:$EZ$1500,설정!$L$5+ROW()-1,설정!$L$12)),INDEX(원자료_잔고!$A$1:$EZ$1500,설정!$L$5+ROW()-1,설정!$L$12),""),"")</f>
        <v>99.2246</v>
      </c>
      <c r="G420" s="85" t="n">
        <f aca="false">IFERROR(IF(ISNUMBER(INDEX(원자료_잔고!$A$1:$EZ$1500,설정!$L$5+ROW()-1,설정!$L$13)),INDEX(원자료_잔고!$A$1:$EZ$1500,설정!$L$5+ROW()-1,설정!$L$13),""),"")</f>
        <v>5.0069</v>
      </c>
      <c r="H420" s="85" t="n">
        <f aca="false">IFERROR(IF(ISNUMBER(INDEX(원자료_잔고!$A$1:$EZ$1500,설정!$L$5+ROW()-1,설정!$L$14)),INDEX(원자료_잔고!$A$1:$EZ$1500,설정!$L$5+ROW()-1,설정!$L$14),""),"")</f>
        <v>0.9826</v>
      </c>
      <c r="I420" s="86" t="n">
        <f aca="false">IFERROR(IF(ISNUMBER(INDEX(원자료_잔고!$A$1:$EZ$1500,설정!$L$5+ROW()-1,설정!$L$15)),INDEX(원자료_잔고!$A$1:$EZ$1500,설정!$L$5+ROW()-1,설정!$L$15),""),"")</f>
        <v>46682</v>
      </c>
      <c r="J420" s="85" t="n">
        <f aca="false">IFERROR(IF(ISNUMBER(INDEX(원자료_잔고!$A$1:$EZ$1500,설정!$L$5+ROW()-1,설정!$L$16)),INDEX(원자료_잔고!$A$1:$EZ$1500,설정!$L$5+ROW()-1,설정!$L$16),""),"")</f>
        <v>4.25</v>
      </c>
      <c r="K420" s="87" t="n">
        <f aca="false">IFERROR(IF(ISNUMBER(INDEX(원자료_잔고!$A$1:$EZ$1500,설정!$L$5+ROW()-1,설정!$L$17)),INDEX(원자료_잔고!$A$1:$EZ$1500,설정!$L$5+ROW()-1,설정!$L$17),""),"")</f>
        <v>1</v>
      </c>
      <c r="L420" s="84" t="n">
        <f aca="false">IFERROR(IF(ISNUMBER(INDEX(원자료_잔고!$A$1:$EZ$1500,설정!$L$5+ROW()-1,설정!$L$18)),INDEX(원자료_잔고!$A$1:$EZ$1500,설정!$L$5+ROW()-1,설정!$L$18),""),"")</f>
        <v>198449.2</v>
      </c>
      <c r="M420" s="88" t="n">
        <f aca="false">IFERROR(IF(ISNUMBER(INDEX(원자료_잔고!$A$1:$EZ$1500,설정!$L$5+ROW()-1,설정!$L$19)),INDEX(원자료_잔고!$A$1:$EZ$1500,설정!$L$5+ROW()-1,설정!$L$19),""),"")</f>
        <v>-2799.2</v>
      </c>
      <c r="N420" s="83" t="str">
        <f aca="false">IFERROR(IF(INDEX(원자료_잔고!$A$1:$EZ$1500,설정!$L$5+ROW()-1,설정!$L$21)&amp;""="0","",INDEX(원자료_잔고!$A$1:$EZ$1500,설정!$L$5+ROW()-1,설정!$L$21)&amp;""),"")</f>
        <v>AA</v>
      </c>
      <c r="O420" s="83" t="str">
        <f aca="false">IFERROR(IF(INDEX(원자료_잔고!$A$1:$EZ$1500,설정!$L$5+ROW()-1,설정!$L$22)&amp;""="0","",INDEX(원자료_잔고!$A$1:$EZ$1500,설정!$L$5+ROW()-1,설정!$L$22)&amp;""),"")</f>
        <v/>
      </c>
      <c r="P420" s="83" t="str">
        <f aca="false">IFERROR(IF(INDEX(원자료_잔고!$A$1:$EZ$1500,설정!$L$5+ROW()-1,설정!$L$23)&amp;""="0","",INDEX(원자료_잔고!$A$1:$EZ$1500,설정!$L$5+ROW()-1,설정!$L$23)&amp;""),"")</f>
        <v>N/A</v>
      </c>
      <c r="Q420" s="89" t="n">
        <f aca="false">IF(AND($A420&lt;&gt;"",ISNUMBER(E420)),IF(E420&gt;0,1,0),0)</f>
        <v>1</v>
      </c>
      <c r="R420" s="43" t="str">
        <f aca="false">IF(Q420=1,UPPER(LEFT($A420,FIND(" ",$A420&amp;" ")-1)),"")</f>
        <v>KOLAHO</v>
      </c>
      <c r="S420" s="89" t="n">
        <f aca="false">IF(Q420=1,IF(OR(ISNUMBER(SEARCH("Float",$A420)),ISNUMBER(SEARCH("FRN",$A420))),1,0),0)</f>
        <v>0</v>
      </c>
      <c r="T420" s="43" t="str">
        <f aca="false">IF(AND(Q420=1,ISNUMBER(I420)),TEXT(I420,"yyyymmdd")&amp;"|"&amp;IF(S420=1,"F",TEXT(J420,"0.000")),"")</f>
        <v>20271022|4.250</v>
      </c>
      <c r="U420" s="90" t="n">
        <f aca="false">IF(AND(Q420=1,ISNUMBER(I420)),(I420-설정!$C$4)/365.25,"")</f>
        <v>1.05681040383299</v>
      </c>
      <c r="V420" s="43" t="str">
        <f aca="false">IF(Q420&lt;&gt;1,"",IF(ISNUMBER(U420),IF(U420&lt;=1,"1년 이하",IF(U420&lt;=2,"1-2년",IF(U420&lt;=3,"2-3년",IF(U420&lt;=4,"3-4년",IF(U420&lt;=5,"4-5년",IF(U420&lt;=7,"5-7년",IF(U420&lt;=10,"7-10년",IF(U420&lt;=20,"10-20년","20년 이상")))))))),"미분류"))</f>
        <v>1-2년</v>
      </c>
      <c r="W420" s="43" t="str">
        <f aca="false">IF(Q420&lt;&gt;1,"",IF(AB420&lt;&gt;"",INDEX(시장분석!$C:$C,AB420),IF(K420=1,"USD","비USD")))</f>
        <v>USD</v>
      </c>
      <c r="X420" s="91" t="n">
        <f aca="false">IF(Q420=1,E420*K420/1000000,0)</f>
        <v>0.2</v>
      </c>
      <c r="Y420" s="89" t="n">
        <f aca="false">IF(R420="T",1,0)</f>
        <v>0</v>
      </c>
      <c r="Z420" s="92" t="n">
        <f aca="false">IF(Q420&lt;&gt;1,"",IF(AD420=1,IF(ISNUMBER(U420),MAX(U420,0),H420),H420))</f>
        <v>0.9826</v>
      </c>
      <c r="AA420" s="91" t="n">
        <f aca="false">IF(Q420=1,IF(ISNUMBER(L420),L420,0)*K420/1000000,0)</f>
        <v>0.1984492</v>
      </c>
      <c r="AB420" s="89" t="n">
        <f aca="false">IF(Q420&lt;&gt;1,"",IFERROR(MATCH(VLOOKUP(B420,매핑!$H$4:$I$15,2,0),시장분석!$A$2:$A$601,0)+1,IFERROR(MATCH(R420&amp;"|"&amp;T420,시장분석!$V$2:$V$601,0)+1,IF(COUNTIF(시장분석!$U$2:$U$601,T420)=1,MATCH(T420,시장분석!$U$2:$U$601,0)+1,""))))</f>
        <v>233</v>
      </c>
      <c r="AC420" s="89" t="n">
        <f aca="false">IF(Q420&lt;&gt;1,0,IF(OR(설정!$C$5="전체",AND(설정!$C$5="선택펀드",IFERROR(COUNTIFS(설정!$F$16:$F$36,C420,설정!$G$16:$G$36,"Y")+COUNTIFS(설정!$F$16:$F$36,VALUE(C420),설정!$G$16:$G$36,"Y"),0)&gt;0),C420&amp;""=설정!$C$5&amp;""),1,0))</f>
        <v>0</v>
      </c>
      <c r="AD420" s="89" t="n">
        <f aca="false">IF(Q420&lt;&gt;1,0,IF(OR(S420=1,IF(AB420="",FALSE(),INDEX(시장분석!$R:$R,AB420)=1)),1,0))</f>
        <v>0</v>
      </c>
      <c r="AE420" s="43" t="str">
        <f aca="false">IF(AB420="","",INDEX(시장분석!$A:$A,AB420))</f>
        <v>KOLAHO 4 1/4 10/22/27</v>
      </c>
      <c r="AF420" s="93" t="n">
        <f aca="false">IF(AB420="","",IF(ISNUMBER(IF(AB420="","",INDEX(시장분석!$E:$E,AB420))),IF(AB420="","",INDEX(시장분석!$E:$E,AB420)),""))</f>
        <v>-5.974</v>
      </c>
      <c r="AG420" s="43" t="str">
        <f aca="false">IF(Q420&lt;&gt;1,"",IF(AB420&lt;&gt;"",IF(AB420="","",INDEX(시장분석!$L:$L,AB420)),IFERROR(IF(VLOOKUP(R420,매핑!$A$4:$E$92,5,0)="","미분류",VLOOKUP(R420,매핑!$A$4:$E$92,5,0)),"미분류")))</f>
        <v>정부</v>
      </c>
      <c r="AH420" s="43" t="str">
        <f aca="false">IF(Q420&lt;&gt;1,"",IF(AB420&lt;&gt;"",IF(AB420="","",INDEX(시장분석!$N:$N,AB420)),IFERROR(IF(VLOOKUP(R420,매핑!$A$4:$E$92,4,0)="","미분류",VLOOKUP(R420,매핑!$A$4:$E$92,4,0)),"미분류")))</f>
        <v>아시아/기타</v>
      </c>
      <c r="AI420" s="43" t="str">
        <f aca="false">IF(Q420&lt;&gt;1,"",IFERROR(IF(VLOOKUP(R420,매핑!$A$4:$E$92,3,0)="","미분류",VLOOKUP(R420,매핑!$A$4:$E$92,3,0)),IF(AB420&lt;&gt;"",IF(AB420="","",INDEX(시장분석!$W:$W,AB420)),"미분류")))</f>
        <v>한국</v>
      </c>
      <c r="AJ420" s="43" t="str">
        <f aca="false">IF(Q420&lt;&gt;1,"",IFERROR(VLOOKUP(IF(N420&lt;&gt;"",N420,IF(P420&lt;&gt;"",P420,O420)),설정!$A$15:$D$47,2,0),""))</f>
        <v>AA</v>
      </c>
      <c r="AK420" s="43" t="str">
        <f aca="false">IF(Q420&lt;&gt;1,"",IF(AJ420="","무등급",IFERROR(VLOOKUP(AJ420,설정!$A$15:$D$47,3,0),"무등급")))</f>
        <v>AA이상</v>
      </c>
      <c r="AL420" s="89" t="n">
        <f aca="false">IF(AJ420="",99,IFERROR(VLOOKUP(AJ420,설정!$A$15:$D$47,4,0),99))</f>
        <v>3</v>
      </c>
      <c r="AM420" s="94" t="n">
        <f aca="false">IF(ISNUMBER(H420),AA420*1000000*H420/10000,0)</f>
        <v>19.499618392</v>
      </c>
      <c r="AN420" s="94" t="n">
        <f aca="false">IF(OR(Y420=1,NOT(ISNUMBER(Z420))),0,AA420*1000000*Z420/10000)</f>
        <v>19.499618392</v>
      </c>
      <c r="AO420" s="94" t="n">
        <f aca="false">IF(ISNUMBER(G420),AA420*1000000*G420/100,0)</f>
        <v>9936.1529948</v>
      </c>
      <c r="AP420" s="94" t="n">
        <f aca="false">IF(ISNUMBER(M420),M420*K420,0)</f>
        <v>-2799.2</v>
      </c>
      <c r="AQ420" s="95" t="n">
        <f aca="false">IF(AB420="","",INDEX(시장분석!$AK:$AK,AB420))</f>
        <v>-0.346217332472559</v>
      </c>
      <c r="AR420" s="43" t="str">
        <f aca="false">IF(AB420="","-",IF(AB420="","",INDEX(시장분석!$AL:$AL,AB420)))</f>
        <v>Fair</v>
      </c>
      <c r="AS420" s="96" t="n">
        <f aca="false">IF(AB420="","",INDEX(시장분석!$AJ:$AJ,AB420))</f>
        <v>-4.74076228246618</v>
      </c>
      <c r="AT420" s="93" t="n">
        <f aca="false">IF(AB420="",0,IF(AB420="","",INDEX(시장분석!$AN:$AN,AB420)))</f>
        <v>0</v>
      </c>
      <c r="AU420" s="94" t="n">
        <f aca="false">IF(ISNUMBER(Z420),AT420/10000*MAX(Z420-1,0)*AA420*1000000,0)</f>
        <v>0</v>
      </c>
      <c r="AV420" s="94" t="n">
        <f aca="false">AO420+AU420</f>
        <v>9936.1529948</v>
      </c>
      <c r="AW420" s="43" t="str">
        <f aca="false">IF(Q420&lt;&gt;1,"",TRIM(IF(AD420=1,"FRN ","")&amp;IF(AND(AL420&gt;=10,AL420&lt;99),"BBB0미만 ","")&amp;IF(AJ420="","등급없음 ","")&amp;IF(K420&lt;&gt;1,"비USD ","")&amp;IF(AND(AB420="",Y420=0),"시장데이터없음 ","")&amp;IF(AND(ISNUMBER(U420),U420&lt;0),"만기경과 ","")))</f>
        <v/>
      </c>
      <c r="AX420" s="90" t="n">
        <f aca="false">IF(Q420&lt;&gt;1,1,IF(스프레드쇼크!$C$4="Y",INDEX(스프레드쇼크!$B$12:$L$16,IFERROR(MATCH(AH420,스프레드쇼크!$A$12:$A$16,0),MATCH("목록외",스프레드쇼크!$A$12:$A$16,0)),IFERROR(MATCH(AG420,스프레드쇼크!$B$11:$L$11,0),MATCH("목록외",스프레드쇼크!$B$11:$L$11,0))),1))</f>
        <v>1</v>
      </c>
      <c r="AY420" s="90" t="n">
        <f aca="false">IF(스프레드쇼크!$C$5="Y",IF(ISNUMBER(AF420),MIN(스프레드쇼크!$C$7,MAX(스프레드쇼크!$C$6,AF420/스프레드쇼크!$C$8)),1),1)</f>
        <v>0.25</v>
      </c>
      <c r="AZ420" s="94" t="n">
        <f aca="false">AN420*AX420*AY420</f>
        <v>4.874904598</v>
      </c>
      <c r="BA420" s="90" t="n">
        <f aca="false">IF(ISNUMBER(G420),AA420*G420,0)</f>
        <v>0.99361529948</v>
      </c>
      <c r="BB420" s="90" t="n">
        <f aca="false">IF(ISNUMBER(G420),AA420,0)</f>
        <v>0.1984492</v>
      </c>
      <c r="BC420" s="90" t="n">
        <f aca="false">IF(AND(Y420=0,ISNUMBER(AF420)),AA420*AF420,0)</f>
        <v>-1.1855355208</v>
      </c>
      <c r="BD420" s="90" t="n">
        <f aca="false">IF(AND(Y420=0,ISNUMBER(AF420)),AA420,0)</f>
        <v>0.1984492</v>
      </c>
      <c r="BE420" s="90" t="n">
        <f aca="false">IF(ISNUMBER(H420),AA420*H420,0)</f>
        <v>0.19499618392</v>
      </c>
      <c r="BF420" s="90" t="n">
        <f aca="false">IF(ISNUMBER(H420),AA420,0)</f>
        <v>0.1984492</v>
      </c>
      <c r="BG420" s="90" t="n">
        <f aca="false">IF(AND(Y420=0,ISNUMBER(AF420),ISNUMBER(Z420)),AA420*Z420,0)</f>
        <v>0.19499618392</v>
      </c>
      <c r="BH420" s="90" t="n">
        <f aca="false">IF(AND(Y420=0,ISNUMBER(AF420),ISNUMBER(Z420)),AA420*AT420*MAX(Z420-1,0),0)</f>
        <v>0</v>
      </c>
      <c r="BI420" s="90" t="n">
        <f aca="false">IF(Y420=0,AA420,0)</f>
        <v>0.1984492</v>
      </c>
    </row>
    <row r="421" customFormat="false" ht="15" hidden="false" customHeight="false" outlineLevel="0" collapsed="false">
      <c r="A421" s="83" t="str">
        <f aca="false">IFERROR(IF(INDEX(원자료_잔고!$A$1:$EZ$1500,설정!$L$5+ROW()-1,설정!$L$8)&amp;""="0","",INDEX(원자료_잔고!$A$1:$EZ$1500,설정!$L$5+ROW()-1,설정!$L$8)&amp;""),"")</f>
        <v>KORWAT 4.375 05/21/27</v>
      </c>
      <c r="B421" s="83" t="str">
        <f aca="false">IFERROR(IF(INDEX(원자료_잔고!$A$1:$EZ$1500,설정!$L$5+ROW()-1,설정!$L$7)&amp;""="0","",INDEX(원자료_잔고!$A$1:$EZ$1500,설정!$L$5+ROW()-1,설정!$L$7)&amp;""),"")</f>
        <v>XS3037640037</v>
      </c>
      <c r="C421" s="83" t="str">
        <f aca="false">IFERROR(IF(INDEX(원자료_잔고!$A$1:$EZ$1500,설정!$L$5+ROW()-1,설정!$L$9)&amp;""="0","",INDEX(원자료_잔고!$A$1:$EZ$1500,설정!$L$5+ROW()-1,설정!$L$9)&amp;""),"")</f>
        <v>42003</v>
      </c>
      <c r="D42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1" s="84" t="n">
        <f aca="false">IFERROR(IF(ISNUMBER(INDEX(원자료_잔고!$A$1:$EZ$1500,설정!$L$5+ROW()-1,설정!$L$11)),INDEX(원자료_잔고!$A$1:$EZ$1500,설정!$L$5+ROW()-1,설정!$L$11),""),"")</f>
        <v>1000000</v>
      </c>
      <c r="F421" s="85" t="n">
        <f aca="false">IFERROR(IF(ISNUMBER(INDEX(원자료_잔고!$A$1:$EZ$1500,설정!$L$5+ROW()-1,설정!$L$12)),INDEX(원자료_잔고!$A$1:$EZ$1500,설정!$L$5+ROW()-1,설정!$L$12),""),"")</f>
        <v>99.581</v>
      </c>
      <c r="G421" s="85" t="n">
        <f aca="false">IFERROR(IF(ISNUMBER(INDEX(원자료_잔고!$A$1:$EZ$1500,설정!$L$5+ROW()-1,설정!$L$13)),INDEX(원자료_잔고!$A$1:$EZ$1500,설정!$L$5+ROW()-1,설정!$L$13),""),"")</f>
        <v>5.0351</v>
      </c>
      <c r="H421" s="85" t="n">
        <f aca="false">IFERROR(IF(ISNUMBER(INDEX(원자료_잔고!$A$1:$EZ$1500,설정!$L$5+ROW()-1,설정!$L$14)),INDEX(원자료_잔고!$A$1:$EZ$1500,설정!$L$5+ROW()-1,설정!$L$14),""),"")</f>
        <v>0.6019</v>
      </c>
      <c r="I421" s="86" t="n">
        <f aca="false">IFERROR(IF(ISNUMBER(INDEX(원자료_잔고!$A$1:$EZ$1500,설정!$L$5+ROW()-1,설정!$L$15)),INDEX(원자료_잔고!$A$1:$EZ$1500,설정!$L$5+ROW()-1,설정!$L$15),""),"")</f>
        <v>46528</v>
      </c>
      <c r="J421" s="85" t="n">
        <f aca="false">IFERROR(IF(ISNUMBER(INDEX(원자료_잔고!$A$1:$EZ$1500,설정!$L$5+ROW()-1,설정!$L$16)),INDEX(원자료_잔고!$A$1:$EZ$1500,설정!$L$5+ROW()-1,설정!$L$16),""),"")</f>
        <v>4.375</v>
      </c>
      <c r="K421" s="87" t="n">
        <f aca="false">IFERROR(IF(ISNUMBER(INDEX(원자료_잔고!$A$1:$EZ$1500,설정!$L$5+ROW()-1,설정!$L$17)),INDEX(원자료_잔고!$A$1:$EZ$1500,설정!$L$5+ROW()-1,설정!$L$17),""),"")</f>
        <v>1</v>
      </c>
      <c r="L421" s="84" t="n">
        <f aca="false">IFERROR(IF(ISNUMBER(INDEX(원자료_잔고!$A$1:$EZ$1500,설정!$L$5+ROW()-1,설정!$L$18)),INDEX(원자료_잔고!$A$1:$EZ$1500,설정!$L$5+ROW()-1,설정!$L$18),""),"")</f>
        <v>995810</v>
      </c>
      <c r="M421" s="88" t="n">
        <f aca="false">IFERROR(IF(ISNUMBER(INDEX(원자료_잔고!$A$1:$EZ$1500,설정!$L$5+ROW()-1,설정!$L$19)),INDEX(원자료_잔고!$A$1:$EZ$1500,설정!$L$5+ROW()-1,설정!$L$19),""),"")</f>
        <v>-5089.41</v>
      </c>
      <c r="N421" s="83" t="str">
        <f aca="false">IFERROR(IF(INDEX(원자료_잔고!$A$1:$EZ$1500,설정!$L$5+ROW()-1,설정!$L$21)&amp;""="0","",INDEX(원자료_잔고!$A$1:$EZ$1500,설정!$L$5+ROW()-1,설정!$L$21)&amp;""),"")</f>
        <v/>
      </c>
      <c r="O421" s="83" t="str">
        <f aca="false">IFERROR(IF(INDEX(원자료_잔고!$A$1:$EZ$1500,설정!$L$5+ROW()-1,설정!$L$22)&amp;""="0","",INDEX(원자료_잔고!$A$1:$EZ$1500,설정!$L$5+ROW()-1,설정!$L$22)&amp;""),"")</f>
        <v/>
      </c>
      <c r="P421" s="83" t="str">
        <f aca="false">IFERROR(IF(INDEX(원자료_잔고!$A$1:$EZ$1500,설정!$L$5+ROW()-1,설정!$L$23)&amp;""="0","",INDEX(원자료_잔고!$A$1:$EZ$1500,설정!$L$5+ROW()-1,설정!$L$23)&amp;""),"")</f>
        <v>N/A</v>
      </c>
      <c r="Q421" s="89" t="n">
        <f aca="false">IF(AND($A421&lt;&gt;"",ISNUMBER(E421)),IF(E421&gt;0,1,0),0)</f>
        <v>1</v>
      </c>
      <c r="R421" s="43" t="str">
        <f aca="false">IF(Q421=1,UPPER(LEFT($A421,FIND(" ",$A421&amp;" ")-1)),"")</f>
        <v>KORWAT</v>
      </c>
      <c r="S421" s="89" t="n">
        <f aca="false">IF(Q421=1,IF(OR(ISNUMBER(SEARCH("Float",$A421)),ISNUMBER(SEARCH("FRN",$A421))),1,0),0)</f>
        <v>0</v>
      </c>
      <c r="T421" s="43" t="str">
        <f aca="false">IF(AND(Q421=1,ISNUMBER(I421)),TEXT(I421,"yyyymmdd")&amp;"|"&amp;IF(S421=1,"F",TEXT(J421,"0.000")),"")</f>
        <v>20270521|4.375</v>
      </c>
      <c r="U421" s="90" t="n">
        <f aca="false">IF(AND(Q421=1,ISNUMBER(I421)),(I421-설정!$C$4)/365.25,"")</f>
        <v>0.635181382614648</v>
      </c>
      <c r="V421" s="43" t="str">
        <f aca="false">IF(Q421&lt;&gt;1,"",IF(ISNUMBER(U421),IF(U421&lt;=1,"1년 이하",IF(U421&lt;=2,"1-2년",IF(U421&lt;=3,"2-3년",IF(U421&lt;=4,"3-4년",IF(U421&lt;=5,"4-5년",IF(U421&lt;=7,"5-7년",IF(U421&lt;=10,"7-10년",IF(U421&lt;=20,"10-20년","20년 이상")))))))),"미분류"))</f>
        <v>1년 이하</v>
      </c>
      <c r="W421" s="43" t="str">
        <f aca="false">IF(Q421&lt;&gt;1,"",IF(AB421&lt;&gt;"",INDEX(시장분석!$C:$C,AB421),IF(K421=1,"USD","비USD")))</f>
        <v>USD</v>
      </c>
      <c r="X421" s="91" t="n">
        <f aca="false">IF(Q421=1,E421*K421/1000000,0)</f>
        <v>1</v>
      </c>
      <c r="Y421" s="89" t="n">
        <f aca="false">IF(R421="T",1,0)</f>
        <v>0</v>
      </c>
      <c r="Z421" s="92" t="n">
        <f aca="false">IF(Q421&lt;&gt;1,"",IF(AD421=1,IF(ISNUMBER(U421),MAX(U421,0),H421),H421))</f>
        <v>0.6019</v>
      </c>
      <c r="AA421" s="91" t="n">
        <f aca="false">IF(Q421=1,IF(ISNUMBER(L421),L421,0)*K421/1000000,0)</f>
        <v>0.99581</v>
      </c>
      <c r="AB421" s="89" t="n">
        <f aca="false">IF(Q421&lt;&gt;1,"",IFERROR(MATCH(VLOOKUP(B421,매핑!$H$4:$I$15,2,0),시장분석!$A$2:$A$601,0)+1,IFERROR(MATCH(R421&amp;"|"&amp;T421,시장분석!$V$2:$V$601,0)+1,IF(COUNTIF(시장분석!$U$2:$U$601,T421)=1,MATCH(T421,시장분석!$U$2:$U$601,0)+1,""))))</f>
        <v>240</v>
      </c>
      <c r="AC421" s="89" t="n">
        <f aca="false">IF(Q421&lt;&gt;1,0,IF(OR(설정!$C$5="전체",AND(설정!$C$5="선택펀드",IFERROR(COUNTIFS(설정!$F$16:$F$36,C421,설정!$G$16:$G$36,"Y")+COUNTIFS(설정!$F$16:$F$36,VALUE(C421),설정!$G$16:$G$36,"Y"),0)&gt;0),C421&amp;""=설정!$C$5&amp;""),1,0))</f>
        <v>0</v>
      </c>
      <c r="AD421" s="89" t="n">
        <f aca="false">IF(Q421&lt;&gt;1,0,IF(OR(S421=1,IF(AB421="",FALSE(),INDEX(시장분석!$R:$R,AB421)=1)),1,0))</f>
        <v>0</v>
      </c>
      <c r="AE421" s="43" t="str">
        <f aca="false">IF(AB421="","",INDEX(시장분석!$A:$A,AB421))</f>
        <v>KORWAT 4 3/8 05/21/27</v>
      </c>
      <c r="AF421" s="93" t="n">
        <f aca="false">IF(AB421="","",IF(ISNUMBER(IF(AB421="","",INDEX(시장분석!$E:$E,AB421))),IF(AB421="","",INDEX(시장분석!$E:$E,AB421)),""))</f>
        <v>-13.86</v>
      </c>
      <c r="AG421" s="43" t="str">
        <f aca="false">IF(Q421&lt;&gt;1,"",IF(AB421&lt;&gt;"",IF(AB421="","",INDEX(시장분석!$L:$L,AB421)),IFERROR(IF(VLOOKUP(R421,매핑!$A$4:$E$92,5,0)="","미분류",VLOOKUP(R421,매핑!$A$4:$E$92,5,0)),"미분류")))</f>
        <v>정부</v>
      </c>
      <c r="AH421" s="43" t="str">
        <f aca="false">IF(Q421&lt;&gt;1,"",IF(AB421&lt;&gt;"",IF(AB421="","",INDEX(시장분석!$N:$N,AB421)),IFERROR(IF(VLOOKUP(R421,매핑!$A$4:$E$92,4,0)="","미분류",VLOOKUP(R421,매핑!$A$4:$E$92,4,0)),"미분류")))</f>
        <v>아시아/기타</v>
      </c>
      <c r="AI421" s="43" t="str">
        <f aca="false">IF(Q421&lt;&gt;1,"",IFERROR(IF(VLOOKUP(R421,매핑!$A$4:$E$92,3,0)="","미분류",VLOOKUP(R421,매핑!$A$4:$E$92,3,0)),IF(AB421&lt;&gt;"",IF(AB421="","",INDEX(시장분석!$W:$W,AB421)),"미분류")))</f>
        <v>한국</v>
      </c>
      <c r="AJ421" s="43" t="str">
        <f aca="false">IF(Q421&lt;&gt;1,"",IFERROR(VLOOKUP(IF(N421&lt;&gt;"",N421,IF(P421&lt;&gt;"",P421,O421)),설정!$A$15:$D$47,2,0),""))</f>
        <v/>
      </c>
      <c r="AK421" s="43" t="str">
        <f aca="false">IF(Q421&lt;&gt;1,"",IF(AJ421="","무등급",IFERROR(VLOOKUP(AJ421,설정!$A$15:$D$47,3,0),"무등급")))</f>
        <v>무등급</v>
      </c>
      <c r="AL421" s="89" t="n">
        <f aca="false">IF(AJ421="",99,IFERROR(VLOOKUP(AJ421,설정!$A$15:$D$47,4,0),99))</f>
        <v>99</v>
      </c>
      <c r="AM421" s="94" t="n">
        <f aca="false">IF(ISNUMBER(H421),AA421*1000000*H421/10000,0)</f>
        <v>59.9378039</v>
      </c>
      <c r="AN421" s="94" t="n">
        <f aca="false">IF(OR(Y421=1,NOT(ISNUMBER(Z421))),0,AA421*1000000*Z421/10000)</f>
        <v>59.9378039</v>
      </c>
      <c r="AO421" s="94" t="n">
        <f aca="false">IF(ISNUMBER(G421),AA421*1000000*G421/100,0)</f>
        <v>50140.02931</v>
      </c>
      <c r="AP421" s="94" t="n">
        <f aca="false">IF(ISNUMBER(M421),M421*K421,0)</f>
        <v>-5089.41</v>
      </c>
      <c r="AQ421" s="95" t="n">
        <f aca="false">IF(AB421="","",INDEX(시장분석!$AK:$AK,AB421))</f>
        <v>-0.198470118902551</v>
      </c>
      <c r="AR421" s="43" t="str">
        <f aca="false">IF(AB421="","-",IF(AB421="","",INDEX(시장분석!$AL:$AL,AB421)))</f>
        <v>Fair</v>
      </c>
      <c r="AS421" s="96" t="n">
        <f aca="false">IF(AB421="","",INDEX(시장분석!$AJ:$AJ,AB421))</f>
        <v>-2.71765612417561</v>
      </c>
      <c r="AT421" s="93" t="n">
        <f aca="false">IF(AB421="",0,IF(AB421="","",INDEX(시장분석!$AN:$AN,AB421)))</f>
        <v>0</v>
      </c>
      <c r="AU421" s="94" t="n">
        <f aca="false">IF(ISNUMBER(Z421),AT421/10000*MAX(Z421-1,0)*AA421*1000000,0)</f>
        <v>0</v>
      </c>
      <c r="AV421" s="94" t="n">
        <f aca="false">AO421+AU421</f>
        <v>50140.02931</v>
      </c>
      <c r="AW421" s="43" t="str">
        <f aca="false">IF(Q421&lt;&gt;1,"",TRIM(IF(AD421=1,"FRN ","")&amp;IF(AND(AL421&gt;=10,AL421&lt;99),"BBB0미만 ","")&amp;IF(AJ421="","등급없음 ","")&amp;IF(K421&lt;&gt;1,"비USD ","")&amp;IF(AND(AB421="",Y421=0),"시장데이터없음 ","")&amp;IF(AND(ISNUMBER(U421),U421&lt;0),"만기경과 ","")))</f>
        <v>등급없음</v>
      </c>
      <c r="AX421" s="90" t="n">
        <f aca="false">IF(Q421&lt;&gt;1,1,IF(스프레드쇼크!$C$4="Y",INDEX(스프레드쇼크!$B$12:$L$16,IFERROR(MATCH(AH421,스프레드쇼크!$A$12:$A$16,0),MATCH("목록외",스프레드쇼크!$A$12:$A$16,0)),IFERROR(MATCH(AG421,스프레드쇼크!$B$11:$L$11,0),MATCH("목록외",스프레드쇼크!$B$11:$L$11,0))),1))</f>
        <v>1</v>
      </c>
      <c r="AY421" s="90" t="n">
        <f aca="false">IF(스프레드쇼크!$C$5="Y",IF(ISNUMBER(AF421),MIN(스프레드쇼크!$C$7,MAX(스프레드쇼크!$C$6,AF421/스프레드쇼크!$C$8)),1),1)</f>
        <v>0.25</v>
      </c>
      <c r="AZ421" s="94" t="n">
        <f aca="false">AN421*AX421*AY421</f>
        <v>14.984450975</v>
      </c>
      <c r="BA421" s="90" t="n">
        <f aca="false">IF(ISNUMBER(G421),AA421*G421,0)</f>
        <v>5.014002931</v>
      </c>
      <c r="BB421" s="90" t="n">
        <f aca="false">IF(ISNUMBER(G421),AA421,0)</f>
        <v>0.99581</v>
      </c>
      <c r="BC421" s="90" t="n">
        <f aca="false">IF(AND(Y421=0,ISNUMBER(AF421)),AA421*AF421,0)</f>
        <v>-13.8019266</v>
      </c>
      <c r="BD421" s="90" t="n">
        <f aca="false">IF(AND(Y421=0,ISNUMBER(AF421)),AA421,0)</f>
        <v>0.99581</v>
      </c>
      <c r="BE421" s="90" t="n">
        <f aca="false">IF(ISNUMBER(H421),AA421*H421,0)</f>
        <v>0.599378039</v>
      </c>
      <c r="BF421" s="90" t="n">
        <f aca="false">IF(ISNUMBER(H421),AA421,0)</f>
        <v>0.99581</v>
      </c>
      <c r="BG421" s="90" t="n">
        <f aca="false">IF(AND(Y421=0,ISNUMBER(AF421),ISNUMBER(Z421)),AA421*Z421,0)</f>
        <v>0.599378039</v>
      </c>
      <c r="BH421" s="90" t="n">
        <f aca="false">IF(AND(Y421=0,ISNUMBER(AF421),ISNUMBER(Z421)),AA421*AT421*MAX(Z421-1,0),0)</f>
        <v>0</v>
      </c>
      <c r="BI421" s="90" t="n">
        <f aca="false">IF(Y421=0,AA421,0)</f>
        <v>0.99581</v>
      </c>
    </row>
    <row r="422" customFormat="false" ht="15" hidden="false" customHeight="false" outlineLevel="0" collapsed="false">
      <c r="A422" s="83" t="str">
        <f aca="false">IFERROR(IF(INDEX(원자료_잔고!$A$1:$EZ$1500,설정!$L$5+ROW()-1,설정!$L$8)&amp;""="0","",INDEX(원자료_잔고!$A$1:$EZ$1500,설정!$L$5+ROW()-1,설정!$L$8)&amp;""),"")</f>
        <v>KTGC 5 05/02/28</v>
      </c>
      <c r="B422" s="83" t="str">
        <f aca="false">IFERROR(IF(INDEX(원자료_잔고!$A$1:$EZ$1500,설정!$L$5+ROW()-1,설정!$L$7)&amp;""="0","",INDEX(원자료_잔고!$A$1:$EZ$1500,설정!$L$5+ROW()-1,설정!$L$7)&amp;""),"")</f>
        <v>XS3037681908</v>
      </c>
      <c r="C422" s="83" t="str">
        <f aca="false">IFERROR(IF(INDEX(원자료_잔고!$A$1:$EZ$1500,설정!$L$5+ROW()-1,설정!$L$9)&amp;""="0","",INDEX(원자료_잔고!$A$1:$EZ$1500,설정!$L$5+ROW()-1,설정!$L$9)&amp;""),"")</f>
        <v>42003</v>
      </c>
      <c r="D42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2" s="84" t="n">
        <f aca="false">IFERROR(IF(ISNUMBER(INDEX(원자료_잔고!$A$1:$EZ$1500,설정!$L$5+ROW()-1,설정!$L$11)),INDEX(원자료_잔고!$A$1:$EZ$1500,설정!$L$5+ROW()-1,설정!$L$11),""),"")</f>
        <v>2000000</v>
      </c>
      <c r="F422" s="85" t="n">
        <f aca="false">IFERROR(IF(ISNUMBER(INDEX(원자료_잔고!$A$1:$EZ$1500,설정!$L$5+ROW()-1,설정!$L$12)),INDEX(원자료_잔고!$A$1:$EZ$1500,설정!$L$5+ROW()-1,설정!$L$12),""),"")</f>
        <v>99.5362</v>
      </c>
      <c r="G422" s="85" t="n">
        <f aca="false">IFERROR(IF(ISNUMBER(INDEX(원자료_잔고!$A$1:$EZ$1500,설정!$L$5+ROW()-1,설정!$L$13)),INDEX(원자료_잔고!$A$1:$EZ$1500,설정!$L$5+ROW()-1,설정!$L$13),""),"")</f>
        <v>5.3027</v>
      </c>
      <c r="H422" s="85" t="n">
        <f aca="false">IFERROR(IF(ISNUMBER(INDEX(원자료_잔고!$A$1:$EZ$1500,설정!$L$5+ROW()-1,설정!$L$14)),INDEX(원자료_잔고!$A$1:$EZ$1500,설정!$L$5+ROW()-1,설정!$L$14),""),"")</f>
        <v>1.4435</v>
      </c>
      <c r="I422" s="86" t="n">
        <f aca="false">IFERROR(IF(ISNUMBER(INDEX(원자료_잔고!$A$1:$EZ$1500,설정!$L$5+ROW()-1,설정!$L$15)),INDEX(원자료_잔고!$A$1:$EZ$1500,설정!$L$5+ROW()-1,설정!$L$15),""),"")</f>
        <v>46875</v>
      </c>
      <c r="J422" s="85" t="n">
        <f aca="false">IFERROR(IF(ISNUMBER(INDEX(원자료_잔고!$A$1:$EZ$1500,설정!$L$5+ROW()-1,설정!$L$16)),INDEX(원자료_잔고!$A$1:$EZ$1500,설정!$L$5+ROW()-1,설정!$L$16),""),"")</f>
        <v>5</v>
      </c>
      <c r="K422" s="87" t="n">
        <f aca="false">IFERROR(IF(ISNUMBER(INDEX(원자료_잔고!$A$1:$EZ$1500,설정!$L$5+ROW()-1,설정!$L$17)),INDEX(원자료_잔고!$A$1:$EZ$1500,설정!$L$5+ROW()-1,설정!$L$17),""),"")</f>
        <v>1</v>
      </c>
      <c r="L422" s="84" t="n">
        <f aca="false">IFERROR(IF(ISNUMBER(INDEX(원자료_잔고!$A$1:$EZ$1500,설정!$L$5+ROW()-1,설정!$L$18)),INDEX(원자료_잔고!$A$1:$EZ$1500,설정!$L$5+ROW()-1,설정!$L$18),""),"")</f>
        <v>1990724</v>
      </c>
      <c r="M422" s="88" t="n">
        <f aca="false">IFERROR(IF(ISNUMBER(INDEX(원자료_잔고!$A$1:$EZ$1500,설정!$L$5+ROW()-1,설정!$L$19)),INDEX(원자료_잔고!$A$1:$EZ$1500,설정!$L$5+ROW()-1,설정!$L$19),""),"")</f>
        <v>-50324</v>
      </c>
      <c r="N422" s="83" t="str">
        <f aca="false">IFERROR(IF(INDEX(원자료_잔고!$A$1:$EZ$1500,설정!$L$5+ROW()-1,설정!$L$21)&amp;""="0","",INDEX(원자료_잔고!$A$1:$EZ$1500,설정!$L$5+ROW()-1,설정!$L$21)&amp;""),"")</f>
        <v>A-</v>
      </c>
      <c r="O422" s="83" t="str">
        <f aca="false">IFERROR(IF(INDEX(원자료_잔고!$A$1:$EZ$1500,설정!$L$5+ROW()-1,설정!$L$22)&amp;""="0","",INDEX(원자료_잔고!$A$1:$EZ$1500,설정!$L$5+ROW()-1,설정!$L$22)&amp;""),"")</f>
        <v/>
      </c>
      <c r="P422" s="83" t="str">
        <f aca="false">IFERROR(IF(INDEX(원자료_잔고!$A$1:$EZ$1500,설정!$L$5+ROW()-1,설정!$L$23)&amp;""="0","",INDEX(원자료_잔고!$A$1:$EZ$1500,설정!$L$5+ROW()-1,설정!$L$23)&amp;""),"")</f>
        <v>N/A</v>
      </c>
      <c r="Q422" s="89" t="n">
        <f aca="false">IF(AND($A422&lt;&gt;"",ISNUMBER(E422)),IF(E422&gt;0,1,0),0)</f>
        <v>1</v>
      </c>
      <c r="R422" s="43" t="str">
        <f aca="false">IF(Q422=1,UPPER(LEFT($A422,FIND(" ",$A422&amp;" ")-1)),"")</f>
        <v>KTGC</v>
      </c>
      <c r="S422" s="89" t="n">
        <f aca="false">IF(Q422=1,IF(OR(ISNUMBER(SEARCH("Float",$A422)),ISNUMBER(SEARCH("FRN",$A422))),1,0),0)</f>
        <v>0</v>
      </c>
      <c r="T422" s="43" t="str">
        <f aca="false">IF(AND(Q422=1,ISNUMBER(I422)),TEXT(I422,"yyyymmdd")&amp;"|"&amp;IF(S422=1,"F",TEXT(J422,"0.000")),"")</f>
        <v>20280502|5.000</v>
      </c>
      <c r="U422" s="90" t="n">
        <f aca="false">IF(AND(Q422=1,ISNUMBER(I422)),(I422-설정!$C$4)/365.25,"")</f>
        <v>1.58521560574949</v>
      </c>
      <c r="V422" s="43" t="str">
        <f aca="false">IF(Q422&lt;&gt;1,"",IF(ISNUMBER(U422),IF(U422&lt;=1,"1년 이하",IF(U422&lt;=2,"1-2년",IF(U422&lt;=3,"2-3년",IF(U422&lt;=4,"3-4년",IF(U422&lt;=5,"4-5년",IF(U422&lt;=7,"5-7년",IF(U422&lt;=10,"7-10년",IF(U422&lt;=20,"10-20년","20년 이상")))))))),"미분류"))</f>
        <v>1-2년</v>
      </c>
      <c r="W422" s="43" t="str">
        <f aca="false">IF(Q422&lt;&gt;1,"",IF(AB422&lt;&gt;"",INDEX(시장분석!$C:$C,AB422),IF(K422=1,"USD","비USD")))</f>
        <v>USD</v>
      </c>
      <c r="X422" s="91" t="n">
        <f aca="false">IF(Q422=1,E422*K422/1000000,0)</f>
        <v>2</v>
      </c>
      <c r="Y422" s="89" t="n">
        <f aca="false">IF(R422="T",1,0)</f>
        <v>0</v>
      </c>
      <c r="Z422" s="92" t="n">
        <f aca="false">IF(Q422&lt;&gt;1,"",IF(AD422=1,IF(ISNUMBER(U422),MAX(U422,0),H422),H422))</f>
        <v>1.4435</v>
      </c>
      <c r="AA422" s="91" t="n">
        <f aca="false">IF(Q422=1,IF(ISNUMBER(L422),L422,0)*K422/1000000,0)</f>
        <v>1.990724</v>
      </c>
      <c r="AB422" s="89" t="n">
        <f aca="false">IF(Q422&lt;&gt;1,"",IFERROR(MATCH(VLOOKUP(B422,매핑!$H$4:$I$15,2,0),시장분석!$A$2:$A$601,0)+1,IFERROR(MATCH(R422&amp;"|"&amp;T422,시장분석!$V$2:$V$601,0)+1,IF(COUNTIF(시장분석!$U$2:$U$601,T422)=1,MATCH(T422,시장분석!$U$2:$U$601,0)+1,""))))</f>
        <v>241</v>
      </c>
      <c r="AC422" s="89" t="n">
        <f aca="false">IF(Q422&lt;&gt;1,0,IF(OR(설정!$C$5="전체",AND(설정!$C$5="선택펀드",IFERROR(COUNTIFS(설정!$F$16:$F$36,C422,설정!$G$16:$G$36,"Y")+COUNTIFS(설정!$F$16:$F$36,VALUE(C422),설정!$G$16:$G$36,"Y"),0)&gt;0),C422&amp;""=설정!$C$5&amp;""),1,0))</f>
        <v>0</v>
      </c>
      <c r="AD422" s="89" t="n">
        <f aca="false">IF(Q422&lt;&gt;1,0,IF(OR(S422=1,IF(AB422="",FALSE(),INDEX(시장분석!$R:$R,AB422)=1)),1,0))</f>
        <v>0</v>
      </c>
      <c r="AE422" s="43" t="str">
        <f aca="false">IF(AB422="","",INDEX(시장분석!$A:$A,AB422))</f>
        <v>KTGC 5 05/02/28</v>
      </c>
      <c r="AF422" s="93" t="n">
        <f aca="false">IF(AB422="","",IF(ISNUMBER(IF(AB422="","",INDEX(시장분석!$E:$E,AB422))),IF(AB422="","",INDEX(시장분석!$E:$E,AB422)),""))</f>
        <v>29.185</v>
      </c>
      <c r="AG422" s="43" t="str">
        <f aca="false">IF(Q422&lt;&gt;1,"",IF(AB422&lt;&gt;"",IF(AB422="","",INDEX(시장분석!$L:$L,AB422)),IFERROR(IF(VLOOKUP(R422,매핑!$A$4:$E$92,5,0)="","미분류",VLOOKUP(R422,매핑!$A$4:$E$92,5,0)),"미분류")))</f>
        <v>기본소비재</v>
      </c>
      <c r="AH422" s="43" t="str">
        <f aca="false">IF(Q422&lt;&gt;1,"",IF(AB422&lt;&gt;"",IF(AB422="","",INDEX(시장분석!$N:$N,AB422)),IFERROR(IF(VLOOKUP(R422,매핑!$A$4:$E$92,4,0)="","미분류",VLOOKUP(R422,매핑!$A$4:$E$92,4,0)),"미분류")))</f>
        <v>아시아/기타</v>
      </c>
      <c r="AI422" s="43" t="str">
        <f aca="false">IF(Q422&lt;&gt;1,"",IFERROR(IF(VLOOKUP(R422,매핑!$A$4:$E$92,3,0)="","미분류",VLOOKUP(R422,매핑!$A$4:$E$92,3,0)),IF(AB422&lt;&gt;"",IF(AB422="","",INDEX(시장분석!$W:$W,AB422)),"미분류")))</f>
        <v>한국</v>
      </c>
      <c r="AJ422" s="43" t="str">
        <f aca="false">IF(Q422&lt;&gt;1,"",IFERROR(VLOOKUP(IF(N422&lt;&gt;"",N422,IF(P422&lt;&gt;"",P422,O422)),설정!$A$15:$D$47,2,0),""))</f>
        <v>A-</v>
      </c>
      <c r="AK422" s="43" t="str">
        <f aca="false">IF(Q422&lt;&gt;1,"",IF(AJ422="","무등급",IFERROR(VLOOKUP(AJ422,설정!$A$15:$D$47,3,0),"무등급")))</f>
        <v>A</v>
      </c>
      <c r="AL422" s="89" t="n">
        <f aca="false">IF(AJ422="",99,IFERROR(VLOOKUP(AJ422,설정!$A$15:$D$47,4,0),99))</f>
        <v>7</v>
      </c>
      <c r="AM422" s="94" t="n">
        <f aca="false">IF(ISNUMBER(H422),AA422*1000000*H422/10000,0)</f>
        <v>287.3610094</v>
      </c>
      <c r="AN422" s="94" t="n">
        <f aca="false">IF(OR(Y422=1,NOT(ISNUMBER(Z422))),0,AA422*1000000*Z422/10000)</f>
        <v>287.3610094</v>
      </c>
      <c r="AO422" s="94" t="n">
        <f aca="false">IF(ISNUMBER(G422),AA422*1000000*G422/100,0)</f>
        <v>105562.121548</v>
      </c>
      <c r="AP422" s="94" t="n">
        <f aca="false">IF(ISNUMBER(M422),M422*K422,0)</f>
        <v>-50324</v>
      </c>
      <c r="AQ422" s="95" t="n">
        <f aca="false">IF(AB422="","",INDEX(시장분석!$AK:$AK,AB422))</f>
        <v>-0.0291496586683313</v>
      </c>
      <c r="AR422" s="43" t="str">
        <f aca="false">IF(AB422="","-",IF(AB422="","",INDEX(시장분석!$AL:$AL,AB422)))</f>
        <v>Fair</v>
      </c>
      <c r="AS422" s="96" t="n">
        <f aca="false">IF(AB422="","",INDEX(시장분석!$AJ:$AJ,AB422))</f>
        <v>-0.803884079920834</v>
      </c>
      <c r="AT422" s="93" t="n">
        <f aca="false">IF(AB422="",0,IF(AB422="","",INDEX(시장분석!$AN:$AN,AB422)))</f>
        <v>29.2249390842212</v>
      </c>
      <c r="AU422" s="94" t="n">
        <f aca="false">IF(ISNUMBER(Z422),AT422/10000*MAX(Z422-1,0)*AA422*1000000,0)</f>
        <v>2580.2292315456</v>
      </c>
      <c r="AV422" s="94" t="n">
        <f aca="false">AO422+AU422</f>
        <v>108142.350779546</v>
      </c>
      <c r="AW422" s="43" t="str">
        <f aca="false">IF(Q422&lt;&gt;1,"",TRIM(IF(AD422=1,"FRN ","")&amp;IF(AND(AL422&gt;=10,AL422&lt;99),"BBB0미만 ","")&amp;IF(AJ422="","등급없음 ","")&amp;IF(K422&lt;&gt;1,"비USD ","")&amp;IF(AND(AB422="",Y422=0),"시장데이터없음 ","")&amp;IF(AND(ISNUMBER(U422),U422&lt;0),"만기경과 ","")))</f>
        <v/>
      </c>
      <c r="AX422" s="90" t="n">
        <f aca="false">IF(Q422&lt;&gt;1,1,IF(스프레드쇼크!$C$4="Y",INDEX(스프레드쇼크!$B$12:$L$16,IFERROR(MATCH(AH422,스프레드쇼크!$A$12:$A$16,0),MATCH("목록외",스프레드쇼크!$A$12:$A$16,0)),IFERROR(MATCH(AG422,스프레드쇼크!$B$11:$L$11,0),MATCH("목록외",스프레드쇼크!$B$11:$L$11,0))),1))</f>
        <v>1</v>
      </c>
      <c r="AY422" s="90" t="n">
        <f aca="false">IF(스프레드쇼크!$C$5="Y",IF(ISNUMBER(AF422),MIN(스프레드쇼크!$C$7,MAX(스프레드쇼크!$C$6,AF422/스프레드쇼크!$C$8)),1),1)</f>
        <v>0.441434451308564</v>
      </c>
      <c r="AZ422" s="94" t="n">
        <f aca="false">AN422*AX422*AY422</f>
        <v>126.851049511964</v>
      </c>
      <c r="BA422" s="90" t="n">
        <f aca="false">IF(ISNUMBER(G422),AA422*G422,0)</f>
        <v>10.5562121548</v>
      </c>
      <c r="BB422" s="90" t="n">
        <f aca="false">IF(ISNUMBER(G422),AA422,0)</f>
        <v>1.990724</v>
      </c>
      <c r="BC422" s="90" t="n">
        <f aca="false">IF(AND(Y422=0,ISNUMBER(AF422)),AA422*AF422,0)</f>
        <v>58.09927994</v>
      </c>
      <c r="BD422" s="90" t="n">
        <f aca="false">IF(AND(Y422=0,ISNUMBER(AF422)),AA422,0)</f>
        <v>1.990724</v>
      </c>
      <c r="BE422" s="90" t="n">
        <f aca="false">IF(ISNUMBER(H422),AA422*H422,0)</f>
        <v>2.873610094</v>
      </c>
      <c r="BF422" s="90" t="n">
        <f aca="false">IF(ISNUMBER(H422),AA422,0)</f>
        <v>1.990724</v>
      </c>
      <c r="BG422" s="90" t="n">
        <f aca="false">IF(AND(Y422=0,ISNUMBER(AF422),ISNUMBER(Z422)),AA422*Z422,0)</f>
        <v>2.873610094</v>
      </c>
      <c r="BH422" s="90" t="n">
        <f aca="false">IF(AND(Y422=0,ISNUMBER(AF422),ISNUMBER(Z422)),AA422*AT422*MAX(Z422-1,0),0)</f>
        <v>25.802292315456</v>
      </c>
      <c r="BI422" s="90" t="n">
        <f aca="false">IF(Y422=0,AA422,0)</f>
        <v>1.990724</v>
      </c>
    </row>
    <row r="423" customFormat="false" ht="15" hidden="false" customHeight="false" outlineLevel="0" collapsed="false">
      <c r="A423" s="83" t="str">
        <f aca="false">IFERROR(IF(INDEX(원자료_잔고!$A$1:$EZ$1500,설정!$L$5+ROW()-1,설정!$L$8)&amp;""="0","",INDEX(원자료_잔고!$A$1:$EZ$1500,설정!$L$5+ROW()-1,설정!$L$8)&amp;""),"")</f>
        <v>KTGC 5 05/02/28</v>
      </c>
      <c r="B423" s="83" t="str">
        <f aca="false">IFERROR(IF(INDEX(원자료_잔고!$A$1:$EZ$1500,설정!$L$5+ROW()-1,설정!$L$7)&amp;""="0","",INDEX(원자료_잔고!$A$1:$EZ$1500,설정!$L$5+ROW()-1,설정!$L$7)&amp;""),"")</f>
        <v>XS3037681908</v>
      </c>
      <c r="C423" s="83" t="str">
        <f aca="false">IFERROR(IF(INDEX(원자료_잔고!$A$1:$EZ$1500,설정!$L$5+ROW()-1,설정!$L$9)&amp;""="0","",INDEX(원자료_잔고!$A$1:$EZ$1500,설정!$L$5+ROW()-1,설정!$L$9)&amp;""),"")</f>
        <v>42003</v>
      </c>
      <c r="D42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3" s="84" t="n">
        <f aca="false">IFERROR(IF(ISNUMBER(INDEX(원자료_잔고!$A$1:$EZ$1500,설정!$L$5+ROW()-1,설정!$L$11)),INDEX(원자료_잔고!$A$1:$EZ$1500,설정!$L$5+ROW()-1,설정!$L$11),""),"")</f>
        <v>3600000</v>
      </c>
      <c r="F423" s="85" t="n">
        <f aca="false">IFERROR(IF(ISNUMBER(INDEX(원자료_잔고!$A$1:$EZ$1500,설정!$L$5+ROW()-1,설정!$L$12)),INDEX(원자료_잔고!$A$1:$EZ$1500,설정!$L$5+ROW()-1,설정!$L$12),""),"")</f>
        <v>99.5362</v>
      </c>
      <c r="G423" s="85" t="n">
        <f aca="false">IFERROR(IF(ISNUMBER(INDEX(원자료_잔고!$A$1:$EZ$1500,설정!$L$5+ROW()-1,설정!$L$13)),INDEX(원자료_잔고!$A$1:$EZ$1500,설정!$L$5+ROW()-1,설정!$L$13),""),"")</f>
        <v>5.3027</v>
      </c>
      <c r="H423" s="85" t="n">
        <f aca="false">IFERROR(IF(ISNUMBER(INDEX(원자료_잔고!$A$1:$EZ$1500,설정!$L$5+ROW()-1,설정!$L$14)),INDEX(원자료_잔고!$A$1:$EZ$1500,설정!$L$5+ROW()-1,설정!$L$14),""),"")</f>
        <v>1.4435</v>
      </c>
      <c r="I423" s="86" t="n">
        <f aca="false">IFERROR(IF(ISNUMBER(INDEX(원자료_잔고!$A$1:$EZ$1500,설정!$L$5+ROW()-1,설정!$L$15)),INDEX(원자료_잔고!$A$1:$EZ$1500,설정!$L$5+ROW()-1,설정!$L$15),""),"")</f>
        <v>46875</v>
      </c>
      <c r="J423" s="85" t="n">
        <f aca="false">IFERROR(IF(ISNUMBER(INDEX(원자료_잔고!$A$1:$EZ$1500,설정!$L$5+ROW()-1,설정!$L$16)),INDEX(원자료_잔고!$A$1:$EZ$1500,설정!$L$5+ROW()-1,설정!$L$16),""),"")</f>
        <v>5</v>
      </c>
      <c r="K423" s="87" t="n">
        <f aca="false">IFERROR(IF(ISNUMBER(INDEX(원자료_잔고!$A$1:$EZ$1500,설정!$L$5+ROW()-1,설정!$L$17)),INDEX(원자료_잔고!$A$1:$EZ$1500,설정!$L$5+ROW()-1,설정!$L$17),""),"")</f>
        <v>1</v>
      </c>
      <c r="L423" s="84" t="n">
        <f aca="false">IFERROR(IF(ISNUMBER(INDEX(원자료_잔고!$A$1:$EZ$1500,설정!$L$5+ROW()-1,설정!$L$18)),INDEX(원자료_잔고!$A$1:$EZ$1500,설정!$L$5+ROW()-1,설정!$L$18),""),"")</f>
        <v>3583303.2</v>
      </c>
      <c r="M423" s="88" t="n">
        <f aca="false">IFERROR(IF(ISNUMBER(INDEX(원자료_잔고!$A$1:$EZ$1500,설정!$L$5+ROW()-1,설정!$L$19)),INDEX(원자료_잔고!$A$1:$EZ$1500,설정!$L$5+ROW()-1,설정!$L$19),""),"")</f>
        <v>-90583.2</v>
      </c>
      <c r="N423" s="83" t="str">
        <f aca="false">IFERROR(IF(INDEX(원자료_잔고!$A$1:$EZ$1500,설정!$L$5+ROW()-1,설정!$L$21)&amp;""="0","",INDEX(원자료_잔고!$A$1:$EZ$1500,설정!$L$5+ROW()-1,설정!$L$21)&amp;""),"")</f>
        <v>A-</v>
      </c>
      <c r="O423" s="83" t="str">
        <f aca="false">IFERROR(IF(INDEX(원자료_잔고!$A$1:$EZ$1500,설정!$L$5+ROW()-1,설정!$L$22)&amp;""="0","",INDEX(원자료_잔고!$A$1:$EZ$1500,설정!$L$5+ROW()-1,설정!$L$22)&amp;""),"")</f>
        <v/>
      </c>
      <c r="P423" s="83" t="str">
        <f aca="false">IFERROR(IF(INDEX(원자료_잔고!$A$1:$EZ$1500,설정!$L$5+ROW()-1,설정!$L$23)&amp;""="0","",INDEX(원자료_잔고!$A$1:$EZ$1500,설정!$L$5+ROW()-1,설정!$L$23)&amp;""),"")</f>
        <v>N/A</v>
      </c>
      <c r="Q423" s="89" t="n">
        <f aca="false">IF(AND($A423&lt;&gt;"",ISNUMBER(E423)),IF(E423&gt;0,1,0),0)</f>
        <v>1</v>
      </c>
      <c r="R423" s="43" t="str">
        <f aca="false">IF(Q423=1,UPPER(LEFT($A423,FIND(" ",$A423&amp;" ")-1)),"")</f>
        <v>KTGC</v>
      </c>
      <c r="S423" s="89" t="n">
        <f aca="false">IF(Q423=1,IF(OR(ISNUMBER(SEARCH("Float",$A423)),ISNUMBER(SEARCH("FRN",$A423))),1,0),0)</f>
        <v>0</v>
      </c>
      <c r="T423" s="43" t="str">
        <f aca="false">IF(AND(Q423=1,ISNUMBER(I423)),TEXT(I423,"yyyymmdd")&amp;"|"&amp;IF(S423=1,"F",TEXT(J423,"0.000")),"")</f>
        <v>20280502|5.000</v>
      </c>
      <c r="U423" s="90" t="n">
        <f aca="false">IF(AND(Q423=1,ISNUMBER(I423)),(I423-설정!$C$4)/365.25,"")</f>
        <v>1.58521560574949</v>
      </c>
      <c r="V423" s="43" t="str">
        <f aca="false">IF(Q423&lt;&gt;1,"",IF(ISNUMBER(U423),IF(U423&lt;=1,"1년 이하",IF(U423&lt;=2,"1-2년",IF(U423&lt;=3,"2-3년",IF(U423&lt;=4,"3-4년",IF(U423&lt;=5,"4-5년",IF(U423&lt;=7,"5-7년",IF(U423&lt;=10,"7-10년",IF(U423&lt;=20,"10-20년","20년 이상")))))))),"미분류"))</f>
        <v>1-2년</v>
      </c>
      <c r="W423" s="43" t="str">
        <f aca="false">IF(Q423&lt;&gt;1,"",IF(AB423&lt;&gt;"",INDEX(시장분석!$C:$C,AB423),IF(K423=1,"USD","비USD")))</f>
        <v>USD</v>
      </c>
      <c r="X423" s="91" t="n">
        <f aca="false">IF(Q423=1,E423*K423/1000000,0)</f>
        <v>3.6</v>
      </c>
      <c r="Y423" s="89" t="n">
        <f aca="false">IF(R423="T",1,0)</f>
        <v>0</v>
      </c>
      <c r="Z423" s="92" t="n">
        <f aca="false">IF(Q423&lt;&gt;1,"",IF(AD423=1,IF(ISNUMBER(U423),MAX(U423,0),H423),H423))</f>
        <v>1.4435</v>
      </c>
      <c r="AA423" s="91" t="n">
        <f aca="false">IF(Q423=1,IF(ISNUMBER(L423),L423,0)*K423/1000000,0)</f>
        <v>3.5833032</v>
      </c>
      <c r="AB423" s="89" t="n">
        <f aca="false">IF(Q423&lt;&gt;1,"",IFERROR(MATCH(VLOOKUP(B423,매핑!$H$4:$I$15,2,0),시장분석!$A$2:$A$601,0)+1,IFERROR(MATCH(R423&amp;"|"&amp;T423,시장분석!$V$2:$V$601,0)+1,IF(COUNTIF(시장분석!$U$2:$U$601,T423)=1,MATCH(T423,시장분석!$U$2:$U$601,0)+1,""))))</f>
        <v>241</v>
      </c>
      <c r="AC423" s="89" t="n">
        <f aca="false">IF(Q423&lt;&gt;1,0,IF(OR(설정!$C$5="전체",AND(설정!$C$5="선택펀드",IFERROR(COUNTIFS(설정!$F$16:$F$36,C423,설정!$G$16:$G$36,"Y")+COUNTIFS(설정!$F$16:$F$36,VALUE(C423),설정!$G$16:$G$36,"Y"),0)&gt;0),C423&amp;""=설정!$C$5&amp;""),1,0))</f>
        <v>0</v>
      </c>
      <c r="AD423" s="89" t="n">
        <f aca="false">IF(Q423&lt;&gt;1,0,IF(OR(S423=1,IF(AB423="",FALSE(),INDEX(시장분석!$R:$R,AB423)=1)),1,0))</f>
        <v>0</v>
      </c>
      <c r="AE423" s="43" t="str">
        <f aca="false">IF(AB423="","",INDEX(시장분석!$A:$A,AB423))</f>
        <v>KTGC 5 05/02/28</v>
      </c>
      <c r="AF423" s="93" t="n">
        <f aca="false">IF(AB423="","",IF(ISNUMBER(IF(AB423="","",INDEX(시장분석!$E:$E,AB423))),IF(AB423="","",INDEX(시장분석!$E:$E,AB423)),""))</f>
        <v>29.185</v>
      </c>
      <c r="AG423" s="43" t="str">
        <f aca="false">IF(Q423&lt;&gt;1,"",IF(AB423&lt;&gt;"",IF(AB423="","",INDEX(시장분석!$L:$L,AB423)),IFERROR(IF(VLOOKUP(R423,매핑!$A$4:$E$92,5,0)="","미분류",VLOOKUP(R423,매핑!$A$4:$E$92,5,0)),"미분류")))</f>
        <v>기본소비재</v>
      </c>
      <c r="AH423" s="43" t="str">
        <f aca="false">IF(Q423&lt;&gt;1,"",IF(AB423&lt;&gt;"",IF(AB423="","",INDEX(시장분석!$N:$N,AB423)),IFERROR(IF(VLOOKUP(R423,매핑!$A$4:$E$92,4,0)="","미분류",VLOOKUP(R423,매핑!$A$4:$E$92,4,0)),"미분류")))</f>
        <v>아시아/기타</v>
      </c>
      <c r="AI423" s="43" t="str">
        <f aca="false">IF(Q423&lt;&gt;1,"",IFERROR(IF(VLOOKUP(R423,매핑!$A$4:$E$92,3,0)="","미분류",VLOOKUP(R423,매핑!$A$4:$E$92,3,0)),IF(AB423&lt;&gt;"",IF(AB423="","",INDEX(시장분석!$W:$W,AB423)),"미분류")))</f>
        <v>한국</v>
      </c>
      <c r="AJ423" s="43" t="str">
        <f aca="false">IF(Q423&lt;&gt;1,"",IFERROR(VLOOKUP(IF(N423&lt;&gt;"",N423,IF(P423&lt;&gt;"",P423,O423)),설정!$A$15:$D$47,2,0),""))</f>
        <v>A-</v>
      </c>
      <c r="AK423" s="43" t="str">
        <f aca="false">IF(Q423&lt;&gt;1,"",IF(AJ423="","무등급",IFERROR(VLOOKUP(AJ423,설정!$A$15:$D$47,3,0),"무등급")))</f>
        <v>A</v>
      </c>
      <c r="AL423" s="89" t="n">
        <f aca="false">IF(AJ423="",99,IFERROR(VLOOKUP(AJ423,설정!$A$15:$D$47,4,0),99))</f>
        <v>7</v>
      </c>
      <c r="AM423" s="94" t="n">
        <f aca="false">IF(ISNUMBER(H423),AA423*1000000*H423/10000,0)</f>
        <v>517.24981692</v>
      </c>
      <c r="AN423" s="94" t="n">
        <f aca="false">IF(OR(Y423=1,NOT(ISNUMBER(Z423))),0,AA423*1000000*Z423/10000)</f>
        <v>517.24981692</v>
      </c>
      <c r="AO423" s="94" t="n">
        <f aca="false">IF(ISNUMBER(G423),AA423*1000000*G423/100,0)</f>
        <v>190011.8187864</v>
      </c>
      <c r="AP423" s="94" t="n">
        <f aca="false">IF(ISNUMBER(M423),M423*K423,0)</f>
        <v>-90583.2</v>
      </c>
      <c r="AQ423" s="95" t="n">
        <f aca="false">IF(AB423="","",INDEX(시장분석!$AK:$AK,AB423))</f>
        <v>-0.0291496586683313</v>
      </c>
      <c r="AR423" s="43" t="str">
        <f aca="false">IF(AB423="","-",IF(AB423="","",INDEX(시장분석!$AL:$AL,AB423)))</f>
        <v>Fair</v>
      </c>
      <c r="AS423" s="96" t="n">
        <f aca="false">IF(AB423="","",INDEX(시장분석!$AJ:$AJ,AB423))</f>
        <v>-0.803884079920834</v>
      </c>
      <c r="AT423" s="93" t="n">
        <f aca="false">IF(AB423="",0,IF(AB423="","",INDEX(시장분석!$AN:$AN,AB423)))</f>
        <v>29.2249390842212</v>
      </c>
      <c r="AU423" s="94" t="n">
        <f aca="false">IF(ISNUMBER(Z423),AT423/10000*MAX(Z423-1,0)*AA423*1000000,0)</f>
        <v>4644.41261678208</v>
      </c>
      <c r="AV423" s="94" t="n">
        <f aca="false">AO423+AU423</f>
        <v>194656.231403182</v>
      </c>
      <c r="AW423" s="43" t="str">
        <f aca="false">IF(Q423&lt;&gt;1,"",TRIM(IF(AD423=1,"FRN ","")&amp;IF(AND(AL423&gt;=10,AL423&lt;99),"BBB0미만 ","")&amp;IF(AJ423="","등급없음 ","")&amp;IF(K423&lt;&gt;1,"비USD ","")&amp;IF(AND(AB423="",Y423=0),"시장데이터없음 ","")&amp;IF(AND(ISNUMBER(U423),U423&lt;0),"만기경과 ","")))</f>
        <v/>
      </c>
      <c r="AX423" s="90" t="n">
        <f aca="false">IF(Q423&lt;&gt;1,1,IF(스프레드쇼크!$C$4="Y",INDEX(스프레드쇼크!$B$12:$L$16,IFERROR(MATCH(AH423,스프레드쇼크!$A$12:$A$16,0),MATCH("목록외",스프레드쇼크!$A$12:$A$16,0)),IFERROR(MATCH(AG423,스프레드쇼크!$B$11:$L$11,0),MATCH("목록외",스프레드쇼크!$B$11:$L$11,0))),1))</f>
        <v>1</v>
      </c>
      <c r="AY423" s="90" t="n">
        <f aca="false">IF(스프레드쇼크!$C$5="Y",IF(ISNUMBER(AF423),MIN(스프레드쇼크!$C$7,MAX(스프레드쇼크!$C$6,AF423/스프레드쇼크!$C$8)),1),1)</f>
        <v>0.441434451308564</v>
      </c>
      <c r="AZ423" s="94" t="n">
        <f aca="false">AN423*AX423*AY423</f>
        <v>228.331889121536</v>
      </c>
      <c r="BA423" s="90" t="n">
        <f aca="false">IF(ISNUMBER(G423),AA423*G423,0)</f>
        <v>19.00118187864</v>
      </c>
      <c r="BB423" s="90" t="n">
        <f aca="false">IF(ISNUMBER(G423),AA423,0)</f>
        <v>3.5833032</v>
      </c>
      <c r="BC423" s="90" t="n">
        <f aca="false">IF(AND(Y423=0,ISNUMBER(AF423)),AA423*AF423,0)</f>
        <v>104.578703892</v>
      </c>
      <c r="BD423" s="90" t="n">
        <f aca="false">IF(AND(Y423=0,ISNUMBER(AF423)),AA423,0)</f>
        <v>3.5833032</v>
      </c>
      <c r="BE423" s="90" t="n">
        <f aca="false">IF(ISNUMBER(H423),AA423*H423,0)</f>
        <v>5.1724981692</v>
      </c>
      <c r="BF423" s="90" t="n">
        <f aca="false">IF(ISNUMBER(H423),AA423,0)</f>
        <v>3.5833032</v>
      </c>
      <c r="BG423" s="90" t="n">
        <f aca="false">IF(AND(Y423=0,ISNUMBER(AF423),ISNUMBER(Z423)),AA423*Z423,0)</f>
        <v>5.1724981692</v>
      </c>
      <c r="BH423" s="90" t="n">
        <f aca="false">IF(AND(Y423=0,ISNUMBER(AF423),ISNUMBER(Z423)),AA423*AT423*MAX(Z423-1,0),0)</f>
        <v>46.4441261678208</v>
      </c>
      <c r="BI423" s="90" t="n">
        <f aca="false">IF(Y423=0,AA423,0)</f>
        <v>3.5833032</v>
      </c>
    </row>
    <row r="424" customFormat="false" ht="15" hidden="false" customHeight="false" outlineLevel="0" collapsed="false">
      <c r="A424" s="83" t="str">
        <f aca="false">IFERROR(IF(INDEX(원자료_잔고!$A$1:$EZ$1500,설정!$L$5+ROW()-1,설정!$L$8)&amp;""="0","",INDEX(원자료_잔고!$A$1:$EZ$1500,설정!$L$5+ROW()-1,설정!$L$8)&amp;""),"")</f>
        <v>KOLAHO 4.25 05/28/27</v>
      </c>
      <c r="B424" s="83" t="str">
        <f aca="false">IFERROR(IF(INDEX(원자료_잔고!$A$1:$EZ$1500,설정!$L$5+ROW()-1,설정!$L$7)&amp;""="0","",INDEX(원자료_잔고!$A$1:$EZ$1500,설정!$L$5+ROW()-1,설정!$L$7)&amp;""),"")</f>
        <v>XS3053429638</v>
      </c>
      <c r="C424" s="83" t="str">
        <f aca="false">IFERROR(IF(INDEX(원자료_잔고!$A$1:$EZ$1500,설정!$L$5+ROW()-1,설정!$L$9)&amp;""="0","",INDEX(원자료_잔고!$A$1:$EZ$1500,설정!$L$5+ROW()-1,설정!$L$9)&amp;""),"")</f>
        <v>42003</v>
      </c>
      <c r="D42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4" s="84" t="n">
        <f aca="false">IFERROR(IF(ISNUMBER(INDEX(원자료_잔고!$A$1:$EZ$1500,설정!$L$5+ROW()-1,설정!$L$11)),INDEX(원자료_잔고!$A$1:$EZ$1500,설정!$L$5+ROW()-1,설정!$L$11),""),"")</f>
        <v>3000000</v>
      </c>
      <c r="F424" s="85" t="n">
        <f aca="false">IFERROR(IF(ISNUMBER(INDEX(원자료_잔고!$A$1:$EZ$1500,설정!$L$5+ROW()-1,설정!$L$12)),INDEX(원자료_잔고!$A$1:$EZ$1500,설정!$L$5+ROW()-1,설정!$L$12),""),"")</f>
        <v>99.5428</v>
      </c>
      <c r="G424" s="85" t="n">
        <f aca="false">IFERROR(IF(ISNUMBER(INDEX(원자료_잔고!$A$1:$EZ$1500,설정!$L$5+ROW()-1,설정!$L$13)),INDEX(원자료_잔고!$A$1:$EZ$1500,설정!$L$5+ROW()-1,설정!$L$13),""),"")</f>
        <v>4.9508</v>
      </c>
      <c r="H424" s="85" t="n">
        <f aca="false">IFERROR(IF(ISNUMBER(INDEX(원자료_잔고!$A$1:$EZ$1500,설정!$L$5+ROW()-1,설정!$L$14)),INDEX(원자료_잔고!$A$1:$EZ$1500,설정!$L$5+ROW()-1,설정!$L$14),""),"")</f>
        <v>0.6212</v>
      </c>
      <c r="I424" s="86" t="n">
        <f aca="false">IFERROR(IF(ISNUMBER(INDEX(원자료_잔고!$A$1:$EZ$1500,설정!$L$5+ROW()-1,설정!$L$15)),INDEX(원자료_잔고!$A$1:$EZ$1500,설정!$L$5+ROW()-1,설정!$L$15),""),"")</f>
        <v>46535</v>
      </c>
      <c r="J424" s="85" t="n">
        <f aca="false">IFERROR(IF(ISNUMBER(INDEX(원자료_잔고!$A$1:$EZ$1500,설정!$L$5+ROW()-1,설정!$L$16)),INDEX(원자료_잔고!$A$1:$EZ$1500,설정!$L$5+ROW()-1,설정!$L$16),""),"")</f>
        <v>4.25</v>
      </c>
      <c r="K424" s="87" t="n">
        <f aca="false">IFERROR(IF(ISNUMBER(INDEX(원자료_잔고!$A$1:$EZ$1500,설정!$L$5+ROW()-1,설정!$L$17)),INDEX(원자료_잔고!$A$1:$EZ$1500,설정!$L$5+ROW()-1,설정!$L$17),""),"")</f>
        <v>1</v>
      </c>
      <c r="L424" s="84" t="n">
        <f aca="false">IFERROR(IF(ISNUMBER(INDEX(원자료_잔고!$A$1:$EZ$1500,설정!$L$5+ROW()-1,설정!$L$18)),INDEX(원자료_잔고!$A$1:$EZ$1500,설정!$L$5+ROW()-1,설정!$L$18),""),"")</f>
        <v>2986284</v>
      </c>
      <c r="M424" s="88" t="n">
        <f aca="false">IFERROR(IF(ISNUMBER(INDEX(원자료_잔고!$A$1:$EZ$1500,설정!$L$5+ROW()-1,설정!$L$19)),INDEX(원자료_잔고!$A$1:$EZ$1500,설정!$L$5+ROW()-1,설정!$L$19),""),"")</f>
        <v>-29514</v>
      </c>
      <c r="N424" s="83" t="str">
        <f aca="false">IFERROR(IF(INDEX(원자료_잔고!$A$1:$EZ$1500,설정!$L$5+ROW()-1,설정!$L$21)&amp;""="0","",INDEX(원자료_잔고!$A$1:$EZ$1500,설정!$L$5+ROW()-1,설정!$L$21)&amp;""),"")</f>
        <v/>
      </c>
      <c r="O424" s="83" t="str">
        <f aca="false">IFERROR(IF(INDEX(원자료_잔고!$A$1:$EZ$1500,설정!$L$5+ROW()-1,설정!$L$22)&amp;""="0","",INDEX(원자료_잔고!$A$1:$EZ$1500,설정!$L$5+ROW()-1,설정!$L$22)&amp;""),"")</f>
        <v/>
      </c>
      <c r="P424" s="83" t="str">
        <f aca="false">IFERROR(IF(INDEX(원자료_잔고!$A$1:$EZ$1500,설정!$L$5+ROW()-1,설정!$L$23)&amp;""="0","",INDEX(원자료_잔고!$A$1:$EZ$1500,설정!$L$5+ROW()-1,설정!$L$23)&amp;""),"")</f>
        <v>N/A</v>
      </c>
      <c r="Q424" s="89" t="n">
        <f aca="false">IF(AND($A424&lt;&gt;"",ISNUMBER(E424)),IF(E424&gt;0,1,0),0)</f>
        <v>1</v>
      </c>
      <c r="R424" s="43" t="str">
        <f aca="false">IF(Q424=1,UPPER(LEFT($A424,FIND(" ",$A424&amp;" ")-1)),"")</f>
        <v>KOLAHO</v>
      </c>
      <c r="S424" s="89" t="n">
        <f aca="false">IF(Q424=1,IF(OR(ISNUMBER(SEARCH("Float",$A424)),ISNUMBER(SEARCH("FRN",$A424))),1,0),0)</f>
        <v>0</v>
      </c>
      <c r="T424" s="43" t="str">
        <f aca="false">IF(AND(Q424=1,ISNUMBER(I424)),TEXT(I424,"yyyymmdd")&amp;"|"&amp;IF(S424=1,"F",TEXT(J424,"0.000")),"")</f>
        <v>20270528|4.250</v>
      </c>
      <c r="U424" s="90" t="n">
        <f aca="false">IF(AND(Q424=1,ISNUMBER(I424)),(I424-설정!$C$4)/365.25,"")</f>
        <v>0.654346338124572</v>
      </c>
      <c r="V424" s="43" t="str">
        <f aca="false">IF(Q424&lt;&gt;1,"",IF(ISNUMBER(U424),IF(U424&lt;=1,"1년 이하",IF(U424&lt;=2,"1-2년",IF(U424&lt;=3,"2-3년",IF(U424&lt;=4,"3-4년",IF(U424&lt;=5,"4-5년",IF(U424&lt;=7,"5-7년",IF(U424&lt;=10,"7-10년",IF(U424&lt;=20,"10-20년","20년 이상")))))))),"미분류"))</f>
        <v>1년 이하</v>
      </c>
      <c r="W424" s="43" t="str">
        <f aca="false">IF(Q424&lt;&gt;1,"",IF(AB424&lt;&gt;"",INDEX(시장분석!$C:$C,AB424),IF(K424=1,"USD","비USD")))</f>
        <v>USD</v>
      </c>
      <c r="X424" s="91" t="n">
        <f aca="false">IF(Q424=1,E424*K424/1000000,0)</f>
        <v>3</v>
      </c>
      <c r="Y424" s="89" t="n">
        <f aca="false">IF(R424="T",1,0)</f>
        <v>0</v>
      </c>
      <c r="Z424" s="92" t="n">
        <f aca="false">IF(Q424&lt;&gt;1,"",IF(AD424=1,IF(ISNUMBER(U424),MAX(U424,0),H424),H424))</f>
        <v>0.6212</v>
      </c>
      <c r="AA424" s="91" t="n">
        <f aca="false">IF(Q424=1,IF(ISNUMBER(L424),L424,0)*K424/1000000,0)</f>
        <v>2.986284</v>
      </c>
      <c r="AB424" s="89" t="n">
        <f aca="false">IF(Q424&lt;&gt;1,"",IFERROR(MATCH(VLOOKUP(B424,매핑!$H$4:$I$15,2,0),시장분석!$A$2:$A$601,0)+1,IFERROR(MATCH(R424&amp;"|"&amp;T424,시장분석!$V$2:$V$601,0)+1,IF(COUNTIF(시장분석!$U$2:$U$601,T424)=1,MATCH(T424,시장분석!$U$2:$U$601,0)+1,""))))</f>
        <v>242</v>
      </c>
      <c r="AC424" s="89" t="n">
        <f aca="false">IF(Q424&lt;&gt;1,0,IF(OR(설정!$C$5="전체",AND(설정!$C$5="선택펀드",IFERROR(COUNTIFS(설정!$F$16:$F$36,C424,설정!$G$16:$G$36,"Y")+COUNTIFS(설정!$F$16:$F$36,VALUE(C424),설정!$G$16:$G$36,"Y"),0)&gt;0),C424&amp;""=설정!$C$5&amp;""),1,0))</f>
        <v>0</v>
      </c>
      <c r="AD424" s="89" t="n">
        <f aca="false">IF(Q424&lt;&gt;1,0,IF(OR(S424=1,IF(AB424="",FALSE(),INDEX(시장분석!$R:$R,AB424)=1)),1,0))</f>
        <v>0</v>
      </c>
      <c r="AE424" s="43" t="str">
        <f aca="false">IF(AB424="","",INDEX(시장분석!$A:$A,AB424))</f>
        <v>KOLAHO 4 1/4 05/28/27</v>
      </c>
      <c r="AF424" s="93" t="n">
        <f aca="false">IF(AB424="","",IF(ISNUMBER(IF(AB424="","",INDEX(시장분석!$E:$E,AB424))),IF(AB424="","",INDEX(시장분석!$E:$E,AB424)),""))</f>
        <v>-15.299</v>
      </c>
      <c r="AG424" s="43" t="str">
        <f aca="false">IF(Q424&lt;&gt;1,"",IF(AB424&lt;&gt;"",IF(AB424="","",INDEX(시장분석!$L:$L,AB424)),IFERROR(IF(VLOOKUP(R424,매핑!$A$4:$E$92,5,0)="","미분류",VLOOKUP(R424,매핑!$A$4:$E$92,5,0)),"미분류")))</f>
        <v>정부</v>
      </c>
      <c r="AH424" s="43" t="str">
        <f aca="false">IF(Q424&lt;&gt;1,"",IF(AB424&lt;&gt;"",IF(AB424="","",INDEX(시장분석!$N:$N,AB424)),IFERROR(IF(VLOOKUP(R424,매핑!$A$4:$E$92,4,0)="","미분류",VLOOKUP(R424,매핑!$A$4:$E$92,4,0)),"미분류")))</f>
        <v>아시아/기타</v>
      </c>
      <c r="AI424" s="43" t="str">
        <f aca="false">IF(Q424&lt;&gt;1,"",IFERROR(IF(VLOOKUP(R424,매핑!$A$4:$E$92,3,0)="","미분류",VLOOKUP(R424,매핑!$A$4:$E$92,3,0)),IF(AB424&lt;&gt;"",IF(AB424="","",INDEX(시장분석!$W:$W,AB424)),"미분류")))</f>
        <v>한국</v>
      </c>
      <c r="AJ424" s="43" t="str">
        <f aca="false">IF(Q424&lt;&gt;1,"",IFERROR(VLOOKUP(IF(N424&lt;&gt;"",N424,IF(P424&lt;&gt;"",P424,O424)),설정!$A$15:$D$47,2,0),""))</f>
        <v/>
      </c>
      <c r="AK424" s="43" t="str">
        <f aca="false">IF(Q424&lt;&gt;1,"",IF(AJ424="","무등급",IFERROR(VLOOKUP(AJ424,설정!$A$15:$D$47,3,0),"무등급")))</f>
        <v>무등급</v>
      </c>
      <c r="AL424" s="89" t="n">
        <f aca="false">IF(AJ424="",99,IFERROR(VLOOKUP(AJ424,설정!$A$15:$D$47,4,0),99))</f>
        <v>99</v>
      </c>
      <c r="AM424" s="94" t="n">
        <f aca="false">IF(ISNUMBER(H424),AA424*1000000*H424/10000,0)</f>
        <v>185.50796208</v>
      </c>
      <c r="AN424" s="94" t="n">
        <f aca="false">IF(OR(Y424=1,NOT(ISNUMBER(Z424))),0,AA424*1000000*Z424/10000)</f>
        <v>185.50796208</v>
      </c>
      <c r="AO424" s="94" t="n">
        <f aca="false">IF(ISNUMBER(G424),AA424*1000000*G424/100,0)</f>
        <v>147844.948272</v>
      </c>
      <c r="AP424" s="94" t="n">
        <f aca="false">IF(ISNUMBER(M424),M424*K424,0)</f>
        <v>-29514</v>
      </c>
      <c r="AQ424" s="95" t="n">
        <f aca="false">IF(AB424="","",INDEX(시장분석!$AK:$AK,AB424))</f>
        <v>-0.349845429750443</v>
      </c>
      <c r="AR424" s="43" t="str">
        <f aca="false">IF(AB424="","-",IF(AB424="","",INDEX(시장분석!$AL:$AL,AB424)))</f>
        <v>Fair</v>
      </c>
      <c r="AS424" s="96" t="n">
        <f aca="false">IF(AB424="","",INDEX(시장분석!$AJ:$AJ,AB424))</f>
        <v>-4.79044190598264</v>
      </c>
      <c r="AT424" s="93" t="n">
        <f aca="false">IF(AB424="",0,IF(AB424="","",INDEX(시장분석!$AN:$AN,AB424)))</f>
        <v>0</v>
      </c>
      <c r="AU424" s="94" t="n">
        <f aca="false">IF(ISNUMBER(Z424),AT424/10000*MAX(Z424-1,0)*AA424*1000000,0)</f>
        <v>0</v>
      </c>
      <c r="AV424" s="94" t="n">
        <f aca="false">AO424+AU424</f>
        <v>147844.948272</v>
      </c>
      <c r="AW424" s="43" t="str">
        <f aca="false">IF(Q424&lt;&gt;1,"",TRIM(IF(AD424=1,"FRN ","")&amp;IF(AND(AL424&gt;=10,AL424&lt;99),"BBB0미만 ","")&amp;IF(AJ424="","등급없음 ","")&amp;IF(K424&lt;&gt;1,"비USD ","")&amp;IF(AND(AB424="",Y424=0),"시장데이터없음 ","")&amp;IF(AND(ISNUMBER(U424),U424&lt;0),"만기경과 ","")))</f>
        <v>등급없음</v>
      </c>
      <c r="AX424" s="90" t="n">
        <f aca="false">IF(Q424&lt;&gt;1,1,IF(스프레드쇼크!$C$4="Y",INDEX(스프레드쇼크!$B$12:$L$16,IFERROR(MATCH(AH424,스프레드쇼크!$A$12:$A$16,0),MATCH("목록외",스프레드쇼크!$A$12:$A$16,0)),IFERROR(MATCH(AG424,스프레드쇼크!$B$11:$L$11,0),MATCH("목록외",스프레드쇼크!$B$11:$L$11,0))),1))</f>
        <v>1</v>
      </c>
      <c r="AY424" s="90" t="n">
        <f aca="false">IF(스프레드쇼크!$C$5="Y",IF(ISNUMBER(AF424),MIN(스프레드쇼크!$C$7,MAX(스프레드쇼크!$C$6,AF424/스프레드쇼크!$C$8)),1),1)</f>
        <v>0.25</v>
      </c>
      <c r="AZ424" s="94" t="n">
        <f aca="false">AN424*AX424*AY424</f>
        <v>46.37699052</v>
      </c>
      <c r="BA424" s="90" t="n">
        <f aca="false">IF(ISNUMBER(G424),AA424*G424,0)</f>
        <v>14.7844948272</v>
      </c>
      <c r="BB424" s="90" t="n">
        <f aca="false">IF(ISNUMBER(G424),AA424,0)</f>
        <v>2.986284</v>
      </c>
      <c r="BC424" s="90" t="n">
        <f aca="false">IF(AND(Y424=0,ISNUMBER(AF424)),AA424*AF424,0)</f>
        <v>-45.687158916</v>
      </c>
      <c r="BD424" s="90" t="n">
        <f aca="false">IF(AND(Y424=0,ISNUMBER(AF424)),AA424,0)</f>
        <v>2.986284</v>
      </c>
      <c r="BE424" s="90" t="n">
        <f aca="false">IF(ISNUMBER(H424),AA424*H424,0)</f>
        <v>1.8550796208</v>
      </c>
      <c r="BF424" s="90" t="n">
        <f aca="false">IF(ISNUMBER(H424),AA424,0)</f>
        <v>2.986284</v>
      </c>
      <c r="BG424" s="90" t="n">
        <f aca="false">IF(AND(Y424=0,ISNUMBER(AF424),ISNUMBER(Z424)),AA424*Z424,0)</f>
        <v>1.8550796208</v>
      </c>
      <c r="BH424" s="90" t="n">
        <f aca="false">IF(AND(Y424=0,ISNUMBER(AF424),ISNUMBER(Z424)),AA424*AT424*MAX(Z424-1,0),0)</f>
        <v>0</v>
      </c>
      <c r="BI424" s="90" t="n">
        <f aca="false">IF(Y424=0,AA424,0)</f>
        <v>2.986284</v>
      </c>
    </row>
    <row r="425" customFormat="false" ht="15" hidden="false" customHeight="false" outlineLevel="0" collapsed="false">
      <c r="A425" s="83" t="str">
        <f aca="false">IFERROR(IF(INDEX(원자료_잔고!$A$1:$EZ$1500,설정!$L$5+ROW()-1,설정!$L$8)&amp;""="0","",INDEX(원자료_잔고!$A$1:$EZ$1500,설정!$L$5+ROW()-1,설정!$L$8)&amp;""),"")</f>
        <v>KOBCOP 4.625 05/09/30</v>
      </c>
      <c r="B425" s="83" t="str">
        <f aca="false">IFERROR(IF(INDEX(원자료_잔고!$A$1:$EZ$1500,설정!$L$5+ROW()-1,설정!$L$7)&amp;""="0","",INDEX(원자료_잔고!$A$1:$EZ$1500,설정!$L$5+ROW()-1,설정!$L$7)&amp;""),"")</f>
        <v>XS3056053799</v>
      </c>
      <c r="C425" s="83" t="str">
        <f aca="false">IFERROR(IF(INDEX(원자료_잔고!$A$1:$EZ$1500,설정!$L$5+ROW()-1,설정!$L$9)&amp;""="0","",INDEX(원자료_잔고!$A$1:$EZ$1500,설정!$L$5+ROW()-1,설정!$L$9)&amp;""),"")</f>
        <v>42003</v>
      </c>
      <c r="D42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5" s="84" t="n">
        <f aca="false">IFERROR(IF(ISNUMBER(INDEX(원자료_잔고!$A$1:$EZ$1500,설정!$L$5+ROW()-1,설정!$L$11)),INDEX(원자료_잔고!$A$1:$EZ$1500,설정!$L$5+ROW()-1,설정!$L$11),""),"")</f>
        <v>200000</v>
      </c>
      <c r="F425" s="85" t="n">
        <f aca="false">IFERROR(IF(ISNUMBER(INDEX(원자료_잔고!$A$1:$EZ$1500,설정!$L$5+ROW()-1,설정!$L$12)),INDEX(원자료_잔고!$A$1:$EZ$1500,설정!$L$5+ROW()-1,설정!$L$12),""),"")</f>
        <v>97.4843</v>
      </c>
      <c r="G425" s="85" t="n">
        <f aca="false">IFERROR(IF(ISNUMBER(INDEX(원자료_잔고!$A$1:$EZ$1500,설정!$L$5+ROW()-1,설정!$L$13)),INDEX(원자료_잔고!$A$1:$EZ$1500,설정!$L$5+ROW()-1,설정!$L$13),""),"")</f>
        <v>5.3991</v>
      </c>
      <c r="H425" s="85" t="n">
        <f aca="false">IFERROR(IF(ISNUMBER(INDEX(원자료_잔고!$A$1:$EZ$1500,설정!$L$5+ROW()-1,설정!$L$14)),INDEX(원자료_잔고!$A$1:$EZ$1500,설정!$L$5+ROW()-1,설정!$L$14),""),"")</f>
        <v>3.1392</v>
      </c>
      <c r="I425" s="86" t="n">
        <f aca="false">IFERROR(IF(ISNUMBER(INDEX(원자료_잔고!$A$1:$EZ$1500,설정!$L$5+ROW()-1,설정!$L$15)),INDEX(원자료_잔고!$A$1:$EZ$1500,설정!$L$5+ROW()-1,설정!$L$15),""),"")</f>
        <v>47612</v>
      </c>
      <c r="J425" s="85" t="n">
        <f aca="false">IFERROR(IF(ISNUMBER(INDEX(원자료_잔고!$A$1:$EZ$1500,설정!$L$5+ROW()-1,설정!$L$16)),INDEX(원자료_잔고!$A$1:$EZ$1500,설정!$L$5+ROW()-1,설정!$L$16),""),"")</f>
        <v>4.625</v>
      </c>
      <c r="K425" s="87" t="n">
        <f aca="false">IFERROR(IF(ISNUMBER(INDEX(원자료_잔고!$A$1:$EZ$1500,설정!$L$5+ROW()-1,설정!$L$17)),INDEX(원자료_잔고!$A$1:$EZ$1500,설정!$L$5+ROW()-1,설정!$L$17),""),"")</f>
        <v>1</v>
      </c>
      <c r="L425" s="84" t="n">
        <f aca="false">IFERROR(IF(ISNUMBER(INDEX(원자료_잔고!$A$1:$EZ$1500,설정!$L$5+ROW()-1,설정!$L$18)),INDEX(원자료_잔고!$A$1:$EZ$1500,설정!$L$5+ROW()-1,설정!$L$18),""),"")</f>
        <v>194968.6</v>
      </c>
      <c r="M425" s="88" t="n">
        <f aca="false">IFERROR(IF(ISNUMBER(INDEX(원자료_잔고!$A$1:$EZ$1500,설정!$L$5+ROW()-1,설정!$L$19)),INDEX(원자료_잔고!$A$1:$EZ$1500,설정!$L$5+ROW()-1,설정!$L$19),""),"")</f>
        <v>-9107.6</v>
      </c>
      <c r="N425" s="83" t="str">
        <f aca="false">IFERROR(IF(INDEX(원자료_잔고!$A$1:$EZ$1500,설정!$L$5+ROW()-1,설정!$L$21)&amp;""="0","",INDEX(원자료_잔고!$A$1:$EZ$1500,설정!$L$5+ROW()-1,설정!$L$21)&amp;""),"")</f>
        <v/>
      </c>
      <c r="O425" s="83" t="str">
        <f aca="false">IFERROR(IF(INDEX(원자료_잔고!$A$1:$EZ$1500,설정!$L$5+ROW()-1,설정!$L$22)&amp;""="0","",INDEX(원자료_잔고!$A$1:$EZ$1500,설정!$L$5+ROW()-1,설정!$L$22)&amp;""),"")</f>
        <v/>
      </c>
      <c r="P425" s="83" t="str">
        <f aca="false">IFERROR(IF(INDEX(원자료_잔고!$A$1:$EZ$1500,설정!$L$5+ROW()-1,설정!$L$23)&amp;""="0","",INDEX(원자료_잔고!$A$1:$EZ$1500,설정!$L$5+ROW()-1,설정!$L$23)&amp;""),"")</f>
        <v>AA-</v>
      </c>
      <c r="Q425" s="89" t="n">
        <f aca="false">IF(AND($A425&lt;&gt;"",ISNUMBER(E425)),IF(E425&gt;0,1,0),0)</f>
        <v>1</v>
      </c>
      <c r="R425" s="43" t="str">
        <f aca="false">IF(Q425=1,UPPER(LEFT($A425,FIND(" ",$A425&amp;" ")-1)),"")</f>
        <v>KOBCOP</v>
      </c>
      <c r="S425" s="89" t="n">
        <f aca="false">IF(Q425=1,IF(OR(ISNUMBER(SEARCH("Float",$A425)),ISNUMBER(SEARCH("FRN",$A425))),1,0),0)</f>
        <v>0</v>
      </c>
      <c r="T425" s="43" t="str">
        <f aca="false">IF(AND(Q425=1,ISNUMBER(I425)),TEXT(I425,"yyyymmdd")&amp;"|"&amp;IF(S425=1,"F",TEXT(J425,"0.000")),"")</f>
        <v>20300509|4.625</v>
      </c>
      <c r="U425" s="90" t="n">
        <f aca="false">IF(AND(Q425=1,ISNUMBER(I425)),(I425-설정!$C$4)/365.25,"")</f>
        <v>3.60301163586585</v>
      </c>
      <c r="V425" s="43" t="str">
        <f aca="false">IF(Q425&lt;&gt;1,"",IF(ISNUMBER(U425),IF(U425&lt;=1,"1년 이하",IF(U425&lt;=2,"1-2년",IF(U425&lt;=3,"2-3년",IF(U425&lt;=4,"3-4년",IF(U425&lt;=5,"4-5년",IF(U425&lt;=7,"5-7년",IF(U425&lt;=10,"7-10년",IF(U425&lt;=20,"10-20년","20년 이상")))))))),"미분류"))</f>
        <v>3-4년</v>
      </c>
      <c r="W425" s="43" t="str">
        <f aca="false">IF(Q425&lt;&gt;1,"",IF(AB425&lt;&gt;"",INDEX(시장분석!$C:$C,AB425),IF(K425=1,"USD","비USD")))</f>
        <v>USD</v>
      </c>
      <c r="X425" s="91" t="n">
        <f aca="false">IF(Q425=1,E425*K425/1000000,0)</f>
        <v>0.2</v>
      </c>
      <c r="Y425" s="89" t="n">
        <f aca="false">IF(R425="T",1,0)</f>
        <v>0</v>
      </c>
      <c r="Z425" s="92" t="n">
        <f aca="false">IF(Q425&lt;&gt;1,"",IF(AD425=1,IF(ISNUMBER(U425),MAX(U425,0),H425),H425))</f>
        <v>3.1392</v>
      </c>
      <c r="AA425" s="91" t="n">
        <f aca="false">IF(Q425=1,IF(ISNUMBER(L425),L425,0)*K425/1000000,0)</f>
        <v>0.1949686</v>
      </c>
      <c r="AB425" s="89" t="n">
        <f aca="false">IF(Q425&lt;&gt;1,"",IFERROR(MATCH(VLOOKUP(B425,매핑!$H$4:$I$15,2,0),시장분석!$A$2:$A$601,0)+1,IFERROR(MATCH(R425&amp;"|"&amp;T425,시장분석!$V$2:$V$601,0)+1,IF(COUNTIF(시장분석!$U$2:$U$601,T425)=1,MATCH(T425,시장분석!$U$2:$U$601,0)+1,""))))</f>
        <v>243</v>
      </c>
      <c r="AC425" s="89" t="n">
        <f aca="false">IF(Q425&lt;&gt;1,0,IF(OR(설정!$C$5="전체",AND(설정!$C$5="선택펀드",IFERROR(COUNTIFS(설정!$F$16:$F$36,C425,설정!$G$16:$G$36,"Y")+COUNTIFS(설정!$F$16:$F$36,VALUE(C425),설정!$G$16:$G$36,"Y"),0)&gt;0),C425&amp;""=설정!$C$5&amp;""),1,0))</f>
        <v>0</v>
      </c>
      <c r="AD425" s="89" t="n">
        <f aca="false">IF(Q425&lt;&gt;1,0,IF(OR(S425=1,IF(AB425="",FALSE(),INDEX(시장분석!$R:$R,AB425)=1)),1,0))</f>
        <v>0</v>
      </c>
      <c r="AE425" s="43" t="str">
        <f aca="false">IF(AB425="","",INDEX(시장분석!$A:$A,AB425))</f>
        <v>KOBCOP 4 5/8 05/09/30</v>
      </c>
      <c r="AF425" s="93" t="n">
        <f aca="false">IF(AB425="","",IF(ISNUMBER(IF(AB425="","",INDEX(시장분석!$E:$E,AB425))),IF(AB425="","",INDEX(시장분석!$E:$E,AB425)),""))</f>
        <v>37.184</v>
      </c>
      <c r="AG425" s="43" t="str">
        <f aca="false">IF(Q425&lt;&gt;1,"",IF(AB425&lt;&gt;"",IF(AB425="","",INDEX(시장분석!$L:$L,AB425)),IFERROR(IF(VLOOKUP(R425,매핑!$A$4:$E$92,5,0)="","미분류",VLOOKUP(R425,매핑!$A$4:$E$92,5,0)),"미분류")))</f>
        <v>정부</v>
      </c>
      <c r="AH425" s="43" t="str">
        <f aca="false">IF(Q425&lt;&gt;1,"",IF(AB425&lt;&gt;"",IF(AB425="","",INDEX(시장분석!$N:$N,AB425)),IFERROR(IF(VLOOKUP(R425,매핑!$A$4:$E$92,4,0)="","미분류",VLOOKUP(R425,매핑!$A$4:$E$92,4,0)),"미분류")))</f>
        <v>아시아/기타</v>
      </c>
      <c r="AI425" s="43" t="str">
        <f aca="false">IF(Q425&lt;&gt;1,"",IFERROR(IF(VLOOKUP(R425,매핑!$A$4:$E$92,3,0)="","미분류",VLOOKUP(R425,매핑!$A$4:$E$92,3,0)),IF(AB425&lt;&gt;"",IF(AB425="","",INDEX(시장분석!$W:$W,AB425)),"미분류")))</f>
        <v>한국</v>
      </c>
      <c r="AJ425" s="43" t="str">
        <f aca="false">IF(Q425&lt;&gt;1,"",IFERROR(VLOOKUP(IF(N425&lt;&gt;"",N425,IF(P425&lt;&gt;"",P425,O425)),설정!$A$15:$D$47,2,0),""))</f>
        <v>AA-</v>
      </c>
      <c r="AK425" s="43" t="str">
        <f aca="false">IF(Q425&lt;&gt;1,"",IF(AJ425="","무등급",IFERROR(VLOOKUP(AJ425,설정!$A$15:$D$47,3,0),"무등급")))</f>
        <v>AA이상</v>
      </c>
      <c r="AL425" s="89" t="n">
        <f aca="false">IF(AJ425="",99,IFERROR(VLOOKUP(AJ425,설정!$A$15:$D$47,4,0),99))</f>
        <v>4</v>
      </c>
      <c r="AM425" s="94" t="n">
        <f aca="false">IF(ISNUMBER(H425),AA425*1000000*H425/10000,0)</f>
        <v>61.204542912</v>
      </c>
      <c r="AN425" s="94" t="n">
        <f aca="false">IF(OR(Y425=1,NOT(ISNUMBER(Z425))),0,AA425*1000000*Z425/10000)</f>
        <v>61.204542912</v>
      </c>
      <c r="AO425" s="94" t="n">
        <f aca="false">IF(ISNUMBER(G425),AA425*1000000*G425/100,0)</f>
        <v>10526.5496826</v>
      </c>
      <c r="AP425" s="94" t="n">
        <f aca="false">IF(ISNUMBER(M425),M425*K425,0)</f>
        <v>-9107.6</v>
      </c>
      <c r="AQ425" s="95" t="n">
        <f aca="false">IF(AB425="","",INDEX(시장분석!$AK:$AK,AB425))</f>
        <v>1.10251855466103</v>
      </c>
      <c r="AR425" s="43" t="str">
        <f aca="false">IF(AB425="","-",IF(AB425="","",INDEX(시장분석!$AL:$AL,AB425)))</f>
        <v>Cheap</v>
      </c>
      <c r="AS425" s="96" t="n">
        <f aca="false">IF(AB425="","",INDEX(시장분석!$AJ:$AJ,AB425))</f>
        <v>15.0968131558532</v>
      </c>
      <c r="AT425" s="93" t="n">
        <f aca="false">IF(AB425="",0,IF(AB425="","",INDEX(시장분석!$AN:$AN,AB425)))</f>
        <v>7.20926894431714</v>
      </c>
      <c r="AU425" s="94" t="n">
        <f aca="false">IF(ISNUMBER(Z425),AT425/10000*MAX(Z425-1,0)*AA425*1000000,0)</f>
        <v>300.681903156908</v>
      </c>
      <c r="AV425" s="94" t="n">
        <f aca="false">AO425+AU425</f>
        <v>10827.2315857569</v>
      </c>
      <c r="AW425" s="43" t="str">
        <f aca="false">IF(Q425&lt;&gt;1,"",TRIM(IF(AD425=1,"FRN ","")&amp;IF(AND(AL425&gt;=10,AL425&lt;99),"BBB0미만 ","")&amp;IF(AJ425="","등급없음 ","")&amp;IF(K425&lt;&gt;1,"비USD ","")&amp;IF(AND(AB425="",Y425=0),"시장데이터없음 ","")&amp;IF(AND(ISNUMBER(U425),U425&lt;0),"만기경과 ","")))</f>
        <v/>
      </c>
      <c r="AX425" s="90" t="n">
        <f aca="false">IF(Q425&lt;&gt;1,1,IF(스프레드쇼크!$C$4="Y",INDEX(스프레드쇼크!$B$12:$L$16,IFERROR(MATCH(AH425,스프레드쇼크!$A$12:$A$16,0),MATCH("목록외",스프레드쇼크!$A$12:$A$16,0)),IFERROR(MATCH(AG425,스프레드쇼크!$B$11:$L$11,0),MATCH("목록외",스프레드쇼크!$B$11:$L$11,0))),1))</f>
        <v>1</v>
      </c>
      <c r="AY425" s="90" t="n">
        <f aca="false">IF(스프레드쇼크!$C$5="Y",IF(ISNUMBER(AF425),MIN(스프레드쇼크!$C$7,MAX(스프레드쇼크!$C$6,AF425/스프레드쇼크!$C$8)),1),1)</f>
        <v>0.562422430613591</v>
      </c>
      <c r="AZ425" s="94" t="n">
        <f aca="false">AN425*AX425*AY425</f>
        <v>34.4228077891609</v>
      </c>
      <c r="BA425" s="90" t="n">
        <f aca="false">IF(ISNUMBER(G425),AA425*G425,0)</f>
        <v>1.05265496826</v>
      </c>
      <c r="BB425" s="90" t="n">
        <f aca="false">IF(ISNUMBER(G425),AA425,0)</f>
        <v>0.1949686</v>
      </c>
      <c r="BC425" s="90" t="n">
        <f aca="false">IF(AND(Y425=0,ISNUMBER(AF425)),AA425*AF425,0)</f>
        <v>7.2497124224</v>
      </c>
      <c r="BD425" s="90" t="n">
        <f aca="false">IF(AND(Y425=0,ISNUMBER(AF425)),AA425,0)</f>
        <v>0.1949686</v>
      </c>
      <c r="BE425" s="90" t="n">
        <f aca="false">IF(ISNUMBER(H425),AA425*H425,0)</f>
        <v>0.61204542912</v>
      </c>
      <c r="BF425" s="90" t="n">
        <f aca="false">IF(ISNUMBER(H425),AA425,0)</f>
        <v>0.1949686</v>
      </c>
      <c r="BG425" s="90" t="n">
        <f aca="false">IF(AND(Y425=0,ISNUMBER(AF425),ISNUMBER(Z425)),AA425*Z425,0)</f>
        <v>0.61204542912</v>
      </c>
      <c r="BH425" s="90" t="n">
        <f aca="false">IF(AND(Y425=0,ISNUMBER(AF425),ISNUMBER(Z425)),AA425*AT425*MAX(Z425-1,0),0)</f>
        <v>3.00681903156908</v>
      </c>
      <c r="BI425" s="90" t="n">
        <f aca="false">IF(Y425=0,AA425,0)</f>
        <v>0.1949686</v>
      </c>
    </row>
    <row r="426" customFormat="false" ht="15" hidden="false" customHeight="false" outlineLevel="0" collapsed="false">
      <c r="A426" s="83" t="str">
        <f aca="false">IFERROR(IF(INDEX(원자료_잔고!$A$1:$EZ$1500,설정!$L$5+ROW()-1,설정!$L$8)&amp;""="0","",INDEX(원자료_잔고!$A$1:$EZ$1500,설정!$L$5+ROW()-1,설정!$L$8)&amp;""),"")</f>
        <v>KOBCOP 4.625 05/09/30</v>
      </c>
      <c r="B426" s="83" t="str">
        <f aca="false">IFERROR(IF(INDEX(원자료_잔고!$A$1:$EZ$1500,설정!$L$5+ROW()-1,설정!$L$7)&amp;""="0","",INDEX(원자료_잔고!$A$1:$EZ$1500,설정!$L$5+ROW()-1,설정!$L$7)&amp;""),"")</f>
        <v>XS3056053799</v>
      </c>
      <c r="C426" s="83" t="str">
        <f aca="false">IFERROR(IF(INDEX(원자료_잔고!$A$1:$EZ$1500,설정!$L$5+ROW()-1,설정!$L$9)&amp;""="0","",INDEX(원자료_잔고!$A$1:$EZ$1500,설정!$L$5+ROW()-1,설정!$L$9)&amp;""),"")</f>
        <v>42003</v>
      </c>
      <c r="D42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6" s="84" t="n">
        <f aca="false">IFERROR(IF(ISNUMBER(INDEX(원자료_잔고!$A$1:$EZ$1500,설정!$L$5+ROW()-1,설정!$L$11)),INDEX(원자료_잔고!$A$1:$EZ$1500,설정!$L$5+ROW()-1,설정!$L$11),""),"")</f>
        <v>9000000</v>
      </c>
      <c r="F426" s="85" t="n">
        <f aca="false">IFERROR(IF(ISNUMBER(INDEX(원자료_잔고!$A$1:$EZ$1500,설정!$L$5+ROW()-1,설정!$L$12)),INDEX(원자료_잔고!$A$1:$EZ$1500,설정!$L$5+ROW()-1,설정!$L$12),""),"")</f>
        <v>97.4843</v>
      </c>
      <c r="G426" s="85" t="n">
        <f aca="false">IFERROR(IF(ISNUMBER(INDEX(원자료_잔고!$A$1:$EZ$1500,설정!$L$5+ROW()-1,설정!$L$13)),INDEX(원자료_잔고!$A$1:$EZ$1500,설정!$L$5+ROW()-1,설정!$L$13),""),"")</f>
        <v>5.3991</v>
      </c>
      <c r="H426" s="85" t="n">
        <f aca="false">IFERROR(IF(ISNUMBER(INDEX(원자료_잔고!$A$1:$EZ$1500,설정!$L$5+ROW()-1,설정!$L$14)),INDEX(원자료_잔고!$A$1:$EZ$1500,설정!$L$5+ROW()-1,설정!$L$14),""),"")</f>
        <v>3.1392</v>
      </c>
      <c r="I426" s="86" t="n">
        <f aca="false">IFERROR(IF(ISNUMBER(INDEX(원자료_잔고!$A$1:$EZ$1500,설정!$L$5+ROW()-1,설정!$L$15)),INDEX(원자료_잔고!$A$1:$EZ$1500,설정!$L$5+ROW()-1,설정!$L$15),""),"")</f>
        <v>47612</v>
      </c>
      <c r="J426" s="85" t="n">
        <f aca="false">IFERROR(IF(ISNUMBER(INDEX(원자료_잔고!$A$1:$EZ$1500,설정!$L$5+ROW()-1,설정!$L$16)),INDEX(원자료_잔고!$A$1:$EZ$1500,설정!$L$5+ROW()-1,설정!$L$16),""),"")</f>
        <v>4.625</v>
      </c>
      <c r="K426" s="87" t="n">
        <f aca="false">IFERROR(IF(ISNUMBER(INDEX(원자료_잔고!$A$1:$EZ$1500,설정!$L$5+ROW()-1,설정!$L$17)),INDEX(원자료_잔고!$A$1:$EZ$1500,설정!$L$5+ROW()-1,설정!$L$17),""),"")</f>
        <v>1</v>
      </c>
      <c r="L426" s="84" t="n">
        <f aca="false">IFERROR(IF(ISNUMBER(INDEX(원자료_잔고!$A$1:$EZ$1500,설정!$L$5+ROW()-1,설정!$L$18)),INDEX(원자료_잔고!$A$1:$EZ$1500,설정!$L$5+ROW()-1,설정!$L$18),""),"")</f>
        <v>8773587</v>
      </c>
      <c r="M426" s="88" t="n">
        <f aca="false">IFERROR(IF(ISNUMBER(INDEX(원자료_잔고!$A$1:$EZ$1500,설정!$L$5+ROW()-1,설정!$L$19)),INDEX(원자료_잔고!$A$1:$EZ$1500,설정!$L$5+ROW()-1,설정!$L$19),""),"")</f>
        <v>-409842</v>
      </c>
      <c r="N426" s="83" t="str">
        <f aca="false">IFERROR(IF(INDEX(원자료_잔고!$A$1:$EZ$1500,설정!$L$5+ROW()-1,설정!$L$21)&amp;""="0","",INDEX(원자료_잔고!$A$1:$EZ$1500,설정!$L$5+ROW()-1,설정!$L$21)&amp;""),"")</f>
        <v/>
      </c>
      <c r="O426" s="83" t="str">
        <f aca="false">IFERROR(IF(INDEX(원자료_잔고!$A$1:$EZ$1500,설정!$L$5+ROW()-1,설정!$L$22)&amp;""="0","",INDEX(원자료_잔고!$A$1:$EZ$1500,설정!$L$5+ROW()-1,설정!$L$22)&amp;""),"")</f>
        <v/>
      </c>
      <c r="P426" s="83" t="str">
        <f aca="false">IFERROR(IF(INDEX(원자료_잔고!$A$1:$EZ$1500,설정!$L$5+ROW()-1,설정!$L$23)&amp;""="0","",INDEX(원자료_잔고!$A$1:$EZ$1500,설정!$L$5+ROW()-1,설정!$L$23)&amp;""),"")</f>
        <v>AA-</v>
      </c>
      <c r="Q426" s="89" t="n">
        <f aca="false">IF(AND($A426&lt;&gt;"",ISNUMBER(E426)),IF(E426&gt;0,1,0),0)</f>
        <v>1</v>
      </c>
      <c r="R426" s="43" t="str">
        <f aca="false">IF(Q426=1,UPPER(LEFT($A426,FIND(" ",$A426&amp;" ")-1)),"")</f>
        <v>KOBCOP</v>
      </c>
      <c r="S426" s="89" t="n">
        <f aca="false">IF(Q426=1,IF(OR(ISNUMBER(SEARCH("Float",$A426)),ISNUMBER(SEARCH("FRN",$A426))),1,0),0)</f>
        <v>0</v>
      </c>
      <c r="T426" s="43" t="str">
        <f aca="false">IF(AND(Q426=1,ISNUMBER(I426)),TEXT(I426,"yyyymmdd")&amp;"|"&amp;IF(S426=1,"F",TEXT(J426,"0.000")),"")</f>
        <v>20300509|4.625</v>
      </c>
      <c r="U426" s="90" t="n">
        <f aca="false">IF(AND(Q426=1,ISNUMBER(I426)),(I426-설정!$C$4)/365.25,"")</f>
        <v>3.60301163586585</v>
      </c>
      <c r="V426" s="43" t="str">
        <f aca="false">IF(Q426&lt;&gt;1,"",IF(ISNUMBER(U426),IF(U426&lt;=1,"1년 이하",IF(U426&lt;=2,"1-2년",IF(U426&lt;=3,"2-3년",IF(U426&lt;=4,"3-4년",IF(U426&lt;=5,"4-5년",IF(U426&lt;=7,"5-7년",IF(U426&lt;=10,"7-10년",IF(U426&lt;=20,"10-20년","20년 이상")))))))),"미분류"))</f>
        <v>3-4년</v>
      </c>
      <c r="W426" s="43" t="str">
        <f aca="false">IF(Q426&lt;&gt;1,"",IF(AB426&lt;&gt;"",INDEX(시장분석!$C:$C,AB426),IF(K426=1,"USD","비USD")))</f>
        <v>USD</v>
      </c>
      <c r="X426" s="91" t="n">
        <f aca="false">IF(Q426=1,E426*K426/1000000,0)</f>
        <v>9</v>
      </c>
      <c r="Y426" s="89" t="n">
        <f aca="false">IF(R426="T",1,0)</f>
        <v>0</v>
      </c>
      <c r="Z426" s="92" t="n">
        <f aca="false">IF(Q426&lt;&gt;1,"",IF(AD426=1,IF(ISNUMBER(U426),MAX(U426,0),H426),H426))</f>
        <v>3.1392</v>
      </c>
      <c r="AA426" s="91" t="n">
        <f aca="false">IF(Q426=1,IF(ISNUMBER(L426),L426,0)*K426/1000000,0)</f>
        <v>8.773587</v>
      </c>
      <c r="AB426" s="89" t="n">
        <f aca="false">IF(Q426&lt;&gt;1,"",IFERROR(MATCH(VLOOKUP(B426,매핑!$H$4:$I$15,2,0),시장분석!$A$2:$A$601,0)+1,IFERROR(MATCH(R426&amp;"|"&amp;T426,시장분석!$V$2:$V$601,0)+1,IF(COUNTIF(시장분석!$U$2:$U$601,T426)=1,MATCH(T426,시장분석!$U$2:$U$601,0)+1,""))))</f>
        <v>243</v>
      </c>
      <c r="AC426" s="89" t="n">
        <f aca="false">IF(Q426&lt;&gt;1,0,IF(OR(설정!$C$5="전체",AND(설정!$C$5="선택펀드",IFERROR(COUNTIFS(설정!$F$16:$F$36,C426,설정!$G$16:$G$36,"Y")+COUNTIFS(설정!$F$16:$F$36,VALUE(C426),설정!$G$16:$G$36,"Y"),0)&gt;0),C426&amp;""=설정!$C$5&amp;""),1,0))</f>
        <v>0</v>
      </c>
      <c r="AD426" s="89" t="n">
        <f aca="false">IF(Q426&lt;&gt;1,0,IF(OR(S426=1,IF(AB426="",FALSE(),INDEX(시장분석!$R:$R,AB426)=1)),1,0))</f>
        <v>0</v>
      </c>
      <c r="AE426" s="43" t="str">
        <f aca="false">IF(AB426="","",INDEX(시장분석!$A:$A,AB426))</f>
        <v>KOBCOP 4 5/8 05/09/30</v>
      </c>
      <c r="AF426" s="93" t="n">
        <f aca="false">IF(AB426="","",IF(ISNUMBER(IF(AB426="","",INDEX(시장분석!$E:$E,AB426))),IF(AB426="","",INDEX(시장분석!$E:$E,AB426)),""))</f>
        <v>37.184</v>
      </c>
      <c r="AG426" s="43" t="str">
        <f aca="false">IF(Q426&lt;&gt;1,"",IF(AB426&lt;&gt;"",IF(AB426="","",INDEX(시장분석!$L:$L,AB426)),IFERROR(IF(VLOOKUP(R426,매핑!$A$4:$E$92,5,0)="","미분류",VLOOKUP(R426,매핑!$A$4:$E$92,5,0)),"미분류")))</f>
        <v>정부</v>
      </c>
      <c r="AH426" s="43" t="str">
        <f aca="false">IF(Q426&lt;&gt;1,"",IF(AB426&lt;&gt;"",IF(AB426="","",INDEX(시장분석!$N:$N,AB426)),IFERROR(IF(VLOOKUP(R426,매핑!$A$4:$E$92,4,0)="","미분류",VLOOKUP(R426,매핑!$A$4:$E$92,4,0)),"미분류")))</f>
        <v>아시아/기타</v>
      </c>
      <c r="AI426" s="43" t="str">
        <f aca="false">IF(Q426&lt;&gt;1,"",IFERROR(IF(VLOOKUP(R426,매핑!$A$4:$E$92,3,0)="","미분류",VLOOKUP(R426,매핑!$A$4:$E$92,3,0)),IF(AB426&lt;&gt;"",IF(AB426="","",INDEX(시장분석!$W:$W,AB426)),"미분류")))</f>
        <v>한국</v>
      </c>
      <c r="AJ426" s="43" t="str">
        <f aca="false">IF(Q426&lt;&gt;1,"",IFERROR(VLOOKUP(IF(N426&lt;&gt;"",N426,IF(P426&lt;&gt;"",P426,O426)),설정!$A$15:$D$47,2,0),""))</f>
        <v>AA-</v>
      </c>
      <c r="AK426" s="43" t="str">
        <f aca="false">IF(Q426&lt;&gt;1,"",IF(AJ426="","무등급",IFERROR(VLOOKUP(AJ426,설정!$A$15:$D$47,3,0),"무등급")))</f>
        <v>AA이상</v>
      </c>
      <c r="AL426" s="89" t="n">
        <f aca="false">IF(AJ426="",99,IFERROR(VLOOKUP(AJ426,설정!$A$15:$D$47,4,0),99))</f>
        <v>4</v>
      </c>
      <c r="AM426" s="94" t="n">
        <f aca="false">IF(ISNUMBER(H426),AA426*1000000*H426/10000,0)</f>
        <v>2754.20443104</v>
      </c>
      <c r="AN426" s="94" t="n">
        <f aca="false">IF(OR(Y426=1,NOT(ISNUMBER(Z426))),0,AA426*1000000*Z426/10000)</f>
        <v>2754.20443104</v>
      </c>
      <c r="AO426" s="94" t="n">
        <f aca="false">IF(ISNUMBER(G426),AA426*1000000*G426/100,0)</f>
        <v>473694.735717</v>
      </c>
      <c r="AP426" s="94" t="n">
        <f aca="false">IF(ISNUMBER(M426),M426*K426,0)</f>
        <v>-409842</v>
      </c>
      <c r="AQ426" s="95" t="n">
        <f aca="false">IF(AB426="","",INDEX(시장분석!$AK:$AK,AB426))</f>
        <v>1.10251855466103</v>
      </c>
      <c r="AR426" s="43" t="str">
        <f aca="false">IF(AB426="","-",IF(AB426="","",INDEX(시장분석!$AL:$AL,AB426)))</f>
        <v>Cheap</v>
      </c>
      <c r="AS426" s="96" t="n">
        <f aca="false">IF(AB426="","",INDEX(시장분석!$AJ:$AJ,AB426))</f>
        <v>15.0968131558532</v>
      </c>
      <c r="AT426" s="93" t="n">
        <f aca="false">IF(AB426="",0,IF(AB426="","",INDEX(시장분석!$AN:$AN,AB426)))</f>
        <v>7.20926894431714</v>
      </c>
      <c r="AU426" s="94" t="n">
        <f aca="false">IF(ISNUMBER(Z426),AT426/10000*MAX(Z426-1,0)*AA426*1000000,0)</f>
        <v>13530.6856420609</v>
      </c>
      <c r="AV426" s="94" t="n">
        <f aca="false">AO426+AU426</f>
        <v>487225.421359061</v>
      </c>
      <c r="AW426" s="43" t="str">
        <f aca="false">IF(Q426&lt;&gt;1,"",TRIM(IF(AD426=1,"FRN ","")&amp;IF(AND(AL426&gt;=10,AL426&lt;99),"BBB0미만 ","")&amp;IF(AJ426="","등급없음 ","")&amp;IF(K426&lt;&gt;1,"비USD ","")&amp;IF(AND(AB426="",Y426=0),"시장데이터없음 ","")&amp;IF(AND(ISNUMBER(U426),U426&lt;0),"만기경과 ","")))</f>
        <v/>
      </c>
      <c r="AX426" s="90" t="n">
        <f aca="false">IF(Q426&lt;&gt;1,1,IF(스프레드쇼크!$C$4="Y",INDEX(스프레드쇼크!$B$12:$L$16,IFERROR(MATCH(AH426,스프레드쇼크!$A$12:$A$16,0),MATCH("목록외",스프레드쇼크!$A$12:$A$16,0)),IFERROR(MATCH(AG426,스프레드쇼크!$B$11:$L$11,0),MATCH("목록외",스프레드쇼크!$B$11:$L$11,0))),1))</f>
        <v>1</v>
      </c>
      <c r="AY426" s="90" t="n">
        <f aca="false">IF(스프레드쇼크!$C$5="Y",IF(ISNUMBER(AF426),MIN(스프레드쇼크!$C$7,MAX(스프레드쇼크!$C$6,AF426/스프레드쇼크!$C$8)),1),1)</f>
        <v>0.562422430613591</v>
      </c>
      <c r="AZ426" s="94" t="n">
        <f aca="false">AN426*AX426*AY426</f>
        <v>1549.02635051224</v>
      </c>
      <c r="BA426" s="90" t="n">
        <f aca="false">IF(ISNUMBER(G426),AA426*G426,0)</f>
        <v>47.3694735717</v>
      </c>
      <c r="BB426" s="90" t="n">
        <f aca="false">IF(ISNUMBER(G426),AA426,0)</f>
        <v>8.773587</v>
      </c>
      <c r="BC426" s="90" t="n">
        <f aca="false">IF(AND(Y426=0,ISNUMBER(AF426)),AA426*AF426,0)</f>
        <v>326.237059008</v>
      </c>
      <c r="BD426" s="90" t="n">
        <f aca="false">IF(AND(Y426=0,ISNUMBER(AF426)),AA426,0)</f>
        <v>8.773587</v>
      </c>
      <c r="BE426" s="90" t="n">
        <f aca="false">IF(ISNUMBER(H426),AA426*H426,0)</f>
        <v>27.5420443104</v>
      </c>
      <c r="BF426" s="90" t="n">
        <f aca="false">IF(ISNUMBER(H426),AA426,0)</f>
        <v>8.773587</v>
      </c>
      <c r="BG426" s="90" t="n">
        <f aca="false">IF(AND(Y426=0,ISNUMBER(AF426),ISNUMBER(Z426)),AA426*Z426,0)</f>
        <v>27.5420443104</v>
      </c>
      <c r="BH426" s="90" t="n">
        <f aca="false">IF(AND(Y426=0,ISNUMBER(AF426),ISNUMBER(Z426)),AA426*AT426*MAX(Z426-1,0),0)</f>
        <v>135.306856420609</v>
      </c>
      <c r="BI426" s="90" t="n">
        <f aca="false">IF(Y426=0,AA426,0)</f>
        <v>8.773587</v>
      </c>
    </row>
    <row r="427" customFormat="false" ht="15" hidden="false" customHeight="false" outlineLevel="0" collapsed="false">
      <c r="A427" s="83" t="str">
        <f aca="false">IFERROR(IF(INDEX(원자료_잔고!$A$1:$EZ$1500,설정!$L$5+ROW()-1,설정!$L$8)&amp;""="0","",INDEX(원자료_잔고!$A$1:$EZ$1500,설정!$L$5+ROW()-1,설정!$L$8)&amp;""),"")</f>
        <v>NHSECS 4.625 07/10/28</v>
      </c>
      <c r="B427" s="83" t="str">
        <f aca="false">IFERROR(IF(INDEX(원자료_잔고!$A$1:$EZ$1500,설정!$L$5+ROW()-1,설정!$L$7)&amp;""="0","",INDEX(원자료_잔고!$A$1:$EZ$1500,설정!$L$5+ROW()-1,설정!$L$7)&amp;""),"")</f>
        <v>XS3109629702</v>
      </c>
      <c r="C427" s="83" t="str">
        <f aca="false">IFERROR(IF(INDEX(원자료_잔고!$A$1:$EZ$1500,설정!$L$5+ROW()-1,설정!$L$9)&amp;""="0","",INDEX(원자료_잔고!$A$1:$EZ$1500,설정!$L$5+ROW()-1,설정!$L$9)&amp;""),"")</f>
        <v>42003</v>
      </c>
      <c r="D42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7" s="84" t="n">
        <f aca="false">IFERROR(IF(ISNUMBER(INDEX(원자료_잔고!$A$1:$EZ$1500,설정!$L$5+ROW()-1,설정!$L$11)),INDEX(원자료_잔고!$A$1:$EZ$1500,설정!$L$5+ROW()-1,설정!$L$11),""),"")</f>
        <v>750000</v>
      </c>
      <c r="F427" s="85" t="n">
        <f aca="false">IFERROR(IF(ISNUMBER(INDEX(원자료_잔고!$A$1:$EZ$1500,설정!$L$5+ROW()-1,설정!$L$12)),INDEX(원자료_잔고!$A$1:$EZ$1500,설정!$L$5+ROW()-1,설정!$L$12),""),"")</f>
        <v>98.488</v>
      </c>
      <c r="G427" s="85" t="n">
        <f aca="false">IFERROR(IF(ISNUMBER(INDEX(원자료_잔고!$A$1:$EZ$1500,설정!$L$5+ROW()-1,설정!$L$13)),INDEX(원자료_잔고!$A$1:$EZ$1500,설정!$L$5+ROW()-1,설정!$L$13),""),"")</f>
        <v>5.5237</v>
      </c>
      <c r="H427" s="85" t="n">
        <f aca="false">IFERROR(IF(ISNUMBER(INDEX(원자료_잔고!$A$1:$EZ$1500,설정!$L$5+ROW()-1,설정!$L$14)),INDEX(원자료_잔고!$A$1:$EZ$1500,설정!$L$5+ROW()-1,설정!$L$14),""),"")</f>
        <v>1.6302</v>
      </c>
      <c r="I427" s="86" t="n">
        <f aca="false">IFERROR(IF(ISNUMBER(INDEX(원자료_잔고!$A$1:$EZ$1500,설정!$L$5+ROW()-1,설정!$L$15)),INDEX(원자료_잔고!$A$1:$EZ$1500,설정!$L$5+ROW()-1,설정!$L$15),""),"")</f>
        <v>46944</v>
      </c>
      <c r="J427" s="85" t="n">
        <f aca="false">IFERROR(IF(ISNUMBER(INDEX(원자료_잔고!$A$1:$EZ$1500,설정!$L$5+ROW()-1,설정!$L$16)),INDEX(원자료_잔고!$A$1:$EZ$1500,설정!$L$5+ROW()-1,설정!$L$16),""),"")</f>
        <v>4.625</v>
      </c>
      <c r="K427" s="87" t="n">
        <f aca="false">IFERROR(IF(ISNUMBER(INDEX(원자료_잔고!$A$1:$EZ$1500,설정!$L$5+ROW()-1,설정!$L$17)),INDEX(원자료_잔고!$A$1:$EZ$1500,설정!$L$5+ROW()-1,설정!$L$17),""),"")</f>
        <v>1</v>
      </c>
      <c r="L427" s="84" t="n">
        <f aca="false">IFERROR(IF(ISNUMBER(INDEX(원자료_잔고!$A$1:$EZ$1500,설정!$L$5+ROW()-1,설정!$L$18)),INDEX(원자료_잔고!$A$1:$EZ$1500,설정!$L$5+ROW()-1,설정!$L$18),""),"")</f>
        <v>738660</v>
      </c>
      <c r="M427" s="88" t="n">
        <f aca="false">IFERROR(IF(ISNUMBER(INDEX(원자료_잔고!$A$1:$EZ$1500,설정!$L$5+ROW()-1,설정!$L$19)),INDEX(원자료_잔고!$A$1:$EZ$1500,설정!$L$5+ROW()-1,설정!$L$19),""),"")</f>
        <v>-6205.06</v>
      </c>
      <c r="N427" s="83" t="str">
        <f aca="false">IFERROR(IF(INDEX(원자료_잔고!$A$1:$EZ$1500,설정!$L$5+ROW()-1,설정!$L$21)&amp;""="0","",INDEX(원자료_잔고!$A$1:$EZ$1500,설정!$L$5+ROW()-1,설정!$L$21)&amp;""),"")</f>
        <v>A-</v>
      </c>
      <c r="O427" s="83" t="str">
        <f aca="false">IFERROR(IF(INDEX(원자료_잔고!$A$1:$EZ$1500,설정!$L$5+ROW()-1,설정!$L$22)&amp;""="0","",INDEX(원자료_잔고!$A$1:$EZ$1500,설정!$L$5+ROW()-1,설정!$L$22)&amp;""),"")</f>
        <v>A3</v>
      </c>
      <c r="P427" s="83" t="str">
        <f aca="false">IFERROR(IF(INDEX(원자료_잔고!$A$1:$EZ$1500,설정!$L$5+ROW()-1,설정!$L$23)&amp;""="0","",INDEX(원자료_잔고!$A$1:$EZ$1500,설정!$L$5+ROW()-1,설정!$L$23)&amp;""),"")</f>
        <v>N/A</v>
      </c>
      <c r="Q427" s="89" t="n">
        <f aca="false">IF(AND($A427&lt;&gt;"",ISNUMBER(E427)),IF(E427&gt;0,1,0),0)</f>
        <v>1</v>
      </c>
      <c r="R427" s="43" t="str">
        <f aca="false">IF(Q427=1,UPPER(LEFT($A427,FIND(" ",$A427&amp;" ")-1)),"")</f>
        <v>NHSECS</v>
      </c>
      <c r="S427" s="89" t="n">
        <f aca="false">IF(Q427=1,IF(OR(ISNUMBER(SEARCH("Float",$A427)),ISNUMBER(SEARCH("FRN",$A427))),1,0),0)</f>
        <v>0</v>
      </c>
      <c r="T427" s="43" t="str">
        <f aca="false">IF(AND(Q427=1,ISNUMBER(I427)),TEXT(I427,"yyyymmdd")&amp;"|"&amp;IF(S427=1,"F",TEXT(J427,"0.000")),"")</f>
        <v>20280710|4.625</v>
      </c>
      <c r="U427" s="90" t="n">
        <f aca="false">IF(AND(Q427=1,ISNUMBER(I427)),(I427-설정!$C$4)/365.25,"")</f>
        <v>1.7741273100616</v>
      </c>
      <c r="V427" s="43" t="str">
        <f aca="false">IF(Q427&lt;&gt;1,"",IF(ISNUMBER(U427),IF(U427&lt;=1,"1년 이하",IF(U427&lt;=2,"1-2년",IF(U427&lt;=3,"2-3년",IF(U427&lt;=4,"3-4년",IF(U427&lt;=5,"4-5년",IF(U427&lt;=7,"5-7년",IF(U427&lt;=10,"7-10년",IF(U427&lt;=20,"10-20년","20년 이상")))))))),"미분류"))</f>
        <v>1-2년</v>
      </c>
      <c r="W427" s="43" t="str">
        <f aca="false">IF(Q427&lt;&gt;1,"",IF(AB427&lt;&gt;"",INDEX(시장분석!$C:$C,AB427),IF(K427=1,"USD","비USD")))</f>
        <v>USD</v>
      </c>
      <c r="X427" s="91" t="n">
        <f aca="false">IF(Q427=1,E427*K427/1000000,0)</f>
        <v>0.75</v>
      </c>
      <c r="Y427" s="89" t="n">
        <f aca="false">IF(R427="T",1,0)</f>
        <v>0</v>
      </c>
      <c r="Z427" s="92" t="n">
        <f aca="false">IF(Q427&lt;&gt;1,"",IF(AD427=1,IF(ISNUMBER(U427),MAX(U427,0),H427),H427))</f>
        <v>1.6302</v>
      </c>
      <c r="AA427" s="91" t="n">
        <f aca="false">IF(Q427=1,IF(ISNUMBER(L427),L427,0)*K427/1000000,0)</f>
        <v>0.73866</v>
      </c>
      <c r="AB427" s="89" t="n">
        <f aca="false">IF(Q427&lt;&gt;1,"",IFERROR(MATCH(VLOOKUP(B427,매핑!$H$4:$I$15,2,0),시장분석!$A$2:$A$601,0)+1,IFERROR(MATCH(R427&amp;"|"&amp;T427,시장분석!$V$2:$V$601,0)+1,IF(COUNTIF(시장분석!$U$2:$U$601,T427)=1,MATCH(T427,시장분석!$U$2:$U$601,0)+1,""))))</f>
        <v>246</v>
      </c>
      <c r="AC427" s="89" t="n">
        <f aca="false">IF(Q427&lt;&gt;1,0,IF(OR(설정!$C$5="전체",AND(설정!$C$5="선택펀드",IFERROR(COUNTIFS(설정!$F$16:$F$36,C427,설정!$G$16:$G$36,"Y")+COUNTIFS(설정!$F$16:$F$36,VALUE(C427),설정!$G$16:$G$36,"Y"),0)&gt;0),C427&amp;""=설정!$C$5&amp;""),1,0))</f>
        <v>0</v>
      </c>
      <c r="AD427" s="89" t="n">
        <f aca="false">IF(Q427&lt;&gt;1,0,IF(OR(S427=1,IF(AB427="",FALSE(),INDEX(시장분석!$R:$R,AB427)=1)),1,0))</f>
        <v>0</v>
      </c>
      <c r="AE427" s="43" t="str">
        <f aca="false">IF(AB427="","",INDEX(시장분석!$A:$A,AB427))</f>
        <v>NHSECS 4 5/8 07/10/28</v>
      </c>
      <c r="AF427" s="93" t="n">
        <f aca="false">IF(AB427="","",IF(ISNUMBER(IF(AB427="","",INDEX(시장분석!$E:$E,AB427))),IF(AB427="","",INDEX(시장분석!$E:$E,AB427)),""))</f>
        <v>62.709</v>
      </c>
      <c r="AG427" s="43" t="str">
        <f aca="false">IF(Q427&lt;&gt;1,"",IF(AB427&lt;&gt;"",IF(AB427="","",INDEX(시장분석!$L:$L,AB427)),IFERROR(IF(VLOOKUP(R427,매핑!$A$4:$E$92,5,0)="","미분류",VLOOKUP(R427,매핑!$A$4:$E$92,5,0)),"미분류")))</f>
        <v>금융기관</v>
      </c>
      <c r="AH427" s="43" t="str">
        <f aca="false">IF(Q427&lt;&gt;1,"",IF(AB427&lt;&gt;"",IF(AB427="","",INDEX(시장분석!$N:$N,AB427)),IFERROR(IF(VLOOKUP(R427,매핑!$A$4:$E$92,4,0)="","미분류",VLOOKUP(R427,매핑!$A$4:$E$92,4,0)),"미분류")))</f>
        <v>아시아/기타</v>
      </c>
      <c r="AI427" s="43" t="str">
        <f aca="false">IF(Q427&lt;&gt;1,"",IFERROR(IF(VLOOKUP(R427,매핑!$A$4:$E$92,3,0)="","미분류",VLOOKUP(R427,매핑!$A$4:$E$92,3,0)),IF(AB427&lt;&gt;"",IF(AB427="","",INDEX(시장분석!$W:$W,AB427)),"미분류")))</f>
        <v>한국</v>
      </c>
      <c r="AJ427" s="43" t="str">
        <f aca="false">IF(Q427&lt;&gt;1,"",IFERROR(VLOOKUP(IF(N427&lt;&gt;"",N427,IF(P427&lt;&gt;"",P427,O427)),설정!$A$15:$D$47,2,0),""))</f>
        <v>A-</v>
      </c>
      <c r="AK427" s="43" t="str">
        <f aca="false">IF(Q427&lt;&gt;1,"",IF(AJ427="","무등급",IFERROR(VLOOKUP(AJ427,설정!$A$15:$D$47,3,0),"무등급")))</f>
        <v>A</v>
      </c>
      <c r="AL427" s="89" t="n">
        <f aca="false">IF(AJ427="",99,IFERROR(VLOOKUP(AJ427,설정!$A$15:$D$47,4,0),99))</f>
        <v>7</v>
      </c>
      <c r="AM427" s="94" t="n">
        <f aca="false">IF(ISNUMBER(H427),AA427*1000000*H427/10000,0)</f>
        <v>120.4163532</v>
      </c>
      <c r="AN427" s="94" t="n">
        <f aca="false">IF(OR(Y427=1,NOT(ISNUMBER(Z427))),0,AA427*1000000*Z427/10000)</f>
        <v>120.4163532</v>
      </c>
      <c r="AO427" s="94" t="n">
        <f aca="false">IF(ISNUMBER(G427),AA427*1000000*G427/100,0)</f>
        <v>40801.36242</v>
      </c>
      <c r="AP427" s="94" t="n">
        <f aca="false">IF(ISNUMBER(M427),M427*K427,0)</f>
        <v>-6205.06</v>
      </c>
      <c r="AQ427" s="95" t="n">
        <f aca="false">IF(AB427="","",INDEX(시장분석!$AK:$AK,AB427))</f>
        <v>0.255886056552118</v>
      </c>
      <c r="AR427" s="43" t="str">
        <f aca="false">IF(AB427="","-",IF(AB427="","",INDEX(시장분석!$AL:$AL,AB427)))</f>
        <v>Fair</v>
      </c>
      <c r="AS427" s="96" t="n">
        <f aca="false">IF(AB427="","",INDEX(시장분석!$AJ:$AJ,AB427))</f>
        <v>5.23890558078533</v>
      </c>
      <c r="AT427" s="93" t="n">
        <f aca="false">IF(AB427="",0,IF(AB427="","",INDEX(시장분석!$AN:$AN,AB427)))</f>
        <v>12.3967400583937</v>
      </c>
      <c r="AU427" s="94" t="n">
        <f aca="false">IF(ISNUMBER(Z427),AT427/10000*MAX(Z427-1,0)*AA427*1000000,0)</f>
        <v>577.072628246815</v>
      </c>
      <c r="AV427" s="94" t="n">
        <f aca="false">AO427+AU427</f>
        <v>41378.4350482468</v>
      </c>
      <c r="AW427" s="43" t="str">
        <f aca="false">IF(Q427&lt;&gt;1,"",TRIM(IF(AD427=1,"FRN ","")&amp;IF(AND(AL427&gt;=10,AL427&lt;99),"BBB0미만 ","")&amp;IF(AJ427="","등급없음 ","")&amp;IF(K427&lt;&gt;1,"비USD ","")&amp;IF(AND(AB427="",Y427=0),"시장데이터없음 ","")&amp;IF(AND(ISNUMBER(U427),U427&lt;0),"만기경과 ","")))</f>
        <v/>
      </c>
      <c r="AX427" s="90" t="n">
        <f aca="false">IF(Q427&lt;&gt;1,1,IF(스프레드쇼크!$C$4="Y",INDEX(스프레드쇼크!$B$12:$L$16,IFERROR(MATCH(AH427,스프레드쇼크!$A$12:$A$16,0),MATCH("목록외",스프레드쇼크!$A$12:$A$16,0)),IFERROR(MATCH(AG427,스프레드쇼크!$B$11:$L$11,0),MATCH("목록외",스프레드쇼크!$B$11:$L$11,0))),1))</f>
        <v>1</v>
      </c>
      <c r="AY427" s="90" t="n">
        <f aca="false">IF(스프레드쇼크!$C$5="Y",IF(ISNUMBER(AF427),MIN(스프레드쇼크!$C$7,MAX(스프레드쇼크!$C$6,AF427/스프레드쇼크!$C$8)),1),1)</f>
        <v>0.948497961525056</v>
      </c>
      <c r="AZ427" s="94" t="n">
        <f aca="false">AN427*AX427*AY427</f>
        <v>114.214665544481</v>
      </c>
      <c r="BA427" s="90" t="n">
        <f aca="false">IF(ISNUMBER(G427),AA427*G427,0)</f>
        <v>4.080136242</v>
      </c>
      <c r="BB427" s="90" t="n">
        <f aca="false">IF(ISNUMBER(G427),AA427,0)</f>
        <v>0.73866</v>
      </c>
      <c r="BC427" s="90" t="n">
        <f aca="false">IF(AND(Y427=0,ISNUMBER(AF427)),AA427*AF427,0)</f>
        <v>46.32062994</v>
      </c>
      <c r="BD427" s="90" t="n">
        <f aca="false">IF(AND(Y427=0,ISNUMBER(AF427)),AA427,0)</f>
        <v>0.73866</v>
      </c>
      <c r="BE427" s="90" t="n">
        <f aca="false">IF(ISNUMBER(H427),AA427*H427,0)</f>
        <v>1.204163532</v>
      </c>
      <c r="BF427" s="90" t="n">
        <f aca="false">IF(ISNUMBER(H427),AA427,0)</f>
        <v>0.73866</v>
      </c>
      <c r="BG427" s="90" t="n">
        <f aca="false">IF(AND(Y427=0,ISNUMBER(AF427),ISNUMBER(Z427)),AA427*Z427,0)</f>
        <v>1.204163532</v>
      </c>
      <c r="BH427" s="90" t="n">
        <f aca="false">IF(AND(Y427=0,ISNUMBER(AF427),ISNUMBER(Z427)),AA427*AT427*MAX(Z427-1,0),0)</f>
        <v>5.77072628246815</v>
      </c>
      <c r="BI427" s="90" t="n">
        <f aca="false">IF(Y427=0,AA427,0)</f>
        <v>0.73866</v>
      </c>
    </row>
    <row r="428" customFormat="false" ht="15" hidden="false" customHeight="false" outlineLevel="0" collapsed="false">
      <c r="A428" s="83" t="str">
        <f aca="false">IFERROR(IF(INDEX(원자료_잔고!$A$1:$EZ$1500,설정!$L$5+ROW()-1,설정!$L$8)&amp;""="0","",INDEX(원자료_잔고!$A$1:$EZ$1500,설정!$L$5+ROW()-1,설정!$L$8)&amp;""),"")</f>
        <v>KOREAN 4 09/30/30</v>
      </c>
      <c r="B428" s="83" t="str">
        <f aca="false">IFERROR(IF(INDEX(원자료_잔고!$A$1:$EZ$1500,설정!$L$5+ROW()-1,설정!$L$7)&amp;""="0","",INDEX(원자료_잔고!$A$1:$EZ$1500,설정!$L$5+ROW()-1,설정!$L$7)&amp;""),"")</f>
        <v>XS3177263418</v>
      </c>
      <c r="C428" s="83" t="str">
        <f aca="false">IFERROR(IF(INDEX(원자료_잔고!$A$1:$EZ$1500,설정!$L$5+ROW()-1,설정!$L$9)&amp;""="0","",INDEX(원자료_잔고!$A$1:$EZ$1500,설정!$L$5+ROW()-1,설정!$L$9)&amp;""),"")</f>
        <v>42003</v>
      </c>
      <c r="D42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8" s="84" t="n">
        <f aca="false">IFERROR(IF(ISNUMBER(INDEX(원자료_잔고!$A$1:$EZ$1500,설정!$L$5+ROW()-1,설정!$L$11)),INDEX(원자료_잔고!$A$1:$EZ$1500,설정!$L$5+ROW()-1,설정!$L$11),""),"")</f>
        <v>2600000</v>
      </c>
      <c r="F428" s="85" t="n">
        <f aca="false">IFERROR(IF(ISNUMBER(INDEX(원자료_잔고!$A$1:$EZ$1500,설정!$L$5+ROW()-1,설정!$L$12)),INDEX(원자료_잔고!$A$1:$EZ$1500,설정!$L$5+ROW()-1,설정!$L$12),""),"")</f>
        <v>94.7517</v>
      </c>
      <c r="G428" s="85" t="n">
        <f aca="false">IFERROR(IF(ISNUMBER(INDEX(원자료_잔고!$A$1:$EZ$1500,설정!$L$5+ROW()-1,설정!$L$13)),INDEX(원자료_잔고!$A$1:$EZ$1500,설정!$L$5+ROW()-1,설정!$L$13),""),"")</f>
        <v>5.4787</v>
      </c>
      <c r="H428" s="85" t="n">
        <f aca="false">IFERROR(IF(ISNUMBER(INDEX(원자료_잔고!$A$1:$EZ$1500,설정!$L$5+ROW()-1,설정!$L$14)),INDEX(원자료_잔고!$A$1:$EZ$1500,설정!$L$5+ROW()-1,설정!$L$14),""),"")</f>
        <v>3.5625</v>
      </c>
      <c r="I428" s="86" t="n">
        <f aca="false">IFERROR(IF(ISNUMBER(INDEX(원자료_잔고!$A$1:$EZ$1500,설정!$L$5+ROW()-1,설정!$L$15)),INDEX(원자료_잔고!$A$1:$EZ$1500,설정!$L$5+ROW()-1,설정!$L$15),""),"")</f>
        <v>47756</v>
      </c>
      <c r="J428" s="85" t="n">
        <f aca="false">IFERROR(IF(ISNUMBER(INDEX(원자료_잔고!$A$1:$EZ$1500,설정!$L$5+ROW()-1,설정!$L$16)),INDEX(원자료_잔고!$A$1:$EZ$1500,설정!$L$5+ROW()-1,설정!$L$16),""),"")</f>
        <v>4</v>
      </c>
      <c r="K428" s="87" t="n">
        <f aca="false">IFERROR(IF(ISNUMBER(INDEX(원자료_잔고!$A$1:$EZ$1500,설정!$L$5+ROW()-1,설정!$L$17)),INDEX(원자료_잔고!$A$1:$EZ$1500,설정!$L$5+ROW()-1,설정!$L$17),""),"")</f>
        <v>1</v>
      </c>
      <c r="L428" s="84" t="n">
        <f aca="false">IFERROR(IF(ISNUMBER(INDEX(원자료_잔고!$A$1:$EZ$1500,설정!$L$5+ROW()-1,설정!$L$18)),INDEX(원자료_잔고!$A$1:$EZ$1500,설정!$L$5+ROW()-1,설정!$L$18),""),"")</f>
        <v>2463544.2</v>
      </c>
      <c r="M428" s="88" t="n">
        <f aca="false">IFERROR(IF(ISNUMBER(INDEX(원자료_잔고!$A$1:$EZ$1500,설정!$L$5+ROW()-1,설정!$L$19)),INDEX(원자료_잔고!$A$1:$EZ$1500,설정!$L$5+ROW()-1,설정!$L$19),""),"")</f>
        <v>-121747.6</v>
      </c>
      <c r="N428" s="83" t="str">
        <f aca="false">IFERROR(IF(INDEX(원자료_잔고!$A$1:$EZ$1500,설정!$L$5+ROW()-1,설정!$L$21)&amp;""="0","",INDEX(원자료_잔고!$A$1:$EZ$1500,설정!$L$5+ROW()-1,설정!$L$21)&amp;""),"")</f>
        <v>AA</v>
      </c>
      <c r="O428" s="83" t="str">
        <f aca="false">IFERROR(IF(INDEX(원자료_잔고!$A$1:$EZ$1500,설정!$L$5+ROW()-1,설정!$L$22)&amp;""="0","",INDEX(원자료_잔고!$A$1:$EZ$1500,설정!$L$5+ROW()-1,설정!$L$22)&amp;""),"")</f>
        <v/>
      </c>
      <c r="P428" s="83" t="str">
        <f aca="false">IFERROR(IF(INDEX(원자료_잔고!$A$1:$EZ$1500,설정!$L$5+ROW()-1,설정!$L$23)&amp;""="0","",INDEX(원자료_잔고!$A$1:$EZ$1500,설정!$L$5+ROW()-1,설정!$L$23)&amp;""),"")</f>
        <v>N/A</v>
      </c>
      <c r="Q428" s="89" t="n">
        <f aca="false">IF(AND($A428&lt;&gt;"",ISNUMBER(E428)),IF(E428&gt;0,1,0),0)</f>
        <v>1</v>
      </c>
      <c r="R428" s="43" t="str">
        <f aca="false">IF(Q428=1,UPPER(LEFT($A428,FIND(" ",$A428&amp;" ")-1)),"")</f>
        <v>KOREAN</v>
      </c>
      <c r="S428" s="89" t="n">
        <f aca="false">IF(Q428=1,IF(OR(ISNUMBER(SEARCH("Float",$A428)),ISNUMBER(SEARCH("FRN",$A428))),1,0),0)</f>
        <v>0</v>
      </c>
      <c r="T428" s="43" t="str">
        <f aca="false">IF(AND(Q428=1,ISNUMBER(I428)),TEXT(I428,"yyyymmdd")&amp;"|"&amp;IF(S428=1,"F",TEXT(J428,"0.000")),"")</f>
        <v>20300930|4.000</v>
      </c>
      <c r="U428" s="90" t="n">
        <f aca="false">IF(AND(Q428=1,ISNUMBER(I428)),(I428-설정!$C$4)/365.25,"")</f>
        <v>3.99726214921287</v>
      </c>
      <c r="V428" s="43" t="str">
        <f aca="false">IF(Q428&lt;&gt;1,"",IF(ISNUMBER(U428),IF(U428&lt;=1,"1년 이하",IF(U428&lt;=2,"1-2년",IF(U428&lt;=3,"2-3년",IF(U428&lt;=4,"3-4년",IF(U428&lt;=5,"4-5년",IF(U428&lt;=7,"5-7년",IF(U428&lt;=10,"7-10년",IF(U428&lt;=20,"10-20년","20년 이상")))))))),"미분류"))</f>
        <v>3-4년</v>
      </c>
      <c r="W428" s="43" t="str">
        <f aca="false">IF(Q428&lt;&gt;1,"",IF(AB428&lt;&gt;"",INDEX(시장분석!$C:$C,AB428),IF(K428=1,"USD","비USD")))</f>
        <v>USD</v>
      </c>
      <c r="X428" s="91" t="n">
        <f aca="false">IF(Q428=1,E428*K428/1000000,0)</f>
        <v>2.6</v>
      </c>
      <c r="Y428" s="89" t="n">
        <f aca="false">IF(R428="T",1,0)</f>
        <v>0</v>
      </c>
      <c r="Z428" s="92" t="n">
        <f aca="false">IF(Q428&lt;&gt;1,"",IF(AD428=1,IF(ISNUMBER(U428),MAX(U428,0),H428),H428))</f>
        <v>3.5625</v>
      </c>
      <c r="AA428" s="91" t="n">
        <f aca="false">IF(Q428=1,IF(ISNUMBER(L428),L428,0)*K428/1000000,0)</f>
        <v>2.4635442</v>
      </c>
      <c r="AB428" s="89" t="n">
        <f aca="false">IF(Q428&lt;&gt;1,"",IFERROR(MATCH(VLOOKUP(B428,매핑!$H$4:$I$15,2,0),시장분석!$A$2:$A$601,0)+1,IFERROR(MATCH(R428&amp;"|"&amp;T428,시장분석!$V$2:$V$601,0)+1,IF(COUNTIF(시장분석!$U$2:$U$601,T428)=1,MATCH(T428,시장분석!$U$2:$U$601,0)+1,""))))</f>
        <v>248</v>
      </c>
      <c r="AC428" s="89" t="n">
        <f aca="false">IF(Q428&lt;&gt;1,0,IF(OR(설정!$C$5="전체",AND(설정!$C$5="선택펀드",IFERROR(COUNTIFS(설정!$F$16:$F$36,C428,설정!$G$16:$G$36,"Y")+COUNTIFS(설정!$F$16:$F$36,VALUE(C428),설정!$G$16:$G$36,"Y"),0)&gt;0),C428&amp;""=설정!$C$5&amp;""),1,0))</f>
        <v>0</v>
      </c>
      <c r="AD428" s="89" t="n">
        <f aca="false">IF(Q428&lt;&gt;1,0,IF(OR(S428=1,IF(AB428="",FALSE(),INDEX(시장분석!$R:$R,AB428)=1)),1,0))</f>
        <v>0</v>
      </c>
      <c r="AE428" s="43" t="str">
        <f aca="false">IF(AB428="","",INDEX(시장분석!$A:$A,AB428))</f>
        <v>KOREAN 4 09/30/30</v>
      </c>
      <c r="AF428" s="93" t="n">
        <f aca="false">IF(AB428="","",IF(ISNUMBER(IF(AB428="","",INDEX(시장분석!$E:$E,AB428))),IF(AB428="","",INDEX(시장분석!$E:$E,AB428)),""))</f>
        <v>43.749</v>
      </c>
      <c r="AG428" s="43" t="str">
        <f aca="false">IF(Q428&lt;&gt;1,"",IF(AB428&lt;&gt;"",IF(AB428="","",INDEX(시장분석!$L:$L,AB428)),IFERROR(IF(VLOOKUP(R428,매핑!$A$4:$E$92,5,0)="","미분류",VLOOKUP(R428,매핑!$A$4:$E$92,5,0)),"미분류")))</f>
        <v>자유 소비재</v>
      </c>
      <c r="AH428" s="43" t="str">
        <f aca="false">IF(Q428&lt;&gt;1,"",IF(AB428&lt;&gt;"",IF(AB428="","",INDEX(시장분석!$N:$N,AB428)),IFERROR(IF(VLOOKUP(R428,매핑!$A$4:$E$92,4,0)="","미분류",VLOOKUP(R428,매핑!$A$4:$E$92,4,0)),"미분류")))</f>
        <v>아시아/기타</v>
      </c>
      <c r="AI428" s="43" t="str">
        <f aca="false">IF(Q428&lt;&gt;1,"",IFERROR(IF(VLOOKUP(R428,매핑!$A$4:$E$92,3,0)="","미분류",VLOOKUP(R428,매핑!$A$4:$E$92,3,0)),IF(AB428&lt;&gt;"",IF(AB428="","",INDEX(시장분석!$W:$W,AB428)),"미분류")))</f>
        <v>한국</v>
      </c>
      <c r="AJ428" s="43" t="str">
        <f aca="false">IF(Q428&lt;&gt;1,"",IFERROR(VLOOKUP(IF(N428&lt;&gt;"",N428,IF(P428&lt;&gt;"",P428,O428)),설정!$A$15:$D$47,2,0),""))</f>
        <v>AA</v>
      </c>
      <c r="AK428" s="43" t="str">
        <f aca="false">IF(Q428&lt;&gt;1,"",IF(AJ428="","무등급",IFERROR(VLOOKUP(AJ428,설정!$A$15:$D$47,3,0),"무등급")))</f>
        <v>AA이상</v>
      </c>
      <c r="AL428" s="89" t="n">
        <f aca="false">IF(AJ428="",99,IFERROR(VLOOKUP(AJ428,설정!$A$15:$D$47,4,0),99))</f>
        <v>3</v>
      </c>
      <c r="AM428" s="94" t="n">
        <f aca="false">IF(ISNUMBER(H428),AA428*1000000*H428/10000,0)</f>
        <v>877.63762125</v>
      </c>
      <c r="AN428" s="94" t="n">
        <f aca="false">IF(OR(Y428=1,NOT(ISNUMBER(Z428))),0,AA428*1000000*Z428/10000)</f>
        <v>877.63762125</v>
      </c>
      <c r="AO428" s="94" t="n">
        <f aca="false">IF(ISNUMBER(G428),AA428*1000000*G428/100,0)</f>
        <v>134970.1960854</v>
      </c>
      <c r="AP428" s="94" t="n">
        <f aca="false">IF(ISNUMBER(M428),M428*K428,0)</f>
        <v>-121747.6</v>
      </c>
      <c r="AQ428" s="95" t="n">
        <f aca="false">IF(AB428="","",INDEX(시장분석!$AK:$AK,AB428))</f>
        <v>-2.11637260000928</v>
      </c>
      <c r="AR428" s="43" t="str">
        <f aca="false">IF(AB428="","-",IF(AB428="","",INDEX(시장분석!$AL:$AL,AB428)))</f>
        <v>Rich</v>
      </c>
      <c r="AS428" s="96" t="n">
        <f aca="false">IF(AB428="","",INDEX(시장분석!$AJ:$AJ,AB428))</f>
        <v>-43.8405334428868</v>
      </c>
      <c r="AT428" s="93" t="n">
        <f aca="false">IF(AB428="",0,IF(AB428="","",INDEX(시장분석!$AN:$AN,AB428)))</f>
        <v>12.5825814364712</v>
      </c>
      <c r="AU428" s="94" t="n">
        <f aca="false">IF(ISNUMBER(Z428),AT428/10000*MAX(Z428-1,0)*AA428*1000000,0)</f>
        <v>7943.17228920435</v>
      </c>
      <c r="AV428" s="94" t="n">
        <f aca="false">AO428+AU428</f>
        <v>142913.368374604</v>
      </c>
      <c r="AW428" s="43" t="str">
        <f aca="false">IF(Q428&lt;&gt;1,"",TRIM(IF(AD428=1,"FRN ","")&amp;IF(AND(AL428&gt;=10,AL428&lt;99),"BBB0미만 ","")&amp;IF(AJ428="","등급없음 ","")&amp;IF(K428&lt;&gt;1,"비USD ","")&amp;IF(AND(AB428="",Y428=0),"시장데이터없음 ","")&amp;IF(AND(ISNUMBER(U428),U428&lt;0),"만기경과 ","")))</f>
        <v/>
      </c>
      <c r="AX428" s="90" t="n">
        <f aca="false">IF(Q428&lt;&gt;1,1,IF(스프레드쇼크!$C$4="Y",INDEX(스프레드쇼크!$B$12:$L$16,IFERROR(MATCH(AH428,스프레드쇼크!$A$12:$A$16,0),MATCH("목록외",스프레드쇼크!$A$12:$A$16,0)),IFERROR(MATCH(AG428,스프레드쇼크!$B$11:$L$11,0),MATCH("목록외",스프레드쇼크!$B$11:$L$11,0))),1))</f>
        <v>1</v>
      </c>
      <c r="AY428" s="90" t="n">
        <f aca="false">IF(스프레드쇼크!$C$5="Y",IF(ISNUMBER(AF428),MIN(스프레드쇼크!$C$7,MAX(스프레드쇼크!$C$6,AF428/스프레드쇼크!$C$8)),1),1)</f>
        <v>0.661720603402377</v>
      </c>
      <c r="AZ428" s="94" t="n">
        <f aca="false">AN428*AX428*AY428</f>
        <v>580.750896302177</v>
      </c>
      <c r="BA428" s="90" t="n">
        <f aca="false">IF(ISNUMBER(G428),AA428*G428,0)</f>
        <v>13.49701960854</v>
      </c>
      <c r="BB428" s="90" t="n">
        <f aca="false">IF(ISNUMBER(G428),AA428,0)</f>
        <v>2.4635442</v>
      </c>
      <c r="BC428" s="90" t="n">
        <f aca="false">IF(AND(Y428=0,ISNUMBER(AF428)),AA428*AF428,0)</f>
        <v>107.7775952058</v>
      </c>
      <c r="BD428" s="90" t="n">
        <f aca="false">IF(AND(Y428=0,ISNUMBER(AF428)),AA428,0)</f>
        <v>2.4635442</v>
      </c>
      <c r="BE428" s="90" t="n">
        <f aca="false">IF(ISNUMBER(H428),AA428*H428,0)</f>
        <v>8.7763762125</v>
      </c>
      <c r="BF428" s="90" t="n">
        <f aca="false">IF(ISNUMBER(H428),AA428,0)</f>
        <v>2.4635442</v>
      </c>
      <c r="BG428" s="90" t="n">
        <f aca="false">IF(AND(Y428=0,ISNUMBER(AF428),ISNUMBER(Z428)),AA428*Z428,0)</f>
        <v>8.7763762125</v>
      </c>
      <c r="BH428" s="90" t="n">
        <f aca="false">IF(AND(Y428=0,ISNUMBER(AF428),ISNUMBER(Z428)),AA428*AT428*MAX(Z428-1,0),0)</f>
        <v>79.4317228920435</v>
      </c>
      <c r="BI428" s="90" t="n">
        <f aca="false">IF(Y428=0,AA428,0)</f>
        <v>2.4635442</v>
      </c>
    </row>
    <row r="429" customFormat="false" ht="15" hidden="false" customHeight="false" outlineLevel="0" collapsed="false">
      <c r="A429" s="83" t="str">
        <f aca="false">IFERROR(IF(INDEX(원자료_잔고!$A$1:$EZ$1500,설정!$L$5+ROW()-1,설정!$L$8)&amp;""="0","",INDEX(원자료_잔고!$A$1:$EZ$1500,설정!$L$5+ROW()-1,설정!$L$8)&amp;""),"")</f>
        <v>KOREAN 4 09/30/30</v>
      </c>
      <c r="B429" s="83" t="str">
        <f aca="false">IFERROR(IF(INDEX(원자료_잔고!$A$1:$EZ$1500,설정!$L$5+ROW()-1,설정!$L$7)&amp;""="0","",INDEX(원자료_잔고!$A$1:$EZ$1500,설정!$L$5+ROW()-1,설정!$L$7)&amp;""),"")</f>
        <v>XS3177263418</v>
      </c>
      <c r="C429" s="83" t="str">
        <f aca="false">IFERROR(IF(INDEX(원자료_잔고!$A$1:$EZ$1500,설정!$L$5+ROW()-1,설정!$L$9)&amp;""="0","",INDEX(원자료_잔고!$A$1:$EZ$1500,설정!$L$5+ROW()-1,설정!$L$9)&amp;""),"")</f>
        <v>42003</v>
      </c>
      <c r="D42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29" s="84" t="n">
        <f aca="false">IFERROR(IF(ISNUMBER(INDEX(원자료_잔고!$A$1:$EZ$1500,설정!$L$5+ROW()-1,설정!$L$11)),INDEX(원자료_잔고!$A$1:$EZ$1500,설정!$L$5+ROW()-1,설정!$L$11),""),"")</f>
        <v>3100000</v>
      </c>
      <c r="F429" s="85" t="n">
        <f aca="false">IFERROR(IF(ISNUMBER(INDEX(원자료_잔고!$A$1:$EZ$1500,설정!$L$5+ROW()-1,설정!$L$12)),INDEX(원자료_잔고!$A$1:$EZ$1500,설정!$L$5+ROW()-1,설정!$L$12),""),"")</f>
        <v>94.7517</v>
      </c>
      <c r="G429" s="85" t="n">
        <f aca="false">IFERROR(IF(ISNUMBER(INDEX(원자료_잔고!$A$1:$EZ$1500,설정!$L$5+ROW()-1,설정!$L$13)),INDEX(원자료_잔고!$A$1:$EZ$1500,설정!$L$5+ROW()-1,설정!$L$13),""),"")</f>
        <v>5.4787</v>
      </c>
      <c r="H429" s="85" t="n">
        <f aca="false">IFERROR(IF(ISNUMBER(INDEX(원자료_잔고!$A$1:$EZ$1500,설정!$L$5+ROW()-1,설정!$L$14)),INDEX(원자료_잔고!$A$1:$EZ$1500,설정!$L$5+ROW()-1,설정!$L$14),""),"")</f>
        <v>3.5625</v>
      </c>
      <c r="I429" s="86" t="n">
        <f aca="false">IFERROR(IF(ISNUMBER(INDEX(원자료_잔고!$A$1:$EZ$1500,설정!$L$5+ROW()-1,설정!$L$15)),INDEX(원자료_잔고!$A$1:$EZ$1500,설정!$L$5+ROW()-1,설정!$L$15),""),"")</f>
        <v>47756</v>
      </c>
      <c r="J429" s="85" t="n">
        <f aca="false">IFERROR(IF(ISNUMBER(INDEX(원자료_잔고!$A$1:$EZ$1500,설정!$L$5+ROW()-1,설정!$L$16)),INDEX(원자료_잔고!$A$1:$EZ$1500,설정!$L$5+ROW()-1,설정!$L$16),""),"")</f>
        <v>4</v>
      </c>
      <c r="K429" s="87" t="n">
        <f aca="false">IFERROR(IF(ISNUMBER(INDEX(원자료_잔고!$A$1:$EZ$1500,설정!$L$5+ROW()-1,설정!$L$17)),INDEX(원자료_잔고!$A$1:$EZ$1500,설정!$L$5+ROW()-1,설정!$L$17),""),"")</f>
        <v>1</v>
      </c>
      <c r="L429" s="84" t="n">
        <f aca="false">IFERROR(IF(ISNUMBER(INDEX(원자료_잔고!$A$1:$EZ$1500,설정!$L$5+ROW()-1,설정!$L$18)),INDEX(원자료_잔고!$A$1:$EZ$1500,설정!$L$5+ROW()-1,설정!$L$18),""),"")</f>
        <v>2937302.7</v>
      </c>
      <c r="M429" s="88" t="n">
        <f aca="false">IFERROR(IF(ISNUMBER(INDEX(원자료_잔고!$A$1:$EZ$1500,설정!$L$5+ROW()-1,설정!$L$19)),INDEX(원자료_잔고!$A$1:$EZ$1500,설정!$L$5+ROW()-1,설정!$L$19),""),"")</f>
        <v>-145160.6</v>
      </c>
      <c r="N429" s="83" t="str">
        <f aca="false">IFERROR(IF(INDEX(원자료_잔고!$A$1:$EZ$1500,설정!$L$5+ROW()-1,설정!$L$21)&amp;""="0","",INDEX(원자료_잔고!$A$1:$EZ$1500,설정!$L$5+ROW()-1,설정!$L$21)&amp;""),"")</f>
        <v>AA</v>
      </c>
      <c r="O429" s="83" t="str">
        <f aca="false">IFERROR(IF(INDEX(원자료_잔고!$A$1:$EZ$1500,설정!$L$5+ROW()-1,설정!$L$22)&amp;""="0","",INDEX(원자료_잔고!$A$1:$EZ$1500,설정!$L$5+ROW()-1,설정!$L$22)&amp;""),"")</f>
        <v/>
      </c>
      <c r="P429" s="83" t="str">
        <f aca="false">IFERROR(IF(INDEX(원자료_잔고!$A$1:$EZ$1500,설정!$L$5+ROW()-1,설정!$L$23)&amp;""="0","",INDEX(원자료_잔고!$A$1:$EZ$1500,설정!$L$5+ROW()-1,설정!$L$23)&amp;""),"")</f>
        <v>N/A</v>
      </c>
      <c r="Q429" s="89" t="n">
        <f aca="false">IF(AND($A429&lt;&gt;"",ISNUMBER(E429)),IF(E429&gt;0,1,0),0)</f>
        <v>1</v>
      </c>
      <c r="R429" s="43" t="str">
        <f aca="false">IF(Q429=1,UPPER(LEFT($A429,FIND(" ",$A429&amp;" ")-1)),"")</f>
        <v>KOREAN</v>
      </c>
      <c r="S429" s="89" t="n">
        <f aca="false">IF(Q429=1,IF(OR(ISNUMBER(SEARCH("Float",$A429)),ISNUMBER(SEARCH("FRN",$A429))),1,0),0)</f>
        <v>0</v>
      </c>
      <c r="T429" s="43" t="str">
        <f aca="false">IF(AND(Q429=1,ISNUMBER(I429)),TEXT(I429,"yyyymmdd")&amp;"|"&amp;IF(S429=1,"F",TEXT(J429,"0.000")),"")</f>
        <v>20300930|4.000</v>
      </c>
      <c r="U429" s="90" t="n">
        <f aca="false">IF(AND(Q429=1,ISNUMBER(I429)),(I429-설정!$C$4)/365.25,"")</f>
        <v>3.99726214921287</v>
      </c>
      <c r="V429" s="43" t="str">
        <f aca="false">IF(Q429&lt;&gt;1,"",IF(ISNUMBER(U429),IF(U429&lt;=1,"1년 이하",IF(U429&lt;=2,"1-2년",IF(U429&lt;=3,"2-3년",IF(U429&lt;=4,"3-4년",IF(U429&lt;=5,"4-5년",IF(U429&lt;=7,"5-7년",IF(U429&lt;=10,"7-10년",IF(U429&lt;=20,"10-20년","20년 이상")))))))),"미분류"))</f>
        <v>3-4년</v>
      </c>
      <c r="W429" s="43" t="str">
        <f aca="false">IF(Q429&lt;&gt;1,"",IF(AB429&lt;&gt;"",INDEX(시장분석!$C:$C,AB429),IF(K429=1,"USD","비USD")))</f>
        <v>USD</v>
      </c>
      <c r="X429" s="91" t="n">
        <f aca="false">IF(Q429=1,E429*K429/1000000,0)</f>
        <v>3.1</v>
      </c>
      <c r="Y429" s="89" t="n">
        <f aca="false">IF(R429="T",1,0)</f>
        <v>0</v>
      </c>
      <c r="Z429" s="92" t="n">
        <f aca="false">IF(Q429&lt;&gt;1,"",IF(AD429=1,IF(ISNUMBER(U429),MAX(U429,0),H429),H429))</f>
        <v>3.5625</v>
      </c>
      <c r="AA429" s="91" t="n">
        <f aca="false">IF(Q429=1,IF(ISNUMBER(L429),L429,0)*K429/1000000,0)</f>
        <v>2.9373027</v>
      </c>
      <c r="AB429" s="89" t="n">
        <f aca="false">IF(Q429&lt;&gt;1,"",IFERROR(MATCH(VLOOKUP(B429,매핑!$H$4:$I$15,2,0),시장분석!$A$2:$A$601,0)+1,IFERROR(MATCH(R429&amp;"|"&amp;T429,시장분석!$V$2:$V$601,0)+1,IF(COUNTIF(시장분석!$U$2:$U$601,T429)=1,MATCH(T429,시장분석!$U$2:$U$601,0)+1,""))))</f>
        <v>248</v>
      </c>
      <c r="AC429" s="89" t="n">
        <f aca="false">IF(Q429&lt;&gt;1,0,IF(OR(설정!$C$5="전체",AND(설정!$C$5="선택펀드",IFERROR(COUNTIFS(설정!$F$16:$F$36,C429,설정!$G$16:$G$36,"Y")+COUNTIFS(설정!$F$16:$F$36,VALUE(C429),설정!$G$16:$G$36,"Y"),0)&gt;0),C429&amp;""=설정!$C$5&amp;""),1,0))</f>
        <v>0</v>
      </c>
      <c r="AD429" s="89" t="n">
        <f aca="false">IF(Q429&lt;&gt;1,0,IF(OR(S429=1,IF(AB429="",FALSE(),INDEX(시장분석!$R:$R,AB429)=1)),1,0))</f>
        <v>0</v>
      </c>
      <c r="AE429" s="43" t="str">
        <f aca="false">IF(AB429="","",INDEX(시장분석!$A:$A,AB429))</f>
        <v>KOREAN 4 09/30/30</v>
      </c>
      <c r="AF429" s="93" t="n">
        <f aca="false">IF(AB429="","",IF(ISNUMBER(IF(AB429="","",INDEX(시장분석!$E:$E,AB429))),IF(AB429="","",INDEX(시장분석!$E:$E,AB429)),""))</f>
        <v>43.749</v>
      </c>
      <c r="AG429" s="43" t="str">
        <f aca="false">IF(Q429&lt;&gt;1,"",IF(AB429&lt;&gt;"",IF(AB429="","",INDEX(시장분석!$L:$L,AB429)),IFERROR(IF(VLOOKUP(R429,매핑!$A$4:$E$92,5,0)="","미분류",VLOOKUP(R429,매핑!$A$4:$E$92,5,0)),"미분류")))</f>
        <v>자유 소비재</v>
      </c>
      <c r="AH429" s="43" t="str">
        <f aca="false">IF(Q429&lt;&gt;1,"",IF(AB429&lt;&gt;"",IF(AB429="","",INDEX(시장분석!$N:$N,AB429)),IFERROR(IF(VLOOKUP(R429,매핑!$A$4:$E$92,4,0)="","미분류",VLOOKUP(R429,매핑!$A$4:$E$92,4,0)),"미분류")))</f>
        <v>아시아/기타</v>
      </c>
      <c r="AI429" s="43" t="str">
        <f aca="false">IF(Q429&lt;&gt;1,"",IFERROR(IF(VLOOKUP(R429,매핑!$A$4:$E$92,3,0)="","미분류",VLOOKUP(R429,매핑!$A$4:$E$92,3,0)),IF(AB429&lt;&gt;"",IF(AB429="","",INDEX(시장분석!$W:$W,AB429)),"미분류")))</f>
        <v>한국</v>
      </c>
      <c r="AJ429" s="43" t="str">
        <f aca="false">IF(Q429&lt;&gt;1,"",IFERROR(VLOOKUP(IF(N429&lt;&gt;"",N429,IF(P429&lt;&gt;"",P429,O429)),설정!$A$15:$D$47,2,0),""))</f>
        <v>AA</v>
      </c>
      <c r="AK429" s="43" t="str">
        <f aca="false">IF(Q429&lt;&gt;1,"",IF(AJ429="","무등급",IFERROR(VLOOKUP(AJ429,설정!$A$15:$D$47,3,0),"무등급")))</f>
        <v>AA이상</v>
      </c>
      <c r="AL429" s="89" t="n">
        <f aca="false">IF(AJ429="",99,IFERROR(VLOOKUP(AJ429,설정!$A$15:$D$47,4,0),99))</f>
        <v>3</v>
      </c>
      <c r="AM429" s="94" t="n">
        <f aca="false">IF(ISNUMBER(H429),AA429*1000000*H429/10000,0)</f>
        <v>1046.414086875</v>
      </c>
      <c r="AN429" s="94" t="n">
        <f aca="false">IF(OR(Y429=1,NOT(ISNUMBER(Z429))),0,AA429*1000000*Z429/10000)</f>
        <v>1046.414086875</v>
      </c>
      <c r="AO429" s="94" t="n">
        <f aca="false">IF(ISNUMBER(G429),AA429*1000000*G429/100,0)</f>
        <v>160926.0030249</v>
      </c>
      <c r="AP429" s="94" t="n">
        <f aca="false">IF(ISNUMBER(M429),M429*K429,0)</f>
        <v>-145160.6</v>
      </c>
      <c r="AQ429" s="95" t="n">
        <f aca="false">IF(AB429="","",INDEX(시장분석!$AK:$AK,AB429))</f>
        <v>-2.11637260000928</v>
      </c>
      <c r="AR429" s="43" t="str">
        <f aca="false">IF(AB429="","-",IF(AB429="","",INDEX(시장분석!$AL:$AL,AB429)))</f>
        <v>Rich</v>
      </c>
      <c r="AS429" s="96" t="n">
        <f aca="false">IF(AB429="","",INDEX(시장분석!$AJ:$AJ,AB429))</f>
        <v>-43.8405334428868</v>
      </c>
      <c r="AT429" s="93" t="n">
        <f aca="false">IF(AB429="",0,IF(AB429="","",INDEX(시장분석!$AN:$AN,AB429)))</f>
        <v>12.5825814364712</v>
      </c>
      <c r="AU429" s="94" t="n">
        <f aca="false">IF(ISNUMBER(Z429),AT429/10000*MAX(Z429-1,0)*AA429*1000000,0)</f>
        <v>9470.70542174364</v>
      </c>
      <c r="AV429" s="94" t="n">
        <f aca="false">AO429+AU429</f>
        <v>170396.708446644</v>
      </c>
      <c r="AW429" s="43" t="str">
        <f aca="false">IF(Q429&lt;&gt;1,"",TRIM(IF(AD429=1,"FRN ","")&amp;IF(AND(AL429&gt;=10,AL429&lt;99),"BBB0미만 ","")&amp;IF(AJ429="","등급없음 ","")&amp;IF(K429&lt;&gt;1,"비USD ","")&amp;IF(AND(AB429="",Y429=0),"시장데이터없음 ","")&amp;IF(AND(ISNUMBER(U429),U429&lt;0),"만기경과 ","")))</f>
        <v/>
      </c>
      <c r="AX429" s="90" t="n">
        <f aca="false">IF(Q429&lt;&gt;1,1,IF(스프레드쇼크!$C$4="Y",INDEX(스프레드쇼크!$B$12:$L$16,IFERROR(MATCH(AH429,스프레드쇼크!$A$12:$A$16,0),MATCH("목록외",스프레드쇼크!$A$12:$A$16,0)),IFERROR(MATCH(AG429,스프레드쇼크!$B$11:$L$11,0),MATCH("목록외",스프레드쇼크!$B$11:$L$11,0))),1))</f>
        <v>1</v>
      </c>
      <c r="AY429" s="90" t="n">
        <f aca="false">IF(스프레드쇼크!$C$5="Y",IF(ISNUMBER(AF429),MIN(스프레드쇼크!$C$7,MAX(스프레드쇼크!$C$6,AF429/스프레드쇼크!$C$8)),1),1)</f>
        <v>0.661720603402377</v>
      </c>
      <c r="AZ429" s="94" t="n">
        <f aca="false">AN429*AX429*AY429</f>
        <v>692.433760975673</v>
      </c>
      <c r="BA429" s="90" t="n">
        <f aca="false">IF(ISNUMBER(G429),AA429*G429,0)</f>
        <v>16.09260030249</v>
      </c>
      <c r="BB429" s="90" t="n">
        <f aca="false">IF(ISNUMBER(G429),AA429,0)</f>
        <v>2.9373027</v>
      </c>
      <c r="BC429" s="90" t="n">
        <f aca="false">IF(AND(Y429=0,ISNUMBER(AF429)),AA429*AF429,0)</f>
        <v>128.5040558223</v>
      </c>
      <c r="BD429" s="90" t="n">
        <f aca="false">IF(AND(Y429=0,ISNUMBER(AF429)),AA429,0)</f>
        <v>2.9373027</v>
      </c>
      <c r="BE429" s="90" t="n">
        <f aca="false">IF(ISNUMBER(H429),AA429*H429,0)</f>
        <v>10.46414086875</v>
      </c>
      <c r="BF429" s="90" t="n">
        <f aca="false">IF(ISNUMBER(H429),AA429,0)</f>
        <v>2.9373027</v>
      </c>
      <c r="BG429" s="90" t="n">
        <f aca="false">IF(AND(Y429=0,ISNUMBER(AF429),ISNUMBER(Z429)),AA429*Z429,0)</f>
        <v>10.46414086875</v>
      </c>
      <c r="BH429" s="90" t="n">
        <f aca="false">IF(AND(Y429=0,ISNUMBER(AF429),ISNUMBER(Z429)),AA429*AT429*MAX(Z429-1,0),0)</f>
        <v>94.7070542174364</v>
      </c>
      <c r="BI429" s="90" t="n">
        <f aca="false">IF(Y429=0,AA429,0)</f>
        <v>2.9373027</v>
      </c>
    </row>
    <row r="430" customFormat="false" ht="15" hidden="false" customHeight="false" outlineLevel="0" collapsed="false">
      <c r="A430" s="83" t="str">
        <f aca="false">IFERROR(IF(INDEX(원자료_잔고!$A$1:$EZ$1500,설정!$L$5+ROW()-1,설정!$L$8)&amp;""="0","",INDEX(원자료_잔고!$A$1:$EZ$1500,설정!$L$5+ROW()-1,설정!$L$8)&amp;""),"")</f>
        <v>KOEWPW 4 05/04/31</v>
      </c>
      <c r="B430" s="83" t="str">
        <f aca="false">IFERROR(IF(INDEX(원자료_잔고!$A$1:$EZ$1500,설정!$L$5+ROW()-1,설정!$L$7)&amp;""="0","",INDEX(원자료_잔고!$A$1:$EZ$1500,설정!$L$5+ROW()-1,설정!$L$7)&amp;""),"")</f>
        <v>XS3219365635</v>
      </c>
      <c r="C430" s="83" t="str">
        <f aca="false">IFERROR(IF(INDEX(원자료_잔고!$A$1:$EZ$1500,설정!$L$5+ROW()-1,설정!$L$9)&amp;""="0","",INDEX(원자료_잔고!$A$1:$EZ$1500,설정!$L$5+ROW()-1,설정!$L$9)&amp;""),"")</f>
        <v>42003</v>
      </c>
      <c r="D43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0" s="84" t="n">
        <f aca="false">IFERROR(IF(ISNUMBER(INDEX(원자료_잔고!$A$1:$EZ$1500,설정!$L$5+ROW()-1,설정!$L$11)),INDEX(원자료_잔고!$A$1:$EZ$1500,설정!$L$5+ROW()-1,설정!$L$11),""),"")</f>
        <v>4723000</v>
      </c>
      <c r="F430" s="85" t="n">
        <f aca="false">IFERROR(IF(ISNUMBER(INDEX(원자료_잔고!$A$1:$EZ$1500,설정!$L$5+ROW()-1,설정!$L$12)),INDEX(원자료_잔고!$A$1:$EZ$1500,설정!$L$5+ROW()-1,설정!$L$12),""),"")</f>
        <v>94.0724</v>
      </c>
      <c r="G430" s="85" t="n">
        <f aca="false">IFERROR(IF(ISNUMBER(INDEX(원자료_잔고!$A$1:$EZ$1500,설정!$L$5+ROW()-1,설정!$L$13)),INDEX(원자료_잔고!$A$1:$EZ$1500,설정!$L$5+ROW()-1,설정!$L$13),""),"")</f>
        <v>5.4747</v>
      </c>
      <c r="H430" s="85" t="n">
        <f aca="false">IFERROR(IF(ISNUMBER(INDEX(원자료_잔고!$A$1:$EZ$1500,설정!$L$5+ROW()-1,설정!$L$14)),INDEX(원자료_잔고!$A$1:$EZ$1500,설정!$L$5+ROW()-1,설정!$L$14),""),"")</f>
        <v>3.9541</v>
      </c>
      <c r="I430" s="86" t="n">
        <f aca="false">IFERROR(IF(ISNUMBER(INDEX(원자료_잔고!$A$1:$EZ$1500,설정!$L$5+ROW()-1,설정!$L$15)),INDEX(원자료_잔고!$A$1:$EZ$1500,설정!$L$5+ROW()-1,설정!$L$15),""),"")</f>
        <v>47972</v>
      </c>
      <c r="J430" s="85" t="n">
        <f aca="false">IFERROR(IF(ISNUMBER(INDEX(원자료_잔고!$A$1:$EZ$1500,설정!$L$5+ROW()-1,설정!$L$16)),INDEX(원자료_잔고!$A$1:$EZ$1500,설정!$L$5+ROW()-1,설정!$L$16),""),"")</f>
        <v>4</v>
      </c>
      <c r="K430" s="87" t="n">
        <f aca="false">IFERROR(IF(ISNUMBER(INDEX(원자료_잔고!$A$1:$EZ$1500,설정!$L$5+ROW()-1,설정!$L$17)),INDEX(원자료_잔고!$A$1:$EZ$1500,설정!$L$5+ROW()-1,설정!$L$17),""),"")</f>
        <v>1</v>
      </c>
      <c r="L430" s="84" t="n">
        <f aca="false">IFERROR(IF(ISNUMBER(INDEX(원자료_잔고!$A$1:$EZ$1500,설정!$L$5+ROW()-1,설정!$L$18)),INDEX(원자료_잔고!$A$1:$EZ$1500,설정!$L$5+ROW()-1,설정!$L$18),""),"")</f>
        <v>4443039.45</v>
      </c>
      <c r="M430" s="88" t="n">
        <f aca="false">IFERROR(IF(ISNUMBER(INDEX(원자료_잔고!$A$1:$EZ$1500,설정!$L$5+ROW()-1,설정!$L$19)),INDEX(원자료_잔고!$A$1:$EZ$1500,설정!$L$5+ROW()-1,설정!$L$19),""),"")</f>
        <v>-231785.95</v>
      </c>
      <c r="N430" s="83" t="str">
        <f aca="false">IFERROR(IF(INDEX(원자료_잔고!$A$1:$EZ$1500,설정!$L$5+ROW()-1,설정!$L$21)&amp;""="0","",INDEX(원자료_잔고!$A$1:$EZ$1500,설정!$L$5+ROW()-1,설정!$L$21)&amp;""),"")</f>
        <v/>
      </c>
      <c r="O430" s="83" t="str">
        <f aca="false">IFERROR(IF(INDEX(원자료_잔고!$A$1:$EZ$1500,설정!$L$5+ROW()-1,설정!$L$22)&amp;""="0","",INDEX(원자료_잔고!$A$1:$EZ$1500,설정!$L$5+ROW()-1,설정!$L$22)&amp;""),"")</f>
        <v/>
      </c>
      <c r="P430" s="83" t="str">
        <f aca="false">IFERROR(IF(INDEX(원자료_잔고!$A$1:$EZ$1500,설정!$L$5+ROW()-1,설정!$L$23)&amp;""="0","",INDEX(원자료_잔고!$A$1:$EZ$1500,설정!$L$5+ROW()-1,설정!$L$23)&amp;""),"")</f>
        <v>AA-</v>
      </c>
      <c r="Q430" s="89" t="n">
        <f aca="false">IF(AND($A430&lt;&gt;"",ISNUMBER(E430)),IF(E430&gt;0,1,0),0)</f>
        <v>1</v>
      </c>
      <c r="R430" s="43" t="str">
        <f aca="false">IF(Q430=1,UPPER(LEFT($A430,FIND(" ",$A430&amp;" ")-1)),"")</f>
        <v>KOEWPW</v>
      </c>
      <c r="S430" s="89" t="n">
        <f aca="false">IF(Q430=1,IF(OR(ISNUMBER(SEARCH("Float",$A430)),ISNUMBER(SEARCH("FRN",$A430))),1,0),0)</f>
        <v>0</v>
      </c>
      <c r="T430" s="43" t="str">
        <f aca="false">IF(AND(Q430=1,ISNUMBER(I430)),TEXT(I430,"yyyymmdd")&amp;"|"&amp;IF(S430=1,"F",TEXT(J430,"0.000")),"")</f>
        <v>20310504|4.000</v>
      </c>
      <c r="U430" s="90" t="n">
        <f aca="false">IF(AND(Q430=1,ISNUMBER(I430)),(I430-설정!$C$4)/365.25,"")</f>
        <v>4.5886379192334</v>
      </c>
      <c r="V430" s="43" t="str">
        <f aca="false">IF(Q430&lt;&gt;1,"",IF(ISNUMBER(U430),IF(U430&lt;=1,"1년 이하",IF(U430&lt;=2,"1-2년",IF(U430&lt;=3,"2-3년",IF(U430&lt;=4,"3-4년",IF(U430&lt;=5,"4-5년",IF(U430&lt;=7,"5-7년",IF(U430&lt;=10,"7-10년",IF(U430&lt;=20,"10-20년","20년 이상")))))))),"미분류"))</f>
        <v>4-5년</v>
      </c>
      <c r="W430" s="43" t="str">
        <f aca="false">IF(Q430&lt;&gt;1,"",IF(AB430&lt;&gt;"",INDEX(시장분석!$C:$C,AB430),IF(K430=1,"USD","비USD")))</f>
        <v>USD</v>
      </c>
      <c r="X430" s="91" t="n">
        <f aca="false">IF(Q430=1,E430*K430/1000000,0)</f>
        <v>4.723</v>
      </c>
      <c r="Y430" s="89" t="n">
        <f aca="false">IF(R430="T",1,0)</f>
        <v>0</v>
      </c>
      <c r="Z430" s="92" t="n">
        <f aca="false">IF(Q430&lt;&gt;1,"",IF(AD430=1,IF(ISNUMBER(U430),MAX(U430,0),H430),H430))</f>
        <v>3.9541</v>
      </c>
      <c r="AA430" s="91" t="n">
        <f aca="false">IF(Q430=1,IF(ISNUMBER(L430),L430,0)*K430/1000000,0)</f>
        <v>4.44303945</v>
      </c>
      <c r="AB430" s="89" t="n">
        <f aca="false">IF(Q430&lt;&gt;1,"",IFERROR(MATCH(VLOOKUP(B430,매핑!$H$4:$I$15,2,0),시장분석!$A$2:$A$601,0)+1,IFERROR(MATCH(R430&amp;"|"&amp;T430,시장분석!$V$2:$V$601,0)+1,IF(COUNTIF(시장분석!$U$2:$U$601,T430)=1,MATCH(T430,시장분석!$U$2:$U$601,0)+1,""))))</f>
        <v>251</v>
      </c>
      <c r="AC430" s="89" t="n">
        <f aca="false">IF(Q430&lt;&gt;1,0,IF(OR(설정!$C$5="전체",AND(설정!$C$5="선택펀드",IFERROR(COUNTIFS(설정!$F$16:$F$36,C430,설정!$G$16:$G$36,"Y")+COUNTIFS(설정!$F$16:$F$36,VALUE(C430),설정!$G$16:$G$36,"Y"),0)&gt;0),C430&amp;""=설정!$C$5&amp;""),1,0))</f>
        <v>0</v>
      </c>
      <c r="AD430" s="89" t="n">
        <f aca="false">IF(Q430&lt;&gt;1,0,IF(OR(S430=1,IF(AB430="",FALSE(),INDEX(시장분석!$R:$R,AB430)=1)),1,0))</f>
        <v>0</v>
      </c>
      <c r="AE430" s="43" t="str">
        <f aca="false">IF(AB430="","",INDEX(시장분석!$A:$A,AB430))</f>
        <v>KOEWPW 4 05/04/31</v>
      </c>
      <c r="AF430" s="93" t="n">
        <f aca="false">IF(AB430="","",IF(ISNUMBER(IF(AB430="","",INDEX(시장분석!$E:$E,AB430))),IF(AB430="","",INDEX(시장분석!$E:$E,AB430)),""))</f>
        <v>44.963</v>
      </c>
      <c r="AG430" s="43" t="str">
        <f aca="false">IF(Q430&lt;&gt;1,"",IF(AB430&lt;&gt;"",IF(AB430="","",INDEX(시장분석!$L:$L,AB430)),IFERROR(IF(VLOOKUP(R430,매핑!$A$4:$E$92,5,0)="","미분류",VLOOKUP(R430,매핑!$A$4:$E$92,5,0)),"미분류")))</f>
        <v>유틸리티</v>
      </c>
      <c r="AH430" s="43" t="str">
        <f aca="false">IF(Q430&lt;&gt;1,"",IF(AB430&lt;&gt;"",IF(AB430="","",INDEX(시장분석!$N:$N,AB430)),IFERROR(IF(VLOOKUP(R430,매핑!$A$4:$E$92,4,0)="","미분류",VLOOKUP(R430,매핑!$A$4:$E$92,4,0)),"미분류")))</f>
        <v>아시아/기타</v>
      </c>
      <c r="AI430" s="43" t="str">
        <f aca="false">IF(Q430&lt;&gt;1,"",IFERROR(IF(VLOOKUP(R430,매핑!$A$4:$E$92,3,0)="","미분류",VLOOKUP(R430,매핑!$A$4:$E$92,3,0)),IF(AB430&lt;&gt;"",IF(AB430="","",INDEX(시장분석!$W:$W,AB430)),"미분류")))</f>
        <v>한국</v>
      </c>
      <c r="AJ430" s="43" t="str">
        <f aca="false">IF(Q430&lt;&gt;1,"",IFERROR(VLOOKUP(IF(N430&lt;&gt;"",N430,IF(P430&lt;&gt;"",P430,O430)),설정!$A$15:$D$47,2,0),""))</f>
        <v>AA-</v>
      </c>
      <c r="AK430" s="43" t="str">
        <f aca="false">IF(Q430&lt;&gt;1,"",IF(AJ430="","무등급",IFERROR(VLOOKUP(AJ430,설정!$A$15:$D$47,3,0),"무등급")))</f>
        <v>AA이상</v>
      </c>
      <c r="AL430" s="89" t="n">
        <f aca="false">IF(AJ430="",99,IFERROR(VLOOKUP(AJ430,설정!$A$15:$D$47,4,0),99))</f>
        <v>4</v>
      </c>
      <c r="AM430" s="94" t="n">
        <f aca="false">IF(ISNUMBER(H430),AA430*1000000*H430/10000,0)</f>
        <v>1756.8222289245</v>
      </c>
      <c r="AN430" s="94" t="n">
        <f aca="false">IF(OR(Y430=1,NOT(ISNUMBER(Z430))),0,AA430*1000000*Z430/10000)</f>
        <v>1756.8222289245</v>
      </c>
      <c r="AO430" s="94" t="n">
        <f aca="false">IF(ISNUMBER(G430),AA430*1000000*G430/100,0)</f>
        <v>243243.08076915</v>
      </c>
      <c r="AP430" s="94" t="n">
        <f aca="false">IF(ISNUMBER(M430),M430*K430,0)</f>
        <v>-231785.95</v>
      </c>
      <c r="AQ430" s="95" t="n">
        <f aca="false">IF(AB430="","",INDEX(시장분석!$AK:$AK,AB430))</f>
        <v>-0.552837385698105</v>
      </c>
      <c r="AR430" s="43" t="str">
        <f aca="false">IF(AB430="","-",IF(AB430="","",INDEX(시장분석!$AL:$AL,AB430)))</f>
        <v>Fair</v>
      </c>
      <c r="AS430" s="96" t="n">
        <f aca="false">IF(AB430="","",INDEX(시장분석!$AJ:$AJ,AB430))</f>
        <v>-2.96167741592573</v>
      </c>
      <c r="AT430" s="93" t="n">
        <f aca="false">IF(AB430="",0,IF(AB430="","",INDEX(시장분석!$AN:$AN,AB430)))</f>
        <v>10.4271790868984</v>
      </c>
      <c r="AU430" s="94" t="n">
        <f aca="false">IF(ISNUMBER(Z430),AT430/10000*MAX(Z430-1,0)*AA430*1000000,0)</f>
        <v>13685.8632013093</v>
      </c>
      <c r="AV430" s="94" t="n">
        <f aca="false">AO430+AU430</f>
        <v>256928.943970459</v>
      </c>
      <c r="AW430" s="43" t="str">
        <f aca="false">IF(Q430&lt;&gt;1,"",TRIM(IF(AD430=1,"FRN ","")&amp;IF(AND(AL430&gt;=10,AL430&lt;99),"BBB0미만 ","")&amp;IF(AJ430="","등급없음 ","")&amp;IF(K430&lt;&gt;1,"비USD ","")&amp;IF(AND(AB430="",Y430=0),"시장데이터없음 ","")&amp;IF(AND(ISNUMBER(U430),U430&lt;0),"만기경과 ","")))</f>
        <v/>
      </c>
      <c r="AX430" s="90" t="n">
        <f aca="false">IF(Q430&lt;&gt;1,1,IF(스프레드쇼크!$C$4="Y",INDEX(스프레드쇼크!$B$12:$L$16,IFERROR(MATCH(AH430,스프레드쇼크!$A$12:$A$16,0),MATCH("목록외",스프레드쇼크!$A$12:$A$16,0)),IFERROR(MATCH(AG430,스프레드쇼크!$B$11:$L$11,0),MATCH("목록외",스프레드쇼크!$B$11:$L$11,0))),1))</f>
        <v>1</v>
      </c>
      <c r="AY430" s="90" t="n">
        <f aca="false">IF(스프레드쇼크!$C$5="Y",IF(ISNUMBER(AF430),MIN(스프레드쇼크!$C$7,MAX(스프레드쇼크!$C$6,AF430/스프레드쇼크!$C$8)),1),1)</f>
        <v>0.680082824539557</v>
      </c>
      <c r="AZ430" s="94" t="n">
        <f aca="false">AN430*AX430*AY430</f>
        <v>1194.78462366085</v>
      </c>
      <c r="BA430" s="90" t="n">
        <f aca="false">IF(ISNUMBER(G430),AA430*G430,0)</f>
        <v>24.324308076915</v>
      </c>
      <c r="BB430" s="90" t="n">
        <f aca="false">IF(ISNUMBER(G430),AA430,0)</f>
        <v>4.44303945</v>
      </c>
      <c r="BC430" s="90" t="n">
        <f aca="false">IF(AND(Y430=0,ISNUMBER(AF430)),AA430*AF430,0)</f>
        <v>199.77238279035</v>
      </c>
      <c r="BD430" s="90" t="n">
        <f aca="false">IF(AND(Y430=0,ISNUMBER(AF430)),AA430,0)</f>
        <v>4.44303945</v>
      </c>
      <c r="BE430" s="90" t="n">
        <f aca="false">IF(ISNUMBER(H430),AA430*H430,0)</f>
        <v>17.568222289245</v>
      </c>
      <c r="BF430" s="90" t="n">
        <f aca="false">IF(ISNUMBER(H430),AA430,0)</f>
        <v>4.44303945</v>
      </c>
      <c r="BG430" s="90" t="n">
        <f aca="false">IF(AND(Y430=0,ISNUMBER(AF430),ISNUMBER(Z430)),AA430*Z430,0)</f>
        <v>17.568222289245</v>
      </c>
      <c r="BH430" s="90" t="n">
        <f aca="false">IF(AND(Y430=0,ISNUMBER(AF430),ISNUMBER(Z430)),AA430*AT430*MAX(Z430-1,0),0)</f>
        <v>136.858632013093</v>
      </c>
      <c r="BI430" s="90" t="n">
        <f aca="false">IF(Y430=0,AA430,0)</f>
        <v>4.44303945</v>
      </c>
    </row>
    <row r="431" customFormat="false" ht="15" hidden="false" customHeight="false" outlineLevel="0" collapsed="false">
      <c r="A431" s="83" t="str">
        <f aca="false">IFERROR(IF(INDEX(원자료_잔고!$A$1:$EZ$1500,설정!$L$5+ROW()-1,설정!$L$8)&amp;""="0","",INDEX(원자료_잔고!$A$1:$EZ$1500,설정!$L$5+ROW()-1,설정!$L$8)&amp;""),"")</f>
        <v>KOMRMR 4.875 04/13/31</v>
      </c>
      <c r="B431" s="83" t="str">
        <f aca="false">IFERROR(IF(INDEX(원자료_잔고!$A$1:$EZ$1500,설정!$L$5+ROW()-1,설정!$L$7)&amp;""="0","",INDEX(원자료_잔고!$A$1:$EZ$1500,설정!$L$5+ROW()-1,설정!$L$7)&amp;""),"")</f>
        <v>XS3322576417</v>
      </c>
      <c r="C431" s="83" t="str">
        <f aca="false">IFERROR(IF(INDEX(원자료_잔고!$A$1:$EZ$1500,설정!$L$5+ROW()-1,설정!$L$9)&amp;""="0","",INDEX(원자료_잔고!$A$1:$EZ$1500,설정!$L$5+ROW()-1,설정!$L$9)&amp;""),"")</f>
        <v>42003</v>
      </c>
      <c r="D43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1" s="84" t="n">
        <f aca="false">IFERROR(IF(ISNUMBER(INDEX(원자료_잔고!$A$1:$EZ$1500,설정!$L$5+ROW()-1,설정!$L$11)),INDEX(원자료_잔고!$A$1:$EZ$1500,설정!$L$5+ROW()-1,설정!$L$11),""),"")</f>
        <v>600000</v>
      </c>
      <c r="F431" s="85" t="n">
        <f aca="false">IFERROR(IF(ISNUMBER(INDEX(원자료_잔고!$A$1:$EZ$1500,설정!$L$5+ROW()-1,설정!$L$12)),INDEX(원자료_잔고!$A$1:$EZ$1500,설정!$L$5+ROW()-1,설정!$L$12),""),"")</f>
        <v>97.1086</v>
      </c>
      <c r="G431" s="85" t="n">
        <f aca="false">IFERROR(IF(ISNUMBER(INDEX(원자료_잔고!$A$1:$EZ$1500,설정!$L$5+ROW()-1,설정!$L$13)),INDEX(원자료_잔고!$A$1:$EZ$1500,설정!$L$5+ROW()-1,설정!$L$13),""),"")</f>
        <v>5.6049</v>
      </c>
      <c r="H431" s="85" t="n">
        <f aca="false">IFERROR(IF(ISNUMBER(INDEX(원자료_잔고!$A$1:$EZ$1500,설정!$L$5+ROW()-1,설정!$L$14)),INDEX(원자료_잔고!$A$1:$EZ$1500,설정!$L$5+ROW()-1,설정!$L$14),""),"")</f>
        <v>3.8141</v>
      </c>
      <c r="I431" s="86" t="n">
        <f aca="false">IFERROR(IF(ISNUMBER(INDEX(원자료_잔고!$A$1:$EZ$1500,설정!$L$5+ROW()-1,설정!$L$15)),INDEX(원자료_잔고!$A$1:$EZ$1500,설정!$L$5+ROW()-1,설정!$L$15),""),"")</f>
        <v>47951</v>
      </c>
      <c r="J431" s="85" t="n">
        <f aca="false">IFERROR(IF(ISNUMBER(INDEX(원자료_잔고!$A$1:$EZ$1500,설정!$L$5+ROW()-1,설정!$L$16)),INDEX(원자료_잔고!$A$1:$EZ$1500,설정!$L$5+ROW()-1,설정!$L$16),""),"")</f>
        <v>4.875</v>
      </c>
      <c r="K431" s="87" t="n">
        <f aca="false">IFERROR(IF(ISNUMBER(INDEX(원자료_잔고!$A$1:$EZ$1500,설정!$L$5+ROW()-1,설정!$L$17)),INDEX(원자료_잔고!$A$1:$EZ$1500,설정!$L$5+ROW()-1,설정!$L$17),""),"")</f>
        <v>1</v>
      </c>
      <c r="L431" s="84" t="n">
        <f aca="false">IFERROR(IF(ISNUMBER(INDEX(원자료_잔고!$A$1:$EZ$1500,설정!$L$5+ROW()-1,설정!$L$18)),INDEX(원자료_잔고!$A$1:$EZ$1500,설정!$L$5+ROW()-1,설정!$L$18),""),"")</f>
        <v>582651.6</v>
      </c>
      <c r="M431" s="88" t="n">
        <f aca="false">IFERROR(IF(ISNUMBER(INDEX(원자료_잔고!$A$1:$EZ$1500,설정!$L$5+ROW()-1,설정!$L$19)),INDEX(원자료_잔고!$A$1:$EZ$1500,설정!$L$5+ROW()-1,설정!$L$19),""),"")</f>
        <v>-15108.24</v>
      </c>
      <c r="N431" s="83" t="str">
        <f aca="false">IFERROR(IF(INDEX(원자료_잔고!$A$1:$EZ$1500,설정!$L$5+ROW()-1,설정!$L$21)&amp;""="0","",INDEX(원자료_잔고!$A$1:$EZ$1500,설정!$L$5+ROW()-1,설정!$L$21)&amp;""),"")</f>
        <v>A+</v>
      </c>
      <c r="O431" s="83" t="str">
        <f aca="false">IFERROR(IF(INDEX(원자료_잔고!$A$1:$EZ$1500,설정!$L$5+ROW()-1,설정!$L$22)&amp;""="0","",INDEX(원자료_잔고!$A$1:$EZ$1500,설정!$L$5+ROW()-1,설정!$L$22)&amp;""),"")</f>
        <v/>
      </c>
      <c r="P431" s="83" t="str">
        <f aca="false">IFERROR(IF(INDEX(원자료_잔고!$A$1:$EZ$1500,설정!$L$5+ROW()-1,설정!$L$23)&amp;""="0","",INDEX(원자료_잔고!$A$1:$EZ$1500,설정!$L$5+ROW()-1,설정!$L$23)&amp;""),"")</f>
        <v>N/A</v>
      </c>
      <c r="Q431" s="89" t="n">
        <f aca="false">IF(AND($A431&lt;&gt;"",ISNUMBER(E431)),IF(E431&gt;0,1,0),0)</f>
        <v>1</v>
      </c>
      <c r="R431" s="43" t="str">
        <f aca="false">IF(Q431=1,UPPER(LEFT($A431,FIND(" ",$A431&amp;" ")-1)),"")</f>
        <v>KOMRMR</v>
      </c>
      <c r="S431" s="89" t="n">
        <f aca="false">IF(Q431=1,IF(OR(ISNUMBER(SEARCH("Float",$A431)),ISNUMBER(SEARCH("FRN",$A431))),1,0),0)</f>
        <v>0</v>
      </c>
      <c r="T431" s="43" t="str">
        <f aca="false">IF(AND(Q431=1,ISNUMBER(I431)),TEXT(I431,"yyyymmdd")&amp;"|"&amp;IF(S431=1,"F",TEXT(J431,"0.000")),"")</f>
        <v>20310413|4.875</v>
      </c>
      <c r="U431" s="90" t="n">
        <f aca="false">IF(AND(Q431=1,ISNUMBER(I431)),(I431-설정!$C$4)/365.25,"")</f>
        <v>4.53114305270363</v>
      </c>
      <c r="V431" s="43" t="str">
        <f aca="false">IF(Q431&lt;&gt;1,"",IF(ISNUMBER(U431),IF(U431&lt;=1,"1년 이하",IF(U431&lt;=2,"1-2년",IF(U431&lt;=3,"2-3년",IF(U431&lt;=4,"3-4년",IF(U431&lt;=5,"4-5년",IF(U431&lt;=7,"5-7년",IF(U431&lt;=10,"7-10년",IF(U431&lt;=20,"10-20년","20년 이상")))))))),"미분류"))</f>
        <v>4-5년</v>
      </c>
      <c r="W431" s="43" t="str">
        <f aca="false">IF(Q431&lt;&gt;1,"",IF(AB431&lt;&gt;"",INDEX(시장분석!$C:$C,AB431),IF(K431=1,"USD","비USD")))</f>
        <v>USD</v>
      </c>
      <c r="X431" s="91" t="n">
        <f aca="false">IF(Q431=1,E431*K431/1000000,0)</f>
        <v>0.6</v>
      </c>
      <c r="Y431" s="89" t="n">
        <f aca="false">IF(R431="T",1,0)</f>
        <v>0</v>
      </c>
      <c r="Z431" s="92" t="n">
        <f aca="false">IF(Q431&lt;&gt;1,"",IF(AD431=1,IF(ISNUMBER(U431),MAX(U431,0),H431),H431))</f>
        <v>3.8141</v>
      </c>
      <c r="AA431" s="91" t="n">
        <f aca="false">IF(Q431=1,IF(ISNUMBER(L431),L431,0)*K431/1000000,0)</f>
        <v>0.5826516</v>
      </c>
      <c r="AB431" s="89" t="n">
        <f aca="false">IF(Q431&lt;&gt;1,"",IFERROR(MATCH(VLOOKUP(B431,매핑!$H$4:$I$15,2,0),시장분석!$A$2:$A$601,0)+1,IFERROR(MATCH(R431&amp;"|"&amp;T431,시장분석!$V$2:$V$601,0)+1,IF(COUNTIF(시장분석!$U$2:$U$601,T431)=1,MATCH(T431,시장분석!$U$2:$U$601,0)+1,""))))</f>
        <v>256</v>
      </c>
      <c r="AC431" s="89" t="n">
        <f aca="false">IF(Q431&lt;&gt;1,0,IF(OR(설정!$C$5="전체",AND(설정!$C$5="선택펀드",IFERROR(COUNTIFS(설정!$F$16:$F$36,C431,설정!$G$16:$G$36,"Y")+COUNTIFS(설정!$F$16:$F$36,VALUE(C431),설정!$G$16:$G$36,"Y"),0)&gt;0),C431&amp;""=설정!$C$5&amp;""),1,0))</f>
        <v>0</v>
      </c>
      <c r="AD431" s="89" t="n">
        <f aca="false">IF(Q431&lt;&gt;1,0,IF(OR(S431=1,IF(AB431="",FALSE(),INDEX(시장분석!$R:$R,AB431)=1)),1,0))</f>
        <v>0</v>
      </c>
      <c r="AE431" s="43" t="str">
        <f aca="false">IF(AB431="","",INDEX(시장분석!$A:$A,AB431))</f>
        <v>KOMRMR 4 7/8 04/13/31</v>
      </c>
      <c r="AF431" s="93" t="n">
        <f aca="false">IF(AB431="","",IF(ISNUMBER(IF(AB431="","",INDEX(시장분석!$E:$E,AB431))),IF(AB431="","",INDEX(시장분석!$E:$E,AB431)),""))</f>
        <v>56.385</v>
      </c>
      <c r="AG431" s="43" t="str">
        <f aca="false">IF(Q431&lt;&gt;1,"",IF(AB431&lt;&gt;"",IF(AB431="","",INDEX(시장분석!$L:$L,AB431)),IFERROR(IF(VLOOKUP(R431,매핑!$A$4:$E$92,5,0)="","미분류",VLOOKUP(R431,매핑!$A$4:$E$92,5,0)),"미분류")))</f>
        <v>정부</v>
      </c>
      <c r="AH431" s="43" t="str">
        <f aca="false">IF(Q431&lt;&gt;1,"",IF(AB431&lt;&gt;"",IF(AB431="","",INDEX(시장분석!$N:$N,AB431)),IFERROR(IF(VLOOKUP(R431,매핑!$A$4:$E$92,4,0)="","미분류",VLOOKUP(R431,매핑!$A$4:$E$92,4,0)),"미분류")))</f>
        <v>아시아/기타</v>
      </c>
      <c r="AI431" s="43" t="str">
        <f aca="false">IF(Q431&lt;&gt;1,"",IFERROR(IF(VLOOKUP(R431,매핑!$A$4:$E$92,3,0)="","미분류",VLOOKUP(R431,매핑!$A$4:$E$92,3,0)),IF(AB431&lt;&gt;"",IF(AB431="","",INDEX(시장분석!$W:$W,AB431)),"미분류")))</f>
        <v>한국</v>
      </c>
      <c r="AJ431" s="43" t="str">
        <f aca="false">IF(Q431&lt;&gt;1,"",IFERROR(VLOOKUP(IF(N431&lt;&gt;"",N431,IF(P431&lt;&gt;"",P431,O431)),설정!$A$15:$D$47,2,0),""))</f>
        <v>A+</v>
      </c>
      <c r="AK431" s="43" t="str">
        <f aca="false">IF(Q431&lt;&gt;1,"",IF(AJ431="","무등급",IFERROR(VLOOKUP(AJ431,설정!$A$15:$D$47,3,0),"무등급")))</f>
        <v>A</v>
      </c>
      <c r="AL431" s="89" t="n">
        <f aca="false">IF(AJ431="",99,IFERROR(VLOOKUP(AJ431,설정!$A$15:$D$47,4,0),99))</f>
        <v>5</v>
      </c>
      <c r="AM431" s="94" t="n">
        <f aca="false">IF(ISNUMBER(H431),AA431*1000000*H431/10000,0)</f>
        <v>222.229146756</v>
      </c>
      <c r="AN431" s="94" t="n">
        <f aca="false">IF(OR(Y431=1,NOT(ISNUMBER(Z431))),0,AA431*1000000*Z431/10000)</f>
        <v>222.229146756</v>
      </c>
      <c r="AO431" s="94" t="n">
        <f aca="false">IF(ISNUMBER(G431),AA431*1000000*G431/100,0)</f>
        <v>32657.0395284</v>
      </c>
      <c r="AP431" s="94" t="n">
        <f aca="false">IF(ISNUMBER(M431),M431*K431,0)</f>
        <v>-15108.24</v>
      </c>
      <c r="AQ431" s="95" t="n">
        <f aca="false">IF(AB431="","",INDEX(시장분석!$AK:$AK,AB431))</f>
        <v>2.21621952278963</v>
      </c>
      <c r="AR431" s="43" t="str">
        <f aca="false">IF(AB431="","-",IF(AB431="","",INDEX(시장분석!$AL:$AL,AB431)))</f>
        <v>Cheap</v>
      </c>
      <c r="AS431" s="96" t="n">
        <f aca="false">IF(AB431="","",INDEX(시장분석!$AJ:$AJ,AB431))</f>
        <v>30.3467473689782</v>
      </c>
      <c r="AT431" s="93" t="n">
        <f aca="false">IF(AB431="",0,IF(AB431="","",INDEX(시장분석!$AN:$AN,AB431)))</f>
        <v>5.70066180007989</v>
      </c>
      <c r="AU431" s="94" t="n">
        <f aca="false">IF(ISNUMBER(Z431),AT431/10000*MAX(Z431-1,0)*AA431*1000000,0)</f>
        <v>934.703235888734</v>
      </c>
      <c r="AV431" s="94" t="n">
        <f aca="false">AO431+AU431</f>
        <v>33591.7427642887</v>
      </c>
      <c r="AW431" s="43" t="str">
        <f aca="false">IF(Q431&lt;&gt;1,"",TRIM(IF(AD431=1,"FRN ","")&amp;IF(AND(AL431&gt;=10,AL431&lt;99),"BBB0미만 ","")&amp;IF(AJ431="","등급없음 ","")&amp;IF(K431&lt;&gt;1,"비USD ","")&amp;IF(AND(AB431="",Y431=0),"시장데이터없음 ","")&amp;IF(AND(ISNUMBER(U431),U431&lt;0),"만기경과 ","")))</f>
        <v/>
      </c>
      <c r="AX431" s="90" t="n">
        <f aca="false">IF(Q431&lt;&gt;1,1,IF(스프레드쇼크!$C$4="Y",INDEX(스프레드쇼크!$B$12:$L$16,IFERROR(MATCH(AH431,스프레드쇼크!$A$12:$A$16,0),MATCH("목록외",스프레드쇼크!$A$12:$A$16,0)),IFERROR(MATCH(AG431,스프레드쇼크!$B$11:$L$11,0),MATCH("목록외",스프레드쇼크!$B$11:$L$11,0))),1))</f>
        <v>1</v>
      </c>
      <c r="AY431" s="90" t="n">
        <f aca="false">IF(스프레드쇼크!$C$5="Y",IF(ISNUMBER(AF431),MIN(스프레드쇼크!$C$7,MAX(스프레드쇼크!$C$6,AF431/스프레드쇼크!$C$8)),1),1)</f>
        <v>0.85284500726515</v>
      </c>
      <c r="AZ431" s="94" t="n">
        <f aca="false">AN431*AX431*AY431</f>
        <v>189.527018279649</v>
      </c>
      <c r="BA431" s="90" t="n">
        <f aca="false">IF(ISNUMBER(G431),AA431*G431,0)</f>
        <v>3.26570395284</v>
      </c>
      <c r="BB431" s="90" t="n">
        <f aca="false">IF(ISNUMBER(G431),AA431,0)</f>
        <v>0.5826516</v>
      </c>
      <c r="BC431" s="90" t="n">
        <f aca="false">IF(AND(Y431=0,ISNUMBER(AF431)),AA431*AF431,0)</f>
        <v>32.852810466</v>
      </c>
      <c r="BD431" s="90" t="n">
        <f aca="false">IF(AND(Y431=0,ISNUMBER(AF431)),AA431,0)</f>
        <v>0.5826516</v>
      </c>
      <c r="BE431" s="90" t="n">
        <f aca="false">IF(ISNUMBER(H431),AA431*H431,0)</f>
        <v>2.22229146756</v>
      </c>
      <c r="BF431" s="90" t="n">
        <f aca="false">IF(ISNUMBER(H431),AA431,0)</f>
        <v>0.5826516</v>
      </c>
      <c r="BG431" s="90" t="n">
        <f aca="false">IF(AND(Y431=0,ISNUMBER(AF431),ISNUMBER(Z431)),AA431*Z431,0)</f>
        <v>2.22229146756</v>
      </c>
      <c r="BH431" s="90" t="n">
        <f aca="false">IF(AND(Y431=0,ISNUMBER(AF431),ISNUMBER(Z431)),AA431*AT431*MAX(Z431-1,0),0)</f>
        <v>9.34703235888734</v>
      </c>
      <c r="BI431" s="90" t="n">
        <f aca="false">IF(Y431=0,AA431,0)</f>
        <v>0.5826516</v>
      </c>
    </row>
    <row r="432" customFormat="false" ht="15" hidden="false" customHeight="false" outlineLevel="0" collapsed="false">
      <c r="A432" s="83" t="str">
        <f aca="false">IFERROR(IF(INDEX(원자료_잔고!$A$1:$EZ$1500,설정!$L$5+ROW()-1,설정!$L$8)&amp;""="0","",INDEX(원자료_잔고!$A$1:$EZ$1500,설정!$L$5+ROW()-1,설정!$L$8)&amp;""),"")</f>
        <v>KORAIR 4.125 04/21/29</v>
      </c>
      <c r="B432" s="83" t="str">
        <f aca="false">IFERROR(IF(INDEX(원자료_잔고!$A$1:$EZ$1500,설정!$L$5+ROW()-1,설정!$L$7)&amp;""="0","",INDEX(원자료_잔고!$A$1:$EZ$1500,설정!$L$5+ROW()-1,설정!$L$7)&amp;""),"")</f>
        <v>XS3340625626</v>
      </c>
      <c r="C432" s="83" t="str">
        <f aca="false">IFERROR(IF(INDEX(원자료_잔고!$A$1:$EZ$1500,설정!$L$5+ROW()-1,설정!$L$9)&amp;""="0","",INDEX(원자료_잔고!$A$1:$EZ$1500,설정!$L$5+ROW()-1,설정!$L$9)&amp;""),"")</f>
        <v>42003</v>
      </c>
      <c r="D43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2" s="84" t="n">
        <f aca="false">IFERROR(IF(ISNUMBER(INDEX(원자료_잔고!$A$1:$EZ$1500,설정!$L$5+ROW()-1,설정!$L$11)),INDEX(원자료_잔고!$A$1:$EZ$1500,설정!$L$5+ROW()-1,설정!$L$11),""),"")</f>
        <v>400000</v>
      </c>
      <c r="F432" s="85" t="n">
        <f aca="false">IFERROR(IF(ISNUMBER(INDEX(원자료_잔고!$A$1:$EZ$1500,설정!$L$5+ROW()-1,설정!$L$12)),INDEX(원자료_잔고!$A$1:$EZ$1500,설정!$L$5+ROW()-1,설정!$L$12),""),"")</f>
        <v>97.4661</v>
      </c>
      <c r="G432" s="85" t="n">
        <f aca="false">IFERROR(IF(ISNUMBER(INDEX(원자료_잔고!$A$1:$EZ$1500,설정!$L$5+ROW()-1,설정!$L$13)),INDEX(원자료_잔고!$A$1:$EZ$1500,설정!$L$5+ROW()-1,설정!$L$13),""),"")</f>
        <v>5.1943</v>
      </c>
      <c r="H432" s="85" t="n">
        <f aca="false">IFERROR(IF(ISNUMBER(INDEX(원자료_잔고!$A$1:$EZ$1500,설정!$L$5+ROW()-1,설정!$L$14)),INDEX(원자료_잔고!$A$1:$EZ$1500,설정!$L$5+ROW()-1,설정!$L$14),""),"")</f>
        <v>2.2933</v>
      </c>
      <c r="I432" s="86" t="n">
        <f aca="false">IFERROR(IF(ISNUMBER(INDEX(원자료_잔고!$A$1:$EZ$1500,설정!$L$5+ROW()-1,설정!$L$15)),INDEX(원자료_잔고!$A$1:$EZ$1500,설정!$L$5+ROW()-1,설정!$L$15),""),"")</f>
        <v>47229</v>
      </c>
      <c r="J432" s="85" t="n">
        <f aca="false">IFERROR(IF(ISNUMBER(INDEX(원자료_잔고!$A$1:$EZ$1500,설정!$L$5+ROW()-1,설정!$L$16)),INDEX(원자료_잔고!$A$1:$EZ$1500,설정!$L$5+ROW()-1,설정!$L$16),""),"")</f>
        <v>4.125</v>
      </c>
      <c r="K432" s="87" t="n">
        <f aca="false">IFERROR(IF(ISNUMBER(INDEX(원자료_잔고!$A$1:$EZ$1500,설정!$L$5+ROW()-1,설정!$L$17)),INDEX(원자료_잔고!$A$1:$EZ$1500,설정!$L$5+ROW()-1,설정!$L$17),""),"")</f>
        <v>1</v>
      </c>
      <c r="L432" s="84" t="n">
        <f aca="false">IFERROR(IF(ISNUMBER(INDEX(원자료_잔고!$A$1:$EZ$1500,설정!$L$5+ROW()-1,설정!$L$18)),INDEX(원자료_잔고!$A$1:$EZ$1500,설정!$L$5+ROW()-1,설정!$L$18),""),"")</f>
        <v>389864.4</v>
      </c>
      <c r="M432" s="88" t="n">
        <f aca="false">IFERROR(IF(ISNUMBER(INDEX(원자료_잔고!$A$1:$EZ$1500,설정!$L$5+ROW()-1,설정!$L$19)),INDEX(원자료_잔고!$A$1:$EZ$1500,설정!$L$5+ROW()-1,설정!$L$19),""),"")</f>
        <v>-9529.76</v>
      </c>
      <c r="N432" s="83" t="str">
        <f aca="false">IFERROR(IF(INDEX(원자료_잔고!$A$1:$EZ$1500,설정!$L$5+ROW()-1,설정!$L$21)&amp;""="0","",INDEX(원자료_잔고!$A$1:$EZ$1500,설정!$L$5+ROW()-1,설정!$L$21)&amp;""),"")</f>
        <v>AA</v>
      </c>
      <c r="O432" s="83" t="str">
        <f aca="false">IFERROR(IF(INDEX(원자료_잔고!$A$1:$EZ$1500,설정!$L$5+ROW()-1,설정!$L$22)&amp;""="0","",INDEX(원자료_잔고!$A$1:$EZ$1500,설정!$L$5+ROW()-1,설정!$L$22)&amp;""),"")</f>
        <v/>
      </c>
      <c r="P432" s="83" t="str">
        <f aca="false">IFERROR(IF(INDEX(원자료_잔고!$A$1:$EZ$1500,설정!$L$5+ROW()-1,설정!$L$23)&amp;""="0","",INDEX(원자료_잔고!$A$1:$EZ$1500,설정!$L$5+ROW()-1,설정!$L$23)&amp;""),"")</f>
        <v>N/A</v>
      </c>
      <c r="Q432" s="89" t="n">
        <f aca="false">IF(AND($A432&lt;&gt;"",ISNUMBER(E432)),IF(E432&gt;0,1,0),0)</f>
        <v>1</v>
      </c>
      <c r="R432" s="43" t="str">
        <f aca="false">IF(Q432=1,UPPER(LEFT($A432,FIND(" ",$A432&amp;" ")-1)),"")</f>
        <v>KORAIR</v>
      </c>
      <c r="S432" s="89" t="n">
        <f aca="false">IF(Q432=1,IF(OR(ISNUMBER(SEARCH("Float",$A432)),ISNUMBER(SEARCH("FRN",$A432))),1,0),0)</f>
        <v>0</v>
      </c>
      <c r="T432" s="43" t="str">
        <f aca="false">IF(AND(Q432=1,ISNUMBER(I432)),TEXT(I432,"yyyymmdd")&amp;"|"&amp;IF(S432=1,"F",TEXT(J432,"0.000")),"")</f>
        <v>20290421|4.125</v>
      </c>
      <c r="U432" s="90" t="n">
        <f aca="false">IF(AND(Q432=1,ISNUMBER(I432)),(I432-설정!$C$4)/365.25,"")</f>
        <v>2.55441478439425</v>
      </c>
      <c r="V432" s="43" t="str">
        <f aca="false">IF(Q432&lt;&gt;1,"",IF(ISNUMBER(U432),IF(U432&lt;=1,"1년 이하",IF(U432&lt;=2,"1-2년",IF(U432&lt;=3,"2-3년",IF(U432&lt;=4,"3-4년",IF(U432&lt;=5,"4-5년",IF(U432&lt;=7,"5-7년",IF(U432&lt;=10,"7-10년",IF(U432&lt;=20,"10-20년","20년 이상")))))))),"미분류"))</f>
        <v>2-3년</v>
      </c>
      <c r="W432" s="43" t="str">
        <f aca="false">IF(Q432&lt;&gt;1,"",IF(AB432&lt;&gt;"",INDEX(시장분석!$C:$C,AB432),IF(K432=1,"USD","비USD")))</f>
        <v>USD</v>
      </c>
      <c r="X432" s="91" t="n">
        <f aca="false">IF(Q432=1,E432*K432/1000000,0)</f>
        <v>0.4</v>
      </c>
      <c r="Y432" s="89" t="n">
        <f aca="false">IF(R432="T",1,0)</f>
        <v>0</v>
      </c>
      <c r="Z432" s="92" t="n">
        <f aca="false">IF(Q432&lt;&gt;1,"",IF(AD432=1,IF(ISNUMBER(U432),MAX(U432,0),H432),H432))</f>
        <v>2.2933</v>
      </c>
      <c r="AA432" s="91" t="n">
        <f aca="false">IF(Q432=1,IF(ISNUMBER(L432),L432,0)*K432/1000000,0)</f>
        <v>0.3898644</v>
      </c>
      <c r="AB432" s="89" t="n">
        <f aca="false">IF(Q432&lt;&gt;1,"",IFERROR(MATCH(VLOOKUP(B432,매핑!$H$4:$I$15,2,0),시장분석!$A$2:$A$601,0)+1,IFERROR(MATCH(R432&amp;"|"&amp;T432,시장분석!$V$2:$V$601,0)+1,IF(COUNTIF(시장분석!$U$2:$U$601,T432)=1,MATCH(T432,시장분석!$U$2:$U$601,0)+1,""))))</f>
        <v>257</v>
      </c>
      <c r="AC432" s="89" t="n">
        <f aca="false">IF(Q432&lt;&gt;1,0,IF(OR(설정!$C$5="전체",AND(설정!$C$5="선택펀드",IFERROR(COUNTIFS(설정!$F$16:$F$36,C432,설정!$G$16:$G$36,"Y")+COUNTIFS(설정!$F$16:$F$36,VALUE(C432),설정!$G$16:$G$36,"Y"),0)&gt;0),C432&amp;""=설정!$C$5&amp;""),1,0))</f>
        <v>0</v>
      </c>
      <c r="AD432" s="89" t="n">
        <f aca="false">IF(Q432&lt;&gt;1,0,IF(OR(S432=1,IF(AB432="",FALSE(),INDEX(시장분석!$R:$R,AB432)=1)),1,0))</f>
        <v>0</v>
      </c>
      <c r="AE432" s="43" t="str">
        <f aca="false">IF(AB432="","",INDEX(시장분석!$A:$A,AB432))</f>
        <v>KORAIR 4 1/8 04/21/29</v>
      </c>
      <c r="AF432" s="93" t="n">
        <f aca="false">IF(AB432="","",IF(ISNUMBER(IF(AB432="","",INDEX(시장분석!$E:$E,AB432))),IF(AB432="","",INDEX(시장분석!$E:$E,AB432)),""))</f>
        <v>20.232</v>
      </c>
      <c r="AG432" s="43" t="str">
        <f aca="false">IF(Q432&lt;&gt;1,"",IF(AB432&lt;&gt;"",IF(AB432="","",INDEX(시장분석!$L:$L,AB432)),IFERROR(IF(VLOOKUP(R432,매핑!$A$4:$E$92,5,0)="","미분류",VLOOKUP(R432,매핑!$A$4:$E$92,5,0)),"미분류")))</f>
        <v>산업</v>
      </c>
      <c r="AH432" s="43" t="str">
        <f aca="false">IF(Q432&lt;&gt;1,"",IF(AB432&lt;&gt;"",IF(AB432="","",INDEX(시장분석!$N:$N,AB432)),IFERROR(IF(VLOOKUP(R432,매핑!$A$4:$E$92,4,0)="","미분류",VLOOKUP(R432,매핑!$A$4:$E$92,4,0)),"미분류")))</f>
        <v>아시아/기타</v>
      </c>
      <c r="AI432" s="43" t="str">
        <f aca="false">IF(Q432&lt;&gt;1,"",IFERROR(IF(VLOOKUP(R432,매핑!$A$4:$E$92,3,0)="","미분류",VLOOKUP(R432,매핑!$A$4:$E$92,3,0)),IF(AB432&lt;&gt;"",IF(AB432="","",INDEX(시장분석!$W:$W,AB432)),"미분류")))</f>
        <v>한국</v>
      </c>
      <c r="AJ432" s="43" t="str">
        <f aca="false">IF(Q432&lt;&gt;1,"",IFERROR(VLOOKUP(IF(N432&lt;&gt;"",N432,IF(P432&lt;&gt;"",P432,O432)),설정!$A$15:$D$47,2,0),""))</f>
        <v>AA</v>
      </c>
      <c r="AK432" s="43" t="str">
        <f aca="false">IF(Q432&lt;&gt;1,"",IF(AJ432="","무등급",IFERROR(VLOOKUP(AJ432,설정!$A$15:$D$47,3,0),"무등급")))</f>
        <v>AA이상</v>
      </c>
      <c r="AL432" s="89" t="n">
        <f aca="false">IF(AJ432="",99,IFERROR(VLOOKUP(AJ432,설정!$A$15:$D$47,4,0),99))</f>
        <v>3</v>
      </c>
      <c r="AM432" s="94" t="n">
        <f aca="false">IF(ISNUMBER(H432),AA432*1000000*H432/10000,0)</f>
        <v>89.407602852</v>
      </c>
      <c r="AN432" s="94" t="n">
        <f aca="false">IF(OR(Y432=1,NOT(ISNUMBER(Z432))),0,AA432*1000000*Z432/10000)</f>
        <v>89.407602852</v>
      </c>
      <c r="AO432" s="94" t="n">
        <f aca="false">IF(ISNUMBER(G432),AA432*1000000*G432/100,0)</f>
        <v>20250.7265292</v>
      </c>
      <c r="AP432" s="94" t="n">
        <f aca="false">IF(ISNUMBER(M432),M432*K432,0)</f>
        <v>-9529.76</v>
      </c>
      <c r="AQ432" s="95" t="n">
        <f aca="false">IF(AB432="","",INDEX(시장분석!$AK:$AK,AB432))</f>
        <v>-0.804454615632832</v>
      </c>
      <c r="AR432" s="43" t="str">
        <f aca="false">IF(AB432="","-",IF(AB432="","",INDEX(시장분석!$AL:$AL,AB432)))</f>
        <v>Fair</v>
      </c>
      <c r="AS432" s="96" t="n">
        <f aca="false">IF(AB432="","",INDEX(시장분석!$AJ:$AJ,AB432))</f>
        <v>-22.1851056948615</v>
      </c>
      <c r="AT432" s="93" t="n">
        <f aca="false">IF(AB432="",0,IF(AB432="","",INDEX(시장분석!$AN:$AN,AB432)))</f>
        <v>14.4382400244733</v>
      </c>
      <c r="AU432" s="94" t="n">
        <f aca="false">IF(ISNUMBER(Z432),AT432/10000*MAX(Z432-1,0)*AA432*1000000,0)</f>
        <v>727.992851570234</v>
      </c>
      <c r="AV432" s="94" t="n">
        <f aca="false">AO432+AU432</f>
        <v>20978.7193807702</v>
      </c>
      <c r="AW432" s="43" t="str">
        <f aca="false">IF(Q432&lt;&gt;1,"",TRIM(IF(AD432=1,"FRN ","")&amp;IF(AND(AL432&gt;=10,AL432&lt;99),"BBB0미만 ","")&amp;IF(AJ432="","등급없음 ","")&amp;IF(K432&lt;&gt;1,"비USD ","")&amp;IF(AND(AB432="",Y432=0),"시장데이터없음 ","")&amp;IF(AND(ISNUMBER(U432),U432&lt;0),"만기경과 ","")))</f>
        <v/>
      </c>
      <c r="AX432" s="90" t="n">
        <f aca="false">IF(Q432&lt;&gt;1,1,IF(스프레드쇼크!$C$4="Y",INDEX(스프레드쇼크!$B$12:$L$16,IFERROR(MATCH(AH432,스프레드쇼크!$A$12:$A$16,0),MATCH("목록외",스프레드쇼크!$A$12:$A$16,0)),IFERROR(MATCH(AG432,스프레드쇼크!$B$11:$L$11,0),MATCH("목록외",스프레드쇼크!$B$11:$L$11,0))),1))</f>
        <v>1</v>
      </c>
      <c r="AY432" s="90" t="n">
        <f aca="false">IF(스프레드쇼크!$C$5="Y",IF(ISNUMBER(AF432),MIN(스프레드쇼크!$C$7,MAX(스프레드쇼크!$C$6,AF432/스프레드쇼크!$C$8)),1),1)</f>
        <v>0.306016851768884</v>
      </c>
      <c r="AZ432" s="94" t="n">
        <f aca="false">AN432*AX432*AY432</f>
        <v>27.3602331489717</v>
      </c>
      <c r="BA432" s="90" t="n">
        <f aca="false">IF(ISNUMBER(G432),AA432*G432,0)</f>
        <v>2.02507265292</v>
      </c>
      <c r="BB432" s="90" t="n">
        <f aca="false">IF(ISNUMBER(G432),AA432,0)</f>
        <v>0.3898644</v>
      </c>
      <c r="BC432" s="90" t="n">
        <f aca="false">IF(AND(Y432=0,ISNUMBER(AF432)),AA432*AF432,0)</f>
        <v>7.8877365408</v>
      </c>
      <c r="BD432" s="90" t="n">
        <f aca="false">IF(AND(Y432=0,ISNUMBER(AF432)),AA432,0)</f>
        <v>0.3898644</v>
      </c>
      <c r="BE432" s="90" t="n">
        <f aca="false">IF(ISNUMBER(H432),AA432*H432,0)</f>
        <v>0.89407602852</v>
      </c>
      <c r="BF432" s="90" t="n">
        <f aca="false">IF(ISNUMBER(H432),AA432,0)</f>
        <v>0.3898644</v>
      </c>
      <c r="BG432" s="90" t="n">
        <f aca="false">IF(AND(Y432=0,ISNUMBER(AF432),ISNUMBER(Z432)),AA432*Z432,0)</f>
        <v>0.89407602852</v>
      </c>
      <c r="BH432" s="90" t="n">
        <f aca="false">IF(AND(Y432=0,ISNUMBER(AF432),ISNUMBER(Z432)),AA432*AT432*MAX(Z432-1,0),0)</f>
        <v>7.27992851570234</v>
      </c>
      <c r="BI432" s="90" t="n">
        <f aca="false">IF(Y432=0,AA432,0)</f>
        <v>0.3898644</v>
      </c>
    </row>
    <row r="433" customFormat="false" ht="15" hidden="false" customHeight="false" outlineLevel="0" collapsed="false">
      <c r="A433" s="83" t="str">
        <f aca="false">IFERROR(IF(INDEX(원자료_잔고!$A$1:$EZ$1500,설정!$L$5+ROW()-1,설정!$L$8)&amp;""="0","",INDEX(원자료_잔고!$A$1:$EZ$1500,설정!$L$5+ROW()-1,설정!$L$8)&amp;""),"")</f>
        <v>KORAIR 4.125 04/21/29</v>
      </c>
      <c r="B433" s="83" t="str">
        <f aca="false">IFERROR(IF(INDEX(원자료_잔고!$A$1:$EZ$1500,설정!$L$5+ROW()-1,설정!$L$7)&amp;""="0","",INDEX(원자료_잔고!$A$1:$EZ$1500,설정!$L$5+ROW()-1,설정!$L$7)&amp;""),"")</f>
        <v>XS3340625626</v>
      </c>
      <c r="C433" s="83" t="str">
        <f aca="false">IFERROR(IF(INDEX(원자료_잔고!$A$1:$EZ$1500,설정!$L$5+ROW()-1,설정!$L$9)&amp;""="0","",INDEX(원자료_잔고!$A$1:$EZ$1500,설정!$L$5+ROW()-1,설정!$L$9)&amp;""),"")</f>
        <v>42003</v>
      </c>
      <c r="D43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3" s="84" t="n">
        <f aca="false">IFERROR(IF(ISNUMBER(INDEX(원자료_잔고!$A$1:$EZ$1500,설정!$L$5+ROW()-1,설정!$L$11)),INDEX(원자료_잔고!$A$1:$EZ$1500,설정!$L$5+ROW()-1,설정!$L$11),""),"")</f>
        <v>1340000</v>
      </c>
      <c r="F433" s="85" t="n">
        <f aca="false">IFERROR(IF(ISNUMBER(INDEX(원자료_잔고!$A$1:$EZ$1500,설정!$L$5+ROW()-1,설정!$L$12)),INDEX(원자료_잔고!$A$1:$EZ$1500,설정!$L$5+ROW()-1,설정!$L$12),""),"")</f>
        <v>97.4661</v>
      </c>
      <c r="G433" s="85" t="n">
        <f aca="false">IFERROR(IF(ISNUMBER(INDEX(원자료_잔고!$A$1:$EZ$1500,설정!$L$5+ROW()-1,설정!$L$13)),INDEX(원자료_잔고!$A$1:$EZ$1500,설정!$L$5+ROW()-1,설정!$L$13),""),"")</f>
        <v>5.1943</v>
      </c>
      <c r="H433" s="85" t="n">
        <f aca="false">IFERROR(IF(ISNUMBER(INDEX(원자료_잔고!$A$1:$EZ$1500,설정!$L$5+ROW()-1,설정!$L$14)),INDEX(원자료_잔고!$A$1:$EZ$1500,설정!$L$5+ROW()-1,설정!$L$14),""),"")</f>
        <v>2.2933</v>
      </c>
      <c r="I433" s="86" t="n">
        <f aca="false">IFERROR(IF(ISNUMBER(INDEX(원자료_잔고!$A$1:$EZ$1500,설정!$L$5+ROW()-1,설정!$L$15)),INDEX(원자료_잔고!$A$1:$EZ$1500,설정!$L$5+ROW()-1,설정!$L$15),""),"")</f>
        <v>47229</v>
      </c>
      <c r="J433" s="85" t="n">
        <f aca="false">IFERROR(IF(ISNUMBER(INDEX(원자료_잔고!$A$1:$EZ$1500,설정!$L$5+ROW()-1,설정!$L$16)),INDEX(원자료_잔고!$A$1:$EZ$1500,설정!$L$5+ROW()-1,설정!$L$16),""),"")</f>
        <v>4.125</v>
      </c>
      <c r="K433" s="87" t="n">
        <f aca="false">IFERROR(IF(ISNUMBER(INDEX(원자료_잔고!$A$1:$EZ$1500,설정!$L$5+ROW()-1,설정!$L$17)),INDEX(원자료_잔고!$A$1:$EZ$1500,설정!$L$5+ROW()-1,설정!$L$17),""),"")</f>
        <v>1</v>
      </c>
      <c r="L433" s="84" t="n">
        <f aca="false">IFERROR(IF(ISNUMBER(INDEX(원자료_잔고!$A$1:$EZ$1500,설정!$L$5+ROW()-1,설정!$L$18)),INDEX(원자료_잔고!$A$1:$EZ$1500,설정!$L$5+ROW()-1,설정!$L$18),""),"")</f>
        <v>1306045.74</v>
      </c>
      <c r="M433" s="88" t="n">
        <f aca="false">IFERROR(IF(ISNUMBER(INDEX(원자료_잔고!$A$1:$EZ$1500,설정!$L$5+ROW()-1,설정!$L$19)),INDEX(원자료_잔고!$A$1:$EZ$1500,설정!$L$5+ROW()-1,설정!$L$19),""),"")</f>
        <v>-34864</v>
      </c>
      <c r="N433" s="83" t="str">
        <f aca="false">IFERROR(IF(INDEX(원자료_잔고!$A$1:$EZ$1500,설정!$L$5+ROW()-1,설정!$L$21)&amp;""="0","",INDEX(원자료_잔고!$A$1:$EZ$1500,설정!$L$5+ROW()-1,설정!$L$21)&amp;""),"")</f>
        <v>AA</v>
      </c>
      <c r="O433" s="83" t="str">
        <f aca="false">IFERROR(IF(INDEX(원자료_잔고!$A$1:$EZ$1500,설정!$L$5+ROW()-1,설정!$L$22)&amp;""="0","",INDEX(원자료_잔고!$A$1:$EZ$1500,설정!$L$5+ROW()-1,설정!$L$22)&amp;""),"")</f>
        <v/>
      </c>
      <c r="P433" s="83" t="str">
        <f aca="false">IFERROR(IF(INDEX(원자료_잔고!$A$1:$EZ$1500,설정!$L$5+ROW()-1,설정!$L$23)&amp;""="0","",INDEX(원자료_잔고!$A$1:$EZ$1500,설정!$L$5+ROW()-1,설정!$L$23)&amp;""),"")</f>
        <v>N/A</v>
      </c>
      <c r="Q433" s="89" t="n">
        <f aca="false">IF(AND($A433&lt;&gt;"",ISNUMBER(E433)),IF(E433&gt;0,1,0),0)</f>
        <v>1</v>
      </c>
      <c r="R433" s="43" t="str">
        <f aca="false">IF(Q433=1,UPPER(LEFT($A433,FIND(" ",$A433&amp;" ")-1)),"")</f>
        <v>KORAIR</v>
      </c>
      <c r="S433" s="89" t="n">
        <f aca="false">IF(Q433=1,IF(OR(ISNUMBER(SEARCH("Float",$A433)),ISNUMBER(SEARCH("FRN",$A433))),1,0),0)</f>
        <v>0</v>
      </c>
      <c r="T433" s="43" t="str">
        <f aca="false">IF(AND(Q433=1,ISNUMBER(I433)),TEXT(I433,"yyyymmdd")&amp;"|"&amp;IF(S433=1,"F",TEXT(J433,"0.000")),"")</f>
        <v>20290421|4.125</v>
      </c>
      <c r="U433" s="90" t="n">
        <f aca="false">IF(AND(Q433=1,ISNUMBER(I433)),(I433-설정!$C$4)/365.25,"")</f>
        <v>2.55441478439425</v>
      </c>
      <c r="V433" s="43" t="str">
        <f aca="false">IF(Q433&lt;&gt;1,"",IF(ISNUMBER(U433),IF(U433&lt;=1,"1년 이하",IF(U433&lt;=2,"1-2년",IF(U433&lt;=3,"2-3년",IF(U433&lt;=4,"3-4년",IF(U433&lt;=5,"4-5년",IF(U433&lt;=7,"5-7년",IF(U433&lt;=10,"7-10년",IF(U433&lt;=20,"10-20년","20년 이상")))))))),"미분류"))</f>
        <v>2-3년</v>
      </c>
      <c r="W433" s="43" t="str">
        <f aca="false">IF(Q433&lt;&gt;1,"",IF(AB433&lt;&gt;"",INDEX(시장분석!$C:$C,AB433),IF(K433=1,"USD","비USD")))</f>
        <v>USD</v>
      </c>
      <c r="X433" s="91" t="n">
        <f aca="false">IF(Q433=1,E433*K433/1000000,0)</f>
        <v>1.34</v>
      </c>
      <c r="Y433" s="89" t="n">
        <f aca="false">IF(R433="T",1,0)</f>
        <v>0</v>
      </c>
      <c r="Z433" s="92" t="n">
        <f aca="false">IF(Q433&lt;&gt;1,"",IF(AD433=1,IF(ISNUMBER(U433),MAX(U433,0),H433),H433))</f>
        <v>2.2933</v>
      </c>
      <c r="AA433" s="91" t="n">
        <f aca="false">IF(Q433=1,IF(ISNUMBER(L433),L433,0)*K433/1000000,0)</f>
        <v>1.30604574</v>
      </c>
      <c r="AB433" s="89" t="n">
        <f aca="false">IF(Q433&lt;&gt;1,"",IFERROR(MATCH(VLOOKUP(B433,매핑!$H$4:$I$15,2,0),시장분석!$A$2:$A$601,0)+1,IFERROR(MATCH(R433&amp;"|"&amp;T433,시장분석!$V$2:$V$601,0)+1,IF(COUNTIF(시장분석!$U$2:$U$601,T433)=1,MATCH(T433,시장분석!$U$2:$U$601,0)+1,""))))</f>
        <v>257</v>
      </c>
      <c r="AC433" s="89" t="n">
        <f aca="false">IF(Q433&lt;&gt;1,0,IF(OR(설정!$C$5="전체",AND(설정!$C$5="선택펀드",IFERROR(COUNTIFS(설정!$F$16:$F$36,C433,설정!$G$16:$G$36,"Y")+COUNTIFS(설정!$F$16:$F$36,VALUE(C433),설정!$G$16:$G$36,"Y"),0)&gt;0),C433&amp;""=설정!$C$5&amp;""),1,0))</f>
        <v>0</v>
      </c>
      <c r="AD433" s="89" t="n">
        <f aca="false">IF(Q433&lt;&gt;1,0,IF(OR(S433=1,IF(AB433="",FALSE(),INDEX(시장분석!$R:$R,AB433)=1)),1,0))</f>
        <v>0</v>
      </c>
      <c r="AE433" s="43" t="str">
        <f aca="false">IF(AB433="","",INDEX(시장분석!$A:$A,AB433))</f>
        <v>KORAIR 4 1/8 04/21/29</v>
      </c>
      <c r="AF433" s="93" t="n">
        <f aca="false">IF(AB433="","",IF(ISNUMBER(IF(AB433="","",INDEX(시장분석!$E:$E,AB433))),IF(AB433="","",INDEX(시장분석!$E:$E,AB433)),""))</f>
        <v>20.232</v>
      </c>
      <c r="AG433" s="43" t="str">
        <f aca="false">IF(Q433&lt;&gt;1,"",IF(AB433&lt;&gt;"",IF(AB433="","",INDEX(시장분석!$L:$L,AB433)),IFERROR(IF(VLOOKUP(R433,매핑!$A$4:$E$92,5,0)="","미분류",VLOOKUP(R433,매핑!$A$4:$E$92,5,0)),"미분류")))</f>
        <v>산업</v>
      </c>
      <c r="AH433" s="43" t="str">
        <f aca="false">IF(Q433&lt;&gt;1,"",IF(AB433&lt;&gt;"",IF(AB433="","",INDEX(시장분석!$N:$N,AB433)),IFERROR(IF(VLOOKUP(R433,매핑!$A$4:$E$92,4,0)="","미분류",VLOOKUP(R433,매핑!$A$4:$E$92,4,0)),"미분류")))</f>
        <v>아시아/기타</v>
      </c>
      <c r="AI433" s="43" t="str">
        <f aca="false">IF(Q433&lt;&gt;1,"",IFERROR(IF(VLOOKUP(R433,매핑!$A$4:$E$92,3,0)="","미분류",VLOOKUP(R433,매핑!$A$4:$E$92,3,0)),IF(AB433&lt;&gt;"",IF(AB433="","",INDEX(시장분석!$W:$W,AB433)),"미분류")))</f>
        <v>한국</v>
      </c>
      <c r="AJ433" s="43" t="str">
        <f aca="false">IF(Q433&lt;&gt;1,"",IFERROR(VLOOKUP(IF(N433&lt;&gt;"",N433,IF(P433&lt;&gt;"",P433,O433)),설정!$A$15:$D$47,2,0),""))</f>
        <v>AA</v>
      </c>
      <c r="AK433" s="43" t="str">
        <f aca="false">IF(Q433&lt;&gt;1,"",IF(AJ433="","무등급",IFERROR(VLOOKUP(AJ433,설정!$A$15:$D$47,3,0),"무등급")))</f>
        <v>AA이상</v>
      </c>
      <c r="AL433" s="89" t="n">
        <f aca="false">IF(AJ433="",99,IFERROR(VLOOKUP(AJ433,설정!$A$15:$D$47,4,0),99))</f>
        <v>3</v>
      </c>
      <c r="AM433" s="94" t="n">
        <f aca="false">IF(ISNUMBER(H433),AA433*1000000*H433/10000,0)</f>
        <v>299.5154695542</v>
      </c>
      <c r="AN433" s="94" t="n">
        <f aca="false">IF(OR(Y433=1,NOT(ISNUMBER(Z433))),0,AA433*1000000*Z433/10000)</f>
        <v>299.5154695542</v>
      </c>
      <c r="AO433" s="94" t="n">
        <f aca="false">IF(ISNUMBER(G433),AA433*1000000*G433/100,0)</f>
        <v>67839.93387282</v>
      </c>
      <c r="AP433" s="94" t="n">
        <f aca="false">IF(ISNUMBER(M433),M433*K433,0)</f>
        <v>-34864</v>
      </c>
      <c r="AQ433" s="95" t="n">
        <f aca="false">IF(AB433="","",INDEX(시장분석!$AK:$AK,AB433))</f>
        <v>-0.804454615632832</v>
      </c>
      <c r="AR433" s="43" t="str">
        <f aca="false">IF(AB433="","-",IF(AB433="","",INDEX(시장분석!$AL:$AL,AB433)))</f>
        <v>Fair</v>
      </c>
      <c r="AS433" s="96" t="n">
        <f aca="false">IF(AB433="","",INDEX(시장분석!$AJ:$AJ,AB433))</f>
        <v>-22.1851056948615</v>
      </c>
      <c r="AT433" s="93" t="n">
        <f aca="false">IF(AB433="",0,IF(AB433="","",INDEX(시장분석!$AN:$AN,AB433)))</f>
        <v>14.4382400244733</v>
      </c>
      <c r="AU433" s="94" t="n">
        <f aca="false">IF(ISNUMBER(Z433),AT433/10000*MAX(Z433-1,0)*AA433*1000000,0)</f>
        <v>2438.77605276028</v>
      </c>
      <c r="AV433" s="94" t="n">
        <f aca="false">AO433+AU433</f>
        <v>70278.7099255803</v>
      </c>
      <c r="AW433" s="43" t="str">
        <f aca="false">IF(Q433&lt;&gt;1,"",TRIM(IF(AD433=1,"FRN ","")&amp;IF(AND(AL433&gt;=10,AL433&lt;99),"BBB0미만 ","")&amp;IF(AJ433="","등급없음 ","")&amp;IF(K433&lt;&gt;1,"비USD ","")&amp;IF(AND(AB433="",Y433=0),"시장데이터없음 ","")&amp;IF(AND(ISNUMBER(U433),U433&lt;0),"만기경과 ","")))</f>
        <v/>
      </c>
      <c r="AX433" s="90" t="n">
        <f aca="false">IF(Q433&lt;&gt;1,1,IF(스프레드쇼크!$C$4="Y",INDEX(스프레드쇼크!$B$12:$L$16,IFERROR(MATCH(AH433,스프레드쇼크!$A$12:$A$16,0),MATCH("목록외",스프레드쇼크!$A$12:$A$16,0)),IFERROR(MATCH(AG433,스프레드쇼크!$B$11:$L$11,0),MATCH("목록외",스프레드쇼크!$B$11:$L$11,0))),1))</f>
        <v>1</v>
      </c>
      <c r="AY433" s="90" t="n">
        <f aca="false">IF(스프레드쇼크!$C$5="Y",IF(ISNUMBER(AF433),MIN(스프레드쇼크!$C$7,MAX(스프레드쇼크!$C$6,AF433/스프레드쇼크!$C$8)),1),1)</f>
        <v>0.306016851768884</v>
      </c>
      <c r="AZ433" s="94" t="n">
        <f aca="false">AN433*AX433*AY433</f>
        <v>91.6567810490552</v>
      </c>
      <c r="BA433" s="90" t="n">
        <f aca="false">IF(ISNUMBER(G433),AA433*G433,0)</f>
        <v>6.783993387282</v>
      </c>
      <c r="BB433" s="90" t="n">
        <f aca="false">IF(ISNUMBER(G433),AA433,0)</f>
        <v>1.30604574</v>
      </c>
      <c r="BC433" s="90" t="n">
        <f aca="false">IF(AND(Y433=0,ISNUMBER(AF433)),AA433*AF433,0)</f>
        <v>26.42391741168</v>
      </c>
      <c r="BD433" s="90" t="n">
        <f aca="false">IF(AND(Y433=0,ISNUMBER(AF433)),AA433,0)</f>
        <v>1.30604574</v>
      </c>
      <c r="BE433" s="90" t="n">
        <f aca="false">IF(ISNUMBER(H433),AA433*H433,0)</f>
        <v>2.995154695542</v>
      </c>
      <c r="BF433" s="90" t="n">
        <f aca="false">IF(ISNUMBER(H433),AA433,0)</f>
        <v>1.30604574</v>
      </c>
      <c r="BG433" s="90" t="n">
        <f aca="false">IF(AND(Y433=0,ISNUMBER(AF433),ISNUMBER(Z433)),AA433*Z433,0)</f>
        <v>2.995154695542</v>
      </c>
      <c r="BH433" s="90" t="n">
        <f aca="false">IF(AND(Y433=0,ISNUMBER(AF433),ISNUMBER(Z433)),AA433*AT433*MAX(Z433-1,0),0)</f>
        <v>24.3877605276028</v>
      </c>
      <c r="BI433" s="90" t="n">
        <f aca="false">IF(Y433=0,AA433,0)</f>
        <v>1.30604574</v>
      </c>
    </row>
    <row r="434" customFormat="false" ht="15" hidden="false" customHeight="false" outlineLevel="0" collapsed="false">
      <c r="A434" s="83" t="str">
        <f aca="false">IFERROR(IF(INDEX(원자료_잔고!$A$1:$EZ$1500,설정!$L$5+ROW()-1,설정!$L$8)&amp;""="0","",INDEX(원자료_잔고!$A$1:$EZ$1500,설정!$L$5+ROW()-1,설정!$L$8)&amp;""),"")</f>
        <v>NHSECS 5 06/29/31</v>
      </c>
      <c r="B434" s="83" t="str">
        <f aca="false">IFERROR(IF(INDEX(원자료_잔고!$A$1:$EZ$1500,설정!$L$5+ROW()-1,설정!$L$7)&amp;""="0","",INDEX(원자료_잔고!$A$1:$EZ$1500,설정!$L$5+ROW()-1,설정!$L$7)&amp;""),"")</f>
        <v>XS3423950230</v>
      </c>
      <c r="C434" s="83" t="str">
        <f aca="false">IFERROR(IF(INDEX(원자료_잔고!$A$1:$EZ$1500,설정!$L$5+ROW()-1,설정!$L$9)&amp;""="0","",INDEX(원자료_잔고!$A$1:$EZ$1500,설정!$L$5+ROW()-1,설정!$L$9)&amp;""),"")</f>
        <v>42003</v>
      </c>
      <c r="D43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4" s="84" t="n">
        <f aca="false">IFERROR(IF(ISNUMBER(INDEX(원자료_잔고!$A$1:$EZ$1500,설정!$L$5+ROW()-1,설정!$L$11)),INDEX(원자료_잔고!$A$1:$EZ$1500,설정!$L$5+ROW()-1,설정!$L$11),""),"")</f>
        <v>2000000</v>
      </c>
      <c r="F434" s="85" t="n">
        <f aca="false">IFERROR(IF(ISNUMBER(INDEX(원자료_잔고!$A$1:$EZ$1500,설정!$L$5+ROW()-1,설정!$L$12)),INDEX(원자료_잔고!$A$1:$EZ$1500,설정!$L$5+ROW()-1,설정!$L$12),""),"")</f>
        <v>96.3824</v>
      </c>
      <c r="G434" s="85" t="n">
        <f aca="false">IFERROR(IF(ISNUMBER(INDEX(원자료_잔고!$A$1:$EZ$1500,설정!$L$5+ROW()-1,설정!$L$13)),INDEX(원자료_잔고!$A$1:$EZ$1500,설정!$L$5+ROW()-1,설정!$L$13),""),"")</f>
        <v>5.8819</v>
      </c>
      <c r="H434" s="85" t="n">
        <f aca="false">IFERROR(IF(ISNUMBER(INDEX(원자료_잔고!$A$1:$EZ$1500,설정!$L$5+ROW()-1,설정!$L$14)),INDEX(원자료_잔고!$A$1:$EZ$1500,설정!$L$5+ROW()-1,설정!$L$14),""),"")</f>
        <v>4.0049</v>
      </c>
      <c r="I434" s="86" t="n">
        <f aca="false">IFERROR(IF(ISNUMBER(INDEX(원자료_잔고!$A$1:$EZ$1500,설정!$L$5+ROW()-1,설정!$L$15)),INDEX(원자료_잔고!$A$1:$EZ$1500,설정!$L$5+ROW()-1,설정!$L$15),""),"")</f>
        <v>48028</v>
      </c>
      <c r="J434" s="85" t="n">
        <f aca="false">IFERROR(IF(ISNUMBER(INDEX(원자료_잔고!$A$1:$EZ$1500,설정!$L$5+ROW()-1,설정!$L$16)),INDEX(원자료_잔고!$A$1:$EZ$1500,설정!$L$5+ROW()-1,설정!$L$16),""),"")</f>
        <v>5</v>
      </c>
      <c r="K434" s="87" t="n">
        <f aca="false">IFERROR(IF(ISNUMBER(INDEX(원자료_잔고!$A$1:$EZ$1500,설정!$L$5+ROW()-1,설정!$L$17)),INDEX(원자료_잔고!$A$1:$EZ$1500,설정!$L$5+ROW()-1,설정!$L$17),""),"")</f>
        <v>1</v>
      </c>
      <c r="L434" s="84" t="n">
        <f aca="false">IFERROR(IF(ISNUMBER(INDEX(원자료_잔고!$A$1:$EZ$1500,설정!$L$5+ROW()-1,설정!$L$18)),INDEX(원자료_잔고!$A$1:$EZ$1500,설정!$L$5+ROW()-1,설정!$L$18),""),"")</f>
        <v>1927648</v>
      </c>
      <c r="M434" s="88" t="n">
        <f aca="false">IFERROR(IF(ISNUMBER(INDEX(원자료_잔고!$A$1:$EZ$1500,설정!$L$5+ROW()-1,설정!$L$19)),INDEX(원자료_잔고!$A$1:$EZ$1500,설정!$L$5+ROW()-1,설정!$L$19),""),"")</f>
        <v>-68846.55</v>
      </c>
      <c r="N434" s="83" t="str">
        <f aca="false">IFERROR(IF(INDEX(원자료_잔고!$A$1:$EZ$1500,설정!$L$5+ROW()-1,설정!$L$21)&amp;""="0","",INDEX(원자료_잔고!$A$1:$EZ$1500,설정!$L$5+ROW()-1,설정!$L$21)&amp;""),"")</f>
        <v>A-</v>
      </c>
      <c r="O434" s="83" t="str">
        <f aca="false">IFERROR(IF(INDEX(원자료_잔고!$A$1:$EZ$1500,설정!$L$5+ROW()-1,설정!$L$22)&amp;""="0","",INDEX(원자료_잔고!$A$1:$EZ$1500,설정!$L$5+ROW()-1,설정!$L$22)&amp;""),"")</f>
        <v/>
      </c>
      <c r="P434" s="83" t="str">
        <f aca="false">IFERROR(IF(INDEX(원자료_잔고!$A$1:$EZ$1500,설정!$L$5+ROW()-1,설정!$L$23)&amp;""="0","",INDEX(원자료_잔고!$A$1:$EZ$1500,설정!$L$5+ROW()-1,설정!$L$23)&amp;""),"")</f>
        <v>N/A</v>
      </c>
      <c r="Q434" s="89" t="n">
        <f aca="false">IF(AND($A434&lt;&gt;"",ISNUMBER(E434)),IF(E434&gt;0,1,0),0)</f>
        <v>1</v>
      </c>
      <c r="R434" s="43" t="str">
        <f aca="false">IF(Q434=1,UPPER(LEFT($A434,FIND(" ",$A434&amp;" ")-1)),"")</f>
        <v>NHSECS</v>
      </c>
      <c r="S434" s="89" t="n">
        <f aca="false">IF(Q434=1,IF(OR(ISNUMBER(SEARCH("Float",$A434)),ISNUMBER(SEARCH("FRN",$A434))),1,0),0)</f>
        <v>0</v>
      </c>
      <c r="T434" s="43" t="str">
        <f aca="false">IF(AND(Q434=1,ISNUMBER(I434)),TEXT(I434,"yyyymmdd")&amp;"|"&amp;IF(S434=1,"F",TEXT(J434,"0.000")),"")</f>
        <v>20310629|5.000</v>
      </c>
      <c r="U434" s="90" t="n">
        <f aca="false">IF(AND(Q434=1,ISNUMBER(I434)),(I434-설정!$C$4)/365.25,"")</f>
        <v>4.7419575633128</v>
      </c>
      <c r="V434" s="43" t="str">
        <f aca="false">IF(Q434&lt;&gt;1,"",IF(ISNUMBER(U434),IF(U434&lt;=1,"1년 이하",IF(U434&lt;=2,"1-2년",IF(U434&lt;=3,"2-3년",IF(U434&lt;=4,"3-4년",IF(U434&lt;=5,"4-5년",IF(U434&lt;=7,"5-7년",IF(U434&lt;=10,"7-10년",IF(U434&lt;=20,"10-20년","20년 이상")))))))),"미분류"))</f>
        <v>4-5년</v>
      </c>
      <c r="W434" s="43" t="str">
        <f aca="false">IF(Q434&lt;&gt;1,"",IF(AB434&lt;&gt;"",INDEX(시장분석!$C:$C,AB434),IF(K434=1,"USD","비USD")))</f>
        <v>USD</v>
      </c>
      <c r="X434" s="91" t="n">
        <f aca="false">IF(Q434=1,E434*K434/1000000,0)</f>
        <v>2</v>
      </c>
      <c r="Y434" s="89" t="n">
        <f aca="false">IF(R434="T",1,0)</f>
        <v>0</v>
      </c>
      <c r="Z434" s="92" t="n">
        <f aca="false">IF(Q434&lt;&gt;1,"",IF(AD434=1,IF(ISNUMBER(U434),MAX(U434,0),H434),H434))</f>
        <v>4.0049</v>
      </c>
      <c r="AA434" s="91" t="n">
        <f aca="false">IF(Q434=1,IF(ISNUMBER(L434),L434,0)*K434/1000000,0)</f>
        <v>1.927648</v>
      </c>
      <c r="AB434" s="89" t="n">
        <f aca="false">IF(Q434&lt;&gt;1,"",IFERROR(MATCH(VLOOKUP(B434,매핑!$H$4:$I$15,2,0),시장분석!$A$2:$A$601,0)+1,IFERROR(MATCH(R434&amp;"|"&amp;T434,시장분석!$V$2:$V$601,0)+1,IF(COUNTIF(시장분석!$U$2:$U$601,T434)=1,MATCH(T434,시장분석!$U$2:$U$601,0)+1,""))))</f>
        <v>261</v>
      </c>
      <c r="AC434" s="89" t="n">
        <f aca="false">IF(Q434&lt;&gt;1,0,IF(OR(설정!$C$5="전체",AND(설정!$C$5="선택펀드",IFERROR(COUNTIFS(설정!$F$16:$F$36,C434,설정!$G$16:$G$36,"Y")+COUNTIFS(설정!$F$16:$F$36,VALUE(C434),설정!$G$16:$G$36,"Y"),0)&gt;0),C434&amp;""=설정!$C$5&amp;""),1,0))</f>
        <v>0</v>
      </c>
      <c r="AD434" s="89" t="n">
        <f aca="false">IF(Q434&lt;&gt;1,0,IF(OR(S434=1,IF(AB434="",FALSE(),INDEX(시장분석!$R:$R,AB434)=1)),1,0))</f>
        <v>0</v>
      </c>
      <c r="AE434" s="43" t="str">
        <f aca="false">IF(AB434="","",INDEX(시장분석!$A:$A,AB434))</f>
        <v>NHSECS 5 06/29/31</v>
      </c>
      <c r="AF434" s="93" t="n">
        <f aca="false">IF(AB434="","",IF(ISNUMBER(IF(AB434="","",INDEX(시장분석!$E:$E,AB434))),IF(AB434="","",INDEX(시장분석!$E:$E,AB434)),""))</f>
        <v>87.277</v>
      </c>
      <c r="AG434" s="43" t="str">
        <f aca="false">IF(Q434&lt;&gt;1,"",IF(AB434&lt;&gt;"",IF(AB434="","",INDEX(시장분석!$L:$L,AB434)),IFERROR(IF(VLOOKUP(R434,매핑!$A$4:$E$92,5,0)="","미분류",VLOOKUP(R434,매핑!$A$4:$E$92,5,0)),"미분류")))</f>
        <v>금융기관</v>
      </c>
      <c r="AH434" s="43" t="str">
        <f aca="false">IF(Q434&lt;&gt;1,"",IF(AB434&lt;&gt;"",IF(AB434="","",INDEX(시장분석!$N:$N,AB434)),IFERROR(IF(VLOOKUP(R434,매핑!$A$4:$E$92,4,0)="","미분류",VLOOKUP(R434,매핑!$A$4:$E$92,4,0)),"미분류")))</f>
        <v>아시아/기타</v>
      </c>
      <c r="AI434" s="43" t="str">
        <f aca="false">IF(Q434&lt;&gt;1,"",IFERROR(IF(VLOOKUP(R434,매핑!$A$4:$E$92,3,0)="","미분류",VLOOKUP(R434,매핑!$A$4:$E$92,3,0)),IF(AB434&lt;&gt;"",IF(AB434="","",INDEX(시장분석!$W:$W,AB434)),"미분류")))</f>
        <v>한국</v>
      </c>
      <c r="AJ434" s="43" t="str">
        <f aca="false">IF(Q434&lt;&gt;1,"",IFERROR(VLOOKUP(IF(N434&lt;&gt;"",N434,IF(P434&lt;&gt;"",P434,O434)),설정!$A$15:$D$47,2,0),""))</f>
        <v>A-</v>
      </c>
      <c r="AK434" s="43" t="str">
        <f aca="false">IF(Q434&lt;&gt;1,"",IF(AJ434="","무등급",IFERROR(VLOOKUP(AJ434,설정!$A$15:$D$47,3,0),"무등급")))</f>
        <v>A</v>
      </c>
      <c r="AL434" s="89" t="n">
        <f aca="false">IF(AJ434="",99,IFERROR(VLOOKUP(AJ434,설정!$A$15:$D$47,4,0),99))</f>
        <v>7</v>
      </c>
      <c r="AM434" s="94" t="n">
        <f aca="false">IF(ISNUMBER(H434),AA434*1000000*H434/10000,0)</f>
        <v>772.00374752</v>
      </c>
      <c r="AN434" s="94" t="n">
        <f aca="false">IF(OR(Y434=1,NOT(ISNUMBER(Z434))),0,AA434*1000000*Z434/10000)</f>
        <v>772.00374752</v>
      </c>
      <c r="AO434" s="94" t="n">
        <f aca="false">IF(ISNUMBER(G434),AA434*1000000*G434/100,0)</f>
        <v>113382.327712</v>
      </c>
      <c r="AP434" s="94" t="n">
        <f aca="false">IF(ISNUMBER(M434),M434*K434,0)</f>
        <v>-68846.55</v>
      </c>
      <c r="AQ434" s="95" t="n">
        <f aca="false">IF(AB434="","",INDEX(시장분석!$AK:$AK,AB434))</f>
        <v>0.838433449550237</v>
      </c>
      <c r="AR434" s="43" t="str">
        <f aca="false">IF(AB434="","-",IF(AB434="","",INDEX(시장분석!$AL:$AL,AB434)))</f>
        <v>Fair</v>
      </c>
      <c r="AS434" s="96" t="n">
        <f aca="false">IF(AB434="","",INDEX(시장분석!$AJ:$AJ,AB434))</f>
        <v>17.1657406314016</v>
      </c>
      <c r="AT434" s="93" t="n">
        <f aca="false">IF(AB434="",0,IF(AB434="","",INDEX(시장분석!$AN:$AN,AB434)))</f>
        <v>3.77865610435726</v>
      </c>
      <c r="AU434" s="94" t="n">
        <f aca="false">IF(ISNUMBER(Z434),AT434/10000*MAX(Z434-1,0)*AA434*1000000,0)</f>
        <v>2188.74478492792</v>
      </c>
      <c r="AV434" s="94" t="n">
        <f aca="false">AO434+AU434</f>
        <v>115571.072496928</v>
      </c>
      <c r="AW434" s="43" t="str">
        <f aca="false">IF(Q434&lt;&gt;1,"",TRIM(IF(AD434=1,"FRN ","")&amp;IF(AND(AL434&gt;=10,AL434&lt;99),"BBB0미만 ","")&amp;IF(AJ434="","등급없음 ","")&amp;IF(K434&lt;&gt;1,"비USD ","")&amp;IF(AND(AB434="",Y434=0),"시장데이터없음 ","")&amp;IF(AND(ISNUMBER(U434),U434&lt;0),"만기경과 ","")))</f>
        <v/>
      </c>
      <c r="AX434" s="90" t="n">
        <f aca="false">IF(Q434&lt;&gt;1,1,IF(스프레드쇼크!$C$4="Y",INDEX(스프레드쇼크!$B$12:$L$16,IFERROR(MATCH(AH434,스프레드쇼크!$A$12:$A$16,0),MATCH("목록외",스프레드쇼크!$A$12:$A$16,0)),IFERROR(MATCH(AG434,스프레드쇼크!$B$11:$L$11,0),MATCH("목록외",스프레드쇼크!$B$11:$L$11,0))),1))</f>
        <v>1</v>
      </c>
      <c r="AY434" s="90" t="n">
        <f aca="false">IF(스프레드쇼크!$C$5="Y",IF(ISNUMBER(AF434),MIN(스프레드쇼크!$C$7,MAX(스프레드쇼크!$C$6,AF434/스프레드쇼크!$C$8)),1),1)</f>
        <v>1.32009849603761</v>
      </c>
      <c r="AZ434" s="94" t="n">
        <f aca="false">AN434*AX434*AY434</f>
        <v>1019.12098603655</v>
      </c>
      <c r="BA434" s="90" t="n">
        <f aca="false">IF(ISNUMBER(G434),AA434*G434,0)</f>
        <v>11.3382327712</v>
      </c>
      <c r="BB434" s="90" t="n">
        <f aca="false">IF(ISNUMBER(G434),AA434,0)</f>
        <v>1.927648</v>
      </c>
      <c r="BC434" s="90" t="n">
        <f aca="false">IF(AND(Y434=0,ISNUMBER(AF434)),AA434*AF434,0)</f>
        <v>168.239334496</v>
      </c>
      <c r="BD434" s="90" t="n">
        <f aca="false">IF(AND(Y434=0,ISNUMBER(AF434)),AA434,0)</f>
        <v>1.927648</v>
      </c>
      <c r="BE434" s="90" t="n">
        <f aca="false">IF(ISNUMBER(H434),AA434*H434,0)</f>
        <v>7.7200374752</v>
      </c>
      <c r="BF434" s="90" t="n">
        <f aca="false">IF(ISNUMBER(H434),AA434,0)</f>
        <v>1.927648</v>
      </c>
      <c r="BG434" s="90" t="n">
        <f aca="false">IF(AND(Y434=0,ISNUMBER(AF434),ISNUMBER(Z434)),AA434*Z434,0)</f>
        <v>7.7200374752</v>
      </c>
      <c r="BH434" s="90" t="n">
        <f aca="false">IF(AND(Y434=0,ISNUMBER(AF434),ISNUMBER(Z434)),AA434*AT434*MAX(Z434-1,0),0)</f>
        <v>21.8874478492792</v>
      </c>
      <c r="BI434" s="90" t="n">
        <f aca="false">IF(Y434=0,AA434,0)</f>
        <v>1.927648</v>
      </c>
    </row>
    <row r="435" customFormat="false" ht="15" hidden="false" customHeight="false" outlineLevel="0" collapsed="false">
      <c r="A435" s="83" t="str">
        <f aca="false">IFERROR(IF(INDEX(원자료_잔고!$A$1:$EZ$1500,설정!$L$5+ROW()-1,설정!$L$8)&amp;""="0","",INDEX(원자료_잔고!$A$1:$EZ$1500,설정!$L$5+ROW()-1,설정!$L$8)&amp;""),"")</f>
        <v>NHSECS 4.875 06/29/29</v>
      </c>
      <c r="B435" s="83" t="str">
        <f aca="false">IFERROR(IF(INDEX(원자료_잔고!$A$1:$EZ$1500,설정!$L$5+ROW()-1,설정!$L$7)&amp;""="0","",INDEX(원자료_잔고!$A$1:$EZ$1500,설정!$L$5+ROW()-1,설정!$L$7)&amp;""),"")</f>
        <v>XS3423950313</v>
      </c>
      <c r="C435" s="83" t="str">
        <f aca="false">IFERROR(IF(INDEX(원자료_잔고!$A$1:$EZ$1500,설정!$L$5+ROW()-1,설정!$L$9)&amp;""="0","",INDEX(원자료_잔고!$A$1:$EZ$1500,설정!$L$5+ROW()-1,설정!$L$9)&amp;""),"")</f>
        <v>42003</v>
      </c>
      <c r="D43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5" s="84" t="n">
        <f aca="false">IFERROR(IF(ISNUMBER(INDEX(원자료_잔고!$A$1:$EZ$1500,설정!$L$5+ROW()-1,설정!$L$11)),INDEX(원자료_잔고!$A$1:$EZ$1500,설정!$L$5+ROW()-1,설정!$L$11),""),"")</f>
        <v>3000000</v>
      </c>
      <c r="F435" s="85" t="n">
        <f aca="false">IFERROR(IF(ISNUMBER(INDEX(원자료_잔고!$A$1:$EZ$1500,설정!$L$5+ROW()-1,설정!$L$12)),INDEX(원자료_잔고!$A$1:$EZ$1500,설정!$L$5+ROW()-1,설정!$L$12),""),"")</f>
        <v>98.1322</v>
      </c>
      <c r="G435" s="85" t="n">
        <f aca="false">IFERROR(IF(ISNUMBER(INDEX(원자료_잔고!$A$1:$EZ$1500,설정!$L$5+ROW()-1,설정!$L$13)),INDEX(원자료_잔고!$A$1:$EZ$1500,설정!$L$5+ROW()-1,설정!$L$13),""),"")</f>
        <v>5.6143</v>
      </c>
      <c r="H435" s="85" t="n">
        <f aca="false">IFERROR(IF(ISNUMBER(INDEX(원자료_잔고!$A$1:$EZ$1500,설정!$L$5+ROW()-1,설정!$L$14)),INDEX(원자료_잔고!$A$1:$EZ$1500,설정!$L$5+ROW()-1,설정!$L$14),""),"")</f>
        <v>2.4465</v>
      </c>
      <c r="I435" s="86" t="n">
        <f aca="false">IFERROR(IF(ISNUMBER(INDEX(원자료_잔고!$A$1:$EZ$1500,설정!$L$5+ROW()-1,설정!$L$15)),INDEX(원자료_잔고!$A$1:$EZ$1500,설정!$L$5+ROW()-1,설정!$L$15),""),"")</f>
        <v>47298</v>
      </c>
      <c r="J435" s="85" t="n">
        <f aca="false">IFERROR(IF(ISNUMBER(INDEX(원자료_잔고!$A$1:$EZ$1500,설정!$L$5+ROW()-1,설정!$L$16)),INDEX(원자료_잔고!$A$1:$EZ$1500,설정!$L$5+ROW()-1,설정!$L$16),""),"")</f>
        <v>4.875</v>
      </c>
      <c r="K435" s="87" t="n">
        <f aca="false">IFERROR(IF(ISNUMBER(INDEX(원자료_잔고!$A$1:$EZ$1500,설정!$L$5+ROW()-1,설정!$L$17)),INDEX(원자료_잔고!$A$1:$EZ$1500,설정!$L$5+ROW()-1,설정!$L$17),""),"")</f>
        <v>1</v>
      </c>
      <c r="L435" s="84" t="n">
        <f aca="false">IFERROR(IF(ISNUMBER(INDEX(원자료_잔고!$A$1:$EZ$1500,설정!$L$5+ROW()-1,설정!$L$18)),INDEX(원자료_잔고!$A$1:$EZ$1500,설정!$L$5+ROW()-1,설정!$L$18),""),"")</f>
        <v>2943966</v>
      </c>
      <c r="M435" s="88" t="n">
        <f aca="false">IFERROR(IF(ISNUMBER(INDEX(원자료_잔고!$A$1:$EZ$1500,설정!$L$5+ROW()-1,설정!$L$19)),INDEX(원자료_잔고!$A$1:$EZ$1500,설정!$L$5+ROW()-1,설정!$L$19),""),"")</f>
        <v>-50889.96</v>
      </c>
      <c r="N435" s="83" t="str">
        <f aca="false">IFERROR(IF(INDEX(원자료_잔고!$A$1:$EZ$1500,설정!$L$5+ROW()-1,설정!$L$21)&amp;""="0","",INDEX(원자료_잔고!$A$1:$EZ$1500,설정!$L$5+ROW()-1,설정!$L$21)&amp;""),"")</f>
        <v>A-</v>
      </c>
      <c r="O435" s="83" t="str">
        <f aca="false">IFERROR(IF(INDEX(원자료_잔고!$A$1:$EZ$1500,설정!$L$5+ROW()-1,설정!$L$22)&amp;""="0","",INDEX(원자료_잔고!$A$1:$EZ$1500,설정!$L$5+ROW()-1,설정!$L$22)&amp;""),"")</f>
        <v/>
      </c>
      <c r="P435" s="83" t="str">
        <f aca="false">IFERROR(IF(INDEX(원자료_잔고!$A$1:$EZ$1500,설정!$L$5+ROW()-1,설정!$L$23)&amp;""="0","",INDEX(원자료_잔고!$A$1:$EZ$1500,설정!$L$5+ROW()-1,설정!$L$23)&amp;""),"")</f>
        <v>N/A</v>
      </c>
      <c r="Q435" s="89" t="n">
        <f aca="false">IF(AND($A435&lt;&gt;"",ISNUMBER(E435)),IF(E435&gt;0,1,0),0)</f>
        <v>1</v>
      </c>
      <c r="R435" s="43" t="str">
        <f aca="false">IF(Q435=1,UPPER(LEFT($A435,FIND(" ",$A435&amp;" ")-1)),"")</f>
        <v>NHSECS</v>
      </c>
      <c r="S435" s="89" t="n">
        <f aca="false">IF(Q435=1,IF(OR(ISNUMBER(SEARCH("Float",$A435)),ISNUMBER(SEARCH("FRN",$A435))),1,0),0)</f>
        <v>0</v>
      </c>
      <c r="T435" s="43" t="str">
        <f aca="false">IF(AND(Q435=1,ISNUMBER(I435)),TEXT(I435,"yyyymmdd")&amp;"|"&amp;IF(S435=1,"F",TEXT(J435,"0.000")),"")</f>
        <v>20290629|4.875</v>
      </c>
      <c r="U435" s="90" t="n">
        <f aca="false">IF(AND(Q435=1,ISNUMBER(I435)),(I435-설정!$C$4)/365.25,"")</f>
        <v>2.74332648870637</v>
      </c>
      <c r="V435" s="43" t="str">
        <f aca="false">IF(Q435&lt;&gt;1,"",IF(ISNUMBER(U435),IF(U435&lt;=1,"1년 이하",IF(U435&lt;=2,"1-2년",IF(U435&lt;=3,"2-3년",IF(U435&lt;=4,"3-4년",IF(U435&lt;=5,"4-5년",IF(U435&lt;=7,"5-7년",IF(U435&lt;=10,"7-10년",IF(U435&lt;=20,"10-20년","20년 이상")))))))),"미분류"))</f>
        <v>2-3년</v>
      </c>
      <c r="W435" s="43" t="str">
        <f aca="false">IF(Q435&lt;&gt;1,"",IF(AB435&lt;&gt;"",INDEX(시장분석!$C:$C,AB435),IF(K435=1,"USD","비USD")))</f>
        <v>USD</v>
      </c>
      <c r="X435" s="91" t="n">
        <f aca="false">IF(Q435=1,E435*K435/1000000,0)</f>
        <v>3</v>
      </c>
      <c r="Y435" s="89" t="n">
        <f aca="false">IF(R435="T",1,0)</f>
        <v>0</v>
      </c>
      <c r="Z435" s="92" t="n">
        <f aca="false">IF(Q435&lt;&gt;1,"",IF(AD435=1,IF(ISNUMBER(U435),MAX(U435,0),H435),H435))</f>
        <v>2.4465</v>
      </c>
      <c r="AA435" s="91" t="n">
        <f aca="false">IF(Q435=1,IF(ISNUMBER(L435),L435,0)*K435/1000000,0)</f>
        <v>2.943966</v>
      </c>
      <c r="AB435" s="89" t="n">
        <f aca="false">IF(Q435&lt;&gt;1,"",IFERROR(MATCH(VLOOKUP(B435,매핑!$H$4:$I$15,2,0),시장분석!$A$2:$A$601,0)+1,IFERROR(MATCH(R435&amp;"|"&amp;T435,시장분석!$V$2:$V$601,0)+1,IF(COUNTIF(시장분석!$U$2:$U$601,T435)=1,MATCH(T435,시장분석!$U$2:$U$601,0)+1,""))))</f>
        <v>262</v>
      </c>
      <c r="AC435" s="89" t="n">
        <f aca="false">IF(Q435&lt;&gt;1,0,IF(OR(설정!$C$5="전체",AND(설정!$C$5="선택펀드",IFERROR(COUNTIFS(설정!$F$16:$F$36,C435,설정!$G$16:$G$36,"Y")+COUNTIFS(설정!$F$16:$F$36,VALUE(C435),설정!$G$16:$G$36,"Y"),0)&gt;0),C435&amp;""=설정!$C$5&amp;""),1,0))</f>
        <v>0</v>
      </c>
      <c r="AD435" s="89" t="n">
        <f aca="false">IF(Q435&lt;&gt;1,0,IF(OR(S435=1,IF(AB435="",FALSE(),INDEX(시장분석!$R:$R,AB435)=1)),1,0))</f>
        <v>0</v>
      </c>
      <c r="AE435" s="43" t="str">
        <f aca="false">IF(AB435="","",INDEX(시장분석!$A:$A,AB435))</f>
        <v>NHSECS 4 7/8 06/29/29</v>
      </c>
      <c r="AF435" s="93" t="n">
        <f aca="false">IF(AB435="","",IF(ISNUMBER(IF(AB435="","",INDEX(시장분석!$E:$E,AB435))),IF(AB435="","",INDEX(시장분석!$E:$E,AB435)),""))</f>
        <v>61.473</v>
      </c>
      <c r="AG435" s="43" t="str">
        <f aca="false">IF(Q435&lt;&gt;1,"",IF(AB435&lt;&gt;"",IF(AB435="","",INDEX(시장분석!$L:$L,AB435)),IFERROR(IF(VLOOKUP(R435,매핑!$A$4:$E$92,5,0)="","미분류",VLOOKUP(R435,매핑!$A$4:$E$92,5,0)),"미분류")))</f>
        <v>금융기관</v>
      </c>
      <c r="AH435" s="43" t="str">
        <f aca="false">IF(Q435&lt;&gt;1,"",IF(AB435&lt;&gt;"",IF(AB435="","",INDEX(시장분석!$N:$N,AB435)),IFERROR(IF(VLOOKUP(R435,매핑!$A$4:$E$92,4,0)="","미분류",VLOOKUP(R435,매핑!$A$4:$E$92,4,0)),"미분류")))</f>
        <v>아시아/기타</v>
      </c>
      <c r="AI435" s="43" t="str">
        <f aca="false">IF(Q435&lt;&gt;1,"",IFERROR(IF(VLOOKUP(R435,매핑!$A$4:$E$92,3,0)="","미분류",VLOOKUP(R435,매핑!$A$4:$E$92,3,0)),IF(AB435&lt;&gt;"",IF(AB435="","",INDEX(시장분석!$W:$W,AB435)),"미분류")))</f>
        <v>한국</v>
      </c>
      <c r="AJ435" s="43" t="str">
        <f aca="false">IF(Q435&lt;&gt;1,"",IFERROR(VLOOKUP(IF(N435&lt;&gt;"",N435,IF(P435&lt;&gt;"",P435,O435)),설정!$A$15:$D$47,2,0),""))</f>
        <v>A-</v>
      </c>
      <c r="AK435" s="43" t="str">
        <f aca="false">IF(Q435&lt;&gt;1,"",IF(AJ435="","무등급",IFERROR(VLOOKUP(AJ435,설정!$A$15:$D$47,3,0),"무등급")))</f>
        <v>A</v>
      </c>
      <c r="AL435" s="89" t="n">
        <f aca="false">IF(AJ435="",99,IFERROR(VLOOKUP(AJ435,설정!$A$15:$D$47,4,0),99))</f>
        <v>7</v>
      </c>
      <c r="AM435" s="94" t="n">
        <f aca="false">IF(ISNUMBER(H435),AA435*1000000*H435/10000,0)</f>
        <v>720.2412819</v>
      </c>
      <c r="AN435" s="94" t="n">
        <f aca="false">IF(OR(Y435=1,NOT(ISNUMBER(Z435))),0,AA435*1000000*Z435/10000)</f>
        <v>720.2412819</v>
      </c>
      <c r="AO435" s="94" t="n">
        <f aca="false">IF(ISNUMBER(G435),AA435*1000000*G435/100,0)</f>
        <v>165283.083138</v>
      </c>
      <c r="AP435" s="94" t="n">
        <f aca="false">IF(ISNUMBER(M435),M435*K435,0)</f>
        <v>-50889.96</v>
      </c>
      <c r="AQ435" s="95" t="n">
        <f aca="false">IF(AB435="","",INDEX(시장분석!$AK:$AK,AB435))</f>
        <v>-0.0838578217492764</v>
      </c>
      <c r="AR435" s="43" t="str">
        <f aca="false">IF(AB435="","-",IF(AB435="","",INDEX(시장분석!$AL:$AL,AB435)))</f>
        <v>Fair</v>
      </c>
      <c r="AS435" s="96" t="n">
        <f aca="false">IF(AB435="","",INDEX(시장분석!$AJ:$AJ,AB435))</f>
        <v>-1.71687045505469</v>
      </c>
      <c r="AT435" s="93" t="n">
        <f aca="false">IF(AB435="",0,IF(AB435="","",INDEX(시장분석!$AN:$AN,AB435)))</f>
        <v>6.90101780988262</v>
      </c>
      <c r="AU435" s="94" t="n">
        <f aca="false">IF(ISNUMBER(Z435),AT435/10000*MAX(Z435-1,0)*AA435*1000000,0)</f>
        <v>2938.7617340357</v>
      </c>
      <c r="AV435" s="94" t="n">
        <f aca="false">AO435+AU435</f>
        <v>168221.844872036</v>
      </c>
      <c r="AW435" s="43" t="str">
        <f aca="false">IF(Q435&lt;&gt;1,"",TRIM(IF(AD435=1,"FRN ","")&amp;IF(AND(AL435&gt;=10,AL435&lt;99),"BBB0미만 ","")&amp;IF(AJ435="","등급없음 ","")&amp;IF(K435&lt;&gt;1,"비USD ","")&amp;IF(AND(AB435="",Y435=0),"시장데이터없음 ","")&amp;IF(AND(ISNUMBER(U435),U435&lt;0),"만기경과 ","")))</f>
        <v/>
      </c>
      <c r="AX435" s="90" t="n">
        <f aca="false">IF(Q435&lt;&gt;1,1,IF(스프레드쇼크!$C$4="Y",INDEX(스프레드쇼크!$B$12:$L$16,IFERROR(MATCH(AH435,스프레드쇼크!$A$12:$A$16,0),MATCH("목록외",스프레드쇼크!$A$12:$A$16,0)),IFERROR(MATCH(AG435,스프레드쇼크!$B$11:$L$11,0),MATCH("목록외",스프레드쇼크!$B$11:$L$11,0))),1))</f>
        <v>1</v>
      </c>
      <c r="AY435" s="90" t="n">
        <f aca="false">IF(스프레드쇼크!$C$5="Y",IF(ISNUMBER(AF435),MIN(스프레드쇼크!$C$7,MAX(스프레드쇼크!$C$6,AF435/스프레드쇼크!$C$8)),1),1)</f>
        <v>0.92980298184997</v>
      </c>
      <c r="AZ435" s="94" t="n">
        <f aca="false">AN435*AX435*AY435</f>
        <v>669.682491562065</v>
      </c>
      <c r="BA435" s="90" t="n">
        <f aca="false">IF(ISNUMBER(G435),AA435*G435,0)</f>
        <v>16.5283083138</v>
      </c>
      <c r="BB435" s="90" t="n">
        <f aca="false">IF(ISNUMBER(G435),AA435,0)</f>
        <v>2.943966</v>
      </c>
      <c r="BC435" s="90" t="n">
        <f aca="false">IF(AND(Y435=0,ISNUMBER(AF435)),AA435*AF435,0)</f>
        <v>180.974421918</v>
      </c>
      <c r="BD435" s="90" t="n">
        <f aca="false">IF(AND(Y435=0,ISNUMBER(AF435)),AA435,0)</f>
        <v>2.943966</v>
      </c>
      <c r="BE435" s="90" t="n">
        <f aca="false">IF(ISNUMBER(H435),AA435*H435,0)</f>
        <v>7.202412819</v>
      </c>
      <c r="BF435" s="90" t="n">
        <f aca="false">IF(ISNUMBER(H435),AA435,0)</f>
        <v>2.943966</v>
      </c>
      <c r="BG435" s="90" t="n">
        <f aca="false">IF(AND(Y435=0,ISNUMBER(AF435),ISNUMBER(Z435)),AA435*Z435,0)</f>
        <v>7.202412819</v>
      </c>
      <c r="BH435" s="90" t="n">
        <f aca="false">IF(AND(Y435=0,ISNUMBER(AF435),ISNUMBER(Z435)),AA435*AT435*MAX(Z435-1,0),0)</f>
        <v>29.387617340357</v>
      </c>
      <c r="BI435" s="90" t="n">
        <f aca="false">IF(Y435=0,AA435,0)</f>
        <v>2.943966</v>
      </c>
    </row>
    <row r="436" customFormat="false" ht="15" hidden="false" customHeight="false" outlineLevel="0" collapsed="false">
      <c r="A436" s="83" t="str">
        <f aca="false">IFERROR(IF(INDEX(원자료_잔고!$A$1:$EZ$1500,설정!$L$5+ROW()-1,설정!$L$8)&amp;""="0","",INDEX(원자료_잔고!$A$1:$EZ$1500,설정!$L$5+ROW()-1,설정!$L$8)&amp;""),"")</f>
        <v>KTGC 4.875 01/21/30</v>
      </c>
      <c r="B436" s="83" t="str">
        <f aca="false">IFERROR(IF(INDEX(원자료_잔고!$A$1:$EZ$1500,설정!$L$5+ROW()-1,설정!$L$7)&amp;""="0","",INDEX(원자료_잔고!$A$1:$EZ$1500,설정!$L$5+ROW()-1,설정!$L$7)&amp;""),"")</f>
        <v>XS3428230844</v>
      </c>
      <c r="C436" s="83" t="str">
        <f aca="false">IFERROR(IF(INDEX(원자료_잔고!$A$1:$EZ$1500,설정!$L$5+ROW()-1,설정!$L$9)&amp;""="0","",INDEX(원자료_잔고!$A$1:$EZ$1500,설정!$L$5+ROW()-1,설정!$L$9)&amp;""),"")</f>
        <v>42003</v>
      </c>
      <c r="D43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6" s="84" t="n">
        <f aca="false">IFERROR(IF(ISNUMBER(INDEX(원자료_잔고!$A$1:$EZ$1500,설정!$L$5+ROW()-1,설정!$L$11)),INDEX(원자료_잔고!$A$1:$EZ$1500,설정!$L$5+ROW()-1,설정!$L$11),""),"")</f>
        <v>200000</v>
      </c>
      <c r="F436" s="85" t="n">
        <f aca="false">IFERROR(IF(ISNUMBER(INDEX(원자료_잔고!$A$1:$EZ$1500,설정!$L$5+ROW()-1,설정!$L$12)),INDEX(원자료_잔고!$A$1:$EZ$1500,설정!$L$5+ROW()-1,설정!$L$12),""),"")</f>
        <v>97.9408</v>
      </c>
      <c r="G436" s="85" t="n">
        <f aca="false">IFERROR(IF(ISNUMBER(INDEX(원자료_잔고!$A$1:$EZ$1500,설정!$L$5+ROW()-1,설정!$L$13)),INDEX(원자료_잔고!$A$1:$EZ$1500,설정!$L$5+ROW()-1,설정!$L$13),""),"")</f>
        <v>5.5621</v>
      </c>
      <c r="H436" s="85" t="n">
        <f aca="false">IFERROR(IF(ISNUMBER(INDEX(원자료_잔고!$A$1:$EZ$1500,설정!$L$5+ROW()-1,설정!$L$14)),INDEX(원자료_잔고!$A$1:$EZ$1500,설정!$L$5+ROW()-1,설정!$L$14),""),"")</f>
        <v>2.9213</v>
      </c>
      <c r="I436" s="86" t="n">
        <f aca="false">IFERROR(IF(ISNUMBER(INDEX(원자료_잔고!$A$1:$EZ$1500,설정!$L$5+ROW()-1,설정!$L$15)),INDEX(원자료_잔고!$A$1:$EZ$1500,설정!$L$5+ROW()-1,설정!$L$15),""),"")</f>
        <v>47504</v>
      </c>
      <c r="J436" s="85" t="n">
        <f aca="false">IFERROR(IF(ISNUMBER(INDEX(원자료_잔고!$A$1:$EZ$1500,설정!$L$5+ROW()-1,설정!$L$16)),INDEX(원자료_잔고!$A$1:$EZ$1500,설정!$L$5+ROW()-1,설정!$L$16),""),"")</f>
        <v>4.875</v>
      </c>
      <c r="K436" s="87" t="n">
        <f aca="false">IFERROR(IF(ISNUMBER(INDEX(원자료_잔고!$A$1:$EZ$1500,설정!$L$5+ROW()-1,설정!$L$17)),INDEX(원자료_잔고!$A$1:$EZ$1500,설정!$L$5+ROW()-1,설정!$L$17),""),"")</f>
        <v>1</v>
      </c>
      <c r="L436" s="84" t="n">
        <f aca="false">IFERROR(IF(ISNUMBER(INDEX(원자료_잔고!$A$1:$EZ$1500,설정!$L$5+ROW()-1,설정!$L$18)),INDEX(원자료_잔고!$A$1:$EZ$1500,설정!$L$5+ROW()-1,설정!$L$18),""),"")</f>
        <v>195881.6</v>
      </c>
      <c r="M436" s="88" t="n">
        <f aca="false">IFERROR(IF(ISNUMBER(INDEX(원자료_잔고!$A$1:$EZ$1500,설정!$L$5+ROW()-1,설정!$L$19)),INDEX(원자료_잔고!$A$1:$EZ$1500,설정!$L$5+ROW()-1,설정!$L$19),""),"")</f>
        <v>-3830.14</v>
      </c>
      <c r="N436" s="83" t="str">
        <f aca="false">IFERROR(IF(INDEX(원자료_잔고!$A$1:$EZ$1500,설정!$L$5+ROW()-1,설정!$L$21)&amp;""="0","",INDEX(원자료_잔고!$A$1:$EZ$1500,설정!$L$5+ROW()-1,설정!$L$21)&amp;""),"")</f>
        <v>A-</v>
      </c>
      <c r="O436" s="83" t="str">
        <f aca="false">IFERROR(IF(INDEX(원자료_잔고!$A$1:$EZ$1500,설정!$L$5+ROW()-1,설정!$L$22)&amp;""="0","",INDEX(원자료_잔고!$A$1:$EZ$1500,설정!$L$5+ROW()-1,설정!$L$22)&amp;""),"")</f>
        <v/>
      </c>
      <c r="P436" s="83" t="str">
        <f aca="false">IFERROR(IF(INDEX(원자료_잔고!$A$1:$EZ$1500,설정!$L$5+ROW()-1,설정!$L$23)&amp;""="0","",INDEX(원자료_잔고!$A$1:$EZ$1500,설정!$L$5+ROW()-1,설정!$L$23)&amp;""),"")</f>
        <v>N/A</v>
      </c>
      <c r="Q436" s="89" t="n">
        <f aca="false">IF(AND($A436&lt;&gt;"",ISNUMBER(E436)),IF(E436&gt;0,1,0),0)</f>
        <v>1</v>
      </c>
      <c r="R436" s="43" t="str">
        <f aca="false">IF(Q436=1,UPPER(LEFT($A436,FIND(" ",$A436&amp;" ")-1)),"")</f>
        <v>KTGC</v>
      </c>
      <c r="S436" s="89" t="n">
        <f aca="false">IF(Q436=1,IF(OR(ISNUMBER(SEARCH("Float",$A436)),ISNUMBER(SEARCH("FRN",$A436))),1,0),0)</f>
        <v>0</v>
      </c>
      <c r="T436" s="43" t="str">
        <f aca="false">IF(AND(Q436=1,ISNUMBER(I436)),TEXT(I436,"yyyymmdd")&amp;"|"&amp;IF(S436=1,"F",TEXT(J436,"0.000")),"")</f>
        <v>20300121|4.875</v>
      </c>
      <c r="U436" s="90" t="n">
        <f aca="false">IF(AND(Q436=1,ISNUMBER(I436)),(I436-설정!$C$4)/365.25,"")</f>
        <v>3.30732375085558</v>
      </c>
      <c r="V436" s="43" t="str">
        <f aca="false">IF(Q436&lt;&gt;1,"",IF(ISNUMBER(U436),IF(U436&lt;=1,"1년 이하",IF(U436&lt;=2,"1-2년",IF(U436&lt;=3,"2-3년",IF(U436&lt;=4,"3-4년",IF(U436&lt;=5,"4-5년",IF(U436&lt;=7,"5-7년",IF(U436&lt;=10,"7-10년",IF(U436&lt;=20,"10-20년","20년 이상")))))))),"미분류"))</f>
        <v>3-4년</v>
      </c>
      <c r="W436" s="43" t="str">
        <f aca="false">IF(Q436&lt;&gt;1,"",IF(AB436&lt;&gt;"",INDEX(시장분석!$C:$C,AB436),IF(K436=1,"USD","비USD")))</f>
        <v>USD</v>
      </c>
      <c r="X436" s="91" t="n">
        <f aca="false">IF(Q436=1,E436*K436/1000000,0)</f>
        <v>0.2</v>
      </c>
      <c r="Y436" s="89" t="n">
        <f aca="false">IF(R436="T",1,0)</f>
        <v>0</v>
      </c>
      <c r="Z436" s="92" t="n">
        <f aca="false">IF(Q436&lt;&gt;1,"",IF(AD436=1,IF(ISNUMBER(U436),MAX(U436,0),H436),H436))</f>
        <v>2.9213</v>
      </c>
      <c r="AA436" s="91" t="n">
        <f aca="false">IF(Q436=1,IF(ISNUMBER(L436),L436,0)*K436/1000000,0)</f>
        <v>0.1958816</v>
      </c>
      <c r="AB436" s="89" t="n">
        <f aca="false">IF(Q436&lt;&gt;1,"",IFERROR(MATCH(VLOOKUP(B436,매핑!$H$4:$I$15,2,0),시장분석!$A$2:$A$601,0)+1,IFERROR(MATCH(R436&amp;"|"&amp;T436,시장분석!$V$2:$V$601,0)+1,IF(COUNTIF(시장분석!$U$2:$U$601,T436)=1,MATCH(T436,시장분석!$U$2:$U$601,0)+1,""))))</f>
        <v>263</v>
      </c>
      <c r="AC436" s="89" t="n">
        <f aca="false">IF(Q436&lt;&gt;1,0,IF(OR(설정!$C$5="전체",AND(설정!$C$5="선택펀드",IFERROR(COUNTIFS(설정!$F$16:$F$36,C436,설정!$G$16:$G$36,"Y")+COUNTIFS(설정!$F$16:$F$36,VALUE(C436),설정!$G$16:$G$36,"Y"),0)&gt;0),C436&amp;""=설정!$C$5&amp;""),1,0))</f>
        <v>0</v>
      </c>
      <c r="AD436" s="89" t="n">
        <f aca="false">IF(Q436&lt;&gt;1,0,IF(OR(S436=1,IF(AB436="",FALSE(),INDEX(시장분석!$R:$R,AB436)=1)),1,0))</f>
        <v>0</v>
      </c>
      <c r="AE436" s="43" t="str">
        <f aca="false">IF(AB436="","",INDEX(시장분석!$A:$A,AB436))</f>
        <v>KTGC 4 7/8 01/21/30</v>
      </c>
      <c r="AF436" s="93" t="n">
        <f aca="false">IF(AB436="","",IF(ISNUMBER(IF(AB436="","",INDEX(시장분석!$E:$E,AB436))),IF(AB436="","",INDEX(시장분석!$E:$E,AB436)),""))</f>
        <v>60.626</v>
      </c>
      <c r="AG436" s="43" t="str">
        <f aca="false">IF(Q436&lt;&gt;1,"",IF(AB436&lt;&gt;"",IF(AB436="","",INDEX(시장분석!$L:$L,AB436)),IFERROR(IF(VLOOKUP(R436,매핑!$A$4:$E$92,5,0)="","미분류",VLOOKUP(R436,매핑!$A$4:$E$92,5,0)),"미분류")))</f>
        <v>기본소비재</v>
      </c>
      <c r="AH436" s="43" t="str">
        <f aca="false">IF(Q436&lt;&gt;1,"",IF(AB436&lt;&gt;"",IF(AB436="","",INDEX(시장분석!$N:$N,AB436)),IFERROR(IF(VLOOKUP(R436,매핑!$A$4:$E$92,4,0)="","미분류",VLOOKUP(R436,매핑!$A$4:$E$92,4,0)),"미분류")))</f>
        <v>아시아/기타</v>
      </c>
      <c r="AI436" s="43" t="str">
        <f aca="false">IF(Q436&lt;&gt;1,"",IFERROR(IF(VLOOKUP(R436,매핑!$A$4:$E$92,3,0)="","미분류",VLOOKUP(R436,매핑!$A$4:$E$92,3,0)),IF(AB436&lt;&gt;"",IF(AB436="","",INDEX(시장분석!$W:$W,AB436)),"미분류")))</f>
        <v>한국</v>
      </c>
      <c r="AJ436" s="43" t="str">
        <f aca="false">IF(Q436&lt;&gt;1,"",IFERROR(VLOOKUP(IF(N436&lt;&gt;"",N436,IF(P436&lt;&gt;"",P436,O436)),설정!$A$15:$D$47,2,0),""))</f>
        <v>A-</v>
      </c>
      <c r="AK436" s="43" t="str">
        <f aca="false">IF(Q436&lt;&gt;1,"",IF(AJ436="","무등급",IFERROR(VLOOKUP(AJ436,설정!$A$15:$D$47,3,0),"무등급")))</f>
        <v>A</v>
      </c>
      <c r="AL436" s="89" t="n">
        <f aca="false">IF(AJ436="",99,IFERROR(VLOOKUP(AJ436,설정!$A$15:$D$47,4,0),99))</f>
        <v>7</v>
      </c>
      <c r="AM436" s="94" t="n">
        <f aca="false">IF(ISNUMBER(H436),AA436*1000000*H436/10000,0)</f>
        <v>57.222891808</v>
      </c>
      <c r="AN436" s="94" t="n">
        <f aca="false">IF(OR(Y436=1,NOT(ISNUMBER(Z436))),0,AA436*1000000*Z436/10000)</f>
        <v>57.222891808</v>
      </c>
      <c r="AO436" s="94" t="n">
        <f aca="false">IF(ISNUMBER(G436),AA436*1000000*G436/100,0)</f>
        <v>10895.1304736</v>
      </c>
      <c r="AP436" s="94" t="n">
        <f aca="false">IF(ISNUMBER(M436),M436*K436,0)</f>
        <v>-3830.14</v>
      </c>
      <c r="AQ436" s="95" t="n">
        <f aca="false">IF(AB436="","",INDEX(시장분석!$AK:$AK,AB436))</f>
        <v>0.425501521788222</v>
      </c>
      <c r="AR436" s="43" t="str">
        <f aca="false">IF(AB436="","-",IF(AB436="","",INDEX(시장분석!$AL:$AL,AB436)))</f>
        <v>Fair</v>
      </c>
      <c r="AS436" s="96" t="n">
        <f aca="false">IF(AB436="","",INDEX(시장분석!$AJ:$AJ,AB436))</f>
        <v>11.7344049630074</v>
      </c>
      <c r="AT436" s="93" t="n">
        <f aca="false">IF(AB436="",0,IF(AB436="","",INDEX(시장분석!$AN:$AN,AB436)))</f>
        <v>10.6030964720116</v>
      </c>
      <c r="AU436" s="94" t="n">
        <f aca="false">IF(ISNUMBER(Z436),AT436/10000*MAX(Z436-1,0)*AA436*1000000,0)</f>
        <v>399.044692058509</v>
      </c>
      <c r="AV436" s="94" t="n">
        <f aca="false">AO436+AU436</f>
        <v>11294.1751656585</v>
      </c>
      <c r="AW436" s="43" t="str">
        <f aca="false">IF(Q436&lt;&gt;1,"",TRIM(IF(AD436=1,"FRN ","")&amp;IF(AND(AL436&gt;=10,AL436&lt;99),"BBB0미만 ","")&amp;IF(AJ436="","등급없음 ","")&amp;IF(K436&lt;&gt;1,"비USD ","")&amp;IF(AND(AB436="",Y436=0),"시장데이터없음 ","")&amp;IF(AND(ISNUMBER(U436),U436&lt;0),"만기경과 ","")))</f>
        <v/>
      </c>
      <c r="AX436" s="90" t="n">
        <f aca="false">IF(Q436&lt;&gt;1,1,IF(스프레드쇼크!$C$4="Y",INDEX(스프레드쇼크!$B$12:$L$16,IFERROR(MATCH(AH436,스프레드쇼크!$A$12:$A$16,0),MATCH("목록외",스프레드쇼크!$A$12:$A$16,0)),IFERROR(MATCH(AG436,스프레드쇼크!$B$11:$L$11,0),MATCH("목록외",스프레드쇼크!$B$11:$L$11,0))),1))</f>
        <v>1</v>
      </c>
      <c r="AY436" s="90" t="n">
        <f aca="false">IF(스프레드쇼크!$C$5="Y",IF(ISNUMBER(AF436),MIN(스프레드쇼크!$C$7,MAX(스프레드쇼크!$C$6,AF436/스프레드쇼크!$C$8)),1),1)</f>
        <v>0.916991778140587</v>
      </c>
      <c r="AZ436" s="94" t="n">
        <f aca="false">AN436*AX436*AY436</f>
        <v>52.4729213093643</v>
      </c>
      <c r="BA436" s="90" t="n">
        <f aca="false">IF(ISNUMBER(G436),AA436*G436,0)</f>
        <v>1.08951304736</v>
      </c>
      <c r="BB436" s="90" t="n">
        <f aca="false">IF(ISNUMBER(G436),AA436,0)</f>
        <v>0.1958816</v>
      </c>
      <c r="BC436" s="90" t="n">
        <f aca="false">IF(AND(Y436=0,ISNUMBER(AF436)),AA436*AF436,0)</f>
        <v>11.8755178816</v>
      </c>
      <c r="BD436" s="90" t="n">
        <f aca="false">IF(AND(Y436=0,ISNUMBER(AF436)),AA436,0)</f>
        <v>0.1958816</v>
      </c>
      <c r="BE436" s="90" t="n">
        <f aca="false">IF(ISNUMBER(H436),AA436*H436,0)</f>
        <v>0.57222891808</v>
      </c>
      <c r="BF436" s="90" t="n">
        <f aca="false">IF(ISNUMBER(H436),AA436,0)</f>
        <v>0.1958816</v>
      </c>
      <c r="BG436" s="90" t="n">
        <f aca="false">IF(AND(Y436=0,ISNUMBER(AF436),ISNUMBER(Z436)),AA436*Z436,0)</f>
        <v>0.57222891808</v>
      </c>
      <c r="BH436" s="90" t="n">
        <f aca="false">IF(AND(Y436=0,ISNUMBER(AF436),ISNUMBER(Z436)),AA436*AT436*MAX(Z436-1,0),0)</f>
        <v>3.99044692058509</v>
      </c>
      <c r="BI436" s="90" t="n">
        <f aca="false">IF(Y436=0,AA436,0)</f>
        <v>0.1958816</v>
      </c>
    </row>
    <row r="437" customFormat="false" ht="15" hidden="false" customHeight="false" outlineLevel="0" collapsed="false">
      <c r="A437" s="83" t="str">
        <f aca="false">IFERROR(IF(INDEX(원자료_잔고!$A$1:$EZ$1500,설정!$L$5+ROW()-1,설정!$L$8)&amp;""="0","",INDEX(원자료_잔고!$A$1:$EZ$1500,설정!$L$5+ROW()-1,설정!$L$8)&amp;""),"")</f>
        <v>KOMIPW 4.75 07/28/29</v>
      </c>
      <c r="B437" s="83" t="str">
        <f aca="false">IFERROR(IF(INDEX(원자료_잔고!$A$1:$EZ$1500,설정!$L$5+ROW()-1,설정!$L$7)&amp;""="0","",INDEX(원자료_잔고!$A$1:$EZ$1500,설정!$L$5+ROW()-1,설정!$L$7)&amp;""),"")</f>
        <v>XS3441682534</v>
      </c>
      <c r="C437" s="83" t="str">
        <f aca="false">IFERROR(IF(INDEX(원자료_잔고!$A$1:$EZ$1500,설정!$L$5+ROW()-1,설정!$L$9)&amp;""="0","",INDEX(원자료_잔고!$A$1:$EZ$1500,설정!$L$5+ROW()-1,설정!$L$9)&amp;""),"")</f>
        <v>42003</v>
      </c>
      <c r="D43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7" s="84" t="n">
        <f aca="false">IFERROR(IF(ISNUMBER(INDEX(원자료_잔고!$A$1:$EZ$1500,설정!$L$5+ROW()-1,설정!$L$11)),INDEX(원자료_잔고!$A$1:$EZ$1500,설정!$L$5+ROW()-1,설정!$L$11),""),"")</f>
        <v>2500000</v>
      </c>
      <c r="F437" s="85" t="n">
        <f aca="false">IFERROR(IF(ISNUMBER(INDEX(원자료_잔고!$A$1:$EZ$1500,설정!$L$5+ROW()-1,설정!$L$12)),INDEX(원자료_잔고!$A$1:$EZ$1500,설정!$L$5+ROW()-1,설정!$L$12),""),"")</f>
        <v>98.5008</v>
      </c>
      <c r="G437" s="85" t="n">
        <f aca="false">IFERROR(IF(ISNUMBER(INDEX(원자료_잔고!$A$1:$EZ$1500,설정!$L$5+ROW()-1,설정!$L$13)),INDEX(원자료_잔고!$A$1:$EZ$1500,설정!$L$5+ROW()-1,설정!$L$13),""),"")</f>
        <v>5.3252</v>
      </c>
      <c r="H437" s="85" t="n">
        <f aca="false">IFERROR(IF(ISNUMBER(INDEX(원자료_잔고!$A$1:$EZ$1500,설정!$L$5+ROW()-1,설정!$L$14)),INDEX(원자료_잔고!$A$1:$EZ$1500,설정!$L$5+ROW()-1,설정!$L$14),""),"")</f>
        <v>2.5367</v>
      </c>
      <c r="I437" s="86" t="n">
        <f aca="false">IFERROR(IF(ISNUMBER(INDEX(원자료_잔고!$A$1:$EZ$1500,설정!$L$5+ROW()-1,설정!$L$15)),INDEX(원자료_잔고!$A$1:$EZ$1500,설정!$L$5+ROW()-1,설정!$L$15),""),"")</f>
        <v>47327</v>
      </c>
      <c r="J437" s="85" t="n">
        <f aca="false">IFERROR(IF(ISNUMBER(INDEX(원자료_잔고!$A$1:$EZ$1500,설정!$L$5+ROW()-1,설정!$L$16)),INDEX(원자료_잔고!$A$1:$EZ$1500,설정!$L$5+ROW()-1,설정!$L$16),""),"")</f>
        <v>4.75</v>
      </c>
      <c r="K437" s="87" t="n">
        <f aca="false">IFERROR(IF(ISNUMBER(INDEX(원자료_잔고!$A$1:$EZ$1500,설정!$L$5+ROW()-1,설정!$L$17)),INDEX(원자료_잔고!$A$1:$EZ$1500,설정!$L$5+ROW()-1,설정!$L$17),""),"")</f>
        <v>1</v>
      </c>
      <c r="L437" s="84" t="n">
        <f aca="false">IFERROR(IF(ISNUMBER(INDEX(원자료_잔고!$A$1:$EZ$1500,설정!$L$5+ROW()-1,설정!$L$18)),INDEX(원자료_잔고!$A$1:$EZ$1500,설정!$L$5+ROW()-1,설정!$L$18),""),"")</f>
        <v>2462520</v>
      </c>
      <c r="M437" s="88" t="n">
        <f aca="false">IFERROR(IF(ISNUMBER(INDEX(원자료_잔고!$A$1:$EZ$1500,설정!$L$5+ROW()-1,설정!$L$19)),INDEX(원자료_잔고!$A$1:$EZ$1500,설정!$L$5+ROW()-1,설정!$L$19),""),"")</f>
        <v>-33948.39</v>
      </c>
      <c r="N437" s="83" t="str">
        <f aca="false">IFERROR(IF(INDEX(원자료_잔고!$A$1:$EZ$1500,설정!$L$5+ROW()-1,설정!$L$21)&amp;""="0","",INDEX(원자료_잔고!$A$1:$EZ$1500,설정!$L$5+ROW()-1,설정!$L$21)&amp;""),"")</f>
        <v>AA</v>
      </c>
      <c r="O437" s="83" t="str">
        <f aca="false">IFERROR(IF(INDEX(원자료_잔고!$A$1:$EZ$1500,설정!$L$5+ROW()-1,설정!$L$22)&amp;""="0","",INDEX(원자료_잔고!$A$1:$EZ$1500,설정!$L$5+ROW()-1,설정!$L$22)&amp;""),"")</f>
        <v/>
      </c>
      <c r="P437" s="83" t="str">
        <f aca="false">IFERROR(IF(INDEX(원자료_잔고!$A$1:$EZ$1500,설정!$L$5+ROW()-1,설정!$L$23)&amp;""="0","",INDEX(원자료_잔고!$A$1:$EZ$1500,설정!$L$5+ROW()-1,설정!$L$23)&amp;""),"")</f>
        <v>N/A</v>
      </c>
      <c r="Q437" s="89" t="n">
        <f aca="false">IF(AND($A437&lt;&gt;"",ISNUMBER(E437)),IF(E437&gt;0,1,0),0)</f>
        <v>1</v>
      </c>
      <c r="R437" s="43" t="str">
        <f aca="false">IF(Q437=1,UPPER(LEFT($A437,FIND(" ",$A437&amp;" ")-1)),"")</f>
        <v>KOMIPW</v>
      </c>
      <c r="S437" s="89" t="n">
        <f aca="false">IF(Q437=1,IF(OR(ISNUMBER(SEARCH("Float",$A437)),ISNUMBER(SEARCH("FRN",$A437))),1,0),0)</f>
        <v>0</v>
      </c>
      <c r="T437" s="43" t="str">
        <f aca="false">IF(AND(Q437=1,ISNUMBER(I437)),TEXT(I437,"yyyymmdd")&amp;"|"&amp;IF(S437=1,"F",TEXT(J437,"0.000")),"")</f>
        <v>20290728|4.750</v>
      </c>
      <c r="U437" s="90" t="n">
        <f aca="false">IF(AND(Q437=1,ISNUMBER(I437)),(I437-설정!$C$4)/365.25,"")</f>
        <v>2.8227241615332</v>
      </c>
      <c r="V437" s="43" t="str">
        <f aca="false">IF(Q437&lt;&gt;1,"",IF(ISNUMBER(U437),IF(U437&lt;=1,"1년 이하",IF(U437&lt;=2,"1-2년",IF(U437&lt;=3,"2-3년",IF(U437&lt;=4,"3-4년",IF(U437&lt;=5,"4-5년",IF(U437&lt;=7,"5-7년",IF(U437&lt;=10,"7-10년",IF(U437&lt;=20,"10-20년","20년 이상")))))))),"미분류"))</f>
        <v>2-3년</v>
      </c>
      <c r="W437" s="43" t="str">
        <f aca="false">IF(Q437&lt;&gt;1,"",IF(AB437&lt;&gt;"",INDEX(시장분석!$C:$C,AB437),IF(K437=1,"USD","비USD")))</f>
        <v>USD</v>
      </c>
      <c r="X437" s="91" t="n">
        <f aca="false">IF(Q437=1,E437*K437/1000000,0)</f>
        <v>2.5</v>
      </c>
      <c r="Y437" s="89" t="n">
        <f aca="false">IF(R437="T",1,0)</f>
        <v>0</v>
      </c>
      <c r="Z437" s="92" t="n">
        <f aca="false">IF(Q437&lt;&gt;1,"",IF(AD437=1,IF(ISNUMBER(U437),MAX(U437,0),H437),H437))</f>
        <v>2.5367</v>
      </c>
      <c r="AA437" s="91" t="n">
        <f aca="false">IF(Q437=1,IF(ISNUMBER(L437),L437,0)*K437/1000000,0)</f>
        <v>2.46252</v>
      </c>
      <c r="AB437" s="89" t="n">
        <f aca="false">IF(Q437&lt;&gt;1,"",IFERROR(MATCH(VLOOKUP(B437,매핑!$H$4:$I$15,2,0),시장분석!$A$2:$A$601,0)+1,IFERROR(MATCH(R437&amp;"|"&amp;T437,시장분석!$V$2:$V$601,0)+1,IF(COUNTIF(시장분석!$U$2:$U$601,T437)=1,MATCH(T437,시장분석!$U$2:$U$601,0)+1,""))))</f>
        <v>264</v>
      </c>
      <c r="AC437" s="89" t="n">
        <f aca="false">IF(Q437&lt;&gt;1,0,IF(OR(설정!$C$5="전체",AND(설정!$C$5="선택펀드",IFERROR(COUNTIFS(설정!$F$16:$F$36,C437,설정!$G$16:$G$36,"Y")+COUNTIFS(설정!$F$16:$F$36,VALUE(C437),설정!$G$16:$G$36,"Y"),0)&gt;0),C437&amp;""=설정!$C$5&amp;""),1,0))</f>
        <v>0</v>
      </c>
      <c r="AD437" s="89" t="n">
        <f aca="false">IF(Q437&lt;&gt;1,0,IF(OR(S437=1,IF(AB437="",FALSE(),INDEX(시장분석!$R:$R,AB437)=1)),1,0))</f>
        <v>0</v>
      </c>
      <c r="AE437" s="43" t="str">
        <f aca="false">IF(AB437="","",INDEX(시장분석!$A:$A,AB437))</f>
        <v>KOMIPW 4 3/4 07/28/29</v>
      </c>
      <c r="AF437" s="93" t="n">
        <f aca="false">IF(AB437="","",IF(ISNUMBER(IF(AB437="","",INDEX(시장분석!$E:$E,AB437))),IF(AB437="","",INDEX(시장분석!$E:$E,AB437)),""))</f>
        <v>34.912</v>
      </c>
      <c r="AG437" s="43" t="str">
        <f aca="false">IF(Q437&lt;&gt;1,"",IF(AB437&lt;&gt;"",IF(AB437="","",INDEX(시장분석!$L:$L,AB437)),IFERROR(IF(VLOOKUP(R437,매핑!$A$4:$E$92,5,0)="","미분류",VLOOKUP(R437,매핑!$A$4:$E$92,5,0)),"미분류")))</f>
        <v>유틸리티</v>
      </c>
      <c r="AH437" s="43" t="str">
        <f aca="false">IF(Q437&lt;&gt;1,"",IF(AB437&lt;&gt;"",IF(AB437="","",INDEX(시장분석!$N:$N,AB437)),IFERROR(IF(VLOOKUP(R437,매핑!$A$4:$E$92,4,0)="","미분류",VLOOKUP(R437,매핑!$A$4:$E$92,4,0)),"미분류")))</f>
        <v>아시아/기타</v>
      </c>
      <c r="AI437" s="43" t="str">
        <f aca="false">IF(Q437&lt;&gt;1,"",IFERROR(IF(VLOOKUP(R437,매핑!$A$4:$E$92,3,0)="","미분류",VLOOKUP(R437,매핑!$A$4:$E$92,3,0)),IF(AB437&lt;&gt;"",IF(AB437="","",INDEX(시장분석!$W:$W,AB437)),"미분류")))</f>
        <v>한국</v>
      </c>
      <c r="AJ437" s="43" t="str">
        <f aca="false">IF(Q437&lt;&gt;1,"",IFERROR(VLOOKUP(IF(N437&lt;&gt;"",N437,IF(P437&lt;&gt;"",P437,O437)),설정!$A$15:$D$47,2,0),""))</f>
        <v>AA</v>
      </c>
      <c r="AK437" s="43" t="str">
        <f aca="false">IF(Q437&lt;&gt;1,"",IF(AJ437="","무등급",IFERROR(VLOOKUP(AJ437,설정!$A$15:$D$47,3,0),"무등급")))</f>
        <v>AA이상</v>
      </c>
      <c r="AL437" s="89" t="n">
        <f aca="false">IF(AJ437="",99,IFERROR(VLOOKUP(AJ437,설정!$A$15:$D$47,4,0),99))</f>
        <v>3</v>
      </c>
      <c r="AM437" s="94" t="n">
        <f aca="false">IF(ISNUMBER(H437),AA437*1000000*H437/10000,0)</f>
        <v>624.6674484</v>
      </c>
      <c r="AN437" s="94" t="n">
        <f aca="false">IF(OR(Y437=1,NOT(ISNUMBER(Z437))),0,AA437*1000000*Z437/10000)</f>
        <v>624.6674484</v>
      </c>
      <c r="AO437" s="94" t="n">
        <f aca="false">IF(ISNUMBER(G437),AA437*1000000*G437/100,0)</f>
        <v>131134.11504</v>
      </c>
      <c r="AP437" s="94" t="n">
        <f aca="false">IF(ISNUMBER(M437),M437*K437,0)</f>
        <v>-33948.39</v>
      </c>
      <c r="AQ437" s="95" t="n">
        <f aca="false">IF(AB437="","",INDEX(시장분석!$AK:$AK,AB437))</f>
        <v>0.738090558278418</v>
      </c>
      <c r="AR437" s="43" t="str">
        <f aca="false">IF(AB437="","-",IF(AB437="","",INDEX(시장분석!$AL:$AL,AB437)))</f>
        <v>Fair</v>
      </c>
      <c r="AS437" s="96" t="n">
        <f aca="false">IF(AB437="","",INDEX(시장분석!$AJ:$AJ,AB437))</f>
        <v>3.95412139973278</v>
      </c>
      <c r="AT437" s="93" t="n">
        <f aca="false">IF(AB437="",0,IF(AB437="","",INDEX(시장분석!$AN:$AN,AB437)))</f>
        <v>17.9406283418509</v>
      </c>
      <c r="AU437" s="94" t="n">
        <f aca="false">IF(ISNUMBER(Z437),AT437/10000*MAX(Z437-1,0)*AA437*1000000,0)</f>
        <v>6789.01091855925</v>
      </c>
      <c r="AV437" s="94" t="n">
        <f aca="false">AO437+AU437</f>
        <v>137923.125958559</v>
      </c>
      <c r="AW437" s="43" t="str">
        <f aca="false">IF(Q437&lt;&gt;1,"",TRIM(IF(AD437=1,"FRN ","")&amp;IF(AND(AL437&gt;=10,AL437&lt;99),"BBB0미만 ","")&amp;IF(AJ437="","등급없음 ","")&amp;IF(K437&lt;&gt;1,"비USD ","")&amp;IF(AND(AB437="",Y437=0),"시장데이터없음 ","")&amp;IF(AND(ISNUMBER(U437),U437&lt;0),"만기경과 ","")))</f>
        <v/>
      </c>
      <c r="AX437" s="90" t="n">
        <f aca="false">IF(Q437&lt;&gt;1,1,IF(스프레드쇼크!$C$4="Y",INDEX(스프레드쇼크!$B$12:$L$16,IFERROR(MATCH(AH437,스프레드쇼크!$A$12:$A$16,0),MATCH("목록외",스프레드쇼크!$A$12:$A$16,0)),IFERROR(MATCH(AG437,스프레드쇼크!$B$11:$L$11,0),MATCH("목록외",스프레드쇼크!$B$11:$L$11,0))),1))</f>
        <v>1</v>
      </c>
      <c r="AY437" s="90" t="n">
        <f aca="false">IF(스프레드쇼크!$C$5="Y",IF(ISNUMBER(AF437),MIN(스프레드쇼크!$C$7,MAX(스프레드쇼크!$C$6,AF437/스프레드쇼크!$C$8)),1),1)</f>
        <v>0.528057548880747</v>
      </c>
      <c r="AZ437" s="94" t="n">
        <f aca="false">AN437*AX437*AY437</f>
        <v>329.860361667694</v>
      </c>
      <c r="BA437" s="90" t="n">
        <f aca="false">IF(ISNUMBER(G437),AA437*G437,0)</f>
        <v>13.113411504</v>
      </c>
      <c r="BB437" s="90" t="n">
        <f aca="false">IF(ISNUMBER(G437),AA437,0)</f>
        <v>2.46252</v>
      </c>
      <c r="BC437" s="90" t="n">
        <f aca="false">IF(AND(Y437=0,ISNUMBER(AF437)),AA437*AF437,0)</f>
        <v>85.97149824</v>
      </c>
      <c r="BD437" s="90" t="n">
        <f aca="false">IF(AND(Y437=0,ISNUMBER(AF437)),AA437,0)</f>
        <v>2.46252</v>
      </c>
      <c r="BE437" s="90" t="n">
        <f aca="false">IF(ISNUMBER(H437),AA437*H437,0)</f>
        <v>6.246674484</v>
      </c>
      <c r="BF437" s="90" t="n">
        <f aca="false">IF(ISNUMBER(H437),AA437,0)</f>
        <v>2.46252</v>
      </c>
      <c r="BG437" s="90" t="n">
        <f aca="false">IF(AND(Y437=0,ISNUMBER(AF437),ISNUMBER(Z437)),AA437*Z437,0)</f>
        <v>6.246674484</v>
      </c>
      <c r="BH437" s="90" t="n">
        <f aca="false">IF(AND(Y437=0,ISNUMBER(AF437),ISNUMBER(Z437)),AA437*AT437*MAX(Z437-1,0),0)</f>
        <v>67.8901091855925</v>
      </c>
      <c r="BI437" s="90" t="n">
        <f aca="false">IF(Y437=0,AA437,0)</f>
        <v>2.46252</v>
      </c>
    </row>
    <row r="438" customFormat="false" ht="15" hidden="false" customHeight="false" outlineLevel="0" collapsed="false">
      <c r="A438" s="83" t="str">
        <f aca="false">IFERROR(IF(INDEX(원자료_잔고!$A$1:$EZ$1500,설정!$L$5+ROW()-1,설정!$L$8)&amp;""="0","",INDEX(원자료_잔고!$A$1:$EZ$1500,설정!$L$5+ROW()-1,설정!$L$8)&amp;""),"")</f>
        <v>KOREAN 4.75 08/11/29</v>
      </c>
      <c r="B438" s="83" t="str">
        <f aca="false">IFERROR(IF(INDEX(원자료_잔고!$A$1:$EZ$1500,설정!$L$5+ROW()-1,설정!$L$7)&amp;""="0","",INDEX(원자료_잔고!$A$1:$EZ$1500,설정!$L$5+ROW()-1,설정!$L$7)&amp;""),"")</f>
        <v>XS3458340877</v>
      </c>
      <c r="C438" s="83" t="str">
        <f aca="false">IFERROR(IF(INDEX(원자료_잔고!$A$1:$EZ$1500,설정!$L$5+ROW()-1,설정!$L$9)&amp;""="0","",INDEX(원자료_잔고!$A$1:$EZ$1500,설정!$L$5+ROW()-1,설정!$L$9)&amp;""),"")</f>
        <v>42003</v>
      </c>
      <c r="D43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8" s="84" t="n">
        <f aca="false">IFERROR(IF(ISNUMBER(INDEX(원자료_잔고!$A$1:$EZ$1500,설정!$L$5+ROW()-1,설정!$L$11)),INDEX(원자료_잔고!$A$1:$EZ$1500,설정!$L$5+ROW()-1,설정!$L$11),""),"")</f>
        <v>200000</v>
      </c>
      <c r="F438" s="85" t="n">
        <f aca="false">IFERROR(IF(ISNUMBER(INDEX(원자료_잔고!$A$1:$EZ$1500,설정!$L$5+ROW()-1,설정!$L$12)),INDEX(원자료_잔고!$A$1:$EZ$1500,설정!$L$5+ROW()-1,설정!$L$12),""),"")</f>
        <v>98.2049</v>
      </c>
      <c r="G438" s="85" t="n">
        <f aca="false">IFERROR(IF(ISNUMBER(INDEX(원자료_잔고!$A$1:$EZ$1500,설정!$L$5+ROW()-1,설정!$L$13)),INDEX(원자료_잔고!$A$1:$EZ$1500,설정!$L$5+ROW()-1,설정!$L$13),""),"")</f>
        <v>5.4315</v>
      </c>
      <c r="H438" s="85" t="n">
        <f aca="false">IFERROR(IF(ISNUMBER(INDEX(원자료_잔고!$A$1:$EZ$1500,설정!$L$5+ROW()-1,설정!$L$14)),INDEX(원자료_잔고!$A$1:$EZ$1500,설정!$L$5+ROW()-1,설정!$L$14),""),"")</f>
        <v>2.5713</v>
      </c>
      <c r="I438" s="86" t="n">
        <f aca="false">IFERROR(IF(ISNUMBER(INDEX(원자료_잔고!$A$1:$EZ$1500,설정!$L$5+ROW()-1,설정!$L$15)),INDEX(원자료_잔고!$A$1:$EZ$1500,설정!$L$5+ROW()-1,설정!$L$15),""),"")</f>
        <v>47341</v>
      </c>
      <c r="J438" s="85" t="n">
        <f aca="false">IFERROR(IF(ISNUMBER(INDEX(원자료_잔고!$A$1:$EZ$1500,설정!$L$5+ROW()-1,설정!$L$16)),INDEX(원자료_잔고!$A$1:$EZ$1500,설정!$L$5+ROW()-1,설정!$L$16),""),"")</f>
        <v>4.75</v>
      </c>
      <c r="K438" s="87" t="n">
        <f aca="false">IFERROR(IF(ISNUMBER(INDEX(원자료_잔고!$A$1:$EZ$1500,설정!$L$5+ROW()-1,설정!$L$17)),INDEX(원자료_잔고!$A$1:$EZ$1500,설정!$L$5+ROW()-1,설정!$L$17),""),"")</f>
        <v>1</v>
      </c>
      <c r="L438" s="84" t="n">
        <f aca="false">IFERROR(IF(ISNUMBER(INDEX(원자료_잔고!$A$1:$EZ$1500,설정!$L$5+ROW()-1,설정!$L$18)),INDEX(원자료_잔고!$A$1:$EZ$1500,설정!$L$5+ROW()-1,설정!$L$18),""),"")</f>
        <v>196409.8</v>
      </c>
      <c r="M438" s="88" t="n">
        <f aca="false">IFERROR(IF(ISNUMBER(INDEX(원자료_잔고!$A$1:$EZ$1500,설정!$L$5+ROW()-1,설정!$L$19)),INDEX(원자료_잔고!$A$1:$EZ$1500,설정!$L$5+ROW()-1,설정!$L$19),""),"")</f>
        <v>-2949.89</v>
      </c>
      <c r="N438" s="83" t="str">
        <f aca="false">IFERROR(IF(INDEX(원자료_잔고!$A$1:$EZ$1500,설정!$L$5+ROW()-1,설정!$L$21)&amp;""="0","",INDEX(원자료_잔고!$A$1:$EZ$1500,설정!$L$5+ROW()-1,설정!$L$21)&amp;""),"")</f>
        <v/>
      </c>
      <c r="O438" s="83" t="str">
        <f aca="false">IFERROR(IF(INDEX(원자료_잔고!$A$1:$EZ$1500,설정!$L$5+ROW()-1,설정!$L$22)&amp;""="0","",INDEX(원자료_잔고!$A$1:$EZ$1500,설정!$L$5+ROW()-1,설정!$L$22)&amp;""),"")</f>
        <v/>
      </c>
      <c r="P438" s="83" t="str">
        <f aca="false">IFERROR(IF(INDEX(원자료_잔고!$A$1:$EZ$1500,설정!$L$5+ROW()-1,설정!$L$23)&amp;""="0","",INDEX(원자료_잔고!$A$1:$EZ$1500,설정!$L$5+ROW()-1,설정!$L$23)&amp;""),"")</f>
        <v>N/A</v>
      </c>
      <c r="Q438" s="89" t="n">
        <f aca="false">IF(AND($A438&lt;&gt;"",ISNUMBER(E438)),IF(E438&gt;0,1,0),0)</f>
        <v>1</v>
      </c>
      <c r="R438" s="43" t="str">
        <f aca="false">IF(Q438=1,UPPER(LEFT($A438,FIND(" ",$A438&amp;" ")-1)),"")</f>
        <v>KOREAN</v>
      </c>
      <c r="S438" s="89" t="n">
        <f aca="false">IF(Q438=1,IF(OR(ISNUMBER(SEARCH("Float",$A438)),ISNUMBER(SEARCH("FRN",$A438))),1,0),0)</f>
        <v>0</v>
      </c>
      <c r="T438" s="43" t="str">
        <f aca="false">IF(AND(Q438=1,ISNUMBER(I438)),TEXT(I438,"yyyymmdd")&amp;"|"&amp;IF(S438=1,"F",TEXT(J438,"0.000")),"")</f>
        <v>20290811|4.750</v>
      </c>
      <c r="U438" s="90" t="n">
        <f aca="false">IF(AND(Q438=1,ISNUMBER(I438)),(I438-설정!$C$4)/365.25,"")</f>
        <v>2.86105407255305</v>
      </c>
      <c r="V438" s="43" t="str">
        <f aca="false">IF(Q438&lt;&gt;1,"",IF(ISNUMBER(U438),IF(U438&lt;=1,"1년 이하",IF(U438&lt;=2,"1-2년",IF(U438&lt;=3,"2-3년",IF(U438&lt;=4,"3-4년",IF(U438&lt;=5,"4-5년",IF(U438&lt;=7,"5-7년",IF(U438&lt;=10,"7-10년",IF(U438&lt;=20,"10-20년","20년 이상")))))))),"미분류"))</f>
        <v>2-3년</v>
      </c>
      <c r="W438" s="43" t="str">
        <f aca="false">IF(Q438&lt;&gt;1,"",IF(AB438&lt;&gt;"",INDEX(시장분석!$C:$C,AB438),IF(K438=1,"USD","비USD")))</f>
        <v>USD</v>
      </c>
      <c r="X438" s="91" t="n">
        <f aca="false">IF(Q438=1,E438*K438/1000000,0)</f>
        <v>0.2</v>
      </c>
      <c r="Y438" s="89" t="n">
        <f aca="false">IF(R438="T",1,0)</f>
        <v>0</v>
      </c>
      <c r="Z438" s="92" t="n">
        <f aca="false">IF(Q438&lt;&gt;1,"",IF(AD438=1,IF(ISNUMBER(U438),MAX(U438,0),H438),H438))</f>
        <v>2.5713</v>
      </c>
      <c r="AA438" s="91" t="n">
        <f aca="false">IF(Q438=1,IF(ISNUMBER(L438),L438,0)*K438/1000000,0)</f>
        <v>0.1964098</v>
      </c>
      <c r="AB438" s="89" t="n">
        <f aca="false">IF(Q438&lt;&gt;1,"",IFERROR(MATCH(VLOOKUP(B438,매핑!$H$4:$I$15,2,0),시장분석!$A$2:$A$601,0)+1,IFERROR(MATCH(R438&amp;"|"&amp;T438,시장분석!$V$2:$V$601,0)+1,IF(COUNTIF(시장분석!$U$2:$U$601,T438)=1,MATCH(T438,시장분석!$U$2:$U$601,0)+1,""))))</f>
        <v>266</v>
      </c>
      <c r="AC438" s="89" t="n">
        <f aca="false">IF(Q438&lt;&gt;1,0,IF(OR(설정!$C$5="전체",AND(설정!$C$5="선택펀드",IFERROR(COUNTIFS(설정!$F$16:$F$36,C438,설정!$G$16:$G$36,"Y")+COUNTIFS(설정!$F$16:$F$36,VALUE(C438),설정!$G$16:$G$36,"Y"),0)&gt;0),C438&amp;""=설정!$C$5&amp;""),1,0))</f>
        <v>0</v>
      </c>
      <c r="AD438" s="89" t="n">
        <f aca="false">IF(Q438&lt;&gt;1,0,IF(OR(S438=1,IF(AB438="",FALSE(),INDEX(시장분석!$R:$R,AB438)=1)),1,0))</f>
        <v>0</v>
      </c>
      <c r="AE438" s="43" t="str">
        <f aca="false">IF(AB438="","",INDEX(시장분석!$A:$A,AB438))</f>
        <v>KOREAN 4 3/4 08/11/29</v>
      </c>
      <c r="AF438" s="93" t="n">
        <f aca="false">IF(AB438="","",IF(ISNUMBER(IF(AB438="","",INDEX(시장분석!$E:$E,AB438))),IF(AB438="","",INDEX(시장분석!$E:$E,AB438)),""))</f>
        <v>46.213</v>
      </c>
      <c r="AG438" s="43" t="str">
        <f aca="false">IF(Q438&lt;&gt;1,"",IF(AB438&lt;&gt;"",IF(AB438="","",INDEX(시장분석!$L:$L,AB438)),IFERROR(IF(VLOOKUP(R438,매핑!$A$4:$E$92,5,0)="","미분류",VLOOKUP(R438,매핑!$A$4:$E$92,5,0)),"미분류")))</f>
        <v>자유 소비재</v>
      </c>
      <c r="AH438" s="43" t="str">
        <f aca="false">IF(Q438&lt;&gt;1,"",IF(AB438&lt;&gt;"",IF(AB438="","",INDEX(시장분석!$N:$N,AB438)),IFERROR(IF(VLOOKUP(R438,매핑!$A$4:$E$92,4,0)="","미분류",VLOOKUP(R438,매핑!$A$4:$E$92,4,0)),"미분류")))</f>
        <v>아시아/기타</v>
      </c>
      <c r="AI438" s="43" t="str">
        <f aca="false">IF(Q438&lt;&gt;1,"",IFERROR(IF(VLOOKUP(R438,매핑!$A$4:$E$92,3,0)="","미분류",VLOOKUP(R438,매핑!$A$4:$E$92,3,0)),IF(AB438&lt;&gt;"",IF(AB438="","",INDEX(시장분석!$W:$W,AB438)),"미분류")))</f>
        <v>한국</v>
      </c>
      <c r="AJ438" s="43" t="str">
        <f aca="false">IF(Q438&lt;&gt;1,"",IFERROR(VLOOKUP(IF(N438&lt;&gt;"",N438,IF(P438&lt;&gt;"",P438,O438)),설정!$A$15:$D$47,2,0),""))</f>
        <v/>
      </c>
      <c r="AK438" s="43" t="str">
        <f aca="false">IF(Q438&lt;&gt;1,"",IF(AJ438="","무등급",IFERROR(VLOOKUP(AJ438,설정!$A$15:$D$47,3,0),"무등급")))</f>
        <v>무등급</v>
      </c>
      <c r="AL438" s="89" t="n">
        <f aca="false">IF(AJ438="",99,IFERROR(VLOOKUP(AJ438,설정!$A$15:$D$47,4,0),99))</f>
        <v>99</v>
      </c>
      <c r="AM438" s="94" t="n">
        <f aca="false">IF(ISNUMBER(H438),AA438*1000000*H438/10000,0)</f>
        <v>50.502851874</v>
      </c>
      <c r="AN438" s="94" t="n">
        <f aca="false">IF(OR(Y438=1,NOT(ISNUMBER(Z438))),0,AA438*1000000*Z438/10000)</f>
        <v>50.502851874</v>
      </c>
      <c r="AO438" s="94" t="n">
        <f aca="false">IF(ISNUMBER(G438),AA438*1000000*G438/100,0)</f>
        <v>10667.998287</v>
      </c>
      <c r="AP438" s="94" t="n">
        <f aca="false">IF(ISNUMBER(M438),M438*K438,0)</f>
        <v>-2949.89</v>
      </c>
      <c r="AQ438" s="95" t="n">
        <f aca="false">IF(AB438="","",INDEX(시장분석!$AK:$AK,AB438))</f>
        <v>-1.36559603769043</v>
      </c>
      <c r="AR438" s="43" t="str">
        <f aca="false">IF(AB438="","-",IF(AB438="","",INDEX(시장분석!$AL:$AL,AB438)))</f>
        <v>Rich</v>
      </c>
      <c r="AS438" s="96" t="n">
        <f aca="false">IF(AB438="","",INDEX(시장분석!$AJ:$AJ,AB438))</f>
        <v>-28.288241285858</v>
      </c>
      <c r="AT438" s="93" t="n">
        <f aca="false">IF(AB438="",0,IF(AB438="","",INDEX(시장분석!$AN:$AN,AB438)))</f>
        <v>18.7362311300777</v>
      </c>
      <c r="AU438" s="94" t="n">
        <f aca="false">IF(ISNUMBER(Z438),AT438/10000*MAX(Z438-1,0)*AA438*1000000,0)</f>
        <v>578.235164538107</v>
      </c>
      <c r="AV438" s="94" t="n">
        <f aca="false">AO438+AU438</f>
        <v>11246.2334515381</v>
      </c>
      <c r="AW438" s="43" t="str">
        <f aca="false">IF(Q438&lt;&gt;1,"",TRIM(IF(AD438=1,"FRN ","")&amp;IF(AND(AL438&gt;=10,AL438&lt;99),"BBB0미만 ","")&amp;IF(AJ438="","등급없음 ","")&amp;IF(K438&lt;&gt;1,"비USD ","")&amp;IF(AND(AB438="",Y438=0),"시장데이터없음 ","")&amp;IF(AND(ISNUMBER(U438),U438&lt;0),"만기경과 ","")))</f>
        <v>등급없음</v>
      </c>
      <c r="AX438" s="90" t="n">
        <f aca="false">IF(Q438&lt;&gt;1,1,IF(스프레드쇼크!$C$4="Y",INDEX(스프레드쇼크!$B$12:$L$16,IFERROR(MATCH(AH438,스프레드쇼크!$A$12:$A$16,0),MATCH("목록외",스프레드쇼크!$A$12:$A$16,0)),IFERROR(MATCH(AG438,스프레드쇼크!$B$11:$L$11,0),MATCH("목록외",스프레드쇼크!$B$11:$L$11,0))),1))</f>
        <v>1</v>
      </c>
      <c r="AY438" s="90" t="n">
        <f aca="false">IF(스프레드쇼크!$C$5="Y",IF(ISNUMBER(AF438),MIN(스프레드쇼크!$C$7,MAX(스프레드쇼크!$C$6,AF438/스프레드쇼크!$C$8)),1),1)</f>
        <v>0.698989559647856</v>
      </c>
      <c r="AZ438" s="94" t="n">
        <f aca="false">AN438*AX438*AY438</f>
        <v>35.3009661923682</v>
      </c>
      <c r="BA438" s="90" t="n">
        <f aca="false">IF(ISNUMBER(G438),AA438*G438,0)</f>
        <v>1.0667998287</v>
      </c>
      <c r="BB438" s="90" t="n">
        <f aca="false">IF(ISNUMBER(G438),AA438,0)</f>
        <v>0.1964098</v>
      </c>
      <c r="BC438" s="90" t="n">
        <f aca="false">IF(AND(Y438=0,ISNUMBER(AF438)),AA438*AF438,0)</f>
        <v>9.0766860874</v>
      </c>
      <c r="BD438" s="90" t="n">
        <f aca="false">IF(AND(Y438=0,ISNUMBER(AF438)),AA438,0)</f>
        <v>0.1964098</v>
      </c>
      <c r="BE438" s="90" t="n">
        <f aca="false">IF(ISNUMBER(H438),AA438*H438,0)</f>
        <v>0.50502851874</v>
      </c>
      <c r="BF438" s="90" t="n">
        <f aca="false">IF(ISNUMBER(H438),AA438,0)</f>
        <v>0.1964098</v>
      </c>
      <c r="BG438" s="90" t="n">
        <f aca="false">IF(AND(Y438=0,ISNUMBER(AF438),ISNUMBER(Z438)),AA438*Z438,0)</f>
        <v>0.50502851874</v>
      </c>
      <c r="BH438" s="90" t="n">
        <f aca="false">IF(AND(Y438=0,ISNUMBER(AF438),ISNUMBER(Z438)),AA438*AT438*MAX(Z438-1,0),0)</f>
        <v>5.78235164538107</v>
      </c>
      <c r="BI438" s="90" t="n">
        <f aca="false">IF(Y438=0,AA438,0)</f>
        <v>0.1964098</v>
      </c>
    </row>
    <row r="439" customFormat="false" ht="15" hidden="false" customHeight="false" outlineLevel="0" collapsed="false">
      <c r="A439" s="83" t="str">
        <f aca="false">IFERROR(IF(INDEX(원자료_잔고!$A$1:$EZ$1500,설정!$L$5+ROW()-1,설정!$L$8)&amp;""="0","",INDEX(원자료_잔고!$A$1:$EZ$1500,설정!$L$5+ROW()-1,설정!$L$8)&amp;""),"")</f>
        <v>KOREAN 4.75 08/11/29</v>
      </c>
      <c r="B439" s="83" t="str">
        <f aca="false">IFERROR(IF(INDEX(원자료_잔고!$A$1:$EZ$1500,설정!$L$5+ROW()-1,설정!$L$7)&amp;""="0","",INDEX(원자료_잔고!$A$1:$EZ$1500,설정!$L$5+ROW()-1,설정!$L$7)&amp;""),"")</f>
        <v>XS3458340877</v>
      </c>
      <c r="C439" s="83" t="str">
        <f aca="false">IFERROR(IF(INDEX(원자료_잔고!$A$1:$EZ$1500,설정!$L$5+ROW()-1,설정!$L$9)&amp;""="0","",INDEX(원자료_잔고!$A$1:$EZ$1500,설정!$L$5+ROW()-1,설정!$L$9)&amp;""),"")</f>
        <v>42003</v>
      </c>
      <c r="D43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39" s="84" t="n">
        <f aca="false">IFERROR(IF(ISNUMBER(INDEX(원자료_잔고!$A$1:$EZ$1500,설정!$L$5+ROW()-1,설정!$L$11)),INDEX(원자료_잔고!$A$1:$EZ$1500,설정!$L$5+ROW()-1,설정!$L$11),""),"")</f>
        <v>800000</v>
      </c>
      <c r="F439" s="85" t="n">
        <f aca="false">IFERROR(IF(ISNUMBER(INDEX(원자료_잔고!$A$1:$EZ$1500,설정!$L$5+ROW()-1,설정!$L$12)),INDEX(원자료_잔고!$A$1:$EZ$1500,설정!$L$5+ROW()-1,설정!$L$12),""),"")</f>
        <v>98.2049</v>
      </c>
      <c r="G439" s="85" t="n">
        <f aca="false">IFERROR(IF(ISNUMBER(INDEX(원자료_잔고!$A$1:$EZ$1500,설정!$L$5+ROW()-1,설정!$L$13)),INDEX(원자료_잔고!$A$1:$EZ$1500,설정!$L$5+ROW()-1,설정!$L$13),""),"")</f>
        <v>5.4315</v>
      </c>
      <c r="H439" s="85" t="n">
        <f aca="false">IFERROR(IF(ISNUMBER(INDEX(원자료_잔고!$A$1:$EZ$1500,설정!$L$5+ROW()-1,설정!$L$14)),INDEX(원자료_잔고!$A$1:$EZ$1500,설정!$L$5+ROW()-1,설정!$L$14),""),"")</f>
        <v>2.5713</v>
      </c>
      <c r="I439" s="86" t="n">
        <f aca="false">IFERROR(IF(ISNUMBER(INDEX(원자료_잔고!$A$1:$EZ$1500,설정!$L$5+ROW()-1,설정!$L$15)),INDEX(원자료_잔고!$A$1:$EZ$1500,설정!$L$5+ROW()-1,설정!$L$15),""),"")</f>
        <v>47341</v>
      </c>
      <c r="J439" s="85" t="n">
        <f aca="false">IFERROR(IF(ISNUMBER(INDEX(원자료_잔고!$A$1:$EZ$1500,설정!$L$5+ROW()-1,설정!$L$16)),INDEX(원자료_잔고!$A$1:$EZ$1500,설정!$L$5+ROW()-1,설정!$L$16),""),"")</f>
        <v>4.75</v>
      </c>
      <c r="K439" s="87" t="n">
        <f aca="false">IFERROR(IF(ISNUMBER(INDEX(원자료_잔고!$A$1:$EZ$1500,설정!$L$5+ROW()-1,설정!$L$17)),INDEX(원자료_잔고!$A$1:$EZ$1500,설정!$L$5+ROW()-1,설정!$L$17),""),"")</f>
        <v>1</v>
      </c>
      <c r="L439" s="84" t="n">
        <f aca="false">IFERROR(IF(ISNUMBER(INDEX(원자료_잔고!$A$1:$EZ$1500,설정!$L$5+ROW()-1,설정!$L$18)),INDEX(원자료_잔고!$A$1:$EZ$1500,설정!$L$5+ROW()-1,설정!$L$18),""),"")</f>
        <v>785639.2</v>
      </c>
      <c r="M439" s="88" t="n">
        <f aca="false">IFERROR(IF(ISNUMBER(INDEX(원자료_잔고!$A$1:$EZ$1500,설정!$L$5+ROW()-1,설정!$L$19)),INDEX(원자료_잔고!$A$1:$EZ$1500,설정!$L$5+ROW()-1,설정!$L$19),""),"")</f>
        <v>-10849.52</v>
      </c>
      <c r="N439" s="83" t="str">
        <f aca="false">IFERROR(IF(INDEX(원자료_잔고!$A$1:$EZ$1500,설정!$L$5+ROW()-1,설정!$L$21)&amp;""="0","",INDEX(원자료_잔고!$A$1:$EZ$1500,설정!$L$5+ROW()-1,설정!$L$21)&amp;""),"")</f>
        <v/>
      </c>
      <c r="O439" s="83" t="str">
        <f aca="false">IFERROR(IF(INDEX(원자료_잔고!$A$1:$EZ$1500,설정!$L$5+ROW()-1,설정!$L$22)&amp;""="0","",INDEX(원자료_잔고!$A$1:$EZ$1500,설정!$L$5+ROW()-1,설정!$L$22)&amp;""),"")</f>
        <v/>
      </c>
      <c r="P439" s="83" t="str">
        <f aca="false">IFERROR(IF(INDEX(원자료_잔고!$A$1:$EZ$1500,설정!$L$5+ROW()-1,설정!$L$23)&amp;""="0","",INDEX(원자료_잔고!$A$1:$EZ$1500,설정!$L$5+ROW()-1,설정!$L$23)&amp;""),"")</f>
        <v>N/A</v>
      </c>
      <c r="Q439" s="89" t="n">
        <f aca="false">IF(AND($A439&lt;&gt;"",ISNUMBER(E439)),IF(E439&gt;0,1,0),0)</f>
        <v>1</v>
      </c>
      <c r="R439" s="43" t="str">
        <f aca="false">IF(Q439=1,UPPER(LEFT($A439,FIND(" ",$A439&amp;" ")-1)),"")</f>
        <v>KOREAN</v>
      </c>
      <c r="S439" s="89" t="n">
        <f aca="false">IF(Q439=1,IF(OR(ISNUMBER(SEARCH("Float",$A439)),ISNUMBER(SEARCH("FRN",$A439))),1,0),0)</f>
        <v>0</v>
      </c>
      <c r="T439" s="43" t="str">
        <f aca="false">IF(AND(Q439=1,ISNUMBER(I439)),TEXT(I439,"yyyymmdd")&amp;"|"&amp;IF(S439=1,"F",TEXT(J439,"0.000")),"")</f>
        <v>20290811|4.750</v>
      </c>
      <c r="U439" s="90" t="n">
        <f aca="false">IF(AND(Q439=1,ISNUMBER(I439)),(I439-설정!$C$4)/365.25,"")</f>
        <v>2.86105407255305</v>
      </c>
      <c r="V439" s="43" t="str">
        <f aca="false">IF(Q439&lt;&gt;1,"",IF(ISNUMBER(U439),IF(U439&lt;=1,"1년 이하",IF(U439&lt;=2,"1-2년",IF(U439&lt;=3,"2-3년",IF(U439&lt;=4,"3-4년",IF(U439&lt;=5,"4-5년",IF(U439&lt;=7,"5-7년",IF(U439&lt;=10,"7-10년",IF(U439&lt;=20,"10-20년","20년 이상")))))))),"미분류"))</f>
        <v>2-3년</v>
      </c>
      <c r="W439" s="43" t="str">
        <f aca="false">IF(Q439&lt;&gt;1,"",IF(AB439&lt;&gt;"",INDEX(시장분석!$C:$C,AB439),IF(K439=1,"USD","비USD")))</f>
        <v>USD</v>
      </c>
      <c r="X439" s="91" t="n">
        <f aca="false">IF(Q439=1,E439*K439/1000000,0)</f>
        <v>0.8</v>
      </c>
      <c r="Y439" s="89" t="n">
        <f aca="false">IF(R439="T",1,0)</f>
        <v>0</v>
      </c>
      <c r="Z439" s="92" t="n">
        <f aca="false">IF(Q439&lt;&gt;1,"",IF(AD439=1,IF(ISNUMBER(U439),MAX(U439,0),H439),H439))</f>
        <v>2.5713</v>
      </c>
      <c r="AA439" s="91" t="n">
        <f aca="false">IF(Q439=1,IF(ISNUMBER(L439),L439,0)*K439/1000000,0)</f>
        <v>0.7856392</v>
      </c>
      <c r="AB439" s="89" t="n">
        <f aca="false">IF(Q439&lt;&gt;1,"",IFERROR(MATCH(VLOOKUP(B439,매핑!$H$4:$I$15,2,0),시장분석!$A$2:$A$601,0)+1,IFERROR(MATCH(R439&amp;"|"&amp;T439,시장분석!$V$2:$V$601,0)+1,IF(COUNTIF(시장분석!$U$2:$U$601,T439)=1,MATCH(T439,시장분석!$U$2:$U$601,0)+1,""))))</f>
        <v>266</v>
      </c>
      <c r="AC439" s="89" t="n">
        <f aca="false">IF(Q439&lt;&gt;1,0,IF(OR(설정!$C$5="전체",AND(설정!$C$5="선택펀드",IFERROR(COUNTIFS(설정!$F$16:$F$36,C439,설정!$G$16:$G$36,"Y")+COUNTIFS(설정!$F$16:$F$36,VALUE(C439),설정!$G$16:$G$36,"Y"),0)&gt;0),C439&amp;""=설정!$C$5&amp;""),1,0))</f>
        <v>0</v>
      </c>
      <c r="AD439" s="89" t="n">
        <f aca="false">IF(Q439&lt;&gt;1,0,IF(OR(S439=1,IF(AB439="",FALSE(),INDEX(시장분석!$R:$R,AB439)=1)),1,0))</f>
        <v>0</v>
      </c>
      <c r="AE439" s="43" t="str">
        <f aca="false">IF(AB439="","",INDEX(시장분석!$A:$A,AB439))</f>
        <v>KOREAN 4 3/4 08/11/29</v>
      </c>
      <c r="AF439" s="93" t="n">
        <f aca="false">IF(AB439="","",IF(ISNUMBER(IF(AB439="","",INDEX(시장분석!$E:$E,AB439))),IF(AB439="","",INDEX(시장분석!$E:$E,AB439)),""))</f>
        <v>46.213</v>
      </c>
      <c r="AG439" s="43" t="str">
        <f aca="false">IF(Q439&lt;&gt;1,"",IF(AB439&lt;&gt;"",IF(AB439="","",INDEX(시장분석!$L:$L,AB439)),IFERROR(IF(VLOOKUP(R439,매핑!$A$4:$E$92,5,0)="","미분류",VLOOKUP(R439,매핑!$A$4:$E$92,5,0)),"미분류")))</f>
        <v>자유 소비재</v>
      </c>
      <c r="AH439" s="43" t="str">
        <f aca="false">IF(Q439&lt;&gt;1,"",IF(AB439&lt;&gt;"",IF(AB439="","",INDEX(시장분석!$N:$N,AB439)),IFERROR(IF(VLOOKUP(R439,매핑!$A$4:$E$92,4,0)="","미분류",VLOOKUP(R439,매핑!$A$4:$E$92,4,0)),"미분류")))</f>
        <v>아시아/기타</v>
      </c>
      <c r="AI439" s="43" t="str">
        <f aca="false">IF(Q439&lt;&gt;1,"",IFERROR(IF(VLOOKUP(R439,매핑!$A$4:$E$92,3,0)="","미분류",VLOOKUP(R439,매핑!$A$4:$E$92,3,0)),IF(AB439&lt;&gt;"",IF(AB439="","",INDEX(시장분석!$W:$W,AB439)),"미분류")))</f>
        <v>한국</v>
      </c>
      <c r="AJ439" s="43" t="str">
        <f aca="false">IF(Q439&lt;&gt;1,"",IFERROR(VLOOKUP(IF(N439&lt;&gt;"",N439,IF(P439&lt;&gt;"",P439,O439)),설정!$A$15:$D$47,2,0),""))</f>
        <v/>
      </c>
      <c r="AK439" s="43" t="str">
        <f aca="false">IF(Q439&lt;&gt;1,"",IF(AJ439="","무등급",IFERROR(VLOOKUP(AJ439,설정!$A$15:$D$47,3,0),"무등급")))</f>
        <v>무등급</v>
      </c>
      <c r="AL439" s="89" t="n">
        <f aca="false">IF(AJ439="",99,IFERROR(VLOOKUP(AJ439,설정!$A$15:$D$47,4,0),99))</f>
        <v>99</v>
      </c>
      <c r="AM439" s="94" t="n">
        <f aca="false">IF(ISNUMBER(H439),AA439*1000000*H439/10000,0)</f>
        <v>202.011407496</v>
      </c>
      <c r="AN439" s="94" t="n">
        <f aca="false">IF(OR(Y439=1,NOT(ISNUMBER(Z439))),0,AA439*1000000*Z439/10000)</f>
        <v>202.011407496</v>
      </c>
      <c r="AO439" s="94" t="n">
        <f aca="false">IF(ISNUMBER(G439),AA439*1000000*G439/100,0)</f>
        <v>42671.993148</v>
      </c>
      <c r="AP439" s="94" t="n">
        <f aca="false">IF(ISNUMBER(M439),M439*K439,0)</f>
        <v>-10849.52</v>
      </c>
      <c r="AQ439" s="95" t="n">
        <f aca="false">IF(AB439="","",INDEX(시장분석!$AK:$AK,AB439))</f>
        <v>-1.36559603769043</v>
      </c>
      <c r="AR439" s="43" t="str">
        <f aca="false">IF(AB439="","-",IF(AB439="","",INDEX(시장분석!$AL:$AL,AB439)))</f>
        <v>Rich</v>
      </c>
      <c r="AS439" s="96" t="n">
        <f aca="false">IF(AB439="","",INDEX(시장분석!$AJ:$AJ,AB439))</f>
        <v>-28.288241285858</v>
      </c>
      <c r="AT439" s="93" t="n">
        <f aca="false">IF(AB439="",0,IF(AB439="","",INDEX(시장분석!$AN:$AN,AB439)))</f>
        <v>18.7362311300777</v>
      </c>
      <c r="AU439" s="94" t="n">
        <f aca="false">IF(ISNUMBER(Z439),AT439/10000*MAX(Z439-1,0)*AA439*1000000,0)</f>
        <v>2312.94065815243</v>
      </c>
      <c r="AV439" s="94" t="n">
        <f aca="false">AO439+AU439</f>
        <v>44984.9338061524</v>
      </c>
      <c r="AW439" s="43" t="str">
        <f aca="false">IF(Q439&lt;&gt;1,"",TRIM(IF(AD439=1,"FRN ","")&amp;IF(AND(AL439&gt;=10,AL439&lt;99),"BBB0미만 ","")&amp;IF(AJ439="","등급없음 ","")&amp;IF(K439&lt;&gt;1,"비USD ","")&amp;IF(AND(AB439="",Y439=0),"시장데이터없음 ","")&amp;IF(AND(ISNUMBER(U439),U439&lt;0),"만기경과 ","")))</f>
        <v>등급없음</v>
      </c>
      <c r="AX439" s="90" t="n">
        <f aca="false">IF(Q439&lt;&gt;1,1,IF(스프레드쇼크!$C$4="Y",INDEX(스프레드쇼크!$B$12:$L$16,IFERROR(MATCH(AH439,스프레드쇼크!$A$12:$A$16,0),MATCH("목록외",스프레드쇼크!$A$12:$A$16,0)),IFERROR(MATCH(AG439,스프레드쇼크!$B$11:$L$11,0),MATCH("목록외",스프레드쇼크!$B$11:$L$11,0))),1))</f>
        <v>1</v>
      </c>
      <c r="AY439" s="90" t="n">
        <f aca="false">IF(스프레드쇼크!$C$5="Y",IF(ISNUMBER(AF439),MIN(스프레드쇼크!$C$7,MAX(스프레드쇼크!$C$6,AF439/스프레드쇼크!$C$8)),1),1)</f>
        <v>0.698989559647856</v>
      </c>
      <c r="AZ439" s="94" t="n">
        <f aca="false">AN439*AX439*AY439</f>
        <v>141.203864769473</v>
      </c>
      <c r="BA439" s="90" t="n">
        <f aca="false">IF(ISNUMBER(G439),AA439*G439,0)</f>
        <v>4.2671993148</v>
      </c>
      <c r="BB439" s="90" t="n">
        <f aca="false">IF(ISNUMBER(G439),AA439,0)</f>
        <v>0.7856392</v>
      </c>
      <c r="BC439" s="90" t="n">
        <f aca="false">IF(AND(Y439=0,ISNUMBER(AF439)),AA439*AF439,0)</f>
        <v>36.3067443496</v>
      </c>
      <c r="BD439" s="90" t="n">
        <f aca="false">IF(AND(Y439=0,ISNUMBER(AF439)),AA439,0)</f>
        <v>0.7856392</v>
      </c>
      <c r="BE439" s="90" t="n">
        <f aca="false">IF(ISNUMBER(H439),AA439*H439,0)</f>
        <v>2.02011407496</v>
      </c>
      <c r="BF439" s="90" t="n">
        <f aca="false">IF(ISNUMBER(H439),AA439,0)</f>
        <v>0.7856392</v>
      </c>
      <c r="BG439" s="90" t="n">
        <f aca="false">IF(AND(Y439=0,ISNUMBER(AF439),ISNUMBER(Z439)),AA439*Z439,0)</f>
        <v>2.02011407496</v>
      </c>
      <c r="BH439" s="90" t="n">
        <f aca="false">IF(AND(Y439=0,ISNUMBER(AF439),ISNUMBER(Z439)),AA439*AT439*MAX(Z439-1,0),0)</f>
        <v>23.1294065815243</v>
      </c>
      <c r="BI439" s="90" t="n">
        <f aca="false">IF(Y439=0,AA439,0)</f>
        <v>0.7856392</v>
      </c>
    </row>
    <row r="440" customFormat="false" ht="15" hidden="false" customHeight="false" outlineLevel="0" collapsed="false">
      <c r="A440" s="83" t="str">
        <f aca="false">IFERROR(IF(INDEX(원자료_잔고!$A$1:$EZ$1500,설정!$L$5+ROW()-1,설정!$L$8)&amp;""="0","",INDEX(원자료_잔고!$A$1:$EZ$1500,설정!$L$5+ROW()-1,설정!$L$8)&amp;""),"")</f>
        <v>HYUSEC 4.875 08/26/29</v>
      </c>
      <c r="B440" s="83" t="str">
        <f aca="false">IFERROR(IF(INDEX(원자료_잔고!$A$1:$EZ$1500,설정!$L$5+ROW()-1,설정!$L$7)&amp;""="0","",INDEX(원자료_잔고!$A$1:$EZ$1500,설정!$L$5+ROW()-1,설정!$L$7)&amp;""),"")</f>
        <v>XS3464389678</v>
      </c>
      <c r="C440" s="83" t="str">
        <f aca="false">IFERROR(IF(INDEX(원자료_잔고!$A$1:$EZ$1500,설정!$L$5+ROW()-1,설정!$L$9)&amp;""="0","",INDEX(원자료_잔고!$A$1:$EZ$1500,설정!$L$5+ROW()-1,설정!$L$9)&amp;""),"")</f>
        <v>42003</v>
      </c>
      <c r="D44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0" s="84" t="n">
        <f aca="false">IFERROR(IF(ISNUMBER(INDEX(원자료_잔고!$A$1:$EZ$1500,설정!$L$5+ROW()-1,설정!$L$11)),INDEX(원자료_잔고!$A$1:$EZ$1500,설정!$L$5+ROW()-1,설정!$L$11),""),"")</f>
        <v>5200000</v>
      </c>
      <c r="F440" s="85" t="n">
        <f aca="false">IFERROR(IF(ISNUMBER(INDEX(원자료_잔고!$A$1:$EZ$1500,설정!$L$5+ROW()-1,설정!$L$12)),INDEX(원자료_잔고!$A$1:$EZ$1500,설정!$L$5+ROW()-1,설정!$L$12),""),"")</f>
        <v>98.0405</v>
      </c>
      <c r="G440" s="85" t="n">
        <f aca="false">IFERROR(IF(ISNUMBER(INDEX(원자료_잔고!$A$1:$EZ$1500,설정!$L$5+ROW()-1,설정!$L$13)),INDEX(원자료_잔고!$A$1:$EZ$1500,설정!$L$5+ROW()-1,설정!$L$13),""),"")</f>
        <v>5.6128</v>
      </c>
      <c r="H440" s="85" t="n">
        <f aca="false">IFERROR(IF(ISNUMBER(INDEX(원자료_잔고!$A$1:$EZ$1500,설정!$L$5+ROW()-1,설정!$L$14)),INDEX(원자료_잔고!$A$1:$EZ$1500,설정!$L$5+ROW()-1,설정!$L$14),""),"")</f>
        <v>2.6041</v>
      </c>
      <c r="I440" s="86" t="n">
        <f aca="false">IFERROR(IF(ISNUMBER(INDEX(원자료_잔고!$A$1:$EZ$1500,설정!$L$5+ROW()-1,설정!$L$15)),INDEX(원자료_잔고!$A$1:$EZ$1500,설정!$L$5+ROW()-1,설정!$L$15),""),"")</f>
        <v>47356</v>
      </c>
      <c r="J440" s="85" t="n">
        <f aca="false">IFERROR(IF(ISNUMBER(INDEX(원자료_잔고!$A$1:$EZ$1500,설정!$L$5+ROW()-1,설정!$L$16)),INDEX(원자료_잔고!$A$1:$EZ$1500,설정!$L$5+ROW()-1,설정!$L$16),""),"")</f>
        <v>4.875</v>
      </c>
      <c r="K440" s="87" t="n">
        <f aca="false">IFERROR(IF(ISNUMBER(INDEX(원자료_잔고!$A$1:$EZ$1500,설정!$L$5+ROW()-1,설정!$L$17)),INDEX(원자료_잔고!$A$1:$EZ$1500,설정!$L$5+ROW()-1,설정!$L$17),""),"")</f>
        <v>1</v>
      </c>
      <c r="L440" s="84" t="n">
        <f aca="false">IFERROR(IF(ISNUMBER(INDEX(원자료_잔고!$A$1:$EZ$1500,설정!$L$5+ROW()-1,설정!$L$18)),INDEX(원자료_잔고!$A$1:$EZ$1500,설정!$L$5+ROW()-1,설정!$L$18),""),"")</f>
        <v>5098106</v>
      </c>
      <c r="M440" s="88" t="n">
        <f aca="false">IFERROR(IF(ISNUMBER(INDEX(원자료_잔고!$A$1:$EZ$1500,설정!$L$5+ROW()-1,설정!$L$19)),INDEX(원자료_잔고!$A$1:$EZ$1500,설정!$L$5+ROW()-1,설정!$L$19),""),"")</f>
        <v>-72352.63</v>
      </c>
      <c r="N440" s="83" t="str">
        <f aca="false">IFERROR(IF(INDEX(원자료_잔고!$A$1:$EZ$1500,설정!$L$5+ROW()-1,설정!$L$21)&amp;""="0","",INDEX(원자료_잔고!$A$1:$EZ$1500,설정!$L$5+ROW()-1,설정!$L$21)&amp;""),"")</f>
        <v/>
      </c>
      <c r="O440" s="83" t="str">
        <f aca="false">IFERROR(IF(INDEX(원자료_잔고!$A$1:$EZ$1500,설정!$L$5+ROW()-1,설정!$L$22)&amp;""="0","",INDEX(원자료_잔고!$A$1:$EZ$1500,설정!$L$5+ROW()-1,설정!$L$22)&amp;""),"")</f>
        <v/>
      </c>
      <c r="P440" s="83" t="str">
        <f aca="false">IFERROR(IF(INDEX(원자료_잔고!$A$1:$EZ$1500,설정!$L$5+ROW()-1,설정!$L$23)&amp;""="0","",INDEX(원자료_잔고!$A$1:$EZ$1500,설정!$L$5+ROW()-1,설정!$L$23)&amp;""),"")</f>
        <v>N/A</v>
      </c>
      <c r="Q440" s="89" t="n">
        <f aca="false">IF(AND($A440&lt;&gt;"",ISNUMBER(E440)),IF(E440&gt;0,1,0),0)</f>
        <v>1</v>
      </c>
      <c r="R440" s="43" t="str">
        <f aca="false">IF(Q440=1,UPPER(LEFT($A440,FIND(" ",$A440&amp;" ")-1)),"")</f>
        <v>HYUSEC</v>
      </c>
      <c r="S440" s="89" t="n">
        <f aca="false">IF(Q440=1,IF(OR(ISNUMBER(SEARCH("Float",$A440)),ISNUMBER(SEARCH("FRN",$A440))),1,0),0)</f>
        <v>0</v>
      </c>
      <c r="T440" s="43" t="str">
        <f aca="false">IF(AND(Q440=1,ISNUMBER(I440)),TEXT(I440,"yyyymmdd")&amp;"|"&amp;IF(S440=1,"F",TEXT(J440,"0.000")),"")</f>
        <v>20290826|4.875</v>
      </c>
      <c r="U440" s="90" t="n">
        <f aca="false">IF(AND(Q440=1,ISNUMBER(I440)),(I440-설정!$C$4)/365.25,"")</f>
        <v>2.90212183436003</v>
      </c>
      <c r="V440" s="43" t="str">
        <f aca="false">IF(Q440&lt;&gt;1,"",IF(ISNUMBER(U440),IF(U440&lt;=1,"1년 이하",IF(U440&lt;=2,"1-2년",IF(U440&lt;=3,"2-3년",IF(U440&lt;=4,"3-4년",IF(U440&lt;=5,"4-5년",IF(U440&lt;=7,"5-7년",IF(U440&lt;=10,"7-10년",IF(U440&lt;=20,"10-20년","20년 이상")))))))),"미분류"))</f>
        <v>2-3년</v>
      </c>
      <c r="W440" s="43" t="str">
        <f aca="false">IF(Q440&lt;&gt;1,"",IF(AB440&lt;&gt;"",INDEX(시장분석!$C:$C,AB440),IF(K440=1,"USD","비USD")))</f>
        <v>USD</v>
      </c>
      <c r="X440" s="91" t="n">
        <f aca="false">IF(Q440=1,E440*K440/1000000,0)</f>
        <v>5.2</v>
      </c>
      <c r="Y440" s="89" t="n">
        <f aca="false">IF(R440="T",1,0)</f>
        <v>0</v>
      </c>
      <c r="Z440" s="92" t="n">
        <f aca="false">IF(Q440&lt;&gt;1,"",IF(AD440=1,IF(ISNUMBER(U440),MAX(U440,0),H440),H440))</f>
        <v>2.6041</v>
      </c>
      <c r="AA440" s="91" t="n">
        <f aca="false">IF(Q440=1,IF(ISNUMBER(L440),L440,0)*K440/1000000,0)</f>
        <v>5.098106</v>
      </c>
      <c r="AB440" s="89" t="str">
        <f aca="false">IF(Q440&lt;&gt;1,"",IFERROR(MATCH(VLOOKUP(B440,매핑!$H$4:$I$15,2,0),시장분석!$A$2:$A$601,0)+1,IFERROR(MATCH(R440&amp;"|"&amp;T440,시장분석!$V$2:$V$601,0)+1,IF(COUNTIF(시장분석!$U$2:$U$601,T440)=1,MATCH(T440,시장분석!$U$2:$U$601,0)+1,""))))</f>
        <v/>
      </c>
      <c r="AC440" s="89" t="n">
        <f aca="false">IF(Q440&lt;&gt;1,0,IF(OR(설정!$C$5="전체",AND(설정!$C$5="선택펀드",IFERROR(COUNTIFS(설정!$F$16:$F$36,C440,설정!$G$16:$G$36,"Y")+COUNTIFS(설정!$F$16:$F$36,VALUE(C440),설정!$G$16:$G$36,"Y"),0)&gt;0),C440&amp;""=설정!$C$5&amp;""),1,0))</f>
        <v>0</v>
      </c>
      <c r="AD440" s="89" t="n">
        <f aca="false">IF(Q440&lt;&gt;1,0,IF(OR(S440=1,IF(AB440="",FALSE(),INDEX(시장분석!$R:$R,AB440)=1)),1,0))</f>
        <v>0</v>
      </c>
      <c r="AE440" s="43" t="str">
        <f aca="false">IF(AB440="","",INDEX(시장분석!$A:$A,AB440))</f>
        <v/>
      </c>
      <c r="AF440" s="93" t="str">
        <f aca="false">IF(AB440="","",IF(ISNUMBER(IF(AB440="","",INDEX(시장분석!$E:$E,AB440))),IF(AB440="","",INDEX(시장분석!$E:$E,AB440)),""))</f>
        <v/>
      </c>
      <c r="AG440" s="43" t="str">
        <f aca="false">IF(Q440&lt;&gt;1,"",IF(AB440&lt;&gt;"",IF(AB440="","",INDEX(시장분석!$L:$L,AB440)),IFERROR(IF(VLOOKUP(R440,매핑!$A$4:$E$92,5,0)="","미분류",VLOOKUP(R440,매핑!$A$4:$E$92,5,0)),"미분류")))</f>
        <v>금융기관</v>
      </c>
      <c r="AH440" s="43" t="str">
        <f aca="false">IF(Q440&lt;&gt;1,"",IF(AB440&lt;&gt;"",IF(AB440="","",INDEX(시장분석!$N:$N,AB440)),IFERROR(IF(VLOOKUP(R440,매핑!$A$4:$E$92,4,0)="","미분류",VLOOKUP(R440,매핑!$A$4:$E$92,4,0)),"미분류")))</f>
        <v>아시아/기타</v>
      </c>
      <c r="AI440" s="43" t="str">
        <f aca="false">IF(Q440&lt;&gt;1,"",IFERROR(IF(VLOOKUP(R440,매핑!$A$4:$E$92,3,0)="","미분류",VLOOKUP(R440,매핑!$A$4:$E$92,3,0)),IF(AB440&lt;&gt;"",IF(AB440="","",INDEX(시장분석!$W:$W,AB440)),"미분류")))</f>
        <v>한국</v>
      </c>
      <c r="AJ440" s="43" t="str">
        <f aca="false">IF(Q440&lt;&gt;1,"",IFERROR(VLOOKUP(IF(N440&lt;&gt;"",N440,IF(P440&lt;&gt;"",P440,O440)),설정!$A$15:$D$47,2,0),""))</f>
        <v/>
      </c>
      <c r="AK440" s="43" t="str">
        <f aca="false">IF(Q440&lt;&gt;1,"",IF(AJ440="","무등급",IFERROR(VLOOKUP(AJ440,설정!$A$15:$D$47,3,0),"무등급")))</f>
        <v>무등급</v>
      </c>
      <c r="AL440" s="89" t="n">
        <f aca="false">IF(AJ440="",99,IFERROR(VLOOKUP(AJ440,설정!$A$15:$D$47,4,0),99))</f>
        <v>99</v>
      </c>
      <c r="AM440" s="94" t="n">
        <f aca="false">IF(ISNUMBER(H440),AA440*1000000*H440/10000,0)</f>
        <v>1327.59778346</v>
      </c>
      <c r="AN440" s="94" t="n">
        <f aca="false">IF(OR(Y440=1,NOT(ISNUMBER(Z440))),0,AA440*1000000*Z440/10000)</f>
        <v>1327.59778346</v>
      </c>
      <c r="AO440" s="94" t="n">
        <f aca="false">IF(ISNUMBER(G440),AA440*1000000*G440/100,0)</f>
        <v>286146.493568</v>
      </c>
      <c r="AP440" s="94" t="n">
        <f aca="false">IF(ISNUMBER(M440),M440*K440,0)</f>
        <v>-72352.63</v>
      </c>
      <c r="AQ440" s="95" t="str">
        <f aca="false">IF(AB440="","",INDEX(시장분석!$AK:$AK,AB440))</f>
        <v/>
      </c>
      <c r="AR440" s="43" t="str">
        <f aca="false">IF(AB440="","-",IF(AB440="","",INDEX(시장분석!$AL:$AL,AB440)))</f>
        <v>-</v>
      </c>
      <c r="AS440" s="96" t="str">
        <f aca="false">IF(AB440="","",INDEX(시장분석!$AJ:$AJ,AB440))</f>
        <v/>
      </c>
      <c r="AT440" s="93" t="n">
        <f aca="false">IF(AB440="",0,IF(AB440="","",INDEX(시장분석!$AN:$AN,AB440)))</f>
        <v>0</v>
      </c>
      <c r="AU440" s="94" t="n">
        <f aca="false">IF(ISNUMBER(Z440),AT440/10000*MAX(Z440-1,0)*AA440*1000000,0)</f>
        <v>0</v>
      </c>
      <c r="AV440" s="94" t="n">
        <f aca="false">AO440+AU440</f>
        <v>286146.493568</v>
      </c>
      <c r="AW440" s="43" t="str">
        <f aca="false">IF(Q440&lt;&gt;1,"",TRIM(IF(AD440=1,"FRN ","")&amp;IF(AND(AL440&gt;=10,AL440&lt;99),"BBB0미만 ","")&amp;IF(AJ440="","등급없음 ","")&amp;IF(K440&lt;&gt;1,"비USD ","")&amp;IF(AND(AB440="",Y440=0),"시장데이터없음 ","")&amp;IF(AND(ISNUMBER(U440),U440&lt;0),"만기경과 ","")))</f>
        <v>등급없음 시장데이터없음</v>
      </c>
      <c r="AX440" s="90" t="n">
        <f aca="false">IF(Q440&lt;&gt;1,1,IF(스프레드쇼크!$C$4="Y",INDEX(스프레드쇼크!$B$12:$L$16,IFERROR(MATCH(AH440,스프레드쇼크!$A$12:$A$16,0),MATCH("목록외",스프레드쇼크!$A$12:$A$16,0)),IFERROR(MATCH(AG440,스프레드쇼크!$B$11:$L$11,0),MATCH("목록외",스프레드쇼크!$B$11:$L$11,0))),1))</f>
        <v>1</v>
      </c>
      <c r="AY440" s="90" t="n">
        <f aca="false">IF(스프레드쇼크!$C$5="Y",IF(ISNUMBER(AF440),MIN(스프레드쇼크!$C$7,MAX(스프레드쇼크!$C$6,AF440/스프레드쇼크!$C$8)),1),1)</f>
        <v>1</v>
      </c>
      <c r="AZ440" s="94" t="n">
        <f aca="false">AN440*AX440*AY440</f>
        <v>1327.59778346</v>
      </c>
      <c r="BA440" s="90" t="n">
        <f aca="false">IF(ISNUMBER(G440),AA440*G440,0)</f>
        <v>28.6146493568</v>
      </c>
      <c r="BB440" s="90" t="n">
        <f aca="false">IF(ISNUMBER(G440),AA440,0)</f>
        <v>5.098106</v>
      </c>
      <c r="BC440" s="90" t="n">
        <f aca="false">IF(AND(Y440=0,ISNUMBER(AF440)),AA440*AF440,0)</f>
        <v>0</v>
      </c>
      <c r="BD440" s="90" t="n">
        <f aca="false">IF(AND(Y440=0,ISNUMBER(AF440)),AA440,0)</f>
        <v>0</v>
      </c>
      <c r="BE440" s="90" t="n">
        <f aca="false">IF(ISNUMBER(H440),AA440*H440,0)</f>
        <v>13.2759778346</v>
      </c>
      <c r="BF440" s="90" t="n">
        <f aca="false">IF(ISNUMBER(H440),AA440,0)</f>
        <v>5.098106</v>
      </c>
      <c r="BG440" s="90" t="n">
        <f aca="false">IF(AND(Y440=0,ISNUMBER(AF440),ISNUMBER(Z440)),AA440*Z440,0)</f>
        <v>0</v>
      </c>
      <c r="BH440" s="90" t="n">
        <f aca="false">IF(AND(Y440=0,ISNUMBER(AF440),ISNUMBER(Z440)),AA440*AT440*MAX(Z440-1,0),0)</f>
        <v>0</v>
      </c>
      <c r="BI440" s="90" t="n">
        <f aca="false">IF(Y440=0,AA440,0)</f>
        <v>5.098106</v>
      </c>
    </row>
    <row r="441" customFormat="false" ht="15" hidden="false" customHeight="false" outlineLevel="0" collapsed="false">
      <c r="A441" s="83" t="str">
        <f aca="false">IFERROR(IF(INDEX(원자료_잔고!$A$1:$EZ$1500,설정!$L$5+ROW()-1,설정!$L$8)&amp;""="0","",INDEX(원자료_잔고!$A$1:$EZ$1500,설정!$L$5+ROW()-1,설정!$L$8)&amp;""),"")</f>
        <v>KOSOPW 4.75 09/15/29</v>
      </c>
      <c r="B441" s="83" t="str">
        <f aca="false">IFERROR(IF(INDEX(원자료_잔고!$A$1:$EZ$1500,설정!$L$5+ROW()-1,설정!$L$7)&amp;""="0","",INDEX(원자료_잔고!$A$1:$EZ$1500,설정!$L$5+ROW()-1,설정!$L$7)&amp;""),"")</f>
        <v>XS3493264934</v>
      </c>
      <c r="C441" s="83" t="str">
        <f aca="false">IFERROR(IF(INDEX(원자료_잔고!$A$1:$EZ$1500,설정!$L$5+ROW()-1,설정!$L$9)&amp;""="0","",INDEX(원자료_잔고!$A$1:$EZ$1500,설정!$L$5+ROW()-1,설정!$L$9)&amp;""),"")</f>
        <v>42003</v>
      </c>
      <c r="D44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1" s="84" t="n">
        <f aca="false">IFERROR(IF(ISNUMBER(INDEX(원자료_잔고!$A$1:$EZ$1500,설정!$L$5+ROW()-1,설정!$L$11)),INDEX(원자료_잔고!$A$1:$EZ$1500,설정!$L$5+ROW()-1,설정!$L$11),""),"")</f>
        <v>3300000</v>
      </c>
      <c r="F441" s="85" t="n">
        <f aca="false">IFERROR(IF(ISNUMBER(INDEX(원자료_잔고!$A$1:$EZ$1500,설정!$L$5+ROW()-1,설정!$L$12)),INDEX(원자료_잔고!$A$1:$EZ$1500,설정!$L$5+ROW()-1,설정!$L$12),""),"")</f>
        <v>98.3552</v>
      </c>
      <c r="G441" s="85" t="n">
        <f aca="false">IFERROR(IF(ISNUMBER(INDEX(원자료_잔고!$A$1:$EZ$1500,설정!$L$5+ROW()-1,설정!$L$13)),INDEX(원자료_잔고!$A$1:$EZ$1500,설정!$L$5+ROW()-1,설정!$L$13),""),"")</f>
        <v>5.3572</v>
      </c>
      <c r="H441" s="85" t="n">
        <f aca="false">IFERROR(IF(ISNUMBER(INDEX(원자료_잔고!$A$1:$EZ$1500,설정!$L$5+ROW()-1,설정!$L$14)),INDEX(원자료_잔고!$A$1:$EZ$1500,설정!$L$5+ROW()-1,설정!$L$14),""),"")</f>
        <v>2.6662</v>
      </c>
      <c r="I441" s="86" t="n">
        <f aca="false">IFERROR(IF(ISNUMBER(INDEX(원자료_잔고!$A$1:$EZ$1500,설정!$L$5+ROW()-1,설정!$L$15)),INDEX(원자료_잔고!$A$1:$EZ$1500,설정!$L$5+ROW()-1,설정!$L$15),""),"")</f>
        <v>47376</v>
      </c>
      <c r="J441" s="85" t="n">
        <f aca="false">IFERROR(IF(ISNUMBER(INDEX(원자료_잔고!$A$1:$EZ$1500,설정!$L$5+ROW()-1,설정!$L$16)),INDEX(원자료_잔고!$A$1:$EZ$1500,설정!$L$5+ROW()-1,설정!$L$16),""),"")</f>
        <v>4.75</v>
      </c>
      <c r="K441" s="87" t="n">
        <f aca="false">IFERROR(IF(ISNUMBER(INDEX(원자료_잔고!$A$1:$EZ$1500,설정!$L$5+ROW()-1,설정!$L$17)),INDEX(원자료_잔고!$A$1:$EZ$1500,설정!$L$5+ROW()-1,설정!$L$17),""),"")</f>
        <v>1</v>
      </c>
      <c r="L441" s="84" t="n">
        <f aca="false">IFERROR(IF(ISNUMBER(INDEX(원자료_잔고!$A$1:$EZ$1500,설정!$L$5+ROW()-1,설정!$L$18)),INDEX(원자료_잔고!$A$1:$EZ$1500,설정!$L$5+ROW()-1,설정!$L$18),""),"")</f>
        <v>3245721.6</v>
      </c>
      <c r="M441" s="88" t="n">
        <f aca="false">IFERROR(IF(ISNUMBER(INDEX(원자료_잔고!$A$1:$EZ$1500,설정!$L$5+ROW()-1,설정!$L$19)),INDEX(원자료_잔고!$A$1:$EZ$1500,설정!$L$5+ROW()-1,설정!$L$19),""),"")</f>
        <v>-39568.15</v>
      </c>
      <c r="N441" s="83" t="str">
        <f aca="false">IFERROR(IF(INDEX(원자료_잔고!$A$1:$EZ$1500,설정!$L$5+ROW()-1,설정!$L$21)&amp;""="0","",INDEX(원자료_잔고!$A$1:$EZ$1500,설정!$L$5+ROW()-1,설정!$L$21)&amp;""),"")</f>
        <v/>
      </c>
      <c r="O441" s="83" t="str">
        <f aca="false">IFERROR(IF(INDEX(원자료_잔고!$A$1:$EZ$1500,설정!$L$5+ROW()-1,설정!$L$22)&amp;""="0","",INDEX(원자료_잔고!$A$1:$EZ$1500,설정!$L$5+ROW()-1,설정!$L$22)&amp;""),"")</f>
        <v/>
      </c>
      <c r="P441" s="83" t="str">
        <f aca="false">IFERROR(IF(INDEX(원자료_잔고!$A$1:$EZ$1500,설정!$L$5+ROW()-1,설정!$L$23)&amp;""="0","",INDEX(원자료_잔고!$A$1:$EZ$1500,설정!$L$5+ROW()-1,설정!$L$23)&amp;""),"")</f>
        <v>AAA</v>
      </c>
      <c r="Q441" s="89" t="n">
        <f aca="false">IF(AND($A441&lt;&gt;"",ISNUMBER(E441)),IF(E441&gt;0,1,0),0)</f>
        <v>1</v>
      </c>
      <c r="R441" s="43" t="str">
        <f aca="false">IF(Q441=1,UPPER(LEFT($A441,FIND(" ",$A441&amp;" ")-1)),"")</f>
        <v>KOSOPW</v>
      </c>
      <c r="S441" s="89" t="n">
        <f aca="false">IF(Q441=1,IF(OR(ISNUMBER(SEARCH("Float",$A441)),ISNUMBER(SEARCH("FRN",$A441))),1,0),0)</f>
        <v>0</v>
      </c>
      <c r="T441" s="43" t="str">
        <f aca="false">IF(AND(Q441=1,ISNUMBER(I441)),TEXT(I441,"yyyymmdd")&amp;"|"&amp;IF(S441=1,"F",TEXT(J441,"0.000")),"")</f>
        <v>20290915|4.750</v>
      </c>
      <c r="U441" s="90" t="n">
        <f aca="false">IF(AND(Q441=1,ISNUMBER(I441)),(I441-설정!$C$4)/365.25,"")</f>
        <v>2.95687885010267</v>
      </c>
      <c r="V441" s="43" t="str">
        <f aca="false">IF(Q441&lt;&gt;1,"",IF(ISNUMBER(U441),IF(U441&lt;=1,"1년 이하",IF(U441&lt;=2,"1-2년",IF(U441&lt;=3,"2-3년",IF(U441&lt;=4,"3-4년",IF(U441&lt;=5,"4-5년",IF(U441&lt;=7,"5-7년",IF(U441&lt;=10,"7-10년",IF(U441&lt;=20,"10-20년","20년 이상")))))))),"미분류"))</f>
        <v>2-3년</v>
      </c>
      <c r="W441" s="43" t="str">
        <f aca="false">IF(Q441&lt;&gt;1,"",IF(AB441&lt;&gt;"",INDEX(시장분석!$C:$C,AB441),IF(K441=1,"USD","비USD")))</f>
        <v>USD</v>
      </c>
      <c r="X441" s="91" t="n">
        <f aca="false">IF(Q441=1,E441*K441/1000000,0)</f>
        <v>3.3</v>
      </c>
      <c r="Y441" s="89" t="n">
        <f aca="false">IF(R441="T",1,0)</f>
        <v>0</v>
      </c>
      <c r="Z441" s="92" t="n">
        <f aca="false">IF(Q441&lt;&gt;1,"",IF(AD441=1,IF(ISNUMBER(U441),MAX(U441,0),H441),H441))</f>
        <v>2.6662</v>
      </c>
      <c r="AA441" s="91" t="n">
        <f aca="false">IF(Q441=1,IF(ISNUMBER(L441),L441,0)*K441/1000000,0)</f>
        <v>3.2457216</v>
      </c>
      <c r="AB441" s="89" t="str">
        <f aca="false">IF(Q441&lt;&gt;1,"",IFERROR(MATCH(VLOOKUP(B441,매핑!$H$4:$I$15,2,0),시장분석!$A$2:$A$601,0)+1,IFERROR(MATCH(R441&amp;"|"&amp;T441,시장분석!$V$2:$V$601,0)+1,IF(COUNTIF(시장분석!$U$2:$U$601,T441)=1,MATCH(T441,시장분석!$U$2:$U$601,0)+1,""))))</f>
        <v/>
      </c>
      <c r="AC441" s="89" t="n">
        <f aca="false">IF(Q441&lt;&gt;1,0,IF(OR(설정!$C$5="전체",AND(설정!$C$5="선택펀드",IFERROR(COUNTIFS(설정!$F$16:$F$36,C441,설정!$G$16:$G$36,"Y")+COUNTIFS(설정!$F$16:$F$36,VALUE(C441),설정!$G$16:$G$36,"Y"),0)&gt;0),C441&amp;""=설정!$C$5&amp;""),1,0))</f>
        <v>0</v>
      </c>
      <c r="AD441" s="89" t="n">
        <f aca="false">IF(Q441&lt;&gt;1,0,IF(OR(S441=1,IF(AB441="",FALSE(),INDEX(시장분석!$R:$R,AB441)=1)),1,0))</f>
        <v>0</v>
      </c>
      <c r="AE441" s="43" t="str">
        <f aca="false">IF(AB441="","",INDEX(시장분석!$A:$A,AB441))</f>
        <v/>
      </c>
      <c r="AF441" s="93" t="str">
        <f aca="false">IF(AB441="","",IF(ISNUMBER(IF(AB441="","",INDEX(시장분석!$E:$E,AB441))),IF(AB441="","",INDEX(시장분석!$E:$E,AB441)),""))</f>
        <v/>
      </c>
      <c r="AG441" s="43" t="str">
        <f aca="false">IF(Q441&lt;&gt;1,"",IF(AB441&lt;&gt;"",IF(AB441="","",INDEX(시장분석!$L:$L,AB441)),IFERROR(IF(VLOOKUP(R441,매핑!$A$4:$E$92,5,0)="","미분류",VLOOKUP(R441,매핑!$A$4:$E$92,5,0)),"미분류")))</f>
        <v>유틸리티</v>
      </c>
      <c r="AH441" s="43" t="str">
        <f aca="false">IF(Q441&lt;&gt;1,"",IF(AB441&lt;&gt;"",IF(AB441="","",INDEX(시장분석!$N:$N,AB441)),IFERROR(IF(VLOOKUP(R441,매핑!$A$4:$E$92,4,0)="","미분류",VLOOKUP(R441,매핑!$A$4:$E$92,4,0)),"미분류")))</f>
        <v>아시아/기타</v>
      </c>
      <c r="AI441" s="43" t="str">
        <f aca="false">IF(Q441&lt;&gt;1,"",IFERROR(IF(VLOOKUP(R441,매핑!$A$4:$E$92,3,0)="","미분류",VLOOKUP(R441,매핑!$A$4:$E$92,3,0)),IF(AB441&lt;&gt;"",IF(AB441="","",INDEX(시장분석!$W:$W,AB441)),"미분류")))</f>
        <v>한국</v>
      </c>
      <c r="AJ441" s="43" t="str">
        <f aca="false">IF(Q441&lt;&gt;1,"",IFERROR(VLOOKUP(IF(N441&lt;&gt;"",N441,IF(P441&lt;&gt;"",P441,O441)),설정!$A$15:$D$47,2,0),""))</f>
        <v>AAA</v>
      </c>
      <c r="AK441" s="43" t="str">
        <f aca="false">IF(Q441&lt;&gt;1,"",IF(AJ441="","무등급",IFERROR(VLOOKUP(AJ441,설정!$A$15:$D$47,3,0),"무등급")))</f>
        <v>AA이상</v>
      </c>
      <c r="AL441" s="89" t="n">
        <f aca="false">IF(AJ441="",99,IFERROR(VLOOKUP(AJ441,설정!$A$15:$D$47,4,0),99))</f>
        <v>1</v>
      </c>
      <c r="AM441" s="94" t="n">
        <f aca="false">IF(ISNUMBER(H441),AA441*1000000*H441/10000,0)</f>
        <v>865.374292992</v>
      </c>
      <c r="AN441" s="94" t="n">
        <f aca="false">IF(OR(Y441=1,NOT(ISNUMBER(Z441))),0,AA441*1000000*Z441/10000)</f>
        <v>865.374292992</v>
      </c>
      <c r="AO441" s="94" t="n">
        <f aca="false">IF(ISNUMBER(G441),AA441*1000000*G441/100,0)</f>
        <v>173879.7975552</v>
      </c>
      <c r="AP441" s="94" t="n">
        <f aca="false">IF(ISNUMBER(M441),M441*K441,0)</f>
        <v>-39568.15</v>
      </c>
      <c r="AQ441" s="95" t="str">
        <f aca="false">IF(AB441="","",INDEX(시장분석!$AK:$AK,AB441))</f>
        <v/>
      </c>
      <c r="AR441" s="43" t="str">
        <f aca="false">IF(AB441="","-",IF(AB441="","",INDEX(시장분석!$AL:$AL,AB441)))</f>
        <v>-</v>
      </c>
      <c r="AS441" s="96" t="str">
        <f aca="false">IF(AB441="","",INDEX(시장분석!$AJ:$AJ,AB441))</f>
        <v/>
      </c>
      <c r="AT441" s="93" t="n">
        <f aca="false">IF(AB441="",0,IF(AB441="","",INDEX(시장분석!$AN:$AN,AB441)))</f>
        <v>0</v>
      </c>
      <c r="AU441" s="94" t="n">
        <f aca="false">IF(ISNUMBER(Z441),AT441/10000*MAX(Z441-1,0)*AA441*1000000,0)</f>
        <v>0</v>
      </c>
      <c r="AV441" s="94" t="n">
        <f aca="false">AO441+AU441</f>
        <v>173879.7975552</v>
      </c>
      <c r="AW441" s="43" t="str">
        <f aca="false">IF(Q441&lt;&gt;1,"",TRIM(IF(AD441=1,"FRN ","")&amp;IF(AND(AL441&gt;=10,AL441&lt;99),"BBB0미만 ","")&amp;IF(AJ441="","등급없음 ","")&amp;IF(K441&lt;&gt;1,"비USD ","")&amp;IF(AND(AB441="",Y441=0),"시장데이터없음 ","")&amp;IF(AND(ISNUMBER(U441),U441&lt;0),"만기경과 ","")))</f>
        <v>시장데이터없음</v>
      </c>
      <c r="AX441" s="90" t="n">
        <f aca="false">IF(Q441&lt;&gt;1,1,IF(스프레드쇼크!$C$4="Y",INDEX(스프레드쇼크!$B$12:$L$16,IFERROR(MATCH(AH441,스프레드쇼크!$A$12:$A$16,0),MATCH("목록외",스프레드쇼크!$A$12:$A$16,0)),IFERROR(MATCH(AG441,스프레드쇼크!$B$11:$L$11,0),MATCH("목록외",스프레드쇼크!$B$11:$L$11,0))),1))</f>
        <v>1</v>
      </c>
      <c r="AY441" s="90" t="n">
        <f aca="false">IF(스프레드쇼크!$C$5="Y",IF(ISNUMBER(AF441),MIN(스프레드쇼크!$C$7,MAX(스프레드쇼크!$C$6,AF441/스프레드쇼크!$C$8)),1),1)</f>
        <v>1</v>
      </c>
      <c r="AZ441" s="94" t="n">
        <f aca="false">AN441*AX441*AY441</f>
        <v>865.374292992</v>
      </c>
      <c r="BA441" s="90" t="n">
        <f aca="false">IF(ISNUMBER(G441),AA441*G441,0)</f>
        <v>17.38797975552</v>
      </c>
      <c r="BB441" s="90" t="n">
        <f aca="false">IF(ISNUMBER(G441),AA441,0)</f>
        <v>3.2457216</v>
      </c>
      <c r="BC441" s="90" t="n">
        <f aca="false">IF(AND(Y441=0,ISNUMBER(AF441)),AA441*AF441,0)</f>
        <v>0</v>
      </c>
      <c r="BD441" s="90" t="n">
        <f aca="false">IF(AND(Y441=0,ISNUMBER(AF441)),AA441,0)</f>
        <v>0</v>
      </c>
      <c r="BE441" s="90" t="n">
        <f aca="false">IF(ISNUMBER(H441),AA441*H441,0)</f>
        <v>8.65374292992</v>
      </c>
      <c r="BF441" s="90" t="n">
        <f aca="false">IF(ISNUMBER(H441),AA441,0)</f>
        <v>3.2457216</v>
      </c>
      <c r="BG441" s="90" t="n">
        <f aca="false">IF(AND(Y441=0,ISNUMBER(AF441),ISNUMBER(Z441)),AA441*Z441,0)</f>
        <v>0</v>
      </c>
      <c r="BH441" s="90" t="n">
        <f aca="false">IF(AND(Y441=0,ISNUMBER(AF441),ISNUMBER(Z441)),AA441*AT441*MAX(Z441-1,0),0)</f>
        <v>0</v>
      </c>
      <c r="BI441" s="90" t="n">
        <f aca="false">IF(Y441=0,AA441,0)</f>
        <v>3.2457216</v>
      </c>
    </row>
    <row r="442" customFormat="false" ht="15" hidden="false" customHeight="false" outlineLevel="0" collapsed="false">
      <c r="A442" s="83" t="str">
        <f aca="false">IFERROR(IF(INDEX(원자료_잔고!$A$1:$EZ$1500,설정!$L$5+ROW()-1,설정!$L$8)&amp;""="0","",INDEX(원자료_잔고!$A$1:$EZ$1500,설정!$L$5+ROW()-1,설정!$L$8)&amp;""),"")</f>
        <v>EIBKOR 0.835 11/26/27</v>
      </c>
      <c r="B442" s="83" t="str">
        <f aca="false">IFERROR(IF(INDEX(원자료_잔고!$A$1:$EZ$1500,설정!$L$5+ROW()-1,설정!$L$7)&amp;""="0","",INDEX(원자료_잔고!$A$1:$EZ$1500,설정!$L$5+ROW()-1,설정!$L$7)&amp;""),"")</f>
        <v>JP541005AQB3</v>
      </c>
      <c r="C442" s="83" t="str">
        <f aca="false">IFERROR(IF(INDEX(원자료_잔고!$A$1:$EZ$1500,설정!$L$5+ROW()-1,설정!$L$9)&amp;""="0","",INDEX(원자료_잔고!$A$1:$EZ$1500,설정!$L$5+ROW()-1,설정!$L$9)&amp;""),"")</f>
        <v>42006</v>
      </c>
      <c r="D442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2" s="84" t="n">
        <f aca="false">IFERROR(IF(ISNUMBER(INDEX(원자료_잔고!$A$1:$EZ$1500,설정!$L$5+ROW()-1,설정!$L$11)),INDEX(원자료_잔고!$A$1:$EZ$1500,설정!$L$5+ROW()-1,설정!$L$11),""),"")</f>
        <v>3000000000</v>
      </c>
      <c r="F442" s="85" t="n">
        <f aca="false">IFERROR(IF(ISNUMBER(INDEX(원자료_잔고!$A$1:$EZ$1500,설정!$L$5+ROW()-1,설정!$L$12)),INDEX(원자료_잔고!$A$1:$EZ$1500,설정!$L$5+ROW()-1,설정!$L$12),""),"")</f>
        <v>98.7085</v>
      </c>
      <c r="G442" s="85" t="n">
        <f aca="false">IFERROR(IF(ISNUMBER(INDEX(원자료_잔고!$A$1:$EZ$1500,설정!$L$5+ROW()-1,설정!$L$13)),INDEX(원자료_잔고!$A$1:$EZ$1500,설정!$L$5+ROW()-1,설정!$L$13),""),"")</f>
        <v>1.9747</v>
      </c>
      <c r="H442" s="85" t="n">
        <f aca="false">IFERROR(IF(ISNUMBER(INDEX(원자료_잔고!$A$1:$EZ$1500,설정!$L$5+ROW()-1,설정!$L$14)),INDEX(원자료_잔고!$A$1:$EZ$1500,설정!$L$5+ROW()-1,설정!$L$14),""),"")</f>
        <v>1.1288</v>
      </c>
      <c r="I442" s="86" t="n">
        <f aca="false">IFERROR(IF(ISNUMBER(INDEX(원자료_잔고!$A$1:$EZ$1500,설정!$L$5+ROW()-1,설정!$L$15)),INDEX(원자료_잔고!$A$1:$EZ$1500,설정!$L$5+ROW()-1,설정!$L$15),""),"")</f>
        <v>46717</v>
      </c>
      <c r="J442" s="85" t="n">
        <f aca="false">IFERROR(IF(ISNUMBER(INDEX(원자료_잔고!$A$1:$EZ$1500,설정!$L$5+ROW()-1,설정!$L$16)),INDEX(원자료_잔고!$A$1:$EZ$1500,설정!$L$5+ROW()-1,설정!$L$16),""),"")</f>
        <v>0.835</v>
      </c>
      <c r="K442" s="87" t="n">
        <f aca="false">IFERROR(IF(ISNUMBER(INDEX(원자료_잔고!$A$1:$EZ$1500,설정!$L$5+ROW()-1,설정!$L$17)),INDEX(원자료_잔고!$A$1:$EZ$1500,설정!$L$5+ROW()-1,설정!$L$17),""),"")</f>
        <v>0.006354</v>
      </c>
      <c r="L442" s="84" t="n">
        <f aca="false">IFERROR(IF(ISNUMBER(INDEX(원자료_잔고!$A$1:$EZ$1500,설정!$L$5+ROW()-1,설정!$L$18)),INDEX(원자료_잔고!$A$1:$EZ$1500,설정!$L$5+ROW()-1,설정!$L$18),""),"")</f>
        <v>2961255000</v>
      </c>
      <c r="M442" s="88" t="n">
        <f aca="false">IFERROR(IF(ISNUMBER(INDEX(원자료_잔고!$A$1:$EZ$1500,설정!$L$5+ROW()-1,설정!$L$19)),INDEX(원자료_잔고!$A$1:$EZ$1500,설정!$L$5+ROW()-1,설정!$L$19),""),"")</f>
        <v>-10803000</v>
      </c>
      <c r="N442" s="83" t="str">
        <f aca="false">IFERROR(IF(INDEX(원자료_잔고!$A$1:$EZ$1500,설정!$L$5+ROW()-1,설정!$L$21)&amp;""="0","",INDEX(원자료_잔고!$A$1:$EZ$1500,설정!$L$5+ROW()-1,설정!$L$21)&amp;""),"")</f>
        <v>AA</v>
      </c>
      <c r="O442" s="83" t="str">
        <f aca="false">IFERROR(IF(INDEX(원자료_잔고!$A$1:$EZ$1500,설정!$L$5+ROW()-1,설정!$L$22)&amp;""="0","",INDEX(원자료_잔고!$A$1:$EZ$1500,설정!$L$5+ROW()-1,설정!$L$22)&amp;""),"")</f>
        <v/>
      </c>
      <c r="P442" s="83" t="str">
        <f aca="false">IFERROR(IF(INDEX(원자료_잔고!$A$1:$EZ$1500,설정!$L$5+ROW()-1,설정!$L$23)&amp;""="0","",INDEX(원자료_잔고!$A$1:$EZ$1500,설정!$L$5+ROW()-1,설정!$L$23)&amp;""),"")</f>
        <v>N/A</v>
      </c>
      <c r="Q442" s="89" t="n">
        <f aca="false">IF(AND($A442&lt;&gt;"",ISNUMBER(E442)),IF(E442&gt;0,1,0),0)</f>
        <v>1</v>
      </c>
      <c r="R442" s="43" t="str">
        <f aca="false">IF(Q442=1,UPPER(LEFT($A442,FIND(" ",$A442&amp;" ")-1)),"")</f>
        <v>EIBKOR</v>
      </c>
      <c r="S442" s="89" t="n">
        <f aca="false">IF(Q442=1,IF(OR(ISNUMBER(SEARCH("Float",$A442)),ISNUMBER(SEARCH("FRN",$A442))),1,0),0)</f>
        <v>0</v>
      </c>
      <c r="T442" s="43" t="str">
        <f aca="false">IF(AND(Q442=1,ISNUMBER(I442)),TEXT(I442,"yyyymmdd")&amp;"|"&amp;IF(S442=1,"F",TEXT(J442,"0.000")),"")</f>
        <v>20271126|0.835</v>
      </c>
      <c r="U442" s="90" t="n">
        <f aca="false">IF(AND(Q442=1,ISNUMBER(I442)),(I442-설정!$C$4)/365.25,"")</f>
        <v>1.15263518138261</v>
      </c>
      <c r="V442" s="43" t="str">
        <f aca="false">IF(Q442&lt;&gt;1,"",IF(ISNUMBER(U442),IF(U442&lt;=1,"1년 이하",IF(U442&lt;=2,"1-2년",IF(U442&lt;=3,"2-3년",IF(U442&lt;=4,"3-4년",IF(U442&lt;=5,"4-5년",IF(U442&lt;=7,"5-7년",IF(U442&lt;=10,"7-10년",IF(U442&lt;=20,"10-20년","20년 이상")))))))),"미분류"))</f>
        <v>1-2년</v>
      </c>
      <c r="W442" s="43" t="str">
        <f aca="false">IF(Q442&lt;&gt;1,"",IF(AB442&lt;&gt;"",INDEX(시장분석!$C:$C,AB442),IF(K442=1,"USD","비USD")))</f>
        <v>JPY</v>
      </c>
      <c r="X442" s="91" t="n">
        <f aca="false">IF(Q442=1,E442*K442/1000000,0)</f>
        <v>19.062</v>
      </c>
      <c r="Y442" s="89" t="n">
        <f aca="false">IF(R442="T",1,0)</f>
        <v>0</v>
      </c>
      <c r="Z442" s="92" t="n">
        <f aca="false">IF(Q442&lt;&gt;1,"",IF(AD442=1,IF(ISNUMBER(U442),MAX(U442,0),H442),H442))</f>
        <v>1.1288</v>
      </c>
      <c r="AA442" s="91" t="n">
        <f aca="false">IF(Q442=1,IF(ISNUMBER(L442),L442,0)*K442/1000000,0)</f>
        <v>18.81581427</v>
      </c>
      <c r="AB442" s="89" t="n">
        <f aca="false">IF(Q442&lt;&gt;1,"",IFERROR(MATCH(VLOOKUP(B442,매핑!$H$4:$I$15,2,0),시장분석!$A$2:$A$601,0)+1,IFERROR(MATCH(R442&amp;"|"&amp;T442,시장분석!$V$2:$V$601,0)+1,IF(COUNTIF(시장분석!$U$2:$U$601,T442)=1,MATCH(T442,시장분석!$U$2:$U$601,0)+1,""))))</f>
        <v>5</v>
      </c>
      <c r="AC442" s="89" t="n">
        <f aca="false">IF(Q442&lt;&gt;1,0,IF(OR(설정!$C$5="전체",AND(설정!$C$5="선택펀드",IFERROR(COUNTIFS(설정!$F$16:$F$36,C442,설정!$G$16:$G$36,"Y")+COUNTIFS(설정!$F$16:$F$36,VALUE(C442),설정!$G$16:$G$36,"Y"),0)&gt;0),C442&amp;""=설정!$C$5&amp;""),1,0))</f>
        <v>0</v>
      </c>
      <c r="AD442" s="89" t="n">
        <f aca="false">IF(Q442&lt;&gt;1,0,IF(OR(S442=1,IF(AB442="",FALSE(),INDEX(시장분석!$R:$R,AB442)=1)),1,0))</f>
        <v>0</v>
      </c>
      <c r="AE442" s="43" t="str">
        <f aca="false">IF(AB442="","",INDEX(시장분석!$A:$A,AB442))</f>
        <v>EIBKOR 0.835 11/26/27</v>
      </c>
      <c r="AF442" s="93" t="n">
        <f aca="false">IF(AB442="","",IF(ISNUMBER(IF(AB442="","",INDEX(시장분석!$E:$E,AB442))),IF(AB442="","",INDEX(시장분석!$E:$E,AB442)),""))</f>
        <v>33.4</v>
      </c>
      <c r="AG442" s="43" t="str">
        <f aca="false">IF(Q442&lt;&gt;1,"",IF(AB442&lt;&gt;"",IF(AB442="","",INDEX(시장분석!$L:$L,AB442)),IFERROR(IF(VLOOKUP(R442,매핑!$A$4:$E$92,5,0)="","미분류",VLOOKUP(R442,매핑!$A$4:$E$92,5,0)),"미분류")))</f>
        <v>정부</v>
      </c>
      <c r="AH442" s="43" t="str">
        <f aca="false">IF(Q442&lt;&gt;1,"",IF(AB442&lt;&gt;"",IF(AB442="","",INDEX(시장분석!$N:$N,AB442)),IFERROR(IF(VLOOKUP(R442,매핑!$A$4:$E$92,4,0)="","미분류",VLOOKUP(R442,매핑!$A$4:$E$92,4,0)),"미분류")))</f>
        <v>아시아/기타</v>
      </c>
      <c r="AI442" s="43" t="str">
        <f aca="false">IF(Q442&lt;&gt;1,"",IFERROR(IF(VLOOKUP(R442,매핑!$A$4:$E$92,3,0)="","미분류",VLOOKUP(R442,매핑!$A$4:$E$92,3,0)),IF(AB442&lt;&gt;"",IF(AB442="","",INDEX(시장분석!$W:$W,AB442)),"미분류")))</f>
        <v>한국</v>
      </c>
      <c r="AJ442" s="43" t="str">
        <f aca="false">IF(Q442&lt;&gt;1,"",IFERROR(VLOOKUP(IF(N442&lt;&gt;"",N442,IF(P442&lt;&gt;"",P442,O442)),설정!$A$15:$D$47,2,0),""))</f>
        <v>AA</v>
      </c>
      <c r="AK442" s="43" t="str">
        <f aca="false">IF(Q442&lt;&gt;1,"",IF(AJ442="","무등급",IFERROR(VLOOKUP(AJ442,설정!$A$15:$D$47,3,0),"무등급")))</f>
        <v>AA이상</v>
      </c>
      <c r="AL442" s="89" t="n">
        <f aca="false">IF(AJ442="",99,IFERROR(VLOOKUP(AJ442,설정!$A$15:$D$47,4,0),99))</f>
        <v>3</v>
      </c>
      <c r="AM442" s="94" t="n">
        <f aca="false">IF(ISNUMBER(H442),AA442*1000000*H442/10000,0)</f>
        <v>2123.9291147976</v>
      </c>
      <c r="AN442" s="94" t="n">
        <f aca="false">IF(OR(Y442=1,NOT(ISNUMBER(Z442))),0,AA442*1000000*Z442/10000)</f>
        <v>2123.9291147976</v>
      </c>
      <c r="AO442" s="94" t="n">
        <f aca="false">IF(ISNUMBER(G442),AA442*1000000*G442/100,0)</f>
        <v>371555.88438969</v>
      </c>
      <c r="AP442" s="94" t="n">
        <f aca="false">IF(ISNUMBER(M442),M442*K442,0)</f>
        <v>-68642.262</v>
      </c>
      <c r="AQ442" s="95" t="str">
        <f aca="false">IF(AB442="","",INDEX(시장분석!$AK:$AK,AB442))</f>
        <v/>
      </c>
      <c r="AR442" s="43" t="str">
        <f aca="false">IF(AB442="","-",IF(AB442="","",INDEX(시장분석!$AL:$AL,AB442)))</f>
        <v>-</v>
      </c>
      <c r="AS442" s="96" t="str">
        <f aca="false">IF(AB442="","",INDEX(시장분석!$AJ:$AJ,AB442))</f>
        <v/>
      </c>
      <c r="AT442" s="93" t="n">
        <f aca="false">IF(AB442="",0,IF(AB442="","",INDEX(시장분석!$AN:$AN,AB442)))</f>
        <v>0</v>
      </c>
      <c r="AU442" s="94" t="n">
        <f aca="false">IF(ISNUMBER(Z442),AT442/10000*MAX(Z442-1,0)*AA442*1000000,0)</f>
        <v>0</v>
      </c>
      <c r="AV442" s="94" t="n">
        <f aca="false">AO442+AU442</f>
        <v>371555.88438969</v>
      </c>
      <c r="AW442" s="43" t="str">
        <f aca="false">IF(Q442&lt;&gt;1,"",TRIM(IF(AD442=1,"FRN ","")&amp;IF(AND(AL442&gt;=10,AL442&lt;99),"BBB0미만 ","")&amp;IF(AJ442="","등급없음 ","")&amp;IF(K442&lt;&gt;1,"비USD ","")&amp;IF(AND(AB442="",Y442=0),"시장데이터없음 ","")&amp;IF(AND(ISNUMBER(U442),U442&lt;0),"만기경과 ","")))</f>
        <v>비USD</v>
      </c>
      <c r="AX442" s="90" t="n">
        <f aca="false">IF(Q442&lt;&gt;1,1,IF(스프레드쇼크!$C$4="Y",INDEX(스프레드쇼크!$B$12:$L$16,IFERROR(MATCH(AH442,스프레드쇼크!$A$12:$A$16,0),MATCH("목록외",스프레드쇼크!$A$12:$A$16,0)),IFERROR(MATCH(AG442,스프레드쇼크!$B$11:$L$11,0),MATCH("목록외",스프레드쇼크!$B$11:$L$11,0))),1))</f>
        <v>1</v>
      </c>
      <c r="AY442" s="90" t="n">
        <f aca="false">IF(스프레드쇼크!$C$5="Y",IF(ISNUMBER(AF442),MIN(스프레드쇼크!$C$7,MAX(스프레드쇼크!$C$6,AF442/스프레드쇼크!$C$8)),1),1)</f>
        <v>0.505187962093748</v>
      </c>
      <c r="AZ442" s="94" t="n">
        <f aca="false">AN442*AX442*AY442</f>
        <v>1072.98342113618</v>
      </c>
      <c r="BA442" s="90" t="n">
        <f aca="false">IF(ISNUMBER(G442),AA442*G442,0)</f>
        <v>37.155588438969</v>
      </c>
      <c r="BB442" s="90" t="n">
        <f aca="false">IF(ISNUMBER(G442),AA442,0)</f>
        <v>18.81581427</v>
      </c>
      <c r="BC442" s="90" t="n">
        <f aca="false">IF(AND(Y442=0,ISNUMBER(AF442)),AA442*AF442,0)</f>
        <v>628.448196618</v>
      </c>
      <c r="BD442" s="90" t="n">
        <f aca="false">IF(AND(Y442=0,ISNUMBER(AF442)),AA442,0)</f>
        <v>18.81581427</v>
      </c>
      <c r="BE442" s="90" t="n">
        <f aca="false">IF(ISNUMBER(H442),AA442*H442,0)</f>
        <v>21.239291147976</v>
      </c>
      <c r="BF442" s="90" t="n">
        <f aca="false">IF(ISNUMBER(H442),AA442,0)</f>
        <v>18.81581427</v>
      </c>
      <c r="BG442" s="90" t="n">
        <f aca="false">IF(AND(Y442=0,ISNUMBER(AF442),ISNUMBER(Z442)),AA442*Z442,0)</f>
        <v>21.239291147976</v>
      </c>
      <c r="BH442" s="90" t="n">
        <f aca="false">IF(AND(Y442=0,ISNUMBER(AF442),ISNUMBER(Z442)),AA442*AT442*MAX(Z442-1,0),0)</f>
        <v>0</v>
      </c>
      <c r="BI442" s="90" t="n">
        <f aca="false">IF(Y442=0,AA442,0)</f>
        <v>18.81581427</v>
      </c>
    </row>
    <row r="443" customFormat="false" ht="15" hidden="false" customHeight="false" outlineLevel="0" collapsed="false">
      <c r="A443" s="83" t="str">
        <f aca="false">IFERROR(IF(INDEX(원자료_잔고!$A$1:$EZ$1500,설정!$L$5+ROW()-1,설정!$L$8)&amp;""="0","",INDEX(원자료_잔고!$A$1:$EZ$1500,설정!$L$5+ROW()-1,설정!$L$8)&amp;""),"")</f>
        <v>EIBKOR 0.835 11/26/27</v>
      </c>
      <c r="B443" s="83" t="str">
        <f aca="false">IFERROR(IF(INDEX(원자료_잔고!$A$1:$EZ$1500,설정!$L$5+ROW()-1,설정!$L$7)&amp;""="0","",INDEX(원자료_잔고!$A$1:$EZ$1500,설정!$L$5+ROW()-1,설정!$L$7)&amp;""),"")</f>
        <v>JP541005AQB3</v>
      </c>
      <c r="C443" s="83" t="str">
        <f aca="false">IFERROR(IF(INDEX(원자료_잔고!$A$1:$EZ$1500,설정!$L$5+ROW()-1,설정!$L$9)&amp;""="0","",INDEX(원자료_잔고!$A$1:$EZ$1500,설정!$L$5+ROW()-1,설정!$L$9)&amp;""),"")</f>
        <v>42006</v>
      </c>
      <c r="D443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3" s="84" t="n">
        <f aca="false">IFERROR(IF(ISNUMBER(INDEX(원자료_잔고!$A$1:$EZ$1500,설정!$L$5+ROW()-1,설정!$L$11)),INDEX(원자료_잔고!$A$1:$EZ$1500,설정!$L$5+ROW()-1,설정!$L$11),""),"")</f>
        <v>700000000</v>
      </c>
      <c r="F443" s="85" t="n">
        <f aca="false">IFERROR(IF(ISNUMBER(INDEX(원자료_잔고!$A$1:$EZ$1500,설정!$L$5+ROW()-1,설정!$L$12)),INDEX(원자료_잔고!$A$1:$EZ$1500,설정!$L$5+ROW()-1,설정!$L$12),""),"")</f>
        <v>98.7085</v>
      </c>
      <c r="G443" s="85" t="n">
        <f aca="false">IFERROR(IF(ISNUMBER(INDEX(원자료_잔고!$A$1:$EZ$1500,설정!$L$5+ROW()-1,설정!$L$13)),INDEX(원자료_잔고!$A$1:$EZ$1500,설정!$L$5+ROW()-1,설정!$L$13),""),"")</f>
        <v>1.9747</v>
      </c>
      <c r="H443" s="85" t="n">
        <f aca="false">IFERROR(IF(ISNUMBER(INDEX(원자료_잔고!$A$1:$EZ$1500,설정!$L$5+ROW()-1,설정!$L$14)),INDEX(원자료_잔고!$A$1:$EZ$1500,설정!$L$5+ROW()-1,설정!$L$14),""),"")</f>
        <v>1.1288</v>
      </c>
      <c r="I443" s="86" t="n">
        <f aca="false">IFERROR(IF(ISNUMBER(INDEX(원자료_잔고!$A$1:$EZ$1500,설정!$L$5+ROW()-1,설정!$L$15)),INDEX(원자료_잔고!$A$1:$EZ$1500,설정!$L$5+ROW()-1,설정!$L$15),""),"")</f>
        <v>46717</v>
      </c>
      <c r="J443" s="85" t="n">
        <f aca="false">IFERROR(IF(ISNUMBER(INDEX(원자료_잔고!$A$1:$EZ$1500,설정!$L$5+ROW()-1,설정!$L$16)),INDEX(원자료_잔고!$A$1:$EZ$1500,설정!$L$5+ROW()-1,설정!$L$16),""),"")</f>
        <v>0.835</v>
      </c>
      <c r="K443" s="87" t="n">
        <f aca="false">IFERROR(IF(ISNUMBER(INDEX(원자료_잔고!$A$1:$EZ$1500,설정!$L$5+ROW()-1,설정!$L$17)),INDEX(원자료_잔고!$A$1:$EZ$1500,설정!$L$5+ROW()-1,설정!$L$17),""),"")</f>
        <v>0.006354</v>
      </c>
      <c r="L443" s="84" t="n">
        <f aca="false">IFERROR(IF(ISNUMBER(INDEX(원자료_잔고!$A$1:$EZ$1500,설정!$L$5+ROW()-1,설정!$L$18)),INDEX(원자료_잔고!$A$1:$EZ$1500,설정!$L$5+ROW()-1,설정!$L$18),""),"")</f>
        <v>690959500</v>
      </c>
      <c r="M443" s="88" t="n">
        <f aca="false">IFERROR(IF(ISNUMBER(INDEX(원자료_잔고!$A$1:$EZ$1500,설정!$L$5+ROW()-1,설정!$L$19)),INDEX(원자료_잔고!$A$1:$EZ$1500,설정!$L$5+ROW()-1,설정!$L$19),""),"")</f>
        <v>-2520700</v>
      </c>
      <c r="N443" s="83" t="str">
        <f aca="false">IFERROR(IF(INDEX(원자료_잔고!$A$1:$EZ$1500,설정!$L$5+ROW()-1,설정!$L$21)&amp;""="0","",INDEX(원자료_잔고!$A$1:$EZ$1500,설정!$L$5+ROW()-1,설정!$L$21)&amp;""),"")</f>
        <v>AA</v>
      </c>
      <c r="O443" s="83" t="str">
        <f aca="false">IFERROR(IF(INDEX(원자료_잔고!$A$1:$EZ$1500,설정!$L$5+ROW()-1,설정!$L$22)&amp;""="0","",INDEX(원자료_잔고!$A$1:$EZ$1500,설정!$L$5+ROW()-1,설정!$L$22)&amp;""),"")</f>
        <v/>
      </c>
      <c r="P443" s="83" t="str">
        <f aca="false">IFERROR(IF(INDEX(원자료_잔고!$A$1:$EZ$1500,설정!$L$5+ROW()-1,설정!$L$23)&amp;""="0","",INDEX(원자료_잔고!$A$1:$EZ$1500,설정!$L$5+ROW()-1,설정!$L$23)&amp;""),"")</f>
        <v>N/A</v>
      </c>
      <c r="Q443" s="89" t="n">
        <f aca="false">IF(AND($A443&lt;&gt;"",ISNUMBER(E443)),IF(E443&gt;0,1,0),0)</f>
        <v>1</v>
      </c>
      <c r="R443" s="43" t="str">
        <f aca="false">IF(Q443=1,UPPER(LEFT($A443,FIND(" ",$A443&amp;" ")-1)),"")</f>
        <v>EIBKOR</v>
      </c>
      <c r="S443" s="89" t="n">
        <f aca="false">IF(Q443=1,IF(OR(ISNUMBER(SEARCH("Float",$A443)),ISNUMBER(SEARCH("FRN",$A443))),1,0),0)</f>
        <v>0</v>
      </c>
      <c r="T443" s="43" t="str">
        <f aca="false">IF(AND(Q443=1,ISNUMBER(I443)),TEXT(I443,"yyyymmdd")&amp;"|"&amp;IF(S443=1,"F",TEXT(J443,"0.000")),"")</f>
        <v>20271126|0.835</v>
      </c>
      <c r="U443" s="90" t="n">
        <f aca="false">IF(AND(Q443=1,ISNUMBER(I443)),(I443-설정!$C$4)/365.25,"")</f>
        <v>1.15263518138261</v>
      </c>
      <c r="V443" s="43" t="str">
        <f aca="false">IF(Q443&lt;&gt;1,"",IF(ISNUMBER(U443),IF(U443&lt;=1,"1년 이하",IF(U443&lt;=2,"1-2년",IF(U443&lt;=3,"2-3년",IF(U443&lt;=4,"3-4년",IF(U443&lt;=5,"4-5년",IF(U443&lt;=7,"5-7년",IF(U443&lt;=10,"7-10년",IF(U443&lt;=20,"10-20년","20년 이상")))))))),"미분류"))</f>
        <v>1-2년</v>
      </c>
      <c r="W443" s="43" t="str">
        <f aca="false">IF(Q443&lt;&gt;1,"",IF(AB443&lt;&gt;"",INDEX(시장분석!$C:$C,AB443),IF(K443=1,"USD","비USD")))</f>
        <v>JPY</v>
      </c>
      <c r="X443" s="91" t="n">
        <f aca="false">IF(Q443=1,E443*K443/1000000,0)</f>
        <v>4.4478</v>
      </c>
      <c r="Y443" s="89" t="n">
        <f aca="false">IF(R443="T",1,0)</f>
        <v>0</v>
      </c>
      <c r="Z443" s="92" t="n">
        <f aca="false">IF(Q443&lt;&gt;1,"",IF(AD443=1,IF(ISNUMBER(U443),MAX(U443,0),H443),H443))</f>
        <v>1.1288</v>
      </c>
      <c r="AA443" s="91" t="n">
        <f aca="false">IF(Q443=1,IF(ISNUMBER(L443),L443,0)*K443/1000000,0)</f>
        <v>4.390356663</v>
      </c>
      <c r="AB443" s="89" t="n">
        <f aca="false">IF(Q443&lt;&gt;1,"",IFERROR(MATCH(VLOOKUP(B443,매핑!$H$4:$I$15,2,0),시장분석!$A$2:$A$601,0)+1,IFERROR(MATCH(R443&amp;"|"&amp;T443,시장분석!$V$2:$V$601,0)+1,IF(COUNTIF(시장분석!$U$2:$U$601,T443)=1,MATCH(T443,시장분석!$U$2:$U$601,0)+1,""))))</f>
        <v>5</v>
      </c>
      <c r="AC443" s="89" t="n">
        <f aca="false">IF(Q443&lt;&gt;1,0,IF(OR(설정!$C$5="전체",AND(설정!$C$5="선택펀드",IFERROR(COUNTIFS(설정!$F$16:$F$36,C443,설정!$G$16:$G$36,"Y")+COUNTIFS(설정!$F$16:$F$36,VALUE(C443),설정!$G$16:$G$36,"Y"),0)&gt;0),C443&amp;""=설정!$C$5&amp;""),1,0))</f>
        <v>0</v>
      </c>
      <c r="AD443" s="89" t="n">
        <f aca="false">IF(Q443&lt;&gt;1,0,IF(OR(S443=1,IF(AB443="",FALSE(),INDEX(시장분석!$R:$R,AB443)=1)),1,0))</f>
        <v>0</v>
      </c>
      <c r="AE443" s="43" t="str">
        <f aca="false">IF(AB443="","",INDEX(시장분석!$A:$A,AB443))</f>
        <v>EIBKOR 0.835 11/26/27</v>
      </c>
      <c r="AF443" s="93" t="n">
        <f aca="false">IF(AB443="","",IF(ISNUMBER(IF(AB443="","",INDEX(시장분석!$E:$E,AB443))),IF(AB443="","",INDEX(시장분석!$E:$E,AB443)),""))</f>
        <v>33.4</v>
      </c>
      <c r="AG443" s="43" t="str">
        <f aca="false">IF(Q443&lt;&gt;1,"",IF(AB443&lt;&gt;"",IF(AB443="","",INDEX(시장분석!$L:$L,AB443)),IFERROR(IF(VLOOKUP(R443,매핑!$A$4:$E$92,5,0)="","미분류",VLOOKUP(R443,매핑!$A$4:$E$92,5,0)),"미분류")))</f>
        <v>정부</v>
      </c>
      <c r="AH443" s="43" t="str">
        <f aca="false">IF(Q443&lt;&gt;1,"",IF(AB443&lt;&gt;"",IF(AB443="","",INDEX(시장분석!$N:$N,AB443)),IFERROR(IF(VLOOKUP(R443,매핑!$A$4:$E$92,4,0)="","미분류",VLOOKUP(R443,매핑!$A$4:$E$92,4,0)),"미분류")))</f>
        <v>아시아/기타</v>
      </c>
      <c r="AI443" s="43" t="str">
        <f aca="false">IF(Q443&lt;&gt;1,"",IFERROR(IF(VLOOKUP(R443,매핑!$A$4:$E$92,3,0)="","미분류",VLOOKUP(R443,매핑!$A$4:$E$92,3,0)),IF(AB443&lt;&gt;"",IF(AB443="","",INDEX(시장분석!$W:$W,AB443)),"미분류")))</f>
        <v>한국</v>
      </c>
      <c r="AJ443" s="43" t="str">
        <f aca="false">IF(Q443&lt;&gt;1,"",IFERROR(VLOOKUP(IF(N443&lt;&gt;"",N443,IF(P443&lt;&gt;"",P443,O443)),설정!$A$15:$D$47,2,0),""))</f>
        <v>AA</v>
      </c>
      <c r="AK443" s="43" t="str">
        <f aca="false">IF(Q443&lt;&gt;1,"",IF(AJ443="","무등급",IFERROR(VLOOKUP(AJ443,설정!$A$15:$D$47,3,0),"무등급")))</f>
        <v>AA이상</v>
      </c>
      <c r="AL443" s="89" t="n">
        <f aca="false">IF(AJ443="",99,IFERROR(VLOOKUP(AJ443,설정!$A$15:$D$47,4,0),99))</f>
        <v>3</v>
      </c>
      <c r="AM443" s="94" t="n">
        <f aca="false">IF(ISNUMBER(H443),AA443*1000000*H443/10000,0)</f>
        <v>495.58346011944</v>
      </c>
      <c r="AN443" s="94" t="n">
        <f aca="false">IF(OR(Y443=1,NOT(ISNUMBER(Z443))),0,AA443*1000000*Z443/10000)</f>
        <v>495.58346011944</v>
      </c>
      <c r="AO443" s="94" t="n">
        <f aca="false">IF(ISNUMBER(G443),AA443*1000000*G443/100,0)</f>
        <v>86696.373024261</v>
      </c>
      <c r="AP443" s="94" t="n">
        <f aca="false">IF(ISNUMBER(M443),M443*K443,0)</f>
        <v>-16016.5278</v>
      </c>
      <c r="AQ443" s="95" t="str">
        <f aca="false">IF(AB443="","",INDEX(시장분석!$AK:$AK,AB443))</f>
        <v/>
      </c>
      <c r="AR443" s="43" t="str">
        <f aca="false">IF(AB443="","-",IF(AB443="","",INDEX(시장분석!$AL:$AL,AB443)))</f>
        <v>-</v>
      </c>
      <c r="AS443" s="96" t="str">
        <f aca="false">IF(AB443="","",INDEX(시장분석!$AJ:$AJ,AB443))</f>
        <v/>
      </c>
      <c r="AT443" s="93" t="n">
        <f aca="false">IF(AB443="",0,IF(AB443="","",INDEX(시장분석!$AN:$AN,AB443)))</f>
        <v>0</v>
      </c>
      <c r="AU443" s="94" t="n">
        <f aca="false">IF(ISNUMBER(Z443),AT443/10000*MAX(Z443-1,0)*AA443*1000000,0)</f>
        <v>0</v>
      </c>
      <c r="AV443" s="94" t="n">
        <f aca="false">AO443+AU443</f>
        <v>86696.373024261</v>
      </c>
      <c r="AW443" s="43" t="str">
        <f aca="false">IF(Q443&lt;&gt;1,"",TRIM(IF(AD443=1,"FRN ","")&amp;IF(AND(AL443&gt;=10,AL443&lt;99),"BBB0미만 ","")&amp;IF(AJ443="","등급없음 ","")&amp;IF(K443&lt;&gt;1,"비USD ","")&amp;IF(AND(AB443="",Y443=0),"시장데이터없음 ","")&amp;IF(AND(ISNUMBER(U443),U443&lt;0),"만기경과 ","")))</f>
        <v>비USD</v>
      </c>
      <c r="AX443" s="90" t="n">
        <f aca="false">IF(Q443&lt;&gt;1,1,IF(스프레드쇼크!$C$4="Y",INDEX(스프레드쇼크!$B$12:$L$16,IFERROR(MATCH(AH443,스프레드쇼크!$A$12:$A$16,0),MATCH("목록외",스프레드쇼크!$A$12:$A$16,0)),IFERROR(MATCH(AG443,스프레드쇼크!$B$11:$L$11,0),MATCH("목록외",스프레드쇼크!$B$11:$L$11,0))),1))</f>
        <v>1</v>
      </c>
      <c r="AY443" s="90" t="n">
        <f aca="false">IF(스프레드쇼크!$C$5="Y",IF(ISNUMBER(AF443),MIN(스프레드쇼크!$C$7,MAX(스프레드쇼크!$C$6,AF443/스프레드쇼크!$C$8)),1),1)</f>
        <v>0.505187962093748</v>
      </c>
      <c r="AZ443" s="94" t="n">
        <f aca="false">AN443*AX443*AY443</f>
        <v>250.362798265108</v>
      </c>
      <c r="BA443" s="90" t="n">
        <f aca="false">IF(ISNUMBER(G443),AA443*G443,0)</f>
        <v>8.6696373024261</v>
      </c>
      <c r="BB443" s="90" t="n">
        <f aca="false">IF(ISNUMBER(G443),AA443,0)</f>
        <v>4.390356663</v>
      </c>
      <c r="BC443" s="90" t="n">
        <f aca="false">IF(AND(Y443=0,ISNUMBER(AF443)),AA443*AF443,0)</f>
        <v>146.6379125442</v>
      </c>
      <c r="BD443" s="90" t="n">
        <f aca="false">IF(AND(Y443=0,ISNUMBER(AF443)),AA443,0)</f>
        <v>4.390356663</v>
      </c>
      <c r="BE443" s="90" t="n">
        <f aca="false">IF(ISNUMBER(H443),AA443*H443,0)</f>
        <v>4.9558346011944</v>
      </c>
      <c r="BF443" s="90" t="n">
        <f aca="false">IF(ISNUMBER(H443),AA443,0)</f>
        <v>4.390356663</v>
      </c>
      <c r="BG443" s="90" t="n">
        <f aca="false">IF(AND(Y443=0,ISNUMBER(AF443),ISNUMBER(Z443)),AA443*Z443,0)</f>
        <v>4.9558346011944</v>
      </c>
      <c r="BH443" s="90" t="n">
        <f aca="false">IF(AND(Y443=0,ISNUMBER(AF443),ISNUMBER(Z443)),AA443*AT443*MAX(Z443-1,0),0)</f>
        <v>0</v>
      </c>
      <c r="BI443" s="90" t="n">
        <f aca="false">IF(Y443=0,AA443,0)</f>
        <v>4.390356663</v>
      </c>
    </row>
    <row r="444" customFormat="false" ht="15" hidden="false" customHeight="false" outlineLevel="0" collapsed="false">
      <c r="A444" s="83" t="str">
        <f aca="false">IFERROR(IF(INDEX(원자료_잔고!$A$1:$EZ$1500,설정!$L$5+ROW()-1,설정!$L$8)&amp;""="0","",INDEX(원자료_잔고!$A$1:$EZ$1500,설정!$L$5+ROW()-1,설정!$L$8)&amp;""),"")</f>
        <v>EIBKOR 1.065 11/28/29</v>
      </c>
      <c r="B444" s="83" t="str">
        <f aca="false">IFERROR(IF(INDEX(원자료_잔고!$A$1:$EZ$1500,설정!$L$5+ROW()-1,설정!$L$7)&amp;""="0","",INDEX(원자료_잔고!$A$1:$EZ$1500,설정!$L$5+ROW()-1,설정!$L$7)&amp;""),"")</f>
        <v>JP541005CQB9</v>
      </c>
      <c r="C444" s="83" t="str">
        <f aca="false">IFERROR(IF(INDEX(원자료_잔고!$A$1:$EZ$1500,설정!$L$5+ROW()-1,설정!$L$9)&amp;""="0","",INDEX(원자료_잔고!$A$1:$EZ$1500,설정!$L$5+ROW()-1,설정!$L$9)&amp;""),"")</f>
        <v>42006</v>
      </c>
      <c r="D444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4" s="84" t="n">
        <f aca="false">IFERROR(IF(ISNUMBER(INDEX(원자료_잔고!$A$1:$EZ$1500,설정!$L$5+ROW()-1,설정!$L$11)),INDEX(원자료_잔고!$A$1:$EZ$1500,설정!$L$5+ROW()-1,설정!$L$11),""),"")</f>
        <v>100000000</v>
      </c>
      <c r="F444" s="85" t="n">
        <f aca="false">IFERROR(IF(ISNUMBER(INDEX(원자료_잔고!$A$1:$EZ$1500,설정!$L$5+ROW()-1,설정!$L$12)),INDEX(원자료_잔고!$A$1:$EZ$1500,설정!$L$5+ROW()-1,설정!$L$12),""),"")</f>
        <v>95.6933</v>
      </c>
      <c r="G444" s="85" t="n">
        <f aca="false">IFERROR(IF(ISNUMBER(INDEX(원자료_잔고!$A$1:$EZ$1500,설정!$L$5+ROW()-1,설정!$L$13)),INDEX(원자료_잔고!$A$1:$EZ$1500,설정!$L$5+ROW()-1,설정!$L$13),""),"")</f>
        <v>2.5207</v>
      </c>
      <c r="H444" s="85" t="n">
        <f aca="false">IFERROR(IF(ISNUMBER(INDEX(원자료_잔고!$A$1:$EZ$1500,설정!$L$5+ROW()-1,설정!$L$14)),INDEX(원자료_잔고!$A$1:$EZ$1500,설정!$L$5+ROW()-1,설정!$L$14),""),"")</f>
        <v>2.9928</v>
      </c>
      <c r="I444" s="86" t="n">
        <f aca="false">IFERROR(IF(ISNUMBER(INDEX(원자료_잔고!$A$1:$EZ$1500,설정!$L$5+ROW()-1,설정!$L$15)),INDEX(원자료_잔고!$A$1:$EZ$1500,설정!$L$5+ROW()-1,설정!$L$15),""),"")</f>
        <v>47450</v>
      </c>
      <c r="J444" s="85" t="n">
        <f aca="false">IFERROR(IF(ISNUMBER(INDEX(원자료_잔고!$A$1:$EZ$1500,설정!$L$5+ROW()-1,설정!$L$16)),INDEX(원자료_잔고!$A$1:$EZ$1500,설정!$L$5+ROW()-1,설정!$L$16),""),"")</f>
        <v>1.065</v>
      </c>
      <c r="K444" s="87" t="n">
        <f aca="false">IFERROR(IF(ISNUMBER(INDEX(원자료_잔고!$A$1:$EZ$1500,설정!$L$5+ROW()-1,설정!$L$17)),INDEX(원자료_잔고!$A$1:$EZ$1500,설정!$L$5+ROW()-1,설정!$L$17),""),"")</f>
        <v>0.006354</v>
      </c>
      <c r="L444" s="84" t="n">
        <f aca="false">IFERROR(IF(ISNUMBER(INDEX(원자료_잔고!$A$1:$EZ$1500,설정!$L$5+ROW()-1,설정!$L$18)),INDEX(원자료_잔고!$A$1:$EZ$1500,설정!$L$5+ROW()-1,설정!$L$18),""),"")</f>
        <v>95693300</v>
      </c>
      <c r="M444" s="88" t="n">
        <f aca="false">IFERROR(IF(ISNUMBER(INDEX(원자료_잔고!$A$1:$EZ$1500,설정!$L$5+ROW()-1,설정!$L$19)),INDEX(원자료_잔고!$A$1:$EZ$1500,설정!$L$5+ROW()-1,설정!$L$19),""),"")</f>
        <v>-1516700</v>
      </c>
      <c r="N444" s="83" t="str">
        <f aca="false">IFERROR(IF(INDEX(원자료_잔고!$A$1:$EZ$1500,설정!$L$5+ROW()-1,설정!$L$21)&amp;""="0","",INDEX(원자료_잔고!$A$1:$EZ$1500,설정!$L$5+ROW()-1,설정!$L$21)&amp;""),"")</f>
        <v>AA</v>
      </c>
      <c r="O444" s="83" t="str">
        <f aca="false">IFERROR(IF(INDEX(원자료_잔고!$A$1:$EZ$1500,설정!$L$5+ROW()-1,설정!$L$22)&amp;""="0","",INDEX(원자료_잔고!$A$1:$EZ$1500,설정!$L$5+ROW()-1,설정!$L$22)&amp;""),"")</f>
        <v/>
      </c>
      <c r="P444" s="83" t="str">
        <f aca="false">IFERROR(IF(INDEX(원자료_잔고!$A$1:$EZ$1500,설정!$L$5+ROW()-1,설정!$L$23)&amp;""="0","",INDEX(원자료_잔고!$A$1:$EZ$1500,설정!$L$5+ROW()-1,설정!$L$23)&amp;""),"")</f>
        <v>N/A</v>
      </c>
      <c r="Q444" s="89" t="n">
        <f aca="false">IF(AND($A444&lt;&gt;"",ISNUMBER(E444)),IF(E444&gt;0,1,0),0)</f>
        <v>1</v>
      </c>
      <c r="R444" s="43" t="str">
        <f aca="false">IF(Q444=1,UPPER(LEFT($A444,FIND(" ",$A444&amp;" ")-1)),"")</f>
        <v>EIBKOR</v>
      </c>
      <c r="S444" s="89" t="n">
        <f aca="false">IF(Q444=1,IF(OR(ISNUMBER(SEARCH("Float",$A444)),ISNUMBER(SEARCH("FRN",$A444))),1,0),0)</f>
        <v>0</v>
      </c>
      <c r="T444" s="43" t="str">
        <f aca="false">IF(AND(Q444=1,ISNUMBER(I444)),TEXT(I444,"yyyymmdd")&amp;"|"&amp;IF(S444=1,"F",TEXT(J444,"0.000")),"")</f>
        <v>20291128|1.065</v>
      </c>
      <c r="U444" s="90" t="n">
        <f aca="false">IF(AND(Q444=1,ISNUMBER(I444)),(I444-설정!$C$4)/365.25,"")</f>
        <v>3.15947980835045</v>
      </c>
      <c r="V444" s="43" t="str">
        <f aca="false">IF(Q444&lt;&gt;1,"",IF(ISNUMBER(U444),IF(U444&lt;=1,"1년 이하",IF(U444&lt;=2,"1-2년",IF(U444&lt;=3,"2-3년",IF(U444&lt;=4,"3-4년",IF(U444&lt;=5,"4-5년",IF(U444&lt;=7,"5-7년",IF(U444&lt;=10,"7-10년",IF(U444&lt;=20,"10-20년","20년 이상")))))))),"미분류"))</f>
        <v>3-4년</v>
      </c>
      <c r="W444" s="43" t="str">
        <f aca="false">IF(Q444&lt;&gt;1,"",IF(AB444&lt;&gt;"",INDEX(시장분석!$C:$C,AB444),IF(K444=1,"USD","비USD")))</f>
        <v>JPY</v>
      </c>
      <c r="X444" s="91" t="n">
        <f aca="false">IF(Q444=1,E444*K444/1000000,0)</f>
        <v>0.6354</v>
      </c>
      <c r="Y444" s="89" t="n">
        <f aca="false">IF(R444="T",1,0)</f>
        <v>0</v>
      </c>
      <c r="Z444" s="92" t="n">
        <f aca="false">IF(Q444&lt;&gt;1,"",IF(AD444=1,IF(ISNUMBER(U444),MAX(U444,0),H444),H444))</f>
        <v>2.9928</v>
      </c>
      <c r="AA444" s="91" t="n">
        <f aca="false">IF(Q444=1,IF(ISNUMBER(L444),L444,0)*K444/1000000,0)</f>
        <v>0.6080352282</v>
      </c>
      <c r="AB444" s="89" t="n">
        <f aca="false">IF(Q444&lt;&gt;1,"",IFERROR(MATCH(VLOOKUP(B444,매핑!$H$4:$I$15,2,0),시장분석!$A$2:$A$601,0)+1,IFERROR(MATCH(R444&amp;"|"&amp;T444,시장분석!$V$2:$V$601,0)+1,IF(COUNTIF(시장분석!$U$2:$U$601,T444)=1,MATCH(T444,시장분석!$U$2:$U$601,0)+1,""))))</f>
        <v>6</v>
      </c>
      <c r="AC444" s="89" t="n">
        <f aca="false">IF(Q444&lt;&gt;1,0,IF(OR(설정!$C$5="전체",AND(설정!$C$5="선택펀드",IFERROR(COUNTIFS(설정!$F$16:$F$36,C444,설정!$G$16:$G$36,"Y")+COUNTIFS(설정!$F$16:$F$36,VALUE(C444),설정!$G$16:$G$36,"Y"),0)&gt;0),C444&amp;""=설정!$C$5&amp;""),1,0))</f>
        <v>0</v>
      </c>
      <c r="AD444" s="89" t="n">
        <f aca="false">IF(Q444&lt;&gt;1,0,IF(OR(S444=1,IF(AB444="",FALSE(),INDEX(시장분석!$R:$R,AB444)=1)),1,0))</f>
        <v>0</v>
      </c>
      <c r="AE444" s="43" t="str">
        <f aca="false">IF(AB444="","",INDEX(시장분석!$A:$A,AB444))</f>
        <v>EIBKOR 1.065 11/28/29</v>
      </c>
      <c r="AF444" s="93" t="n">
        <f aca="false">IF(AB444="","",IF(ISNUMBER(IF(AB444="","",INDEX(시장분석!$E:$E,AB444))),IF(AB444="","",INDEX(시장분석!$E:$E,AB444)),""))</f>
        <v>42.4</v>
      </c>
      <c r="AG444" s="43" t="str">
        <f aca="false">IF(Q444&lt;&gt;1,"",IF(AB444&lt;&gt;"",IF(AB444="","",INDEX(시장분석!$L:$L,AB444)),IFERROR(IF(VLOOKUP(R444,매핑!$A$4:$E$92,5,0)="","미분류",VLOOKUP(R444,매핑!$A$4:$E$92,5,0)),"미분류")))</f>
        <v>정부</v>
      </c>
      <c r="AH444" s="43" t="str">
        <f aca="false">IF(Q444&lt;&gt;1,"",IF(AB444&lt;&gt;"",IF(AB444="","",INDEX(시장분석!$N:$N,AB444)),IFERROR(IF(VLOOKUP(R444,매핑!$A$4:$E$92,4,0)="","미분류",VLOOKUP(R444,매핑!$A$4:$E$92,4,0)),"미분류")))</f>
        <v>아시아/기타</v>
      </c>
      <c r="AI444" s="43" t="str">
        <f aca="false">IF(Q444&lt;&gt;1,"",IFERROR(IF(VLOOKUP(R444,매핑!$A$4:$E$92,3,0)="","미분류",VLOOKUP(R444,매핑!$A$4:$E$92,3,0)),IF(AB444&lt;&gt;"",IF(AB444="","",INDEX(시장분석!$W:$W,AB444)),"미분류")))</f>
        <v>한국</v>
      </c>
      <c r="AJ444" s="43" t="str">
        <f aca="false">IF(Q444&lt;&gt;1,"",IFERROR(VLOOKUP(IF(N444&lt;&gt;"",N444,IF(P444&lt;&gt;"",P444,O444)),설정!$A$15:$D$47,2,0),""))</f>
        <v>AA</v>
      </c>
      <c r="AK444" s="43" t="str">
        <f aca="false">IF(Q444&lt;&gt;1,"",IF(AJ444="","무등급",IFERROR(VLOOKUP(AJ444,설정!$A$15:$D$47,3,0),"무등급")))</f>
        <v>AA이상</v>
      </c>
      <c r="AL444" s="89" t="n">
        <f aca="false">IF(AJ444="",99,IFERROR(VLOOKUP(AJ444,설정!$A$15:$D$47,4,0),99))</f>
        <v>3</v>
      </c>
      <c r="AM444" s="94" t="n">
        <f aca="false">IF(ISNUMBER(H444),AA444*1000000*H444/10000,0)</f>
        <v>181.972783095696</v>
      </c>
      <c r="AN444" s="94" t="n">
        <f aca="false">IF(OR(Y444=1,NOT(ISNUMBER(Z444))),0,AA444*1000000*Z444/10000)</f>
        <v>181.972783095696</v>
      </c>
      <c r="AO444" s="94" t="n">
        <f aca="false">IF(ISNUMBER(G444),AA444*1000000*G444/100,0)</f>
        <v>15326.7439972374</v>
      </c>
      <c r="AP444" s="94" t="n">
        <f aca="false">IF(ISNUMBER(M444),M444*K444,0)</f>
        <v>-9637.1118</v>
      </c>
      <c r="AQ444" s="95" t="str">
        <f aca="false">IF(AB444="","",INDEX(시장분석!$AK:$AK,AB444))</f>
        <v/>
      </c>
      <c r="AR444" s="43" t="str">
        <f aca="false">IF(AB444="","-",IF(AB444="","",INDEX(시장분석!$AL:$AL,AB444)))</f>
        <v>-</v>
      </c>
      <c r="AS444" s="96" t="str">
        <f aca="false">IF(AB444="","",INDEX(시장분석!$AJ:$AJ,AB444))</f>
        <v/>
      </c>
      <c r="AT444" s="93" t="n">
        <f aca="false">IF(AB444="",0,IF(AB444="","",INDEX(시장분석!$AN:$AN,AB444)))</f>
        <v>0</v>
      </c>
      <c r="AU444" s="94" t="n">
        <f aca="false">IF(ISNUMBER(Z444),AT444/10000*MAX(Z444-1,0)*AA444*1000000,0)</f>
        <v>0</v>
      </c>
      <c r="AV444" s="94" t="n">
        <f aca="false">AO444+AU444</f>
        <v>15326.7439972374</v>
      </c>
      <c r="AW444" s="43" t="str">
        <f aca="false">IF(Q444&lt;&gt;1,"",TRIM(IF(AD444=1,"FRN ","")&amp;IF(AND(AL444&gt;=10,AL444&lt;99),"BBB0미만 ","")&amp;IF(AJ444="","등급없음 ","")&amp;IF(K444&lt;&gt;1,"비USD ","")&amp;IF(AND(AB444="",Y444=0),"시장데이터없음 ","")&amp;IF(AND(ISNUMBER(U444),U444&lt;0),"만기경과 ","")))</f>
        <v>비USD</v>
      </c>
      <c r="AX444" s="90" t="n">
        <f aca="false">IF(Q444&lt;&gt;1,1,IF(스프레드쇼크!$C$4="Y",INDEX(스프레드쇼크!$B$12:$L$16,IFERROR(MATCH(AH444,스프레드쇼크!$A$12:$A$16,0),MATCH("목록외",스프레드쇼크!$A$12:$A$16,0)),IFERROR(MATCH(AG444,스프레드쇼크!$B$11:$L$11,0),MATCH("목록외",스프레드쇼크!$B$11:$L$11,0))),1))</f>
        <v>1</v>
      </c>
      <c r="AY444" s="90" t="n">
        <f aca="false">IF(스프레드쇼크!$C$5="Y",IF(ISNUMBER(AF444),MIN(스프레드쇼크!$C$7,MAX(스프레드쇼크!$C$6,AF444/스프레드쇼크!$C$8)),1),1)</f>
        <v>0.641316454873501</v>
      </c>
      <c r="AZ444" s="94" t="n">
        <f aca="false">AN444*AX444*AY444</f>
        <v>116.702140138396</v>
      </c>
      <c r="BA444" s="90" t="n">
        <f aca="false">IF(ISNUMBER(G444),AA444*G444,0)</f>
        <v>1.53267439972374</v>
      </c>
      <c r="BB444" s="90" t="n">
        <f aca="false">IF(ISNUMBER(G444),AA444,0)</f>
        <v>0.6080352282</v>
      </c>
      <c r="BC444" s="90" t="n">
        <f aca="false">IF(AND(Y444=0,ISNUMBER(AF444)),AA444*AF444,0)</f>
        <v>25.78069367568</v>
      </c>
      <c r="BD444" s="90" t="n">
        <f aca="false">IF(AND(Y444=0,ISNUMBER(AF444)),AA444,0)</f>
        <v>0.6080352282</v>
      </c>
      <c r="BE444" s="90" t="n">
        <f aca="false">IF(ISNUMBER(H444),AA444*H444,0)</f>
        <v>1.81972783095696</v>
      </c>
      <c r="BF444" s="90" t="n">
        <f aca="false">IF(ISNUMBER(H444),AA444,0)</f>
        <v>0.6080352282</v>
      </c>
      <c r="BG444" s="90" t="n">
        <f aca="false">IF(AND(Y444=0,ISNUMBER(AF444),ISNUMBER(Z444)),AA444*Z444,0)</f>
        <v>1.81972783095696</v>
      </c>
      <c r="BH444" s="90" t="n">
        <f aca="false">IF(AND(Y444=0,ISNUMBER(AF444),ISNUMBER(Z444)),AA444*AT444*MAX(Z444-1,0),0)</f>
        <v>0</v>
      </c>
      <c r="BI444" s="90" t="n">
        <f aca="false">IF(Y444=0,AA444,0)</f>
        <v>0.6080352282</v>
      </c>
    </row>
    <row r="445" customFormat="false" ht="15" hidden="false" customHeight="false" outlineLevel="0" collapsed="false">
      <c r="A445" s="83" t="str">
        <f aca="false">IFERROR(IF(INDEX(원자료_잔고!$A$1:$EZ$1500,설정!$L$5+ROW()-1,설정!$L$8)&amp;""="0","",INDEX(원자료_잔고!$A$1:$EZ$1500,설정!$L$5+ROW()-1,설정!$L$8)&amp;""),"")</f>
        <v>SHNHAN 1.322 11/12/27</v>
      </c>
      <c r="B445" s="83" t="str">
        <f aca="false">IFERROR(IF(INDEX(원자료_잔고!$A$1:$EZ$1500,설정!$L$5+ROW()-1,설정!$L$7)&amp;""="0","",INDEX(원자료_잔고!$A$1:$EZ$1500,설정!$L$5+ROW()-1,설정!$L$7)&amp;""),"")</f>
        <v>JP541034ARB1</v>
      </c>
      <c r="C445" s="83" t="str">
        <f aca="false">IFERROR(IF(INDEX(원자료_잔고!$A$1:$EZ$1500,설정!$L$5+ROW()-1,설정!$L$9)&amp;""="0","",INDEX(원자료_잔고!$A$1:$EZ$1500,설정!$L$5+ROW()-1,설정!$L$9)&amp;""),"")</f>
        <v>42006</v>
      </c>
      <c r="D445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5" s="84" t="n">
        <f aca="false">IFERROR(IF(ISNUMBER(INDEX(원자료_잔고!$A$1:$EZ$1500,설정!$L$5+ROW()-1,설정!$L$11)),INDEX(원자료_잔고!$A$1:$EZ$1500,설정!$L$5+ROW()-1,설정!$L$11),""),"")</f>
        <v>100000000</v>
      </c>
      <c r="F445" s="85" t="n">
        <f aca="false">IFERROR(IF(ISNUMBER(INDEX(원자료_잔고!$A$1:$EZ$1500,설정!$L$5+ROW()-1,설정!$L$12)),INDEX(원자료_잔고!$A$1:$EZ$1500,설정!$L$5+ROW()-1,설정!$L$12),""),"")</f>
        <v>99.1512</v>
      </c>
      <c r="G445" s="85" t="n">
        <f aca="false">IFERROR(IF(ISNUMBER(INDEX(원자료_잔고!$A$1:$EZ$1500,설정!$L$5+ROW()-1,설정!$L$13)),INDEX(원자료_잔고!$A$1:$EZ$1500,설정!$L$5+ROW()-1,설정!$L$13),""),"")</f>
        <v>2.0973</v>
      </c>
      <c r="H445" s="85" t="n">
        <f aca="false">IFERROR(IF(ISNUMBER(INDEX(원자료_잔고!$A$1:$EZ$1500,설정!$L$5+ROW()-1,설정!$L$14)),INDEX(원자료_잔고!$A$1:$EZ$1500,설정!$L$5+ROW()-1,설정!$L$14),""),"")</f>
        <v>1.0868</v>
      </c>
      <c r="I445" s="86" t="n">
        <f aca="false">IFERROR(IF(ISNUMBER(INDEX(원자료_잔고!$A$1:$EZ$1500,설정!$L$5+ROW()-1,설정!$L$15)),INDEX(원자료_잔고!$A$1:$EZ$1500,설정!$L$5+ROW()-1,설정!$L$15),""),"")</f>
        <v>46703</v>
      </c>
      <c r="J445" s="85" t="n">
        <f aca="false">IFERROR(IF(ISNUMBER(INDEX(원자료_잔고!$A$1:$EZ$1500,설정!$L$5+ROW()-1,설정!$L$16)),INDEX(원자료_잔고!$A$1:$EZ$1500,설정!$L$5+ROW()-1,설정!$L$16),""),"")</f>
        <v>1.322</v>
      </c>
      <c r="K445" s="87" t="n">
        <f aca="false">IFERROR(IF(ISNUMBER(INDEX(원자료_잔고!$A$1:$EZ$1500,설정!$L$5+ROW()-1,설정!$L$17)),INDEX(원자료_잔고!$A$1:$EZ$1500,설정!$L$5+ROW()-1,설정!$L$17),""),"")</f>
        <v>0.006354</v>
      </c>
      <c r="L445" s="84" t="n">
        <f aca="false">IFERROR(IF(ISNUMBER(INDEX(원자료_잔고!$A$1:$EZ$1500,설정!$L$5+ROW()-1,설정!$L$18)),INDEX(원자료_잔고!$A$1:$EZ$1500,설정!$L$5+ROW()-1,설정!$L$18),""),"")</f>
        <v>99151200</v>
      </c>
      <c r="M445" s="88" t="n">
        <f aca="false">IFERROR(IF(ISNUMBER(INDEX(원자료_잔고!$A$1:$EZ$1500,설정!$L$5+ROW()-1,설정!$L$19)),INDEX(원자료_잔고!$A$1:$EZ$1500,설정!$L$5+ROW()-1,설정!$L$19),""),"")</f>
        <v>-421300</v>
      </c>
      <c r="N445" s="83" t="str">
        <f aca="false">IFERROR(IF(INDEX(원자료_잔고!$A$1:$EZ$1500,설정!$L$5+ROW()-1,설정!$L$21)&amp;""="0","",INDEX(원자료_잔고!$A$1:$EZ$1500,설정!$L$5+ROW()-1,설정!$L$21)&amp;""),"")</f>
        <v/>
      </c>
      <c r="O445" s="83" t="str">
        <f aca="false">IFERROR(IF(INDEX(원자료_잔고!$A$1:$EZ$1500,설정!$L$5+ROW()-1,설정!$L$22)&amp;""="0","",INDEX(원자료_잔고!$A$1:$EZ$1500,설정!$L$5+ROW()-1,설정!$L$22)&amp;""),"")</f>
        <v/>
      </c>
      <c r="P445" s="83" t="str">
        <f aca="false">IFERROR(IF(INDEX(원자료_잔고!$A$1:$EZ$1500,설정!$L$5+ROW()-1,설정!$L$23)&amp;""="0","",INDEX(원자료_잔고!$A$1:$EZ$1500,설정!$L$5+ROW()-1,설정!$L$23)&amp;""),"")</f>
        <v>N/A</v>
      </c>
      <c r="Q445" s="89" t="n">
        <f aca="false">IF(AND($A445&lt;&gt;"",ISNUMBER(E445)),IF(E445&gt;0,1,0),0)</f>
        <v>1</v>
      </c>
      <c r="R445" s="43" t="str">
        <f aca="false">IF(Q445=1,UPPER(LEFT($A445,FIND(" ",$A445&amp;" ")-1)),"")</f>
        <v>SHNHAN</v>
      </c>
      <c r="S445" s="89" t="n">
        <f aca="false">IF(Q445=1,IF(OR(ISNUMBER(SEARCH("Float",$A445)),ISNUMBER(SEARCH("FRN",$A445))),1,0),0)</f>
        <v>0</v>
      </c>
      <c r="T445" s="43" t="str">
        <f aca="false">IF(AND(Q445=1,ISNUMBER(I445)),TEXT(I445,"yyyymmdd")&amp;"|"&amp;IF(S445=1,"F",TEXT(J445,"0.000")),"")</f>
        <v>20271112|1.322</v>
      </c>
      <c r="U445" s="90" t="n">
        <f aca="false">IF(AND(Q445=1,ISNUMBER(I445)),(I445-설정!$C$4)/365.25,"")</f>
        <v>1.11430527036277</v>
      </c>
      <c r="V445" s="43" t="str">
        <f aca="false">IF(Q445&lt;&gt;1,"",IF(ISNUMBER(U445),IF(U445&lt;=1,"1년 이하",IF(U445&lt;=2,"1-2년",IF(U445&lt;=3,"2-3년",IF(U445&lt;=4,"3-4년",IF(U445&lt;=5,"4-5년",IF(U445&lt;=7,"5-7년",IF(U445&lt;=10,"7-10년",IF(U445&lt;=20,"10-20년","20년 이상")))))))),"미분류"))</f>
        <v>1-2년</v>
      </c>
      <c r="W445" s="43" t="str">
        <f aca="false">IF(Q445&lt;&gt;1,"",IF(AB445&lt;&gt;"",INDEX(시장분석!$C:$C,AB445),IF(K445=1,"USD","비USD")))</f>
        <v>JPY</v>
      </c>
      <c r="X445" s="91" t="n">
        <f aca="false">IF(Q445=1,E445*K445/1000000,0)</f>
        <v>0.6354</v>
      </c>
      <c r="Y445" s="89" t="n">
        <f aca="false">IF(R445="T",1,0)</f>
        <v>0</v>
      </c>
      <c r="Z445" s="92" t="n">
        <f aca="false">IF(Q445&lt;&gt;1,"",IF(AD445=1,IF(ISNUMBER(U445),MAX(U445,0),H445),H445))</f>
        <v>1.0868</v>
      </c>
      <c r="AA445" s="91" t="n">
        <f aca="false">IF(Q445=1,IF(ISNUMBER(L445),L445,0)*K445/1000000,0)</f>
        <v>0.6300067248</v>
      </c>
      <c r="AB445" s="89" t="n">
        <f aca="false">IF(Q445&lt;&gt;1,"",IFERROR(MATCH(VLOOKUP(B445,매핑!$H$4:$I$15,2,0),시장분석!$A$2:$A$601,0)+1,IFERROR(MATCH(R445&amp;"|"&amp;T445,시장분석!$V$2:$V$601,0)+1,IF(COUNTIF(시장분석!$U$2:$U$601,T445)=1,MATCH(T445,시장분석!$U$2:$U$601,0)+1,""))))</f>
        <v>7</v>
      </c>
      <c r="AC445" s="89" t="n">
        <f aca="false">IF(Q445&lt;&gt;1,0,IF(OR(설정!$C$5="전체",AND(설정!$C$5="선택펀드",IFERROR(COUNTIFS(설정!$F$16:$F$36,C445,설정!$G$16:$G$36,"Y")+COUNTIFS(설정!$F$16:$F$36,VALUE(C445),설정!$G$16:$G$36,"Y"),0)&gt;0),C445&amp;""=설정!$C$5&amp;""),1,0))</f>
        <v>0</v>
      </c>
      <c r="AD445" s="89" t="n">
        <f aca="false">IF(Q445&lt;&gt;1,0,IF(OR(S445=1,IF(AB445="",FALSE(),INDEX(시장분석!$R:$R,AB445)=1)),1,0))</f>
        <v>0</v>
      </c>
      <c r="AE445" s="43" t="str">
        <f aca="false">IF(AB445="","",INDEX(시장분석!$A:$A,AB445))</f>
        <v>SHNHAN 1.322 11/12/27</v>
      </c>
      <c r="AF445" s="93" t="n">
        <f aca="false">IF(AB445="","",IF(ISNUMBER(IF(AB445="","",INDEX(시장분석!$E:$E,AB445))),IF(AB445="","",INDEX(시장분석!$E:$E,AB445)),""))</f>
        <v>11.2</v>
      </c>
      <c r="AG445" s="43" t="str">
        <f aca="false">IF(Q445&lt;&gt;1,"",IF(AB445&lt;&gt;"",IF(AB445="","",INDEX(시장분석!$L:$L,AB445)),IFERROR(IF(VLOOKUP(R445,매핑!$A$4:$E$92,5,0)="","미분류",VLOOKUP(R445,매핑!$A$4:$E$92,5,0)),"미분류")))</f>
        <v>금융기관</v>
      </c>
      <c r="AH445" s="43" t="str">
        <f aca="false">IF(Q445&lt;&gt;1,"",IF(AB445&lt;&gt;"",IF(AB445="","",INDEX(시장분석!$N:$N,AB445)),IFERROR(IF(VLOOKUP(R445,매핑!$A$4:$E$92,4,0)="","미분류",VLOOKUP(R445,매핑!$A$4:$E$92,4,0)),"미분류")))</f>
        <v>아시아/기타</v>
      </c>
      <c r="AI445" s="43" t="str">
        <f aca="false">IF(Q445&lt;&gt;1,"",IFERROR(IF(VLOOKUP(R445,매핑!$A$4:$E$92,3,0)="","미분류",VLOOKUP(R445,매핑!$A$4:$E$92,3,0)),IF(AB445&lt;&gt;"",IF(AB445="","",INDEX(시장분석!$W:$W,AB445)),"미분류")))</f>
        <v>한국</v>
      </c>
      <c r="AJ445" s="43" t="str">
        <f aca="false">IF(Q445&lt;&gt;1,"",IFERROR(VLOOKUP(IF(N445&lt;&gt;"",N445,IF(P445&lt;&gt;"",P445,O445)),설정!$A$15:$D$47,2,0),""))</f>
        <v/>
      </c>
      <c r="AK445" s="43" t="str">
        <f aca="false">IF(Q445&lt;&gt;1,"",IF(AJ445="","무등급",IFERROR(VLOOKUP(AJ445,설정!$A$15:$D$47,3,0),"무등급")))</f>
        <v>무등급</v>
      </c>
      <c r="AL445" s="89" t="n">
        <f aca="false">IF(AJ445="",99,IFERROR(VLOOKUP(AJ445,설정!$A$15:$D$47,4,0),99))</f>
        <v>99</v>
      </c>
      <c r="AM445" s="94" t="n">
        <f aca="false">IF(ISNUMBER(H445),AA445*1000000*H445/10000,0)</f>
        <v>68.469130851264</v>
      </c>
      <c r="AN445" s="94" t="n">
        <f aca="false">IF(OR(Y445=1,NOT(ISNUMBER(Z445))),0,AA445*1000000*Z445/10000)</f>
        <v>68.469130851264</v>
      </c>
      <c r="AO445" s="94" t="n">
        <f aca="false">IF(ISNUMBER(G445),AA445*1000000*G445/100,0)</f>
        <v>13213.1310392304</v>
      </c>
      <c r="AP445" s="94" t="n">
        <f aca="false">IF(ISNUMBER(M445),M445*K445,0)</f>
        <v>-2676.9402</v>
      </c>
      <c r="AQ445" s="95" t="str">
        <f aca="false">IF(AB445="","",INDEX(시장분석!$AK:$AK,AB445))</f>
        <v/>
      </c>
      <c r="AR445" s="43" t="str">
        <f aca="false">IF(AB445="","-",IF(AB445="","",INDEX(시장분석!$AL:$AL,AB445)))</f>
        <v>-</v>
      </c>
      <c r="AS445" s="96" t="str">
        <f aca="false">IF(AB445="","",INDEX(시장분석!$AJ:$AJ,AB445))</f>
        <v/>
      </c>
      <c r="AT445" s="93" t="n">
        <f aca="false">IF(AB445="",0,IF(AB445="","",INDEX(시장분석!$AN:$AN,AB445)))</f>
        <v>0</v>
      </c>
      <c r="AU445" s="94" t="n">
        <f aca="false">IF(ISNUMBER(Z445),AT445/10000*MAX(Z445-1,0)*AA445*1000000,0)</f>
        <v>0</v>
      </c>
      <c r="AV445" s="94" t="n">
        <f aca="false">AO445+AU445</f>
        <v>13213.1310392304</v>
      </c>
      <c r="AW445" s="43" t="str">
        <f aca="false">IF(Q445&lt;&gt;1,"",TRIM(IF(AD445=1,"FRN ","")&amp;IF(AND(AL445&gt;=10,AL445&lt;99),"BBB0미만 ","")&amp;IF(AJ445="","등급없음 ","")&amp;IF(K445&lt;&gt;1,"비USD ","")&amp;IF(AND(AB445="",Y445=0),"시장데이터없음 ","")&amp;IF(AND(ISNUMBER(U445),U445&lt;0),"만기경과 ","")))</f>
        <v>등급없음 비USD</v>
      </c>
      <c r="AX445" s="90" t="n">
        <f aca="false">IF(Q445&lt;&gt;1,1,IF(스프레드쇼크!$C$4="Y",INDEX(스프레드쇼크!$B$12:$L$16,IFERROR(MATCH(AH445,스프레드쇼크!$A$12:$A$16,0),MATCH("목록외",스프레드쇼크!$A$12:$A$16,0)),IFERROR(MATCH(AG445,스프레드쇼크!$B$11:$L$11,0),MATCH("목록외",스프레드쇼크!$B$11:$L$11,0))),1))</f>
        <v>1</v>
      </c>
      <c r="AY445" s="90" t="n">
        <f aca="false">IF(스프레드쇼크!$C$5="Y",IF(ISNUMBER(AF445),MIN(스프레드쇼크!$C$7,MAX(스프레드쇼크!$C$6,AF445/스프레드쇼크!$C$8)),1),1)</f>
        <v>0.25</v>
      </c>
      <c r="AZ445" s="94" t="n">
        <f aca="false">AN445*AX445*AY445</f>
        <v>17.117282712816</v>
      </c>
      <c r="BA445" s="90" t="n">
        <f aca="false">IF(ISNUMBER(G445),AA445*G445,0)</f>
        <v>1.32131310392304</v>
      </c>
      <c r="BB445" s="90" t="n">
        <f aca="false">IF(ISNUMBER(G445),AA445,0)</f>
        <v>0.6300067248</v>
      </c>
      <c r="BC445" s="90" t="n">
        <f aca="false">IF(AND(Y445=0,ISNUMBER(AF445)),AA445*AF445,0)</f>
        <v>7.05607531776</v>
      </c>
      <c r="BD445" s="90" t="n">
        <f aca="false">IF(AND(Y445=0,ISNUMBER(AF445)),AA445,0)</f>
        <v>0.6300067248</v>
      </c>
      <c r="BE445" s="90" t="n">
        <f aca="false">IF(ISNUMBER(H445),AA445*H445,0)</f>
        <v>0.68469130851264</v>
      </c>
      <c r="BF445" s="90" t="n">
        <f aca="false">IF(ISNUMBER(H445),AA445,0)</f>
        <v>0.6300067248</v>
      </c>
      <c r="BG445" s="90" t="n">
        <f aca="false">IF(AND(Y445=0,ISNUMBER(AF445),ISNUMBER(Z445)),AA445*Z445,0)</f>
        <v>0.68469130851264</v>
      </c>
      <c r="BH445" s="90" t="n">
        <f aca="false">IF(AND(Y445=0,ISNUMBER(AF445),ISNUMBER(Z445)),AA445*AT445*MAX(Z445-1,0),0)</f>
        <v>0</v>
      </c>
      <c r="BI445" s="90" t="n">
        <f aca="false">IF(Y445=0,AA445,0)</f>
        <v>0.6300067248</v>
      </c>
    </row>
    <row r="446" customFormat="false" ht="15" hidden="false" customHeight="false" outlineLevel="0" collapsed="false">
      <c r="A446" s="83" t="str">
        <f aca="false">IFERROR(IF(INDEX(원자료_잔고!$A$1:$EZ$1500,설정!$L$5+ROW()-1,설정!$L$8)&amp;""="0","",INDEX(원자료_잔고!$A$1:$EZ$1500,설정!$L$5+ROW()-1,설정!$L$8)&amp;""),"")</f>
        <v>SHNHAN 1.556 02/09/29</v>
      </c>
      <c r="B446" s="83" t="str">
        <f aca="false">IFERROR(IF(INDEX(원자료_잔고!$A$1:$EZ$1500,설정!$L$5+ROW()-1,설정!$L$7)&amp;""="0","",INDEX(원자료_잔고!$A$1:$EZ$1500,설정!$L$5+ROW()-1,설정!$L$7)&amp;""),"")</f>
        <v>JP541034BRB9</v>
      </c>
      <c r="C446" s="83" t="str">
        <f aca="false">IFERROR(IF(INDEX(원자료_잔고!$A$1:$EZ$1500,설정!$L$5+ROW()-1,설정!$L$9)&amp;""="0","",INDEX(원자료_잔고!$A$1:$EZ$1500,설정!$L$5+ROW()-1,설정!$L$9)&amp;""),"")</f>
        <v>42006</v>
      </c>
      <c r="D446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6" s="84" t="n">
        <f aca="false">IFERROR(IF(ISNUMBER(INDEX(원자료_잔고!$A$1:$EZ$1500,설정!$L$5+ROW()-1,설정!$L$11)),INDEX(원자료_잔고!$A$1:$EZ$1500,설정!$L$5+ROW()-1,설정!$L$11),""),"")</f>
        <v>600000000</v>
      </c>
      <c r="F446" s="85" t="n">
        <f aca="false">IFERROR(IF(ISNUMBER(INDEX(원자료_잔고!$A$1:$EZ$1500,설정!$L$5+ROW()-1,설정!$L$12)),INDEX(원자료_잔고!$A$1:$EZ$1500,설정!$L$5+ROW()-1,설정!$L$12),""),"")</f>
        <v>97.7074</v>
      </c>
      <c r="G446" s="85" t="n">
        <f aca="false">IFERROR(IF(ISNUMBER(INDEX(원자료_잔고!$A$1:$EZ$1500,설정!$L$5+ROW()-1,설정!$L$13)),INDEX(원자료_잔고!$A$1:$EZ$1500,설정!$L$5+ROW()-1,설정!$L$13),""),"")</f>
        <v>2.5778</v>
      </c>
      <c r="H446" s="85" t="n">
        <f aca="false">IFERROR(IF(ISNUMBER(INDEX(원자료_잔고!$A$1:$EZ$1500,설정!$L$5+ROW()-1,설정!$L$14)),INDEX(원자료_잔고!$A$1:$EZ$1500,설정!$L$5+ROW()-1,설정!$L$14),""),"")</f>
        <v>2.241</v>
      </c>
      <c r="I446" s="86" t="n">
        <f aca="false">IFERROR(IF(ISNUMBER(INDEX(원자료_잔고!$A$1:$EZ$1500,설정!$L$5+ROW()-1,설정!$L$15)),INDEX(원자료_잔고!$A$1:$EZ$1500,설정!$L$5+ROW()-1,설정!$L$15),""),"")</f>
        <v>47158</v>
      </c>
      <c r="J446" s="85" t="n">
        <f aca="false">IFERROR(IF(ISNUMBER(INDEX(원자료_잔고!$A$1:$EZ$1500,설정!$L$5+ROW()-1,설정!$L$16)),INDEX(원자료_잔고!$A$1:$EZ$1500,설정!$L$5+ROW()-1,설정!$L$16),""),"")</f>
        <v>1.556</v>
      </c>
      <c r="K446" s="87" t="n">
        <f aca="false">IFERROR(IF(ISNUMBER(INDEX(원자료_잔고!$A$1:$EZ$1500,설정!$L$5+ROW()-1,설정!$L$17)),INDEX(원자료_잔고!$A$1:$EZ$1500,설정!$L$5+ROW()-1,설정!$L$17),""),"")</f>
        <v>0.006354</v>
      </c>
      <c r="L446" s="84" t="n">
        <f aca="false">IFERROR(IF(ISNUMBER(INDEX(원자료_잔고!$A$1:$EZ$1500,설정!$L$5+ROW()-1,설정!$L$18)),INDEX(원자료_잔고!$A$1:$EZ$1500,설정!$L$5+ROW()-1,설정!$L$18),""),"")</f>
        <v>586244400</v>
      </c>
      <c r="M446" s="88" t="n">
        <f aca="false">IFERROR(IF(ISNUMBER(INDEX(원자료_잔고!$A$1:$EZ$1500,설정!$L$5+ROW()-1,설정!$L$19)),INDEX(원자료_잔고!$A$1:$EZ$1500,설정!$L$5+ROW()-1,설정!$L$19),""),"")</f>
        <v>-8625599.95</v>
      </c>
      <c r="N446" s="83" t="str">
        <f aca="false">IFERROR(IF(INDEX(원자료_잔고!$A$1:$EZ$1500,설정!$L$5+ROW()-1,설정!$L$21)&amp;""="0","",INDEX(원자료_잔고!$A$1:$EZ$1500,설정!$L$5+ROW()-1,설정!$L$21)&amp;""),"")</f>
        <v/>
      </c>
      <c r="O446" s="83" t="str">
        <f aca="false">IFERROR(IF(INDEX(원자료_잔고!$A$1:$EZ$1500,설정!$L$5+ROW()-1,설정!$L$22)&amp;""="0","",INDEX(원자료_잔고!$A$1:$EZ$1500,설정!$L$5+ROW()-1,설정!$L$22)&amp;""),"")</f>
        <v/>
      </c>
      <c r="P446" s="83" t="str">
        <f aca="false">IFERROR(IF(INDEX(원자료_잔고!$A$1:$EZ$1500,설정!$L$5+ROW()-1,설정!$L$23)&amp;""="0","",INDEX(원자료_잔고!$A$1:$EZ$1500,설정!$L$5+ROW()-1,설정!$L$23)&amp;""),"")</f>
        <v>N/A</v>
      </c>
      <c r="Q446" s="89" t="n">
        <f aca="false">IF(AND($A446&lt;&gt;"",ISNUMBER(E446)),IF(E446&gt;0,1,0),0)</f>
        <v>1</v>
      </c>
      <c r="R446" s="43" t="str">
        <f aca="false">IF(Q446=1,UPPER(LEFT($A446,FIND(" ",$A446&amp;" ")-1)),"")</f>
        <v>SHNHAN</v>
      </c>
      <c r="S446" s="89" t="n">
        <f aca="false">IF(Q446=1,IF(OR(ISNUMBER(SEARCH("Float",$A446)),ISNUMBER(SEARCH("FRN",$A446))),1,0),0)</f>
        <v>0</v>
      </c>
      <c r="T446" s="43" t="str">
        <f aca="false">IF(AND(Q446=1,ISNUMBER(I446)),TEXT(I446,"yyyymmdd")&amp;"|"&amp;IF(S446=1,"F",TEXT(J446,"0.000")),"")</f>
        <v>20290209|1.556</v>
      </c>
      <c r="U446" s="90" t="n">
        <f aca="false">IF(AND(Q446=1,ISNUMBER(I446)),(I446-설정!$C$4)/365.25,"")</f>
        <v>2.36002737850787</v>
      </c>
      <c r="V446" s="43" t="str">
        <f aca="false">IF(Q446&lt;&gt;1,"",IF(ISNUMBER(U446),IF(U446&lt;=1,"1년 이하",IF(U446&lt;=2,"1-2년",IF(U446&lt;=3,"2-3년",IF(U446&lt;=4,"3-4년",IF(U446&lt;=5,"4-5년",IF(U446&lt;=7,"5-7년",IF(U446&lt;=10,"7-10년",IF(U446&lt;=20,"10-20년","20년 이상")))))))),"미분류"))</f>
        <v>2-3년</v>
      </c>
      <c r="W446" s="43" t="str">
        <f aca="false">IF(Q446&lt;&gt;1,"",IF(AB446&lt;&gt;"",INDEX(시장분석!$C:$C,AB446),IF(K446=1,"USD","비USD")))</f>
        <v>JPY</v>
      </c>
      <c r="X446" s="91" t="n">
        <f aca="false">IF(Q446=1,E446*K446/1000000,0)</f>
        <v>3.8124</v>
      </c>
      <c r="Y446" s="89" t="n">
        <f aca="false">IF(R446="T",1,0)</f>
        <v>0</v>
      </c>
      <c r="Z446" s="92" t="n">
        <f aca="false">IF(Q446&lt;&gt;1,"",IF(AD446=1,IF(ISNUMBER(U446),MAX(U446,0),H446),H446))</f>
        <v>2.241</v>
      </c>
      <c r="AA446" s="91" t="n">
        <f aca="false">IF(Q446=1,IF(ISNUMBER(L446),L446,0)*K446/1000000,0)</f>
        <v>3.7249969176</v>
      </c>
      <c r="AB446" s="89" t="n">
        <f aca="false">IF(Q446&lt;&gt;1,"",IFERROR(MATCH(VLOOKUP(B446,매핑!$H$4:$I$15,2,0),시장분석!$A$2:$A$601,0)+1,IFERROR(MATCH(R446&amp;"|"&amp;T446,시장분석!$V$2:$V$601,0)+1,IF(COUNTIF(시장분석!$U$2:$U$601,T446)=1,MATCH(T446,시장분석!$U$2:$U$601,0)+1,""))))</f>
        <v>8</v>
      </c>
      <c r="AC446" s="89" t="n">
        <f aca="false">IF(Q446&lt;&gt;1,0,IF(OR(설정!$C$5="전체",AND(설정!$C$5="선택펀드",IFERROR(COUNTIFS(설정!$F$16:$F$36,C446,설정!$G$16:$G$36,"Y")+COUNTIFS(설정!$F$16:$F$36,VALUE(C446),설정!$G$16:$G$36,"Y"),0)&gt;0),C446&amp;""=설정!$C$5&amp;""),1,0))</f>
        <v>0</v>
      </c>
      <c r="AD446" s="89" t="n">
        <f aca="false">IF(Q446&lt;&gt;1,0,IF(OR(S446=1,IF(AB446="",FALSE(),INDEX(시장분석!$R:$R,AB446)=1)),1,0))</f>
        <v>0</v>
      </c>
      <c r="AE446" s="43" t="str">
        <f aca="false">IF(AB446="","",INDEX(시장분석!$A:$A,AB446))</f>
        <v>SHNHAN 1.556 02/09/29</v>
      </c>
      <c r="AF446" s="93" t="n">
        <f aca="false">IF(AB446="","",IF(ISNUMBER(IF(AB446="","",INDEX(시장분석!$E:$E,AB446))),IF(AB446="","",INDEX(시장분석!$E:$E,AB446)),""))</f>
        <v>56.3</v>
      </c>
      <c r="AG446" s="43" t="str">
        <f aca="false">IF(Q446&lt;&gt;1,"",IF(AB446&lt;&gt;"",IF(AB446="","",INDEX(시장분석!$L:$L,AB446)),IFERROR(IF(VLOOKUP(R446,매핑!$A$4:$E$92,5,0)="","미분류",VLOOKUP(R446,매핑!$A$4:$E$92,5,0)),"미분류")))</f>
        <v>금융기관</v>
      </c>
      <c r="AH446" s="43" t="str">
        <f aca="false">IF(Q446&lt;&gt;1,"",IF(AB446&lt;&gt;"",IF(AB446="","",INDEX(시장분석!$N:$N,AB446)),IFERROR(IF(VLOOKUP(R446,매핑!$A$4:$E$92,4,0)="","미분류",VLOOKUP(R446,매핑!$A$4:$E$92,4,0)),"미분류")))</f>
        <v>아시아/기타</v>
      </c>
      <c r="AI446" s="43" t="str">
        <f aca="false">IF(Q446&lt;&gt;1,"",IFERROR(IF(VLOOKUP(R446,매핑!$A$4:$E$92,3,0)="","미분류",VLOOKUP(R446,매핑!$A$4:$E$92,3,0)),IF(AB446&lt;&gt;"",IF(AB446="","",INDEX(시장분석!$W:$W,AB446)),"미분류")))</f>
        <v>한국</v>
      </c>
      <c r="AJ446" s="43" t="str">
        <f aca="false">IF(Q446&lt;&gt;1,"",IFERROR(VLOOKUP(IF(N446&lt;&gt;"",N446,IF(P446&lt;&gt;"",P446,O446)),설정!$A$15:$D$47,2,0),""))</f>
        <v/>
      </c>
      <c r="AK446" s="43" t="str">
        <f aca="false">IF(Q446&lt;&gt;1,"",IF(AJ446="","무등급",IFERROR(VLOOKUP(AJ446,설정!$A$15:$D$47,3,0),"무등급")))</f>
        <v>무등급</v>
      </c>
      <c r="AL446" s="89" t="n">
        <f aca="false">IF(AJ446="",99,IFERROR(VLOOKUP(AJ446,설정!$A$15:$D$47,4,0),99))</f>
        <v>99</v>
      </c>
      <c r="AM446" s="94" t="n">
        <f aca="false">IF(ISNUMBER(H446),AA446*1000000*H446/10000,0)</f>
        <v>834.77180923416</v>
      </c>
      <c r="AN446" s="94" t="n">
        <f aca="false">IF(OR(Y446=1,NOT(ISNUMBER(Z446))),0,AA446*1000000*Z446/10000)</f>
        <v>834.77180923416</v>
      </c>
      <c r="AO446" s="94" t="n">
        <f aca="false">IF(ISNUMBER(G446),AA446*1000000*G446/100,0)</f>
        <v>96022.9705418928</v>
      </c>
      <c r="AP446" s="94" t="n">
        <f aca="false">IF(ISNUMBER(M446),M446*K446,0)</f>
        <v>-54807.0620823</v>
      </c>
      <c r="AQ446" s="95" t="str">
        <f aca="false">IF(AB446="","",INDEX(시장분석!$AK:$AK,AB446))</f>
        <v/>
      </c>
      <c r="AR446" s="43" t="str">
        <f aca="false">IF(AB446="","-",IF(AB446="","",INDEX(시장분석!$AL:$AL,AB446)))</f>
        <v>-</v>
      </c>
      <c r="AS446" s="96" t="str">
        <f aca="false">IF(AB446="","",INDEX(시장분석!$AJ:$AJ,AB446))</f>
        <v/>
      </c>
      <c r="AT446" s="93" t="n">
        <f aca="false">IF(AB446="",0,IF(AB446="","",INDEX(시장분석!$AN:$AN,AB446)))</f>
        <v>0</v>
      </c>
      <c r="AU446" s="94" t="n">
        <f aca="false">IF(ISNUMBER(Z446),AT446/10000*MAX(Z446-1,0)*AA446*1000000,0)</f>
        <v>0</v>
      </c>
      <c r="AV446" s="94" t="n">
        <f aca="false">AO446+AU446</f>
        <v>96022.9705418928</v>
      </c>
      <c r="AW446" s="43" t="str">
        <f aca="false">IF(Q446&lt;&gt;1,"",TRIM(IF(AD446=1,"FRN ","")&amp;IF(AND(AL446&gt;=10,AL446&lt;99),"BBB0미만 ","")&amp;IF(AJ446="","등급없음 ","")&amp;IF(K446&lt;&gt;1,"비USD ","")&amp;IF(AND(AB446="",Y446=0),"시장데이터없음 ","")&amp;IF(AND(ISNUMBER(U446),U446&lt;0),"만기경과 ","")))</f>
        <v>등급없음 비USD</v>
      </c>
      <c r="AX446" s="90" t="n">
        <f aca="false">IF(Q446&lt;&gt;1,1,IF(스프레드쇼크!$C$4="Y",INDEX(스프레드쇼크!$B$12:$L$16,IFERROR(MATCH(AH446,스프레드쇼크!$A$12:$A$16,0),MATCH("목록외",스프레드쇼크!$A$12:$A$16,0)),IFERROR(MATCH(AG446,스프레드쇼크!$B$11:$L$11,0),MATCH("목록외",스프레드쇼크!$B$11:$L$11,0))),1))</f>
        <v>1</v>
      </c>
      <c r="AY446" s="90" t="n">
        <f aca="false">IF(스프레드쇼크!$C$5="Y",IF(ISNUMBER(AF446),MIN(스프레드쇼크!$C$7,MAX(스프레드쇼크!$C$6,AF446/스프레드쇼크!$C$8)),1),1)</f>
        <v>0.851559349277786</v>
      </c>
      <c r="AZ446" s="94" t="n">
        <f aca="false">AN446*AX446*AY446</f>
        <v>710.857738666881</v>
      </c>
      <c r="BA446" s="90" t="n">
        <f aca="false">IF(ISNUMBER(G446),AA446*G446,0)</f>
        <v>9.60229705418928</v>
      </c>
      <c r="BB446" s="90" t="n">
        <f aca="false">IF(ISNUMBER(G446),AA446,0)</f>
        <v>3.7249969176</v>
      </c>
      <c r="BC446" s="90" t="n">
        <f aca="false">IF(AND(Y446=0,ISNUMBER(AF446)),AA446*AF446,0)</f>
        <v>209.71732646088</v>
      </c>
      <c r="BD446" s="90" t="n">
        <f aca="false">IF(AND(Y446=0,ISNUMBER(AF446)),AA446,0)</f>
        <v>3.7249969176</v>
      </c>
      <c r="BE446" s="90" t="n">
        <f aca="false">IF(ISNUMBER(H446),AA446*H446,0)</f>
        <v>8.3477180923416</v>
      </c>
      <c r="BF446" s="90" t="n">
        <f aca="false">IF(ISNUMBER(H446),AA446,0)</f>
        <v>3.7249969176</v>
      </c>
      <c r="BG446" s="90" t="n">
        <f aca="false">IF(AND(Y446=0,ISNUMBER(AF446),ISNUMBER(Z446)),AA446*Z446,0)</f>
        <v>8.3477180923416</v>
      </c>
      <c r="BH446" s="90" t="n">
        <f aca="false">IF(AND(Y446=0,ISNUMBER(AF446),ISNUMBER(Z446)),AA446*AT446*MAX(Z446-1,0),0)</f>
        <v>0</v>
      </c>
      <c r="BI446" s="90" t="n">
        <f aca="false">IF(Y446=0,AA446,0)</f>
        <v>3.7249969176</v>
      </c>
    </row>
    <row r="447" customFormat="false" ht="15" hidden="false" customHeight="false" outlineLevel="0" collapsed="false">
      <c r="A447" s="83" t="str">
        <f aca="false">IFERROR(IF(INDEX(원자료_잔고!$A$1:$EZ$1500,설정!$L$5+ROW()-1,설정!$L$8)&amp;""="0","",INDEX(원자료_잔고!$A$1:$EZ$1500,설정!$L$5+ROW()-1,설정!$L$8)&amp;""),"")</f>
        <v>KOREAN 2 07/06/29</v>
      </c>
      <c r="B447" s="83" t="str">
        <f aca="false">IFERROR(IF(INDEX(원자료_잔고!$A$1:$EZ$1500,설정!$L$5+ROW()-1,설정!$L$7)&amp;""="0","",INDEX(원자료_잔고!$A$1:$EZ$1500,설정!$L$5+ROW()-1,설정!$L$7)&amp;""),"")</f>
        <v>JP541037AS71</v>
      </c>
      <c r="C447" s="83" t="str">
        <f aca="false">IFERROR(IF(INDEX(원자료_잔고!$A$1:$EZ$1500,설정!$L$5+ROW()-1,설정!$L$9)&amp;""="0","",INDEX(원자료_잔고!$A$1:$EZ$1500,설정!$L$5+ROW()-1,설정!$L$9)&amp;""),"")</f>
        <v>42006</v>
      </c>
      <c r="D447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7" s="84" t="n">
        <f aca="false">IFERROR(IF(ISNUMBER(INDEX(원자료_잔고!$A$1:$EZ$1500,설정!$L$5+ROW()-1,설정!$L$11)),INDEX(원자료_잔고!$A$1:$EZ$1500,설정!$L$5+ROW()-1,설정!$L$11),""),"")</f>
        <v>1000000000</v>
      </c>
      <c r="F447" s="85" t="n">
        <f aca="false">IFERROR(IF(ISNUMBER(INDEX(원자료_잔고!$A$1:$EZ$1500,설정!$L$5+ROW()-1,설정!$L$12)),INDEX(원자료_잔고!$A$1:$EZ$1500,설정!$L$5+ROW()-1,설정!$L$12),""),"")</f>
        <v>98.6381</v>
      </c>
      <c r="G447" s="85" t="n">
        <f aca="false">IFERROR(IF(ISNUMBER(INDEX(원자료_잔고!$A$1:$EZ$1500,설정!$L$5+ROW()-1,설정!$L$13)),INDEX(원자료_잔고!$A$1:$EZ$1500,설정!$L$5+ROW()-1,설정!$L$13),""),"")</f>
        <v>2.522</v>
      </c>
      <c r="H447" s="85" t="n">
        <f aca="false">IFERROR(IF(ISNUMBER(INDEX(원자료_잔고!$A$1:$EZ$1500,설정!$L$5+ROW()-1,설정!$L$14)),INDEX(원자료_잔고!$A$1:$EZ$1500,설정!$L$5+ROW()-1,설정!$L$14),""),"")</f>
        <v>2.6071</v>
      </c>
      <c r="I447" s="86" t="n">
        <f aca="false">IFERROR(IF(ISNUMBER(INDEX(원자료_잔고!$A$1:$EZ$1500,설정!$L$5+ROW()-1,설정!$L$15)),INDEX(원자료_잔고!$A$1:$EZ$1500,설정!$L$5+ROW()-1,설정!$L$15),""),"")</f>
        <v>47305</v>
      </c>
      <c r="J447" s="85" t="n">
        <f aca="false">IFERROR(IF(ISNUMBER(INDEX(원자료_잔고!$A$1:$EZ$1500,설정!$L$5+ROW()-1,설정!$L$16)),INDEX(원자료_잔고!$A$1:$EZ$1500,설정!$L$5+ROW()-1,설정!$L$16),""),"")</f>
        <v>2</v>
      </c>
      <c r="K447" s="87" t="n">
        <f aca="false">IFERROR(IF(ISNUMBER(INDEX(원자료_잔고!$A$1:$EZ$1500,설정!$L$5+ROW()-1,설정!$L$17)),INDEX(원자료_잔고!$A$1:$EZ$1500,설정!$L$5+ROW()-1,설정!$L$17),""),"")</f>
        <v>0.006354</v>
      </c>
      <c r="L447" s="84" t="n">
        <f aca="false">IFERROR(IF(ISNUMBER(INDEX(원자료_잔고!$A$1:$EZ$1500,설정!$L$5+ROW()-1,설정!$L$18)),INDEX(원자료_잔고!$A$1:$EZ$1500,설정!$L$5+ROW()-1,설정!$L$18),""),"")</f>
        <v>986381000</v>
      </c>
      <c r="M447" s="88" t="n">
        <f aca="false">IFERROR(IF(ISNUMBER(INDEX(원자료_잔고!$A$1:$EZ$1500,설정!$L$5+ROW()-1,설정!$L$19)),INDEX(원자료_잔고!$A$1:$EZ$1500,설정!$L$5+ROW()-1,설정!$L$19),""),"")</f>
        <v>-13839000</v>
      </c>
      <c r="N447" s="83" t="str">
        <f aca="false">IFERROR(IF(INDEX(원자료_잔고!$A$1:$EZ$1500,설정!$L$5+ROW()-1,설정!$L$21)&amp;""="0","",INDEX(원자료_잔고!$A$1:$EZ$1500,설정!$L$5+ROW()-1,설정!$L$21)&amp;""),"")</f>
        <v/>
      </c>
      <c r="O447" s="83" t="str">
        <f aca="false">IFERROR(IF(INDEX(원자료_잔고!$A$1:$EZ$1500,설정!$L$5+ROW()-1,설정!$L$22)&amp;""="0","",INDEX(원자료_잔고!$A$1:$EZ$1500,설정!$L$5+ROW()-1,설정!$L$22)&amp;""),"")</f>
        <v/>
      </c>
      <c r="P447" s="83" t="str">
        <f aca="false">IFERROR(IF(INDEX(원자료_잔고!$A$1:$EZ$1500,설정!$L$5+ROW()-1,설정!$L$23)&amp;""="0","",INDEX(원자료_잔고!$A$1:$EZ$1500,설정!$L$5+ROW()-1,설정!$L$23)&amp;""),"")</f>
        <v>N/A</v>
      </c>
      <c r="Q447" s="89" t="n">
        <f aca="false">IF(AND($A447&lt;&gt;"",ISNUMBER(E447)),IF(E447&gt;0,1,0),0)</f>
        <v>1</v>
      </c>
      <c r="R447" s="43" t="str">
        <f aca="false">IF(Q447=1,UPPER(LEFT($A447,FIND(" ",$A447&amp;" ")-1)),"")</f>
        <v>KOREAN</v>
      </c>
      <c r="S447" s="89" t="n">
        <f aca="false">IF(Q447=1,IF(OR(ISNUMBER(SEARCH("Float",$A447)),ISNUMBER(SEARCH("FRN",$A447))),1,0),0)</f>
        <v>0</v>
      </c>
      <c r="T447" s="43" t="str">
        <f aca="false">IF(AND(Q447=1,ISNUMBER(I447)),TEXT(I447,"yyyymmdd")&amp;"|"&amp;IF(S447=1,"F",TEXT(J447,"0.000")),"")</f>
        <v>20290706|2.000</v>
      </c>
      <c r="U447" s="90" t="n">
        <f aca="false">IF(AND(Q447=1,ISNUMBER(I447)),(I447-설정!$C$4)/365.25,"")</f>
        <v>2.76249144421629</v>
      </c>
      <c r="V447" s="43" t="str">
        <f aca="false">IF(Q447&lt;&gt;1,"",IF(ISNUMBER(U447),IF(U447&lt;=1,"1년 이하",IF(U447&lt;=2,"1-2년",IF(U447&lt;=3,"2-3년",IF(U447&lt;=4,"3-4년",IF(U447&lt;=5,"4-5년",IF(U447&lt;=7,"5-7년",IF(U447&lt;=10,"7-10년",IF(U447&lt;=20,"10-20년","20년 이상")))))))),"미분류"))</f>
        <v>2-3년</v>
      </c>
      <c r="W447" s="43" t="str">
        <f aca="false">IF(Q447&lt;&gt;1,"",IF(AB447&lt;&gt;"",INDEX(시장분석!$C:$C,AB447),IF(K447=1,"USD","비USD")))</f>
        <v>JPY</v>
      </c>
      <c r="X447" s="91" t="n">
        <f aca="false">IF(Q447=1,E447*K447/1000000,0)</f>
        <v>6.354</v>
      </c>
      <c r="Y447" s="89" t="n">
        <f aca="false">IF(R447="T",1,0)</f>
        <v>0</v>
      </c>
      <c r="Z447" s="92" t="n">
        <f aca="false">IF(Q447&lt;&gt;1,"",IF(AD447=1,IF(ISNUMBER(U447),MAX(U447,0),H447),H447))</f>
        <v>2.6071</v>
      </c>
      <c r="AA447" s="91" t="n">
        <f aca="false">IF(Q447=1,IF(ISNUMBER(L447),L447,0)*K447/1000000,0)</f>
        <v>6.267464874</v>
      </c>
      <c r="AB447" s="89" t="n">
        <f aca="false">IF(Q447&lt;&gt;1,"",IFERROR(MATCH(VLOOKUP(B447,매핑!$H$4:$I$15,2,0),시장분석!$A$2:$A$601,0)+1,IFERROR(MATCH(R447&amp;"|"&amp;T447,시장분석!$V$2:$V$601,0)+1,IF(COUNTIF(시장분석!$U$2:$U$601,T447)=1,MATCH(T447,시장분석!$U$2:$U$601,0)+1,""))))</f>
        <v>9</v>
      </c>
      <c r="AC447" s="89" t="n">
        <f aca="false">IF(Q447&lt;&gt;1,0,IF(OR(설정!$C$5="전체",AND(설정!$C$5="선택펀드",IFERROR(COUNTIFS(설정!$F$16:$F$36,C447,설정!$G$16:$G$36,"Y")+COUNTIFS(설정!$F$16:$F$36,VALUE(C447),설정!$G$16:$G$36,"Y"),0)&gt;0),C447&amp;""=설정!$C$5&amp;""),1,0))</f>
        <v>0</v>
      </c>
      <c r="AD447" s="89" t="n">
        <f aca="false">IF(Q447&lt;&gt;1,0,IF(OR(S447=1,IF(AB447="",FALSE(),INDEX(시장분석!$R:$R,AB447)=1)),1,0))</f>
        <v>0</v>
      </c>
      <c r="AE447" s="43" t="str">
        <f aca="false">IF(AB447="","",INDEX(시장분석!$A:$A,AB447))</f>
        <v>KOREAN 2 07/06/29</v>
      </c>
      <c r="AF447" s="93" t="n">
        <f aca="false">IF(AB447="","",IF(ISNUMBER(IF(AB447="","",INDEX(시장분석!$E:$E,AB447))),IF(AB447="","",INDEX(시장분석!$E:$E,AB447)),""))</f>
        <v>42.4</v>
      </c>
      <c r="AG447" s="43" t="str">
        <f aca="false">IF(Q447&lt;&gt;1,"",IF(AB447&lt;&gt;"",IF(AB447="","",INDEX(시장분석!$L:$L,AB447)),IFERROR(IF(VLOOKUP(R447,매핑!$A$4:$E$92,5,0)="","미분류",VLOOKUP(R447,매핑!$A$4:$E$92,5,0)),"미분류")))</f>
        <v>자유 소비재</v>
      </c>
      <c r="AH447" s="43" t="str">
        <f aca="false">IF(Q447&lt;&gt;1,"",IF(AB447&lt;&gt;"",IF(AB447="","",INDEX(시장분석!$N:$N,AB447)),IFERROR(IF(VLOOKUP(R447,매핑!$A$4:$E$92,4,0)="","미분류",VLOOKUP(R447,매핑!$A$4:$E$92,4,0)),"미분류")))</f>
        <v>아시아/기타</v>
      </c>
      <c r="AI447" s="43" t="str">
        <f aca="false">IF(Q447&lt;&gt;1,"",IFERROR(IF(VLOOKUP(R447,매핑!$A$4:$E$92,3,0)="","미분류",VLOOKUP(R447,매핑!$A$4:$E$92,3,0)),IF(AB447&lt;&gt;"",IF(AB447="","",INDEX(시장분석!$W:$W,AB447)),"미분류")))</f>
        <v>한국</v>
      </c>
      <c r="AJ447" s="43" t="str">
        <f aca="false">IF(Q447&lt;&gt;1,"",IFERROR(VLOOKUP(IF(N447&lt;&gt;"",N447,IF(P447&lt;&gt;"",P447,O447)),설정!$A$15:$D$47,2,0),""))</f>
        <v/>
      </c>
      <c r="AK447" s="43" t="str">
        <f aca="false">IF(Q447&lt;&gt;1,"",IF(AJ447="","무등급",IFERROR(VLOOKUP(AJ447,설정!$A$15:$D$47,3,0),"무등급")))</f>
        <v>무등급</v>
      </c>
      <c r="AL447" s="89" t="n">
        <f aca="false">IF(AJ447="",99,IFERROR(VLOOKUP(AJ447,설정!$A$15:$D$47,4,0),99))</f>
        <v>99</v>
      </c>
      <c r="AM447" s="94" t="n">
        <f aca="false">IF(ISNUMBER(H447),AA447*1000000*H447/10000,0)</f>
        <v>1633.99076730054</v>
      </c>
      <c r="AN447" s="94" t="n">
        <f aca="false">IF(OR(Y447=1,NOT(ISNUMBER(Z447))),0,AA447*1000000*Z447/10000)</f>
        <v>1633.99076730054</v>
      </c>
      <c r="AO447" s="94" t="n">
        <f aca="false">IF(ISNUMBER(G447),AA447*1000000*G447/100,0)</f>
        <v>158065.46412228</v>
      </c>
      <c r="AP447" s="94" t="n">
        <f aca="false">IF(ISNUMBER(M447),M447*K447,0)</f>
        <v>-87933.006</v>
      </c>
      <c r="AQ447" s="95" t="str">
        <f aca="false">IF(AB447="","",INDEX(시장분석!$AK:$AK,AB447))</f>
        <v/>
      </c>
      <c r="AR447" s="43" t="str">
        <f aca="false">IF(AB447="","-",IF(AB447="","",INDEX(시장분석!$AL:$AL,AB447)))</f>
        <v>-</v>
      </c>
      <c r="AS447" s="96" t="str">
        <f aca="false">IF(AB447="","",INDEX(시장분석!$AJ:$AJ,AB447))</f>
        <v/>
      </c>
      <c r="AT447" s="93" t="n">
        <f aca="false">IF(AB447="",0,IF(AB447="","",INDEX(시장분석!$AN:$AN,AB447)))</f>
        <v>0</v>
      </c>
      <c r="AU447" s="94" t="n">
        <f aca="false">IF(ISNUMBER(Z447),AT447/10000*MAX(Z447-1,0)*AA447*1000000,0)</f>
        <v>0</v>
      </c>
      <c r="AV447" s="94" t="n">
        <f aca="false">AO447+AU447</f>
        <v>158065.46412228</v>
      </c>
      <c r="AW447" s="43" t="str">
        <f aca="false">IF(Q447&lt;&gt;1,"",TRIM(IF(AD447=1,"FRN ","")&amp;IF(AND(AL447&gt;=10,AL447&lt;99),"BBB0미만 ","")&amp;IF(AJ447="","등급없음 ","")&amp;IF(K447&lt;&gt;1,"비USD ","")&amp;IF(AND(AB447="",Y447=0),"시장데이터없음 ","")&amp;IF(AND(ISNUMBER(U447),U447&lt;0),"만기경과 ","")))</f>
        <v>등급없음 비USD</v>
      </c>
      <c r="AX447" s="90" t="n">
        <f aca="false">IF(Q447&lt;&gt;1,1,IF(스프레드쇼크!$C$4="Y",INDEX(스프레드쇼크!$B$12:$L$16,IFERROR(MATCH(AH447,스프레드쇼크!$A$12:$A$16,0),MATCH("목록외",스프레드쇼크!$A$12:$A$16,0)),IFERROR(MATCH(AG447,스프레드쇼크!$B$11:$L$11,0),MATCH("목록외",스프레드쇼크!$B$11:$L$11,0))),1))</f>
        <v>1</v>
      </c>
      <c r="AY447" s="90" t="n">
        <f aca="false">IF(스프레드쇼크!$C$5="Y",IF(ISNUMBER(AF447),MIN(스프레드쇼크!$C$7,MAX(스프레드쇼크!$C$6,AF447/스프레드쇼크!$C$8)),1),1)</f>
        <v>0.641316454873501</v>
      </c>
      <c r="AZ447" s="94" t="n">
        <f aca="false">AN447*AX447*AY447</f>
        <v>1047.90516618121</v>
      </c>
      <c r="BA447" s="90" t="n">
        <f aca="false">IF(ISNUMBER(G447),AA447*G447,0)</f>
        <v>15.806546412228</v>
      </c>
      <c r="BB447" s="90" t="n">
        <f aca="false">IF(ISNUMBER(G447),AA447,0)</f>
        <v>6.267464874</v>
      </c>
      <c r="BC447" s="90" t="n">
        <f aca="false">IF(AND(Y447=0,ISNUMBER(AF447)),AA447*AF447,0)</f>
        <v>265.7405106576</v>
      </c>
      <c r="BD447" s="90" t="n">
        <f aca="false">IF(AND(Y447=0,ISNUMBER(AF447)),AA447,0)</f>
        <v>6.267464874</v>
      </c>
      <c r="BE447" s="90" t="n">
        <f aca="false">IF(ISNUMBER(H447),AA447*H447,0)</f>
        <v>16.3399076730054</v>
      </c>
      <c r="BF447" s="90" t="n">
        <f aca="false">IF(ISNUMBER(H447),AA447,0)</f>
        <v>6.267464874</v>
      </c>
      <c r="BG447" s="90" t="n">
        <f aca="false">IF(AND(Y447=0,ISNUMBER(AF447),ISNUMBER(Z447)),AA447*Z447,0)</f>
        <v>16.3399076730054</v>
      </c>
      <c r="BH447" s="90" t="n">
        <f aca="false">IF(AND(Y447=0,ISNUMBER(AF447),ISNUMBER(Z447)),AA447*AT447*MAX(Z447-1,0),0)</f>
        <v>0</v>
      </c>
      <c r="BI447" s="90" t="n">
        <f aca="false">IF(Y447=0,AA447,0)</f>
        <v>6.267464874</v>
      </c>
    </row>
    <row r="448" customFormat="false" ht="15" hidden="false" customHeight="false" outlineLevel="0" collapsed="false">
      <c r="A448" s="83" t="str">
        <f aca="false">IFERROR(IF(INDEX(원자료_잔고!$A$1:$EZ$1500,설정!$L$5+ROW()-1,설정!$L$8)&amp;""="0","",INDEX(원자료_잔고!$A$1:$EZ$1500,설정!$L$5+ROW()-1,설정!$L$8)&amp;""),"")</f>
        <v>KHFC 5.375 10/07/31</v>
      </c>
      <c r="B448" s="83" t="str">
        <f aca="false">IFERROR(IF(INDEX(원자료_잔고!$A$1:$EZ$1500,설정!$L$5+ROW()-1,설정!$L$7)&amp;""="0","",INDEX(원자료_잔고!$A$1:$EZ$1500,설정!$L$5+ROW()-1,설정!$L$7)&amp;""),"")</f>
        <v>USY4841PAP72</v>
      </c>
      <c r="C448" s="83" t="str">
        <f aca="false">IFERROR(IF(INDEX(원자료_잔고!$A$1:$EZ$1500,설정!$L$5+ROW()-1,설정!$L$9)&amp;""="0","",INDEX(원자료_잔고!$A$1:$EZ$1500,설정!$L$5+ROW()-1,설정!$L$9)&amp;""),"")</f>
        <v>42011</v>
      </c>
      <c r="D448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8" s="84" t="n">
        <f aca="false">IFERROR(IF(ISNUMBER(INDEX(원자료_잔고!$A$1:$EZ$1500,설정!$L$5+ROW()-1,설정!$L$11)),INDEX(원자료_잔고!$A$1:$EZ$1500,설정!$L$5+ROW()-1,설정!$L$11),""),"")</f>
        <v>15000000</v>
      </c>
      <c r="F448" s="85" t="n">
        <f aca="false">IFERROR(IF(ISNUMBER(INDEX(원자료_잔고!$A$1:$EZ$1500,설정!$L$5+ROW()-1,설정!$L$12)),INDEX(원자료_잔고!$A$1:$EZ$1500,설정!$L$5+ROW()-1,설정!$L$12),""),"")</f>
        <v>99.7655</v>
      </c>
      <c r="G448" s="85" t="n">
        <f aca="false">IFERROR(IF(ISNUMBER(INDEX(원자료_잔고!$A$1:$EZ$1500,설정!$L$5+ROW()-1,설정!$L$13)),INDEX(원자료_잔고!$A$1:$EZ$1500,설정!$L$5+ROW()-1,설정!$L$13),""),"")</f>
        <v>5.4129</v>
      </c>
      <c r="H448" s="85" t="n">
        <f aca="false">IFERROR(IF(ISNUMBER(INDEX(원자료_잔고!$A$1:$EZ$1500,설정!$L$5+ROW()-1,설정!$L$14)),INDEX(원자료_잔고!$A$1:$EZ$1500,설정!$L$5+ROW()-1,설정!$L$14),""),"")</f>
        <v>4.2686</v>
      </c>
      <c r="I448" s="86" t="n">
        <f aca="false">IFERROR(IF(ISNUMBER(INDEX(원자료_잔고!$A$1:$EZ$1500,설정!$L$5+ROW()-1,설정!$L$15)),INDEX(원자료_잔고!$A$1:$EZ$1500,설정!$L$5+ROW()-1,설정!$L$15),""),"")</f>
        <v>48128</v>
      </c>
      <c r="J448" s="85" t="n">
        <f aca="false">IFERROR(IF(ISNUMBER(INDEX(원자료_잔고!$A$1:$EZ$1500,설정!$L$5+ROW()-1,설정!$L$16)),INDEX(원자료_잔고!$A$1:$EZ$1500,설정!$L$5+ROW()-1,설정!$L$16),""),"")</f>
        <v>5.375</v>
      </c>
      <c r="K448" s="87" t="n">
        <f aca="false">IFERROR(IF(ISNUMBER(INDEX(원자료_잔고!$A$1:$EZ$1500,설정!$L$5+ROW()-1,설정!$L$17)),INDEX(원자료_잔고!$A$1:$EZ$1500,설정!$L$5+ROW()-1,설정!$L$17),""),"")</f>
        <v>1</v>
      </c>
      <c r="L448" s="84" t="n">
        <f aca="false">IFERROR(IF(ISNUMBER(INDEX(원자료_잔고!$A$1:$EZ$1500,설정!$L$5+ROW()-1,설정!$L$18)),INDEX(원자료_잔고!$A$1:$EZ$1500,설정!$L$5+ROW()-1,설정!$L$18),""),"")</f>
        <v>14964825</v>
      </c>
      <c r="M448" s="88" t="n">
        <f aca="false">IFERROR(IF(ISNUMBER(INDEX(원자료_잔고!$A$1:$EZ$1500,설정!$L$5+ROW()-1,설정!$L$19)),INDEX(원자료_잔고!$A$1:$EZ$1500,설정!$L$5+ROW()-1,설정!$L$19),""),"")</f>
        <v>-2616.09</v>
      </c>
      <c r="N448" s="83" t="str">
        <f aca="false">IFERROR(IF(INDEX(원자료_잔고!$A$1:$EZ$1500,설정!$L$5+ROW()-1,설정!$L$21)&amp;""="0","",INDEX(원자료_잔고!$A$1:$EZ$1500,설정!$L$5+ROW()-1,설정!$L$21)&amp;""),"")</f>
        <v/>
      </c>
      <c r="O448" s="83" t="str">
        <f aca="false">IFERROR(IF(INDEX(원자료_잔고!$A$1:$EZ$1500,설정!$L$5+ROW()-1,설정!$L$22)&amp;""="0","",INDEX(원자료_잔고!$A$1:$EZ$1500,설정!$L$5+ROW()-1,설정!$L$22)&amp;""),"")</f>
        <v/>
      </c>
      <c r="P448" s="83" t="str">
        <f aca="false">IFERROR(IF(INDEX(원자료_잔고!$A$1:$EZ$1500,설정!$L$5+ROW()-1,설정!$L$23)&amp;""="0","",INDEX(원자료_잔고!$A$1:$EZ$1500,설정!$L$5+ROW()-1,설정!$L$23)&amp;""),"")</f>
        <v>AAA</v>
      </c>
      <c r="Q448" s="89" t="n">
        <f aca="false">IF(AND($A448&lt;&gt;"",ISNUMBER(E448)),IF(E448&gt;0,1,0),0)</f>
        <v>1</v>
      </c>
      <c r="R448" s="43" t="str">
        <f aca="false">IF(Q448=1,UPPER(LEFT($A448,FIND(" ",$A448&amp;" ")-1)),"")</f>
        <v>KHFC</v>
      </c>
      <c r="S448" s="89" t="n">
        <f aca="false">IF(Q448=1,IF(OR(ISNUMBER(SEARCH("Float",$A448)),ISNUMBER(SEARCH("FRN",$A448))),1,0),0)</f>
        <v>0</v>
      </c>
      <c r="T448" s="43" t="str">
        <f aca="false">IF(AND(Q448=1,ISNUMBER(I448)),TEXT(I448,"yyyymmdd")&amp;"|"&amp;IF(S448=1,"F",TEXT(J448,"0.000")),"")</f>
        <v>20311007|5.375</v>
      </c>
      <c r="U448" s="90" t="n">
        <f aca="false">IF(AND(Q448=1,ISNUMBER(I448)),(I448-설정!$C$4)/365.25,"")</f>
        <v>5.01574264202601</v>
      </c>
      <c r="V448" s="43" t="str">
        <f aca="false">IF(Q448&lt;&gt;1,"",IF(ISNUMBER(U448),IF(U448&lt;=1,"1년 이하",IF(U448&lt;=2,"1-2년",IF(U448&lt;=3,"2-3년",IF(U448&lt;=4,"3-4년",IF(U448&lt;=5,"4-5년",IF(U448&lt;=7,"5-7년",IF(U448&lt;=10,"7-10년",IF(U448&lt;=20,"10-20년","20년 이상")))))))),"미분류"))</f>
        <v>5-7년</v>
      </c>
      <c r="W448" s="43" t="str">
        <f aca="false">IF(Q448&lt;&gt;1,"",IF(AB448&lt;&gt;"",INDEX(시장분석!$C:$C,AB448),IF(K448=1,"USD","비USD")))</f>
        <v>USD</v>
      </c>
      <c r="X448" s="91" t="n">
        <f aca="false">IF(Q448=1,E448*K448/1000000,0)</f>
        <v>15</v>
      </c>
      <c r="Y448" s="89" t="n">
        <f aca="false">IF(R448="T",1,0)</f>
        <v>0</v>
      </c>
      <c r="Z448" s="92" t="n">
        <f aca="false">IF(Q448&lt;&gt;1,"",IF(AD448=1,IF(ISNUMBER(U448),MAX(U448,0),H448),H448))</f>
        <v>4.2686</v>
      </c>
      <c r="AA448" s="91" t="n">
        <f aca="false">IF(Q448=1,IF(ISNUMBER(L448),L448,0)*K448/1000000,0)</f>
        <v>14.964825</v>
      </c>
      <c r="AB448" s="89" t="str">
        <f aca="false">IF(Q448&lt;&gt;1,"",IFERROR(MATCH(VLOOKUP(B448,매핑!$H$4:$I$15,2,0),시장분석!$A$2:$A$601,0)+1,IFERROR(MATCH(R448&amp;"|"&amp;T448,시장분석!$V$2:$V$601,0)+1,IF(COUNTIF(시장분석!$U$2:$U$601,T448)=1,MATCH(T448,시장분석!$U$2:$U$601,0)+1,""))))</f>
        <v/>
      </c>
      <c r="AC448" s="89" t="n">
        <f aca="false">IF(Q448&lt;&gt;1,0,IF(OR(설정!$C$5="전체",AND(설정!$C$5="선택펀드",IFERROR(COUNTIFS(설정!$F$16:$F$36,C448,설정!$G$16:$G$36,"Y")+COUNTIFS(설정!$F$16:$F$36,VALUE(C448),설정!$G$16:$G$36,"Y"),0)&gt;0),C448&amp;""=설정!$C$5&amp;""),1,0))</f>
        <v>0</v>
      </c>
      <c r="AD448" s="89" t="n">
        <f aca="false">IF(Q448&lt;&gt;1,0,IF(OR(S448=1,IF(AB448="",FALSE(),INDEX(시장분석!$R:$R,AB448)=1)),1,0))</f>
        <v>0</v>
      </c>
      <c r="AE448" s="43" t="str">
        <f aca="false">IF(AB448="","",INDEX(시장분석!$A:$A,AB448))</f>
        <v/>
      </c>
      <c r="AF448" s="93" t="str">
        <f aca="false">IF(AB448="","",IF(ISNUMBER(IF(AB448="","",INDEX(시장분석!$E:$E,AB448))),IF(AB448="","",INDEX(시장분석!$E:$E,AB448)),""))</f>
        <v/>
      </c>
      <c r="AG448" s="43" t="str">
        <f aca="false">IF(Q448&lt;&gt;1,"",IF(AB448&lt;&gt;"",IF(AB448="","",INDEX(시장분석!$L:$L,AB448)),IFERROR(IF(VLOOKUP(R448,매핑!$A$4:$E$92,5,0)="","미분류",VLOOKUP(R448,매핑!$A$4:$E$92,5,0)),"미분류")))</f>
        <v>정부</v>
      </c>
      <c r="AH448" s="43" t="str">
        <f aca="false">IF(Q448&lt;&gt;1,"",IF(AB448&lt;&gt;"",IF(AB448="","",INDEX(시장분석!$N:$N,AB448)),IFERROR(IF(VLOOKUP(R448,매핑!$A$4:$E$92,4,0)="","미분류",VLOOKUP(R448,매핑!$A$4:$E$92,4,0)),"미분류")))</f>
        <v>아시아/기타</v>
      </c>
      <c r="AI448" s="43" t="str">
        <f aca="false">IF(Q448&lt;&gt;1,"",IFERROR(IF(VLOOKUP(R448,매핑!$A$4:$E$92,3,0)="","미분류",VLOOKUP(R448,매핑!$A$4:$E$92,3,0)),IF(AB448&lt;&gt;"",IF(AB448="","",INDEX(시장분석!$W:$W,AB448)),"미분류")))</f>
        <v>한국</v>
      </c>
      <c r="AJ448" s="43" t="str">
        <f aca="false">IF(Q448&lt;&gt;1,"",IFERROR(VLOOKUP(IF(N448&lt;&gt;"",N448,IF(P448&lt;&gt;"",P448,O448)),설정!$A$15:$D$47,2,0),""))</f>
        <v>AAA</v>
      </c>
      <c r="AK448" s="43" t="str">
        <f aca="false">IF(Q448&lt;&gt;1,"",IF(AJ448="","무등급",IFERROR(VLOOKUP(AJ448,설정!$A$15:$D$47,3,0),"무등급")))</f>
        <v>AA이상</v>
      </c>
      <c r="AL448" s="89" t="n">
        <f aca="false">IF(AJ448="",99,IFERROR(VLOOKUP(AJ448,설정!$A$15:$D$47,4,0),99))</f>
        <v>1</v>
      </c>
      <c r="AM448" s="94" t="n">
        <f aca="false">IF(ISNUMBER(H448),AA448*1000000*H448/10000,0)</f>
        <v>6387.8851995</v>
      </c>
      <c r="AN448" s="94" t="n">
        <f aca="false">IF(OR(Y448=1,NOT(ISNUMBER(Z448))),0,AA448*1000000*Z448/10000)</f>
        <v>6387.8851995</v>
      </c>
      <c r="AO448" s="94" t="n">
        <f aca="false">IF(ISNUMBER(G448),AA448*1000000*G448/100,0)</f>
        <v>810031.012425</v>
      </c>
      <c r="AP448" s="94" t="n">
        <f aca="false">IF(ISNUMBER(M448),M448*K448,0)</f>
        <v>-2616.09</v>
      </c>
      <c r="AQ448" s="95" t="str">
        <f aca="false">IF(AB448="","",INDEX(시장분석!$AK:$AK,AB448))</f>
        <v/>
      </c>
      <c r="AR448" s="43" t="str">
        <f aca="false">IF(AB448="","-",IF(AB448="","",INDEX(시장분석!$AL:$AL,AB448)))</f>
        <v>-</v>
      </c>
      <c r="AS448" s="96" t="str">
        <f aca="false">IF(AB448="","",INDEX(시장분석!$AJ:$AJ,AB448))</f>
        <v/>
      </c>
      <c r="AT448" s="93" t="n">
        <f aca="false">IF(AB448="",0,IF(AB448="","",INDEX(시장분석!$AN:$AN,AB448)))</f>
        <v>0</v>
      </c>
      <c r="AU448" s="94" t="n">
        <f aca="false">IF(ISNUMBER(Z448),AT448/10000*MAX(Z448-1,0)*AA448*1000000,0)</f>
        <v>0</v>
      </c>
      <c r="AV448" s="94" t="n">
        <f aca="false">AO448+AU448</f>
        <v>810031.012425</v>
      </c>
      <c r="AW448" s="43" t="str">
        <f aca="false">IF(Q448&lt;&gt;1,"",TRIM(IF(AD448=1,"FRN ","")&amp;IF(AND(AL448&gt;=10,AL448&lt;99),"BBB0미만 ","")&amp;IF(AJ448="","등급없음 ","")&amp;IF(K448&lt;&gt;1,"비USD ","")&amp;IF(AND(AB448="",Y448=0),"시장데이터없음 ","")&amp;IF(AND(ISNUMBER(U448),U448&lt;0),"만기경과 ","")))</f>
        <v>시장데이터없음</v>
      </c>
      <c r="AX448" s="90" t="n">
        <f aca="false">IF(Q448&lt;&gt;1,1,IF(스프레드쇼크!$C$4="Y",INDEX(스프레드쇼크!$B$12:$L$16,IFERROR(MATCH(AH448,스프레드쇼크!$A$12:$A$16,0),MATCH("목록외",스프레드쇼크!$A$12:$A$16,0)),IFERROR(MATCH(AG448,스프레드쇼크!$B$11:$L$11,0),MATCH("목록외",스프레드쇼크!$B$11:$L$11,0))),1))</f>
        <v>1</v>
      </c>
      <c r="AY448" s="90" t="n">
        <f aca="false">IF(스프레드쇼크!$C$5="Y",IF(ISNUMBER(AF448),MIN(스프레드쇼크!$C$7,MAX(스프레드쇼크!$C$6,AF448/스프레드쇼크!$C$8)),1),1)</f>
        <v>1</v>
      </c>
      <c r="AZ448" s="94" t="n">
        <f aca="false">AN448*AX448*AY448</f>
        <v>6387.8851995</v>
      </c>
      <c r="BA448" s="90" t="n">
        <f aca="false">IF(ISNUMBER(G448),AA448*G448,0)</f>
        <v>81.0031012425</v>
      </c>
      <c r="BB448" s="90" t="n">
        <f aca="false">IF(ISNUMBER(G448),AA448,0)</f>
        <v>14.964825</v>
      </c>
      <c r="BC448" s="90" t="n">
        <f aca="false">IF(AND(Y448=0,ISNUMBER(AF448)),AA448*AF448,0)</f>
        <v>0</v>
      </c>
      <c r="BD448" s="90" t="n">
        <f aca="false">IF(AND(Y448=0,ISNUMBER(AF448)),AA448,0)</f>
        <v>0</v>
      </c>
      <c r="BE448" s="90" t="n">
        <f aca="false">IF(ISNUMBER(H448),AA448*H448,0)</f>
        <v>63.878851995</v>
      </c>
      <c r="BF448" s="90" t="n">
        <f aca="false">IF(ISNUMBER(H448),AA448,0)</f>
        <v>14.964825</v>
      </c>
      <c r="BG448" s="90" t="n">
        <f aca="false">IF(AND(Y448=0,ISNUMBER(AF448),ISNUMBER(Z448)),AA448*Z448,0)</f>
        <v>0</v>
      </c>
      <c r="BH448" s="90" t="n">
        <f aca="false">IF(AND(Y448=0,ISNUMBER(AF448),ISNUMBER(Z448)),AA448*AT448*MAX(Z448-1,0),0)</f>
        <v>0</v>
      </c>
      <c r="BI448" s="90" t="n">
        <f aca="false">IF(Y448=0,AA448,0)</f>
        <v>14.964825</v>
      </c>
    </row>
    <row r="449" customFormat="false" ht="15" hidden="false" customHeight="false" outlineLevel="0" collapsed="false">
      <c r="A449" s="83" t="str">
        <f aca="false">IFERROR(IF(INDEX(원자료_잔고!$A$1:$EZ$1500,설정!$L$5+ROW()-1,설정!$L$8)&amp;""="0","",INDEX(원자료_잔고!$A$1:$EZ$1500,설정!$L$5+ROW()-1,설정!$L$8)&amp;""),"")</f>
        <v>KOROIL 5.25 09/30/29</v>
      </c>
      <c r="B449" s="83" t="str">
        <f aca="false">IFERROR(IF(INDEX(원자료_잔고!$A$1:$EZ$1500,설정!$L$5+ROW()-1,설정!$L$7)&amp;""="0","",INDEX(원자료_잔고!$A$1:$EZ$1500,설정!$L$5+ROW()-1,설정!$L$7)&amp;""),"")</f>
        <v>USY4938AAZ22</v>
      </c>
      <c r="C449" s="83" t="str">
        <f aca="false">IFERROR(IF(INDEX(원자료_잔고!$A$1:$EZ$1500,설정!$L$5+ROW()-1,설정!$L$9)&amp;""="0","",INDEX(원자료_잔고!$A$1:$EZ$1500,설정!$L$5+ROW()-1,설정!$L$9)&amp;""),"")</f>
        <v>42011</v>
      </c>
      <c r="D449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49" s="84" t="n">
        <f aca="false">IFERROR(IF(ISNUMBER(INDEX(원자료_잔고!$A$1:$EZ$1500,설정!$L$5+ROW()-1,설정!$L$11)),INDEX(원자료_잔고!$A$1:$EZ$1500,설정!$L$5+ROW()-1,설정!$L$11),""),"")</f>
        <v>200000</v>
      </c>
      <c r="F449" s="85" t="n">
        <f aca="false">IFERROR(IF(ISNUMBER(INDEX(원자료_잔고!$A$1:$EZ$1500,설정!$L$5+ROW()-1,설정!$L$12)),INDEX(원자료_잔고!$A$1:$EZ$1500,설정!$L$5+ROW()-1,설정!$L$12),""),"")</f>
        <v>99.5235</v>
      </c>
      <c r="G449" s="85" t="n">
        <f aca="false">IFERROR(IF(ISNUMBER(INDEX(원자료_잔고!$A$1:$EZ$1500,설정!$L$5+ROW()-1,설정!$L$13)),INDEX(원자료_잔고!$A$1:$EZ$1500,설정!$L$5+ROW()-1,설정!$L$13),""),"")</f>
        <v>5.4241</v>
      </c>
      <c r="H449" s="85" t="n">
        <f aca="false">IFERROR(IF(ISNUMBER(INDEX(원자료_잔고!$A$1:$EZ$1500,설정!$L$5+ROW()-1,설정!$L$14)),INDEX(원자료_잔고!$A$1:$EZ$1500,설정!$L$5+ROW()-1,설정!$L$14),""),"")</f>
        <v>2.6909</v>
      </c>
      <c r="I449" s="86" t="n">
        <f aca="false">IFERROR(IF(ISNUMBER(INDEX(원자료_잔고!$A$1:$EZ$1500,설정!$L$5+ROW()-1,설정!$L$15)),INDEX(원자료_잔고!$A$1:$EZ$1500,설정!$L$5+ROW()-1,설정!$L$15),""),"")</f>
        <v>47391</v>
      </c>
      <c r="J449" s="85" t="n">
        <f aca="false">IFERROR(IF(ISNUMBER(INDEX(원자료_잔고!$A$1:$EZ$1500,설정!$L$5+ROW()-1,설정!$L$16)),INDEX(원자료_잔고!$A$1:$EZ$1500,설정!$L$5+ROW()-1,설정!$L$16),""),"")</f>
        <v>5.25</v>
      </c>
      <c r="K449" s="87" t="n">
        <f aca="false">IFERROR(IF(ISNUMBER(INDEX(원자료_잔고!$A$1:$EZ$1500,설정!$L$5+ROW()-1,설정!$L$17)),INDEX(원자료_잔고!$A$1:$EZ$1500,설정!$L$5+ROW()-1,설정!$L$17),""),"")</f>
        <v>1</v>
      </c>
      <c r="L449" s="84" t="n">
        <f aca="false">IFERROR(IF(ISNUMBER(INDEX(원자료_잔고!$A$1:$EZ$1500,설정!$L$5+ROW()-1,설정!$L$18)),INDEX(원자료_잔고!$A$1:$EZ$1500,설정!$L$5+ROW()-1,설정!$L$18),""),"")</f>
        <v>199047</v>
      </c>
      <c r="M449" s="88" t="n">
        <f aca="false">IFERROR(IF(ISNUMBER(INDEX(원자료_잔고!$A$1:$EZ$1500,설정!$L$5+ROW()-1,설정!$L$19)),INDEX(원자료_잔고!$A$1:$EZ$1500,설정!$L$5+ROW()-1,설정!$L$19),""),"")</f>
        <v>-787.67</v>
      </c>
      <c r="N449" s="83" t="str">
        <f aca="false">IFERROR(IF(INDEX(원자료_잔고!$A$1:$EZ$1500,설정!$L$5+ROW()-1,설정!$L$21)&amp;""="0","",INDEX(원자료_잔고!$A$1:$EZ$1500,설정!$L$5+ROW()-1,설정!$L$21)&amp;""),"")</f>
        <v>AA</v>
      </c>
      <c r="O449" s="83" t="str">
        <f aca="false">IFERROR(IF(INDEX(원자료_잔고!$A$1:$EZ$1500,설정!$L$5+ROW()-1,설정!$L$22)&amp;""="0","",INDEX(원자료_잔고!$A$1:$EZ$1500,설정!$L$5+ROW()-1,설정!$L$22)&amp;""),"")</f>
        <v/>
      </c>
      <c r="P449" s="83" t="str">
        <f aca="false">IFERROR(IF(INDEX(원자료_잔고!$A$1:$EZ$1500,설정!$L$5+ROW()-1,설정!$L$23)&amp;""="0","",INDEX(원자료_잔고!$A$1:$EZ$1500,설정!$L$5+ROW()-1,설정!$L$23)&amp;""),"")</f>
        <v>N/A</v>
      </c>
      <c r="Q449" s="89" t="n">
        <f aca="false">IF(AND($A449&lt;&gt;"",ISNUMBER(E449)),IF(E449&gt;0,1,0),0)</f>
        <v>1</v>
      </c>
      <c r="R449" s="43" t="str">
        <f aca="false">IF(Q449=1,UPPER(LEFT($A449,FIND(" ",$A449&amp;" ")-1)),"")</f>
        <v>KOROIL</v>
      </c>
      <c r="S449" s="89" t="n">
        <f aca="false">IF(Q449=1,IF(OR(ISNUMBER(SEARCH("Float",$A449)),ISNUMBER(SEARCH("FRN",$A449))),1,0),0)</f>
        <v>0</v>
      </c>
      <c r="T449" s="43" t="str">
        <f aca="false">IF(AND(Q449=1,ISNUMBER(I449)),TEXT(I449,"yyyymmdd")&amp;"|"&amp;IF(S449=1,"F",TEXT(J449,"0.000")),"")</f>
        <v>20290930|5.250</v>
      </c>
      <c r="U449" s="90" t="n">
        <f aca="false">IF(AND(Q449=1,ISNUMBER(I449)),(I449-설정!$C$4)/365.25,"")</f>
        <v>2.99794661190965</v>
      </c>
      <c r="V449" s="43" t="str">
        <f aca="false">IF(Q449&lt;&gt;1,"",IF(ISNUMBER(U449),IF(U449&lt;=1,"1년 이하",IF(U449&lt;=2,"1-2년",IF(U449&lt;=3,"2-3년",IF(U449&lt;=4,"3-4년",IF(U449&lt;=5,"4-5년",IF(U449&lt;=7,"5-7년",IF(U449&lt;=10,"7-10년",IF(U449&lt;=20,"10-20년","20년 이상")))))))),"미분류"))</f>
        <v>2-3년</v>
      </c>
      <c r="W449" s="43" t="str">
        <f aca="false">IF(Q449&lt;&gt;1,"",IF(AB449&lt;&gt;"",INDEX(시장분석!$C:$C,AB449),IF(K449=1,"USD","비USD")))</f>
        <v>USD</v>
      </c>
      <c r="X449" s="91" t="n">
        <f aca="false">IF(Q449=1,E449*K449/1000000,0)</f>
        <v>0.2</v>
      </c>
      <c r="Y449" s="89" t="n">
        <f aca="false">IF(R449="T",1,0)</f>
        <v>0</v>
      </c>
      <c r="Z449" s="92" t="n">
        <f aca="false">IF(Q449&lt;&gt;1,"",IF(AD449=1,IF(ISNUMBER(U449),MAX(U449,0),H449),H449))</f>
        <v>2.6909</v>
      </c>
      <c r="AA449" s="91" t="n">
        <f aca="false">IF(Q449=1,IF(ISNUMBER(L449),L449,0)*K449/1000000,0)</f>
        <v>0.199047</v>
      </c>
      <c r="AB449" s="89" t="str">
        <f aca="false">IF(Q449&lt;&gt;1,"",IFERROR(MATCH(VLOOKUP(B449,매핑!$H$4:$I$15,2,0),시장분석!$A$2:$A$601,0)+1,IFERROR(MATCH(R449&amp;"|"&amp;T449,시장분석!$V$2:$V$601,0)+1,IF(COUNTIF(시장분석!$U$2:$U$601,T449)=1,MATCH(T449,시장분석!$U$2:$U$601,0)+1,""))))</f>
        <v/>
      </c>
      <c r="AC449" s="89" t="n">
        <f aca="false">IF(Q449&lt;&gt;1,0,IF(OR(설정!$C$5="전체",AND(설정!$C$5="선택펀드",IFERROR(COUNTIFS(설정!$F$16:$F$36,C449,설정!$G$16:$G$36,"Y")+COUNTIFS(설정!$F$16:$F$36,VALUE(C449),설정!$G$16:$G$36,"Y"),0)&gt;0),C449&amp;""=설정!$C$5&amp;""),1,0))</f>
        <v>0</v>
      </c>
      <c r="AD449" s="89" t="n">
        <f aca="false">IF(Q449&lt;&gt;1,0,IF(OR(S449=1,IF(AB449="",FALSE(),INDEX(시장분석!$R:$R,AB449)=1)),1,0))</f>
        <v>0</v>
      </c>
      <c r="AE449" s="43" t="str">
        <f aca="false">IF(AB449="","",INDEX(시장분석!$A:$A,AB449))</f>
        <v/>
      </c>
      <c r="AF449" s="93" t="str">
        <f aca="false">IF(AB449="","",IF(ISNUMBER(IF(AB449="","",INDEX(시장분석!$E:$E,AB449))),IF(AB449="","",INDEX(시장분석!$E:$E,AB449)),""))</f>
        <v/>
      </c>
      <c r="AG449" s="43" t="str">
        <f aca="false">IF(Q449&lt;&gt;1,"",IF(AB449&lt;&gt;"",IF(AB449="","",INDEX(시장분석!$L:$L,AB449)),IFERROR(IF(VLOOKUP(R449,매핑!$A$4:$E$92,5,0)="","미분류",VLOOKUP(R449,매핑!$A$4:$E$92,5,0)),"미분류")))</f>
        <v>정부</v>
      </c>
      <c r="AH449" s="43" t="str">
        <f aca="false">IF(Q449&lt;&gt;1,"",IF(AB449&lt;&gt;"",IF(AB449="","",INDEX(시장분석!$N:$N,AB449)),IFERROR(IF(VLOOKUP(R449,매핑!$A$4:$E$92,4,0)="","미분류",VLOOKUP(R449,매핑!$A$4:$E$92,4,0)),"미분류")))</f>
        <v>아시아/기타</v>
      </c>
      <c r="AI449" s="43" t="str">
        <f aca="false">IF(Q449&lt;&gt;1,"",IFERROR(IF(VLOOKUP(R449,매핑!$A$4:$E$92,3,0)="","미분류",VLOOKUP(R449,매핑!$A$4:$E$92,3,0)),IF(AB449&lt;&gt;"",IF(AB449="","",INDEX(시장분석!$W:$W,AB449)),"미분류")))</f>
        <v>한국</v>
      </c>
      <c r="AJ449" s="43" t="str">
        <f aca="false">IF(Q449&lt;&gt;1,"",IFERROR(VLOOKUP(IF(N449&lt;&gt;"",N449,IF(P449&lt;&gt;"",P449,O449)),설정!$A$15:$D$47,2,0),""))</f>
        <v>AA</v>
      </c>
      <c r="AK449" s="43" t="str">
        <f aca="false">IF(Q449&lt;&gt;1,"",IF(AJ449="","무등급",IFERROR(VLOOKUP(AJ449,설정!$A$15:$D$47,3,0),"무등급")))</f>
        <v>AA이상</v>
      </c>
      <c r="AL449" s="89" t="n">
        <f aca="false">IF(AJ449="",99,IFERROR(VLOOKUP(AJ449,설정!$A$15:$D$47,4,0),99))</f>
        <v>3</v>
      </c>
      <c r="AM449" s="94" t="n">
        <f aca="false">IF(ISNUMBER(H449),AA449*1000000*H449/10000,0)</f>
        <v>53.56155723</v>
      </c>
      <c r="AN449" s="94" t="n">
        <f aca="false">IF(OR(Y449=1,NOT(ISNUMBER(Z449))),0,AA449*1000000*Z449/10000)</f>
        <v>53.56155723</v>
      </c>
      <c r="AO449" s="94" t="n">
        <f aca="false">IF(ISNUMBER(G449),AA449*1000000*G449/100,0)</f>
        <v>10796.508327</v>
      </c>
      <c r="AP449" s="94" t="n">
        <f aca="false">IF(ISNUMBER(M449),M449*K449,0)</f>
        <v>-787.67</v>
      </c>
      <c r="AQ449" s="95" t="str">
        <f aca="false">IF(AB449="","",INDEX(시장분석!$AK:$AK,AB449))</f>
        <v/>
      </c>
      <c r="AR449" s="43" t="str">
        <f aca="false">IF(AB449="","-",IF(AB449="","",INDEX(시장분석!$AL:$AL,AB449)))</f>
        <v>-</v>
      </c>
      <c r="AS449" s="96" t="str">
        <f aca="false">IF(AB449="","",INDEX(시장분석!$AJ:$AJ,AB449))</f>
        <v/>
      </c>
      <c r="AT449" s="93" t="n">
        <f aca="false">IF(AB449="",0,IF(AB449="","",INDEX(시장분석!$AN:$AN,AB449)))</f>
        <v>0</v>
      </c>
      <c r="AU449" s="94" t="n">
        <f aca="false">IF(ISNUMBER(Z449),AT449/10000*MAX(Z449-1,0)*AA449*1000000,0)</f>
        <v>0</v>
      </c>
      <c r="AV449" s="94" t="n">
        <f aca="false">AO449+AU449</f>
        <v>10796.508327</v>
      </c>
      <c r="AW449" s="43" t="str">
        <f aca="false">IF(Q449&lt;&gt;1,"",TRIM(IF(AD449=1,"FRN ","")&amp;IF(AND(AL449&gt;=10,AL449&lt;99),"BBB0미만 ","")&amp;IF(AJ449="","등급없음 ","")&amp;IF(K449&lt;&gt;1,"비USD ","")&amp;IF(AND(AB449="",Y449=0),"시장데이터없음 ","")&amp;IF(AND(ISNUMBER(U449),U449&lt;0),"만기경과 ","")))</f>
        <v>시장데이터없음</v>
      </c>
      <c r="AX449" s="90" t="n">
        <f aca="false">IF(Q449&lt;&gt;1,1,IF(스프레드쇼크!$C$4="Y",INDEX(스프레드쇼크!$B$12:$L$16,IFERROR(MATCH(AH449,스프레드쇼크!$A$12:$A$16,0),MATCH("목록외",스프레드쇼크!$A$12:$A$16,0)),IFERROR(MATCH(AG449,스프레드쇼크!$B$11:$L$11,0),MATCH("목록외",스프레드쇼크!$B$11:$L$11,0))),1))</f>
        <v>1</v>
      </c>
      <c r="AY449" s="90" t="n">
        <f aca="false">IF(스프레드쇼크!$C$5="Y",IF(ISNUMBER(AF449),MIN(스프레드쇼크!$C$7,MAX(스프레드쇼크!$C$6,AF449/스프레드쇼크!$C$8)),1),1)</f>
        <v>1</v>
      </c>
      <c r="AZ449" s="94" t="n">
        <f aca="false">AN449*AX449*AY449</f>
        <v>53.56155723</v>
      </c>
      <c r="BA449" s="90" t="n">
        <f aca="false">IF(ISNUMBER(G449),AA449*G449,0)</f>
        <v>1.0796508327</v>
      </c>
      <c r="BB449" s="90" t="n">
        <f aca="false">IF(ISNUMBER(G449),AA449,0)</f>
        <v>0.199047</v>
      </c>
      <c r="BC449" s="90" t="n">
        <f aca="false">IF(AND(Y449=0,ISNUMBER(AF449)),AA449*AF449,0)</f>
        <v>0</v>
      </c>
      <c r="BD449" s="90" t="n">
        <f aca="false">IF(AND(Y449=0,ISNUMBER(AF449)),AA449,0)</f>
        <v>0</v>
      </c>
      <c r="BE449" s="90" t="n">
        <f aca="false">IF(ISNUMBER(H449),AA449*H449,0)</f>
        <v>0.5356155723</v>
      </c>
      <c r="BF449" s="90" t="n">
        <f aca="false">IF(ISNUMBER(H449),AA449,0)</f>
        <v>0.199047</v>
      </c>
      <c r="BG449" s="90" t="n">
        <f aca="false">IF(AND(Y449=0,ISNUMBER(AF449),ISNUMBER(Z449)),AA449*Z449,0)</f>
        <v>0</v>
      </c>
      <c r="BH449" s="90" t="n">
        <f aca="false">IF(AND(Y449=0,ISNUMBER(AF449),ISNUMBER(Z449)),AA449*AT449*MAX(Z449-1,0),0)</f>
        <v>0</v>
      </c>
      <c r="BI449" s="90" t="n">
        <f aca="false">IF(Y449=0,AA449,0)</f>
        <v>0.199047</v>
      </c>
    </row>
    <row r="450" customFormat="false" ht="15" hidden="false" customHeight="false" outlineLevel="0" collapsed="false">
      <c r="A450" s="83" t="str">
        <f aca="false">IFERROR(IF(INDEX(원자료_잔고!$A$1:$EZ$1500,설정!$L$5+ROW()-1,설정!$L$8)&amp;""="0","",INDEX(원자료_잔고!$A$1:$EZ$1500,설정!$L$5+ROW()-1,설정!$L$8)&amp;""),"")</f>
        <v>KOROIL 5.375 09/30/31</v>
      </c>
      <c r="B450" s="83" t="str">
        <f aca="false">IFERROR(IF(INDEX(원자료_잔고!$A$1:$EZ$1500,설정!$L$5+ROW()-1,설정!$L$7)&amp;""="0","",INDEX(원자료_잔고!$A$1:$EZ$1500,설정!$L$5+ROW()-1,설정!$L$7)&amp;""),"")</f>
        <v>USY4938ABA61</v>
      </c>
      <c r="C450" s="83" t="str">
        <f aca="false">IFERROR(IF(INDEX(원자료_잔고!$A$1:$EZ$1500,설정!$L$5+ROW()-1,설정!$L$9)&amp;""="0","",INDEX(원자료_잔고!$A$1:$EZ$1500,설정!$L$5+ROW()-1,설정!$L$9)&amp;""),"")</f>
        <v>42011</v>
      </c>
      <c r="D450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50" s="84" t="n">
        <f aca="false">IFERROR(IF(ISNUMBER(INDEX(원자료_잔고!$A$1:$EZ$1500,설정!$L$5+ROW()-1,설정!$L$11)),INDEX(원자료_잔고!$A$1:$EZ$1500,설정!$L$5+ROW()-1,설정!$L$11),""),"")</f>
        <v>200000</v>
      </c>
      <c r="F450" s="85" t="n">
        <f aca="false">IFERROR(IF(ISNUMBER(INDEX(원자료_잔고!$A$1:$EZ$1500,설정!$L$5+ROW()-1,설정!$L$12)),INDEX(원자료_잔고!$A$1:$EZ$1500,설정!$L$5+ROW()-1,설정!$L$12),""),"")</f>
        <v>98.9609</v>
      </c>
      <c r="G450" s="85" t="n">
        <f aca="false">IFERROR(IF(ISNUMBER(INDEX(원자료_잔고!$A$1:$EZ$1500,설정!$L$5+ROW()-1,설정!$L$13)),INDEX(원자료_잔고!$A$1:$EZ$1500,설정!$L$5+ROW()-1,설정!$L$13),""),"")</f>
        <v>5.6161</v>
      </c>
      <c r="H450" s="85" t="n">
        <f aca="false">IFERROR(IF(ISNUMBER(INDEX(원자료_잔고!$A$1:$EZ$1500,설정!$L$5+ROW()-1,설정!$L$14)),INDEX(원자료_잔고!$A$1:$EZ$1500,설정!$L$5+ROW()-1,설정!$L$14),""),"")</f>
        <v>4.2458</v>
      </c>
      <c r="I450" s="86" t="n">
        <f aca="false">IFERROR(IF(ISNUMBER(INDEX(원자료_잔고!$A$1:$EZ$1500,설정!$L$5+ROW()-1,설정!$L$15)),INDEX(원자료_잔고!$A$1:$EZ$1500,설정!$L$5+ROW()-1,설정!$L$15),""),"")</f>
        <v>48121</v>
      </c>
      <c r="J450" s="85" t="n">
        <f aca="false">IFERROR(IF(ISNUMBER(INDEX(원자료_잔고!$A$1:$EZ$1500,설정!$L$5+ROW()-1,설정!$L$16)),INDEX(원자료_잔고!$A$1:$EZ$1500,설정!$L$5+ROW()-1,설정!$L$16),""),"")</f>
        <v>5.375</v>
      </c>
      <c r="K450" s="87" t="n">
        <f aca="false">IFERROR(IF(ISNUMBER(INDEX(원자료_잔고!$A$1:$EZ$1500,설정!$L$5+ROW()-1,설정!$L$17)),INDEX(원자료_잔고!$A$1:$EZ$1500,설정!$L$5+ROW()-1,설정!$L$17),""),"")</f>
        <v>1</v>
      </c>
      <c r="L450" s="84" t="n">
        <f aca="false">IFERROR(IF(ISNUMBER(INDEX(원자료_잔고!$A$1:$EZ$1500,설정!$L$5+ROW()-1,설정!$L$18)),INDEX(원자료_잔고!$A$1:$EZ$1500,설정!$L$5+ROW()-1,설정!$L$18),""),"")</f>
        <v>197921.8</v>
      </c>
      <c r="M450" s="88" t="n">
        <f aca="false">IFERROR(IF(ISNUMBER(INDEX(원자료_잔고!$A$1:$EZ$1500,설정!$L$5+ROW()-1,설정!$L$19)),INDEX(원자료_잔고!$A$1:$EZ$1500,설정!$L$5+ROW()-1,설정!$L$19),""),"")</f>
        <v>-1887.27</v>
      </c>
      <c r="N450" s="83" t="str">
        <f aca="false">IFERROR(IF(INDEX(원자료_잔고!$A$1:$EZ$1500,설정!$L$5+ROW()-1,설정!$L$21)&amp;""="0","",INDEX(원자료_잔고!$A$1:$EZ$1500,설정!$L$5+ROW()-1,설정!$L$21)&amp;""),"")</f>
        <v>AA</v>
      </c>
      <c r="O450" s="83" t="str">
        <f aca="false">IFERROR(IF(INDEX(원자료_잔고!$A$1:$EZ$1500,설정!$L$5+ROW()-1,설정!$L$22)&amp;""="0","",INDEX(원자료_잔고!$A$1:$EZ$1500,설정!$L$5+ROW()-1,설정!$L$22)&amp;""),"")</f>
        <v/>
      </c>
      <c r="P450" s="83" t="str">
        <f aca="false">IFERROR(IF(INDEX(원자료_잔고!$A$1:$EZ$1500,설정!$L$5+ROW()-1,설정!$L$23)&amp;""="0","",INDEX(원자료_잔고!$A$1:$EZ$1500,설정!$L$5+ROW()-1,설정!$L$23)&amp;""),"")</f>
        <v>N/A</v>
      </c>
      <c r="Q450" s="89" t="n">
        <f aca="false">IF(AND($A450&lt;&gt;"",ISNUMBER(E450)),IF(E450&gt;0,1,0),0)</f>
        <v>1</v>
      </c>
      <c r="R450" s="43" t="str">
        <f aca="false">IF(Q450=1,UPPER(LEFT($A450,FIND(" ",$A450&amp;" ")-1)),"")</f>
        <v>KOROIL</v>
      </c>
      <c r="S450" s="89" t="n">
        <f aca="false">IF(Q450=1,IF(OR(ISNUMBER(SEARCH("Float",$A450)),ISNUMBER(SEARCH("FRN",$A450))),1,0),0)</f>
        <v>0</v>
      </c>
      <c r="T450" s="43" t="str">
        <f aca="false">IF(AND(Q450=1,ISNUMBER(I450)),TEXT(I450,"yyyymmdd")&amp;"|"&amp;IF(S450=1,"F",TEXT(J450,"0.000")),"")</f>
        <v>20310930|5.375</v>
      </c>
      <c r="U450" s="90" t="n">
        <f aca="false">IF(AND(Q450=1,ISNUMBER(I450)),(I450-설정!$C$4)/365.25,"")</f>
        <v>4.99657768651609</v>
      </c>
      <c r="V450" s="43" t="str">
        <f aca="false">IF(Q450&lt;&gt;1,"",IF(ISNUMBER(U450),IF(U450&lt;=1,"1년 이하",IF(U450&lt;=2,"1-2년",IF(U450&lt;=3,"2-3년",IF(U450&lt;=4,"3-4년",IF(U450&lt;=5,"4-5년",IF(U450&lt;=7,"5-7년",IF(U450&lt;=10,"7-10년",IF(U450&lt;=20,"10-20년","20년 이상")))))))),"미분류"))</f>
        <v>4-5년</v>
      </c>
      <c r="W450" s="43" t="str">
        <f aca="false">IF(Q450&lt;&gt;1,"",IF(AB450&lt;&gt;"",INDEX(시장분석!$C:$C,AB450),IF(K450=1,"USD","비USD")))</f>
        <v>USD</v>
      </c>
      <c r="X450" s="91" t="n">
        <f aca="false">IF(Q450=1,E450*K450/1000000,0)</f>
        <v>0.2</v>
      </c>
      <c r="Y450" s="89" t="n">
        <f aca="false">IF(R450="T",1,0)</f>
        <v>0</v>
      </c>
      <c r="Z450" s="92" t="n">
        <f aca="false">IF(Q450&lt;&gt;1,"",IF(AD450=1,IF(ISNUMBER(U450),MAX(U450,0),H450),H450))</f>
        <v>4.2458</v>
      </c>
      <c r="AA450" s="91" t="n">
        <f aca="false">IF(Q450=1,IF(ISNUMBER(L450),L450,0)*K450/1000000,0)</f>
        <v>0.1979218</v>
      </c>
      <c r="AB450" s="89" t="str">
        <f aca="false">IF(Q450&lt;&gt;1,"",IFERROR(MATCH(VLOOKUP(B450,매핑!$H$4:$I$15,2,0),시장분석!$A$2:$A$601,0)+1,IFERROR(MATCH(R450&amp;"|"&amp;T450,시장분석!$V$2:$V$601,0)+1,IF(COUNTIF(시장분석!$U$2:$U$601,T450)=1,MATCH(T450,시장분석!$U$2:$U$601,0)+1,""))))</f>
        <v/>
      </c>
      <c r="AC450" s="89" t="n">
        <f aca="false">IF(Q450&lt;&gt;1,0,IF(OR(설정!$C$5="전체",AND(설정!$C$5="선택펀드",IFERROR(COUNTIFS(설정!$F$16:$F$36,C450,설정!$G$16:$G$36,"Y")+COUNTIFS(설정!$F$16:$F$36,VALUE(C450),설정!$G$16:$G$36,"Y"),0)&gt;0),C450&amp;""=설정!$C$5&amp;""),1,0))</f>
        <v>0</v>
      </c>
      <c r="AD450" s="89" t="n">
        <f aca="false">IF(Q450&lt;&gt;1,0,IF(OR(S450=1,IF(AB450="",FALSE(),INDEX(시장분석!$R:$R,AB450)=1)),1,0))</f>
        <v>0</v>
      </c>
      <c r="AE450" s="43" t="str">
        <f aca="false">IF(AB450="","",INDEX(시장분석!$A:$A,AB450))</f>
        <v/>
      </c>
      <c r="AF450" s="93" t="str">
        <f aca="false">IF(AB450="","",IF(ISNUMBER(IF(AB450="","",INDEX(시장분석!$E:$E,AB450))),IF(AB450="","",INDEX(시장분석!$E:$E,AB450)),""))</f>
        <v/>
      </c>
      <c r="AG450" s="43" t="str">
        <f aca="false">IF(Q450&lt;&gt;1,"",IF(AB450&lt;&gt;"",IF(AB450="","",INDEX(시장분석!$L:$L,AB450)),IFERROR(IF(VLOOKUP(R450,매핑!$A$4:$E$92,5,0)="","미분류",VLOOKUP(R450,매핑!$A$4:$E$92,5,0)),"미분류")))</f>
        <v>정부</v>
      </c>
      <c r="AH450" s="43" t="str">
        <f aca="false">IF(Q450&lt;&gt;1,"",IF(AB450&lt;&gt;"",IF(AB450="","",INDEX(시장분석!$N:$N,AB450)),IFERROR(IF(VLOOKUP(R450,매핑!$A$4:$E$92,4,0)="","미분류",VLOOKUP(R450,매핑!$A$4:$E$92,4,0)),"미분류")))</f>
        <v>아시아/기타</v>
      </c>
      <c r="AI450" s="43" t="str">
        <f aca="false">IF(Q450&lt;&gt;1,"",IFERROR(IF(VLOOKUP(R450,매핑!$A$4:$E$92,3,0)="","미분류",VLOOKUP(R450,매핑!$A$4:$E$92,3,0)),IF(AB450&lt;&gt;"",IF(AB450="","",INDEX(시장분석!$W:$W,AB450)),"미분류")))</f>
        <v>한국</v>
      </c>
      <c r="AJ450" s="43" t="str">
        <f aca="false">IF(Q450&lt;&gt;1,"",IFERROR(VLOOKUP(IF(N450&lt;&gt;"",N450,IF(P450&lt;&gt;"",P450,O450)),설정!$A$15:$D$47,2,0),""))</f>
        <v>AA</v>
      </c>
      <c r="AK450" s="43" t="str">
        <f aca="false">IF(Q450&lt;&gt;1,"",IF(AJ450="","무등급",IFERROR(VLOOKUP(AJ450,설정!$A$15:$D$47,3,0),"무등급")))</f>
        <v>AA이상</v>
      </c>
      <c r="AL450" s="89" t="n">
        <f aca="false">IF(AJ450="",99,IFERROR(VLOOKUP(AJ450,설정!$A$15:$D$47,4,0),99))</f>
        <v>3</v>
      </c>
      <c r="AM450" s="94" t="n">
        <f aca="false">IF(ISNUMBER(H450),AA450*1000000*H450/10000,0)</f>
        <v>84.033637844</v>
      </c>
      <c r="AN450" s="94" t="n">
        <f aca="false">IF(OR(Y450=1,NOT(ISNUMBER(Z450))),0,AA450*1000000*Z450/10000)</f>
        <v>84.033637844</v>
      </c>
      <c r="AO450" s="94" t="n">
        <f aca="false">IF(ISNUMBER(G450),AA450*1000000*G450/100,0)</f>
        <v>11115.4862098</v>
      </c>
      <c r="AP450" s="94" t="n">
        <f aca="false">IF(ISNUMBER(M450),M450*K450,0)</f>
        <v>-1887.27</v>
      </c>
      <c r="AQ450" s="95" t="str">
        <f aca="false">IF(AB450="","",INDEX(시장분석!$AK:$AK,AB450))</f>
        <v/>
      </c>
      <c r="AR450" s="43" t="str">
        <f aca="false">IF(AB450="","-",IF(AB450="","",INDEX(시장분석!$AL:$AL,AB450)))</f>
        <v>-</v>
      </c>
      <c r="AS450" s="96" t="str">
        <f aca="false">IF(AB450="","",INDEX(시장분석!$AJ:$AJ,AB450))</f>
        <v/>
      </c>
      <c r="AT450" s="93" t="n">
        <f aca="false">IF(AB450="",0,IF(AB450="","",INDEX(시장분석!$AN:$AN,AB450)))</f>
        <v>0</v>
      </c>
      <c r="AU450" s="94" t="n">
        <f aca="false">IF(ISNUMBER(Z450),AT450/10000*MAX(Z450-1,0)*AA450*1000000,0)</f>
        <v>0</v>
      </c>
      <c r="AV450" s="94" t="n">
        <f aca="false">AO450+AU450</f>
        <v>11115.4862098</v>
      </c>
      <c r="AW450" s="43" t="str">
        <f aca="false">IF(Q450&lt;&gt;1,"",TRIM(IF(AD450=1,"FRN ","")&amp;IF(AND(AL450&gt;=10,AL450&lt;99),"BBB0미만 ","")&amp;IF(AJ450="","등급없음 ","")&amp;IF(K450&lt;&gt;1,"비USD ","")&amp;IF(AND(AB450="",Y450=0),"시장데이터없음 ","")&amp;IF(AND(ISNUMBER(U450),U450&lt;0),"만기경과 ","")))</f>
        <v>시장데이터없음</v>
      </c>
      <c r="AX450" s="90" t="n">
        <f aca="false">IF(Q450&lt;&gt;1,1,IF(스프레드쇼크!$C$4="Y",INDEX(스프레드쇼크!$B$12:$L$16,IFERROR(MATCH(AH450,스프레드쇼크!$A$12:$A$16,0),MATCH("목록외",스프레드쇼크!$A$12:$A$16,0)),IFERROR(MATCH(AG450,스프레드쇼크!$B$11:$L$11,0),MATCH("목록외",스프레드쇼크!$B$11:$L$11,0))),1))</f>
        <v>1</v>
      </c>
      <c r="AY450" s="90" t="n">
        <f aca="false">IF(스프레드쇼크!$C$5="Y",IF(ISNUMBER(AF450),MIN(스프레드쇼크!$C$7,MAX(스프레드쇼크!$C$6,AF450/스프레드쇼크!$C$8)),1),1)</f>
        <v>1</v>
      </c>
      <c r="AZ450" s="94" t="n">
        <f aca="false">AN450*AX450*AY450</f>
        <v>84.033637844</v>
      </c>
      <c r="BA450" s="90" t="n">
        <f aca="false">IF(ISNUMBER(G450),AA450*G450,0)</f>
        <v>1.11154862098</v>
      </c>
      <c r="BB450" s="90" t="n">
        <f aca="false">IF(ISNUMBER(G450),AA450,0)</f>
        <v>0.1979218</v>
      </c>
      <c r="BC450" s="90" t="n">
        <f aca="false">IF(AND(Y450=0,ISNUMBER(AF450)),AA450*AF450,0)</f>
        <v>0</v>
      </c>
      <c r="BD450" s="90" t="n">
        <f aca="false">IF(AND(Y450=0,ISNUMBER(AF450)),AA450,0)</f>
        <v>0</v>
      </c>
      <c r="BE450" s="90" t="n">
        <f aca="false">IF(ISNUMBER(H450),AA450*H450,0)</f>
        <v>0.84033637844</v>
      </c>
      <c r="BF450" s="90" t="n">
        <f aca="false">IF(ISNUMBER(H450),AA450,0)</f>
        <v>0.1979218</v>
      </c>
      <c r="BG450" s="90" t="n">
        <f aca="false">IF(AND(Y450=0,ISNUMBER(AF450),ISNUMBER(Z450)),AA450*Z450,0)</f>
        <v>0</v>
      </c>
      <c r="BH450" s="90" t="n">
        <f aca="false">IF(AND(Y450=0,ISNUMBER(AF450),ISNUMBER(Z450)),AA450*AT450*MAX(Z450-1,0),0)</f>
        <v>0</v>
      </c>
      <c r="BI450" s="90" t="n">
        <f aca="false">IF(Y450=0,AA450,0)</f>
        <v>0.1979218</v>
      </c>
    </row>
    <row r="451" customFormat="false" ht="15" hidden="false" customHeight="false" outlineLevel="0" collapsed="false">
      <c r="A451" s="83" t="str">
        <f aca="false">IFERROR(IF(INDEX(원자료_잔고!$A$1:$EZ$1500,설정!$L$5+ROW()-1,설정!$L$8)&amp;""="0","",INDEX(원자료_잔고!$A$1:$EZ$1500,설정!$L$5+ROW()-1,설정!$L$8)&amp;""),"")</f>
        <v>KOROIL Float 09/30/29</v>
      </c>
      <c r="B451" s="83" t="str">
        <f aca="false">IFERROR(IF(INDEX(원자료_잔고!$A$1:$EZ$1500,설정!$L$5+ROW()-1,설정!$L$7)&amp;""="0","",INDEX(원자료_잔고!$A$1:$EZ$1500,설정!$L$5+ROW()-1,설정!$L$7)&amp;""),"")</f>
        <v>USY4938ABB45</v>
      </c>
      <c r="C451" s="83" t="str">
        <f aca="false">IFERROR(IF(INDEX(원자료_잔고!$A$1:$EZ$1500,설정!$L$5+ROW()-1,설정!$L$9)&amp;""="0","",INDEX(원자료_잔고!$A$1:$EZ$1500,설정!$L$5+ROW()-1,설정!$L$9)&amp;""),"")</f>
        <v>42011</v>
      </c>
      <c r="D451" s="83" t="str">
        <f aca="false">IFERROR(IF(INDEX(원자료_잔고!$A$1:$EZ$1500,설정!$L$5+ROW()-1,설정!$L$10)&amp;""="0","",INDEX(원자료_잔고!$A$1:$EZ$1500,설정!$L$5+ROW()-1,설정!$L$10)&amp;""),"")</f>
        <v>당기손익-TD</v>
      </c>
      <c r="E451" s="84" t="n">
        <f aca="false">IFERROR(IF(ISNUMBER(INDEX(원자료_잔고!$A$1:$EZ$1500,설정!$L$5+ROW()-1,설정!$L$11)),INDEX(원자료_잔고!$A$1:$EZ$1500,설정!$L$5+ROW()-1,설정!$L$11),""),"")</f>
        <v>500000</v>
      </c>
      <c r="F451" s="85" t="n">
        <f aca="false">IFERROR(IF(ISNUMBER(INDEX(원자료_잔고!$A$1:$EZ$1500,설정!$L$5+ROW()-1,설정!$L$12)),INDEX(원자료_잔고!$A$1:$EZ$1500,설정!$L$5+ROW()-1,설정!$L$12),""),"")</f>
        <v>99.9309</v>
      </c>
      <c r="G451" s="85" t="n">
        <f aca="false">IFERROR(IF(ISNUMBER(INDEX(원자료_잔고!$A$1:$EZ$1500,설정!$L$5+ROW()-1,설정!$L$13)),INDEX(원자료_잔고!$A$1:$EZ$1500,설정!$L$5+ROW()-1,설정!$L$13),""),"")</f>
        <v>4.6977</v>
      </c>
      <c r="H451" s="85" t="n">
        <f aca="false">IFERROR(IF(ISNUMBER(INDEX(원자료_잔고!$A$1:$EZ$1500,설정!$L$5+ROW()-1,설정!$L$14)),INDEX(원자료_잔고!$A$1:$EZ$1500,설정!$L$5+ROW()-1,설정!$L$14),""),"")</f>
        <v>0.0889</v>
      </c>
      <c r="I451" s="86" t="n">
        <f aca="false">IFERROR(IF(ISNUMBER(INDEX(원자료_잔고!$A$1:$EZ$1500,설정!$L$5+ROW()-1,설정!$L$15)),INDEX(원자료_잔고!$A$1:$EZ$1500,설정!$L$5+ROW()-1,설정!$L$15),""),"")</f>
        <v>47391</v>
      </c>
      <c r="J451" s="85" t="n">
        <f aca="false">IFERROR(IF(ISNUMBER(INDEX(원자료_잔고!$A$1:$EZ$1500,설정!$L$5+ROW()-1,설정!$L$16)),INDEX(원자료_잔고!$A$1:$EZ$1500,설정!$L$5+ROW()-1,설정!$L$16),""),"")</f>
        <v>0.64</v>
      </c>
      <c r="K451" s="87" t="n">
        <f aca="false">IFERROR(IF(ISNUMBER(INDEX(원자료_잔고!$A$1:$EZ$1500,설정!$L$5+ROW()-1,설정!$L$17)),INDEX(원자료_잔고!$A$1:$EZ$1500,설정!$L$5+ROW()-1,설정!$L$17),""),"")</f>
        <v>1</v>
      </c>
      <c r="L451" s="84" t="n">
        <f aca="false">IFERROR(IF(ISNUMBER(INDEX(원자료_잔고!$A$1:$EZ$1500,설정!$L$5+ROW()-1,설정!$L$18)),INDEX(원자료_잔고!$A$1:$EZ$1500,설정!$L$5+ROW()-1,설정!$L$18),""),"")</f>
        <v>499654.5</v>
      </c>
      <c r="M451" s="88" t="n">
        <f aca="false">IFERROR(IF(ISNUMBER(INDEX(원자료_잔고!$A$1:$EZ$1500,설정!$L$5+ROW()-1,설정!$L$19)),INDEX(원자료_잔고!$A$1:$EZ$1500,설정!$L$5+ROW()-1,설정!$L$19),""),"")</f>
        <v>-345.5</v>
      </c>
      <c r="N451" s="83" t="str">
        <f aca="false">IFERROR(IF(INDEX(원자료_잔고!$A$1:$EZ$1500,설정!$L$5+ROW()-1,설정!$L$21)&amp;""="0","",INDEX(원자료_잔고!$A$1:$EZ$1500,설정!$L$5+ROW()-1,설정!$L$21)&amp;""),"")</f>
        <v/>
      </c>
      <c r="O451" s="83" t="str">
        <f aca="false">IFERROR(IF(INDEX(원자료_잔고!$A$1:$EZ$1500,설정!$L$5+ROW()-1,설정!$L$22)&amp;""="0","",INDEX(원자료_잔고!$A$1:$EZ$1500,설정!$L$5+ROW()-1,설정!$L$22)&amp;""),"")</f>
        <v/>
      </c>
      <c r="P451" s="83" t="str">
        <f aca="false">IFERROR(IF(INDEX(원자료_잔고!$A$1:$EZ$1500,설정!$L$5+ROW()-1,설정!$L$23)&amp;""="0","",INDEX(원자료_잔고!$A$1:$EZ$1500,설정!$L$5+ROW()-1,설정!$L$23)&amp;""),"")</f>
        <v>N/A</v>
      </c>
      <c r="Q451" s="89" t="n">
        <f aca="false">IF(AND($A451&lt;&gt;"",ISNUMBER(E451)),IF(E451&gt;0,1,0),0)</f>
        <v>1</v>
      </c>
      <c r="R451" s="43" t="str">
        <f aca="false">IF(Q451=1,UPPER(LEFT($A451,FIND(" ",$A451&amp;" ")-1)),"")</f>
        <v>KOROIL</v>
      </c>
      <c r="S451" s="89" t="n">
        <f aca="false">IF(Q451=1,IF(OR(ISNUMBER(SEARCH("Float",$A451)),ISNUMBER(SEARCH("FRN",$A451))),1,0),0)</f>
        <v>1</v>
      </c>
      <c r="T451" s="43" t="str">
        <f aca="false">IF(AND(Q451=1,ISNUMBER(I451)),TEXT(I451,"yyyymmdd")&amp;"|"&amp;IF(S451=1,"F",TEXT(J451,"0.000")),"")</f>
        <v>20290930|F</v>
      </c>
      <c r="U451" s="90" t="n">
        <f aca="false">IF(AND(Q451=1,ISNUMBER(I451)),(I451-설정!$C$4)/365.25,"")</f>
        <v>2.99794661190965</v>
      </c>
      <c r="V451" s="43" t="str">
        <f aca="false">IF(Q451&lt;&gt;1,"",IF(ISNUMBER(U451),IF(U451&lt;=1,"1년 이하",IF(U451&lt;=2,"1-2년",IF(U451&lt;=3,"2-3년",IF(U451&lt;=4,"3-4년",IF(U451&lt;=5,"4-5년",IF(U451&lt;=7,"5-7년",IF(U451&lt;=10,"7-10년",IF(U451&lt;=20,"10-20년","20년 이상")))))))),"미분류"))</f>
        <v>2-3년</v>
      </c>
      <c r="W451" s="43" t="str">
        <f aca="false">IF(Q451&lt;&gt;1,"",IF(AB451&lt;&gt;"",INDEX(시장분석!$C:$C,AB451),IF(K451=1,"USD","비USD")))</f>
        <v>USD</v>
      </c>
      <c r="X451" s="91" t="n">
        <f aca="false">IF(Q451=1,E451*K451/1000000,0)</f>
        <v>0.5</v>
      </c>
      <c r="Y451" s="89" t="n">
        <f aca="false">IF(R451="T",1,0)</f>
        <v>0</v>
      </c>
      <c r="Z451" s="92" t="n">
        <f aca="false">IF(Q451&lt;&gt;1,"",IF(AD451=1,IF(ISNUMBER(U451),MAX(U451,0),H451),H451))</f>
        <v>2.99794661190965</v>
      </c>
      <c r="AA451" s="91" t="n">
        <f aca="false">IF(Q451=1,IF(ISNUMBER(L451),L451,0)*K451/1000000,0)</f>
        <v>0.4996545</v>
      </c>
      <c r="AB451" s="89" t="str">
        <f aca="false">IF(Q451&lt;&gt;1,"",IFERROR(MATCH(VLOOKUP(B451,매핑!$H$4:$I$15,2,0),시장분석!$A$2:$A$601,0)+1,IFERROR(MATCH(R451&amp;"|"&amp;T451,시장분석!$V$2:$V$601,0)+1,IF(COUNTIF(시장분석!$U$2:$U$601,T451)=1,MATCH(T451,시장분석!$U$2:$U$601,0)+1,""))))</f>
        <v/>
      </c>
      <c r="AC451" s="89" t="n">
        <f aca="false">IF(Q451&lt;&gt;1,0,IF(OR(설정!$C$5="전체",AND(설정!$C$5="선택펀드",IFERROR(COUNTIFS(설정!$F$16:$F$36,C451,설정!$G$16:$G$36,"Y")+COUNTIFS(설정!$F$16:$F$36,VALUE(C451),설정!$G$16:$G$36,"Y"),0)&gt;0),C451&amp;""=설정!$C$5&amp;""),1,0))</f>
        <v>0</v>
      </c>
      <c r="AD451" s="89" t="n">
        <f aca="false">IF(Q451&lt;&gt;1,0,IF(OR(S451=1,IF(AB451="",FALSE(),INDEX(시장분석!$R:$R,AB451)=1)),1,0))</f>
        <v>1</v>
      </c>
      <c r="AE451" s="43" t="str">
        <f aca="false">IF(AB451="","",INDEX(시장분석!$A:$A,AB451))</f>
        <v/>
      </c>
      <c r="AF451" s="93" t="str">
        <f aca="false">IF(AB451="","",IF(ISNUMBER(IF(AB451="","",INDEX(시장분석!$E:$E,AB451))),IF(AB451="","",INDEX(시장분석!$E:$E,AB451)),""))</f>
        <v/>
      </c>
      <c r="AG451" s="43" t="str">
        <f aca="false">IF(Q451&lt;&gt;1,"",IF(AB451&lt;&gt;"",IF(AB451="","",INDEX(시장분석!$L:$L,AB451)),IFERROR(IF(VLOOKUP(R451,매핑!$A$4:$E$92,5,0)="","미분류",VLOOKUP(R451,매핑!$A$4:$E$92,5,0)),"미분류")))</f>
        <v>정부</v>
      </c>
      <c r="AH451" s="43" t="str">
        <f aca="false">IF(Q451&lt;&gt;1,"",IF(AB451&lt;&gt;"",IF(AB451="","",INDEX(시장분석!$N:$N,AB451)),IFERROR(IF(VLOOKUP(R451,매핑!$A$4:$E$92,4,0)="","미분류",VLOOKUP(R451,매핑!$A$4:$E$92,4,0)),"미분류")))</f>
        <v>아시아/기타</v>
      </c>
      <c r="AI451" s="43" t="str">
        <f aca="false">IF(Q451&lt;&gt;1,"",IFERROR(IF(VLOOKUP(R451,매핑!$A$4:$E$92,3,0)="","미분류",VLOOKUP(R451,매핑!$A$4:$E$92,3,0)),IF(AB451&lt;&gt;"",IF(AB451="","",INDEX(시장분석!$W:$W,AB451)),"미분류")))</f>
        <v>한국</v>
      </c>
      <c r="AJ451" s="43" t="str">
        <f aca="false">IF(Q451&lt;&gt;1,"",IFERROR(VLOOKUP(IF(N451&lt;&gt;"",N451,IF(P451&lt;&gt;"",P451,O451)),설정!$A$15:$D$47,2,0),""))</f>
        <v/>
      </c>
      <c r="AK451" s="43" t="str">
        <f aca="false">IF(Q451&lt;&gt;1,"",IF(AJ451="","무등급",IFERROR(VLOOKUP(AJ451,설정!$A$15:$D$47,3,0),"무등급")))</f>
        <v>무등급</v>
      </c>
      <c r="AL451" s="89" t="n">
        <f aca="false">IF(AJ451="",99,IFERROR(VLOOKUP(AJ451,설정!$A$15:$D$47,4,0),99))</f>
        <v>99</v>
      </c>
      <c r="AM451" s="94" t="n">
        <f aca="false">IF(ISNUMBER(H451),AA451*1000000*H451/10000,0)</f>
        <v>4.441928505</v>
      </c>
      <c r="AN451" s="94" t="n">
        <f aca="false">IF(OR(Y451=1,NOT(ISNUMBER(Z451))),0,AA451*1000000*Z451/10000)</f>
        <v>149.793751540041</v>
      </c>
      <c r="AO451" s="94" t="n">
        <f aca="false">IF(ISNUMBER(G451),AA451*1000000*G451/100,0)</f>
        <v>23472.2694465</v>
      </c>
      <c r="AP451" s="94" t="n">
        <f aca="false">IF(ISNUMBER(M451),M451*K451,0)</f>
        <v>-345.5</v>
      </c>
      <c r="AQ451" s="95" t="str">
        <f aca="false">IF(AB451="","",INDEX(시장분석!$AK:$AK,AB451))</f>
        <v/>
      </c>
      <c r="AR451" s="43" t="str">
        <f aca="false">IF(AB451="","-",IF(AB451="","",INDEX(시장분석!$AL:$AL,AB451)))</f>
        <v>-</v>
      </c>
      <c r="AS451" s="96" t="str">
        <f aca="false">IF(AB451="","",INDEX(시장분석!$AJ:$AJ,AB451))</f>
        <v/>
      </c>
      <c r="AT451" s="93" t="n">
        <f aca="false">IF(AB451="",0,IF(AB451="","",INDEX(시장분석!$AN:$AN,AB451)))</f>
        <v>0</v>
      </c>
      <c r="AU451" s="94" t="n">
        <f aca="false">IF(ISNUMBER(Z451),AT451/10000*MAX(Z451-1,0)*AA451*1000000,0)</f>
        <v>0</v>
      </c>
      <c r="AV451" s="94" t="n">
        <f aca="false">AO451+AU451</f>
        <v>23472.2694465</v>
      </c>
      <c r="AW451" s="43" t="str">
        <f aca="false">IF(Q451&lt;&gt;1,"",TRIM(IF(AD451=1,"FRN ","")&amp;IF(AND(AL451&gt;=10,AL451&lt;99),"BBB0미만 ","")&amp;IF(AJ451="","등급없음 ","")&amp;IF(K451&lt;&gt;1,"비USD ","")&amp;IF(AND(AB451="",Y451=0),"시장데이터없음 ","")&amp;IF(AND(ISNUMBER(U451),U451&lt;0),"만기경과 ","")))</f>
        <v>FRN 등급없음 시장데이터없음</v>
      </c>
      <c r="AX451" s="90" t="n">
        <f aca="false">IF(Q451&lt;&gt;1,1,IF(스프레드쇼크!$C$4="Y",INDEX(스프레드쇼크!$B$12:$L$16,IFERROR(MATCH(AH451,스프레드쇼크!$A$12:$A$16,0),MATCH("목록외",스프레드쇼크!$A$12:$A$16,0)),IFERROR(MATCH(AG451,스프레드쇼크!$B$11:$L$11,0),MATCH("목록외",스프레드쇼크!$B$11:$L$11,0))),1))</f>
        <v>1</v>
      </c>
      <c r="AY451" s="90" t="n">
        <f aca="false">IF(스프레드쇼크!$C$5="Y",IF(ISNUMBER(AF451),MIN(스프레드쇼크!$C$7,MAX(스프레드쇼크!$C$6,AF451/스프레드쇼크!$C$8)),1),1)</f>
        <v>1</v>
      </c>
      <c r="AZ451" s="94" t="n">
        <f aca="false">AN451*AX451*AY451</f>
        <v>149.793751540041</v>
      </c>
      <c r="BA451" s="90" t="n">
        <f aca="false">IF(ISNUMBER(G451),AA451*G451,0)</f>
        <v>2.34722694465</v>
      </c>
      <c r="BB451" s="90" t="n">
        <f aca="false">IF(ISNUMBER(G451),AA451,0)</f>
        <v>0.4996545</v>
      </c>
      <c r="BC451" s="90" t="n">
        <f aca="false">IF(AND(Y451=0,ISNUMBER(AF451)),AA451*AF451,0)</f>
        <v>0</v>
      </c>
      <c r="BD451" s="90" t="n">
        <f aca="false">IF(AND(Y451=0,ISNUMBER(AF451)),AA451,0)</f>
        <v>0</v>
      </c>
      <c r="BE451" s="90" t="n">
        <f aca="false">IF(ISNUMBER(H451),AA451*H451,0)</f>
        <v>0.04441928505</v>
      </c>
      <c r="BF451" s="90" t="n">
        <f aca="false">IF(ISNUMBER(H451),AA451,0)</f>
        <v>0.4996545</v>
      </c>
      <c r="BG451" s="90" t="n">
        <f aca="false">IF(AND(Y451=0,ISNUMBER(AF451),ISNUMBER(Z451)),AA451*Z451,0)</f>
        <v>0</v>
      </c>
      <c r="BH451" s="90" t="n">
        <f aca="false">IF(AND(Y451=0,ISNUMBER(AF451),ISNUMBER(Z451)),AA451*AT451*MAX(Z451-1,0),0)</f>
        <v>0</v>
      </c>
      <c r="BI451" s="90" t="n">
        <f aca="false">IF(Y451=0,AA451,0)</f>
        <v>0.4996545</v>
      </c>
    </row>
    <row r="452" customFormat="false" ht="15" hidden="false" customHeight="false" outlineLevel="0" collapsed="false">
      <c r="A452" s="83" t="str">
        <f aca="false">IFERROR(IF(INDEX(원자료_잔고!$A$1:$EZ$1500,설정!$L$5+ROW()-1,설정!$L$8)&amp;""="0","",INDEX(원자료_잔고!$A$1:$EZ$1500,설정!$L$5+ROW()-1,설정!$L$8)&amp;""),"")</f>
        <v/>
      </c>
      <c r="B452" s="83" t="str">
        <f aca="false">IFERROR(IF(INDEX(원자료_잔고!$A$1:$EZ$1500,설정!$L$5+ROW()-1,설정!$L$7)&amp;""="0","",INDEX(원자료_잔고!$A$1:$EZ$1500,설정!$L$5+ROW()-1,설정!$L$7)&amp;""),"")</f>
        <v/>
      </c>
      <c r="C452" s="83" t="str">
        <f aca="false">IFERROR(IF(INDEX(원자료_잔고!$A$1:$EZ$1500,설정!$L$5+ROW()-1,설정!$L$9)&amp;""="0","",INDEX(원자료_잔고!$A$1:$EZ$1500,설정!$L$5+ROW()-1,설정!$L$9)&amp;""),"")</f>
        <v/>
      </c>
      <c r="D452" s="83" t="str">
        <f aca="false">IFERROR(IF(INDEX(원자료_잔고!$A$1:$EZ$1500,설정!$L$5+ROW()-1,설정!$L$10)&amp;""="0","",INDEX(원자료_잔고!$A$1:$EZ$1500,설정!$L$5+ROW()-1,설정!$L$10)&amp;""),"")</f>
        <v/>
      </c>
      <c r="E452" s="84" t="str">
        <f aca="false">IFERROR(IF(ISNUMBER(INDEX(원자료_잔고!$A$1:$EZ$1500,설정!$L$5+ROW()-1,설정!$L$11)),INDEX(원자료_잔고!$A$1:$EZ$1500,설정!$L$5+ROW()-1,설정!$L$11),""),"")</f>
        <v/>
      </c>
      <c r="F452" s="85" t="str">
        <f aca="false">IFERROR(IF(ISNUMBER(INDEX(원자료_잔고!$A$1:$EZ$1500,설정!$L$5+ROW()-1,설정!$L$12)),INDEX(원자료_잔고!$A$1:$EZ$1500,설정!$L$5+ROW()-1,설정!$L$12),""),"")</f>
        <v/>
      </c>
      <c r="G452" s="85" t="str">
        <f aca="false">IFERROR(IF(ISNUMBER(INDEX(원자료_잔고!$A$1:$EZ$1500,설정!$L$5+ROW()-1,설정!$L$13)),INDEX(원자료_잔고!$A$1:$EZ$1500,설정!$L$5+ROW()-1,설정!$L$13),""),"")</f>
        <v/>
      </c>
      <c r="H452" s="85" t="str">
        <f aca="false">IFERROR(IF(ISNUMBER(INDEX(원자료_잔고!$A$1:$EZ$1500,설정!$L$5+ROW()-1,설정!$L$14)),INDEX(원자료_잔고!$A$1:$EZ$1500,설정!$L$5+ROW()-1,설정!$L$14),""),"")</f>
        <v/>
      </c>
      <c r="I452" s="86" t="str">
        <f aca="false">IFERROR(IF(ISNUMBER(INDEX(원자료_잔고!$A$1:$EZ$1500,설정!$L$5+ROW()-1,설정!$L$15)),INDEX(원자료_잔고!$A$1:$EZ$1500,설정!$L$5+ROW()-1,설정!$L$15),""),"")</f>
        <v/>
      </c>
      <c r="J452" s="85" t="str">
        <f aca="false">IFERROR(IF(ISNUMBER(INDEX(원자료_잔고!$A$1:$EZ$1500,설정!$L$5+ROW()-1,설정!$L$16)),INDEX(원자료_잔고!$A$1:$EZ$1500,설정!$L$5+ROW()-1,설정!$L$16),""),"")</f>
        <v/>
      </c>
      <c r="K452" s="87" t="str">
        <f aca="false">IFERROR(IF(ISNUMBER(INDEX(원자료_잔고!$A$1:$EZ$1500,설정!$L$5+ROW()-1,설정!$L$17)),INDEX(원자료_잔고!$A$1:$EZ$1500,설정!$L$5+ROW()-1,설정!$L$17),""),"")</f>
        <v/>
      </c>
      <c r="L452" s="84" t="str">
        <f aca="false">IFERROR(IF(ISNUMBER(INDEX(원자료_잔고!$A$1:$EZ$1500,설정!$L$5+ROW()-1,설정!$L$18)),INDEX(원자료_잔고!$A$1:$EZ$1500,설정!$L$5+ROW()-1,설정!$L$18),""),"")</f>
        <v/>
      </c>
      <c r="M452" s="88" t="str">
        <f aca="false">IFERROR(IF(ISNUMBER(INDEX(원자료_잔고!$A$1:$EZ$1500,설정!$L$5+ROW()-1,설정!$L$19)),INDEX(원자료_잔고!$A$1:$EZ$1500,설정!$L$5+ROW()-1,설정!$L$19),""),"")</f>
        <v/>
      </c>
      <c r="N452" s="83" t="str">
        <f aca="false">IFERROR(IF(INDEX(원자료_잔고!$A$1:$EZ$1500,설정!$L$5+ROW()-1,설정!$L$21)&amp;""="0","",INDEX(원자료_잔고!$A$1:$EZ$1500,설정!$L$5+ROW()-1,설정!$L$21)&amp;""),"")</f>
        <v/>
      </c>
      <c r="O452" s="83" t="str">
        <f aca="false">IFERROR(IF(INDEX(원자료_잔고!$A$1:$EZ$1500,설정!$L$5+ROW()-1,설정!$L$22)&amp;""="0","",INDEX(원자료_잔고!$A$1:$EZ$1500,설정!$L$5+ROW()-1,설정!$L$22)&amp;""),"")</f>
        <v/>
      </c>
      <c r="P452" s="83" t="str">
        <f aca="false">IFERROR(IF(INDEX(원자료_잔고!$A$1:$EZ$1500,설정!$L$5+ROW()-1,설정!$L$23)&amp;""="0","",INDEX(원자료_잔고!$A$1:$EZ$1500,설정!$L$5+ROW()-1,설정!$L$23)&amp;""),"")</f>
        <v/>
      </c>
      <c r="Q452" s="89" t="n">
        <f aca="false">IF(AND($A452&lt;&gt;"",ISNUMBER(E452)),IF(E452&gt;0,1,0),0)</f>
        <v>0</v>
      </c>
      <c r="R452" s="43" t="str">
        <f aca="false">IF(Q452=1,UPPER(LEFT($A452,FIND(" ",$A452&amp;" ")-1)),"")</f>
        <v/>
      </c>
      <c r="S452" s="89" t="n">
        <f aca="false">IF(Q452=1,IF(OR(ISNUMBER(SEARCH("Float",$A452)),ISNUMBER(SEARCH("FRN",$A452))),1,0),0)</f>
        <v>0</v>
      </c>
      <c r="T452" s="43" t="str">
        <f aca="false">IF(AND(Q452=1,ISNUMBER(I452)),TEXT(I452,"yyyymmdd")&amp;"|"&amp;IF(S452=1,"F",TEXT(J452,"0.000")),"")</f>
        <v/>
      </c>
      <c r="U452" s="90" t="str">
        <f aca="false">IF(AND(Q452=1,ISNUMBER(I452)),(I452-설정!$C$4)/365.25,"")</f>
        <v/>
      </c>
      <c r="V452" s="43" t="str">
        <f aca="false">IF(Q452&lt;&gt;1,"",IF(ISNUMBER(U452),IF(U452&lt;=1,"1년 이하",IF(U452&lt;=2,"1-2년",IF(U452&lt;=3,"2-3년",IF(U452&lt;=4,"3-4년",IF(U452&lt;=5,"4-5년",IF(U452&lt;=7,"5-7년",IF(U452&lt;=10,"7-10년",IF(U452&lt;=20,"10-20년","20년 이상")))))))),"미분류"))</f>
        <v/>
      </c>
      <c r="W452" s="43" t="str">
        <f aca="false">IF(Q452&lt;&gt;1,"",IF(AB452&lt;&gt;"",INDEX(시장분석!$C:$C,AB452),IF(K452=1,"USD","비USD")))</f>
        <v/>
      </c>
      <c r="X452" s="91" t="n">
        <f aca="false">IF(Q452=1,E452*K452/1000000,0)</f>
        <v>0</v>
      </c>
      <c r="Y452" s="89" t="n">
        <f aca="false">IF(R452="T",1,0)</f>
        <v>0</v>
      </c>
      <c r="Z452" s="92" t="str">
        <f aca="false">IF(Q452&lt;&gt;1,"",IF(AD452=1,IF(ISNUMBER(U452),MAX(U452,0),H452),H452))</f>
        <v/>
      </c>
      <c r="AA452" s="91" t="n">
        <f aca="false">IF(Q452=1,IF(ISNUMBER(L452),L452,0)*K452/1000000,0)</f>
        <v>0</v>
      </c>
      <c r="AB452" s="89" t="str">
        <f aca="false">IF(Q452&lt;&gt;1,"",IFERROR(MATCH(VLOOKUP(B452,매핑!$H$4:$I$15,2,0),시장분석!$A$2:$A$601,0)+1,IFERROR(MATCH(R452&amp;"|"&amp;T452,시장분석!$V$2:$V$601,0)+1,IF(COUNTIF(시장분석!$U$2:$U$601,T452)=1,MATCH(T452,시장분석!$U$2:$U$601,0)+1,""))))</f>
        <v/>
      </c>
      <c r="AC452" s="89" t="n">
        <f aca="false">IF(Q452&lt;&gt;1,0,IF(OR(설정!$C$5="전체",AND(설정!$C$5="선택펀드",IFERROR(COUNTIFS(설정!$F$16:$F$36,C452,설정!$G$16:$G$36,"Y")+COUNTIFS(설정!$F$16:$F$36,VALUE(C452),설정!$G$16:$G$36,"Y"),0)&gt;0),C452&amp;""=설정!$C$5&amp;""),1,0))</f>
        <v>0</v>
      </c>
      <c r="AD452" s="89" t="n">
        <f aca="false">IF(Q452&lt;&gt;1,0,IF(OR(S452=1,IF(AB452="",FALSE(),INDEX(시장분석!$R:$R,AB452)=1)),1,0))</f>
        <v>0</v>
      </c>
      <c r="AE452" s="43" t="str">
        <f aca="false">IF(AB452="","",INDEX(시장분석!$A:$A,AB452))</f>
        <v/>
      </c>
      <c r="AF452" s="93" t="str">
        <f aca="false">IF(AB452="","",IF(ISNUMBER(IF(AB452="","",INDEX(시장분석!$E:$E,AB452))),IF(AB452="","",INDEX(시장분석!$E:$E,AB452)),""))</f>
        <v/>
      </c>
      <c r="AG452" s="43" t="str">
        <f aca="false">IF(Q452&lt;&gt;1,"",IF(AB452&lt;&gt;"",IF(AB452="","",INDEX(시장분석!$L:$L,AB452)),IFERROR(IF(VLOOKUP(R452,매핑!$A$4:$E$92,5,0)="","미분류",VLOOKUP(R452,매핑!$A$4:$E$92,5,0)),"미분류")))</f>
        <v/>
      </c>
      <c r="AH452" s="43" t="str">
        <f aca="false">IF(Q452&lt;&gt;1,"",IF(AB452&lt;&gt;"",IF(AB452="","",INDEX(시장분석!$N:$N,AB452)),IFERROR(IF(VLOOKUP(R452,매핑!$A$4:$E$92,4,0)="","미분류",VLOOKUP(R452,매핑!$A$4:$E$92,4,0)),"미분류")))</f>
        <v/>
      </c>
      <c r="AI452" s="43" t="str">
        <f aca="false">IF(Q452&lt;&gt;1,"",IFERROR(IF(VLOOKUP(R452,매핑!$A$4:$E$92,3,0)="","미분류",VLOOKUP(R452,매핑!$A$4:$E$92,3,0)),IF(AB452&lt;&gt;"",IF(AB452="","",INDEX(시장분석!$W:$W,AB452)),"미분류")))</f>
        <v/>
      </c>
      <c r="AJ452" s="43" t="str">
        <f aca="false">IF(Q452&lt;&gt;1,"",IFERROR(VLOOKUP(IF(N452&lt;&gt;"",N452,IF(P452&lt;&gt;"",P452,O452)),설정!$A$15:$D$47,2,0),""))</f>
        <v/>
      </c>
      <c r="AK452" s="43" t="str">
        <f aca="false">IF(Q452&lt;&gt;1,"",IF(AJ452="","무등급",IFERROR(VLOOKUP(AJ452,설정!$A$15:$D$47,3,0),"무등급")))</f>
        <v/>
      </c>
      <c r="AL452" s="89" t="n">
        <f aca="false">IF(AJ452="",99,IFERROR(VLOOKUP(AJ452,설정!$A$15:$D$47,4,0),99))</f>
        <v>99</v>
      </c>
      <c r="AM452" s="94" t="n">
        <f aca="false">IF(ISNUMBER(H452),AA452*1000000*H452/10000,0)</f>
        <v>0</v>
      </c>
      <c r="AN452" s="94" t="n">
        <f aca="false">IF(OR(Y452=1,NOT(ISNUMBER(Z452))),0,AA452*1000000*Z452/10000)</f>
        <v>0</v>
      </c>
      <c r="AO452" s="94" t="n">
        <f aca="false">IF(ISNUMBER(G452),AA452*1000000*G452/100,0)</f>
        <v>0</v>
      </c>
      <c r="AP452" s="94" t="n">
        <f aca="false">IF(ISNUMBER(M452),M452*K452,0)</f>
        <v>0</v>
      </c>
      <c r="AQ452" s="95" t="str">
        <f aca="false">IF(AB452="","",INDEX(시장분석!$AK:$AK,AB452))</f>
        <v/>
      </c>
      <c r="AR452" s="43" t="str">
        <f aca="false">IF(AB452="","-",IF(AB452="","",INDEX(시장분석!$AL:$AL,AB452)))</f>
        <v>-</v>
      </c>
      <c r="AS452" s="96" t="str">
        <f aca="false">IF(AB452="","",INDEX(시장분석!$AJ:$AJ,AB452))</f>
        <v/>
      </c>
      <c r="AT452" s="93" t="n">
        <f aca="false">IF(AB452="",0,IF(AB452="","",INDEX(시장분석!$AN:$AN,AB452)))</f>
        <v>0</v>
      </c>
      <c r="AU452" s="94" t="n">
        <f aca="false">IF(ISNUMBER(Z452),AT452/10000*MAX(Z452-1,0)*AA452*1000000,0)</f>
        <v>0</v>
      </c>
      <c r="AV452" s="94" t="n">
        <f aca="false">AO452+AU452</f>
        <v>0</v>
      </c>
      <c r="AW452" s="43" t="str">
        <f aca="false">IF(Q452&lt;&gt;1,"",TRIM(IF(AD452=1,"FRN ","")&amp;IF(AND(AL452&gt;=10,AL452&lt;99),"BBB0미만 ","")&amp;IF(AJ452="","등급없음 ","")&amp;IF(K452&lt;&gt;1,"비USD ","")&amp;IF(AND(AB452="",Y452=0),"시장데이터없음 ","")&amp;IF(AND(ISNUMBER(U452),U452&lt;0),"만기경과 ","")))</f>
        <v/>
      </c>
      <c r="AX452" s="90" t="n">
        <f aca="false">IF(Q452&lt;&gt;1,1,IF(스프레드쇼크!$C$4="Y",INDEX(스프레드쇼크!$B$12:$L$16,IFERROR(MATCH(AH452,스프레드쇼크!$A$12:$A$16,0),MATCH("목록외",스프레드쇼크!$A$12:$A$16,0)),IFERROR(MATCH(AG452,스프레드쇼크!$B$11:$L$11,0),MATCH("목록외",스프레드쇼크!$B$11:$L$11,0))),1))</f>
        <v>1</v>
      </c>
      <c r="AY452" s="90" t="n">
        <f aca="false">IF(스프레드쇼크!$C$5="Y",IF(ISNUMBER(AF452),MIN(스프레드쇼크!$C$7,MAX(스프레드쇼크!$C$6,AF452/스프레드쇼크!$C$8)),1),1)</f>
        <v>1</v>
      </c>
      <c r="AZ452" s="94" t="n">
        <f aca="false">AN452*AX452*AY452</f>
        <v>0</v>
      </c>
      <c r="BA452" s="90" t="n">
        <f aca="false">IF(ISNUMBER(G452),AA452*G452,0)</f>
        <v>0</v>
      </c>
      <c r="BB452" s="90" t="n">
        <f aca="false">IF(ISNUMBER(G452),AA452,0)</f>
        <v>0</v>
      </c>
      <c r="BC452" s="90" t="n">
        <f aca="false">IF(AND(Y452=0,ISNUMBER(AF452)),AA452*AF452,0)</f>
        <v>0</v>
      </c>
      <c r="BD452" s="90" t="n">
        <f aca="false">IF(AND(Y452=0,ISNUMBER(AF452)),AA452,0)</f>
        <v>0</v>
      </c>
      <c r="BE452" s="90" t="n">
        <f aca="false">IF(ISNUMBER(H452),AA452*H452,0)</f>
        <v>0</v>
      </c>
      <c r="BF452" s="90" t="n">
        <f aca="false">IF(ISNUMBER(H452),AA452,0)</f>
        <v>0</v>
      </c>
      <c r="BG452" s="90" t="n">
        <f aca="false">IF(AND(Y452=0,ISNUMBER(AF452),ISNUMBER(Z452)),AA452*Z452,0)</f>
        <v>0</v>
      </c>
      <c r="BH452" s="90" t="n">
        <f aca="false">IF(AND(Y452=0,ISNUMBER(AF452),ISNUMBER(Z452)),AA452*AT452*MAX(Z452-1,0),0)</f>
        <v>0</v>
      </c>
      <c r="BI452" s="90" t="n">
        <f aca="false">IF(Y452=0,AA452,0)</f>
        <v>0</v>
      </c>
    </row>
    <row r="453" customFormat="false" ht="15" hidden="false" customHeight="false" outlineLevel="0" collapsed="false">
      <c r="A453" s="83" t="str">
        <f aca="false">IFERROR(IF(INDEX(원자료_잔고!$A$1:$EZ$1500,설정!$L$5+ROW()-1,설정!$L$8)&amp;""="0","",INDEX(원자료_잔고!$A$1:$EZ$1500,설정!$L$5+ROW()-1,설정!$L$8)&amp;""),"")</f>
        <v/>
      </c>
      <c r="B453" s="83" t="str">
        <f aca="false">IFERROR(IF(INDEX(원자료_잔고!$A$1:$EZ$1500,설정!$L$5+ROW()-1,설정!$L$7)&amp;""="0","",INDEX(원자료_잔고!$A$1:$EZ$1500,설정!$L$5+ROW()-1,설정!$L$7)&amp;""),"")</f>
        <v/>
      </c>
      <c r="C453" s="83" t="str">
        <f aca="false">IFERROR(IF(INDEX(원자료_잔고!$A$1:$EZ$1500,설정!$L$5+ROW()-1,설정!$L$9)&amp;""="0","",INDEX(원자료_잔고!$A$1:$EZ$1500,설정!$L$5+ROW()-1,설정!$L$9)&amp;""),"")</f>
        <v/>
      </c>
      <c r="D453" s="83" t="str">
        <f aca="false">IFERROR(IF(INDEX(원자료_잔고!$A$1:$EZ$1500,설정!$L$5+ROW()-1,설정!$L$10)&amp;""="0","",INDEX(원자료_잔고!$A$1:$EZ$1500,설정!$L$5+ROW()-1,설정!$L$10)&amp;""),"")</f>
        <v/>
      </c>
      <c r="E453" s="84" t="str">
        <f aca="false">IFERROR(IF(ISNUMBER(INDEX(원자료_잔고!$A$1:$EZ$1500,설정!$L$5+ROW()-1,설정!$L$11)),INDEX(원자료_잔고!$A$1:$EZ$1500,설정!$L$5+ROW()-1,설정!$L$11),""),"")</f>
        <v/>
      </c>
      <c r="F453" s="85" t="str">
        <f aca="false">IFERROR(IF(ISNUMBER(INDEX(원자료_잔고!$A$1:$EZ$1500,설정!$L$5+ROW()-1,설정!$L$12)),INDEX(원자료_잔고!$A$1:$EZ$1500,설정!$L$5+ROW()-1,설정!$L$12),""),"")</f>
        <v/>
      </c>
      <c r="G453" s="85" t="str">
        <f aca="false">IFERROR(IF(ISNUMBER(INDEX(원자료_잔고!$A$1:$EZ$1500,설정!$L$5+ROW()-1,설정!$L$13)),INDEX(원자료_잔고!$A$1:$EZ$1500,설정!$L$5+ROW()-1,설정!$L$13),""),"")</f>
        <v/>
      </c>
      <c r="H453" s="85" t="str">
        <f aca="false">IFERROR(IF(ISNUMBER(INDEX(원자료_잔고!$A$1:$EZ$1500,설정!$L$5+ROW()-1,설정!$L$14)),INDEX(원자료_잔고!$A$1:$EZ$1500,설정!$L$5+ROW()-1,설정!$L$14),""),"")</f>
        <v/>
      </c>
      <c r="I453" s="86" t="str">
        <f aca="false">IFERROR(IF(ISNUMBER(INDEX(원자료_잔고!$A$1:$EZ$1500,설정!$L$5+ROW()-1,설정!$L$15)),INDEX(원자료_잔고!$A$1:$EZ$1500,설정!$L$5+ROW()-1,설정!$L$15),""),"")</f>
        <v/>
      </c>
      <c r="J453" s="85" t="str">
        <f aca="false">IFERROR(IF(ISNUMBER(INDEX(원자료_잔고!$A$1:$EZ$1500,설정!$L$5+ROW()-1,설정!$L$16)),INDEX(원자료_잔고!$A$1:$EZ$1500,설정!$L$5+ROW()-1,설정!$L$16),""),"")</f>
        <v/>
      </c>
      <c r="K453" s="87" t="str">
        <f aca="false">IFERROR(IF(ISNUMBER(INDEX(원자료_잔고!$A$1:$EZ$1500,설정!$L$5+ROW()-1,설정!$L$17)),INDEX(원자료_잔고!$A$1:$EZ$1500,설정!$L$5+ROW()-1,설정!$L$17),""),"")</f>
        <v/>
      </c>
      <c r="L453" s="84" t="str">
        <f aca="false">IFERROR(IF(ISNUMBER(INDEX(원자료_잔고!$A$1:$EZ$1500,설정!$L$5+ROW()-1,설정!$L$18)),INDEX(원자료_잔고!$A$1:$EZ$1500,설정!$L$5+ROW()-1,설정!$L$18),""),"")</f>
        <v/>
      </c>
      <c r="M453" s="88" t="str">
        <f aca="false">IFERROR(IF(ISNUMBER(INDEX(원자료_잔고!$A$1:$EZ$1500,설정!$L$5+ROW()-1,설정!$L$19)),INDEX(원자료_잔고!$A$1:$EZ$1500,설정!$L$5+ROW()-1,설정!$L$19),""),"")</f>
        <v/>
      </c>
      <c r="N453" s="83" t="str">
        <f aca="false">IFERROR(IF(INDEX(원자료_잔고!$A$1:$EZ$1500,설정!$L$5+ROW()-1,설정!$L$21)&amp;""="0","",INDEX(원자료_잔고!$A$1:$EZ$1500,설정!$L$5+ROW()-1,설정!$L$21)&amp;""),"")</f>
        <v/>
      </c>
      <c r="O453" s="83" t="str">
        <f aca="false">IFERROR(IF(INDEX(원자료_잔고!$A$1:$EZ$1500,설정!$L$5+ROW()-1,설정!$L$22)&amp;""="0","",INDEX(원자료_잔고!$A$1:$EZ$1500,설정!$L$5+ROW()-1,설정!$L$22)&amp;""),"")</f>
        <v/>
      </c>
      <c r="P453" s="83" t="str">
        <f aca="false">IFERROR(IF(INDEX(원자료_잔고!$A$1:$EZ$1500,설정!$L$5+ROW()-1,설정!$L$23)&amp;""="0","",INDEX(원자료_잔고!$A$1:$EZ$1500,설정!$L$5+ROW()-1,설정!$L$23)&amp;""),"")</f>
        <v/>
      </c>
      <c r="Q453" s="89" t="n">
        <f aca="false">IF(AND($A453&lt;&gt;"",ISNUMBER(E453)),IF(E453&gt;0,1,0),0)</f>
        <v>0</v>
      </c>
      <c r="R453" s="43" t="str">
        <f aca="false">IF(Q453=1,UPPER(LEFT($A453,FIND(" ",$A453&amp;" ")-1)),"")</f>
        <v/>
      </c>
      <c r="S453" s="89" t="n">
        <f aca="false">IF(Q453=1,IF(OR(ISNUMBER(SEARCH("Float",$A453)),ISNUMBER(SEARCH("FRN",$A453))),1,0),0)</f>
        <v>0</v>
      </c>
      <c r="T453" s="43" t="str">
        <f aca="false">IF(AND(Q453=1,ISNUMBER(I453)),TEXT(I453,"yyyymmdd")&amp;"|"&amp;IF(S453=1,"F",TEXT(J453,"0.000")),"")</f>
        <v/>
      </c>
      <c r="U453" s="90" t="str">
        <f aca="false">IF(AND(Q453=1,ISNUMBER(I453)),(I453-설정!$C$4)/365.25,"")</f>
        <v/>
      </c>
      <c r="V453" s="43" t="str">
        <f aca="false">IF(Q453&lt;&gt;1,"",IF(ISNUMBER(U453),IF(U453&lt;=1,"1년 이하",IF(U453&lt;=2,"1-2년",IF(U453&lt;=3,"2-3년",IF(U453&lt;=4,"3-4년",IF(U453&lt;=5,"4-5년",IF(U453&lt;=7,"5-7년",IF(U453&lt;=10,"7-10년",IF(U453&lt;=20,"10-20년","20년 이상")))))))),"미분류"))</f>
        <v/>
      </c>
      <c r="W453" s="43" t="str">
        <f aca="false">IF(Q453&lt;&gt;1,"",IF(AB453&lt;&gt;"",INDEX(시장분석!$C:$C,AB453),IF(K453=1,"USD","비USD")))</f>
        <v/>
      </c>
      <c r="X453" s="91" t="n">
        <f aca="false">IF(Q453=1,E453*K453/1000000,0)</f>
        <v>0</v>
      </c>
      <c r="Y453" s="89" t="n">
        <f aca="false">IF(R453="T",1,0)</f>
        <v>0</v>
      </c>
      <c r="Z453" s="92" t="str">
        <f aca="false">IF(Q453&lt;&gt;1,"",IF(AD453=1,IF(ISNUMBER(U453),MAX(U453,0),H453),H453))</f>
        <v/>
      </c>
      <c r="AA453" s="91" t="n">
        <f aca="false">IF(Q453=1,IF(ISNUMBER(L453),L453,0)*K453/1000000,0)</f>
        <v>0</v>
      </c>
      <c r="AB453" s="89" t="str">
        <f aca="false">IF(Q453&lt;&gt;1,"",IFERROR(MATCH(VLOOKUP(B453,매핑!$H$4:$I$15,2,0),시장분석!$A$2:$A$601,0)+1,IFERROR(MATCH(R453&amp;"|"&amp;T453,시장분석!$V$2:$V$601,0)+1,IF(COUNTIF(시장분석!$U$2:$U$601,T453)=1,MATCH(T453,시장분석!$U$2:$U$601,0)+1,""))))</f>
        <v/>
      </c>
      <c r="AC453" s="89" t="n">
        <f aca="false">IF(Q453&lt;&gt;1,0,IF(OR(설정!$C$5="전체",AND(설정!$C$5="선택펀드",IFERROR(COUNTIFS(설정!$F$16:$F$36,C453,설정!$G$16:$G$36,"Y")+COUNTIFS(설정!$F$16:$F$36,VALUE(C453),설정!$G$16:$G$36,"Y"),0)&gt;0),C453&amp;""=설정!$C$5&amp;""),1,0))</f>
        <v>0</v>
      </c>
      <c r="AD453" s="89" t="n">
        <f aca="false">IF(Q453&lt;&gt;1,0,IF(OR(S453=1,IF(AB453="",FALSE(),INDEX(시장분석!$R:$R,AB453)=1)),1,0))</f>
        <v>0</v>
      </c>
      <c r="AE453" s="43" t="str">
        <f aca="false">IF(AB453="","",INDEX(시장분석!$A:$A,AB453))</f>
        <v/>
      </c>
      <c r="AF453" s="93" t="str">
        <f aca="false">IF(AB453="","",IF(ISNUMBER(IF(AB453="","",INDEX(시장분석!$E:$E,AB453))),IF(AB453="","",INDEX(시장분석!$E:$E,AB453)),""))</f>
        <v/>
      </c>
      <c r="AG453" s="43" t="str">
        <f aca="false">IF(Q453&lt;&gt;1,"",IF(AB453&lt;&gt;"",IF(AB453="","",INDEX(시장분석!$L:$L,AB453)),IFERROR(IF(VLOOKUP(R453,매핑!$A$4:$E$92,5,0)="","미분류",VLOOKUP(R453,매핑!$A$4:$E$92,5,0)),"미분류")))</f>
        <v/>
      </c>
      <c r="AH453" s="43" t="str">
        <f aca="false">IF(Q453&lt;&gt;1,"",IF(AB453&lt;&gt;"",IF(AB453="","",INDEX(시장분석!$N:$N,AB453)),IFERROR(IF(VLOOKUP(R453,매핑!$A$4:$E$92,4,0)="","미분류",VLOOKUP(R453,매핑!$A$4:$E$92,4,0)),"미분류")))</f>
        <v/>
      </c>
      <c r="AI453" s="43" t="str">
        <f aca="false">IF(Q453&lt;&gt;1,"",IFERROR(IF(VLOOKUP(R453,매핑!$A$4:$E$92,3,0)="","미분류",VLOOKUP(R453,매핑!$A$4:$E$92,3,0)),IF(AB453&lt;&gt;"",IF(AB453="","",INDEX(시장분석!$W:$W,AB453)),"미분류")))</f>
        <v/>
      </c>
      <c r="AJ453" s="43" t="str">
        <f aca="false">IF(Q453&lt;&gt;1,"",IFERROR(VLOOKUP(IF(N453&lt;&gt;"",N453,IF(P453&lt;&gt;"",P453,O453)),설정!$A$15:$D$47,2,0),""))</f>
        <v/>
      </c>
      <c r="AK453" s="43" t="str">
        <f aca="false">IF(Q453&lt;&gt;1,"",IF(AJ453="","무등급",IFERROR(VLOOKUP(AJ453,설정!$A$15:$D$47,3,0),"무등급")))</f>
        <v/>
      </c>
      <c r="AL453" s="89" t="n">
        <f aca="false">IF(AJ453="",99,IFERROR(VLOOKUP(AJ453,설정!$A$15:$D$47,4,0),99))</f>
        <v>99</v>
      </c>
      <c r="AM453" s="94" t="n">
        <f aca="false">IF(ISNUMBER(H453),AA453*1000000*H453/10000,0)</f>
        <v>0</v>
      </c>
      <c r="AN453" s="94" t="n">
        <f aca="false">IF(OR(Y453=1,NOT(ISNUMBER(Z453))),0,AA453*1000000*Z453/10000)</f>
        <v>0</v>
      </c>
      <c r="AO453" s="94" t="n">
        <f aca="false">IF(ISNUMBER(G453),AA453*1000000*G453/100,0)</f>
        <v>0</v>
      </c>
      <c r="AP453" s="94" t="n">
        <f aca="false">IF(ISNUMBER(M453),M453*K453,0)</f>
        <v>0</v>
      </c>
      <c r="AQ453" s="95" t="str">
        <f aca="false">IF(AB453="","",INDEX(시장분석!$AK:$AK,AB453))</f>
        <v/>
      </c>
      <c r="AR453" s="43" t="str">
        <f aca="false">IF(AB453="","-",IF(AB453="","",INDEX(시장분석!$AL:$AL,AB453)))</f>
        <v>-</v>
      </c>
      <c r="AS453" s="96" t="str">
        <f aca="false">IF(AB453="","",INDEX(시장분석!$AJ:$AJ,AB453))</f>
        <v/>
      </c>
      <c r="AT453" s="93" t="n">
        <f aca="false">IF(AB453="",0,IF(AB453="","",INDEX(시장분석!$AN:$AN,AB453)))</f>
        <v>0</v>
      </c>
      <c r="AU453" s="94" t="n">
        <f aca="false">IF(ISNUMBER(Z453),AT453/10000*MAX(Z453-1,0)*AA453*1000000,0)</f>
        <v>0</v>
      </c>
      <c r="AV453" s="94" t="n">
        <f aca="false">AO453+AU453</f>
        <v>0</v>
      </c>
      <c r="AW453" s="43" t="str">
        <f aca="false">IF(Q453&lt;&gt;1,"",TRIM(IF(AD453=1,"FRN ","")&amp;IF(AND(AL453&gt;=10,AL453&lt;99),"BBB0미만 ","")&amp;IF(AJ453="","등급없음 ","")&amp;IF(K453&lt;&gt;1,"비USD ","")&amp;IF(AND(AB453="",Y453=0),"시장데이터없음 ","")&amp;IF(AND(ISNUMBER(U453),U453&lt;0),"만기경과 ","")))</f>
        <v/>
      </c>
      <c r="AX453" s="90" t="n">
        <f aca="false">IF(Q453&lt;&gt;1,1,IF(스프레드쇼크!$C$4="Y",INDEX(스프레드쇼크!$B$12:$L$16,IFERROR(MATCH(AH453,스프레드쇼크!$A$12:$A$16,0),MATCH("목록외",스프레드쇼크!$A$12:$A$16,0)),IFERROR(MATCH(AG453,스프레드쇼크!$B$11:$L$11,0),MATCH("목록외",스프레드쇼크!$B$11:$L$11,0))),1))</f>
        <v>1</v>
      </c>
      <c r="AY453" s="90" t="n">
        <f aca="false">IF(스프레드쇼크!$C$5="Y",IF(ISNUMBER(AF453),MIN(스프레드쇼크!$C$7,MAX(스프레드쇼크!$C$6,AF453/스프레드쇼크!$C$8)),1),1)</f>
        <v>1</v>
      </c>
      <c r="AZ453" s="94" t="n">
        <f aca="false">AN453*AX453*AY453</f>
        <v>0</v>
      </c>
      <c r="BA453" s="90" t="n">
        <f aca="false">IF(ISNUMBER(G453),AA453*G453,0)</f>
        <v>0</v>
      </c>
      <c r="BB453" s="90" t="n">
        <f aca="false">IF(ISNUMBER(G453),AA453,0)</f>
        <v>0</v>
      </c>
      <c r="BC453" s="90" t="n">
        <f aca="false">IF(AND(Y453=0,ISNUMBER(AF453)),AA453*AF453,0)</f>
        <v>0</v>
      </c>
      <c r="BD453" s="90" t="n">
        <f aca="false">IF(AND(Y453=0,ISNUMBER(AF453)),AA453,0)</f>
        <v>0</v>
      </c>
      <c r="BE453" s="90" t="n">
        <f aca="false">IF(ISNUMBER(H453),AA453*H453,0)</f>
        <v>0</v>
      </c>
      <c r="BF453" s="90" t="n">
        <f aca="false">IF(ISNUMBER(H453),AA453,0)</f>
        <v>0</v>
      </c>
      <c r="BG453" s="90" t="n">
        <f aca="false">IF(AND(Y453=0,ISNUMBER(AF453),ISNUMBER(Z453)),AA453*Z453,0)</f>
        <v>0</v>
      </c>
      <c r="BH453" s="90" t="n">
        <f aca="false">IF(AND(Y453=0,ISNUMBER(AF453),ISNUMBER(Z453)),AA453*AT453*MAX(Z453-1,0),0)</f>
        <v>0</v>
      </c>
      <c r="BI453" s="90" t="n">
        <f aca="false">IF(Y453=0,AA453,0)</f>
        <v>0</v>
      </c>
    </row>
    <row r="454" customFormat="false" ht="15" hidden="false" customHeight="false" outlineLevel="0" collapsed="false">
      <c r="A454" s="83" t="str">
        <f aca="false">IFERROR(IF(INDEX(원자료_잔고!$A$1:$EZ$1500,설정!$L$5+ROW()-1,설정!$L$8)&amp;""="0","",INDEX(원자료_잔고!$A$1:$EZ$1500,설정!$L$5+ROW()-1,설정!$L$8)&amp;""),"")</f>
        <v/>
      </c>
      <c r="B454" s="83" t="str">
        <f aca="false">IFERROR(IF(INDEX(원자료_잔고!$A$1:$EZ$1500,설정!$L$5+ROW()-1,설정!$L$7)&amp;""="0","",INDEX(원자료_잔고!$A$1:$EZ$1500,설정!$L$5+ROW()-1,설정!$L$7)&amp;""),"")</f>
        <v/>
      </c>
      <c r="C454" s="83" t="str">
        <f aca="false">IFERROR(IF(INDEX(원자료_잔고!$A$1:$EZ$1500,설정!$L$5+ROW()-1,설정!$L$9)&amp;""="0","",INDEX(원자료_잔고!$A$1:$EZ$1500,설정!$L$5+ROW()-1,설정!$L$9)&amp;""),"")</f>
        <v/>
      </c>
      <c r="D454" s="83" t="str">
        <f aca="false">IFERROR(IF(INDEX(원자료_잔고!$A$1:$EZ$1500,설정!$L$5+ROW()-1,설정!$L$10)&amp;""="0","",INDEX(원자료_잔고!$A$1:$EZ$1500,설정!$L$5+ROW()-1,설정!$L$10)&amp;""),"")</f>
        <v/>
      </c>
      <c r="E454" s="84" t="str">
        <f aca="false">IFERROR(IF(ISNUMBER(INDEX(원자료_잔고!$A$1:$EZ$1500,설정!$L$5+ROW()-1,설정!$L$11)),INDEX(원자료_잔고!$A$1:$EZ$1500,설정!$L$5+ROW()-1,설정!$L$11),""),"")</f>
        <v/>
      </c>
      <c r="F454" s="85" t="str">
        <f aca="false">IFERROR(IF(ISNUMBER(INDEX(원자료_잔고!$A$1:$EZ$1500,설정!$L$5+ROW()-1,설정!$L$12)),INDEX(원자료_잔고!$A$1:$EZ$1500,설정!$L$5+ROW()-1,설정!$L$12),""),"")</f>
        <v/>
      </c>
      <c r="G454" s="85" t="str">
        <f aca="false">IFERROR(IF(ISNUMBER(INDEX(원자료_잔고!$A$1:$EZ$1500,설정!$L$5+ROW()-1,설정!$L$13)),INDEX(원자료_잔고!$A$1:$EZ$1500,설정!$L$5+ROW()-1,설정!$L$13),""),"")</f>
        <v/>
      </c>
      <c r="H454" s="85" t="str">
        <f aca="false">IFERROR(IF(ISNUMBER(INDEX(원자료_잔고!$A$1:$EZ$1500,설정!$L$5+ROW()-1,설정!$L$14)),INDEX(원자료_잔고!$A$1:$EZ$1500,설정!$L$5+ROW()-1,설정!$L$14),""),"")</f>
        <v/>
      </c>
      <c r="I454" s="86" t="str">
        <f aca="false">IFERROR(IF(ISNUMBER(INDEX(원자료_잔고!$A$1:$EZ$1500,설정!$L$5+ROW()-1,설정!$L$15)),INDEX(원자료_잔고!$A$1:$EZ$1500,설정!$L$5+ROW()-1,설정!$L$15),""),"")</f>
        <v/>
      </c>
      <c r="J454" s="85" t="str">
        <f aca="false">IFERROR(IF(ISNUMBER(INDEX(원자료_잔고!$A$1:$EZ$1500,설정!$L$5+ROW()-1,설정!$L$16)),INDEX(원자료_잔고!$A$1:$EZ$1500,설정!$L$5+ROW()-1,설정!$L$16),""),"")</f>
        <v/>
      </c>
      <c r="K454" s="87" t="str">
        <f aca="false">IFERROR(IF(ISNUMBER(INDEX(원자료_잔고!$A$1:$EZ$1500,설정!$L$5+ROW()-1,설정!$L$17)),INDEX(원자료_잔고!$A$1:$EZ$1500,설정!$L$5+ROW()-1,설정!$L$17),""),"")</f>
        <v/>
      </c>
      <c r="L454" s="84" t="str">
        <f aca="false">IFERROR(IF(ISNUMBER(INDEX(원자료_잔고!$A$1:$EZ$1500,설정!$L$5+ROW()-1,설정!$L$18)),INDEX(원자료_잔고!$A$1:$EZ$1500,설정!$L$5+ROW()-1,설정!$L$18),""),"")</f>
        <v/>
      </c>
      <c r="M454" s="88" t="str">
        <f aca="false">IFERROR(IF(ISNUMBER(INDEX(원자료_잔고!$A$1:$EZ$1500,설정!$L$5+ROW()-1,설정!$L$19)),INDEX(원자료_잔고!$A$1:$EZ$1500,설정!$L$5+ROW()-1,설정!$L$19),""),"")</f>
        <v/>
      </c>
      <c r="N454" s="83" t="str">
        <f aca="false">IFERROR(IF(INDEX(원자료_잔고!$A$1:$EZ$1500,설정!$L$5+ROW()-1,설정!$L$21)&amp;""="0","",INDEX(원자료_잔고!$A$1:$EZ$1500,설정!$L$5+ROW()-1,설정!$L$21)&amp;""),"")</f>
        <v/>
      </c>
      <c r="O454" s="83" t="str">
        <f aca="false">IFERROR(IF(INDEX(원자료_잔고!$A$1:$EZ$1500,설정!$L$5+ROW()-1,설정!$L$22)&amp;""="0","",INDEX(원자료_잔고!$A$1:$EZ$1500,설정!$L$5+ROW()-1,설정!$L$22)&amp;""),"")</f>
        <v/>
      </c>
      <c r="P454" s="83" t="str">
        <f aca="false">IFERROR(IF(INDEX(원자료_잔고!$A$1:$EZ$1500,설정!$L$5+ROW()-1,설정!$L$23)&amp;""="0","",INDEX(원자료_잔고!$A$1:$EZ$1500,설정!$L$5+ROW()-1,설정!$L$23)&amp;""),"")</f>
        <v/>
      </c>
      <c r="Q454" s="89" t="n">
        <f aca="false">IF(AND($A454&lt;&gt;"",ISNUMBER(E454)),IF(E454&gt;0,1,0),0)</f>
        <v>0</v>
      </c>
      <c r="R454" s="43" t="str">
        <f aca="false">IF(Q454=1,UPPER(LEFT($A454,FIND(" ",$A454&amp;" ")-1)),"")</f>
        <v/>
      </c>
      <c r="S454" s="89" t="n">
        <f aca="false">IF(Q454=1,IF(OR(ISNUMBER(SEARCH("Float",$A454)),ISNUMBER(SEARCH("FRN",$A454))),1,0),0)</f>
        <v>0</v>
      </c>
      <c r="T454" s="43" t="str">
        <f aca="false">IF(AND(Q454=1,ISNUMBER(I454)),TEXT(I454,"yyyymmdd")&amp;"|"&amp;IF(S454=1,"F",TEXT(J454,"0.000")),"")</f>
        <v/>
      </c>
      <c r="U454" s="90" t="str">
        <f aca="false">IF(AND(Q454=1,ISNUMBER(I454)),(I454-설정!$C$4)/365.25,"")</f>
        <v/>
      </c>
      <c r="V454" s="43" t="str">
        <f aca="false">IF(Q454&lt;&gt;1,"",IF(ISNUMBER(U454),IF(U454&lt;=1,"1년 이하",IF(U454&lt;=2,"1-2년",IF(U454&lt;=3,"2-3년",IF(U454&lt;=4,"3-4년",IF(U454&lt;=5,"4-5년",IF(U454&lt;=7,"5-7년",IF(U454&lt;=10,"7-10년",IF(U454&lt;=20,"10-20년","20년 이상")))))))),"미분류"))</f>
        <v/>
      </c>
      <c r="W454" s="43" t="str">
        <f aca="false">IF(Q454&lt;&gt;1,"",IF(AB454&lt;&gt;"",INDEX(시장분석!$C:$C,AB454),IF(K454=1,"USD","비USD")))</f>
        <v/>
      </c>
      <c r="X454" s="91" t="n">
        <f aca="false">IF(Q454=1,E454*K454/1000000,0)</f>
        <v>0</v>
      </c>
      <c r="Y454" s="89" t="n">
        <f aca="false">IF(R454="T",1,0)</f>
        <v>0</v>
      </c>
      <c r="Z454" s="92" t="str">
        <f aca="false">IF(Q454&lt;&gt;1,"",IF(AD454=1,IF(ISNUMBER(U454),MAX(U454,0),H454),H454))</f>
        <v/>
      </c>
      <c r="AA454" s="91" t="n">
        <f aca="false">IF(Q454=1,IF(ISNUMBER(L454),L454,0)*K454/1000000,0)</f>
        <v>0</v>
      </c>
      <c r="AB454" s="89" t="str">
        <f aca="false">IF(Q454&lt;&gt;1,"",IFERROR(MATCH(VLOOKUP(B454,매핑!$H$4:$I$15,2,0),시장분석!$A$2:$A$601,0)+1,IFERROR(MATCH(R454&amp;"|"&amp;T454,시장분석!$V$2:$V$601,0)+1,IF(COUNTIF(시장분석!$U$2:$U$601,T454)=1,MATCH(T454,시장분석!$U$2:$U$601,0)+1,""))))</f>
        <v/>
      </c>
      <c r="AC454" s="89" t="n">
        <f aca="false">IF(Q454&lt;&gt;1,0,IF(OR(설정!$C$5="전체",AND(설정!$C$5="선택펀드",IFERROR(COUNTIFS(설정!$F$16:$F$36,C454,설정!$G$16:$G$36,"Y")+COUNTIFS(설정!$F$16:$F$36,VALUE(C454),설정!$G$16:$G$36,"Y"),0)&gt;0),C454&amp;""=설정!$C$5&amp;""),1,0))</f>
        <v>0</v>
      </c>
      <c r="AD454" s="89" t="n">
        <f aca="false">IF(Q454&lt;&gt;1,0,IF(OR(S454=1,IF(AB454="",FALSE(),INDEX(시장분석!$R:$R,AB454)=1)),1,0))</f>
        <v>0</v>
      </c>
      <c r="AE454" s="43" t="str">
        <f aca="false">IF(AB454="","",INDEX(시장분석!$A:$A,AB454))</f>
        <v/>
      </c>
      <c r="AF454" s="93" t="str">
        <f aca="false">IF(AB454="","",IF(ISNUMBER(IF(AB454="","",INDEX(시장분석!$E:$E,AB454))),IF(AB454="","",INDEX(시장분석!$E:$E,AB454)),""))</f>
        <v/>
      </c>
      <c r="AG454" s="43" t="str">
        <f aca="false">IF(Q454&lt;&gt;1,"",IF(AB454&lt;&gt;"",IF(AB454="","",INDEX(시장분석!$L:$L,AB454)),IFERROR(IF(VLOOKUP(R454,매핑!$A$4:$E$92,5,0)="","미분류",VLOOKUP(R454,매핑!$A$4:$E$92,5,0)),"미분류")))</f>
        <v/>
      </c>
      <c r="AH454" s="43" t="str">
        <f aca="false">IF(Q454&lt;&gt;1,"",IF(AB454&lt;&gt;"",IF(AB454="","",INDEX(시장분석!$N:$N,AB454)),IFERROR(IF(VLOOKUP(R454,매핑!$A$4:$E$92,4,0)="","미분류",VLOOKUP(R454,매핑!$A$4:$E$92,4,0)),"미분류")))</f>
        <v/>
      </c>
      <c r="AI454" s="43" t="str">
        <f aca="false">IF(Q454&lt;&gt;1,"",IFERROR(IF(VLOOKUP(R454,매핑!$A$4:$E$92,3,0)="","미분류",VLOOKUP(R454,매핑!$A$4:$E$92,3,0)),IF(AB454&lt;&gt;"",IF(AB454="","",INDEX(시장분석!$W:$W,AB454)),"미분류")))</f>
        <v/>
      </c>
      <c r="AJ454" s="43" t="str">
        <f aca="false">IF(Q454&lt;&gt;1,"",IFERROR(VLOOKUP(IF(N454&lt;&gt;"",N454,IF(P454&lt;&gt;"",P454,O454)),설정!$A$15:$D$47,2,0),""))</f>
        <v/>
      </c>
      <c r="AK454" s="43" t="str">
        <f aca="false">IF(Q454&lt;&gt;1,"",IF(AJ454="","무등급",IFERROR(VLOOKUP(AJ454,설정!$A$15:$D$47,3,0),"무등급")))</f>
        <v/>
      </c>
      <c r="AL454" s="89" t="n">
        <f aca="false">IF(AJ454="",99,IFERROR(VLOOKUP(AJ454,설정!$A$15:$D$47,4,0),99))</f>
        <v>99</v>
      </c>
      <c r="AM454" s="94" t="n">
        <f aca="false">IF(ISNUMBER(H454),AA454*1000000*H454/10000,0)</f>
        <v>0</v>
      </c>
      <c r="AN454" s="94" t="n">
        <f aca="false">IF(OR(Y454=1,NOT(ISNUMBER(Z454))),0,AA454*1000000*Z454/10000)</f>
        <v>0</v>
      </c>
      <c r="AO454" s="94" t="n">
        <f aca="false">IF(ISNUMBER(G454),AA454*1000000*G454/100,0)</f>
        <v>0</v>
      </c>
      <c r="AP454" s="94" t="n">
        <f aca="false">IF(ISNUMBER(M454),M454*K454,0)</f>
        <v>0</v>
      </c>
      <c r="AQ454" s="95" t="str">
        <f aca="false">IF(AB454="","",INDEX(시장분석!$AK:$AK,AB454))</f>
        <v/>
      </c>
      <c r="AR454" s="43" t="str">
        <f aca="false">IF(AB454="","-",IF(AB454="","",INDEX(시장분석!$AL:$AL,AB454)))</f>
        <v>-</v>
      </c>
      <c r="AS454" s="96" t="str">
        <f aca="false">IF(AB454="","",INDEX(시장분석!$AJ:$AJ,AB454))</f>
        <v/>
      </c>
      <c r="AT454" s="93" t="n">
        <f aca="false">IF(AB454="",0,IF(AB454="","",INDEX(시장분석!$AN:$AN,AB454)))</f>
        <v>0</v>
      </c>
      <c r="AU454" s="94" t="n">
        <f aca="false">IF(ISNUMBER(Z454),AT454/10000*MAX(Z454-1,0)*AA454*1000000,0)</f>
        <v>0</v>
      </c>
      <c r="AV454" s="94" t="n">
        <f aca="false">AO454+AU454</f>
        <v>0</v>
      </c>
      <c r="AW454" s="43" t="str">
        <f aca="false">IF(Q454&lt;&gt;1,"",TRIM(IF(AD454=1,"FRN ","")&amp;IF(AND(AL454&gt;=10,AL454&lt;99),"BBB0미만 ","")&amp;IF(AJ454="","등급없음 ","")&amp;IF(K454&lt;&gt;1,"비USD ","")&amp;IF(AND(AB454="",Y454=0),"시장데이터없음 ","")&amp;IF(AND(ISNUMBER(U454),U454&lt;0),"만기경과 ","")))</f>
        <v/>
      </c>
      <c r="AX454" s="90" t="n">
        <f aca="false">IF(Q454&lt;&gt;1,1,IF(스프레드쇼크!$C$4="Y",INDEX(스프레드쇼크!$B$12:$L$16,IFERROR(MATCH(AH454,스프레드쇼크!$A$12:$A$16,0),MATCH("목록외",스프레드쇼크!$A$12:$A$16,0)),IFERROR(MATCH(AG454,스프레드쇼크!$B$11:$L$11,0),MATCH("목록외",스프레드쇼크!$B$11:$L$11,0))),1))</f>
        <v>1</v>
      </c>
      <c r="AY454" s="90" t="n">
        <f aca="false">IF(스프레드쇼크!$C$5="Y",IF(ISNUMBER(AF454),MIN(스프레드쇼크!$C$7,MAX(스프레드쇼크!$C$6,AF454/스프레드쇼크!$C$8)),1),1)</f>
        <v>1</v>
      </c>
      <c r="AZ454" s="94" t="n">
        <f aca="false">AN454*AX454*AY454</f>
        <v>0</v>
      </c>
      <c r="BA454" s="90" t="n">
        <f aca="false">IF(ISNUMBER(G454),AA454*G454,0)</f>
        <v>0</v>
      </c>
      <c r="BB454" s="90" t="n">
        <f aca="false">IF(ISNUMBER(G454),AA454,0)</f>
        <v>0</v>
      </c>
      <c r="BC454" s="90" t="n">
        <f aca="false">IF(AND(Y454=0,ISNUMBER(AF454)),AA454*AF454,0)</f>
        <v>0</v>
      </c>
      <c r="BD454" s="90" t="n">
        <f aca="false">IF(AND(Y454=0,ISNUMBER(AF454)),AA454,0)</f>
        <v>0</v>
      </c>
      <c r="BE454" s="90" t="n">
        <f aca="false">IF(ISNUMBER(H454),AA454*H454,0)</f>
        <v>0</v>
      </c>
      <c r="BF454" s="90" t="n">
        <f aca="false">IF(ISNUMBER(H454),AA454,0)</f>
        <v>0</v>
      </c>
      <c r="BG454" s="90" t="n">
        <f aca="false">IF(AND(Y454=0,ISNUMBER(AF454),ISNUMBER(Z454)),AA454*Z454,0)</f>
        <v>0</v>
      </c>
      <c r="BH454" s="90" t="n">
        <f aca="false">IF(AND(Y454=0,ISNUMBER(AF454),ISNUMBER(Z454)),AA454*AT454*MAX(Z454-1,0),0)</f>
        <v>0</v>
      </c>
      <c r="BI454" s="90" t="n">
        <f aca="false">IF(Y454=0,AA454,0)</f>
        <v>0</v>
      </c>
    </row>
    <row r="455" customFormat="false" ht="15" hidden="false" customHeight="false" outlineLevel="0" collapsed="false">
      <c r="A455" s="83" t="str">
        <f aca="false">IFERROR(IF(INDEX(원자료_잔고!$A$1:$EZ$1500,설정!$L$5+ROW()-1,설정!$L$8)&amp;""="0","",INDEX(원자료_잔고!$A$1:$EZ$1500,설정!$L$5+ROW()-1,설정!$L$8)&amp;""),"")</f>
        <v/>
      </c>
      <c r="B455" s="83" t="str">
        <f aca="false">IFERROR(IF(INDEX(원자료_잔고!$A$1:$EZ$1500,설정!$L$5+ROW()-1,설정!$L$7)&amp;""="0","",INDEX(원자료_잔고!$A$1:$EZ$1500,설정!$L$5+ROW()-1,설정!$L$7)&amp;""),"")</f>
        <v/>
      </c>
      <c r="C455" s="83" t="str">
        <f aca="false">IFERROR(IF(INDEX(원자료_잔고!$A$1:$EZ$1500,설정!$L$5+ROW()-1,설정!$L$9)&amp;""="0","",INDEX(원자료_잔고!$A$1:$EZ$1500,설정!$L$5+ROW()-1,설정!$L$9)&amp;""),"")</f>
        <v/>
      </c>
      <c r="D455" s="83" t="str">
        <f aca="false">IFERROR(IF(INDEX(원자료_잔고!$A$1:$EZ$1500,설정!$L$5+ROW()-1,설정!$L$10)&amp;""="0","",INDEX(원자료_잔고!$A$1:$EZ$1500,설정!$L$5+ROW()-1,설정!$L$10)&amp;""),"")</f>
        <v/>
      </c>
      <c r="E455" s="84" t="str">
        <f aca="false">IFERROR(IF(ISNUMBER(INDEX(원자료_잔고!$A$1:$EZ$1500,설정!$L$5+ROW()-1,설정!$L$11)),INDEX(원자료_잔고!$A$1:$EZ$1500,설정!$L$5+ROW()-1,설정!$L$11),""),"")</f>
        <v/>
      </c>
      <c r="F455" s="85" t="str">
        <f aca="false">IFERROR(IF(ISNUMBER(INDEX(원자료_잔고!$A$1:$EZ$1500,설정!$L$5+ROW()-1,설정!$L$12)),INDEX(원자료_잔고!$A$1:$EZ$1500,설정!$L$5+ROW()-1,설정!$L$12),""),"")</f>
        <v/>
      </c>
      <c r="G455" s="85" t="str">
        <f aca="false">IFERROR(IF(ISNUMBER(INDEX(원자료_잔고!$A$1:$EZ$1500,설정!$L$5+ROW()-1,설정!$L$13)),INDEX(원자료_잔고!$A$1:$EZ$1500,설정!$L$5+ROW()-1,설정!$L$13),""),"")</f>
        <v/>
      </c>
      <c r="H455" s="85" t="str">
        <f aca="false">IFERROR(IF(ISNUMBER(INDEX(원자료_잔고!$A$1:$EZ$1500,설정!$L$5+ROW()-1,설정!$L$14)),INDEX(원자료_잔고!$A$1:$EZ$1500,설정!$L$5+ROW()-1,설정!$L$14),""),"")</f>
        <v/>
      </c>
      <c r="I455" s="86" t="str">
        <f aca="false">IFERROR(IF(ISNUMBER(INDEX(원자료_잔고!$A$1:$EZ$1500,설정!$L$5+ROW()-1,설정!$L$15)),INDEX(원자료_잔고!$A$1:$EZ$1500,설정!$L$5+ROW()-1,설정!$L$15),""),"")</f>
        <v/>
      </c>
      <c r="J455" s="85" t="str">
        <f aca="false">IFERROR(IF(ISNUMBER(INDEX(원자료_잔고!$A$1:$EZ$1500,설정!$L$5+ROW()-1,설정!$L$16)),INDEX(원자료_잔고!$A$1:$EZ$1500,설정!$L$5+ROW()-1,설정!$L$16),""),"")</f>
        <v/>
      </c>
      <c r="K455" s="87" t="str">
        <f aca="false">IFERROR(IF(ISNUMBER(INDEX(원자료_잔고!$A$1:$EZ$1500,설정!$L$5+ROW()-1,설정!$L$17)),INDEX(원자료_잔고!$A$1:$EZ$1500,설정!$L$5+ROW()-1,설정!$L$17),""),"")</f>
        <v/>
      </c>
      <c r="L455" s="84" t="str">
        <f aca="false">IFERROR(IF(ISNUMBER(INDEX(원자료_잔고!$A$1:$EZ$1500,설정!$L$5+ROW()-1,설정!$L$18)),INDEX(원자료_잔고!$A$1:$EZ$1500,설정!$L$5+ROW()-1,설정!$L$18),""),"")</f>
        <v/>
      </c>
      <c r="M455" s="88" t="str">
        <f aca="false">IFERROR(IF(ISNUMBER(INDEX(원자료_잔고!$A$1:$EZ$1500,설정!$L$5+ROW()-1,설정!$L$19)),INDEX(원자료_잔고!$A$1:$EZ$1500,설정!$L$5+ROW()-1,설정!$L$19),""),"")</f>
        <v/>
      </c>
      <c r="N455" s="83" t="str">
        <f aca="false">IFERROR(IF(INDEX(원자료_잔고!$A$1:$EZ$1500,설정!$L$5+ROW()-1,설정!$L$21)&amp;""="0","",INDEX(원자료_잔고!$A$1:$EZ$1500,설정!$L$5+ROW()-1,설정!$L$21)&amp;""),"")</f>
        <v/>
      </c>
      <c r="O455" s="83" t="str">
        <f aca="false">IFERROR(IF(INDEX(원자료_잔고!$A$1:$EZ$1500,설정!$L$5+ROW()-1,설정!$L$22)&amp;""="0","",INDEX(원자료_잔고!$A$1:$EZ$1500,설정!$L$5+ROW()-1,설정!$L$22)&amp;""),"")</f>
        <v/>
      </c>
      <c r="P455" s="83" t="str">
        <f aca="false">IFERROR(IF(INDEX(원자료_잔고!$A$1:$EZ$1500,설정!$L$5+ROW()-1,설정!$L$23)&amp;""="0","",INDEX(원자료_잔고!$A$1:$EZ$1500,설정!$L$5+ROW()-1,설정!$L$23)&amp;""),"")</f>
        <v/>
      </c>
      <c r="Q455" s="89" t="n">
        <f aca="false">IF(AND($A455&lt;&gt;"",ISNUMBER(E455)),IF(E455&gt;0,1,0),0)</f>
        <v>0</v>
      </c>
      <c r="R455" s="43" t="str">
        <f aca="false">IF(Q455=1,UPPER(LEFT($A455,FIND(" ",$A455&amp;" ")-1)),"")</f>
        <v/>
      </c>
      <c r="S455" s="89" t="n">
        <f aca="false">IF(Q455=1,IF(OR(ISNUMBER(SEARCH("Float",$A455)),ISNUMBER(SEARCH("FRN",$A455))),1,0),0)</f>
        <v>0</v>
      </c>
      <c r="T455" s="43" t="str">
        <f aca="false">IF(AND(Q455=1,ISNUMBER(I455)),TEXT(I455,"yyyymmdd")&amp;"|"&amp;IF(S455=1,"F",TEXT(J455,"0.000")),"")</f>
        <v/>
      </c>
      <c r="U455" s="90" t="str">
        <f aca="false">IF(AND(Q455=1,ISNUMBER(I455)),(I455-설정!$C$4)/365.25,"")</f>
        <v/>
      </c>
      <c r="V455" s="43" t="str">
        <f aca="false">IF(Q455&lt;&gt;1,"",IF(ISNUMBER(U455),IF(U455&lt;=1,"1년 이하",IF(U455&lt;=2,"1-2년",IF(U455&lt;=3,"2-3년",IF(U455&lt;=4,"3-4년",IF(U455&lt;=5,"4-5년",IF(U455&lt;=7,"5-7년",IF(U455&lt;=10,"7-10년",IF(U455&lt;=20,"10-20년","20년 이상")))))))),"미분류"))</f>
        <v/>
      </c>
      <c r="W455" s="43" t="str">
        <f aca="false">IF(Q455&lt;&gt;1,"",IF(AB455&lt;&gt;"",INDEX(시장분석!$C:$C,AB455),IF(K455=1,"USD","비USD")))</f>
        <v/>
      </c>
      <c r="X455" s="91" t="n">
        <f aca="false">IF(Q455=1,E455*K455/1000000,0)</f>
        <v>0</v>
      </c>
      <c r="Y455" s="89" t="n">
        <f aca="false">IF(R455="T",1,0)</f>
        <v>0</v>
      </c>
      <c r="Z455" s="92" t="str">
        <f aca="false">IF(Q455&lt;&gt;1,"",IF(AD455=1,IF(ISNUMBER(U455),MAX(U455,0),H455),H455))</f>
        <v/>
      </c>
      <c r="AA455" s="91" t="n">
        <f aca="false">IF(Q455=1,IF(ISNUMBER(L455),L455,0)*K455/1000000,0)</f>
        <v>0</v>
      </c>
      <c r="AB455" s="89" t="str">
        <f aca="false">IF(Q455&lt;&gt;1,"",IFERROR(MATCH(VLOOKUP(B455,매핑!$H$4:$I$15,2,0),시장분석!$A$2:$A$601,0)+1,IFERROR(MATCH(R455&amp;"|"&amp;T455,시장분석!$V$2:$V$601,0)+1,IF(COUNTIF(시장분석!$U$2:$U$601,T455)=1,MATCH(T455,시장분석!$U$2:$U$601,0)+1,""))))</f>
        <v/>
      </c>
      <c r="AC455" s="89" t="n">
        <f aca="false">IF(Q455&lt;&gt;1,0,IF(OR(설정!$C$5="전체",AND(설정!$C$5="선택펀드",IFERROR(COUNTIFS(설정!$F$16:$F$36,C455,설정!$G$16:$G$36,"Y")+COUNTIFS(설정!$F$16:$F$36,VALUE(C455),설정!$G$16:$G$36,"Y"),0)&gt;0),C455&amp;""=설정!$C$5&amp;""),1,0))</f>
        <v>0</v>
      </c>
      <c r="AD455" s="89" t="n">
        <f aca="false">IF(Q455&lt;&gt;1,0,IF(OR(S455=1,IF(AB455="",FALSE(),INDEX(시장분석!$R:$R,AB455)=1)),1,0))</f>
        <v>0</v>
      </c>
      <c r="AE455" s="43" t="str">
        <f aca="false">IF(AB455="","",INDEX(시장분석!$A:$A,AB455))</f>
        <v/>
      </c>
      <c r="AF455" s="93" t="str">
        <f aca="false">IF(AB455="","",IF(ISNUMBER(IF(AB455="","",INDEX(시장분석!$E:$E,AB455))),IF(AB455="","",INDEX(시장분석!$E:$E,AB455)),""))</f>
        <v/>
      </c>
      <c r="AG455" s="43" t="str">
        <f aca="false">IF(Q455&lt;&gt;1,"",IF(AB455&lt;&gt;"",IF(AB455="","",INDEX(시장분석!$L:$L,AB455)),IFERROR(IF(VLOOKUP(R455,매핑!$A$4:$E$92,5,0)="","미분류",VLOOKUP(R455,매핑!$A$4:$E$92,5,0)),"미분류")))</f>
        <v/>
      </c>
      <c r="AH455" s="43" t="str">
        <f aca="false">IF(Q455&lt;&gt;1,"",IF(AB455&lt;&gt;"",IF(AB455="","",INDEX(시장분석!$N:$N,AB455)),IFERROR(IF(VLOOKUP(R455,매핑!$A$4:$E$92,4,0)="","미분류",VLOOKUP(R455,매핑!$A$4:$E$92,4,0)),"미분류")))</f>
        <v/>
      </c>
      <c r="AI455" s="43" t="str">
        <f aca="false">IF(Q455&lt;&gt;1,"",IFERROR(IF(VLOOKUP(R455,매핑!$A$4:$E$92,3,0)="","미분류",VLOOKUP(R455,매핑!$A$4:$E$92,3,0)),IF(AB455&lt;&gt;"",IF(AB455="","",INDEX(시장분석!$W:$W,AB455)),"미분류")))</f>
        <v/>
      </c>
      <c r="AJ455" s="43" t="str">
        <f aca="false">IF(Q455&lt;&gt;1,"",IFERROR(VLOOKUP(IF(N455&lt;&gt;"",N455,IF(P455&lt;&gt;"",P455,O455)),설정!$A$15:$D$47,2,0),""))</f>
        <v/>
      </c>
      <c r="AK455" s="43" t="str">
        <f aca="false">IF(Q455&lt;&gt;1,"",IF(AJ455="","무등급",IFERROR(VLOOKUP(AJ455,설정!$A$15:$D$47,3,0),"무등급")))</f>
        <v/>
      </c>
      <c r="AL455" s="89" t="n">
        <f aca="false">IF(AJ455="",99,IFERROR(VLOOKUP(AJ455,설정!$A$15:$D$47,4,0),99))</f>
        <v>99</v>
      </c>
      <c r="AM455" s="94" t="n">
        <f aca="false">IF(ISNUMBER(H455),AA455*1000000*H455/10000,0)</f>
        <v>0</v>
      </c>
      <c r="AN455" s="94" t="n">
        <f aca="false">IF(OR(Y455=1,NOT(ISNUMBER(Z455))),0,AA455*1000000*Z455/10000)</f>
        <v>0</v>
      </c>
      <c r="AO455" s="94" t="n">
        <f aca="false">IF(ISNUMBER(G455),AA455*1000000*G455/100,0)</f>
        <v>0</v>
      </c>
      <c r="AP455" s="94" t="n">
        <f aca="false">IF(ISNUMBER(M455),M455*K455,0)</f>
        <v>0</v>
      </c>
      <c r="AQ455" s="95" t="str">
        <f aca="false">IF(AB455="","",INDEX(시장분석!$AK:$AK,AB455))</f>
        <v/>
      </c>
      <c r="AR455" s="43" t="str">
        <f aca="false">IF(AB455="","-",IF(AB455="","",INDEX(시장분석!$AL:$AL,AB455)))</f>
        <v>-</v>
      </c>
      <c r="AS455" s="96" t="str">
        <f aca="false">IF(AB455="","",INDEX(시장분석!$AJ:$AJ,AB455))</f>
        <v/>
      </c>
      <c r="AT455" s="93" t="n">
        <f aca="false">IF(AB455="",0,IF(AB455="","",INDEX(시장분석!$AN:$AN,AB455)))</f>
        <v>0</v>
      </c>
      <c r="AU455" s="94" t="n">
        <f aca="false">IF(ISNUMBER(Z455),AT455/10000*MAX(Z455-1,0)*AA455*1000000,0)</f>
        <v>0</v>
      </c>
      <c r="AV455" s="94" t="n">
        <f aca="false">AO455+AU455</f>
        <v>0</v>
      </c>
      <c r="AW455" s="43" t="str">
        <f aca="false">IF(Q455&lt;&gt;1,"",TRIM(IF(AD455=1,"FRN ","")&amp;IF(AND(AL455&gt;=10,AL455&lt;99),"BBB0미만 ","")&amp;IF(AJ455="","등급없음 ","")&amp;IF(K455&lt;&gt;1,"비USD ","")&amp;IF(AND(AB455="",Y455=0),"시장데이터없음 ","")&amp;IF(AND(ISNUMBER(U455),U455&lt;0),"만기경과 ","")))</f>
        <v/>
      </c>
      <c r="AX455" s="90" t="n">
        <f aca="false">IF(Q455&lt;&gt;1,1,IF(스프레드쇼크!$C$4="Y",INDEX(스프레드쇼크!$B$12:$L$16,IFERROR(MATCH(AH455,스프레드쇼크!$A$12:$A$16,0),MATCH("목록외",스프레드쇼크!$A$12:$A$16,0)),IFERROR(MATCH(AG455,스프레드쇼크!$B$11:$L$11,0),MATCH("목록외",스프레드쇼크!$B$11:$L$11,0))),1))</f>
        <v>1</v>
      </c>
      <c r="AY455" s="90" t="n">
        <f aca="false">IF(스프레드쇼크!$C$5="Y",IF(ISNUMBER(AF455),MIN(스프레드쇼크!$C$7,MAX(스프레드쇼크!$C$6,AF455/스프레드쇼크!$C$8)),1),1)</f>
        <v>1</v>
      </c>
      <c r="AZ455" s="94" t="n">
        <f aca="false">AN455*AX455*AY455</f>
        <v>0</v>
      </c>
      <c r="BA455" s="90" t="n">
        <f aca="false">IF(ISNUMBER(G455),AA455*G455,0)</f>
        <v>0</v>
      </c>
      <c r="BB455" s="90" t="n">
        <f aca="false">IF(ISNUMBER(G455),AA455,0)</f>
        <v>0</v>
      </c>
      <c r="BC455" s="90" t="n">
        <f aca="false">IF(AND(Y455=0,ISNUMBER(AF455)),AA455*AF455,0)</f>
        <v>0</v>
      </c>
      <c r="BD455" s="90" t="n">
        <f aca="false">IF(AND(Y455=0,ISNUMBER(AF455)),AA455,0)</f>
        <v>0</v>
      </c>
      <c r="BE455" s="90" t="n">
        <f aca="false">IF(ISNUMBER(H455),AA455*H455,0)</f>
        <v>0</v>
      </c>
      <c r="BF455" s="90" t="n">
        <f aca="false">IF(ISNUMBER(H455),AA455,0)</f>
        <v>0</v>
      </c>
      <c r="BG455" s="90" t="n">
        <f aca="false">IF(AND(Y455=0,ISNUMBER(AF455),ISNUMBER(Z455)),AA455*Z455,0)</f>
        <v>0</v>
      </c>
      <c r="BH455" s="90" t="n">
        <f aca="false">IF(AND(Y455=0,ISNUMBER(AF455),ISNUMBER(Z455)),AA455*AT455*MAX(Z455-1,0),0)</f>
        <v>0</v>
      </c>
      <c r="BI455" s="90" t="n">
        <f aca="false">IF(Y455=0,AA455,0)</f>
        <v>0</v>
      </c>
    </row>
    <row r="456" customFormat="false" ht="15" hidden="false" customHeight="false" outlineLevel="0" collapsed="false">
      <c r="A456" s="83" t="str">
        <f aca="false">IFERROR(IF(INDEX(원자료_잔고!$A$1:$EZ$1500,설정!$L$5+ROW()-1,설정!$L$8)&amp;""="0","",INDEX(원자료_잔고!$A$1:$EZ$1500,설정!$L$5+ROW()-1,설정!$L$8)&amp;""),"")</f>
        <v/>
      </c>
      <c r="B456" s="83" t="str">
        <f aca="false">IFERROR(IF(INDEX(원자료_잔고!$A$1:$EZ$1500,설정!$L$5+ROW()-1,설정!$L$7)&amp;""="0","",INDEX(원자료_잔고!$A$1:$EZ$1500,설정!$L$5+ROW()-1,설정!$L$7)&amp;""),"")</f>
        <v/>
      </c>
      <c r="C456" s="83" t="str">
        <f aca="false">IFERROR(IF(INDEX(원자료_잔고!$A$1:$EZ$1500,설정!$L$5+ROW()-1,설정!$L$9)&amp;""="0","",INDEX(원자료_잔고!$A$1:$EZ$1500,설정!$L$5+ROW()-1,설정!$L$9)&amp;""),"")</f>
        <v/>
      </c>
      <c r="D456" s="83" t="str">
        <f aca="false">IFERROR(IF(INDEX(원자료_잔고!$A$1:$EZ$1500,설정!$L$5+ROW()-1,설정!$L$10)&amp;""="0","",INDEX(원자료_잔고!$A$1:$EZ$1500,설정!$L$5+ROW()-1,설정!$L$10)&amp;""),"")</f>
        <v/>
      </c>
      <c r="E456" s="84" t="str">
        <f aca="false">IFERROR(IF(ISNUMBER(INDEX(원자료_잔고!$A$1:$EZ$1500,설정!$L$5+ROW()-1,설정!$L$11)),INDEX(원자료_잔고!$A$1:$EZ$1500,설정!$L$5+ROW()-1,설정!$L$11),""),"")</f>
        <v/>
      </c>
      <c r="F456" s="85" t="str">
        <f aca="false">IFERROR(IF(ISNUMBER(INDEX(원자료_잔고!$A$1:$EZ$1500,설정!$L$5+ROW()-1,설정!$L$12)),INDEX(원자료_잔고!$A$1:$EZ$1500,설정!$L$5+ROW()-1,설정!$L$12),""),"")</f>
        <v/>
      </c>
      <c r="G456" s="85" t="str">
        <f aca="false">IFERROR(IF(ISNUMBER(INDEX(원자료_잔고!$A$1:$EZ$1500,설정!$L$5+ROW()-1,설정!$L$13)),INDEX(원자료_잔고!$A$1:$EZ$1500,설정!$L$5+ROW()-1,설정!$L$13),""),"")</f>
        <v/>
      </c>
      <c r="H456" s="85" t="str">
        <f aca="false">IFERROR(IF(ISNUMBER(INDEX(원자료_잔고!$A$1:$EZ$1500,설정!$L$5+ROW()-1,설정!$L$14)),INDEX(원자료_잔고!$A$1:$EZ$1500,설정!$L$5+ROW()-1,설정!$L$14),""),"")</f>
        <v/>
      </c>
      <c r="I456" s="86" t="str">
        <f aca="false">IFERROR(IF(ISNUMBER(INDEX(원자료_잔고!$A$1:$EZ$1500,설정!$L$5+ROW()-1,설정!$L$15)),INDEX(원자료_잔고!$A$1:$EZ$1500,설정!$L$5+ROW()-1,설정!$L$15),""),"")</f>
        <v/>
      </c>
      <c r="J456" s="85" t="str">
        <f aca="false">IFERROR(IF(ISNUMBER(INDEX(원자료_잔고!$A$1:$EZ$1500,설정!$L$5+ROW()-1,설정!$L$16)),INDEX(원자료_잔고!$A$1:$EZ$1500,설정!$L$5+ROW()-1,설정!$L$16),""),"")</f>
        <v/>
      </c>
      <c r="K456" s="87" t="str">
        <f aca="false">IFERROR(IF(ISNUMBER(INDEX(원자료_잔고!$A$1:$EZ$1500,설정!$L$5+ROW()-1,설정!$L$17)),INDEX(원자료_잔고!$A$1:$EZ$1500,설정!$L$5+ROW()-1,설정!$L$17),""),"")</f>
        <v/>
      </c>
      <c r="L456" s="84" t="str">
        <f aca="false">IFERROR(IF(ISNUMBER(INDEX(원자료_잔고!$A$1:$EZ$1500,설정!$L$5+ROW()-1,설정!$L$18)),INDEX(원자료_잔고!$A$1:$EZ$1500,설정!$L$5+ROW()-1,설정!$L$18),""),"")</f>
        <v/>
      </c>
      <c r="M456" s="88" t="str">
        <f aca="false">IFERROR(IF(ISNUMBER(INDEX(원자료_잔고!$A$1:$EZ$1500,설정!$L$5+ROW()-1,설정!$L$19)),INDEX(원자료_잔고!$A$1:$EZ$1500,설정!$L$5+ROW()-1,설정!$L$19),""),"")</f>
        <v/>
      </c>
      <c r="N456" s="83" t="str">
        <f aca="false">IFERROR(IF(INDEX(원자료_잔고!$A$1:$EZ$1500,설정!$L$5+ROW()-1,설정!$L$21)&amp;""="0","",INDEX(원자료_잔고!$A$1:$EZ$1500,설정!$L$5+ROW()-1,설정!$L$21)&amp;""),"")</f>
        <v/>
      </c>
      <c r="O456" s="83" t="str">
        <f aca="false">IFERROR(IF(INDEX(원자료_잔고!$A$1:$EZ$1500,설정!$L$5+ROW()-1,설정!$L$22)&amp;""="0","",INDEX(원자료_잔고!$A$1:$EZ$1500,설정!$L$5+ROW()-1,설정!$L$22)&amp;""),"")</f>
        <v/>
      </c>
      <c r="P456" s="83" t="str">
        <f aca="false">IFERROR(IF(INDEX(원자료_잔고!$A$1:$EZ$1500,설정!$L$5+ROW()-1,설정!$L$23)&amp;""="0","",INDEX(원자료_잔고!$A$1:$EZ$1500,설정!$L$5+ROW()-1,설정!$L$23)&amp;""),"")</f>
        <v/>
      </c>
      <c r="Q456" s="89" t="n">
        <f aca="false">IF(AND($A456&lt;&gt;"",ISNUMBER(E456)),IF(E456&gt;0,1,0),0)</f>
        <v>0</v>
      </c>
      <c r="R456" s="43" t="str">
        <f aca="false">IF(Q456=1,UPPER(LEFT($A456,FIND(" ",$A456&amp;" ")-1)),"")</f>
        <v/>
      </c>
      <c r="S456" s="89" t="n">
        <f aca="false">IF(Q456=1,IF(OR(ISNUMBER(SEARCH("Float",$A456)),ISNUMBER(SEARCH("FRN",$A456))),1,0),0)</f>
        <v>0</v>
      </c>
      <c r="T456" s="43" t="str">
        <f aca="false">IF(AND(Q456=1,ISNUMBER(I456)),TEXT(I456,"yyyymmdd")&amp;"|"&amp;IF(S456=1,"F",TEXT(J456,"0.000")),"")</f>
        <v/>
      </c>
      <c r="U456" s="90" t="str">
        <f aca="false">IF(AND(Q456=1,ISNUMBER(I456)),(I456-설정!$C$4)/365.25,"")</f>
        <v/>
      </c>
      <c r="V456" s="43" t="str">
        <f aca="false">IF(Q456&lt;&gt;1,"",IF(ISNUMBER(U456),IF(U456&lt;=1,"1년 이하",IF(U456&lt;=2,"1-2년",IF(U456&lt;=3,"2-3년",IF(U456&lt;=4,"3-4년",IF(U456&lt;=5,"4-5년",IF(U456&lt;=7,"5-7년",IF(U456&lt;=10,"7-10년",IF(U456&lt;=20,"10-20년","20년 이상")))))))),"미분류"))</f>
        <v/>
      </c>
      <c r="W456" s="43" t="str">
        <f aca="false">IF(Q456&lt;&gt;1,"",IF(AB456&lt;&gt;"",INDEX(시장분석!$C:$C,AB456),IF(K456=1,"USD","비USD")))</f>
        <v/>
      </c>
      <c r="X456" s="91" t="n">
        <f aca="false">IF(Q456=1,E456*K456/1000000,0)</f>
        <v>0</v>
      </c>
      <c r="Y456" s="89" t="n">
        <f aca="false">IF(R456="T",1,0)</f>
        <v>0</v>
      </c>
      <c r="Z456" s="92" t="str">
        <f aca="false">IF(Q456&lt;&gt;1,"",IF(AD456=1,IF(ISNUMBER(U456),MAX(U456,0),H456),H456))</f>
        <v/>
      </c>
      <c r="AA456" s="91" t="n">
        <f aca="false">IF(Q456=1,IF(ISNUMBER(L456),L456,0)*K456/1000000,0)</f>
        <v>0</v>
      </c>
      <c r="AB456" s="89" t="str">
        <f aca="false">IF(Q456&lt;&gt;1,"",IFERROR(MATCH(VLOOKUP(B456,매핑!$H$4:$I$15,2,0),시장분석!$A$2:$A$601,0)+1,IFERROR(MATCH(R456&amp;"|"&amp;T456,시장분석!$V$2:$V$601,0)+1,IF(COUNTIF(시장분석!$U$2:$U$601,T456)=1,MATCH(T456,시장분석!$U$2:$U$601,0)+1,""))))</f>
        <v/>
      </c>
      <c r="AC456" s="89" t="n">
        <f aca="false">IF(Q456&lt;&gt;1,0,IF(OR(설정!$C$5="전체",AND(설정!$C$5="선택펀드",IFERROR(COUNTIFS(설정!$F$16:$F$36,C456,설정!$G$16:$G$36,"Y")+COUNTIFS(설정!$F$16:$F$36,VALUE(C456),설정!$G$16:$G$36,"Y"),0)&gt;0),C456&amp;""=설정!$C$5&amp;""),1,0))</f>
        <v>0</v>
      </c>
      <c r="AD456" s="89" t="n">
        <f aca="false">IF(Q456&lt;&gt;1,0,IF(OR(S456=1,IF(AB456="",FALSE(),INDEX(시장분석!$R:$R,AB456)=1)),1,0))</f>
        <v>0</v>
      </c>
      <c r="AE456" s="43" t="str">
        <f aca="false">IF(AB456="","",INDEX(시장분석!$A:$A,AB456))</f>
        <v/>
      </c>
      <c r="AF456" s="93" t="str">
        <f aca="false">IF(AB456="","",IF(ISNUMBER(IF(AB456="","",INDEX(시장분석!$E:$E,AB456))),IF(AB456="","",INDEX(시장분석!$E:$E,AB456)),""))</f>
        <v/>
      </c>
      <c r="AG456" s="43" t="str">
        <f aca="false">IF(Q456&lt;&gt;1,"",IF(AB456&lt;&gt;"",IF(AB456="","",INDEX(시장분석!$L:$L,AB456)),IFERROR(IF(VLOOKUP(R456,매핑!$A$4:$E$92,5,0)="","미분류",VLOOKUP(R456,매핑!$A$4:$E$92,5,0)),"미분류")))</f>
        <v/>
      </c>
      <c r="AH456" s="43" t="str">
        <f aca="false">IF(Q456&lt;&gt;1,"",IF(AB456&lt;&gt;"",IF(AB456="","",INDEX(시장분석!$N:$N,AB456)),IFERROR(IF(VLOOKUP(R456,매핑!$A$4:$E$92,4,0)="","미분류",VLOOKUP(R456,매핑!$A$4:$E$92,4,0)),"미분류")))</f>
        <v/>
      </c>
      <c r="AI456" s="43" t="str">
        <f aca="false">IF(Q456&lt;&gt;1,"",IFERROR(IF(VLOOKUP(R456,매핑!$A$4:$E$92,3,0)="","미분류",VLOOKUP(R456,매핑!$A$4:$E$92,3,0)),IF(AB456&lt;&gt;"",IF(AB456="","",INDEX(시장분석!$W:$W,AB456)),"미분류")))</f>
        <v/>
      </c>
      <c r="AJ456" s="43" t="str">
        <f aca="false">IF(Q456&lt;&gt;1,"",IFERROR(VLOOKUP(IF(N456&lt;&gt;"",N456,IF(P456&lt;&gt;"",P456,O456)),설정!$A$15:$D$47,2,0),""))</f>
        <v/>
      </c>
      <c r="AK456" s="43" t="str">
        <f aca="false">IF(Q456&lt;&gt;1,"",IF(AJ456="","무등급",IFERROR(VLOOKUP(AJ456,설정!$A$15:$D$47,3,0),"무등급")))</f>
        <v/>
      </c>
      <c r="AL456" s="89" t="n">
        <f aca="false">IF(AJ456="",99,IFERROR(VLOOKUP(AJ456,설정!$A$15:$D$47,4,0),99))</f>
        <v>99</v>
      </c>
      <c r="AM456" s="94" t="n">
        <f aca="false">IF(ISNUMBER(H456),AA456*1000000*H456/10000,0)</f>
        <v>0</v>
      </c>
      <c r="AN456" s="94" t="n">
        <f aca="false">IF(OR(Y456=1,NOT(ISNUMBER(Z456))),0,AA456*1000000*Z456/10000)</f>
        <v>0</v>
      </c>
      <c r="AO456" s="94" t="n">
        <f aca="false">IF(ISNUMBER(G456),AA456*1000000*G456/100,0)</f>
        <v>0</v>
      </c>
      <c r="AP456" s="94" t="n">
        <f aca="false">IF(ISNUMBER(M456),M456*K456,0)</f>
        <v>0</v>
      </c>
      <c r="AQ456" s="95" t="str">
        <f aca="false">IF(AB456="","",INDEX(시장분석!$AK:$AK,AB456))</f>
        <v/>
      </c>
      <c r="AR456" s="43" t="str">
        <f aca="false">IF(AB456="","-",IF(AB456="","",INDEX(시장분석!$AL:$AL,AB456)))</f>
        <v>-</v>
      </c>
      <c r="AS456" s="96" t="str">
        <f aca="false">IF(AB456="","",INDEX(시장분석!$AJ:$AJ,AB456))</f>
        <v/>
      </c>
      <c r="AT456" s="93" t="n">
        <f aca="false">IF(AB456="",0,IF(AB456="","",INDEX(시장분석!$AN:$AN,AB456)))</f>
        <v>0</v>
      </c>
      <c r="AU456" s="94" t="n">
        <f aca="false">IF(ISNUMBER(Z456),AT456/10000*MAX(Z456-1,0)*AA456*1000000,0)</f>
        <v>0</v>
      </c>
      <c r="AV456" s="94" t="n">
        <f aca="false">AO456+AU456</f>
        <v>0</v>
      </c>
      <c r="AW456" s="43" t="str">
        <f aca="false">IF(Q456&lt;&gt;1,"",TRIM(IF(AD456=1,"FRN ","")&amp;IF(AND(AL456&gt;=10,AL456&lt;99),"BBB0미만 ","")&amp;IF(AJ456="","등급없음 ","")&amp;IF(K456&lt;&gt;1,"비USD ","")&amp;IF(AND(AB456="",Y456=0),"시장데이터없음 ","")&amp;IF(AND(ISNUMBER(U456),U456&lt;0),"만기경과 ","")))</f>
        <v/>
      </c>
      <c r="AX456" s="90" t="n">
        <f aca="false">IF(Q456&lt;&gt;1,1,IF(스프레드쇼크!$C$4="Y",INDEX(스프레드쇼크!$B$12:$L$16,IFERROR(MATCH(AH456,스프레드쇼크!$A$12:$A$16,0),MATCH("목록외",스프레드쇼크!$A$12:$A$16,0)),IFERROR(MATCH(AG456,스프레드쇼크!$B$11:$L$11,0),MATCH("목록외",스프레드쇼크!$B$11:$L$11,0))),1))</f>
        <v>1</v>
      </c>
      <c r="AY456" s="90" t="n">
        <f aca="false">IF(스프레드쇼크!$C$5="Y",IF(ISNUMBER(AF456),MIN(스프레드쇼크!$C$7,MAX(스프레드쇼크!$C$6,AF456/스프레드쇼크!$C$8)),1),1)</f>
        <v>1</v>
      </c>
      <c r="AZ456" s="94" t="n">
        <f aca="false">AN456*AX456*AY456</f>
        <v>0</v>
      </c>
      <c r="BA456" s="90" t="n">
        <f aca="false">IF(ISNUMBER(G456),AA456*G456,0)</f>
        <v>0</v>
      </c>
      <c r="BB456" s="90" t="n">
        <f aca="false">IF(ISNUMBER(G456),AA456,0)</f>
        <v>0</v>
      </c>
      <c r="BC456" s="90" t="n">
        <f aca="false">IF(AND(Y456=0,ISNUMBER(AF456)),AA456*AF456,0)</f>
        <v>0</v>
      </c>
      <c r="BD456" s="90" t="n">
        <f aca="false">IF(AND(Y456=0,ISNUMBER(AF456)),AA456,0)</f>
        <v>0</v>
      </c>
      <c r="BE456" s="90" t="n">
        <f aca="false">IF(ISNUMBER(H456),AA456*H456,0)</f>
        <v>0</v>
      </c>
      <c r="BF456" s="90" t="n">
        <f aca="false">IF(ISNUMBER(H456),AA456,0)</f>
        <v>0</v>
      </c>
      <c r="BG456" s="90" t="n">
        <f aca="false">IF(AND(Y456=0,ISNUMBER(AF456),ISNUMBER(Z456)),AA456*Z456,0)</f>
        <v>0</v>
      </c>
      <c r="BH456" s="90" t="n">
        <f aca="false">IF(AND(Y456=0,ISNUMBER(AF456),ISNUMBER(Z456)),AA456*AT456*MAX(Z456-1,0),0)</f>
        <v>0</v>
      </c>
      <c r="BI456" s="90" t="n">
        <f aca="false">IF(Y456=0,AA456,0)</f>
        <v>0</v>
      </c>
    </row>
    <row r="457" customFormat="false" ht="15" hidden="false" customHeight="false" outlineLevel="0" collapsed="false">
      <c r="A457" s="83" t="str">
        <f aca="false">IFERROR(IF(INDEX(원자료_잔고!$A$1:$EZ$1500,설정!$L$5+ROW()-1,설정!$L$8)&amp;""="0","",INDEX(원자료_잔고!$A$1:$EZ$1500,설정!$L$5+ROW()-1,설정!$L$8)&amp;""),"")</f>
        <v/>
      </c>
      <c r="B457" s="83" t="str">
        <f aca="false">IFERROR(IF(INDEX(원자료_잔고!$A$1:$EZ$1500,설정!$L$5+ROW()-1,설정!$L$7)&amp;""="0","",INDEX(원자료_잔고!$A$1:$EZ$1500,설정!$L$5+ROW()-1,설정!$L$7)&amp;""),"")</f>
        <v/>
      </c>
      <c r="C457" s="83" t="str">
        <f aca="false">IFERROR(IF(INDEX(원자료_잔고!$A$1:$EZ$1500,설정!$L$5+ROW()-1,설정!$L$9)&amp;""="0","",INDEX(원자료_잔고!$A$1:$EZ$1500,설정!$L$5+ROW()-1,설정!$L$9)&amp;""),"")</f>
        <v/>
      </c>
      <c r="D457" s="83" t="str">
        <f aca="false">IFERROR(IF(INDEX(원자료_잔고!$A$1:$EZ$1500,설정!$L$5+ROW()-1,설정!$L$10)&amp;""="0","",INDEX(원자료_잔고!$A$1:$EZ$1500,설정!$L$5+ROW()-1,설정!$L$10)&amp;""),"")</f>
        <v/>
      </c>
      <c r="E457" s="84" t="str">
        <f aca="false">IFERROR(IF(ISNUMBER(INDEX(원자료_잔고!$A$1:$EZ$1500,설정!$L$5+ROW()-1,설정!$L$11)),INDEX(원자료_잔고!$A$1:$EZ$1500,설정!$L$5+ROW()-1,설정!$L$11),""),"")</f>
        <v/>
      </c>
      <c r="F457" s="85" t="str">
        <f aca="false">IFERROR(IF(ISNUMBER(INDEX(원자료_잔고!$A$1:$EZ$1500,설정!$L$5+ROW()-1,설정!$L$12)),INDEX(원자료_잔고!$A$1:$EZ$1500,설정!$L$5+ROW()-1,설정!$L$12),""),"")</f>
        <v/>
      </c>
      <c r="G457" s="85" t="str">
        <f aca="false">IFERROR(IF(ISNUMBER(INDEX(원자료_잔고!$A$1:$EZ$1500,설정!$L$5+ROW()-1,설정!$L$13)),INDEX(원자료_잔고!$A$1:$EZ$1500,설정!$L$5+ROW()-1,설정!$L$13),""),"")</f>
        <v/>
      </c>
      <c r="H457" s="85" t="str">
        <f aca="false">IFERROR(IF(ISNUMBER(INDEX(원자료_잔고!$A$1:$EZ$1500,설정!$L$5+ROW()-1,설정!$L$14)),INDEX(원자료_잔고!$A$1:$EZ$1500,설정!$L$5+ROW()-1,설정!$L$14),""),"")</f>
        <v/>
      </c>
      <c r="I457" s="86" t="str">
        <f aca="false">IFERROR(IF(ISNUMBER(INDEX(원자료_잔고!$A$1:$EZ$1500,설정!$L$5+ROW()-1,설정!$L$15)),INDEX(원자료_잔고!$A$1:$EZ$1500,설정!$L$5+ROW()-1,설정!$L$15),""),"")</f>
        <v/>
      </c>
      <c r="J457" s="85" t="str">
        <f aca="false">IFERROR(IF(ISNUMBER(INDEX(원자료_잔고!$A$1:$EZ$1500,설정!$L$5+ROW()-1,설정!$L$16)),INDEX(원자료_잔고!$A$1:$EZ$1500,설정!$L$5+ROW()-1,설정!$L$16),""),"")</f>
        <v/>
      </c>
      <c r="K457" s="87" t="str">
        <f aca="false">IFERROR(IF(ISNUMBER(INDEX(원자료_잔고!$A$1:$EZ$1500,설정!$L$5+ROW()-1,설정!$L$17)),INDEX(원자료_잔고!$A$1:$EZ$1500,설정!$L$5+ROW()-1,설정!$L$17),""),"")</f>
        <v/>
      </c>
      <c r="L457" s="84" t="str">
        <f aca="false">IFERROR(IF(ISNUMBER(INDEX(원자료_잔고!$A$1:$EZ$1500,설정!$L$5+ROW()-1,설정!$L$18)),INDEX(원자료_잔고!$A$1:$EZ$1500,설정!$L$5+ROW()-1,설정!$L$18),""),"")</f>
        <v/>
      </c>
      <c r="M457" s="88" t="str">
        <f aca="false">IFERROR(IF(ISNUMBER(INDEX(원자료_잔고!$A$1:$EZ$1500,설정!$L$5+ROW()-1,설정!$L$19)),INDEX(원자료_잔고!$A$1:$EZ$1500,설정!$L$5+ROW()-1,설정!$L$19),""),"")</f>
        <v/>
      </c>
      <c r="N457" s="83" t="str">
        <f aca="false">IFERROR(IF(INDEX(원자료_잔고!$A$1:$EZ$1500,설정!$L$5+ROW()-1,설정!$L$21)&amp;""="0","",INDEX(원자료_잔고!$A$1:$EZ$1500,설정!$L$5+ROW()-1,설정!$L$21)&amp;""),"")</f>
        <v/>
      </c>
      <c r="O457" s="83" t="str">
        <f aca="false">IFERROR(IF(INDEX(원자료_잔고!$A$1:$EZ$1500,설정!$L$5+ROW()-1,설정!$L$22)&amp;""="0","",INDEX(원자료_잔고!$A$1:$EZ$1500,설정!$L$5+ROW()-1,설정!$L$22)&amp;""),"")</f>
        <v/>
      </c>
      <c r="P457" s="83" t="str">
        <f aca="false">IFERROR(IF(INDEX(원자료_잔고!$A$1:$EZ$1500,설정!$L$5+ROW()-1,설정!$L$23)&amp;""="0","",INDEX(원자료_잔고!$A$1:$EZ$1500,설정!$L$5+ROW()-1,설정!$L$23)&amp;""),"")</f>
        <v/>
      </c>
      <c r="Q457" s="89" t="n">
        <f aca="false">IF(AND($A457&lt;&gt;"",ISNUMBER(E457)),IF(E457&gt;0,1,0),0)</f>
        <v>0</v>
      </c>
      <c r="R457" s="43" t="str">
        <f aca="false">IF(Q457=1,UPPER(LEFT($A457,FIND(" ",$A457&amp;" ")-1)),"")</f>
        <v/>
      </c>
      <c r="S457" s="89" t="n">
        <f aca="false">IF(Q457=1,IF(OR(ISNUMBER(SEARCH("Float",$A457)),ISNUMBER(SEARCH("FRN",$A457))),1,0),0)</f>
        <v>0</v>
      </c>
      <c r="T457" s="43" t="str">
        <f aca="false">IF(AND(Q457=1,ISNUMBER(I457)),TEXT(I457,"yyyymmdd")&amp;"|"&amp;IF(S457=1,"F",TEXT(J457,"0.000")),"")</f>
        <v/>
      </c>
      <c r="U457" s="90" t="str">
        <f aca="false">IF(AND(Q457=1,ISNUMBER(I457)),(I457-설정!$C$4)/365.25,"")</f>
        <v/>
      </c>
      <c r="V457" s="43" t="str">
        <f aca="false">IF(Q457&lt;&gt;1,"",IF(ISNUMBER(U457),IF(U457&lt;=1,"1년 이하",IF(U457&lt;=2,"1-2년",IF(U457&lt;=3,"2-3년",IF(U457&lt;=4,"3-4년",IF(U457&lt;=5,"4-5년",IF(U457&lt;=7,"5-7년",IF(U457&lt;=10,"7-10년",IF(U457&lt;=20,"10-20년","20년 이상")))))))),"미분류"))</f>
        <v/>
      </c>
      <c r="W457" s="43" t="str">
        <f aca="false">IF(Q457&lt;&gt;1,"",IF(AB457&lt;&gt;"",INDEX(시장분석!$C:$C,AB457),IF(K457=1,"USD","비USD")))</f>
        <v/>
      </c>
      <c r="X457" s="91" t="n">
        <f aca="false">IF(Q457=1,E457*K457/1000000,0)</f>
        <v>0</v>
      </c>
      <c r="Y457" s="89" t="n">
        <f aca="false">IF(R457="T",1,0)</f>
        <v>0</v>
      </c>
      <c r="Z457" s="92" t="str">
        <f aca="false">IF(Q457&lt;&gt;1,"",IF(AD457=1,IF(ISNUMBER(U457),MAX(U457,0),H457),H457))</f>
        <v/>
      </c>
      <c r="AA457" s="91" t="n">
        <f aca="false">IF(Q457=1,IF(ISNUMBER(L457),L457,0)*K457/1000000,0)</f>
        <v>0</v>
      </c>
      <c r="AB457" s="89" t="str">
        <f aca="false">IF(Q457&lt;&gt;1,"",IFERROR(MATCH(VLOOKUP(B457,매핑!$H$4:$I$15,2,0),시장분석!$A$2:$A$601,0)+1,IFERROR(MATCH(R457&amp;"|"&amp;T457,시장분석!$V$2:$V$601,0)+1,IF(COUNTIF(시장분석!$U$2:$U$601,T457)=1,MATCH(T457,시장분석!$U$2:$U$601,0)+1,""))))</f>
        <v/>
      </c>
      <c r="AC457" s="89" t="n">
        <f aca="false">IF(Q457&lt;&gt;1,0,IF(OR(설정!$C$5="전체",AND(설정!$C$5="선택펀드",IFERROR(COUNTIFS(설정!$F$16:$F$36,C457,설정!$G$16:$G$36,"Y")+COUNTIFS(설정!$F$16:$F$36,VALUE(C457),설정!$G$16:$G$36,"Y"),0)&gt;0),C457&amp;""=설정!$C$5&amp;""),1,0))</f>
        <v>0</v>
      </c>
      <c r="AD457" s="89" t="n">
        <f aca="false">IF(Q457&lt;&gt;1,0,IF(OR(S457=1,IF(AB457="",FALSE(),INDEX(시장분석!$R:$R,AB457)=1)),1,0))</f>
        <v>0</v>
      </c>
      <c r="AE457" s="43" t="str">
        <f aca="false">IF(AB457="","",INDEX(시장분석!$A:$A,AB457))</f>
        <v/>
      </c>
      <c r="AF457" s="93" t="str">
        <f aca="false">IF(AB457="","",IF(ISNUMBER(IF(AB457="","",INDEX(시장분석!$E:$E,AB457))),IF(AB457="","",INDEX(시장분석!$E:$E,AB457)),""))</f>
        <v/>
      </c>
      <c r="AG457" s="43" t="str">
        <f aca="false">IF(Q457&lt;&gt;1,"",IF(AB457&lt;&gt;"",IF(AB457="","",INDEX(시장분석!$L:$L,AB457)),IFERROR(IF(VLOOKUP(R457,매핑!$A$4:$E$92,5,0)="","미분류",VLOOKUP(R457,매핑!$A$4:$E$92,5,0)),"미분류")))</f>
        <v/>
      </c>
      <c r="AH457" s="43" t="str">
        <f aca="false">IF(Q457&lt;&gt;1,"",IF(AB457&lt;&gt;"",IF(AB457="","",INDEX(시장분석!$N:$N,AB457)),IFERROR(IF(VLOOKUP(R457,매핑!$A$4:$E$92,4,0)="","미분류",VLOOKUP(R457,매핑!$A$4:$E$92,4,0)),"미분류")))</f>
        <v/>
      </c>
      <c r="AI457" s="43" t="str">
        <f aca="false">IF(Q457&lt;&gt;1,"",IFERROR(IF(VLOOKUP(R457,매핑!$A$4:$E$92,3,0)="","미분류",VLOOKUP(R457,매핑!$A$4:$E$92,3,0)),IF(AB457&lt;&gt;"",IF(AB457="","",INDEX(시장분석!$W:$W,AB457)),"미분류")))</f>
        <v/>
      </c>
      <c r="AJ457" s="43" t="str">
        <f aca="false">IF(Q457&lt;&gt;1,"",IFERROR(VLOOKUP(IF(N457&lt;&gt;"",N457,IF(P457&lt;&gt;"",P457,O457)),설정!$A$15:$D$47,2,0),""))</f>
        <v/>
      </c>
      <c r="AK457" s="43" t="str">
        <f aca="false">IF(Q457&lt;&gt;1,"",IF(AJ457="","무등급",IFERROR(VLOOKUP(AJ457,설정!$A$15:$D$47,3,0),"무등급")))</f>
        <v/>
      </c>
      <c r="AL457" s="89" t="n">
        <f aca="false">IF(AJ457="",99,IFERROR(VLOOKUP(AJ457,설정!$A$15:$D$47,4,0),99))</f>
        <v>99</v>
      </c>
      <c r="AM457" s="94" t="n">
        <f aca="false">IF(ISNUMBER(H457),AA457*1000000*H457/10000,0)</f>
        <v>0</v>
      </c>
      <c r="AN457" s="94" t="n">
        <f aca="false">IF(OR(Y457=1,NOT(ISNUMBER(Z457))),0,AA457*1000000*Z457/10000)</f>
        <v>0</v>
      </c>
      <c r="AO457" s="94" t="n">
        <f aca="false">IF(ISNUMBER(G457),AA457*1000000*G457/100,0)</f>
        <v>0</v>
      </c>
      <c r="AP457" s="94" t="n">
        <f aca="false">IF(ISNUMBER(M457),M457*K457,0)</f>
        <v>0</v>
      </c>
      <c r="AQ457" s="95" t="str">
        <f aca="false">IF(AB457="","",INDEX(시장분석!$AK:$AK,AB457))</f>
        <v/>
      </c>
      <c r="AR457" s="43" t="str">
        <f aca="false">IF(AB457="","-",IF(AB457="","",INDEX(시장분석!$AL:$AL,AB457)))</f>
        <v>-</v>
      </c>
      <c r="AS457" s="96" t="str">
        <f aca="false">IF(AB457="","",INDEX(시장분석!$AJ:$AJ,AB457))</f>
        <v/>
      </c>
      <c r="AT457" s="93" t="n">
        <f aca="false">IF(AB457="",0,IF(AB457="","",INDEX(시장분석!$AN:$AN,AB457)))</f>
        <v>0</v>
      </c>
      <c r="AU457" s="94" t="n">
        <f aca="false">IF(ISNUMBER(Z457),AT457/10000*MAX(Z457-1,0)*AA457*1000000,0)</f>
        <v>0</v>
      </c>
      <c r="AV457" s="94" t="n">
        <f aca="false">AO457+AU457</f>
        <v>0</v>
      </c>
      <c r="AW457" s="43" t="str">
        <f aca="false">IF(Q457&lt;&gt;1,"",TRIM(IF(AD457=1,"FRN ","")&amp;IF(AND(AL457&gt;=10,AL457&lt;99),"BBB0미만 ","")&amp;IF(AJ457="","등급없음 ","")&amp;IF(K457&lt;&gt;1,"비USD ","")&amp;IF(AND(AB457="",Y457=0),"시장데이터없음 ","")&amp;IF(AND(ISNUMBER(U457),U457&lt;0),"만기경과 ","")))</f>
        <v/>
      </c>
      <c r="AX457" s="90" t="n">
        <f aca="false">IF(Q457&lt;&gt;1,1,IF(스프레드쇼크!$C$4="Y",INDEX(스프레드쇼크!$B$12:$L$16,IFERROR(MATCH(AH457,스프레드쇼크!$A$12:$A$16,0),MATCH("목록외",스프레드쇼크!$A$12:$A$16,0)),IFERROR(MATCH(AG457,스프레드쇼크!$B$11:$L$11,0),MATCH("목록외",스프레드쇼크!$B$11:$L$11,0))),1))</f>
        <v>1</v>
      </c>
      <c r="AY457" s="90" t="n">
        <f aca="false">IF(스프레드쇼크!$C$5="Y",IF(ISNUMBER(AF457),MIN(스프레드쇼크!$C$7,MAX(스프레드쇼크!$C$6,AF457/스프레드쇼크!$C$8)),1),1)</f>
        <v>1</v>
      </c>
      <c r="AZ457" s="94" t="n">
        <f aca="false">AN457*AX457*AY457</f>
        <v>0</v>
      </c>
      <c r="BA457" s="90" t="n">
        <f aca="false">IF(ISNUMBER(G457),AA457*G457,0)</f>
        <v>0</v>
      </c>
      <c r="BB457" s="90" t="n">
        <f aca="false">IF(ISNUMBER(G457),AA457,0)</f>
        <v>0</v>
      </c>
      <c r="BC457" s="90" t="n">
        <f aca="false">IF(AND(Y457=0,ISNUMBER(AF457)),AA457*AF457,0)</f>
        <v>0</v>
      </c>
      <c r="BD457" s="90" t="n">
        <f aca="false">IF(AND(Y457=0,ISNUMBER(AF457)),AA457,0)</f>
        <v>0</v>
      </c>
      <c r="BE457" s="90" t="n">
        <f aca="false">IF(ISNUMBER(H457),AA457*H457,0)</f>
        <v>0</v>
      </c>
      <c r="BF457" s="90" t="n">
        <f aca="false">IF(ISNUMBER(H457),AA457,0)</f>
        <v>0</v>
      </c>
      <c r="BG457" s="90" t="n">
        <f aca="false">IF(AND(Y457=0,ISNUMBER(AF457),ISNUMBER(Z457)),AA457*Z457,0)</f>
        <v>0</v>
      </c>
      <c r="BH457" s="90" t="n">
        <f aca="false">IF(AND(Y457=0,ISNUMBER(AF457),ISNUMBER(Z457)),AA457*AT457*MAX(Z457-1,0),0)</f>
        <v>0</v>
      </c>
      <c r="BI457" s="90" t="n">
        <f aca="false">IF(Y457=0,AA457,0)</f>
        <v>0</v>
      </c>
    </row>
    <row r="458" customFormat="false" ht="15" hidden="false" customHeight="false" outlineLevel="0" collapsed="false">
      <c r="A458" s="83" t="str">
        <f aca="false">IFERROR(IF(INDEX(원자료_잔고!$A$1:$EZ$1500,설정!$L$5+ROW()-1,설정!$L$8)&amp;""="0","",INDEX(원자료_잔고!$A$1:$EZ$1500,설정!$L$5+ROW()-1,설정!$L$8)&amp;""),"")</f>
        <v/>
      </c>
      <c r="B458" s="83" t="str">
        <f aca="false">IFERROR(IF(INDEX(원자료_잔고!$A$1:$EZ$1500,설정!$L$5+ROW()-1,설정!$L$7)&amp;""="0","",INDEX(원자료_잔고!$A$1:$EZ$1500,설정!$L$5+ROW()-1,설정!$L$7)&amp;""),"")</f>
        <v/>
      </c>
      <c r="C458" s="83" t="str">
        <f aca="false">IFERROR(IF(INDEX(원자료_잔고!$A$1:$EZ$1500,설정!$L$5+ROW()-1,설정!$L$9)&amp;""="0","",INDEX(원자료_잔고!$A$1:$EZ$1500,설정!$L$5+ROW()-1,설정!$L$9)&amp;""),"")</f>
        <v/>
      </c>
      <c r="D458" s="83" t="str">
        <f aca="false">IFERROR(IF(INDEX(원자료_잔고!$A$1:$EZ$1500,설정!$L$5+ROW()-1,설정!$L$10)&amp;""="0","",INDEX(원자료_잔고!$A$1:$EZ$1500,설정!$L$5+ROW()-1,설정!$L$10)&amp;""),"")</f>
        <v/>
      </c>
      <c r="E458" s="84" t="str">
        <f aca="false">IFERROR(IF(ISNUMBER(INDEX(원자료_잔고!$A$1:$EZ$1500,설정!$L$5+ROW()-1,설정!$L$11)),INDEX(원자료_잔고!$A$1:$EZ$1500,설정!$L$5+ROW()-1,설정!$L$11),""),"")</f>
        <v/>
      </c>
      <c r="F458" s="85" t="str">
        <f aca="false">IFERROR(IF(ISNUMBER(INDEX(원자료_잔고!$A$1:$EZ$1500,설정!$L$5+ROW()-1,설정!$L$12)),INDEX(원자료_잔고!$A$1:$EZ$1500,설정!$L$5+ROW()-1,설정!$L$12),""),"")</f>
        <v/>
      </c>
      <c r="G458" s="85" t="str">
        <f aca="false">IFERROR(IF(ISNUMBER(INDEX(원자료_잔고!$A$1:$EZ$1500,설정!$L$5+ROW()-1,설정!$L$13)),INDEX(원자료_잔고!$A$1:$EZ$1500,설정!$L$5+ROW()-1,설정!$L$13),""),"")</f>
        <v/>
      </c>
      <c r="H458" s="85" t="str">
        <f aca="false">IFERROR(IF(ISNUMBER(INDEX(원자료_잔고!$A$1:$EZ$1500,설정!$L$5+ROW()-1,설정!$L$14)),INDEX(원자료_잔고!$A$1:$EZ$1500,설정!$L$5+ROW()-1,설정!$L$14),""),"")</f>
        <v/>
      </c>
      <c r="I458" s="86" t="str">
        <f aca="false">IFERROR(IF(ISNUMBER(INDEX(원자료_잔고!$A$1:$EZ$1500,설정!$L$5+ROW()-1,설정!$L$15)),INDEX(원자료_잔고!$A$1:$EZ$1500,설정!$L$5+ROW()-1,설정!$L$15),""),"")</f>
        <v/>
      </c>
      <c r="J458" s="85" t="str">
        <f aca="false">IFERROR(IF(ISNUMBER(INDEX(원자료_잔고!$A$1:$EZ$1500,설정!$L$5+ROW()-1,설정!$L$16)),INDEX(원자료_잔고!$A$1:$EZ$1500,설정!$L$5+ROW()-1,설정!$L$16),""),"")</f>
        <v/>
      </c>
      <c r="K458" s="87" t="str">
        <f aca="false">IFERROR(IF(ISNUMBER(INDEX(원자료_잔고!$A$1:$EZ$1500,설정!$L$5+ROW()-1,설정!$L$17)),INDEX(원자료_잔고!$A$1:$EZ$1500,설정!$L$5+ROW()-1,설정!$L$17),""),"")</f>
        <v/>
      </c>
      <c r="L458" s="84" t="str">
        <f aca="false">IFERROR(IF(ISNUMBER(INDEX(원자료_잔고!$A$1:$EZ$1500,설정!$L$5+ROW()-1,설정!$L$18)),INDEX(원자료_잔고!$A$1:$EZ$1500,설정!$L$5+ROW()-1,설정!$L$18),""),"")</f>
        <v/>
      </c>
      <c r="M458" s="88" t="str">
        <f aca="false">IFERROR(IF(ISNUMBER(INDEX(원자료_잔고!$A$1:$EZ$1500,설정!$L$5+ROW()-1,설정!$L$19)),INDEX(원자료_잔고!$A$1:$EZ$1500,설정!$L$5+ROW()-1,설정!$L$19),""),"")</f>
        <v/>
      </c>
      <c r="N458" s="83" t="str">
        <f aca="false">IFERROR(IF(INDEX(원자료_잔고!$A$1:$EZ$1500,설정!$L$5+ROW()-1,설정!$L$21)&amp;""="0","",INDEX(원자료_잔고!$A$1:$EZ$1500,설정!$L$5+ROW()-1,설정!$L$21)&amp;""),"")</f>
        <v/>
      </c>
      <c r="O458" s="83" t="str">
        <f aca="false">IFERROR(IF(INDEX(원자료_잔고!$A$1:$EZ$1500,설정!$L$5+ROW()-1,설정!$L$22)&amp;""="0","",INDEX(원자료_잔고!$A$1:$EZ$1500,설정!$L$5+ROW()-1,설정!$L$22)&amp;""),"")</f>
        <v/>
      </c>
      <c r="P458" s="83" t="str">
        <f aca="false">IFERROR(IF(INDEX(원자료_잔고!$A$1:$EZ$1500,설정!$L$5+ROW()-1,설정!$L$23)&amp;""="0","",INDEX(원자료_잔고!$A$1:$EZ$1500,설정!$L$5+ROW()-1,설정!$L$23)&amp;""),"")</f>
        <v/>
      </c>
      <c r="Q458" s="89" t="n">
        <f aca="false">IF(AND($A458&lt;&gt;"",ISNUMBER(E458)),IF(E458&gt;0,1,0),0)</f>
        <v>0</v>
      </c>
      <c r="R458" s="43" t="str">
        <f aca="false">IF(Q458=1,UPPER(LEFT($A458,FIND(" ",$A458&amp;" ")-1)),"")</f>
        <v/>
      </c>
      <c r="S458" s="89" t="n">
        <f aca="false">IF(Q458=1,IF(OR(ISNUMBER(SEARCH("Float",$A458)),ISNUMBER(SEARCH("FRN",$A458))),1,0),0)</f>
        <v>0</v>
      </c>
      <c r="T458" s="43" t="str">
        <f aca="false">IF(AND(Q458=1,ISNUMBER(I458)),TEXT(I458,"yyyymmdd")&amp;"|"&amp;IF(S458=1,"F",TEXT(J458,"0.000")),"")</f>
        <v/>
      </c>
      <c r="U458" s="90" t="str">
        <f aca="false">IF(AND(Q458=1,ISNUMBER(I458)),(I458-설정!$C$4)/365.25,"")</f>
        <v/>
      </c>
      <c r="V458" s="43" t="str">
        <f aca="false">IF(Q458&lt;&gt;1,"",IF(ISNUMBER(U458),IF(U458&lt;=1,"1년 이하",IF(U458&lt;=2,"1-2년",IF(U458&lt;=3,"2-3년",IF(U458&lt;=4,"3-4년",IF(U458&lt;=5,"4-5년",IF(U458&lt;=7,"5-7년",IF(U458&lt;=10,"7-10년",IF(U458&lt;=20,"10-20년","20년 이상")))))))),"미분류"))</f>
        <v/>
      </c>
      <c r="W458" s="43" t="str">
        <f aca="false">IF(Q458&lt;&gt;1,"",IF(AB458&lt;&gt;"",INDEX(시장분석!$C:$C,AB458),IF(K458=1,"USD","비USD")))</f>
        <v/>
      </c>
      <c r="X458" s="91" t="n">
        <f aca="false">IF(Q458=1,E458*K458/1000000,0)</f>
        <v>0</v>
      </c>
      <c r="Y458" s="89" t="n">
        <f aca="false">IF(R458="T",1,0)</f>
        <v>0</v>
      </c>
      <c r="Z458" s="92" t="str">
        <f aca="false">IF(Q458&lt;&gt;1,"",IF(AD458=1,IF(ISNUMBER(U458),MAX(U458,0),H458),H458))</f>
        <v/>
      </c>
      <c r="AA458" s="91" t="n">
        <f aca="false">IF(Q458=1,IF(ISNUMBER(L458),L458,0)*K458/1000000,0)</f>
        <v>0</v>
      </c>
      <c r="AB458" s="89" t="str">
        <f aca="false">IF(Q458&lt;&gt;1,"",IFERROR(MATCH(VLOOKUP(B458,매핑!$H$4:$I$15,2,0),시장분석!$A$2:$A$601,0)+1,IFERROR(MATCH(R458&amp;"|"&amp;T458,시장분석!$V$2:$V$601,0)+1,IF(COUNTIF(시장분석!$U$2:$U$601,T458)=1,MATCH(T458,시장분석!$U$2:$U$601,0)+1,""))))</f>
        <v/>
      </c>
      <c r="AC458" s="89" t="n">
        <f aca="false">IF(Q458&lt;&gt;1,0,IF(OR(설정!$C$5="전체",AND(설정!$C$5="선택펀드",IFERROR(COUNTIFS(설정!$F$16:$F$36,C458,설정!$G$16:$G$36,"Y")+COUNTIFS(설정!$F$16:$F$36,VALUE(C458),설정!$G$16:$G$36,"Y"),0)&gt;0),C458&amp;""=설정!$C$5&amp;""),1,0))</f>
        <v>0</v>
      </c>
      <c r="AD458" s="89" t="n">
        <f aca="false">IF(Q458&lt;&gt;1,0,IF(OR(S458=1,IF(AB458="",FALSE(),INDEX(시장분석!$R:$R,AB458)=1)),1,0))</f>
        <v>0</v>
      </c>
      <c r="AE458" s="43" t="str">
        <f aca="false">IF(AB458="","",INDEX(시장분석!$A:$A,AB458))</f>
        <v/>
      </c>
      <c r="AF458" s="93" t="str">
        <f aca="false">IF(AB458="","",IF(ISNUMBER(IF(AB458="","",INDEX(시장분석!$E:$E,AB458))),IF(AB458="","",INDEX(시장분석!$E:$E,AB458)),""))</f>
        <v/>
      </c>
      <c r="AG458" s="43" t="str">
        <f aca="false">IF(Q458&lt;&gt;1,"",IF(AB458&lt;&gt;"",IF(AB458="","",INDEX(시장분석!$L:$L,AB458)),IFERROR(IF(VLOOKUP(R458,매핑!$A$4:$E$92,5,0)="","미분류",VLOOKUP(R458,매핑!$A$4:$E$92,5,0)),"미분류")))</f>
        <v/>
      </c>
      <c r="AH458" s="43" t="str">
        <f aca="false">IF(Q458&lt;&gt;1,"",IF(AB458&lt;&gt;"",IF(AB458="","",INDEX(시장분석!$N:$N,AB458)),IFERROR(IF(VLOOKUP(R458,매핑!$A$4:$E$92,4,0)="","미분류",VLOOKUP(R458,매핑!$A$4:$E$92,4,0)),"미분류")))</f>
        <v/>
      </c>
      <c r="AI458" s="43" t="str">
        <f aca="false">IF(Q458&lt;&gt;1,"",IFERROR(IF(VLOOKUP(R458,매핑!$A$4:$E$92,3,0)="","미분류",VLOOKUP(R458,매핑!$A$4:$E$92,3,0)),IF(AB458&lt;&gt;"",IF(AB458="","",INDEX(시장분석!$W:$W,AB458)),"미분류")))</f>
        <v/>
      </c>
      <c r="AJ458" s="43" t="str">
        <f aca="false">IF(Q458&lt;&gt;1,"",IFERROR(VLOOKUP(IF(N458&lt;&gt;"",N458,IF(P458&lt;&gt;"",P458,O458)),설정!$A$15:$D$47,2,0),""))</f>
        <v/>
      </c>
      <c r="AK458" s="43" t="str">
        <f aca="false">IF(Q458&lt;&gt;1,"",IF(AJ458="","무등급",IFERROR(VLOOKUP(AJ458,설정!$A$15:$D$47,3,0),"무등급")))</f>
        <v/>
      </c>
      <c r="AL458" s="89" t="n">
        <f aca="false">IF(AJ458="",99,IFERROR(VLOOKUP(AJ458,설정!$A$15:$D$47,4,0),99))</f>
        <v>99</v>
      </c>
      <c r="AM458" s="94" t="n">
        <f aca="false">IF(ISNUMBER(H458),AA458*1000000*H458/10000,0)</f>
        <v>0</v>
      </c>
      <c r="AN458" s="94" t="n">
        <f aca="false">IF(OR(Y458=1,NOT(ISNUMBER(Z458))),0,AA458*1000000*Z458/10000)</f>
        <v>0</v>
      </c>
      <c r="AO458" s="94" t="n">
        <f aca="false">IF(ISNUMBER(G458),AA458*1000000*G458/100,0)</f>
        <v>0</v>
      </c>
      <c r="AP458" s="94" t="n">
        <f aca="false">IF(ISNUMBER(M458),M458*K458,0)</f>
        <v>0</v>
      </c>
      <c r="AQ458" s="95" t="str">
        <f aca="false">IF(AB458="","",INDEX(시장분석!$AK:$AK,AB458))</f>
        <v/>
      </c>
      <c r="AR458" s="43" t="str">
        <f aca="false">IF(AB458="","-",IF(AB458="","",INDEX(시장분석!$AL:$AL,AB458)))</f>
        <v>-</v>
      </c>
      <c r="AS458" s="96" t="str">
        <f aca="false">IF(AB458="","",INDEX(시장분석!$AJ:$AJ,AB458))</f>
        <v/>
      </c>
      <c r="AT458" s="93" t="n">
        <f aca="false">IF(AB458="",0,IF(AB458="","",INDEX(시장분석!$AN:$AN,AB458)))</f>
        <v>0</v>
      </c>
      <c r="AU458" s="94" t="n">
        <f aca="false">IF(ISNUMBER(Z458),AT458/10000*MAX(Z458-1,0)*AA458*1000000,0)</f>
        <v>0</v>
      </c>
      <c r="AV458" s="94" t="n">
        <f aca="false">AO458+AU458</f>
        <v>0</v>
      </c>
      <c r="AW458" s="43" t="str">
        <f aca="false">IF(Q458&lt;&gt;1,"",TRIM(IF(AD458=1,"FRN ","")&amp;IF(AND(AL458&gt;=10,AL458&lt;99),"BBB0미만 ","")&amp;IF(AJ458="","등급없음 ","")&amp;IF(K458&lt;&gt;1,"비USD ","")&amp;IF(AND(AB458="",Y458=0),"시장데이터없음 ","")&amp;IF(AND(ISNUMBER(U458),U458&lt;0),"만기경과 ","")))</f>
        <v/>
      </c>
      <c r="AX458" s="90" t="n">
        <f aca="false">IF(Q458&lt;&gt;1,1,IF(스프레드쇼크!$C$4="Y",INDEX(스프레드쇼크!$B$12:$L$16,IFERROR(MATCH(AH458,스프레드쇼크!$A$12:$A$16,0),MATCH("목록외",스프레드쇼크!$A$12:$A$16,0)),IFERROR(MATCH(AG458,스프레드쇼크!$B$11:$L$11,0),MATCH("목록외",스프레드쇼크!$B$11:$L$11,0))),1))</f>
        <v>1</v>
      </c>
      <c r="AY458" s="90" t="n">
        <f aca="false">IF(스프레드쇼크!$C$5="Y",IF(ISNUMBER(AF458),MIN(스프레드쇼크!$C$7,MAX(스프레드쇼크!$C$6,AF458/스프레드쇼크!$C$8)),1),1)</f>
        <v>1</v>
      </c>
      <c r="AZ458" s="94" t="n">
        <f aca="false">AN458*AX458*AY458</f>
        <v>0</v>
      </c>
      <c r="BA458" s="90" t="n">
        <f aca="false">IF(ISNUMBER(G458),AA458*G458,0)</f>
        <v>0</v>
      </c>
      <c r="BB458" s="90" t="n">
        <f aca="false">IF(ISNUMBER(G458),AA458,0)</f>
        <v>0</v>
      </c>
      <c r="BC458" s="90" t="n">
        <f aca="false">IF(AND(Y458=0,ISNUMBER(AF458)),AA458*AF458,0)</f>
        <v>0</v>
      </c>
      <c r="BD458" s="90" t="n">
        <f aca="false">IF(AND(Y458=0,ISNUMBER(AF458)),AA458,0)</f>
        <v>0</v>
      </c>
      <c r="BE458" s="90" t="n">
        <f aca="false">IF(ISNUMBER(H458),AA458*H458,0)</f>
        <v>0</v>
      </c>
      <c r="BF458" s="90" t="n">
        <f aca="false">IF(ISNUMBER(H458),AA458,0)</f>
        <v>0</v>
      </c>
      <c r="BG458" s="90" t="n">
        <f aca="false">IF(AND(Y458=0,ISNUMBER(AF458),ISNUMBER(Z458)),AA458*Z458,0)</f>
        <v>0</v>
      </c>
      <c r="BH458" s="90" t="n">
        <f aca="false">IF(AND(Y458=0,ISNUMBER(AF458),ISNUMBER(Z458)),AA458*AT458*MAX(Z458-1,0),0)</f>
        <v>0</v>
      </c>
      <c r="BI458" s="90" t="n">
        <f aca="false">IF(Y458=0,AA458,0)</f>
        <v>0</v>
      </c>
    </row>
    <row r="459" customFormat="false" ht="15" hidden="false" customHeight="false" outlineLevel="0" collapsed="false">
      <c r="A459" s="83" t="str">
        <f aca="false">IFERROR(IF(INDEX(원자료_잔고!$A$1:$EZ$1500,설정!$L$5+ROW()-1,설정!$L$8)&amp;""="0","",INDEX(원자료_잔고!$A$1:$EZ$1500,설정!$L$5+ROW()-1,설정!$L$8)&amp;""),"")</f>
        <v/>
      </c>
      <c r="B459" s="83" t="str">
        <f aca="false">IFERROR(IF(INDEX(원자료_잔고!$A$1:$EZ$1500,설정!$L$5+ROW()-1,설정!$L$7)&amp;""="0","",INDEX(원자료_잔고!$A$1:$EZ$1500,설정!$L$5+ROW()-1,설정!$L$7)&amp;""),"")</f>
        <v/>
      </c>
      <c r="C459" s="83" t="str">
        <f aca="false">IFERROR(IF(INDEX(원자료_잔고!$A$1:$EZ$1500,설정!$L$5+ROW()-1,설정!$L$9)&amp;""="0","",INDEX(원자료_잔고!$A$1:$EZ$1500,설정!$L$5+ROW()-1,설정!$L$9)&amp;""),"")</f>
        <v/>
      </c>
      <c r="D459" s="83" t="str">
        <f aca="false">IFERROR(IF(INDEX(원자료_잔고!$A$1:$EZ$1500,설정!$L$5+ROW()-1,설정!$L$10)&amp;""="0","",INDEX(원자료_잔고!$A$1:$EZ$1500,설정!$L$5+ROW()-1,설정!$L$10)&amp;""),"")</f>
        <v/>
      </c>
      <c r="E459" s="84" t="str">
        <f aca="false">IFERROR(IF(ISNUMBER(INDEX(원자료_잔고!$A$1:$EZ$1500,설정!$L$5+ROW()-1,설정!$L$11)),INDEX(원자료_잔고!$A$1:$EZ$1500,설정!$L$5+ROW()-1,설정!$L$11),""),"")</f>
        <v/>
      </c>
      <c r="F459" s="85" t="str">
        <f aca="false">IFERROR(IF(ISNUMBER(INDEX(원자료_잔고!$A$1:$EZ$1500,설정!$L$5+ROW()-1,설정!$L$12)),INDEX(원자료_잔고!$A$1:$EZ$1500,설정!$L$5+ROW()-1,설정!$L$12),""),"")</f>
        <v/>
      </c>
      <c r="G459" s="85" t="str">
        <f aca="false">IFERROR(IF(ISNUMBER(INDEX(원자료_잔고!$A$1:$EZ$1500,설정!$L$5+ROW()-1,설정!$L$13)),INDEX(원자료_잔고!$A$1:$EZ$1500,설정!$L$5+ROW()-1,설정!$L$13),""),"")</f>
        <v/>
      </c>
      <c r="H459" s="85" t="str">
        <f aca="false">IFERROR(IF(ISNUMBER(INDEX(원자료_잔고!$A$1:$EZ$1500,설정!$L$5+ROW()-1,설정!$L$14)),INDEX(원자료_잔고!$A$1:$EZ$1500,설정!$L$5+ROW()-1,설정!$L$14),""),"")</f>
        <v/>
      </c>
      <c r="I459" s="86" t="str">
        <f aca="false">IFERROR(IF(ISNUMBER(INDEX(원자료_잔고!$A$1:$EZ$1500,설정!$L$5+ROW()-1,설정!$L$15)),INDEX(원자료_잔고!$A$1:$EZ$1500,설정!$L$5+ROW()-1,설정!$L$15),""),"")</f>
        <v/>
      </c>
      <c r="J459" s="85" t="str">
        <f aca="false">IFERROR(IF(ISNUMBER(INDEX(원자료_잔고!$A$1:$EZ$1500,설정!$L$5+ROW()-1,설정!$L$16)),INDEX(원자료_잔고!$A$1:$EZ$1500,설정!$L$5+ROW()-1,설정!$L$16),""),"")</f>
        <v/>
      </c>
      <c r="K459" s="87" t="str">
        <f aca="false">IFERROR(IF(ISNUMBER(INDEX(원자료_잔고!$A$1:$EZ$1500,설정!$L$5+ROW()-1,설정!$L$17)),INDEX(원자료_잔고!$A$1:$EZ$1500,설정!$L$5+ROW()-1,설정!$L$17),""),"")</f>
        <v/>
      </c>
      <c r="L459" s="84" t="str">
        <f aca="false">IFERROR(IF(ISNUMBER(INDEX(원자료_잔고!$A$1:$EZ$1500,설정!$L$5+ROW()-1,설정!$L$18)),INDEX(원자료_잔고!$A$1:$EZ$1500,설정!$L$5+ROW()-1,설정!$L$18),""),"")</f>
        <v/>
      </c>
      <c r="M459" s="88" t="str">
        <f aca="false">IFERROR(IF(ISNUMBER(INDEX(원자료_잔고!$A$1:$EZ$1500,설정!$L$5+ROW()-1,설정!$L$19)),INDEX(원자료_잔고!$A$1:$EZ$1500,설정!$L$5+ROW()-1,설정!$L$19),""),"")</f>
        <v/>
      </c>
      <c r="N459" s="83" t="str">
        <f aca="false">IFERROR(IF(INDEX(원자료_잔고!$A$1:$EZ$1500,설정!$L$5+ROW()-1,설정!$L$21)&amp;""="0","",INDEX(원자료_잔고!$A$1:$EZ$1500,설정!$L$5+ROW()-1,설정!$L$21)&amp;""),"")</f>
        <v/>
      </c>
      <c r="O459" s="83" t="str">
        <f aca="false">IFERROR(IF(INDEX(원자료_잔고!$A$1:$EZ$1500,설정!$L$5+ROW()-1,설정!$L$22)&amp;""="0","",INDEX(원자료_잔고!$A$1:$EZ$1500,설정!$L$5+ROW()-1,설정!$L$22)&amp;""),"")</f>
        <v/>
      </c>
      <c r="P459" s="83" t="str">
        <f aca="false">IFERROR(IF(INDEX(원자료_잔고!$A$1:$EZ$1500,설정!$L$5+ROW()-1,설정!$L$23)&amp;""="0","",INDEX(원자료_잔고!$A$1:$EZ$1500,설정!$L$5+ROW()-1,설정!$L$23)&amp;""),"")</f>
        <v/>
      </c>
      <c r="Q459" s="89" t="n">
        <f aca="false">IF(AND($A459&lt;&gt;"",ISNUMBER(E459)),IF(E459&gt;0,1,0),0)</f>
        <v>0</v>
      </c>
      <c r="R459" s="43" t="str">
        <f aca="false">IF(Q459=1,UPPER(LEFT($A459,FIND(" ",$A459&amp;" ")-1)),"")</f>
        <v/>
      </c>
      <c r="S459" s="89" t="n">
        <f aca="false">IF(Q459=1,IF(OR(ISNUMBER(SEARCH("Float",$A459)),ISNUMBER(SEARCH("FRN",$A459))),1,0),0)</f>
        <v>0</v>
      </c>
      <c r="T459" s="43" t="str">
        <f aca="false">IF(AND(Q459=1,ISNUMBER(I459)),TEXT(I459,"yyyymmdd")&amp;"|"&amp;IF(S459=1,"F",TEXT(J459,"0.000")),"")</f>
        <v/>
      </c>
      <c r="U459" s="90" t="str">
        <f aca="false">IF(AND(Q459=1,ISNUMBER(I459)),(I459-설정!$C$4)/365.25,"")</f>
        <v/>
      </c>
      <c r="V459" s="43" t="str">
        <f aca="false">IF(Q459&lt;&gt;1,"",IF(ISNUMBER(U459),IF(U459&lt;=1,"1년 이하",IF(U459&lt;=2,"1-2년",IF(U459&lt;=3,"2-3년",IF(U459&lt;=4,"3-4년",IF(U459&lt;=5,"4-5년",IF(U459&lt;=7,"5-7년",IF(U459&lt;=10,"7-10년",IF(U459&lt;=20,"10-20년","20년 이상")))))))),"미분류"))</f>
        <v/>
      </c>
      <c r="W459" s="43" t="str">
        <f aca="false">IF(Q459&lt;&gt;1,"",IF(AB459&lt;&gt;"",INDEX(시장분석!$C:$C,AB459),IF(K459=1,"USD","비USD")))</f>
        <v/>
      </c>
      <c r="X459" s="91" t="n">
        <f aca="false">IF(Q459=1,E459*K459/1000000,0)</f>
        <v>0</v>
      </c>
      <c r="Y459" s="89" t="n">
        <f aca="false">IF(R459="T",1,0)</f>
        <v>0</v>
      </c>
      <c r="Z459" s="92" t="str">
        <f aca="false">IF(Q459&lt;&gt;1,"",IF(AD459=1,IF(ISNUMBER(U459),MAX(U459,0),H459),H459))</f>
        <v/>
      </c>
      <c r="AA459" s="91" t="n">
        <f aca="false">IF(Q459=1,IF(ISNUMBER(L459),L459,0)*K459/1000000,0)</f>
        <v>0</v>
      </c>
      <c r="AB459" s="89" t="str">
        <f aca="false">IF(Q459&lt;&gt;1,"",IFERROR(MATCH(VLOOKUP(B459,매핑!$H$4:$I$15,2,0),시장분석!$A$2:$A$601,0)+1,IFERROR(MATCH(R459&amp;"|"&amp;T459,시장분석!$V$2:$V$601,0)+1,IF(COUNTIF(시장분석!$U$2:$U$601,T459)=1,MATCH(T459,시장분석!$U$2:$U$601,0)+1,""))))</f>
        <v/>
      </c>
      <c r="AC459" s="89" t="n">
        <f aca="false">IF(Q459&lt;&gt;1,0,IF(OR(설정!$C$5="전체",AND(설정!$C$5="선택펀드",IFERROR(COUNTIFS(설정!$F$16:$F$36,C459,설정!$G$16:$G$36,"Y")+COUNTIFS(설정!$F$16:$F$36,VALUE(C459),설정!$G$16:$G$36,"Y"),0)&gt;0),C459&amp;""=설정!$C$5&amp;""),1,0))</f>
        <v>0</v>
      </c>
      <c r="AD459" s="89" t="n">
        <f aca="false">IF(Q459&lt;&gt;1,0,IF(OR(S459=1,IF(AB459="",FALSE(),INDEX(시장분석!$R:$R,AB459)=1)),1,0))</f>
        <v>0</v>
      </c>
      <c r="AE459" s="43" t="str">
        <f aca="false">IF(AB459="","",INDEX(시장분석!$A:$A,AB459))</f>
        <v/>
      </c>
      <c r="AF459" s="93" t="str">
        <f aca="false">IF(AB459="","",IF(ISNUMBER(IF(AB459="","",INDEX(시장분석!$E:$E,AB459))),IF(AB459="","",INDEX(시장분석!$E:$E,AB459)),""))</f>
        <v/>
      </c>
      <c r="AG459" s="43" t="str">
        <f aca="false">IF(Q459&lt;&gt;1,"",IF(AB459&lt;&gt;"",IF(AB459="","",INDEX(시장분석!$L:$L,AB459)),IFERROR(IF(VLOOKUP(R459,매핑!$A$4:$E$92,5,0)="","미분류",VLOOKUP(R459,매핑!$A$4:$E$92,5,0)),"미분류")))</f>
        <v/>
      </c>
      <c r="AH459" s="43" t="str">
        <f aca="false">IF(Q459&lt;&gt;1,"",IF(AB459&lt;&gt;"",IF(AB459="","",INDEX(시장분석!$N:$N,AB459)),IFERROR(IF(VLOOKUP(R459,매핑!$A$4:$E$92,4,0)="","미분류",VLOOKUP(R459,매핑!$A$4:$E$92,4,0)),"미분류")))</f>
        <v/>
      </c>
      <c r="AI459" s="43" t="str">
        <f aca="false">IF(Q459&lt;&gt;1,"",IFERROR(IF(VLOOKUP(R459,매핑!$A$4:$E$92,3,0)="","미분류",VLOOKUP(R459,매핑!$A$4:$E$92,3,0)),IF(AB459&lt;&gt;"",IF(AB459="","",INDEX(시장분석!$W:$W,AB459)),"미분류")))</f>
        <v/>
      </c>
      <c r="AJ459" s="43" t="str">
        <f aca="false">IF(Q459&lt;&gt;1,"",IFERROR(VLOOKUP(IF(N459&lt;&gt;"",N459,IF(P459&lt;&gt;"",P459,O459)),설정!$A$15:$D$47,2,0),""))</f>
        <v/>
      </c>
      <c r="AK459" s="43" t="str">
        <f aca="false">IF(Q459&lt;&gt;1,"",IF(AJ459="","무등급",IFERROR(VLOOKUP(AJ459,설정!$A$15:$D$47,3,0),"무등급")))</f>
        <v/>
      </c>
      <c r="AL459" s="89" t="n">
        <f aca="false">IF(AJ459="",99,IFERROR(VLOOKUP(AJ459,설정!$A$15:$D$47,4,0),99))</f>
        <v>99</v>
      </c>
      <c r="AM459" s="94" t="n">
        <f aca="false">IF(ISNUMBER(H459),AA459*1000000*H459/10000,0)</f>
        <v>0</v>
      </c>
      <c r="AN459" s="94" t="n">
        <f aca="false">IF(OR(Y459=1,NOT(ISNUMBER(Z459))),0,AA459*1000000*Z459/10000)</f>
        <v>0</v>
      </c>
      <c r="AO459" s="94" t="n">
        <f aca="false">IF(ISNUMBER(G459),AA459*1000000*G459/100,0)</f>
        <v>0</v>
      </c>
      <c r="AP459" s="94" t="n">
        <f aca="false">IF(ISNUMBER(M459),M459*K459,0)</f>
        <v>0</v>
      </c>
      <c r="AQ459" s="95" t="str">
        <f aca="false">IF(AB459="","",INDEX(시장분석!$AK:$AK,AB459))</f>
        <v/>
      </c>
      <c r="AR459" s="43" t="str">
        <f aca="false">IF(AB459="","-",IF(AB459="","",INDEX(시장분석!$AL:$AL,AB459)))</f>
        <v>-</v>
      </c>
      <c r="AS459" s="96" t="str">
        <f aca="false">IF(AB459="","",INDEX(시장분석!$AJ:$AJ,AB459))</f>
        <v/>
      </c>
      <c r="AT459" s="93" t="n">
        <f aca="false">IF(AB459="",0,IF(AB459="","",INDEX(시장분석!$AN:$AN,AB459)))</f>
        <v>0</v>
      </c>
      <c r="AU459" s="94" t="n">
        <f aca="false">IF(ISNUMBER(Z459),AT459/10000*MAX(Z459-1,0)*AA459*1000000,0)</f>
        <v>0</v>
      </c>
      <c r="AV459" s="94" t="n">
        <f aca="false">AO459+AU459</f>
        <v>0</v>
      </c>
      <c r="AW459" s="43" t="str">
        <f aca="false">IF(Q459&lt;&gt;1,"",TRIM(IF(AD459=1,"FRN ","")&amp;IF(AND(AL459&gt;=10,AL459&lt;99),"BBB0미만 ","")&amp;IF(AJ459="","등급없음 ","")&amp;IF(K459&lt;&gt;1,"비USD ","")&amp;IF(AND(AB459="",Y459=0),"시장데이터없음 ","")&amp;IF(AND(ISNUMBER(U459),U459&lt;0),"만기경과 ","")))</f>
        <v/>
      </c>
      <c r="AX459" s="90" t="n">
        <f aca="false">IF(Q459&lt;&gt;1,1,IF(스프레드쇼크!$C$4="Y",INDEX(스프레드쇼크!$B$12:$L$16,IFERROR(MATCH(AH459,스프레드쇼크!$A$12:$A$16,0),MATCH("목록외",스프레드쇼크!$A$12:$A$16,0)),IFERROR(MATCH(AG459,스프레드쇼크!$B$11:$L$11,0),MATCH("목록외",스프레드쇼크!$B$11:$L$11,0))),1))</f>
        <v>1</v>
      </c>
      <c r="AY459" s="90" t="n">
        <f aca="false">IF(스프레드쇼크!$C$5="Y",IF(ISNUMBER(AF459),MIN(스프레드쇼크!$C$7,MAX(스프레드쇼크!$C$6,AF459/스프레드쇼크!$C$8)),1),1)</f>
        <v>1</v>
      </c>
      <c r="AZ459" s="94" t="n">
        <f aca="false">AN459*AX459*AY459</f>
        <v>0</v>
      </c>
      <c r="BA459" s="90" t="n">
        <f aca="false">IF(ISNUMBER(G459),AA459*G459,0)</f>
        <v>0</v>
      </c>
      <c r="BB459" s="90" t="n">
        <f aca="false">IF(ISNUMBER(G459),AA459,0)</f>
        <v>0</v>
      </c>
      <c r="BC459" s="90" t="n">
        <f aca="false">IF(AND(Y459=0,ISNUMBER(AF459)),AA459*AF459,0)</f>
        <v>0</v>
      </c>
      <c r="BD459" s="90" t="n">
        <f aca="false">IF(AND(Y459=0,ISNUMBER(AF459)),AA459,0)</f>
        <v>0</v>
      </c>
      <c r="BE459" s="90" t="n">
        <f aca="false">IF(ISNUMBER(H459),AA459*H459,0)</f>
        <v>0</v>
      </c>
      <c r="BF459" s="90" t="n">
        <f aca="false">IF(ISNUMBER(H459),AA459,0)</f>
        <v>0</v>
      </c>
      <c r="BG459" s="90" t="n">
        <f aca="false">IF(AND(Y459=0,ISNUMBER(AF459),ISNUMBER(Z459)),AA459*Z459,0)</f>
        <v>0</v>
      </c>
      <c r="BH459" s="90" t="n">
        <f aca="false">IF(AND(Y459=0,ISNUMBER(AF459),ISNUMBER(Z459)),AA459*AT459*MAX(Z459-1,0),0)</f>
        <v>0</v>
      </c>
      <c r="BI459" s="90" t="n">
        <f aca="false">IF(Y459=0,AA459,0)</f>
        <v>0</v>
      </c>
    </row>
    <row r="460" customFormat="false" ht="15" hidden="false" customHeight="false" outlineLevel="0" collapsed="false">
      <c r="A460" s="83" t="str">
        <f aca="false">IFERROR(IF(INDEX(원자료_잔고!$A$1:$EZ$1500,설정!$L$5+ROW()-1,설정!$L$8)&amp;""="0","",INDEX(원자료_잔고!$A$1:$EZ$1500,설정!$L$5+ROW()-1,설정!$L$8)&amp;""),"")</f>
        <v/>
      </c>
      <c r="B460" s="83" t="str">
        <f aca="false">IFERROR(IF(INDEX(원자료_잔고!$A$1:$EZ$1500,설정!$L$5+ROW()-1,설정!$L$7)&amp;""="0","",INDEX(원자료_잔고!$A$1:$EZ$1500,설정!$L$5+ROW()-1,설정!$L$7)&amp;""),"")</f>
        <v/>
      </c>
      <c r="C460" s="83" t="str">
        <f aca="false">IFERROR(IF(INDEX(원자료_잔고!$A$1:$EZ$1500,설정!$L$5+ROW()-1,설정!$L$9)&amp;""="0","",INDEX(원자료_잔고!$A$1:$EZ$1500,설정!$L$5+ROW()-1,설정!$L$9)&amp;""),"")</f>
        <v/>
      </c>
      <c r="D460" s="83" t="str">
        <f aca="false">IFERROR(IF(INDEX(원자료_잔고!$A$1:$EZ$1500,설정!$L$5+ROW()-1,설정!$L$10)&amp;""="0","",INDEX(원자료_잔고!$A$1:$EZ$1500,설정!$L$5+ROW()-1,설정!$L$10)&amp;""),"")</f>
        <v/>
      </c>
      <c r="E460" s="84" t="str">
        <f aca="false">IFERROR(IF(ISNUMBER(INDEX(원자료_잔고!$A$1:$EZ$1500,설정!$L$5+ROW()-1,설정!$L$11)),INDEX(원자료_잔고!$A$1:$EZ$1500,설정!$L$5+ROW()-1,설정!$L$11),""),"")</f>
        <v/>
      </c>
      <c r="F460" s="85" t="str">
        <f aca="false">IFERROR(IF(ISNUMBER(INDEX(원자료_잔고!$A$1:$EZ$1500,설정!$L$5+ROW()-1,설정!$L$12)),INDEX(원자료_잔고!$A$1:$EZ$1500,설정!$L$5+ROW()-1,설정!$L$12),""),"")</f>
        <v/>
      </c>
      <c r="G460" s="85" t="str">
        <f aca="false">IFERROR(IF(ISNUMBER(INDEX(원자료_잔고!$A$1:$EZ$1500,설정!$L$5+ROW()-1,설정!$L$13)),INDEX(원자료_잔고!$A$1:$EZ$1500,설정!$L$5+ROW()-1,설정!$L$13),""),"")</f>
        <v/>
      </c>
      <c r="H460" s="85" t="str">
        <f aca="false">IFERROR(IF(ISNUMBER(INDEX(원자료_잔고!$A$1:$EZ$1500,설정!$L$5+ROW()-1,설정!$L$14)),INDEX(원자료_잔고!$A$1:$EZ$1500,설정!$L$5+ROW()-1,설정!$L$14),""),"")</f>
        <v/>
      </c>
      <c r="I460" s="86" t="str">
        <f aca="false">IFERROR(IF(ISNUMBER(INDEX(원자료_잔고!$A$1:$EZ$1500,설정!$L$5+ROW()-1,설정!$L$15)),INDEX(원자료_잔고!$A$1:$EZ$1500,설정!$L$5+ROW()-1,설정!$L$15),""),"")</f>
        <v/>
      </c>
      <c r="J460" s="85" t="str">
        <f aca="false">IFERROR(IF(ISNUMBER(INDEX(원자료_잔고!$A$1:$EZ$1500,설정!$L$5+ROW()-1,설정!$L$16)),INDEX(원자료_잔고!$A$1:$EZ$1500,설정!$L$5+ROW()-1,설정!$L$16),""),"")</f>
        <v/>
      </c>
      <c r="K460" s="87" t="str">
        <f aca="false">IFERROR(IF(ISNUMBER(INDEX(원자료_잔고!$A$1:$EZ$1500,설정!$L$5+ROW()-1,설정!$L$17)),INDEX(원자료_잔고!$A$1:$EZ$1500,설정!$L$5+ROW()-1,설정!$L$17),""),"")</f>
        <v/>
      </c>
      <c r="L460" s="84" t="str">
        <f aca="false">IFERROR(IF(ISNUMBER(INDEX(원자료_잔고!$A$1:$EZ$1500,설정!$L$5+ROW()-1,설정!$L$18)),INDEX(원자료_잔고!$A$1:$EZ$1500,설정!$L$5+ROW()-1,설정!$L$18),""),"")</f>
        <v/>
      </c>
      <c r="M460" s="88" t="str">
        <f aca="false">IFERROR(IF(ISNUMBER(INDEX(원자료_잔고!$A$1:$EZ$1500,설정!$L$5+ROW()-1,설정!$L$19)),INDEX(원자료_잔고!$A$1:$EZ$1500,설정!$L$5+ROW()-1,설정!$L$19),""),"")</f>
        <v/>
      </c>
      <c r="N460" s="83" t="str">
        <f aca="false">IFERROR(IF(INDEX(원자료_잔고!$A$1:$EZ$1500,설정!$L$5+ROW()-1,설정!$L$21)&amp;""="0","",INDEX(원자료_잔고!$A$1:$EZ$1500,설정!$L$5+ROW()-1,설정!$L$21)&amp;""),"")</f>
        <v/>
      </c>
      <c r="O460" s="83" t="str">
        <f aca="false">IFERROR(IF(INDEX(원자료_잔고!$A$1:$EZ$1500,설정!$L$5+ROW()-1,설정!$L$22)&amp;""="0","",INDEX(원자료_잔고!$A$1:$EZ$1500,설정!$L$5+ROW()-1,설정!$L$22)&amp;""),"")</f>
        <v/>
      </c>
      <c r="P460" s="83" t="str">
        <f aca="false">IFERROR(IF(INDEX(원자료_잔고!$A$1:$EZ$1500,설정!$L$5+ROW()-1,설정!$L$23)&amp;""="0","",INDEX(원자료_잔고!$A$1:$EZ$1500,설정!$L$5+ROW()-1,설정!$L$23)&amp;""),"")</f>
        <v/>
      </c>
      <c r="Q460" s="89" t="n">
        <f aca="false">IF(AND($A460&lt;&gt;"",ISNUMBER(E460)),IF(E460&gt;0,1,0),0)</f>
        <v>0</v>
      </c>
      <c r="R460" s="43" t="str">
        <f aca="false">IF(Q460=1,UPPER(LEFT($A460,FIND(" ",$A460&amp;" ")-1)),"")</f>
        <v/>
      </c>
      <c r="S460" s="89" t="n">
        <f aca="false">IF(Q460=1,IF(OR(ISNUMBER(SEARCH("Float",$A460)),ISNUMBER(SEARCH("FRN",$A460))),1,0),0)</f>
        <v>0</v>
      </c>
      <c r="T460" s="43" t="str">
        <f aca="false">IF(AND(Q460=1,ISNUMBER(I460)),TEXT(I460,"yyyymmdd")&amp;"|"&amp;IF(S460=1,"F",TEXT(J460,"0.000")),"")</f>
        <v/>
      </c>
      <c r="U460" s="90" t="str">
        <f aca="false">IF(AND(Q460=1,ISNUMBER(I460)),(I460-설정!$C$4)/365.25,"")</f>
        <v/>
      </c>
      <c r="V460" s="43" t="str">
        <f aca="false">IF(Q460&lt;&gt;1,"",IF(ISNUMBER(U460),IF(U460&lt;=1,"1년 이하",IF(U460&lt;=2,"1-2년",IF(U460&lt;=3,"2-3년",IF(U460&lt;=4,"3-4년",IF(U460&lt;=5,"4-5년",IF(U460&lt;=7,"5-7년",IF(U460&lt;=10,"7-10년",IF(U460&lt;=20,"10-20년","20년 이상")))))))),"미분류"))</f>
        <v/>
      </c>
      <c r="W460" s="43" t="str">
        <f aca="false">IF(Q460&lt;&gt;1,"",IF(AB460&lt;&gt;"",INDEX(시장분석!$C:$C,AB460),IF(K460=1,"USD","비USD")))</f>
        <v/>
      </c>
      <c r="X460" s="91" t="n">
        <f aca="false">IF(Q460=1,E460*K460/1000000,0)</f>
        <v>0</v>
      </c>
      <c r="Y460" s="89" t="n">
        <f aca="false">IF(R460="T",1,0)</f>
        <v>0</v>
      </c>
      <c r="Z460" s="92" t="str">
        <f aca="false">IF(Q460&lt;&gt;1,"",IF(AD460=1,IF(ISNUMBER(U460),MAX(U460,0),H460),H460))</f>
        <v/>
      </c>
      <c r="AA460" s="91" t="n">
        <f aca="false">IF(Q460=1,IF(ISNUMBER(L460),L460,0)*K460/1000000,0)</f>
        <v>0</v>
      </c>
      <c r="AB460" s="89" t="str">
        <f aca="false">IF(Q460&lt;&gt;1,"",IFERROR(MATCH(VLOOKUP(B460,매핑!$H$4:$I$15,2,0),시장분석!$A$2:$A$601,0)+1,IFERROR(MATCH(R460&amp;"|"&amp;T460,시장분석!$V$2:$V$601,0)+1,IF(COUNTIF(시장분석!$U$2:$U$601,T460)=1,MATCH(T460,시장분석!$U$2:$U$601,0)+1,""))))</f>
        <v/>
      </c>
      <c r="AC460" s="89" t="n">
        <f aca="false">IF(Q460&lt;&gt;1,0,IF(OR(설정!$C$5="전체",AND(설정!$C$5="선택펀드",IFERROR(COUNTIFS(설정!$F$16:$F$36,C460,설정!$G$16:$G$36,"Y")+COUNTIFS(설정!$F$16:$F$36,VALUE(C460),설정!$G$16:$G$36,"Y"),0)&gt;0),C460&amp;""=설정!$C$5&amp;""),1,0))</f>
        <v>0</v>
      </c>
      <c r="AD460" s="89" t="n">
        <f aca="false">IF(Q460&lt;&gt;1,0,IF(OR(S460=1,IF(AB460="",FALSE(),INDEX(시장분석!$R:$R,AB460)=1)),1,0))</f>
        <v>0</v>
      </c>
      <c r="AE460" s="43" t="str">
        <f aca="false">IF(AB460="","",INDEX(시장분석!$A:$A,AB460))</f>
        <v/>
      </c>
      <c r="AF460" s="93" t="str">
        <f aca="false">IF(AB460="","",IF(ISNUMBER(IF(AB460="","",INDEX(시장분석!$E:$E,AB460))),IF(AB460="","",INDEX(시장분석!$E:$E,AB460)),""))</f>
        <v/>
      </c>
      <c r="AG460" s="43" t="str">
        <f aca="false">IF(Q460&lt;&gt;1,"",IF(AB460&lt;&gt;"",IF(AB460="","",INDEX(시장분석!$L:$L,AB460)),IFERROR(IF(VLOOKUP(R460,매핑!$A$4:$E$92,5,0)="","미분류",VLOOKUP(R460,매핑!$A$4:$E$92,5,0)),"미분류")))</f>
        <v/>
      </c>
      <c r="AH460" s="43" t="str">
        <f aca="false">IF(Q460&lt;&gt;1,"",IF(AB460&lt;&gt;"",IF(AB460="","",INDEX(시장분석!$N:$N,AB460)),IFERROR(IF(VLOOKUP(R460,매핑!$A$4:$E$92,4,0)="","미분류",VLOOKUP(R460,매핑!$A$4:$E$92,4,0)),"미분류")))</f>
        <v/>
      </c>
      <c r="AI460" s="43" t="str">
        <f aca="false">IF(Q460&lt;&gt;1,"",IFERROR(IF(VLOOKUP(R460,매핑!$A$4:$E$92,3,0)="","미분류",VLOOKUP(R460,매핑!$A$4:$E$92,3,0)),IF(AB460&lt;&gt;"",IF(AB460="","",INDEX(시장분석!$W:$W,AB460)),"미분류")))</f>
        <v/>
      </c>
      <c r="AJ460" s="43" t="str">
        <f aca="false">IF(Q460&lt;&gt;1,"",IFERROR(VLOOKUP(IF(N460&lt;&gt;"",N460,IF(P460&lt;&gt;"",P460,O460)),설정!$A$15:$D$47,2,0),""))</f>
        <v/>
      </c>
      <c r="AK460" s="43" t="str">
        <f aca="false">IF(Q460&lt;&gt;1,"",IF(AJ460="","무등급",IFERROR(VLOOKUP(AJ460,설정!$A$15:$D$47,3,0),"무등급")))</f>
        <v/>
      </c>
      <c r="AL460" s="89" t="n">
        <f aca="false">IF(AJ460="",99,IFERROR(VLOOKUP(AJ460,설정!$A$15:$D$47,4,0),99))</f>
        <v>99</v>
      </c>
      <c r="AM460" s="94" t="n">
        <f aca="false">IF(ISNUMBER(H460),AA460*1000000*H460/10000,0)</f>
        <v>0</v>
      </c>
      <c r="AN460" s="94" t="n">
        <f aca="false">IF(OR(Y460=1,NOT(ISNUMBER(Z460))),0,AA460*1000000*Z460/10000)</f>
        <v>0</v>
      </c>
      <c r="AO460" s="94" t="n">
        <f aca="false">IF(ISNUMBER(G460),AA460*1000000*G460/100,0)</f>
        <v>0</v>
      </c>
      <c r="AP460" s="94" t="n">
        <f aca="false">IF(ISNUMBER(M460),M460*K460,0)</f>
        <v>0</v>
      </c>
      <c r="AQ460" s="95" t="str">
        <f aca="false">IF(AB460="","",INDEX(시장분석!$AK:$AK,AB460))</f>
        <v/>
      </c>
      <c r="AR460" s="43" t="str">
        <f aca="false">IF(AB460="","-",IF(AB460="","",INDEX(시장분석!$AL:$AL,AB460)))</f>
        <v>-</v>
      </c>
      <c r="AS460" s="96" t="str">
        <f aca="false">IF(AB460="","",INDEX(시장분석!$AJ:$AJ,AB460))</f>
        <v/>
      </c>
      <c r="AT460" s="93" t="n">
        <f aca="false">IF(AB460="",0,IF(AB460="","",INDEX(시장분석!$AN:$AN,AB460)))</f>
        <v>0</v>
      </c>
      <c r="AU460" s="94" t="n">
        <f aca="false">IF(ISNUMBER(Z460),AT460/10000*MAX(Z460-1,0)*AA460*1000000,0)</f>
        <v>0</v>
      </c>
      <c r="AV460" s="94" t="n">
        <f aca="false">AO460+AU460</f>
        <v>0</v>
      </c>
      <c r="AW460" s="43" t="str">
        <f aca="false">IF(Q460&lt;&gt;1,"",TRIM(IF(AD460=1,"FRN ","")&amp;IF(AND(AL460&gt;=10,AL460&lt;99),"BBB0미만 ","")&amp;IF(AJ460="","등급없음 ","")&amp;IF(K460&lt;&gt;1,"비USD ","")&amp;IF(AND(AB460="",Y460=0),"시장데이터없음 ","")&amp;IF(AND(ISNUMBER(U460),U460&lt;0),"만기경과 ","")))</f>
        <v/>
      </c>
      <c r="AX460" s="90" t="n">
        <f aca="false">IF(Q460&lt;&gt;1,1,IF(스프레드쇼크!$C$4="Y",INDEX(스프레드쇼크!$B$12:$L$16,IFERROR(MATCH(AH460,스프레드쇼크!$A$12:$A$16,0),MATCH("목록외",스프레드쇼크!$A$12:$A$16,0)),IFERROR(MATCH(AG460,스프레드쇼크!$B$11:$L$11,0),MATCH("목록외",스프레드쇼크!$B$11:$L$11,0))),1))</f>
        <v>1</v>
      </c>
      <c r="AY460" s="90" t="n">
        <f aca="false">IF(스프레드쇼크!$C$5="Y",IF(ISNUMBER(AF460),MIN(스프레드쇼크!$C$7,MAX(스프레드쇼크!$C$6,AF460/스프레드쇼크!$C$8)),1),1)</f>
        <v>1</v>
      </c>
      <c r="AZ460" s="94" t="n">
        <f aca="false">AN460*AX460*AY460</f>
        <v>0</v>
      </c>
      <c r="BA460" s="90" t="n">
        <f aca="false">IF(ISNUMBER(G460),AA460*G460,0)</f>
        <v>0</v>
      </c>
      <c r="BB460" s="90" t="n">
        <f aca="false">IF(ISNUMBER(G460),AA460,0)</f>
        <v>0</v>
      </c>
      <c r="BC460" s="90" t="n">
        <f aca="false">IF(AND(Y460=0,ISNUMBER(AF460)),AA460*AF460,0)</f>
        <v>0</v>
      </c>
      <c r="BD460" s="90" t="n">
        <f aca="false">IF(AND(Y460=0,ISNUMBER(AF460)),AA460,0)</f>
        <v>0</v>
      </c>
      <c r="BE460" s="90" t="n">
        <f aca="false">IF(ISNUMBER(H460),AA460*H460,0)</f>
        <v>0</v>
      </c>
      <c r="BF460" s="90" t="n">
        <f aca="false">IF(ISNUMBER(H460),AA460,0)</f>
        <v>0</v>
      </c>
      <c r="BG460" s="90" t="n">
        <f aca="false">IF(AND(Y460=0,ISNUMBER(AF460),ISNUMBER(Z460)),AA460*Z460,0)</f>
        <v>0</v>
      </c>
      <c r="BH460" s="90" t="n">
        <f aca="false">IF(AND(Y460=0,ISNUMBER(AF460),ISNUMBER(Z460)),AA460*AT460*MAX(Z460-1,0),0)</f>
        <v>0</v>
      </c>
      <c r="BI460" s="90" t="n">
        <f aca="false">IF(Y460=0,AA460,0)</f>
        <v>0</v>
      </c>
    </row>
    <row r="461" customFormat="false" ht="15" hidden="false" customHeight="false" outlineLevel="0" collapsed="false">
      <c r="A461" s="83" t="str">
        <f aca="false">IFERROR(IF(INDEX(원자료_잔고!$A$1:$EZ$1500,설정!$L$5+ROW()-1,설정!$L$8)&amp;""="0","",INDEX(원자료_잔고!$A$1:$EZ$1500,설정!$L$5+ROW()-1,설정!$L$8)&amp;""),"")</f>
        <v/>
      </c>
      <c r="B461" s="83" t="str">
        <f aca="false">IFERROR(IF(INDEX(원자료_잔고!$A$1:$EZ$1500,설정!$L$5+ROW()-1,설정!$L$7)&amp;""="0","",INDEX(원자료_잔고!$A$1:$EZ$1500,설정!$L$5+ROW()-1,설정!$L$7)&amp;""),"")</f>
        <v/>
      </c>
      <c r="C461" s="83" t="str">
        <f aca="false">IFERROR(IF(INDEX(원자료_잔고!$A$1:$EZ$1500,설정!$L$5+ROW()-1,설정!$L$9)&amp;""="0","",INDEX(원자료_잔고!$A$1:$EZ$1500,설정!$L$5+ROW()-1,설정!$L$9)&amp;""),"")</f>
        <v/>
      </c>
      <c r="D461" s="83" t="str">
        <f aca="false">IFERROR(IF(INDEX(원자료_잔고!$A$1:$EZ$1500,설정!$L$5+ROW()-1,설정!$L$10)&amp;""="0","",INDEX(원자료_잔고!$A$1:$EZ$1500,설정!$L$5+ROW()-1,설정!$L$10)&amp;""),"")</f>
        <v/>
      </c>
      <c r="E461" s="84" t="str">
        <f aca="false">IFERROR(IF(ISNUMBER(INDEX(원자료_잔고!$A$1:$EZ$1500,설정!$L$5+ROW()-1,설정!$L$11)),INDEX(원자료_잔고!$A$1:$EZ$1500,설정!$L$5+ROW()-1,설정!$L$11),""),"")</f>
        <v/>
      </c>
      <c r="F461" s="85" t="str">
        <f aca="false">IFERROR(IF(ISNUMBER(INDEX(원자료_잔고!$A$1:$EZ$1500,설정!$L$5+ROW()-1,설정!$L$12)),INDEX(원자료_잔고!$A$1:$EZ$1500,설정!$L$5+ROW()-1,설정!$L$12),""),"")</f>
        <v/>
      </c>
      <c r="G461" s="85" t="str">
        <f aca="false">IFERROR(IF(ISNUMBER(INDEX(원자료_잔고!$A$1:$EZ$1500,설정!$L$5+ROW()-1,설정!$L$13)),INDEX(원자료_잔고!$A$1:$EZ$1500,설정!$L$5+ROW()-1,설정!$L$13),""),"")</f>
        <v/>
      </c>
      <c r="H461" s="85" t="str">
        <f aca="false">IFERROR(IF(ISNUMBER(INDEX(원자료_잔고!$A$1:$EZ$1500,설정!$L$5+ROW()-1,설정!$L$14)),INDEX(원자료_잔고!$A$1:$EZ$1500,설정!$L$5+ROW()-1,설정!$L$14),""),"")</f>
        <v/>
      </c>
      <c r="I461" s="86" t="str">
        <f aca="false">IFERROR(IF(ISNUMBER(INDEX(원자료_잔고!$A$1:$EZ$1500,설정!$L$5+ROW()-1,설정!$L$15)),INDEX(원자료_잔고!$A$1:$EZ$1500,설정!$L$5+ROW()-1,설정!$L$15),""),"")</f>
        <v/>
      </c>
      <c r="J461" s="85" t="str">
        <f aca="false">IFERROR(IF(ISNUMBER(INDEX(원자료_잔고!$A$1:$EZ$1500,설정!$L$5+ROW()-1,설정!$L$16)),INDEX(원자료_잔고!$A$1:$EZ$1500,설정!$L$5+ROW()-1,설정!$L$16),""),"")</f>
        <v/>
      </c>
      <c r="K461" s="87" t="str">
        <f aca="false">IFERROR(IF(ISNUMBER(INDEX(원자료_잔고!$A$1:$EZ$1500,설정!$L$5+ROW()-1,설정!$L$17)),INDEX(원자료_잔고!$A$1:$EZ$1500,설정!$L$5+ROW()-1,설정!$L$17),""),"")</f>
        <v/>
      </c>
      <c r="L461" s="84" t="str">
        <f aca="false">IFERROR(IF(ISNUMBER(INDEX(원자료_잔고!$A$1:$EZ$1500,설정!$L$5+ROW()-1,설정!$L$18)),INDEX(원자료_잔고!$A$1:$EZ$1500,설정!$L$5+ROW()-1,설정!$L$18),""),"")</f>
        <v/>
      </c>
      <c r="M461" s="88" t="str">
        <f aca="false">IFERROR(IF(ISNUMBER(INDEX(원자료_잔고!$A$1:$EZ$1500,설정!$L$5+ROW()-1,설정!$L$19)),INDEX(원자료_잔고!$A$1:$EZ$1500,설정!$L$5+ROW()-1,설정!$L$19),""),"")</f>
        <v/>
      </c>
      <c r="N461" s="83" t="str">
        <f aca="false">IFERROR(IF(INDEX(원자료_잔고!$A$1:$EZ$1500,설정!$L$5+ROW()-1,설정!$L$21)&amp;""="0","",INDEX(원자료_잔고!$A$1:$EZ$1500,설정!$L$5+ROW()-1,설정!$L$21)&amp;""),"")</f>
        <v/>
      </c>
      <c r="O461" s="83" t="str">
        <f aca="false">IFERROR(IF(INDEX(원자료_잔고!$A$1:$EZ$1500,설정!$L$5+ROW()-1,설정!$L$22)&amp;""="0","",INDEX(원자료_잔고!$A$1:$EZ$1500,설정!$L$5+ROW()-1,설정!$L$22)&amp;""),"")</f>
        <v/>
      </c>
      <c r="P461" s="83" t="str">
        <f aca="false">IFERROR(IF(INDEX(원자료_잔고!$A$1:$EZ$1500,설정!$L$5+ROW()-1,설정!$L$23)&amp;""="0","",INDEX(원자료_잔고!$A$1:$EZ$1500,설정!$L$5+ROW()-1,설정!$L$23)&amp;""),"")</f>
        <v/>
      </c>
      <c r="Q461" s="89" t="n">
        <f aca="false">IF(AND($A461&lt;&gt;"",ISNUMBER(E461)),IF(E461&gt;0,1,0),0)</f>
        <v>0</v>
      </c>
      <c r="R461" s="43" t="str">
        <f aca="false">IF(Q461=1,UPPER(LEFT($A461,FIND(" ",$A461&amp;" ")-1)),"")</f>
        <v/>
      </c>
      <c r="S461" s="89" t="n">
        <f aca="false">IF(Q461=1,IF(OR(ISNUMBER(SEARCH("Float",$A461)),ISNUMBER(SEARCH("FRN",$A461))),1,0),0)</f>
        <v>0</v>
      </c>
      <c r="T461" s="43" t="str">
        <f aca="false">IF(AND(Q461=1,ISNUMBER(I461)),TEXT(I461,"yyyymmdd")&amp;"|"&amp;IF(S461=1,"F",TEXT(J461,"0.000")),"")</f>
        <v/>
      </c>
      <c r="U461" s="90" t="str">
        <f aca="false">IF(AND(Q461=1,ISNUMBER(I461)),(I461-설정!$C$4)/365.25,"")</f>
        <v/>
      </c>
      <c r="V461" s="43" t="str">
        <f aca="false">IF(Q461&lt;&gt;1,"",IF(ISNUMBER(U461),IF(U461&lt;=1,"1년 이하",IF(U461&lt;=2,"1-2년",IF(U461&lt;=3,"2-3년",IF(U461&lt;=4,"3-4년",IF(U461&lt;=5,"4-5년",IF(U461&lt;=7,"5-7년",IF(U461&lt;=10,"7-10년",IF(U461&lt;=20,"10-20년","20년 이상")))))))),"미분류"))</f>
        <v/>
      </c>
      <c r="W461" s="43" t="str">
        <f aca="false">IF(Q461&lt;&gt;1,"",IF(AB461&lt;&gt;"",INDEX(시장분석!$C:$C,AB461),IF(K461=1,"USD","비USD")))</f>
        <v/>
      </c>
      <c r="X461" s="91" t="n">
        <f aca="false">IF(Q461=1,E461*K461/1000000,0)</f>
        <v>0</v>
      </c>
      <c r="Y461" s="89" t="n">
        <f aca="false">IF(R461="T",1,0)</f>
        <v>0</v>
      </c>
      <c r="Z461" s="92" t="str">
        <f aca="false">IF(Q461&lt;&gt;1,"",IF(AD461=1,IF(ISNUMBER(U461),MAX(U461,0),H461),H461))</f>
        <v/>
      </c>
      <c r="AA461" s="91" t="n">
        <f aca="false">IF(Q461=1,IF(ISNUMBER(L461),L461,0)*K461/1000000,0)</f>
        <v>0</v>
      </c>
      <c r="AB461" s="89" t="str">
        <f aca="false">IF(Q461&lt;&gt;1,"",IFERROR(MATCH(VLOOKUP(B461,매핑!$H$4:$I$15,2,0),시장분석!$A$2:$A$601,0)+1,IFERROR(MATCH(R461&amp;"|"&amp;T461,시장분석!$V$2:$V$601,0)+1,IF(COUNTIF(시장분석!$U$2:$U$601,T461)=1,MATCH(T461,시장분석!$U$2:$U$601,0)+1,""))))</f>
        <v/>
      </c>
      <c r="AC461" s="89" t="n">
        <f aca="false">IF(Q461&lt;&gt;1,0,IF(OR(설정!$C$5="전체",AND(설정!$C$5="선택펀드",IFERROR(COUNTIFS(설정!$F$16:$F$36,C461,설정!$G$16:$G$36,"Y")+COUNTIFS(설정!$F$16:$F$36,VALUE(C461),설정!$G$16:$G$36,"Y"),0)&gt;0),C461&amp;""=설정!$C$5&amp;""),1,0))</f>
        <v>0</v>
      </c>
      <c r="AD461" s="89" t="n">
        <f aca="false">IF(Q461&lt;&gt;1,0,IF(OR(S461=1,IF(AB461="",FALSE(),INDEX(시장분석!$R:$R,AB461)=1)),1,0))</f>
        <v>0</v>
      </c>
      <c r="AE461" s="43" t="str">
        <f aca="false">IF(AB461="","",INDEX(시장분석!$A:$A,AB461))</f>
        <v/>
      </c>
      <c r="AF461" s="93" t="str">
        <f aca="false">IF(AB461="","",IF(ISNUMBER(IF(AB461="","",INDEX(시장분석!$E:$E,AB461))),IF(AB461="","",INDEX(시장분석!$E:$E,AB461)),""))</f>
        <v/>
      </c>
      <c r="AG461" s="43" t="str">
        <f aca="false">IF(Q461&lt;&gt;1,"",IF(AB461&lt;&gt;"",IF(AB461="","",INDEX(시장분석!$L:$L,AB461)),IFERROR(IF(VLOOKUP(R461,매핑!$A$4:$E$92,5,0)="","미분류",VLOOKUP(R461,매핑!$A$4:$E$92,5,0)),"미분류")))</f>
        <v/>
      </c>
      <c r="AH461" s="43" t="str">
        <f aca="false">IF(Q461&lt;&gt;1,"",IF(AB461&lt;&gt;"",IF(AB461="","",INDEX(시장분석!$N:$N,AB461)),IFERROR(IF(VLOOKUP(R461,매핑!$A$4:$E$92,4,0)="","미분류",VLOOKUP(R461,매핑!$A$4:$E$92,4,0)),"미분류")))</f>
        <v/>
      </c>
      <c r="AI461" s="43" t="str">
        <f aca="false">IF(Q461&lt;&gt;1,"",IFERROR(IF(VLOOKUP(R461,매핑!$A$4:$E$92,3,0)="","미분류",VLOOKUP(R461,매핑!$A$4:$E$92,3,0)),IF(AB461&lt;&gt;"",IF(AB461="","",INDEX(시장분석!$W:$W,AB461)),"미분류")))</f>
        <v/>
      </c>
      <c r="AJ461" s="43" t="str">
        <f aca="false">IF(Q461&lt;&gt;1,"",IFERROR(VLOOKUP(IF(N461&lt;&gt;"",N461,IF(P461&lt;&gt;"",P461,O461)),설정!$A$15:$D$47,2,0),""))</f>
        <v/>
      </c>
      <c r="AK461" s="43" t="str">
        <f aca="false">IF(Q461&lt;&gt;1,"",IF(AJ461="","무등급",IFERROR(VLOOKUP(AJ461,설정!$A$15:$D$47,3,0),"무등급")))</f>
        <v/>
      </c>
      <c r="AL461" s="89" t="n">
        <f aca="false">IF(AJ461="",99,IFERROR(VLOOKUP(AJ461,설정!$A$15:$D$47,4,0),99))</f>
        <v>99</v>
      </c>
      <c r="AM461" s="94" t="n">
        <f aca="false">IF(ISNUMBER(H461),AA461*1000000*H461/10000,0)</f>
        <v>0</v>
      </c>
      <c r="AN461" s="94" t="n">
        <f aca="false">IF(OR(Y461=1,NOT(ISNUMBER(Z461))),0,AA461*1000000*Z461/10000)</f>
        <v>0</v>
      </c>
      <c r="AO461" s="94" t="n">
        <f aca="false">IF(ISNUMBER(G461),AA461*1000000*G461/100,0)</f>
        <v>0</v>
      </c>
      <c r="AP461" s="94" t="n">
        <f aca="false">IF(ISNUMBER(M461),M461*K461,0)</f>
        <v>0</v>
      </c>
      <c r="AQ461" s="95" t="str">
        <f aca="false">IF(AB461="","",INDEX(시장분석!$AK:$AK,AB461))</f>
        <v/>
      </c>
      <c r="AR461" s="43" t="str">
        <f aca="false">IF(AB461="","-",IF(AB461="","",INDEX(시장분석!$AL:$AL,AB461)))</f>
        <v>-</v>
      </c>
      <c r="AS461" s="96" t="str">
        <f aca="false">IF(AB461="","",INDEX(시장분석!$AJ:$AJ,AB461))</f>
        <v/>
      </c>
      <c r="AT461" s="93" t="n">
        <f aca="false">IF(AB461="",0,IF(AB461="","",INDEX(시장분석!$AN:$AN,AB461)))</f>
        <v>0</v>
      </c>
      <c r="AU461" s="94" t="n">
        <f aca="false">IF(ISNUMBER(Z461),AT461/10000*MAX(Z461-1,0)*AA461*1000000,0)</f>
        <v>0</v>
      </c>
      <c r="AV461" s="94" t="n">
        <f aca="false">AO461+AU461</f>
        <v>0</v>
      </c>
      <c r="AW461" s="43" t="str">
        <f aca="false">IF(Q461&lt;&gt;1,"",TRIM(IF(AD461=1,"FRN ","")&amp;IF(AND(AL461&gt;=10,AL461&lt;99),"BBB0미만 ","")&amp;IF(AJ461="","등급없음 ","")&amp;IF(K461&lt;&gt;1,"비USD ","")&amp;IF(AND(AB461="",Y461=0),"시장데이터없음 ","")&amp;IF(AND(ISNUMBER(U461),U461&lt;0),"만기경과 ","")))</f>
        <v/>
      </c>
      <c r="AX461" s="90" t="n">
        <f aca="false">IF(Q461&lt;&gt;1,1,IF(스프레드쇼크!$C$4="Y",INDEX(스프레드쇼크!$B$12:$L$16,IFERROR(MATCH(AH461,스프레드쇼크!$A$12:$A$16,0),MATCH("목록외",스프레드쇼크!$A$12:$A$16,0)),IFERROR(MATCH(AG461,스프레드쇼크!$B$11:$L$11,0),MATCH("목록외",스프레드쇼크!$B$11:$L$11,0))),1))</f>
        <v>1</v>
      </c>
      <c r="AY461" s="90" t="n">
        <f aca="false">IF(스프레드쇼크!$C$5="Y",IF(ISNUMBER(AF461),MIN(스프레드쇼크!$C$7,MAX(스프레드쇼크!$C$6,AF461/스프레드쇼크!$C$8)),1),1)</f>
        <v>1</v>
      </c>
      <c r="AZ461" s="94" t="n">
        <f aca="false">AN461*AX461*AY461</f>
        <v>0</v>
      </c>
      <c r="BA461" s="90" t="n">
        <f aca="false">IF(ISNUMBER(G461),AA461*G461,0)</f>
        <v>0</v>
      </c>
      <c r="BB461" s="90" t="n">
        <f aca="false">IF(ISNUMBER(G461),AA461,0)</f>
        <v>0</v>
      </c>
      <c r="BC461" s="90" t="n">
        <f aca="false">IF(AND(Y461=0,ISNUMBER(AF461)),AA461*AF461,0)</f>
        <v>0</v>
      </c>
      <c r="BD461" s="90" t="n">
        <f aca="false">IF(AND(Y461=0,ISNUMBER(AF461)),AA461,0)</f>
        <v>0</v>
      </c>
      <c r="BE461" s="90" t="n">
        <f aca="false">IF(ISNUMBER(H461),AA461*H461,0)</f>
        <v>0</v>
      </c>
      <c r="BF461" s="90" t="n">
        <f aca="false">IF(ISNUMBER(H461),AA461,0)</f>
        <v>0</v>
      </c>
      <c r="BG461" s="90" t="n">
        <f aca="false">IF(AND(Y461=0,ISNUMBER(AF461),ISNUMBER(Z461)),AA461*Z461,0)</f>
        <v>0</v>
      </c>
      <c r="BH461" s="90" t="n">
        <f aca="false">IF(AND(Y461=0,ISNUMBER(AF461),ISNUMBER(Z461)),AA461*AT461*MAX(Z461-1,0),0)</f>
        <v>0</v>
      </c>
      <c r="BI461" s="90" t="n">
        <f aca="false">IF(Y461=0,AA461,0)</f>
        <v>0</v>
      </c>
    </row>
    <row r="462" customFormat="false" ht="15" hidden="false" customHeight="false" outlineLevel="0" collapsed="false">
      <c r="A462" s="83" t="str">
        <f aca="false">IFERROR(IF(INDEX(원자료_잔고!$A$1:$EZ$1500,설정!$L$5+ROW()-1,설정!$L$8)&amp;""="0","",INDEX(원자료_잔고!$A$1:$EZ$1500,설정!$L$5+ROW()-1,설정!$L$8)&amp;""),"")</f>
        <v/>
      </c>
      <c r="B462" s="83" t="str">
        <f aca="false">IFERROR(IF(INDEX(원자료_잔고!$A$1:$EZ$1500,설정!$L$5+ROW()-1,설정!$L$7)&amp;""="0","",INDEX(원자료_잔고!$A$1:$EZ$1500,설정!$L$5+ROW()-1,설정!$L$7)&amp;""),"")</f>
        <v/>
      </c>
      <c r="C462" s="83" t="str">
        <f aca="false">IFERROR(IF(INDEX(원자료_잔고!$A$1:$EZ$1500,설정!$L$5+ROW()-1,설정!$L$9)&amp;""="0","",INDEX(원자료_잔고!$A$1:$EZ$1500,설정!$L$5+ROW()-1,설정!$L$9)&amp;""),"")</f>
        <v/>
      </c>
      <c r="D462" s="83" t="str">
        <f aca="false">IFERROR(IF(INDEX(원자료_잔고!$A$1:$EZ$1500,설정!$L$5+ROW()-1,설정!$L$10)&amp;""="0","",INDEX(원자료_잔고!$A$1:$EZ$1500,설정!$L$5+ROW()-1,설정!$L$10)&amp;""),"")</f>
        <v/>
      </c>
      <c r="E462" s="84" t="str">
        <f aca="false">IFERROR(IF(ISNUMBER(INDEX(원자료_잔고!$A$1:$EZ$1500,설정!$L$5+ROW()-1,설정!$L$11)),INDEX(원자료_잔고!$A$1:$EZ$1500,설정!$L$5+ROW()-1,설정!$L$11),""),"")</f>
        <v/>
      </c>
      <c r="F462" s="85" t="str">
        <f aca="false">IFERROR(IF(ISNUMBER(INDEX(원자료_잔고!$A$1:$EZ$1500,설정!$L$5+ROW()-1,설정!$L$12)),INDEX(원자료_잔고!$A$1:$EZ$1500,설정!$L$5+ROW()-1,설정!$L$12),""),"")</f>
        <v/>
      </c>
      <c r="G462" s="85" t="str">
        <f aca="false">IFERROR(IF(ISNUMBER(INDEX(원자료_잔고!$A$1:$EZ$1500,설정!$L$5+ROW()-1,설정!$L$13)),INDEX(원자료_잔고!$A$1:$EZ$1500,설정!$L$5+ROW()-1,설정!$L$13),""),"")</f>
        <v/>
      </c>
      <c r="H462" s="85" t="str">
        <f aca="false">IFERROR(IF(ISNUMBER(INDEX(원자료_잔고!$A$1:$EZ$1500,설정!$L$5+ROW()-1,설정!$L$14)),INDEX(원자료_잔고!$A$1:$EZ$1500,설정!$L$5+ROW()-1,설정!$L$14),""),"")</f>
        <v/>
      </c>
      <c r="I462" s="86" t="str">
        <f aca="false">IFERROR(IF(ISNUMBER(INDEX(원자료_잔고!$A$1:$EZ$1500,설정!$L$5+ROW()-1,설정!$L$15)),INDEX(원자료_잔고!$A$1:$EZ$1500,설정!$L$5+ROW()-1,설정!$L$15),""),"")</f>
        <v/>
      </c>
      <c r="J462" s="85" t="str">
        <f aca="false">IFERROR(IF(ISNUMBER(INDEX(원자료_잔고!$A$1:$EZ$1500,설정!$L$5+ROW()-1,설정!$L$16)),INDEX(원자료_잔고!$A$1:$EZ$1500,설정!$L$5+ROW()-1,설정!$L$16),""),"")</f>
        <v/>
      </c>
      <c r="K462" s="87" t="str">
        <f aca="false">IFERROR(IF(ISNUMBER(INDEX(원자료_잔고!$A$1:$EZ$1500,설정!$L$5+ROW()-1,설정!$L$17)),INDEX(원자료_잔고!$A$1:$EZ$1500,설정!$L$5+ROW()-1,설정!$L$17),""),"")</f>
        <v/>
      </c>
      <c r="L462" s="84" t="str">
        <f aca="false">IFERROR(IF(ISNUMBER(INDEX(원자료_잔고!$A$1:$EZ$1500,설정!$L$5+ROW()-1,설정!$L$18)),INDEX(원자료_잔고!$A$1:$EZ$1500,설정!$L$5+ROW()-1,설정!$L$18),""),"")</f>
        <v/>
      </c>
      <c r="M462" s="88" t="str">
        <f aca="false">IFERROR(IF(ISNUMBER(INDEX(원자료_잔고!$A$1:$EZ$1500,설정!$L$5+ROW()-1,설정!$L$19)),INDEX(원자료_잔고!$A$1:$EZ$1500,설정!$L$5+ROW()-1,설정!$L$19),""),"")</f>
        <v/>
      </c>
      <c r="N462" s="83" t="str">
        <f aca="false">IFERROR(IF(INDEX(원자료_잔고!$A$1:$EZ$1500,설정!$L$5+ROW()-1,설정!$L$21)&amp;""="0","",INDEX(원자료_잔고!$A$1:$EZ$1500,설정!$L$5+ROW()-1,설정!$L$21)&amp;""),"")</f>
        <v/>
      </c>
      <c r="O462" s="83" t="str">
        <f aca="false">IFERROR(IF(INDEX(원자료_잔고!$A$1:$EZ$1500,설정!$L$5+ROW()-1,설정!$L$22)&amp;""="0","",INDEX(원자료_잔고!$A$1:$EZ$1500,설정!$L$5+ROW()-1,설정!$L$22)&amp;""),"")</f>
        <v/>
      </c>
      <c r="P462" s="83" t="str">
        <f aca="false">IFERROR(IF(INDEX(원자료_잔고!$A$1:$EZ$1500,설정!$L$5+ROW()-1,설정!$L$23)&amp;""="0","",INDEX(원자료_잔고!$A$1:$EZ$1500,설정!$L$5+ROW()-1,설정!$L$23)&amp;""),"")</f>
        <v/>
      </c>
      <c r="Q462" s="89" t="n">
        <f aca="false">IF(AND($A462&lt;&gt;"",ISNUMBER(E462)),IF(E462&gt;0,1,0),0)</f>
        <v>0</v>
      </c>
      <c r="R462" s="43" t="str">
        <f aca="false">IF(Q462=1,UPPER(LEFT($A462,FIND(" ",$A462&amp;" ")-1)),"")</f>
        <v/>
      </c>
      <c r="S462" s="89" t="n">
        <f aca="false">IF(Q462=1,IF(OR(ISNUMBER(SEARCH("Float",$A462)),ISNUMBER(SEARCH("FRN",$A462))),1,0),0)</f>
        <v>0</v>
      </c>
      <c r="T462" s="43" t="str">
        <f aca="false">IF(AND(Q462=1,ISNUMBER(I462)),TEXT(I462,"yyyymmdd")&amp;"|"&amp;IF(S462=1,"F",TEXT(J462,"0.000")),"")</f>
        <v/>
      </c>
      <c r="U462" s="90" t="str">
        <f aca="false">IF(AND(Q462=1,ISNUMBER(I462)),(I462-설정!$C$4)/365.25,"")</f>
        <v/>
      </c>
      <c r="V462" s="43" t="str">
        <f aca="false">IF(Q462&lt;&gt;1,"",IF(ISNUMBER(U462),IF(U462&lt;=1,"1년 이하",IF(U462&lt;=2,"1-2년",IF(U462&lt;=3,"2-3년",IF(U462&lt;=4,"3-4년",IF(U462&lt;=5,"4-5년",IF(U462&lt;=7,"5-7년",IF(U462&lt;=10,"7-10년",IF(U462&lt;=20,"10-20년","20년 이상")))))))),"미분류"))</f>
        <v/>
      </c>
      <c r="W462" s="43" t="str">
        <f aca="false">IF(Q462&lt;&gt;1,"",IF(AB462&lt;&gt;"",INDEX(시장분석!$C:$C,AB462),IF(K462=1,"USD","비USD")))</f>
        <v/>
      </c>
      <c r="X462" s="91" t="n">
        <f aca="false">IF(Q462=1,E462*K462/1000000,0)</f>
        <v>0</v>
      </c>
      <c r="Y462" s="89" t="n">
        <f aca="false">IF(R462="T",1,0)</f>
        <v>0</v>
      </c>
      <c r="Z462" s="92" t="str">
        <f aca="false">IF(Q462&lt;&gt;1,"",IF(AD462=1,IF(ISNUMBER(U462),MAX(U462,0),H462),H462))</f>
        <v/>
      </c>
      <c r="AA462" s="91" t="n">
        <f aca="false">IF(Q462=1,IF(ISNUMBER(L462),L462,0)*K462/1000000,0)</f>
        <v>0</v>
      </c>
      <c r="AB462" s="89" t="str">
        <f aca="false">IF(Q462&lt;&gt;1,"",IFERROR(MATCH(VLOOKUP(B462,매핑!$H$4:$I$15,2,0),시장분석!$A$2:$A$601,0)+1,IFERROR(MATCH(R462&amp;"|"&amp;T462,시장분석!$V$2:$V$601,0)+1,IF(COUNTIF(시장분석!$U$2:$U$601,T462)=1,MATCH(T462,시장분석!$U$2:$U$601,0)+1,""))))</f>
        <v/>
      </c>
      <c r="AC462" s="89" t="n">
        <f aca="false">IF(Q462&lt;&gt;1,0,IF(OR(설정!$C$5="전체",AND(설정!$C$5="선택펀드",IFERROR(COUNTIFS(설정!$F$16:$F$36,C462,설정!$G$16:$G$36,"Y")+COUNTIFS(설정!$F$16:$F$36,VALUE(C462),설정!$G$16:$G$36,"Y"),0)&gt;0),C462&amp;""=설정!$C$5&amp;""),1,0))</f>
        <v>0</v>
      </c>
      <c r="AD462" s="89" t="n">
        <f aca="false">IF(Q462&lt;&gt;1,0,IF(OR(S462=1,IF(AB462="",FALSE(),INDEX(시장분석!$R:$R,AB462)=1)),1,0))</f>
        <v>0</v>
      </c>
      <c r="AE462" s="43" t="str">
        <f aca="false">IF(AB462="","",INDEX(시장분석!$A:$A,AB462))</f>
        <v/>
      </c>
      <c r="AF462" s="93" t="str">
        <f aca="false">IF(AB462="","",IF(ISNUMBER(IF(AB462="","",INDEX(시장분석!$E:$E,AB462))),IF(AB462="","",INDEX(시장분석!$E:$E,AB462)),""))</f>
        <v/>
      </c>
      <c r="AG462" s="43" t="str">
        <f aca="false">IF(Q462&lt;&gt;1,"",IF(AB462&lt;&gt;"",IF(AB462="","",INDEX(시장분석!$L:$L,AB462)),IFERROR(IF(VLOOKUP(R462,매핑!$A$4:$E$92,5,0)="","미분류",VLOOKUP(R462,매핑!$A$4:$E$92,5,0)),"미분류")))</f>
        <v/>
      </c>
      <c r="AH462" s="43" t="str">
        <f aca="false">IF(Q462&lt;&gt;1,"",IF(AB462&lt;&gt;"",IF(AB462="","",INDEX(시장분석!$N:$N,AB462)),IFERROR(IF(VLOOKUP(R462,매핑!$A$4:$E$92,4,0)="","미분류",VLOOKUP(R462,매핑!$A$4:$E$92,4,0)),"미분류")))</f>
        <v/>
      </c>
      <c r="AI462" s="43" t="str">
        <f aca="false">IF(Q462&lt;&gt;1,"",IFERROR(IF(VLOOKUP(R462,매핑!$A$4:$E$92,3,0)="","미분류",VLOOKUP(R462,매핑!$A$4:$E$92,3,0)),IF(AB462&lt;&gt;"",IF(AB462="","",INDEX(시장분석!$W:$W,AB462)),"미분류")))</f>
        <v/>
      </c>
      <c r="AJ462" s="43" t="str">
        <f aca="false">IF(Q462&lt;&gt;1,"",IFERROR(VLOOKUP(IF(N462&lt;&gt;"",N462,IF(P462&lt;&gt;"",P462,O462)),설정!$A$15:$D$47,2,0),""))</f>
        <v/>
      </c>
      <c r="AK462" s="43" t="str">
        <f aca="false">IF(Q462&lt;&gt;1,"",IF(AJ462="","무등급",IFERROR(VLOOKUP(AJ462,설정!$A$15:$D$47,3,0),"무등급")))</f>
        <v/>
      </c>
      <c r="AL462" s="89" t="n">
        <f aca="false">IF(AJ462="",99,IFERROR(VLOOKUP(AJ462,설정!$A$15:$D$47,4,0),99))</f>
        <v>99</v>
      </c>
      <c r="AM462" s="94" t="n">
        <f aca="false">IF(ISNUMBER(H462),AA462*1000000*H462/10000,0)</f>
        <v>0</v>
      </c>
      <c r="AN462" s="94" t="n">
        <f aca="false">IF(OR(Y462=1,NOT(ISNUMBER(Z462))),0,AA462*1000000*Z462/10000)</f>
        <v>0</v>
      </c>
      <c r="AO462" s="94" t="n">
        <f aca="false">IF(ISNUMBER(G462),AA462*1000000*G462/100,0)</f>
        <v>0</v>
      </c>
      <c r="AP462" s="94" t="n">
        <f aca="false">IF(ISNUMBER(M462),M462*K462,0)</f>
        <v>0</v>
      </c>
      <c r="AQ462" s="95" t="str">
        <f aca="false">IF(AB462="","",INDEX(시장분석!$AK:$AK,AB462))</f>
        <v/>
      </c>
      <c r="AR462" s="43" t="str">
        <f aca="false">IF(AB462="","-",IF(AB462="","",INDEX(시장분석!$AL:$AL,AB462)))</f>
        <v>-</v>
      </c>
      <c r="AS462" s="96" t="str">
        <f aca="false">IF(AB462="","",INDEX(시장분석!$AJ:$AJ,AB462))</f>
        <v/>
      </c>
      <c r="AT462" s="93" t="n">
        <f aca="false">IF(AB462="",0,IF(AB462="","",INDEX(시장분석!$AN:$AN,AB462)))</f>
        <v>0</v>
      </c>
      <c r="AU462" s="94" t="n">
        <f aca="false">IF(ISNUMBER(Z462),AT462/10000*MAX(Z462-1,0)*AA462*1000000,0)</f>
        <v>0</v>
      </c>
      <c r="AV462" s="94" t="n">
        <f aca="false">AO462+AU462</f>
        <v>0</v>
      </c>
      <c r="AW462" s="43" t="str">
        <f aca="false">IF(Q462&lt;&gt;1,"",TRIM(IF(AD462=1,"FRN ","")&amp;IF(AND(AL462&gt;=10,AL462&lt;99),"BBB0미만 ","")&amp;IF(AJ462="","등급없음 ","")&amp;IF(K462&lt;&gt;1,"비USD ","")&amp;IF(AND(AB462="",Y462=0),"시장데이터없음 ","")&amp;IF(AND(ISNUMBER(U462),U462&lt;0),"만기경과 ","")))</f>
        <v/>
      </c>
      <c r="AX462" s="90" t="n">
        <f aca="false">IF(Q462&lt;&gt;1,1,IF(스프레드쇼크!$C$4="Y",INDEX(스프레드쇼크!$B$12:$L$16,IFERROR(MATCH(AH462,스프레드쇼크!$A$12:$A$16,0),MATCH("목록외",스프레드쇼크!$A$12:$A$16,0)),IFERROR(MATCH(AG462,스프레드쇼크!$B$11:$L$11,0),MATCH("목록외",스프레드쇼크!$B$11:$L$11,0))),1))</f>
        <v>1</v>
      </c>
      <c r="AY462" s="90" t="n">
        <f aca="false">IF(스프레드쇼크!$C$5="Y",IF(ISNUMBER(AF462),MIN(스프레드쇼크!$C$7,MAX(스프레드쇼크!$C$6,AF462/스프레드쇼크!$C$8)),1),1)</f>
        <v>1</v>
      </c>
      <c r="AZ462" s="94" t="n">
        <f aca="false">AN462*AX462*AY462</f>
        <v>0</v>
      </c>
      <c r="BA462" s="90" t="n">
        <f aca="false">IF(ISNUMBER(G462),AA462*G462,0)</f>
        <v>0</v>
      </c>
      <c r="BB462" s="90" t="n">
        <f aca="false">IF(ISNUMBER(G462),AA462,0)</f>
        <v>0</v>
      </c>
      <c r="BC462" s="90" t="n">
        <f aca="false">IF(AND(Y462=0,ISNUMBER(AF462)),AA462*AF462,0)</f>
        <v>0</v>
      </c>
      <c r="BD462" s="90" t="n">
        <f aca="false">IF(AND(Y462=0,ISNUMBER(AF462)),AA462,0)</f>
        <v>0</v>
      </c>
      <c r="BE462" s="90" t="n">
        <f aca="false">IF(ISNUMBER(H462),AA462*H462,0)</f>
        <v>0</v>
      </c>
      <c r="BF462" s="90" t="n">
        <f aca="false">IF(ISNUMBER(H462),AA462,0)</f>
        <v>0</v>
      </c>
      <c r="BG462" s="90" t="n">
        <f aca="false">IF(AND(Y462=0,ISNUMBER(AF462),ISNUMBER(Z462)),AA462*Z462,0)</f>
        <v>0</v>
      </c>
      <c r="BH462" s="90" t="n">
        <f aca="false">IF(AND(Y462=0,ISNUMBER(AF462),ISNUMBER(Z462)),AA462*AT462*MAX(Z462-1,0),0)</f>
        <v>0</v>
      </c>
      <c r="BI462" s="90" t="n">
        <f aca="false">IF(Y462=0,AA462,0)</f>
        <v>0</v>
      </c>
    </row>
    <row r="463" customFormat="false" ht="15" hidden="false" customHeight="false" outlineLevel="0" collapsed="false">
      <c r="A463" s="83" t="str">
        <f aca="false">IFERROR(IF(INDEX(원자료_잔고!$A$1:$EZ$1500,설정!$L$5+ROW()-1,설정!$L$8)&amp;""="0","",INDEX(원자료_잔고!$A$1:$EZ$1500,설정!$L$5+ROW()-1,설정!$L$8)&amp;""),"")</f>
        <v/>
      </c>
      <c r="B463" s="83" t="str">
        <f aca="false">IFERROR(IF(INDEX(원자료_잔고!$A$1:$EZ$1500,설정!$L$5+ROW()-1,설정!$L$7)&amp;""="0","",INDEX(원자료_잔고!$A$1:$EZ$1500,설정!$L$5+ROW()-1,설정!$L$7)&amp;""),"")</f>
        <v/>
      </c>
      <c r="C463" s="83" t="str">
        <f aca="false">IFERROR(IF(INDEX(원자료_잔고!$A$1:$EZ$1500,설정!$L$5+ROW()-1,설정!$L$9)&amp;""="0","",INDEX(원자료_잔고!$A$1:$EZ$1500,설정!$L$5+ROW()-1,설정!$L$9)&amp;""),"")</f>
        <v/>
      </c>
      <c r="D463" s="83" t="str">
        <f aca="false">IFERROR(IF(INDEX(원자료_잔고!$A$1:$EZ$1500,설정!$L$5+ROW()-1,설정!$L$10)&amp;""="0","",INDEX(원자료_잔고!$A$1:$EZ$1500,설정!$L$5+ROW()-1,설정!$L$10)&amp;""),"")</f>
        <v/>
      </c>
      <c r="E463" s="84" t="str">
        <f aca="false">IFERROR(IF(ISNUMBER(INDEX(원자료_잔고!$A$1:$EZ$1500,설정!$L$5+ROW()-1,설정!$L$11)),INDEX(원자료_잔고!$A$1:$EZ$1500,설정!$L$5+ROW()-1,설정!$L$11),""),"")</f>
        <v/>
      </c>
      <c r="F463" s="85" t="str">
        <f aca="false">IFERROR(IF(ISNUMBER(INDEX(원자료_잔고!$A$1:$EZ$1500,설정!$L$5+ROW()-1,설정!$L$12)),INDEX(원자료_잔고!$A$1:$EZ$1500,설정!$L$5+ROW()-1,설정!$L$12),""),"")</f>
        <v/>
      </c>
      <c r="G463" s="85" t="str">
        <f aca="false">IFERROR(IF(ISNUMBER(INDEX(원자료_잔고!$A$1:$EZ$1500,설정!$L$5+ROW()-1,설정!$L$13)),INDEX(원자료_잔고!$A$1:$EZ$1500,설정!$L$5+ROW()-1,설정!$L$13),""),"")</f>
        <v/>
      </c>
      <c r="H463" s="85" t="str">
        <f aca="false">IFERROR(IF(ISNUMBER(INDEX(원자료_잔고!$A$1:$EZ$1500,설정!$L$5+ROW()-1,설정!$L$14)),INDEX(원자료_잔고!$A$1:$EZ$1500,설정!$L$5+ROW()-1,설정!$L$14),""),"")</f>
        <v/>
      </c>
      <c r="I463" s="86" t="str">
        <f aca="false">IFERROR(IF(ISNUMBER(INDEX(원자료_잔고!$A$1:$EZ$1500,설정!$L$5+ROW()-1,설정!$L$15)),INDEX(원자료_잔고!$A$1:$EZ$1500,설정!$L$5+ROW()-1,설정!$L$15),""),"")</f>
        <v/>
      </c>
      <c r="J463" s="85" t="str">
        <f aca="false">IFERROR(IF(ISNUMBER(INDEX(원자료_잔고!$A$1:$EZ$1500,설정!$L$5+ROW()-1,설정!$L$16)),INDEX(원자료_잔고!$A$1:$EZ$1500,설정!$L$5+ROW()-1,설정!$L$16),""),"")</f>
        <v/>
      </c>
      <c r="K463" s="87" t="str">
        <f aca="false">IFERROR(IF(ISNUMBER(INDEX(원자료_잔고!$A$1:$EZ$1500,설정!$L$5+ROW()-1,설정!$L$17)),INDEX(원자료_잔고!$A$1:$EZ$1500,설정!$L$5+ROW()-1,설정!$L$17),""),"")</f>
        <v/>
      </c>
      <c r="L463" s="84" t="str">
        <f aca="false">IFERROR(IF(ISNUMBER(INDEX(원자료_잔고!$A$1:$EZ$1500,설정!$L$5+ROW()-1,설정!$L$18)),INDEX(원자료_잔고!$A$1:$EZ$1500,설정!$L$5+ROW()-1,설정!$L$18),""),"")</f>
        <v/>
      </c>
      <c r="M463" s="88" t="str">
        <f aca="false">IFERROR(IF(ISNUMBER(INDEX(원자료_잔고!$A$1:$EZ$1500,설정!$L$5+ROW()-1,설정!$L$19)),INDEX(원자료_잔고!$A$1:$EZ$1500,설정!$L$5+ROW()-1,설정!$L$19),""),"")</f>
        <v/>
      </c>
      <c r="N463" s="83" t="str">
        <f aca="false">IFERROR(IF(INDEX(원자료_잔고!$A$1:$EZ$1500,설정!$L$5+ROW()-1,설정!$L$21)&amp;""="0","",INDEX(원자료_잔고!$A$1:$EZ$1500,설정!$L$5+ROW()-1,설정!$L$21)&amp;""),"")</f>
        <v/>
      </c>
      <c r="O463" s="83" t="str">
        <f aca="false">IFERROR(IF(INDEX(원자료_잔고!$A$1:$EZ$1500,설정!$L$5+ROW()-1,설정!$L$22)&amp;""="0","",INDEX(원자료_잔고!$A$1:$EZ$1500,설정!$L$5+ROW()-1,설정!$L$22)&amp;""),"")</f>
        <v/>
      </c>
      <c r="P463" s="83" t="str">
        <f aca="false">IFERROR(IF(INDEX(원자료_잔고!$A$1:$EZ$1500,설정!$L$5+ROW()-1,설정!$L$23)&amp;""="0","",INDEX(원자료_잔고!$A$1:$EZ$1500,설정!$L$5+ROW()-1,설정!$L$23)&amp;""),"")</f>
        <v/>
      </c>
      <c r="Q463" s="89" t="n">
        <f aca="false">IF(AND($A463&lt;&gt;"",ISNUMBER(E463)),IF(E463&gt;0,1,0),0)</f>
        <v>0</v>
      </c>
      <c r="R463" s="43" t="str">
        <f aca="false">IF(Q463=1,UPPER(LEFT($A463,FIND(" ",$A463&amp;" ")-1)),"")</f>
        <v/>
      </c>
      <c r="S463" s="89" t="n">
        <f aca="false">IF(Q463=1,IF(OR(ISNUMBER(SEARCH("Float",$A463)),ISNUMBER(SEARCH("FRN",$A463))),1,0),0)</f>
        <v>0</v>
      </c>
      <c r="T463" s="43" t="str">
        <f aca="false">IF(AND(Q463=1,ISNUMBER(I463)),TEXT(I463,"yyyymmdd")&amp;"|"&amp;IF(S463=1,"F",TEXT(J463,"0.000")),"")</f>
        <v/>
      </c>
      <c r="U463" s="90" t="str">
        <f aca="false">IF(AND(Q463=1,ISNUMBER(I463)),(I463-설정!$C$4)/365.25,"")</f>
        <v/>
      </c>
      <c r="V463" s="43" t="str">
        <f aca="false">IF(Q463&lt;&gt;1,"",IF(ISNUMBER(U463),IF(U463&lt;=1,"1년 이하",IF(U463&lt;=2,"1-2년",IF(U463&lt;=3,"2-3년",IF(U463&lt;=4,"3-4년",IF(U463&lt;=5,"4-5년",IF(U463&lt;=7,"5-7년",IF(U463&lt;=10,"7-10년",IF(U463&lt;=20,"10-20년","20년 이상")))))))),"미분류"))</f>
        <v/>
      </c>
      <c r="W463" s="43" t="str">
        <f aca="false">IF(Q463&lt;&gt;1,"",IF(AB463&lt;&gt;"",INDEX(시장분석!$C:$C,AB463),IF(K463=1,"USD","비USD")))</f>
        <v/>
      </c>
      <c r="X463" s="91" t="n">
        <f aca="false">IF(Q463=1,E463*K463/1000000,0)</f>
        <v>0</v>
      </c>
      <c r="Y463" s="89" t="n">
        <f aca="false">IF(R463="T",1,0)</f>
        <v>0</v>
      </c>
      <c r="Z463" s="92" t="str">
        <f aca="false">IF(Q463&lt;&gt;1,"",IF(AD463=1,IF(ISNUMBER(U463),MAX(U463,0),H463),H463))</f>
        <v/>
      </c>
      <c r="AA463" s="91" t="n">
        <f aca="false">IF(Q463=1,IF(ISNUMBER(L463),L463,0)*K463/1000000,0)</f>
        <v>0</v>
      </c>
      <c r="AB463" s="89" t="str">
        <f aca="false">IF(Q463&lt;&gt;1,"",IFERROR(MATCH(VLOOKUP(B463,매핑!$H$4:$I$15,2,0),시장분석!$A$2:$A$601,0)+1,IFERROR(MATCH(R463&amp;"|"&amp;T463,시장분석!$V$2:$V$601,0)+1,IF(COUNTIF(시장분석!$U$2:$U$601,T463)=1,MATCH(T463,시장분석!$U$2:$U$601,0)+1,""))))</f>
        <v/>
      </c>
      <c r="AC463" s="89" t="n">
        <f aca="false">IF(Q463&lt;&gt;1,0,IF(OR(설정!$C$5="전체",AND(설정!$C$5="선택펀드",IFERROR(COUNTIFS(설정!$F$16:$F$36,C463,설정!$G$16:$G$36,"Y")+COUNTIFS(설정!$F$16:$F$36,VALUE(C463),설정!$G$16:$G$36,"Y"),0)&gt;0),C463&amp;""=설정!$C$5&amp;""),1,0))</f>
        <v>0</v>
      </c>
      <c r="AD463" s="89" t="n">
        <f aca="false">IF(Q463&lt;&gt;1,0,IF(OR(S463=1,IF(AB463="",FALSE(),INDEX(시장분석!$R:$R,AB463)=1)),1,0))</f>
        <v>0</v>
      </c>
      <c r="AE463" s="43" t="str">
        <f aca="false">IF(AB463="","",INDEX(시장분석!$A:$A,AB463))</f>
        <v/>
      </c>
      <c r="AF463" s="93" t="str">
        <f aca="false">IF(AB463="","",IF(ISNUMBER(IF(AB463="","",INDEX(시장분석!$E:$E,AB463))),IF(AB463="","",INDEX(시장분석!$E:$E,AB463)),""))</f>
        <v/>
      </c>
      <c r="AG463" s="43" t="str">
        <f aca="false">IF(Q463&lt;&gt;1,"",IF(AB463&lt;&gt;"",IF(AB463="","",INDEX(시장분석!$L:$L,AB463)),IFERROR(IF(VLOOKUP(R463,매핑!$A$4:$E$92,5,0)="","미분류",VLOOKUP(R463,매핑!$A$4:$E$92,5,0)),"미분류")))</f>
        <v/>
      </c>
      <c r="AH463" s="43" t="str">
        <f aca="false">IF(Q463&lt;&gt;1,"",IF(AB463&lt;&gt;"",IF(AB463="","",INDEX(시장분석!$N:$N,AB463)),IFERROR(IF(VLOOKUP(R463,매핑!$A$4:$E$92,4,0)="","미분류",VLOOKUP(R463,매핑!$A$4:$E$92,4,0)),"미분류")))</f>
        <v/>
      </c>
      <c r="AI463" s="43" t="str">
        <f aca="false">IF(Q463&lt;&gt;1,"",IFERROR(IF(VLOOKUP(R463,매핑!$A$4:$E$92,3,0)="","미분류",VLOOKUP(R463,매핑!$A$4:$E$92,3,0)),IF(AB463&lt;&gt;"",IF(AB463="","",INDEX(시장분석!$W:$W,AB463)),"미분류")))</f>
        <v/>
      </c>
      <c r="AJ463" s="43" t="str">
        <f aca="false">IF(Q463&lt;&gt;1,"",IFERROR(VLOOKUP(IF(N463&lt;&gt;"",N463,IF(P463&lt;&gt;"",P463,O463)),설정!$A$15:$D$47,2,0),""))</f>
        <v/>
      </c>
      <c r="AK463" s="43" t="str">
        <f aca="false">IF(Q463&lt;&gt;1,"",IF(AJ463="","무등급",IFERROR(VLOOKUP(AJ463,설정!$A$15:$D$47,3,0),"무등급")))</f>
        <v/>
      </c>
      <c r="AL463" s="89" t="n">
        <f aca="false">IF(AJ463="",99,IFERROR(VLOOKUP(AJ463,설정!$A$15:$D$47,4,0),99))</f>
        <v>99</v>
      </c>
      <c r="AM463" s="94" t="n">
        <f aca="false">IF(ISNUMBER(H463),AA463*1000000*H463/10000,0)</f>
        <v>0</v>
      </c>
      <c r="AN463" s="94" t="n">
        <f aca="false">IF(OR(Y463=1,NOT(ISNUMBER(Z463))),0,AA463*1000000*Z463/10000)</f>
        <v>0</v>
      </c>
      <c r="AO463" s="94" t="n">
        <f aca="false">IF(ISNUMBER(G463),AA463*1000000*G463/100,0)</f>
        <v>0</v>
      </c>
      <c r="AP463" s="94" t="n">
        <f aca="false">IF(ISNUMBER(M463),M463*K463,0)</f>
        <v>0</v>
      </c>
      <c r="AQ463" s="95" t="str">
        <f aca="false">IF(AB463="","",INDEX(시장분석!$AK:$AK,AB463))</f>
        <v/>
      </c>
      <c r="AR463" s="43" t="str">
        <f aca="false">IF(AB463="","-",IF(AB463="","",INDEX(시장분석!$AL:$AL,AB463)))</f>
        <v>-</v>
      </c>
      <c r="AS463" s="96" t="str">
        <f aca="false">IF(AB463="","",INDEX(시장분석!$AJ:$AJ,AB463))</f>
        <v/>
      </c>
      <c r="AT463" s="93" t="n">
        <f aca="false">IF(AB463="",0,IF(AB463="","",INDEX(시장분석!$AN:$AN,AB463)))</f>
        <v>0</v>
      </c>
      <c r="AU463" s="94" t="n">
        <f aca="false">IF(ISNUMBER(Z463),AT463/10000*MAX(Z463-1,0)*AA463*1000000,0)</f>
        <v>0</v>
      </c>
      <c r="AV463" s="94" t="n">
        <f aca="false">AO463+AU463</f>
        <v>0</v>
      </c>
      <c r="AW463" s="43" t="str">
        <f aca="false">IF(Q463&lt;&gt;1,"",TRIM(IF(AD463=1,"FRN ","")&amp;IF(AND(AL463&gt;=10,AL463&lt;99),"BBB0미만 ","")&amp;IF(AJ463="","등급없음 ","")&amp;IF(K463&lt;&gt;1,"비USD ","")&amp;IF(AND(AB463="",Y463=0),"시장데이터없음 ","")&amp;IF(AND(ISNUMBER(U463),U463&lt;0),"만기경과 ","")))</f>
        <v/>
      </c>
      <c r="AX463" s="90" t="n">
        <f aca="false">IF(Q463&lt;&gt;1,1,IF(스프레드쇼크!$C$4="Y",INDEX(스프레드쇼크!$B$12:$L$16,IFERROR(MATCH(AH463,스프레드쇼크!$A$12:$A$16,0),MATCH("목록외",스프레드쇼크!$A$12:$A$16,0)),IFERROR(MATCH(AG463,스프레드쇼크!$B$11:$L$11,0),MATCH("목록외",스프레드쇼크!$B$11:$L$11,0))),1))</f>
        <v>1</v>
      </c>
      <c r="AY463" s="90" t="n">
        <f aca="false">IF(스프레드쇼크!$C$5="Y",IF(ISNUMBER(AF463),MIN(스프레드쇼크!$C$7,MAX(스프레드쇼크!$C$6,AF463/스프레드쇼크!$C$8)),1),1)</f>
        <v>1</v>
      </c>
      <c r="AZ463" s="94" t="n">
        <f aca="false">AN463*AX463*AY463</f>
        <v>0</v>
      </c>
      <c r="BA463" s="90" t="n">
        <f aca="false">IF(ISNUMBER(G463),AA463*G463,0)</f>
        <v>0</v>
      </c>
      <c r="BB463" s="90" t="n">
        <f aca="false">IF(ISNUMBER(G463),AA463,0)</f>
        <v>0</v>
      </c>
      <c r="BC463" s="90" t="n">
        <f aca="false">IF(AND(Y463=0,ISNUMBER(AF463)),AA463*AF463,0)</f>
        <v>0</v>
      </c>
      <c r="BD463" s="90" t="n">
        <f aca="false">IF(AND(Y463=0,ISNUMBER(AF463)),AA463,0)</f>
        <v>0</v>
      </c>
      <c r="BE463" s="90" t="n">
        <f aca="false">IF(ISNUMBER(H463),AA463*H463,0)</f>
        <v>0</v>
      </c>
      <c r="BF463" s="90" t="n">
        <f aca="false">IF(ISNUMBER(H463),AA463,0)</f>
        <v>0</v>
      </c>
      <c r="BG463" s="90" t="n">
        <f aca="false">IF(AND(Y463=0,ISNUMBER(AF463),ISNUMBER(Z463)),AA463*Z463,0)</f>
        <v>0</v>
      </c>
      <c r="BH463" s="90" t="n">
        <f aca="false">IF(AND(Y463=0,ISNUMBER(AF463),ISNUMBER(Z463)),AA463*AT463*MAX(Z463-1,0),0)</f>
        <v>0</v>
      </c>
      <c r="BI463" s="90" t="n">
        <f aca="false">IF(Y463=0,AA463,0)</f>
        <v>0</v>
      </c>
    </row>
    <row r="464" customFormat="false" ht="15" hidden="false" customHeight="false" outlineLevel="0" collapsed="false">
      <c r="A464" s="83" t="str">
        <f aca="false">IFERROR(IF(INDEX(원자료_잔고!$A$1:$EZ$1500,설정!$L$5+ROW()-1,설정!$L$8)&amp;""="0","",INDEX(원자료_잔고!$A$1:$EZ$1500,설정!$L$5+ROW()-1,설정!$L$8)&amp;""),"")</f>
        <v/>
      </c>
      <c r="B464" s="83" t="str">
        <f aca="false">IFERROR(IF(INDEX(원자료_잔고!$A$1:$EZ$1500,설정!$L$5+ROW()-1,설정!$L$7)&amp;""="0","",INDEX(원자료_잔고!$A$1:$EZ$1500,설정!$L$5+ROW()-1,설정!$L$7)&amp;""),"")</f>
        <v/>
      </c>
      <c r="C464" s="83" t="str">
        <f aca="false">IFERROR(IF(INDEX(원자료_잔고!$A$1:$EZ$1500,설정!$L$5+ROW()-1,설정!$L$9)&amp;""="0","",INDEX(원자료_잔고!$A$1:$EZ$1500,설정!$L$5+ROW()-1,설정!$L$9)&amp;""),"")</f>
        <v/>
      </c>
      <c r="D464" s="83" t="str">
        <f aca="false">IFERROR(IF(INDEX(원자료_잔고!$A$1:$EZ$1500,설정!$L$5+ROW()-1,설정!$L$10)&amp;""="0","",INDEX(원자료_잔고!$A$1:$EZ$1500,설정!$L$5+ROW()-1,설정!$L$10)&amp;""),"")</f>
        <v/>
      </c>
      <c r="E464" s="84" t="str">
        <f aca="false">IFERROR(IF(ISNUMBER(INDEX(원자료_잔고!$A$1:$EZ$1500,설정!$L$5+ROW()-1,설정!$L$11)),INDEX(원자료_잔고!$A$1:$EZ$1500,설정!$L$5+ROW()-1,설정!$L$11),""),"")</f>
        <v/>
      </c>
      <c r="F464" s="85" t="str">
        <f aca="false">IFERROR(IF(ISNUMBER(INDEX(원자료_잔고!$A$1:$EZ$1500,설정!$L$5+ROW()-1,설정!$L$12)),INDEX(원자료_잔고!$A$1:$EZ$1500,설정!$L$5+ROW()-1,설정!$L$12),""),"")</f>
        <v/>
      </c>
      <c r="G464" s="85" t="str">
        <f aca="false">IFERROR(IF(ISNUMBER(INDEX(원자료_잔고!$A$1:$EZ$1500,설정!$L$5+ROW()-1,설정!$L$13)),INDEX(원자료_잔고!$A$1:$EZ$1500,설정!$L$5+ROW()-1,설정!$L$13),""),"")</f>
        <v/>
      </c>
      <c r="H464" s="85" t="str">
        <f aca="false">IFERROR(IF(ISNUMBER(INDEX(원자료_잔고!$A$1:$EZ$1500,설정!$L$5+ROW()-1,설정!$L$14)),INDEX(원자료_잔고!$A$1:$EZ$1500,설정!$L$5+ROW()-1,설정!$L$14),""),"")</f>
        <v/>
      </c>
      <c r="I464" s="86" t="str">
        <f aca="false">IFERROR(IF(ISNUMBER(INDEX(원자료_잔고!$A$1:$EZ$1500,설정!$L$5+ROW()-1,설정!$L$15)),INDEX(원자료_잔고!$A$1:$EZ$1500,설정!$L$5+ROW()-1,설정!$L$15),""),"")</f>
        <v/>
      </c>
      <c r="J464" s="85" t="str">
        <f aca="false">IFERROR(IF(ISNUMBER(INDEX(원자료_잔고!$A$1:$EZ$1500,설정!$L$5+ROW()-1,설정!$L$16)),INDEX(원자료_잔고!$A$1:$EZ$1500,설정!$L$5+ROW()-1,설정!$L$16),""),"")</f>
        <v/>
      </c>
      <c r="K464" s="87" t="str">
        <f aca="false">IFERROR(IF(ISNUMBER(INDEX(원자료_잔고!$A$1:$EZ$1500,설정!$L$5+ROW()-1,설정!$L$17)),INDEX(원자료_잔고!$A$1:$EZ$1500,설정!$L$5+ROW()-1,설정!$L$17),""),"")</f>
        <v/>
      </c>
      <c r="L464" s="84" t="str">
        <f aca="false">IFERROR(IF(ISNUMBER(INDEX(원자료_잔고!$A$1:$EZ$1500,설정!$L$5+ROW()-1,설정!$L$18)),INDEX(원자료_잔고!$A$1:$EZ$1500,설정!$L$5+ROW()-1,설정!$L$18),""),"")</f>
        <v/>
      </c>
      <c r="M464" s="88" t="str">
        <f aca="false">IFERROR(IF(ISNUMBER(INDEX(원자료_잔고!$A$1:$EZ$1500,설정!$L$5+ROW()-1,설정!$L$19)),INDEX(원자료_잔고!$A$1:$EZ$1500,설정!$L$5+ROW()-1,설정!$L$19),""),"")</f>
        <v/>
      </c>
      <c r="N464" s="83" t="str">
        <f aca="false">IFERROR(IF(INDEX(원자료_잔고!$A$1:$EZ$1500,설정!$L$5+ROW()-1,설정!$L$21)&amp;""="0","",INDEX(원자료_잔고!$A$1:$EZ$1500,설정!$L$5+ROW()-1,설정!$L$21)&amp;""),"")</f>
        <v/>
      </c>
      <c r="O464" s="83" t="str">
        <f aca="false">IFERROR(IF(INDEX(원자료_잔고!$A$1:$EZ$1500,설정!$L$5+ROW()-1,설정!$L$22)&amp;""="0","",INDEX(원자료_잔고!$A$1:$EZ$1500,설정!$L$5+ROW()-1,설정!$L$22)&amp;""),"")</f>
        <v/>
      </c>
      <c r="P464" s="83" t="str">
        <f aca="false">IFERROR(IF(INDEX(원자료_잔고!$A$1:$EZ$1500,설정!$L$5+ROW()-1,설정!$L$23)&amp;""="0","",INDEX(원자료_잔고!$A$1:$EZ$1500,설정!$L$5+ROW()-1,설정!$L$23)&amp;""),"")</f>
        <v/>
      </c>
      <c r="Q464" s="89" t="n">
        <f aca="false">IF(AND($A464&lt;&gt;"",ISNUMBER(E464)),IF(E464&gt;0,1,0),0)</f>
        <v>0</v>
      </c>
      <c r="R464" s="43" t="str">
        <f aca="false">IF(Q464=1,UPPER(LEFT($A464,FIND(" ",$A464&amp;" ")-1)),"")</f>
        <v/>
      </c>
      <c r="S464" s="89" t="n">
        <f aca="false">IF(Q464=1,IF(OR(ISNUMBER(SEARCH("Float",$A464)),ISNUMBER(SEARCH("FRN",$A464))),1,0),0)</f>
        <v>0</v>
      </c>
      <c r="T464" s="43" t="str">
        <f aca="false">IF(AND(Q464=1,ISNUMBER(I464)),TEXT(I464,"yyyymmdd")&amp;"|"&amp;IF(S464=1,"F",TEXT(J464,"0.000")),"")</f>
        <v/>
      </c>
      <c r="U464" s="90" t="str">
        <f aca="false">IF(AND(Q464=1,ISNUMBER(I464)),(I464-설정!$C$4)/365.25,"")</f>
        <v/>
      </c>
      <c r="V464" s="43" t="str">
        <f aca="false">IF(Q464&lt;&gt;1,"",IF(ISNUMBER(U464),IF(U464&lt;=1,"1년 이하",IF(U464&lt;=2,"1-2년",IF(U464&lt;=3,"2-3년",IF(U464&lt;=4,"3-4년",IF(U464&lt;=5,"4-5년",IF(U464&lt;=7,"5-7년",IF(U464&lt;=10,"7-10년",IF(U464&lt;=20,"10-20년","20년 이상")))))))),"미분류"))</f>
        <v/>
      </c>
      <c r="W464" s="43" t="str">
        <f aca="false">IF(Q464&lt;&gt;1,"",IF(AB464&lt;&gt;"",INDEX(시장분석!$C:$C,AB464),IF(K464=1,"USD","비USD")))</f>
        <v/>
      </c>
      <c r="X464" s="91" t="n">
        <f aca="false">IF(Q464=1,E464*K464/1000000,0)</f>
        <v>0</v>
      </c>
      <c r="Y464" s="89" t="n">
        <f aca="false">IF(R464="T",1,0)</f>
        <v>0</v>
      </c>
      <c r="Z464" s="92" t="str">
        <f aca="false">IF(Q464&lt;&gt;1,"",IF(AD464=1,IF(ISNUMBER(U464),MAX(U464,0),H464),H464))</f>
        <v/>
      </c>
      <c r="AA464" s="91" t="n">
        <f aca="false">IF(Q464=1,IF(ISNUMBER(L464),L464,0)*K464/1000000,0)</f>
        <v>0</v>
      </c>
      <c r="AB464" s="89" t="str">
        <f aca="false">IF(Q464&lt;&gt;1,"",IFERROR(MATCH(VLOOKUP(B464,매핑!$H$4:$I$15,2,0),시장분석!$A$2:$A$601,0)+1,IFERROR(MATCH(R464&amp;"|"&amp;T464,시장분석!$V$2:$V$601,0)+1,IF(COUNTIF(시장분석!$U$2:$U$601,T464)=1,MATCH(T464,시장분석!$U$2:$U$601,0)+1,""))))</f>
        <v/>
      </c>
      <c r="AC464" s="89" t="n">
        <f aca="false">IF(Q464&lt;&gt;1,0,IF(OR(설정!$C$5="전체",AND(설정!$C$5="선택펀드",IFERROR(COUNTIFS(설정!$F$16:$F$36,C464,설정!$G$16:$G$36,"Y")+COUNTIFS(설정!$F$16:$F$36,VALUE(C464),설정!$G$16:$G$36,"Y"),0)&gt;0),C464&amp;""=설정!$C$5&amp;""),1,0))</f>
        <v>0</v>
      </c>
      <c r="AD464" s="89" t="n">
        <f aca="false">IF(Q464&lt;&gt;1,0,IF(OR(S464=1,IF(AB464="",FALSE(),INDEX(시장분석!$R:$R,AB464)=1)),1,0))</f>
        <v>0</v>
      </c>
      <c r="AE464" s="43" t="str">
        <f aca="false">IF(AB464="","",INDEX(시장분석!$A:$A,AB464))</f>
        <v/>
      </c>
      <c r="AF464" s="93" t="str">
        <f aca="false">IF(AB464="","",IF(ISNUMBER(IF(AB464="","",INDEX(시장분석!$E:$E,AB464))),IF(AB464="","",INDEX(시장분석!$E:$E,AB464)),""))</f>
        <v/>
      </c>
      <c r="AG464" s="43" t="str">
        <f aca="false">IF(Q464&lt;&gt;1,"",IF(AB464&lt;&gt;"",IF(AB464="","",INDEX(시장분석!$L:$L,AB464)),IFERROR(IF(VLOOKUP(R464,매핑!$A$4:$E$92,5,0)="","미분류",VLOOKUP(R464,매핑!$A$4:$E$92,5,0)),"미분류")))</f>
        <v/>
      </c>
      <c r="AH464" s="43" t="str">
        <f aca="false">IF(Q464&lt;&gt;1,"",IF(AB464&lt;&gt;"",IF(AB464="","",INDEX(시장분석!$N:$N,AB464)),IFERROR(IF(VLOOKUP(R464,매핑!$A$4:$E$92,4,0)="","미분류",VLOOKUP(R464,매핑!$A$4:$E$92,4,0)),"미분류")))</f>
        <v/>
      </c>
      <c r="AI464" s="43" t="str">
        <f aca="false">IF(Q464&lt;&gt;1,"",IFERROR(IF(VLOOKUP(R464,매핑!$A$4:$E$92,3,0)="","미분류",VLOOKUP(R464,매핑!$A$4:$E$92,3,0)),IF(AB464&lt;&gt;"",IF(AB464="","",INDEX(시장분석!$W:$W,AB464)),"미분류")))</f>
        <v/>
      </c>
      <c r="AJ464" s="43" t="str">
        <f aca="false">IF(Q464&lt;&gt;1,"",IFERROR(VLOOKUP(IF(N464&lt;&gt;"",N464,IF(P464&lt;&gt;"",P464,O464)),설정!$A$15:$D$47,2,0),""))</f>
        <v/>
      </c>
      <c r="AK464" s="43" t="str">
        <f aca="false">IF(Q464&lt;&gt;1,"",IF(AJ464="","무등급",IFERROR(VLOOKUP(AJ464,설정!$A$15:$D$47,3,0),"무등급")))</f>
        <v/>
      </c>
      <c r="AL464" s="89" t="n">
        <f aca="false">IF(AJ464="",99,IFERROR(VLOOKUP(AJ464,설정!$A$15:$D$47,4,0),99))</f>
        <v>99</v>
      </c>
      <c r="AM464" s="94" t="n">
        <f aca="false">IF(ISNUMBER(H464),AA464*1000000*H464/10000,0)</f>
        <v>0</v>
      </c>
      <c r="AN464" s="94" t="n">
        <f aca="false">IF(OR(Y464=1,NOT(ISNUMBER(Z464))),0,AA464*1000000*Z464/10000)</f>
        <v>0</v>
      </c>
      <c r="AO464" s="94" t="n">
        <f aca="false">IF(ISNUMBER(G464),AA464*1000000*G464/100,0)</f>
        <v>0</v>
      </c>
      <c r="AP464" s="94" t="n">
        <f aca="false">IF(ISNUMBER(M464),M464*K464,0)</f>
        <v>0</v>
      </c>
      <c r="AQ464" s="95" t="str">
        <f aca="false">IF(AB464="","",INDEX(시장분석!$AK:$AK,AB464))</f>
        <v/>
      </c>
      <c r="AR464" s="43" t="str">
        <f aca="false">IF(AB464="","-",IF(AB464="","",INDEX(시장분석!$AL:$AL,AB464)))</f>
        <v>-</v>
      </c>
      <c r="AS464" s="96" t="str">
        <f aca="false">IF(AB464="","",INDEX(시장분석!$AJ:$AJ,AB464))</f>
        <v/>
      </c>
      <c r="AT464" s="93" t="n">
        <f aca="false">IF(AB464="",0,IF(AB464="","",INDEX(시장분석!$AN:$AN,AB464)))</f>
        <v>0</v>
      </c>
      <c r="AU464" s="94" t="n">
        <f aca="false">IF(ISNUMBER(Z464),AT464/10000*MAX(Z464-1,0)*AA464*1000000,0)</f>
        <v>0</v>
      </c>
      <c r="AV464" s="94" t="n">
        <f aca="false">AO464+AU464</f>
        <v>0</v>
      </c>
      <c r="AW464" s="43" t="str">
        <f aca="false">IF(Q464&lt;&gt;1,"",TRIM(IF(AD464=1,"FRN ","")&amp;IF(AND(AL464&gt;=10,AL464&lt;99),"BBB0미만 ","")&amp;IF(AJ464="","등급없음 ","")&amp;IF(K464&lt;&gt;1,"비USD ","")&amp;IF(AND(AB464="",Y464=0),"시장데이터없음 ","")&amp;IF(AND(ISNUMBER(U464),U464&lt;0),"만기경과 ","")))</f>
        <v/>
      </c>
      <c r="AX464" s="90" t="n">
        <f aca="false">IF(Q464&lt;&gt;1,1,IF(스프레드쇼크!$C$4="Y",INDEX(스프레드쇼크!$B$12:$L$16,IFERROR(MATCH(AH464,스프레드쇼크!$A$12:$A$16,0),MATCH("목록외",스프레드쇼크!$A$12:$A$16,0)),IFERROR(MATCH(AG464,스프레드쇼크!$B$11:$L$11,0),MATCH("목록외",스프레드쇼크!$B$11:$L$11,0))),1))</f>
        <v>1</v>
      </c>
      <c r="AY464" s="90" t="n">
        <f aca="false">IF(스프레드쇼크!$C$5="Y",IF(ISNUMBER(AF464),MIN(스프레드쇼크!$C$7,MAX(스프레드쇼크!$C$6,AF464/스프레드쇼크!$C$8)),1),1)</f>
        <v>1</v>
      </c>
      <c r="AZ464" s="94" t="n">
        <f aca="false">AN464*AX464*AY464</f>
        <v>0</v>
      </c>
      <c r="BA464" s="90" t="n">
        <f aca="false">IF(ISNUMBER(G464),AA464*G464,0)</f>
        <v>0</v>
      </c>
      <c r="BB464" s="90" t="n">
        <f aca="false">IF(ISNUMBER(G464),AA464,0)</f>
        <v>0</v>
      </c>
      <c r="BC464" s="90" t="n">
        <f aca="false">IF(AND(Y464=0,ISNUMBER(AF464)),AA464*AF464,0)</f>
        <v>0</v>
      </c>
      <c r="BD464" s="90" t="n">
        <f aca="false">IF(AND(Y464=0,ISNUMBER(AF464)),AA464,0)</f>
        <v>0</v>
      </c>
      <c r="BE464" s="90" t="n">
        <f aca="false">IF(ISNUMBER(H464),AA464*H464,0)</f>
        <v>0</v>
      </c>
      <c r="BF464" s="90" t="n">
        <f aca="false">IF(ISNUMBER(H464),AA464,0)</f>
        <v>0</v>
      </c>
      <c r="BG464" s="90" t="n">
        <f aca="false">IF(AND(Y464=0,ISNUMBER(AF464),ISNUMBER(Z464)),AA464*Z464,0)</f>
        <v>0</v>
      </c>
      <c r="BH464" s="90" t="n">
        <f aca="false">IF(AND(Y464=0,ISNUMBER(AF464),ISNUMBER(Z464)),AA464*AT464*MAX(Z464-1,0),0)</f>
        <v>0</v>
      </c>
      <c r="BI464" s="90" t="n">
        <f aca="false">IF(Y464=0,AA464,0)</f>
        <v>0</v>
      </c>
    </row>
    <row r="465" customFormat="false" ht="15" hidden="false" customHeight="false" outlineLevel="0" collapsed="false">
      <c r="A465" s="83" t="str">
        <f aca="false">IFERROR(IF(INDEX(원자료_잔고!$A$1:$EZ$1500,설정!$L$5+ROW()-1,설정!$L$8)&amp;""="0","",INDEX(원자료_잔고!$A$1:$EZ$1500,설정!$L$5+ROW()-1,설정!$L$8)&amp;""),"")</f>
        <v/>
      </c>
      <c r="B465" s="83" t="str">
        <f aca="false">IFERROR(IF(INDEX(원자료_잔고!$A$1:$EZ$1500,설정!$L$5+ROW()-1,설정!$L$7)&amp;""="0","",INDEX(원자료_잔고!$A$1:$EZ$1500,설정!$L$5+ROW()-1,설정!$L$7)&amp;""),"")</f>
        <v/>
      </c>
      <c r="C465" s="83" t="str">
        <f aca="false">IFERROR(IF(INDEX(원자료_잔고!$A$1:$EZ$1500,설정!$L$5+ROW()-1,설정!$L$9)&amp;""="0","",INDEX(원자료_잔고!$A$1:$EZ$1500,설정!$L$5+ROW()-1,설정!$L$9)&amp;""),"")</f>
        <v/>
      </c>
      <c r="D465" s="83" t="str">
        <f aca="false">IFERROR(IF(INDEX(원자료_잔고!$A$1:$EZ$1500,설정!$L$5+ROW()-1,설정!$L$10)&amp;""="0","",INDEX(원자료_잔고!$A$1:$EZ$1500,설정!$L$5+ROW()-1,설정!$L$10)&amp;""),"")</f>
        <v/>
      </c>
      <c r="E465" s="84" t="str">
        <f aca="false">IFERROR(IF(ISNUMBER(INDEX(원자료_잔고!$A$1:$EZ$1500,설정!$L$5+ROW()-1,설정!$L$11)),INDEX(원자료_잔고!$A$1:$EZ$1500,설정!$L$5+ROW()-1,설정!$L$11),""),"")</f>
        <v/>
      </c>
      <c r="F465" s="85" t="str">
        <f aca="false">IFERROR(IF(ISNUMBER(INDEX(원자료_잔고!$A$1:$EZ$1500,설정!$L$5+ROW()-1,설정!$L$12)),INDEX(원자료_잔고!$A$1:$EZ$1500,설정!$L$5+ROW()-1,설정!$L$12),""),"")</f>
        <v/>
      </c>
      <c r="G465" s="85" t="str">
        <f aca="false">IFERROR(IF(ISNUMBER(INDEX(원자료_잔고!$A$1:$EZ$1500,설정!$L$5+ROW()-1,설정!$L$13)),INDEX(원자료_잔고!$A$1:$EZ$1500,설정!$L$5+ROW()-1,설정!$L$13),""),"")</f>
        <v/>
      </c>
      <c r="H465" s="85" t="str">
        <f aca="false">IFERROR(IF(ISNUMBER(INDEX(원자료_잔고!$A$1:$EZ$1500,설정!$L$5+ROW()-1,설정!$L$14)),INDEX(원자료_잔고!$A$1:$EZ$1500,설정!$L$5+ROW()-1,설정!$L$14),""),"")</f>
        <v/>
      </c>
      <c r="I465" s="86" t="str">
        <f aca="false">IFERROR(IF(ISNUMBER(INDEX(원자료_잔고!$A$1:$EZ$1500,설정!$L$5+ROW()-1,설정!$L$15)),INDEX(원자료_잔고!$A$1:$EZ$1500,설정!$L$5+ROW()-1,설정!$L$15),""),"")</f>
        <v/>
      </c>
      <c r="J465" s="85" t="str">
        <f aca="false">IFERROR(IF(ISNUMBER(INDEX(원자료_잔고!$A$1:$EZ$1500,설정!$L$5+ROW()-1,설정!$L$16)),INDEX(원자료_잔고!$A$1:$EZ$1500,설정!$L$5+ROW()-1,설정!$L$16),""),"")</f>
        <v/>
      </c>
      <c r="K465" s="87" t="str">
        <f aca="false">IFERROR(IF(ISNUMBER(INDEX(원자료_잔고!$A$1:$EZ$1500,설정!$L$5+ROW()-1,설정!$L$17)),INDEX(원자료_잔고!$A$1:$EZ$1500,설정!$L$5+ROW()-1,설정!$L$17),""),"")</f>
        <v/>
      </c>
      <c r="L465" s="84" t="str">
        <f aca="false">IFERROR(IF(ISNUMBER(INDEX(원자료_잔고!$A$1:$EZ$1500,설정!$L$5+ROW()-1,설정!$L$18)),INDEX(원자료_잔고!$A$1:$EZ$1500,설정!$L$5+ROW()-1,설정!$L$18),""),"")</f>
        <v/>
      </c>
      <c r="M465" s="88" t="str">
        <f aca="false">IFERROR(IF(ISNUMBER(INDEX(원자료_잔고!$A$1:$EZ$1500,설정!$L$5+ROW()-1,설정!$L$19)),INDEX(원자료_잔고!$A$1:$EZ$1500,설정!$L$5+ROW()-1,설정!$L$19),""),"")</f>
        <v/>
      </c>
      <c r="N465" s="83" t="str">
        <f aca="false">IFERROR(IF(INDEX(원자료_잔고!$A$1:$EZ$1500,설정!$L$5+ROW()-1,설정!$L$21)&amp;""="0","",INDEX(원자료_잔고!$A$1:$EZ$1500,설정!$L$5+ROW()-1,설정!$L$21)&amp;""),"")</f>
        <v/>
      </c>
      <c r="O465" s="83" t="str">
        <f aca="false">IFERROR(IF(INDEX(원자료_잔고!$A$1:$EZ$1500,설정!$L$5+ROW()-1,설정!$L$22)&amp;""="0","",INDEX(원자료_잔고!$A$1:$EZ$1500,설정!$L$5+ROW()-1,설정!$L$22)&amp;""),"")</f>
        <v/>
      </c>
      <c r="P465" s="83" t="str">
        <f aca="false">IFERROR(IF(INDEX(원자료_잔고!$A$1:$EZ$1500,설정!$L$5+ROW()-1,설정!$L$23)&amp;""="0","",INDEX(원자료_잔고!$A$1:$EZ$1500,설정!$L$5+ROW()-1,설정!$L$23)&amp;""),"")</f>
        <v/>
      </c>
      <c r="Q465" s="89" t="n">
        <f aca="false">IF(AND($A465&lt;&gt;"",ISNUMBER(E465)),IF(E465&gt;0,1,0),0)</f>
        <v>0</v>
      </c>
      <c r="R465" s="43" t="str">
        <f aca="false">IF(Q465=1,UPPER(LEFT($A465,FIND(" ",$A465&amp;" ")-1)),"")</f>
        <v/>
      </c>
      <c r="S465" s="89" t="n">
        <f aca="false">IF(Q465=1,IF(OR(ISNUMBER(SEARCH("Float",$A465)),ISNUMBER(SEARCH("FRN",$A465))),1,0),0)</f>
        <v>0</v>
      </c>
      <c r="T465" s="43" t="str">
        <f aca="false">IF(AND(Q465=1,ISNUMBER(I465)),TEXT(I465,"yyyymmdd")&amp;"|"&amp;IF(S465=1,"F",TEXT(J465,"0.000")),"")</f>
        <v/>
      </c>
      <c r="U465" s="90" t="str">
        <f aca="false">IF(AND(Q465=1,ISNUMBER(I465)),(I465-설정!$C$4)/365.25,"")</f>
        <v/>
      </c>
      <c r="V465" s="43" t="str">
        <f aca="false">IF(Q465&lt;&gt;1,"",IF(ISNUMBER(U465),IF(U465&lt;=1,"1년 이하",IF(U465&lt;=2,"1-2년",IF(U465&lt;=3,"2-3년",IF(U465&lt;=4,"3-4년",IF(U465&lt;=5,"4-5년",IF(U465&lt;=7,"5-7년",IF(U465&lt;=10,"7-10년",IF(U465&lt;=20,"10-20년","20년 이상")))))))),"미분류"))</f>
        <v/>
      </c>
      <c r="W465" s="43" t="str">
        <f aca="false">IF(Q465&lt;&gt;1,"",IF(AB465&lt;&gt;"",INDEX(시장분석!$C:$C,AB465),IF(K465=1,"USD","비USD")))</f>
        <v/>
      </c>
      <c r="X465" s="91" t="n">
        <f aca="false">IF(Q465=1,E465*K465/1000000,0)</f>
        <v>0</v>
      </c>
      <c r="Y465" s="89" t="n">
        <f aca="false">IF(R465="T",1,0)</f>
        <v>0</v>
      </c>
      <c r="Z465" s="92" t="str">
        <f aca="false">IF(Q465&lt;&gt;1,"",IF(AD465=1,IF(ISNUMBER(U465),MAX(U465,0),H465),H465))</f>
        <v/>
      </c>
      <c r="AA465" s="91" t="n">
        <f aca="false">IF(Q465=1,IF(ISNUMBER(L465),L465,0)*K465/1000000,0)</f>
        <v>0</v>
      </c>
      <c r="AB465" s="89" t="str">
        <f aca="false">IF(Q465&lt;&gt;1,"",IFERROR(MATCH(VLOOKUP(B465,매핑!$H$4:$I$15,2,0),시장분석!$A$2:$A$601,0)+1,IFERROR(MATCH(R465&amp;"|"&amp;T465,시장분석!$V$2:$V$601,0)+1,IF(COUNTIF(시장분석!$U$2:$U$601,T465)=1,MATCH(T465,시장분석!$U$2:$U$601,0)+1,""))))</f>
        <v/>
      </c>
      <c r="AC465" s="89" t="n">
        <f aca="false">IF(Q465&lt;&gt;1,0,IF(OR(설정!$C$5="전체",AND(설정!$C$5="선택펀드",IFERROR(COUNTIFS(설정!$F$16:$F$36,C465,설정!$G$16:$G$36,"Y")+COUNTIFS(설정!$F$16:$F$36,VALUE(C465),설정!$G$16:$G$36,"Y"),0)&gt;0),C465&amp;""=설정!$C$5&amp;""),1,0))</f>
        <v>0</v>
      </c>
      <c r="AD465" s="89" t="n">
        <f aca="false">IF(Q465&lt;&gt;1,0,IF(OR(S465=1,IF(AB465="",FALSE(),INDEX(시장분석!$R:$R,AB465)=1)),1,0))</f>
        <v>0</v>
      </c>
      <c r="AE465" s="43" t="str">
        <f aca="false">IF(AB465="","",INDEX(시장분석!$A:$A,AB465))</f>
        <v/>
      </c>
      <c r="AF465" s="93" t="str">
        <f aca="false">IF(AB465="","",IF(ISNUMBER(IF(AB465="","",INDEX(시장분석!$E:$E,AB465))),IF(AB465="","",INDEX(시장분석!$E:$E,AB465)),""))</f>
        <v/>
      </c>
      <c r="AG465" s="43" t="str">
        <f aca="false">IF(Q465&lt;&gt;1,"",IF(AB465&lt;&gt;"",IF(AB465="","",INDEX(시장분석!$L:$L,AB465)),IFERROR(IF(VLOOKUP(R465,매핑!$A$4:$E$92,5,0)="","미분류",VLOOKUP(R465,매핑!$A$4:$E$92,5,0)),"미분류")))</f>
        <v/>
      </c>
      <c r="AH465" s="43" t="str">
        <f aca="false">IF(Q465&lt;&gt;1,"",IF(AB465&lt;&gt;"",IF(AB465="","",INDEX(시장분석!$N:$N,AB465)),IFERROR(IF(VLOOKUP(R465,매핑!$A$4:$E$92,4,0)="","미분류",VLOOKUP(R465,매핑!$A$4:$E$92,4,0)),"미분류")))</f>
        <v/>
      </c>
      <c r="AI465" s="43" t="str">
        <f aca="false">IF(Q465&lt;&gt;1,"",IFERROR(IF(VLOOKUP(R465,매핑!$A$4:$E$92,3,0)="","미분류",VLOOKUP(R465,매핑!$A$4:$E$92,3,0)),IF(AB465&lt;&gt;"",IF(AB465="","",INDEX(시장분석!$W:$W,AB465)),"미분류")))</f>
        <v/>
      </c>
      <c r="AJ465" s="43" t="str">
        <f aca="false">IF(Q465&lt;&gt;1,"",IFERROR(VLOOKUP(IF(N465&lt;&gt;"",N465,IF(P465&lt;&gt;"",P465,O465)),설정!$A$15:$D$47,2,0),""))</f>
        <v/>
      </c>
      <c r="AK465" s="43" t="str">
        <f aca="false">IF(Q465&lt;&gt;1,"",IF(AJ465="","무등급",IFERROR(VLOOKUP(AJ465,설정!$A$15:$D$47,3,0),"무등급")))</f>
        <v/>
      </c>
      <c r="AL465" s="89" t="n">
        <f aca="false">IF(AJ465="",99,IFERROR(VLOOKUP(AJ465,설정!$A$15:$D$47,4,0),99))</f>
        <v>99</v>
      </c>
      <c r="AM465" s="94" t="n">
        <f aca="false">IF(ISNUMBER(H465),AA465*1000000*H465/10000,0)</f>
        <v>0</v>
      </c>
      <c r="AN465" s="94" t="n">
        <f aca="false">IF(OR(Y465=1,NOT(ISNUMBER(Z465))),0,AA465*1000000*Z465/10000)</f>
        <v>0</v>
      </c>
      <c r="AO465" s="94" t="n">
        <f aca="false">IF(ISNUMBER(G465),AA465*1000000*G465/100,0)</f>
        <v>0</v>
      </c>
      <c r="AP465" s="94" t="n">
        <f aca="false">IF(ISNUMBER(M465),M465*K465,0)</f>
        <v>0</v>
      </c>
      <c r="AQ465" s="95" t="str">
        <f aca="false">IF(AB465="","",INDEX(시장분석!$AK:$AK,AB465))</f>
        <v/>
      </c>
      <c r="AR465" s="43" t="str">
        <f aca="false">IF(AB465="","-",IF(AB465="","",INDEX(시장분석!$AL:$AL,AB465)))</f>
        <v>-</v>
      </c>
      <c r="AS465" s="96" t="str">
        <f aca="false">IF(AB465="","",INDEX(시장분석!$AJ:$AJ,AB465))</f>
        <v/>
      </c>
      <c r="AT465" s="93" t="n">
        <f aca="false">IF(AB465="",0,IF(AB465="","",INDEX(시장분석!$AN:$AN,AB465)))</f>
        <v>0</v>
      </c>
      <c r="AU465" s="94" t="n">
        <f aca="false">IF(ISNUMBER(Z465),AT465/10000*MAX(Z465-1,0)*AA465*1000000,0)</f>
        <v>0</v>
      </c>
      <c r="AV465" s="94" t="n">
        <f aca="false">AO465+AU465</f>
        <v>0</v>
      </c>
      <c r="AW465" s="43" t="str">
        <f aca="false">IF(Q465&lt;&gt;1,"",TRIM(IF(AD465=1,"FRN ","")&amp;IF(AND(AL465&gt;=10,AL465&lt;99),"BBB0미만 ","")&amp;IF(AJ465="","등급없음 ","")&amp;IF(K465&lt;&gt;1,"비USD ","")&amp;IF(AND(AB465="",Y465=0),"시장데이터없음 ","")&amp;IF(AND(ISNUMBER(U465),U465&lt;0),"만기경과 ","")))</f>
        <v/>
      </c>
      <c r="AX465" s="90" t="n">
        <f aca="false">IF(Q465&lt;&gt;1,1,IF(스프레드쇼크!$C$4="Y",INDEX(스프레드쇼크!$B$12:$L$16,IFERROR(MATCH(AH465,스프레드쇼크!$A$12:$A$16,0),MATCH("목록외",스프레드쇼크!$A$12:$A$16,0)),IFERROR(MATCH(AG465,스프레드쇼크!$B$11:$L$11,0),MATCH("목록외",스프레드쇼크!$B$11:$L$11,0))),1))</f>
        <v>1</v>
      </c>
      <c r="AY465" s="90" t="n">
        <f aca="false">IF(스프레드쇼크!$C$5="Y",IF(ISNUMBER(AF465),MIN(스프레드쇼크!$C$7,MAX(스프레드쇼크!$C$6,AF465/스프레드쇼크!$C$8)),1),1)</f>
        <v>1</v>
      </c>
      <c r="AZ465" s="94" t="n">
        <f aca="false">AN465*AX465*AY465</f>
        <v>0</v>
      </c>
      <c r="BA465" s="90" t="n">
        <f aca="false">IF(ISNUMBER(G465),AA465*G465,0)</f>
        <v>0</v>
      </c>
      <c r="BB465" s="90" t="n">
        <f aca="false">IF(ISNUMBER(G465),AA465,0)</f>
        <v>0</v>
      </c>
      <c r="BC465" s="90" t="n">
        <f aca="false">IF(AND(Y465=0,ISNUMBER(AF465)),AA465*AF465,0)</f>
        <v>0</v>
      </c>
      <c r="BD465" s="90" t="n">
        <f aca="false">IF(AND(Y465=0,ISNUMBER(AF465)),AA465,0)</f>
        <v>0</v>
      </c>
      <c r="BE465" s="90" t="n">
        <f aca="false">IF(ISNUMBER(H465),AA465*H465,0)</f>
        <v>0</v>
      </c>
      <c r="BF465" s="90" t="n">
        <f aca="false">IF(ISNUMBER(H465),AA465,0)</f>
        <v>0</v>
      </c>
      <c r="BG465" s="90" t="n">
        <f aca="false">IF(AND(Y465=0,ISNUMBER(AF465),ISNUMBER(Z465)),AA465*Z465,0)</f>
        <v>0</v>
      </c>
      <c r="BH465" s="90" t="n">
        <f aca="false">IF(AND(Y465=0,ISNUMBER(AF465),ISNUMBER(Z465)),AA465*AT465*MAX(Z465-1,0),0)</f>
        <v>0</v>
      </c>
      <c r="BI465" s="90" t="n">
        <f aca="false">IF(Y465=0,AA465,0)</f>
        <v>0</v>
      </c>
    </row>
    <row r="466" customFormat="false" ht="15" hidden="false" customHeight="false" outlineLevel="0" collapsed="false">
      <c r="A466" s="83" t="str">
        <f aca="false">IFERROR(IF(INDEX(원자료_잔고!$A$1:$EZ$1500,설정!$L$5+ROW()-1,설정!$L$8)&amp;""="0","",INDEX(원자료_잔고!$A$1:$EZ$1500,설정!$L$5+ROW()-1,설정!$L$8)&amp;""),"")</f>
        <v/>
      </c>
      <c r="B466" s="83" t="str">
        <f aca="false">IFERROR(IF(INDEX(원자료_잔고!$A$1:$EZ$1500,설정!$L$5+ROW()-1,설정!$L$7)&amp;""="0","",INDEX(원자료_잔고!$A$1:$EZ$1500,설정!$L$5+ROW()-1,설정!$L$7)&amp;""),"")</f>
        <v/>
      </c>
      <c r="C466" s="83" t="str">
        <f aca="false">IFERROR(IF(INDEX(원자료_잔고!$A$1:$EZ$1500,설정!$L$5+ROW()-1,설정!$L$9)&amp;""="0","",INDEX(원자료_잔고!$A$1:$EZ$1500,설정!$L$5+ROW()-1,설정!$L$9)&amp;""),"")</f>
        <v/>
      </c>
      <c r="D466" s="83" t="str">
        <f aca="false">IFERROR(IF(INDEX(원자료_잔고!$A$1:$EZ$1500,설정!$L$5+ROW()-1,설정!$L$10)&amp;""="0","",INDEX(원자료_잔고!$A$1:$EZ$1500,설정!$L$5+ROW()-1,설정!$L$10)&amp;""),"")</f>
        <v/>
      </c>
      <c r="E466" s="84" t="str">
        <f aca="false">IFERROR(IF(ISNUMBER(INDEX(원자료_잔고!$A$1:$EZ$1500,설정!$L$5+ROW()-1,설정!$L$11)),INDEX(원자료_잔고!$A$1:$EZ$1500,설정!$L$5+ROW()-1,설정!$L$11),""),"")</f>
        <v/>
      </c>
      <c r="F466" s="85" t="str">
        <f aca="false">IFERROR(IF(ISNUMBER(INDEX(원자료_잔고!$A$1:$EZ$1500,설정!$L$5+ROW()-1,설정!$L$12)),INDEX(원자료_잔고!$A$1:$EZ$1500,설정!$L$5+ROW()-1,설정!$L$12),""),"")</f>
        <v/>
      </c>
      <c r="G466" s="85" t="str">
        <f aca="false">IFERROR(IF(ISNUMBER(INDEX(원자료_잔고!$A$1:$EZ$1500,설정!$L$5+ROW()-1,설정!$L$13)),INDEX(원자료_잔고!$A$1:$EZ$1500,설정!$L$5+ROW()-1,설정!$L$13),""),"")</f>
        <v/>
      </c>
      <c r="H466" s="85" t="str">
        <f aca="false">IFERROR(IF(ISNUMBER(INDEX(원자료_잔고!$A$1:$EZ$1500,설정!$L$5+ROW()-1,설정!$L$14)),INDEX(원자료_잔고!$A$1:$EZ$1500,설정!$L$5+ROW()-1,설정!$L$14),""),"")</f>
        <v/>
      </c>
      <c r="I466" s="86" t="str">
        <f aca="false">IFERROR(IF(ISNUMBER(INDEX(원자료_잔고!$A$1:$EZ$1500,설정!$L$5+ROW()-1,설정!$L$15)),INDEX(원자료_잔고!$A$1:$EZ$1500,설정!$L$5+ROW()-1,설정!$L$15),""),"")</f>
        <v/>
      </c>
      <c r="J466" s="85" t="str">
        <f aca="false">IFERROR(IF(ISNUMBER(INDEX(원자료_잔고!$A$1:$EZ$1500,설정!$L$5+ROW()-1,설정!$L$16)),INDEX(원자료_잔고!$A$1:$EZ$1500,설정!$L$5+ROW()-1,설정!$L$16),""),"")</f>
        <v/>
      </c>
      <c r="K466" s="87" t="str">
        <f aca="false">IFERROR(IF(ISNUMBER(INDEX(원자료_잔고!$A$1:$EZ$1500,설정!$L$5+ROW()-1,설정!$L$17)),INDEX(원자료_잔고!$A$1:$EZ$1500,설정!$L$5+ROW()-1,설정!$L$17),""),"")</f>
        <v/>
      </c>
      <c r="L466" s="84" t="str">
        <f aca="false">IFERROR(IF(ISNUMBER(INDEX(원자료_잔고!$A$1:$EZ$1500,설정!$L$5+ROW()-1,설정!$L$18)),INDEX(원자료_잔고!$A$1:$EZ$1500,설정!$L$5+ROW()-1,설정!$L$18),""),"")</f>
        <v/>
      </c>
      <c r="M466" s="88" t="str">
        <f aca="false">IFERROR(IF(ISNUMBER(INDEX(원자료_잔고!$A$1:$EZ$1500,설정!$L$5+ROW()-1,설정!$L$19)),INDEX(원자료_잔고!$A$1:$EZ$1500,설정!$L$5+ROW()-1,설정!$L$19),""),"")</f>
        <v/>
      </c>
      <c r="N466" s="83" t="str">
        <f aca="false">IFERROR(IF(INDEX(원자료_잔고!$A$1:$EZ$1500,설정!$L$5+ROW()-1,설정!$L$21)&amp;""="0","",INDEX(원자료_잔고!$A$1:$EZ$1500,설정!$L$5+ROW()-1,설정!$L$21)&amp;""),"")</f>
        <v/>
      </c>
      <c r="O466" s="83" t="str">
        <f aca="false">IFERROR(IF(INDEX(원자료_잔고!$A$1:$EZ$1500,설정!$L$5+ROW()-1,설정!$L$22)&amp;""="0","",INDEX(원자료_잔고!$A$1:$EZ$1500,설정!$L$5+ROW()-1,설정!$L$22)&amp;""),"")</f>
        <v/>
      </c>
      <c r="P466" s="83" t="str">
        <f aca="false">IFERROR(IF(INDEX(원자료_잔고!$A$1:$EZ$1500,설정!$L$5+ROW()-1,설정!$L$23)&amp;""="0","",INDEX(원자료_잔고!$A$1:$EZ$1500,설정!$L$5+ROW()-1,설정!$L$23)&amp;""),"")</f>
        <v/>
      </c>
      <c r="Q466" s="89" t="n">
        <f aca="false">IF(AND($A466&lt;&gt;"",ISNUMBER(E466)),IF(E466&gt;0,1,0),0)</f>
        <v>0</v>
      </c>
      <c r="R466" s="43" t="str">
        <f aca="false">IF(Q466=1,UPPER(LEFT($A466,FIND(" ",$A466&amp;" ")-1)),"")</f>
        <v/>
      </c>
      <c r="S466" s="89" t="n">
        <f aca="false">IF(Q466=1,IF(OR(ISNUMBER(SEARCH("Float",$A466)),ISNUMBER(SEARCH("FRN",$A466))),1,0),0)</f>
        <v>0</v>
      </c>
      <c r="T466" s="43" t="str">
        <f aca="false">IF(AND(Q466=1,ISNUMBER(I466)),TEXT(I466,"yyyymmdd")&amp;"|"&amp;IF(S466=1,"F",TEXT(J466,"0.000")),"")</f>
        <v/>
      </c>
      <c r="U466" s="90" t="str">
        <f aca="false">IF(AND(Q466=1,ISNUMBER(I466)),(I466-설정!$C$4)/365.25,"")</f>
        <v/>
      </c>
      <c r="V466" s="43" t="str">
        <f aca="false">IF(Q466&lt;&gt;1,"",IF(ISNUMBER(U466),IF(U466&lt;=1,"1년 이하",IF(U466&lt;=2,"1-2년",IF(U466&lt;=3,"2-3년",IF(U466&lt;=4,"3-4년",IF(U466&lt;=5,"4-5년",IF(U466&lt;=7,"5-7년",IF(U466&lt;=10,"7-10년",IF(U466&lt;=20,"10-20년","20년 이상")))))))),"미분류"))</f>
        <v/>
      </c>
      <c r="W466" s="43" t="str">
        <f aca="false">IF(Q466&lt;&gt;1,"",IF(AB466&lt;&gt;"",INDEX(시장분석!$C:$C,AB466),IF(K466=1,"USD","비USD")))</f>
        <v/>
      </c>
      <c r="X466" s="91" t="n">
        <f aca="false">IF(Q466=1,E466*K466/1000000,0)</f>
        <v>0</v>
      </c>
      <c r="Y466" s="89" t="n">
        <f aca="false">IF(R466="T",1,0)</f>
        <v>0</v>
      </c>
      <c r="Z466" s="92" t="str">
        <f aca="false">IF(Q466&lt;&gt;1,"",IF(AD466=1,IF(ISNUMBER(U466),MAX(U466,0),H466),H466))</f>
        <v/>
      </c>
      <c r="AA466" s="91" t="n">
        <f aca="false">IF(Q466=1,IF(ISNUMBER(L466),L466,0)*K466/1000000,0)</f>
        <v>0</v>
      </c>
      <c r="AB466" s="89" t="str">
        <f aca="false">IF(Q466&lt;&gt;1,"",IFERROR(MATCH(VLOOKUP(B466,매핑!$H$4:$I$15,2,0),시장분석!$A$2:$A$601,0)+1,IFERROR(MATCH(R466&amp;"|"&amp;T466,시장분석!$V$2:$V$601,0)+1,IF(COUNTIF(시장분석!$U$2:$U$601,T466)=1,MATCH(T466,시장분석!$U$2:$U$601,0)+1,""))))</f>
        <v/>
      </c>
      <c r="AC466" s="89" t="n">
        <f aca="false">IF(Q466&lt;&gt;1,0,IF(OR(설정!$C$5="전체",AND(설정!$C$5="선택펀드",IFERROR(COUNTIFS(설정!$F$16:$F$36,C466,설정!$G$16:$G$36,"Y")+COUNTIFS(설정!$F$16:$F$36,VALUE(C466),설정!$G$16:$G$36,"Y"),0)&gt;0),C466&amp;""=설정!$C$5&amp;""),1,0))</f>
        <v>0</v>
      </c>
      <c r="AD466" s="89" t="n">
        <f aca="false">IF(Q466&lt;&gt;1,0,IF(OR(S466=1,IF(AB466="",FALSE(),INDEX(시장분석!$R:$R,AB466)=1)),1,0))</f>
        <v>0</v>
      </c>
      <c r="AE466" s="43" t="str">
        <f aca="false">IF(AB466="","",INDEX(시장분석!$A:$A,AB466))</f>
        <v/>
      </c>
      <c r="AF466" s="93" t="str">
        <f aca="false">IF(AB466="","",IF(ISNUMBER(IF(AB466="","",INDEX(시장분석!$E:$E,AB466))),IF(AB466="","",INDEX(시장분석!$E:$E,AB466)),""))</f>
        <v/>
      </c>
      <c r="AG466" s="43" t="str">
        <f aca="false">IF(Q466&lt;&gt;1,"",IF(AB466&lt;&gt;"",IF(AB466="","",INDEX(시장분석!$L:$L,AB466)),IFERROR(IF(VLOOKUP(R466,매핑!$A$4:$E$92,5,0)="","미분류",VLOOKUP(R466,매핑!$A$4:$E$92,5,0)),"미분류")))</f>
        <v/>
      </c>
      <c r="AH466" s="43" t="str">
        <f aca="false">IF(Q466&lt;&gt;1,"",IF(AB466&lt;&gt;"",IF(AB466="","",INDEX(시장분석!$N:$N,AB466)),IFERROR(IF(VLOOKUP(R466,매핑!$A$4:$E$92,4,0)="","미분류",VLOOKUP(R466,매핑!$A$4:$E$92,4,0)),"미분류")))</f>
        <v/>
      </c>
      <c r="AI466" s="43" t="str">
        <f aca="false">IF(Q466&lt;&gt;1,"",IFERROR(IF(VLOOKUP(R466,매핑!$A$4:$E$92,3,0)="","미분류",VLOOKUP(R466,매핑!$A$4:$E$92,3,0)),IF(AB466&lt;&gt;"",IF(AB466="","",INDEX(시장분석!$W:$W,AB466)),"미분류")))</f>
        <v/>
      </c>
      <c r="AJ466" s="43" t="str">
        <f aca="false">IF(Q466&lt;&gt;1,"",IFERROR(VLOOKUP(IF(N466&lt;&gt;"",N466,IF(P466&lt;&gt;"",P466,O466)),설정!$A$15:$D$47,2,0),""))</f>
        <v/>
      </c>
      <c r="AK466" s="43" t="str">
        <f aca="false">IF(Q466&lt;&gt;1,"",IF(AJ466="","무등급",IFERROR(VLOOKUP(AJ466,설정!$A$15:$D$47,3,0),"무등급")))</f>
        <v/>
      </c>
      <c r="AL466" s="89" t="n">
        <f aca="false">IF(AJ466="",99,IFERROR(VLOOKUP(AJ466,설정!$A$15:$D$47,4,0),99))</f>
        <v>99</v>
      </c>
      <c r="AM466" s="94" t="n">
        <f aca="false">IF(ISNUMBER(H466),AA466*1000000*H466/10000,0)</f>
        <v>0</v>
      </c>
      <c r="AN466" s="94" t="n">
        <f aca="false">IF(OR(Y466=1,NOT(ISNUMBER(Z466))),0,AA466*1000000*Z466/10000)</f>
        <v>0</v>
      </c>
      <c r="AO466" s="94" t="n">
        <f aca="false">IF(ISNUMBER(G466),AA466*1000000*G466/100,0)</f>
        <v>0</v>
      </c>
      <c r="AP466" s="94" t="n">
        <f aca="false">IF(ISNUMBER(M466),M466*K466,0)</f>
        <v>0</v>
      </c>
      <c r="AQ466" s="95" t="str">
        <f aca="false">IF(AB466="","",INDEX(시장분석!$AK:$AK,AB466))</f>
        <v/>
      </c>
      <c r="AR466" s="43" t="str">
        <f aca="false">IF(AB466="","-",IF(AB466="","",INDEX(시장분석!$AL:$AL,AB466)))</f>
        <v>-</v>
      </c>
      <c r="AS466" s="96" t="str">
        <f aca="false">IF(AB466="","",INDEX(시장분석!$AJ:$AJ,AB466))</f>
        <v/>
      </c>
      <c r="AT466" s="93" t="n">
        <f aca="false">IF(AB466="",0,IF(AB466="","",INDEX(시장분석!$AN:$AN,AB466)))</f>
        <v>0</v>
      </c>
      <c r="AU466" s="94" t="n">
        <f aca="false">IF(ISNUMBER(Z466),AT466/10000*MAX(Z466-1,0)*AA466*1000000,0)</f>
        <v>0</v>
      </c>
      <c r="AV466" s="94" t="n">
        <f aca="false">AO466+AU466</f>
        <v>0</v>
      </c>
      <c r="AW466" s="43" t="str">
        <f aca="false">IF(Q466&lt;&gt;1,"",TRIM(IF(AD466=1,"FRN ","")&amp;IF(AND(AL466&gt;=10,AL466&lt;99),"BBB0미만 ","")&amp;IF(AJ466="","등급없음 ","")&amp;IF(K466&lt;&gt;1,"비USD ","")&amp;IF(AND(AB466="",Y466=0),"시장데이터없음 ","")&amp;IF(AND(ISNUMBER(U466),U466&lt;0),"만기경과 ","")))</f>
        <v/>
      </c>
      <c r="AX466" s="90" t="n">
        <f aca="false">IF(Q466&lt;&gt;1,1,IF(스프레드쇼크!$C$4="Y",INDEX(스프레드쇼크!$B$12:$L$16,IFERROR(MATCH(AH466,스프레드쇼크!$A$12:$A$16,0),MATCH("목록외",스프레드쇼크!$A$12:$A$16,0)),IFERROR(MATCH(AG466,스프레드쇼크!$B$11:$L$11,0),MATCH("목록외",스프레드쇼크!$B$11:$L$11,0))),1))</f>
        <v>1</v>
      </c>
      <c r="AY466" s="90" t="n">
        <f aca="false">IF(스프레드쇼크!$C$5="Y",IF(ISNUMBER(AF466),MIN(스프레드쇼크!$C$7,MAX(스프레드쇼크!$C$6,AF466/스프레드쇼크!$C$8)),1),1)</f>
        <v>1</v>
      </c>
      <c r="AZ466" s="94" t="n">
        <f aca="false">AN466*AX466*AY466</f>
        <v>0</v>
      </c>
      <c r="BA466" s="90" t="n">
        <f aca="false">IF(ISNUMBER(G466),AA466*G466,0)</f>
        <v>0</v>
      </c>
      <c r="BB466" s="90" t="n">
        <f aca="false">IF(ISNUMBER(G466),AA466,0)</f>
        <v>0</v>
      </c>
      <c r="BC466" s="90" t="n">
        <f aca="false">IF(AND(Y466=0,ISNUMBER(AF466)),AA466*AF466,0)</f>
        <v>0</v>
      </c>
      <c r="BD466" s="90" t="n">
        <f aca="false">IF(AND(Y466=0,ISNUMBER(AF466)),AA466,0)</f>
        <v>0</v>
      </c>
      <c r="BE466" s="90" t="n">
        <f aca="false">IF(ISNUMBER(H466),AA466*H466,0)</f>
        <v>0</v>
      </c>
      <c r="BF466" s="90" t="n">
        <f aca="false">IF(ISNUMBER(H466),AA466,0)</f>
        <v>0</v>
      </c>
      <c r="BG466" s="90" t="n">
        <f aca="false">IF(AND(Y466=0,ISNUMBER(AF466),ISNUMBER(Z466)),AA466*Z466,0)</f>
        <v>0</v>
      </c>
      <c r="BH466" s="90" t="n">
        <f aca="false">IF(AND(Y466=0,ISNUMBER(AF466),ISNUMBER(Z466)),AA466*AT466*MAX(Z466-1,0),0)</f>
        <v>0</v>
      </c>
      <c r="BI466" s="90" t="n">
        <f aca="false">IF(Y466=0,AA466,0)</f>
        <v>0</v>
      </c>
    </row>
    <row r="467" customFormat="false" ht="15" hidden="false" customHeight="false" outlineLevel="0" collapsed="false">
      <c r="A467" s="83" t="str">
        <f aca="false">IFERROR(IF(INDEX(원자료_잔고!$A$1:$EZ$1500,설정!$L$5+ROW()-1,설정!$L$8)&amp;""="0","",INDEX(원자료_잔고!$A$1:$EZ$1500,설정!$L$5+ROW()-1,설정!$L$8)&amp;""),"")</f>
        <v/>
      </c>
      <c r="B467" s="83" t="str">
        <f aca="false">IFERROR(IF(INDEX(원자료_잔고!$A$1:$EZ$1500,설정!$L$5+ROW()-1,설정!$L$7)&amp;""="0","",INDEX(원자료_잔고!$A$1:$EZ$1500,설정!$L$5+ROW()-1,설정!$L$7)&amp;""),"")</f>
        <v/>
      </c>
      <c r="C467" s="83" t="str">
        <f aca="false">IFERROR(IF(INDEX(원자료_잔고!$A$1:$EZ$1500,설정!$L$5+ROW()-1,설정!$L$9)&amp;""="0","",INDEX(원자료_잔고!$A$1:$EZ$1500,설정!$L$5+ROW()-1,설정!$L$9)&amp;""),"")</f>
        <v/>
      </c>
      <c r="D467" s="83" t="str">
        <f aca="false">IFERROR(IF(INDEX(원자료_잔고!$A$1:$EZ$1500,설정!$L$5+ROW()-1,설정!$L$10)&amp;""="0","",INDEX(원자료_잔고!$A$1:$EZ$1500,설정!$L$5+ROW()-1,설정!$L$10)&amp;""),"")</f>
        <v/>
      </c>
      <c r="E467" s="84" t="str">
        <f aca="false">IFERROR(IF(ISNUMBER(INDEX(원자료_잔고!$A$1:$EZ$1500,설정!$L$5+ROW()-1,설정!$L$11)),INDEX(원자료_잔고!$A$1:$EZ$1500,설정!$L$5+ROW()-1,설정!$L$11),""),"")</f>
        <v/>
      </c>
      <c r="F467" s="85" t="str">
        <f aca="false">IFERROR(IF(ISNUMBER(INDEX(원자료_잔고!$A$1:$EZ$1500,설정!$L$5+ROW()-1,설정!$L$12)),INDEX(원자료_잔고!$A$1:$EZ$1500,설정!$L$5+ROW()-1,설정!$L$12),""),"")</f>
        <v/>
      </c>
      <c r="G467" s="85" t="str">
        <f aca="false">IFERROR(IF(ISNUMBER(INDEX(원자료_잔고!$A$1:$EZ$1500,설정!$L$5+ROW()-1,설정!$L$13)),INDEX(원자료_잔고!$A$1:$EZ$1500,설정!$L$5+ROW()-1,설정!$L$13),""),"")</f>
        <v/>
      </c>
      <c r="H467" s="85" t="str">
        <f aca="false">IFERROR(IF(ISNUMBER(INDEX(원자료_잔고!$A$1:$EZ$1500,설정!$L$5+ROW()-1,설정!$L$14)),INDEX(원자료_잔고!$A$1:$EZ$1500,설정!$L$5+ROW()-1,설정!$L$14),""),"")</f>
        <v/>
      </c>
      <c r="I467" s="86" t="str">
        <f aca="false">IFERROR(IF(ISNUMBER(INDEX(원자료_잔고!$A$1:$EZ$1500,설정!$L$5+ROW()-1,설정!$L$15)),INDEX(원자료_잔고!$A$1:$EZ$1500,설정!$L$5+ROW()-1,설정!$L$15),""),"")</f>
        <v/>
      </c>
      <c r="J467" s="85" t="str">
        <f aca="false">IFERROR(IF(ISNUMBER(INDEX(원자료_잔고!$A$1:$EZ$1500,설정!$L$5+ROW()-1,설정!$L$16)),INDEX(원자료_잔고!$A$1:$EZ$1500,설정!$L$5+ROW()-1,설정!$L$16),""),"")</f>
        <v/>
      </c>
      <c r="K467" s="87" t="str">
        <f aca="false">IFERROR(IF(ISNUMBER(INDEX(원자료_잔고!$A$1:$EZ$1500,설정!$L$5+ROW()-1,설정!$L$17)),INDEX(원자료_잔고!$A$1:$EZ$1500,설정!$L$5+ROW()-1,설정!$L$17),""),"")</f>
        <v/>
      </c>
      <c r="L467" s="84" t="str">
        <f aca="false">IFERROR(IF(ISNUMBER(INDEX(원자료_잔고!$A$1:$EZ$1500,설정!$L$5+ROW()-1,설정!$L$18)),INDEX(원자료_잔고!$A$1:$EZ$1500,설정!$L$5+ROW()-1,설정!$L$18),""),"")</f>
        <v/>
      </c>
      <c r="M467" s="88" t="str">
        <f aca="false">IFERROR(IF(ISNUMBER(INDEX(원자료_잔고!$A$1:$EZ$1500,설정!$L$5+ROW()-1,설정!$L$19)),INDEX(원자료_잔고!$A$1:$EZ$1500,설정!$L$5+ROW()-1,설정!$L$19),""),"")</f>
        <v/>
      </c>
      <c r="N467" s="83" t="str">
        <f aca="false">IFERROR(IF(INDEX(원자료_잔고!$A$1:$EZ$1500,설정!$L$5+ROW()-1,설정!$L$21)&amp;""="0","",INDEX(원자료_잔고!$A$1:$EZ$1500,설정!$L$5+ROW()-1,설정!$L$21)&amp;""),"")</f>
        <v/>
      </c>
      <c r="O467" s="83" t="str">
        <f aca="false">IFERROR(IF(INDEX(원자료_잔고!$A$1:$EZ$1500,설정!$L$5+ROW()-1,설정!$L$22)&amp;""="0","",INDEX(원자료_잔고!$A$1:$EZ$1500,설정!$L$5+ROW()-1,설정!$L$22)&amp;""),"")</f>
        <v/>
      </c>
      <c r="P467" s="83" t="str">
        <f aca="false">IFERROR(IF(INDEX(원자료_잔고!$A$1:$EZ$1500,설정!$L$5+ROW()-1,설정!$L$23)&amp;""="0","",INDEX(원자료_잔고!$A$1:$EZ$1500,설정!$L$5+ROW()-1,설정!$L$23)&amp;""),"")</f>
        <v/>
      </c>
      <c r="Q467" s="89" t="n">
        <f aca="false">IF(AND($A467&lt;&gt;"",ISNUMBER(E467)),IF(E467&gt;0,1,0),0)</f>
        <v>0</v>
      </c>
      <c r="R467" s="43" t="str">
        <f aca="false">IF(Q467=1,UPPER(LEFT($A467,FIND(" ",$A467&amp;" ")-1)),"")</f>
        <v/>
      </c>
      <c r="S467" s="89" t="n">
        <f aca="false">IF(Q467=1,IF(OR(ISNUMBER(SEARCH("Float",$A467)),ISNUMBER(SEARCH("FRN",$A467))),1,0),0)</f>
        <v>0</v>
      </c>
      <c r="T467" s="43" t="str">
        <f aca="false">IF(AND(Q467=1,ISNUMBER(I467)),TEXT(I467,"yyyymmdd")&amp;"|"&amp;IF(S467=1,"F",TEXT(J467,"0.000")),"")</f>
        <v/>
      </c>
      <c r="U467" s="90" t="str">
        <f aca="false">IF(AND(Q467=1,ISNUMBER(I467)),(I467-설정!$C$4)/365.25,"")</f>
        <v/>
      </c>
      <c r="V467" s="43" t="str">
        <f aca="false">IF(Q467&lt;&gt;1,"",IF(ISNUMBER(U467),IF(U467&lt;=1,"1년 이하",IF(U467&lt;=2,"1-2년",IF(U467&lt;=3,"2-3년",IF(U467&lt;=4,"3-4년",IF(U467&lt;=5,"4-5년",IF(U467&lt;=7,"5-7년",IF(U467&lt;=10,"7-10년",IF(U467&lt;=20,"10-20년","20년 이상")))))))),"미분류"))</f>
        <v/>
      </c>
      <c r="W467" s="43" t="str">
        <f aca="false">IF(Q467&lt;&gt;1,"",IF(AB467&lt;&gt;"",INDEX(시장분석!$C:$C,AB467),IF(K467=1,"USD","비USD")))</f>
        <v/>
      </c>
      <c r="X467" s="91" t="n">
        <f aca="false">IF(Q467=1,E467*K467/1000000,0)</f>
        <v>0</v>
      </c>
      <c r="Y467" s="89" t="n">
        <f aca="false">IF(R467="T",1,0)</f>
        <v>0</v>
      </c>
      <c r="Z467" s="92" t="str">
        <f aca="false">IF(Q467&lt;&gt;1,"",IF(AD467=1,IF(ISNUMBER(U467),MAX(U467,0),H467),H467))</f>
        <v/>
      </c>
      <c r="AA467" s="91" t="n">
        <f aca="false">IF(Q467=1,IF(ISNUMBER(L467),L467,0)*K467/1000000,0)</f>
        <v>0</v>
      </c>
      <c r="AB467" s="89" t="str">
        <f aca="false">IF(Q467&lt;&gt;1,"",IFERROR(MATCH(VLOOKUP(B467,매핑!$H$4:$I$15,2,0),시장분석!$A$2:$A$601,0)+1,IFERROR(MATCH(R467&amp;"|"&amp;T467,시장분석!$V$2:$V$601,0)+1,IF(COUNTIF(시장분석!$U$2:$U$601,T467)=1,MATCH(T467,시장분석!$U$2:$U$601,0)+1,""))))</f>
        <v/>
      </c>
      <c r="AC467" s="89" t="n">
        <f aca="false">IF(Q467&lt;&gt;1,0,IF(OR(설정!$C$5="전체",AND(설정!$C$5="선택펀드",IFERROR(COUNTIFS(설정!$F$16:$F$36,C467,설정!$G$16:$G$36,"Y")+COUNTIFS(설정!$F$16:$F$36,VALUE(C467),설정!$G$16:$G$36,"Y"),0)&gt;0),C467&amp;""=설정!$C$5&amp;""),1,0))</f>
        <v>0</v>
      </c>
      <c r="AD467" s="89" t="n">
        <f aca="false">IF(Q467&lt;&gt;1,0,IF(OR(S467=1,IF(AB467="",FALSE(),INDEX(시장분석!$R:$R,AB467)=1)),1,0))</f>
        <v>0</v>
      </c>
      <c r="AE467" s="43" t="str">
        <f aca="false">IF(AB467="","",INDEX(시장분석!$A:$A,AB467))</f>
        <v/>
      </c>
      <c r="AF467" s="93" t="str">
        <f aca="false">IF(AB467="","",IF(ISNUMBER(IF(AB467="","",INDEX(시장분석!$E:$E,AB467))),IF(AB467="","",INDEX(시장분석!$E:$E,AB467)),""))</f>
        <v/>
      </c>
      <c r="AG467" s="43" t="str">
        <f aca="false">IF(Q467&lt;&gt;1,"",IF(AB467&lt;&gt;"",IF(AB467="","",INDEX(시장분석!$L:$L,AB467)),IFERROR(IF(VLOOKUP(R467,매핑!$A$4:$E$92,5,0)="","미분류",VLOOKUP(R467,매핑!$A$4:$E$92,5,0)),"미분류")))</f>
        <v/>
      </c>
      <c r="AH467" s="43" t="str">
        <f aca="false">IF(Q467&lt;&gt;1,"",IF(AB467&lt;&gt;"",IF(AB467="","",INDEX(시장분석!$N:$N,AB467)),IFERROR(IF(VLOOKUP(R467,매핑!$A$4:$E$92,4,0)="","미분류",VLOOKUP(R467,매핑!$A$4:$E$92,4,0)),"미분류")))</f>
        <v/>
      </c>
      <c r="AI467" s="43" t="str">
        <f aca="false">IF(Q467&lt;&gt;1,"",IFERROR(IF(VLOOKUP(R467,매핑!$A$4:$E$92,3,0)="","미분류",VLOOKUP(R467,매핑!$A$4:$E$92,3,0)),IF(AB467&lt;&gt;"",IF(AB467="","",INDEX(시장분석!$W:$W,AB467)),"미분류")))</f>
        <v/>
      </c>
      <c r="AJ467" s="43" t="str">
        <f aca="false">IF(Q467&lt;&gt;1,"",IFERROR(VLOOKUP(IF(N467&lt;&gt;"",N467,IF(P467&lt;&gt;"",P467,O467)),설정!$A$15:$D$47,2,0),""))</f>
        <v/>
      </c>
      <c r="AK467" s="43" t="str">
        <f aca="false">IF(Q467&lt;&gt;1,"",IF(AJ467="","무등급",IFERROR(VLOOKUP(AJ467,설정!$A$15:$D$47,3,0),"무등급")))</f>
        <v/>
      </c>
      <c r="AL467" s="89" t="n">
        <f aca="false">IF(AJ467="",99,IFERROR(VLOOKUP(AJ467,설정!$A$15:$D$47,4,0),99))</f>
        <v>99</v>
      </c>
      <c r="AM467" s="94" t="n">
        <f aca="false">IF(ISNUMBER(H467),AA467*1000000*H467/10000,0)</f>
        <v>0</v>
      </c>
      <c r="AN467" s="94" t="n">
        <f aca="false">IF(OR(Y467=1,NOT(ISNUMBER(Z467))),0,AA467*1000000*Z467/10000)</f>
        <v>0</v>
      </c>
      <c r="AO467" s="94" t="n">
        <f aca="false">IF(ISNUMBER(G467),AA467*1000000*G467/100,0)</f>
        <v>0</v>
      </c>
      <c r="AP467" s="94" t="n">
        <f aca="false">IF(ISNUMBER(M467),M467*K467,0)</f>
        <v>0</v>
      </c>
      <c r="AQ467" s="95" t="str">
        <f aca="false">IF(AB467="","",INDEX(시장분석!$AK:$AK,AB467))</f>
        <v/>
      </c>
      <c r="AR467" s="43" t="str">
        <f aca="false">IF(AB467="","-",IF(AB467="","",INDEX(시장분석!$AL:$AL,AB467)))</f>
        <v>-</v>
      </c>
      <c r="AS467" s="96" t="str">
        <f aca="false">IF(AB467="","",INDEX(시장분석!$AJ:$AJ,AB467))</f>
        <v/>
      </c>
      <c r="AT467" s="93" t="n">
        <f aca="false">IF(AB467="",0,IF(AB467="","",INDEX(시장분석!$AN:$AN,AB467)))</f>
        <v>0</v>
      </c>
      <c r="AU467" s="94" t="n">
        <f aca="false">IF(ISNUMBER(Z467),AT467/10000*MAX(Z467-1,0)*AA467*1000000,0)</f>
        <v>0</v>
      </c>
      <c r="AV467" s="94" t="n">
        <f aca="false">AO467+AU467</f>
        <v>0</v>
      </c>
      <c r="AW467" s="43" t="str">
        <f aca="false">IF(Q467&lt;&gt;1,"",TRIM(IF(AD467=1,"FRN ","")&amp;IF(AND(AL467&gt;=10,AL467&lt;99),"BBB0미만 ","")&amp;IF(AJ467="","등급없음 ","")&amp;IF(K467&lt;&gt;1,"비USD ","")&amp;IF(AND(AB467="",Y467=0),"시장데이터없음 ","")&amp;IF(AND(ISNUMBER(U467),U467&lt;0),"만기경과 ","")))</f>
        <v/>
      </c>
      <c r="AX467" s="90" t="n">
        <f aca="false">IF(Q467&lt;&gt;1,1,IF(스프레드쇼크!$C$4="Y",INDEX(스프레드쇼크!$B$12:$L$16,IFERROR(MATCH(AH467,스프레드쇼크!$A$12:$A$16,0),MATCH("목록외",스프레드쇼크!$A$12:$A$16,0)),IFERROR(MATCH(AG467,스프레드쇼크!$B$11:$L$11,0),MATCH("목록외",스프레드쇼크!$B$11:$L$11,0))),1))</f>
        <v>1</v>
      </c>
      <c r="AY467" s="90" t="n">
        <f aca="false">IF(스프레드쇼크!$C$5="Y",IF(ISNUMBER(AF467),MIN(스프레드쇼크!$C$7,MAX(스프레드쇼크!$C$6,AF467/스프레드쇼크!$C$8)),1),1)</f>
        <v>1</v>
      </c>
      <c r="AZ467" s="94" t="n">
        <f aca="false">AN467*AX467*AY467</f>
        <v>0</v>
      </c>
      <c r="BA467" s="90" t="n">
        <f aca="false">IF(ISNUMBER(G467),AA467*G467,0)</f>
        <v>0</v>
      </c>
      <c r="BB467" s="90" t="n">
        <f aca="false">IF(ISNUMBER(G467),AA467,0)</f>
        <v>0</v>
      </c>
      <c r="BC467" s="90" t="n">
        <f aca="false">IF(AND(Y467=0,ISNUMBER(AF467)),AA467*AF467,0)</f>
        <v>0</v>
      </c>
      <c r="BD467" s="90" t="n">
        <f aca="false">IF(AND(Y467=0,ISNUMBER(AF467)),AA467,0)</f>
        <v>0</v>
      </c>
      <c r="BE467" s="90" t="n">
        <f aca="false">IF(ISNUMBER(H467),AA467*H467,0)</f>
        <v>0</v>
      </c>
      <c r="BF467" s="90" t="n">
        <f aca="false">IF(ISNUMBER(H467),AA467,0)</f>
        <v>0</v>
      </c>
      <c r="BG467" s="90" t="n">
        <f aca="false">IF(AND(Y467=0,ISNUMBER(AF467),ISNUMBER(Z467)),AA467*Z467,0)</f>
        <v>0</v>
      </c>
      <c r="BH467" s="90" t="n">
        <f aca="false">IF(AND(Y467=0,ISNUMBER(AF467),ISNUMBER(Z467)),AA467*AT467*MAX(Z467-1,0),0)</f>
        <v>0</v>
      </c>
      <c r="BI467" s="90" t="n">
        <f aca="false">IF(Y467=0,AA467,0)</f>
        <v>0</v>
      </c>
    </row>
    <row r="468" customFormat="false" ht="15" hidden="false" customHeight="false" outlineLevel="0" collapsed="false">
      <c r="A468" s="83" t="str">
        <f aca="false">IFERROR(IF(INDEX(원자료_잔고!$A$1:$EZ$1500,설정!$L$5+ROW()-1,설정!$L$8)&amp;""="0","",INDEX(원자료_잔고!$A$1:$EZ$1500,설정!$L$5+ROW()-1,설정!$L$8)&amp;""),"")</f>
        <v/>
      </c>
      <c r="B468" s="83" t="str">
        <f aca="false">IFERROR(IF(INDEX(원자료_잔고!$A$1:$EZ$1500,설정!$L$5+ROW()-1,설정!$L$7)&amp;""="0","",INDEX(원자료_잔고!$A$1:$EZ$1500,설정!$L$5+ROW()-1,설정!$L$7)&amp;""),"")</f>
        <v/>
      </c>
      <c r="C468" s="83" t="str">
        <f aca="false">IFERROR(IF(INDEX(원자료_잔고!$A$1:$EZ$1500,설정!$L$5+ROW()-1,설정!$L$9)&amp;""="0","",INDEX(원자료_잔고!$A$1:$EZ$1500,설정!$L$5+ROW()-1,설정!$L$9)&amp;""),"")</f>
        <v/>
      </c>
      <c r="D468" s="83" t="str">
        <f aca="false">IFERROR(IF(INDEX(원자료_잔고!$A$1:$EZ$1500,설정!$L$5+ROW()-1,설정!$L$10)&amp;""="0","",INDEX(원자료_잔고!$A$1:$EZ$1500,설정!$L$5+ROW()-1,설정!$L$10)&amp;""),"")</f>
        <v/>
      </c>
      <c r="E468" s="84" t="str">
        <f aca="false">IFERROR(IF(ISNUMBER(INDEX(원자료_잔고!$A$1:$EZ$1500,설정!$L$5+ROW()-1,설정!$L$11)),INDEX(원자료_잔고!$A$1:$EZ$1500,설정!$L$5+ROW()-1,설정!$L$11),""),"")</f>
        <v/>
      </c>
      <c r="F468" s="85" t="str">
        <f aca="false">IFERROR(IF(ISNUMBER(INDEX(원자료_잔고!$A$1:$EZ$1500,설정!$L$5+ROW()-1,설정!$L$12)),INDEX(원자료_잔고!$A$1:$EZ$1500,설정!$L$5+ROW()-1,설정!$L$12),""),"")</f>
        <v/>
      </c>
      <c r="G468" s="85" t="str">
        <f aca="false">IFERROR(IF(ISNUMBER(INDEX(원자료_잔고!$A$1:$EZ$1500,설정!$L$5+ROW()-1,설정!$L$13)),INDEX(원자료_잔고!$A$1:$EZ$1500,설정!$L$5+ROW()-1,설정!$L$13),""),"")</f>
        <v/>
      </c>
      <c r="H468" s="85" t="str">
        <f aca="false">IFERROR(IF(ISNUMBER(INDEX(원자료_잔고!$A$1:$EZ$1500,설정!$L$5+ROW()-1,설정!$L$14)),INDEX(원자료_잔고!$A$1:$EZ$1500,설정!$L$5+ROW()-1,설정!$L$14),""),"")</f>
        <v/>
      </c>
      <c r="I468" s="86" t="str">
        <f aca="false">IFERROR(IF(ISNUMBER(INDEX(원자료_잔고!$A$1:$EZ$1500,설정!$L$5+ROW()-1,설정!$L$15)),INDEX(원자료_잔고!$A$1:$EZ$1500,설정!$L$5+ROW()-1,설정!$L$15),""),"")</f>
        <v/>
      </c>
      <c r="J468" s="85" t="str">
        <f aca="false">IFERROR(IF(ISNUMBER(INDEX(원자료_잔고!$A$1:$EZ$1500,설정!$L$5+ROW()-1,설정!$L$16)),INDEX(원자료_잔고!$A$1:$EZ$1500,설정!$L$5+ROW()-1,설정!$L$16),""),"")</f>
        <v/>
      </c>
      <c r="K468" s="87" t="str">
        <f aca="false">IFERROR(IF(ISNUMBER(INDEX(원자료_잔고!$A$1:$EZ$1500,설정!$L$5+ROW()-1,설정!$L$17)),INDEX(원자료_잔고!$A$1:$EZ$1500,설정!$L$5+ROW()-1,설정!$L$17),""),"")</f>
        <v/>
      </c>
      <c r="L468" s="84" t="str">
        <f aca="false">IFERROR(IF(ISNUMBER(INDEX(원자료_잔고!$A$1:$EZ$1500,설정!$L$5+ROW()-1,설정!$L$18)),INDEX(원자료_잔고!$A$1:$EZ$1500,설정!$L$5+ROW()-1,설정!$L$18),""),"")</f>
        <v/>
      </c>
      <c r="M468" s="88" t="str">
        <f aca="false">IFERROR(IF(ISNUMBER(INDEX(원자료_잔고!$A$1:$EZ$1500,설정!$L$5+ROW()-1,설정!$L$19)),INDEX(원자료_잔고!$A$1:$EZ$1500,설정!$L$5+ROW()-1,설정!$L$19),""),"")</f>
        <v/>
      </c>
      <c r="N468" s="83" t="str">
        <f aca="false">IFERROR(IF(INDEX(원자료_잔고!$A$1:$EZ$1500,설정!$L$5+ROW()-1,설정!$L$21)&amp;""="0","",INDEX(원자료_잔고!$A$1:$EZ$1500,설정!$L$5+ROW()-1,설정!$L$21)&amp;""),"")</f>
        <v/>
      </c>
      <c r="O468" s="83" t="str">
        <f aca="false">IFERROR(IF(INDEX(원자료_잔고!$A$1:$EZ$1500,설정!$L$5+ROW()-1,설정!$L$22)&amp;""="0","",INDEX(원자료_잔고!$A$1:$EZ$1500,설정!$L$5+ROW()-1,설정!$L$22)&amp;""),"")</f>
        <v/>
      </c>
      <c r="P468" s="83" t="str">
        <f aca="false">IFERROR(IF(INDEX(원자료_잔고!$A$1:$EZ$1500,설정!$L$5+ROW()-1,설정!$L$23)&amp;""="0","",INDEX(원자료_잔고!$A$1:$EZ$1500,설정!$L$5+ROW()-1,설정!$L$23)&amp;""),"")</f>
        <v/>
      </c>
      <c r="Q468" s="89" t="n">
        <f aca="false">IF(AND($A468&lt;&gt;"",ISNUMBER(E468)),IF(E468&gt;0,1,0),0)</f>
        <v>0</v>
      </c>
      <c r="R468" s="43" t="str">
        <f aca="false">IF(Q468=1,UPPER(LEFT($A468,FIND(" ",$A468&amp;" ")-1)),"")</f>
        <v/>
      </c>
      <c r="S468" s="89" t="n">
        <f aca="false">IF(Q468=1,IF(OR(ISNUMBER(SEARCH("Float",$A468)),ISNUMBER(SEARCH("FRN",$A468))),1,0),0)</f>
        <v>0</v>
      </c>
      <c r="T468" s="43" t="str">
        <f aca="false">IF(AND(Q468=1,ISNUMBER(I468)),TEXT(I468,"yyyymmdd")&amp;"|"&amp;IF(S468=1,"F",TEXT(J468,"0.000")),"")</f>
        <v/>
      </c>
      <c r="U468" s="90" t="str">
        <f aca="false">IF(AND(Q468=1,ISNUMBER(I468)),(I468-설정!$C$4)/365.25,"")</f>
        <v/>
      </c>
      <c r="V468" s="43" t="str">
        <f aca="false">IF(Q468&lt;&gt;1,"",IF(ISNUMBER(U468),IF(U468&lt;=1,"1년 이하",IF(U468&lt;=2,"1-2년",IF(U468&lt;=3,"2-3년",IF(U468&lt;=4,"3-4년",IF(U468&lt;=5,"4-5년",IF(U468&lt;=7,"5-7년",IF(U468&lt;=10,"7-10년",IF(U468&lt;=20,"10-20년","20년 이상")))))))),"미분류"))</f>
        <v/>
      </c>
      <c r="W468" s="43" t="str">
        <f aca="false">IF(Q468&lt;&gt;1,"",IF(AB468&lt;&gt;"",INDEX(시장분석!$C:$C,AB468),IF(K468=1,"USD","비USD")))</f>
        <v/>
      </c>
      <c r="X468" s="91" t="n">
        <f aca="false">IF(Q468=1,E468*K468/1000000,0)</f>
        <v>0</v>
      </c>
      <c r="Y468" s="89" t="n">
        <f aca="false">IF(R468="T",1,0)</f>
        <v>0</v>
      </c>
      <c r="Z468" s="92" t="str">
        <f aca="false">IF(Q468&lt;&gt;1,"",IF(AD468=1,IF(ISNUMBER(U468),MAX(U468,0),H468),H468))</f>
        <v/>
      </c>
      <c r="AA468" s="91" t="n">
        <f aca="false">IF(Q468=1,IF(ISNUMBER(L468),L468,0)*K468/1000000,0)</f>
        <v>0</v>
      </c>
      <c r="AB468" s="89" t="str">
        <f aca="false">IF(Q468&lt;&gt;1,"",IFERROR(MATCH(VLOOKUP(B468,매핑!$H$4:$I$15,2,0),시장분석!$A$2:$A$601,0)+1,IFERROR(MATCH(R468&amp;"|"&amp;T468,시장분석!$V$2:$V$601,0)+1,IF(COUNTIF(시장분석!$U$2:$U$601,T468)=1,MATCH(T468,시장분석!$U$2:$U$601,0)+1,""))))</f>
        <v/>
      </c>
      <c r="AC468" s="89" t="n">
        <f aca="false">IF(Q468&lt;&gt;1,0,IF(OR(설정!$C$5="전체",AND(설정!$C$5="선택펀드",IFERROR(COUNTIFS(설정!$F$16:$F$36,C468,설정!$G$16:$G$36,"Y")+COUNTIFS(설정!$F$16:$F$36,VALUE(C468),설정!$G$16:$G$36,"Y"),0)&gt;0),C468&amp;""=설정!$C$5&amp;""),1,0))</f>
        <v>0</v>
      </c>
      <c r="AD468" s="89" t="n">
        <f aca="false">IF(Q468&lt;&gt;1,0,IF(OR(S468=1,IF(AB468="",FALSE(),INDEX(시장분석!$R:$R,AB468)=1)),1,0))</f>
        <v>0</v>
      </c>
      <c r="AE468" s="43" t="str">
        <f aca="false">IF(AB468="","",INDEX(시장분석!$A:$A,AB468))</f>
        <v/>
      </c>
      <c r="AF468" s="93" t="str">
        <f aca="false">IF(AB468="","",IF(ISNUMBER(IF(AB468="","",INDEX(시장분석!$E:$E,AB468))),IF(AB468="","",INDEX(시장분석!$E:$E,AB468)),""))</f>
        <v/>
      </c>
      <c r="AG468" s="43" t="str">
        <f aca="false">IF(Q468&lt;&gt;1,"",IF(AB468&lt;&gt;"",IF(AB468="","",INDEX(시장분석!$L:$L,AB468)),IFERROR(IF(VLOOKUP(R468,매핑!$A$4:$E$92,5,0)="","미분류",VLOOKUP(R468,매핑!$A$4:$E$92,5,0)),"미분류")))</f>
        <v/>
      </c>
      <c r="AH468" s="43" t="str">
        <f aca="false">IF(Q468&lt;&gt;1,"",IF(AB468&lt;&gt;"",IF(AB468="","",INDEX(시장분석!$N:$N,AB468)),IFERROR(IF(VLOOKUP(R468,매핑!$A$4:$E$92,4,0)="","미분류",VLOOKUP(R468,매핑!$A$4:$E$92,4,0)),"미분류")))</f>
        <v/>
      </c>
      <c r="AI468" s="43" t="str">
        <f aca="false">IF(Q468&lt;&gt;1,"",IFERROR(IF(VLOOKUP(R468,매핑!$A$4:$E$92,3,0)="","미분류",VLOOKUP(R468,매핑!$A$4:$E$92,3,0)),IF(AB468&lt;&gt;"",IF(AB468="","",INDEX(시장분석!$W:$W,AB468)),"미분류")))</f>
        <v/>
      </c>
      <c r="AJ468" s="43" t="str">
        <f aca="false">IF(Q468&lt;&gt;1,"",IFERROR(VLOOKUP(IF(N468&lt;&gt;"",N468,IF(P468&lt;&gt;"",P468,O468)),설정!$A$15:$D$47,2,0),""))</f>
        <v/>
      </c>
      <c r="AK468" s="43" t="str">
        <f aca="false">IF(Q468&lt;&gt;1,"",IF(AJ468="","무등급",IFERROR(VLOOKUP(AJ468,설정!$A$15:$D$47,3,0),"무등급")))</f>
        <v/>
      </c>
      <c r="AL468" s="89" t="n">
        <f aca="false">IF(AJ468="",99,IFERROR(VLOOKUP(AJ468,설정!$A$15:$D$47,4,0),99))</f>
        <v>99</v>
      </c>
      <c r="AM468" s="94" t="n">
        <f aca="false">IF(ISNUMBER(H468),AA468*1000000*H468/10000,0)</f>
        <v>0</v>
      </c>
      <c r="AN468" s="94" t="n">
        <f aca="false">IF(OR(Y468=1,NOT(ISNUMBER(Z468))),0,AA468*1000000*Z468/10000)</f>
        <v>0</v>
      </c>
      <c r="AO468" s="94" t="n">
        <f aca="false">IF(ISNUMBER(G468),AA468*1000000*G468/100,0)</f>
        <v>0</v>
      </c>
      <c r="AP468" s="94" t="n">
        <f aca="false">IF(ISNUMBER(M468),M468*K468,0)</f>
        <v>0</v>
      </c>
      <c r="AQ468" s="95" t="str">
        <f aca="false">IF(AB468="","",INDEX(시장분석!$AK:$AK,AB468))</f>
        <v/>
      </c>
      <c r="AR468" s="43" t="str">
        <f aca="false">IF(AB468="","-",IF(AB468="","",INDEX(시장분석!$AL:$AL,AB468)))</f>
        <v>-</v>
      </c>
      <c r="AS468" s="96" t="str">
        <f aca="false">IF(AB468="","",INDEX(시장분석!$AJ:$AJ,AB468))</f>
        <v/>
      </c>
      <c r="AT468" s="93" t="n">
        <f aca="false">IF(AB468="",0,IF(AB468="","",INDEX(시장분석!$AN:$AN,AB468)))</f>
        <v>0</v>
      </c>
      <c r="AU468" s="94" t="n">
        <f aca="false">IF(ISNUMBER(Z468),AT468/10000*MAX(Z468-1,0)*AA468*1000000,0)</f>
        <v>0</v>
      </c>
      <c r="AV468" s="94" t="n">
        <f aca="false">AO468+AU468</f>
        <v>0</v>
      </c>
      <c r="AW468" s="43" t="str">
        <f aca="false">IF(Q468&lt;&gt;1,"",TRIM(IF(AD468=1,"FRN ","")&amp;IF(AND(AL468&gt;=10,AL468&lt;99),"BBB0미만 ","")&amp;IF(AJ468="","등급없음 ","")&amp;IF(K468&lt;&gt;1,"비USD ","")&amp;IF(AND(AB468="",Y468=0),"시장데이터없음 ","")&amp;IF(AND(ISNUMBER(U468),U468&lt;0),"만기경과 ","")))</f>
        <v/>
      </c>
      <c r="AX468" s="90" t="n">
        <f aca="false">IF(Q468&lt;&gt;1,1,IF(스프레드쇼크!$C$4="Y",INDEX(스프레드쇼크!$B$12:$L$16,IFERROR(MATCH(AH468,스프레드쇼크!$A$12:$A$16,0),MATCH("목록외",스프레드쇼크!$A$12:$A$16,0)),IFERROR(MATCH(AG468,스프레드쇼크!$B$11:$L$11,0),MATCH("목록외",스프레드쇼크!$B$11:$L$11,0))),1))</f>
        <v>1</v>
      </c>
      <c r="AY468" s="90" t="n">
        <f aca="false">IF(스프레드쇼크!$C$5="Y",IF(ISNUMBER(AF468),MIN(스프레드쇼크!$C$7,MAX(스프레드쇼크!$C$6,AF468/스프레드쇼크!$C$8)),1),1)</f>
        <v>1</v>
      </c>
      <c r="AZ468" s="94" t="n">
        <f aca="false">AN468*AX468*AY468</f>
        <v>0</v>
      </c>
      <c r="BA468" s="90" t="n">
        <f aca="false">IF(ISNUMBER(G468),AA468*G468,0)</f>
        <v>0</v>
      </c>
      <c r="BB468" s="90" t="n">
        <f aca="false">IF(ISNUMBER(G468),AA468,0)</f>
        <v>0</v>
      </c>
      <c r="BC468" s="90" t="n">
        <f aca="false">IF(AND(Y468=0,ISNUMBER(AF468)),AA468*AF468,0)</f>
        <v>0</v>
      </c>
      <c r="BD468" s="90" t="n">
        <f aca="false">IF(AND(Y468=0,ISNUMBER(AF468)),AA468,0)</f>
        <v>0</v>
      </c>
      <c r="BE468" s="90" t="n">
        <f aca="false">IF(ISNUMBER(H468),AA468*H468,0)</f>
        <v>0</v>
      </c>
      <c r="BF468" s="90" t="n">
        <f aca="false">IF(ISNUMBER(H468),AA468,0)</f>
        <v>0</v>
      </c>
      <c r="BG468" s="90" t="n">
        <f aca="false">IF(AND(Y468=0,ISNUMBER(AF468),ISNUMBER(Z468)),AA468*Z468,0)</f>
        <v>0</v>
      </c>
      <c r="BH468" s="90" t="n">
        <f aca="false">IF(AND(Y468=0,ISNUMBER(AF468),ISNUMBER(Z468)),AA468*AT468*MAX(Z468-1,0),0)</f>
        <v>0</v>
      </c>
      <c r="BI468" s="90" t="n">
        <f aca="false">IF(Y468=0,AA468,0)</f>
        <v>0</v>
      </c>
    </row>
    <row r="469" customFormat="false" ht="15" hidden="false" customHeight="false" outlineLevel="0" collapsed="false">
      <c r="A469" s="83" t="str">
        <f aca="false">IFERROR(IF(INDEX(원자료_잔고!$A$1:$EZ$1500,설정!$L$5+ROW()-1,설정!$L$8)&amp;""="0","",INDEX(원자료_잔고!$A$1:$EZ$1500,설정!$L$5+ROW()-1,설정!$L$8)&amp;""),"")</f>
        <v/>
      </c>
      <c r="B469" s="83" t="str">
        <f aca="false">IFERROR(IF(INDEX(원자료_잔고!$A$1:$EZ$1500,설정!$L$5+ROW()-1,설정!$L$7)&amp;""="0","",INDEX(원자료_잔고!$A$1:$EZ$1500,설정!$L$5+ROW()-1,설정!$L$7)&amp;""),"")</f>
        <v/>
      </c>
      <c r="C469" s="83" t="str">
        <f aca="false">IFERROR(IF(INDEX(원자료_잔고!$A$1:$EZ$1500,설정!$L$5+ROW()-1,설정!$L$9)&amp;""="0","",INDEX(원자료_잔고!$A$1:$EZ$1500,설정!$L$5+ROW()-1,설정!$L$9)&amp;""),"")</f>
        <v/>
      </c>
      <c r="D469" s="83" t="str">
        <f aca="false">IFERROR(IF(INDEX(원자료_잔고!$A$1:$EZ$1500,설정!$L$5+ROW()-1,설정!$L$10)&amp;""="0","",INDEX(원자료_잔고!$A$1:$EZ$1500,설정!$L$5+ROW()-1,설정!$L$10)&amp;""),"")</f>
        <v/>
      </c>
      <c r="E469" s="84" t="str">
        <f aca="false">IFERROR(IF(ISNUMBER(INDEX(원자료_잔고!$A$1:$EZ$1500,설정!$L$5+ROW()-1,설정!$L$11)),INDEX(원자료_잔고!$A$1:$EZ$1500,설정!$L$5+ROW()-1,설정!$L$11),""),"")</f>
        <v/>
      </c>
      <c r="F469" s="85" t="str">
        <f aca="false">IFERROR(IF(ISNUMBER(INDEX(원자료_잔고!$A$1:$EZ$1500,설정!$L$5+ROW()-1,설정!$L$12)),INDEX(원자료_잔고!$A$1:$EZ$1500,설정!$L$5+ROW()-1,설정!$L$12),""),"")</f>
        <v/>
      </c>
      <c r="G469" s="85" t="str">
        <f aca="false">IFERROR(IF(ISNUMBER(INDEX(원자료_잔고!$A$1:$EZ$1500,설정!$L$5+ROW()-1,설정!$L$13)),INDEX(원자료_잔고!$A$1:$EZ$1500,설정!$L$5+ROW()-1,설정!$L$13),""),"")</f>
        <v/>
      </c>
      <c r="H469" s="85" t="str">
        <f aca="false">IFERROR(IF(ISNUMBER(INDEX(원자료_잔고!$A$1:$EZ$1500,설정!$L$5+ROW()-1,설정!$L$14)),INDEX(원자료_잔고!$A$1:$EZ$1500,설정!$L$5+ROW()-1,설정!$L$14),""),"")</f>
        <v/>
      </c>
      <c r="I469" s="86" t="str">
        <f aca="false">IFERROR(IF(ISNUMBER(INDEX(원자료_잔고!$A$1:$EZ$1500,설정!$L$5+ROW()-1,설정!$L$15)),INDEX(원자료_잔고!$A$1:$EZ$1500,설정!$L$5+ROW()-1,설정!$L$15),""),"")</f>
        <v/>
      </c>
      <c r="J469" s="85" t="str">
        <f aca="false">IFERROR(IF(ISNUMBER(INDEX(원자료_잔고!$A$1:$EZ$1500,설정!$L$5+ROW()-1,설정!$L$16)),INDEX(원자료_잔고!$A$1:$EZ$1500,설정!$L$5+ROW()-1,설정!$L$16),""),"")</f>
        <v/>
      </c>
      <c r="K469" s="87" t="str">
        <f aca="false">IFERROR(IF(ISNUMBER(INDEX(원자료_잔고!$A$1:$EZ$1500,설정!$L$5+ROW()-1,설정!$L$17)),INDEX(원자료_잔고!$A$1:$EZ$1500,설정!$L$5+ROW()-1,설정!$L$17),""),"")</f>
        <v/>
      </c>
      <c r="L469" s="84" t="str">
        <f aca="false">IFERROR(IF(ISNUMBER(INDEX(원자료_잔고!$A$1:$EZ$1500,설정!$L$5+ROW()-1,설정!$L$18)),INDEX(원자료_잔고!$A$1:$EZ$1500,설정!$L$5+ROW()-1,설정!$L$18),""),"")</f>
        <v/>
      </c>
      <c r="M469" s="88" t="str">
        <f aca="false">IFERROR(IF(ISNUMBER(INDEX(원자료_잔고!$A$1:$EZ$1500,설정!$L$5+ROW()-1,설정!$L$19)),INDEX(원자료_잔고!$A$1:$EZ$1500,설정!$L$5+ROW()-1,설정!$L$19),""),"")</f>
        <v/>
      </c>
      <c r="N469" s="83" t="str">
        <f aca="false">IFERROR(IF(INDEX(원자료_잔고!$A$1:$EZ$1500,설정!$L$5+ROW()-1,설정!$L$21)&amp;""="0","",INDEX(원자료_잔고!$A$1:$EZ$1500,설정!$L$5+ROW()-1,설정!$L$21)&amp;""),"")</f>
        <v/>
      </c>
      <c r="O469" s="83" t="str">
        <f aca="false">IFERROR(IF(INDEX(원자료_잔고!$A$1:$EZ$1500,설정!$L$5+ROW()-1,설정!$L$22)&amp;""="0","",INDEX(원자료_잔고!$A$1:$EZ$1500,설정!$L$5+ROW()-1,설정!$L$22)&amp;""),"")</f>
        <v/>
      </c>
      <c r="P469" s="83" t="str">
        <f aca="false">IFERROR(IF(INDEX(원자료_잔고!$A$1:$EZ$1500,설정!$L$5+ROW()-1,설정!$L$23)&amp;""="0","",INDEX(원자료_잔고!$A$1:$EZ$1500,설정!$L$5+ROW()-1,설정!$L$23)&amp;""),"")</f>
        <v/>
      </c>
      <c r="Q469" s="89" t="n">
        <f aca="false">IF(AND($A469&lt;&gt;"",ISNUMBER(E469)),IF(E469&gt;0,1,0),0)</f>
        <v>0</v>
      </c>
      <c r="R469" s="43" t="str">
        <f aca="false">IF(Q469=1,UPPER(LEFT($A469,FIND(" ",$A469&amp;" ")-1)),"")</f>
        <v/>
      </c>
      <c r="S469" s="89" t="n">
        <f aca="false">IF(Q469=1,IF(OR(ISNUMBER(SEARCH("Float",$A469)),ISNUMBER(SEARCH("FRN",$A469))),1,0),0)</f>
        <v>0</v>
      </c>
      <c r="T469" s="43" t="str">
        <f aca="false">IF(AND(Q469=1,ISNUMBER(I469)),TEXT(I469,"yyyymmdd")&amp;"|"&amp;IF(S469=1,"F",TEXT(J469,"0.000")),"")</f>
        <v/>
      </c>
      <c r="U469" s="90" t="str">
        <f aca="false">IF(AND(Q469=1,ISNUMBER(I469)),(I469-설정!$C$4)/365.25,"")</f>
        <v/>
      </c>
      <c r="V469" s="43" t="str">
        <f aca="false">IF(Q469&lt;&gt;1,"",IF(ISNUMBER(U469),IF(U469&lt;=1,"1년 이하",IF(U469&lt;=2,"1-2년",IF(U469&lt;=3,"2-3년",IF(U469&lt;=4,"3-4년",IF(U469&lt;=5,"4-5년",IF(U469&lt;=7,"5-7년",IF(U469&lt;=10,"7-10년",IF(U469&lt;=20,"10-20년","20년 이상")))))))),"미분류"))</f>
        <v/>
      </c>
      <c r="W469" s="43" t="str">
        <f aca="false">IF(Q469&lt;&gt;1,"",IF(AB469&lt;&gt;"",INDEX(시장분석!$C:$C,AB469),IF(K469=1,"USD","비USD")))</f>
        <v/>
      </c>
      <c r="X469" s="91" t="n">
        <f aca="false">IF(Q469=1,E469*K469/1000000,0)</f>
        <v>0</v>
      </c>
      <c r="Y469" s="89" t="n">
        <f aca="false">IF(R469="T",1,0)</f>
        <v>0</v>
      </c>
      <c r="Z469" s="92" t="str">
        <f aca="false">IF(Q469&lt;&gt;1,"",IF(AD469=1,IF(ISNUMBER(U469),MAX(U469,0),H469),H469))</f>
        <v/>
      </c>
      <c r="AA469" s="91" t="n">
        <f aca="false">IF(Q469=1,IF(ISNUMBER(L469),L469,0)*K469/1000000,0)</f>
        <v>0</v>
      </c>
      <c r="AB469" s="89" t="str">
        <f aca="false">IF(Q469&lt;&gt;1,"",IFERROR(MATCH(VLOOKUP(B469,매핑!$H$4:$I$15,2,0),시장분석!$A$2:$A$601,0)+1,IFERROR(MATCH(R469&amp;"|"&amp;T469,시장분석!$V$2:$V$601,0)+1,IF(COUNTIF(시장분석!$U$2:$U$601,T469)=1,MATCH(T469,시장분석!$U$2:$U$601,0)+1,""))))</f>
        <v/>
      </c>
      <c r="AC469" s="89" t="n">
        <f aca="false">IF(Q469&lt;&gt;1,0,IF(OR(설정!$C$5="전체",AND(설정!$C$5="선택펀드",IFERROR(COUNTIFS(설정!$F$16:$F$36,C469,설정!$G$16:$G$36,"Y")+COUNTIFS(설정!$F$16:$F$36,VALUE(C469),설정!$G$16:$G$36,"Y"),0)&gt;0),C469&amp;""=설정!$C$5&amp;""),1,0))</f>
        <v>0</v>
      </c>
      <c r="AD469" s="89" t="n">
        <f aca="false">IF(Q469&lt;&gt;1,0,IF(OR(S469=1,IF(AB469="",FALSE(),INDEX(시장분석!$R:$R,AB469)=1)),1,0))</f>
        <v>0</v>
      </c>
      <c r="AE469" s="43" t="str">
        <f aca="false">IF(AB469="","",INDEX(시장분석!$A:$A,AB469))</f>
        <v/>
      </c>
      <c r="AF469" s="93" t="str">
        <f aca="false">IF(AB469="","",IF(ISNUMBER(IF(AB469="","",INDEX(시장분석!$E:$E,AB469))),IF(AB469="","",INDEX(시장분석!$E:$E,AB469)),""))</f>
        <v/>
      </c>
      <c r="AG469" s="43" t="str">
        <f aca="false">IF(Q469&lt;&gt;1,"",IF(AB469&lt;&gt;"",IF(AB469="","",INDEX(시장분석!$L:$L,AB469)),IFERROR(IF(VLOOKUP(R469,매핑!$A$4:$E$92,5,0)="","미분류",VLOOKUP(R469,매핑!$A$4:$E$92,5,0)),"미분류")))</f>
        <v/>
      </c>
      <c r="AH469" s="43" t="str">
        <f aca="false">IF(Q469&lt;&gt;1,"",IF(AB469&lt;&gt;"",IF(AB469="","",INDEX(시장분석!$N:$N,AB469)),IFERROR(IF(VLOOKUP(R469,매핑!$A$4:$E$92,4,0)="","미분류",VLOOKUP(R469,매핑!$A$4:$E$92,4,0)),"미분류")))</f>
        <v/>
      </c>
      <c r="AI469" s="43" t="str">
        <f aca="false">IF(Q469&lt;&gt;1,"",IFERROR(IF(VLOOKUP(R469,매핑!$A$4:$E$92,3,0)="","미분류",VLOOKUP(R469,매핑!$A$4:$E$92,3,0)),IF(AB469&lt;&gt;"",IF(AB469="","",INDEX(시장분석!$W:$W,AB469)),"미분류")))</f>
        <v/>
      </c>
      <c r="AJ469" s="43" t="str">
        <f aca="false">IF(Q469&lt;&gt;1,"",IFERROR(VLOOKUP(IF(N469&lt;&gt;"",N469,IF(P469&lt;&gt;"",P469,O469)),설정!$A$15:$D$47,2,0),""))</f>
        <v/>
      </c>
      <c r="AK469" s="43" t="str">
        <f aca="false">IF(Q469&lt;&gt;1,"",IF(AJ469="","무등급",IFERROR(VLOOKUP(AJ469,설정!$A$15:$D$47,3,0),"무등급")))</f>
        <v/>
      </c>
      <c r="AL469" s="89" t="n">
        <f aca="false">IF(AJ469="",99,IFERROR(VLOOKUP(AJ469,설정!$A$15:$D$47,4,0),99))</f>
        <v>99</v>
      </c>
      <c r="AM469" s="94" t="n">
        <f aca="false">IF(ISNUMBER(H469),AA469*1000000*H469/10000,0)</f>
        <v>0</v>
      </c>
      <c r="AN469" s="94" t="n">
        <f aca="false">IF(OR(Y469=1,NOT(ISNUMBER(Z469))),0,AA469*1000000*Z469/10000)</f>
        <v>0</v>
      </c>
      <c r="AO469" s="94" t="n">
        <f aca="false">IF(ISNUMBER(G469),AA469*1000000*G469/100,0)</f>
        <v>0</v>
      </c>
      <c r="AP469" s="94" t="n">
        <f aca="false">IF(ISNUMBER(M469),M469*K469,0)</f>
        <v>0</v>
      </c>
      <c r="AQ469" s="95" t="str">
        <f aca="false">IF(AB469="","",INDEX(시장분석!$AK:$AK,AB469))</f>
        <v/>
      </c>
      <c r="AR469" s="43" t="str">
        <f aca="false">IF(AB469="","-",IF(AB469="","",INDEX(시장분석!$AL:$AL,AB469)))</f>
        <v>-</v>
      </c>
      <c r="AS469" s="96" t="str">
        <f aca="false">IF(AB469="","",INDEX(시장분석!$AJ:$AJ,AB469))</f>
        <v/>
      </c>
      <c r="AT469" s="93" t="n">
        <f aca="false">IF(AB469="",0,IF(AB469="","",INDEX(시장분석!$AN:$AN,AB469)))</f>
        <v>0</v>
      </c>
      <c r="AU469" s="94" t="n">
        <f aca="false">IF(ISNUMBER(Z469),AT469/10000*MAX(Z469-1,0)*AA469*1000000,0)</f>
        <v>0</v>
      </c>
      <c r="AV469" s="94" t="n">
        <f aca="false">AO469+AU469</f>
        <v>0</v>
      </c>
      <c r="AW469" s="43" t="str">
        <f aca="false">IF(Q469&lt;&gt;1,"",TRIM(IF(AD469=1,"FRN ","")&amp;IF(AND(AL469&gt;=10,AL469&lt;99),"BBB0미만 ","")&amp;IF(AJ469="","등급없음 ","")&amp;IF(K469&lt;&gt;1,"비USD ","")&amp;IF(AND(AB469="",Y469=0),"시장데이터없음 ","")&amp;IF(AND(ISNUMBER(U469),U469&lt;0),"만기경과 ","")))</f>
        <v/>
      </c>
      <c r="AX469" s="90" t="n">
        <f aca="false">IF(Q469&lt;&gt;1,1,IF(스프레드쇼크!$C$4="Y",INDEX(스프레드쇼크!$B$12:$L$16,IFERROR(MATCH(AH469,스프레드쇼크!$A$12:$A$16,0),MATCH("목록외",스프레드쇼크!$A$12:$A$16,0)),IFERROR(MATCH(AG469,스프레드쇼크!$B$11:$L$11,0),MATCH("목록외",스프레드쇼크!$B$11:$L$11,0))),1))</f>
        <v>1</v>
      </c>
      <c r="AY469" s="90" t="n">
        <f aca="false">IF(스프레드쇼크!$C$5="Y",IF(ISNUMBER(AF469),MIN(스프레드쇼크!$C$7,MAX(스프레드쇼크!$C$6,AF469/스프레드쇼크!$C$8)),1),1)</f>
        <v>1</v>
      </c>
      <c r="AZ469" s="94" t="n">
        <f aca="false">AN469*AX469*AY469</f>
        <v>0</v>
      </c>
      <c r="BA469" s="90" t="n">
        <f aca="false">IF(ISNUMBER(G469),AA469*G469,0)</f>
        <v>0</v>
      </c>
      <c r="BB469" s="90" t="n">
        <f aca="false">IF(ISNUMBER(G469),AA469,0)</f>
        <v>0</v>
      </c>
      <c r="BC469" s="90" t="n">
        <f aca="false">IF(AND(Y469=0,ISNUMBER(AF469)),AA469*AF469,0)</f>
        <v>0</v>
      </c>
      <c r="BD469" s="90" t="n">
        <f aca="false">IF(AND(Y469=0,ISNUMBER(AF469)),AA469,0)</f>
        <v>0</v>
      </c>
      <c r="BE469" s="90" t="n">
        <f aca="false">IF(ISNUMBER(H469),AA469*H469,0)</f>
        <v>0</v>
      </c>
      <c r="BF469" s="90" t="n">
        <f aca="false">IF(ISNUMBER(H469),AA469,0)</f>
        <v>0</v>
      </c>
      <c r="BG469" s="90" t="n">
        <f aca="false">IF(AND(Y469=0,ISNUMBER(AF469),ISNUMBER(Z469)),AA469*Z469,0)</f>
        <v>0</v>
      </c>
      <c r="BH469" s="90" t="n">
        <f aca="false">IF(AND(Y469=0,ISNUMBER(AF469),ISNUMBER(Z469)),AA469*AT469*MAX(Z469-1,0),0)</f>
        <v>0</v>
      </c>
      <c r="BI469" s="90" t="n">
        <f aca="false">IF(Y469=0,AA469,0)</f>
        <v>0</v>
      </c>
    </row>
    <row r="470" customFormat="false" ht="15" hidden="false" customHeight="false" outlineLevel="0" collapsed="false">
      <c r="A470" s="83" t="str">
        <f aca="false">IFERROR(IF(INDEX(원자료_잔고!$A$1:$EZ$1500,설정!$L$5+ROW()-1,설정!$L$8)&amp;""="0","",INDEX(원자료_잔고!$A$1:$EZ$1500,설정!$L$5+ROW()-1,설정!$L$8)&amp;""),"")</f>
        <v/>
      </c>
      <c r="B470" s="83" t="str">
        <f aca="false">IFERROR(IF(INDEX(원자료_잔고!$A$1:$EZ$1500,설정!$L$5+ROW()-1,설정!$L$7)&amp;""="0","",INDEX(원자료_잔고!$A$1:$EZ$1500,설정!$L$5+ROW()-1,설정!$L$7)&amp;""),"")</f>
        <v/>
      </c>
      <c r="C470" s="83" t="str">
        <f aca="false">IFERROR(IF(INDEX(원자료_잔고!$A$1:$EZ$1500,설정!$L$5+ROW()-1,설정!$L$9)&amp;""="0","",INDEX(원자료_잔고!$A$1:$EZ$1500,설정!$L$5+ROW()-1,설정!$L$9)&amp;""),"")</f>
        <v/>
      </c>
      <c r="D470" s="83" t="str">
        <f aca="false">IFERROR(IF(INDEX(원자료_잔고!$A$1:$EZ$1500,설정!$L$5+ROW()-1,설정!$L$10)&amp;""="0","",INDEX(원자료_잔고!$A$1:$EZ$1500,설정!$L$5+ROW()-1,설정!$L$10)&amp;""),"")</f>
        <v/>
      </c>
      <c r="E470" s="84" t="str">
        <f aca="false">IFERROR(IF(ISNUMBER(INDEX(원자료_잔고!$A$1:$EZ$1500,설정!$L$5+ROW()-1,설정!$L$11)),INDEX(원자료_잔고!$A$1:$EZ$1500,설정!$L$5+ROW()-1,설정!$L$11),""),"")</f>
        <v/>
      </c>
      <c r="F470" s="85" t="str">
        <f aca="false">IFERROR(IF(ISNUMBER(INDEX(원자료_잔고!$A$1:$EZ$1500,설정!$L$5+ROW()-1,설정!$L$12)),INDEX(원자료_잔고!$A$1:$EZ$1500,설정!$L$5+ROW()-1,설정!$L$12),""),"")</f>
        <v/>
      </c>
      <c r="G470" s="85" t="str">
        <f aca="false">IFERROR(IF(ISNUMBER(INDEX(원자료_잔고!$A$1:$EZ$1500,설정!$L$5+ROW()-1,설정!$L$13)),INDEX(원자료_잔고!$A$1:$EZ$1500,설정!$L$5+ROW()-1,설정!$L$13),""),"")</f>
        <v/>
      </c>
      <c r="H470" s="85" t="str">
        <f aca="false">IFERROR(IF(ISNUMBER(INDEX(원자료_잔고!$A$1:$EZ$1500,설정!$L$5+ROW()-1,설정!$L$14)),INDEX(원자료_잔고!$A$1:$EZ$1500,설정!$L$5+ROW()-1,설정!$L$14),""),"")</f>
        <v/>
      </c>
      <c r="I470" s="86" t="str">
        <f aca="false">IFERROR(IF(ISNUMBER(INDEX(원자료_잔고!$A$1:$EZ$1500,설정!$L$5+ROW()-1,설정!$L$15)),INDEX(원자료_잔고!$A$1:$EZ$1500,설정!$L$5+ROW()-1,설정!$L$15),""),"")</f>
        <v/>
      </c>
      <c r="J470" s="85" t="str">
        <f aca="false">IFERROR(IF(ISNUMBER(INDEX(원자료_잔고!$A$1:$EZ$1500,설정!$L$5+ROW()-1,설정!$L$16)),INDEX(원자료_잔고!$A$1:$EZ$1500,설정!$L$5+ROW()-1,설정!$L$16),""),"")</f>
        <v/>
      </c>
      <c r="K470" s="87" t="str">
        <f aca="false">IFERROR(IF(ISNUMBER(INDEX(원자료_잔고!$A$1:$EZ$1500,설정!$L$5+ROW()-1,설정!$L$17)),INDEX(원자료_잔고!$A$1:$EZ$1500,설정!$L$5+ROW()-1,설정!$L$17),""),"")</f>
        <v/>
      </c>
      <c r="L470" s="84" t="str">
        <f aca="false">IFERROR(IF(ISNUMBER(INDEX(원자료_잔고!$A$1:$EZ$1500,설정!$L$5+ROW()-1,설정!$L$18)),INDEX(원자료_잔고!$A$1:$EZ$1500,설정!$L$5+ROW()-1,설정!$L$18),""),"")</f>
        <v/>
      </c>
      <c r="M470" s="88" t="str">
        <f aca="false">IFERROR(IF(ISNUMBER(INDEX(원자료_잔고!$A$1:$EZ$1500,설정!$L$5+ROW()-1,설정!$L$19)),INDEX(원자료_잔고!$A$1:$EZ$1500,설정!$L$5+ROW()-1,설정!$L$19),""),"")</f>
        <v/>
      </c>
      <c r="N470" s="83" t="str">
        <f aca="false">IFERROR(IF(INDEX(원자료_잔고!$A$1:$EZ$1500,설정!$L$5+ROW()-1,설정!$L$21)&amp;""="0","",INDEX(원자료_잔고!$A$1:$EZ$1500,설정!$L$5+ROW()-1,설정!$L$21)&amp;""),"")</f>
        <v/>
      </c>
      <c r="O470" s="83" t="str">
        <f aca="false">IFERROR(IF(INDEX(원자료_잔고!$A$1:$EZ$1500,설정!$L$5+ROW()-1,설정!$L$22)&amp;""="0","",INDEX(원자료_잔고!$A$1:$EZ$1500,설정!$L$5+ROW()-1,설정!$L$22)&amp;""),"")</f>
        <v/>
      </c>
      <c r="P470" s="83" t="str">
        <f aca="false">IFERROR(IF(INDEX(원자료_잔고!$A$1:$EZ$1500,설정!$L$5+ROW()-1,설정!$L$23)&amp;""="0","",INDEX(원자료_잔고!$A$1:$EZ$1500,설정!$L$5+ROW()-1,설정!$L$23)&amp;""),"")</f>
        <v/>
      </c>
      <c r="Q470" s="89" t="n">
        <f aca="false">IF(AND($A470&lt;&gt;"",ISNUMBER(E470)),IF(E470&gt;0,1,0),0)</f>
        <v>0</v>
      </c>
      <c r="R470" s="43" t="str">
        <f aca="false">IF(Q470=1,UPPER(LEFT($A470,FIND(" ",$A470&amp;" ")-1)),"")</f>
        <v/>
      </c>
      <c r="S470" s="89" t="n">
        <f aca="false">IF(Q470=1,IF(OR(ISNUMBER(SEARCH("Float",$A470)),ISNUMBER(SEARCH("FRN",$A470))),1,0),0)</f>
        <v>0</v>
      </c>
      <c r="T470" s="43" t="str">
        <f aca="false">IF(AND(Q470=1,ISNUMBER(I470)),TEXT(I470,"yyyymmdd")&amp;"|"&amp;IF(S470=1,"F",TEXT(J470,"0.000")),"")</f>
        <v/>
      </c>
      <c r="U470" s="90" t="str">
        <f aca="false">IF(AND(Q470=1,ISNUMBER(I470)),(I470-설정!$C$4)/365.25,"")</f>
        <v/>
      </c>
      <c r="V470" s="43" t="str">
        <f aca="false">IF(Q470&lt;&gt;1,"",IF(ISNUMBER(U470),IF(U470&lt;=1,"1년 이하",IF(U470&lt;=2,"1-2년",IF(U470&lt;=3,"2-3년",IF(U470&lt;=4,"3-4년",IF(U470&lt;=5,"4-5년",IF(U470&lt;=7,"5-7년",IF(U470&lt;=10,"7-10년",IF(U470&lt;=20,"10-20년","20년 이상")))))))),"미분류"))</f>
        <v/>
      </c>
      <c r="W470" s="43" t="str">
        <f aca="false">IF(Q470&lt;&gt;1,"",IF(AB470&lt;&gt;"",INDEX(시장분석!$C:$C,AB470),IF(K470=1,"USD","비USD")))</f>
        <v/>
      </c>
      <c r="X470" s="91" t="n">
        <f aca="false">IF(Q470=1,E470*K470/1000000,0)</f>
        <v>0</v>
      </c>
      <c r="Y470" s="89" t="n">
        <f aca="false">IF(R470="T",1,0)</f>
        <v>0</v>
      </c>
      <c r="Z470" s="92" t="str">
        <f aca="false">IF(Q470&lt;&gt;1,"",IF(AD470=1,IF(ISNUMBER(U470),MAX(U470,0),H470),H470))</f>
        <v/>
      </c>
      <c r="AA470" s="91" t="n">
        <f aca="false">IF(Q470=1,IF(ISNUMBER(L470),L470,0)*K470/1000000,0)</f>
        <v>0</v>
      </c>
      <c r="AB470" s="89" t="str">
        <f aca="false">IF(Q470&lt;&gt;1,"",IFERROR(MATCH(VLOOKUP(B470,매핑!$H$4:$I$15,2,0),시장분석!$A$2:$A$601,0)+1,IFERROR(MATCH(R470&amp;"|"&amp;T470,시장분석!$V$2:$V$601,0)+1,IF(COUNTIF(시장분석!$U$2:$U$601,T470)=1,MATCH(T470,시장분석!$U$2:$U$601,0)+1,""))))</f>
        <v/>
      </c>
      <c r="AC470" s="89" t="n">
        <f aca="false">IF(Q470&lt;&gt;1,0,IF(OR(설정!$C$5="전체",AND(설정!$C$5="선택펀드",IFERROR(COUNTIFS(설정!$F$16:$F$36,C470,설정!$G$16:$G$36,"Y")+COUNTIFS(설정!$F$16:$F$36,VALUE(C470),설정!$G$16:$G$36,"Y"),0)&gt;0),C470&amp;""=설정!$C$5&amp;""),1,0))</f>
        <v>0</v>
      </c>
      <c r="AD470" s="89" t="n">
        <f aca="false">IF(Q470&lt;&gt;1,0,IF(OR(S470=1,IF(AB470="",FALSE(),INDEX(시장분석!$R:$R,AB470)=1)),1,0))</f>
        <v>0</v>
      </c>
      <c r="AE470" s="43" t="str">
        <f aca="false">IF(AB470="","",INDEX(시장분석!$A:$A,AB470))</f>
        <v/>
      </c>
      <c r="AF470" s="93" t="str">
        <f aca="false">IF(AB470="","",IF(ISNUMBER(IF(AB470="","",INDEX(시장분석!$E:$E,AB470))),IF(AB470="","",INDEX(시장분석!$E:$E,AB470)),""))</f>
        <v/>
      </c>
      <c r="AG470" s="43" t="str">
        <f aca="false">IF(Q470&lt;&gt;1,"",IF(AB470&lt;&gt;"",IF(AB470="","",INDEX(시장분석!$L:$L,AB470)),IFERROR(IF(VLOOKUP(R470,매핑!$A$4:$E$92,5,0)="","미분류",VLOOKUP(R470,매핑!$A$4:$E$92,5,0)),"미분류")))</f>
        <v/>
      </c>
      <c r="AH470" s="43" t="str">
        <f aca="false">IF(Q470&lt;&gt;1,"",IF(AB470&lt;&gt;"",IF(AB470="","",INDEX(시장분석!$N:$N,AB470)),IFERROR(IF(VLOOKUP(R470,매핑!$A$4:$E$92,4,0)="","미분류",VLOOKUP(R470,매핑!$A$4:$E$92,4,0)),"미분류")))</f>
        <v/>
      </c>
      <c r="AI470" s="43" t="str">
        <f aca="false">IF(Q470&lt;&gt;1,"",IFERROR(IF(VLOOKUP(R470,매핑!$A$4:$E$92,3,0)="","미분류",VLOOKUP(R470,매핑!$A$4:$E$92,3,0)),IF(AB470&lt;&gt;"",IF(AB470="","",INDEX(시장분석!$W:$W,AB470)),"미분류")))</f>
        <v/>
      </c>
      <c r="AJ470" s="43" t="str">
        <f aca="false">IF(Q470&lt;&gt;1,"",IFERROR(VLOOKUP(IF(N470&lt;&gt;"",N470,IF(P470&lt;&gt;"",P470,O470)),설정!$A$15:$D$47,2,0),""))</f>
        <v/>
      </c>
      <c r="AK470" s="43" t="str">
        <f aca="false">IF(Q470&lt;&gt;1,"",IF(AJ470="","무등급",IFERROR(VLOOKUP(AJ470,설정!$A$15:$D$47,3,0),"무등급")))</f>
        <v/>
      </c>
      <c r="AL470" s="89" t="n">
        <f aca="false">IF(AJ470="",99,IFERROR(VLOOKUP(AJ470,설정!$A$15:$D$47,4,0),99))</f>
        <v>99</v>
      </c>
      <c r="AM470" s="94" t="n">
        <f aca="false">IF(ISNUMBER(H470),AA470*1000000*H470/10000,0)</f>
        <v>0</v>
      </c>
      <c r="AN470" s="94" t="n">
        <f aca="false">IF(OR(Y470=1,NOT(ISNUMBER(Z470))),0,AA470*1000000*Z470/10000)</f>
        <v>0</v>
      </c>
      <c r="AO470" s="94" t="n">
        <f aca="false">IF(ISNUMBER(G470),AA470*1000000*G470/100,0)</f>
        <v>0</v>
      </c>
      <c r="AP470" s="94" t="n">
        <f aca="false">IF(ISNUMBER(M470),M470*K470,0)</f>
        <v>0</v>
      </c>
      <c r="AQ470" s="95" t="str">
        <f aca="false">IF(AB470="","",INDEX(시장분석!$AK:$AK,AB470))</f>
        <v/>
      </c>
      <c r="AR470" s="43" t="str">
        <f aca="false">IF(AB470="","-",IF(AB470="","",INDEX(시장분석!$AL:$AL,AB470)))</f>
        <v>-</v>
      </c>
      <c r="AS470" s="96" t="str">
        <f aca="false">IF(AB470="","",INDEX(시장분석!$AJ:$AJ,AB470))</f>
        <v/>
      </c>
      <c r="AT470" s="93" t="n">
        <f aca="false">IF(AB470="",0,IF(AB470="","",INDEX(시장분석!$AN:$AN,AB470)))</f>
        <v>0</v>
      </c>
      <c r="AU470" s="94" t="n">
        <f aca="false">IF(ISNUMBER(Z470),AT470/10000*MAX(Z470-1,0)*AA470*1000000,0)</f>
        <v>0</v>
      </c>
      <c r="AV470" s="94" t="n">
        <f aca="false">AO470+AU470</f>
        <v>0</v>
      </c>
      <c r="AW470" s="43" t="str">
        <f aca="false">IF(Q470&lt;&gt;1,"",TRIM(IF(AD470=1,"FRN ","")&amp;IF(AND(AL470&gt;=10,AL470&lt;99),"BBB0미만 ","")&amp;IF(AJ470="","등급없음 ","")&amp;IF(K470&lt;&gt;1,"비USD ","")&amp;IF(AND(AB470="",Y470=0),"시장데이터없음 ","")&amp;IF(AND(ISNUMBER(U470),U470&lt;0),"만기경과 ","")))</f>
        <v/>
      </c>
      <c r="AX470" s="90" t="n">
        <f aca="false">IF(Q470&lt;&gt;1,1,IF(스프레드쇼크!$C$4="Y",INDEX(스프레드쇼크!$B$12:$L$16,IFERROR(MATCH(AH470,스프레드쇼크!$A$12:$A$16,0),MATCH("목록외",스프레드쇼크!$A$12:$A$16,0)),IFERROR(MATCH(AG470,스프레드쇼크!$B$11:$L$11,0),MATCH("목록외",스프레드쇼크!$B$11:$L$11,0))),1))</f>
        <v>1</v>
      </c>
      <c r="AY470" s="90" t="n">
        <f aca="false">IF(스프레드쇼크!$C$5="Y",IF(ISNUMBER(AF470),MIN(스프레드쇼크!$C$7,MAX(스프레드쇼크!$C$6,AF470/스프레드쇼크!$C$8)),1),1)</f>
        <v>1</v>
      </c>
      <c r="AZ470" s="94" t="n">
        <f aca="false">AN470*AX470*AY470</f>
        <v>0</v>
      </c>
      <c r="BA470" s="90" t="n">
        <f aca="false">IF(ISNUMBER(G470),AA470*G470,0)</f>
        <v>0</v>
      </c>
      <c r="BB470" s="90" t="n">
        <f aca="false">IF(ISNUMBER(G470),AA470,0)</f>
        <v>0</v>
      </c>
      <c r="BC470" s="90" t="n">
        <f aca="false">IF(AND(Y470=0,ISNUMBER(AF470)),AA470*AF470,0)</f>
        <v>0</v>
      </c>
      <c r="BD470" s="90" t="n">
        <f aca="false">IF(AND(Y470=0,ISNUMBER(AF470)),AA470,0)</f>
        <v>0</v>
      </c>
      <c r="BE470" s="90" t="n">
        <f aca="false">IF(ISNUMBER(H470),AA470*H470,0)</f>
        <v>0</v>
      </c>
      <c r="BF470" s="90" t="n">
        <f aca="false">IF(ISNUMBER(H470),AA470,0)</f>
        <v>0</v>
      </c>
      <c r="BG470" s="90" t="n">
        <f aca="false">IF(AND(Y470=0,ISNUMBER(AF470),ISNUMBER(Z470)),AA470*Z470,0)</f>
        <v>0</v>
      </c>
      <c r="BH470" s="90" t="n">
        <f aca="false">IF(AND(Y470=0,ISNUMBER(AF470),ISNUMBER(Z470)),AA470*AT470*MAX(Z470-1,0),0)</f>
        <v>0</v>
      </c>
      <c r="BI470" s="90" t="n">
        <f aca="false">IF(Y470=0,AA470,0)</f>
        <v>0</v>
      </c>
    </row>
    <row r="471" customFormat="false" ht="15" hidden="false" customHeight="false" outlineLevel="0" collapsed="false">
      <c r="A471" s="83" t="str">
        <f aca="false">IFERROR(IF(INDEX(원자료_잔고!$A$1:$EZ$1500,설정!$L$5+ROW()-1,설정!$L$8)&amp;""="0","",INDEX(원자료_잔고!$A$1:$EZ$1500,설정!$L$5+ROW()-1,설정!$L$8)&amp;""),"")</f>
        <v/>
      </c>
      <c r="B471" s="83" t="str">
        <f aca="false">IFERROR(IF(INDEX(원자료_잔고!$A$1:$EZ$1500,설정!$L$5+ROW()-1,설정!$L$7)&amp;""="0","",INDEX(원자료_잔고!$A$1:$EZ$1500,설정!$L$5+ROW()-1,설정!$L$7)&amp;""),"")</f>
        <v/>
      </c>
      <c r="C471" s="83" t="str">
        <f aca="false">IFERROR(IF(INDEX(원자료_잔고!$A$1:$EZ$1500,설정!$L$5+ROW()-1,설정!$L$9)&amp;""="0","",INDEX(원자료_잔고!$A$1:$EZ$1500,설정!$L$5+ROW()-1,설정!$L$9)&amp;""),"")</f>
        <v/>
      </c>
      <c r="D471" s="83" t="str">
        <f aca="false">IFERROR(IF(INDEX(원자료_잔고!$A$1:$EZ$1500,설정!$L$5+ROW()-1,설정!$L$10)&amp;""="0","",INDEX(원자료_잔고!$A$1:$EZ$1500,설정!$L$5+ROW()-1,설정!$L$10)&amp;""),"")</f>
        <v/>
      </c>
      <c r="E471" s="84" t="str">
        <f aca="false">IFERROR(IF(ISNUMBER(INDEX(원자료_잔고!$A$1:$EZ$1500,설정!$L$5+ROW()-1,설정!$L$11)),INDEX(원자료_잔고!$A$1:$EZ$1500,설정!$L$5+ROW()-1,설정!$L$11),""),"")</f>
        <v/>
      </c>
      <c r="F471" s="85" t="str">
        <f aca="false">IFERROR(IF(ISNUMBER(INDEX(원자료_잔고!$A$1:$EZ$1500,설정!$L$5+ROW()-1,설정!$L$12)),INDEX(원자료_잔고!$A$1:$EZ$1500,설정!$L$5+ROW()-1,설정!$L$12),""),"")</f>
        <v/>
      </c>
      <c r="G471" s="85" t="str">
        <f aca="false">IFERROR(IF(ISNUMBER(INDEX(원자료_잔고!$A$1:$EZ$1500,설정!$L$5+ROW()-1,설정!$L$13)),INDEX(원자료_잔고!$A$1:$EZ$1500,설정!$L$5+ROW()-1,설정!$L$13),""),"")</f>
        <v/>
      </c>
      <c r="H471" s="85" t="str">
        <f aca="false">IFERROR(IF(ISNUMBER(INDEX(원자료_잔고!$A$1:$EZ$1500,설정!$L$5+ROW()-1,설정!$L$14)),INDEX(원자료_잔고!$A$1:$EZ$1500,설정!$L$5+ROW()-1,설정!$L$14),""),"")</f>
        <v/>
      </c>
      <c r="I471" s="86" t="str">
        <f aca="false">IFERROR(IF(ISNUMBER(INDEX(원자료_잔고!$A$1:$EZ$1500,설정!$L$5+ROW()-1,설정!$L$15)),INDEX(원자료_잔고!$A$1:$EZ$1500,설정!$L$5+ROW()-1,설정!$L$15),""),"")</f>
        <v/>
      </c>
      <c r="J471" s="85" t="str">
        <f aca="false">IFERROR(IF(ISNUMBER(INDEX(원자료_잔고!$A$1:$EZ$1500,설정!$L$5+ROW()-1,설정!$L$16)),INDEX(원자료_잔고!$A$1:$EZ$1500,설정!$L$5+ROW()-1,설정!$L$16),""),"")</f>
        <v/>
      </c>
      <c r="K471" s="87" t="str">
        <f aca="false">IFERROR(IF(ISNUMBER(INDEX(원자료_잔고!$A$1:$EZ$1500,설정!$L$5+ROW()-1,설정!$L$17)),INDEX(원자료_잔고!$A$1:$EZ$1500,설정!$L$5+ROW()-1,설정!$L$17),""),"")</f>
        <v/>
      </c>
      <c r="L471" s="84" t="str">
        <f aca="false">IFERROR(IF(ISNUMBER(INDEX(원자료_잔고!$A$1:$EZ$1500,설정!$L$5+ROW()-1,설정!$L$18)),INDEX(원자료_잔고!$A$1:$EZ$1500,설정!$L$5+ROW()-1,설정!$L$18),""),"")</f>
        <v/>
      </c>
      <c r="M471" s="88" t="str">
        <f aca="false">IFERROR(IF(ISNUMBER(INDEX(원자료_잔고!$A$1:$EZ$1500,설정!$L$5+ROW()-1,설정!$L$19)),INDEX(원자료_잔고!$A$1:$EZ$1500,설정!$L$5+ROW()-1,설정!$L$19),""),"")</f>
        <v/>
      </c>
      <c r="N471" s="83" t="str">
        <f aca="false">IFERROR(IF(INDEX(원자료_잔고!$A$1:$EZ$1500,설정!$L$5+ROW()-1,설정!$L$21)&amp;""="0","",INDEX(원자료_잔고!$A$1:$EZ$1500,설정!$L$5+ROW()-1,설정!$L$21)&amp;""),"")</f>
        <v/>
      </c>
      <c r="O471" s="83" t="str">
        <f aca="false">IFERROR(IF(INDEX(원자료_잔고!$A$1:$EZ$1500,설정!$L$5+ROW()-1,설정!$L$22)&amp;""="0","",INDEX(원자료_잔고!$A$1:$EZ$1500,설정!$L$5+ROW()-1,설정!$L$22)&amp;""),"")</f>
        <v/>
      </c>
      <c r="P471" s="83" t="str">
        <f aca="false">IFERROR(IF(INDEX(원자료_잔고!$A$1:$EZ$1500,설정!$L$5+ROW()-1,설정!$L$23)&amp;""="0","",INDEX(원자료_잔고!$A$1:$EZ$1500,설정!$L$5+ROW()-1,설정!$L$23)&amp;""),"")</f>
        <v/>
      </c>
      <c r="Q471" s="89" t="n">
        <f aca="false">IF(AND($A471&lt;&gt;"",ISNUMBER(E471)),IF(E471&gt;0,1,0),0)</f>
        <v>0</v>
      </c>
      <c r="R471" s="43" t="str">
        <f aca="false">IF(Q471=1,UPPER(LEFT($A471,FIND(" ",$A471&amp;" ")-1)),"")</f>
        <v/>
      </c>
      <c r="S471" s="89" t="n">
        <f aca="false">IF(Q471=1,IF(OR(ISNUMBER(SEARCH("Float",$A471)),ISNUMBER(SEARCH("FRN",$A471))),1,0),0)</f>
        <v>0</v>
      </c>
      <c r="T471" s="43" t="str">
        <f aca="false">IF(AND(Q471=1,ISNUMBER(I471)),TEXT(I471,"yyyymmdd")&amp;"|"&amp;IF(S471=1,"F",TEXT(J471,"0.000")),"")</f>
        <v/>
      </c>
      <c r="U471" s="90" t="str">
        <f aca="false">IF(AND(Q471=1,ISNUMBER(I471)),(I471-설정!$C$4)/365.25,"")</f>
        <v/>
      </c>
      <c r="V471" s="43" t="str">
        <f aca="false">IF(Q471&lt;&gt;1,"",IF(ISNUMBER(U471),IF(U471&lt;=1,"1년 이하",IF(U471&lt;=2,"1-2년",IF(U471&lt;=3,"2-3년",IF(U471&lt;=4,"3-4년",IF(U471&lt;=5,"4-5년",IF(U471&lt;=7,"5-7년",IF(U471&lt;=10,"7-10년",IF(U471&lt;=20,"10-20년","20년 이상")))))))),"미분류"))</f>
        <v/>
      </c>
      <c r="W471" s="43" t="str">
        <f aca="false">IF(Q471&lt;&gt;1,"",IF(AB471&lt;&gt;"",INDEX(시장분석!$C:$C,AB471),IF(K471=1,"USD","비USD")))</f>
        <v/>
      </c>
      <c r="X471" s="91" t="n">
        <f aca="false">IF(Q471=1,E471*K471/1000000,0)</f>
        <v>0</v>
      </c>
      <c r="Y471" s="89" t="n">
        <f aca="false">IF(R471="T",1,0)</f>
        <v>0</v>
      </c>
      <c r="Z471" s="92" t="str">
        <f aca="false">IF(Q471&lt;&gt;1,"",IF(AD471=1,IF(ISNUMBER(U471),MAX(U471,0),H471),H471))</f>
        <v/>
      </c>
      <c r="AA471" s="91" t="n">
        <f aca="false">IF(Q471=1,IF(ISNUMBER(L471),L471,0)*K471/1000000,0)</f>
        <v>0</v>
      </c>
      <c r="AB471" s="89" t="str">
        <f aca="false">IF(Q471&lt;&gt;1,"",IFERROR(MATCH(VLOOKUP(B471,매핑!$H$4:$I$15,2,0),시장분석!$A$2:$A$601,0)+1,IFERROR(MATCH(R471&amp;"|"&amp;T471,시장분석!$V$2:$V$601,0)+1,IF(COUNTIF(시장분석!$U$2:$U$601,T471)=1,MATCH(T471,시장분석!$U$2:$U$601,0)+1,""))))</f>
        <v/>
      </c>
      <c r="AC471" s="89" t="n">
        <f aca="false">IF(Q471&lt;&gt;1,0,IF(OR(설정!$C$5="전체",AND(설정!$C$5="선택펀드",IFERROR(COUNTIFS(설정!$F$16:$F$36,C471,설정!$G$16:$G$36,"Y")+COUNTIFS(설정!$F$16:$F$36,VALUE(C471),설정!$G$16:$G$36,"Y"),0)&gt;0),C471&amp;""=설정!$C$5&amp;""),1,0))</f>
        <v>0</v>
      </c>
      <c r="AD471" s="89" t="n">
        <f aca="false">IF(Q471&lt;&gt;1,0,IF(OR(S471=1,IF(AB471="",FALSE(),INDEX(시장분석!$R:$R,AB471)=1)),1,0))</f>
        <v>0</v>
      </c>
      <c r="AE471" s="43" t="str">
        <f aca="false">IF(AB471="","",INDEX(시장분석!$A:$A,AB471))</f>
        <v/>
      </c>
      <c r="AF471" s="93" t="str">
        <f aca="false">IF(AB471="","",IF(ISNUMBER(IF(AB471="","",INDEX(시장분석!$E:$E,AB471))),IF(AB471="","",INDEX(시장분석!$E:$E,AB471)),""))</f>
        <v/>
      </c>
      <c r="AG471" s="43" t="str">
        <f aca="false">IF(Q471&lt;&gt;1,"",IF(AB471&lt;&gt;"",IF(AB471="","",INDEX(시장분석!$L:$L,AB471)),IFERROR(IF(VLOOKUP(R471,매핑!$A$4:$E$92,5,0)="","미분류",VLOOKUP(R471,매핑!$A$4:$E$92,5,0)),"미분류")))</f>
        <v/>
      </c>
      <c r="AH471" s="43" t="str">
        <f aca="false">IF(Q471&lt;&gt;1,"",IF(AB471&lt;&gt;"",IF(AB471="","",INDEX(시장분석!$N:$N,AB471)),IFERROR(IF(VLOOKUP(R471,매핑!$A$4:$E$92,4,0)="","미분류",VLOOKUP(R471,매핑!$A$4:$E$92,4,0)),"미분류")))</f>
        <v/>
      </c>
      <c r="AI471" s="43" t="str">
        <f aca="false">IF(Q471&lt;&gt;1,"",IFERROR(IF(VLOOKUP(R471,매핑!$A$4:$E$92,3,0)="","미분류",VLOOKUP(R471,매핑!$A$4:$E$92,3,0)),IF(AB471&lt;&gt;"",IF(AB471="","",INDEX(시장분석!$W:$W,AB471)),"미분류")))</f>
        <v/>
      </c>
      <c r="AJ471" s="43" t="str">
        <f aca="false">IF(Q471&lt;&gt;1,"",IFERROR(VLOOKUP(IF(N471&lt;&gt;"",N471,IF(P471&lt;&gt;"",P471,O471)),설정!$A$15:$D$47,2,0),""))</f>
        <v/>
      </c>
      <c r="AK471" s="43" t="str">
        <f aca="false">IF(Q471&lt;&gt;1,"",IF(AJ471="","무등급",IFERROR(VLOOKUP(AJ471,설정!$A$15:$D$47,3,0),"무등급")))</f>
        <v/>
      </c>
      <c r="AL471" s="89" t="n">
        <f aca="false">IF(AJ471="",99,IFERROR(VLOOKUP(AJ471,설정!$A$15:$D$47,4,0),99))</f>
        <v>99</v>
      </c>
      <c r="AM471" s="94" t="n">
        <f aca="false">IF(ISNUMBER(H471),AA471*1000000*H471/10000,0)</f>
        <v>0</v>
      </c>
      <c r="AN471" s="94" t="n">
        <f aca="false">IF(OR(Y471=1,NOT(ISNUMBER(Z471))),0,AA471*1000000*Z471/10000)</f>
        <v>0</v>
      </c>
      <c r="AO471" s="94" t="n">
        <f aca="false">IF(ISNUMBER(G471),AA471*1000000*G471/100,0)</f>
        <v>0</v>
      </c>
      <c r="AP471" s="94" t="n">
        <f aca="false">IF(ISNUMBER(M471),M471*K471,0)</f>
        <v>0</v>
      </c>
      <c r="AQ471" s="95" t="str">
        <f aca="false">IF(AB471="","",INDEX(시장분석!$AK:$AK,AB471))</f>
        <v/>
      </c>
      <c r="AR471" s="43" t="str">
        <f aca="false">IF(AB471="","-",IF(AB471="","",INDEX(시장분석!$AL:$AL,AB471)))</f>
        <v>-</v>
      </c>
      <c r="AS471" s="96" t="str">
        <f aca="false">IF(AB471="","",INDEX(시장분석!$AJ:$AJ,AB471))</f>
        <v/>
      </c>
      <c r="AT471" s="93" t="n">
        <f aca="false">IF(AB471="",0,IF(AB471="","",INDEX(시장분석!$AN:$AN,AB471)))</f>
        <v>0</v>
      </c>
      <c r="AU471" s="94" t="n">
        <f aca="false">IF(ISNUMBER(Z471),AT471/10000*MAX(Z471-1,0)*AA471*1000000,0)</f>
        <v>0</v>
      </c>
      <c r="AV471" s="94" t="n">
        <f aca="false">AO471+AU471</f>
        <v>0</v>
      </c>
      <c r="AW471" s="43" t="str">
        <f aca="false">IF(Q471&lt;&gt;1,"",TRIM(IF(AD471=1,"FRN ","")&amp;IF(AND(AL471&gt;=10,AL471&lt;99),"BBB0미만 ","")&amp;IF(AJ471="","등급없음 ","")&amp;IF(K471&lt;&gt;1,"비USD ","")&amp;IF(AND(AB471="",Y471=0),"시장데이터없음 ","")&amp;IF(AND(ISNUMBER(U471),U471&lt;0),"만기경과 ","")))</f>
        <v/>
      </c>
      <c r="AX471" s="90" t="n">
        <f aca="false">IF(Q471&lt;&gt;1,1,IF(스프레드쇼크!$C$4="Y",INDEX(스프레드쇼크!$B$12:$L$16,IFERROR(MATCH(AH471,스프레드쇼크!$A$12:$A$16,0),MATCH("목록외",스프레드쇼크!$A$12:$A$16,0)),IFERROR(MATCH(AG471,스프레드쇼크!$B$11:$L$11,0),MATCH("목록외",스프레드쇼크!$B$11:$L$11,0))),1))</f>
        <v>1</v>
      </c>
      <c r="AY471" s="90" t="n">
        <f aca="false">IF(스프레드쇼크!$C$5="Y",IF(ISNUMBER(AF471),MIN(스프레드쇼크!$C$7,MAX(스프레드쇼크!$C$6,AF471/스프레드쇼크!$C$8)),1),1)</f>
        <v>1</v>
      </c>
      <c r="AZ471" s="94" t="n">
        <f aca="false">AN471*AX471*AY471</f>
        <v>0</v>
      </c>
      <c r="BA471" s="90" t="n">
        <f aca="false">IF(ISNUMBER(G471),AA471*G471,0)</f>
        <v>0</v>
      </c>
      <c r="BB471" s="90" t="n">
        <f aca="false">IF(ISNUMBER(G471),AA471,0)</f>
        <v>0</v>
      </c>
      <c r="BC471" s="90" t="n">
        <f aca="false">IF(AND(Y471=0,ISNUMBER(AF471)),AA471*AF471,0)</f>
        <v>0</v>
      </c>
      <c r="BD471" s="90" t="n">
        <f aca="false">IF(AND(Y471=0,ISNUMBER(AF471)),AA471,0)</f>
        <v>0</v>
      </c>
      <c r="BE471" s="90" t="n">
        <f aca="false">IF(ISNUMBER(H471),AA471*H471,0)</f>
        <v>0</v>
      </c>
      <c r="BF471" s="90" t="n">
        <f aca="false">IF(ISNUMBER(H471),AA471,0)</f>
        <v>0</v>
      </c>
      <c r="BG471" s="90" t="n">
        <f aca="false">IF(AND(Y471=0,ISNUMBER(AF471),ISNUMBER(Z471)),AA471*Z471,0)</f>
        <v>0</v>
      </c>
      <c r="BH471" s="90" t="n">
        <f aca="false">IF(AND(Y471=0,ISNUMBER(AF471),ISNUMBER(Z471)),AA471*AT471*MAX(Z471-1,0),0)</f>
        <v>0</v>
      </c>
      <c r="BI471" s="90" t="n">
        <f aca="false">IF(Y471=0,AA471,0)</f>
        <v>0</v>
      </c>
    </row>
    <row r="472" customFormat="false" ht="15" hidden="false" customHeight="false" outlineLevel="0" collapsed="false">
      <c r="A472" s="83" t="str">
        <f aca="false">IFERROR(IF(INDEX(원자료_잔고!$A$1:$EZ$1500,설정!$L$5+ROW()-1,설정!$L$8)&amp;""="0","",INDEX(원자료_잔고!$A$1:$EZ$1500,설정!$L$5+ROW()-1,설정!$L$8)&amp;""),"")</f>
        <v/>
      </c>
      <c r="B472" s="83" t="str">
        <f aca="false">IFERROR(IF(INDEX(원자료_잔고!$A$1:$EZ$1500,설정!$L$5+ROW()-1,설정!$L$7)&amp;""="0","",INDEX(원자료_잔고!$A$1:$EZ$1500,설정!$L$5+ROW()-1,설정!$L$7)&amp;""),"")</f>
        <v/>
      </c>
      <c r="C472" s="83" t="str">
        <f aca="false">IFERROR(IF(INDEX(원자료_잔고!$A$1:$EZ$1500,설정!$L$5+ROW()-1,설정!$L$9)&amp;""="0","",INDEX(원자료_잔고!$A$1:$EZ$1500,설정!$L$5+ROW()-1,설정!$L$9)&amp;""),"")</f>
        <v/>
      </c>
      <c r="D472" s="83" t="str">
        <f aca="false">IFERROR(IF(INDEX(원자료_잔고!$A$1:$EZ$1500,설정!$L$5+ROW()-1,설정!$L$10)&amp;""="0","",INDEX(원자료_잔고!$A$1:$EZ$1500,설정!$L$5+ROW()-1,설정!$L$10)&amp;""),"")</f>
        <v/>
      </c>
      <c r="E472" s="84" t="str">
        <f aca="false">IFERROR(IF(ISNUMBER(INDEX(원자료_잔고!$A$1:$EZ$1500,설정!$L$5+ROW()-1,설정!$L$11)),INDEX(원자료_잔고!$A$1:$EZ$1500,설정!$L$5+ROW()-1,설정!$L$11),""),"")</f>
        <v/>
      </c>
      <c r="F472" s="85" t="str">
        <f aca="false">IFERROR(IF(ISNUMBER(INDEX(원자료_잔고!$A$1:$EZ$1500,설정!$L$5+ROW()-1,설정!$L$12)),INDEX(원자료_잔고!$A$1:$EZ$1500,설정!$L$5+ROW()-1,설정!$L$12),""),"")</f>
        <v/>
      </c>
      <c r="G472" s="85" t="str">
        <f aca="false">IFERROR(IF(ISNUMBER(INDEX(원자료_잔고!$A$1:$EZ$1500,설정!$L$5+ROW()-1,설정!$L$13)),INDEX(원자료_잔고!$A$1:$EZ$1500,설정!$L$5+ROW()-1,설정!$L$13),""),"")</f>
        <v/>
      </c>
      <c r="H472" s="85" t="str">
        <f aca="false">IFERROR(IF(ISNUMBER(INDEX(원자료_잔고!$A$1:$EZ$1500,설정!$L$5+ROW()-1,설정!$L$14)),INDEX(원자료_잔고!$A$1:$EZ$1500,설정!$L$5+ROW()-1,설정!$L$14),""),"")</f>
        <v/>
      </c>
      <c r="I472" s="86" t="str">
        <f aca="false">IFERROR(IF(ISNUMBER(INDEX(원자료_잔고!$A$1:$EZ$1500,설정!$L$5+ROW()-1,설정!$L$15)),INDEX(원자료_잔고!$A$1:$EZ$1500,설정!$L$5+ROW()-1,설정!$L$15),""),"")</f>
        <v/>
      </c>
      <c r="J472" s="85" t="str">
        <f aca="false">IFERROR(IF(ISNUMBER(INDEX(원자료_잔고!$A$1:$EZ$1500,설정!$L$5+ROW()-1,설정!$L$16)),INDEX(원자료_잔고!$A$1:$EZ$1500,설정!$L$5+ROW()-1,설정!$L$16),""),"")</f>
        <v/>
      </c>
      <c r="K472" s="87" t="str">
        <f aca="false">IFERROR(IF(ISNUMBER(INDEX(원자료_잔고!$A$1:$EZ$1500,설정!$L$5+ROW()-1,설정!$L$17)),INDEX(원자료_잔고!$A$1:$EZ$1500,설정!$L$5+ROW()-1,설정!$L$17),""),"")</f>
        <v/>
      </c>
      <c r="L472" s="84" t="str">
        <f aca="false">IFERROR(IF(ISNUMBER(INDEX(원자료_잔고!$A$1:$EZ$1500,설정!$L$5+ROW()-1,설정!$L$18)),INDEX(원자료_잔고!$A$1:$EZ$1500,설정!$L$5+ROW()-1,설정!$L$18),""),"")</f>
        <v/>
      </c>
      <c r="M472" s="88" t="str">
        <f aca="false">IFERROR(IF(ISNUMBER(INDEX(원자료_잔고!$A$1:$EZ$1500,설정!$L$5+ROW()-1,설정!$L$19)),INDEX(원자료_잔고!$A$1:$EZ$1500,설정!$L$5+ROW()-1,설정!$L$19),""),"")</f>
        <v/>
      </c>
      <c r="N472" s="83" t="str">
        <f aca="false">IFERROR(IF(INDEX(원자료_잔고!$A$1:$EZ$1500,설정!$L$5+ROW()-1,설정!$L$21)&amp;""="0","",INDEX(원자료_잔고!$A$1:$EZ$1500,설정!$L$5+ROW()-1,설정!$L$21)&amp;""),"")</f>
        <v/>
      </c>
      <c r="O472" s="83" t="str">
        <f aca="false">IFERROR(IF(INDEX(원자료_잔고!$A$1:$EZ$1500,설정!$L$5+ROW()-1,설정!$L$22)&amp;""="0","",INDEX(원자료_잔고!$A$1:$EZ$1500,설정!$L$5+ROW()-1,설정!$L$22)&amp;""),"")</f>
        <v/>
      </c>
      <c r="P472" s="83" t="str">
        <f aca="false">IFERROR(IF(INDEX(원자료_잔고!$A$1:$EZ$1500,설정!$L$5+ROW()-1,설정!$L$23)&amp;""="0","",INDEX(원자료_잔고!$A$1:$EZ$1500,설정!$L$5+ROW()-1,설정!$L$23)&amp;""),"")</f>
        <v/>
      </c>
      <c r="Q472" s="89" t="n">
        <f aca="false">IF(AND($A472&lt;&gt;"",ISNUMBER(E472)),IF(E472&gt;0,1,0),0)</f>
        <v>0</v>
      </c>
      <c r="R472" s="43" t="str">
        <f aca="false">IF(Q472=1,UPPER(LEFT($A472,FIND(" ",$A472&amp;" ")-1)),"")</f>
        <v/>
      </c>
      <c r="S472" s="89" t="n">
        <f aca="false">IF(Q472=1,IF(OR(ISNUMBER(SEARCH("Float",$A472)),ISNUMBER(SEARCH("FRN",$A472))),1,0),0)</f>
        <v>0</v>
      </c>
      <c r="T472" s="43" t="str">
        <f aca="false">IF(AND(Q472=1,ISNUMBER(I472)),TEXT(I472,"yyyymmdd")&amp;"|"&amp;IF(S472=1,"F",TEXT(J472,"0.000")),"")</f>
        <v/>
      </c>
      <c r="U472" s="90" t="str">
        <f aca="false">IF(AND(Q472=1,ISNUMBER(I472)),(I472-설정!$C$4)/365.25,"")</f>
        <v/>
      </c>
      <c r="V472" s="43" t="str">
        <f aca="false">IF(Q472&lt;&gt;1,"",IF(ISNUMBER(U472),IF(U472&lt;=1,"1년 이하",IF(U472&lt;=2,"1-2년",IF(U472&lt;=3,"2-3년",IF(U472&lt;=4,"3-4년",IF(U472&lt;=5,"4-5년",IF(U472&lt;=7,"5-7년",IF(U472&lt;=10,"7-10년",IF(U472&lt;=20,"10-20년","20년 이상")))))))),"미분류"))</f>
        <v/>
      </c>
      <c r="W472" s="43" t="str">
        <f aca="false">IF(Q472&lt;&gt;1,"",IF(AB472&lt;&gt;"",INDEX(시장분석!$C:$C,AB472),IF(K472=1,"USD","비USD")))</f>
        <v/>
      </c>
      <c r="X472" s="91" t="n">
        <f aca="false">IF(Q472=1,E472*K472/1000000,0)</f>
        <v>0</v>
      </c>
      <c r="Y472" s="89" t="n">
        <f aca="false">IF(R472="T",1,0)</f>
        <v>0</v>
      </c>
      <c r="Z472" s="92" t="str">
        <f aca="false">IF(Q472&lt;&gt;1,"",IF(AD472=1,IF(ISNUMBER(U472),MAX(U472,0),H472),H472))</f>
        <v/>
      </c>
      <c r="AA472" s="91" t="n">
        <f aca="false">IF(Q472=1,IF(ISNUMBER(L472),L472,0)*K472/1000000,0)</f>
        <v>0</v>
      </c>
      <c r="AB472" s="89" t="str">
        <f aca="false">IF(Q472&lt;&gt;1,"",IFERROR(MATCH(VLOOKUP(B472,매핑!$H$4:$I$15,2,0),시장분석!$A$2:$A$601,0)+1,IFERROR(MATCH(R472&amp;"|"&amp;T472,시장분석!$V$2:$V$601,0)+1,IF(COUNTIF(시장분석!$U$2:$U$601,T472)=1,MATCH(T472,시장분석!$U$2:$U$601,0)+1,""))))</f>
        <v/>
      </c>
      <c r="AC472" s="89" t="n">
        <f aca="false">IF(Q472&lt;&gt;1,0,IF(OR(설정!$C$5="전체",AND(설정!$C$5="선택펀드",IFERROR(COUNTIFS(설정!$F$16:$F$36,C472,설정!$G$16:$G$36,"Y")+COUNTIFS(설정!$F$16:$F$36,VALUE(C472),설정!$G$16:$G$36,"Y"),0)&gt;0),C472&amp;""=설정!$C$5&amp;""),1,0))</f>
        <v>0</v>
      </c>
      <c r="AD472" s="89" t="n">
        <f aca="false">IF(Q472&lt;&gt;1,0,IF(OR(S472=1,IF(AB472="",FALSE(),INDEX(시장분석!$R:$R,AB472)=1)),1,0))</f>
        <v>0</v>
      </c>
      <c r="AE472" s="43" t="str">
        <f aca="false">IF(AB472="","",INDEX(시장분석!$A:$A,AB472))</f>
        <v/>
      </c>
      <c r="AF472" s="93" t="str">
        <f aca="false">IF(AB472="","",IF(ISNUMBER(IF(AB472="","",INDEX(시장분석!$E:$E,AB472))),IF(AB472="","",INDEX(시장분석!$E:$E,AB472)),""))</f>
        <v/>
      </c>
      <c r="AG472" s="43" t="str">
        <f aca="false">IF(Q472&lt;&gt;1,"",IF(AB472&lt;&gt;"",IF(AB472="","",INDEX(시장분석!$L:$L,AB472)),IFERROR(IF(VLOOKUP(R472,매핑!$A$4:$E$92,5,0)="","미분류",VLOOKUP(R472,매핑!$A$4:$E$92,5,0)),"미분류")))</f>
        <v/>
      </c>
      <c r="AH472" s="43" t="str">
        <f aca="false">IF(Q472&lt;&gt;1,"",IF(AB472&lt;&gt;"",IF(AB472="","",INDEX(시장분석!$N:$N,AB472)),IFERROR(IF(VLOOKUP(R472,매핑!$A$4:$E$92,4,0)="","미분류",VLOOKUP(R472,매핑!$A$4:$E$92,4,0)),"미분류")))</f>
        <v/>
      </c>
      <c r="AI472" s="43" t="str">
        <f aca="false">IF(Q472&lt;&gt;1,"",IFERROR(IF(VLOOKUP(R472,매핑!$A$4:$E$92,3,0)="","미분류",VLOOKUP(R472,매핑!$A$4:$E$92,3,0)),IF(AB472&lt;&gt;"",IF(AB472="","",INDEX(시장분석!$W:$W,AB472)),"미분류")))</f>
        <v/>
      </c>
      <c r="AJ472" s="43" t="str">
        <f aca="false">IF(Q472&lt;&gt;1,"",IFERROR(VLOOKUP(IF(N472&lt;&gt;"",N472,IF(P472&lt;&gt;"",P472,O472)),설정!$A$15:$D$47,2,0),""))</f>
        <v/>
      </c>
      <c r="AK472" s="43" t="str">
        <f aca="false">IF(Q472&lt;&gt;1,"",IF(AJ472="","무등급",IFERROR(VLOOKUP(AJ472,설정!$A$15:$D$47,3,0),"무등급")))</f>
        <v/>
      </c>
      <c r="AL472" s="89" t="n">
        <f aca="false">IF(AJ472="",99,IFERROR(VLOOKUP(AJ472,설정!$A$15:$D$47,4,0),99))</f>
        <v>99</v>
      </c>
      <c r="AM472" s="94" t="n">
        <f aca="false">IF(ISNUMBER(H472),AA472*1000000*H472/10000,0)</f>
        <v>0</v>
      </c>
      <c r="AN472" s="94" t="n">
        <f aca="false">IF(OR(Y472=1,NOT(ISNUMBER(Z472))),0,AA472*1000000*Z472/10000)</f>
        <v>0</v>
      </c>
      <c r="AO472" s="94" t="n">
        <f aca="false">IF(ISNUMBER(G472),AA472*1000000*G472/100,0)</f>
        <v>0</v>
      </c>
      <c r="AP472" s="94" t="n">
        <f aca="false">IF(ISNUMBER(M472),M472*K472,0)</f>
        <v>0</v>
      </c>
      <c r="AQ472" s="95" t="str">
        <f aca="false">IF(AB472="","",INDEX(시장분석!$AK:$AK,AB472))</f>
        <v/>
      </c>
      <c r="AR472" s="43" t="str">
        <f aca="false">IF(AB472="","-",IF(AB472="","",INDEX(시장분석!$AL:$AL,AB472)))</f>
        <v>-</v>
      </c>
      <c r="AS472" s="96" t="str">
        <f aca="false">IF(AB472="","",INDEX(시장분석!$AJ:$AJ,AB472))</f>
        <v/>
      </c>
      <c r="AT472" s="93" t="n">
        <f aca="false">IF(AB472="",0,IF(AB472="","",INDEX(시장분석!$AN:$AN,AB472)))</f>
        <v>0</v>
      </c>
      <c r="AU472" s="94" t="n">
        <f aca="false">IF(ISNUMBER(Z472),AT472/10000*MAX(Z472-1,0)*AA472*1000000,0)</f>
        <v>0</v>
      </c>
      <c r="AV472" s="94" t="n">
        <f aca="false">AO472+AU472</f>
        <v>0</v>
      </c>
      <c r="AW472" s="43" t="str">
        <f aca="false">IF(Q472&lt;&gt;1,"",TRIM(IF(AD472=1,"FRN ","")&amp;IF(AND(AL472&gt;=10,AL472&lt;99),"BBB0미만 ","")&amp;IF(AJ472="","등급없음 ","")&amp;IF(K472&lt;&gt;1,"비USD ","")&amp;IF(AND(AB472="",Y472=0),"시장데이터없음 ","")&amp;IF(AND(ISNUMBER(U472),U472&lt;0),"만기경과 ","")))</f>
        <v/>
      </c>
      <c r="AX472" s="90" t="n">
        <f aca="false">IF(Q472&lt;&gt;1,1,IF(스프레드쇼크!$C$4="Y",INDEX(스프레드쇼크!$B$12:$L$16,IFERROR(MATCH(AH472,스프레드쇼크!$A$12:$A$16,0),MATCH("목록외",스프레드쇼크!$A$12:$A$16,0)),IFERROR(MATCH(AG472,스프레드쇼크!$B$11:$L$11,0),MATCH("목록외",스프레드쇼크!$B$11:$L$11,0))),1))</f>
        <v>1</v>
      </c>
      <c r="AY472" s="90" t="n">
        <f aca="false">IF(스프레드쇼크!$C$5="Y",IF(ISNUMBER(AF472),MIN(스프레드쇼크!$C$7,MAX(스프레드쇼크!$C$6,AF472/스프레드쇼크!$C$8)),1),1)</f>
        <v>1</v>
      </c>
      <c r="AZ472" s="94" t="n">
        <f aca="false">AN472*AX472*AY472</f>
        <v>0</v>
      </c>
      <c r="BA472" s="90" t="n">
        <f aca="false">IF(ISNUMBER(G472),AA472*G472,0)</f>
        <v>0</v>
      </c>
      <c r="BB472" s="90" t="n">
        <f aca="false">IF(ISNUMBER(G472),AA472,0)</f>
        <v>0</v>
      </c>
      <c r="BC472" s="90" t="n">
        <f aca="false">IF(AND(Y472=0,ISNUMBER(AF472)),AA472*AF472,0)</f>
        <v>0</v>
      </c>
      <c r="BD472" s="90" t="n">
        <f aca="false">IF(AND(Y472=0,ISNUMBER(AF472)),AA472,0)</f>
        <v>0</v>
      </c>
      <c r="BE472" s="90" t="n">
        <f aca="false">IF(ISNUMBER(H472),AA472*H472,0)</f>
        <v>0</v>
      </c>
      <c r="BF472" s="90" t="n">
        <f aca="false">IF(ISNUMBER(H472),AA472,0)</f>
        <v>0</v>
      </c>
      <c r="BG472" s="90" t="n">
        <f aca="false">IF(AND(Y472=0,ISNUMBER(AF472),ISNUMBER(Z472)),AA472*Z472,0)</f>
        <v>0</v>
      </c>
      <c r="BH472" s="90" t="n">
        <f aca="false">IF(AND(Y472=0,ISNUMBER(AF472),ISNUMBER(Z472)),AA472*AT472*MAX(Z472-1,0),0)</f>
        <v>0</v>
      </c>
      <c r="BI472" s="90" t="n">
        <f aca="false">IF(Y472=0,AA472,0)</f>
        <v>0</v>
      </c>
    </row>
    <row r="473" customFormat="false" ht="15" hidden="false" customHeight="false" outlineLevel="0" collapsed="false">
      <c r="A473" s="83" t="str">
        <f aca="false">IFERROR(IF(INDEX(원자료_잔고!$A$1:$EZ$1500,설정!$L$5+ROW()-1,설정!$L$8)&amp;""="0","",INDEX(원자료_잔고!$A$1:$EZ$1500,설정!$L$5+ROW()-1,설정!$L$8)&amp;""),"")</f>
        <v/>
      </c>
      <c r="B473" s="83" t="str">
        <f aca="false">IFERROR(IF(INDEX(원자료_잔고!$A$1:$EZ$1500,설정!$L$5+ROW()-1,설정!$L$7)&amp;""="0","",INDEX(원자료_잔고!$A$1:$EZ$1500,설정!$L$5+ROW()-1,설정!$L$7)&amp;""),"")</f>
        <v/>
      </c>
      <c r="C473" s="83" t="str">
        <f aca="false">IFERROR(IF(INDEX(원자료_잔고!$A$1:$EZ$1500,설정!$L$5+ROW()-1,설정!$L$9)&amp;""="0","",INDEX(원자료_잔고!$A$1:$EZ$1500,설정!$L$5+ROW()-1,설정!$L$9)&amp;""),"")</f>
        <v/>
      </c>
      <c r="D473" s="83" t="str">
        <f aca="false">IFERROR(IF(INDEX(원자료_잔고!$A$1:$EZ$1500,설정!$L$5+ROW()-1,설정!$L$10)&amp;""="0","",INDEX(원자료_잔고!$A$1:$EZ$1500,설정!$L$5+ROW()-1,설정!$L$10)&amp;""),"")</f>
        <v/>
      </c>
      <c r="E473" s="84" t="str">
        <f aca="false">IFERROR(IF(ISNUMBER(INDEX(원자료_잔고!$A$1:$EZ$1500,설정!$L$5+ROW()-1,설정!$L$11)),INDEX(원자료_잔고!$A$1:$EZ$1500,설정!$L$5+ROW()-1,설정!$L$11),""),"")</f>
        <v/>
      </c>
      <c r="F473" s="85" t="str">
        <f aca="false">IFERROR(IF(ISNUMBER(INDEX(원자료_잔고!$A$1:$EZ$1500,설정!$L$5+ROW()-1,설정!$L$12)),INDEX(원자료_잔고!$A$1:$EZ$1500,설정!$L$5+ROW()-1,설정!$L$12),""),"")</f>
        <v/>
      </c>
      <c r="G473" s="85" t="str">
        <f aca="false">IFERROR(IF(ISNUMBER(INDEX(원자료_잔고!$A$1:$EZ$1500,설정!$L$5+ROW()-1,설정!$L$13)),INDEX(원자료_잔고!$A$1:$EZ$1500,설정!$L$5+ROW()-1,설정!$L$13),""),"")</f>
        <v/>
      </c>
      <c r="H473" s="85" t="str">
        <f aca="false">IFERROR(IF(ISNUMBER(INDEX(원자료_잔고!$A$1:$EZ$1500,설정!$L$5+ROW()-1,설정!$L$14)),INDEX(원자료_잔고!$A$1:$EZ$1500,설정!$L$5+ROW()-1,설정!$L$14),""),"")</f>
        <v/>
      </c>
      <c r="I473" s="86" t="str">
        <f aca="false">IFERROR(IF(ISNUMBER(INDEX(원자료_잔고!$A$1:$EZ$1500,설정!$L$5+ROW()-1,설정!$L$15)),INDEX(원자료_잔고!$A$1:$EZ$1500,설정!$L$5+ROW()-1,설정!$L$15),""),"")</f>
        <v/>
      </c>
      <c r="J473" s="85" t="str">
        <f aca="false">IFERROR(IF(ISNUMBER(INDEX(원자료_잔고!$A$1:$EZ$1500,설정!$L$5+ROW()-1,설정!$L$16)),INDEX(원자료_잔고!$A$1:$EZ$1500,설정!$L$5+ROW()-1,설정!$L$16),""),"")</f>
        <v/>
      </c>
      <c r="K473" s="87" t="str">
        <f aca="false">IFERROR(IF(ISNUMBER(INDEX(원자료_잔고!$A$1:$EZ$1500,설정!$L$5+ROW()-1,설정!$L$17)),INDEX(원자료_잔고!$A$1:$EZ$1500,설정!$L$5+ROW()-1,설정!$L$17),""),"")</f>
        <v/>
      </c>
      <c r="L473" s="84" t="str">
        <f aca="false">IFERROR(IF(ISNUMBER(INDEX(원자료_잔고!$A$1:$EZ$1500,설정!$L$5+ROW()-1,설정!$L$18)),INDEX(원자료_잔고!$A$1:$EZ$1500,설정!$L$5+ROW()-1,설정!$L$18),""),"")</f>
        <v/>
      </c>
      <c r="M473" s="88" t="str">
        <f aca="false">IFERROR(IF(ISNUMBER(INDEX(원자료_잔고!$A$1:$EZ$1500,설정!$L$5+ROW()-1,설정!$L$19)),INDEX(원자료_잔고!$A$1:$EZ$1500,설정!$L$5+ROW()-1,설정!$L$19),""),"")</f>
        <v/>
      </c>
      <c r="N473" s="83" t="str">
        <f aca="false">IFERROR(IF(INDEX(원자료_잔고!$A$1:$EZ$1500,설정!$L$5+ROW()-1,설정!$L$21)&amp;""="0","",INDEX(원자료_잔고!$A$1:$EZ$1500,설정!$L$5+ROW()-1,설정!$L$21)&amp;""),"")</f>
        <v/>
      </c>
      <c r="O473" s="83" t="str">
        <f aca="false">IFERROR(IF(INDEX(원자료_잔고!$A$1:$EZ$1500,설정!$L$5+ROW()-1,설정!$L$22)&amp;""="0","",INDEX(원자료_잔고!$A$1:$EZ$1500,설정!$L$5+ROW()-1,설정!$L$22)&amp;""),"")</f>
        <v/>
      </c>
      <c r="P473" s="83" t="str">
        <f aca="false">IFERROR(IF(INDEX(원자료_잔고!$A$1:$EZ$1500,설정!$L$5+ROW()-1,설정!$L$23)&amp;""="0","",INDEX(원자료_잔고!$A$1:$EZ$1500,설정!$L$5+ROW()-1,설정!$L$23)&amp;""),"")</f>
        <v/>
      </c>
      <c r="Q473" s="89" t="n">
        <f aca="false">IF(AND($A473&lt;&gt;"",ISNUMBER(E473)),IF(E473&gt;0,1,0),0)</f>
        <v>0</v>
      </c>
      <c r="R473" s="43" t="str">
        <f aca="false">IF(Q473=1,UPPER(LEFT($A473,FIND(" ",$A473&amp;" ")-1)),"")</f>
        <v/>
      </c>
      <c r="S473" s="89" t="n">
        <f aca="false">IF(Q473=1,IF(OR(ISNUMBER(SEARCH("Float",$A473)),ISNUMBER(SEARCH("FRN",$A473))),1,0),0)</f>
        <v>0</v>
      </c>
      <c r="T473" s="43" t="str">
        <f aca="false">IF(AND(Q473=1,ISNUMBER(I473)),TEXT(I473,"yyyymmdd")&amp;"|"&amp;IF(S473=1,"F",TEXT(J473,"0.000")),"")</f>
        <v/>
      </c>
      <c r="U473" s="90" t="str">
        <f aca="false">IF(AND(Q473=1,ISNUMBER(I473)),(I473-설정!$C$4)/365.25,"")</f>
        <v/>
      </c>
      <c r="V473" s="43" t="str">
        <f aca="false">IF(Q473&lt;&gt;1,"",IF(ISNUMBER(U473),IF(U473&lt;=1,"1년 이하",IF(U473&lt;=2,"1-2년",IF(U473&lt;=3,"2-3년",IF(U473&lt;=4,"3-4년",IF(U473&lt;=5,"4-5년",IF(U473&lt;=7,"5-7년",IF(U473&lt;=10,"7-10년",IF(U473&lt;=20,"10-20년","20년 이상")))))))),"미분류"))</f>
        <v/>
      </c>
      <c r="W473" s="43" t="str">
        <f aca="false">IF(Q473&lt;&gt;1,"",IF(AB473&lt;&gt;"",INDEX(시장분석!$C:$C,AB473),IF(K473=1,"USD","비USD")))</f>
        <v/>
      </c>
      <c r="X473" s="91" t="n">
        <f aca="false">IF(Q473=1,E473*K473/1000000,0)</f>
        <v>0</v>
      </c>
      <c r="Y473" s="89" t="n">
        <f aca="false">IF(R473="T",1,0)</f>
        <v>0</v>
      </c>
      <c r="Z473" s="92" t="str">
        <f aca="false">IF(Q473&lt;&gt;1,"",IF(AD473=1,IF(ISNUMBER(U473),MAX(U473,0),H473),H473))</f>
        <v/>
      </c>
      <c r="AA473" s="91" t="n">
        <f aca="false">IF(Q473=1,IF(ISNUMBER(L473),L473,0)*K473/1000000,0)</f>
        <v>0</v>
      </c>
      <c r="AB473" s="89" t="str">
        <f aca="false">IF(Q473&lt;&gt;1,"",IFERROR(MATCH(VLOOKUP(B473,매핑!$H$4:$I$15,2,0),시장분석!$A$2:$A$601,0)+1,IFERROR(MATCH(R473&amp;"|"&amp;T473,시장분석!$V$2:$V$601,0)+1,IF(COUNTIF(시장분석!$U$2:$U$601,T473)=1,MATCH(T473,시장분석!$U$2:$U$601,0)+1,""))))</f>
        <v/>
      </c>
      <c r="AC473" s="89" t="n">
        <f aca="false">IF(Q473&lt;&gt;1,0,IF(OR(설정!$C$5="전체",AND(설정!$C$5="선택펀드",IFERROR(COUNTIFS(설정!$F$16:$F$36,C473,설정!$G$16:$G$36,"Y")+COUNTIFS(설정!$F$16:$F$36,VALUE(C473),설정!$G$16:$G$36,"Y"),0)&gt;0),C473&amp;""=설정!$C$5&amp;""),1,0))</f>
        <v>0</v>
      </c>
      <c r="AD473" s="89" t="n">
        <f aca="false">IF(Q473&lt;&gt;1,0,IF(OR(S473=1,IF(AB473="",FALSE(),INDEX(시장분석!$R:$R,AB473)=1)),1,0))</f>
        <v>0</v>
      </c>
      <c r="AE473" s="43" t="str">
        <f aca="false">IF(AB473="","",INDEX(시장분석!$A:$A,AB473))</f>
        <v/>
      </c>
      <c r="AF473" s="93" t="str">
        <f aca="false">IF(AB473="","",IF(ISNUMBER(IF(AB473="","",INDEX(시장분석!$E:$E,AB473))),IF(AB473="","",INDEX(시장분석!$E:$E,AB473)),""))</f>
        <v/>
      </c>
      <c r="AG473" s="43" t="str">
        <f aca="false">IF(Q473&lt;&gt;1,"",IF(AB473&lt;&gt;"",IF(AB473="","",INDEX(시장분석!$L:$L,AB473)),IFERROR(IF(VLOOKUP(R473,매핑!$A$4:$E$92,5,0)="","미분류",VLOOKUP(R473,매핑!$A$4:$E$92,5,0)),"미분류")))</f>
        <v/>
      </c>
      <c r="AH473" s="43" t="str">
        <f aca="false">IF(Q473&lt;&gt;1,"",IF(AB473&lt;&gt;"",IF(AB473="","",INDEX(시장분석!$N:$N,AB473)),IFERROR(IF(VLOOKUP(R473,매핑!$A$4:$E$92,4,0)="","미분류",VLOOKUP(R473,매핑!$A$4:$E$92,4,0)),"미분류")))</f>
        <v/>
      </c>
      <c r="AI473" s="43" t="str">
        <f aca="false">IF(Q473&lt;&gt;1,"",IFERROR(IF(VLOOKUP(R473,매핑!$A$4:$E$92,3,0)="","미분류",VLOOKUP(R473,매핑!$A$4:$E$92,3,0)),IF(AB473&lt;&gt;"",IF(AB473="","",INDEX(시장분석!$W:$W,AB473)),"미분류")))</f>
        <v/>
      </c>
      <c r="AJ473" s="43" t="str">
        <f aca="false">IF(Q473&lt;&gt;1,"",IFERROR(VLOOKUP(IF(N473&lt;&gt;"",N473,IF(P473&lt;&gt;"",P473,O473)),설정!$A$15:$D$47,2,0),""))</f>
        <v/>
      </c>
      <c r="AK473" s="43" t="str">
        <f aca="false">IF(Q473&lt;&gt;1,"",IF(AJ473="","무등급",IFERROR(VLOOKUP(AJ473,설정!$A$15:$D$47,3,0),"무등급")))</f>
        <v/>
      </c>
      <c r="AL473" s="89" t="n">
        <f aca="false">IF(AJ473="",99,IFERROR(VLOOKUP(AJ473,설정!$A$15:$D$47,4,0),99))</f>
        <v>99</v>
      </c>
      <c r="AM473" s="94" t="n">
        <f aca="false">IF(ISNUMBER(H473),AA473*1000000*H473/10000,0)</f>
        <v>0</v>
      </c>
      <c r="AN473" s="94" t="n">
        <f aca="false">IF(OR(Y473=1,NOT(ISNUMBER(Z473))),0,AA473*1000000*Z473/10000)</f>
        <v>0</v>
      </c>
      <c r="AO473" s="94" t="n">
        <f aca="false">IF(ISNUMBER(G473),AA473*1000000*G473/100,0)</f>
        <v>0</v>
      </c>
      <c r="AP473" s="94" t="n">
        <f aca="false">IF(ISNUMBER(M473),M473*K473,0)</f>
        <v>0</v>
      </c>
      <c r="AQ473" s="95" t="str">
        <f aca="false">IF(AB473="","",INDEX(시장분석!$AK:$AK,AB473))</f>
        <v/>
      </c>
      <c r="AR473" s="43" t="str">
        <f aca="false">IF(AB473="","-",IF(AB473="","",INDEX(시장분석!$AL:$AL,AB473)))</f>
        <v>-</v>
      </c>
      <c r="AS473" s="96" t="str">
        <f aca="false">IF(AB473="","",INDEX(시장분석!$AJ:$AJ,AB473))</f>
        <v/>
      </c>
      <c r="AT473" s="93" t="n">
        <f aca="false">IF(AB473="",0,IF(AB473="","",INDEX(시장분석!$AN:$AN,AB473)))</f>
        <v>0</v>
      </c>
      <c r="AU473" s="94" t="n">
        <f aca="false">IF(ISNUMBER(Z473),AT473/10000*MAX(Z473-1,0)*AA473*1000000,0)</f>
        <v>0</v>
      </c>
      <c r="AV473" s="94" t="n">
        <f aca="false">AO473+AU473</f>
        <v>0</v>
      </c>
      <c r="AW473" s="43" t="str">
        <f aca="false">IF(Q473&lt;&gt;1,"",TRIM(IF(AD473=1,"FRN ","")&amp;IF(AND(AL473&gt;=10,AL473&lt;99),"BBB0미만 ","")&amp;IF(AJ473="","등급없음 ","")&amp;IF(K473&lt;&gt;1,"비USD ","")&amp;IF(AND(AB473="",Y473=0),"시장데이터없음 ","")&amp;IF(AND(ISNUMBER(U473),U473&lt;0),"만기경과 ","")))</f>
        <v/>
      </c>
      <c r="AX473" s="90" t="n">
        <f aca="false">IF(Q473&lt;&gt;1,1,IF(스프레드쇼크!$C$4="Y",INDEX(스프레드쇼크!$B$12:$L$16,IFERROR(MATCH(AH473,스프레드쇼크!$A$12:$A$16,0),MATCH("목록외",스프레드쇼크!$A$12:$A$16,0)),IFERROR(MATCH(AG473,스프레드쇼크!$B$11:$L$11,0),MATCH("목록외",스프레드쇼크!$B$11:$L$11,0))),1))</f>
        <v>1</v>
      </c>
      <c r="AY473" s="90" t="n">
        <f aca="false">IF(스프레드쇼크!$C$5="Y",IF(ISNUMBER(AF473),MIN(스프레드쇼크!$C$7,MAX(스프레드쇼크!$C$6,AF473/스프레드쇼크!$C$8)),1),1)</f>
        <v>1</v>
      </c>
      <c r="AZ473" s="94" t="n">
        <f aca="false">AN473*AX473*AY473</f>
        <v>0</v>
      </c>
      <c r="BA473" s="90" t="n">
        <f aca="false">IF(ISNUMBER(G473),AA473*G473,0)</f>
        <v>0</v>
      </c>
      <c r="BB473" s="90" t="n">
        <f aca="false">IF(ISNUMBER(G473),AA473,0)</f>
        <v>0</v>
      </c>
      <c r="BC473" s="90" t="n">
        <f aca="false">IF(AND(Y473=0,ISNUMBER(AF473)),AA473*AF473,0)</f>
        <v>0</v>
      </c>
      <c r="BD473" s="90" t="n">
        <f aca="false">IF(AND(Y473=0,ISNUMBER(AF473)),AA473,0)</f>
        <v>0</v>
      </c>
      <c r="BE473" s="90" t="n">
        <f aca="false">IF(ISNUMBER(H473),AA473*H473,0)</f>
        <v>0</v>
      </c>
      <c r="BF473" s="90" t="n">
        <f aca="false">IF(ISNUMBER(H473),AA473,0)</f>
        <v>0</v>
      </c>
      <c r="BG473" s="90" t="n">
        <f aca="false">IF(AND(Y473=0,ISNUMBER(AF473),ISNUMBER(Z473)),AA473*Z473,0)</f>
        <v>0</v>
      </c>
      <c r="BH473" s="90" t="n">
        <f aca="false">IF(AND(Y473=0,ISNUMBER(AF473),ISNUMBER(Z473)),AA473*AT473*MAX(Z473-1,0),0)</f>
        <v>0</v>
      </c>
      <c r="BI473" s="90" t="n">
        <f aca="false">IF(Y473=0,AA473,0)</f>
        <v>0</v>
      </c>
    </row>
    <row r="474" customFormat="false" ht="15" hidden="false" customHeight="false" outlineLevel="0" collapsed="false">
      <c r="A474" s="83" t="str">
        <f aca="false">IFERROR(IF(INDEX(원자료_잔고!$A$1:$EZ$1500,설정!$L$5+ROW()-1,설정!$L$8)&amp;""="0","",INDEX(원자료_잔고!$A$1:$EZ$1500,설정!$L$5+ROW()-1,설정!$L$8)&amp;""),"")</f>
        <v/>
      </c>
      <c r="B474" s="83" t="str">
        <f aca="false">IFERROR(IF(INDEX(원자료_잔고!$A$1:$EZ$1500,설정!$L$5+ROW()-1,설정!$L$7)&amp;""="0","",INDEX(원자료_잔고!$A$1:$EZ$1500,설정!$L$5+ROW()-1,설정!$L$7)&amp;""),"")</f>
        <v/>
      </c>
      <c r="C474" s="83" t="str">
        <f aca="false">IFERROR(IF(INDEX(원자료_잔고!$A$1:$EZ$1500,설정!$L$5+ROW()-1,설정!$L$9)&amp;""="0","",INDEX(원자료_잔고!$A$1:$EZ$1500,설정!$L$5+ROW()-1,설정!$L$9)&amp;""),"")</f>
        <v/>
      </c>
      <c r="D474" s="83" t="str">
        <f aca="false">IFERROR(IF(INDEX(원자료_잔고!$A$1:$EZ$1500,설정!$L$5+ROW()-1,설정!$L$10)&amp;""="0","",INDEX(원자료_잔고!$A$1:$EZ$1500,설정!$L$5+ROW()-1,설정!$L$10)&amp;""),"")</f>
        <v/>
      </c>
      <c r="E474" s="84" t="str">
        <f aca="false">IFERROR(IF(ISNUMBER(INDEX(원자료_잔고!$A$1:$EZ$1500,설정!$L$5+ROW()-1,설정!$L$11)),INDEX(원자료_잔고!$A$1:$EZ$1500,설정!$L$5+ROW()-1,설정!$L$11),""),"")</f>
        <v/>
      </c>
      <c r="F474" s="85" t="str">
        <f aca="false">IFERROR(IF(ISNUMBER(INDEX(원자료_잔고!$A$1:$EZ$1500,설정!$L$5+ROW()-1,설정!$L$12)),INDEX(원자료_잔고!$A$1:$EZ$1500,설정!$L$5+ROW()-1,설정!$L$12),""),"")</f>
        <v/>
      </c>
      <c r="G474" s="85" t="str">
        <f aca="false">IFERROR(IF(ISNUMBER(INDEX(원자료_잔고!$A$1:$EZ$1500,설정!$L$5+ROW()-1,설정!$L$13)),INDEX(원자료_잔고!$A$1:$EZ$1500,설정!$L$5+ROW()-1,설정!$L$13),""),"")</f>
        <v/>
      </c>
      <c r="H474" s="85" t="str">
        <f aca="false">IFERROR(IF(ISNUMBER(INDEX(원자료_잔고!$A$1:$EZ$1500,설정!$L$5+ROW()-1,설정!$L$14)),INDEX(원자료_잔고!$A$1:$EZ$1500,설정!$L$5+ROW()-1,설정!$L$14),""),"")</f>
        <v/>
      </c>
      <c r="I474" s="86" t="str">
        <f aca="false">IFERROR(IF(ISNUMBER(INDEX(원자료_잔고!$A$1:$EZ$1500,설정!$L$5+ROW()-1,설정!$L$15)),INDEX(원자료_잔고!$A$1:$EZ$1500,설정!$L$5+ROW()-1,설정!$L$15),""),"")</f>
        <v/>
      </c>
      <c r="J474" s="85" t="str">
        <f aca="false">IFERROR(IF(ISNUMBER(INDEX(원자료_잔고!$A$1:$EZ$1500,설정!$L$5+ROW()-1,설정!$L$16)),INDEX(원자료_잔고!$A$1:$EZ$1500,설정!$L$5+ROW()-1,설정!$L$16),""),"")</f>
        <v/>
      </c>
      <c r="K474" s="87" t="str">
        <f aca="false">IFERROR(IF(ISNUMBER(INDEX(원자료_잔고!$A$1:$EZ$1500,설정!$L$5+ROW()-1,설정!$L$17)),INDEX(원자료_잔고!$A$1:$EZ$1500,설정!$L$5+ROW()-1,설정!$L$17),""),"")</f>
        <v/>
      </c>
      <c r="L474" s="84" t="str">
        <f aca="false">IFERROR(IF(ISNUMBER(INDEX(원자료_잔고!$A$1:$EZ$1500,설정!$L$5+ROW()-1,설정!$L$18)),INDEX(원자료_잔고!$A$1:$EZ$1500,설정!$L$5+ROW()-1,설정!$L$18),""),"")</f>
        <v/>
      </c>
      <c r="M474" s="88" t="str">
        <f aca="false">IFERROR(IF(ISNUMBER(INDEX(원자료_잔고!$A$1:$EZ$1500,설정!$L$5+ROW()-1,설정!$L$19)),INDEX(원자료_잔고!$A$1:$EZ$1500,설정!$L$5+ROW()-1,설정!$L$19),""),"")</f>
        <v/>
      </c>
      <c r="N474" s="83" t="str">
        <f aca="false">IFERROR(IF(INDEX(원자료_잔고!$A$1:$EZ$1500,설정!$L$5+ROW()-1,설정!$L$21)&amp;""="0","",INDEX(원자료_잔고!$A$1:$EZ$1500,설정!$L$5+ROW()-1,설정!$L$21)&amp;""),"")</f>
        <v/>
      </c>
      <c r="O474" s="83" t="str">
        <f aca="false">IFERROR(IF(INDEX(원자료_잔고!$A$1:$EZ$1500,설정!$L$5+ROW()-1,설정!$L$22)&amp;""="0","",INDEX(원자료_잔고!$A$1:$EZ$1500,설정!$L$5+ROW()-1,설정!$L$22)&amp;""),"")</f>
        <v/>
      </c>
      <c r="P474" s="83" t="str">
        <f aca="false">IFERROR(IF(INDEX(원자료_잔고!$A$1:$EZ$1500,설정!$L$5+ROW()-1,설정!$L$23)&amp;""="0","",INDEX(원자료_잔고!$A$1:$EZ$1500,설정!$L$5+ROW()-1,설정!$L$23)&amp;""),"")</f>
        <v/>
      </c>
      <c r="Q474" s="89" t="n">
        <f aca="false">IF(AND($A474&lt;&gt;"",ISNUMBER(E474)),IF(E474&gt;0,1,0),0)</f>
        <v>0</v>
      </c>
      <c r="R474" s="43" t="str">
        <f aca="false">IF(Q474=1,UPPER(LEFT($A474,FIND(" ",$A474&amp;" ")-1)),"")</f>
        <v/>
      </c>
      <c r="S474" s="89" t="n">
        <f aca="false">IF(Q474=1,IF(OR(ISNUMBER(SEARCH("Float",$A474)),ISNUMBER(SEARCH("FRN",$A474))),1,0),0)</f>
        <v>0</v>
      </c>
      <c r="T474" s="43" t="str">
        <f aca="false">IF(AND(Q474=1,ISNUMBER(I474)),TEXT(I474,"yyyymmdd")&amp;"|"&amp;IF(S474=1,"F",TEXT(J474,"0.000")),"")</f>
        <v/>
      </c>
      <c r="U474" s="90" t="str">
        <f aca="false">IF(AND(Q474=1,ISNUMBER(I474)),(I474-설정!$C$4)/365.25,"")</f>
        <v/>
      </c>
      <c r="V474" s="43" t="str">
        <f aca="false">IF(Q474&lt;&gt;1,"",IF(ISNUMBER(U474),IF(U474&lt;=1,"1년 이하",IF(U474&lt;=2,"1-2년",IF(U474&lt;=3,"2-3년",IF(U474&lt;=4,"3-4년",IF(U474&lt;=5,"4-5년",IF(U474&lt;=7,"5-7년",IF(U474&lt;=10,"7-10년",IF(U474&lt;=20,"10-20년","20년 이상")))))))),"미분류"))</f>
        <v/>
      </c>
      <c r="W474" s="43" t="str">
        <f aca="false">IF(Q474&lt;&gt;1,"",IF(AB474&lt;&gt;"",INDEX(시장분석!$C:$C,AB474),IF(K474=1,"USD","비USD")))</f>
        <v/>
      </c>
      <c r="X474" s="91" t="n">
        <f aca="false">IF(Q474=1,E474*K474/1000000,0)</f>
        <v>0</v>
      </c>
      <c r="Y474" s="89" t="n">
        <f aca="false">IF(R474="T",1,0)</f>
        <v>0</v>
      </c>
      <c r="Z474" s="92" t="str">
        <f aca="false">IF(Q474&lt;&gt;1,"",IF(AD474=1,IF(ISNUMBER(U474),MAX(U474,0),H474),H474))</f>
        <v/>
      </c>
      <c r="AA474" s="91" t="n">
        <f aca="false">IF(Q474=1,IF(ISNUMBER(L474),L474,0)*K474/1000000,0)</f>
        <v>0</v>
      </c>
      <c r="AB474" s="89" t="str">
        <f aca="false">IF(Q474&lt;&gt;1,"",IFERROR(MATCH(VLOOKUP(B474,매핑!$H$4:$I$15,2,0),시장분석!$A$2:$A$601,0)+1,IFERROR(MATCH(R474&amp;"|"&amp;T474,시장분석!$V$2:$V$601,0)+1,IF(COUNTIF(시장분석!$U$2:$U$601,T474)=1,MATCH(T474,시장분석!$U$2:$U$601,0)+1,""))))</f>
        <v/>
      </c>
      <c r="AC474" s="89" t="n">
        <f aca="false">IF(Q474&lt;&gt;1,0,IF(OR(설정!$C$5="전체",AND(설정!$C$5="선택펀드",IFERROR(COUNTIFS(설정!$F$16:$F$36,C474,설정!$G$16:$G$36,"Y")+COUNTIFS(설정!$F$16:$F$36,VALUE(C474),설정!$G$16:$G$36,"Y"),0)&gt;0),C474&amp;""=설정!$C$5&amp;""),1,0))</f>
        <v>0</v>
      </c>
      <c r="AD474" s="89" t="n">
        <f aca="false">IF(Q474&lt;&gt;1,0,IF(OR(S474=1,IF(AB474="",FALSE(),INDEX(시장분석!$R:$R,AB474)=1)),1,0))</f>
        <v>0</v>
      </c>
      <c r="AE474" s="43" t="str">
        <f aca="false">IF(AB474="","",INDEX(시장분석!$A:$A,AB474))</f>
        <v/>
      </c>
      <c r="AF474" s="93" t="str">
        <f aca="false">IF(AB474="","",IF(ISNUMBER(IF(AB474="","",INDEX(시장분석!$E:$E,AB474))),IF(AB474="","",INDEX(시장분석!$E:$E,AB474)),""))</f>
        <v/>
      </c>
      <c r="AG474" s="43" t="str">
        <f aca="false">IF(Q474&lt;&gt;1,"",IF(AB474&lt;&gt;"",IF(AB474="","",INDEX(시장분석!$L:$L,AB474)),IFERROR(IF(VLOOKUP(R474,매핑!$A$4:$E$92,5,0)="","미분류",VLOOKUP(R474,매핑!$A$4:$E$92,5,0)),"미분류")))</f>
        <v/>
      </c>
      <c r="AH474" s="43" t="str">
        <f aca="false">IF(Q474&lt;&gt;1,"",IF(AB474&lt;&gt;"",IF(AB474="","",INDEX(시장분석!$N:$N,AB474)),IFERROR(IF(VLOOKUP(R474,매핑!$A$4:$E$92,4,0)="","미분류",VLOOKUP(R474,매핑!$A$4:$E$92,4,0)),"미분류")))</f>
        <v/>
      </c>
      <c r="AI474" s="43" t="str">
        <f aca="false">IF(Q474&lt;&gt;1,"",IFERROR(IF(VLOOKUP(R474,매핑!$A$4:$E$92,3,0)="","미분류",VLOOKUP(R474,매핑!$A$4:$E$92,3,0)),IF(AB474&lt;&gt;"",IF(AB474="","",INDEX(시장분석!$W:$W,AB474)),"미분류")))</f>
        <v/>
      </c>
      <c r="AJ474" s="43" t="str">
        <f aca="false">IF(Q474&lt;&gt;1,"",IFERROR(VLOOKUP(IF(N474&lt;&gt;"",N474,IF(P474&lt;&gt;"",P474,O474)),설정!$A$15:$D$47,2,0),""))</f>
        <v/>
      </c>
      <c r="AK474" s="43" t="str">
        <f aca="false">IF(Q474&lt;&gt;1,"",IF(AJ474="","무등급",IFERROR(VLOOKUP(AJ474,설정!$A$15:$D$47,3,0),"무등급")))</f>
        <v/>
      </c>
      <c r="AL474" s="89" t="n">
        <f aca="false">IF(AJ474="",99,IFERROR(VLOOKUP(AJ474,설정!$A$15:$D$47,4,0),99))</f>
        <v>99</v>
      </c>
      <c r="AM474" s="94" t="n">
        <f aca="false">IF(ISNUMBER(H474),AA474*1000000*H474/10000,0)</f>
        <v>0</v>
      </c>
      <c r="AN474" s="94" t="n">
        <f aca="false">IF(OR(Y474=1,NOT(ISNUMBER(Z474))),0,AA474*1000000*Z474/10000)</f>
        <v>0</v>
      </c>
      <c r="AO474" s="94" t="n">
        <f aca="false">IF(ISNUMBER(G474),AA474*1000000*G474/100,0)</f>
        <v>0</v>
      </c>
      <c r="AP474" s="94" t="n">
        <f aca="false">IF(ISNUMBER(M474),M474*K474,0)</f>
        <v>0</v>
      </c>
      <c r="AQ474" s="95" t="str">
        <f aca="false">IF(AB474="","",INDEX(시장분석!$AK:$AK,AB474))</f>
        <v/>
      </c>
      <c r="AR474" s="43" t="str">
        <f aca="false">IF(AB474="","-",IF(AB474="","",INDEX(시장분석!$AL:$AL,AB474)))</f>
        <v>-</v>
      </c>
      <c r="AS474" s="96" t="str">
        <f aca="false">IF(AB474="","",INDEX(시장분석!$AJ:$AJ,AB474))</f>
        <v/>
      </c>
      <c r="AT474" s="93" t="n">
        <f aca="false">IF(AB474="",0,IF(AB474="","",INDEX(시장분석!$AN:$AN,AB474)))</f>
        <v>0</v>
      </c>
      <c r="AU474" s="94" t="n">
        <f aca="false">IF(ISNUMBER(Z474),AT474/10000*MAX(Z474-1,0)*AA474*1000000,0)</f>
        <v>0</v>
      </c>
      <c r="AV474" s="94" t="n">
        <f aca="false">AO474+AU474</f>
        <v>0</v>
      </c>
      <c r="AW474" s="43" t="str">
        <f aca="false">IF(Q474&lt;&gt;1,"",TRIM(IF(AD474=1,"FRN ","")&amp;IF(AND(AL474&gt;=10,AL474&lt;99),"BBB0미만 ","")&amp;IF(AJ474="","등급없음 ","")&amp;IF(K474&lt;&gt;1,"비USD ","")&amp;IF(AND(AB474="",Y474=0),"시장데이터없음 ","")&amp;IF(AND(ISNUMBER(U474),U474&lt;0),"만기경과 ","")))</f>
        <v/>
      </c>
      <c r="AX474" s="90" t="n">
        <f aca="false">IF(Q474&lt;&gt;1,1,IF(스프레드쇼크!$C$4="Y",INDEX(스프레드쇼크!$B$12:$L$16,IFERROR(MATCH(AH474,스프레드쇼크!$A$12:$A$16,0),MATCH("목록외",스프레드쇼크!$A$12:$A$16,0)),IFERROR(MATCH(AG474,스프레드쇼크!$B$11:$L$11,0),MATCH("목록외",스프레드쇼크!$B$11:$L$11,0))),1))</f>
        <v>1</v>
      </c>
      <c r="AY474" s="90" t="n">
        <f aca="false">IF(스프레드쇼크!$C$5="Y",IF(ISNUMBER(AF474),MIN(스프레드쇼크!$C$7,MAX(스프레드쇼크!$C$6,AF474/스프레드쇼크!$C$8)),1),1)</f>
        <v>1</v>
      </c>
      <c r="AZ474" s="94" t="n">
        <f aca="false">AN474*AX474*AY474</f>
        <v>0</v>
      </c>
      <c r="BA474" s="90" t="n">
        <f aca="false">IF(ISNUMBER(G474),AA474*G474,0)</f>
        <v>0</v>
      </c>
      <c r="BB474" s="90" t="n">
        <f aca="false">IF(ISNUMBER(G474),AA474,0)</f>
        <v>0</v>
      </c>
      <c r="BC474" s="90" t="n">
        <f aca="false">IF(AND(Y474=0,ISNUMBER(AF474)),AA474*AF474,0)</f>
        <v>0</v>
      </c>
      <c r="BD474" s="90" t="n">
        <f aca="false">IF(AND(Y474=0,ISNUMBER(AF474)),AA474,0)</f>
        <v>0</v>
      </c>
      <c r="BE474" s="90" t="n">
        <f aca="false">IF(ISNUMBER(H474),AA474*H474,0)</f>
        <v>0</v>
      </c>
      <c r="BF474" s="90" t="n">
        <f aca="false">IF(ISNUMBER(H474),AA474,0)</f>
        <v>0</v>
      </c>
      <c r="BG474" s="90" t="n">
        <f aca="false">IF(AND(Y474=0,ISNUMBER(AF474),ISNUMBER(Z474)),AA474*Z474,0)</f>
        <v>0</v>
      </c>
      <c r="BH474" s="90" t="n">
        <f aca="false">IF(AND(Y474=0,ISNUMBER(AF474),ISNUMBER(Z474)),AA474*AT474*MAX(Z474-1,0),0)</f>
        <v>0</v>
      </c>
      <c r="BI474" s="90" t="n">
        <f aca="false">IF(Y474=0,AA474,0)</f>
        <v>0</v>
      </c>
    </row>
    <row r="475" customFormat="false" ht="15" hidden="false" customHeight="false" outlineLevel="0" collapsed="false">
      <c r="A475" s="83" t="str">
        <f aca="false">IFERROR(IF(INDEX(원자료_잔고!$A$1:$EZ$1500,설정!$L$5+ROW()-1,설정!$L$8)&amp;""="0","",INDEX(원자료_잔고!$A$1:$EZ$1500,설정!$L$5+ROW()-1,설정!$L$8)&amp;""),"")</f>
        <v/>
      </c>
      <c r="B475" s="83" t="str">
        <f aca="false">IFERROR(IF(INDEX(원자료_잔고!$A$1:$EZ$1500,설정!$L$5+ROW()-1,설정!$L$7)&amp;""="0","",INDEX(원자료_잔고!$A$1:$EZ$1500,설정!$L$5+ROW()-1,설정!$L$7)&amp;""),"")</f>
        <v/>
      </c>
      <c r="C475" s="83" t="str">
        <f aca="false">IFERROR(IF(INDEX(원자료_잔고!$A$1:$EZ$1500,설정!$L$5+ROW()-1,설정!$L$9)&amp;""="0","",INDEX(원자료_잔고!$A$1:$EZ$1500,설정!$L$5+ROW()-1,설정!$L$9)&amp;""),"")</f>
        <v/>
      </c>
      <c r="D475" s="83" t="str">
        <f aca="false">IFERROR(IF(INDEX(원자료_잔고!$A$1:$EZ$1500,설정!$L$5+ROW()-1,설정!$L$10)&amp;""="0","",INDEX(원자료_잔고!$A$1:$EZ$1500,설정!$L$5+ROW()-1,설정!$L$10)&amp;""),"")</f>
        <v/>
      </c>
      <c r="E475" s="84" t="str">
        <f aca="false">IFERROR(IF(ISNUMBER(INDEX(원자료_잔고!$A$1:$EZ$1500,설정!$L$5+ROW()-1,설정!$L$11)),INDEX(원자료_잔고!$A$1:$EZ$1500,설정!$L$5+ROW()-1,설정!$L$11),""),"")</f>
        <v/>
      </c>
      <c r="F475" s="85" t="str">
        <f aca="false">IFERROR(IF(ISNUMBER(INDEX(원자료_잔고!$A$1:$EZ$1500,설정!$L$5+ROW()-1,설정!$L$12)),INDEX(원자료_잔고!$A$1:$EZ$1500,설정!$L$5+ROW()-1,설정!$L$12),""),"")</f>
        <v/>
      </c>
      <c r="G475" s="85" t="str">
        <f aca="false">IFERROR(IF(ISNUMBER(INDEX(원자료_잔고!$A$1:$EZ$1500,설정!$L$5+ROW()-1,설정!$L$13)),INDEX(원자료_잔고!$A$1:$EZ$1500,설정!$L$5+ROW()-1,설정!$L$13),""),"")</f>
        <v/>
      </c>
      <c r="H475" s="85" t="str">
        <f aca="false">IFERROR(IF(ISNUMBER(INDEX(원자료_잔고!$A$1:$EZ$1500,설정!$L$5+ROW()-1,설정!$L$14)),INDEX(원자료_잔고!$A$1:$EZ$1500,설정!$L$5+ROW()-1,설정!$L$14),""),"")</f>
        <v/>
      </c>
      <c r="I475" s="86" t="str">
        <f aca="false">IFERROR(IF(ISNUMBER(INDEX(원자료_잔고!$A$1:$EZ$1500,설정!$L$5+ROW()-1,설정!$L$15)),INDEX(원자료_잔고!$A$1:$EZ$1500,설정!$L$5+ROW()-1,설정!$L$15),""),"")</f>
        <v/>
      </c>
      <c r="J475" s="85" t="str">
        <f aca="false">IFERROR(IF(ISNUMBER(INDEX(원자료_잔고!$A$1:$EZ$1500,설정!$L$5+ROW()-1,설정!$L$16)),INDEX(원자료_잔고!$A$1:$EZ$1500,설정!$L$5+ROW()-1,설정!$L$16),""),"")</f>
        <v/>
      </c>
      <c r="K475" s="87" t="str">
        <f aca="false">IFERROR(IF(ISNUMBER(INDEX(원자료_잔고!$A$1:$EZ$1500,설정!$L$5+ROW()-1,설정!$L$17)),INDEX(원자료_잔고!$A$1:$EZ$1500,설정!$L$5+ROW()-1,설정!$L$17),""),"")</f>
        <v/>
      </c>
      <c r="L475" s="84" t="str">
        <f aca="false">IFERROR(IF(ISNUMBER(INDEX(원자료_잔고!$A$1:$EZ$1500,설정!$L$5+ROW()-1,설정!$L$18)),INDEX(원자료_잔고!$A$1:$EZ$1500,설정!$L$5+ROW()-1,설정!$L$18),""),"")</f>
        <v/>
      </c>
      <c r="M475" s="88" t="str">
        <f aca="false">IFERROR(IF(ISNUMBER(INDEX(원자료_잔고!$A$1:$EZ$1500,설정!$L$5+ROW()-1,설정!$L$19)),INDEX(원자료_잔고!$A$1:$EZ$1500,설정!$L$5+ROW()-1,설정!$L$19),""),"")</f>
        <v/>
      </c>
      <c r="N475" s="83" t="str">
        <f aca="false">IFERROR(IF(INDEX(원자료_잔고!$A$1:$EZ$1500,설정!$L$5+ROW()-1,설정!$L$21)&amp;""="0","",INDEX(원자료_잔고!$A$1:$EZ$1500,설정!$L$5+ROW()-1,설정!$L$21)&amp;""),"")</f>
        <v/>
      </c>
      <c r="O475" s="83" t="str">
        <f aca="false">IFERROR(IF(INDEX(원자료_잔고!$A$1:$EZ$1500,설정!$L$5+ROW()-1,설정!$L$22)&amp;""="0","",INDEX(원자료_잔고!$A$1:$EZ$1500,설정!$L$5+ROW()-1,설정!$L$22)&amp;""),"")</f>
        <v/>
      </c>
      <c r="P475" s="83" t="str">
        <f aca="false">IFERROR(IF(INDEX(원자료_잔고!$A$1:$EZ$1500,설정!$L$5+ROW()-1,설정!$L$23)&amp;""="0","",INDEX(원자료_잔고!$A$1:$EZ$1500,설정!$L$5+ROW()-1,설정!$L$23)&amp;""),"")</f>
        <v/>
      </c>
      <c r="Q475" s="89" t="n">
        <f aca="false">IF(AND($A475&lt;&gt;"",ISNUMBER(E475)),IF(E475&gt;0,1,0),0)</f>
        <v>0</v>
      </c>
      <c r="R475" s="43" t="str">
        <f aca="false">IF(Q475=1,UPPER(LEFT($A475,FIND(" ",$A475&amp;" ")-1)),"")</f>
        <v/>
      </c>
      <c r="S475" s="89" t="n">
        <f aca="false">IF(Q475=1,IF(OR(ISNUMBER(SEARCH("Float",$A475)),ISNUMBER(SEARCH("FRN",$A475))),1,0),0)</f>
        <v>0</v>
      </c>
      <c r="T475" s="43" t="str">
        <f aca="false">IF(AND(Q475=1,ISNUMBER(I475)),TEXT(I475,"yyyymmdd")&amp;"|"&amp;IF(S475=1,"F",TEXT(J475,"0.000")),"")</f>
        <v/>
      </c>
      <c r="U475" s="90" t="str">
        <f aca="false">IF(AND(Q475=1,ISNUMBER(I475)),(I475-설정!$C$4)/365.25,"")</f>
        <v/>
      </c>
      <c r="V475" s="43" t="str">
        <f aca="false">IF(Q475&lt;&gt;1,"",IF(ISNUMBER(U475),IF(U475&lt;=1,"1년 이하",IF(U475&lt;=2,"1-2년",IF(U475&lt;=3,"2-3년",IF(U475&lt;=4,"3-4년",IF(U475&lt;=5,"4-5년",IF(U475&lt;=7,"5-7년",IF(U475&lt;=10,"7-10년",IF(U475&lt;=20,"10-20년","20년 이상")))))))),"미분류"))</f>
        <v/>
      </c>
      <c r="W475" s="43" t="str">
        <f aca="false">IF(Q475&lt;&gt;1,"",IF(AB475&lt;&gt;"",INDEX(시장분석!$C:$C,AB475),IF(K475=1,"USD","비USD")))</f>
        <v/>
      </c>
      <c r="X475" s="91" t="n">
        <f aca="false">IF(Q475=1,E475*K475/1000000,0)</f>
        <v>0</v>
      </c>
      <c r="Y475" s="89" t="n">
        <f aca="false">IF(R475="T",1,0)</f>
        <v>0</v>
      </c>
      <c r="Z475" s="92" t="str">
        <f aca="false">IF(Q475&lt;&gt;1,"",IF(AD475=1,IF(ISNUMBER(U475),MAX(U475,0),H475),H475))</f>
        <v/>
      </c>
      <c r="AA475" s="91" t="n">
        <f aca="false">IF(Q475=1,IF(ISNUMBER(L475),L475,0)*K475/1000000,0)</f>
        <v>0</v>
      </c>
      <c r="AB475" s="89" t="str">
        <f aca="false">IF(Q475&lt;&gt;1,"",IFERROR(MATCH(VLOOKUP(B475,매핑!$H$4:$I$15,2,0),시장분석!$A$2:$A$601,0)+1,IFERROR(MATCH(R475&amp;"|"&amp;T475,시장분석!$V$2:$V$601,0)+1,IF(COUNTIF(시장분석!$U$2:$U$601,T475)=1,MATCH(T475,시장분석!$U$2:$U$601,0)+1,""))))</f>
        <v/>
      </c>
      <c r="AC475" s="89" t="n">
        <f aca="false">IF(Q475&lt;&gt;1,0,IF(OR(설정!$C$5="전체",AND(설정!$C$5="선택펀드",IFERROR(COUNTIFS(설정!$F$16:$F$36,C475,설정!$G$16:$G$36,"Y")+COUNTIFS(설정!$F$16:$F$36,VALUE(C475),설정!$G$16:$G$36,"Y"),0)&gt;0),C475&amp;""=설정!$C$5&amp;""),1,0))</f>
        <v>0</v>
      </c>
      <c r="AD475" s="89" t="n">
        <f aca="false">IF(Q475&lt;&gt;1,0,IF(OR(S475=1,IF(AB475="",FALSE(),INDEX(시장분석!$R:$R,AB475)=1)),1,0))</f>
        <v>0</v>
      </c>
      <c r="AE475" s="43" t="str">
        <f aca="false">IF(AB475="","",INDEX(시장분석!$A:$A,AB475))</f>
        <v/>
      </c>
      <c r="AF475" s="93" t="str">
        <f aca="false">IF(AB475="","",IF(ISNUMBER(IF(AB475="","",INDEX(시장분석!$E:$E,AB475))),IF(AB475="","",INDEX(시장분석!$E:$E,AB475)),""))</f>
        <v/>
      </c>
      <c r="AG475" s="43" t="str">
        <f aca="false">IF(Q475&lt;&gt;1,"",IF(AB475&lt;&gt;"",IF(AB475="","",INDEX(시장분석!$L:$L,AB475)),IFERROR(IF(VLOOKUP(R475,매핑!$A$4:$E$92,5,0)="","미분류",VLOOKUP(R475,매핑!$A$4:$E$92,5,0)),"미분류")))</f>
        <v/>
      </c>
      <c r="AH475" s="43" t="str">
        <f aca="false">IF(Q475&lt;&gt;1,"",IF(AB475&lt;&gt;"",IF(AB475="","",INDEX(시장분석!$N:$N,AB475)),IFERROR(IF(VLOOKUP(R475,매핑!$A$4:$E$92,4,0)="","미분류",VLOOKUP(R475,매핑!$A$4:$E$92,4,0)),"미분류")))</f>
        <v/>
      </c>
      <c r="AI475" s="43" t="str">
        <f aca="false">IF(Q475&lt;&gt;1,"",IFERROR(IF(VLOOKUP(R475,매핑!$A$4:$E$92,3,0)="","미분류",VLOOKUP(R475,매핑!$A$4:$E$92,3,0)),IF(AB475&lt;&gt;"",IF(AB475="","",INDEX(시장분석!$W:$W,AB475)),"미분류")))</f>
        <v/>
      </c>
      <c r="AJ475" s="43" t="str">
        <f aca="false">IF(Q475&lt;&gt;1,"",IFERROR(VLOOKUP(IF(N475&lt;&gt;"",N475,IF(P475&lt;&gt;"",P475,O475)),설정!$A$15:$D$47,2,0),""))</f>
        <v/>
      </c>
      <c r="AK475" s="43" t="str">
        <f aca="false">IF(Q475&lt;&gt;1,"",IF(AJ475="","무등급",IFERROR(VLOOKUP(AJ475,설정!$A$15:$D$47,3,0),"무등급")))</f>
        <v/>
      </c>
      <c r="AL475" s="89" t="n">
        <f aca="false">IF(AJ475="",99,IFERROR(VLOOKUP(AJ475,설정!$A$15:$D$47,4,0),99))</f>
        <v>99</v>
      </c>
      <c r="AM475" s="94" t="n">
        <f aca="false">IF(ISNUMBER(H475),AA475*1000000*H475/10000,0)</f>
        <v>0</v>
      </c>
      <c r="AN475" s="94" t="n">
        <f aca="false">IF(OR(Y475=1,NOT(ISNUMBER(Z475))),0,AA475*1000000*Z475/10000)</f>
        <v>0</v>
      </c>
      <c r="AO475" s="94" t="n">
        <f aca="false">IF(ISNUMBER(G475),AA475*1000000*G475/100,0)</f>
        <v>0</v>
      </c>
      <c r="AP475" s="94" t="n">
        <f aca="false">IF(ISNUMBER(M475),M475*K475,0)</f>
        <v>0</v>
      </c>
      <c r="AQ475" s="95" t="str">
        <f aca="false">IF(AB475="","",INDEX(시장분석!$AK:$AK,AB475))</f>
        <v/>
      </c>
      <c r="AR475" s="43" t="str">
        <f aca="false">IF(AB475="","-",IF(AB475="","",INDEX(시장분석!$AL:$AL,AB475)))</f>
        <v>-</v>
      </c>
      <c r="AS475" s="96" t="str">
        <f aca="false">IF(AB475="","",INDEX(시장분석!$AJ:$AJ,AB475))</f>
        <v/>
      </c>
      <c r="AT475" s="93" t="n">
        <f aca="false">IF(AB475="",0,IF(AB475="","",INDEX(시장분석!$AN:$AN,AB475)))</f>
        <v>0</v>
      </c>
      <c r="AU475" s="94" t="n">
        <f aca="false">IF(ISNUMBER(Z475),AT475/10000*MAX(Z475-1,0)*AA475*1000000,0)</f>
        <v>0</v>
      </c>
      <c r="AV475" s="94" t="n">
        <f aca="false">AO475+AU475</f>
        <v>0</v>
      </c>
      <c r="AW475" s="43" t="str">
        <f aca="false">IF(Q475&lt;&gt;1,"",TRIM(IF(AD475=1,"FRN ","")&amp;IF(AND(AL475&gt;=10,AL475&lt;99),"BBB0미만 ","")&amp;IF(AJ475="","등급없음 ","")&amp;IF(K475&lt;&gt;1,"비USD ","")&amp;IF(AND(AB475="",Y475=0),"시장데이터없음 ","")&amp;IF(AND(ISNUMBER(U475),U475&lt;0),"만기경과 ","")))</f>
        <v/>
      </c>
      <c r="AX475" s="90" t="n">
        <f aca="false">IF(Q475&lt;&gt;1,1,IF(스프레드쇼크!$C$4="Y",INDEX(스프레드쇼크!$B$12:$L$16,IFERROR(MATCH(AH475,스프레드쇼크!$A$12:$A$16,0),MATCH("목록외",스프레드쇼크!$A$12:$A$16,0)),IFERROR(MATCH(AG475,스프레드쇼크!$B$11:$L$11,0),MATCH("목록외",스프레드쇼크!$B$11:$L$11,0))),1))</f>
        <v>1</v>
      </c>
      <c r="AY475" s="90" t="n">
        <f aca="false">IF(스프레드쇼크!$C$5="Y",IF(ISNUMBER(AF475),MIN(스프레드쇼크!$C$7,MAX(스프레드쇼크!$C$6,AF475/스프레드쇼크!$C$8)),1),1)</f>
        <v>1</v>
      </c>
      <c r="AZ475" s="94" t="n">
        <f aca="false">AN475*AX475*AY475</f>
        <v>0</v>
      </c>
      <c r="BA475" s="90" t="n">
        <f aca="false">IF(ISNUMBER(G475),AA475*G475,0)</f>
        <v>0</v>
      </c>
      <c r="BB475" s="90" t="n">
        <f aca="false">IF(ISNUMBER(G475),AA475,0)</f>
        <v>0</v>
      </c>
      <c r="BC475" s="90" t="n">
        <f aca="false">IF(AND(Y475=0,ISNUMBER(AF475)),AA475*AF475,0)</f>
        <v>0</v>
      </c>
      <c r="BD475" s="90" t="n">
        <f aca="false">IF(AND(Y475=0,ISNUMBER(AF475)),AA475,0)</f>
        <v>0</v>
      </c>
      <c r="BE475" s="90" t="n">
        <f aca="false">IF(ISNUMBER(H475),AA475*H475,0)</f>
        <v>0</v>
      </c>
      <c r="BF475" s="90" t="n">
        <f aca="false">IF(ISNUMBER(H475),AA475,0)</f>
        <v>0</v>
      </c>
      <c r="BG475" s="90" t="n">
        <f aca="false">IF(AND(Y475=0,ISNUMBER(AF475),ISNUMBER(Z475)),AA475*Z475,0)</f>
        <v>0</v>
      </c>
      <c r="BH475" s="90" t="n">
        <f aca="false">IF(AND(Y475=0,ISNUMBER(AF475),ISNUMBER(Z475)),AA475*AT475*MAX(Z475-1,0),0)</f>
        <v>0</v>
      </c>
      <c r="BI475" s="90" t="n">
        <f aca="false">IF(Y475=0,AA475,0)</f>
        <v>0</v>
      </c>
    </row>
    <row r="476" customFormat="false" ht="15" hidden="false" customHeight="false" outlineLevel="0" collapsed="false">
      <c r="A476" s="83" t="str">
        <f aca="false">IFERROR(IF(INDEX(원자료_잔고!$A$1:$EZ$1500,설정!$L$5+ROW()-1,설정!$L$8)&amp;""="0","",INDEX(원자료_잔고!$A$1:$EZ$1500,설정!$L$5+ROW()-1,설정!$L$8)&amp;""),"")</f>
        <v/>
      </c>
      <c r="B476" s="83" t="str">
        <f aca="false">IFERROR(IF(INDEX(원자료_잔고!$A$1:$EZ$1500,설정!$L$5+ROW()-1,설정!$L$7)&amp;""="0","",INDEX(원자료_잔고!$A$1:$EZ$1500,설정!$L$5+ROW()-1,설정!$L$7)&amp;""),"")</f>
        <v/>
      </c>
      <c r="C476" s="83" t="str">
        <f aca="false">IFERROR(IF(INDEX(원자료_잔고!$A$1:$EZ$1500,설정!$L$5+ROW()-1,설정!$L$9)&amp;""="0","",INDEX(원자료_잔고!$A$1:$EZ$1500,설정!$L$5+ROW()-1,설정!$L$9)&amp;""),"")</f>
        <v/>
      </c>
      <c r="D476" s="83" t="str">
        <f aca="false">IFERROR(IF(INDEX(원자료_잔고!$A$1:$EZ$1500,설정!$L$5+ROW()-1,설정!$L$10)&amp;""="0","",INDEX(원자료_잔고!$A$1:$EZ$1500,설정!$L$5+ROW()-1,설정!$L$10)&amp;""),"")</f>
        <v/>
      </c>
      <c r="E476" s="84" t="str">
        <f aca="false">IFERROR(IF(ISNUMBER(INDEX(원자료_잔고!$A$1:$EZ$1500,설정!$L$5+ROW()-1,설정!$L$11)),INDEX(원자료_잔고!$A$1:$EZ$1500,설정!$L$5+ROW()-1,설정!$L$11),""),"")</f>
        <v/>
      </c>
      <c r="F476" s="85" t="str">
        <f aca="false">IFERROR(IF(ISNUMBER(INDEX(원자료_잔고!$A$1:$EZ$1500,설정!$L$5+ROW()-1,설정!$L$12)),INDEX(원자료_잔고!$A$1:$EZ$1500,설정!$L$5+ROW()-1,설정!$L$12),""),"")</f>
        <v/>
      </c>
      <c r="G476" s="85" t="str">
        <f aca="false">IFERROR(IF(ISNUMBER(INDEX(원자료_잔고!$A$1:$EZ$1500,설정!$L$5+ROW()-1,설정!$L$13)),INDEX(원자료_잔고!$A$1:$EZ$1500,설정!$L$5+ROW()-1,설정!$L$13),""),"")</f>
        <v/>
      </c>
      <c r="H476" s="85" t="str">
        <f aca="false">IFERROR(IF(ISNUMBER(INDEX(원자료_잔고!$A$1:$EZ$1500,설정!$L$5+ROW()-1,설정!$L$14)),INDEX(원자료_잔고!$A$1:$EZ$1500,설정!$L$5+ROW()-1,설정!$L$14),""),"")</f>
        <v/>
      </c>
      <c r="I476" s="86" t="str">
        <f aca="false">IFERROR(IF(ISNUMBER(INDEX(원자료_잔고!$A$1:$EZ$1500,설정!$L$5+ROW()-1,설정!$L$15)),INDEX(원자료_잔고!$A$1:$EZ$1500,설정!$L$5+ROW()-1,설정!$L$15),""),"")</f>
        <v/>
      </c>
      <c r="J476" s="85" t="str">
        <f aca="false">IFERROR(IF(ISNUMBER(INDEX(원자료_잔고!$A$1:$EZ$1500,설정!$L$5+ROW()-1,설정!$L$16)),INDEX(원자료_잔고!$A$1:$EZ$1500,설정!$L$5+ROW()-1,설정!$L$16),""),"")</f>
        <v/>
      </c>
      <c r="K476" s="87" t="str">
        <f aca="false">IFERROR(IF(ISNUMBER(INDEX(원자료_잔고!$A$1:$EZ$1500,설정!$L$5+ROW()-1,설정!$L$17)),INDEX(원자료_잔고!$A$1:$EZ$1500,설정!$L$5+ROW()-1,설정!$L$17),""),"")</f>
        <v/>
      </c>
      <c r="L476" s="84" t="str">
        <f aca="false">IFERROR(IF(ISNUMBER(INDEX(원자료_잔고!$A$1:$EZ$1500,설정!$L$5+ROW()-1,설정!$L$18)),INDEX(원자료_잔고!$A$1:$EZ$1500,설정!$L$5+ROW()-1,설정!$L$18),""),"")</f>
        <v/>
      </c>
      <c r="M476" s="88" t="str">
        <f aca="false">IFERROR(IF(ISNUMBER(INDEX(원자료_잔고!$A$1:$EZ$1500,설정!$L$5+ROW()-1,설정!$L$19)),INDEX(원자료_잔고!$A$1:$EZ$1500,설정!$L$5+ROW()-1,설정!$L$19),""),"")</f>
        <v/>
      </c>
      <c r="N476" s="83" t="str">
        <f aca="false">IFERROR(IF(INDEX(원자료_잔고!$A$1:$EZ$1500,설정!$L$5+ROW()-1,설정!$L$21)&amp;""="0","",INDEX(원자료_잔고!$A$1:$EZ$1500,설정!$L$5+ROW()-1,설정!$L$21)&amp;""),"")</f>
        <v/>
      </c>
      <c r="O476" s="83" t="str">
        <f aca="false">IFERROR(IF(INDEX(원자료_잔고!$A$1:$EZ$1500,설정!$L$5+ROW()-1,설정!$L$22)&amp;""="0","",INDEX(원자료_잔고!$A$1:$EZ$1500,설정!$L$5+ROW()-1,설정!$L$22)&amp;""),"")</f>
        <v/>
      </c>
      <c r="P476" s="83" t="str">
        <f aca="false">IFERROR(IF(INDEX(원자료_잔고!$A$1:$EZ$1500,설정!$L$5+ROW()-1,설정!$L$23)&amp;""="0","",INDEX(원자료_잔고!$A$1:$EZ$1500,설정!$L$5+ROW()-1,설정!$L$23)&amp;""),"")</f>
        <v/>
      </c>
      <c r="Q476" s="89" t="n">
        <f aca="false">IF(AND($A476&lt;&gt;"",ISNUMBER(E476)),IF(E476&gt;0,1,0),0)</f>
        <v>0</v>
      </c>
      <c r="R476" s="43" t="str">
        <f aca="false">IF(Q476=1,UPPER(LEFT($A476,FIND(" ",$A476&amp;" ")-1)),"")</f>
        <v/>
      </c>
      <c r="S476" s="89" t="n">
        <f aca="false">IF(Q476=1,IF(OR(ISNUMBER(SEARCH("Float",$A476)),ISNUMBER(SEARCH("FRN",$A476))),1,0),0)</f>
        <v>0</v>
      </c>
      <c r="T476" s="43" t="str">
        <f aca="false">IF(AND(Q476=1,ISNUMBER(I476)),TEXT(I476,"yyyymmdd")&amp;"|"&amp;IF(S476=1,"F",TEXT(J476,"0.000")),"")</f>
        <v/>
      </c>
      <c r="U476" s="90" t="str">
        <f aca="false">IF(AND(Q476=1,ISNUMBER(I476)),(I476-설정!$C$4)/365.25,"")</f>
        <v/>
      </c>
      <c r="V476" s="43" t="str">
        <f aca="false">IF(Q476&lt;&gt;1,"",IF(ISNUMBER(U476),IF(U476&lt;=1,"1년 이하",IF(U476&lt;=2,"1-2년",IF(U476&lt;=3,"2-3년",IF(U476&lt;=4,"3-4년",IF(U476&lt;=5,"4-5년",IF(U476&lt;=7,"5-7년",IF(U476&lt;=10,"7-10년",IF(U476&lt;=20,"10-20년","20년 이상")))))))),"미분류"))</f>
        <v/>
      </c>
      <c r="W476" s="43" t="str">
        <f aca="false">IF(Q476&lt;&gt;1,"",IF(AB476&lt;&gt;"",INDEX(시장분석!$C:$C,AB476),IF(K476=1,"USD","비USD")))</f>
        <v/>
      </c>
      <c r="X476" s="91" t="n">
        <f aca="false">IF(Q476=1,E476*K476/1000000,0)</f>
        <v>0</v>
      </c>
      <c r="Y476" s="89" t="n">
        <f aca="false">IF(R476="T",1,0)</f>
        <v>0</v>
      </c>
      <c r="Z476" s="92" t="str">
        <f aca="false">IF(Q476&lt;&gt;1,"",IF(AD476=1,IF(ISNUMBER(U476),MAX(U476,0),H476),H476))</f>
        <v/>
      </c>
      <c r="AA476" s="91" t="n">
        <f aca="false">IF(Q476=1,IF(ISNUMBER(L476),L476,0)*K476/1000000,0)</f>
        <v>0</v>
      </c>
      <c r="AB476" s="89" t="str">
        <f aca="false">IF(Q476&lt;&gt;1,"",IFERROR(MATCH(VLOOKUP(B476,매핑!$H$4:$I$15,2,0),시장분석!$A$2:$A$601,0)+1,IFERROR(MATCH(R476&amp;"|"&amp;T476,시장분석!$V$2:$V$601,0)+1,IF(COUNTIF(시장분석!$U$2:$U$601,T476)=1,MATCH(T476,시장분석!$U$2:$U$601,0)+1,""))))</f>
        <v/>
      </c>
      <c r="AC476" s="89" t="n">
        <f aca="false">IF(Q476&lt;&gt;1,0,IF(OR(설정!$C$5="전체",AND(설정!$C$5="선택펀드",IFERROR(COUNTIFS(설정!$F$16:$F$36,C476,설정!$G$16:$G$36,"Y")+COUNTIFS(설정!$F$16:$F$36,VALUE(C476),설정!$G$16:$G$36,"Y"),0)&gt;0),C476&amp;""=설정!$C$5&amp;""),1,0))</f>
        <v>0</v>
      </c>
      <c r="AD476" s="89" t="n">
        <f aca="false">IF(Q476&lt;&gt;1,0,IF(OR(S476=1,IF(AB476="",FALSE(),INDEX(시장분석!$R:$R,AB476)=1)),1,0))</f>
        <v>0</v>
      </c>
      <c r="AE476" s="43" t="str">
        <f aca="false">IF(AB476="","",INDEX(시장분석!$A:$A,AB476))</f>
        <v/>
      </c>
      <c r="AF476" s="93" t="str">
        <f aca="false">IF(AB476="","",IF(ISNUMBER(IF(AB476="","",INDEX(시장분석!$E:$E,AB476))),IF(AB476="","",INDEX(시장분석!$E:$E,AB476)),""))</f>
        <v/>
      </c>
      <c r="AG476" s="43" t="str">
        <f aca="false">IF(Q476&lt;&gt;1,"",IF(AB476&lt;&gt;"",IF(AB476="","",INDEX(시장분석!$L:$L,AB476)),IFERROR(IF(VLOOKUP(R476,매핑!$A$4:$E$92,5,0)="","미분류",VLOOKUP(R476,매핑!$A$4:$E$92,5,0)),"미분류")))</f>
        <v/>
      </c>
      <c r="AH476" s="43" t="str">
        <f aca="false">IF(Q476&lt;&gt;1,"",IF(AB476&lt;&gt;"",IF(AB476="","",INDEX(시장분석!$N:$N,AB476)),IFERROR(IF(VLOOKUP(R476,매핑!$A$4:$E$92,4,0)="","미분류",VLOOKUP(R476,매핑!$A$4:$E$92,4,0)),"미분류")))</f>
        <v/>
      </c>
      <c r="AI476" s="43" t="str">
        <f aca="false">IF(Q476&lt;&gt;1,"",IFERROR(IF(VLOOKUP(R476,매핑!$A$4:$E$92,3,0)="","미분류",VLOOKUP(R476,매핑!$A$4:$E$92,3,0)),IF(AB476&lt;&gt;"",IF(AB476="","",INDEX(시장분석!$W:$W,AB476)),"미분류")))</f>
        <v/>
      </c>
      <c r="AJ476" s="43" t="str">
        <f aca="false">IF(Q476&lt;&gt;1,"",IFERROR(VLOOKUP(IF(N476&lt;&gt;"",N476,IF(P476&lt;&gt;"",P476,O476)),설정!$A$15:$D$47,2,0),""))</f>
        <v/>
      </c>
      <c r="AK476" s="43" t="str">
        <f aca="false">IF(Q476&lt;&gt;1,"",IF(AJ476="","무등급",IFERROR(VLOOKUP(AJ476,설정!$A$15:$D$47,3,0),"무등급")))</f>
        <v/>
      </c>
      <c r="AL476" s="89" t="n">
        <f aca="false">IF(AJ476="",99,IFERROR(VLOOKUP(AJ476,설정!$A$15:$D$47,4,0),99))</f>
        <v>99</v>
      </c>
      <c r="AM476" s="94" t="n">
        <f aca="false">IF(ISNUMBER(H476),AA476*1000000*H476/10000,0)</f>
        <v>0</v>
      </c>
      <c r="AN476" s="94" t="n">
        <f aca="false">IF(OR(Y476=1,NOT(ISNUMBER(Z476))),0,AA476*1000000*Z476/10000)</f>
        <v>0</v>
      </c>
      <c r="AO476" s="94" t="n">
        <f aca="false">IF(ISNUMBER(G476),AA476*1000000*G476/100,0)</f>
        <v>0</v>
      </c>
      <c r="AP476" s="94" t="n">
        <f aca="false">IF(ISNUMBER(M476),M476*K476,0)</f>
        <v>0</v>
      </c>
      <c r="AQ476" s="95" t="str">
        <f aca="false">IF(AB476="","",INDEX(시장분석!$AK:$AK,AB476))</f>
        <v/>
      </c>
      <c r="AR476" s="43" t="str">
        <f aca="false">IF(AB476="","-",IF(AB476="","",INDEX(시장분석!$AL:$AL,AB476)))</f>
        <v>-</v>
      </c>
      <c r="AS476" s="96" t="str">
        <f aca="false">IF(AB476="","",INDEX(시장분석!$AJ:$AJ,AB476))</f>
        <v/>
      </c>
      <c r="AT476" s="93" t="n">
        <f aca="false">IF(AB476="",0,IF(AB476="","",INDEX(시장분석!$AN:$AN,AB476)))</f>
        <v>0</v>
      </c>
      <c r="AU476" s="94" t="n">
        <f aca="false">IF(ISNUMBER(Z476),AT476/10000*MAX(Z476-1,0)*AA476*1000000,0)</f>
        <v>0</v>
      </c>
      <c r="AV476" s="94" t="n">
        <f aca="false">AO476+AU476</f>
        <v>0</v>
      </c>
      <c r="AW476" s="43" t="str">
        <f aca="false">IF(Q476&lt;&gt;1,"",TRIM(IF(AD476=1,"FRN ","")&amp;IF(AND(AL476&gt;=10,AL476&lt;99),"BBB0미만 ","")&amp;IF(AJ476="","등급없음 ","")&amp;IF(K476&lt;&gt;1,"비USD ","")&amp;IF(AND(AB476="",Y476=0),"시장데이터없음 ","")&amp;IF(AND(ISNUMBER(U476),U476&lt;0),"만기경과 ","")))</f>
        <v/>
      </c>
      <c r="AX476" s="90" t="n">
        <f aca="false">IF(Q476&lt;&gt;1,1,IF(스프레드쇼크!$C$4="Y",INDEX(스프레드쇼크!$B$12:$L$16,IFERROR(MATCH(AH476,스프레드쇼크!$A$12:$A$16,0),MATCH("목록외",스프레드쇼크!$A$12:$A$16,0)),IFERROR(MATCH(AG476,스프레드쇼크!$B$11:$L$11,0),MATCH("목록외",스프레드쇼크!$B$11:$L$11,0))),1))</f>
        <v>1</v>
      </c>
      <c r="AY476" s="90" t="n">
        <f aca="false">IF(스프레드쇼크!$C$5="Y",IF(ISNUMBER(AF476),MIN(스프레드쇼크!$C$7,MAX(스프레드쇼크!$C$6,AF476/스프레드쇼크!$C$8)),1),1)</f>
        <v>1</v>
      </c>
      <c r="AZ476" s="94" t="n">
        <f aca="false">AN476*AX476*AY476</f>
        <v>0</v>
      </c>
      <c r="BA476" s="90" t="n">
        <f aca="false">IF(ISNUMBER(G476),AA476*G476,0)</f>
        <v>0</v>
      </c>
      <c r="BB476" s="90" t="n">
        <f aca="false">IF(ISNUMBER(G476),AA476,0)</f>
        <v>0</v>
      </c>
      <c r="BC476" s="90" t="n">
        <f aca="false">IF(AND(Y476=0,ISNUMBER(AF476)),AA476*AF476,0)</f>
        <v>0</v>
      </c>
      <c r="BD476" s="90" t="n">
        <f aca="false">IF(AND(Y476=0,ISNUMBER(AF476)),AA476,0)</f>
        <v>0</v>
      </c>
      <c r="BE476" s="90" t="n">
        <f aca="false">IF(ISNUMBER(H476),AA476*H476,0)</f>
        <v>0</v>
      </c>
      <c r="BF476" s="90" t="n">
        <f aca="false">IF(ISNUMBER(H476),AA476,0)</f>
        <v>0</v>
      </c>
      <c r="BG476" s="90" t="n">
        <f aca="false">IF(AND(Y476=0,ISNUMBER(AF476),ISNUMBER(Z476)),AA476*Z476,0)</f>
        <v>0</v>
      </c>
      <c r="BH476" s="90" t="n">
        <f aca="false">IF(AND(Y476=0,ISNUMBER(AF476),ISNUMBER(Z476)),AA476*AT476*MAX(Z476-1,0),0)</f>
        <v>0</v>
      </c>
      <c r="BI476" s="90" t="n">
        <f aca="false">IF(Y476=0,AA476,0)</f>
        <v>0</v>
      </c>
    </row>
    <row r="477" customFormat="false" ht="15" hidden="false" customHeight="false" outlineLevel="0" collapsed="false">
      <c r="A477" s="83" t="str">
        <f aca="false">IFERROR(IF(INDEX(원자료_잔고!$A$1:$EZ$1500,설정!$L$5+ROW()-1,설정!$L$8)&amp;""="0","",INDEX(원자료_잔고!$A$1:$EZ$1500,설정!$L$5+ROW()-1,설정!$L$8)&amp;""),"")</f>
        <v/>
      </c>
      <c r="B477" s="83" t="str">
        <f aca="false">IFERROR(IF(INDEX(원자료_잔고!$A$1:$EZ$1500,설정!$L$5+ROW()-1,설정!$L$7)&amp;""="0","",INDEX(원자료_잔고!$A$1:$EZ$1500,설정!$L$5+ROW()-1,설정!$L$7)&amp;""),"")</f>
        <v/>
      </c>
      <c r="C477" s="83" t="str">
        <f aca="false">IFERROR(IF(INDEX(원자료_잔고!$A$1:$EZ$1500,설정!$L$5+ROW()-1,설정!$L$9)&amp;""="0","",INDEX(원자료_잔고!$A$1:$EZ$1500,설정!$L$5+ROW()-1,설정!$L$9)&amp;""),"")</f>
        <v/>
      </c>
      <c r="D477" s="83" t="str">
        <f aca="false">IFERROR(IF(INDEX(원자료_잔고!$A$1:$EZ$1500,설정!$L$5+ROW()-1,설정!$L$10)&amp;""="0","",INDEX(원자료_잔고!$A$1:$EZ$1500,설정!$L$5+ROW()-1,설정!$L$10)&amp;""),"")</f>
        <v/>
      </c>
      <c r="E477" s="84" t="str">
        <f aca="false">IFERROR(IF(ISNUMBER(INDEX(원자료_잔고!$A$1:$EZ$1500,설정!$L$5+ROW()-1,설정!$L$11)),INDEX(원자료_잔고!$A$1:$EZ$1500,설정!$L$5+ROW()-1,설정!$L$11),""),"")</f>
        <v/>
      </c>
      <c r="F477" s="85" t="str">
        <f aca="false">IFERROR(IF(ISNUMBER(INDEX(원자료_잔고!$A$1:$EZ$1500,설정!$L$5+ROW()-1,설정!$L$12)),INDEX(원자료_잔고!$A$1:$EZ$1500,설정!$L$5+ROW()-1,설정!$L$12),""),"")</f>
        <v/>
      </c>
      <c r="G477" s="85" t="str">
        <f aca="false">IFERROR(IF(ISNUMBER(INDEX(원자료_잔고!$A$1:$EZ$1500,설정!$L$5+ROW()-1,설정!$L$13)),INDEX(원자료_잔고!$A$1:$EZ$1500,설정!$L$5+ROW()-1,설정!$L$13),""),"")</f>
        <v/>
      </c>
      <c r="H477" s="85" t="str">
        <f aca="false">IFERROR(IF(ISNUMBER(INDEX(원자료_잔고!$A$1:$EZ$1500,설정!$L$5+ROW()-1,설정!$L$14)),INDEX(원자료_잔고!$A$1:$EZ$1500,설정!$L$5+ROW()-1,설정!$L$14),""),"")</f>
        <v/>
      </c>
      <c r="I477" s="86" t="str">
        <f aca="false">IFERROR(IF(ISNUMBER(INDEX(원자료_잔고!$A$1:$EZ$1500,설정!$L$5+ROW()-1,설정!$L$15)),INDEX(원자료_잔고!$A$1:$EZ$1500,설정!$L$5+ROW()-1,설정!$L$15),""),"")</f>
        <v/>
      </c>
      <c r="J477" s="85" t="str">
        <f aca="false">IFERROR(IF(ISNUMBER(INDEX(원자료_잔고!$A$1:$EZ$1500,설정!$L$5+ROW()-1,설정!$L$16)),INDEX(원자료_잔고!$A$1:$EZ$1500,설정!$L$5+ROW()-1,설정!$L$16),""),"")</f>
        <v/>
      </c>
      <c r="K477" s="87" t="str">
        <f aca="false">IFERROR(IF(ISNUMBER(INDEX(원자료_잔고!$A$1:$EZ$1500,설정!$L$5+ROW()-1,설정!$L$17)),INDEX(원자료_잔고!$A$1:$EZ$1500,설정!$L$5+ROW()-1,설정!$L$17),""),"")</f>
        <v/>
      </c>
      <c r="L477" s="84" t="str">
        <f aca="false">IFERROR(IF(ISNUMBER(INDEX(원자료_잔고!$A$1:$EZ$1500,설정!$L$5+ROW()-1,설정!$L$18)),INDEX(원자료_잔고!$A$1:$EZ$1500,설정!$L$5+ROW()-1,설정!$L$18),""),"")</f>
        <v/>
      </c>
      <c r="M477" s="88" t="str">
        <f aca="false">IFERROR(IF(ISNUMBER(INDEX(원자료_잔고!$A$1:$EZ$1500,설정!$L$5+ROW()-1,설정!$L$19)),INDEX(원자료_잔고!$A$1:$EZ$1500,설정!$L$5+ROW()-1,설정!$L$19),""),"")</f>
        <v/>
      </c>
      <c r="N477" s="83" t="str">
        <f aca="false">IFERROR(IF(INDEX(원자료_잔고!$A$1:$EZ$1500,설정!$L$5+ROW()-1,설정!$L$21)&amp;""="0","",INDEX(원자료_잔고!$A$1:$EZ$1500,설정!$L$5+ROW()-1,설정!$L$21)&amp;""),"")</f>
        <v/>
      </c>
      <c r="O477" s="83" t="str">
        <f aca="false">IFERROR(IF(INDEX(원자료_잔고!$A$1:$EZ$1500,설정!$L$5+ROW()-1,설정!$L$22)&amp;""="0","",INDEX(원자료_잔고!$A$1:$EZ$1500,설정!$L$5+ROW()-1,설정!$L$22)&amp;""),"")</f>
        <v/>
      </c>
      <c r="P477" s="83" t="str">
        <f aca="false">IFERROR(IF(INDEX(원자료_잔고!$A$1:$EZ$1500,설정!$L$5+ROW()-1,설정!$L$23)&amp;""="0","",INDEX(원자료_잔고!$A$1:$EZ$1500,설정!$L$5+ROW()-1,설정!$L$23)&amp;""),"")</f>
        <v/>
      </c>
      <c r="Q477" s="89" t="n">
        <f aca="false">IF(AND($A477&lt;&gt;"",ISNUMBER(E477)),IF(E477&gt;0,1,0),0)</f>
        <v>0</v>
      </c>
      <c r="R477" s="43" t="str">
        <f aca="false">IF(Q477=1,UPPER(LEFT($A477,FIND(" ",$A477&amp;" ")-1)),"")</f>
        <v/>
      </c>
      <c r="S477" s="89" t="n">
        <f aca="false">IF(Q477=1,IF(OR(ISNUMBER(SEARCH("Float",$A477)),ISNUMBER(SEARCH("FRN",$A477))),1,0),0)</f>
        <v>0</v>
      </c>
      <c r="T477" s="43" t="str">
        <f aca="false">IF(AND(Q477=1,ISNUMBER(I477)),TEXT(I477,"yyyymmdd")&amp;"|"&amp;IF(S477=1,"F",TEXT(J477,"0.000")),"")</f>
        <v/>
      </c>
      <c r="U477" s="90" t="str">
        <f aca="false">IF(AND(Q477=1,ISNUMBER(I477)),(I477-설정!$C$4)/365.25,"")</f>
        <v/>
      </c>
      <c r="V477" s="43" t="str">
        <f aca="false">IF(Q477&lt;&gt;1,"",IF(ISNUMBER(U477),IF(U477&lt;=1,"1년 이하",IF(U477&lt;=2,"1-2년",IF(U477&lt;=3,"2-3년",IF(U477&lt;=4,"3-4년",IF(U477&lt;=5,"4-5년",IF(U477&lt;=7,"5-7년",IF(U477&lt;=10,"7-10년",IF(U477&lt;=20,"10-20년","20년 이상")))))))),"미분류"))</f>
        <v/>
      </c>
      <c r="W477" s="43" t="str">
        <f aca="false">IF(Q477&lt;&gt;1,"",IF(AB477&lt;&gt;"",INDEX(시장분석!$C:$C,AB477),IF(K477=1,"USD","비USD")))</f>
        <v/>
      </c>
      <c r="X477" s="91" t="n">
        <f aca="false">IF(Q477=1,E477*K477/1000000,0)</f>
        <v>0</v>
      </c>
      <c r="Y477" s="89" t="n">
        <f aca="false">IF(R477="T",1,0)</f>
        <v>0</v>
      </c>
      <c r="Z477" s="92" t="str">
        <f aca="false">IF(Q477&lt;&gt;1,"",IF(AD477=1,IF(ISNUMBER(U477),MAX(U477,0),H477),H477))</f>
        <v/>
      </c>
      <c r="AA477" s="91" t="n">
        <f aca="false">IF(Q477=1,IF(ISNUMBER(L477),L477,0)*K477/1000000,0)</f>
        <v>0</v>
      </c>
      <c r="AB477" s="89" t="str">
        <f aca="false">IF(Q477&lt;&gt;1,"",IFERROR(MATCH(VLOOKUP(B477,매핑!$H$4:$I$15,2,0),시장분석!$A$2:$A$601,0)+1,IFERROR(MATCH(R477&amp;"|"&amp;T477,시장분석!$V$2:$V$601,0)+1,IF(COUNTIF(시장분석!$U$2:$U$601,T477)=1,MATCH(T477,시장분석!$U$2:$U$601,0)+1,""))))</f>
        <v/>
      </c>
      <c r="AC477" s="89" t="n">
        <f aca="false">IF(Q477&lt;&gt;1,0,IF(OR(설정!$C$5="전체",AND(설정!$C$5="선택펀드",IFERROR(COUNTIFS(설정!$F$16:$F$36,C477,설정!$G$16:$G$36,"Y")+COUNTIFS(설정!$F$16:$F$36,VALUE(C477),설정!$G$16:$G$36,"Y"),0)&gt;0),C477&amp;""=설정!$C$5&amp;""),1,0))</f>
        <v>0</v>
      </c>
      <c r="AD477" s="89" t="n">
        <f aca="false">IF(Q477&lt;&gt;1,0,IF(OR(S477=1,IF(AB477="",FALSE(),INDEX(시장분석!$R:$R,AB477)=1)),1,0))</f>
        <v>0</v>
      </c>
      <c r="AE477" s="43" t="str">
        <f aca="false">IF(AB477="","",INDEX(시장분석!$A:$A,AB477))</f>
        <v/>
      </c>
      <c r="AF477" s="93" t="str">
        <f aca="false">IF(AB477="","",IF(ISNUMBER(IF(AB477="","",INDEX(시장분석!$E:$E,AB477))),IF(AB477="","",INDEX(시장분석!$E:$E,AB477)),""))</f>
        <v/>
      </c>
      <c r="AG477" s="43" t="str">
        <f aca="false">IF(Q477&lt;&gt;1,"",IF(AB477&lt;&gt;"",IF(AB477="","",INDEX(시장분석!$L:$L,AB477)),IFERROR(IF(VLOOKUP(R477,매핑!$A$4:$E$92,5,0)="","미분류",VLOOKUP(R477,매핑!$A$4:$E$92,5,0)),"미분류")))</f>
        <v/>
      </c>
      <c r="AH477" s="43" t="str">
        <f aca="false">IF(Q477&lt;&gt;1,"",IF(AB477&lt;&gt;"",IF(AB477="","",INDEX(시장분석!$N:$N,AB477)),IFERROR(IF(VLOOKUP(R477,매핑!$A$4:$E$92,4,0)="","미분류",VLOOKUP(R477,매핑!$A$4:$E$92,4,0)),"미분류")))</f>
        <v/>
      </c>
      <c r="AI477" s="43" t="str">
        <f aca="false">IF(Q477&lt;&gt;1,"",IFERROR(IF(VLOOKUP(R477,매핑!$A$4:$E$92,3,0)="","미분류",VLOOKUP(R477,매핑!$A$4:$E$92,3,0)),IF(AB477&lt;&gt;"",IF(AB477="","",INDEX(시장분석!$W:$W,AB477)),"미분류")))</f>
        <v/>
      </c>
      <c r="AJ477" s="43" t="str">
        <f aca="false">IF(Q477&lt;&gt;1,"",IFERROR(VLOOKUP(IF(N477&lt;&gt;"",N477,IF(P477&lt;&gt;"",P477,O477)),설정!$A$15:$D$47,2,0),""))</f>
        <v/>
      </c>
      <c r="AK477" s="43" t="str">
        <f aca="false">IF(Q477&lt;&gt;1,"",IF(AJ477="","무등급",IFERROR(VLOOKUP(AJ477,설정!$A$15:$D$47,3,0),"무등급")))</f>
        <v/>
      </c>
      <c r="AL477" s="89" t="n">
        <f aca="false">IF(AJ477="",99,IFERROR(VLOOKUP(AJ477,설정!$A$15:$D$47,4,0),99))</f>
        <v>99</v>
      </c>
      <c r="AM477" s="94" t="n">
        <f aca="false">IF(ISNUMBER(H477),AA477*1000000*H477/10000,0)</f>
        <v>0</v>
      </c>
      <c r="AN477" s="94" t="n">
        <f aca="false">IF(OR(Y477=1,NOT(ISNUMBER(Z477))),0,AA477*1000000*Z477/10000)</f>
        <v>0</v>
      </c>
      <c r="AO477" s="94" t="n">
        <f aca="false">IF(ISNUMBER(G477),AA477*1000000*G477/100,0)</f>
        <v>0</v>
      </c>
      <c r="AP477" s="94" t="n">
        <f aca="false">IF(ISNUMBER(M477),M477*K477,0)</f>
        <v>0</v>
      </c>
      <c r="AQ477" s="95" t="str">
        <f aca="false">IF(AB477="","",INDEX(시장분석!$AK:$AK,AB477))</f>
        <v/>
      </c>
      <c r="AR477" s="43" t="str">
        <f aca="false">IF(AB477="","-",IF(AB477="","",INDEX(시장분석!$AL:$AL,AB477)))</f>
        <v>-</v>
      </c>
      <c r="AS477" s="96" t="str">
        <f aca="false">IF(AB477="","",INDEX(시장분석!$AJ:$AJ,AB477))</f>
        <v/>
      </c>
      <c r="AT477" s="93" t="n">
        <f aca="false">IF(AB477="",0,IF(AB477="","",INDEX(시장분석!$AN:$AN,AB477)))</f>
        <v>0</v>
      </c>
      <c r="AU477" s="94" t="n">
        <f aca="false">IF(ISNUMBER(Z477),AT477/10000*MAX(Z477-1,0)*AA477*1000000,0)</f>
        <v>0</v>
      </c>
      <c r="AV477" s="94" t="n">
        <f aca="false">AO477+AU477</f>
        <v>0</v>
      </c>
      <c r="AW477" s="43" t="str">
        <f aca="false">IF(Q477&lt;&gt;1,"",TRIM(IF(AD477=1,"FRN ","")&amp;IF(AND(AL477&gt;=10,AL477&lt;99),"BBB0미만 ","")&amp;IF(AJ477="","등급없음 ","")&amp;IF(K477&lt;&gt;1,"비USD ","")&amp;IF(AND(AB477="",Y477=0),"시장데이터없음 ","")&amp;IF(AND(ISNUMBER(U477),U477&lt;0),"만기경과 ","")))</f>
        <v/>
      </c>
      <c r="AX477" s="90" t="n">
        <f aca="false">IF(Q477&lt;&gt;1,1,IF(스프레드쇼크!$C$4="Y",INDEX(스프레드쇼크!$B$12:$L$16,IFERROR(MATCH(AH477,스프레드쇼크!$A$12:$A$16,0),MATCH("목록외",스프레드쇼크!$A$12:$A$16,0)),IFERROR(MATCH(AG477,스프레드쇼크!$B$11:$L$11,0),MATCH("목록외",스프레드쇼크!$B$11:$L$11,0))),1))</f>
        <v>1</v>
      </c>
      <c r="AY477" s="90" t="n">
        <f aca="false">IF(스프레드쇼크!$C$5="Y",IF(ISNUMBER(AF477),MIN(스프레드쇼크!$C$7,MAX(스프레드쇼크!$C$6,AF477/스프레드쇼크!$C$8)),1),1)</f>
        <v>1</v>
      </c>
      <c r="AZ477" s="94" t="n">
        <f aca="false">AN477*AX477*AY477</f>
        <v>0</v>
      </c>
      <c r="BA477" s="90" t="n">
        <f aca="false">IF(ISNUMBER(G477),AA477*G477,0)</f>
        <v>0</v>
      </c>
      <c r="BB477" s="90" t="n">
        <f aca="false">IF(ISNUMBER(G477),AA477,0)</f>
        <v>0</v>
      </c>
      <c r="BC477" s="90" t="n">
        <f aca="false">IF(AND(Y477=0,ISNUMBER(AF477)),AA477*AF477,0)</f>
        <v>0</v>
      </c>
      <c r="BD477" s="90" t="n">
        <f aca="false">IF(AND(Y477=0,ISNUMBER(AF477)),AA477,0)</f>
        <v>0</v>
      </c>
      <c r="BE477" s="90" t="n">
        <f aca="false">IF(ISNUMBER(H477),AA477*H477,0)</f>
        <v>0</v>
      </c>
      <c r="BF477" s="90" t="n">
        <f aca="false">IF(ISNUMBER(H477),AA477,0)</f>
        <v>0</v>
      </c>
      <c r="BG477" s="90" t="n">
        <f aca="false">IF(AND(Y477=0,ISNUMBER(AF477),ISNUMBER(Z477)),AA477*Z477,0)</f>
        <v>0</v>
      </c>
      <c r="BH477" s="90" t="n">
        <f aca="false">IF(AND(Y477=0,ISNUMBER(AF477),ISNUMBER(Z477)),AA477*AT477*MAX(Z477-1,0),0)</f>
        <v>0</v>
      </c>
      <c r="BI477" s="90" t="n">
        <f aca="false">IF(Y477=0,AA477,0)</f>
        <v>0</v>
      </c>
    </row>
    <row r="478" customFormat="false" ht="15" hidden="false" customHeight="false" outlineLevel="0" collapsed="false">
      <c r="A478" s="83" t="str">
        <f aca="false">IFERROR(IF(INDEX(원자료_잔고!$A$1:$EZ$1500,설정!$L$5+ROW()-1,설정!$L$8)&amp;""="0","",INDEX(원자료_잔고!$A$1:$EZ$1500,설정!$L$5+ROW()-1,설정!$L$8)&amp;""),"")</f>
        <v/>
      </c>
      <c r="B478" s="83" t="str">
        <f aca="false">IFERROR(IF(INDEX(원자료_잔고!$A$1:$EZ$1500,설정!$L$5+ROW()-1,설정!$L$7)&amp;""="0","",INDEX(원자료_잔고!$A$1:$EZ$1500,설정!$L$5+ROW()-1,설정!$L$7)&amp;""),"")</f>
        <v/>
      </c>
      <c r="C478" s="83" t="str">
        <f aca="false">IFERROR(IF(INDEX(원자료_잔고!$A$1:$EZ$1500,설정!$L$5+ROW()-1,설정!$L$9)&amp;""="0","",INDEX(원자료_잔고!$A$1:$EZ$1500,설정!$L$5+ROW()-1,설정!$L$9)&amp;""),"")</f>
        <v/>
      </c>
      <c r="D478" s="83" t="str">
        <f aca="false">IFERROR(IF(INDEX(원자료_잔고!$A$1:$EZ$1500,설정!$L$5+ROW()-1,설정!$L$10)&amp;""="0","",INDEX(원자료_잔고!$A$1:$EZ$1500,설정!$L$5+ROW()-1,설정!$L$10)&amp;""),"")</f>
        <v/>
      </c>
      <c r="E478" s="84" t="str">
        <f aca="false">IFERROR(IF(ISNUMBER(INDEX(원자료_잔고!$A$1:$EZ$1500,설정!$L$5+ROW()-1,설정!$L$11)),INDEX(원자료_잔고!$A$1:$EZ$1500,설정!$L$5+ROW()-1,설정!$L$11),""),"")</f>
        <v/>
      </c>
      <c r="F478" s="85" t="str">
        <f aca="false">IFERROR(IF(ISNUMBER(INDEX(원자료_잔고!$A$1:$EZ$1500,설정!$L$5+ROW()-1,설정!$L$12)),INDEX(원자료_잔고!$A$1:$EZ$1500,설정!$L$5+ROW()-1,설정!$L$12),""),"")</f>
        <v/>
      </c>
      <c r="G478" s="85" t="str">
        <f aca="false">IFERROR(IF(ISNUMBER(INDEX(원자료_잔고!$A$1:$EZ$1500,설정!$L$5+ROW()-1,설정!$L$13)),INDEX(원자료_잔고!$A$1:$EZ$1500,설정!$L$5+ROW()-1,설정!$L$13),""),"")</f>
        <v/>
      </c>
      <c r="H478" s="85" t="str">
        <f aca="false">IFERROR(IF(ISNUMBER(INDEX(원자료_잔고!$A$1:$EZ$1500,설정!$L$5+ROW()-1,설정!$L$14)),INDEX(원자료_잔고!$A$1:$EZ$1500,설정!$L$5+ROW()-1,설정!$L$14),""),"")</f>
        <v/>
      </c>
      <c r="I478" s="86" t="str">
        <f aca="false">IFERROR(IF(ISNUMBER(INDEX(원자료_잔고!$A$1:$EZ$1500,설정!$L$5+ROW()-1,설정!$L$15)),INDEX(원자료_잔고!$A$1:$EZ$1500,설정!$L$5+ROW()-1,설정!$L$15),""),"")</f>
        <v/>
      </c>
      <c r="J478" s="85" t="str">
        <f aca="false">IFERROR(IF(ISNUMBER(INDEX(원자료_잔고!$A$1:$EZ$1500,설정!$L$5+ROW()-1,설정!$L$16)),INDEX(원자료_잔고!$A$1:$EZ$1500,설정!$L$5+ROW()-1,설정!$L$16),""),"")</f>
        <v/>
      </c>
      <c r="K478" s="87" t="str">
        <f aca="false">IFERROR(IF(ISNUMBER(INDEX(원자료_잔고!$A$1:$EZ$1500,설정!$L$5+ROW()-1,설정!$L$17)),INDEX(원자료_잔고!$A$1:$EZ$1500,설정!$L$5+ROW()-1,설정!$L$17),""),"")</f>
        <v/>
      </c>
      <c r="L478" s="84" t="str">
        <f aca="false">IFERROR(IF(ISNUMBER(INDEX(원자료_잔고!$A$1:$EZ$1500,설정!$L$5+ROW()-1,설정!$L$18)),INDEX(원자료_잔고!$A$1:$EZ$1500,설정!$L$5+ROW()-1,설정!$L$18),""),"")</f>
        <v/>
      </c>
      <c r="M478" s="88" t="str">
        <f aca="false">IFERROR(IF(ISNUMBER(INDEX(원자료_잔고!$A$1:$EZ$1500,설정!$L$5+ROW()-1,설정!$L$19)),INDEX(원자료_잔고!$A$1:$EZ$1500,설정!$L$5+ROW()-1,설정!$L$19),""),"")</f>
        <v/>
      </c>
      <c r="N478" s="83" t="str">
        <f aca="false">IFERROR(IF(INDEX(원자료_잔고!$A$1:$EZ$1500,설정!$L$5+ROW()-1,설정!$L$21)&amp;""="0","",INDEX(원자료_잔고!$A$1:$EZ$1500,설정!$L$5+ROW()-1,설정!$L$21)&amp;""),"")</f>
        <v/>
      </c>
      <c r="O478" s="83" t="str">
        <f aca="false">IFERROR(IF(INDEX(원자료_잔고!$A$1:$EZ$1500,설정!$L$5+ROW()-1,설정!$L$22)&amp;""="0","",INDEX(원자료_잔고!$A$1:$EZ$1500,설정!$L$5+ROW()-1,설정!$L$22)&amp;""),"")</f>
        <v/>
      </c>
      <c r="P478" s="83" t="str">
        <f aca="false">IFERROR(IF(INDEX(원자료_잔고!$A$1:$EZ$1500,설정!$L$5+ROW()-1,설정!$L$23)&amp;""="0","",INDEX(원자료_잔고!$A$1:$EZ$1500,설정!$L$5+ROW()-1,설정!$L$23)&amp;""),"")</f>
        <v/>
      </c>
      <c r="Q478" s="89" t="n">
        <f aca="false">IF(AND($A478&lt;&gt;"",ISNUMBER(E478)),IF(E478&gt;0,1,0),0)</f>
        <v>0</v>
      </c>
      <c r="R478" s="43" t="str">
        <f aca="false">IF(Q478=1,UPPER(LEFT($A478,FIND(" ",$A478&amp;" ")-1)),"")</f>
        <v/>
      </c>
      <c r="S478" s="89" t="n">
        <f aca="false">IF(Q478=1,IF(OR(ISNUMBER(SEARCH("Float",$A478)),ISNUMBER(SEARCH("FRN",$A478))),1,0),0)</f>
        <v>0</v>
      </c>
      <c r="T478" s="43" t="str">
        <f aca="false">IF(AND(Q478=1,ISNUMBER(I478)),TEXT(I478,"yyyymmdd")&amp;"|"&amp;IF(S478=1,"F",TEXT(J478,"0.000")),"")</f>
        <v/>
      </c>
      <c r="U478" s="90" t="str">
        <f aca="false">IF(AND(Q478=1,ISNUMBER(I478)),(I478-설정!$C$4)/365.25,"")</f>
        <v/>
      </c>
      <c r="V478" s="43" t="str">
        <f aca="false">IF(Q478&lt;&gt;1,"",IF(ISNUMBER(U478),IF(U478&lt;=1,"1년 이하",IF(U478&lt;=2,"1-2년",IF(U478&lt;=3,"2-3년",IF(U478&lt;=4,"3-4년",IF(U478&lt;=5,"4-5년",IF(U478&lt;=7,"5-7년",IF(U478&lt;=10,"7-10년",IF(U478&lt;=20,"10-20년","20년 이상")))))))),"미분류"))</f>
        <v/>
      </c>
      <c r="W478" s="43" t="str">
        <f aca="false">IF(Q478&lt;&gt;1,"",IF(AB478&lt;&gt;"",INDEX(시장분석!$C:$C,AB478),IF(K478=1,"USD","비USD")))</f>
        <v/>
      </c>
      <c r="X478" s="91" t="n">
        <f aca="false">IF(Q478=1,E478*K478/1000000,0)</f>
        <v>0</v>
      </c>
      <c r="Y478" s="89" t="n">
        <f aca="false">IF(R478="T",1,0)</f>
        <v>0</v>
      </c>
      <c r="Z478" s="92" t="str">
        <f aca="false">IF(Q478&lt;&gt;1,"",IF(AD478=1,IF(ISNUMBER(U478),MAX(U478,0),H478),H478))</f>
        <v/>
      </c>
      <c r="AA478" s="91" t="n">
        <f aca="false">IF(Q478=1,IF(ISNUMBER(L478),L478,0)*K478/1000000,0)</f>
        <v>0</v>
      </c>
      <c r="AB478" s="89" t="str">
        <f aca="false">IF(Q478&lt;&gt;1,"",IFERROR(MATCH(VLOOKUP(B478,매핑!$H$4:$I$15,2,0),시장분석!$A$2:$A$601,0)+1,IFERROR(MATCH(R478&amp;"|"&amp;T478,시장분석!$V$2:$V$601,0)+1,IF(COUNTIF(시장분석!$U$2:$U$601,T478)=1,MATCH(T478,시장분석!$U$2:$U$601,0)+1,""))))</f>
        <v/>
      </c>
      <c r="AC478" s="89" t="n">
        <f aca="false">IF(Q478&lt;&gt;1,0,IF(OR(설정!$C$5="전체",AND(설정!$C$5="선택펀드",IFERROR(COUNTIFS(설정!$F$16:$F$36,C478,설정!$G$16:$G$36,"Y")+COUNTIFS(설정!$F$16:$F$36,VALUE(C478),설정!$G$16:$G$36,"Y"),0)&gt;0),C478&amp;""=설정!$C$5&amp;""),1,0))</f>
        <v>0</v>
      </c>
      <c r="AD478" s="89" t="n">
        <f aca="false">IF(Q478&lt;&gt;1,0,IF(OR(S478=1,IF(AB478="",FALSE(),INDEX(시장분석!$R:$R,AB478)=1)),1,0))</f>
        <v>0</v>
      </c>
      <c r="AE478" s="43" t="str">
        <f aca="false">IF(AB478="","",INDEX(시장분석!$A:$A,AB478))</f>
        <v/>
      </c>
      <c r="AF478" s="93" t="str">
        <f aca="false">IF(AB478="","",IF(ISNUMBER(IF(AB478="","",INDEX(시장분석!$E:$E,AB478))),IF(AB478="","",INDEX(시장분석!$E:$E,AB478)),""))</f>
        <v/>
      </c>
      <c r="AG478" s="43" t="str">
        <f aca="false">IF(Q478&lt;&gt;1,"",IF(AB478&lt;&gt;"",IF(AB478="","",INDEX(시장분석!$L:$L,AB478)),IFERROR(IF(VLOOKUP(R478,매핑!$A$4:$E$92,5,0)="","미분류",VLOOKUP(R478,매핑!$A$4:$E$92,5,0)),"미분류")))</f>
        <v/>
      </c>
      <c r="AH478" s="43" t="str">
        <f aca="false">IF(Q478&lt;&gt;1,"",IF(AB478&lt;&gt;"",IF(AB478="","",INDEX(시장분석!$N:$N,AB478)),IFERROR(IF(VLOOKUP(R478,매핑!$A$4:$E$92,4,0)="","미분류",VLOOKUP(R478,매핑!$A$4:$E$92,4,0)),"미분류")))</f>
        <v/>
      </c>
      <c r="AI478" s="43" t="str">
        <f aca="false">IF(Q478&lt;&gt;1,"",IFERROR(IF(VLOOKUP(R478,매핑!$A$4:$E$92,3,0)="","미분류",VLOOKUP(R478,매핑!$A$4:$E$92,3,0)),IF(AB478&lt;&gt;"",IF(AB478="","",INDEX(시장분석!$W:$W,AB478)),"미분류")))</f>
        <v/>
      </c>
      <c r="AJ478" s="43" t="str">
        <f aca="false">IF(Q478&lt;&gt;1,"",IFERROR(VLOOKUP(IF(N478&lt;&gt;"",N478,IF(P478&lt;&gt;"",P478,O478)),설정!$A$15:$D$47,2,0),""))</f>
        <v/>
      </c>
      <c r="AK478" s="43" t="str">
        <f aca="false">IF(Q478&lt;&gt;1,"",IF(AJ478="","무등급",IFERROR(VLOOKUP(AJ478,설정!$A$15:$D$47,3,0),"무등급")))</f>
        <v/>
      </c>
      <c r="AL478" s="89" t="n">
        <f aca="false">IF(AJ478="",99,IFERROR(VLOOKUP(AJ478,설정!$A$15:$D$47,4,0),99))</f>
        <v>99</v>
      </c>
      <c r="AM478" s="94" t="n">
        <f aca="false">IF(ISNUMBER(H478),AA478*1000000*H478/10000,0)</f>
        <v>0</v>
      </c>
      <c r="AN478" s="94" t="n">
        <f aca="false">IF(OR(Y478=1,NOT(ISNUMBER(Z478))),0,AA478*1000000*Z478/10000)</f>
        <v>0</v>
      </c>
      <c r="AO478" s="94" t="n">
        <f aca="false">IF(ISNUMBER(G478),AA478*1000000*G478/100,0)</f>
        <v>0</v>
      </c>
      <c r="AP478" s="94" t="n">
        <f aca="false">IF(ISNUMBER(M478),M478*K478,0)</f>
        <v>0</v>
      </c>
      <c r="AQ478" s="95" t="str">
        <f aca="false">IF(AB478="","",INDEX(시장분석!$AK:$AK,AB478))</f>
        <v/>
      </c>
      <c r="AR478" s="43" t="str">
        <f aca="false">IF(AB478="","-",IF(AB478="","",INDEX(시장분석!$AL:$AL,AB478)))</f>
        <v>-</v>
      </c>
      <c r="AS478" s="96" t="str">
        <f aca="false">IF(AB478="","",INDEX(시장분석!$AJ:$AJ,AB478))</f>
        <v/>
      </c>
      <c r="AT478" s="93" t="n">
        <f aca="false">IF(AB478="",0,IF(AB478="","",INDEX(시장분석!$AN:$AN,AB478)))</f>
        <v>0</v>
      </c>
      <c r="AU478" s="94" t="n">
        <f aca="false">IF(ISNUMBER(Z478),AT478/10000*MAX(Z478-1,0)*AA478*1000000,0)</f>
        <v>0</v>
      </c>
      <c r="AV478" s="94" t="n">
        <f aca="false">AO478+AU478</f>
        <v>0</v>
      </c>
      <c r="AW478" s="43" t="str">
        <f aca="false">IF(Q478&lt;&gt;1,"",TRIM(IF(AD478=1,"FRN ","")&amp;IF(AND(AL478&gt;=10,AL478&lt;99),"BBB0미만 ","")&amp;IF(AJ478="","등급없음 ","")&amp;IF(K478&lt;&gt;1,"비USD ","")&amp;IF(AND(AB478="",Y478=0),"시장데이터없음 ","")&amp;IF(AND(ISNUMBER(U478),U478&lt;0),"만기경과 ","")))</f>
        <v/>
      </c>
      <c r="AX478" s="90" t="n">
        <f aca="false">IF(Q478&lt;&gt;1,1,IF(스프레드쇼크!$C$4="Y",INDEX(스프레드쇼크!$B$12:$L$16,IFERROR(MATCH(AH478,스프레드쇼크!$A$12:$A$16,0),MATCH("목록외",스프레드쇼크!$A$12:$A$16,0)),IFERROR(MATCH(AG478,스프레드쇼크!$B$11:$L$11,0),MATCH("목록외",스프레드쇼크!$B$11:$L$11,0))),1))</f>
        <v>1</v>
      </c>
      <c r="AY478" s="90" t="n">
        <f aca="false">IF(스프레드쇼크!$C$5="Y",IF(ISNUMBER(AF478),MIN(스프레드쇼크!$C$7,MAX(스프레드쇼크!$C$6,AF478/스프레드쇼크!$C$8)),1),1)</f>
        <v>1</v>
      </c>
      <c r="AZ478" s="94" t="n">
        <f aca="false">AN478*AX478*AY478</f>
        <v>0</v>
      </c>
      <c r="BA478" s="90" t="n">
        <f aca="false">IF(ISNUMBER(G478),AA478*G478,0)</f>
        <v>0</v>
      </c>
      <c r="BB478" s="90" t="n">
        <f aca="false">IF(ISNUMBER(G478),AA478,0)</f>
        <v>0</v>
      </c>
      <c r="BC478" s="90" t="n">
        <f aca="false">IF(AND(Y478=0,ISNUMBER(AF478)),AA478*AF478,0)</f>
        <v>0</v>
      </c>
      <c r="BD478" s="90" t="n">
        <f aca="false">IF(AND(Y478=0,ISNUMBER(AF478)),AA478,0)</f>
        <v>0</v>
      </c>
      <c r="BE478" s="90" t="n">
        <f aca="false">IF(ISNUMBER(H478),AA478*H478,0)</f>
        <v>0</v>
      </c>
      <c r="BF478" s="90" t="n">
        <f aca="false">IF(ISNUMBER(H478),AA478,0)</f>
        <v>0</v>
      </c>
      <c r="BG478" s="90" t="n">
        <f aca="false">IF(AND(Y478=0,ISNUMBER(AF478),ISNUMBER(Z478)),AA478*Z478,0)</f>
        <v>0</v>
      </c>
      <c r="BH478" s="90" t="n">
        <f aca="false">IF(AND(Y478=0,ISNUMBER(AF478),ISNUMBER(Z478)),AA478*AT478*MAX(Z478-1,0),0)</f>
        <v>0</v>
      </c>
      <c r="BI478" s="90" t="n">
        <f aca="false">IF(Y478=0,AA478,0)</f>
        <v>0</v>
      </c>
    </row>
    <row r="479" customFormat="false" ht="15" hidden="false" customHeight="false" outlineLevel="0" collapsed="false">
      <c r="A479" s="83" t="str">
        <f aca="false">IFERROR(IF(INDEX(원자료_잔고!$A$1:$EZ$1500,설정!$L$5+ROW()-1,설정!$L$8)&amp;""="0","",INDEX(원자료_잔고!$A$1:$EZ$1500,설정!$L$5+ROW()-1,설정!$L$8)&amp;""),"")</f>
        <v/>
      </c>
      <c r="B479" s="83" t="str">
        <f aca="false">IFERROR(IF(INDEX(원자료_잔고!$A$1:$EZ$1500,설정!$L$5+ROW()-1,설정!$L$7)&amp;""="0","",INDEX(원자료_잔고!$A$1:$EZ$1500,설정!$L$5+ROW()-1,설정!$L$7)&amp;""),"")</f>
        <v/>
      </c>
      <c r="C479" s="83" t="str">
        <f aca="false">IFERROR(IF(INDEX(원자료_잔고!$A$1:$EZ$1500,설정!$L$5+ROW()-1,설정!$L$9)&amp;""="0","",INDEX(원자료_잔고!$A$1:$EZ$1500,설정!$L$5+ROW()-1,설정!$L$9)&amp;""),"")</f>
        <v/>
      </c>
      <c r="D479" s="83" t="str">
        <f aca="false">IFERROR(IF(INDEX(원자료_잔고!$A$1:$EZ$1500,설정!$L$5+ROW()-1,설정!$L$10)&amp;""="0","",INDEX(원자료_잔고!$A$1:$EZ$1500,설정!$L$5+ROW()-1,설정!$L$10)&amp;""),"")</f>
        <v/>
      </c>
      <c r="E479" s="84" t="str">
        <f aca="false">IFERROR(IF(ISNUMBER(INDEX(원자료_잔고!$A$1:$EZ$1500,설정!$L$5+ROW()-1,설정!$L$11)),INDEX(원자료_잔고!$A$1:$EZ$1500,설정!$L$5+ROW()-1,설정!$L$11),""),"")</f>
        <v/>
      </c>
      <c r="F479" s="85" t="str">
        <f aca="false">IFERROR(IF(ISNUMBER(INDEX(원자료_잔고!$A$1:$EZ$1500,설정!$L$5+ROW()-1,설정!$L$12)),INDEX(원자료_잔고!$A$1:$EZ$1500,설정!$L$5+ROW()-1,설정!$L$12),""),"")</f>
        <v/>
      </c>
      <c r="G479" s="85" t="str">
        <f aca="false">IFERROR(IF(ISNUMBER(INDEX(원자료_잔고!$A$1:$EZ$1500,설정!$L$5+ROW()-1,설정!$L$13)),INDEX(원자료_잔고!$A$1:$EZ$1500,설정!$L$5+ROW()-1,설정!$L$13),""),"")</f>
        <v/>
      </c>
      <c r="H479" s="85" t="str">
        <f aca="false">IFERROR(IF(ISNUMBER(INDEX(원자료_잔고!$A$1:$EZ$1500,설정!$L$5+ROW()-1,설정!$L$14)),INDEX(원자료_잔고!$A$1:$EZ$1500,설정!$L$5+ROW()-1,설정!$L$14),""),"")</f>
        <v/>
      </c>
      <c r="I479" s="86" t="str">
        <f aca="false">IFERROR(IF(ISNUMBER(INDEX(원자료_잔고!$A$1:$EZ$1500,설정!$L$5+ROW()-1,설정!$L$15)),INDEX(원자료_잔고!$A$1:$EZ$1500,설정!$L$5+ROW()-1,설정!$L$15),""),"")</f>
        <v/>
      </c>
      <c r="J479" s="85" t="str">
        <f aca="false">IFERROR(IF(ISNUMBER(INDEX(원자료_잔고!$A$1:$EZ$1500,설정!$L$5+ROW()-1,설정!$L$16)),INDEX(원자료_잔고!$A$1:$EZ$1500,설정!$L$5+ROW()-1,설정!$L$16),""),"")</f>
        <v/>
      </c>
      <c r="K479" s="87" t="str">
        <f aca="false">IFERROR(IF(ISNUMBER(INDEX(원자료_잔고!$A$1:$EZ$1500,설정!$L$5+ROW()-1,설정!$L$17)),INDEX(원자료_잔고!$A$1:$EZ$1500,설정!$L$5+ROW()-1,설정!$L$17),""),"")</f>
        <v/>
      </c>
      <c r="L479" s="84" t="str">
        <f aca="false">IFERROR(IF(ISNUMBER(INDEX(원자료_잔고!$A$1:$EZ$1500,설정!$L$5+ROW()-1,설정!$L$18)),INDEX(원자료_잔고!$A$1:$EZ$1500,설정!$L$5+ROW()-1,설정!$L$18),""),"")</f>
        <v/>
      </c>
      <c r="M479" s="88" t="str">
        <f aca="false">IFERROR(IF(ISNUMBER(INDEX(원자료_잔고!$A$1:$EZ$1500,설정!$L$5+ROW()-1,설정!$L$19)),INDEX(원자료_잔고!$A$1:$EZ$1500,설정!$L$5+ROW()-1,설정!$L$19),""),"")</f>
        <v/>
      </c>
      <c r="N479" s="83" t="str">
        <f aca="false">IFERROR(IF(INDEX(원자료_잔고!$A$1:$EZ$1500,설정!$L$5+ROW()-1,설정!$L$21)&amp;""="0","",INDEX(원자료_잔고!$A$1:$EZ$1500,설정!$L$5+ROW()-1,설정!$L$21)&amp;""),"")</f>
        <v/>
      </c>
      <c r="O479" s="83" t="str">
        <f aca="false">IFERROR(IF(INDEX(원자료_잔고!$A$1:$EZ$1500,설정!$L$5+ROW()-1,설정!$L$22)&amp;""="0","",INDEX(원자료_잔고!$A$1:$EZ$1500,설정!$L$5+ROW()-1,설정!$L$22)&amp;""),"")</f>
        <v/>
      </c>
      <c r="P479" s="83" t="str">
        <f aca="false">IFERROR(IF(INDEX(원자료_잔고!$A$1:$EZ$1500,설정!$L$5+ROW()-1,설정!$L$23)&amp;""="0","",INDEX(원자료_잔고!$A$1:$EZ$1500,설정!$L$5+ROW()-1,설정!$L$23)&amp;""),"")</f>
        <v/>
      </c>
      <c r="Q479" s="89" t="n">
        <f aca="false">IF(AND($A479&lt;&gt;"",ISNUMBER(E479)),IF(E479&gt;0,1,0),0)</f>
        <v>0</v>
      </c>
      <c r="R479" s="43" t="str">
        <f aca="false">IF(Q479=1,UPPER(LEFT($A479,FIND(" ",$A479&amp;" ")-1)),"")</f>
        <v/>
      </c>
      <c r="S479" s="89" t="n">
        <f aca="false">IF(Q479=1,IF(OR(ISNUMBER(SEARCH("Float",$A479)),ISNUMBER(SEARCH("FRN",$A479))),1,0),0)</f>
        <v>0</v>
      </c>
      <c r="T479" s="43" t="str">
        <f aca="false">IF(AND(Q479=1,ISNUMBER(I479)),TEXT(I479,"yyyymmdd")&amp;"|"&amp;IF(S479=1,"F",TEXT(J479,"0.000")),"")</f>
        <v/>
      </c>
      <c r="U479" s="90" t="str">
        <f aca="false">IF(AND(Q479=1,ISNUMBER(I479)),(I479-설정!$C$4)/365.25,"")</f>
        <v/>
      </c>
      <c r="V479" s="43" t="str">
        <f aca="false">IF(Q479&lt;&gt;1,"",IF(ISNUMBER(U479),IF(U479&lt;=1,"1년 이하",IF(U479&lt;=2,"1-2년",IF(U479&lt;=3,"2-3년",IF(U479&lt;=4,"3-4년",IF(U479&lt;=5,"4-5년",IF(U479&lt;=7,"5-7년",IF(U479&lt;=10,"7-10년",IF(U479&lt;=20,"10-20년","20년 이상")))))))),"미분류"))</f>
        <v/>
      </c>
      <c r="W479" s="43" t="str">
        <f aca="false">IF(Q479&lt;&gt;1,"",IF(AB479&lt;&gt;"",INDEX(시장분석!$C:$C,AB479),IF(K479=1,"USD","비USD")))</f>
        <v/>
      </c>
      <c r="X479" s="91" t="n">
        <f aca="false">IF(Q479=1,E479*K479/1000000,0)</f>
        <v>0</v>
      </c>
      <c r="Y479" s="89" t="n">
        <f aca="false">IF(R479="T",1,0)</f>
        <v>0</v>
      </c>
      <c r="Z479" s="92" t="str">
        <f aca="false">IF(Q479&lt;&gt;1,"",IF(AD479=1,IF(ISNUMBER(U479),MAX(U479,0),H479),H479))</f>
        <v/>
      </c>
      <c r="AA479" s="91" t="n">
        <f aca="false">IF(Q479=1,IF(ISNUMBER(L479),L479,0)*K479/1000000,0)</f>
        <v>0</v>
      </c>
      <c r="AB479" s="89" t="str">
        <f aca="false">IF(Q479&lt;&gt;1,"",IFERROR(MATCH(VLOOKUP(B479,매핑!$H$4:$I$15,2,0),시장분석!$A$2:$A$601,0)+1,IFERROR(MATCH(R479&amp;"|"&amp;T479,시장분석!$V$2:$V$601,0)+1,IF(COUNTIF(시장분석!$U$2:$U$601,T479)=1,MATCH(T479,시장분석!$U$2:$U$601,0)+1,""))))</f>
        <v/>
      </c>
      <c r="AC479" s="89" t="n">
        <f aca="false">IF(Q479&lt;&gt;1,0,IF(OR(설정!$C$5="전체",AND(설정!$C$5="선택펀드",IFERROR(COUNTIFS(설정!$F$16:$F$36,C479,설정!$G$16:$G$36,"Y")+COUNTIFS(설정!$F$16:$F$36,VALUE(C479),설정!$G$16:$G$36,"Y"),0)&gt;0),C479&amp;""=설정!$C$5&amp;""),1,0))</f>
        <v>0</v>
      </c>
      <c r="AD479" s="89" t="n">
        <f aca="false">IF(Q479&lt;&gt;1,0,IF(OR(S479=1,IF(AB479="",FALSE(),INDEX(시장분석!$R:$R,AB479)=1)),1,0))</f>
        <v>0</v>
      </c>
      <c r="AE479" s="43" t="str">
        <f aca="false">IF(AB479="","",INDEX(시장분석!$A:$A,AB479))</f>
        <v/>
      </c>
      <c r="AF479" s="93" t="str">
        <f aca="false">IF(AB479="","",IF(ISNUMBER(IF(AB479="","",INDEX(시장분석!$E:$E,AB479))),IF(AB479="","",INDEX(시장분석!$E:$E,AB479)),""))</f>
        <v/>
      </c>
      <c r="AG479" s="43" t="str">
        <f aca="false">IF(Q479&lt;&gt;1,"",IF(AB479&lt;&gt;"",IF(AB479="","",INDEX(시장분석!$L:$L,AB479)),IFERROR(IF(VLOOKUP(R479,매핑!$A$4:$E$92,5,0)="","미분류",VLOOKUP(R479,매핑!$A$4:$E$92,5,0)),"미분류")))</f>
        <v/>
      </c>
      <c r="AH479" s="43" t="str">
        <f aca="false">IF(Q479&lt;&gt;1,"",IF(AB479&lt;&gt;"",IF(AB479="","",INDEX(시장분석!$N:$N,AB479)),IFERROR(IF(VLOOKUP(R479,매핑!$A$4:$E$92,4,0)="","미분류",VLOOKUP(R479,매핑!$A$4:$E$92,4,0)),"미분류")))</f>
        <v/>
      </c>
      <c r="AI479" s="43" t="str">
        <f aca="false">IF(Q479&lt;&gt;1,"",IFERROR(IF(VLOOKUP(R479,매핑!$A$4:$E$92,3,0)="","미분류",VLOOKUP(R479,매핑!$A$4:$E$92,3,0)),IF(AB479&lt;&gt;"",IF(AB479="","",INDEX(시장분석!$W:$W,AB479)),"미분류")))</f>
        <v/>
      </c>
      <c r="AJ479" s="43" t="str">
        <f aca="false">IF(Q479&lt;&gt;1,"",IFERROR(VLOOKUP(IF(N479&lt;&gt;"",N479,IF(P479&lt;&gt;"",P479,O479)),설정!$A$15:$D$47,2,0),""))</f>
        <v/>
      </c>
      <c r="AK479" s="43" t="str">
        <f aca="false">IF(Q479&lt;&gt;1,"",IF(AJ479="","무등급",IFERROR(VLOOKUP(AJ479,설정!$A$15:$D$47,3,0),"무등급")))</f>
        <v/>
      </c>
      <c r="AL479" s="89" t="n">
        <f aca="false">IF(AJ479="",99,IFERROR(VLOOKUP(AJ479,설정!$A$15:$D$47,4,0),99))</f>
        <v>99</v>
      </c>
      <c r="AM479" s="94" t="n">
        <f aca="false">IF(ISNUMBER(H479),AA479*1000000*H479/10000,0)</f>
        <v>0</v>
      </c>
      <c r="AN479" s="94" t="n">
        <f aca="false">IF(OR(Y479=1,NOT(ISNUMBER(Z479))),0,AA479*1000000*Z479/10000)</f>
        <v>0</v>
      </c>
      <c r="AO479" s="94" t="n">
        <f aca="false">IF(ISNUMBER(G479),AA479*1000000*G479/100,0)</f>
        <v>0</v>
      </c>
      <c r="AP479" s="94" t="n">
        <f aca="false">IF(ISNUMBER(M479),M479*K479,0)</f>
        <v>0</v>
      </c>
      <c r="AQ479" s="95" t="str">
        <f aca="false">IF(AB479="","",INDEX(시장분석!$AK:$AK,AB479))</f>
        <v/>
      </c>
      <c r="AR479" s="43" t="str">
        <f aca="false">IF(AB479="","-",IF(AB479="","",INDEX(시장분석!$AL:$AL,AB479)))</f>
        <v>-</v>
      </c>
      <c r="AS479" s="96" t="str">
        <f aca="false">IF(AB479="","",INDEX(시장분석!$AJ:$AJ,AB479))</f>
        <v/>
      </c>
      <c r="AT479" s="93" t="n">
        <f aca="false">IF(AB479="",0,IF(AB479="","",INDEX(시장분석!$AN:$AN,AB479)))</f>
        <v>0</v>
      </c>
      <c r="AU479" s="94" t="n">
        <f aca="false">IF(ISNUMBER(Z479),AT479/10000*MAX(Z479-1,0)*AA479*1000000,0)</f>
        <v>0</v>
      </c>
      <c r="AV479" s="94" t="n">
        <f aca="false">AO479+AU479</f>
        <v>0</v>
      </c>
      <c r="AW479" s="43" t="str">
        <f aca="false">IF(Q479&lt;&gt;1,"",TRIM(IF(AD479=1,"FRN ","")&amp;IF(AND(AL479&gt;=10,AL479&lt;99),"BBB0미만 ","")&amp;IF(AJ479="","등급없음 ","")&amp;IF(K479&lt;&gt;1,"비USD ","")&amp;IF(AND(AB479="",Y479=0),"시장데이터없음 ","")&amp;IF(AND(ISNUMBER(U479),U479&lt;0),"만기경과 ","")))</f>
        <v/>
      </c>
      <c r="AX479" s="90" t="n">
        <f aca="false">IF(Q479&lt;&gt;1,1,IF(스프레드쇼크!$C$4="Y",INDEX(스프레드쇼크!$B$12:$L$16,IFERROR(MATCH(AH479,스프레드쇼크!$A$12:$A$16,0),MATCH("목록외",스프레드쇼크!$A$12:$A$16,0)),IFERROR(MATCH(AG479,스프레드쇼크!$B$11:$L$11,0),MATCH("목록외",스프레드쇼크!$B$11:$L$11,0))),1))</f>
        <v>1</v>
      </c>
      <c r="AY479" s="90" t="n">
        <f aca="false">IF(스프레드쇼크!$C$5="Y",IF(ISNUMBER(AF479),MIN(스프레드쇼크!$C$7,MAX(스프레드쇼크!$C$6,AF479/스프레드쇼크!$C$8)),1),1)</f>
        <v>1</v>
      </c>
      <c r="AZ479" s="94" t="n">
        <f aca="false">AN479*AX479*AY479</f>
        <v>0</v>
      </c>
      <c r="BA479" s="90" t="n">
        <f aca="false">IF(ISNUMBER(G479),AA479*G479,0)</f>
        <v>0</v>
      </c>
      <c r="BB479" s="90" t="n">
        <f aca="false">IF(ISNUMBER(G479),AA479,0)</f>
        <v>0</v>
      </c>
      <c r="BC479" s="90" t="n">
        <f aca="false">IF(AND(Y479=0,ISNUMBER(AF479)),AA479*AF479,0)</f>
        <v>0</v>
      </c>
      <c r="BD479" s="90" t="n">
        <f aca="false">IF(AND(Y479=0,ISNUMBER(AF479)),AA479,0)</f>
        <v>0</v>
      </c>
      <c r="BE479" s="90" t="n">
        <f aca="false">IF(ISNUMBER(H479),AA479*H479,0)</f>
        <v>0</v>
      </c>
      <c r="BF479" s="90" t="n">
        <f aca="false">IF(ISNUMBER(H479),AA479,0)</f>
        <v>0</v>
      </c>
      <c r="BG479" s="90" t="n">
        <f aca="false">IF(AND(Y479=0,ISNUMBER(AF479),ISNUMBER(Z479)),AA479*Z479,0)</f>
        <v>0</v>
      </c>
      <c r="BH479" s="90" t="n">
        <f aca="false">IF(AND(Y479=0,ISNUMBER(AF479),ISNUMBER(Z479)),AA479*AT479*MAX(Z479-1,0),0)</f>
        <v>0</v>
      </c>
      <c r="BI479" s="90" t="n">
        <f aca="false">IF(Y479=0,AA479,0)</f>
        <v>0</v>
      </c>
    </row>
    <row r="480" customFormat="false" ht="15" hidden="false" customHeight="false" outlineLevel="0" collapsed="false">
      <c r="A480" s="83" t="str">
        <f aca="false">IFERROR(IF(INDEX(원자료_잔고!$A$1:$EZ$1500,설정!$L$5+ROW()-1,설정!$L$8)&amp;""="0","",INDEX(원자료_잔고!$A$1:$EZ$1500,설정!$L$5+ROW()-1,설정!$L$8)&amp;""),"")</f>
        <v/>
      </c>
      <c r="B480" s="83" t="str">
        <f aca="false">IFERROR(IF(INDEX(원자료_잔고!$A$1:$EZ$1500,설정!$L$5+ROW()-1,설정!$L$7)&amp;""="0","",INDEX(원자료_잔고!$A$1:$EZ$1500,설정!$L$5+ROW()-1,설정!$L$7)&amp;""),"")</f>
        <v/>
      </c>
      <c r="C480" s="83" t="str">
        <f aca="false">IFERROR(IF(INDEX(원자료_잔고!$A$1:$EZ$1500,설정!$L$5+ROW()-1,설정!$L$9)&amp;""="0","",INDEX(원자료_잔고!$A$1:$EZ$1500,설정!$L$5+ROW()-1,설정!$L$9)&amp;""),"")</f>
        <v/>
      </c>
      <c r="D480" s="83" t="str">
        <f aca="false">IFERROR(IF(INDEX(원자료_잔고!$A$1:$EZ$1500,설정!$L$5+ROW()-1,설정!$L$10)&amp;""="0","",INDEX(원자료_잔고!$A$1:$EZ$1500,설정!$L$5+ROW()-1,설정!$L$10)&amp;""),"")</f>
        <v/>
      </c>
      <c r="E480" s="84" t="str">
        <f aca="false">IFERROR(IF(ISNUMBER(INDEX(원자료_잔고!$A$1:$EZ$1500,설정!$L$5+ROW()-1,설정!$L$11)),INDEX(원자료_잔고!$A$1:$EZ$1500,설정!$L$5+ROW()-1,설정!$L$11),""),"")</f>
        <v/>
      </c>
      <c r="F480" s="85" t="str">
        <f aca="false">IFERROR(IF(ISNUMBER(INDEX(원자료_잔고!$A$1:$EZ$1500,설정!$L$5+ROW()-1,설정!$L$12)),INDEX(원자료_잔고!$A$1:$EZ$1500,설정!$L$5+ROW()-1,설정!$L$12),""),"")</f>
        <v/>
      </c>
      <c r="G480" s="85" t="str">
        <f aca="false">IFERROR(IF(ISNUMBER(INDEX(원자료_잔고!$A$1:$EZ$1500,설정!$L$5+ROW()-1,설정!$L$13)),INDEX(원자료_잔고!$A$1:$EZ$1500,설정!$L$5+ROW()-1,설정!$L$13),""),"")</f>
        <v/>
      </c>
      <c r="H480" s="85" t="str">
        <f aca="false">IFERROR(IF(ISNUMBER(INDEX(원자료_잔고!$A$1:$EZ$1500,설정!$L$5+ROW()-1,설정!$L$14)),INDEX(원자료_잔고!$A$1:$EZ$1500,설정!$L$5+ROW()-1,설정!$L$14),""),"")</f>
        <v/>
      </c>
      <c r="I480" s="86" t="str">
        <f aca="false">IFERROR(IF(ISNUMBER(INDEX(원자료_잔고!$A$1:$EZ$1500,설정!$L$5+ROW()-1,설정!$L$15)),INDEX(원자료_잔고!$A$1:$EZ$1500,설정!$L$5+ROW()-1,설정!$L$15),""),"")</f>
        <v/>
      </c>
      <c r="J480" s="85" t="str">
        <f aca="false">IFERROR(IF(ISNUMBER(INDEX(원자료_잔고!$A$1:$EZ$1500,설정!$L$5+ROW()-1,설정!$L$16)),INDEX(원자료_잔고!$A$1:$EZ$1500,설정!$L$5+ROW()-1,설정!$L$16),""),"")</f>
        <v/>
      </c>
      <c r="K480" s="87" t="str">
        <f aca="false">IFERROR(IF(ISNUMBER(INDEX(원자료_잔고!$A$1:$EZ$1500,설정!$L$5+ROW()-1,설정!$L$17)),INDEX(원자료_잔고!$A$1:$EZ$1500,설정!$L$5+ROW()-1,설정!$L$17),""),"")</f>
        <v/>
      </c>
      <c r="L480" s="84" t="str">
        <f aca="false">IFERROR(IF(ISNUMBER(INDEX(원자료_잔고!$A$1:$EZ$1500,설정!$L$5+ROW()-1,설정!$L$18)),INDEX(원자료_잔고!$A$1:$EZ$1500,설정!$L$5+ROW()-1,설정!$L$18),""),"")</f>
        <v/>
      </c>
      <c r="M480" s="88" t="str">
        <f aca="false">IFERROR(IF(ISNUMBER(INDEX(원자료_잔고!$A$1:$EZ$1500,설정!$L$5+ROW()-1,설정!$L$19)),INDEX(원자료_잔고!$A$1:$EZ$1500,설정!$L$5+ROW()-1,설정!$L$19),""),"")</f>
        <v/>
      </c>
      <c r="N480" s="83" t="str">
        <f aca="false">IFERROR(IF(INDEX(원자료_잔고!$A$1:$EZ$1500,설정!$L$5+ROW()-1,설정!$L$21)&amp;""="0","",INDEX(원자료_잔고!$A$1:$EZ$1500,설정!$L$5+ROW()-1,설정!$L$21)&amp;""),"")</f>
        <v/>
      </c>
      <c r="O480" s="83" t="str">
        <f aca="false">IFERROR(IF(INDEX(원자료_잔고!$A$1:$EZ$1500,설정!$L$5+ROW()-1,설정!$L$22)&amp;""="0","",INDEX(원자료_잔고!$A$1:$EZ$1500,설정!$L$5+ROW()-1,설정!$L$22)&amp;""),"")</f>
        <v/>
      </c>
      <c r="P480" s="83" t="str">
        <f aca="false">IFERROR(IF(INDEX(원자료_잔고!$A$1:$EZ$1500,설정!$L$5+ROW()-1,설정!$L$23)&amp;""="0","",INDEX(원자료_잔고!$A$1:$EZ$1500,설정!$L$5+ROW()-1,설정!$L$23)&amp;""),"")</f>
        <v/>
      </c>
      <c r="Q480" s="89" t="n">
        <f aca="false">IF(AND($A480&lt;&gt;"",ISNUMBER(E480)),IF(E480&gt;0,1,0),0)</f>
        <v>0</v>
      </c>
      <c r="R480" s="43" t="str">
        <f aca="false">IF(Q480=1,UPPER(LEFT($A480,FIND(" ",$A480&amp;" ")-1)),"")</f>
        <v/>
      </c>
      <c r="S480" s="89" t="n">
        <f aca="false">IF(Q480=1,IF(OR(ISNUMBER(SEARCH("Float",$A480)),ISNUMBER(SEARCH("FRN",$A480))),1,0),0)</f>
        <v>0</v>
      </c>
      <c r="T480" s="43" t="str">
        <f aca="false">IF(AND(Q480=1,ISNUMBER(I480)),TEXT(I480,"yyyymmdd")&amp;"|"&amp;IF(S480=1,"F",TEXT(J480,"0.000")),"")</f>
        <v/>
      </c>
      <c r="U480" s="90" t="str">
        <f aca="false">IF(AND(Q480=1,ISNUMBER(I480)),(I480-설정!$C$4)/365.25,"")</f>
        <v/>
      </c>
      <c r="V480" s="43" t="str">
        <f aca="false">IF(Q480&lt;&gt;1,"",IF(ISNUMBER(U480),IF(U480&lt;=1,"1년 이하",IF(U480&lt;=2,"1-2년",IF(U480&lt;=3,"2-3년",IF(U480&lt;=4,"3-4년",IF(U480&lt;=5,"4-5년",IF(U480&lt;=7,"5-7년",IF(U480&lt;=10,"7-10년",IF(U480&lt;=20,"10-20년","20년 이상")))))))),"미분류"))</f>
        <v/>
      </c>
      <c r="W480" s="43" t="str">
        <f aca="false">IF(Q480&lt;&gt;1,"",IF(AB480&lt;&gt;"",INDEX(시장분석!$C:$C,AB480),IF(K480=1,"USD","비USD")))</f>
        <v/>
      </c>
      <c r="X480" s="91" t="n">
        <f aca="false">IF(Q480=1,E480*K480/1000000,0)</f>
        <v>0</v>
      </c>
      <c r="Y480" s="89" t="n">
        <f aca="false">IF(R480="T",1,0)</f>
        <v>0</v>
      </c>
      <c r="Z480" s="92" t="str">
        <f aca="false">IF(Q480&lt;&gt;1,"",IF(AD480=1,IF(ISNUMBER(U480),MAX(U480,0),H480),H480))</f>
        <v/>
      </c>
      <c r="AA480" s="91" t="n">
        <f aca="false">IF(Q480=1,IF(ISNUMBER(L480),L480,0)*K480/1000000,0)</f>
        <v>0</v>
      </c>
      <c r="AB480" s="89" t="str">
        <f aca="false">IF(Q480&lt;&gt;1,"",IFERROR(MATCH(VLOOKUP(B480,매핑!$H$4:$I$15,2,0),시장분석!$A$2:$A$601,0)+1,IFERROR(MATCH(R480&amp;"|"&amp;T480,시장분석!$V$2:$V$601,0)+1,IF(COUNTIF(시장분석!$U$2:$U$601,T480)=1,MATCH(T480,시장분석!$U$2:$U$601,0)+1,""))))</f>
        <v/>
      </c>
      <c r="AC480" s="89" t="n">
        <f aca="false">IF(Q480&lt;&gt;1,0,IF(OR(설정!$C$5="전체",AND(설정!$C$5="선택펀드",IFERROR(COUNTIFS(설정!$F$16:$F$36,C480,설정!$G$16:$G$36,"Y")+COUNTIFS(설정!$F$16:$F$36,VALUE(C480),설정!$G$16:$G$36,"Y"),0)&gt;0),C480&amp;""=설정!$C$5&amp;""),1,0))</f>
        <v>0</v>
      </c>
      <c r="AD480" s="89" t="n">
        <f aca="false">IF(Q480&lt;&gt;1,0,IF(OR(S480=1,IF(AB480="",FALSE(),INDEX(시장분석!$R:$R,AB480)=1)),1,0))</f>
        <v>0</v>
      </c>
      <c r="AE480" s="43" t="str">
        <f aca="false">IF(AB480="","",INDEX(시장분석!$A:$A,AB480))</f>
        <v/>
      </c>
      <c r="AF480" s="93" t="str">
        <f aca="false">IF(AB480="","",IF(ISNUMBER(IF(AB480="","",INDEX(시장분석!$E:$E,AB480))),IF(AB480="","",INDEX(시장분석!$E:$E,AB480)),""))</f>
        <v/>
      </c>
      <c r="AG480" s="43" t="str">
        <f aca="false">IF(Q480&lt;&gt;1,"",IF(AB480&lt;&gt;"",IF(AB480="","",INDEX(시장분석!$L:$L,AB480)),IFERROR(IF(VLOOKUP(R480,매핑!$A$4:$E$92,5,0)="","미분류",VLOOKUP(R480,매핑!$A$4:$E$92,5,0)),"미분류")))</f>
        <v/>
      </c>
      <c r="AH480" s="43" t="str">
        <f aca="false">IF(Q480&lt;&gt;1,"",IF(AB480&lt;&gt;"",IF(AB480="","",INDEX(시장분석!$N:$N,AB480)),IFERROR(IF(VLOOKUP(R480,매핑!$A$4:$E$92,4,0)="","미분류",VLOOKUP(R480,매핑!$A$4:$E$92,4,0)),"미분류")))</f>
        <v/>
      </c>
      <c r="AI480" s="43" t="str">
        <f aca="false">IF(Q480&lt;&gt;1,"",IFERROR(IF(VLOOKUP(R480,매핑!$A$4:$E$92,3,0)="","미분류",VLOOKUP(R480,매핑!$A$4:$E$92,3,0)),IF(AB480&lt;&gt;"",IF(AB480="","",INDEX(시장분석!$W:$W,AB480)),"미분류")))</f>
        <v/>
      </c>
      <c r="AJ480" s="43" t="str">
        <f aca="false">IF(Q480&lt;&gt;1,"",IFERROR(VLOOKUP(IF(N480&lt;&gt;"",N480,IF(P480&lt;&gt;"",P480,O480)),설정!$A$15:$D$47,2,0),""))</f>
        <v/>
      </c>
      <c r="AK480" s="43" t="str">
        <f aca="false">IF(Q480&lt;&gt;1,"",IF(AJ480="","무등급",IFERROR(VLOOKUP(AJ480,설정!$A$15:$D$47,3,0),"무등급")))</f>
        <v/>
      </c>
      <c r="AL480" s="89" t="n">
        <f aca="false">IF(AJ480="",99,IFERROR(VLOOKUP(AJ480,설정!$A$15:$D$47,4,0),99))</f>
        <v>99</v>
      </c>
      <c r="AM480" s="94" t="n">
        <f aca="false">IF(ISNUMBER(H480),AA480*1000000*H480/10000,0)</f>
        <v>0</v>
      </c>
      <c r="AN480" s="94" t="n">
        <f aca="false">IF(OR(Y480=1,NOT(ISNUMBER(Z480))),0,AA480*1000000*Z480/10000)</f>
        <v>0</v>
      </c>
      <c r="AO480" s="94" t="n">
        <f aca="false">IF(ISNUMBER(G480),AA480*1000000*G480/100,0)</f>
        <v>0</v>
      </c>
      <c r="AP480" s="94" t="n">
        <f aca="false">IF(ISNUMBER(M480),M480*K480,0)</f>
        <v>0</v>
      </c>
      <c r="AQ480" s="95" t="str">
        <f aca="false">IF(AB480="","",INDEX(시장분석!$AK:$AK,AB480))</f>
        <v/>
      </c>
      <c r="AR480" s="43" t="str">
        <f aca="false">IF(AB480="","-",IF(AB480="","",INDEX(시장분석!$AL:$AL,AB480)))</f>
        <v>-</v>
      </c>
      <c r="AS480" s="96" t="str">
        <f aca="false">IF(AB480="","",INDEX(시장분석!$AJ:$AJ,AB480))</f>
        <v/>
      </c>
      <c r="AT480" s="93" t="n">
        <f aca="false">IF(AB480="",0,IF(AB480="","",INDEX(시장분석!$AN:$AN,AB480)))</f>
        <v>0</v>
      </c>
      <c r="AU480" s="94" t="n">
        <f aca="false">IF(ISNUMBER(Z480),AT480/10000*MAX(Z480-1,0)*AA480*1000000,0)</f>
        <v>0</v>
      </c>
      <c r="AV480" s="94" t="n">
        <f aca="false">AO480+AU480</f>
        <v>0</v>
      </c>
      <c r="AW480" s="43" t="str">
        <f aca="false">IF(Q480&lt;&gt;1,"",TRIM(IF(AD480=1,"FRN ","")&amp;IF(AND(AL480&gt;=10,AL480&lt;99),"BBB0미만 ","")&amp;IF(AJ480="","등급없음 ","")&amp;IF(K480&lt;&gt;1,"비USD ","")&amp;IF(AND(AB480="",Y480=0),"시장데이터없음 ","")&amp;IF(AND(ISNUMBER(U480),U480&lt;0),"만기경과 ","")))</f>
        <v/>
      </c>
      <c r="AX480" s="90" t="n">
        <f aca="false">IF(Q480&lt;&gt;1,1,IF(스프레드쇼크!$C$4="Y",INDEX(스프레드쇼크!$B$12:$L$16,IFERROR(MATCH(AH480,스프레드쇼크!$A$12:$A$16,0),MATCH("목록외",스프레드쇼크!$A$12:$A$16,0)),IFERROR(MATCH(AG480,스프레드쇼크!$B$11:$L$11,0),MATCH("목록외",스프레드쇼크!$B$11:$L$11,0))),1))</f>
        <v>1</v>
      </c>
      <c r="AY480" s="90" t="n">
        <f aca="false">IF(스프레드쇼크!$C$5="Y",IF(ISNUMBER(AF480),MIN(스프레드쇼크!$C$7,MAX(스프레드쇼크!$C$6,AF480/스프레드쇼크!$C$8)),1),1)</f>
        <v>1</v>
      </c>
      <c r="AZ480" s="94" t="n">
        <f aca="false">AN480*AX480*AY480</f>
        <v>0</v>
      </c>
      <c r="BA480" s="90" t="n">
        <f aca="false">IF(ISNUMBER(G480),AA480*G480,0)</f>
        <v>0</v>
      </c>
      <c r="BB480" s="90" t="n">
        <f aca="false">IF(ISNUMBER(G480),AA480,0)</f>
        <v>0</v>
      </c>
      <c r="BC480" s="90" t="n">
        <f aca="false">IF(AND(Y480=0,ISNUMBER(AF480)),AA480*AF480,0)</f>
        <v>0</v>
      </c>
      <c r="BD480" s="90" t="n">
        <f aca="false">IF(AND(Y480=0,ISNUMBER(AF480)),AA480,0)</f>
        <v>0</v>
      </c>
      <c r="BE480" s="90" t="n">
        <f aca="false">IF(ISNUMBER(H480),AA480*H480,0)</f>
        <v>0</v>
      </c>
      <c r="BF480" s="90" t="n">
        <f aca="false">IF(ISNUMBER(H480),AA480,0)</f>
        <v>0</v>
      </c>
      <c r="BG480" s="90" t="n">
        <f aca="false">IF(AND(Y480=0,ISNUMBER(AF480),ISNUMBER(Z480)),AA480*Z480,0)</f>
        <v>0</v>
      </c>
      <c r="BH480" s="90" t="n">
        <f aca="false">IF(AND(Y480=0,ISNUMBER(AF480),ISNUMBER(Z480)),AA480*AT480*MAX(Z480-1,0),0)</f>
        <v>0</v>
      </c>
      <c r="BI480" s="90" t="n">
        <f aca="false">IF(Y480=0,AA480,0)</f>
        <v>0</v>
      </c>
    </row>
    <row r="481" customFormat="false" ht="15" hidden="false" customHeight="false" outlineLevel="0" collapsed="false">
      <c r="A481" s="83" t="str">
        <f aca="false">IFERROR(IF(INDEX(원자료_잔고!$A$1:$EZ$1500,설정!$L$5+ROW()-1,설정!$L$8)&amp;""="0","",INDEX(원자료_잔고!$A$1:$EZ$1500,설정!$L$5+ROW()-1,설정!$L$8)&amp;""),"")</f>
        <v/>
      </c>
      <c r="B481" s="83" t="str">
        <f aca="false">IFERROR(IF(INDEX(원자료_잔고!$A$1:$EZ$1500,설정!$L$5+ROW()-1,설정!$L$7)&amp;""="0","",INDEX(원자료_잔고!$A$1:$EZ$1500,설정!$L$5+ROW()-1,설정!$L$7)&amp;""),"")</f>
        <v/>
      </c>
      <c r="C481" s="83" t="str">
        <f aca="false">IFERROR(IF(INDEX(원자료_잔고!$A$1:$EZ$1500,설정!$L$5+ROW()-1,설정!$L$9)&amp;""="0","",INDEX(원자료_잔고!$A$1:$EZ$1500,설정!$L$5+ROW()-1,설정!$L$9)&amp;""),"")</f>
        <v/>
      </c>
      <c r="D481" s="83" t="str">
        <f aca="false">IFERROR(IF(INDEX(원자료_잔고!$A$1:$EZ$1500,설정!$L$5+ROW()-1,설정!$L$10)&amp;""="0","",INDEX(원자료_잔고!$A$1:$EZ$1500,설정!$L$5+ROW()-1,설정!$L$10)&amp;""),"")</f>
        <v/>
      </c>
      <c r="E481" s="84" t="str">
        <f aca="false">IFERROR(IF(ISNUMBER(INDEX(원자료_잔고!$A$1:$EZ$1500,설정!$L$5+ROW()-1,설정!$L$11)),INDEX(원자료_잔고!$A$1:$EZ$1500,설정!$L$5+ROW()-1,설정!$L$11),""),"")</f>
        <v/>
      </c>
      <c r="F481" s="85" t="str">
        <f aca="false">IFERROR(IF(ISNUMBER(INDEX(원자료_잔고!$A$1:$EZ$1500,설정!$L$5+ROW()-1,설정!$L$12)),INDEX(원자료_잔고!$A$1:$EZ$1500,설정!$L$5+ROW()-1,설정!$L$12),""),"")</f>
        <v/>
      </c>
      <c r="G481" s="85" t="str">
        <f aca="false">IFERROR(IF(ISNUMBER(INDEX(원자료_잔고!$A$1:$EZ$1500,설정!$L$5+ROW()-1,설정!$L$13)),INDEX(원자료_잔고!$A$1:$EZ$1500,설정!$L$5+ROW()-1,설정!$L$13),""),"")</f>
        <v/>
      </c>
      <c r="H481" s="85" t="str">
        <f aca="false">IFERROR(IF(ISNUMBER(INDEX(원자료_잔고!$A$1:$EZ$1500,설정!$L$5+ROW()-1,설정!$L$14)),INDEX(원자료_잔고!$A$1:$EZ$1500,설정!$L$5+ROW()-1,설정!$L$14),""),"")</f>
        <v/>
      </c>
      <c r="I481" s="86" t="str">
        <f aca="false">IFERROR(IF(ISNUMBER(INDEX(원자료_잔고!$A$1:$EZ$1500,설정!$L$5+ROW()-1,설정!$L$15)),INDEX(원자료_잔고!$A$1:$EZ$1500,설정!$L$5+ROW()-1,설정!$L$15),""),"")</f>
        <v/>
      </c>
      <c r="J481" s="85" t="str">
        <f aca="false">IFERROR(IF(ISNUMBER(INDEX(원자료_잔고!$A$1:$EZ$1500,설정!$L$5+ROW()-1,설정!$L$16)),INDEX(원자료_잔고!$A$1:$EZ$1500,설정!$L$5+ROW()-1,설정!$L$16),""),"")</f>
        <v/>
      </c>
      <c r="K481" s="87" t="str">
        <f aca="false">IFERROR(IF(ISNUMBER(INDEX(원자료_잔고!$A$1:$EZ$1500,설정!$L$5+ROW()-1,설정!$L$17)),INDEX(원자료_잔고!$A$1:$EZ$1500,설정!$L$5+ROW()-1,설정!$L$17),""),"")</f>
        <v/>
      </c>
      <c r="L481" s="84" t="str">
        <f aca="false">IFERROR(IF(ISNUMBER(INDEX(원자료_잔고!$A$1:$EZ$1500,설정!$L$5+ROW()-1,설정!$L$18)),INDEX(원자료_잔고!$A$1:$EZ$1500,설정!$L$5+ROW()-1,설정!$L$18),""),"")</f>
        <v/>
      </c>
      <c r="M481" s="88" t="str">
        <f aca="false">IFERROR(IF(ISNUMBER(INDEX(원자료_잔고!$A$1:$EZ$1500,설정!$L$5+ROW()-1,설정!$L$19)),INDEX(원자료_잔고!$A$1:$EZ$1500,설정!$L$5+ROW()-1,설정!$L$19),""),"")</f>
        <v/>
      </c>
      <c r="N481" s="83" t="str">
        <f aca="false">IFERROR(IF(INDEX(원자료_잔고!$A$1:$EZ$1500,설정!$L$5+ROW()-1,설정!$L$21)&amp;""="0","",INDEX(원자료_잔고!$A$1:$EZ$1500,설정!$L$5+ROW()-1,설정!$L$21)&amp;""),"")</f>
        <v/>
      </c>
      <c r="O481" s="83" t="str">
        <f aca="false">IFERROR(IF(INDEX(원자료_잔고!$A$1:$EZ$1500,설정!$L$5+ROW()-1,설정!$L$22)&amp;""="0","",INDEX(원자료_잔고!$A$1:$EZ$1500,설정!$L$5+ROW()-1,설정!$L$22)&amp;""),"")</f>
        <v/>
      </c>
      <c r="P481" s="83" t="str">
        <f aca="false">IFERROR(IF(INDEX(원자료_잔고!$A$1:$EZ$1500,설정!$L$5+ROW()-1,설정!$L$23)&amp;""="0","",INDEX(원자료_잔고!$A$1:$EZ$1500,설정!$L$5+ROW()-1,설정!$L$23)&amp;""),"")</f>
        <v/>
      </c>
      <c r="Q481" s="89" t="n">
        <f aca="false">IF(AND($A481&lt;&gt;"",ISNUMBER(E481)),IF(E481&gt;0,1,0),0)</f>
        <v>0</v>
      </c>
      <c r="R481" s="43" t="str">
        <f aca="false">IF(Q481=1,UPPER(LEFT($A481,FIND(" ",$A481&amp;" ")-1)),"")</f>
        <v/>
      </c>
      <c r="S481" s="89" t="n">
        <f aca="false">IF(Q481=1,IF(OR(ISNUMBER(SEARCH("Float",$A481)),ISNUMBER(SEARCH("FRN",$A481))),1,0),0)</f>
        <v>0</v>
      </c>
      <c r="T481" s="43" t="str">
        <f aca="false">IF(AND(Q481=1,ISNUMBER(I481)),TEXT(I481,"yyyymmdd")&amp;"|"&amp;IF(S481=1,"F",TEXT(J481,"0.000")),"")</f>
        <v/>
      </c>
      <c r="U481" s="90" t="str">
        <f aca="false">IF(AND(Q481=1,ISNUMBER(I481)),(I481-설정!$C$4)/365.25,"")</f>
        <v/>
      </c>
      <c r="V481" s="43" t="str">
        <f aca="false">IF(Q481&lt;&gt;1,"",IF(ISNUMBER(U481),IF(U481&lt;=1,"1년 이하",IF(U481&lt;=2,"1-2년",IF(U481&lt;=3,"2-3년",IF(U481&lt;=4,"3-4년",IF(U481&lt;=5,"4-5년",IF(U481&lt;=7,"5-7년",IF(U481&lt;=10,"7-10년",IF(U481&lt;=20,"10-20년","20년 이상")))))))),"미분류"))</f>
        <v/>
      </c>
      <c r="W481" s="43" t="str">
        <f aca="false">IF(Q481&lt;&gt;1,"",IF(AB481&lt;&gt;"",INDEX(시장분석!$C:$C,AB481),IF(K481=1,"USD","비USD")))</f>
        <v/>
      </c>
      <c r="X481" s="91" t="n">
        <f aca="false">IF(Q481=1,E481*K481/1000000,0)</f>
        <v>0</v>
      </c>
      <c r="Y481" s="89" t="n">
        <f aca="false">IF(R481="T",1,0)</f>
        <v>0</v>
      </c>
      <c r="Z481" s="92" t="str">
        <f aca="false">IF(Q481&lt;&gt;1,"",IF(AD481=1,IF(ISNUMBER(U481),MAX(U481,0),H481),H481))</f>
        <v/>
      </c>
      <c r="AA481" s="91" t="n">
        <f aca="false">IF(Q481=1,IF(ISNUMBER(L481),L481,0)*K481/1000000,0)</f>
        <v>0</v>
      </c>
      <c r="AB481" s="89" t="str">
        <f aca="false">IF(Q481&lt;&gt;1,"",IFERROR(MATCH(VLOOKUP(B481,매핑!$H$4:$I$15,2,0),시장분석!$A$2:$A$601,0)+1,IFERROR(MATCH(R481&amp;"|"&amp;T481,시장분석!$V$2:$V$601,0)+1,IF(COUNTIF(시장분석!$U$2:$U$601,T481)=1,MATCH(T481,시장분석!$U$2:$U$601,0)+1,""))))</f>
        <v/>
      </c>
      <c r="AC481" s="89" t="n">
        <f aca="false">IF(Q481&lt;&gt;1,0,IF(OR(설정!$C$5="전체",AND(설정!$C$5="선택펀드",IFERROR(COUNTIFS(설정!$F$16:$F$36,C481,설정!$G$16:$G$36,"Y")+COUNTIFS(설정!$F$16:$F$36,VALUE(C481),설정!$G$16:$G$36,"Y"),0)&gt;0),C481&amp;""=설정!$C$5&amp;""),1,0))</f>
        <v>0</v>
      </c>
      <c r="AD481" s="89" t="n">
        <f aca="false">IF(Q481&lt;&gt;1,0,IF(OR(S481=1,IF(AB481="",FALSE(),INDEX(시장분석!$R:$R,AB481)=1)),1,0))</f>
        <v>0</v>
      </c>
      <c r="AE481" s="43" t="str">
        <f aca="false">IF(AB481="","",INDEX(시장분석!$A:$A,AB481))</f>
        <v/>
      </c>
      <c r="AF481" s="93" t="str">
        <f aca="false">IF(AB481="","",IF(ISNUMBER(IF(AB481="","",INDEX(시장분석!$E:$E,AB481))),IF(AB481="","",INDEX(시장분석!$E:$E,AB481)),""))</f>
        <v/>
      </c>
      <c r="AG481" s="43" t="str">
        <f aca="false">IF(Q481&lt;&gt;1,"",IF(AB481&lt;&gt;"",IF(AB481="","",INDEX(시장분석!$L:$L,AB481)),IFERROR(IF(VLOOKUP(R481,매핑!$A$4:$E$92,5,0)="","미분류",VLOOKUP(R481,매핑!$A$4:$E$92,5,0)),"미분류")))</f>
        <v/>
      </c>
      <c r="AH481" s="43" t="str">
        <f aca="false">IF(Q481&lt;&gt;1,"",IF(AB481&lt;&gt;"",IF(AB481="","",INDEX(시장분석!$N:$N,AB481)),IFERROR(IF(VLOOKUP(R481,매핑!$A$4:$E$92,4,0)="","미분류",VLOOKUP(R481,매핑!$A$4:$E$92,4,0)),"미분류")))</f>
        <v/>
      </c>
      <c r="AI481" s="43" t="str">
        <f aca="false">IF(Q481&lt;&gt;1,"",IFERROR(IF(VLOOKUP(R481,매핑!$A$4:$E$92,3,0)="","미분류",VLOOKUP(R481,매핑!$A$4:$E$92,3,0)),IF(AB481&lt;&gt;"",IF(AB481="","",INDEX(시장분석!$W:$W,AB481)),"미분류")))</f>
        <v/>
      </c>
      <c r="AJ481" s="43" t="str">
        <f aca="false">IF(Q481&lt;&gt;1,"",IFERROR(VLOOKUP(IF(N481&lt;&gt;"",N481,IF(P481&lt;&gt;"",P481,O481)),설정!$A$15:$D$47,2,0),""))</f>
        <v/>
      </c>
      <c r="AK481" s="43" t="str">
        <f aca="false">IF(Q481&lt;&gt;1,"",IF(AJ481="","무등급",IFERROR(VLOOKUP(AJ481,설정!$A$15:$D$47,3,0),"무등급")))</f>
        <v/>
      </c>
      <c r="AL481" s="89" t="n">
        <f aca="false">IF(AJ481="",99,IFERROR(VLOOKUP(AJ481,설정!$A$15:$D$47,4,0),99))</f>
        <v>99</v>
      </c>
      <c r="AM481" s="94" t="n">
        <f aca="false">IF(ISNUMBER(H481),AA481*1000000*H481/10000,0)</f>
        <v>0</v>
      </c>
      <c r="AN481" s="94" t="n">
        <f aca="false">IF(OR(Y481=1,NOT(ISNUMBER(Z481))),0,AA481*1000000*Z481/10000)</f>
        <v>0</v>
      </c>
      <c r="AO481" s="94" t="n">
        <f aca="false">IF(ISNUMBER(G481),AA481*1000000*G481/100,0)</f>
        <v>0</v>
      </c>
      <c r="AP481" s="94" t="n">
        <f aca="false">IF(ISNUMBER(M481),M481*K481,0)</f>
        <v>0</v>
      </c>
      <c r="AQ481" s="95" t="str">
        <f aca="false">IF(AB481="","",INDEX(시장분석!$AK:$AK,AB481))</f>
        <v/>
      </c>
      <c r="AR481" s="43" t="str">
        <f aca="false">IF(AB481="","-",IF(AB481="","",INDEX(시장분석!$AL:$AL,AB481)))</f>
        <v>-</v>
      </c>
      <c r="AS481" s="96" t="str">
        <f aca="false">IF(AB481="","",INDEX(시장분석!$AJ:$AJ,AB481))</f>
        <v/>
      </c>
      <c r="AT481" s="93" t="n">
        <f aca="false">IF(AB481="",0,IF(AB481="","",INDEX(시장분석!$AN:$AN,AB481)))</f>
        <v>0</v>
      </c>
      <c r="AU481" s="94" t="n">
        <f aca="false">IF(ISNUMBER(Z481),AT481/10000*MAX(Z481-1,0)*AA481*1000000,0)</f>
        <v>0</v>
      </c>
      <c r="AV481" s="94" t="n">
        <f aca="false">AO481+AU481</f>
        <v>0</v>
      </c>
      <c r="AW481" s="43" t="str">
        <f aca="false">IF(Q481&lt;&gt;1,"",TRIM(IF(AD481=1,"FRN ","")&amp;IF(AND(AL481&gt;=10,AL481&lt;99),"BBB0미만 ","")&amp;IF(AJ481="","등급없음 ","")&amp;IF(K481&lt;&gt;1,"비USD ","")&amp;IF(AND(AB481="",Y481=0),"시장데이터없음 ","")&amp;IF(AND(ISNUMBER(U481),U481&lt;0),"만기경과 ","")))</f>
        <v/>
      </c>
      <c r="AX481" s="90" t="n">
        <f aca="false">IF(Q481&lt;&gt;1,1,IF(스프레드쇼크!$C$4="Y",INDEX(스프레드쇼크!$B$12:$L$16,IFERROR(MATCH(AH481,스프레드쇼크!$A$12:$A$16,0),MATCH("목록외",스프레드쇼크!$A$12:$A$16,0)),IFERROR(MATCH(AG481,스프레드쇼크!$B$11:$L$11,0),MATCH("목록외",스프레드쇼크!$B$11:$L$11,0))),1))</f>
        <v>1</v>
      </c>
      <c r="AY481" s="90" t="n">
        <f aca="false">IF(스프레드쇼크!$C$5="Y",IF(ISNUMBER(AF481),MIN(스프레드쇼크!$C$7,MAX(스프레드쇼크!$C$6,AF481/스프레드쇼크!$C$8)),1),1)</f>
        <v>1</v>
      </c>
      <c r="AZ481" s="94" t="n">
        <f aca="false">AN481*AX481*AY481</f>
        <v>0</v>
      </c>
      <c r="BA481" s="90" t="n">
        <f aca="false">IF(ISNUMBER(G481),AA481*G481,0)</f>
        <v>0</v>
      </c>
      <c r="BB481" s="90" t="n">
        <f aca="false">IF(ISNUMBER(G481),AA481,0)</f>
        <v>0</v>
      </c>
      <c r="BC481" s="90" t="n">
        <f aca="false">IF(AND(Y481=0,ISNUMBER(AF481)),AA481*AF481,0)</f>
        <v>0</v>
      </c>
      <c r="BD481" s="90" t="n">
        <f aca="false">IF(AND(Y481=0,ISNUMBER(AF481)),AA481,0)</f>
        <v>0</v>
      </c>
      <c r="BE481" s="90" t="n">
        <f aca="false">IF(ISNUMBER(H481),AA481*H481,0)</f>
        <v>0</v>
      </c>
      <c r="BF481" s="90" t="n">
        <f aca="false">IF(ISNUMBER(H481),AA481,0)</f>
        <v>0</v>
      </c>
      <c r="BG481" s="90" t="n">
        <f aca="false">IF(AND(Y481=0,ISNUMBER(AF481),ISNUMBER(Z481)),AA481*Z481,0)</f>
        <v>0</v>
      </c>
      <c r="BH481" s="90" t="n">
        <f aca="false">IF(AND(Y481=0,ISNUMBER(AF481),ISNUMBER(Z481)),AA481*AT481*MAX(Z481-1,0),0)</f>
        <v>0</v>
      </c>
      <c r="BI481" s="90" t="n">
        <f aca="false">IF(Y481=0,AA481,0)</f>
        <v>0</v>
      </c>
    </row>
    <row r="482" customFormat="false" ht="15" hidden="false" customHeight="false" outlineLevel="0" collapsed="false">
      <c r="A482" s="83" t="str">
        <f aca="false">IFERROR(IF(INDEX(원자료_잔고!$A$1:$EZ$1500,설정!$L$5+ROW()-1,설정!$L$8)&amp;""="0","",INDEX(원자료_잔고!$A$1:$EZ$1500,설정!$L$5+ROW()-1,설정!$L$8)&amp;""),"")</f>
        <v/>
      </c>
      <c r="B482" s="83" t="str">
        <f aca="false">IFERROR(IF(INDEX(원자료_잔고!$A$1:$EZ$1500,설정!$L$5+ROW()-1,설정!$L$7)&amp;""="0","",INDEX(원자료_잔고!$A$1:$EZ$1500,설정!$L$5+ROW()-1,설정!$L$7)&amp;""),"")</f>
        <v/>
      </c>
      <c r="C482" s="83" t="str">
        <f aca="false">IFERROR(IF(INDEX(원자료_잔고!$A$1:$EZ$1500,설정!$L$5+ROW()-1,설정!$L$9)&amp;""="0","",INDEX(원자료_잔고!$A$1:$EZ$1500,설정!$L$5+ROW()-1,설정!$L$9)&amp;""),"")</f>
        <v/>
      </c>
      <c r="D482" s="83" t="str">
        <f aca="false">IFERROR(IF(INDEX(원자료_잔고!$A$1:$EZ$1500,설정!$L$5+ROW()-1,설정!$L$10)&amp;""="0","",INDEX(원자료_잔고!$A$1:$EZ$1500,설정!$L$5+ROW()-1,설정!$L$10)&amp;""),"")</f>
        <v/>
      </c>
      <c r="E482" s="84" t="str">
        <f aca="false">IFERROR(IF(ISNUMBER(INDEX(원자료_잔고!$A$1:$EZ$1500,설정!$L$5+ROW()-1,설정!$L$11)),INDEX(원자료_잔고!$A$1:$EZ$1500,설정!$L$5+ROW()-1,설정!$L$11),""),"")</f>
        <v/>
      </c>
      <c r="F482" s="85" t="str">
        <f aca="false">IFERROR(IF(ISNUMBER(INDEX(원자료_잔고!$A$1:$EZ$1500,설정!$L$5+ROW()-1,설정!$L$12)),INDEX(원자료_잔고!$A$1:$EZ$1500,설정!$L$5+ROW()-1,설정!$L$12),""),"")</f>
        <v/>
      </c>
      <c r="G482" s="85" t="str">
        <f aca="false">IFERROR(IF(ISNUMBER(INDEX(원자료_잔고!$A$1:$EZ$1500,설정!$L$5+ROW()-1,설정!$L$13)),INDEX(원자료_잔고!$A$1:$EZ$1500,설정!$L$5+ROW()-1,설정!$L$13),""),"")</f>
        <v/>
      </c>
      <c r="H482" s="85" t="str">
        <f aca="false">IFERROR(IF(ISNUMBER(INDEX(원자료_잔고!$A$1:$EZ$1500,설정!$L$5+ROW()-1,설정!$L$14)),INDEX(원자료_잔고!$A$1:$EZ$1500,설정!$L$5+ROW()-1,설정!$L$14),""),"")</f>
        <v/>
      </c>
      <c r="I482" s="86" t="str">
        <f aca="false">IFERROR(IF(ISNUMBER(INDEX(원자료_잔고!$A$1:$EZ$1500,설정!$L$5+ROW()-1,설정!$L$15)),INDEX(원자료_잔고!$A$1:$EZ$1500,설정!$L$5+ROW()-1,설정!$L$15),""),"")</f>
        <v/>
      </c>
      <c r="J482" s="85" t="str">
        <f aca="false">IFERROR(IF(ISNUMBER(INDEX(원자료_잔고!$A$1:$EZ$1500,설정!$L$5+ROW()-1,설정!$L$16)),INDEX(원자료_잔고!$A$1:$EZ$1500,설정!$L$5+ROW()-1,설정!$L$16),""),"")</f>
        <v/>
      </c>
      <c r="K482" s="87" t="str">
        <f aca="false">IFERROR(IF(ISNUMBER(INDEX(원자료_잔고!$A$1:$EZ$1500,설정!$L$5+ROW()-1,설정!$L$17)),INDEX(원자료_잔고!$A$1:$EZ$1500,설정!$L$5+ROW()-1,설정!$L$17),""),"")</f>
        <v/>
      </c>
      <c r="L482" s="84" t="str">
        <f aca="false">IFERROR(IF(ISNUMBER(INDEX(원자료_잔고!$A$1:$EZ$1500,설정!$L$5+ROW()-1,설정!$L$18)),INDEX(원자료_잔고!$A$1:$EZ$1500,설정!$L$5+ROW()-1,설정!$L$18),""),"")</f>
        <v/>
      </c>
      <c r="M482" s="88" t="str">
        <f aca="false">IFERROR(IF(ISNUMBER(INDEX(원자료_잔고!$A$1:$EZ$1500,설정!$L$5+ROW()-1,설정!$L$19)),INDEX(원자료_잔고!$A$1:$EZ$1500,설정!$L$5+ROW()-1,설정!$L$19),""),"")</f>
        <v/>
      </c>
      <c r="N482" s="83" t="str">
        <f aca="false">IFERROR(IF(INDEX(원자료_잔고!$A$1:$EZ$1500,설정!$L$5+ROW()-1,설정!$L$21)&amp;""="0","",INDEX(원자료_잔고!$A$1:$EZ$1500,설정!$L$5+ROW()-1,설정!$L$21)&amp;""),"")</f>
        <v/>
      </c>
      <c r="O482" s="83" t="str">
        <f aca="false">IFERROR(IF(INDEX(원자료_잔고!$A$1:$EZ$1500,설정!$L$5+ROW()-1,설정!$L$22)&amp;""="0","",INDEX(원자료_잔고!$A$1:$EZ$1500,설정!$L$5+ROW()-1,설정!$L$22)&amp;""),"")</f>
        <v/>
      </c>
      <c r="P482" s="83" t="str">
        <f aca="false">IFERROR(IF(INDEX(원자료_잔고!$A$1:$EZ$1500,설정!$L$5+ROW()-1,설정!$L$23)&amp;""="0","",INDEX(원자료_잔고!$A$1:$EZ$1500,설정!$L$5+ROW()-1,설정!$L$23)&amp;""),"")</f>
        <v/>
      </c>
      <c r="Q482" s="89" t="n">
        <f aca="false">IF(AND($A482&lt;&gt;"",ISNUMBER(E482)),IF(E482&gt;0,1,0),0)</f>
        <v>0</v>
      </c>
      <c r="R482" s="43" t="str">
        <f aca="false">IF(Q482=1,UPPER(LEFT($A482,FIND(" ",$A482&amp;" ")-1)),"")</f>
        <v/>
      </c>
      <c r="S482" s="89" t="n">
        <f aca="false">IF(Q482=1,IF(OR(ISNUMBER(SEARCH("Float",$A482)),ISNUMBER(SEARCH("FRN",$A482))),1,0),0)</f>
        <v>0</v>
      </c>
      <c r="T482" s="43" t="str">
        <f aca="false">IF(AND(Q482=1,ISNUMBER(I482)),TEXT(I482,"yyyymmdd")&amp;"|"&amp;IF(S482=1,"F",TEXT(J482,"0.000")),"")</f>
        <v/>
      </c>
      <c r="U482" s="90" t="str">
        <f aca="false">IF(AND(Q482=1,ISNUMBER(I482)),(I482-설정!$C$4)/365.25,"")</f>
        <v/>
      </c>
      <c r="V482" s="43" t="str">
        <f aca="false">IF(Q482&lt;&gt;1,"",IF(ISNUMBER(U482),IF(U482&lt;=1,"1년 이하",IF(U482&lt;=2,"1-2년",IF(U482&lt;=3,"2-3년",IF(U482&lt;=4,"3-4년",IF(U482&lt;=5,"4-5년",IF(U482&lt;=7,"5-7년",IF(U482&lt;=10,"7-10년",IF(U482&lt;=20,"10-20년","20년 이상")))))))),"미분류"))</f>
        <v/>
      </c>
      <c r="W482" s="43" t="str">
        <f aca="false">IF(Q482&lt;&gt;1,"",IF(AB482&lt;&gt;"",INDEX(시장분석!$C:$C,AB482),IF(K482=1,"USD","비USD")))</f>
        <v/>
      </c>
      <c r="X482" s="91" t="n">
        <f aca="false">IF(Q482=1,E482*K482/1000000,0)</f>
        <v>0</v>
      </c>
      <c r="Y482" s="89" t="n">
        <f aca="false">IF(R482="T",1,0)</f>
        <v>0</v>
      </c>
      <c r="Z482" s="92" t="str">
        <f aca="false">IF(Q482&lt;&gt;1,"",IF(AD482=1,IF(ISNUMBER(U482),MAX(U482,0),H482),H482))</f>
        <v/>
      </c>
      <c r="AA482" s="91" t="n">
        <f aca="false">IF(Q482=1,IF(ISNUMBER(L482),L482,0)*K482/1000000,0)</f>
        <v>0</v>
      </c>
      <c r="AB482" s="89" t="str">
        <f aca="false">IF(Q482&lt;&gt;1,"",IFERROR(MATCH(VLOOKUP(B482,매핑!$H$4:$I$15,2,0),시장분석!$A$2:$A$601,0)+1,IFERROR(MATCH(R482&amp;"|"&amp;T482,시장분석!$V$2:$V$601,0)+1,IF(COUNTIF(시장분석!$U$2:$U$601,T482)=1,MATCH(T482,시장분석!$U$2:$U$601,0)+1,""))))</f>
        <v/>
      </c>
      <c r="AC482" s="89" t="n">
        <f aca="false">IF(Q482&lt;&gt;1,0,IF(OR(설정!$C$5="전체",AND(설정!$C$5="선택펀드",IFERROR(COUNTIFS(설정!$F$16:$F$36,C482,설정!$G$16:$G$36,"Y")+COUNTIFS(설정!$F$16:$F$36,VALUE(C482),설정!$G$16:$G$36,"Y"),0)&gt;0),C482&amp;""=설정!$C$5&amp;""),1,0))</f>
        <v>0</v>
      </c>
      <c r="AD482" s="89" t="n">
        <f aca="false">IF(Q482&lt;&gt;1,0,IF(OR(S482=1,IF(AB482="",FALSE(),INDEX(시장분석!$R:$R,AB482)=1)),1,0))</f>
        <v>0</v>
      </c>
      <c r="AE482" s="43" t="str">
        <f aca="false">IF(AB482="","",INDEX(시장분석!$A:$A,AB482))</f>
        <v/>
      </c>
      <c r="AF482" s="93" t="str">
        <f aca="false">IF(AB482="","",IF(ISNUMBER(IF(AB482="","",INDEX(시장분석!$E:$E,AB482))),IF(AB482="","",INDEX(시장분석!$E:$E,AB482)),""))</f>
        <v/>
      </c>
      <c r="AG482" s="43" t="str">
        <f aca="false">IF(Q482&lt;&gt;1,"",IF(AB482&lt;&gt;"",IF(AB482="","",INDEX(시장분석!$L:$L,AB482)),IFERROR(IF(VLOOKUP(R482,매핑!$A$4:$E$92,5,0)="","미분류",VLOOKUP(R482,매핑!$A$4:$E$92,5,0)),"미분류")))</f>
        <v/>
      </c>
      <c r="AH482" s="43" t="str">
        <f aca="false">IF(Q482&lt;&gt;1,"",IF(AB482&lt;&gt;"",IF(AB482="","",INDEX(시장분석!$N:$N,AB482)),IFERROR(IF(VLOOKUP(R482,매핑!$A$4:$E$92,4,0)="","미분류",VLOOKUP(R482,매핑!$A$4:$E$92,4,0)),"미분류")))</f>
        <v/>
      </c>
      <c r="AI482" s="43" t="str">
        <f aca="false">IF(Q482&lt;&gt;1,"",IFERROR(IF(VLOOKUP(R482,매핑!$A$4:$E$92,3,0)="","미분류",VLOOKUP(R482,매핑!$A$4:$E$92,3,0)),IF(AB482&lt;&gt;"",IF(AB482="","",INDEX(시장분석!$W:$W,AB482)),"미분류")))</f>
        <v/>
      </c>
      <c r="AJ482" s="43" t="str">
        <f aca="false">IF(Q482&lt;&gt;1,"",IFERROR(VLOOKUP(IF(N482&lt;&gt;"",N482,IF(P482&lt;&gt;"",P482,O482)),설정!$A$15:$D$47,2,0),""))</f>
        <v/>
      </c>
      <c r="AK482" s="43" t="str">
        <f aca="false">IF(Q482&lt;&gt;1,"",IF(AJ482="","무등급",IFERROR(VLOOKUP(AJ482,설정!$A$15:$D$47,3,0),"무등급")))</f>
        <v/>
      </c>
      <c r="AL482" s="89" t="n">
        <f aca="false">IF(AJ482="",99,IFERROR(VLOOKUP(AJ482,설정!$A$15:$D$47,4,0),99))</f>
        <v>99</v>
      </c>
      <c r="AM482" s="94" t="n">
        <f aca="false">IF(ISNUMBER(H482),AA482*1000000*H482/10000,0)</f>
        <v>0</v>
      </c>
      <c r="AN482" s="94" t="n">
        <f aca="false">IF(OR(Y482=1,NOT(ISNUMBER(Z482))),0,AA482*1000000*Z482/10000)</f>
        <v>0</v>
      </c>
      <c r="AO482" s="94" t="n">
        <f aca="false">IF(ISNUMBER(G482),AA482*1000000*G482/100,0)</f>
        <v>0</v>
      </c>
      <c r="AP482" s="94" t="n">
        <f aca="false">IF(ISNUMBER(M482),M482*K482,0)</f>
        <v>0</v>
      </c>
      <c r="AQ482" s="95" t="str">
        <f aca="false">IF(AB482="","",INDEX(시장분석!$AK:$AK,AB482))</f>
        <v/>
      </c>
      <c r="AR482" s="43" t="str">
        <f aca="false">IF(AB482="","-",IF(AB482="","",INDEX(시장분석!$AL:$AL,AB482)))</f>
        <v>-</v>
      </c>
      <c r="AS482" s="96" t="str">
        <f aca="false">IF(AB482="","",INDEX(시장분석!$AJ:$AJ,AB482))</f>
        <v/>
      </c>
      <c r="AT482" s="93" t="n">
        <f aca="false">IF(AB482="",0,IF(AB482="","",INDEX(시장분석!$AN:$AN,AB482)))</f>
        <v>0</v>
      </c>
      <c r="AU482" s="94" t="n">
        <f aca="false">IF(ISNUMBER(Z482),AT482/10000*MAX(Z482-1,0)*AA482*1000000,0)</f>
        <v>0</v>
      </c>
      <c r="AV482" s="94" t="n">
        <f aca="false">AO482+AU482</f>
        <v>0</v>
      </c>
      <c r="AW482" s="43" t="str">
        <f aca="false">IF(Q482&lt;&gt;1,"",TRIM(IF(AD482=1,"FRN ","")&amp;IF(AND(AL482&gt;=10,AL482&lt;99),"BBB0미만 ","")&amp;IF(AJ482="","등급없음 ","")&amp;IF(K482&lt;&gt;1,"비USD ","")&amp;IF(AND(AB482="",Y482=0),"시장데이터없음 ","")&amp;IF(AND(ISNUMBER(U482),U482&lt;0),"만기경과 ","")))</f>
        <v/>
      </c>
      <c r="AX482" s="90" t="n">
        <f aca="false">IF(Q482&lt;&gt;1,1,IF(스프레드쇼크!$C$4="Y",INDEX(스프레드쇼크!$B$12:$L$16,IFERROR(MATCH(AH482,스프레드쇼크!$A$12:$A$16,0),MATCH("목록외",스프레드쇼크!$A$12:$A$16,0)),IFERROR(MATCH(AG482,스프레드쇼크!$B$11:$L$11,0),MATCH("목록외",스프레드쇼크!$B$11:$L$11,0))),1))</f>
        <v>1</v>
      </c>
      <c r="AY482" s="90" t="n">
        <f aca="false">IF(스프레드쇼크!$C$5="Y",IF(ISNUMBER(AF482),MIN(스프레드쇼크!$C$7,MAX(스프레드쇼크!$C$6,AF482/스프레드쇼크!$C$8)),1),1)</f>
        <v>1</v>
      </c>
      <c r="AZ482" s="94" t="n">
        <f aca="false">AN482*AX482*AY482</f>
        <v>0</v>
      </c>
      <c r="BA482" s="90" t="n">
        <f aca="false">IF(ISNUMBER(G482),AA482*G482,0)</f>
        <v>0</v>
      </c>
      <c r="BB482" s="90" t="n">
        <f aca="false">IF(ISNUMBER(G482),AA482,0)</f>
        <v>0</v>
      </c>
      <c r="BC482" s="90" t="n">
        <f aca="false">IF(AND(Y482=0,ISNUMBER(AF482)),AA482*AF482,0)</f>
        <v>0</v>
      </c>
      <c r="BD482" s="90" t="n">
        <f aca="false">IF(AND(Y482=0,ISNUMBER(AF482)),AA482,0)</f>
        <v>0</v>
      </c>
      <c r="BE482" s="90" t="n">
        <f aca="false">IF(ISNUMBER(H482),AA482*H482,0)</f>
        <v>0</v>
      </c>
      <c r="BF482" s="90" t="n">
        <f aca="false">IF(ISNUMBER(H482),AA482,0)</f>
        <v>0</v>
      </c>
      <c r="BG482" s="90" t="n">
        <f aca="false">IF(AND(Y482=0,ISNUMBER(AF482),ISNUMBER(Z482)),AA482*Z482,0)</f>
        <v>0</v>
      </c>
      <c r="BH482" s="90" t="n">
        <f aca="false">IF(AND(Y482=0,ISNUMBER(AF482),ISNUMBER(Z482)),AA482*AT482*MAX(Z482-1,0),0)</f>
        <v>0</v>
      </c>
      <c r="BI482" s="90" t="n">
        <f aca="false">IF(Y482=0,AA482,0)</f>
        <v>0</v>
      </c>
    </row>
    <row r="483" customFormat="false" ht="15" hidden="false" customHeight="false" outlineLevel="0" collapsed="false">
      <c r="A483" s="83" t="str">
        <f aca="false">IFERROR(IF(INDEX(원자료_잔고!$A$1:$EZ$1500,설정!$L$5+ROW()-1,설정!$L$8)&amp;""="0","",INDEX(원자료_잔고!$A$1:$EZ$1500,설정!$L$5+ROW()-1,설정!$L$8)&amp;""),"")</f>
        <v/>
      </c>
      <c r="B483" s="83" t="str">
        <f aca="false">IFERROR(IF(INDEX(원자료_잔고!$A$1:$EZ$1500,설정!$L$5+ROW()-1,설정!$L$7)&amp;""="0","",INDEX(원자료_잔고!$A$1:$EZ$1500,설정!$L$5+ROW()-1,설정!$L$7)&amp;""),"")</f>
        <v/>
      </c>
      <c r="C483" s="83" t="str">
        <f aca="false">IFERROR(IF(INDEX(원자료_잔고!$A$1:$EZ$1500,설정!$L$5+ROW()-1,설정!$L$9)&amp;""="0","",INDEX(원자료_잔고!$A$1:$EZ$1500,설정!$L$5+ROW()-1,설정!$L$9)&amp;""),"")</f>
        <v/>
      </c>
      <c r="D483" s="83" t="str">
        <f aca="false">IFERROR(IF(INDEX(원자료_잔고!$A$1:$EZ$1500,설정!$L$5+ROW()-1,설정!$L$10)&amp;""="0","",INDEX(원자료_잔고!$A$1:$EZ$1500,설정!$L$5+ROW()-1,설정!$L$10)&amp;""),"")</f>
        <v/>
      </c>
      <c r="E483" s="84" t="str">
        <f aca="false">IFERROR(IF(ISNUMBER(INDEX(원자료_잔고!$A$1:$EZ$1500,설정!$L$5+ROW()-1,설정!$L$11)),INDEX(원자료_잔고!$A$1:$EZ$1500,설정!$L$5+ROW()-1,설정!$L$11),""),"")</f>
        <v/>
      </c>
      <c r="F483" s="85" t="str">
        <f aca="false">IFERROR(IF(ISNUMBER(INDEX(원자료_잔고!$A$1:$EZ$1500,설정!$L$5+ROW()-1,설정!$L$12)),INDEX(원자료_잔고!$A$1:$EZ$1500,설정!$L$5+ROW()-1,설정!$L$12),""),"")</f>
        <v/>
      </c>
      <c r="G483" s="85" t="str">
        <f aca="false">IFERROR(IF(ISNUMBER(INDEX(원자료_잔고!$A$1:$EZ$1500,설정!$L$5+ROW()-1,설정!$L$13)),INDEX(원자료_잔고!$A$1:$EZ$1500,설정!$L$5+ROW()-1,설정!$L$13),""),"")</f>
        <v/>
      </c>
      <c r="H483" s="85" t="str">
        <f aca="false">IFERROR(IF(ISNUMBER(INDEX(원자료_잔고!$A$1:$EZ$1500,설정!$L$5+ROW()-1,설정!$L$14)),INDEX(원자료_잔고!$A$1:$EZ$1500,설정!$L$5+ROW()-1,설정!$L$14),""),"")</f>
        <v/>
      </c>
      <c r="I483" s="86" t="str">
        <f aca="false">IFERROR(IF(ISNUMBER(INDEX(원자료_잔고!$A$1:$EZ$1500,설정!$L$5+ROW()-1,설정!$L$15)),INDEX(원자료_잔고!$A$1:$EZ$1500,설정!$L$5+ROW()-1,설정!$L$15),""),"")</f>
        <v/>
      </c>
      <c r="J483" s="85" t="str">
        <f aca="false">IFERROR(IF(ISNUMBER(INDEX(원자료_잔고!$A$1:$EZ$1500,설정!$L$5+ROW()-1,설정!$L$16)),INDEX(원자료_잔고!$A$1:$EZ$1500,설정!$L$5+ROW()-1,설정!$L$16),""),"")</f>
        <v/>
      </c>
      <c r="K483" s="87" t="str">
        <f aca="false">IFERROR(IF(ISNUMBER(INDEX(원자료_잔고!$A$1:$EZ$1500,설정!$L$5+ROW()-1,설정!$L$17)),INDEX(원자료_잔고!$A$1:$EZ$1500,설정!$L$5+ROW()-1,설정!$L$17),""),"")</f>
        <v/>
      </c>
      <c r="L483" s="84" t="str">
        <f aca="false">IFERROR(IF(ISNUMBER(INDEX(원자료_잔고!$A$1:$EZ$1500,설정!$L$5+ROW()-1,설정!$L$18)),INDEX(원자료_잔고!$A$1:$EZ$1500,설정!$L$5+ROW()-1,설정!$L$18),""),"")</f>
        <v/>
      </c>
      <c r="M483" s="88" t="str">
        <f aca="false">IFERROR(IF(ISNUMBER(INDEX(원자료_잔고!$A$1:$EZ$1500,설정!$L$5+ROW()-1,설정!$L$19)),INDEX(원자료_잔고!$A$1:$EZ$1500,설정!$L$5+ROW()-1,설정!$L$19),""),"")</f>
        <v/>
      </c>
      <c r="N483" s="83" t="str">
        <f aca="false">IFERROR(IF(INDEX(원자료_잔고!$A$1:$EZ$1500,설정!$L$5+ROW()-1,설정!$L$21)&amp;""="0","",INDEX(원자료_잔고!$A$1:$EZ$1500,설정!$L$5+ROW()-1,설정!$L$21)&amp;""),"")</f>
        <v/>
      </c>
      <c r="O483" s="83" t="str">
        <f aca="false">IFERROR(IF(INDEX(원자료_잔고!$A$1:$EZ$1500,설정!$L$5+ROW()-1,설정!$L$22)&amp;""="0","",INDEX(원자료_잔고!$A$1:$EZ$1500,설정!$L$5+ROW()-1,설정!$L$22)&amp;""),"")</f>
        <v/>
      </c>
      <c r="P483" s="83" t="str">
        <f aca="false">IFERROR(IF(INDEX(원자료_잔고!$A$1:$EZ$1500,설정!$L$5+ROW()-1,설정!$L$23)&amp;""="0","",INDEX(원자료_잔고!$A$1:$EZ$1500,설정!$L$5+ROW()-1,설정!$L$23)&amp;""),"")</f>
        <v/>
      </c>
      <c r="Q483" s="89" t="n">
        <f aca="false">IF(AND($A483&lt;&gt;"",ISNUMBER(E483)),IF(E483&gt;0,1,0),0)</f>
        <v>0</v>
      </c>
      <c r="R483" s="43" t="str">
        <f aca="false">IF(Q483=1,UPPER(LEFT($A483,FIND(" ",$A483&amp;" ")-1)),"")</f>
        <v/>
      </c>
      <c r="S483" s="89" t="n">
        <f aca="false">IF(Q483=1,IF(OR(ISNUMBER(SEARCH("Float",$A483)),ISNUMBER(SEARCH("FRN",$A483))),1,0),0)</f>
        <v>0</v>
      </c>
      <c r="T483" s="43" t="str">
        <f aca="false">IF(AND(Q483=1,ISNUMBER(I483)),TEXT(I483,"yyyymmdd")&amp;"|"&amp;IF(S483=1,"F",TEXT(J483,"0.000")),"")</f>
        <v/>
      </c>
      <c r="U483" s="90" t="str">
        <f aca="false">IF(AND(Q483=1,ISNUMBER(I483)),(I483-설정!$C$4)/365.25,"")</f>
        <v/>
      </c>
      <c r="V483" s="43" t="str">
        <f aca="false">IF(Q483&lt;&gt;1,"",IF(ISNUMBER(U483),IF(U483&lt;=1,"1년 이하",IF(U483&lt;=2,"1-2년",IF(U483&lt;=3,"2-3년",IF(U483&lt;=4,"3-4년",IF(U483&lt;=5,"4-5년",IF(U483&lt;=7,"5-7년",IF(U483&lt;=10,"7-10년",IF(U483&lt;=20,"10-20년","20년 이상")))))))),"미분류"))</f>
        <v/>
      </c>
      <c r="W483" s="43" t="str">
        <f aca="false">IF(Q483&lt;&gt;1,"",IF(AB483&lt;&gt;"",INDEX(시장분석!$C:$C,AB483),IF(K483=1,"USD","비USD")))</f>
        <v/>
      </c>
      <c r="X483" s="91" t="n">
        <f aca="false">IF(Q483=1,E483*K483/1000000,0)</f>
        <v>0</v>
      </c>
      <c r="Y483" s="89" t="n">
        <f aca="false">IF(R483="T",1,0)</f>
        <v>0</v>
      </c>
      <c r="Z483" s="92" t="str">
        <f aca="false">IF(Q483&lt;&gt;1,"",IF(AD483=1,IF(ISNUMBER(U483),MAX(U483,0),H483),H483))</f>
        <v/>
      </c>
      <c r="AA483" s="91" t="n">
        <f aca="false">IF(Q483=1,IF(ISNUMBER(L483),L483,0)*K483/1000000,0)</f>
        <v>0</v>
      </c>
      <c r="AB483" s="89" t="str">
        <f aca="false">IF(Q483&lt;&gt;1,"",IFERROR(MATCH(VLOOKUP(B483,매핑!$H$4:$I$15,2,0),시장분석!$A$2:$A$601,0)+1,IFERROR(MATCH(R483&amp;"|"&amp;T483,시장분석!$V$2:$V$601,0)+1,IF(COUNTIF(시장분석!$U$2:$U$601,T483)=1,MATCH(T483,시장분석!$U$2:$U$601,0)+1,""))))</f>
        <v/>
      </c>
      <c r="AC483" s="89" t="n">
        <f aca="false">IF(Q483&lt;&gt;1,0,IF(OR(설정!$C$5="전체",AND(설정!$C$5="선택펀드",IFERROR(COUNTIFS(설정!$F$16:$F$36,C483,설정!$G$16:$G$36,"Y")+COUNTIFS(설정!$F$16:$F$36,VALUE(C483),설정!$G$16:$G$36,"Y"),0)&gt;0),C483&amp;""=설정!$C$5&amp;""),1,0))</f>
        <v>0</v>
      </c>
      <c r="AD483" s="89" t="n">
        <f aca="false">IF(Q483&lt;&gt;1,0,IF(OR(S483=1,IF(AB483="",FALSE(),INDEX(시장분석!$R:$R,AB483)=1)),1,0))</f>
        <v>0</v>
      </c>
      <c r="AE483" s="43" t="str">
        <f aca="false">IF(AB483="","",INDEX(시장분석!$A:$A,AB483))</f>
        <v/>
      </c>
      <c r="AF483" s="93" t="str">
        <f aca="false">IF(AB483="","",IF(ISNUMBER(IF(AB483="","",INDEX(시장분석!$E:$E,AB483))),IF(AB483="","",INDEX(시장분석!$E:$E,AB483)),""))</f>
        <v/>
      </c>
      <c r="AG483" s="43" t="str">
        <f aca="false">IF(Q483&lt;&gt;1,"",IF(AB483&lt;&gt;"",IF(AB483="","",INDEX(시장분석!$L:$L,AB483)),IFERROR(IF(VLOOKUP(R483,매핑!$A$4:$E$92,5,0)="","미분류",VLOOKUP(R483,매핑!$A$4:$E$92,5,0)),"미분류")))</f>
        <v/>
      </c>
      <c r="AH483" s="43" t="str">
        <f aca="false">IF(Q483&lt;&gt;1,"",IF(AB483&lt;&gt;"",IF(AB483="","",INDEX(시장분석!$N:$N,AB483)),IFERROR(IF(VLOOKUP(R483,매핑!$A$4:$E$92,4,0)="","미분류",VLOOKUP(R483,매핑!$A$4:$E$92,4,0)),"미분류")))</f>
        <v/>
      </c>
      <c r="AI483" s="43" t="str">
        <f aca="false">IF(Q483&lt;&gt;1,"",IFERROR(IF(VLOOKUP(R483,매핑!$A$4:$E$92,3,0)="","미분류",VLOOKUP(R483,매핑!$A$4:$E$92,3,0)),IF(AB483&lt;&gt;"",IF(AB483="","",INDEX(시장분석!$W:$W,AB483)),"미분류")))</f>
        <v/>
      </c>
      <c r="AJ483" s="43" t="str">
        <f aca="false">IF(Q483&lt;&gt;1,"",IFERROR(VLOOKUP(IF(N483&lt;&gt;"",N483,IF(P483&lt;&gt;"",P483,O483)),설정!$A$15:$D$47,2,0),""))</f>
        <v/>
      </c>
      <c r="AK483" s="43" t="str">
        <f aca="false">IF(Q483&lt;&gt;1,"",IF(AJ483="","무등급",IFERROR(VLOOKUP(AJ483,설정!$A$15:$D$47,3,0),"무등급")))</f>
        <v/>
      </c>
      <c r="AL483" s="89" t="n">
        <f aca="false">IF(AJ483="",99,IFERROR(VLOOKUP(AJ483,설정!$A$15:$D$47,4,0),99))</f>
        <v>99</v>
      </c>
      <c r="AM483" s="94" t="n">
        <f aca="false">IF(ISNUMBER(H483),AA483*1000000*H483/10000,0)</f>
        <v>0</v>
      </c>
      <c r="AN483" s="94" t="n">
        <f aca="false">IF(OR(Y483=1,NOT(ISNUMBER(Z483))),0,AA483*1000000*Z483/10000)</f>
        <v>0</v>
      </c>
      <c r="AO483" s="94" t="n">
        <f aca="false">IF(ISNUMBER(G483),AA483*1000000*G483/100,0)</f>
        <v>0</v>
      </c>
      <c r="AP483" s="94" t="n">
        <f aca="false">IF(ISNUMBER(M483),M483*K483,0)</f>
        <v>0</v>
      </c>
      <c r="AQ483" s="95" t="str">
        <f aca="false">IF(AB483="","",INDEX(시장분석!$AK:$AK,AB483))</f>
        <v/>
      </c>
      <c r="AR483" s="43" t="str">
        <f aca="false">IF(AB483="","-",IF(AB483="","",INDEX(시장분석!$AL:$AL,AB483)))</f>
        <v>-</v>
      </c>
      <c r="AS483" s="96" t="str">
        <f aca="false">IF(AB483="","",INDEX(시장분석!$AJ:$AJ,AB483))</f>
        <v/>
      </c>
      <c r="AT483" s="93" t="n">
        <f aca="false">IF(AB483="",0,IF(AB483="","",INDEX(시장분석!$AN:$AN,AB483)))</f>
        <v>0</v>
      </c>
      <c r="AU483" s="94" t="n">
        <f aca="false">IF(ISNUMBER(Z483),AT483/10000*MAX(Z483-1,0)*AA483*1000000,0)</f>
        <v>0</v>
      </c>
      <c r="AV483" s="94" t="n">
        <f aca="false">AO483+AU483</f>
        <v>0</v>
      </c>
      <c r="AW483" s="43" t="str">
        <f aca="false">IF(Q483&lt;&gt;1,"",TRIM(IF(AD483=1,"FRN ","")&amp;IF(AND(AL483&gt;=10,AL483&lt;99),"BBB0미만 ","")&amp;IF(AJ483="","등급없음 ","")&amp;IF(K483&lt;&gt;1,"비USD ","")&amp;IF(AND(AB483="",Y483=0),"시장데이터없음 ","")&amp;IF(AND(ISNUMBER(U483),U483&lt;0),"만기경과 ","")))</f>
        <v/>
      </c>
      <c r="AX483" s="90" t="n">
        <f aca="false">IF(Q483&lt;&gt;1,1,IF(스프레드쇼크!$C$4="Y",INDEX(스프레드쇼크!$B$12:$L$16,IFERROR(MATCH(AH483,스프레드쇼크!$A$12:$A$16,0),MATCH("목록외",스프레드쇼크!$A$12:$A$16,0)),IFERROR(MATCH(AG483,스프레드쇼크!$B$11:$L$11,0),MATCH("목록외",스프레드쇼크!$B$11:$L$11,0))),1))</f>
        <v>1</v>
      </c>
      <c r="AY483" s="90" t="n">
        <f aca="false">IF(스프레드쇼크!$C$5="Y",IF(ISNUMBER(AF483),MIN(스프레드쇼크!$C$7,MAX(스프레드쇼크!$C$6,AF483/스프레드쇼크!$C$8)),1),1)</f>
        <v>1</v>
      </c>
      <c r="AZ483" s="94" t="n">
        <f aca="false">AN483*AX483*AY483</f>
        <v>0</v>
      </c>
      <c r="BA483" s="90" t="n">
        <f aca="false">IF(ISNUMBER(G483),AA483*G483,0)</f>
        <v>0</v>
      </c>
      <c r="BB483" s="90" t="n">
        <f aca="false">IF(ISNUMBER(G483),AA483,0)</f>
        <v>0</v>
      </c>
      <c r="BC483" s="90" t="n">
        <f aca="false">IF(AND(Y483=0,ISNUMBER(AF483)),AA483*AF483,0)</f>
        <v>0</v>
      </c>
      <c r="BD483" s="90" t="n">
        <f aca="false">IF(AND(Y483=0,ISNUMBER(AF483)),AA483,0)</f>
        <v>0</v>
      </c>
      <c r="BE483" s="90" t="n">
        <f aca="false">IF(ISNUMBER(H483),AA483*H483,0)</f>
        <v>0</v>
      </c>
      <c r="BF483" s="90" t="n">
        <f aca="false">IF(ISNUMBER(H483),AA483,0)</f>
        <v>0</v>
      </c>
      <c r="BG483" s="90" t="n">
        <f aca="false">IF(AND(Y483=0,ISNUMBER(AF483),ISNUMBER(Z483)),AA483*Z483,0)</f>
        <v>0</v>
      </c>
      <c r="BH483" s="90" t="n">
        <f aca="false">IF(AND(Y483=0,ISNUMBER(AF483),ISNUMBER(Z483)),AA483*AT483*MAX(Z483-1,0),0)</f>
        <v>0</v>
      </c>
      <c r="BI483" s="90" t="n">
        <f aca="false">IF(Y483=0,AA483,0)</f>
        <v>0</v>
      </c>
    </row>
    <row r="484" customFormat="false" ht="15" hidden="false" customHeight="false" outlineLevel="0" collapsed="false">
      <c r="A484" s="83" t="str">
        <f aca="false">IFERROR(IF(INDEX(원자료_잔고!$A$1:$EZ$1500,설정!$L$5+ROW()-1,설정!$L$8)&amp;""="0","",INDEX(원자료_잔고!$A$1:$EZ$1500,설정!$L$5+ROW()-1,설정!$L$8)&amp;""),"")</f>
        <v/>
      </c>
      <c r="B484" s="83" t="str">
        <f aca="false">IFERROR(IF(INDEX(원자료_잔고!$A$1:$EZ$1500,설정!$L$5+ROW()-1,설정!$L$7)&amp;""="0","",INDEX(원자료_잔고!$A$1:$EZ$1500,설정!$L$5+ROW()-1,설정!$L$7)&amp;""),"")</f>
        <v/>
      </c>
      <c r="C484" s="83" t="str">
        <f aca="false">IFERROR(IF(INDEX(원자료_잔고!$A$1:$EZ$1500,설정!$L$5+ROW()-1,설정!$L$9)&amp;""="0","",INDEX(원자료_잔고!$A$1:$EZ$1500,설정!$L$5+ROW()-1,설정!$L$9)&amp;""),"")</f>
        <v/>
      </c>
      <c r="D484" s="83" t="str">
        <f aca="false">IFERROR(IF(INDEX(원자료_잔고!$A$1:$EZ$1500,설정!$L$5+ROW()-1,설정!$L$10)&amp;""="0","",INDEX(원자료_잔고!$A$1:$EZ$1500,설정!$L$5+ROW()-1,설정!$L$10)&amp;""),"")</f>
        <v/>
      </c>
      <c r="E484" s="84" t="str">
        <f aca="false">IFERROR(IF(ISNUMBER(INDEX(원자료_잔고!$A$1:$EZ$1500,설정!$L$5+ROW()-1,설정!$L$11)),INDEX(원자료_잔고!$A$1:$EZ$1500,설정!$L$5+ROW()-1,설정!$L$11),""),"")</f>
        <v/>
      </c>
      <c r="F484" s="85" t="str">
        <f aca="false">IFERROR(IF(ISNUMBER(INDEX(원자료_잔고!$A$1:$EZ$1500,설정!$L$5+ROW()-1,설정!$L$12)),INDEX(원자료_잔고!$A$1:$EZ$1500,설정!$L$5+ROW()-1,설정!$L$12),""),"")</f>
        <v/>
      </c>
      <c r="G484" s="85" t="str">
        <f aca="false">IFERROR(IF(ISNUMBER(INDEX(원자료_잔고!$A$1:$EZ$1500,설정!$L$5+ROW()-1,설정!$L$13)),INDEX(원자료_잔고!$A$1:$EZ$1500,설정!$L$5+ROW()-1,설정!$L$13),""),"")</f>
        <v/>
      </c>
      <c r="H484" s="85" t="str">
        <f aca="false">IFERROR(IF(ISNUMBER(INDEX(원자료_잔고!$A$1:$EZ$1500,설정!$L$5+ROW()-1,설정!$L$14)),INDEX(원자료_잔고!$A$1:$EZ$1500,설정!$L$5+ROW()-1,설정!$L$14),""),"")</f>
        <v/>
      </c>
      <c r="I484" s="86" t="str">
        <f aca="false">IFERROR(IF(ISNUMBER(INDEX(원자료_잔고!$A$1:$EZ$1500,설정!$L$5+ROW()-1,설정!$L$15)),INDEX(원자료_잔고!$A$1:$EZ$1500,설정!$L$5+ROW()-1,설정!$L$15),""),"")</f>
        <v/>
      </c>
      <c r="J484" s="85" t="str">
        <f aca="false">IFERROR(IF(ISNUMBER(INDEX(원자료_잔고!$A$1:$EZ$1500,설정!$L$5+ROW()-1,설정!$L$16)),INDEX(원자료_잔고!$A$1:$EZ$1500,설정!$L$5+ROW()-1,설정!$L$16),""),"")</f>
        <v/>
      </c>
      <c r="K484" s="87" t="str">
        <f aca="false">IFERROR(IF(ISNUMBER(INDEX(원자료_잔고!$A$1:$EZ$1500,설정!$L$5+ROW()-1,설정!$L$17)),INDEX(원자료_잔고!$A$1:$EZ$1500,설정!$L$5+ROW()-1,설정!$L$17),""),"")</f>
        <v/>
      </c>
      <c r="L484" s="84" t="str">
        <f aca="false">IFERROR(IF(ISNUMBER(INDEX(원자료_잔고!$A$1:$EZ$1500,설정!$L$5+ROW()-1,설정!$L$18)),INDEX(원자료_잔고!$A$1:$EZ$1500,설정!$L$5+ROW()-1,설정!$L$18),""),"")</f>
        <v/>
      </c>
      <c r="M484" s="88" t="str">
        <f aca="false">IFERROR(IF(ISNUMBER(INDEX(원자료_잔고!$A$1:$EZ$1500,설정!$L$5+ROW()-1,설정!$L$19)),INDEX(원자료_잔고!$A$1:$EZ$1500,설정!$L$5+ROW()-1,설정!$L$19),""),"")</f>
        <v/>
      </c>
      <c r="N484" s="83" t="str">
        <f aca="false">IFERROR(IF(INDEX(원자료_잔고!$A$1:$EZ$1500,설정!$L$5+ROW()-1,설정!$L$21)&amp;""="0","",INDEX(원자료_잔고!$A$1:$EZ$1500,설정!$L$5+ROW()-1,설정!$L$21)&amp;""),"")</f>
        <v/>
      </c>
      <c r="O484" s="83" t="str">
        <f aca="false">IFERROR(IF(INDEX(원자료_잔고!$A$1:$EZ$1500,설정!$L$5+ROW()-1,설정!$L$22)&amp;""="0","",INDEX(원자료_잔고!$A$1:$EZ$1500,설정!$L$5+ROW()-1,설정!$L$22)&amp;""),"")</f>
        <v/>
      </c>
      <c r="P484" s="83" t="str">
        <f aca="false">IFERROR(IF(INDEX(원자료_잔고!$A$1:$EZ$1500,설정!$L$5+ROW()-1,설정!$L$23)&amp;""="0","",INDEX(원자료_잔고!$A$1:$EZ$1500,설정!$L$5+ROW()-1,설정!$L$23)&amp;""),"")</f>
        <v/>
      </c>
      <c r="Q484" s="89" t="n">
        <f aca="false">IF(AND($A484&lt;&gt;"",ISNUMBER(E484)),IF(E484&gt;0,1,0),0)</f>
        <v>0</v>
      </c>
      <c r="R484" s="43" t="str">
        <f aca="false">IF(Q484=1,UPPER(LEFT($A484,FIND(" ",$A484&amp;" ")-1)),"")</f>
        <v/>
      </c>
      <c r="S484" s="89" t="n">
        <f aca="false">IF(Q484=1,IF(OR(ISNUMBER(SEARCH("Float",$A484)),ISNUMBER(SEARCH("FRN",$A484))),1,0),0)</f>
        <v>0</v>
      </c>
      <c r="T484" s="43" t="str">
        <f aca="false">IF(AND(Q484=1,ISNUMBER(I484)),TEXT(I484,"yyyymmdd")&amp;"|"&amp;IF(S484=1,"F",TEXT(J484,"0.000")),"")</f>
        <v/>
      </c>
      <c r="U484" s="90" t="str">
        <f aca="false">IF(AND(Q484=1,ISNUMBER(I484)),(I484-설정!$C$4)/365.25,"")</f>
        <v/>
      </c>
      <c r="V484" s="43" t="str">
        <f aca="false">IF(Q484&lt;&gt;1,"",IF(ISNUMBER(U484),IF(U484&lt;=1,"1년 이하",IF(U484&lt;=2,"1-2년",IF(U484&lt;=3,"2-3년",IF(U484&lt;=4,"3-4년",IF(U484&lt;=5,"4-5년",IF(U484&lt;=7,"5-7년",IF(U484&lt;=10,"7-10년",IF(U484&lt;=20,"10-20년","20년 이상")))))))),"미분류"))</f>
        <v/>
      </c>
      <c r="W484" s="43" t="str">
        <f aca="false">IF(Q484&lt;&gt;1,"",IF(AB484&lt;&gt;"",INDEX(시장분석!$C:$C,AB484),IF(K484=1,"USD","비USD")))</f>
        <v/>
      </c>
      <c r="X484" s="91" t="n">
        <f aca="false">IF(Q484=1,E484*K484/1000000,0)</f>
        <v>0</v>
      </c>
      <c r="Y484" s="89" t="n">
        <f aca="false">IF(R484="T",1,0)</f>
        <v>0</v>
      </c>
      <c r="Z484" s="92" t="str">
        <f aca="false">IF(Q484&lt;&gt;1,"",IF(AD484=1,IF(ISNUMBER(U484),MAX(U484,0),H484),H484))</f>
        <v/>
      </c>
      <c r="AA484" s="91" t="n">
        <f aca="false">IF(Q484=1,IF(ISNUMBER(L484),L484,0)*K484/1000000,0)</f>
        <v>0</v>
      </c>
      <c r="AB484" s="89" t="str">
        <f aca="false">IF(Q484&lt;&gt;1,"",IFERROR(MATCH(VLOOKUP(B484,매핑!$H$4:$I$15,2,0),시장분석!$A$2:$A$601,0)+1,IFERROR(MATCH(R484&amp;"|"&amp;T484,시장분석!$V$2:$V$601,0)+1,IF(COUNTIF(시장분석!$U$2:$U$601,T484)=1,MATCH(T484,시장분석!$U$2:$U$601,0)+1,""))))</f>
        <v/>
      </c>
      <c r="AC484" s="89" t="n">
        <f aca="false">IF(Q484&lt;&gt;1,0,IF(OR(설정!$C$5="전체",AND(설정!$C$5="선택펀드",IFERROR(COUNTIFS(설정!$F$16:$F$36,C484,설정!$G$16:$G$36,"Y")+COUNTIFS(설정!$F$16:$F$36,VALUE(C484),설정!$G$16:$G$36,"Y"),0)&gt;0),C484&amp;""=설정!$C$5&amp;""),1,0))</f>
        <v>0</v>
      </c>
      <c r="AD484" s="89" t="n">
        <f aca="false">IF(Q484&lt;&gt;1,0,IF(OR(S484=1,IF(AB484="",FALSE(),INDEX(시장분석!$R:$R,AB484)=1)),1,0))</f>
        <v>0</v>
      </c>
      <c r="AE484" s="43" t="str">
        <f aca="false">IF(AB484="","",INDEX(시장분석!$A:$A,AB484))</f>
        <v/>
      </c>
      <c r="AF484" s="93" t="str">
        <f aca="false">IF(AB484="","",IF(ISNUMBER(IF(AB484="","",INDEX(시장분석!$E:$E,AB484))),IF(AB484="","",INDEX(시장분석!$E:$E,AB484)),""))</f>
        <v/>
      </c>
      <c r="AG484" s="43" t="str">
        <f aca="false">IF(Q484&lt;&gt;1,"",IF(AB484&lt;&gt;"",IF(AB484="","",INDEX(시장분석!$L:$L,AB484)),IFERROR(IF(VLOOKUP(R484,매핑!$A$4:$E$92,5,0)="","미분류",VLOOKUP(R484,매핑!$A$4:$E$92,5,0)),"미분류")))</f>
        <v/>
      </c>
      <c r="AH484" s="43" t="str">
        <f aca="false">IF(Q484&lt;&gt;1,"",IF(AB484&lt;&gt;"",IF(AB484="","",INDEX(시장분석!$N:$N,AB484)),IFERROR(IF(VLOOKUP(R484,매핑!$A$4:$E$92,4,0)="","미분류",VLOOKUP(R484,매핑!$A$4:$E$92,4,0)),"미분류")))</f>
        <v/>
      </c>
      <c r="AI484" s="43" t="str">
        <f aca="false">IF(Q484&lt;&gt;1,"",IFERROR(IF(VLOOKUP(R484,매핑!$A$4:$E$92,3,0)="","미분류",VLOOKUP(R484,매핑!$A$4:$E$92,3,0)),IF(AB484&lt;&gt;"",IF(AB484="","",INDEX(시장분석!$W:$W,AB484)),"미분류")))</f>
        <v/>
      </c>
      <c r="AJ484" s="43" t="str">
        <f aca="false">IF(Q484&lt;&gt;1,"",IFERROR(VLOOKUP(IF(N484&lt;&gt;"",N484,IF(P484&lt;&gt;"",P484,O484)),설정!$A$15:$D$47,2,0),""))</f>
        <v/>
      </c>
      <c r="AK484" s="43" t="str">
        <f aca="false">IF(Q484&lt;&gt;1,"",IF(AJ484="","무등급",IFERROR(VLOOKUP(AJ484,설정!$A$15:$D$47,3,0),"무등급")))</f>
        <v/>
      </c>
      <c r="AL484" s="89" t="n">
        <f aca="false">IF(AJ484="",99,IFERROR(VLOOKUP(AJ484,설정!$A$15:$D$47,4,0),99))</f>
        <v>99</v>
      </c>
      <c r="AM484" s="94" t="n">
        <f aca="false">IF(ISNUMBER(H484),AA484*1000000*H484/10000,0)</f>
        <v>0</v>
      </c>
      <c r="AN484" s="94" t="n">
        <f aca="false">IF(OR(Y484=1,NOT(ISNUMBER(Z484))),0,AA484*1000000*Z484/10000)</f>
        <v>0</v>
      </c>
      <c r="AO484" s="94" t="n">
        <f aca="false">IF(ISNUMBER(G484),AA484*1000000*G484/100,0)</f>
        <v>0</v>
      </c>
      <c r="AP484" s="94" t="n">
        <f aca="false">IF(ISNUMBER(M484),M484*K484,0)</f>
        <v>0</v>
      </c>
      <c r="AQ484" s="95" t="str">
        <f aca="false">IF(AB484="","",INDEX(시장분석!$AK:$AK,AB484))</f>
        <v/>
      </c>
      <c r="AR484" s="43" t="str">
        <f aca="false">IF(AB484="","-",IF(AB484="","",INDEX(시장분석!$AL:$AL,AB484)))</f>
        <v>-</v>
      </c>
      <c r="AS484" s="96" t="str">
        <f aca="false">IF(AB484="","",INDEX(시장분석!$AJ:$AJ,AB484))</f>
        <v/>
      </c>
      <c r="AT484" s="93" t="n">
        <f aca="false">IF(AB484="",0,IF(AB484="","",INDEX(시장분석!$AN:$AN,AB484)))</f>
        <v>0</v>
      </c>
      <c r="AU484" s="94" t="n">
        <f aca="false">IF(ISNUMBER(Z484),AT484/10000*MAX(Z484-1,0)*AA484*1000000,0)</f>
        <v>0</v>
      </c>
      <c r="AV484" s="94" t="n">
        <f aca="false">AO484+AU484</f>
        <v>0</v>
      </c>
      <c r="AW484" s="43" t="str">
        <f aca="false">IF(Q484&lt;&gt;1,"",TRIM(IF(AD484=1,"FRN ","")&amp;IF(AND(AL484&gt;=10,AL484&lt;99),"BBB0미만 ","")&amp;IF(AJ484="","등급없음 ","")&amp;IF(K484&lt;&gt;1,"비USD ","")&amp;IF(AND(AB484="",Y484=0),"시장데이터없음 ","")&amp;IF(AND(ISNUMBER(U484),U484&lt;0),"만기경과 ","")))</f>
        <v/>
      </c>
      <c r="AX484" s="90" t="n">
        <f aca="false">IF(Q484&lt;&gt;1,1,IF(스프레드쇼크!$C$4="Y",INDEX(스프레드쇼크!$B$12:$L$16,IFERROR(MATCH(AH484,스프레드쇼크!$A$12:$A$16,0),MATCH("목록외",스프레드쇼크!$A$12:$A$16,0)),IFERROR(MATCH(AG484,스프레드쇼크!$B$11:$L$11,0),MATCH("목록외",스프레드쇼크!$B$11:$L$11,0))),1))</f>
        <v>1</v>
      </c>
      <c r="AY484" s="90" t="n">
        <f aca="false">IF(스프레드쇼크!$C$5="Y",IF(ISNUMBER(AF484),MIN(스프레드쇼크!$C$7,MAX(스프레드쇼크!$C$6,AF484/스프레드쇼크!$C$8)),1),1)</f>
        <v>1</v>
      </c>
      <c r="AZ484" s="94" t="n">
        <f aca="false">AN484*AX484*AY484</f>
        <v>0</v>
      </c>
      <c r="BA484" s="90" t="n">
        <f aca="false">IF(ISNUMBER(G484),AA484*G484,0)</f>
        <v>0</v>
      </c>
      <c r="BB484" s="90" t="n">
        <f aca="false">IF(ISNUMBER(G484),AA484,0)</f>
        <v>0</v>
      </c>
      <c r="BC484" s="90" t="n">
        <f aca="false">IF(AND(Y484=0,ISNUMBER(AF484)),AA484*AF484,0)</f>
        <v>0</v>
      </c>
      <c r="BD484" s="90" t="n">
        <f aca="false">IF(AND(Y484=0,ISNUMBER(AF484)),AA484,0)</f>
        <v>0</v>
      </c>
      <c r="BE484" s="90" t="n">
        <f aca="false">IF(ISNUMBER(H484),AA484*H484,0)</f>
        <v>0</v>
      </c>
      <c r="BF484" s="90" t="n">
        <f aca="false">IF(ISNUMBER(H484),AA484,0)</f>
        <v>0</v>
      </c>
      <c r="BG484" s="90" t="n">
        <f aca="false">IF(AND(Y484=0,ISNUMBER(AF484),ISNUMBER(Z484)),AA484*Z484,0)</f>
        <v>0</v>
      </c>
      <c r="BH484" s="90" t="n">
        <f aca="false">IF(AND(Y484=0,ISNUMBER(AF484),ISNUMBER(Z484)),AA484*AT484*MAX(Z484-1,0),0)</f>
        <v>0</v>
      </c>
      <c r="BI484" s="90" t="n">
        <f aca="false">IF(Y484=0,AA484,0)</f>
        <v>0</v>
      </c>
    </row>
    <row r="485" customFormat="false" ht="15" hidden="false" customHeight="false" outlineLevel="0" collapsed="false">
      <c r="A485" s="83" t="str">
        <f aca="false">IFERROR(IF(INDEX(원자료_잔고!$A$1:$EZ$1500,설정!$L$5+ROW()-1,설정!$L$8)&amp;""="0","",INDEX(원자료_잔고!$A$1:$EZ$1500,설정!$L$5+ROW()-1,설정!$L$8)&amp;""),"")</f>
        <v/>
      </c>
      <c r="B485" s="83" t="str">
        <f aca="false">IFERROR(IF(INDEX(원자료_잔고!$A$1:$EZ$1500,설정!$L$5+ROW()-1,설정!$L$7)&amp;""="0","",INDEX(원자료_잔고!$A$1:$EZ$1500,설정!$L$5+ROW()-1,설정!$L$7)&amp;""),"")</f>
        <v/>
      </c>
      <c r="C485" s="83" t="str">
        <f aca="false">IFERROR(IF(INDEX(원자료_잔고!$A$1:$EZ$1500,설정!$L$5+ROW()-1,설정!$L$9)&amp;""="0","",INDEX(원자료_잔고!$A$1:$EZ$1500,설정!$L$5+ROW()-1,설정!$L$9)&amp;""),"")</f>
        <v/>
      </c>
      <c r="D485" s="83" t="str">
        <f aca="false">IFERROR(IF(INDEX(원자료_잔고!$A$1:$EZ$1500,설정!$L$5+ROW()-1,설정!$L$10)&amp;""="0","",INDEX(원자료_잔고!$A$1:$EZ$1500,설정!$L$5+ROW()-1,설정!$L$10)&amp;""),"")</f>
        <v/>
      </c>
      <c r="E485" s="84" t="str">
        <f aca="false">IFERROR(IF(ISNUMBER(INDEX(원자료_잔고!$A$1:$EZ$1500,설정!$L$5+ROW()-1,설정!$L$11)),INDEX(원자료_잔고!$A$1:$EZ$1500,설정!$L$5+ROW()-1,설정!$L$11),""),"")</f>
        <v/>
      </c>
      <c r="F485" s="85" t="str">
        <f aca="false">IFERROR(IF(ISNUMBER(INDEX(원자료_잔고!$A$1:$EZ$1500,설정!$L$5+ROW()-1,설정!$L$12)),INDEX(원자료_잔고!$A$1:$EZ$1500,설정!$L$5+ROW()-1,설정!$L$12),""),"")</f>
        <v/>
      </c>
      <c r="G485" s="85" t="str">
        <f aca="false">IFERROR(IF(ISNUMBER(INDEX(원자료_잔고!$A$1:$EZ$1500,설정!$L$5+ROW()-1,설정!$L$13)),INDEX(원자료_잔고!$A$1:$EZ$1500,설정!$L$5+ROW()-1,설정!$L$13),""),"")</f>
        <v/>
      </c>
      <c r="H485" s="85" t="str">
        <f aca="false">IFERROR(IF(ISNUMBER(INDEX(원자료_잔고!$A$1:$EZ$1500,설정!$L$5+ROW()-1,설정!$L$14)),INDEX(원자료_잔고!$A$1:$EZ$1500,설정!$L$5+ROW()-1,설정!$L$14),""),"")</f>
        <v/>
      </c>
      <c r="I485" s="86" t="str">
        <f aca="false">IFERROR(IF(ISNUMBER(INDEX(원자료_잔고!$A$1:$EZ$1500,설정!$L$5+ROW()-1,설정!$L$15)),INDEX(원자료_잔고!$A$1:$EZ$1500,설정!$L$5+ROW()-1,설정!$L$15),""),"")</f>
        <v/>
      </c>
      <c r="J485" s="85" t="str">
        <f aca="false">IFERROR(IF(ISNUMBER(INDEX(원자료_잔고!$A$1:$EZ$1500,설정!$L$5+ROW()-1,설정!$L$16)),INDEX(원자료_잔고!$A$1:$EZ$1500,설정!$L$5+ROW()-1,설정!$L$16),""),"")</f>
        <v/>
      </c>
      <c r="K485" s="87" t="str">
        <f aca="false">IFERROR(IF(ISNUMBER(INDEX(원자료_잔고!$A$1:$EZ$1500,설정!$L$5+ROW()-1,설정!$L$17)),INDEX(원자료_잔고!$A$1:$EZ$1500,설정!$L$5+ROW()-1,설정!$L$17),""),"")</f>
        <v/>
      </c>
      <c r="L485" s="84" t="str">
        <f aca="false">IFERROR(IF(ISNUMBER(INDEX(원자료_잔고!$A$1:$EZ$1500,설정!$L$5+ROW()-1,설정!$L$18)),INDEX(원자료_잔고!$A$1:$EZ$1500,설정!$L$5+ROW()-1,설정!$L$18),""),"")</f>
        <v/>
      </c>
      <c r="M485" s="88" t="str">
        <f aca="false">IFERROR(IF(ISNUMBER(INDEX(원자료_잔고!$A$1:$EZ$1500,설정!$L$5+ROW()-1,설정!$L$19)),INDEX(원자료_잔고!$A$1:$EZ$1500,설정!$L$5+ROW()-1,설정!$L$19),""),"")</f>
        <v/>
      </c>
      <c r="N485" s="83" t="str">
        <f aca="false">IFERROR(IF(INDEX(원자료_잔고!$A$1:$EZ$1500,설정!$L$5+ROW()-1,설정!$L$21)&amp;""="0","",INDEX(원자료_잔고!$A$1:$EZ$1500,설정!$L$5+ROW()-1,설정!$L$21)&amp;""),"")</f>
        <v/>
      </c>
      <c r="O485" s="83" t="str">
        <f aca="false">IFERROR(IF(INDEX(원자료_잔고!$A$1:$EZ$1500,설정!$L$5+ROW()-1,설정!$L$22)&amp;""="0","",INDEX(원자료_잔고!$A$1:$EZ$1500,설정!$L$5+ROW()-1,설정!$L$22)&amp;""),"")</f>
        <v/>
      </c>
      <c r="P485" s="83" t="str">
        <f aca="false">IFERROR(IF(INDEX(원자료_잔고!$A$1:$EZ$1500,설정!$L$5+ROW()-1,설정!$L$23)&amp;""="0","",INDEX(원자료_잔고!$A$1:$EZ$1500,설정!$L$5+ROW()-1,설정!$L$23)&amp;""),"")</f>
        <v/>
      </c>
      <c r="Q485" s="89" t="n">
        <f aca="false">IF(AND($A485&lt;&gt;"",ISNUMBER(E485)),IF(E485&gt;0,1,0),0)</f>
        <v>0</v>
      </c>
      <c r="R485" s="43" t="str">
        <f aca="false">IF(Q485=1,UPPER(LEFT($A485,FIND(" ",$A485&amp;" ")-1)),"")</f>
        <v/>
      </c>
      <c r="S485" s="89" t="n">
        <f aca="false">IF(Q485=1,IF(OR(ISNUMBER(SEARCH("Float",$A485)),ISNUMBER(SEARCH("FRN",$A485))),1,0),0)</f>
        <v>0</v>
      </c>
      <c r="T485" s="43" t="str">
        <f aca="false">IF(AND(Q485=1,ISNUMBER(I485)),TEXT(I485,"yyyymmdd")&amp;"|"&amp;IF(S485=1,"F",TEXT(J485,"0.000")),"")</f>
        <v/>
      </c>
      <c r="U485" s="90" t="str">
        <f aca="false">IF(AND(Q485=1,ISNUMBER(I485)),(I485-설정!$C$4)/365.25,"")</f>
        <v/>
      </c>
      <c r="V485" s="43" t="str">
        <f aca="false">IF(Q485&lt;&gt;1,"",IF(ISNUMBER(U485),IF(U485&lt;=1,"1년 이하",IF(U485&lt;=2,"1-2년",IF(U485&lt;=3,"2-3년",IF(U485&lt;=4,"3-4년",IF(U485&lt;=5,"4-5년",IF(U485&lt;=7,"5-7년",IF(U485&lt;=10,"7-10년",IF(U485&lt;=20,"10-20년","20년 이상")))))))),"미분류"))</f>
        <v/>
      </c>
      <c r="W485" s="43" t="str">
        <f aca="false">IF(Q485&lt;&gt;1,"",IF(AB485&lt;&gt;"",INDEX(시장분석!$C:$C,AB485),IF(K485=1,"USD","비USD")))</f>
        <v/>
      </c>
      <c r="X485" s="91" t="n">
        <f aca="false">IF(Q485=1,E485*K485/1000000,0)</f>
        <v>0</v>
      </c>
      <c r="Y485" s="89" t="n">
        <f aca="false">IF(R485="T",1,0)</f>
        <v>0</v>
      </c>
      <c r="Z485" s="92" t="str">
        <f aca="false">IF(Q485&lt;&gt;1,"",IF(AD485=1,IF(ISNUMBER(U485),MAX(U485,0),H485),H485))</f>
        <v/>
      </c>
      <c r="AA485" s="91" t="n">
        <f aca="false">IF(Q485=1,IF(ISNUMBER(L485),L485,0)*K485/1000000,0)</f>
        <v>0</v>
      </c>
      <c r="AB485" s="89" t="str">
        <f aca="false">IF(Q485&lt;&gt;1,"",IFERROR(MATCH(VLOOKUP(B485,매핑!$H$4:$I$15,2,0),시장분석!$A$2:$A$601,0)+1,IFERROR(MATCH(R485&amp;"|"&amp;T485,시장분석!$V$2:$V$601,0)+1,IF(COUNTIF(시장분석!$U$2:$U$601,T485)=1,MATCH(T485,시장분석!$U$2:$U$601,0)+1,""))))</f>
        <v/>
      </c>
      <c r="AC485" s="89" t="n">
        <f aca="false">IF(Q485&lt;&gt;1,0,IF(OR(설정!$C$5="전체",AND(설정!$C$5="선택펀드",IFERROR(COUNTIFS(설정!$F$16:$F$36,C485,설정!$G$16:$G$36,"Y")+COUNTIFS(설정!$F$16:$F$36,VALUE(C485),설정!$G$16:$G$36,"Y"),0)&gt;0),C485&amp;""=설정!$C$5&amp;""),1,0))</f>
        <v>0</v>
      </c>
      <c r="AD485" s="89" t="n">
        <f aca="false">IF(Q485&lt;&gt;1,0,IF(OR(S485=1,IF(AB485="",FALSE(),INDEX(시장분석!$R:$R,AB485)=1)),1,0))</f>
        <v>0</v>
      </c>
      <c r="AE485" s="43" t="str">
        <f aca="false">IF(AB485="","",INDEX(시장분석!$A:$A,AB485))</f>
        <v/>
      </c>
      <c r="AF485" s="93" t="str">
        <f aca="false">IF(AB485="","",IF(ISNUMBER(IF(AB485="","",INDEX(시장분석!$E:$E,AB485))),IF(AB485="","",INDEX(시장분석!$E:$E,AB485)),""))</f>
        <v/>
      </c>
      <c r="AG485" s="43" t="str">
        <f aca="false">IF(Q485&lt;&gt;1,"",IF(AB485&lt;&gt;"",IF(AB485="","",INDEX(시장분석!$L:$L,AB485)),IFERROR(IF(VLOOKUP(R485,매핑!$A$4:$E$92,5,0)="","미분류",VLOOKUP(R485,매핑!$A$4:$E$92,5,0)),"미분류")))</f>
        <v/>
      </c>
      <c r="AH485" s="43" t="str">
        <f aca="false">IF(Q485&lt;&gt;1,"",IF(AB485&lt;&gt;"",IF(AB485="","",INDEX(시장분석!$N:$N,AB485)),IFERROR(IF(VLOOKUP(R485,매핑!$A$4:$E$92,4,0)="","미분류",VLOOKUP(R485,매핑!$A$4:$E$92,4,0)),"미분류")))</f>
        <v/>
      </c>
      <c r="AI485" s="43" t="str">
        <f aca="false">IF(Q485&lt;&gt;1,"",IFERROR(IF(VLOOKUP(R485,매핑!$A$4:$E$92,3,0)="","미분류",VLOOKUP(R485,매핑!$A$4:$E$92,3,0)),IF(AB485&lt;&gt;"",IF(AB485="","",INDEX(시장분석!$W:$W,AB485)),"미분류")))</f>
        <v/>
      </c>
      <c r="AJ485" s="43" t="str">
        <f aca="false">IF(Q485&lt;&gt;1,"",IFERROR(VLOOKUP(IF(N485&lt;&gt;"",N485,IF(P485&lt;&gt;"",P485,O485)),설정!$A$15:$D$47,2,0),""))</f>
        <v/>
      </c>
      <c r="AK485" s="43" t="str">
        <f aca="false">IF(Q485&lt;&gt;1,"",IF(AJ485="","무등급",IFERROR(VLOOKUP(AJ485,설정!$A$15:$D$47,3,0),"무등급")))</f>
        <v/>
      </c>
      <c r="AL485" s="89" t="n">
        <f aca="false">IF(AJ485="",99,IFERROR(VLOOKUP(AJ485,설정!$A$15:$D$47,4,0),99))</f>
        <v>99</v>
      </c>
      <c r="AM485" s="94" t="n">
        <f aca="false">IF(ISNUMBER(H485),AA485*1000000*H485/10000,0)</f>
        <v>0</v>
      </c>
      <c r="AN485" s="94" t="n">
        <f aca="false">IF(OR(Y485=1,NOT(ISNUMBER(Z485))),0,AA485*1000000*Z485/10000)</f>
        <v>0</v>
      </c>
      <c r="AO485" s="94" t="n">
        <f aca="false">IF(ISNUMBER(G485),AA485*1000000*G485/100,0)</f>
        <v>0</v>
      </c>
      <c r="AP485" s="94" t="n">
        <f aca="false">IF(ISNUMBER(M485),M485*K485,0)</f>
        <v>0</v>
      </c>
      <c r="AQ485" s="95" t="str">
        <f aca="false">IF(AB485="","",INDEX(시장분석!$AK:$AK,AB485))</f>
        <v/>
      </c>
      <c r="AR485" s="43" t="str">
        <f aca="false">IF(AB485="","-",IF(AB485="","",INDEX(시장분석!$AL:$AL,AB485)))</f>
        <v>-</v>
      </c>
      <c r="AS485" s="96" t="str">
        <f aca="false">IF(AB485="","",INDEX(시장분석!$AJ:$AJ,AB485))</f>
        <v/>
      </c>
      <c r="AT485" s="93" t="n">
        <f aca="false">IF(AB485="",0,IF(AB485="","",INDEX(시장분석!$AN:$AN,AB485)))</f>
        <v>0</v>
      </c>
      <c r="AU485" s="94" t="n">
        <f aca="false">IF(ISNUMBER(Z485),AT485/10000*MAX(Z485-1,0)*AA485*1000000,0)</f>
        <v>0</v>
      </c>
      <c r="AV485" s="94" t="n">
        <f aca="false">AO485+AU485</f>
        <v>0</v>
      </c>
      <c r="AW485" s="43" t="str">
        <f aca="false">IF(Q485&lt;&gt;1,"",TRIM(IF(AD485=1,"FRN ","")&amp;IF(AND(AL485&gt;=10,AL485&lt;99),"BBB0미만 ","")&amp;IF(AJ485="","등급없음 ","")&amp;IF(K485&lt;&gt;1,"비USD ","")&amp;IF(AND(AB485="",Y485=0),"시장데이터없음 ","")&amp;IF(AND(ISNUMBER(U485),U485&lt;0),"만기경과 ","")))</f>
        <v/>
      </c>
      <c r="AX485" s="90" t="n">
        <f aca="false">IF(Q485&lt;&gt;1,1,IF(스프레드쇼크!$C$4="Y",INDEX(스프레드쇼크!$B$12:$L$16,IFERROR(MATCH(AH485,스프레드쇼크!$A$12:$A$16,0),MATCH("목록외",스프레드쇼크!$A$12:$A$16,0)),IFERROR(MATCH(AG485,스프레드쇼크!$B$11:$L$11,0),MATCH("목록외",스프레드쇼크!$B$11:$L$11,0))),1))</f>
        <v>1</v>
      </c>
      <c r="AY485" s="90" t="n">
        <f aca="false">IF(스프레드쇼크!$C$5="Y",IF(ISNUMBER(AF485),MIN(스프레드쇼크!$C$7,MAX(스프레드쇼크!$C$6,AF485/스프레드쇼크!$C$8)),1),1)</f>
        <v>1</v>
      </c>
      <c r="AZ485" s="94" t="n">
        <f aca="false">AN485*AX485*AY485</f>
        <v>0</v>
      </c>
      <c r="BA485" s="90" t="n">
        <f aca="false">IF(ISNUMBER(G485),AA485*G485,0)</f>
        <v>0</v>
      </c>
      <c r="BB485" s="90" t="n">
        <f aca="false">IF(ISNUMBER(G485),AA485,0)</f>
        <v>0</v>
      </c>
      <c r="BC485" s="90" t="n">
        <f aca="false">IF(AND(Y485=0,ISNUMBER(AF485)),AA485*AF485,0)</f>
        <v>0</v>
      </c>
      <c r="BD485" s="90" t="n">
        <f aca="false">IF(AND(Y485=0,ISNUMBER(AF485)),AA485,0)</f>
        <v>0</v>
      </c>
      <c r="BE485" s="90" t="n">
        <f aca="false">IF(ISNUMBER(H485),AA485*H485,0)</f>
        <v>0</v>
      </c>
      <c r="BF485" s="90" t="n">
        <f aca="false">IF(ISNUMBER(H485),AA485,0)</f>
        <v>0</v>
      </c>
      <c r="BG485" s="90" t="n">
        <f aca="false">IF(AND(Y485=0,ISNUMBER(AF485),ISNUMBER(Z485)),AA485*Z485,0)</f>
        <v>0</v>
      </c>
      <c r="BH485" s="90" t="n">
        <f aca="false">IF(AND(Y485=0,ISNUMBER(AF485),ISNUMBER(Z485)),AA485*AT485*MAX(Z485-1,0),0)</f>
        <v>0</v>
      </c>
      <c r="BI485" s="90" t="n">
        <f aca="false">IF(Y485=0,AA485,0)</f>
        <v>0</v>
      </c>
    </row>
    <row r="486" customFormat="false" ht="15" hidden="false" customHeight="false" outlineLevel="0" collapsed="false">
      <c r="A486" s="83" t="str">
        <f aca="false">IFERROR(IF(INDEX(원자료_잔고!$A$1:$EZ$1500,설정!$L$5+ROW()-1,설정!$L$8)&amp;""="0","",INDEX(원자료_잔고!$A$1:$EZ$1500,설정!$L$5+ROW()-1,설정!$L$8)&amp;""),"")</f>
        <v/>
      </c>
      <c r="B486" s="83" t="str">
        <f aca="false">IFERROR(IF(INDEX(원자료_잔고!$A$1:$EZ$1500,설정!$L$5+ROW()-1,설정!$L$7)&amp;""="0","",INDEX(원자료_잔고!$A$1:$EZ$1500,설정!$L$5+ROW()-1,설정!$L$7)&amp;""),"")</f>
        <v/>
      </c>
      <c r="C486" s="83" t="str">
        <f aca="false">IFERROR(IF(INDEX(원자료_잔고!$A$1:$EZ$1500,설정!$L$5+ROW()-1,설정!$L$9)&amp;""="0","",INDEX(원자료_잔고!$A$1:$EZ$1500,설정!$L$5+ROW()-1,설정!$L$9)&amp;""),"")</f>
        <v/>
      </c>
      <c r="D486" s="83" t="str">
        <f aca="false">IFERROR(IF(INDEX(원자료_잔고!$A$1:$EZ$1500,설정!$L$5+ROW()-1,설정!$L$10)&amp;""="0","",INDEX(원자료_잔고!$A$1:$EZ$1500,설정!$L$5+ROW()-1,설정!$L$10)&amp;""),"")</f>
        <v/>
      </c>
      <c r="E486" s="84" t="str">
        <f aca="false">IFERROR(IF(ISNUMBER(INDEX(원자료_잔고!$A$1:$EZ$1500,설정!$L$5+ROW()-1,설정!$L$11)),INDEX(원자료_잔고!$A$1:$EZ$1500,설정!$L$5+ROW()-1,설정!$L$11),""),"")</f>
        <v/>
      </c>
      <c r="F486" s="85" t="str">
        <f aca="false">IFERROR(IF(ISNUMBER(INDEX(원자료_잔고!$A$1:$EZ$1500,설정!$L$5+ROW()-1,설정!$L$12)),INDEX(원자료_잔고!$A$1:$EZ$1500,설정!$L$5+ROW()-1,설정!$L$12),""),"")</f>
        <v/>
      </c>
      <c r="G486" s="85" t="str">
        <f aca="false">IFERROR(IF(ISNUMBER(INDEX(원자료_잔고!$A$1:$EZ$1500,설정!$L$5+ROW()-1,설정!$L$13)),INDEX(원자료_잔고!$A$1:$EZ$1500,설정!$L$5+ROW()-1,설정!$L$13),""),"")</f>
        <v/>
      </c>
      <c r="H486" s="85" t="str">
        <f aca="false">IFERROR(IF(ISNUMBER(INDEX(원자료_잔고!$A$1:$EZ$1500,설정!$L$5+ROW()-1,설정!$L$14)),INDEX(원자료_잔고!$A$1:$EZ$1500,설정!$L$5+ROW()-1,설정!$L$14),""),"")</f>
        <v/>
      </c>
      <c r="I486" s="86" t="str">
        <f aca="false">IFERROR(IF(ISNUMBER(INDEX(원자료_잔고!$A$1:$EZ$1500,설정!$L$5+ROW()-1,설정!$L$15)),INDEX(원자료_잔고!$A$1:$EZ$1500,설정!$L$5+ROW()-1,설정!$L$15),""),"")</f>
        <v/>
      </c>
      <c r="J486" s="85" t="str">
        <f aca="false">IFERROR(IF(ISNUMBER(INDEX(원자료_잔고!$A$1:$EZ$1500,설정!$L$5+ROW()-1,설정!$L$16)),INDEX(원자료_잔고!$A$1:$EZ$1500,설정!$L$5+ROW()-1,설정!$L$16),""),"")</f>
        <v/>
      </c>
      <c r="K486" s="87" t="str">
        <f aca="false">IFERROR(IF(ISNUMBER(INDEX(원자료_잔고!$A$1:$EZ$1500,설정!$L$5+ROW()-1,설정!$L$17)),INDEX(원자료_잔고!$A$1:$EZ$1500,설정!$L$5+ROW()-1,설정!$L$17),""),"")</f>
        <v/>
      </c>
      <c r="L486" s="84" t="str">
        <f aca="false">IFERROR(IF(ISNUMBER(INDEX(원자료_잔고!$A$1:$EZ$1500,설정!$L$5+ROW()-1,설정!$L$18)),INDEX(원자료_잔고!$A$1:$EZ$1500,설정!$L$5+ROW()-1,설정!$L$18),""),"")</f>
        <v/>
      </c>
      <c r="M486" s="88" t="str">
        <f aca="false">IFERROR(IF(ISNUMBER(INDEX(원자료_잔고!$A$1:$EZ$1500,설정!$L$5+ROW()-1,설정!$L$19)),INDEX(원자료_잔고!$A$1:$EZ$1500,설정!$L$5+ROW()-1,설정!$L$19),""),"")</f>
        <v/>
      </c>
      <c r="N486" s="83" t="str">
        <f aca="false">IFERROR(IF(INDEX(원자료_잔고!$A$1:$EZ$1500,설정!$L$5+ROW()-1,설정!$L$21)&amp;""="0","",INDEX(원자료_잔고!$A$1:$EZ$1500,설정!$L$5+ROW()-1,설정!$L$21)&amp;""),"")</f>
        <v/>
      </c>
      <c r="O486" s="83" t="str">
        <f aca="false">IFERROR(IF(INDEX(원자료_잔고!$A$1:$EZ$1500,설정!$L$5+ROW()-1,설정!$L$22)&amp;""="0","",INDEX(원자료_잔고!$A$1:$EZ$1500,설정!$L$5+ROW()-1,설정!$L$22)&amp;""),"")</f>
        <v/>
      </c>
      <c r="P486" s="83" t="str">
        <f aca="false">IFERROR(IF(INDEX(원자료_잔고!$A$1:$EZ$1500,설정!$L$5+ROW()-1,설정!$L$23)&amp;""="0","",INDEX(원자료_잔고!$A$1:$EZ$1500,설정!$L$5+ROW()-1,설정!$L$23)&amp;""),"")</f>
        <v/>
      </c>
      <c r="Q486" s="89" t="n">
        <f aca="false">IF(AND($A486&lt;&gt;"",ISNUMBER(E486)),IF(E486&gt;0,1,0),0)</f>
        <v>0</v>
      </c>
      <c r="R486" s="43" t="str">
        <f aca="false">IF(Q486=1,UPPER(LEFT($A486,FIND(" ",$A486&amp;" ")-1)),"")</f>
        <v/>
      </c>
      <c r="S486" s="89" t="n">
        <f aca="false">IF(Q486=1,IF(OR(ISNUMBER(SEARCH("Float",$A486)),ISNUMBER(SEARCH("FRN",$A486))),1,0),0)</f>
        <v>0</v>
      </c>
      <c r="T486" s="43" t="str">
        <f aca="false">IF(AND(Q486=1,ISNUMBER(I486)),TEXT(I486,"yyyymmdd")&amp;"|"&amp;IF(S486=1,"F",TEXT(J486,"0.000")),"")</f>
        <v/>
      </c>
      <c r="U486" s="90" t="str">
        <f aca="false">IF(AND(Q486=1,ISNUMBER(I486)),(I486-설정!$C$4)/365.25,"")</f>
        <v/>
      </c>
      <c r="V486" s="43" t="str">
        <f aca="false">IF(Q486&lt;&gt;1,"",IF(ISNUMBER(U486),IF(U486&lt;=1,"1년 이하",IF(U486&lt;=2,"1-2년",IF(U486&lt;=3,"2-3년",IF(U486&lt;=4,"3-4년",IF(U486&lt;=5,"4-5년",IF(U486&lt;=7,"5-7년",IF(U486&lt;=10,"7-10년",IF(U486&lt;=20,"10-20년","20년 이상")))))))),"미분류"))</f>
        <v/>
      </c>
      <c r="W486" s="43" t="str">
        <f aca="false">IF(Q486&lt;&gt;1,"",IF(AB486&lt;&gt;"",INDEX(시장분석!$C:$C,AB486),IF(K486=1,"USD","비USD")))</f>
        <v/>
      </c>
      <c r="X486" s="91" t="n">
        <f aca="false">IF(Q486=1,E486*K486/1000000,0)</f>
        <v>0</v>
      </c>
      <c r="Y486" s="89" t="n">
        <f aca="false">IF(R486="T",1,0)</f>
        <v>0</v>
      </c>
      <c r="Z486" s="92" t="str">
        <f aca="false">IF(Q486&lt;&gt;1,"",IF(AD486=1,IF(ISNUMBER(U486),MAX(U486,0),H486),H486))</f>
        <v/>
      </c>
      <c r="AA486" s="91" t="n">
        <f aca="false">IF(Q486=1,IF(ISNUMBER(L486),L486,0)*K486/1000000,0)</f>
        <v>0</v>
      </c>
      <c r="AB486" s="89" t="str">
        <f aca="false">IF(Q486&lt;&gt;1,"",IFERROR(MATCH(VLOOKUP(B486,매핑!$H$4:$I$15,2,0),시장분석!$A$2:$A$601,0)+1,IFERROR(MATCH(R486&amp;"|"&amp;T486,시장분석!$V$2:$V$601,0)+1,IF(COUNTIF(시장분석!$U$2:$U$601,T486)=1,MATCH(T486,시장분석!$U$2:$U$601,0)+1,""))))</f>
        <v/>
      </c>
      <c r="AC486" s="89" t="n">
        <f aca="false">IF(Q486&lt;&gt;1,0,IF(OR(설정!$C$5="전체",AND(설정!$C$5="선택펀드",IFERROR(COUNTIFS(설정!$F$16:$F$36,C486,설정!$G$16:$G$36,"Y")+COUNTIFS(설정!$F$16:$F$36,VALUE(C486),설정!$G$16:$G$36,"Y"),0)&gt;0),C486&amp;""=설정!$C$5&amp;""),1,0))</f>
        <v>0</v>
      </c>
      <c r="AD486" s="89" t="n">
        <f aca="false">IF(Q486&lt;&gt;1,0,IF(OR(S486=1,IF(AB486="",FALSE(),INDEX(시장분석!$R:$R,AB486)=1)),1,0))</f>
        <v>0</v>
      </c>
      <c r="AE486" s="43" t="str">
        <f aca="false">IF(AB486="","",INDEX(시장분석!$A:$A,AB486))</f>
        <v/>
      </c>
      <c r="AF486" s="93" t="str">
        <f aca="false">IF(AB486="","",IF(ISNUMBER(IF(AB486="","",INDEX(시장분석!$E:$E,AB486))),IF(AB486="","",INDEX(시장분석!$E:$E,AB486)),""))</f>
        <v/>
      </c>
      <c r="AG486" s="43" t="str">
        <f aca="false">IF(Q486&lt;&gt;1,"",IF(AB486&lt;&gt;"",IF(AB486="","",INDEX(시장분석!$L:$L,AB486)),IFERROR(IF(VLOOKUP(R486,매핑!$A$4:$E$92,5,0)="","미분류",VLOOKUP(R486,매핑!$A$4:$E$92,5,0)),"미분류")))</f>
        <v/>
      </c>
      <c r="AH486" s="43" t="str">
        <f aca="false">IF(Q486&lt;&gt;1,"",IF(AB486&lt;&gt;"",IF(AB486="","",INDEX(시장분석!$N:$N,AB486)),IFERROR(IF(VLOOKUP(R486,매핑!$A$4:$E$92,4,0)="","미분류",VLOOKUP(R486,매핑!$A$4:$E$92,4,0)),"미분류")))</f>
        <v/>
      </c>
      <c r="AI486" s="43" t="str">
        <f aca="false">IF(Q486&lt;&gt;1,"",IFERROR(IF(VLOOKUP(R486,매핑!$A$4:$E$92,3,0)="","미분류",VLOOKUP(R486,매핑!$A$4:$E$92,3,0)),IF(AB486&lt;&gt;"",IF(AB486="","",INDEX(시장분석!$W:$W,AB486)),"미분류")))</f>
        <v/>
      </c>
      <c r="AJ486" s="43" t="str">
        <f aca="false">IF(Q486&lt;&gt;1,"",IFERROR(VLOOKUP(IF(N486&lt;&gt;"",N486,IF(P486&lt;&gt;"",P486,O486)),설정!$A$15:$D$47,2,0),""))</f>
        <v/>
      </c>
      <c r="AK486" s="43" t="str">
        <f aca="false">IF(Q486&lt;&gt;1,"",IF(AJ486="","무등급",IFERROR(VLOOKUP(AJ486,설정!$A$15:$D$47,3,0),"무등급")))</f>
        <v/>
      </c>
      <c r="AL486" s="89" t="n">
        <f aca="false">IF(AJ486="",99,IFERROR(VLOOKUP(AJ486,설정!$A$15:$D$47,4,0),99))</f>
        <v>99</v>
      </c>
      <c r="AM486" s="94" t="n">
        <f aca="false">IF(ISNUMBER(H486),AA486*1000000*H486/10000,0)</f>
        <v>0</v>
      </c>
      <c r="AN486" s="94" t="n">
        <f aca="false">IF(OR(Y486=1,NOT(ISNUMBER(Z486))),0,AA486*1000000*Z486/10000)</f>
        <v>0</v>
      </c>
      <c r="AO486" s="94" t="n">
        <f aca="false">IF(ISNUMBER(G486),AA486*1000000*G486/100,0)</f>
        <v>0</v>
      </c>
      <c r="AP486" s="94" t="n">
        <f aca="false">IF(ISNUMBER(M486),M486*K486,0)</f>
        <v>0</v>
      </c>
      <c r="AQ486" s="95" t="str">
        <f aca="false">IF(AB486="","",INDEX(시장분석!$AK:$AK,AB486))</f>
        <v/>
      </c>
      <c r="AR486" s="43" t="str">
        <f aca="false">IF(AB486="","-",IF(AB486="","",INDEX(시장분석!$AL:$AL,AB486)))</f>
        <v>-</v>
      </c>
      <c r="AS486" s="96" t="str">
        <f aca="false">IF(AB486="","",INDEX(시장분석!$AJ:$AJ,AB486))</f>
        <v/>
      </c>
      <c r="AT486" s="93" t="n">
        <f aca="false">IF(AB486="",0,IF(AB486="","",INDEX(시장분석!$AN:$AN,AB486)))</f>
        <v>0</v>
      </c>
      <c r="AU486" s="94" t="n">
        <f aca="false">IF(ISNUMBER(Z486),AT486/10000*MAX(Z486-1,0)*AA486*1000000,0)</f>
        <v>0</v>
      </c>
      <c r="AV486" s="94" t="n">
        <f aca="false">AO486+AU486</f>
        <v>0</v>
      </c>
      <c r="AW486" s="43" t="str">
        <f aca="false">IF(Q486&lt;&gt;1,"",TRIM(IF(AD486=1,"FRN ","")&amp;IF(AND(AL486&gt;=10,AL486&lt;99),"BBB0미만 ","")&amp;IF(AJ486="","등급없음 ","")&amp;IF(K486&lt;&gt;1,"비USD ","")&amp;IF(AND(AB486="",Y486=0),"시장데이터없음 ","")&amp;IF(AND(ISNUMBER(U486),U486&lt;0),"만기경과 ","")))</f>
        <v/>
      </c>
      <c r="AX486" s="90" t="n">
        <f aca="false">IF(Q486&lt;&gt;1,1,IF(스프레드쇼크!$C$4="Y",INDEX(스프레드쇼크!$B$12:$L$16,IFERROR(MATCH(AH486,스프레드쇼크!$A$12:$A$16,0),MATCH("목록외",스프레드쇼크!$A$12:$A$16,0)),IFERROR(MATCH(AG486,스프레드쇼크!$B$11:$L$11,0),MATCH("목록외",스프레드쇼크!$B$11:$L$11,0))),1))</f>
        <v>1</v>
      </c>
      <c r="AY486" s="90" t="n">
        <f aca="false">IF(스프레드쇼크!$C$5="Y",IF(ISNUMBER(AF486),MIN(스프레드쇼크!$C$7,MAX(스프레드쇼크!$C$6,AF486/스프레드쇼크!$C$8)),1),1)</f>
        <v>1</v>
      </c>
      <c r="AZ486" s="94" t="n">
        <f aca="false">AN486*AX486*AY486</f>
        <v>0</v>
      </c>
      <c r="BA486" s="90" t="n">
        <f aca="false">IF(ISNUMBER(G486),AA486*G486,0)</f>
        <v>0</v>
      </c>
      <c r="BB486" s="90" t="n">
        <f aca="false">IF(ISNUMBER(G486),AA486,0)</f>
        <v>0</v>
      </c>
      <c r="BC486" s="90" t="n">
        <f aca="false">IF(AND(Y486=0,ISNUMBER(AF486)),AA486*AF486,0)</f>
        <v>0</v>
      </c>
      <c r="BD486" s="90" t="n">
        <f aca="false">IF(AND(Y486=0,ISNUMBER(AF486)),AA486,0)</f>
        <v>0</v>
      </c>
      <c r="BE486" s="90" t="n">
        <f aca="false">IF(ISNUMBER(H486),AA486*H486,0)</f>
        <v>0</v>
      </c>
      <c r="BF486" s="90" t="n">
        <f aca="false">IF(ISNUMBER(H486),AA486,0)</f>
        <v>0</v>
      </c>
      <c r="BG486" s="90" t="n">
        <f aca="false">IF(AND(Y486=0,ISNUMBER(AF486),ISNUMBER(Z486)),AA486*Z486,0)</f>
        <v>0</v>
      </c>
      <c r="BH486" s="90" t="n">
        <f aca="false">IF(AND(Y486=0,ISNUMBER(AF486),ISNUMBER(Z486)),AA486*AT486*MAX(Z486-1,0),0)</f>
        <v>0</v>
      </c>
      <c r="BI486" s="90" t="n">
        <f aca="false">IF(Y486=0,AA486,0)</f>
        <v>0</v>
      </c>
    </row>
    <row r="487" customFormat="false" ht="15" hidden="false" customHeight="false" outlineLevel="0" collapsed="false">
      <c r="A487" s="83" t="str">
        <f aca="false">IFERROR(IF(INDEX(원자료_잔고!$A$1:$EZ$1500,설정!$L$5+ROW()-1,설정!$L$8)&amp;""="0","",INDEX(원자료_잔고!$A$1:$EZ$1500,설정!$L$5+ROW()-1,설정!$L$8)&amp;""),"")</f>
        <v/>
      </c>
      <c r="B487" s="83" t="str">
        <f aca="false">IFERROR(IF(INDEX(원자료_잔고!$A$1:$EZ$1500,설정!$L$5+ROW()-1,설정!$L$7)&amp;""="0","",INDEX(원자료_잔고!$A$1:$EZ$1500,설정!$L$5+ROW()-1,설정!$L$7)&amp;""),"")</f>
        <v/>
      </c>
      <c r="C487" s="83" t="str">
        <f aca="false">IFERROR(IF(INDEX(원자료_잔고!$A$1:$EZ$1500,설정!$L$5+ROW()-1,설정!$L$9)&amp;""="0","",INDEX(원자료_잔고!$A$1:$EZ$1500,설정!$L$5+ROW()-1,설정!$L$9)&amp;""),"")</f>
        <v/>
      </c>
      <c r="D487" s="83" t="str">
        <f aca="false">IFERROR(IF(INDEX(원자료_잔고!$A$1:$EZ$1500,설정!$L$5+ROW()-1,설정!$L$10)&amp;""="0","",INDEX(원자료_잔고!$A$1:$EZ$1500,설정!$L$5+ROW()-1,설정!$L$10)&amp;""),"")</f>
        <v/>
      </c>
      <c r="E487" s="84" t="str">
        <f aca="false">IFERROR(IF(ISNUMBER(INDEX(원자료_잔고!$A$1:$EZ$1500,설정!$L$5+ROW()-1,설정!$L$11)),INDEX(원자료_잔고!$A$1:$EZ$1500,설정!$L$5+ROW()-1,설정!$L$11),""),"")</f>
        <v/>
      </c>
      <c r="F487" s="85" t="str">
        <f aca="false">IFERROR(IF(ISNUMBER(INDEX(원자료_잔고!$A$1:$EZ$1500,설정!$L$5+ROW()-1,설정!$L$12)),INDEX(원자료_잔고!$A$1:$EZ$1500,설정!$L$5+ROW()-1,설정!$L$12),""),"")</f>
        <v/>
      </c>
      <c r="G487" s="85" t="str">
        <f aca="false">IFERROR(IF(ISNUMBER(INDEX(원자료_잔고!$A$1:$EZ$1500,설정!$L$5+ROW()-1,설정!$L$13)),INDEX(원자료_잔고!$A$1:$EZ$1500,설정!$L$5+ROW()-1,설정!$L$13),""),"")</f>
        <v/>
      </c>
      <c r="H487" s="85" t="str">
        <f aca="false">IFERROR(IF(ISNUMBER(INDEX(원자료_잔고!$A$1:$EZ$1500,설정!$L$5+ROW()-1,설정!$L$14)),INDEX(원자료_잔고!$A$1:$EZ$1500,설정!$L$5+ROW()-1,설정!$L$14),""),"")</f>
        <v/>
      </c>
      <c r="I487" s="86" t="str">
        <f aca="false">IFERROR(IF(ISNUMBER(INDEX(원자료_잔고!$A$1:$EZ$1500,설정!$L$5+ROW()-1,설정!$L$15)),INDEX(원자료_잔고!$A$1:$EZ$1500,설정!$L$5+ROW()-1,설정!$L$15),""),"")</f>
        <v/>
      </c>
      <c r="J487" s="85" t="str">
        <f aca="false">IFERROR(IF(ISNUMBER(INDEX(원자료_잔고!$A$1:$EZ$1500,설정!$L$5+ROW()-1,설정!$L$16)),INDEX(원자료_잔고!$A$1:$EZ$1500,설정!$L$5+ROW()-1,설정!$L$16),""),"")</f>
        <v/>
      </c>
      <c r="K487" s="87" t="str">
        <f aca="false">IFERROR(IF(ISNUMBER(INDEX(원자료_잔고!$A$1:$EZ$1500,설정!$L$5+ROW()-1,설정!$L$17)),INDEX(원자료_잔고!$A$1:$EZ$1500,설정!$L$5+ROW()-1,설정!$L$17),""),"")</f>
        <v/>
      </c>
      <c r="L487" s="84" t="str">
        <f aca="false">IFERROR(IF(ISNUMBER(INDEX(원자료_잔고!$A$1:$EZ$1500,설정!$L$5+ROW()-1,설정!$L$18)),INDEX(원자료_잔고!$A$1:$EZ$1500,설정!$L$5+ROW()-1,설정!$L$18),""),"")</f>
        <v/>
      </c>
      <c r="M487" s="88" t="str">
        <f aca="false">IFERROR(IF(ISNUMBER(INDEX(원자료_잔고!$A$1:$EZ$1500,설정!$L$5+ROW()-1,설정!$L$19)),INDEX(원자료_잔고!$A$1:$EZ$1500,설정!$L$5+ROW()-1,설정!$L$19),""),"")</f>
        <v/>
      </c>
      <c r="N487" s="83" t="str">
        <f aca="false">IFERROR(IF(INDEX(원자료_잔고!$A$1:$EZ$1500,설정!$L$5+ROW()-1,설정!$L$21)&amp;""="0","",INDEX(원자료_잔고!$A$1:$EZ$1500,설정!$L$5+ROW()-1,설정!$L$21)&amp;""),"")</f>
        <v/>
      </c>
      <c r="O487" s="83" t="str">
        <f aca="false">IFERROR(IF(INDEX(원자료_잔고!$A$1:$EZ$1500,설정!$L$5+ROW()-1,설정!$L$22)&amp;""="0","",INDEX(원자료_잔고!$A$1:$EZ$1500,설정!$L$5+ROW()-1,설정!$L$22)&amp;""),"")</f>
        <v/>
      </c>
      <c r="P487" s="83" t="str">
        <f aca="false">IFERROR(IF(INDEX(원자료_잔고!$A$1:$EZ$1500,설정!$L$5+ROW()-1,설정!$L$23)&amp;""="0","",INDEX(원자료_잔고!$A$1:$EZ$1500,설정!$L$5+ROW()-1,설정!$L$23)&amp;""),"")</f>
        <v/>
      </c>
      <c r="Q487" s="89" t="n">
        <f aca="false">IF(AND($A487&lt;&gt;"",ISNUMBER(E487)),IF(E487&gt;0,1,0),0)</f>
        <v>0</v>
      </c>
      <c r="R487" s="43" t="str">
        <f aca="false">IF(Q487=1,UPPER(LEFT($A487,FIND(" ",$A487&amp;" ")-1)),"")</f>
        <v/>
      </c>
      <c r="S487" s="89" t="n">
        <f aca="false">IF(Q487=1,IF(OR(ISNUMBER(SEARCH("Float",$A487)),ISNUMBER(SEARCH("FRN",$A487))),1,0),0)</f>
        <v>0</v>
      </c>
      <c r="T487" s="43" t="str">
        <f aca="false">IF(AND(Q487=1,ISNUMBER(I487)),TEXT(I487,"yyyymmdd")&amp;"|"&amp;IF(S487=1,"F",TEXT(J487,"0.000")),"")</f>
        <v/>
      </c>
      <c r="U487" s="90" t="str">
        <f aca="false">IF(AND(Q487=1,ISNUMBER(I487)),(I487-설정!$C$4)/365.25,"")</f>
        <v/>
      </c>
      <c r="V487" s="43" t="str">
        <f aca="false">IF(Q487&lt;&gt;1,"",IF(ISNUMBER(U487),IF(U487&lt;=1,"1년 이하",IF(U487&lt;=2,"1-2년",IF(U487&lt;=3,"2-3년",IF(U487&lt;=4,"3-4년",IF(U487&lt;=5,"4-5년",IF(U487&lt;=7,"5-7년",IF(U487&lt;=10,"7-10년",IF(U487&lt;=20,"10-20년","20년 이상")))))))),"미분류"))</f>
        <v/>
      </c>
      <c r="W487" s="43" t="str">
        <f aca="false">IF(Q487&lt;&gt;1,"",IF(AB487&lt;&gt;"",INDEX(시장분석!$C:$C,AB487),IF(K487=1,"USD","비USD")))</f>
        <v/>
      </c>
      <c r="X487" s="91" t="n">
        <f aca="false">IF(Q487=1,E487*K487/1000000,0)</f>
        <v>0</v>
      </c>
      <c r="Y487" s="89" t="n">
        <f aca="false">IF(R487="T",1,0)</f>
        <v>0</v>
      </c>
      <c r="Z487" s="92" t="str">
        <f aca="false">IF(Q487&lt;&gt;1,"",IF(AD487=1,IF(ISNUMBER(U487),MAX(U487,0),H487),H487))</f>
        <v/>
      </c>
      <c r="AA487" s="91" t="n">
        <f aca="false">IF(Q487=1,IF(ISNUMBER(L487),L487,0)*K487/1000000,0)</f>
        <v>0</v>
      </c>
      <c r="AB487" s="89" t="str">
        <f aca="false">IF(Q487&lt;&gt;1,"",IFERROR(MATCH(VLOOKUP(B487,매핑!$H$4:$I$15,2,0),시장분석!$A$2:$A$601,0)+1,IFERROR(MATCH(R487&amp;"|"&amp;T487,시장분석!$V$2:$V$601,0)+1,IF(COUNTIF(시장분석!$U$2:$U$601,T487)=1,MATCH(T487,시장분석!$U$2:$U$601,0)+1,""))))</f>
        <v/>
      </c>
      <c r="AC487" s="89" t="n">
        <f aca="false">IF(Q487&lt;&gt;1,0,IF(OR(설정!$C$5="전체",AND(설정!$C$5="선택펀드",IFERROR(COUNTIFS(설정!$F$16:$F$36,C487,설정!$G$16:$G$36,"Y")+COUNTIFS(설정!$F$16:$F$36,VALUE(C487),설정!$G$16:$G$36,"Y"),0)&gt;0),C487&amp;""=설정!$C$5&amp;""),1,0))</f>
        <v>0</v>
      </c>
      <c r="AD487" s="89" t="n">
        <f aca="false">IF(Q487&lt;&gt;1,0,IF(OR(S487=1,IF(AB487="",FALSE(),INDEX(시장분석!$R:$R,AB487)=1)),1,0))</f>
        <v>0</v>
      </c>
      <c r="AE487" s="43" t="str">
        <f aca="false">IF(AB487="","",INDEX(시장분석!$A:$A,AB487))</f>
        <v/>
      </c>
      <c r="AF487" s="93" t="str">
        <f aca="false">IF(AB487="","",IF(ISNUMBER(IF(AB487="","",INDEX(시장분석!$E:$E,AB487))),IF(AB487="","",INDEX(시장분석!$E:$E,AB487)),""))</f>
        <v/>
      </c>
      <c r="AG487" s="43" t="str">
        <f aca="false">IF(Q487&lt;&gt;1,"",IF(AB487&lt;&gt;"",IF(AB487="","",INDEX(시장분석!$L:$L,AB487)),IFERROR(IF(VLOOKUP(R487,매핑!$A$4:$E$92,5,0)="","미분류",VLOOKUP(R487,매핑!$A$4:$E$92,5,0)),"미분류")))</f>
        <v/>
      </c>
      <c r="AH487" s="43" t="str">
        <f aca="false">IF(Q487&lt;&gt;1,"",IF(AB487&lt;&gt;"",IF(AB487="","",INDEX(시장분석!$N:$N,AB487)),IFERROR(IF(VLOOKUP(R487,매핑!$A$4:$E$92,4,0)="","미분류",VLOOKUP(R487,매핑!$A$4:$E$92,4,0)),"미분류")))</f>
        <v/>
      </c>
      <c r="AI487" s="43" t="str">
        <f aca="false">IF(Q487&lt;&gt;1,"",IFERROR(IF(VLOOKUP(R487,매핑!$A$4:$E$92,3,0)="","미분류",VLOOKUP(R487,매핑!$A$4:$E$92,3,0)),IF(AB487&lt;&gt;"",IF(AB487="","",INDEX(시장분석!$W:$W,AB487)),"미분류")))</f>
        <v/>
      </c>
      <c r="AJ487" s="43" t="str">
        <f aca="false">IF(Q487&lt;&gt;1,"",IFERROR(VLOOKUP(IF(N487&lt;&gt;"",N487,IF(P487&lt;&gt;"",P487,O487)),설정!$A$15:$D$47,2,0),""))</f>
        <v/>
      </c>
      <c r="AK487" s="43" t="str">
        <f aca="false">IF(Q487&lt;&gt;1,"",IF(AJ487="","무등급",IFERROR(VLOOKUP(AJ487,설정!$A$15:$D$47,3,0),"무등급")))</f>
        <v/>
      </c>
      <c r="AL487" s="89" t="n">
        <f aca="false">IF(AJ487="",99,IFERROR(VLOOKUP(AJ487,설정!$A$15:$D$47,4,0),99))</f>
        <v>99</v>
      </c>
      <c r="AM487" s="94" t="n">
        <f aca="false">IF(ISNUMBER(H487),AA487*1000000*H487/10000,0)</f>
        <v>0</v>
      </c>
      <c r="AN487" s="94" t="n">
        <f aca="false">IF(OR(Y487=1,NOT(ISNUMBER(Z487))),0,AA487*1000000*Z487/10000)</f>
        <v>0</v>
      </c>
      <c r="AO487" s="94" t="n">
        <f aca="false">IF(ISNUMBER(G487),AA487*1000000*G487/100,0)</f>
        <v>0</v>
      </c>
      <c r="AP487" s="94" t="n">
        <f aca="false">IF(ISNUMBER(M487),M487*K487,0)</f>
        <v>0</v>
      </c>
      <c r="AQ487" s="95" t="str">
        <f aca="false">IF(AB487="","",INDEX(시장분석!$AK:$AK,AB487))</f>
        <v/>
      </c>
      <c r="AR487" s="43" t="str">
        <f aca="false">IF(AB487="","-",IF(AB487="","",INDEX(시장분석!$AL:$AL,AB487)))</f>
        <v>-</v>
      </c>
      <c r="AS487" s="96" t="str">
        <f aca="false">IF(AB487="","",INDEX(시장분석!$AJ:$AJ,AB487))</f>
        <v/>
      </c>
      <c r="AT487" s="93" t="n">
        <f aca="false">IF(AB487="",0,IF(AB487="","",INDEX(시장분석!$AN:$AN,AB487)))</f>
        <v>0</v>
      </c>
      <c r="AU487" s="94" t="n">
        <f aca="false">IF(ISNUMBER(Z487),AT487/10000*MAX(Z487-1,0)*AA487*1000000,0)</f>
        <v>0</v>
      </c>
      <c r="AV487" s="94" t="n">
        <f aca="false">AO487+AU487</f>
        <v>0</v>
      </c>
      <c r="AW487" s="43" t="str">
        <f aca="false">IF(Q487&lt;&gt;1,"",TRIM(IF(AD487=1,"FRN ","")&amp;IF(AND(AL487&gt;=10,AL487&lt;99),"BBB0미만 ","")&amp;IF(AJ487="","등급없음 ","")&amp;IF(K487&lt;&gt;1,"비USD ","")&amp;IF(AND(AB487="",Y487=0),"시장데이터없음 ","")&amp;IF(AND(ISNUMBER(U487),U487&lt;0),"만기경과 ","")))</f>
        <v/>
      </c>
      <c r="AX487" s="90" t="n">
        <f aca="false">IF(Q487&lt;&gt;1,1,IF(스프레드쇼크!$C$4="Y",INDEX(스프레드쇼크!$B$12:$L$16,IFERROR(MATCH(AH487,스프레드쇼크!$A$12:$A$16,0),MATCH("목록외",스프레드쇼크!$A$12:$A$16,0)),IFERROR(MATCH(AG487,스프레드쇼크!$B$11:$L$11,0),MATCH("목록외",스프레드쇼크!$B$11:$L$11,0))),1))</f>
        <v>1</v>
      </c>
      <c r="AY487" s="90" t="n">
        <f aca="false">IF(스프레드쇼크!$C$5="Y",IF(ISNUMBER(AF487),MIN(스프레드쇼크!$C$7,MAX(스프레드쇼크!$C$6,AF487/스프레드쇼크!$C$8)),1),1)</f>
        <v>1</v>
      </c>
      <c r="AZ487" s="94" t="n">
        <f aca="false">AN487*AX487*AY487</f>
        <v>0</v>
      </c>
      <c r="BA487" s="90" t="n">
        <f aca="false">IF(ISNUMBER(G487),AA487*G487,0)</f>
        <v>0</v>
      </c>
      <c r="BB487" s="90" t="n">
        <f aca="false">IF(ISNUMBER(G487),AA487,0)</f>
        <v>0</v>
      </c>
      <c r="BC487" s="90" t="n">
        <f aca="false">IF(AND(Y487=0,ISNUMBER(AF487)),AA487*AF487,0)</f>
        <v>0</v>
      </c>
      <c r="BD487" s="90" t="n">
        <f aca="false">IF(AND(Y487=0,ISNUMBER(AF487)),AA487,0)</f>
        <v>0</v>
      </c>
      <c r="BE487" s="90" t="n">
        <f aca="false">IF(ISNUMBER(H487),AA487*H487,0)</f>
        <v>0</v>
      </c>
      <c r="BF487" s="90" t="n">
        <f aca="false">IF(ISNUMBER(H487),AA487,0)</f>
        <v>0</v>
      </c>
      <c r="BG487" s="90" t="n">
        <f aca="false">IF(AND(Y487=0,ISNUMBER(AF487),ISNUMBER(Z487)),AA487*Z487,0)</f>
        <v>0</v>
      </c>
      <c r="BH487" s="90" t="n">
        <f aca="false">IF(AND(Y487=0,ISNUMBER(AF487),ISNUMBER(Z487)),AA487*AT487*MAX(Z487-1,0),0)</f>
        <v>0</v>
      </c>
      <c r="BI487" s="90" t="n">
        <f aca="false">IF(Y487=0,AA487,0)</f>
        <v>0</v>
      </c>
    </row>
    <row r="488" customFormat="false" ht="15" hidden="false" customHeight="false" outlineLevel="0" collapsed="false">
      <c r="A488" s="83" t="str">
        <f aca="false">IFERROR(IF(INDEX(원자료_잔고!$A$1:$EZ$1500,설정!$L$5+ROW()-1,설정!$L$8)&amp;""="0","",INDEX(원자료_잔고!$A$1:$EZ$1500,설정!$L$5+ROW()-1,설정!$L$8)&amp;""),"")</f>
        <v/>
      </c>
      <c r="B488" s="83" t="str">
        <f aca="false">IFERROR(IF(INDEX(원자료_잔고!$A$1:$EZ$1500,설정!$L$5+ROW()-1,설정!$L$7)&amp;""="0","",INDEX(원자료_잔고!$A$1:$EZ$1500,설정!$L$5+ROW()-1,설정!$L$7)&amp;""),"")</f>
        <v/>
      </c>
      <c r="C488" s="83" t="str">
        <f aca="false">IFERROR(IF(INDEX(원자료_잔고!$A$1:$EZ$1500,설정!$L$5+ROW()-1,설정!$L$9)&amp;""="0","",INDEX(원자료_잔고!$A$1:$EZ$1500,설정!$L$5+ROW()-1,설정!$L$9)&amp;""),"")</f>
        <v/>
      </c>
      <c r="D488" s="83" t="str">
        <f aca="false">IFERROR(IF(INDEX(원자료_잔고!$A$1:$EZ$1500,설정!$L$5+ROW()-1,설정!$L$10)&amp;""="0","",INDEX(원자료_잔고!$A$1:$EZ$1500,설정!$L$5+ROW()-1,설정!$L$10)&amp;""),"")</f>
        <v/>
      </c>
      <c r="E488" s="84" t="str">
        <f aca="false">IFERROR(IF(ISNUMBER(INDEX(원자료_잔고!$A$1:$EZ$1500,설정!$L$5+ROW()-1,설정!$L$11)),INDEX(원자료_잔고!$A$1:$EZ$1500,설정!$L$5+ROW()-1,설정!$L$11),""),"")</f>
        <v/>
      </c>
      <c r="F488" s="85" t="str">
        <f aca="false">IFERROR(IF(ISNUMBER(INDEX(원자료_잔고!$A$1:$EZ$1500,설정!$L$5+ROW()-1,설정!$L$12)),INDEX(원자료_잔고!$A$1:$EZ$1500,설정!$L$5+ROW()-1,설정!$L$12),""),"")</f>
        <v/>
      </c>
      <c r="G488" s="85" t="str">
        <f aca="false">IFERROR(IF(ISNUMBER(INDEX(원자료_잔고!$A$1:$EZ$1500,설정!$L$5+ROW()-1,설정!$L$13)),INDEX(원자료_잔고!$A$1:$EZ$1500,설정!$L$5+ROW()-1,설정!$L$13),""),"")</f>
        <v/>
      </c>
      <c r="H488" s="85" t="str">
        <f aca="false">IFERROR(IF(ISNUMBER(INDEX(원자료_잔고!$A$1:$EZ$1500,설정!$L$5+ROW()-1,설정!$L$14)),INDEX(원자료_잔고!$A$1:$EZ$1500,설정!$L$5+ROW()-1,설정!$L$14),""),"")</f>
        <v/>
      </c>
      <c r="I488" s="86" t="str">
        <f aca="false">IFERROR(IF(ISNUMBER(INDEX(원자료_잔고!$A$1:$EZ$1500,설정!$L$5+ROW()-1,설정!$L$15)),INDEX(원자료_잔고!$A$1:$EZ$1500,설정!$L$5+ROW()-1,설정!$L$15),""),"")</f>
        <v/>
      </c>
      <c r="J488" s="85" t="str">
        <f aca="false">IFERROR(IF(ISNUMBER(INDEX(원자료_잔고!$A$1:$EZ$1500,설정!$L$5+ROW()-1,설정!$L$16)),INDEX(원자료_잔고!$A$1:$EZ$1500,설정!$L$5+ROW()-1,설정!$L$16),""),"")</f>
        <v/>
      </c>
      <c r="K488" s="87" t="str">
        <f aca="false">IFERROR(IF(ISNUMBER(INDEX(원자료_잔고!$A$1:$EZ$1500,설정!$L$5+ROW()-1,설정!$L$17)),INDEX(원자료_잔고!$A$1:$EZ$1500,설정!$L$5+ROW()-1,설정!$L$17),""),"")</f>
        <v/>
      </c>
      <c r="L488" s="84" t="str">
        <f aca="false">IFERROR(IF(ISNUMBER(INDEX(원자료_잔고!$A$1:$EZ$1500,설정!$L$5+ROW()-1,설정!$L$18)),INDEX(원자료_잔고!$A$1:$EZ$1500,설정!$L$5+ROW()-1,설정!$L$18),""),"")</f>
        <v/>
      </c>
      <c r="M488" s="88" t="str">
        <f aca="false">IFERROR(IF(ISNUMBER(INDEX(원자료_잔고!$A$1:$EZ$1500,설정!$L$5+ROW()-1,설정!$L$19)),INDEX(원자료_잔고!$A$1:$EZ$1500,설정!$L$5+ROW()-1,설정!$L$19),""),"")</f>
        <v/>
      </c>
      <c r="N488" s="83" t="str">
        <f aca="false">IFERROR(IF(INDEX(원자료_잔고!$A$1:$EZ$1500,설정!$L$5+ROW()-1,설정!$L$21)&amp;""="0","",INDEX(원자료_잔고!$A$1:$EZ$1500,설정!$L$5+ROW()-1,설정!$L$21)&amp;""),"")</f>
        <v/>
      </c>
      <c r="O488" s="83" t="str">
        <f aca="false">IFERROR(IF(INDEX(원자료_잔고!$A$1:$EZ$1500,설정!$L$5+ROW()-1,설정!$L$22)&amp;""="0","",INDEX(원자료_잔고!$A$1:$EZ$1500,설정!$L$5+ROW()-1,설정!$L$22)&amp;""),"")</f>
        <v/>
      </c>
      <c r="P488" s="83" t="str">
        <f aca="false">IFERROR(IF(INDEX(원자료_잔고!$A$1:$EZ$1500,설정!$L$5+ROW()-1,설정!$L$23)&amp;""="0","",INDEX(원자료_잔고!$A$1:$EZ$1500,설정!$L$5+ROW()-1,설정!$L$23)&amp;""),"")</f>
        <v/>
      </c>
      <c r="Q488" s="89" t="n">
        <f aca="false">IF(AND($A488&lt;&gt;"",ISNUMBER(E488)),IF(E488&gt;0,1,0),0)</f>
        <v>0</v>
      </c>
      <c r="R488" s="43" t="str">
        <f aca="false">IF(Q488=1,UPPER(LEFT($A488,FIND(" ",$A488&amp;" ")-1)),"")</f>
        <v/>
      </c>
      <c r="S488" s="89" t="n">
        <f aca="false">IF(Q488=1,IF(OR(ISNUMBER(SEARCH("Float",$A488)),ISNUMBER(SEARCH("FRN",$A488))),1,0),0)</f>
        <v>0</v>
      </c>
      <c r="T488" s="43" t="str">
        <f aca="false">IF(AND(Q488=1,ISNUMBER(I488)),TEXT(I488,"yyyymmdd")&amp;"|"&amp;IF(S488=1,"F",TEXT(J488,"0.000")),"")</f>
        <v/>
      </c>
      <c r="U488" s="90" t="str">
        <f aca="false">IF(AND(Q488=1,ISNUMBER(I488)),(I488-설정!$C$4)/365.25,"")</f>
        <v/>
      </c>
      <c r="V488" s="43" t="str">
        <f aca="false">IF(Q488&lt;&gt;1,"",IF(ISNUMBER(U488),IF(U488&lt;=1,"1년 이하",IF(U488&lt;=2,"1-2년",IF(U488&lt;=3,"2-3년",IF(U488&lt;=4,"3-4년",IF(U488&lt;=5,"4-5년",IF(U488&lt;=7,"5-7년",IF(U488&lt;=10,"7-10년",IF(U488&lt;=20,"10-20년","20년 이상")))))))),"미분류"))</f>
        <v/>
      </c>
      <c r="W488" s="43" t="str">
        <f aca="false">IF(Q488&lt;&gt;1,"",IF(AB488&lt;&gt;"",INDEX(시장분석!$C:$C,AB488),IF(K488=1,"USD","비USD")))</f>
        <v/>
      </c>
      <c r="X488" s="91" t="n">
        <f aca="false">IF(Q488=1,E488*K488/1000000,0)</f>
        <v>0</v>
      </c>
      <c r="Y488" s="89" t="n">
        <f aca="false">IF(R488="T",1,0)</f>
        <v>0</v>
      </c>
      <c r="Z488" s="92" t="str">
        <f aca="false">IF(Q488&lt;&gt;1,"",IF(AD488=1,IF(ISNUMBER(U488),MAX(U488,0),H488),H488))</f>
        <v/>
      </c>
      <c r="AA488" s="91" t="n">
        <f aca="false">IF(Q488=1,IF(ISNUMBER(L488),L488,0)*K488/1000000,0)</f>
        <v>0</v>
      </c>
      <c r="AB488" s="89" t="str">
        <f aca="false">IF(Q488&lt;&gt;1,"",IFERROR(MATCH(VLOOKUP(B488,매핑!$H$4:$I$15,2,0),시장분석!$A$2:$A$601,0)+1,IFERROR(MATCH(R488&amp;"|"&amp;T488,시장분석!$V$2:$V$601,0)+1,IF(COUNTIF(시장분석!$U$2:$U$601,T488)=1,MATCH(T488,시장분석!$U$2:$U$601,0)+1,""))))</f>
        <v/>
      </c>
      <c r="AC488" s="89" t="n">
        <f aca="false">IF(Q488&lt;&gt;1,0,IF(OR(설정!$C$5="전체",AND(설정!$C$5="선택펀드",IFERROR(COUNTIFS(설정!$F$16:$F$36,C488,설정!$G$16:$G$36,"Y")+COUNTIFS(설정!$F$16:$F$36,VALUE(C488),설정!$G$16:$G$36,"Y"),0)&gt;0),C488&amp;""=설정!$C$5&amp;""),1,0))</f>
        <v>0</v>
      </c>
      <c r="AD488" s="89" t="n">
        <f aca="false">IF(Q488&lt;&gt;1,0,IF(OR(S488=1,IF(AB488="",FALSE(),INDEX(시장분석!$R:$R,AB488)=1)),1,0))</f>
        <v>0</v>
      </c>
      <c r="AE488" s="43" t="str">
        <f aca="false">IF(AB488="","",INDEX(시장분석!$A:$A,AB488))</f>
        <v/>
      </c>
      <c r="AF488" s="93" t="str">
        <f aca="false">IF(AB488="","",IF(ISNUMBER(IF(AB488="","",INDEX(시장분석!$E:$E,AB488))),IF(AB488="","",INDEX(시장분석!$E:$E,AB488)),""))</f>
        <v/>
      </c>
      <c r="AG488" s="43" t="str">
        <f aca="false">IF(Q488&lt;&gt;1,"",IF(AB488&lt;&gt;"",IF(AB488="","",INDEX(시장분석!$L:$L,AB488)),IFERROR(IF(VLOOKUP(R488,매핑!$A$4:$E$92,5,0)="","미분류",VLOOKUP(R488,매핑!$A$4:$E$92,5,0)),"미분류")))</f>
        <v/>
      </c>
      <c r="AH488" s="43" t="str">
        <f aca="false">IF(Q488&lt;&gt;1,"",IF(AB488&lt;&gt;"",IF(AB488="","",INDEX(시장분석!$N:$N,AB488)),IFERROR(IF(VLOOKUP(R488,매핑!$A$4:$E$92,4,0)="","미분류",VLOOKUP(R488,매핑!$A$4:$E$92,4,0)),"미분류")))</f>
        <v/>
      </c>
      <c r="AI488" s="43" t="str">
        <f aca="false">IF(Q488&lt;&gt;1,"",IFERROR(IF(VLOOKUP(R488,매핑!$A$4:$E$92,3,0)="","미분류",VLOOKUP(R488,매핑!$A$4:$E$92,3,0)),IF(AB488&lt;&gt;"",IF(AB488="","",INDEX(시장분석!$W:$W,AB488)),"미분류")))</f>
        <v/>
      </c>
      <c r="AJ488" s="43" t="str">
        <f aca="false">IF(Q488&lt;&gt;1,"",IFERROR(VLOOKUP(IF(N488&lt;&gt;"",N488,IF(P488&lt;&gt;"",P488,O488)),설정!$A$15:$D$47,2,0),""))</f>
        <v/>
      </c>
      <c r="AK488" s="43" t="str">
        <f aca="false">IF(Q488&lt;&gt;1,"",IF(AJ488="","무등급",IFERROR(VLOOKUP(AJ488,설정!$A$15:$D$47,3,0),"무등급")))</f>
        <v/>
      </c>
      <c r="AL488" s="89" t="n">
        <f aca="false">IF(AJ488="",99,IFERROR(VLOOKUP(AJ488,설정!$A$15:$D$47,4,0),99))</f>
        <v>99</v>
      </c>
      <c r="AM488" s="94" t="n">
        <f aca="false">IF(ISNUMBER(H488),AA488*1000000*H488/10000,0)</f>
        <v>0</v>
      </c>
      <c r="AN488" s="94" t="n">
        <f aca="false">IF(OR(Y488=1,NOT(ISNUMBER(Z488))),0,AA488*1000000*Z488/10000)</f>
        <v>0</v>
      </c>
      <c r="AO488" s="94" t="n">
        <f aca="false">IF(ISNUMBER(G488),AA488*1000000*G488/100,0)</f>
        <v>0</v>
      </c>
      <c r="AP488" s="94" t="n">
        <f aca="false">IF(ISNUMBER(M488),M488*K488,0)</f>
        <v>0</v>
      </c>
      <c r="AQ488" s="95" t="str">
        <f aca="false">IF(AB488="","",INDEX(시장분석!$AK:$AK,AB488))</f>
        <v/>
      </c>
      <c r="AR488" s="43" t="str">
        <f aca="false">IF(AB488="","-",IF(AB488="","",INDEX(시장분석!$AL:$AL,AB488)))</f>
        <v>-</v>
      </c>
      <c r="AS488" s="96" t="str">
        <f aca="false">IF(AB488="","",INDEX(시장분석!$AJ:$AJ,AB488))</f>
        <v/>
      </c>
      <c r="AT488" s="93" t="n">
        <f aca="false">IF(AB488="",0,IF(AB488="","",INDEX(시장분석!$AN:$AN,AB488)))</f>
        <v>0</v>
      </c>
      <c r="AU488" s="94" t="n">
        <f aca="false">IF(ISNUMBER(Z488),AT488/10000*MAX(Z488-1,0)*AA488*1000000,0)</f>
        <v>0</v>
      </c>
      <c r="AV488" s="94" t="n">
        <f aca="false">AO488+AU488</f>
        <v>0</v>
      </c>
      <c r="AW488" s="43" t="str">
        <f aca="false">IF(Q488&lt;&gt;1,"",TRIM(IF(AD488=1,"FRN ","")&amp;IF(AND(AL488&gt;=10,AL488&lt;99),"BBB0미만 ","")&amp;IF(AJ488="","등급없음 ","")&amp;IF(K488&lt;&gt;1,"비USD ","")&amp;IF(AND(AB488="",Y488=0),"시장데이터없음 ","")&amp;IF(AND(ISNUMBER(U488),U488&lt;0),"만기경과 ","")))</f>
        <v/>
      </c>
      <c r="AX488" s="90" t="n">
        <f aca="false">IF(Q488&lt;&gt;1,1,IF(스프레드쇼크!$C$4="Y",INDEX(스프레드쇼크!$B$12:$L$16,IFERROR(MATCH(AH488,스프레드쇼크!$A$12:$A$16,0),MATCH("목록외",스프레드쇼크!$A$12:$A$16,0)),IFERROR(MATCH(AG488,스프레드쇼크!$B$11:$L$11,0),MATCH("목록외",스프레드쇼크!$B$11:$L$11,0))),1))</f>
        <v>1</v>
      </c>
      <c r="AY488" s="90" t="n">
        <f aca="false">IF(스프레드쇼크!$C$5="Y",IF(ISNUMBER(AF488),MIN(스프레드쇼크!$C$7,MAX(스프레드쇼크!$C$6,AF488/스프레드쇼크!$C$8)),1),1)</f>
        <v>1</v>
      </c>
      <c r="AZ488" s="94" t="n">
        <f aca="false">AN488*AX488*AY488</f>
        <v>0</v>
      </c>
      <c r="BA488" s="90" t="n">
        <f aca="false">IF(ISNUMBER(G488),AA488*G488,0)</f>
        <v>0</v>
      </c>
      <c r="BB488" s="90" t="n">
        <f aca="false">IF(ISNUMBER(G488),AA488,0)</f>
        <v>0</v>
      </c>
      <c r="BC488" s="90" t="n">
        <f aca="false">IF(AND(Y488=0,ISNUMBER(AF488)),AA488*AF488,0)</f>
        <v>0</v>
      </c>
      <c r="BD488" s="90" t="n">
        <f aca="false">IF(AND(Y488=0,ISNUMBER(AF488)),AA488,0)</f>
        <v>0</v>
      </c>
      <c r="BE488" s="90" t="n">
        <f aca="false">IF(ISNUMBER(H488),AA488*H488,0)</f>
        <v>0</v>
      </c>
      <c r="BF488" s="90" t="n">
        <f aca="false">IF(ISNUMBER(H488),AA488,0)</f>
        <v>0</v>
      </c>
      <c r="BG488" s="90" t="n">
        <f aca="false">IF(AND(Y488=0,ISNUMBER(AF488),ISNUMBER(Z488)),AA488*Z488,0)</f>
        <v>0</v>
      </c>
      <c r="BH488" s="90" t="n">
        <f aca="false">IF(AND(Y488=0,ISNUMBER(AF488),ISNUMBER(Z488)),AA488*AT488*MAX(Z488-1,0),0)</f>
        <v>0</v>
      </c>
      <c r="BI488" s="90" t="n">
        <f aca="false">IF(Y488=0,AA488,0)</f>
        <v>0</v>
      </c>
    </row>
    <row r="489" customFormat="false" ht="15" hidden="false" customHeight="false" outlineLevel="0" collapsed="false">
      <c r="A489" s="83" t="str">
        <f aca="false">IFERROR(IF(INDEX(원자료_잔고!$A$1:$EZ$1500,설정!$L$5+ROW()-1,설정!$L$8)&amp;""="0","",INDEX(원자료_잔고!$A$1:$EZ$1500,설정!$L$5+ROW()-1,설정!$L$8)&amp;""),"")</f>
        <v/>
      </c>
      <c r="B489" s="83" t="str">
        <f aca="false">IFERROR(IF(INDEX(원자료_잔고!$A$1:$EZ$1500,설정!$L$5+ROW()-1,설정!$L$7)&amp;""="0","",INDEX(원자료_잔고!$A$1:$EZ$1500,설정!$L$5+ROW()-1,설정!$L$7)&amp;""),"")</f>
        <v/>
      </c>
      <c r="C489" s="83" t="str">
        <f aca="false">IFERROR(IF(INDEX(원자료_잔고!$A$1:$EZ$1500,설정!$L$5+ROW()-1,설정!$L$9)&amp;""="0","",INDEX(원자료_잔고!$A$1:$EZ$1500,설정!$L$5+ROW()-1,설정!$L$9)&amp;""),"")</f>
        <v/>
      </c>
      <c r="D489" s="83" t="str">
        <f aca="false">IFERROR(IF(INDEX(원자료_잔고!$A$1:$EZ$1500,설정!$L$5+ROW()-1,설정!$L$10)&amp;""="0","",INDEX(원자료_잔고!$A$1:$EZ$1500,설정!$L$5+ROW()-1,설정!$L$10)&amp;""),"")</f>
        <v/>
      </c>
      <c r="E489" s="84" t="str">
        <f aca="false">IFERROR(IF(ISNUMBER(INDEX(원자료_잔고!$A$1:$EZ$1500,설정!$L$5+ROW()-1,설정!$L$11)),INDEX(원자료_잔고!$A$1:$EZ$1500,설정!$L$5+ROW()-1,설정!$L$11),""),"")</f>
        <v/>
      </c>
      <c r="F489" s="85" t="str">
        <f aca="false">IFERROR(IF(ISNUMBER(INDEX(원자료_잔고!$A$1:$EZ$1500,설정!$L$5+ROW()-1,설정!$L$12)),INDEX(원자료_잔고!$A$1:$EZ$1500,설정!$L$5+ROW()-1,설정!$L$12),""),"")</f>
        <v/>
      </c>
      <c r="G489" s="85" t="str">
        <f aca="false">IFERROR(IF(ISNUMBER(INDEX(원자료_잔고!$A$1:$EZ$1500,설정!$L$5+ROW()-1,설정!$L$13)),INDEX(원자료_잔고!$A$1:$EZ$1500,설정!$L$5+ROW()-1,설정!$L$13),""),"")</f>
        <v/>
      </c>
      <c r="H489" s="85" t="str">
        <f aca="false">IFERROR(IF(ISNUMBER(INDEX(원자료_잔고!$A$1:$EZ$1500,설정!$L$5+ROW()-1,설정!$L$14)),INDEX(원자료_잔고!$A$1:$EZ$1500,설정!$L$5+ROW()-1,설정!$L$14),""),"")</f>
        <v/>
      </c>
      <c r="I489" s="86" t="str">
        <f aca="false">IFERROR(IF(ISNUMBER(INDEX(원자료_잔고!$A$1:$EZ$1500,설정!$L$5+ROW()-1,설정!$L$15)),INDEX(원자료_잔고!$A$1:$EZ$1500,설정!$L$5+ROW()-1,설정!$L$15),""),"")</f>
        <v/>
      </c>
      <c r="J489" s="85" t="str">
        <f aca="false">IFERROR(IF(ISNUMBER(INDEX(원자료_잔고!$A$1:$EZ$1500,설정!$L$5+ROW()-1,설정!$L$16)),INDEX(원자료_잔고!$A$1:$EZ$1500,설정!$L$5+ROW()-1,설정!$L$16),""),"")</f>
        <v/>
      </c>
      <c r="K489" s="87" t="str">
        <f aca="false">IFERROR(IF(ISNUMBER(INDEX(원자료_잔고!$A$1:$EZ$1500,설정!$L$5+ROW()-1,설정!$L$17)),INDEX(원자료_잔고!$A$1:$EZ$1500,설정!$L$5+ROW()-1,설정!$L$17),""),"")</f>
        <v/>
      </c>
      <c r="L489" s="84" t="str">
        <f aca="false">IFERROR(IF(ISNUMBER(INDEX(원자료_잔고!$A$1:$EZ$1500,설정!$L$5+ROW()-1,설정!$L$18)),INDEX(원자료_잔고!$A$1:$EZ$1500,설정!$L$5+ROW()-1,설정!$L$18),""),"")</f>
        <v/>
      </c>
      <c r="M489" s="88" t="str">
        <f aca="false">IFERROR(IF(ISNUMBER(INDEX(원자료_잔고!$A$1:$EZ$1500,설정!$L$5+ROW()-1,설정!$L$19)),INDEX(원자료_잔고!$A$1:$EZ$1500,설정!$L$5+ROW()-1,설정!$L$19),""),"")</f>
        <v/>
      </c>
      <c r="N489" s="83" t="str">
        <f aca="false">IFERROR(IF(INDEX(원자료_잔고!$A$1:$EZ$1500,설정!$L$5+ROW()-1,설정!$L$21)&amp;""="0","",INDEX(원자료_잔고!$A$1:$EZ$1500,설정!$L$5+ROW()-1,설정!$L$21)&amp;""),"")</f>
        <v/>
      </c>
      <c r="O489" s="83" t="str">
        <f aca="false">IFERROR(IF(INDEX(원자료_잔고!$A$1:$EZ$1500,설정!$L$5+ROW()-1,설정!$L$22)&amp;""="0","",INDEX(원자료_잔고!$A$1:$EZ$1500,설정!$L$5+ROW()-1,설정!$L$22)&amp;""),"")</f>
        <v/>
      </c>
      <c r="P489" s="83" t="str">
        <f aca="false">IFERROR(IF(INDEX(원자료_잔고!$A$1:$EZ$1500,설정!$L$5+ROW()-1,설정!$L$23)&amp;""="0","",INDEX(원자료_잔고!$A$1:$EZ$1500,설정!$L$5+ROW()-1,설정!$L$23)&amp;""),"")</f>
        <v/>
      </c>
      <c r="Q489" s="89" t="n">
        <f aca="false">IF(AND($A489&lt;&gt;"",ISNUMBER(E489)),IF(E489&gt;0,1,0),0)</f>
        <v>0</v>
      </c>
      <c r="R489" s="43" t="str">
        <f aca="false">IF(Q489=1,UPPER(LEFT($A489,FIND(" ",$A489&amp;" ")-1)),"")</f>
        <v/>
      </c>
      <c r="S489" s="89" t="n">
        <f aca="false">IF(Q489=1,IF(OR(ISNUMBER(SEARCH("Float",$A489)),ISNUMBER(SEARCH("FRN",$A489))),1,0),0)</f>
        <v>0</v>
      </c>
      <c r="T489" s="43" t="str">
        <f aca="false">IF(AND(Q489=1,ISNUMBER(I489)),TEXT(I489,"yyyymmdd")&amp;"|"&amp;IF(S489=1,"F",TEXT(J489,"0.000")),"")</f>
        <v/>
      </c>
      <c r="U489" s="90" t="str">
        <f aca="false">IF(AND(Q489=1,ISNUMBER(I489)),(I489-설정!$C$4)/365.25,"")</f>
        <v/>
      </c>
      <c r="V489" s="43" t="str">
        <f aca="false">IF(Q489&lt;&gt;1,"",IF(ISNUMBER(U489),IF(U489&lt;=1,"1년 이하",IF(U489&lt;=2,"1-2년",IF(U489&lt;=3,"2-3년",IF(U489&lt;=4,"3-4년",IF(U489&lt;=5,"4-5년",IF(U489&lt;=7,"5-7년",IF(U489&lt;=10,"7-10년",IF(U489&lt;=20,"10-20년","20년 이상")))))))),"미분류"))</f>
        <v/>
      </c>
      <c r="W489" s="43" t="str">
        <f aca="false">IF(Q489&lt;&gt;1,"",IF(AB489&lt;&gt;"",INDEX(시장분석!$C:$C,AB489),IF(K489=1,"USD","비USD")))</f>
        <v/>
      </c>
      <c r="X489" s="91" t="n">
        <f aca="false">IF(Q489=1,E489*K489/1000000,0)</f>
        <v>0</v>
      </c>
      <c r="Y489" s="89" t="n">
        <f aca="false">IF(R489="T",1,0)</f>
        <v>0</v>
      </c>
      <c r="Z489" s="92" t="str">
        <f aca="false">IF(Q489&lt;&gt;1,"",IF(AD489=1,IF(ISNUMBER(U489),MAX(U489,0),H489),H489))</f>
        <v/>
      </c>
      <c r="AA489" s="91" t="n">
        <f aca="false">IF(Q489=1,IF(ISNUMBER(L489),L489,0)*K489/1000000,0)</f>
        <v>0</v>
      </c>
      <c r="AB489" s="89" t="str">
        <f aca="false">IF(Q489&lt;&gt;1,"",IFERROR(MATCH(VLOOKUP(B489,매핑!$H$4:$I$15,2,0),시장분석!$A$2:$A$601,0)+1,IFERROR(MATCH(R489&amp;"|"&amp;T489,시장분석!$V$2:$V$601,0)+1,IF(COUNTIF(시장분석!$U$2:$U$601,T489)=1,MATCH(T489,시장분석!$U$2:$U$601,0)+1,""))))</f>
        <v/>
      </c>
      <c r="AC489" s="89" t="n">
        <f aca="false">IF(Q489&lt;&gt;1,0,IF(OR(설정!$C$5="전체",AND(설정!$C$5="선택펀드",IFERROR(COUNTIFS(설정!$F$16:$F$36,C489,설정!$G$16:$G$36,"Y")+COUNTIFS(설정!$F$16:$F$36,VALUE(C489),설정!$G$16:$G$36,"Y"),0)&gt;0),C489&amp;""=설정!$C$5&amp;""),1,0))</f>
        <v>0</v>
      </c>
      <c r="AD489" s="89" t="n">
        <f aca="false">IF(Q489&lt;&gt;1,0,IF(OR(S489=1,IF(AB489="",FALSE(),INDEX(시장분석!$R:$R,AB489)=1)),1,0))</f>
        <v>0</v>
      </c>
      <c r="AE489" s="43" t="str">
        <f aca="false">IF(AB489="","",INDEX(시장분석!$A:$A,AB489))</f>
        <v/>
      </c>
      <c r="AF489" s="93" t="str">
        <f aca="false">IF(AB489="","",IF(ISNUMBER(IF(AB489="","",INDEX(시장분석!$E:$E,AB489))),IF(AB489="","",INDEX(시장분석!$E:$E,AB489)),""))</f>
        <v/>
      </c>
      <c r="AG489" s="43" t="str">
        <f aca="false">IF(Q489&lt;&gt;1,"",IF(AB489&lt;&gt;"",IF(AB489="","",INDEX(시장분석!$L:$L,AB489)),IFERROR(IF(VLOOKUP(R489,매핑!$A$4:$E$92,5,0)="","미분류",VLOOKUP(R489,매핑!$A$4:$E$92,5,0)),"미분류")))</f>
        <v/>
      </c>
      <c r="AH489" s="43" t="str">
        <f aca="false">IF(Q489&lt;&gt;1,"",IF(AB489&lt;&gt;"",IF(AB489="","",INDEX(시장분석!$N:$N,AB489)),IFERROR(IF(VLOOKUP(R489,매핑!$A$4:$E$92,4,0)="","미분류",VLOOKUP(R489,매핑!$A$4:$E$92,4,0)),"미분류")))</f>
        <v/>
      </c>
      <c r="AI489" s="43" t="str">
        <f aca="false">IF(Q489&lt;&gt;1,"",IFERROR(IF(VLOOKUP(R489,매핑!$A$4:$E$92,3,0)="","미분류",VLOOKUP(R489,매핑!$A$4:$E$92,3,0)),IF(AB489&lt;&gt;"",IF(AB489="","",INDEX(시장분석!$W:$W,AB489)),"미분류")))</f>
        <v/>
      </c>
      <c r="AJ489" s="43" t="str">
        <f aca="false">IF(Q489&lt;&gt;1,"",IFERROR(VLOOKUP(IF(N489&lt;&gt;"",N489,IF(P489&lt;&gt;"",P489,O489)),설정!$A$15:$D$47,2,0),""))</f>
        <v/>
      </c>
      <c r="AK489" s="43" t="str">
        <f aca="false">IF(Q489&lt;&gt;1,"",IF(AJ489="","무등급",IFERROR(VLOOKUP(AJ489,설정!$A$15:$D$47,3,0),"무등급")))</f>
        <v/>
      </c>
      <c r="AL489" s="89" t="n">
        <f aca="false">IF(AJ489="",99,IFERROR(VLOOKUP(AJ489,설정!$A$15:$D$47,4,0),99))</f>
        <v>99</v>
      </c>
      <c r="AM489" s="94" t="n">
        <f aca="false">IF(ISNUMBER(H489),AA489*1000000*H489/10000,0)</f>
        <v>0</v>
      </c>
      <c r="AN489" s="94" t="n">
        <f aca="false">IF(OR(Y489=1,NOT(ISNUMBER(Z489))),0,AA489*1000000*Z489/10000)</f>
        <v>0</v>
      </c>
      <c r="AO489" s="94" t="n">
        <f aca="false">IF(ISNUMBER(G489),AA489*1000000*G489/100,0)</f>
        <v>0</v>
      </c>
      <c r="AP489" s="94" t="n">
        <f aca="false">IF(ISNUMBER(M489),M489*K489,0)</f>
        <v>0</v>
      </c>
      <c r="AQ489" s="95" t="str">
        <f aca="false">IF(AB489="","",INDEX(시장분석!$AK:$AK,AB489))</f>
        <v/>
      </c>
      <c r="AR489" s="43" t="str">
        <f aca="false">IF(AB489="","-",IF(AB489="","",INDEX(시장분석!$AL:$AL,AB489)))</f>
        <v>-</v>
      </c>
      <c r="AS489" s="96" t="str">
        <f aca="false">IF(AB489="","",INDEX(시장분석!$AJ:$AJ,AB489))</f>
        <v/>
      </c>
      <c r="AT489" s="93" t="n">
        <f aca="false">IF(AB489="",0,IF(AB489="","",INDEX(시장분석!$AN:$AN,AB489)))</f>
        <v>0</v>
      </c>
      <c r="AU489" s="94" t="n">
        <f aca="false">IF(ISNUMBER(Z489),AT489/10000*MAX(Z489-1,0)*AA489*1000000,0)</f>
        <v>0</v>
      </c>
      <c r="AV489" s="94" t="n">
        <f aca="false">AO489+AU489</f>
        <v>0</v>
      </c>
      <c r="AW489" s="43" t="str">
        <f aca="false">IF(Q489&lt;&gt;1,"",TRIM(IF(AD489=1,"FRN ","")&amp;IF(AND(AL489&gt;=10,AL489&lt;99),"BBB0미만 ","")&amp;IF(AJ489="","등급없음 ","")&amp;IF(K489&lt;&gt;1,"비USD ","")&amp;IF(AND(AB489="",Y489=0),"시장데이터없음 ","")&amp;IF(AND(ISNUMBER(U489),U489&lt;0),"만기경과 ","")))</f>
        <v/>
      </c>
      <c r="AX489" s="90" t="n">
        <f aca="false">IF(Q489&lt;&gt;1,1,IF(스프레드쇼크!$C$4="Y",INDEX(스프레드쇼크!$B$12:$L$16,IFERROR(MATCH(AH489,스프레드쇼크!$A$12:$A$16,0),MATCH("목록외",스프레드쇼크!$A$12:$A$16,0)),IFERROR(MATCH(AG489,스프레드쇼크!$B$11:$L$11,0),MATCH("목록외",스프레드쇼크!$B$11:$L$11,0))),1))</f>
        <v>1</v>
      </c>
      <c r="AY489" s="90" t="n">
        <f aca="false">IF(스프레드쇼크!$C$5="Y",IF(ISNUMBER(AF489),MIN(스프레드쇼크!$C$7,MAX(스프레드쇼크!$C$6,AF489/스프레드쇼크!$C$8)),1),1)</f>
        <v>1</v>
      </c>
      <c r="AZ489" s="94" t="n">
        <f aca="false">AN489*AX489*AY489</f>
        <v>0</v>
      </c>
      <c r="BA489" s="90" t="n">
        <f aca="false">IF(ISNUMBER(G489),AA489*G489,0)</f>
        <v>0</v>
      </c>
      <c r="BB489" s="90" t="n">
        <f aca="false">IF(ISNUMBER(G489),AA489,0)</f>
        <v>0</v>
      </c>
      <c r="BC489" s="90" t="n">
        <f aca="false">IF(AND(Y489=0,ISNUMBER(AF489)),AA489*AF489,0)</f>
        <v>0</v>
      </c>
      <c r="BD489" s="90" t="n">
        <f aca="false">IF(AND(Y489=0,ISNUMBER(AF489)),AA489,0)</f>
        <v>0</v>
      </c>
      <c r="BE489" s="90" t="n">
        <f aca="false">IF(ISNUMBER(H489),AA489*H489,0)</f>
        <v>0</v>
      </c>
      <c r="BF489" s="90" t="n">
        <f aca="false">IF(ISNUMBER(H489),AA489,0)</f>
        <v>0</v>
      </c>
      <c r="BG489" s="90" t="n">
        <f aca="false">IF(AND(Y489=0,ISNUMBER(AF489),ISNUMBER(Z489)),AA489*Z489,0)</f>
        <v>0</v>
      </c>
      <c r="BH489" s="90" t="n">
        <f aca="false">IF(AND(Y489=0,ISNUMBER(AF489),ISNUMBER(Z489)),AA489*AT489*MAX(Z489-1,0),0)</f>
        <v>0</v>
      </c>
      <c r="BI489" s="90" t="n">
        <f aca="false">IF(Y489=0,AA489,0)</f>
        <v>0</v>
      </c>
    </row>
    <row r="490" customFormat="false" ht="15" hidden="false" customHeight="false" outlineLevel="0" collapsed="false">
      <c r="A490" s="83" t="str">
        <f aca="false">IFERROR(IF(INDEX(원자료_잔고!$A$1:$EZ$1500,설정!$L$5+ROW()-1,설정!$L$8)&amp;""="0","",INDEX(원자료_잔고!$A$1:$EZ$1500,설정!$L$5+ROW()-1,설정!$L$8)&amp;""),"")</f>
        <v/>
      </c>
      <c r="B490" s="83" t="str">
        <f aca="false">IFERROR(IF(INDEX(원자료_잔고!$A$1:$EZ$1500,설정!$L$5+ROW()-1,설정!$L$7)&amp;""="0","",INDEX(원자료_잔고!$A$1:$EZ$1500,설정!$L$5+ROW()-1,설정!$L$7)&amp;""),"")</f>
        <v/>
      </c>
      <c r="C490" s="83" t="str">
        <f aca="false">IFERROR(IF(INDEX(원자료_잔고!$A$1:$EZ$1500,설정!$L$5+ROW()-1,설정!$L$9)&amp;""="0","",INDEX(원자료_잔고!$A$1:$EZ$1500,설정!$L$5+ROW()-1,설정!$L$9)&amp;""),"")</f>
        <v/>
      </c>
      <c r="D490" s="83" t="str">
        <f aca="false">IFERROR(IF(INDEX(원자료_잔고!$A$1:$EZ$1500,설정!$L$5+ROW()-1,설정!$L$10)&amp;""="0","",INDEX(원자료_잔고!$A$1:$EZ$1500,설정!$L$5+ROW()-1,설정!$L$10)&amp;""),"")</f>
        <v/>
      </c>
      <c r="E490" s="84" t="str">
        <f aca="false">IFERROR(IF(ISNUMBER(INDEX(원자료_잔고!$A$1:$EZ$1500,설정!$L$5+ROW()-1,설정!$L$11)),INDEX(원자료_잔고!$A$1:$EZ$1500,설정!$L$5+ROW()-1,설정!$L$11),""),"")</f>
        <v/>
      </c>
      <c r="F490" s="85" t="str">
        <f aca="false">IFERROR(IF(ISNUMBER(INDEX(원자료_잔고!$A$1:$EZ$1500,설정!$L$5+ROW()-1,설정!$L$12)),INDEX(원자료_잔고!$A$1:$EZ$1500,설정!$L$5+ROW()-1,설정!$L$12),""),"")</f>
        <v/>
      </c>
      <c r="G490" s="85" t="str">
        <f aca="false">IFERROR(IF(ISNUMBER(INDEX(원자료_잔고!$A$1:$EZ$1500,설정!$L$5+ROW()-1,설정!$L$13)),INDEX(원자료_잔고!$A$1:$EZ$1500,설정!$L$5+ROW()-1,설정!$L$13),""),"")</f>
        <v/>
      </c>
      <c r="H490" s="85" t="str">
        <f aca="false">IFERROR(IF(ISNUMBER(INDEX(원자료_잔고!$A$1:$EZ$1500,설정!$L$5+ROW()-1,설정!$L$14)),INDEX(원자료_잔고!$A$1:$EZ$1500,설정!$L$5+ROW()-1,설정!$L$14),""),"")</f>
        <v/>
      </c>
      <c r="I490" s="86" t="str">
        <f aca="false">IFERROR(IF(ISNUMBER(INDEX(원자료_잔고!$A$1:$EZ$1500,설정!$L$5+ROW()-1,설정!$L$15)),INDEX(원자료_잔고!$A$1:$EZ$1500,설정!$L$5+ROW()-1,설정!$L$15),""),"")</f>
        <v/>
      </c>
      <c r="J490" s="85" t="str">
        <f aca="false">IFERROR(IF(ISNUMBER(INDEX(원자료_잔고!$A$1:$EZ$1500,설정!$L$5+ROW()-1,설정!$L$16)),INDEX(원자료_잔고!$A$1:$EZ$1500,설정!$L$5+ROW()-1,설정!$L$16),""),"")</f>
        <v/>
      </c>
      <c r="K490" s="87" t="str">
        <f aca="false">IFERROR(IF(ISNUMBER(INDEX(원자료_잔고!$A$1:$EZ$1500,설정!$L$5+ROW()-1,설정!$L$17)),INDEX(원자료_잔고!$A$1:$EZ$1500,설정!$L$5+ROW()-1,설정!$L$17),""),"")</f>
        <v/>
      </c>
      <c r="L490" s="84" t="str">
        <f aca="false">IFERROR(IF(ISNUMBER(INDEX(원자료_잔고!$A$1:$EZ$1500,설정!$L$5+ROW()-1,설정!$L$18)),INDEX(원자료_잔고!$A$1:$EZ$1500,설정!$L$5+ROW()-1,설정!$L$18),""),"")</f>
        <v/>
      </c>
      <c r="M490" s="88" t="str">
        <f aca="false">IFERROR(IF(ISNUMBER(INDEX(원자료_잔고!$A$1:$EZ$1500,설정!$L$5+ROW()-1,설정!$L$19)),INDEX(원자료_잔고!$A$1:$EZ$1500,설정!$L$5+ROW()-1,설정!$L$19),""),"")</f>
        <v/>
      </c>
      <c r="N490" s="83" t="str">
        <f aca="false">IFERROR(IF(INDEX(원자료_잔고!$A$1:$EZ$1500,설정!$L$5+ROW()-1,설정!$L$21)&amp;""="0","",INDEX(원자료_잔고!$A$1:$EZ$1500,설정!$L$5+ROW()-1,설정!$L$21)&amp;""),"")</f>
        <v/>
      </c>
      <c r="O490" s="83" t="str">
        <f aca="false">IFERROR(IF(INDEX(원자료_잔고!$A$1:$EZ$1500,설정!$L$5+ROW()-1,설정!$L$22)&amp;""="0","",INDEX(원자료_잔고!$A$1:$EZ$1500,설정!$L$5+ROW()-1,설정!$L$22)&amp;""),"")</f>
        <v/>
      </c>
      <c r="P490" s="83" t="str">
        <f aca="false">IFERROR(IF(INDEX(원자료_잔고!$A$1:$EZ$1500,설정!$L$5+ROW()-1,설정!$L$23)&amp;""="0","",INDEX(원자료_잔고!$A$1:$EZ$1500,설정!$L$5+ROW()-1,설정!$L$23)&amp;""),"")</f>
        <v/>
      </c>
      <c r="Q490" s="89" t="n">
        <f aca="false">IF(AND($A490&lt;&gt;"",ISNUMBER(E490)),IF(E490&gt;0,1,0),0)</f>
        <v>0</v>
      </c>
      <c r="R490" s="43" t="str">
        <f aca="false">IF(Q490=1,UPPER(LEFT($A490,FIND(" ",$A490&amp;" ")-1)),"")</f>
        <v/>
      </c>
      <c r="S490" s="89" t="n">
        <f aca="false">IF(Q490=1,IF(OR(ISNUMBER(SEARCH("Float",$A490)),ISNUMBER(SEARCH("FRN",$A490))),1,0),0)</f>
        <v>0</v>
      </c>
      <c r="T490" s="43" t="str">
        <f aca="false">IF(AND(Q490=1,ISNUMBER(I490)),TEXT(I490,"yyyymmdd")&amp;"|"&amp;IF(S490=1,"F",TEXT(J490,"0.000")),"")</f>
        <v/>
      </c>
      <c r="U490" s="90" t="str">
        <f aca="false">IF(AND(Q490=1,ISNUMBER(I490)),(I490-설정!$C$4)/365.25,"")</f>
        <v/>
      </c>
      <c r="V490" s="43" t="str">
        <f aca="false">IF(Q490&lt;&gt;1,"",IF(ISNUMBER(U490),IF(U490&lt;=1,"1년 이하",IF(U490&lt;=2,"1-2년",IF(U490&lt;=3,"2-3년",IF(U490&lt;=4,"3-4년",IF(U490&lt;=5,"4-5년",IF(U490&lt;=7,"5-7년",IF(U490&lt;=10,"7-10년",IF(U490&lt;=20,"10-20년","20년 이상")))))))),"미분류"))</f>
        <v/>
      </c>
      <c r="W490" s="43" t="str">
        <f aca="false">IF(Q490&lt;&gt;1,"",IF(AB490&lt;&gt;"",INDEX(시장분석!$C:$C,AB490),IF(K490=1,"USD","비USD")))</f>
        <v/>
      </c>
      <c r="X490" s="91" t="n">
        <f aca="false">IF(Q490=1,E490*K490/1000000,0)</f>
        <v>0</v>
      </c>
      <c r="Y490" s="89" t="n">
        <f aca="false">IF(R490="T",1,0)</f>
        <v>0</v>
      </c>
      <c r="Z490" s="92" t="str">
        <f aca="false">IF(Q490&lt;&gt;1,"",IF(AD490=1,IF(ISNUMBER(U490),MAX(U490,0),H490),H490))</f>
        <v/>
      </c>
      <c r="AA490" s="91" t="n">
        <f aca="false">IF(Q490=1,IF(ISNUMBER(L490),L490,0)*K490/1000000,0)</f>
        <v>0</v>
      </c>
      <c r="AB490" s="89" t="str">
        <f aca="false">IF(Q490&lt;&gt;1,"",IFERROR(MATCH(VLOOKUP(B490,매핑!$H$4:$I$15,2,0),시장분석!$A$2:$A$601,0)+1,IFERROR(MATCH(R490&amp;"|"&amp;T490,시장분석!$V$2:$V$601,0)+1,IF(COUNTIF(시장분석!$U$2:$U$601,T490)=1,MATCH(T490,시장분석!$U$2:$U$601,0)+1,""))))</f>
        <v/>
      </c>
      <c r="AC490" s="89" t="n">
        <f aca="false">IF(Q490&lt;&gt;1,0,IF(OR(설정!$C$5="전체",AND(설정!$C$5="선택펀드",IFERROR(COUNTIFS(설정!$F$16:$F$36,C490,설정!$G$16:$G$36,"Y")+COUNTIFS(설정!$F$16:$F$36,VALUE(C490),설정!$G$16:$G$36,"Y"),0)&gt;0),C490&amp;""=설정!$C$5&amp;""),1,0))</f>
        <v>0</v>
      </c>
      <c r="AD490" s="89" t="n">
        <f aca="false">IF(Q490&lt;&gt;1,0,IF(OR(S490=1,IF(AB490="",FALSE(),INDEX(시장분석!$R:$R,AB490)=1)),1,0))</f>
        <v>0</v>
      </c>
      <c r="AE490" s="43" t="str">
        <f aca="false">IF(AB490="","",INDEX(시장분석!$A:$A,AB490))</f>
        <v/>
      </c>
      <c r="AF490" s="93" t="str">
        <f aca="false">IF(AB490="","",IF(ISNUMBER(IF(AB490="","",INDEX(시장분석!$E:$E,AB490))),IF(AB490="","",INDEX(시장분석!$E:$E,AB490)),""))</f>
        <v/>
      </c>
      <c r="AG490" s="43" t="str">
        <f aca="false">IF(Q490&lt;&gt;1,"",IF(AB490&lt;&gt;"",IF(AB490="","",INDEX(시장분석!$L:$L,AB490)),IFERROR(IF(VLOOKUP(R490,매핑!$A$4:$E$92,5,0)="","미분류",VLOOKUP(R490,매핑!$A$4:$E$92,5,0)),"미분류")))</f>
        <v/>
      </c>
      <c r="AH490" s="43" t="str">
        <f aca="false">IF(Q490&lt;&gt;1,"",IF(AB490&lt;&gt;"",IF(AB490="","",INDEX(시장분석!$N:$N,AB490)),IFERROR(IF(VLOOKUP(R490,매핑!$A$4:$E$92,4,0)="","미분류",VLOOKUP(R490,매핑!$A$4:$E$92,4,0)),"미분류")))</f>
        <v/>
      </c>
      <c r="AI490" s="43" t="str">
        <f aca="false">IF(Q490&lt;&gt;1,"",IFERROR(IF(VLOOKUP(R490,매핑!$A$4:$E$92,3,0)="","미분류",VLOOKUP(R490,매핑!$A$4:$E$92,3,0)),IF(AB490&lt;&gt;"",IF(AB490="","",INDEX(시장분석!$W:$W,AB490)),"미분류")))</f>
        <v/>
      </c>
      <c r="AJ490" s="43" t="str">
        <f aca="false">IF(Q490&lt;&gt;1,"",IFERROR(VLOOKUP(IF(N490&lt;&gt;"",N490,IF(P490&lt;&gt;"",P490,O490)),설정!$A$15:$D$47,2,0),""))</f>
        <v/>
      </c>
      <c r="AK490" s="43" t="str">
        <f aca="false">IF(Q490&lt;&gt;1,"",IF(AJ490="","무등급",IFERROR(VLOOKUP(AJ490,설정!$A$15:$D$47,3,0),"무등급")))</f>
        <v/>
      </c>
      <c r="AL490" s="89" t="n">
        <f aca="false">IF(AJ490="",99,IFERROR(VLOOKUP(AJ490,설정!$A$15:$D$47,4,0),99))</f>
        <v>99</v>
      </c>
      <c r="AM490" s="94" t="n">
        <f aca="false">IF(ISNUMBER(H490),AA490*1000000*H490/10000,0)</f>
        <v>0</v>
      </c>
      <c r="AN490" s="94" t="n">
        <f aca="false">IF(OR(Y490=1,NOT(ISNUMBER(Z490))),0,AA490*1000000*Z490/10000)</f>
        <v>0</v>
      </c>
      <c r="AO490" s="94" t="n">
        <f aca="false">IF(ISNUMBER(G490),AA490*1000000*G490/100,0)</f>
        <v>0</v>
      </c>
      <c r="AP490" s="94" t="n">
        <f aca="false">IF(ISNUMBER(M490),M490*K490,0)</f>
        <v>0</v>
      </c>
      <c r="AQ490" s="95" t="str">
        <f aca="false">IF(AB490="","",INDEX(시장분석!$AK:$AK,AB490))</f>
        <v/>
      </c>
      <c r="AR490" s="43" t="str">
        <f aca="false">IF(AB490="","-",IF(AB490="","",INDEX(시장분석!$AL:$AL,AB490)))</f>
        <v>-</v>
      </c>
      <c r="AS490" s="96" t="str">
        <f aca="false">IF(AB490="","",INDEX(시장분석!$AJ:$AJ,AB490))</f>
        <v/>
      </c>
      <c r="AT490" s="93" t="n">
        <f aca="false">IF(AB490="",0,IF(AB490="","",INDEX(시장분석!$AN:$AN,AB490)))</f>
        <v>0</v>
      </c>
      <c r="AU490" s="94" t="n">
        <f aca="false">IF(ISNUMBER(Z490),AT490/10000*MAX(Z490-1,0)*AA490*1000000,0)</f>
        <v>0</v>
      </c>
      <c r="AV490" s="94" t="n">
        <f aca="false">AO490+AU490</f>
        <v>0</v>
      </c>
      <c r="AW490" s="43" t="str">
        <f aca="false">IF(Q490&lt;&gt;1,"",TRIM(IF(AD490=1,"FRN ","")&amp;IF(AND(AL490&gt;=10,AL490&lt;99),"BBB0미만 ","")&amp;IF(AJ490="","등급없음 ","")&amp;IF(K490&lt;&gt;1,"비USD ","")&amp;IF(AND(AB490="",Y490=0),"시장데이터없음 ","")&amp;IF(AND(ISNUMBER(U490),U490&lt;0),"만기경과 ","")))</f>
        <v/>
      </c>
      <c r="AX490" s="90" t="n">
        <f aca="false">IF(Q490&lt;&gt;1,1,IF(스프레드쇼크!$C$4="Y",INDEX(스프레드쇼크!$B$12:$L$16,IFERROR(MATCH(AH490,스프레드쇼크!$A$12:$A$16,0),MATCH("목록외",스프레드쇼크!$A$12:$A$16,0)),IFERROR(MATCH(AG490,스프레드쇼크!$B$11:$L$11,0),MATCH("목록외",스프레드쇼크!$B$11:$L$11,0))),1))</f>
        <v>1</v>
      </c>
      <c r="AY490" s="90" t="n">
        <f aca="false">IF(스프레드쇼크!$C$5="Y",IF(ISNUMBER(AF490),MIN(스프레드쇼크!$C$7,MAX(스프레드쇼크!$C$6,AF490/스프레드쇼크!$C$8)),1),1)</f>
        <v>1</v>
      </c>
      <c r="AZ490" s="94" t="n">
        <f aca="false">AN490*AX490*AY490</f>
        <v>0</v>
      </c>
      <c r="BA490" s="90" t="n">
        <f aca="false">IF(ISNUMBER(G490),AA490*G490,0)</f>
        <v>0</v>
      </c>
      <c r="BB490" s="90" t="n">
        <f aca="false">IF(ISNUMBER(G490),AA490,0)</f>
        <v>0</v>
      </c>
      <c r="BC490" s="90" t="n">
        <f aca="false">IF(AND(Y490=0,ISNUMBER(AF490)),AA490*AF490,0)</f>
        <v>0</v>
      </c>
      <c r="BD490" s="90" t="n">
        <f aca="false">IF(AND(Y490=0,ISNUMBER(AF490)),AA490,0)</f>
        <v>0</v>
      </c>
      <c r="BE490" s="90" t="n">
        <f aca="false">IF(ISNUMBER(H490),AA490*H490,0)</f>
        <v>0</v>
      </c>
      <c r="BF490" s="90" t="n">
        <f aca="false">IF(ISNUMBER(H490),AA490,0)</f>
        <v>0</v>
      </c>
      <c r="BG490" s="90" t="n">
        <f aca="false">IF(AND(Y490=0,ISNUMBER(AF490),ISNUMBER(Z490)),AA490*Z490,0)</f>
        <v>0</v>
      </c>
      <c r="BH490" s="90" t="n">
        <f aca="false">IF(AND(Y490=0,ISNUMBER(AF490),ISNUMBER(Z490)),AA490*AT490*MAX(Z490-1,0),0)</f>
        <v>0</v>
      </c>
      <c r="BI490" s="90" t="n">
        <f aca="false">IF(Y490=0,AA490,0)</f>
        <v>0</v>
      </c>
    </row>
    <row r="491" customFormat="false" ht="15" hidden="false" customHeight="false" outlineLevel="0" collapsed="false">
      <c r="A491" s="83" t="str">
        <f aca="false">IFERROR(IF(INDEX(원자료_잔고!$A$1:$EZ$1500,설정!$L$5+ROW()-1,설정!$L$8)&amp;""="0","",INDEX(원자료_잔고!$A$1:$EZ$1500,설정!$L$5+ROW()-1,설정!$L$8)&amp;""),"")</f>
        <v/>
      </c>
      <c r="B491" s="83" t="str">
        <f aca="false">IFERROR(IF(INDEX(원자료_잔고!$A$1:$EZ$1500,설정!$L$5+ROW()-1,설정!$L$7)&amp;""="0","",INDEX(원자료_잔고!$A$1:$EZ$1500,설정!$L$5+ROW()-1,설정!$L$7)&amp;""),"")</f>
        <v/>
      </c>
      <c r="C491" s="83" t="str">
        <f aca="false">IFERROR(IF(INDEX(원자료_잔고!$A$1:$EZ$1500,설정!$L$5+ROW()-1,설정!$L$9)&amp;""="0","",INDEX(원자료_잔고!$A$1:$EZ$1500,설정!$L$5+ROW()-1,설정!$L$9)&amp;""),"")</f>
        <v/>
      </c>
      <c r="D491" s="83" t="str">
        <f aca="false">IFERROR(IF(INDEX(원자료_잔고!$A$1:$EZ$1500,설정!$L$5+ROW()-1,설정!$L$10)&amp;""="0","",INDEX(원자료_잔고!$A$1:$EZ$1500,설정!$L$5+ROW()-1,설정!$L$10)&amp;""),"")</f>
        <v/>
      </c>
      <c r="E491" s="84" t="str">
        <f aca="false">IFERROR(IF(ISNUMBER(INDEX(원자료_잔고!$A$1:$EZ$1500,설정!$L$5+ROW()-1,설정!$L$11)),INDEX(원자료_잔고!$A$1:$EZ$1500,설정!$L$5+ROW()-1,설정!$L$11),""),"")</f>
        <v/>
      </c>
      <c r="F491" s="85" t="str">
        <f aca="false">IFERROR(IF(ISNUMBER(INDEX(원자료_잔고!$A$1:$EZ$1500,설정!$L$5+ROW()-1,설정!$L$12)),INDEX(원자료_잔고!$A$1:$EZ$1500,설정!$L$5+ROW()-1,설정!$L$12),""),"")</f>
        <v/>
      </c>
      <c r="G491" s="85" t="str">
        <f aca="false">IFERROR(IF(ISNUMBER(INDEX(원자료_잔고!$A$1:$EZ$1500,설정!$L$5+ROW()-1,설정!$L$13)),INDEX(원자료_잔고!$A$1:$EZ$1500,설정!$L$5+ROW()-1,설정!$L$13),""),"")</f>
        <v/>
      </c>
      <c r="H491" s="85" t="str">
        <f aca="false">IFERROR(IF(ISNUMBER(INDEX(원자료_잔고!$A$1:$EZ$1500,설정!$L$5+ROW()-1,설정!$L$14)),INDEX(원자료_잔고!$A$1:$EZ$1500,설정!$L$5+ROW()-1,설정!$L$14),""),"")</f>
        <v/>
      </c>
      <c r="I491" s="86" t="str">
        <f aca="false">IFERROR(IF(ISNUMBER(INDEX(원자료_잔고!$A$1:$EZ$1500,설정!$L$5+ROW()-1,설정!$L$15)),INDEX(원자료_잔고!$A$1:$EZ$1500,설정!$L$5+ROW()-1,설정!$L$15),""),"")</f>
        <v/>
      </c>
      <c r="J491" s="85" t="str">
        <f aca="false">IFERROR(IF(ISNUMBER(INDEX(원자료_잔고!$A$1:$EZ$1500,설정!$L$5+ROW()-1,설정!$L$16)),INDEX(원자료_잔고!$A$1:$EZ$1500,설정!$L$5+ROW()-1,설정!$L$16),""),"")</f>
        <v/>
      </c>
      <c r="K491" s="87" t="str">
        <f aca="false">IFERROR(IF(ISNUMBER(INDEX(원자료_잔고!$A$1:$EZ$1500,설정!$L$5+ROW()-1,설정!$L$17)),INDEX(원자료_잔고!$A$1:$EZ$1500,설정!$L$5+ROW()-1,설정!$L$17),""),"")</f>
        <v/>
      </c>
      <c r="L491" s="84" t="str">
        <f aca="false">IFERROR(IF(ISNUMBER(INDEX(원자료_잔고!$A$1:$EZ$1500,설정!$L$5+ROW()-1,설정!$L$18)),INDEX(원자료_잔고!$A$1:$EZ$1500,설정!$L$5+ROW()-1,설정!$L$18),""),"")</f>
        <v/>
      </c>
      <c r="M491" s="88" t="str">
        <f aca="false">IFERROR(IF(ISNUMBER(INDEX(원자료_잔고!$A$1:$EZ$1500,설정!$L$5+ROW()-1,설정!$L$19)),INDEX(원자료_잔고!$A$1:$EZ$1500,설정!$L$5+ROW()-1,설정!$L$19),""),"")</f>
        <v/>
      </c>
      <c r="N491" s="83" t="str">
        <f aca="false">IFERROR(IF(INDEX(원자료_잔고!$A$1:$EZ$1500,설정!$L$5+ROW()-1,설정!$L$21)&amp;""="0","",INDEX(원자료_잔고!$A$1:$EZ$1500,설정!$L$5+ROW()-1,설정!$L$21)&amp;""),"")</f>
        <v/>
      </c>
      <c r="O491" s="83" t="str">
        <f aca="false">IFERROR(IF(INDEX(원자료_잔고!$A$1:$EZ$1500,설정!$L$5+ROW()-1,설정!$L$22)&amp;""="0","",INDEX(원자료_잔고!$A$1:$EZ$1500,설정!$L$5+ROW()-1,설정!$L$22)&amp;""),"")</f>
        <v/>
      </c>
      <c r="P491" s="83" t="str">
        <f aca="false">IFERROR(IF(INDEX(원자료_잔고!$A$1:$EZ$1500,설정!$L$5+ROW()-1,설정!$L$23)&amp;""="0","",INDEX(원자료_잔고!$A$1:$EZ$1500,설정!$L$5+ROW()-1,설정!$L$23)&amp;""),"")</f>
        <v/>
      </c>
      <c r="Q491" s="89" t="n">
        <f aca="false">IF(AND($A491&lt;&gt;"",ISNUMBER(E491)),IF(E491&gt;0,1,0),0)</f>
        <v>0</v>
      </c>
      <c r="R491" s="43" t="str">
        <f aca="false">IF(Q491=1,UPPER(LEFT($A491,FIND(" ",$A491&amp;" ")-1)),"")</f>
        <v/>
      </c>
      <c r="S491" s="89" t="n">
        <f aca="false">IF(Q491=1,IF(OR(ISNUMBER(SEARCH("Float",$A491)),ISNUMBER(SEARCH("FRN",$A491))),1,0),0)</f>
        <v>0</v>
      </c>
      <c r="T491" s="43" t="str">
        <f aca="false">IF(AND(Q491=1,ISNUMBER(I491)),TEXT(I491,"yyyymmdd")&amp;"|"&amp;IF(S491=1,"F",TEXT(J491,"0.000")),"")</f>
        <v/>
      </c>
      <c r="U491" s="90" t="str">
        <f aca="false">IF(AND(Q491=1,ISNUMBER(I491)),(I491-설정!$C$4)/365.25,"")</f>
        <v/>
      </c>
      <c r="V491" s="43" t="str">
        <f aca="false">IF(Q491&lt;&gt;1,"",IF(ISNUMBER(U491),IF(U491&lt;=1,"1년 이하",IF(U491&lt;=2,"1-2년",IF(U491&lt;=3,"2-3년",IF(U491&lt;=4,"3-4년",IF(U491&lt;=5,"4-5년",IF(U491&lt;=7,"5-7년",IF(U491&lt;=10,"7-10년",IF(U491&lt;=20,"10-20년","20년 이상")))))))),"미분류"))</f>
        <v/>
      </c>
      <c r="W491" s="43" t="str">
        <f aca="false">IF(Q491&lt;&gt;1,"",IF(AB491&lt;&gt;"",INDEX(시장분석!$C:$C,AB491),IF(K491=1,"USD","비USD")))</f>
        <v/>
      </c>
      <c r="X491" s="91" t="n">
        <f aca="false">IF(Q491=1,E491*K491/1000000,0)</f>
        <v>0</v>
      </c>
      <c r="Y491" s="89" t="n">
        <f aca="false">IF(R491="T",1,0)</f>
        <v>0</v>
      </c>
      <c r="Z491" s="92" t="str">
        <f aca="false">IF(Q491&lt;&gt;1,"",IF(AD491=1,IF(ISNUMBER(U491),MAX(U491,0),H491),H491))</f>
        <v/>
      </c>
      <c r="AA491" s="91" t="n">
        <f aca="false">IF(Q491=1,IF(ISNUMBER(L491),L491,0)*K491/1000000,0)</f>
        <v>0</v>
      </c>
      <c r="AB491" s="89" t="str">
        <f aca="false">IF(Q491&lt;&gt;1,"",IFERROR(MATCH(VLOOKUP(B491,매핑!$H$4:$I$15,2,0),시장분석!$A$2:$A$601,0)+1,IFERROR(MATCH(R491&amp;"|"&amp;T491,시장분석!$V$2:$V$601,0)+1,IF(COUNTIF(시장분석!$U$2:$U$601,T491)=1,MATCH(T491,시장분석!$U$2:$U$601,0)+1,""))))</f>
        <v/>
      </c>
      <c r="AC491" s="89" t="n">
        <f aca="false">IF(Q491&lt;&gt;1,0,IF(OR(설정!$C$5="전체",AND(설정!$C$5="선택펀드",IFERROR(COUNTIFS(설정!$F$16:$F$36,C491,설정!$G$16:$G$36,"Y")+COUNTIFS(설정!$F$16:$F$36,VALUE(C491),설정!$G$16:$G$36,"Y"),0)&gt;0),C491&amp;""=설정!$C$5&amp;""),1,0))</f>
        <v>0</v>
      </c>
      <c r="AD491" s="89" t="n">
        <f aca="false">IF(Q491&lt;&gt;1,0,IF(OR(S491=1,IF(AB491="",FALSE(),INDEX(시장분석!$R:$R,AB491)=1)),1,0))</f>
        <v>0</v>
      </c>
      <c r="AE491" s="43" t="str">
        <f aca="false">IF(AB491="","",INDEX(시장분석!$A:$A,AB491))</f>
        <v/>
      </c>
      <c r="AF491" s="93" t="str">
        <f aca="false">IF(AB491="","",IF(ISNUMBER(IF(AB491="","",INDEX(시장분석!$E:$E,AB491))),IF(AB491="","",INDEX(시장분석!$E:$E,AB491)),""))</f>
        <v/>
      </c>
      <c r="AG491" s="43" t="str">
        <f aca="false">IF(Q491&lt;&gt;1,"",IF(AB491&lt;&gt;"",IF(AB491="","",INDEX(시장분석!$L:$L,AB491)),IFERROR(IF(VLOOKUP(R491,매핑!$A$4:$E$92,5,0)="","미분류",VLOOKUP(R491,매핑!$A$4:$E$92,5,0)),"미분류")))</f>
        <v/>
      </c>
      <c r="AH491" s="43" t="str">
        <f aca="false">IF(Q491&lt;&gt;1,"",IF(AB491&lt;&gt;"",IF(AB491="","",INDEX(시장분석!$N:$N,AB491)),IFERROR(IF(VLOOKUP(R491,매핑!$A$4:$E$92,4,0)="","미분류",VLOOKUP(R491,매핑!$A$4:$E$92,4,0)),"미분류")))</f>
        <v/>
      </c>
      <c r="AI491" s="43" t="str">
        <f aca="false">IF(Q491&lt;&gt;1,"",IFERROR(IF(VLOOKUP(R491,매핑!$A$4:$E$92,3,0)="","미분류",VLOOKUP(R491,매핑!$A$4:$E$92,3,0)),IF(AB491&lt;&gt;"",IF(AB491="","",INDEX(시장분석!$W:$W,AB491)),"미분류")))</f>
        <v/>
      </c>
      <c r="AJ491" s="43" t="str">
        <f aca="false">IF(Q491&lt;&gt;1,"",IFERROR(VLOOKUP(IF(N491&lt;&gt;"",N491,IF(P491&lt;&gt;"",P491,O491)),설정!$A$15:$D$47,2,0),""))</f>
        <v/>
      </c>
      <c r="AK491" s="43" t="str">
        <f aca="false">IF(Q491&lt;&gt;1,"",IF(AJ491="","무등급",IFERROR(VLOOKUP(AJ491,설정!$A$15:$D$47,3,0),"무등급")))</f>
        <v/>
      </c>
      <c r="AL491" s="89" t="n">
        <f aca="false">IF(AJ491="",99,IFERROR(VLOOKUP(AJ491,설정!$A$15:$D$47,4,0),99))</f>
        <v>99</v>
      </c>
      <c r="AM491" s="94" t="n">
        <f aca="false">IF(ISNUMBER(H491),AA491*1000000*H491/10000,0)</f>
        <v>0</v>
      </c>
      <c r="AN491" s="94" t="n">
        <f aca="false">IF(OR(Y491=1,NOT(ISNUMBER(Z491))),0,AA491*1000000*Z491/10000)</f>
        <v>0</v>
      </c>
      <c r="AO491" s="94" t="n">
        <f aca="false">IF(ISNUMBER(G491),AA491*1000000*G491/100,0)</f>
        <v>0</v>
      </c>
      <c r="AP491" s="94" t="n">
        <f aca="false">IF(ISNUMBER(M491),M491*K491,0)</f>
        <v>0</v>
      </c>
      <c r="AQ491" s="95" t="str">
        <f aca="false">IF(AB491="","",INDEX(시장분석!$AK:$AK,AB491))</f>
        <v/>
      </c>
      <c r="AR491" s="43" t="str">
        <f aca="false">IF(AB491="","-",IF(AB491="","",INDEX(시장분석!$AL:$AL,AB491)))</f>
        <v>-</v>
      </c>
      <c r="AS491" s="96" t="str">
        <f aca="false">IF(AB491="","",INDEX(시장분석!$AJ:$AJ,AB491))</f>
        <v/>
      </c>
      <c r="AT491" s="93" t="n">
        <f aca="false">IF(AB491="",0,IF(AB491="","",INDEX(시장분석!$AN:$AN,AB491)))</f>
        <v>0</v>
      </c>
      <c r="AU491" s="94" t="n">
        <f aca="false">IF(ISNUMBER(Z491),AT491/10000*MAX(Z491-1,0)*AA491*1000000,0)</f>
        <v>0</v>
      </c>
      <c r="AV491" s="94" t="n">
        <f aca="false">AO491+AU491</f>
        <v>0</v>
      </c>
      <c r="AW491" s="43" t="str">
        <f aca="false">IF(Q491&lt;&gt;1,"",TRIM(IF(AD491=1,"FRN ","")&amp;IF(AND(AL491&gt;=10,AL491&lt;99),"BBB0미만 ","")&amp;IF(AJ491="","등급없음 ","")&amp;IF(K491&lt;&gt;1,"비USD ","")&amp;IF(AND(AB491="",Y491=0),"시장데이터없음 ","")&amp;IF(AND(ISNUMBER(U491),U491&lt;0),"만기경과 ","")))</f>
        <v/>
      </c>
      <c r="AX491" s="90" t="n">
        <f aca="false">IF(Q491&lt;&gt;1,1,IF(스프레드쇼크!$C$4="Y",INDEX(스프레드쇼크!$B$12:$L$16,IFERROR(MATCH(AH491,스프레드쇼크!$A$12:$A$16,0),MATCH("목록외",스프레드쇼크!$A$12:$A$16,0)),IFERROR(MATCH(AG491,스프레드쇼크!$B$11:$L$11,0),MATCH("목록외",스프레드쇼크!$B$11:$L$11,0))),1))</f>
        <v>1</v>
      </c>
      <c r="AY491" s="90" t="n">
        <f aca="false">IF(스프레드쇼크!$C$5="Y",IF(ISNUMBER(AF491),MIN(스프레드쇼크!$C$7,MAX(스프레드쇼크!$C$6,AF491/스프레드쇼크!$C$8)),1),1)</f>
        <v>1</v>
      </c>
      <c r="AZ491" s="94" t="n">
        <f aca="false">AN491*AX491*AY491</f>
        <v>0</v>
      </c>
      <c r="BA491" s="90" t="n">
        <f aca="false">IF(ISNUMBER(G491),AA491*G491,0)</f>
        <v>0</v>
      </c>
      <c r="BB491" s="90" t="n">
        <f aca="false">IF(ISNUMBER(G491),AA491,0)</f>
        <v>0</v>
      </c>
      <c r="BC491" s="90" t="n">
        <f aca="false">IF(AND(Y491=0,ISNUMBER(AF491)),AA491*AF491,0)</f>
        <v>0</v>
      </c>
      <c r="BD491" s="90" t="n">
        <f aca="false">IF(AND(Y491=0,ISNUMBER(AF491)),AA491,0)</f>
        <v>0</v>
      </c>
      <c r="BE491" s="90" t="n">
        <f aca="false">IF(ISNUMBER(H491),AA491*H491,0)</f>
        <v>0</v>
      </c>
      <c r="BF491" s="90" t="n">
        <f aca="false">IF(ISNUMBER(H491),AA491,0)</f>
        <v>0</v>
      </c>
      <c r="BG491" s="90" t="n">
        <f aca="false">IF(AND(Y491=0,ISNUMBER(AF491),ISNUMBER(Z491)),AA491*Z491,0)</f>
        <v>0</v>
      </c>
      <c r="BH491" s="90" t="n">
        <f aca="false">IF(AND(Y491=0,ISNUMBER(AF491),ISNUMBER(Z491)),AA491*AT491*MAX(Z491-1,0),0)</f>
        <v>0</v>
      </c>
      <c r="BI491" s="90" t="n">
        <f aca="false">IF(Y491=0,AA491,0)</f>
        <v>0</v>
      </c>
    </row>
    <row r="492" customFormat="false" ht="15" hidden="false" customHeight="false" outlineLevel="0" collapsed="false">
      <c r="A492" s="83" t="str">
        <f aca="false">IFERROR(IF(INDEX(원자료_잔고!$A$1:$EZ$1500,설정!$L$5+ROW()-1,설정!$L$8)&amp;""="0","",INDEX(원자료_잔고!$A$1:$EZ$1500,설정!$L$5+ROW()-1,설정!$L$8)&amp;""),"")</f>
        <v/>
      </c>
      <c r="B492" s="83" t="str">
        <f aca="false">IFERROR(IF(INDEX(원자료_잔고!$A$1:$EZ$1500,설정!$L$5+ROW()-1,설정!$L$7)&amp;""="0","",INDEX(원자료_잔고!$A$1:$EZ$1500,설정!$L$5+ROW()-1,설정!$L$7)&amp;""),"")</f>
        <v/>
      </c>
      <c r="C492" s="83" t="str">
        <f aca="false">IFERROR(IF(INDEX(원자료_잔고!$A$1:$EZ$1500,설정!$L$5+ROW()-1,설정!$L$9)&amp;""="0","",INDEX(원자료_잔고!$A$1:$EZ$1500,설정!$L$5+ROW()-1,설정!$L$9)&amp;""),"")</f>
        <v/>
      </c>
      <c r="D492" s="83" t="str">
        <f aca="false">IFERROR(IF(INDEX(원자료_잔고!$A$1:$EZ$1500,설정!$L$5+ROW()-1,설정!$L$10)&amp;""="0","",INDEX(원자료_잔고!$A$1:$EZ$1500,설정!$L$5+ROW()-1,설정!$L$10)&amp;""),"")</f>
        <v/>
      </c>
      <c r="E492" s="84" t="str">
        <f aca="false">IFERROR(IF(ISNUMBER(INDEX(원자료_잔고!$A$1:$EZ$1500,설정!$L$5+ROW()-1,설정!$L$11)),INDEX(원자료_잔고!$A$1:$EZ$1500,설정!$L$5+ROW()-1,설정!$L$11),""),"")</f>
        <v/>
      </c>
      <c r="F492" s="85" t="str">
        <f aca="false">IFERROR(IF(ISNUMBER(INDEX(원자료_잔고!$A$1:$EZ$1500,설정!$L$5+ROW()-1,설정!$L$12)),INDEX(원자료_잔고!$A$1:$EZ$1500,설정!$L$5+ROW()-1,설정!$L$12),""),"")</f>
        <v/>
      </c>
      <c r="G492" s="85" t="str">
        <f aca="false">IFERROR(IF(ISNUMBER(INDEX(원자료_잔고!$A$1:$EZ$1500,설정!$L$5+ROW()-1,설정!$L$13)),INDEX(원자료_잔고!$A$1:$EZ$1500,설정!$L$5+ROW()-1,설정!$L$13),""),"")</f>
        <v/>
      </c>
      <c r="H492" s="85" t="str">
        <f aca="false">IFERROR(IF(ISNUMBER(INDEX(원자료_잔고!$A$1:$EZ$1500,설정!$L$5+ROW()-1,설정!$L$14)),INDEX(원자료_잔고!$A$1:$EZ$1500,설정!$L$5+ROW()-1,설정!$L$14),""),"")</f>
        <v/>
      </c>
      <c r="I492" s="86" t="str">
        <f aca="false">IFERROR(IF(ISNUMBER(INDEX(원자료_잔고!$A$1:$EZ$1500,설정!$L$5+ROW()-1,설정!$L$15)),INDEX(원자료_잔고!$A$1:$EZ$1500,설정!$L$5+ROW()-1,설정!$L$15),""),"")</f>
        <v/>
      </c>
      <c r="J492" s="85" t="str">
        <f aca="false">IFERROR(IF(ISNUMBER(INDEX(원자료_잔고!$A$1:$EZ$1500,설정!$L$5+ROW()-1,설정!$L$16)),INDEX(원자료_잔고!$A$1:$EZ$1500,설정!$L$5+ROW()-1,설정!$L$16),""),"")</f>
        <v/>
      </c>
      <c r="K492" s="87" t="str">
        <f aca="false">IFERROR(IF(ISNUMBER(INDEX(원자료_잔고!$A$1:$EZ$1500,설정!$L$5+ROW()-1,설정!$L$17)),INDEX(원자료_잔고!$A$1:$EZ$1500,설정!$L$5+ROW()-1,설정!$L$17),""),"")</f>
        <v/>
      </c>
      <c r="L492" s="84" t="str">
        <f aca="false">IFERROR(IF(ISNUMBER(INDEX(원자료_잔고!$A$1:$EZ$1500,설정!$L$5+ROW()-1,설정!$L$18)),INDEX(원자료_잔고!$A$1:$EZ$1500,설정!$L$5+ROW()-1,설정!$L$18),""),"")</f>
        <v/>
      </c>
      <c r="M492" s="88" t="str">
        <f aca="false">IFERROR(IF(ISNUMBER(INDEX(원자료_잔고!$A$1:$EZ$1500,설정!$L$5+ROW()-1,설정!$L$19)),INDEX(원자료_잔고!$A$1:$EZ$1500,설정!$L$5+ROW()-1,설정!$L$19),""),"")</f>
        <v/>
      </c>
      <c r="N492" s="83" t="str">
        <f aca="false">IFERROR(IF(INDEX(원자료_잔고!$A$1:$EZ$1500,설정!$L$5+ROW()-1,설정!$L$21)&amp;""="0","",INDEX(원자료_잔고!$A$1:$EZ$1500,설정!$L$5+ROW()-1,설정!$L$21)&amp;""),"")</f>
        <v/>
      </c>
      <c r="O492" s="83" t="str">
        <f aca="false">IFERROR(IF(INDEX(원자료_잔고!$A$1:$EZ$1500,설정!$L$5+ROW()-1,설정!$L$22)&amp;""="0","",INDEX(원자료_잔고!$A$1:$EZ$1500,설정!$L$5+ROW()-1,설정!$L$22)&amp;""),"")</f>
        <v/>
      </c>
      <c r="P492" s="83" t="str">
        <f aca="false">IFERROR(IF(INDEX(원자료_잔고!$A$1:$EZ$1500,설정!$L$5+ROW()-1,설정!$L$23)&amp;""="0","",INDEX(원자료_잔고!$A$1:$EZ$1500,설정!$L$5+ROW()-1,설정!$L$23)&amp;""),"")</f>
        <v/>
      </c>
      <c r="Q492" s="89" t="n">
        <f aca="false">IF(AND($A492&lt;&gt;"",ISNUMBER(E492)),IF(E492&gt;0,1,0),0)</f>
        <v>0</v>
      </c>
      <c r="R492" s="43" t="str">
        <f aca="false">IF(Q492=1,UPPER(LEFT($A492,FIND(" ",$A492&amp;" ")-1)),"")</f>
        <v/>
      </c>
      <c r="S492" s="89" t="n">
        <f aca="false">IF(Q492=1,IF(OR(ISNUMBER(SEARCH("Float",$A492)),ISNUMBER(SEARCH("FRN",$A492))),1,0),0)</f>
        <v>0</v>
      </c>
      <c r="T492" s="43" t="str">
        <f aca="false">IF(AND(Q492=1,ISNUMBER(I492)),TEXT(I492,"yyyymmdd")&amp;"|"&amp;IF(S492=1,"F",TEXT(J492,"0.000")),"")</f>
        <v/>
      </c>
      <c r="U492" s="90" t="str">
        <f aca="false">IF(AND(Q492=1,ISNUMBER(I492)),(I492-설정!$C$4)/365.25,"")</f>
        <v/>
      </c>
      <c r="V492" s="43" t="str">
        <f aca="false">IF(Q492&lt;&gt;1,"",IF(ISNUMBER(U492),IF(U492&lt;=1,"1년 이하",IF(U492&lt;=2,"1-2년",IF(U492&lt;=3,"2-3년",IF(U492&lt;=4,"3-4년",IF(U492&lt;=5,"4-5년",IF(U492&lt;=7,"5-7년",IF(U492&lt;=10,"7-10년",IF(U492&lt;=20,"10-20년","20년 이상")))))))),"미분류"))</f>
        <v/>
      </c>
      <c r="W492" s="43" t="str">
        <f aca="false">IF(Q492&lt;&gt;1,"",IF(AB492&lt;&gt;"",INDEX(시장분석!$C:$C,AB492),IF(K492=1,"USD","비USD")))</f>
        <v/>
      </c>
      <c r="X492" s="91" t="n">
        <f aca="false">IF(Q492=1,E492*K492/1000000,0)</f>
        <v>0</v>
      </c>
      <c r="Y492" s="89" t="n">
        <f aca="false">IF(R492="T",1,0)</f>
        <v>0</v>
      </c>
      <c r="Z492" s="92" t="str">
        <f aca="false">IF(Q492&lt;&gt;1,"",IF(AD492=1,IF(ISNUMBER(U492),MAX(U492,0),H492),H492))</f>
        <v/>
      </c>
      <c r="AA492" s="91" t="n">
        <f aca="false">IF(Q492=1,IF(ISNUMBER(L492),L492,0)*K492/1000000,0)</f>
        <v>0</v>
      </c>
      <c r="AB492" s="89" t="str">
        <f aca="false">IF(Q492&lt;&gt;1,"",IFERROR(MATCH(VLOOKUP(B492,매핑!$H$4:$I$15,2,0),시장분석!$A$2:$A$601,0)+1,IFERROR(MATCH(R492&amp;"|"&amp;T492,시장분석!$V$2:$V$601,0)+1,IF(COUNTIF(시장분석!$U$2:$U$601,T492)=1,MATCH(T492,시장분석!$U$2:$U$601,0)+1,""))))</f>
        <v/>
      </c>
      <c r="AC492" s="89" t="n">
        <f aca="false">IF(Q492&lt;&gt;1,0,IF(OR(설정!$C$5="전체",AND(설정!$C$5="선택펀드",IFERROR(COUNTIFS(설정!$F$16:$F$36,C492,설정!$G$16:$G$36,"Y")+COUNTIFS(설정!$F$16:$F$36,VALUE(C492),설정!$G$16:$G$36,"Y"),0)&gt;0),C492&amp;""=설정!$C$5&amp;""),1,0))</f>
        <v>0</v>
      </c>
      <c r="AD492" s="89" t="n">
        <f aca="false">IF(Q492&lt;&gt;1,0,IF(OR(S492=1,IF(AB492="",FALSE(),INDEX(시장분석!$R:$R,AB492)=1)),1,0))</f>
        <v>0</v>
      </c>
      <c r="AE492" s="43" t="str">
        <f aca="false">IF(AB492="","",INDEX(시장분석!$A:$A,AB492))</f>
        <v/>
      </c>
      <c r="AF492" s="93" t="str">
        <f aca="false">IF(AB492="","",IF(ISNUMBER(IF(AB492="","",INDEX(시장분석!$E:$E,AB492))),IF(AB492="","",INDEX(시장분석!$E:$E,AB492)),""))</f>
        <v/>
      </c>
      <c r="AG492" s="43" t="str">
        <f aca="false">IF(Q492&lt;&gt;1,"",IF(AB492&lt;&gt;"",IF(AB492="","",INDEX(시장분석!$L:$L,AB492)),IFERROR(IF(VLOOKUP(R492,매핑!$A$4:$E$92,5,0)="","미분류",VLOOKUP(R492,매핑!$A$4:$E$92,5,0)),"미분류")))</f>
        <v/>
      </c>
      <c r="AH492" s="43" t="str">
        <f aca="false">IF(Q492&lt;&gt;1,"",IF(AB492&lt;&gt;"",IF(AB492="","",INDEX(시장분석!$N:$N,AB492)),IFERROR(IF(VLOOKUP(R492,매핑!$A$4:$E$92,4,0)="","미분류",VLOOKUP(R492,매핑!$A$4:$E$92,4,0)),"미분류")))</f>
        <v/>
      </c>
      <c r="AI492" s="43" t="str">
        <f aca="false">IF(Q492&lt;&gt;1,"",IFERROR(IF(VLOOKUP(R492,매핑!$A$4:$E$92,3,0)="","미분류",VLOOKUP(R492,매핑!$A$4:$E$92,3,0)),IF(AB492&lt;&gt;"",IF(AB492="","",INDEX(시장분석!$W:$W,AB492)),"미분류")))</f>
        <v/>
      </c>
      <c r="AJ492" s="43" t="str">
        <f aca="false">IF(Q492&lt;&gt;1,"",IFERROR(VLOOKUP(IF(N492&lt;&gt;"",N492,IF(P492&lt;&gt;"",P492,O492)),설정!$A$15:$D$47,2,0),""))</f>
        <v/>
      </c>
      <c r="AK492" s="43" t="str">
        <f aca="false">IF(Q492&lt;&gt;1,"",IF(AJ492="","무등급",IFERROR(VLOOKUP(AJ492,설정!$A$15:$D$47,3,0),"무등급")))</f>
        <v/>
      </c>
      <c r="AL492" s="89" t="n">
        <f aca="false">IF(AJ492="",99,IFERROR(VLOOKUP(AJ492,설정!$A$15:$D$47,4,0),99))</f>
        <v>99</v>
      </c>
      <c r="AM492" s="94" t="n">
        <f aca="false">IF(ISNUMBER(H492),AA492*1000000*H492/10000,0)</f>
        <v>0</v>
      </c>
      <c r="AN492" s="94" t="n">
        <f aca="false">IF(OR(Y492=1,NOT(ISNUMBER(Z492))),0,AA492*1000000*Z492/10000)</f>
        <v>0</v>
      </c>
      <c r="AO492" s="94" t="n">
        <f aca="false">IF(ISNUMBER(G492),AA492*1000000*G492/100,0)</f>
        <v>0</v>
      </c>
      <c r="AP492" s="94" t="n">
        <f aca="false">IF(ISNUMBER(M492),M492*K492,0)</f>
        <v>0</v>
      </c>
      <c r="AQ492" s="95" t="str">
        <f aca="false">IF(AB492="","",INDEX(시장분석!$AK:$AK,AB492))</f>
        <v/>
      </c>
      <c r="AR492" s="43" t="str">
        <f aca="false">IF(AB492="","-",IF(AB492="","",INDEX(시장분석!$AL:$AL,AB492)))</f>
        <v>-</v>
      </c>
      <c r="AS492" s="96" t="str">
        <f aca="false">IF(AB492="","",INDEX(시장분석!$AJ:$AJ,AB492))</f>
        <v/>
      </c>
      <c r="AT492" s="93" t="n">
        <f aca="false">IF(AB492="",0,IF(AB492="","",INDEX(시장분석!$AN:$AN,AB492)))</f>
        <v>0</v>
      </c>
      <c r="AU492" s="94" t="n">
        <f aca="false">IF(ISNUMBER(Z492),AT492/10000*MAX(Z492-1,0)*AA492*1000000,0)</f>
        <v>0</v>
      </c>
      <c r="AV492" s="94" t="n">
        <f aca="false">AO492+AU492</f>
        <v>0</v>
      </c>
      <c r="AW492" s="43" t="str">
        <f aca="false">IF(Q492&lt;&gt;1,"",TRIM(IF(AD492=1,"FRN ","")&amp;IF(AND(AL492&gt;=10,AL492&lt;99),"BBB0미만 ","")&amp;IF(AJ492="","등급없음 ","")&amp;IF(K492&lt;&gt;1,"비USD ","")&amp;IF(AND(AB492="",Y492=0),"시장데이터없음 ","")&amp;IF(AND(ISNUMBER(U492),U492&lt;0),"만기경과 ","")))</f>
        <v/>
      </c>
      <c r="AX492" s="90" t="n">
        <f aca="false">IF(Q492&lt;&gt;1,1,IF(스프레드쇼크!$C$4="Y",INDEX(스프레드쇼크!$B$12:$L$16,IFERROR(MATCH(AH492,스프레드쇼크!$A$12:$A$16,0),MATCH("목록외",스프레드쇼크!$A$12:$A$16,0)),IFERROR(MATCH(AG492,스프레드쇼크!$B$11:$L$11,0),MATCH("목록외",스프레드쇼크!$B$11:$L$11,0))),1))</f>
        <v>1</v>
      </c>
      <c r="AY492" s="90" t="n">
        <f aca="false">IF(스프레드쇼크!$C$5="Y",IF(ISNUMBER(AF492),MIN(스프레드쇼크!$C$7,MAX(스프레드쇼크!$C$6,AF492/스프레드쇼크!$C$8)),1),1)</f>
        <v>1</v>
      </c>
      <c r="AZ492" s="94" t="n">
        <f aca="false">AN492*AX492*AY492</f>
        <v>0</v>
      </c>
      <c r="BA492" s="90" t="n">
        <f aca="false">IF(ISNUMBER(G492),AA492*G492,0)</f>
        <v>0</v>
      </c>
      <c r="BB492" s="90" t="n">
        <f aca="false">IF(ISNUMBER(G492),AA492,0)</f>
        <v>0</v>
      </c>
      <c r="BC492" s="90" t="n">
        <f aca="false">IF(AND(Y492=0,ISNUMBER(AF492)),AA492*AF492,0)</f>
        <v>0</v>
      </c>
      <c r="BD492" s="90" t="n">
        <f aca="false">IF(AND(Y492=0,ISNUMBER(AF492)),AA492,0)</f>
        <v>0</v>
      </c>
      <c r="BE492" s="90" t="n">
        <f aca="false">IF(ISNUMBER(H492),AA492*H492,0)</f>
        <v>0</v>
      </c>
      <c r="BF492" s="90" t="n">
        <f aca="false">IF(ISNUMBER(H492),AA492,0)</f>
        <v>0</v>
      </c>
      <c r="BG492" s="90" t="n">
        <f aca="false">IF(AND(Y492=0,ISNUMBER(AF492),ISNUMBER(Z492)),AA492*Z492,0)</f>
        <v>0</v>
      </c>
      <c r="BH492" s="90" t="n">
        <f aca="false">IF(AND(Y492=0,ISNUMBER(AF492),ISNUMBER(Z492)),AA492*AT492*MAX(Z492-1,0),0)</f>
        <v>0</v>
      </c>
      <c r="BI492" s="90" t="n">
        <f aca="false">IF(Y492=0,AA492,0)</f>
        <v>0</v>
      </c>
    </row>
    <row r="493" customFormat="false" ht="15" hidden="false" customHeight="false" outlineLevel="0" collapsed="false">
      <c r="A493" s="83" t="str">
        <f aca="false">IFERROR(IF(INDEX(원자료_잔고!$A$1:$EZ$1500,설정!$L$5+ROW()-1,설정!$L$8)&amp;""="0","",INDEX(원자료_잔고!$A$1:$EZ$1500,설정!$L$5+ROW()-1,설정!$L$8)&amp;""),"")</f>
        <v/>
      </c>
      <c r="B493" s="83" t="str">
        <f aca="false">IFERROR(IF(INDEX(원자료_잔고!$A$1:$EZ$1500,설정!$L$5+ROW()-1,설정!$L$7)&amp;""="0","",INDEX(원자료_잔고!$A$1:$EZ$1500,설정!$L$5+ROW()-1,설정!$L$7)&amp;""),"")</f>
        <v/>
      </c>
      <c r="C493" s="83" t="str">
        <f aca="false">IFERROR(IF(INDEX(원자료_잔고!$A$1:$EZ$1500,설정!$L$5+ROW()-1,설정!$L$9)&amp;""="0","",INDEX(원자료_잔고!$A$1:$EZ$1500,설정!$L$5+ROW()-1,설정!$L$9)&amp;""),"")</f>
        <v/>
      </c>
      <c r="D493" s="83" t="str">
        <f aca="false">IFERROR(IF(INDEX(원자료_잔고!$A$1:$EZ$1500,설정!$L$5+ROW()-1,설정!$L$10)&amp;""="0","",INDEX(원자료_잔고!$A$1:$EZ$1500,설정!$L$5+ROW()-1,설정!$L$10)&amp;""),"")</f>
        <v/>
      </c>
      <c r="E493" s="84" t="str">
        <f aca="false">IFERROR(IF(ISNUMBER(INDEX(원자료_잔고!$A$1:$EZ$1500,설정!$L$5+ROW()-1,설정!$L$11)),INDEX(원자료_잔고!$A$1:$EZ$1500,설정!$L$5+ROW()-1,설정!$L$11),""),"")</f>
        <v/>
      </c>
      <c r="F493" s="85" t="str">
        <f aca="false">IFERROR(IF(ISNUMBER(INDEX(원자료_잔고!$A$1:$EZ$1500,설정!$L$5+ROW()-1,설정!$L$12)),INDEX(원자료_잔고!$A$1:$EZ$1500,설정!$L$5+ROW()-1,설정!$L$12),""),"")</f>
        <v/>
      </c>
      <c r="G493" s="85" t="str">
        <f aca="false">IFERROR(IF(ISNUMBER(INDEX(원자료_잔고!$A$1:$EZ$1500,설정!$L$5+ROW()-1,설정!$L$13)),INDEX(원자료_잔고!$A$1:$EZ$1500,설정!$L$5+ROW()-1,설정!$L$13),""),"")</f>
        <v/>
      </c>
      <c r="H493" s="85" t="str">
        <f aca="false">IFERROR(IF(ISNUMBER(INDEX(원자료_잔고!$A$1:$EZ$1500,설정!$L$5+ROW()-1,설정!$L$14)),INDEX(원자료_잔고!$A$1:$EZ$1500,설정!$L$5+ROW()-1,설정!$L$14),""),"")</f>
        <v/>
      </c>
      <c r="I493" s="86" t="str">
        <f aca="false">IFERROR(IF(ISNUMBER(INDEX(원자료_잔고!$A$1:$EZ$1500,설정!$L$5+ROW()-1,설정!$L$15)),INDEX(원자료_잔고!$A$1:$EZ$1500,설정!$L$5+ROW()-1,설정!$L$15),""),"")</f>
        <v/>
      </c>
      <c r="J493" s="85" t="str">
        <f aca="false">IFERROR(IF(ISNUMBER(INDEX(원자료_잔고!$A$1:$EZ$1500,설정!$L$5+ROW()-1,설정!$L$16)),INDEX(원자료_잔고!$A$1:$EZ$1500,설정!$L$5+ROW()-1,설정!$L$16),""),"")</f>
        <v/>
      </c>
      <c r="K493" s="87" t="str">
        <f aca="false">IFERROR(IF(ISNUMBER(INDEX(원자료_잔고!$A$1:$EZ$1500,설정!$L$5+ROW()-1,설정!$L$17)),INDEX(원자료_잔고!$A$1:$EZ$1500,설정!$L$5+ROW()-1,설정!$L$17),""),"")</f>
        <v/>
      </c>
      <c r="L493" s="84" t="str">
        <f aca="false">IFERROR(IF(ISNUMBER(INDEX(원자료_잔고!$A$1:$EZ$1500,설정!$L$5+ROW()-1,설정!$L$18)),INDEX(원자료_잔고!$A$1:$EZ$1500,설정!$L$5+ROW()-1,설정!$L$18),""),"")</f>
        <v/>
      </c>
      <c r="M493" s="88" t="str">
        <f aca="false">IFERROR(IF(ISNUMBER(INDEX(원자료_잔고!$A$1:$EZ$1500,설정!$L$5+ROW()-1,설정!$L$19)),INDEX(원자료_잔고!$A$1:$EZ$1500,설정!$L$5+ROW()-1,설정!$L$19),""),"")</f>
        <v/>
      </c>
      <c r="N493" s="83" t="str">
        <f aca="false">IFERROR(IF(INDEX(원자료_잔고!$A$1:$EZ$1500,설정!$L$5+ROW()-1,설정!$L$21)&amp;""="0","",INDEX(원자료_잔고!$A$1:$EZ$1500,설정!$L$5+ROW()-1,설정!$L$21)&amp;""),"")</f>
        <v/>
      </c>
      <c r="O493" s="83" t="str">
        <f aca="false">IFERROR(IF(INDEX(원자료_잔고!$A$1:$EZ$1500,설정!$L$5+ROW()-1,설정!$L$22)&amp;""="0","",INDEX(원자료_잔고!$A$1:$EZ$1500,설정!$L$5+ROW()-1,설정!$L$22)&amp;""),"")</f>
        <v/>
      </c>
      <c r="P493" s="83" t="str">
        <f aca="false">IFERROR(IF(INDEX(원자료_잔고!$A$1:$EZ$1500,설정!$L$5+ROW()-1,설정!$L$23)&amp;""="0","",INDEX(원자료_잔고!$A$1:$EZ$1500,설정!$L$5+ROW()-1,설정!$L$23)&amp;""),"")</f>
        <v/>
      </c>
      <c r="Q493" s="89" t="n">
        <f aca="false">IF(AND($A493&lt;&gt;"",ISNUMBER(E493)),IF(E493&gt;0,1,0),0)</f>
        <v>0</v>
      </c>
      <c r="R493" s="43" t="str">
        <f aca="false">IF(Q493=1,UPPER(LEFT($A493,FIND(" ",$A493&amp;" ")-1)),"")</f>
        <v/>
      </c>
      <c r="S493" s="89" t="n">
        <f aca="false">IF(Q493=1,IF(OR(ISNUMBER(SEARCH("Float",$A493)),ISNUMBER(SEARCH("FRN",$A493))),1,0),0)</f>
        <v>0</v>
      </c>
      <c r="T493" s="43" t="str">
        <f aca="false">IF(AND(Q493=1,ISNUMBER(I493)),TEXT(I493,"yyyymmdd")&amp;"|"&amp;IF(S493=1,"F",TEXT(J493,"0.000")),"")</f>
        <v/>
      </c>
      <c r="U493" s="90" t="str">
        <f aca="false">IF(AND(Q493=1,ISNUMBER(I493)),(I493-설정!$C$4)/365.25,"")</f>
        <v/>
      </c>
      <c r="V493" s="43" t="str">
        <f aca="false">IF(Q493&lt;&gt;1,"",IF(ISNUMBER(U493),IF(U493&lt;=1,"1년 이하",IF(U493&lt;=2,"1-2년",IF(U493&lt;=3,"2-3년",IF(U493&lt;=4,"3-4년",IF(U493&lt;=5,"4-5년",IF(U493&lt;=7,"5-7년",IF(U493&lt;=10,"7-10년",IF(U493&lt;=20,"10-20년","20년 이상")))))))),"미분류"))</f>
        <v/>
      </c>
      <c r="W493" s="43" t="str">
        <f aca="false">IF(Q493&lt;&gt;1,"",IF(AB493&lt;&gt;"",INDEX(시장분석!$C:$C,AB493),IF(K493=1,"USD","비USD")))</f>
        <v/>
      </c>
      <c r="X493" s="91" t="n">
        <f aca="false">IF(Q493=1,E493*K493/1000000,0)</f>
        <v>0</v>
      </c>
      <c r="Y493" s="89" t="n">
        <f aca="false">IF(R493="T",1,0)</f>
        <v>0</v>
      </c>
      <c r="Z493" s="92" t="str">
        <f aca="false">IF(Q493&lt;&gt;1,"",IF(AD493=1,IF(ISNUMBER(U493),MAX(U493,0),H493),H493))</f>
        <v/>
      </c>
      <c r="AA493" s="91" t="n">
        <f aca="false">IF(Q493=1,IF(ISNUMBER(L493),L493,0)*K493/1000000,0)</f>
        <v>0</v>
      </c>
      <c r="AB493" s="89" t="str">
        <f aca="false">IF(Q493&lt;&gt;1,"",IFERROR(MATCH(VLOOKUP(B493,매핑!$H$4:$I$15,2,0),시장분석!$A$2:$A$601,0)+1,IFERROR(MATCH(R493&amp;"|"&amp;T493,시장분석!$V$2:$V$601,0)+1,IF(COUNTIF(시장분석!$U$2:$U$601,T493)=1,MATCH(T493,시장분석!$U$2:$U$601,0)+1,""))))</f>
        <v/>
      </c>
      <c r="AC493" s="89" t="n">
        <f aca="false">IF(Q493&lt;&gt;1,0,IF(OR(설정!$C$5="전체",AND(설정!$C$5="선택펀드",IFERROR(COUNTIFS(설정!$F$16:$F$36,C493,설정!$G$16:$G$36,"Y")+COUNTIFS(설정!$F$16:$F$36,VALUE(C493),설정!$G$16:$G$36,"Y"),0)&gt;0),C493&amp;""=설정!$C$5&amp;""),1,0))</f>
        <v>0</v>
      </c>
      <c r="AD493" s="89" t="n">
        <f aca="false">IF(Q493&lt;&gt;1,0,IF(OR(S493=1,IF(AB493="",FALSE(),INDEX(시장분석!$R:$R,AB493)=1)),1,0))</f>
        <v>0</v>
      </c>
      <c r="AE493" s="43" t="str">
        <f aca="false">IF(AB493="","",INDEX(시장분석!$A:$A,AB493))</f>
        <v/>
      </c>
      <c r="AF493" s="93" t="str">
        <f aca="false">IF(AB493="","",IF(ISNUMBER(IF(AB493="","",INDEX(시장분석!$E:$E,AB493))),IF(AB493="","",INDEX(시장분석!$E:$E,AB493)),""))</f>
        <v/>
      </c>
      <c r="AG493" s="43" t="str">
        <f aca="false">IF(Q493&lt;&gt;1,"",IF(AB493&lt;&gt;"",IF(AB493="","",INDEX(시장분석!$L:$L,AB493)),IFERROR(IF(VLOOKUP(R493,매핑!$A$4:$E$92,5,0)="","미분류",VLOOKUP(R493,매핑!$A$4:$E$92,5,0)),"미분류")))</f>
        <v/>
      </c>
      <c r="AH493" s="43" t="str">
        <f aca="false">IF(Q493&lt;&gt;1,"",IF(AB493&lt;&gt;"",IF(AB493="","",INDEX(시장분석!$N:$N,AB493)),IFERROR(IF(VLOOKUP(R493,매핑!$A$4:$E$92,4,0)="","미분류",VLOOKUP(R493,매핑!$A$4:$E$92,4,0)),"미분류")))</f>
        <v/>
      </c>
      <c r="AI493" s="43" t="str">
        <f aca="false">IF(Q493&lt;&gt;1,"",IFERROR(IF(VLOOKUP(R493,매핑!$A$4:$E$92,3,0)="","미분류",VLOOKUP(R493,매핑!$A$4:$E$92,3,0)),IF(AB493&lt;&gt;"",IF(AB493="","",INDEX(시장분석!$W:$W,AB493)),"미분류")))</f>
        <v/>
      </c>
      <c r="AJ493" s="43" t="str">
        <f aca="false">IF(Q493&lt;&gt;1,"",IFERROR(VLOOKUP(IF(N493&lt;&gt;"",N493,IF(P493&lt;&gt;"",P493,O493)),설정!$A$15:$D$47,2,0),""))</f>
        <v/>
      </c>
      <c r="AK493" s="43" t="str">
        <f aca="false">IF(Q493&lt;&gt;1,"",IF(AJ493="","무등급",IFERROR(VLOOKUP(AJ493,설정!$A$15:$D$47,3,0),"무등급")))</f>
        <v/>
      </c>
      <c r="AL493" s="89" t="n">
        <f aca="false">IF(AJ493="",99,IFERROR(VLOOKUP(AJ493,설정!$A$15:$D$47,4,0),99))</f>
        <v>99</v>
      </c>
      <c r="AM493" s="94" t="n">
        <f aca="false">IF(ISNUMBER(H493),AA493*1000000*H493/10000,0)</f>
        <v>0</v>
      </c>
      <c r="AN493" s="94" t="n">
        <f aca="false">IF(OR(Y493=1,NOT(ISNUMBER(Z493))),0,AA493*1000000*Z493/10000)</f>
        <v>0</v>
      </c>
      <c r="AO493" s="94" t="n">
        <f aca="false">IF(ISNUMBER(G493),AA493*1000000*G493/100,0)</f>
        <v>0</v>
      </c>
      <c r="AP493" s="94" t="n">
        <f aca="false">IF(ISNUMBER(M493),M493*K493,0)</f>
        <v>0</v>
      </c>
      <c r="AQ493" s="95" t="str">
        <f aca="false">IF(AB493="","",INDEX(시장분석!$AK:$AK,AB493))</f>
        <v/>
      </c>
      <c r="AR493" s="43" t="str">
        <f aca="false">IF(AB493="","-",IF(AB493="","",INDEX(시장분석!$AL:$AL,AB493)))</f>
        <v>-</v>
      </c>
      <c r="AS493" s="96" t="str">
        <f aca="false">IF(AB493="","",INDEX(시장분석!$AJ:$AJ,AB493))</f>
        <v/>
      </c>
      <c r="AT493" s="93" t="n">
        <f aca="false">IF(AB493="",0,IF(AB493="","",INDEX(시장분석!$AN:$AN,AB493)))</f>
        <v>0</v>
      </c>
      <c r="AU493" s="94" t="n">
        <f aca="false">IF(ISNUMBER(Z493),AT493/10000*MAX(Z493-1,0)*AA493*1000000,0)</f>
        <v>0</v>
      </c>
      <c r="AV493" s="94" t="n">
        <f aca="false">AO493+AU493</f>
        <v>0</v>
      </c>
      <c r="AW493" s="43" t="str">
        <f aca="false">IF(Q493&lt;&gt;1,"",TRIM(IF(AD493=1,"FRN ","")&amp;IF(AND(AL493&gt;=10,AL493&lt;99),"BBB0미만 ","")&amp;IF(AJ493="","등급없음 ","")&amp;IF(K493&lt;&gt;1,"비USD ","")&amp;IF(AND(AB493="",Y493=0),"시장데이터없음 ","")&amp;IF(AND(ISNUMBER(U493),U493&lt;0),"만기경과 ","")))</f>
        <v/>
      </c>
      <c r="AX493" s="90" t="n">
        <f aca="false">IF(Q493&lt;&gt;1,1,IF(스프레드쇼크!$C$4="Y",INDEX(스프레드쇼크!$B$12:$L$16,IFERROR(MATCH(AH493,스프레드쇼크!$A$12:$A$16,0),MATCH("목록외",스프레드쇼크!$A$12:$A$16,0)),IFERROR(MATCH(AG493,스프레드쇼크!$B$11:$L$11,0),MATCH("목록외",스프레드쇼크!$B$11:$L$11,0))),1))</f>
        <v>1</v>
      </c>
      <c r="AY493" s="90" t="n">
        <f aca="false">IF(스프레드쇼크!$C$5="Y",IF(ISNUMBER(AF493),MIN(스프레드쇼크!$C$7,MAX(스프레드쇼크!$C$6,AF493/스프레드쇼크!$C$8)),1),1)</f>
        <v>1</v>
      </c>
      <c r="AZ493" s="94" t="n">
        <f aca="false">AN493*AX493*AY493</f>
        <v>0</v>
      </c>
      <c r="BA493" s="90" t="n">
        <f aca="false">IF(ISNUMBER(G493),AA493*G493,0)</f>
        <v>0</v>
      </c>
      <c r="BB493" s="90" t="n">
        <f aca="false">IF(ISNUMBER(G493),AA493,0)</f>
        <v>0</v>
      </c>
      <c r="BC493" s="90" t="n">
        <f aca="false">IF(AND(Y493=0,ISNUMBER(AF493)),AA493*AF493,0)</f>
        <v>0</v>
      </c>
      <c r="BD493" s="90" t="n">
        <f aca="false">IF(AND(Y493=0,ISNUMBER(AF493)),AA493,0)</f>
        <v>0</v>
      </c>
      <c r="BE493" s="90" t="n">
        <f aca="false">IF(ISNUMBER(H493),AA493*H493,0)</f>
        <v>0</v>
      </c>
      <c r="BF493" s="90" t="n">
        <f aca="false">IF(ISNUMBER(H493),AA493,0)</f>
        <v>0</v>
      </c>
      <c r="BG493" s="90" t="n">
        <f aca="false">IF(AND(Y493=0,ISNUMBER(AF493),ISNUMBER(Z493)),AA493*Z493,0)</f>
        <v>0</v>
      </c>
      <c r="BH493" s="90" t="n">
        <f aca="false">IF(AND(Y493=0,ISNUMBER(AF493),ISNUMBER(Z493)),AA493*AT493*MAX(Z493-1,0),0)</f>
        <v>0</v>
      </c>
      <c r="BI493" s="90" t="n">
        <f aca="false">IF(Y493=0,AA493,0)</f>
        <v>0</v>
      </c>
    </row>
    <row r="494" customFormat="false" ht="15" hidden="false" customHeight="false" outlineLevel="0" collapsed="false">
      <c r="A494" s="83" t="str">
        <f aca="false">IFERROR(IF(INDEX(원자료_잔고!$A$1:$EZ$1500,설정!$L$5+ROW()-1,설정!$L$8)&amp;""="0","",INDEX(원자료_잔고!$A$1:$EZ$1500,설정!$L$5+ROW()-1,설정!$L$8)&amp;""),"")</f>
        <v/>
      </c>
      <c r="B494" s="83" t="str">
        <f aca="false">IFERROR(IF(INDEX(원자료_잔고!$A$1:$EZ$1500,설정!$L$5+ROW()-1,설정!$L$7)&amp;""="0","",INDEX(원자료_잔고!$A$1:$EZ$1500,설정!$L$5+ROW()-1,설정!$L$7)&amp;""),"")</f>
        <v/>
      </c>
      <c r="C494" s="83" t="str">
        <f aca="false">IFERROR(IF(INDEX(원자료_잔고!$A$1:$EZ$1500,설정!$L$5+ROW()-1,설정!$L$9)&amp;""="0","",INDEX(원자료_잔고!$A$1:$EZ$1500,설정!$L$5+ROW()-1,설정!$L$9)&amp;""),"")</f>
        <v/>
      </c>
      <c r="D494" s="83" t="str">
        <f aca="false">IFERROR(IF(INDEX(원자료_잔고!$A$1:$EZ$1500,설정!$L$5+ROW()-1,설정!$L$10)&amp;""="0","",INDEX(원자료_잔고!$A$1:$EZ$1500,설정!$L$5+ROW()-1,설정!$L$10)&amp;""),"")</f>
        <v/>
      </c>
      <c r="E494" s="84" t="str">
        <f aca="false">IFERROR(IF(ISNUMBER(INDEX(원자료_잔고!$A$1:$EZ$1500,설정!$L$5+ROW()-1,설정!$L$11)),INDEX(원자료_잔고!$A$1:$EZ$1500,설정!$L$5+ROW()-1,설정!$L$11),""),"")</f>
        <v/>
      </c>
      <c r="F494" s="85" t="str">
        <f aca="false">IFERROR(IF(ISNUMBER(INDEX(원자료_잔고!$A$1:$EZ$1500,설정!$L$5+ROW()-1,설정!$L$12)),INDEX(원자료_잔고!$A$1:$EZ$1500,설정!$L$5+ROW()-1,설정!$L$12),""),"")</f>
        <v/>
      </c>
      <c r="G494" s="85" t="str">
        <f aca="false">IFERROR(IF(ISNUMBER(INDEX(원자료_잔고!$A$1:$EZ$1500,설정!$L$5+ROW()-1,설정!$L$13)),INDEX(원자료_잔고!$A$1:$EZ$1500,설정!$L$5+ROW()-1,설정!$L$13),""),"")</f>
        <v/>
      </c>
      <c r="H494" s="85" t="str">
        <f aca="false">IFERROR(IF(ISNUMBER(INDEX(원자료_잔고!$A$1:$EZ$1500,설정!$L$5+ROW()-1,설정!$L$14)),INDEX(원자료_잔고!$A$1:$EZ$1500,설정!$L$5+ROW()-1,설정!$L$14),""),"")</f>
        <v/>
      </c>
      <c r="I494" s="86" t="str">
        <f aca="false">IFERROR(IF(ISNUMBER(INDEX(원자료_잔고!$A$1:$EZ$1500,설정!$L$5+ROW()-1,설정!$L$15)),INDEX(원자료_잔고!$A$1:$EZ$1500,설정!$L$5+ROW()-1,설정!$L$15),""),"")</f>
        <v/>
      </c>
      <c r="J494" s="85" t="str">
        <f aca="false">IFERROR(IF(ISNUMBER(INDEX(원자료_잔고!$A$1:$EZ$1500,설정!$L$5+ROW()-1,설정!$L$16)),INDEX(원자료_잔고!$A$1:$EZ$1500,설정!$L$5+ROW()-1,설정!$L$16),""),"")</f>
        <v/>
      </c>
      <c r="K494" s="87" t="str">
        <f aca="false">IFERROR(IF(ISNUMBER(INDEX(원자료_잔고!$A$1:$EZ$1500,설정!$L$5+ROW()-1,설정!$L$17)),INDEX(원자료_잔고!$A$1:$EZ$1500,설정!$L$5+ROW()-1,설정!$L$17),""),"")</f>
        <v/>
      </c>
      <c r="L494" s="84" t="str">
        <f aca="false">IFERROR(IF(ISNUMBER(INDEX(원자료_잔고!$A$1:$EZ$1500,설정!$L$5+ROW()-1,설정!$L$18)),INDEX(원자료_잔고!$A$1:$EZ$1500,설정!$L$5+ROW()-1,설정!$L$18),""),"")</f>
        <v/>
      </c>
      <c r="M494" s="88" t="str">
        <f aca="false">IFERROR(IF(ISNUMBER(INDEX(원자료_잔고!$A$1:$EZ$1500,설정!$L$5+ROW()-1,설정!$L$19)),INDEX(원자료_잔고!$A$1:$EZ$1500,설정!$L$5+ROW()-1,설정!$L$19),""),"")</f>
        <v/>
      </c>
      <c r="N494" s="83" t="str">
        <f aca="false">IFERROR(IF(INDEX(원자료_잔고!$A$1:$EZ$1500,설정!$L$5+ROW()-1,설정!$L$21)&amp;""="0","",INDEX(원자료_잔고!$A$1:$EZ$1500,설정!$L$5+ROW()-1,설정!$L$21)&amp;""),"")</f>
        <v/>
      </c>
      <c r="O494" s="83" t="str">
        <f aca="false">IFERROR(IF(INDEX(원자료_잔고!$A$1:$EZ$1500,설정!$L$5+ROW()-1,설정!$L$22)&amp;""="0","",INDEX(원자료_잔고!$A$1:$EZ$1500,설정!$L$5+ROW()-1,설정!$L$22)&amp;""),"")</f>
        <v/>
      </c>
      <c r="P494" s="83" t="str">
        <f aca="false">IFERROR(IF(INDEX(원자료_잔고!$A$1:$EZ$1500,설정!$L$5+ROW()-1,설정!$L$23)&amp;""="0","",INDEX(원자료_잔고!$A$1:$EZ$1500,설정!$L$5+ROW()-1,설정!$L$23)&amp;""),"")</f>
        <v/>
      </c>
      <c r="Q494" s="89" t="n">
        <f aca="false">IF(AND($A494&lt;&gt;"",ISNUMBER(E494)),IF(E494&gt;0,1,0),0)</f>
        <v>0</v>
      </c>
      <c r="R494" s="43" t="str">
        <f aca="false">IF(Q494=1,UPPER(LEFT($A494,FIND(" ",$A494&amp;" ")-1)),"")</f>
        <v/>
      </c>
      <c r="S494" s="89" t="n">
        <f aca="false">IF(Q494=1,IF(OR(ISNUMBER(SEARCH("Float",$A494)),ISNUMBER(SEARCH("FRN",$A494))),1,0),0)</f>
        <v>0</v>
      </c>
      <c r="T494" s="43" t="str">
        <f aca="false">IF(AND(Q494=1,ISNUMBER(I494)),TEXT(I494,"yyyymmdd")&amp;"|"&amp;IF(S494=1,"F",TEXT(J494,"0.000")),"")</f>
        <v/>
      </c>
      <c r="U494" s="90" t="str">
        <f aca="false">IF(AND(Q494=1,ISNUMBER(I494)),(I494-설정!$C$4)/365.25,"")</f>
        <v/>
      </c>
      <c r="V494" s="43" t="str">
        <f aca="false">IF(Q494&lt;&gt;1,"",IF(ISNUMBER(U494),IF(U494&lt;=1,"1년 이하",IF(U494&lt;=2,"1-2년",IF(U494&lt;=3,"2-3년",IF(U494&lt;=4,"3-4년",IF(U494&lt;=5,"4-5년",IF(U494&lt;=7,"5-7년",IF(U494&lt;=10,"7-10년",IF(U494&lt;=20,"10-20년","20년 이상")))))))),"미분류"))</f>
        <v/>
      </c>
      <c r="W494" s="43" t="str">
        <f aca="false">IF(Q494&lt;&gt;1,"",IF(AB494&lt;&gt;"",INDEX(시장분석!$C:$C,AB494),IF(K494=1,"USD","비USD")))</f>
        <v/>
      </c>
      <c r="X494" s="91" t="n">
        <f aca="false">IF(Q494=1,E494*K494/1000000,0)</f>
        <v>0</v>
      </c>
      <c r="Y494" s="89" t="n">
        <f aca="false">IF(R494="T",1,0)</f>
        <v>0</v>
      </c>
      <c r="Z494" s="92" t="str">
        <f aca="false">IF(Q494&lt;&gt;1,"",IF(AD494=1,IF(ISNUMBER(U494),MAX(U494,0),H494),H494))</f>
        <v/>
      </c>
      <c r="AA494" s="91" t="n">
        <f aca="false">IF(Q494=1,IF(ISNUMBER(L494),L494,0)*K494/1000000,0)</f>
        <v>0</v>
      </c>
      <c r="AB494" s="89" t="str">
        <f aca="false">IF(Q494&lt;&gt;1,"",IFERROR(MATCH(VLOOKUP(B494,매핑!$H$4:$I$15,2,0),시장분석!$A$2:$A$601,0)+1,IFERROR(MATCH(R494&amp;"|"&amp;T494,시장분석!$V$2:$V$601,0)+1,IF(COUNTIF(시장분석!$U$2:$U$601,T494)=1,MATCH(T494,시장분석!$U$2:$U$601,0)+1,""))))</f>
        <v/>
      </c>
      <c r="AC494" s="89" t="n">
        <f aca="false">IF(Q494&lt;&gt;1,0,IF(OR(설정!$C$5="전체",AND(설정!$C$5="선택펀드",IFERROR(COUNTIFS(설정!$F$16:$F$36,C494,설정!$G$16:$G$36,"Y")+COUNTIFS(설정!$F$16:$F$36,VALUE(C494),설정!$G$16:$G$36,"Y"),0)&gt;0),C494&amp;""=설정!$C$5&amp;""),1,0))</f>
        <v>0</v>
      </c>
      <c r="AD494" s="89" t="n">
        <f aca="false">IF(Q494&lt;&gt;1,0,IF(OR(S494=1,IF(AB494="",FALSE(),INDEX(시장분석!$R:$R,AB494)=1)),1,0))</f>
        <v>0</v>
      </c>
      <c r="AE494" s="43" t="str">
        <f aca="false">IF(AB494="","",INDEX(시장분석!$A:$A,AB494))</f>
        <v/>
      </c>
      <c r="AF494" s="93" t="str">
        <f aca="false">IF(AB494="","",IF(ISNUMBER(IF(AB494="","",INDEX(시장분석!$E:$E,AB494))),IF(AB494="","",INDEX(시장분석!$E:$E,AB494)),""))</f>
        <v/>
      </c>
      <c r="AG494" s="43" t="str">
        <f aca="false">IF(Q494&lt;&gt;1,"",IF(AB494&lt;&gt;"",IF(AB494="","",INDEX(시장분석!$L:$L,AB494)),IFERROR(IF(VLOOKUP(R494,매핑!$A$4:$E$92,5,0)="","미분류",VLOOKUP(R494,매핑!$A$4:$E$92,5,0)),"미분류")))</f>
        <v/>
      </c>
      <c r="AH494" s="43" t="str">
        <f aca="false">IF(Q494&lt;&gt;1,"",IF(AB494&lt;&gt;"",IF(AB494="","",INDEX(시장분석!$N:$N,AB494)),IFERROR(IF(VLOOKUP(R494,매핑!$A$4:$E$92,4,0)="","미분류",VLOOKUP(R494,매핑!$A$4:$E$92,4,0)),"미분류")))</f>
        <v/>
      </c>
      <c r="AI494" s="43" t="str">
        <f aca="false">IF(Q494&lt;&gt;1,"",IFERROR(IF(VLOOKUP(R494,매핑!$A$4:$E$92,3,0)="","미분류",VLOOKUP(R494,매핑!$A$4:$E$92,3,0)),IF(AB494&lt;&gt;"",IF(AB494="","",INDEX(시장분석!$W:$W,AB494)),"미분류")))</f>
        <v/>
      </c>
      <c r="AJ494" s="43" t="str">
        <f aca="false">IF(Q494&lt;&gt;1,"",IFERROR(VLOOKUP(IF(N494&lt;&gt;"",N494,IF(P494&lt;&gt;"",P494,O494)),설정!$A$15:$D$47,2,0),""))</f>
        <v/>
      </c>
      <c r="AK494" s="43" t="str">
        <f aca="false">IF(Q494&lt;&gt;1,"",IF(AJ494="","무등급",IFERROR(VLOOKUP(AJ494,설정!$A$15:$D$47,3,0),"무등급")))</f>
        <v/>
      </c>
      <c r="AL494" s="89" t="n">
        <f aca="false">IF(AJ494="",99,IFERROR(VLOOKUP(AJ494,설정!$A$15:$D$47,4,0),99))</f>
        <v>99</v>
      </c>
      <c r="AM494" s="94" t="n">
        <f aca="false">IF(ISNUMBER(H494),AA494*1000000*H494/10000,0)</f>
        <v>0</v>
      </c>
      <c r="AN494" s="94" t="n">
        <f aca="false">IF(OR(Y494=1,NOT(ISNUMBER(Z494))),0,AA494*1000000*Z494/10000)</f>
        <v>0</v>
      </c>
      <c r="AO494" s="94" t="n">
        <f aca="false">IF(ISNUMBER(G494),AA494*1000000*G494/100,0)</f>
        <v>0</v>
      </c>
      <c r="AP494" s="94" t="n">
        <f aca="false">IF(ISNUMBER(M494),M494*K494,0)</f>
        <v>0</v>
      </c>
      <c r="AQ494" s="95" t="str">
        <f aca="false">IF(AB494="","",INDEX(시장분석!$AK:$AK,AB494))</f>
        <v/>
      </c>
      <c r="AR494" s="43" t="str">
        <f aca="false">IF(AB494="","-",IF(AB494="","",INDEX(시장분석!$AL:$AL,AB494)))</f>
        <v>-</v>
      </c>
      <c r="AS494" s="96" t="str">
        <f aca="false">IF(AB494="","",INDEX(시장분석!$AJ:$AJ,AB494))</f>
        <v/>
      </c>
      <c r="AT494" s="93" t="n">
        <f aca="false">IF(AB494="",0,IF(AB494="","",INDEX(시장분석!$AN:$AN,AB494)))</f>
        <v>0</v>
      </c>
      <c r="AU494" s="94" t="n">
        <f aca="false">IF(ISNUMBER(Z494),AT494/10000*MAX(Z494-1,0)*AA494*1000000,0)</f>
        <v>0</v>
      </c>
      <c r="AV494" s="94" t="n">
        <f aca="false">AO494+AU494</f>
        <v>0</v>
      </c>
      <c r="AW494" s="43" t="str">
        <f aca="false">IF(Q494&lt;&gt;1,"",TRIM(IF(AD494=1,"FRN ","")&amp;IF(AND(AL494&gt;=10,AL494&lt;99),"BBB0미만 ","")&amp;IF(AJ494="","등급없음 ","")&amp;IF(K494&lt;&gt;1,"비USD ","")&amp;IF(AND(AB494="",Y494=0),"시장데이터없음 ","")&amp;IF(AND(ISNUMBER(U494),U494&lt;0),"만기경과 ","")))</f>
        <v/>
      </c>
      <c r="AX494" s="90" t="n">
        <f aca="false">IF(Q494&lt;&gt;1,1,IF(스프레드쇼크!$C$4="Y",INDEX(스프레드쇼크!$B$12:$L$16,IFERROR(MATCH(AH494,스프레드쇼크!$A$12:$A$16,0),MATCH("목록외",스프레드쇼크!$A$12:$A$16,0)),IFERROR(MATCH(AG494,스프레드쇼크!$B$11:$L$11,0),MATCH("목록외",스프레드쇼크!$B$11:$L$11,0))),1))</f>
        <v>1</v>
      </c>
      <c r="AY494" s="90" t="n">
        <f aca="false">IF(스프레드쇼크!$C$5="Y",IF(ISNUMBER(AF494),MIN(스프레드쇼크!$C$7,MAX(스프레드쇼크!$C$6,AF494/스프레드쇼크!$C$8)),1),1)</f>
        <v>1</v>
      </c>
      <c r="AZ494" s="94" t="n">
        <f aca="false">AN494*AX494*AY494</f>
        <v>0</v>
      </c>
      <c r="BA494" s="90" t="n">
        <f aca="false">IF(ISNUMBER(G494),AA494*G494,0)</f>
        <v>0</v>
      </c>
      <c r="BB494" s="90" t="n">
        <f aca="false">IF(ISNUMBER(G494),AA494,0)</f>
        <v>0</v>
      </c>
      <c r="BC494" s="90" t="n">
        <f aca="false">IF(AND(Y494=0,ISNUMBER(AF494)),AA494*AF494,0)</f>
        <v>0</v>
      </c>
      <c r="BD494" s="90" t="n">
        <f aca="false">IF(AND(Y494=0,ISNUMBER(AF494)),AA494,0)</f>
        <v>0</v>
      </c>
      <c r="BE494" s="90" t="n">
        <f aca="false">IF(ISNUMBER(H494),AA494*H494,0)</f>
        <v>0</v>
      </c>
      <c r="BF494" s="90" t="n">
        <f aca="false">IF(ISNUMBER(H494),AA494,0)</f>
        <v>0</v>
      </c>
      <c r="BG494" s="90" t="n">
        <f aca="false">IF(AND(Y494=0,ISNUMBER(AF494),ISNUMBER(Z494)),AA494*Z494,0)</f>
        <v>0</v>
      </c>
      <c r="BH494" s="90" t="n">
        <f aca="false">IF(AND(Y494=0,ISNUMBER(AF494),ISNUMBER(Z494)),AA494*AT494*MAX(Z494-1,0),0)</f>
        <v>0</v>
      </c>
      <c r="BI494" s="90" t="n">
        <f aca="false">IF(Y494=0,AA494,0)</f>
        <v>0</v>
      </c>
    </row>
    <row r="495" customFormat="false" ht="15" hidden="false" customHeight="false" outlineLevel="0" collapsed="false">
      <c r="A495" s="83" t="str">
        <f aca="false">IFERROR(IF(INDEX(원자료_잔고!$A$1:$EZ$1500,설정!$L$5+ROW()-1,설정!$L$8)&amp;""="0","",INDEX(원자료_잔고!$A$1:$EZ$1500,설정!$L$5+ROW()-1,설정!$L$8)&amp;""),"")</f>
        <v/>
      </c>
      <c r="B495" s="83" t="str">
        <f aca="false">IFERROR(IF(INDEX(원자료_잔고!$A$1:$EZ$1500,설정!$L$5+ROW()-1,설정!$L$7)&amp;""="0","",INDEX(원자료_잔고!$A$1:$EZ$1500,설정!$L$5+ROW()-1,설정!$L$7)&amp;""),"")</f>
        <v/>
      </c>
      <c r="C495" s="83" t="str">
        <f aca="false">IFERROR(IF(INDEX(원자료_잔고!$A$1:$EZ$1500,설정!$L$5+ROW()-1,설정!$L$9)&amp;""="0","",INDEX(원자료_잔고!$A$1:$EZ$1500,설정!$L$5+ROW()-1,설정!$L$9)&amp;""),"")</f>
        <v/>
      </c>
      <c r="D495" s="83" t="str">
        <f aca="false">IFERROR(IF(INDEX(원자료_잔고!$A$1:$EZ$1500,설정!$L$5+ROW()-1,설정!$L$10)&amp;""="0","",INDEX(원자료_잔고!$A$1:$EZ$1500,설정!$L$5+ROW()-1,설정!$L$10)&amp;""),"")</f>
        <v/>
      </c>
      <c r="E495" s="84" t="str">
        <f aca="false">IFERROR(IF(ISNUMBER(INDEX(원자료_잔고!$A$1:$EZ$1500,설정!$L$5+ROW()-1,설정!$L$11)),INDEX(원자료_잔고!$A$1:$EZ$1500,설정!$L$5+ROW()-1,설정!$L$11),""),"")</f>
        <v/>
      </c>
      <c r="F495" s="85" t="str">
        <f aca="false">IFERROR(IF(ISNUMBER(INDEX(원자료_잔고!$A$1:$EZ$1500,설정!$L$5+ROW()-1,설정!$L$12)),INDEX(원자료_잔고!$A$1:$EZ$1500,설정!$L$5+ROW()-1,설정!$L$12),""),"")</f>
        <v/>
      </c>
      <c r="G495" s="85" t="str">
        <f aca="false">IFERROR(IF(ISNUMBER(INDEX(원자료_잔고!$A$1:$EZ$1500,설정!$L$5+ROW()-1,설정!$L$13)),INDEX(원자료_잔고!$A$1:$EZ$1500,설정!$L$5+ROW()-1,설정!$L$13),""),"")</f>
        <v/>
      </c>
      <c r="H495" s="85" t="str">
        <f aca="false">IFERROR(IF(ISNUMBER(INDEX(원자료_잔고!$A$1:$EZ$1500,설정!$L$5+ROW()-1,설정!$L$14)),INDEX(원자료_잔고!$A$1:$EZ$1500,설정!$L$5+ROW()-1,설정!$L$14),""),"")</f>
        <v/>
      </c>
      <c r="I495" s="86" t="str">
        <f aca="false">IFERROR(IF(ISNUMBER(INDEX(원자료_잔고!$A$1:$EZ$1500,설정!$L$5+ROW()-1,설정!$L$15)),INDEX(원자료_잔고!$A$1:$EZ$1500,설정!$L$5+ROW()-1,설정!$L$15),""),"")</f>
        <v/>
      </c>
      <c r="J495" s="85" t="str">
        <f aca="false">IFERROR(IF(ISNUMBER(INDEX(원자료_잔고!$A$1:$EZ$1500,설정!$L$5+ROW()-1,설정!$L$16)),INDEX(원자료_잔고!$A$1:$EZ$1500,설정!$L$5+ROW()-1,설정!$L$16),""),"")</f>
        <v/>
      </c>
      <c r="K495" s="87" t="str">
        <f aca="false">IFERROR(IF(ISNUMBER(INDEX(원자료_잔고!$A$1:$EZ$1500,설정!$L$5+ROW()-1,설정!$L$17)),INDEX(원자료_잔고!$A$1:$EZ$1500,설정!$L$5+ROW()-1,설정!$L$17),""),"")</f>
        <v/>
      </c>
      <c r="L495" s="84" t="str">
        <f aca="false">IFERROR(IF(ISNUMBER(INDEX(원자료_잔고!$A$1:$EZ$1500,설정!$L$5+ROW()-1,설정!$L$18)),INDEX(원자료_잔고!$A$1:$EZ$1500,설정!$L$5+ROW()-1,설정!$L$18),""),"")</f>
        <v/>
      </c>
      <c r="M495" s="88" t="str">
        <f aca="false">IFERROR(IF(ISNUMBER(INDEX(원자료_잔고!$A$1:$EZ$1500,설정!$L$5+ROW()-1,설정!$L$19)),INDEX(원자료_잔고!$A$1:$EZ$1500,설정!$L$5+ROW()-1,설정!$L$19),""),"")</f>
        <v/>
      </c>
      <c r="N495" s="83" t="str">
        <f aca="false">IFERROR(IF(INDEX(원자료_잔고!$A$1:$EZ$1500,설정!$L$5+ROW()-1,설정!$L$21)&amp;""="0","",INDEX(원자료_잔고!$A$1:$EZ$1500,설정!$L$5+ROW()-1,설정!$L$21)&amp;""),"")</f>
        <v/>
      </c>
      <c r="O495" s="83" t="str">
        <f aca="false">IFERROR(IF(INDEX(원자료_잔고!$A$1:$EZ$1500,설정!$L$5+ROW()-1,설정!$L$22)&amp;""="0","",INDEX(원자료_잔고!$A$1:$EZ$1500,설정!$L$5+ROW()-1,설정!$L$22)&amp;""),"")</f>
        <v/>
      </c>
      <c r="P495" s="83" t="str">
        <f aca="false">IFERROR(IF(INDEX(원자료_잔고!$A$1:$EZ$1500,설정!$L$5+ROW()-1,설정!$L$23)&amp;""="0","",INDEX(원자료_잔고!$A$1:$EZ$1500,설정!$L$5+ROW()-1,설정!$L$23)&amp;""),"")</f>
        <v/>
      </c>
      <c r="Q495" s="89" t="n">
        <f aca="false">IF(AND($A495&lt;&gt;"",ISNUMBER(E495)),IF(E495&gt;0,1,0),0)</f>
        <v>0</v>
      </c>
      <c r="R495" s="43" t="str">
        <f aca="false">IF(Q495=1,UPPER(LEFT($A495,FIND(" ",$A495&amp;" ")-1)),"")</f>
        <v/>
      </c>
      <c r="S495" s="89" t="n">
        <f aca="false">IF(Q495=1,IF(OR(ISNUMBER(SEARCH("Float",$A495)),ISNUMBER(SEARCH("FRN",$A495))),1,0),0)</f>
        <v>0</v>
      </c>
      <c r="T495" s="43" t="str">
        <f aca="false">IF(AND(Q495=1,ISNUMBER(I495)),TEXT(I495,"yyyymmdd")&amp;"|"&amp;IF(S495=1,"F",TEXT(J495,"0.000")),"")</f>
        <v/>
      </c>
      <c r="U495" s="90" t="str">
        <f aca="false">IF(AND(Q495=1,ISNUMBER(I495)),(I495-설정!$C$4)/365.25,"")</f>
        <v/>
      </c>
      <c r="V495" s="43" t="str">
        <f aca="false">IF(Q495&lt;&gt;1,"",IF(ISNUMBER(U495),IF(U495&lt;=1,"1년 이하",IF(U495&lt;=2,"1-2년",IF(U495&lt;=3,"2-3년",IF(U495&lt;=4,"3-4년",IF(U495&lt;=5,"4-5년",IF(U495&lt;=7,"5-7년",IF(U495&lt;=10,"7-10년",IF(U495&lt;=20,"10-20년","20년 이상")))))))),"미분류"))</f>
        <v/>
      </c>
      <c r="W495" s="43" t="str">
        <f aca="false">IF(Q495&lt;&gt;1,"",IF(AB495&lt;&gt;"",INDEX(시장분석!$C:$C,AB495),IF(K495=1,"USD","비USD")))</f>
        <v/>
      </c>
      <c r="X495" s="91" t="n">
        <f aca="false">IF(Q495=1,E495*K495/1000000,0)</f>
        <v>0</v>
      </c>
      <c r="Y495" s="89" t="n">
        <f aca="false">IF(R495="T",1,0)</f>
        <v>0</v>
      </c>
      <c r="Z495" s="92" t="str">
        <f aca="false">IF(Q495&lt;&gt;1,"",IF(AD495=1,IF(ISNUMBER(U495),MAX(U495,0),H495),H495))</f>
        <v/>
      </c>
      <c r="AA495" s="91" t="n">
        <f aca="false">IF(Q495=1,IF(ISNUMBER(L495),L495,0)*K495/1000000,0)</f>
        <v>0</v>
      </c>
      <c r="AB495" s="89" t="str">
        <f aca="false">IF(Q495&lt;&gt;1,"",IFERROR(MATCH(VLOOKUP(B495,매핑!$H$4:$I$15,2,0),시장분석!$A$2:$A$601,0)+1,IFERROR(MATCH(R495&amp;"|"&amp;T495,시장분석!$V$2:$V$601,0)+1,IF(COUNTIF(시장분석!$U$2:$U$601,T495)=1,MATCH(T495,시장분석!$U$2:$U$601,0)+1,""))))</f>
        <v/>
      </c>
      <c r="AC495" s="89" t="n">
        <f aca="false">IF(Q495&lt;&gt;1,0,IF(OR(설정!$C$5="전체",AND(설정!$C$5="선택펀드",IFERROR(COUNTIFS(설정!$F$16:$F$36,C495,설정!$G$16:$G$36,"Y")+COUNTIFS(설정!$F$16:$F$36,VALUE(C495),설정!$G$16:$G$36,"Y"),0)&gt;0),C495&amp;""=설정!$C$5&amp;""),1,0))</f>
        <v>0</v>
      </c>
      <c r="AD495" s="89" t="n">
        <f aca="false">IF(Q495&lt;&gt;1,0,IF(OR(S495=1,IF(AB495="",FALSE(),INDEX(시장분석!$R:$R,AB495)=1)),1,0))</f>
        <v>0</v>
      </c>
      <c r="AE495" s="43" t="str">
        <f aca="false">IF(AB495="","",INDEX(시장분석!$A:$A,AB495))</f>
        <v/>
      </c>
      <c r="AF495" s="93" t="str">
        <f aca="false">IF(AB495="","",IF(ISNUMBER(IF(AB495="","",INDEX(시장분석!$E:$E,AB495))),IF(AB495="","",INDEX(시장분석!$E:$E,AB495)),""))</f>
        <v/>
      </c>
      <c r="AG495" s="43" t="str">
        <f aca="false">IF(Q495&lt;&gt;1,"",IF(AB495&lt;&gt;"",IF(AB495="","",INDEX(시장분석!$L:$L,AB495)),IFERROR(IF(VLOOKUP(R495,매핑!$A$4:$E$92,5,0)="","미분류",VLOOKUP(R495,매핑!$A$4:$E$92,5,0)),"미분류")))</f>
        <v/>
      </c>
      <c r="AH495" s="43" t="str">
        <f aca="false">IF(Q495&lt;&gt;1,"",IF(AB495&lt;&gt;"",IF(AB495="","",INDEX(시장분석!$N:$N,AB495)),IFERROR(IF(VLOOKUP(R495,매핑!$A$4:$E$92,4,0)="","미분류",VLOOKUP(R495,매핑!$A$4:$E$92,4,0)),"미분류")))</f>
        <v/>
      </c>
      <c r="AI495" s="43" t="str">
        <f aca="false">IF(Q495&lt;&gt;1,"",IFERROR(IF(VLOOKUP(R495,매핑!$A$4:$E$92,3,0)="","미분류",VLOOKUP(R495,매핑!$A$4:$E$92,3,0)),IF(AB495&lt;&gt;"",IF(AB495="","",INDEX(시장분석!$W:$W,AB495)),"미분류")))</f>
        <v/>
      </c>
      <c r="AJ495" s="43" t="str">
        <f aca="false">IF(Q495&lt;&gt;1,"",IFERROR(VLOOKUP(IF(N495&lt;&gt;"",N495,IF(P495&lt;&gt;"",P495,O495)),설정!$A$15:$D$47,2,0),""))</f>
        <v/>
      </c>
      <c r="AK495" s="43" t="str">
        <f aca="false">IF(Q495&lt;&gt;1,"",IF(AJ495="","무등급",IFERROR(VLOOKUP(AJ495,설정!$A$15:$D$47,3,0),"무등급")))</f>
        <v/>
      </c>
      <c r="AL495" s="89" t="n">
        <f aca="false">IF(AJ495="",99,IFERROR(VLOOKUP(AJ495,설정!$A$15:$D$47,4,0),99))</f>
        <v>99</v>
      </c>
      <c r="AM495" s="94" t="n">
        <f aca="false">IF(ISNUMBER(H495),AA495*1000000*H495/10000,0)</f>
        <v>0</v>
      </c>
      <c r="AN495" s="94" t="n">
        <f aca="false">IF(OR(Y495=1,NOT(ISNUMBER(Z495))),0,AA495*1000000*Z495/10000)</f>
        <v>0</v>
      </c>
      <c r="AO495" s="94" t="n">
        <f aca="false">IF(ISNUMBER(G495),AA495*1000000*G495/100,0)</f>
        <v>0</v>
      </c>
      <c r="AP495" s="94" t="n">
        <f aca="false">IF(ISNUMBER(M495),M495*K495,0)</f>
        <v>0</v>
      </c>
      <c r="AQ495" s="95" t="str">
        <f aca="false">IF(AB495="","",INDEX(시장분석!$AK:$AK,AB495))</f>
        <v/>
      </c>
      <c r="AR495" s="43" t="str">
        <f aca="false">IF(AB495="","-",IF(AB495="","",INDEX(시장분석!$AL:$AL,AB495)))</f>
        <v>-</v>
      </c>
      <c r="AS495" s="96" t="str">
        <f aca="false">IF(AB495="","",INDEX(시장분석!$AJ:$AJ,AB495))</f>
        <v/>
      </c>
      <c r="AT495" s="93" t="n">
        <f aca="false">IF(AB495="",0,IF(AB495="","",INDEX(시장분석!$AN:$AN,AB495)))</f>
        <v>0</v>
      </c>
      <c r="AU495" s="94" t="n">
        <f aca="false">IF(ISNUMBER(Z495),AT495/10000*MAX(Z495-1,0)*AA495*1000000,0)</f>
        <v>0</v>
      </c>
      <c r="AV495" s="94" t="n">
        <f aca="false">AO495+AU495</f>
        <v>0</v>
      </c>
      <c r="AW495" s="43" t="str">
        <f aca="false">IF(Q495&lt;&gt;1,"",TRIM(IF(AD495=1,"FRN ","")&amp;IF(AND(AL495&gt;=10,AL495&lt;99),"BBB0미만 ","")&amp;IF(AJ495="","등급없음 ","")&amp;IF(K495&lt;&gt;1,"비USD ","")&amp;IF(AND(AB495="",Y495=0),"시장데이터없음 ","")&amp;IF(AND(ISNUMBER(U495),U495&lt;0),"만기경과 ","")))</f>
        <v/>
      </c>
      <c r="AX495" s="90" t="n">
        <f aca="false">IF(Q495&lt;&gt;1,1,IF(스프레드쇼크!$C$4="Y",INDEX(스프레드쇼크!$B$12:$L$16,IFERROR(MATCH(AH495,스프레드쇼크!$A$12:$A$16,0),MATCH("목록외",스프레드쇼크!$A$12:$A$16,0)),IFERROR(MATCH(AG495,스프레드쇼크!$B$11:$L$11,0),MATCH("목록외",스프레드쇼크!$B$11:$L$11,0))),1))</f>
        <v>1</v>
      </c>
      <c r="AY495" s="90" t="n">
        <f aca="false">IF(스프레드쇼크!$C$5="Y",IF(ISNUMBER(AF495),MIN(스프레드쇼크!$C$7,MAX(스프레드쇼크!$C$6,AF495/스프레드쇼크!$C$8)),1),1)</f>
        <v>1</v>
      </c>
      <c r="AZ495" s="94" t="n">
        <f aca="false">AN495*AX495*AY495</f>
        <v>0</v>
      </c>
      <c r="BA495" s="90" t="n">
        <f aca="false">IF(ISNUMBER(G495),AA495*G495,0)</f>
        <v>0</v>
      </c>
      <c r="BB495" s="90" t="n">
        <f aca="false">IF(ISNUMBER(G495),AA495,0)</f>
        <v>0</v>
      </c>
      <c r="BC495" s="90" t="n">
        <f aca="false">IF(AND(Y495=0,ISNUMBER(AF495)),AA495*AF495,0)</f>
        <v>0</v>
      </c>
      <c r="BD495" s="90" t="n">
        <f aca="false">IF(AND(Y495=0,ISNUMBER(AF495)),AA495,0)</f>
        <v>0</v>
      </c>
      <c r="BE495" s="90" t="n">
        <f aca="false">IF(ISNUMBER(H495),AA495*H495,0)</f>
        <v>0</v>
      </c>
      <c r="BF495" s="90" t="n">
        <f aca="false">IF(ISNUMBER(H495),AA495,0)</f>
        <v>0</v>
      </c>
      <c r="BG495" s="90" t="n">
        <f aca="false">IF(AND(Y495=0,ISNUMBER(AF495),ISNUMBER(Z495)),AA495*Z495,0)</f>
        <v>0</v>
      </c>
      <c r="BH495" s="90" t="n">
        <f aca="false">IF(AND(Y495=0,ISNUMBER(AF495),ISNUMBER(Z495)),AA495*AT495*MAX(Z495-1,0),0)</f>
        <v>0</v>
      </c>
      <c r="BI495" s="90" t="n">
        <f aca="false">IF(Y495=0,AA495,0)</f>
        <v>0</v>
      </c>
    </row>
    <row r="496" customFormat="false" ht="15" hidden="false" customHeight="false" outlineLevel="0" collapsed="false">
      <c r="A496" s="83" t="str">
        <f aca="false">IFERROR(IF(INDEX(원자료_잔고!$A$1:$EZ$1500,설정!$L$5+ROW()-1,설정!$L$8)&amp;""="0","",INDEX(원자료_잔고!$A$1:$EZ$1500,설정!$L$5+ROW()-1,설정!$L$8)&amp;""),"")</f>
        <v/>
      </c>
      <c r="B496" s="83" t="str">
        <f aca="false">IFERROR(IF(INDEX(원자료_잔고!$A$1:$EZ$1500,설정!$L$5+ROW()-1,설정!$L$7)&amp;""="0","",INDEX(원자료_잔고!$A$1:$EZ$1500,설정!$L$5+ROW()-1,설정!$L$7)&amp;""),"")</f>
        <v/>
      </c>
      <c r="C496" s="83" t="str">
        <f aca="false">IFERROR(IF(INDEX(원자료_잔고!$A$1:$EZ$1500,설정!$L$5+ROW()-1,설정!$L$9)&amp;""="0","",INDEX(원자료_잔고!$A$1:$EZ$1500,설정!$L$5+ROW()-1,설정!$L$9)&amp;""),"")</f>
        <v/>
      </c>
      <c r="D496" s="83" t="str">
        <f aca="false">IFERROR(IF(INDEX(원자료_잔고!$A$1:$EZ$1500,설정!$L$5+ROW()-1,설정!$L$10)&amp;""="0","",INDEX(원자료_잔고!$A$1:$EZ$1500,설정!$L$5+ROW()-1,설정!$L$10)&amp;""),"")</f>
        <v/>
      </c>
      <c r="E496" s="84" t="str">
        <f aca="false">IFERROR(IF(ISNUMBER(INDEX(원자료_잔고!$A$1:$EZ$1500,설정!$L$5+ROW()-1,설정!$L$11)),INDEX(원자료_잔고!$A$1:$EZ$1500,설정!$L$5+ROW()-1,설정!$L$11),""),"")</f>
        <v/>
      </c>
      <c r="F496" s="85" t="str">
        <f aca="false">IFERROR(IF(ISNUMBER(INDEX(원자료_잔고!$A$1:$EZ$1500,설정!$L$5+ROW()-1,설정!$L$12)),INDEX(원자료_잔고!$A$1:$EZ$1500,설정!$L$5+ROW()-1,설정!$L$12),""),"")</f>
        <v/>
      </c>
      <c r="G496" s="85" t="str">
        <f aca="false">IFERROR(IF(ISNUMBER(INDEX(원자료_잔고!$A$1:$EZ$1500,설정!$L$5+ROW()-1,설정!$L$13)),INDEX(원자료_잔고!$A$1:$EZ$1500,설정!$L$5+ROW()-1,설정!$L$13),""),"")</f>
        <v/>
      </c>
      <c r="H496" s="85" t="str">
        <f aca="false">IFERROR(IF(ISNUMBER(INDEX(원자료_잔고!$A$1:$EZ$1500,설정!$L$5+ROW()-1,설정!$L$14)),INDEX(원자료_잔고!$A$1:$EZ$1500,설정!$L$5+ROW()-1,설정!$L$14),""),"")</f>
        <v/>
      </c>
      <c r="I496" s="86" t="str">
        <f aca="false">IFERROR(IF(ISNUMBER(INDEX(원자료_잔고!$A$1:$EZ$1500,설정!$L$5+ROW()-1,설정!$L$15)),INDEX(원자료_잔고!$A$1:$EZ$1500,설정!$L$5+ROW()-1,설정!$L$15),""),"")</f>
        <v/>
      </c>
      <c r="J496" s="85" t="str">
        <f aca="false">IFERROR(IF(ISNUMBER(INDEX(원자료_잔고!$A$1:$EZ$1500,설정!$L$5+ROW()-1,설정!$L$16)),INDEX(원자료_잔고!$A$1:$EZ$1500,설정!$L$5+ROW()-1,설정!$L$16),""),"")</f>
        <v/>
      </c>
      <c r="K496" s="87" t="str">
        <f aca="false">IFERROR(IF(ISNUMBER(INDEX(원자료_잔고!$A$1:$EZ$1500,설정!$L$5+ROW()-1,설정!$L$17)),INDEX(원자료_잔고!$A$1:$EZ$1500,설정!$L$5+ROW()-1,설정!$L$17),""),"")</f>
        <v/>
      </c>
      <c r="L496" s="84" t="str">
        <f aca="false">IFERROR(IF(ISNUMBER(INDEX(원자료_잔고!$A$1:$EZ$1500,설정!$L$5+ROW()-1,설정!$L$18)),INDEX(원자료_잔고!$A$1:$EZ$1500,설정!$L$5+ROW()-1,설정!$L$18),""),"")</f>
        <v/>
      </c>
      <c r="M496" s="88" t="str">
        <f aca="false">IFERROR(IF(ISNUMBER(INDEX(원자료_잔고!$A$1:$EZ$1500,설정!$L$5+ROW()-1,설정!$L$19)),INDEX(원자료_잔고!$A$1:$EZ$1500,설정!$L$5+ROW()-1,설정!$L$19),""),"")</f>
        <v/>
      </c>
      <c r="N496" s="83" t="str">
        <f aca="false">IFERROR(IF(INDEX(원자료_잔고!$A$1:$EZ$1500,설정!$L$5+ROW()-1,설정!$L$21)&amp;""="0","",INDEX(원자료_잔고!$A$1:$EZ$1500,설정!$L$5+ROW()-1,설정!$L$21)&amp;""),"")</f>
        <v/>
      </c>
      <c r="O496" s="83" t="str">
        <f aca="false">IFERROR(IF(INDEX(원자료_잔고!$A$1:$EZ$1500,설정!$L$5+ROW()-1,설정!$L$22)&amp;""="0","",INDEX(원자료_잔고!$A$1:$EZ$1500,설정!$L$5+ROW()-1,설정!$L$22)&amp;""),"")</f>
        <v/>
      </c>
      <c r="P496" s="83" t="str">
        <f aca="false">IFERROR(IF(INDEX(원자료_잔고!$A$1:$EZ$1500,설정!$L$5+ROW()-1,설정!$L$23)&amp;""="0","",INDEX(원자료_잔고!$A$1:$EZ$1500,설정!$L$5+ROW()-1,설정!$L$23)&amp;""),"")</f>
        <v/>
      </c>
      <c r="Q496" s="89" t="n">
        <f aca="false">IF(AND($A496&lt;&gt;"",ISNUMBER(E496)),IF(E496&gt;0,1,0),0)</f>
        <v>0</v>
      </c>
      <c r="R496" s="43" t="str">
        <f aca="false">IF(Q496=1,UPPER(LEFT($A496,FIND(" ",$A496&amp;" ")-1)),"")</f>
        <v/>
      </c>
      <c r="S496" s="89" t="n">
        <f aca="false">IF(Q496=1,IF(OR(ISNUMBER(SEARCH("Float",$A496)),ISNUMBER(SEARCH("FRN",$A496))),1,0),0)</f>
        <v>0</v>
      </c>
      <c r="T496" s="43" t="str">
        <f aca="false">IF(AND(Q496=1,ISNUMBER(I496)),TEXT(I496,"yyyymmdd")&amp;"|"&amp;IF(S496=1,"F",TEXT(J496,"0.000")),"")</f>
        <v/>
      </c>
      <c r="U496" s="90" t="str">
        <f aca="false">IF(AND(Q496=1,ISNUMBER(I496)),(I496-설정!$C$4)/365.25,"")</f>
        <v/>
      </c>
      <c r="V496" s="43" t="str">
        <f aca="false">IF(Q496&lt;&gt;1,"",IF(ISNUMBER(U496),IF(U496&lt;=1,"1년 이하",IF(U496&lt;=2,"1-2년",IF(U496&lt;=3,"2-3년",IF(U496&lt;=4,"3-4년",IF(U496&lt;=5,"4-5년",IF(U496&lt;=7,"5-7년",IF(U496&lt;=10,"7-10년",IF(U496&lt;=20,"10-20년","20년 이상")))))))),"미분류"))</f>
        <v/>
      </c>
      <c r="W496" s="43" t="str">
        <f aca="false">IF(Q496&lt;&gt;1,"",IF(AB496&lt;&gt;"",INDEX(시장분석!$C:$C,AB496),IF(K496=1,"USD","비USD")))</f>
        <v/>
      </c>
      <c r="X496" s="91" t="n">
        <f aca="false">IF(Q496=1,E496*K496/1000000,0)</f>
        <v>0</v>
      </c>
      <c r="Y496" s="89" t="n">
        <f aca="false">IF(R496="T",1,0)</f>
        <v>0</v>
      </c>
      <c r="Z496" s="92" t="str">
        <f aca="false">IF(Q496&lt;&gt;1,"",IF(AD496=1,IF(ISNUMBER(U496),MAX(U496,0),H496),H496))</f>
        <v/>
      </c>
      <c r="AA496" s="91" t="n">
        <f aca="false">IF(Q496=1,IF(ISNUMBER(L496),L496,0)*K496/1000000,0)</f>
        <v>0</v>
      </c>
      <c r="AB496" s="89" t="str">
        <f aca="false">IF(Q496&lt;&gt;1,"",IFERROR(MATCH(VLOOKUP(B496,매핑!$H$4:$I$15,2,0),시장분석!$A$2:$A$601,0)+1,IFERROR(MATCH(R496&amp;"|"&amp;T496,시장분석!$V$2:$V$601,0)+1,IF(COUNTIF(시장분석!$U$2:$U$601,T496)=1,MATCH(T496,시장분석!$U$2:$U$601,0)+1,""))))</f>
        <v/>
      </c>
      <c r="AC496" s="89" t="n">
        <f aca="false">IF(Q496&lt;&gt;1,0,IF(OR(설정!$C$5="전체",AND(설정!$C$5="선택펀드",IFERROR(COUNTIFS(설정!$F$16:$F$36,C496,설정!$G$16:$G$36,"Y")+COUNTIFS(설정!$F$16:$F$36,VALUE(C496),설정!$G$16:$G$36,"Y"),0)&gt;0),C496&amp;""=설정!$C$5&amp;""),1,0))</f>
        <v>0</v>
      </c>
      <c r="AD496" s="89" t="n">
        <f aca="false">IF(Q496&lt;&gt;1,0,IF(OR(S496=1,IF(AB496="",FALSE(),INDEX(시장분석!$R:$R,AB496)=1)),1,0))</f>
        <v>0</v>
      </c>
      <c r="AE496" s="43" t="str">
        <f aca="false">IF(AB496="","",INDEX(시장분석!$A:$A,AB496))</f>
        <v/>
      </c>
      <c r="AF496" s="93" t="str">
        <f aca="false">IF(AB496="","",IF(ISNUMBER(IF(AB496="","",INDEX(시장분석!$E:$E,AB496))),IF(AB496="","",INDEX(시장분석!$E:$E,AB496)),""))</f>
        <v/>
      </c>
      <c r="AG496" s="43" t="str">
        <f aca="false">IF(Q496&lt;&gt;1,"",IF(AB496&lt;&gt;"",IF(AB496="","",INDEX(시장분석!$L:$L,AB496)),IFERROR(IF(VLOOKUP(R496,매핑!$A$4:$E$92,5,0)="","미분류",VLOOKUP(R496,매핑!$A$4:$E$92,5,0)),"미분류")))</f>
        <v/>
      </c>
      <c r="AH496" s="43" t="str">
        <f aca="false">IF(Q496&lt;&gt;1,"",IF(AB496&lt;&gt;"",IF(AB496="","",INDEX(시장분석!$N:$N,AB496)),IFERROR(IF(VLOOKUP(R496,매핑!$A$4:$E$92,4,0)="","미분류",VLOOKUP(R496,매핑!$A$4:$E$92,4,0)),"미분류")))</f>
        <v/>
      </c>
      <c r="AI496" s="43" t="str">
        <f aca="false">IF(Q496&lt;&gt;1,"",IFERROR(IF(VLOOKUP(R496,매핑!$A$4:$E$92,3,0)="","미분류",VLOOKUP(R496,매핑!$A$4:$E$92,3,0)),IF(AB496&lt;&gt;"",IF(AB496="","",INDEX(시장분석!$W:$W,AB496)),"미분류")))</f>
        <v/>
      </c>
      <c r="AJ496" s="43" t="str">
        <f aca="false">IF(Q496&lt;&gt;1,"",IFERROR(VLOOKUP(IF(N496&lt;&gt;"",N496,IF(P496&lt;&gt;"",P496,O496)),설정!$A$15:$D$47,2,0),""))</f>
        <v/>
      </c>
      <c r="AK496" s="43" t="str">
        <f aca="false">IF(Q496&lt;&gt;1,"",IF(AJ496="","무등급",IFERROR(VLOOKUP(AJ496,설정!$A$15:$D$47,3,0),"무등급")))</f>
        <v/>
      </c>
      <c r="AL496" s="89" t="n">
        <f aca="false">IF(AJ496="",99,IFERROR(VLOOKUP(AJ496,설정!$A$15:$D$47,4,0),99))</f>
        <v>99</v>
      </c>
      <c r="AM496" s="94" t="n">
        <f aca="false">IF(ISNUMBER(H496),AA496*1000000*H496/10000,0)</f>
        <v>0</v>
      </c>
      <c r="AN496" s="94" t="n">
        <f aca="false">IF(OR(Y496=1,NOT(ISNUMBER(Z496))),0,AA496*1000000*Z496/10000)</f>
        <v>0</v>
      </c>
      <c r="AO496" s="94" t="n">
        <f aca="false">IF(ISNUMBER(G496),AA496*1000000*G496/100,0)</f>
        <v>0</v>
      </c>
      <c r="AP496" s="94" t="n">
        <f aca="false">IF(ISNUMBER(M496),M496*K496,0)</f>
        <v>0</v>
      </c>
      <c r="AQ496" s="95" t="str">
        <f aca="false">IF(AB496="","",INDEX(시장분석!$AK:$AK,AB496))</f>
        <v/>
      </c>
      <c r="AR496" s="43" t="str">
        <f aca="false">IF(AB496="","-",IF(AB496="","",INDEX(시장분석!$AL:$AL,AB496)))</f>
        <v>-</v>
      </c>
      <c r="AS496" s="96" t="str">
        <f aca="false">IF(AB496="","",INDEX(시장분석!$AJ:$AJ,AB496))</f>
        <v/>
      </c>
      <c r="AT496" s="93" t="n">
        <f aca="false">IF(AB496="",0,IF(AB496="","",INDEX(시장분석!$AN:$AN,AB496)))</f>
        <v>0</v>
      </c>
      <c r="AU496" s="94" t="n">
        <f aca="false">IF(ISNUMBER(Z496),AT496/10000*MAX(Z496-1,0)*AA496*1000000,0)</f>
        <v>0</v>
      </c>
      <c r="AV496" s="94" t="n">
        <f aca="false">AO496+AU496</f>
        <v>0</v>
      </c>
      <c r="AW496" s="43" t="str">
        <f aca="false">IF(Q496&lt;&gt;1,"",TRIM(IF(AD496=1,"FRN ","")&amp;IF(AND(AL496&gt;=10,AL496&lt;99),"BBB0미만 ","")&amp;IF(AJ496="","등급없음 ","")&amp;IF(K496&lt;&gt;1,"비USD ","")&amp;IF(AND(AB496="",Y496=0),"시장데이터없음 ","")&amp;IF(AND(ISNUMBER(U496),U496&lt;0),"만기경과 ","")))</f>
        <v/>
      </c>
      <c r="AX496" s="90" t="n">
        <f aca="false">IF(Q496&lt;&gt;1,1,IF(스프레드쇼크!$C$4="Y",INDEX(스프레드쇼크!$B$12:$L$16,IFERROR(MATCH(AH496,스프레드쇼크!$A$12:$A$16,0),MATCH("목록외",스프레드쇼크!$A$12:$A$16,0)),IFERROR(MATCH(AG496,스프레드쇼크!$B$11:$L$11,0),MATCH("목록외",스프레드쇼크!$B$11:$L$11,0))),1))</f>
        <v>1</v>
      </c>
      <c r="AY496" s="90" t="n">
        <f aca="false">IF(스프레드쇼크!$C$5="Y",IF(ISNUMBER(AF496),MIN(스프레드쇼크!$C$7,MAX(스프레드쇼크!$C$6,AF496/스프레드쇼크!$C$8)),1),1)</f>
        <v>1</v>
      </c>
      <c r="AZ496" s="94" t="n">
        <f aca="false">AN496*AX496*AY496</f>
        <v>0</v>
      </c>
      <c r="BA496" s="90" t="n">
        <f aca="false">IF(ISNUMBER(G496),AA496*G496,0)</f>
        <v>0</v>
      </c>
      <c r="BB496" s="90" t="n">
        <f aca="false">IF(ISNUMBER(G496),AA496,0)</f>
        <v>0</v>
      </c>
      <c r="BC496" s="90" t="n">
        <f aca="false">IF(AND(Y496=0,ISNUMBER(AF496)),AA496*AF496,0)</f>
        <v>0</v>
      </c>
      <c r="BD496" s="90" t="n">
        <f aca="false">IF(AND(Y496=0,ISNUMBER(AF496)),AA496,0)</f>
        <v>0</v>
      </c>
      <c r="BE496" s="90" t="n">
        <f aca="false">IF(ISNUMBER(H496),AA496*H496,0)</f>
        <v>0</v>
      </c>
      <c r="BF496" s="90" t="n">
        <f aca="false">IF(ISNUMBER(H496),AA496,0)</f>
        <v>0</v>
      </c>
      <c r="BG496" s="90" t="n">
        <f aca="false">IF(AND(Y496=0,ISNUMBER(AF496),ISNUMBER(Z496)),AA496*Z496,0)</f>
        <v>0</v>
      </c>
      <c r="BH496" s="90" t="n">
        <f aca="false">IF(AND(Y496=0,ISNUMBER(AF496),ISNUMBER(Z496)),AA496*AT496*MAX(Z496-1,0),0)</f>
        <v>0</v>
      </c>
      <c r="BI496" s="90" t="n">
        <f aca="false">IF(Y496=0,AA496,0)</f>
        <v>0</v>
      </c>
    </row>
    <row r="497" customFormat="false" ht="15" hidden="false" customHeight="false" outlineLevel="0" collapsed="false">
      <c r="A497" s="83" t="str">
        <f aca="false">IFERROR(IF(INDEX(원자료_잔고!$A$1:$EZ$1500,설정!$L$5+ROW()-1,설정!$L$8)&amp;""="0","",INDEX(원자료_잔고!$A$1:$EZ$1500,설정!$L$5+ROW()-1,설정!$L$8)&amp;""),"")</f>
        <v/>
      </c>
      <c r="B497" s="83" t="str">
        <f aca="false">IFERROR(IF(INDEX(원자료_잔고!$A$1:$EZ$1500,설정!$L$5+ROW()-1,설정!$L$7)&amp;""="0","",INDEX(원자료_잔고!$A$1:$EZ$1500,설정!$L$5+ROW()-1,설정!$L$7)&amp;""),"")</f>
        <v/>
      </c>
      <c r="C497" s="83" t="str">
        <f aca="false">IFERROR(IF(INDEX(원자료_잔고!$A$1:$EZ$1500,설정!$L$5+ROW()-1,설정!$L$9)&amp;""="0","",INDEX(원자료_잔고!$A$1:$EZ$1500,설정!$L$5+ROW()-1,설정!$L$9)&amp;""),"")</f>
        <v/>
      </c>
      <c r="D497" s="83" t="str">
        <f aca="false">IFERROR(IF(INDEX(원자료_잔고!$A$1:$EZ$1500,설정!$L$5+ROW()-1,설정!$L$10)&amp;""="0","",INDEX(원자료_잔고!$A$1:$EZ$1500,설정!$L$5+ROW()-1,설정!$L$10)&amp;""),"")</f>
        <v/>
      </c>
      <c r="E497" s="84" t="str">
        <f aca="false">IFERROR(IF(ISNUMBER(INDEX(원자료_잔고!$A$1:$EZ$1500,설정!$L$5+ROW()-1,설정!$L$11)),INDEX(원자료_잔고!$A$1:$EZ$1500,설정!$L$5+ROW()-1,설정!$L$11),""),"")</f>
        <v/>
      </c>
      <c r="F497" s="85" t="str">
        <f aca="false">IFERROR(IF(ISNUMBER(INDEX(원자료_잔고!$A$1:$EZ$1500,설정!$L$5+ROW()-1,설정!$L$12)),INDEX(원자료_잔고!$A$1:$EZ$1500,설정!$L$5+ROW()-1,설정!$L$12),""),"")</f>
        <v/>
      </c>
      <c r="G497" s="85" t="str">
        <f aca="false">IFERROR(IF(ISNUMBER(INDEX(원자료_잔고!$A$1:$EZ$1500,설정!$L$5+ROW()-1,설정!$L$13)),INDEX(원자료_잔고!$A$1:$EZ$1500,설정!$L$5+ROW()-1,설정!$L$13),""),"")</f>
        <v/>
      </c>
      <c r="H497" s="85" t="str">
        <f aca="false">IFERROR(IF(ISNUMBER(INDEX(원자료_잔고!$A$1:$EZ$1500,설정!$L$5+ROW()-1,설정!$L$14)),INDEX(원자료_잔고!$A$1:$EZ$1500,설정!$L$5+ROW()-1,설정!$L$14),""),"")</f>
        <v/>
      </c>
      <c r="I497" s="86" t="str">
        <f aca="false">IFERROR(IF(ISNUMBER(INDEX(원자료_잔고!$A$1:$EZ$1500,설정!$L$5+ROW()-1,설정!$L$15)),INDEX(원자료_잔고!$A$1:$EZ$1500,설정!$L$5+ROW()-1,설정!$L$15),""),"")</f>
        <v/>
      </c>
      <c r="J497" s="85" t="str">
        <f aca="false">IFERROR(IF(ISNUMBER(INDEX(원자료_잔고!$A$1:$EZ$1500,설정!$L$5+ROW()-1,설정!$L$16)),INDEX(원자료_잔고!$A$1:$EZ$1500,설정!$L$5+ROW()-1,설정!$L$16),""),"")</f>
        <v/>
      </c>
      <c r="K497" s="87" t="str">
        <f aca="false">IFERROR(IF(ISNUMBER(INDEX(원자료_잔고!$A$1:$EZ$1500,설정!$L$5+ROW()-1,설정!$L$17)),INDEX(원자료_잔고!$A$1:$EZ$1500,설정!$L$5+ROW()-1,설정!$L$17),""),"")</f>
        <v/>
      </c>
      <c r="L497" s="84" t="str">
        <f aca="false">IFERROR(IF(ISNUMBER(INDEX(원자료_잔고!$A$1:$EZ$1500,설정!$L$5+ROW()-1,설정!$L$18)),INDEX(원자료_잔고!$A$1:$EZ$1500,설정!$L$5+ROW()-1,설정!$L$18),""),"")</f>
        <v/>
      </c>
      <c r="M497" s="88" t="str">
        <f aca="false">IFERROR(IF(ISNUMBER(INDEX(원자료_잔고!$A$1:$EZ$1500,설정!$L$5+ROW()-1,설정!$L$19)),INDEX(원자료_잔고!$A$1:$EZ$1500,설정!$L$5+ROW()-1,설정!$L$19),""),"")</f>
        <v/>
      </c>
      <c r="N497" s="83" t="str">
        <f aca="false">IFERROR(IF(INDEX(원자료_잔고!$A$1:$EZ$1500,설정!$L$5+ROW()-1,설정!$L$21)&amp;""="0","",INDEX(원자료_잔고!$A$1:$EZ$1500,설정!$L$5+ROW()-1,설정!$L$21)&amp;""),"")</f>
        <v/>
      </c>
      <c r="O497" s="83" t="str">
        <f aca="false">IFERROR(IF(INDEX(원자료_잔고!$A$1:$EZ$1500,설정!$L$5+ROW()-1,설정!$L$22)&amp;""="0","",INDEX(원자료_잔고!$A$1:$EZ$1500,설정!$L$5+ROW()-1,설정!$L$22)&amp;""),"")</f>
        <v/>
      </c>
      <c r="P497" s="83" t="str">
        <f aca="false">IFERROR(IF(INDEX(원자료_잔고!$A$1:$EZ$1500,설정!$L$5+ROW()-1,설정!$L$23)&amp;""="0","",INDEX(원자료_잔고!$A$1:$EZ$1500,설정!$L$5+ROW()-1,설정!$L$23)&amp;""),"")</f>
        <v/>
      </c>
      <c r="Q497" s="89" t="n">
        <f aca="false">IF(AND($A497&lt;&gt;"",ISNUMBER(E497)),IF(E497&gt;0,1,0),0)</f>
        <v>0</v>
      </c>
      <c r="R497" s="43" t="str">
        <f aca="false">IF(Q497=1,UPPER(LEFT($A497,FIND(" ",$A497&amp;" ")-1)),"")</f>
        <v/>
      </c>
      <c r="S497" s="89" t="n">
        <f aca="false">IF(Q497=1,IF(OR(ISNUMBER(SEARCH("Float",$A497)),ISNUMBER(SEARCH("FRN",$A497))),1,0),0)</f>
        <v>0</v>
      </c>
      <c r="T497" s="43" t="str">
        <f aca="false">IF(AND(Q497=1,ISNUMBER(I497)),TEXT(I497,"yyyymmdd")&amp;"|"&amp;IF(S497=1,"F",TEXT(J497,"0.000")),"")</f>
        <v/>
      </c>
      <c r="U497" s="90" t="str">
        <f aca="false">IF(AND(Q497=1,ISNUMBER(I497)),(I497-설정!$C$4)/365.25,"")</f>
        <v/>
      </c>
      <c r="V497" s="43" t="str">
        <f aca="false">IF(Q497&lt;&gt;1,"",IF(ISNUMBER(U497),IF(U497&lt;=1,"1년 이하",IF(U497&lt;=2,"1-2년",IF(U497&lt;=3,"2-3년",IF(U497&lt;=4,"3-4년",IF(U497&lt;=5,"4-5년",IF(U497&lt;=7,"5-7년",IF(U497&lt;=10,"7-10년",IF(U497&lt;=20,"10-20년","20년 이상")))))))),"미분류"))</f>
        <v/>
      </c>
      <c r="W497" s="43" t="str">
        <f aca="false">IF(Q497&lt;&gt;1,"",IF(AB497&lt;&gt;"",INDEX(시장분석!$C:$C,AB497),IF(K497=1,"USD","비USD")))</f>
        <v/>
      </c>
      <c r="X497" s="91" t="n">
        <f aca="false">IF(Q497=1,E497*K497/1000000,0)</f>
        <v>0</v>
      </c>
      <c r="Y497" s="89" t="n">
        <f aca="false">IF(R497="T",1,0)</f>
        <v>0</v>
      </c>
      <c r="Z497" s="92" t="str">
        <f aca="false">IF(Q497&lt;&gt;1,"",IF(AD497=1,IF(ISNUMBER(U497),MAX(U497,0),H497),H497))</f>
        <v/>
      </c>
      <c r="AA497" s="91" t="n">
        <f aca="false">IF(Q497=1,IF(ISNUMBER(L497),L497,0)*K497/1000000,0)</f>
        <v>0</v>
      </c>
      <c r="AB497" s="89" t="str">
        <f aca="false">IF(Q497&lt;&gt;1,"",IFERROR(MATCH(VLOOKUP(B497,매핑!$H$4:$I$15,2,0),시장분석!$A$2:$A$601,0)+1,IFERROR(MATCH(R497&amp;"|"&amp;T497,시장분석!$V$2:$V$601,0)+1,IF(COUNTIF(시장분석!$U$2:$U$601,T497)=1,MATCH(T497,시장분석!$U$2:$U$601,0)+1,""))))</f>
        <v/>
      </c>
      <c r="AC497" s="89" t="n">
        <f aca="false">IF(Q497&lt;&gt;1,0,IF(OR(설정!$C$5="전체",AND(설정!$C$5="선택펀드",IFERROR(COUNTIFS(설정!$F$16:$F$36,C497,설정!$G$16:$G$36,"Y")+COUNTIFS(설정!$F$16:$F$36,VALUE(C497),설정!$G$16:$G$36,"Y"),0)&gt;0),C497&amp;""=설정!$C$5&amp;""),1,0))</f>
        <v>0</v>
      </c>
      <c r="AD497" s="89" t="n">
        <f aca="false">IF(Q497&lt;&gt;1,0,IF(OR(S497=1,IF(AB497="",FALSE(),INDEX(시장분석!$R:$R,AB497)=1)),1,0))</f>
        <v>0</v>
      </c>
      <c r="AE497" s="43" t="str">
        <f aca="false">IF(AB497="","",INDEX(시장분석!$A:$A,AB497))</f>
        <v/>
      </c>
      <c r="AF497" s="93" t="str">
        <f aca="false">IF(AB497="","",IF(ISNUMBER(IF(AB497="","",INDEX(시장분석!$E:$E,AB497))),IF(AB497="","",INDEX(시장분석!$E:$E,AB497)),""))</f>
        <v/>
      </c>
      <c r="AG497" s="43" t="str">
        <f aca="false">IF(Q497&lt;&gt;1,"",IF(AB497&lt;&gt;"",IF(AB497="","",INDEX(시장분석!$L:$L,AB497)),IFERROR(IF(VLOOKUP(R497,매핑!$A$4:$E$92,5,0)="","미분류",VLOOKUP(R497,매핑!$A$4:$E$92,5,0)),"미분류")))</f>
        <v/>
      </c>
      <c r="AH497" s="43" t="str">
        <f aca="false">IF(Q497&lt;&gt;1,"",IF(AB497&lt;&gt;"",IF(AB497="","",INDEX(시장분석!$N:$N,AB497)),IFERROR(IF(VLOOKUP(R497,매핑!$A$4:$E$92,4,0)="","미분류",VLOOKUP(R497,매핑!$A$4:$E$92,4,0)),"미분류")))</f>
        <v/>
      </c>
      <c r="AI497" s="43" t="str">
        <f aca="false">IF(Q497&lt;&gt;1,"",IFERROR(IF(VLOOKUP(R497,매핑!$A$4:$E$92,3,0)="","미분류",VLOOKUP(R497,매핑!$A$4:$E$92,3,0)),IF(AB497&lt;&gt;"",IF(AB497="","",INDEX(시장분석!$W:$W,AB497)),"미분류")))</f>
        <v/>
      </c>
      <c r="AJ497" s="43" t="str">
        <f aca="false">IF(Q497&lt;&gt;1,"",IFERROR(VLOOKUP(IF(N497&lt;&gt;"",N497,IF(P497&lt;&gt;"",P497,O497)),설정!$A$15:$D$47,2,0),""))</f>
        <v/>
      </c>
      <c r="AK497" s="43" t="str">
        <f aca="false">IF(Q497&lt;&gt;1,"",IF(AJ497="","무등급",IFERROR(VLOOKUP(AJ497,설정!$A$15:$D$47,3,0),"무등급")))</f>
        <v/>
      </c>
      <c r="AL497" s="89" t="n">
        <f aca="false">IF(AJ497="",99,IFERROR(VLOOKUP(AJ497,설정!$A$15:$D$47,4,0),99))</f>
        <v>99</v>
      </c>
      <c r="AM497" s="94" t="n">
        <f aca="false">IF(ISNUMBER(H497),AA497*1000000*H497/10000,0)</f>
        <v>0</v>
      </c>
      <c r="AN497" s="94" t="n">
        <f aca="false">IF(OR(Y497=1,NOT(ISNUMBER(Z497))),0,AA497*1000000*Z497/10000)</f>
        <v>0</v>
      </c>
      <c r="AO497" s="94" t="n">
        <f aca="false">IF(ISNUMBER(G497),AA497*1000000*G497/100,0)</f>
        <v>0</v>
      </c>
      <c r="AP497" s="94" t="n">
        <f aca="false">IF(ISNUMBER(M497),M497*K497,0)</f>
        <v>0</v>
      </c>
      <c r="AQ497" s="95" t="str">
        <f aca="false">IF(AB497="","",INDEX(시장분석!$AK:$AK,AB497))</f>
        <v/>
      </c>
      <c r="AR497" s="43" t="str">
        <f aca="false">IF(AB497="","-",IF(AB497="","",INDEX(시장분석!$AL:$AL,AB497)))</f>
        <v>-</v>
      </c>
      <c r="AS497" s="96" t="str">
        <f aca="false">IF(AB497="","",INDEX(시장분석!$AJ:$AJ,AB497))</f>
        <v/>
      </c>
      <c r="AT497" s="93" t="n">
        <f aca="false">IF(AB497="",0,IF(AB497="","",INDEX(시장분석!$AN:$AN,AB497)))</f>
        <v>0</v>
      </c>
      <c r="AU497" s="94" t="n">
        <f aca="false">IF(ISNUMBER(Z497),AT497/10000*MAX(Z497-1,0)*AA497*1000000,0)</f>
        <v>0</v>
      </c>
      <c r="AV497" s="94" t="n">
        <f aca="false">AO497+AU497</f>
        <v>0</v>
      </c>
      <c r="AW497" s="43" t="str">
        <f aca="false">IF(Q497&lt;&gt;1,"",TRIM(IF(AD497=1,"FRN ","")&amp;IF(AND(AL497&gt;=10,AL497&lt;99),"BBB0미만 ","")&amp;IF(AJ497="","등급없음 ","")&amp;IF(K497&lt;&gt;1,"비USD ","")&amp;IF(AND(AB497="",Y497=0),"시장데이터없음 ","")&amp;IF(AND(ISNUMBER(U497),U497&lt;0),"만기경과 ","")))</f>
        <v/>
      </c>
      <c r="AX497" s="90" t="n">
        <f aca="false">IF(Q497&lt;&gt;1,1,IF(스프레드쇼크!$C$4="Y",INDEX(스프레드쇼크!$B$12:$L$16,IFERROR(MATCH(AH497,스프레드쇼크!$A$12:$A$16,0),MATCH("목록외",스프레드쇼크!$A$12:$A$16,0)),IFERROR(MATCH(AG497,스프레드쇼크!$B$11:$L$11,0),MATCH("목록외",스프레드쇼크!$B$11:$L$11,0))),1))</f>
        <v>1</v>
      </c>
      <c r="AY497" s="90" t="n">
        <f aca="false">IF(스프레드쇼크!$C$5="Y",IF(ISNUMBER(AF497),MIN(스프레드쇼크!$C$7,MAX(스프레드쇼크!$C$6,AF497/스프레드쇼크!$C$8)),1),1)</f>
        <v>1</v>
      </c>
      <c r="AZ497" s="94" t="n">
        <f aca="false">AN497*AX497*AY497</f>
        <v>0</v>
      </c>
      <c r="BA497" s="90" t="n">
        <f aca="false">IF(ISNUMBER(G497),AA497*G497,0)</f>
        <v>0</v>
      </c>
      <c r="BB497" s="90" t="n">
        <f aca="false">IF(ISNUMBER(G497),AA497,0)</f>
        <v>0</v>
      </c>
      <c r="BC497" s="90" t="n">
        <f aca="false">IF(AND(Y497=0,ISNUMBER(AF497)),AA497*AF497,0)</f>
        <v>0</v>
      </c>
      <c r="BD497" s="90" t="n">
        <f aca="false">IF(AND(Y497=0,ISNUMBER(AF497)),AA497,0)</f>
        <v>0</v>
      </c>
      <c r="BE497" s="90" t="n">
        <f aca="false">IF(ISNUMBER(H497),AA497*H497,0)</f>
        <v>0</v>
      </c>
      <c r="BF497" s="90" t="n">
        <f aca="false">IF(ISNUMBER(H497),AA497,0)</f>
        <v>0</v>
      </c>
      <c r="BG497" s="90" t="n">
        <f aca="false">IF(AND(Y497=0,ISNUMBER(AF497),ISNUMBER(Z497)),AA497*Z497,0)</f>
        <v>0</v>
      </c>
      <c r="BH497" s="90" t="n">
        <f aca="false">IF(AND(Y497=0,ISNUMBER(AF497),ISNUMBER(Z497)),AA497*AT497*MAX(Z497-1,0),0)</f>
        <v>0</v>
      </c>
      <c r="BI497" s="90" t="n">
        <f aca="false">IF(Y497=0,AA497,0)</f>
        <v>0</v>
      </c>
    </row>
    <row r="498" customFormat="false" ht="15" hidden="false" customHeight="false" outlineLevel="0" collapsed="false">
      <c r="A498" s="83" t="str">
        <f aca="false">IFERROR(IF(INDEX(원자료_잔고!$A$1:$EZ$1500,설정!$L$5+ROW()-1,설정!$L$8)&amp;""="0","",INDEX(원자료_잔고!$A$1:$EZ$1500,설정!$L$5+ROW()-1,설정!$L$8)&amp;""),"")</f>
        <v/>
      </c>
      <c r="B498" s="83" t="str">
        <f aca="false">IFERROR(IF(INDEX(원자료_잔고!$A$1:$EZ$1500,설정!$L$5+ROW()-1,설정!$L$7)&amp;""="0","",INDEX(원자료_잔고!$A$1:$EZ$1500,설정!$L$5+ROW()-1,설정!$L$7)&amp;""),"")</f>
        <v/>
      </c>
      <c r="C498" s="83" t="str">
        <f aca="false">IFERROR(IF(INDEX(원자료_잔고!$A$1:$EZ$1500,설정!$L$5+ROW()-1,설정!$L$9)&amp;""="0","",INDEX(원자료_잔고!$A$1:$EZ$1500,설정!$L$5+ROW()-1,설정!$L$9)&amp;""),"")</f>
        <v/>
      </c>
      <c r="D498" s="83" t="str">
        <f aca="false">IFERROR(IF(INDEX(원자료_잔고!$A$1:$EZ$1500,설정!$L$5+ROW()-1,설정!$L$10)&amp;""="0","",INDEX(원자료_잔고!$A$1:$EZ$1500,설정!$L$5+ROW()-1,설정!$L$10)&amp;""),"")</f>
        <v/>
      </c>
      <c r="E498" s="84" t="str">
        <f aca="false">IFERROR(IF(ISNUMBER(INDEX(원자료_잔고!$A$1:$EZ$1500,설정!$L$5+ROW()-1,설정!$L$11)),INDEX(원자료_잔고!$A$1:$EZ$1500,설정!$L$5+ROW()-1,설정!$L$11),""),"")</f>
        <v/>
      </c>
      <c r="F498" s="85" t="str">
        <f aca="false">IFERROR(IF(ISNUMBER(INDEX(원자료_잔고!$A$1:$EZ$1500,설정!$L$5+ROW()-1,설정!$L$12)),INDEX(원자료_잔고!$A$1:$EZ$1500,설정!$L$5+ROW()-1,설정!$L$12),""),"")</f>
        <v/>
      </c>
      <c r="G498" s="85" t="str">
        <f aca="false">IFERROR(IF(ISNUMBER(INDEX(원자료_잔고!$A$1:$EZ$1500,설정!$L$5+ROW()-1,설정!$L$13)),INDEX(원자료_잔고!$A$1:$EZ$1500,설정!$L$5+ROW()-1,설정!$L$13),""),"")</f>
        <v/>
      </c>
      <c r="H498" s="85" t="str">
        <f aca="false">IFERROR(IF(ISNUMBER(INDEX(원자료_잔고!$A$1:$EZ$1500,설정!$L$5+ROW()-1,설정!$L$14)),INDEX(원자료_잔고!$A$1:$EZ$1500,설정!$L$5+ROW()-1,설정!$L$14),""),"")</f>
        <v/>
      </c>
      <c r="I498" s="86" t="str">
        <f aca="false">IFERROR(IF(ISNUMBER(INDEX(원자료_잔고!$A$1:$EZ$1500,설정!$L$5+ROW()-1,설정!$L$15)),INDEX(원자료_잔고!$A$1:$EZ$1500,설정!$L$5+ROW()-1,설정!$L$15),""),"")</f>
        <v/>
      </c>
      <c r="J498" s="85" t="str">
        <f aca="false">IFERROR(IF(ISNUMBER(INDEX(원자료_잔고!$A$1:$EZ$1500,설정!$L$5+ROW()-1,설정!$L$16)),INDEX(원자료_잔고!$A$1:$EZ$1500,설정!$L$5+ROW()-1,설정!$L$16),""),"")</f>
        <v/>
      </c>
      <c r="K498" s="87" t="str">
        <f aca="false">IFERROR(IF(ISNUMBER(INDEX(원자료_잔고!$A$1:$EZ$1500,설정!$L$5+ROW()-1,설정!$L$17)),INDEX(원자료_잔고!$A$1:$EZ$1500,설정!$L$5+ROW()-1,설정!$L$17),""),"")</f>
        <v/>
      </c>
      <c r="L498" s="84" t="str">
        <f aca="false">IFERROR(IF(ISNUMBER(INDEX(원자료_잔고!$A$1:$EZ$1500,설정!$L$5+ROW()-1,설정!$L$18)),INDEX(원자료_잔고!$A$1:$EZ$1500,설정!$L$5+ROW()-1,설정!$L$18),""),"")</f>
        <v/>
      </c>
      <c r="M498" s="88" t="str">
        <f aca="false">IFERROR(IF(ISNUMBER(INDEX(원자료_잔고!$A$1:$EZ$1500,설정!$L$5+ROW()-1,설정!$L$19)),INDEX(원자료_잔고!$A$1:$EZ$1500,설정!$L$5+ROW()-1,설정!$L$19),""),"")</f>
        <v/>
      </c>
      <c r="N498" s="83" t="str">
        <f aca="false">IFERROR(IF(INDEX(원자료_잔고!$A$1:$EZ$1500,설정!$L$5+ROW()-1,설정!$L$21)&amp;""="0","",INDEX(원자료_잔고!$A$1:$EZ$1500,설정!$L$5+ROW()-1,설정!$L$21)&amp;""),"")</f>
        <v/>
      </c>
      <c r="O498" s="83" t="str">
        <f aca="false">IFERROR(IF(INDEX(원자료_잔고!$A$1:$EZ$1500,설정!$L$5+ROW()-1,설정!$L$22)&amp;""="0","",INDEX(원자료_잔고!$A$1:$EZ$1500,설정!$L$5+ROW()-1,설정!$L$22)&amp;""),"")</f>
        <v/>
      </c>
      <c r="P498" s="83" t="str">
        <f aca="false">IFERROR(IF(INDEX(원자료_잔고!$A$1:$EZ$1500,설정!$L$5+ROW()-1,설정!$L$23)&amp;""="0","",INDEX(원자료_잔고!$A$1:$EZ$1500,설정!$L$5+ROW()-1,설정!$L$23)&amp;""),"")</f>
        <v/>
      </c>
      <c r="Q498" s="89" t="n">
        <f aca="false">IF(AND($A498&lt;&gt;"",ISNUMBER(E498)),IF(E498&gt;0,1,0),0)</f>
        <v>0</v>
      </c>
      <c r="R498" s="43" t="str">
        <f aca="false">IF(Q498=1,UPPER(LEFT($A498,FIND(" ",$A498&amp;" ")-1)),"")</f>
        <v/>
      </c>
      <c r="S498" s="89" t="n">
        <f aca="false">IF(Q498=1,IF(OR(ISNUMBER(SEARCH("Float",$A498)),ISNUMBER(SEARCH("FRN",$A498))),1,0),0)</f>
        <v>0</v>
      </c>
      <c r="T498" s="43" t="str">
        <f aca="false">IF(AND(Q498=1,ISNUMBER(I498)),TEXT(I498,"yyyymmdd")&amp;"|"&amp;IF(S498=1,"F",TEXT(J498,"0.000")),"")</f>
        <v/>
      </c>
      <c r="U498" s="90" t="str">
        <f aca="false">IF(AND(Q498=1,ISNUMBER(I498)),(I498-설정!$C$4)/365.25,"")</f>
        <v/>
      </c>
      <c r="V498" s="43" t="str">
        <f aca="false">IF(Q498&lt;&gt;1,"",IF(ISNUMBER(U498),IF(U498&lt;=1,"1년 이하",IF(U498&lt;=2,"1-2년",IF(U498&lt;=3,"2-3년",IF(U498&lt;=4,"3-4년",IF(U498&lt;=5,"4-5년",IF(U498&lt;=7,"5-7년",IF(U498&lt;=10,"7-10년",IF(U498&lt;=20,"10-20년","20년 이상")))))))),"미분류"))</f>
        <v/>
      </c>
      <c r="W498" s="43" t="str">
        <f aca="false">IF(Q498&lt;&gt;1,"",IF(AB498&lt;&gt;"",INDEX(시장분석!$C:$C,AB498),IF(K498=1,"USD","비USD")))</f>
        <v/>
      </c>
      <c r="X498" s="91" t="n">
        <f aca="false">IF(Q498=1,E498*K498/1000000,0)</f>
        <v>0</v>
      </c>
      <c r="Y498" s="89" t="n">
        <f aca="false">IF(R498="T",1,0)</f>
        <v>0</v>
      </c>
      <c r="Z498" s="92" t="str">
        <f aca="false">IF(Q498&lt;&gt;1,"",IF(AD498=1,IF(ISNUMBER(U498),MAX(U498,0),H498),H498))</f>
        <v/>
      </c>
      <c r="AA498" s="91" t="n">
        <f aca="false">IF(Q498=1,IF(ISNUMBER(L498),L498,0)*K498/1000000,0)</f>
        <v>0</v>
      </c>
      <c r="AB498" s="89" t="str">
        <f aca="false">IF(Q498&lt;&gt;1,"",IFERROR(MATCH(VLOOKUP(B498,매핑!$H$4:$I$15,2,0),시장분석!$A$2:$A$601,0)+1,IFERROR(MATCH(R498&amp;"|"&amp;T498,시장분석!$V$2:$V$601,0)+1,IF(COUNTIF(시장분석!$U$2:$U$601,T498)=1,MATCH(T498,시장분석!$U$2:$U$601,0)+1,""))))</f>
        <v/>
      </c>
      <c r="AC498" s="89" t="n">
        <f aca="false">IF(Q498&lt;&gt;1,0,IF(OR(설정!$C$5="전체",AND(설정!$C$5="선택펀드",IFERROR(COUNTIFS(설정!$F$16:$F$36,C498,설정!$G$16:$G$36,"Y")+COUNTIFS(설정!$F$16:$F$36,VALUE(C498),설정!$G$16:$G$36,"Y"),0)&gt;0),C498&amp;""=설정!$C$5&amp;""),1,0))</f>
        <v>0</v>
      </c>
      <c r="AD498" s="89" t="n">
        <f aca="false">IF(Q498&lt;&gt;1,0,IF(OR(S498=1,IF(AB498="",FALSE(),INDEX(시장분석!$R:$R,AB498)=1)),1,0))</f>
        <v>0</v>
      </c>
      <c r="AE498" s="43" t="str">
        <f aca="false">IF(AB498="","",INDEX(시장분석!$A:$A,AB498))</f>
        <v/>
      </c>
      <c r="AF498" s="93" t="str">
        <f aca="false">IF(AB498="","",IF(ISNUMBER(IF(AB498="","",INDEX(시장분석!$E:$E,AB498))),IF(AB498="","",INDEX(시장분석!$E:$E,AB498)),""))</f>
        <v/>
      </c>
      <c r="AG498" s="43" t="str">
        <f aca="false">IF(Q498&lt;&gt;1,"",IF(AB498&lt;&gt;"",IF(AB498="","",INDEX(시장분석!$L:$L,AB498)),IFERROR(IF(VLOOKUP(R498,매핑!$A$4:$E$92,5,0)="","미분류",VLOOKUP(R498,매핑!$A$4:$E$92,5,0)),"미분류")))</f>
        <v/>
      </c>
      <c r="AH498" s="43" t="str">
        <f aca="false">IF(Q498&lt;&gt;1,"",IF(AB498&lt;&gt;"",IF(AB498="","",INDEX(시장분석!$N:$N,AB498)),IFERROR(IF(VLOOKUP(R498,매핑!$A$4:$E$92,4,0)="","미분류",VLOOKUP(R498,매핑!$A$4:$E$92,4,0)),"미분류")))</f>
        <v/>
      </c>
      <c r="AI498" s="43" t="str">
        <f aca="false">IF(Q498&lt;&gt;1,"",IFERROR(IF(VLOOKUP(R498,매핑!$A$4:$E$92,3,0)="","미분류",VLOOKUP(R498,매핑!$A$4:$E$92,3,0)),IF(AB498&lt;&gt;"",IF(AB498="","",INDEX(시장분석!$W:$W,AB498)),"미분류")))</f>
        <v/>
      </c>
      <c r="AJ498" s="43" t="str">
        <f aca="false">IF(Q498&lt;&gt;1,"",IFERROR(VLOOKUP(IF(N498&lt;&gt;"",N498,IF(P498&lt;&gt;"",P498,O498)),설정!$A$15:$D$47,2,0),""))</f>
        <v/>
      </c>
      <c r="AK498" s="43" t="str">
        <f aca="false">IF(Q498&lt;&gt;1,"",IF(AJ498="","무등급",IFERROR(VLOOKUP(AJ498,설정!$A$15:$D$47,3,0),"무등급")))</f>
        <v/>
      </c>
      <c r="AL498" s="89" t="n">
        <f aca="false">IF(AJ498="",99,IFERROR(VLOOKUP(AJ498,설정!$A$15:$D$47,4,0),99))</f>
        <v>99</v>
      </c>
      <c r="AM498" s="94" t="n">
        <f aca="false">IF(ISNUMBER(H498),AA498*1000000*H498/10000,0)</f>
        <v>0</v>
      </c>
      <c r="AN498" s="94" t="n">
        <f aca="false">IF(OR(Y498=1,NOT(ISNUMBER(Z498))),0,AA498*1000000*Z498/10000)</f>
        <v>0</v>
      </c>
      <c r="AO498" s="94" t="n">
        <f aca="false">IF(ISNUMBER(G498),AA498*1000000*G498/100,0)</f>
        <v>0</v>
      </c>
      <c r="AP498" s="94" t="n">
        <f aca="false">IF(ISNUMBER(M498),M498*K498,0)</f>
        <v>0</v>
      </c>
      <c r="AQ498" s="95" t="str">
        <f aca="false">IF(AB498="","",INDEX(시장분석!$AK:$AK,AB498))</f>
        <v/>
      </c>
      <c r="AR498" s="43" t="str">
        <f aca="false">IF(AB498="","-",IF(AB498="","",INDEX(시장분석!$AL:$AL,AB498)))</f>
        <v>-</v>
      </c>
      <c r="AS498" s="96" t="str">
        <f aca="false">IF(AB498="","",INDEX(시장분석!$AJ:$AJ,AB498))</f>
        <v/>
      </c>
      <c r="AT498" s="93" t="n">
        <f aca="false">IF(AB498="",0,IF(AB498="","",INDEX(시장분석!$AN:$AN,AB498)))</f>
        <v>0</v>
      </c>
      <c r="AU498" s="94" t="n">
        <f aca="false">IF(ISNUMBER(Z498),AT498/10000*MAX(Z498-1,0)*AA498*1000000,0)</f>
        <v>0</v>
      </c>
      <c r="AV498" s="94" t="n">
        <f aca="false">AO498+AU498</f>
        <v>0</v>
      </c>
      <c r="AW498" s="43" t="str">
        <f aca="false">IF(Q498&lt;&gt;1,"",TRIM(IF(AD498=1,"FRN ","")&amp;IF(AND(AL498&gt;=10,AL498&lt;99),"BBB0미만 ","")&amp;IF(AJ498="","등급없음 ","")&amp;IF(K498&lt;&gt;1,"비USD ","")&amp;IF(AND(AB498="",Y498=0),"시장데이터없음 ","")&amp;IF(AND(ISNUMBER(U498),U498&lt;0),"만기경과 ","")))</f>
        <v/>
      </c>
      <c r="AX498" s="90" t="n">
        <f aca="false">IF(Q498&lt;&gt;1,1,IF(스프레드쇼크!$C$4="Y",INDEX(스프레드쇼크!$B$12:$L$16,IFERROR(MATCH(AH498,스프레드쇼크!$A$12:$A$16,0),MATCH("목록외",스프레드쇼크!$A$12:$A$16,0)),IFERROR(MATCH(AG498,스프레드쇼크!$B$11:$L$11,0),MATCH("목록외",스프레드쇼크!$B$11:$L$11,0))),1))</f>
        <v>1</v>
      </c>
      <c r="AY498" s="90" t="n">
        <f aca="false">IF(스프레드쇼크!$C$5="Y",IF(ISNUMBER(AF498),MIN(스프레드쇼크!$C$7,MAX(스프레드쇼크!$C$6,AF498/스프레드쇼크!$C$8)),1),1)</f>
        <v>1</v>
      </c>
      <c r="AZ498" s="94" t="n">
        <f aca="false">AN498*AX498*AY498</f>
        <v>0</v>
      </c>
      <c r="BA498" s="90" t="n">
        <f aca="false">IF(ISNUMBER(G498),AA498*G498,0)</f>
        <v>0</v>
      </c>
      <c r="BB498" s="90" t="n">
        <f aca="false">IF(ISNUMBER(G498),AA498,0)</f>
        <v>0</v>
      </c>
      <c r="BC498" s="90" t="n">
        <f aca="false">IF(AND(Y498=0,ISNUMBER(AF498)),AA498*AF498,0)</f>
        <v>0</v>
      </c>
      <c r="BD498" s="90" t="n">
        <f aca="false">IF(AND(Y498=0,ISNUMBER(AF498)),AA498,0)</f>
        <v>0</v>
      </c>
      <c r="BE498" s="90" t="n">
        <f aca="false">IF(ISNUMBER(H498),AA498*H498,0)</f>
        <v>0</v>
      </c>
      <c r="BF498" s="90" t="n">
        <f aca="false">IF(ISNUMBER(H498),AA498,0)</f>
        <v>0</v>
      </c>
      <c r="BG498" s="90" t="n">
        <f aca="false">IF(AND(Y498=0,ISNUMBER(AF498),ISNUMBER(Z498)),AA498*Z498,0)</f>
        <v>0</v>
      </c>
      <c r="BH498" s="90" t="n">
        <f aca="false">IF(AND(Y498=0,ISNUMBER(AF498),ISNUMBER(Z498)),AA498*AT498*MAX(Z498-1,0),0)</f>
        <v>0</v>
      </c>
      <c r="BI498" s="90" t="n">
        <f aca="false">IF(Y498=0,AA498,0)</f>
        <v>0</v>
      </c>
    </row>
    <row r="499" customFormat="false" ht="15" hidden="false" customHeight="false" outlineLevel="0" collapsed="false">
      <c r="A499" s="83" t="str">
        <f aca="false">IFERROR(IF(INDEX(원자료_잔고!$A$1:$EZ$1500,설정!$L$5+ROW()-1,설정!$L$8)&amp;""="0","",INDEX(원자료_잔고!$A$1:$EZ$1500,설정!$L$5+ROW()-1,설정!$L$8)&amp;""),"")</f>
        <v/>
      </c>
      <c r="B499" s="83" t="str">
        <f aca="false">IFERROR(IF(INDEX(원자료_잔고!$A$1:$EZ$1500,설정!$L$5+ROW()-1,설정!$L$7)&amp;""="0","",INDEX(원자료_잔고!$A$1:$EZ$1500,설정!$L$5+ROW()-1,설정!$L$7)&amp;""),"")</f>
        <v/>
      </c>
      <c r="C499" s="83" t="str">
        <f aca="false">IFERROR(IF(INDEX(원자료_잔고!$A$1:$EZ$1500,설정!$L$5+ROW()-1,설정!$L$9)&amp;""="0","",INDEX(원자료_잔고!$A$1:$EZ$1500,설정!$L$5+ROW()-1,설정!$L$9)&amp;""),"")</f>
        <v/>
      </c>
      <c r="D499" s="83" t="str">
        <f aca="false">IFERROR(IF(INDEX(원자료_잔고!$A$1:$EZ$1500,설정!$L$5+ROW()-1,설정!$L$10)&amp;""="0","",INDEX(원자료_잔고!$A$1:$EZ$1500,설정!$L$5+ROW()-1,설정!$L$10)&amp;""),"")</f>
        <v/>
      </c>
      <c r="E499" s="84" t="str">
        <f aca="false">IFERROR(IF(ISNUMBER(INDEX(원자료_잔고!$A$1:$EZ$1500,설정!$L$5+ROW()-1,설정!$L$11)),INDEX(원자료_잔고!$A$1:$EZ$1500,설정!$L$5+ROW()-1,설정!$L$11),""),"")</f>
        <v/>
      </c>
      <c r="F499" s="85" t="str">
        <f aca="false">IFERROR(IF(ISNUMBER(INDEX(원자료_잔고!$A$1:$EZ$1500,설정!$L$5+ROW()-1,설정!$L$12)),INDEX(원자료_잔고!$A$1:$EZ$1500,설정!$L$5+ROW()-1,설정!$L$12),""),"")</f>
        <v/>
      </c>
      <c r="G499" s="85" t="str">
        <f aca="false">IFERROR(IF(ISNUMBER(INDEX(원자료_잔고!$A$1:$EZ$1500,설정!$L$5+ROW()-1,설정!$L$13)),INDEX(원자료_잔고!$A$1:$EZ$1500,설정!$L$5+ROW()-1,설정!$L$13),""),"")</f>
        <v/>
      </c>
      <c r="H499" s="85" t="str">
        <f aca="false">IFERROR(IF(ISNUMBER(INDEX(원자료_잔고!$A$1:$EZ$1500,설정!$L$5+ROW()-1,설정!$L$14)),INDEX(원자료_잔고!$A$1:$EZ$1500,설정!$L$5+ROW()-1,설정!$L$14),""),"")</f>
        <v/>
      </c>
      <c r="I499" s="86" t="str">
        <f aca="false">IFERROR(IF(ISNUMBER(INDEX(원자료_잔고!$A$1:$EZ$1500,설정!$L$5+ROW()-1,설정!$L$15)),INDEX(원자료_잔고!$A$1:$EZ$1500,설정!$L$5+ROW()-1,설정!$L$15),""),"")</f>
        <v/>
      </c>
      <c r="J499" s="85" t="str">
        <f aca="false">IFERROR(IF(ISNUMBER(INDEX(원자료_잔고!$A$1:$EZ$1500,설정!$L$5+ROW()-1,설정!$L$16)),INDEX(원자료_잔고!$A$1:$EZ$1500,설정!$L$5+ROW()-1,설정!$L$16),""),"")</f>
        <v/>
      </c>
      <c r="K499" s="87" t="str">
        <f aca="false">IFERROR(IF(ISNUMBER(INDEX(원자료_잔고!$A$1:$EZ$1500,설정!$L$5+ROW()-1,설정!$L$17)),INDEX(원자료_잔고!$A$1:$EZ$1500,설정!$L$5+ROW()-1,설정!$L$17),""),"")</f>
        <v/>
      </c>
      <c r="L499" s="84" t="str">
        <f aca="false">IFERROR(IF(ISNUMBER(INDEX(원자료_잔고!$A$1:$EZ$1500,설정!$L$5+ROW()-1,설정!$L$18)),INDEX(원자료_잔고!$A$1:$EZ$1500,설정!$L$5+ROW()-1,설정!$L$18),""),"")</f>
        <v/>
      </c>
      <c r="M499" s="88" t="str">
        <f aca="false">IFERROR(IF(ISNUMBER(INDEX(원자료_잔고!$A$1:$EZ$1500,설정!$L$5+ROW()-1,설정!$L$19)),INDEX(원자료_잔고!$A$1:$EZ$1500,설정!$L$5+ROW()-1,설정!$L$19),""),"")</f>
        <v/>
      </c>
      <c r="N499" s="83" t="str">
        <f aca="false">IFERROR(IF(INDEX(원자료_잔고!$A$1:$EZ$1500,설정!$L$5+ROW()-1,설정!$L$21)&amp;""="0","",INDEX(원자료_잔고!$A$1:$EZ$1500,설정!$L$5+ROW()-1,설정!$L$21)&amp;""),"")</f>
        <v/>
      </c>
      <c r="O499" s="83" t="str">
        <f aca="false">IFERROR(IF(INDEX(원자료_잔고!$A$1:$EZ$1500,설정!$L$5+ROW()-1,설정!$L$22)&amp;""="0","",INDEX(원자료_잔고!$A$1:$EZ$1500,설정!$L$5+ROW()-1,설정!$L$22)&amp;""),"")</f>
        <v/>
      </c>
      <c r="P499" s="83" t="str">
        <f aca="false">IFERROR(IF(INDEX(원자료_잔고!$A$1:$EZ$1500,설정!$L$5+ROW()-1,설정!$L$23)&amp;""="0","",INDEX(원자료_잔고!$A$1:$EZ$1500,설정!$L$5+ROW()-1,설정!$L$23)&amp;""),"")</f>
        <v/>
      </c>
      <c r="Q499" s="89" t="n">
        <f aca="false">IF(AND($A499&lt;&gt;"",ISNUMBER(E499)),IF(E499&gt;0,1,0),0)</f>
        <v>0</v>
      </c>
      <c r="R499" s="43" t="str">
        <f aca="false">IF(Q499=1,UPPER(LEFT($A499,FIND(" ",$A499&amp;" ")-1)),"")</f>
        <v/>
      </c>
      <c r="S499" s="89" t="n">
        <f aca="false">IF(Q499=1,IF(OR(ISNUMBER(SEARCH("Float",$A499)),ISNUMBER(SEARCH("FRN",$A499))),1,0),0)</f>
        <v>0</v>
      </c>
      <c r="T499" s="43" t="str">
        <f aca="false">IF(AND(Q499=1,ISNUMBER(I499)),TEXT(I499,"yyyymmdd")&amp;"|"&amp;IF(S499=1,"F",TEXT(J499,"0.000")),"")</f>
        <v/>
      </c>
      <c r="U499" s="90" t="str">
        <f aca="false">IF(AND(Q499=1,ISNUMBER(I499)),(I499-설정!$C$4)/365.25,"")</f>
        <v/>
      </c>
      <c r="V499" s="43" t="str">
        <f aca="false">IF(Q499&lt;&gt;1,"",IF(ISNUMBER(U499),IF(U499&lt;=1,"1년 이하",IF(U499&lt;=2,"1-2년",IF(U499&lt;=3,"2-3년",IF(U499&lt;=4,"3-4년",IF(U499&lt;=5,"4-5년",IF(U499&lt;=7,"5-7년",IF(U499&lt;=10,"7-10년",IF(U499&lt;=20,"10-20년","20년 이상")))))))),"미분류"))</f>
        <v/>
      </c>
      <c r="W499" s="43" t="str">
        <f aca="false">IF(Q499&lt;&gt;1,"",IF(AB499&lt;&gt;"",INDEX(시장분석!$C:$C,AB499),IF(K499=1,"USD","비USD")))</f>
        <v/>
      </c>
      <c r="X499" s="91" t="n">
        <f aca="false">IF(Q499=1,E499*K499/1000000,0)</f>
        <v>0</v>
      </c>
      <c r="Y499" s="89" t="n">
        <f aca="false">IF(R499="T",1,0)</f>
        <v>0</v>
      </c>
      <c r="Z499" s="92" t="str">
        <f aca="false">IF(Q499&lt;&gt;1,"",IF(AD499=1,IF(ISNUMBER(U499),MAX(U499,0),H499),H499))</f>
        <v/>
      </c>
      <c r="AA499" s="91" t="n">
        <f aca="false">IF(Q499=1,IF(ISNUMBER(L499),L499,0)*K499/1000000,0)</f>
        <v>0</v>
      </c>
      <c r="AB499" s="89" t="str">
        <f aca="false">IF(Q499&lt;&gt;1,"",IFERROR(MATCH(VLOOKUP(B499,매핑!$H$4:$I$15,2,0),시장분석!$A$2:$A$601,0)+1,IFERROR(MATCH(R499&amp;"|"&amp;T499,시장분석!$V$2:$V$601,0)+1,IF(COUNTIF(시장분석!$U$2:$U$601,T499)=1,MATCH(T499,시장분석!$U$2:$U$601,0)+1,""))))</f>
        <v/>
      </c>
      <c r="AC499" s="89" t="n">
        <f aca="false">IF(Q499&lt;&gt;1,0,IF(OR(설정!$C$5="전체",AND(설정!$C$5="선택펀드",IFERROR(COUNTIFS(설정!$F$16:$F$36,C499,설정!$G$16:$G$36,"Y")+COUNTIFS(설정!$F$16:$F$36,VALUE(C499),설정!$G$16:$G$36,"Y"),0)&gt;0),C499&amp;""=설정!$C$5&amp;""),1,0))</f>
        <v>0</v>
      </c>
      <c r="AD499" s="89" t="n">
        <f aca="false">IF(Q499&lt;&gt;1,0,IF(OR(S499=1,IF(AB499="",FALSE(),INDEX(시장분석!$R:$R,AB499)=1)),1,0))</f>
        <v>0</v>
      </c>
      <c r="AE499" s="43" t="str">
        <f aca="false">IF(AB499="","",INDEX(시장분석!$A:$A,AB499))</f>
        <v/>
      </c>
      <c r="AF499" s="93" t="str">
        <f aca="false">IF(AB499="","",IF(ISNUMBER(IF(AB499="","",INDEX(시장분석!$E:$E,AB499))),IF(AB499="","",INDEX(시장분석!$E:$E,AB499)),""))</f>
        <v/>
      </c>
      <c r="AG499" s="43" t="str">
        <f aca="false">IF(Q499&lt;&gt;1,"",IF(AB499&lt;&gt;"",IF(AB499="","",INDEX(시장분석!$L:$L,AB499)),IFERROR(IF(VLOOKUP(R499,매핑!$A$4:$E$92,5,0)="","미분류",VLOOKUP(R499,매핑!$A$4:$E$92,5,0)),"미분류")))</f>
        <v/>
      </c>
      <c r="AH499" s="43" t="str">
        <f aca="false">IF(Q499&lt;&gt;1,"",IF(AB499&lt;&gt;"",IF(AB499="","",INDEX(시장분석!$N:$N,AB499)),IFERROR(IF(VLOOKUP(R499,매핑!$A$4:$E$92,4,0)="","미분류",VLOOKUP(R499,매핑!$A$4:$E$92,4,0)),"미분류")))</f>
        <v/>
      </c>
      <c r="AI499" s="43" t="str">
        <f aca="false">IF(Q499&lt;&gt;1,"",IFERROR(IF(VLOOKUP(R499,매핑!$A$4:$E$92,3,0)="","미분류",VLOOKUP(R499,매핑!$A$4:$E$92,3,0)),IF(AB499&lt;&gt;"",IF(AB499="","",INDEX(시장분석!$W:$W,AB499)),"미분류")))</f>
        <v/>
      </c>
      <c r="AJ499" s="43" t="str">
        <f aca="false">IF(Q499&lt;&gt;1,"",IFERROR(VLOOKUP(IF(N499&lt;&gt;"",N499,IF(P499&lt;&gt;"",P499,O499)),설정!$A$15:$D$47,2,0),""))</f>
        <v/>
      </c>
      <c r="AK499" s="43" t="str">
        <f aca="false">IF(Q499&lt;&gt;1,"",IF(AJ499="","무등급",IFERROR(VLOOKUP(AJ499,설정!$A$15:$D$47,3,0),"무등급")))</f>
        <v/>
      </c>
      <c r="AL499" s="89" t="n">
        <f aca="false">IF(AJ499="",99,IFERROR(VLOOKUP(AJ499,설정!$A$15:$D$47,4,0),99))</f>
        <v>99</v>
      </c>
      <c r="AM499" s="94" t="n">
        <f aca="false">IF(ISNUMBER(H499),AA499*1000000*H499/10000,0)</f>
        <v>0</v>
      </c>
      <c r="AN499" s="94" t="n">
        <f aca="false">IF(OR(Y499=1,NOT(ISNUMBER(Z499))),0,AA499*1000000*Z499/10000)</f>
        <v>0</v>
      </c>
      <c r="AO499" s="94" t="n">
        <f aca="false">IF(ISNUMBER(G499),AA499*1000000*G499/100,0)</f>
        <v>0</v>
      </c>
      <c r="AP499" s="94" t="n">
        <f aca="false">IF(ISNUMBER(M499),M499*K499,0)</f>
        <v>0</v>
      </c>
      <c r="AQ499" s="95" t="str">
        <f aca="false">IF(AB499="","",INDEX(시장분석!$AK:$AK,AB499))</f>
        <v/>
      </c>
      <c r="AR499" s="43" t="str">
        <f aca="false">IF(AB499="","-",IF(AB499="","",INDEX(시장분석!$AL:$AL,AB499)))</f>
        <v>-</v>
      </c>
      <c r="AS499" s="96" t="str">
        <f aca="false">IF(AB499="","",INDEX(시장분석!$AJ:$AJ,AB499))</f>
        <v/>
      </c>
      <c r="AT499" s="93" t="n">
        <f aca="false">IF(AB499="",0,IF(AB499="","",INDEX(시장분석!$AN:$AN,AB499)))</f>
        <v>0</v>
      </c>
      <c r="AU499" s="94" t="n">
        <f aca="false">IF(ISNUMBER(Z499),AT499/10000*MAX(Z499-1,0)*AA499*1000000,0)</f>
        <v>0</v>
      </c>
      <c r="AV499" s="94" t="n">
        <f aca="false">AO499+AU499</f>
        <v>0</v>
      </c>
      <c r="AW499" s="43" t="str">
        <f aca="false">IF(Q499&lt;&gt;1,"",TRIM(IF(AD499=1,"FRN ","")&amp;IF(AND(AL499&gt;=10,AL499&lt;99),"BBB0미만 ","")&amp;IF(AJ499="","등급없음 ","")&amp;IF(K499&lt;&gt;1,"비USD ","")&amp;IF(AND(AB499="",Y499=0),"시장데이터없음 ","")&amp;IF(AND(ISNUMBER(U499),U499&lt;0),"만기경과 ","")))</f>
        <v/>
      </c>
      <c r="AX499" s="90" t="n">
        <f aca="false">IF(Q499&lt;&gt;1,1,IF(스프레드쇼크!$C$4="Y",INDEX(스프레드쇼크!$B$12:$L$16,IFERROR(MATCH(AH499,스프레드쇼크!$A$12:$A$16,0),MATCH("목록외",스프레드쇼크!$A$12:$A$16,0)),IFERROR(MATCH(AG499,스프레드쇼크!$B$11:$L$11,0),MATCH("목록외",스프레드쇼크!$B$11:$L$11,0))),1))</f>
        <v>1</v>
      </c>
      <c r="AY499" s="90" t="n">
        <f aca="false">IF(스프레드쇼크!$C$5="Y",IF(ISNUMBER(AF499),MIN(스프레드쇼크!$C$7,MAX(스프레드쇼크!$C$6,AF499/스프레드쇼크!$C$8)),1),1)</f>
        <v>1</v>
      </c>
      <c r="AZ499" s="94" t="n">
        <f aca="false">AN499*AX499*AY499</f>
        <v>0</v>
      </c>
      <c r="BA499" s="90" t="n">
        <f aca="false">IF(ISNUMBER(G499),AA499*G499,0)</f>
        <v>0</v>
      </c>
      <c r="BB499" s="90" t="n">
        <f aca="false">IF(ISNUMBER(G499),AA499,0)</f>
        <v>0</v>
      </c>
      <c r="BC499" s="90" t="n">
        <f aca="false">IF(AND(Y499=0,ISNUMBER(AF499)),AA499*AF499,0)</f>
        <v>0</v>
      </c>
      <c r="BD499" s="90" t="n">
        <f aca="false">IF(AND(Y499=0,ISNUMBER(AF499)),AA499,0)</f>
        <v>0</v>
      </c>
      <c r="BE499" s="90" t="n">
        <f aca="false">IF(ISNUMBER(H499),AA499*H499,0)</f>
        <v>0</v>
      </c>
      <c r="BF499" s="90" t="n">
        <f aca="false">IF(ISNUMBER(H499),AA499,0)</f>
        <v>0</v>
      </c>
      <c r="BG499" s="90" t="n">
        <f aca="false">IF(AND(Y499=0,ISNUMBER(AF499),ISNUMBER(Z499)),AA499*Z499,0)</f>
        <v>0</v>
      </c>
      <c r="BH499" s="90" t="n">
        <f aca="false">IF(AND(Y499=0,ISNUMBER(AF499),ISNUMBER(Z499)),AA499*AT499*MAX(Z499-1,0),0)</f>
        <v>0</v>
      </c>
      <c r="BI499" s="90" t="n">
        <f aca="false">IF(Y499=0,AA499,0)</f>
        <v>0</v>
      </c>
    </row>
    <row r="500" customFormat="false" ht="15" hidden="false" customHeight="false" outlineLevel="0" collapsed="false">
      <c r="A500" s="83" t="str">
        <f aca="false">IFERROR(IF(INDEX(원자료_잔고!$A$1:$EZ$1500,설정!$L$5+ROW()-1,설정!$L$8)&amp;""="0","",INDEX(원자료_잔고!$A$1:$EZ$1500,설정!$L$5+ROW()-1,설정!$L$8)&amp;""),"")</f>
        <v/>
      </c>
      <c r="B500" s="83" t="str">
        <f aca="false">IFERROR(IF(INDEX(원자료_잔고!$A$1:$EZ$1500,설정!$L$5+ROW()-1,설정!$L$7)&amp;""="0","",INDEX(원자료_잔고!$A$1:$EZ$1500,설정!$L$5+ROW()-1,설정!$L$7)&amp;""),"")</f>
        <v/>
      </c>
      <c r="C500" s="83" t="str">
        <f aca="false">IFERROR(IF(INDEX(원자료_잔고!$A$1:$EZ$1500,설정!$L$5+ROW()-1,설정!$L$9)&amp;""="0","",INDEX(원자료_잔고!$A$1:$EZ$1500,설정!$L$5+ROW()-1,설정!$L$9)&amp;""),"")</f>
        <v/>
      </c>
      <c r="D500" s="83" t="str">
        <f aca="false">IFERROR(IF(INDEX(원자료_잔고!$A$1:$EZ$1500,설정!$L$5+ROW()-1,설정!$L$10)&amp;""="0","",INDEX(원자료_잔고!$A$1:$EZ$1500,설정!$L$5+ROW()-1,설정!$L$10)&amp;""),"")</f>
        <v/>
      </c>
      <c r="E500" s="84" t="str">
        <f aca="false">IFERROR(IF(ISNUMBER(INDEX(원자료_잔고!$A$1:$EZ$1500,설정!$L$5+ROW()-1,설정!$L$11)),INDEX(원자료_잔고!$A$1:$EZ$1500,설정!$L$5+ROW()-1,설정!$L$11),""),"")</f>
        <v/>
      </c>
      <c r="F500" s="85" t="str">
        <f aca="false">IFERROR(IF(ISNUMBER(INDEX(원자료_잔고!$A$1:$EZ$1500,설정!$L$5+ROW()-1,설정!$L$12)),INDEX(원자료_잔고!$A$1:$EZ$1500,설정!$L$5+ROW()-1,설정!$L$12),""),"")</f>
        <v/>
      </c>
      <c r="G500" s="85" t="str">
        <f aca="false">IFERROR(IF(ISNUMBER(INDEX(원자료_잔고!$A$1:$EZ$1500,설정!$L$5+ROW()-1,설정!$L$13)),INDEX(원자료_잔고!$A$1:$EZ$1500,설정!$L$5+ROW()-1,설정!$L$13),""),"")</f>
        <v/>
      </c>
      <c r="H500" s="85" t="str">
        <f aca="false">IFERROR(IF(ISNUMBER(INDEX(원자료_잔고!$A$1:$EZ$1500,설정!$L$5+ROW()-1,설정!$L$14)),INDEX(원자료_잔고!$A$1:$EZ$1500,설정!$L$5+ROW()-1,설정!$L$14),""),"")</f>
        <v/>
      </c>
      <c r="I500" s="86" t="str">
        <f aca="false">IFERROR(IF(ISNUMBER(INDEX(원자료_잔고!$A$1:$EZ$1500,설정!$L$5+ROW()-1,설정!$L$15)),INDEX(원자료_잔고!$A$1:$EZ$1500,설정!$L$5+ROW()-1,설정!$L$15),""),"")</f>
        <v/>
      </c>
      <c r="J500" s="85" t="str">
        <f aca="false">IFERROR(IF(ISNUMBER(INDEX(원자료_잔고!$A$1:$EZ$1500,설정!$L$5+ROW()-1,설정!$L$16)),INDEX(원자료_잔고!$A$1:$EZ$1500,설정!$L$5+ROW()-1,설정!$L$16),""),"")</f>
        <v/>
      </c>
      <c r="K500" s="87" t="str">
        <f aca="false">IFERROR(IF(ISNUMBER(INDEX(원자료_잔고!$A$1:$EZ$1500,설정!$L$5+ROW()-1,설정!$L$17)),INDEX(원자료_잔고!$A$1:$EZ$1500,설정!$L$5+ROW()-1,설정!$L$17),""),"")</f>
        <v/>
      </c>
      <c r="L500" s="84" t="str">
        <f aca="false">IFERROR(IF(ISNUMBER(INDEX(원자료_잔고!$A$1:$EZ$1500,설정!$L$5+ROW()-1,설정!$L$18)),INDEX(원자료_잔고!$A$1:$EZ$1500,설정!$L$5+ROW()-1,설정!$L$18),""),"")</f>
        <v/>
      </c>
      <c r="M500" s="88" t="str">
        <f aca="false">IFERROR(IF(ISNUMBER(INDEX(원자료_잔고!$A$1:$EZ$1500,설정!$L$5+ROW()-1,설정!$L$19)),INDEX(원자료_잔고!$A$1:$EZ$1500,설정!$L$5+ROW()-1,설정!$L$19),""),"")</f>
        <v/>
      </c>
      <c r="N500" s="83" t="str">
        <f aca="false">IFERROR(IF(INDEX(원자료_잔고!$A$1:$EZ$1500,설정!$L$5+ROW()-1,설정!$L$21)&amp;""="0","",INDEX(원자료_잔고!$A$1:$EZ$1500,설정!$L$5+ROW()-1,설정!$L$21)&amp;""),"")</f>
        <v/>
      </c>
      <c r="O500" s="83" t="str">
        <f aca="false">IFERROR(IF(INDEX(원자료_잔고!$A$1:$EZ$1500,설정!$L$5+ROW()-1,설정!$L$22)&amp;""="0","",INDEX(원자료_잔고!$A$1:$EZ$1500,설정!$L$5+ROW()-1,설정!$L$22)&amp;""),"")</f>
        <v/>
      </c>
      <c r="P500" s="83" t="str">
        <f aca="false">IFERROR(IF(INDEX(원자료_잔고!$A$1:$EZ$1500,설정!$L$5+ROW()-1,설정!$L$23)&amp;""="0","",INDEX(원자료_잔고!$A$1:$EZ$1500,설정!$L$5+ROW()-1,설정!$L$23)&amp;""),"")</f>
        <v/>
      </c>
      <c r="Q500" s="89" t="n">
        <f aca="false">IF(AND($A500&lt;&gt;"",ISNUMBER(E500)),IF(E500&gt;0,1,0),0)</f>
        <v>0</v>
      </c>
      <c r="R500" s="43" t="str">
        <f aca="false">IF(Q500=1,UPPER(LEFT($A500,FIND(" ",$A500&amp;" ")-1)),"")</f>
        <v/>
      </c>
      <c r="S500" s="89" t="n">
        <f aca="false">IF(Q500=1,IF(OR(ISNUMBER(SEARCH("Float",$A500)),ISNUMBER(SEARCH("FRN",$A500))),1,0),0)</f>
        <v>0</v>
      </c>
      <c r="T500" s="43" t="str">
        <f aca="false">IF(AND(Q500=1,ISNUMBER(I500)),TEXT(I500,"yyyymmdd")&amp;"|"&amp;IF(S500=1,"F",TEXT(J500,"0.000")),"")</f>
        <v/>
      </c>
      <c r="U500" s="90" t="str">
        <f aca="false">IF(AND(Q500=1,ISNUMBER(I500)),(I500-설정!$C$4)/365.25,"")</f>
        <v/>
      </c>
      <c r="V500" s="43" t="str">
        <f aca="false">IF(Q500&lt;&gt;1,"",IF(ISNUMBER(U500),IF(U500&lt;=1,"1년 이하",IF(U500&lt;=2,"1-2년",IF(U500&lt;=3,"2-3년",IF(U500&lt;=4,"3-4년",IF(U500&lt;=5,"4-5년",IF(U500&lt;=7,"5-7년",IF(U500&lt;=10,"7-10년",IF(U500&lt;=20,"10-20년","20년 이상")))))))),"미분류"))</f>
        <v/>
      </c>
      <c r="W500" s="43" t="str">
        <f aca="false">IF(Q500&lt;&gt;1,"",IF(AB500&lt;&gt;"",INDEX(시장분석!$C:$C,AB500),IF(K500=1,"USD","비USD")))</f>
        <v/>
      </c>
      <c r="X500" s="91" t="n">
        <f aca="false">IF(Q500=1,E500*K500/1000000,0)</f>
        <v>0</v>
      </c>
      <c r="Y500" s="89" t="n">
        <f aca="false">IF(R500="T",1,0)</f>
        <v>0</v>
      </c>
      <c r="Z500" s="92" t="str">
        <f aca="false">IF(Q500&lt;&gt;1,"",IF(AD500=1,IF(ISNUMBER(U500),MAX(U500,0),H500),H500))</f>
        <v/>
      </c>
      <c r="AA500" s="91" t="n">
        <f aca="false">IF(Q500=1,IF(ISNUMBER(L500),L500,0)*K500/1000000,0)</f>
        <v>0</v>
      </c>
      <c r="AB500" s="89" t="str">
        <f aca="false">IF(Q500&lt;&gt;1,"",IFERROR(MATCH(VLOOKUP(B500,매핑!$H$4:$I$15,2,0),시장분석!$A$2:$A$601,0)+1,IFERROR(MATCH(R500&amp;"|"&amp;T500,시장분석!$V$2:$V$601,0)+1,IF(COUNTIF(시장분석!$U$2:$U$601,T500)=1,MATCH(T500,시장분석!$U$2:$U$601,0)+1,""))))</f>
        <v/>
      </c>
      <c r="AC500" s="89" t="n">
        <f aca="false">IF(Q500&lt;&gt;1,0,IF(OR(설정!$C$5="전체",AND(설정!$C$5="선택펀드",IFERROR(COUNTIFS(설정!$F$16:$F$36,C500,설정!$G$16:$G$36,"Y")+COUNTIFS(설정!$F$16:$F$36,VALUE(C500),설정!$G$16:$G$36,"Y"),0)&gt;0),C500&amp;""=설정!$C$5&amp;""),1,0))</f>
        <v>0</v>
      </c>
      <c r="AD500" s="89" t="n">
        <f aca="false">IF(Q500&lt;&gt;1,0,IF(OR(S500=1,IF(AB500="",FALSE(),INDEX(시장분석!$R:$R,AB500)=1)),1,0))</f>
        <v>0</v>
      </c>
      <c r="AE500" s="43" t="str">
        <f aca="false">IF(AB500="","",INDEX(시장분석!$A:$A,AB500))</f>
        <v/>
      </c>
      <c r="AF500" s="93" t="str">
        <f aca="false">IF(AB500="","",IF(ISNUMBER(IF(AB500="","",INDEX(시장분석!$E:$E,AB500))),IF(AB500="","",INDEX(시장분석!$E:$E,AB500)),""))</f>
        <v/>
      </c>
      <c r="AG500" s="43" t="str">
        <f aca="false">IF(Q500&lt;&gt;1,"",IF(AB500&lt;&gt;"",IF(AB500="","",INDEX(시장분석!$L:$L,AB500)),IFERROR(IF(VLOOKUP(R500,매핑!$A$4:$E$92,5,0)="","미분류",VLOOKUP(R500,매핑!$A$4:$E$92,5,0)),"미분류")))</f>
        <v/>
      </c>
      <c r="AH500" s="43" t="str">
        <f aca="false">IF(Q500&lt;&gt;1,"",IF(AB500&lt;&gt;"",IF(AB500="","",INDEX(시장분석!$N:$N,AB500)),IFERROR(IF(VLOOKUP(R500,매핑!$A$4:$E$92,4,0)="","미분류",VLOOKUP(R500,매핑!$A$4:$E$92,4,0)),"미분류")))</f>
        <v/>
      </c>
      <c r="AI500" s="43" t="str">
        <f aca="false">IF(Q500&lt;&gt;1,"",IFERROR(IF(VLOOKUP(R500,매핑!$A$4:$E$92,3,0)="","미분류",VLOOKUP(R500,매핑!$A$4:$E$92,3,0)),IF(AB500&lt;&gt;"",IF(AB500="","",INDEX(시장분석!$W:$W,AB500)),"미분류")))</f>
        <v/>
      </c>
      <c r="AJ500" s="43" t="str">
        <f aca="false">IF(Q500&lt;&gt;1,"",IFERROR(VLOOKUP(IF(N500&lt;&gt;"",N500,IF(P500&lt;&gt;"",P500,O500)),설정!$A$15:$D$47,2,0),""))</f>
        <v/>
      </c>
      <c r="AK500" s="43" t="str">
        <f aca="false">IF(Q500&lt;&gt;1,"",IF(AJ500="","무등급",IFERROR(VLOOKUP(AJ500,설정!$A$15:$D$47,3,0),"무등급")))</f>
        <v/>
      </c>
      <c r="AL500" s="89" t="n">
        <f aca="false">IF(AJ500="",99,IFERROR(VLOOKUP(AJ500,설정!$A$15:$D$47,4,0),99))</f>
        <v>99</v>
      </c>
      <c r="AM500" s="94" t="n">
        <f aca="false">IF(ISNUMBER(H500),AA500*1000000*H500/10000,0)</f>
        <v>0</v>
      </c>
      <c r="AN500" s="94" t="n">
        <f aca="false">IF(OR(Y500=1,NOT(ISNUMBER(Z500))),0,AA500*1000000*Z500/10000)</f>
        <v>0</v>
      </c>
      <c r="AO500" s="94" t="n">
        <f aca="false">IF(ISNUMBER(G500),AA500*1000000*G500/100,0)</f>
        <v>0</v>
      </c>
      <c r="AP500" s="94" t="n">
        <f aca="false">IF(ISNUMBER(M500),M500*K500,0)</f>
        <v>0</v>
      </c>
      <c r="AQ500" s="95" t="str">
        <f aca="false">IF(AB500="","",INDEX(시장분석!$AK:$AK,AB500))</f>
        <v/>
      </c>
      <c r="AR500" s="43" t="str">
        <f aca="false">IF(AB500="","-",IF(AB500="","",INDEX(시장분석!$AL:$AL,AB500)))</f>
        <v>-</v>
      </c>
      <c r="AS500" s="96" t="str">
        <f aca="false">IF(AB500="","",INDEX(시장분석!$AJ:$AJ,AB500))</f>
        <v/>
      </c>
      <c r="AT500" s="93" t="n">
        <f aca="false">IF(AB500="",0,IF(AB500="","",INDEX(시장분석!$AN:$AN,AB500)))</f>
        <v>0</v>
      </c>
      <c r="AU500" s="94" t="n">
        <f aca="false">IF(ISNUMBER(Z500),AT500/10000*MAX(Z500-1,0)*AA500*1000000,0)</f>
        <v>0</v>
      </c>
      <c r="AV500" s="94" t="n">
        <f aca="false">AO500+AU500</f>
        <v>0</v>
      </c>
      <c r="AW500" s="43" t="str">
        <f aca="false">IF(Q500&lt;&gt;1,"",TRIM(IF(AD500=1,"FRN ","")&amp;IF(AND(AL500&gt;=10,AL500&lt;99),"BBB0미만 ","")&amp;IF(AJ500="","등급없음 ","")&amp;IF(K500&lt;&gt;1,"비USD ","")&amp;IF(AND(AB500="",Y500=0),"시장데이터없음 ","")&amp;IF(AND(ISNUMBER(U500),U500&lt;0),"만기경과 ","")))</f>
        <v/>
      </c>
      <c r="AX500" s="90" t="n">
        <f aca="false">IF(Q500&lt;&gt;1,1,IF(스프레드쇼크!$C$4="Y",INDEX(스프레드쇼크!$B$12:$L$16,IFERROR(MATCH(AH500,스프레드쇼크!$A$12:$A$16,0),MATCH("목록외",스프레드쇼크!$A$12:$A$16,0)),IFERROR(MATCH(AG500,스프레드쇼크!$B$11:$L$11,0),MATCH("목록외",스프레드쇼크!$B$11:$L$11,0))),1))</f>
        <v>1</v>
      </c>
      <c r="AY500" s="90" t="n">
        <f aca="false">IF(스프레드쇼크!$C$5="Y",IF(ISNUMBER(AF500),MIN(스프레드쇼크!$C$7,MAX(스프레드쇼크!$C$6,AF500/스프레드쇼크!$C$8)),1),1)</f>
        <v>1</v>
      </c>
      <c r="AZ500" s="94" t="n">
        <f aca="false">AN500*AX500*AY500</f>
        <v>0</v>
      </c>
      <c r="BA500" s="90" t="n">
        <f aca="false">IF(ISNUMBER(G500),AA500*G500,0)</f>
        <v>0</v>
      </c>
      <c r="BB500" s="90" t="n">
        <f aca="false">IF(ISNUMBER(G500),AA500,0)</f>
        <v>0</v>
      </c>
      <c r="BC500" s="90" t="n">
        <f aca="false">IF(AND(Y500=0,ISNUMBER(AF500)),AA500*AF500,0)</f>
        <v>0</v>
      </c>
      <c r="BD500" s="90" t="n">
        <f aca="false">IF(AND(Y500=0,ISNUMBER(AF500)),AA500,0)</f>
        <v>0</v>
      </c>
      <c r="BE500" s="90" t="n">
        <f aca="false">IF(ISNUMBER(H500),AA500*H500,0)</f>
        <v>0</v>
      </c>
      <c r="BF500" s="90" t="n">
        <f aca="false">IF(ISNUMBER(H500),AA500,0)</f>
        <v>0</v>
      </c>
      <c r="BG500" s="90" t="n">
        <f aca="false">IF(AND(Y500=0,ISNUMBER(AF500),ISNUMBER(Z500)),AA500*Z500,0)</f>
        <v>0</v>
      </c>
      <c r="BH500" s="90" t="n">
        <f aca="false">IF(AND(Y500=0,ISNUMBER(AF500),ISNUMBER(Z500)),AA500*AT500*MAX(Z500-1,0),0)</f>
        <v>0</v>
      </c>
      <c r="BI500" s="90" t="n">
        <f aca="false">IF(Y500=0,AA500,0)</f>
        <v>0</v>
      </c>
    </row>
    <row r="501" customFormat="false" ht="15" hidden="false" customHeight="false" outlineLevel="0" collapsed="false">
      <c r="A501" s="83" t="str">
        <f aca="false">IFERROR(IF(INDEX(원자료_잔고!$A$1:$EZ$1500,설정!$L$5+ROW()-1,설정!$L$8)&amp;""="0","",INDEX(원자료_잔고!$A$1:$EZ$1500,설정!$L$5+ROW()-1,설정!$L$8)&amp;""),"")</f>
        <v/>
      </c>
      <c r="B501" s="83" t="str">
        <f aca="false">IFERROR(IF(INDEX(원자료_잔고!$A$1:$EZ$1500,설정!$L$5+ROW()-1,설정!$L$7)&amp;""="0","",INDEX(원자료_잔고!$A$1:$EZ$1500,설정!$L$5+ROW()-1,설정!$L$7)&amp;""),"")</f>
        <v/>
      </c>
      <c r="C501" s="83" t="str">
        <f aca="false">IFERROR(IF(INDEX(원자료_잔고!$A$1:$EZ$1500,설정!$L$5+ROW()-1,설정!$L$9)&amp;""="0","",INDEX(원자료_잔고!$A$1:$EZ$1500,설정!$L$5+ROW()-1,설정!$L$9)&amp;""),"")</f>
        <v/>
      </c>
      <c r="D501" s="83" t="str">
        <f aca="false">IFERROR(IF(INDEX(원자료_잔고!$A$1:$EZ$1500,설정!$L$5+ROW()-1,설정!$L$10)&amp;""="0","",INDEX(원자료_잔고!$A$1:$EZ$1500,설정!$L$5+ROW()-1,설정!$L$10)&amp;""),"")</f>
        <v/>
      </c>
      <c r="E501" s="84" t="str">
        <f aca="false">IFERROR(IF(ISNUMBER(INDEX(원자료_잔고!$A$1:$EZ$1500,설정!$L$5+ROW()-1,설정!$L$11)),INDEX(원자료_잔고!$A$1:$EZ$1500,설정!$L$5+ROW()-1,설정!$L$11),""),"")</f>
        <v/>
      </c>
      <c r="F501" s="85" t="str">
        <f aca="false">IFERROR(IF(ISNUMBER(INDEX(원자료_잔고!$A$1:$EZ$1500,설정!$L$5+ROW()-1,설정!$L$12)),INDEX(원자료_잔고!$A$1:$EZ$1500,설정!$L$5+ROW()-1,설정!$L$12),""),"")</f>
        <v/>
      </c>
      <c r="G501" s="85" t="str">
        <f aca="false">IFERROR(IF(ISNUMBER(INDEX(원자료_잔고!$A$1:$EZ$1500,설정!$L$5+ROW()-1,설정!$L$13)),INDEX(원자료_잔고!$A$1:$EZ$1500,설정!$L$5+ROW()-1,설정!$L$13),""),"")</f>
        <v/>
      </c>
      <c r="H501" s="85" t="str">
        <f aca="false">IFERROR(IF(ISNUMBER(INDEX(원자료_잔고!$A$1:$EZ$1500,설정!$L$5+ROW()-1,설정!$L$14)),INDEX(원자료_잔고!$A$1:$EZ$1500,설정!$L$5+ROW()-1,설정!$L$14),""),"")</f>
        <v/>
      </c>
      <c r="I501" s="86" t="str">
        <f aca="false">IFERROR(IF(ISNUMBER(INDEX(원자료_잔고!$A$1:$EZ$1500,설정!$L$5+ROW()-1,설정!$L$15)),INDEX(원자료_잔고!$A$1:$EZ$1500,설정!$L$5+ROW()-1,설정!$L$15),""),"")</f>
        <v/>
      </c>
      <c r="J501" s="85" t="str">
        <f aca="false">IFERROR(IF(ISNUMBER(INDEX(원자료_잔고!$A$1:$EZ$1500,설정!$L$5+ROW()-1,설정!$L$16)),INDEX(원자료_잔고!$A$1:$EZ$1500,설정!$L$5+ROW()-1,설정!$L$16),""),"")</f>
        <v/>
      </c>
      <c r="K501" s="87" t="str">
        <f aca="false">IFERROR(IF(ISNUMBER(INDEX(원자료_잔고!$A$1:$EZ$1500,설정!$L$5+ROW()-1,설정!$L$17)),INDEX(원자료_잔고!$A$1:$EZ$1500,설정!$L$5+ROW()-1,설정!$L$17),""),"")</f>
        <v/>
      </c>
      <c r="L501" s="84" t="str">
        <f aca="false">IFERROR(IF(ISNUMBER(INDEX(원자료_잔고!$A$1:$EZ$1500,설정!$L$5+ROW()-1,설정!$L$18)),INDEX(원자료_잔고!$A$1:$EZ$1500,설정!$L$5+ROW()-1,설정!$L$18),""),"")</f>
        <v/>
      </c>
      <c r="M501" s="88" t="str">
        <f aca="false">IFERROR(IF(ISNUMBER(INDEX(원자료_잔고!$A$1:$EZ$1500,설정!$L$5+ROW()-1,설정!$L$19)),INDEX(원자료_잔고!$A$1:$EZ$1500,설정!$L$5+ROW()-1,설정!$L$19),""),"")</f>
        <v/>
      </c>
      <c r="N501" s="83" t="str">
        <f aca="false">IFERROR(IF(INDEX(원자료_잔고!$A$1:$EZ$1500,설정!$L$5+ROW()-1,설정!$L$21)&amp;""="0","",INDEX(원자료_잔고!$A$1:$EZ$1500,설정!$L$5+ROW()-1,설정!$L$21)&amp;""),"")</f>
        <v/>
      </c>
      <c r="O501" s="83" t="str">
        <f aca="false">IFERROR(IF(INDEX(원자료_잔고!$A$1:$EZ$1500,설정!$L$5+ROW()-1,설정!$L$22)&amp;""="0","",INDEX(원자료_잔고!$A$1:$EZ$1500,설정!$L$5+ROW()-1,설정!$L$22)&amp;""),"")</f>
        <v/>
      </c>
      <c r="P501" s="83" t="str">
        <f aca="false">IFERROR(IF(INDEX(원자료_잔고!$A$1:$EZ$1500,설정!$L$5+ROW()-1,설정!$L$23)&amp;""="0","",INDEX(원자료_잔고!$A$1:$EZ$1500,설정!$L$5+ROW()-1,설정!$L$23)&amp;""),"")</f>
        <v/>
      </c>
      <c r="Q501" s="89" t="n">
        <f aca="false">IF(AND($A501&lt;&gt;"",ISNUMBER(E501)),IF(E501&gt;0,1,0),0)</f>
        <v>0</v>
      </c>
      <c r="R501" s="43" t="str">
        <f aca="false">IF(Q501=1,UPPER(LEFT($A501,FIND(" ",$A501&amp;" ")-1)),"")</f>
        <v/>
      </c>
      <c r="S501" s="89" t="n">
        <f aca="false">IF(Q501=1,IF(OR(ISNUMBER(SEARCH("Float",$A501)),ISNUMBER(SEARCH("FRN",$A501))),1,0),0)</f>
        <v>0</v>
      </c>
      <c r="T501" s="43" t="str">
        <f aca="false">IF(AND(Q501=1,ISNUMBER(I501)),TEXT(I501,"yyyymmdd")&amp;"|"&amp;IF(S501=1,"F",TEXT(J501,"0.000")),"")</f>
        <v/>
      </c>
      <c r="U501" s="90" t="str">
        <f aca="false">IF(AND(Q501=1,ISNUMBER(I501)),(I501-설정!$C$4)/365.25,"")</f>
        <v/>
      </c>
      <c r="V501" s="43" t="str">
        <f aca="false">IF(Q501&lt;&gt;1,"",IF(ISNUMBER(U501),IF(U501&lt;=1,"1년 이하",IF(U501&lt;=2,"1-2년",IF(U501&lt;=3,"2-3년",IF(U501&lt;=4,"3-4년",IF(U501&lt;=5,"4-5년",IF(U501&lt;=7,"5-7년",IF(U501&lt;=10,"7-10년",IF(U501&lt;=20,"10-20년","20년 이상")))))))),"미분류"))</f>
        <v/>
      </c>
      <c r="W501" s="43" t="str">
        <f aca="false">IF(Q501&lt;&gt;1,"",IF(AB501&lt;&gt;"",INDEX(시장분석!$C:$C,AB501),IF(K501=1,"USD","비USD")))</f>
        <v/>
      </c>
      <c r="X501" s="91" t="n">
        <f aca="false">IF(Q501=1,E501*K501/1000000,0)</f>
        <v>0</v>
      </c>
      <c r="Y501" s="89" t="n">
        <f aca="false">IF(R501="T",1,0)</f>
        <v>0</v>
      </c>
      <c r="Z501" s="92" t="str">
        <f aca="false">IF(Q501&lt;&gt;1,"",IF(AD501=1,IF(ISNUMBER(U501),MAX(U501,0),H501),H501))</f>
        <v/>
      </c>
      <c r="AA501" s="91" t="n">
        <f aca="false">IF(Q501=1,IF(ISNUMBER(L501),L501,0)*K501/1000000,0)</f>
        <v>0</v>
      </c>
      <c r="AB501" s="89" t="str">
        <f aca="false">IF(Q501&lt;&gt;1,"",IFERROR(MATCH(VLOOKUP(B501,매핑!$H$4:$I$15,2,0),시장분석!$A$2:$A$601,0)+1,IFERROR(MATCH(R501&amp;"|"&amp;T501,시장분석!$V$2:$V$601,0)+1,IF(COUNTIF(시장분석!$U$2:$U$601,T501)=1,MATCH(T501,시장분석!$U$2:$U$601,0)+1,""))))</f>
        <v/>
      </c>
      <c r="AC501" s="89" t="n">
        <f aca="false">IF(Q501&lt;&gt;1,0,IF(OR(설정!$C$5="전체",AND(설정!$C$5="선택펀드",IFERROR(COUNTIFS(설정!$F$16:$F$36,C501,설정!$G$16:$G$36,"Y")+COUNTIFS(설정!$F$16:$F$36,VALUE(C501),설정!$G$16:$G$36,"Y"),0)&gt;0),C501&amp;""=설정!$C$5&amp;""),1,0))</f>
        <v>0</v>
      </c>
      <c r="AD501" s="89" t="n">
        <f aca="false">IF(Q501&lt;&gt;1,0,IF(OR(S501=1,IF(AB501="",FALSE(),INDEX(시장분석!$R:$R,AB501)=1)),1,0))</f>
        <v>0</v>
      </c>
      <c r="AE501" s="43" t="str">
        <f aca="false">IF(AB501="","",INDEX(시장분석!$A:$A,AB501))</f>
        <v/>
      </c>
      <c r="AF501" s="93" t="str">
        <f aca="false">IF(AB501="","",IF(ISNUMBER(IF(AB501="","",INDEX(시장분석!$E:$E,AB501))),IF(AB501="","",INDEX(시장분석!$E:$E,AB501)),""))</f>
        <v/>
      </c>
      <c r="AG501" s="43" t="str">
        <f aca="false">IF(Q501&lt;&gt;1,"",IF(AB501&lt;&gt;"",IF(AB501="","",INDEX(시장분석!$L:$L,AB501)),IFERROR(IF(VLOOKUP(R501,매핑!$A$4:$E$92,5,0)="","미분류",VLOOKUP(R501,매핑!$A$4:$E$92,5,0)),"미분류")))</f>
        <v/>
      </c>
      <c r="AH501" s="43" t="str">
        <f aca="false">IF(Q501&lt;&gt;1,"",IF(AB501&lt;&gt;"",IF(AB501="","",INDEX(시장분석!$N:$N,AB501)),IFERROR(IF(VLOOKUP(R501,매핑!$A$4:$E$92,4,0)="","미분류",VLOOKUP(R501,매핑!$A$4:$E$92,4,0)),"미분류")))</f>
        <v/>
      </c>
      <c r="AI501" s="43" t="str">
        <f aca="false">IF(Q501&lt;&gt;1,"",IFERROR(IF(VLOOKUP(R501,매핑!$A$4:$E$92,3,0)="","미분류",VLOOKUP(R501,매핑!$A$4:$E$92,3,0)),IF(AB501&lt;&gt;"",IF(AB501="","",INDEX(시장분석!$W:$W,AB501)),"미분류")))</f>
        <v/>
      </c>
      <c r="AJ501" s="43" t="str">
        <f aca="false">IF(Q501&lt;&gt;1,"",IFERROR(VLOOKUP(IF(N501&lt;&gt;"",N501,IF(P501&lt;&gt;"",P501,O501)),설정!$A$15:$D$47,2,0),""))</f>
        <v/>
      </c>
      <c r="AK501" s="43" t="str">
        <f aca="false">IF(Q501&lt;&gt;1,"",IF(AJ501="","무등급",IFERROR(VLOOKUP(AJ501,설정!$A$15:$D$47,3,0),"무등급")))</f>
        <v/>
      </c>
      <c r="AL501" s="89" t="n">
        <f aca="false">IF(AJ501="",99,IFERROR(VLOOKUP(AJ501,설정!$A$15:$D$47,4,0),99))</f>
        <v>99</v>
      </c>
      <c r="AM501" s="94" t="n">
        <f aca="false">IF(ISNUMBER(H501),AA501*1000000*H501/10000,0)</f>
        <v>0</v>
      </c>
      <c r="AN501" s="94" t="n">
        <f aca="false">IF(OR(Y501=1,NOT(ISNUMBER(Z501))),0,AA501*1000000*Z501/10000)</f>
        <v>0</v>
      </c>
      <c r="AO501" s="94" t="n">
        <f aca="false">IF(ISNUMBER(G501),AA501*1000000*G501/100,0)</f>
        <v>0</v>
      </c>
      <c r="AP501" s="94" t="n">
        <f aca="false">IF(ISNUMBER(M501),M501*K501,0)</f>
        <v>0</v>
      </c>
      <c r="AQ501" s="95" t="str">
        <f aca="false">IF(AB501="","",INDEX(시장분석!$AK:$AK,AB501))</f>
        <v/>
      </c>
      <c r="AR501" s="43" t="str">
        <f aca="false">IF(AB501="","-",IF(AB501="","",INDEX(시장분석!$AL:$AL,AB501)))</f>
        <v>-</v>
      </c>
      <c r="AS501" s="96" t="str">
        <f aca="false">IF(AB501="","",INDEX(시장분석!$AJ:$AJ,AB501))</f>
        <v/>
      </c>
      <c r="AT501" s="93" t="n">
        <f aca="false">IF(AB501="",0,IF(AB501="","",INDEX(시장분석!$AN:$AN,AB501)))</f>
        <v>0</v>
      </c>
      <c r="AU501" s="94" t="n">
        <f aca="false">IF(ISNUMBER(Z501),AT501/10000*MAX(Z501-1,0)*AA501*1000000,0)</f>
        <v>0</v>
      </c>
      <c r="AV501" s="94" t="n">
        <f aca="false">AO501+AU501</f>
        <v>0</v>
      </c>
      <c r="AW501" s="43" t="str">
        <f aca="false">IF(Q501&lt;&gt;1,"",TRIM(IF(AD501=1,"FRN ","")&amp;IF(AND(AL501&gt;=10,AL501&lt;99),"BBB0미만 ","")&amp;IF(AJ501="","등급없음 ","")&amp;IF(K501&lt;&gt;1,"비USD ","")&amp;IF(AND(AB501="",Y501=0),"시장데이터없음 ","")&amp;IF(AND(ISNUMBER(U501),U501&lt;0),"만기경과 ","")))</f>
        <v/>
      </c>
      <c r="AX501" s="90" t="n">
        <f aca="false">IF(Q501&lt;&gt;1,1,IF(스프레드쇼크!$C$4="Y",INDEX(스프레드쇼크!$B$12:$L$16,IFERROR(MATCH(AH501,스프레드쇼크!$A$12:$A$16,0),MATCH("목록외",스프레드쇼크!$A$12:$A$16,0)),IFERROR(MATCH(AG501,스프레드쇼크!$B$11:$L$11,0),MATCH("목록외",스프레드쇼크!$B$11:$L$11,0))),1))</f>
        <v>1</v>
      </c>
      <c r="AY501" s="90" t="n">
        <f aca="false">IF(스프레드쇼크!$C$5="Y",IF(ISNUMBER(AF501),MIN(스프레드쇼크!$C$7,MAX(스프레드쇼크!$C$6,AF501/스프레드쇼크!$C$8)),1),1)</f>
        <v>1</v>
      </c>
      <c r="AZ501" s="94" t="n">
        <f aca="false">AN501*AX501*AY501</f>
        <v>0</v>
      </c>
      <c r="BA501" s="90" t="n">
        <f aca="false">IF(ISNUMBER(G501),AA501*G501,0)</f>
        <v>0</v>
      </c>
      <c r="BB501" s="90" t="n">
        <f aca="false">IF(ISNUMBER(G501),AA501,0)</f>
        <v>0</v>
      </c>
      <c r="BC501" s="90" t="n">
        <f aca="false">IF(AND(Y501=0,ISNUMBER(AF501)),AA501*AF501,0)</f>
        <v>0</v>
      </c>
      <c r="BD501" s="90" t="n">
        <f aca="false">IF(AND(Y501=0,ISNUMBER(AF501)),AA501,0)</f>
        <v>0</v>
      </c>
      <c r="BE501" s="90" t="n">
        <f aca="false">IF(ISNUMBER(H501),AA501*H501,0)</f>
        <v>0</v>
      </c>
      <c r="BF501" s="90" t="n">
        <f aca="false">IF(ISNUMBER(H501),AA501,0)</f>
        <v>0</v>
      </c>
      <c r="BG501" s="90" t="n">
        <f aca="false">IF(AND(Y501=0,ISNUMBER(AF501),ISNUMBER(Z501)),AA501*Z501,0)</f>
        <v>0</v>
      </c>
      <c r="BH501" s="90" t="n">
        <f aca="false">IF(AND(Y501=0,ISNUMBER(AF501),ISNUMBER(Z501)),AA501*AT501*MAX(Z501-1,0),0)</f>
        <v>0</v>
      </c>
      <c r="BI501" s="90" t="n">
        <f aca="false">IF(Y501=0,AA501,0)</f>
        <v>0</v>
      </c>
    </row>
    <row r="502" customFormat="false" ht="15" hidden="false" customHeight="false" outlineLevel="0" collapsed="false">
      <c r="A502" s="83" t="str">
        <f aca="false">IFERROR(IF(INDEX(원자료_잔고!$A$1:$EZ$1500,설정!$L$5+ROW()-1,설정!$L$8)&amp;""="0","",INDEX(원자료_잔고!$A$1:$EZ$1500,설정!$L$5+ROW()-1,설정!$L$8)&amp;""),"")</f>
        <v/>
      </c>
      <c r="B502" s="83" t="str">
        <f aca="false">IFERROR(IF(INDEX(원자료_잔고!$A$1:$EZ$1500,설정!$L$5+ROW()-1,설정!$L$7)&amp;""="0","",INDEX(원자료_잔고!$A$1:$EZ$1500,설정!$L$5+ROW()-1,설정!$L$7)&amp;""),"")</f>
        <v/>
      </c>
      <c r="C502" s="83" t="str">
        <f aca="false">IFERROR(IF(INDEX(원자료_잔고!$A$1:$EZ$1500,설정!$L$5+ROW()-1,설정!$L$9)&amp;""="0","",INDEX(원자료_잔고!$A$1:$EZ$1500,설정!$L$5+ROW()-1,설정!$L$9)&amp;""),"")</f>
        <v/>
      </c>
      <c r="D502" s="83" t="str">
        <f aca="false">IFERROR(IF(INDEX(원자료_잔고!$A$1:$EZ$1500,설정!$L$5+ROW()-1,설정!$L$10)&amp;""="0","",INDEX(원자료_잔고!$A$1:$EZ$1500,설정!$L$5+ROW()-1,설정!$L$10)&amp;""),"")</f>
        <v/>
      </c>
      <c r="E502" s="84" t="str">
        <f aca="false">IFERROR(IF(ISNUMBER(INDEX(원자료_잔고!$A$1:$EZ$1500,설정!$L$5+ROW()-1,설정!$L$11)),INDEX(원자료_잔고!$A$1:$EZ$1500,설정!$L$5+ROW()-1,설정!$L$11),""),"")</f>
        <v/>
      </c>
      <c r="F502" s="85" t="str">
        <f aca="false">IFERROR(IF(ISNUMBER(INDEX(원자료_잔고!$A$1:$EZ$1500,설정!$L$5+ROW()-1,설정!$L$12)),INDEX(원자료_잔고!$A$1:$EZ$1500,설정!$L$5+ROW()-1,설정!$L$12),""),"")</f>
        <v/>
      </c>
      <c r="G502" s="85" t="str">
        <f aca="false">IFERROR(IF(ISNUMBER(INDEX(원자료_잔고!$A$1:$EZ$1500,설정!$L$5+ROW()-1,설정!$L$13)),INDEX(원자료_잔고!$A$1:$EZ$1500,설정!$L$5+ROW()-1,설정!$L$13),""),"")</f>
        <v/>
      </c>
      <c r="H502" s="85" t="str">
        <f aca="false">IFERROR(IF(ISNUMBER(INDEX(원자료_잔고!$A$1:$EZ$1500,설정!$L$5+ROW()-1,설정!$L$14)),INDEX(원자료_잔고!$A$1:$EZ$1500,설정!$L$5+ROW()-1,설정!$L$14),""),"")</f>
        <v/>
      </c>
      <c r="I502" s="86" t="str">
        <f aca="false">IFERROR(IF(ISNUMBER(INDEX(원자료_잔고!$A$1:$EZ$1500,설정!$L$5+ROW()-1,설정!$L$15)),INDEX(원자료_잔고!$A$1:$EZ$1500,설정!$L$5+ROW()-1,설정!$L$15),""),"")</f>
        <v/>
      </c>
      <c r="J502" s="85" t="str">
        <f aca="false">IFERROR(IF(ISNUMBER(INDEX(원자료_잔고!$A$1:$EZ$1500,설정!$L$5+ROW()-1,설정!$L$16)),INDEX(원자료_잔고!$A$1:$EZ$1500,설정!$L$5+ROW()-1,설정!$L$16),""),"")</f>
        <v/>
      </c>
      <c r="K502" s="87" t="str">
        <f aca="false">IFERROR(IF(ISNUMBER(INDEX(원자료_잔고!$A$1:$EZ$1500,설정!$L$5+ROW()-1,설정!$L$17)),INDEX(원자료_잔고!$A$1:$EZ$1500,설정!$L$5+ROW()-1,설정!$L$17),""),"")</f>
        <v/>
      </c>
      <c r="L502" s="84" t="str">
        <f aca="false">IFERROR(IF(ISNUMBER(INDEX(원자료_잔고!$A$1:$EZ$1500,설정!$L$5+ROW()-1,설정!$L$18)),INDEX(원자료_잔고!$A$1:$EZ$1500,설정!$L$5+ROW()-1,설정!$L$18),""),"")</f>
        <v/>
      </c>
      <c r="M502" s="88" t="str">
        <f aca="false">IFERROR(IF(ISNUMBER(INDEX(원자료_잔고!$A$1:$EZ$1500,설정!$L$5+ROW()-1,설정!$L$19)),INDEX(원자료_잔고!$A$1:$EZ$1500,설정!$L$5+ROW()-1,설정!$L$19),""),"")</f>
        <v/>
      </c>
      <c r="N502" s="83" t="str">
        <f aca="false">IFERROR(IF(INDEX(원자료_잔고!$A$1:$EZ$1500,설정!$L$5+ROW()-1,설정!$L$21)&amp;""="0","",INDEX(원자료_잔고!$A$1:$EZ$1500,설정!$L$5+ROW()-1,설정!$L$21)&amp;""),"")</f>
        <v/>
      </c>
      <c r="O502" s="83" t="str">
        <f aca="false">IFERROR(IF(INDEX(원자료_잔고!$A$1:$EZ$1500,설정!$L$5+ROW()-1,설정!$L$22)&amp;""="0","",INDEX(원자료_잔고!$A$1:$EZ$1500,설정!$L$5+ROW()-1,설정!$L$22)&amp;""),"")</f>
        <v/>
      </c>
      <c r="P502" s="83" t="str">
        <f aca="false">IFERROR(IF(INDEX(원자료_잔고!$A$1:$EZ$1500,설정!$L$5+ROW()-1,설정!$L$23)&amp;""="0","",INDEX(원자료_잔고!$A$1:$EZ$1500,설정!$L$5+ROW()-1,설정!$L$23)&amp;""),"")</f>
        <v/>
      </c>
      <c r="Q502" s="89" t="n">
        <f aca="false">IF(AND($A502&lt;&gt;"",ISNUMBER(E502)),IF(E502&gt;0,1,0),0)</f>
        <v>0</v>
      </c>
      <c r="R502" s="43" t="str">
        <f aca="false">IF(Q502=1,UPPER(LEFT($A502,FIND(" ",$A502&amp;" ")-1)),"")</f>
        <v/>
      </c>
      <c r="S502" s="89" t="n">
        <f aca="false">IF(Q502=1,IF(OR(ISNUMBER(SEARCH("Float",$A502)),ISNUMBER(SEARCH("FRN",$A502))),1,0),0)</f>
        <v>0</v>
      </c>
      <c r="T502" s="43" t="str">
        <f aca="false">IF(AND(Q502=1,ISNUMBER(I502)),TEXT(I502,"yyyymmdd")&amp;"|"&amp;IF(S502=1,"F",TEXT(J502,"0.000")),"")</f>
        <v/>
      </c>
      <c r="U502" s="90" t="str">
        <f aca="false">IF(AND(Q502=1,ISNUMBER(I502)),(I502-설정!$C$4)/365.25,"")</f>
        <v/>
      </c>
      <c r="V502" s="43" t="str">
        <f aca="false">IF(Q502&lt;&gt;1,"",IF(ISNUMBER(U502),IF(U502&lt;=1,"1년 이하",IF(U502&lt;=2,"1-2년",IF(U502&lt;=3,"2-3년",IF(U502&lt;=4,"3-4년",IF(U502&lt;=5,"4-5년",IF(U502&lt;=7,"5-7년",IF(U502&lt;=10,"7-10년",IF(U502&lt;=20,"10-20년","20년 이상")))))))),"미분류"))</f>
        <v/>
      </c>
      <c r="W502" s="43" t="str">
        <f aca="false">IF(Q502&lt;&gt;1,"",IF(AB502&lt;&gt;"",INDEX(시장분석!$C:$C,AB502),IF(K502=1,"USD","비USD")))</f>
        <v/>
      </c>
      <c r="X502" s="91" t="n">
        <f aca="false">IF(Q502=1,E502*K502/1000000,0)</f>
        <v>0</v>
      </c>
      <c r="Y502" s="89" t="n">
        <f aca="false">IF(R502="T",1,0)</f>
        <v>0</v>
      </c>
      <c r="Z502" s="92" t="str">
        <f aca="false">IF(Q502&lt;&gt;1,"",IF(AD502=1,IF(ISNUMBER(U502),MAX(U502,0),H502),H502))</f>
        <v/>
      </c>
      <c r="AA502" s="91" t="n">
        <f aca="false">IF(Q502=1,IF(ISNUMBER(L502),L502,0)*K502/1000000,0)</f>
        <v>0</v>
      </c>
      <c r="AB502" s="89" t="str">
        <f aca="false">IF(Q502&lt;&gt;1,"",IFERROR(MATCH(VLOOKUP(B502,매핑!$H$4:$I$15,2,0),시장분석!$A$2:$A$601,0)+1,IFERROR(MATCH(R502&amp;"|"&amp;T502,시장분석!$V$2:$V$601,0)+1,IF(COUNTIF(시장분석!$U$2:$U$601,T502)=1,MATCH(T502,시장분석!$U$2:$U$601,0)+1,""))))</f>
        <v/>
      </c>
      <c r="AC502" s="89" t="n">
        <f aca="false">IF(Q502&lt;&gt;1,0,IF(OR(설정!$C$5="전체",AND(설정!$C$5="선택펀드",IFERROR(COUNTIFS(설정!$F$16:$F$36,C502,설정!$G$16:$G$36,"Y")+COUNTIFS(설정!$F$16:$F$36,VALUE(C502),설정!$G$16:$G$36,"Y"),0)&gt;0),C502&amp;""=설정!$C$5&amp;""),1,0))</f>
        <v>0</v>
      </c>
      <c r="AD502" s="89" t="n">
        <f aca="false">IF(Q502&lt;&gt;1,0,IF(OR(S502=1,IF(AB502="",FALSE(),INDEX(시장분석!$R:$R,AB502)=1)),1,0))</f>
        <v>0</v>
      </c>
      <c r="AE502" s="43" t="str">
        <f aca="false">IF(AB502="","",INDEX(시장분석!$A:$A,AB502))</f>
        <v/>
      </c>
      <c r="AF502" s="93" t="str">
        <f aca="false">IF(AB502="","",IF(ISNUMBER(IF(AB502="","",INDEX(시장분석!$E:$E,AB502))),IF(AB502="","",INDEX(시장분석!$E:$E,AB502)),""))</f>
        <v/>
      </c>
      <c r="AG502" s="43" t="str">
        <f aca="false">IF(Q502&lt;&gt;1,"",IF(AB502&lt;&gt;"",IF(AB502="","",INDEX(시장분석!$L:$L,AB502)),IFERROR(IF(VLOOKUP(R502,매핑!$A$4:$E$92,5,0)="","미분류",VLOOKUP(R502,매핑!$A$4:$E$92,5,0)),"미분류")))</f>
        <v/>
      </c>
      <c r="AH502" s="43" t="str">
        <f aca="false">IF(Q502&lt;&gt;1,"",IF(AB502&lt;&gt;"",IF(AB502="","",INDEX(시장분석!$N:$N,AB502)),IFERROR(IF(VLOOKUP(R502,매핑!$A$4:$E$92,4,0)="","미분류",VLOOKUP(R502,매핑!$A$4:$E$92,4,0)),"미분류")))</f>
        <v/>
      </c>
      <c r="AI502" s="43" t="str">
        <f aca="false">IF(Q502&lt;&gt;1,"",IFERROR(IF(VLOOKUP(R502,매핑!$A$4:$E$92,3,0)="","미분류",VLOOKUP(R502,매핑!$A$4:$E$92,3,0)),IF(AB502&lt;&gt;"",IF(AB502="","",INDEX(시장분석!$W:$W,AB502)),"미분류")))</f>
        <v/>
      </c>
      <c r="AJ502" s="43" t="str">
        <f aca="false">IF(Q502&lt;&gt;1,"",IFERROR(VLOOKUP(IF(N502&lt;&gt;"",N502,IF(P502&lt;&gt;"",P502,O502)),설정!$A$15:$D$47,2,0),""))</f>
        <v/>
      </c>
      <c r="AK502" s="43" t="str">
        <f aca="false">IF(Q502&lt;&gt;1,"",IF(AJ502="","무등급",IFERROR(VLOOKUP(AJ502,설정!$A$15:$D$47,3,0),"무등급")))</f>
        <v/>
      </c>
      <c r="AL502" s="89" t="n">
        <f aca="false">IF(AJ502="",99,IFERROR(VLOOKUP(AJ502,설정!$A$15:$D$47,4,0),99))</f>
        <v>99</v>
      </c>
      <c r="AM502" s="94" t="n">
        <f aca="false">IF(ISNUMBER(H502),AA502*1000000*H502/10000,0)</f>
        <v>0</v>
      </c>
      <c r="AN502" s="94" t="n">
        <f aca="false">IF(OR(Y502=1,NOT(ISNUMBER(Z502))),0,AA502*1000000*Z502/10000)</f>
        <v>0</v>
      </c>
      <c r="AO502" s="94" t="n">
        <f aca="false">IF(ISNUMBER(G502),AA502*1000000*G502/100,0)</f>
        <v>0</v>
      </c>
      <c r="AP502" s="94" t="n">
        <f aca="false">IF(ISNUMBER(M502),M502*K502,0)</f>
        <v>0</v>
      </c>
      <c r="AQ502" s="95" t="str">
        <f aca="false">IF(AB502="","",INDEX(시장분석!$AK:$AK,AB502))</f>
        <v/>
      </c>
      <c r="AR502" s="43" t="str">
        <f aca="false">IF(AB502="","-",IF(AB502="","",INDEX(시장분석!$AL:$AL,AB502)))</f>
        <v>-</v>
      </c>
      <c r="AS502" s="96" t="str">
        <f aca="false">IF(AB502="","",INDEX(시장분석!$AJ:$AJ,AB502))</f>
        <v/>
      </c>
      <c r="AT502" s="93" t="n">
        <f aca="false">IF(AB502="",0,IF(AB502="","",INDEX(시장분석!$AN:$AN,AB502)))</f>
        <v>0</v>
      </c>
      <c r="AU502" s="94" t="n">
        <f aca="false">IF(ISNUMBER(Z502),AT502/10000*MAX(Z502-1,0)*AA502*1000000,0)</f>
        <v>0</v>
      </c>
      <c r="AV502" s="94" t="n">
        <f aca="false">AO502+AU502</f>
        <v>0</v>
      </c>
      <c r="AW502" s="43" t="str">
        <f aca="false">IF(Q502&lt;&gt;1,"",TRIM(IF(AD502=1,"FRN ","")&amp;IF(AND(AL502&gt;=10,AL502&lt;99),"BBB0미만 ","")&amp;IF(AJ502="","등급없음 ","")&amp;IF(K502&lt;&gt;1,"비USD ","")&amp;IF(AND(AB502="",Y502=0),"시장데이터없음 ","")&amp;IF(AND(ISNUMBER(U502),U502&lt;0),"만기경과 ","")))</f>
        <v/>
      </c>
      <c r="AX502" s="90" t="n">
        <f aca="false">IF(Q502&lt;&gt;1,1,IF(스프레드쇼크!$C$4="Y",INDEX(스프레드쇼크!$B$12:$L$16,IFERROR(MATCH(AH502,스프레드쇼크!$A$12:$A$16,0),MATCH("목록외",스프레드쇼크!$A$12:$A$16,0)),IFERROR(MATCH(AG502,스프레드쇼크!$B$11:$L$11,0),MATCH("목록외",스프레드쇼크!$B$11:$L$11,0))),1))</f>
        <v>1</v>
      </c>
      <c r="AY502" s="90" t="n">
        <f aca="false">IF(스프레드쇼크!$C$5="Y",IF(ISNUMBER(AF502),MIN(스프레드쇼크!$C$7,MAX(스프레드쇼크!$C$6,AF502/스프레드쇼크!$C$8)),1),1)</f>
        <v>1</v>
      </c>
      <c r="AZ502" s="94" t="n">
        <f aca="false">AN502*AX502*AY502</f>
        <v>0</v>
      </c>
      <c r="BA502" s="90" t="n">
        <f aca="false">IF(ISNUMBER(G502),AA502*G502,0)</f>
        <v>0</v>
      </c>
      <c r="BB502" s="90" t="n">
        <f aca="false">IF(ISNUMBER(G502),AA502,0)</f>
        <v>0</v>
      </c>
      <c r="BC502" s="90" t="n">
        <f aca="false">IF(AND(Y502=0,ISNUMBER(AF502)),AA502*AF502,0)</f>
        <v>0</v>
      </c>
      <c r="BD502" s="90" t="n">
        <f aca="false">IF(AND(Y502=0,ISNUMBER(AF502)),AA502,0)</f>
        <v>0</v>
      </c>
      <c r="BE502" s="90" t="n">
        <f aca="false">IF(ISNUMBER(H502),AA502*H502,0)</f>
        <v>0</v>
      </c>
      <c r="BF502" s="90" t="n">
        <f aca="false">IF(ISNUMBER(H502),AA502,0)</f>
        <v>0</v>
      </c>
      <c r="BG502" s="90" t="n">
        <f aca="false">IF(AND(Y502=0,ISNUMBER(AF502),ISNUMBER(Z502)),AA502*Z502,0)</f>
        <v>0</v>
      </c>
      <c r="BH502" s="90" t="n">
        <f aca="false">IF(AND(Y502=0,ISNUMBER(AF502),ISNUMBER(Z502)),AA502*AT502*MAX(Z502-1,0),0)</f>
        <v>0</v>
      </c>
      <c r="BI502" s="90" t="n">
        <f aca="false">IF(Y502=0,AA502,0)</f>
        <v>0</v>
      </c>
    </row>
    <row r="503" customFormat="false" ht="15" hidden="false" customHeight="false" outlineLevel="0" collapsed="false">
      <c r="A503" s="83" t="str">
        <f aca="false">IFERROR(IF(INDEX(원자료_잔고!$A$1:$EZ$1500,설정!$L$5+ROW()-1,설정!$L$8)&amp;""="0","",INDEX(원자료_잔고!$A$1:$EZ$1500,설정!$L$5+ROW()-1,설정!$L$8)&amp;""),"")</f>
        <v/>
      </c>
      <c r="B503" s="83" t="str">
        <f aca="false">IFERROR(IF(INDEX(원자료_잔고!$A$1:$EZ$1500,설정!$L$5+ROW()-1,설정!$L$7)&amp;""="0","",INDEX(원자료_잔고!$A$1:$EZ$1500,설정!$L$5+ROW()-1,설정!$L$7)&amp;""),"")</f>
        <v/>
      </c>
      <c r="C503" s="83" t="str">
        <f aca="false">IFERROR(IF(INDEX(원자료_잔고!$A$1:$EZ$1500,설정!$L$5+ROW()-1,설정!$L$9)&amp;""="0","",INDEX(원자료_잔고!$A$1:$EZ$1500,설정!$L$5+ROW()-1,설정!$L$9)&amp;""),"")</f>
        <v/>
      </c>
      <c r="D503" s="83" t="str">
        <f aca="false">IFERROR(IF(INDEX(원자료_잔고!$A$1:$EZ$1500,설정!$L$5+ROW()-1,설정!$L$10)&amp;""="0","",INDEX(원자료_잔고!$A$1:$EZ$1500,설정!$L$5+ROW()-1,설정!$L$10)&amp;""),"")</f>
        <v/>
      </c>
      <c r="E503" s="84" t="str">
        <f aca="false">IFERROR(IF(ISNUMBER(INDEX(원자료_잔고!$A$1:$EZ$1500,설정!$L$5+ROW()-1,설정!$L$11)),INDEX(원자료_잔고!$A$1:$EZ$1500,설정!$L$5+ROW()-1,설정!$L$11),""),"")</f>
        <v/>
      </c>
      <c r="F503" s="85" t="str">
        <f aca="false">IFERROR(IF(ISNUMBER(INDEX(원자료_잔고!$A$1:$EZ$1500,설정!$L$5+ROW()-1,설정!$L$12)),INDEX(원자료_잔고!$A$1:$EZ$1500,설정!$L$5+ROW()-1,설정!$L$12),""),"")</f>
        <v/>
      </c>
      <c r="G503" s="85" t="str">
        <f aca="false">IFERROR(IF(ISNUMBER(INDEX(원자료_잔고!$A$1:$EZ$1500,설정!$L$5+ROW()-1,설정!$L$13)),INDEX(원자료_잔고!$A$1:$EZ$1500,설정!$L$5+ROW()-1,설정!$L$13),""),"")</f>
        <v/>
      </c>
      <c r="H503" s="85" t="str">
        <f aca="false">IFERROR(IF(ISNUMBER(INDEX(원자료_잔고!$A$1:$EZ$1500,설정!$L$5+ROW()-1,설정!$L$14)),INDEX(원자료_잔고!$A$1:$EZ$1500,설정!$L$5+ROW()-1,설정!$L$14),""),"")</f>
        <v/>
      </c>
      <c r="I503" s="86" t="str">
        <f aca="false">IFERROR(IF(ISNUMBER(INDEX(원자료_잔고!$A$1:$EZ$1500,설정!$L$5+ROW()-1,설정!$L$15)),INDEX(원자료_잔고!$A$1:$EZ$1500,설정!$L$5+ROW()-1,설정!$L$15),""),"")</f>
        <v/>
      </c>
      <c r="J503" s="85" t="str">
        <f aca="false">IFERROR(IF(ISNUMBER(INDEX(원자료_잔고!$A$1:$EZ$1500,설정!$L$5+ROW()-1,설정!$L$16)),INDEX(원자료_잔고!$A$1:$EZ$1500,설정!$L$5+ROW()-1,설정!$L$16),""),"")</f>
        <v/>
      </c>
      <c r="K503" s="87" t="str">
        <f aca="false">IFERROR(IF(ISNUMBER(INDEX(원자료_잔고!$A$1:$EZ$1500,설정!$L$5+ROW()-1,설정!$L$17)),INDEX(원자료_잔고!$A$1:$EZ$1500,설정!$L$5+ROW()-1,설정!$L$17),""),"")</f>
        <v/>
      </c>
      <c r="L503" s="84" t="str">
        <f aca="false">IFERROR(IF(ISNUMBER(INDEX(원자료_잔고!$A$1:$EZ$1500,설정!$L$5+ROW()-1,설정!$L$18)),INDEX(원자료_잔고!$A$1:$EZ$1500,설정!$L$5+ROW()-1,설정!$L$18),""),"")</f>
        <v/>
      </c>
      <c r="M503" s="88" t="str">
        <f aca="false">IFERROR(IF(ISNUMBER(INDEX(원자료_잔고!$A$1:$EZ$1500,설정!$L$5+ROW()-1,설정!$L$19)),INDEX(원자료_잔고!$A$1:$EZ$1500,설정!$L$5+ROW()-1,설정!$L$19),""),"")</f>
        <v/>
      </c>
      <c r="N503" s="83" t="str">
        <f aca="false">IFERROR(IF(INDEX(원자료_잔고!$A$1:$EZ$1500,설정!$L$5+ROW()-1,설정!$L$21)&amp;""="0","",INDEX(원자료_잔고!$A$1:$EZ$1500,설정!$L$5+ROW()-1,설정!$L$21)&amp;""),"")</f>
        <v/>
      </c>
      <c r="O503" s="83" t="str">
        <f aca="false">IFERROR(IF(INDEX(원자료_잔고!$A$1:$EZ$1500,설정!$L$5+ROW()-1,설정!$L$22)&amp;""="0","",INDEX(원자료_잔고!$A$1:$EZ$1500,설정!$L$5+ROW()-1,설정!$L$22)&amp;""),"")</f>
        <v/>
      </c>
      <c r="P503" s="83" t="str">
        <f aca="false">IFERROR(IF(INDEX(원자료_잔고!$A$1:$EZ$1500,설정!$L$5+ROW()-1,설정!$L$23)&amp;""="0","",INDEX(원자료_잔고!$A$1:$EZ$1500,설정!$L$5+ROW()-1,설정!$L$23)&amp;""),"")</f>
        <v/>
      </c>
      <c r="Q503" s="89" t="n">
        <f aca="false">IF(AND($A503&lt;&gt;"",ISNUMBER(E503)),IF(E503&gt;0,1,0),0)</f>
        <v>0</v>
      </c>
      <c r="R503" s="43" t="str">
        <f aca="false">IF(Q503=1,UPPER(LEFT($A503,FIND(" ",$A503&amp;" ")-1)),"")</f>
        <v/>
      </c>
      <c r="S503" s="89" t="n">
        <f aca="false">IF(Q503=1,IF(OR(ISNUMBER(SEARCH("Float",$A503)),ISNUMBER(SEARCH("FRN",$A503))),1,0),0)</f>
        <v>0</v>
      </c>
      <c r="T503" s="43" t="str">
        <f aca="false">IF(AND(Q503=1,ISNUMBER(I503)),TEXT(I503,"yyyymmdd")&amp;"|"&amp;IF(S503=1,"F",TEXT(J503,"0.000")),"")</f>
        <v/>
      </c>
      <c r="U503" s="90" t="str">
        <f aca="false">IF(AND(Q503=1,ISNUMBER(I503)),(I503-설정!$C$4)/365.25,"")</f>
        <v/>
      </c>
      <c r="V503" s="43" t="str">
        <f aca="false">IF(Q503&lt;&gt;1,"",IF(ISNUMBER(U503),IF(U503&lt;=1,"1년 이하",IF(U503&lt;=2,"1-2년",IF(U503&lt;=3,"2-3년",IF(U503&lt;=4,"3-4년",IF(U503&lt;=5,"4-5년",IF(U503&lt;=7,"5-7년",IF(U503&lt;=10,"7-10년",IF(U503&lt;=20,"10-20년","20년 이상")))))))),"미분류"))</f>
        <v/>
      </c>
      <c r="W503" s="43" t="str">
        <f aca="false">IF(Q503&lt;&gt;1,"",IF(AB503&lt;&gt;"",INDEX(시장분석!$C:$C,AB503),IF(K503=1,"USD","비USD")))</f>
        <v/>
      </c>
      <c r="X503" s="91" t="n">
        <f aca="false">IF(Q503=1,E503*K503/1000000,0)</f>
        <v>0</v>
      </c>
      <c r="Y503" s="89" t="n">
        <f aca="false">IF(R503="T",1,0)</f>
        <v>0</v>
      </c>
      <c r="Z503" s="92" t="str">
        <f aca="false">IF(Q503&lt;&gt;1,"",IF(AD503=1,IF(ISNUMBER(U503),MAX(U503,0),H503),H503))</f>
        <v/>
      </c>
      <c r="AA503" s="91" t="n">
        <f aca="false">IF(Q503=1,IF(ISNUMBER(L503),L503,0)*K503/1000000,0)</f>
        <v>0</v>
      </c>
      <c r="AB503" s="89" t="str">
        <f aca="false">IF(Q503&lt;&gt;1,"",IFERROR(MATCH(VLOOKUP(B503,매핑!$H$4:$I$15,2,0),시장분석!$A$2:$A$601,0)+1,IFERROR(MATCH(R503&amp;"|"&amp;T503,시장분석!$V$2:$V$601,0)+1,IF(COUNTIF(시장분석!$U$2:$U$601,T503)=1,MATCH(T503,시장분석!$U$2:$U$601,0)+1,""))))</f>
        <v/>
      </c>
      <c r="AC503" s="89" t="n">
        <f aca="false">IF(Q503&lt;&gt;1,0,IF(OR(설정!$C$5="전체",AND(설정!$C$5="선택펀드",IFERROR(COUNTIFS(설정!$F$16:$F$36,C503,설정!$G$16:$G$36,"Y")+COUNTIFS(설정!$F$16:$F$36,VALUE(C503),설정!$G$16:$G$36,"Y"),0)&gt;0),C503&amp;""=설정!$C$5&amp;""),1,0))</f>
        <v>0</v>
      </c>
      <c r="AD503" s="89" t="n">
        <f aca="false">IF(Q503&lt;&gt;1,0,IF(OR(S503=1,IF(AB503="",FALSE(),INDEX(시장분석!$R:$R,AB503)=1)),1,0))</f>
        <v>0</v>
      </c>
      <c r="AE503" s="43" t="str">
        <f aca="false">IF(AB503="","",INDEX(시장분석!$A:$A,AB503))</f>
        <v/>
      </c>
      <c r="AF503" s="93" t="str">
        <f aca="false">IF(AB503="","",IF(ISNUMBER(IF(AB503="","",INDEX(시장분석!$E:$E,AB503))),IF(AB503="","",INDEX(시장분석!$E:$E,AB503)),""))</f>
        <v/>
      </c>
      <c r="AG503" s="43" t="str">
        <f aca="false">IF(Q503&lt;&gt;1,"",IF(AB503&lt;&gt;"",IF(AB503="","",INDEX(시장분석!$L:$L,AB503)),IFERROR(IF(VLOOKUP(R503,매핑!$A$4:$E$92,5,0)="","미분류",VLOOKUP(R503,매핑!$A$4:$E$92,5,0)),"미분류")))</f>
        <v/>
      </c>
      <c r="AH503" s="43" t="str">
        <f aca="false">IF(Q503&lt;&gt;1,"",IF(AB503&lt;&gt;"",IF(AB503="","",INDEX(시장분석!$N:$N,AB503)),IFERROR(IF(VLOOKUP(R503,매핑!$A$4:$E$92,4,0)="","미분류",VLOOKUP(R503,매핑!$A$4:$E$92,4,0)),"미분류")))</f>
        <v/>
      </c>
      <c r="AI503" s="43" t="str">
        <f aca="false">IF(Q503&lt;&gt;1,"",IFERROR(IF(VLOOKUP(R503,매핑!$A$4:$E$92,3,0)="","미분류",VLOOKUP(R503,매핑!$A$4:$E$92,3,0)),IF(AB503&lt;&gt;"",IF(AB503="","",INDEX(시장분석!$W:$W,AB503)),"미분류")))</f>
        <v/>
      </c>
      <c r="AJ503" s="43" t="str">
        <f aca="false">IF(Q503&lt;&gt;1,"",IFERROR(VLOOKUP(IF(N503&lt;&gt;"",N503,IF(P503&lt;&gt;"",P503,O503)),설정!$A$15:$D$47,2,0),""))</f>
        <v/>
      </c>
      <c r="AK503" s="43" t="str">
        <f aca="false">IF(Q503&lt;&gt;1,"",IF(AJ503="","무등급",IFERROR(VLOOKUP(AJ503,설정!$A$15:$D$47,3,0),"무등급")))</f>
        <v/>
      </c>
      <c r="AL503" s="89" t="n">
        <f aca="false">IF(AJ503="",99,IFERROR(VLOOKUP(AJ503,설정!$A$15:$D$47,4,0),99))</f>
        <v>99</v>
      </c>
      <c r="AM503" s="94" t="n">
        <f aca="false">IF(ISNUMBER(H503),AA503*1000000*H503/10000,0)</f>
        <v>0</v>
      </c>
      <c r="AN503" s="94" t="n">
        <f aca="false">IF(OR(Y503=1,NOT(ISNUMBER(Z503))),0,AA503*1000000*Z503/10000)</f>
        <v>0</v>
      </c>
      <c r="AO503" s="94" t="n">
        <f aca="false">IF(ISNUMBER(G503),AA503*1000000*G503/100,0)</f>
        <v>0</v>
      </c>
      <c r="AP503" s="94" t="n">
        <f aca="false">IF(ISNUMBER(M503),M503*K503,0)</f>
        <v>0</v>
      </c>
      <c r="AQ503" s="95" t="str">
        <f aca="false">IF(AB503="","",INDEX(시장분석!$AK:$AK,AB503))</f>
        <v/>
      </c>
      <c r="AR503" s="43" t="str">
        <f aca="false">IF(AB503="","-",IF(AB503="","",INDEX(시장분석!$AL:$AL,AB503)))</f>
        <v>-</v>
      </c>
      <c r="AS503" s="96" t="str">
        <f aca="false">IF(AB503="","",INDEX(시장분석!$AJ:$AJ,AB503))</f>
        <v/>
      </c>
      <c r="AT503" s="93" t="n">
        <f aca="false">IF(AB503="",0,IF(AB503="","",INDEX(시장분석!$AN:$AN,AB503)))</f>
        <v>0</v>
      </c>
      <c r="AU503" s="94" t="n">
        <f aca="false">IF(ISNUMBER(Z503),AT503/10000*MAX(Z503-1,0)*AA503*1000000,0)</f>
        <v>0</v>
      </c>
      <c r="AV503" s="94" t="n">
        <f aca="false">AO503+AU503</f>
        <v>0</v>
      </c>
      <c r="AW503" s="43" t="str">
        <f aca="false">IF(Q503&lt;&gt;1,"",TRIM(IF(AD503=1,"FRN ","")&amp;IF(AND(AL503&gt;=10,AL503&lt;99),"BBB0미만 ","")&amp;IF(AJ503="","등급없음 ","")&amp;IF(K503&lt;&gt;1,"비USD ","")&amp;IF(AND(AB503="",Y503=0),"시장데이터없음 ","")&amp;IF(AND(ISNUMBER(U503),U503&lt;0),"만기경과 ","")))</f>
        <v/>
      </c>
      <c r="AX503" s="90" t="n">
        <f aca="false">IF(Q503&lt;&gt;1,1,IF(스프레드쇼크!$C$4="Y",INDEX(스프레드쇼크!$B$12:$L$16,IFERROR(MATCH(AH503,스프레드쇼크!$A$12:$A$16,0),MATCH("목록외",스프레드쇼크!$A$12:$A$16,0)),IFERROR(MATCH(AG503,스프레드쇼크!$B$11:$L$11,0),MATCH("목록외",스프레드쇼크!$B$11:$L$11,0))),1))</f>
        <v>1</v>
      </c>
      <c r="AY503" s="90" t="n">
        <f aca="false">IF(스프레드쇼크!$C$5="Y",IF(ISNUMBER(AF503),MIN(스프레드쇼크!$C$7,MAX(스프레드쇼크!$C$6,AF503/스프레드쇼크!$C$8)),1),1)</f>
        <v>1</v>
      </c>
      <c r="AZ503" s="94" t="n">
        <f aca="false">AN503*AX503*AY503</f>
        <v>0</v>
      </c>
      <c r="BA503" s="90" t="n">
        <f aca="false">IF(ISNUMBER(G503),AA503*G503,0)</f>
        <v>0</v>
      </c>
      <c r="BB503" s="90" t="n">
        <f aca="false">IF(ISNUMBER(G503),AA503,0)</f>
        <v>0</v>
      </c>
      <c r="BC503" s="90" t="n">
        <f aca="false">IF(AND(Y503=0,ISNUMBER(AF503)),AA503*AF503,0)</f>
        <v>0</v>
      </c>
      <c r="BD503" s="90" t="n">
        <f aca="false">IF(AND(Y503=0,ISNUMBER(AF503)),AA503,0)</f>
        <v>0</v>
      </c>
      <c r="BE503" s="90" t="n">
        <f aca="false">IF(ISNUMBER(H503),AA503*H503,0)</f>
        <v>0</v>
      </c>
      <c r="BF503" s="90" t="n">
        <f aca="false">IF(ISNUMBER(H503),AA503,0)</f>
        <v>0</v>
      </c>
      <c r="BG503" s="90" t="n">
        <f aca="false">IF(AND(Y503=0,ISNUMBER(AF503),ISNUMBER(Z503)),AA503*Z503,0)</f>
        <v>0</v>
      </c>
      <c r="BH503" s="90" t="n">
        <f aca="false">IF(AND(Y503=0,ISNUMBER(AF503),ISNUMBER(Z503)),AA503*AT503*MAX(Z503-1,0),0)</f>
        <v>0</v>
      </c>
      <c r="BI503" s="90" t="n">
        <f aca="false">IF(Y503=0,AA503,0)</f>
        <v>0</v>
      </c>
    </row>
    <row r="504" customFormat="false" ht="15" hidden="false" customHeight="false" outlineLevel="0" collapsed="false">
      <c r="A504" s="83" t="str">
        <f aca="false">IFERROR(IF(INDEX(원자료_잔고!$A$1:$EZ$1500,설정!$L$5+ROW()-1,설정!$L$8)&amp;""="0","",INDEX(원자료_잔고!$A$1:$EZ$1500,설정!$L$5+ROW()-1,설정!$L$8)&amp;""),"")</f>
        <v/>
      </c>
      <c r="B504" s="83" t="str">
        <f aca="false">IFERROR(IF(INDEX(원자료_잔고!$A$1:$EZ$1500,설정!$L$5+ROW()-1,설정!$L$7)&amp;""="0","",INDEX(원자료_잔고!$A$1:$EZ$1500,설정!$L$5+ROW()-1,설정!$L$7)&amp;""),"")</f>
        <v/>
      </c>
      <c r="C504" s="83" t="str">
        <f aca="false">IFERROR(IF(INDEX(원자료_잔고!$A$1:$EZ$1500,설정!$L$5+ROW()-1,설정!$L$9)&amp;""="0","",INDEX(원자료_잔고!$A$1:$EZ$1500,설정!$L$5+ROW()-1,설정!$L$9)&amp;""),"")</f>
        <v/>
      </c>
      <c r="D504" s="83" t="str">
        <f aca="false">IFERROR(IF(INDEX(원자료_잔고!$A$1:$EZ$1500,설정!$L$5+ROW()-1,설정!$L$10)&amp;""="0","",INDEX(원자료_잔고!$A$1:$EZ$1500,설정!$L$5+ROW()-1,설정!$L$10)&amp;""),"")</f>
        <v/>
      </c>
      <c r="E504" s="84" t="str">
        <f aca="false">IFERROR(IF(ISNUMBER(INDEX(원자료_잔고!$A$1:$EZ$1500,설정!$L$5+ROW()-1,설정!$L$11)),INDEX(원자료_잔고!$A$1:$EZ$1500,설정!$L$5+ROW()-1,설정!$L$11),""),"")</f>
        <v/>
      </c>
      <c r="F504" s="85" t="str">
        <f aca="false">IFERROR(IF(ISNUMBER(INDEX(원자료_잔고!$A$1:$EZ$1500,설정!$L$5+ROW()-1,설정!$L$12)),INDEX(원자료_잔고!$A$1:$EZ$1500,설정!$L$5+ROW()-1,설정!$L$12),""),"")</f>
        <v/>
      </c>
      <c r="G504" s="85" t="str">
        <f aca="false">IFERROR(IF(ISNUMBER(INDEX(원자료_잔고!$A$1:$EZ$1500,설정!$L$5+ROW()-1,설정!$L$13)),INDEX(원자료_잔고!$A$1:$EZ$1500,설정!$L$5+ROW()-1,설정!$L$13),""),"")</f>
        <v/>
      </c>
      <c r="H504" s="85" t="str">
        <f aca="false">IFERROR(IF(ISNUMBER(INDEX(원자료_잔고!$A$1:$EZ$1500,설정!$L$5+ROW()-1,설정!$L$14)),INDEX(원자료_잔고!$A$1:$EZ$1500,설정!$L$5+ROW()-1,설정!$L$14),""),"")</f>
        <v/>
      </c>
      <c r="I504" s="86" t="str">
        <f aca="false">IFERROR(IF(ISNUMBER(INDEX(원자료_잔고!$A$1:$EZ$1500,설정!$L$5+ROW()-1,설정!$L$15)),INDEX(원자료_잔고!$A$1:$EZ$1500,설정!$L$5+ROW()-1,설정!$L$15),""),"")</f>
        <v/>
      </c>
      <c r="J504" s="85" t="str">
        <f aca="false">IFERROR(IF(ISNUMBER(INDEX(원자료_잔고!$A$1:$EZ$1500,설정!$L$5+ROW()-1,설정!$L$16)),INDEX(원자료_잔고!$A$1:$EZ$1500,설정!$L$5+ROW()-1,설정!$L$16),""),"")</f>
        <v/>
      </c>
      <c r="K504" s="87" t="str">
        <f aca="false">IFERROR(IF(ISNUMBER(INDEX(원자료_잔고!$A$1:$EZ$1500,설정!$L$5+ROW()-1,설정!$L$17)),INDEX(원자료_잔고!$A$1:$EZ$1500,설정!$L$5+ROW()-1,설정!$L$17),""),"")</f>
        <v/>
      </c>
      <c r="L504" s="84" t="str">
        <f aca="false">IFERROR(IF(ISNUMBER(INDEX(원자료_잔고!$A$1:$EZ$1500,설정!$L$5+ROW()-1,설정!$L$18)),INDEX(원자료_잔고!$A$1:$EZ$1500,설정!$L$5+ROW()-1,설정!$L$18),""),"")</f>
        <v/>
      </c>
      <c r="M504" s="88" t="str">
        <f aca="false">IFERROR(IF(ISNUMBER(INDEX(원자료_잔고!$A$1:$EZ$1500,설정!$L$5+ROW()-1,설정!$L$19)),INDEX(원자료_잔고!$A$1:$EZ$1500,설정!$L$5+ROW()-1,설정!$L$19),""),"")</f>
        <v/>
      </c>
      <c r="N504" s="83" t="str">
        <f aca="false">IFERROR(IF(INDEX(원자료_잔고!$A$1:$EZ$1500,설정!$L$5+ROW()-1,설정!$L$21)&amp;""="0","",INDEX(원자료_잔고!$A$1:$EZ$1500,설정!$L$5+ROW()-1,설정!$L$21)&amp;""),"")</f>
        <v/>
      </c>
      <c r="O504" s="83" t="str">
        <f aca="false">IFERROR(IF(INDEX(원자료_잔고!$A$1:$EZ$1500,설정!$L$5+ROW()-1,설정!$L$22)&amp;""="0","",INDEX(원자료_잔고!$A$1:$EZ$1500,설정!$L$5+ROW()-1,설정!$L$22)&amp;""),"")</f>
        <v/>
      </c>
      <c r="P504" s="83" t="str">
        <f aca="false">IFERROR(IF(INDEX(원자료_잔고!$A$1:$EZ$1500,설정!$L$5+ROW()-1,설정!$L$23)&amp;""="0","",INDEX(원자료_잔고!$A$1:$EZ$1500,설정!$L$5+ROW()-1,설정!$L$23)&amp;""),"")</f>
        <v/>
      </c>
      <c r="Q504" s="89" t="n">
        <f aca="false">IF(AND($A504&lt;&gt;"",ISNUMBER(E504)),IF(E504&gt;0,1,0),0)</f>
        <v>0</v>
      </c>
      <c r="R504" s="43" t="str">
        <f aca="false">IF(Q504=1,UPPER(LEFT($A504,FIND(" ",$A504&amp;" ")-1)),"")</f>
        <v/>
      </c>
      <c r="S504" s="89" t="n">
        <f aca="false">IF(Q504=1,IF(OR(ISNUMBER(SEARCH("Float",$A504)),ISNUMBER(SEARCH("FRN",$A504))),1,0),0)</f>
        <v>0</v>
      </c>
      <c r="T504" s="43" t="str">
        <f aca="false">IF(AND(Q504=1,ISNUMBER(I504)),TEXT(I504,"yyyymmdd")&amp;"|"&amp;IF(S504=1,"F",TEXT(J504,"0.000")),"")</f>
        <v/>
      </c>
      <c r="U504" s="90" t="str">
        <f aca="false">IF(AND(Q504=1,ISNUMBER(I504)),(I504-설정!$C$4)/365.25,"")</f>
        <v/>
      </c>
      <c r="V504" s="43" t="str">
        <f aca="false">IF(Q504&lt;&gt;1,"",IF(ISNUMBER(U504),IF(U504&lt;=1,"1년 이하",IF(U504&lt;=2,"1-2년",IF(U504&lt;=3,"2-3년",IF(U504&lt;=4,"3-4년",IF(U504&lt;=5,"4-5년",IF(U504&lt;=7,"5-7년",IF(U504&lt;=10,"7-10년",IF(U504&lt;=20,"10-20년","20년 이상")))))))),"미분류"))</f>
        <v/>
      </c>
      <c r="W504" s="43" t="str">
        <f aca="false">IF(Q504&lt;&gt;1,"",IF(AB504&lt;&gt;"",INDEX(시장분석!$C:$C,AB504),IF(K504=1,"USD","비USD")))</f>
        <v/>
      </c>
      <c r="X504" s="91" t="n">
        <f aca="false">IF(Q504=1,E504*K504/1000000,0)</f>
        <v>0</v>
      </c>
      <c r="Y504" s="89" t="n">
        <f aca="false">IF(R504="T",1,0)</f>
        <v>0</v>
      </c>
      <c r="Z504" s="92" t="str">
        <f aca="false">IF(Q504&lt;&gt;1,"",IF(AD504=1,IF(ISNUMBER(U504),MAX(U504,0),H504),H504))</f>
        <v/>
      </c>
      <c r="AA504" s="91" t="n">
        <f aca="false">IF(Q504=1,IF(ISNUMBER(L504),L504,0)*K504/1000000,0)</f>
        <v>0</v>
      </c>
      <c r="AB504" s="89" t="str">
        <f aca="false">IF(Q504&lt;&gt;1,"",IFERROR(MATCH(VLOOKUP(B504,매핑!$H$4:$I$15,2,0),시장분석!$A$2:$A$601,0)+1,IFERROR(MATCH(R504&amp;"|"&amp;T504,시장분석!$V$2:$V$601,0)+1,IF(COUNTIF(시장분석!$U$2:$U$601,T504)=1,MATCH(T504,시장분석!$U$2:$U$601,0)+1,""))))</f>
        <v/>
      </c>
      <c r="AC504" s="89" t="n">
        <f aca="false">IF(Q504&lt;&gt;1,0,IF(OR(설정!$C$5="전체",AND(설정!$C$5="선택펀드",IFERROR(COUNTIFS(설정!$F$16:$F$36,C504,설정!$G$16:$G$36,"Y")+COUNTIFS(설정!$F$16:$F$36,VALUE(C504),설정!$G$16:$G$36,"Y"),0)&gt;0),C504&amp;""=설정!$C$5&amp;""),1,0))</f>
        <v>0</v>
      </c>
      <c r="AD504" s="89" t="n">
        <f aca="false">IF(Q504&lt;&gt;1,0,IF(OR(S504=1,IF(AB504="",FALSE(),INDEX(시장분석!$R:$R,AB504)=1)),1,0))</f>
        <v>0</v>
      </c>
      <c r="AE504" s="43" t="str">
        <f aca="false">IF(AB504="","",INDEX(시장분석!$A:$A,AB504))</f>
        <v/>
      </c>
      <c r="AF504" s="93" t="str">
        <f aca="false">IF(AB504="","",IF(ISNUMBER(IF(AB504="","",INDEX(시장분석!$E:$E,AB504))),IF(AB504="","",INDEX(시장분석!$E:$E,AB504)),""))</f>
        <v/>
      </c>
      <c r="AG504" s="43" t="str">
        <f aca="false">IF(Q504&lt;&gt;1,"",IF(AB504&lt;&gt;"",IF(AB504="","",INDEX(시장분석!$L:$L,AB504)),IFERROR(IF(VLOOKUP(R504,매핑!$A$4:$E$92,5,0)="","미분류",VLOOKUP(R504,매핑!$A$4:$E$92,5,0)),"미분류")))</f>
        <v/>
      </c>
      <c r="AH504" s="43" t="str">
        <f aca="false">IF(Q504&lt;&gt;1,"",IF(AB504&lt;&gt;"",IF(AB504="","",INDEX(시장분석!$N:$N,AB504)),IFERROR(IF(VLOOKUP(R504,매핑!$A$4:$E$92,4,0)="","미분류",VLOOKUP(R504,매핑!$A$4:$E$92,4,0)),"미분류")))</f>
        <v/>
      </c>
      <c r="AI504" s="43" t="str">
        <f aca="false">IF(Q504&lt;&gt;1,"",IFERROR(IF(VLOOKUP(R504,매핑!$A$4:$E$92,3,0)="","미분류",VLOOKUP(R504,매핑!$A$4:$E$92,3,0)),IF(AB504&lt;&gt;"",IF(AB504="","",INDEX(시장분석!$W:$W,AB504)),"미분류")))</f>
        <v/>
      </c>
      <c r="AJ504" s="43" t="str">
        <f aca="false">IF(Q504&lt;&gt;1,"",IFERROR(VLOOKUP(IF(N504&lt;&gt;"",N504,IF(P504&lt;&gt;"",P504,O504)),설정!$A$15:$D$47,2,0),""))</f>
        <v/>
      </c>
      <c r="AK504" s="43" t="str">
        <f aca="false">IF(Q504&lt;&gt;1,"",IF(AJ504="","무등급",IFERROR(VLOOKUP(AJ504,설정!$A$15:$D$47,3,0),"무등급")))</f>
        <v/>
      </c>
      <c r="AL504" s="89" t="n">
        <f aca="false">IF(AJ504="",99,IFERROR(VLOOKUP(AJ504,설정!$A$15:$D$47,4,0),99))</f>
        <v>99</v>
      </c>
      <c r="AM504" s="94" t="n">
        <f aca="false">IF(ISNUMBER(H504),AA504*1000000*H504/10000,0)</f>
        <v>0</v>
      </c>
      <c r="AN504" s="94" t="n">
        <f aca="false">IF(OR(Y504=1,NOT(ISNUMBER(Z504))),0,AA504*1000000*Z504/10000)</f>
        <v>0</v>
      </c>
      <c r="AO504" s="94" t="n">
        <f aca="false">IF(ISNUMBER(G504),AA504*1000000*G504/100,0)</f>
        <v>0</v>
      </c>
      <c r="AP504" s="94" t="n">
        <f aca="false">IF(ISNUMBER(M504),M504*K504,0)</f>
        <v>0</v>
      </c>
      <c r="AQ504" s="95" t="str">
        <f aca="false">IF(AB504="","",INDEX(시장분석!$AK:$AK,AB504))</f>
        <v/>
      </c>
      <c r="AR504" s="43" t="str">
        <f aca="false">IF(AB504="","-",IF(AB504="","",INDEX(시장분석!$AL:$AL,AB504)))</f>
        <v>-</v>
      </c>
      <c r="AS504" s="96" t="str">
        <f aca="false">IF(AB504="","",INDEX(시장분석!$AJ:$AJ,AB504))</f>
        <v/>
      </c>
      <c r="AT504" s="93" t="n">
        <f aca="false">IF(AB504="",0,IF(AB504="","",INDEX(시장분석!$AN:$AN,AB504)))</f>
        <v>0</v>
      </c>
      <c r="AU504" s="94" t="n">
        <f aca="false">IF(ISNUMBER(Z504),AT504/10000*MAX(Z504-1,0)*AA504*1000000,0)</f>
        <v>0</v>
      </c>
      <c r="AV504" s="94" t="n">
        <f aca="false">AO504+AU504</f>
        <v>0</v>
      </c>
      <c r="AW504" s="43" t="str">
        <f aca="false">IF(Q504&lt;&gt;1,"",TRIM(IF(AD504=1,"FRN ","")&amp;IF(AND(AL504&gt;=10,AL504&lt;99),"BBB0미만 ","")&amp;IF(AJ504="","등급없음 ","")&amp;IF(K504&lt;&gt;1,"비USD ","")&amp;IF(AND(AB504="",Y504=0),"시장데이터없음 ","")&amp;IF(AND(ISNUMBER(U504),U504&lt;0),"만기경과 ","")))</f>
        <v/>
      </c>
      <c r="AX504" s="90" t="n">
        <f aca="false">IF(Q504&lt;&gt;1,1,IF(스프레드쇼크!$C$4="Y",INDEX(스프레드쇼크!$B$12:$L$16,IFERROR(MATCH(AH504,스프레드쇼크!$A$12:$A$16,0),MATCH("목록외",스프레드쇼크!$A$12:$A$16,0)),IFERROR(MATCH(AG504,스프레드쇼크!$B$11:$L$11,0),MATCH("목록외",스프레드쇼크!$B$11:$L$11,0))),1))</f>
        <v>1</v>
      </c>
      <c r="AY504" s="90" t="n">
        <f aca="false">IF(스프레드쇼크!$C$5="Y",IF(ISNUMBER(AF504),MIN(스프레드쇼크!$C$7,MAX(스프레드쇼크!$C$6,AF504/스프레드쇼크!$C$8)),1),1)</f>
        <v>1</v>
      </c>
      <c r="AZ504" s="94" t="n">
        <f aca="false">AN504*AX504*AY504</f>
        <v>0</v>
      </c>
      <c r="BA504" s="90" t="n">
        <f aca="false">IF(ISNUMBER(G504),AA504*G504,0)</f>
        <v>0</v>
      </c>
      <c r="BB504" s="90" t="n">
        <f aca="false">IF(ISNUMBER(G504),AA504,0)</f>
        <v>0</v>
      </c>
      <c r="BC504" s="90" t="n">
        <f aca="false">IF(AND(Y504=0,ISNUMBER(AF504)),AA504*AF504,0)</f>
        <v>0</v>
      </c>
      <c r="BD504" s="90" t="n">
        <f aca="false">IF(AND(Y504=0,ISNUMBER(AF504)),AA504,0)</f>
        <v>0</v>
      </c>
      <c r="BE504" s="90" t="n">
        <f aca="false">IF(ISNUMBER(H504),AA504*H504,0)</f>
        <v>0</v>
      </c>
      <c r="BF504" s="90" t="n">
        <f aca="false">IF(ISNUMBER(H504),AA504,0)</f>
        <v>0</v>
      </c>
      <c r="BG504" s="90" t="n">
        <f aca="false">IF(AND(Y504=0,ISNUMBER(AF504),ISNUMBER(Z504)),AA504*Z504,0)</f>
        <v>0</v>
      </c>
      <c r="BH504" s="90" t="n">
        <f aca="false">IF(AND(Y504=0,ISNUMBER(AF504),ISNUMBER(Z504)),AA504*AT504*MAX(Z504-1,0),0)</f>
        <v>0</v>
      </c>
      <c r="BI504" s="90" t="n">
        <f aca="false">IF(Y504=0,AA504,0)</f>
        <v>0</v>
      </c>
    </row>
    <row r="505" customFormat="false" ht="15" hidden="false" customHeight="false" outlineLevel="0" collapsed="false">
      <c r="A505" s="83" t="str">
        <f aca="false">IFERROR(IF(INDEX(원자료_잔고!$A$1:$EZ$1500,설정!$L$5+ROW()-1,설정!$L$8)&amp;""="0","",INDEX(원자료_잔고!$A$1:$EZ$1500,설정!$L$5+ROW()-1,설정!$L$8)&amp;""),"")</f>
        <v/>
      </c>
      <c r="B505" s="83" t="str">
        <f aca="false">IFERROR(IF(INDEX(원자료_잔고!$A$1:$EZ$1500,설정!$L$5+ROW()-1,설정!$L$7)&amp;""="0","",INDEX(원자료_잔고!$A$1:$EZ$1500,설정!$L$5+ROW()-1,설정!$L$7)&amp;""),"")</f>
        <v/>
      </c>
      <c r="C505" s="83" t="str">
        <f aca="false">IFERROR(IF(INDEX(원자료_잔고!$A$1:$EZ$1500,설정!$L$5+ROW()-1,설정!$L$9)&amp;""="0","",INDEX(원자료_잔고!$A$1:$EZ$1500,설정!$L$5+ROW()-1,설정!$L$9)&amp;""),"")</f>
        <v/>
      </c>
      <c r="D505" s="83" t="str">
        <f aca="false">IFERROR(IF(INDEX(원자료_잔고!$A$1:$EZ$1500,설정!$L$5+ROW()-1,설정!$L$10)&amp;""="0","",INDEX(원자료_잔고!$A$1:$EZ$1500,설정!$L$5+ROW()-1,설정!$L$10)&amp;""),"")</f>
        <v/>
      </c>
      <c r="E505" s="84" t="str">
        <f aca="false">IFERROR(IF(ISNUMBER(INDEX(원자료_잔고!$A$1:$EZ$1500,설정!$L$5+ROW()-1,설정!$L$11)),INDEX(원자료_잔고!$A$1:$EZ$1500,설정!$L$5+ROW()-1,설정!$L$11),""),"")</f>
        <v/>
      </c>
      <c r="F505" s="85" t="str">
        <f aca="false">IFERROR(IF(ISNUMBER(INDEX(원자료_잔고!$A$1:$EZ$1500,설정!$L$5+ROW()-1,설정!$L$12)),INDEX(원자료_잔고!$A$1:$EZ$1500,설정!$L$5+ROW()-1,설정!$L$12),""),"")</f>
        <v/>
      </c>
      <c r="G505" s="85" t="str">
        <f aca="false">IFERROR(IF(ISNUMBER(INDEX(원자료_잔고!$A$1:$EZ$1500,설정!$L$5+ROW()-1,설정!$L$13)),INDEX(원자료_잔고!$A$1:$EZ$1500,설정!$L$5+ROW()-1,설정!$L$13),""),"")</f>
        <v/>
      </c>
      <c r="H505" s="85" t="str">
        <f aca="false">IFERROR(IF(ISNUMBER(INDEX(원자료_잔고!$A$1:$EZ$1500,설정!$L$5+ROW()-1,설정!$L$14)),INDEX(원자료_잔고!$A$1:$EZ$1500,설정!$L$5+ROW()-1,설정!$L$14),""),"")</f>
        <v/>
      </c>
      <c r="I505" s="86" t="str">
        <f aca="false">IFERROR(IF(ISNUMBER(INDEX(원자료_잔고!$A$1:$EZ$1500,설정!$L$5+ROW()-1,설정!$L$15)),INDEX(원자료_잔고!$A$1:$EZ$1500,설정!$L$5+ROW()-1,설정!$L$15),""),"")</f>
        <v/>
      </c>
      <c r="J505" s="85" t="str">
        <f aca="false">IFERROR(IF(ISNUMBER(INDEX(원자료_잔고!$A$1:$EZ$1500,설정!$L$5+ROW()-1,설정!$L$16)),INDEX(원자료_잔고!$A$1:$EZ$1500,설정!$L$5+ROW()-1,설정!$L$16),""),"")</f>
        <v/>
      </c>
      <c r="K505" s="87" t="str">
        <f aca="false">IFERROR(IF(ISNUMBER(INDEX(원자료_잔고!$A$1:$EZ$1500,설정!$L$5+ROW()-1,설정!$L$17)),INDEX(원자료_잔고!$A$1:$EZ$1500,설정!$L$5+ROW()-1,설정!$L$17),""),"")</f>
        <v/>
      </c>
      <c r="L505" s="84" t="str">
        <f aca="false">IFERROR(IF(ISNUMBER(INDEX(원자료_잔고!$A$1:$EZ$1500,설정!$L$5+ROW()-1,설정!$L$18)),INDEX(원자료_잔고!$A$1:$EZ$1500,설정!$L$5+ROW()-1,설정!$L$18),""),"")</f>
        <v/>
      </c>
      <c r="M505" s="88" t="str">
        <f aca="false">IFERROR(IF(ISNUMBER(INDEX(원자료_잔고!$A$1:$EZ$1500,설정!$L$5+ROW()-1,설정!$L$19)),INDEX(원자료_잔고!$A$1:$EZ$1500,설정!$L$5+ROW()-1,설정!$L$19),""),"")</f>
        <v/>
      </c>
      <c r="N505" s="83" t="str">
        <f aca="false">IFERROR(IF(INDEX(원자료_잔고!$A$1:$EZ$1500,설정!$L$5+ROW()-1,설정!$L$21)&amp;""="0","",INDEX(원자료_잔고!$A$1:$EZ$1500,설정!$L$5+ROW()-1,설정!$L$21)&amp;""),"")</f>
        <v/>
      </c>
      <c r="O505" s="83" t="str">
        <f aca="false">IFERROR(IF(INDEX(원자료_잔고!$A$1:$EZ$1500,설정!$L$5+ROW()-1,설정!$L$22)&amp;""="0","",INDEX(원자료_잔고!$A$1:$EZ$1500,설정!$L$5+ROW()-1,설정!$L$22)&amp;""),"")</f>
        <v/>
      </c>
      <c r="P505" s="83" t="str">
        <f aca="false">IFERROR(IF(INDEX(원자료_잔고!$A$1:$EZ$1500,설정!$L$5+ROW()-1,설정!$L$23)&amp;""="0","",INDEX(원자료_잔고!$A$1:$EZ$1500,설정!$L$5+ROW()-1,설정!$L$23)&amp;""),"")</f>
        <v/>
      </c>
      <c r="Q505" s="89" t="n">
        <f aca="false">IF(AND($A505&lt;&gt;"",ISNUMBER(E505)),IF(E505&gt;0,1,0),0)</f>
        <v>0</v>
      </c>
      <c r="R505" s="43" t="str">
        <f aca="false">IF(Q505=1,UPPER(LEFT($A505,FIND(" ",$A505&amp;" ")-1)),"")</f>
        <v/>
      </c>
      <c r="S505" s="89" t="n">
        <f aca="false">IF(Q505=1,IF(OR(ISNUMBER(SEARCH("Float",$A505)),ISNUMBER(SEARCH("FRN",$A505))),1,0),0)</f>
        <v>0</v>
      </c>
      <c r="T505" s="43" t="str">
        <f aca="false">IF(AND(Q505=1,ISNUMBER(I505)),TEXT(I505,"yyyymmdd")&amp;"|"&amp;IF(S505=1,"F",TEXT(J505,"0.000")),"")</f>
        <v/>
      </c>
      <c r="U505" s="90" t="str">
        <f aca="false">IF(AND(Q505=1,ISNUMBER(I505)),(I505-설정!$C$4)/365.25,"")</f>
        <v/>
      </c>
      <c r="V505" s="43" t="str">
        <f aca="false">IF(Q505&lt;&gt;1,"",IF(ISNUMBER(U505),IF(U505&lt;=1,"1년 이하",IF(U505&lt;=2,"1-2년",IF(U505&lt;=3,"2-3년",IF(U505&lt;=4,"3-4년",IF(U505&lt;=5,"4-5년",IF(U505&lt;=7,"5-7년",IF(U505&lt;=10,"7-10년",IF(U505&lt;=20,"10-20년","20년 이상")))))))),"미분류"))</f>
        <v/>
      </c>
      <c r="W505" s="43" t="str">
        <f aca="false">IF(Q505&lt;&gt;1,"",IF(AB505&lt;&gt;"",INDEX(시장분석!$C:$C,AB505),IF(K505=1,"USD","비USD")))</f>
        <v/>
      </c>
      <c r="X505" s="91" t="n">
        <f aca="false">IF(Q505=1,E505*K505/1000000,0)</f>
        <v>0</v>
      </c>
      <c r="Y505" s="89" t="n">
        <f aca="false">IF(R505="T",1,0)</f>
        <v>0</v>
      </c>
      <c r="Z505" s="92" t="str">
        <f aca="false">IF(Q505&lt;&gt;1,"",IF(AD505=1,IF(ISNUMBER(U505),MAX(U505,0),H505),H505))</f>
        <v/>
      </c>
      <c r="AA505" s="91" t="n">
        <f aca="false">IF(Q505=1,IF(ISNUMBER(L505),L505,0)*K505/1000000,0)</f>
        <v>0</v>
      </c>
      <c r="AB505" s="89" t="str">
        <f aca="false">IF(Q505&lt;&gt;1,"",IFERROR(MATCH(VLOOKUP(B505,매핑!$H$4:$I$15,2,0),시장분석!$A$2:$A$601,0)+1,IFERROR(MATCH(R505&amp;"|"&amp;T505,시장분석!$V$2:$V$601,0)+1,IF(COUNTIF(시장분석!$U$2:$U$601,T505)=1,MATCH(T505,시장분석!$U$2:$U$601,0)+1,""))))</f>
        <v/>
      </c>
      <c r="AC505" s="89" t="n">
        <f aca="false">IF(Q505&lt;&gt;1,0,IF(OR(설정!$C$5="전체",AND(설정!$C$5="선택펀드",IFERROR(COUNTIFS(설정!$F$16:$F$36,C505,설정!$G$16:$G$36,"Y")+COUNTIFS(설정!$F$16:$F$36,VALUE(C505),설정!$G$16:$G$36,"Y"),0)&gt;0),C505&amp;""=설정!$C$5&amp;""),1,0))</f>
        <v>0</v>
      </c>
      <c r="AD505" s="89" t="n">
        <f aca="false">IF(Q505&lt;&gt;1,0,IF(OR(S505=1,IF(AB505="",FALSE(),INDEX(시장분석!$R:$R,AB505)=1)),1,0))</f>
        <v>0</v>
      </c>
      <c r="AE505" s="43" t="str">
        <f aca="false">IF(AB505="","",INDEX(시장분석!$A:$A,AB505))</f>
        <v/>
      </c>
      <c r="AF505" s="93" t="str">
        <f aca="false">IF(AB505="","",IF(ISNUMBER(IF(AB505="","",INDEX(시장분석!$E:$E,AB505))),IF(AB505="","",INDEX(시장분석!$E:$E,AB505)),""))</f>
        <v/>
      </c>
      <c r="AG505" s="43" t="str">
        <f aca="false">IF(Q505&lt;&gt;1,"",IF(AB505&lt;&gt;"",IF(AB505="","",INDEX(시장분석!$L:$L,AB505)),IFERROR(IF(VLOOKUP(R505,매핑!$A$4:$E$92,5,0)="","미분류",VLOOKUP(R505,매핑!$A$4:$E$92,5,0)),"미분류")))</f>
        <v/>
      </c>
      <c r="AH505" s="43" t="str">
        <f aca="false">IF(Q505&lt;&gt;1,"",IF(AB505&lt;&gt;"",IF(AB505="","",INDEX(시장분석!$N:$N,AB505)),IFERROR(IF(VLOOKUP(R505,매핑!$A$4:$E$92,4,0)="","미분류",VLOOKUP(R505,매핑!$A$4:$E$92,4,0)),"미분류")))</f>
        <v/>
      </c>
      <c r="AI505" s="43" t="str">
        <f aca="false">IF(Q505&lt;&gt;1,"",IFERROR(IF(VLOOKUP(R505,매핑!$A$4:$E$92,3,0)="","미분류",VLOOKUP(R505,매핑!$A$4:$E$92,3,0)),IF(AB505&lt;&gt;"",IF(AB505="","",INDEX(시장분석!$W:$W,AB505)),"미분류")))</f>
        <v/>
      </c>
      <c r="AJ505" s="43" t="str">
        <f aca="false">IF(Q505&lt;&gt;1,"",IFERROR(VLOOKUP(IF(N505&lt;&gt;"",N505,IF(P505&lt;&gt;"",P505,O505)),설정!$A$15:$D$47,2,0),""))</f>
        <v/>
      </c>
      <c r="AK505" s="43" t="str">
        <f aca="false">IF(Q505&lt;&gt;1,"",IF(AJ505="","무등급",IFERROR(VLOOKUP(AJ505,설정!$A$15:$D$47,3,0),"무등급")))</f>
        <v/>
      </c>
      <c r="AL505" s="89" t="n">
        <f aca="false">IF(AJ505="",99,IFERROR(VLOOKUP(AJ505,설정!$A$15:$D$47,4,0),99))</f>
        <v>99</v>
      </c>
      <c r="AM505" s="94" t="n">
        <f aca="false">IF(ISNUMBER(H505),AA505*1000000*H505/10000,0)</f>
        <v>0</v>
      </c>
      <c r="AN505" s="94" t="n">
        <f aca="false">IF(OR(Y505=1,NOT(ISNUMBER(Z505))),0,AA505*1000000*Z505/10000)</f>
        <v>0</v>
      </c>
      <c r="AO505" s="94" t="n">
        <f aca="false">IF(ISNUMBER(G505),AA505*1000000*G505/100,0)</f>
        <v>0</v>
      </c>
      <c r="AP505" s="94" t="n">
        <f aca="false">IF(ISNUMBER(M505),M505*K505,0)</f>
        <v>0</v>
      </c>
      <c r="AQ505" s="95" t="str">
        <f aca="false">IF(AB505="","",INDEX(시장분석!$AK:$AK,AB505))</f>
        <v/>
      </c>
      <c r="AR505" s="43" t="str">
        <f aca="false">IF(AB505="","-",IF(AB505="","",INDEX(시장분석!$AL:$AL,AB505)))</f>
        <v>-</v>
      </c>
      <c r="AS505" s="96" t="str">
        <f aca="false">IF(AB505="","",INDEX(시장분석!$AJ:$AJ,AB505))</f>
        <v/>
      </c>
      <c r="AT505" s="93" t="n">
        <f aca="false">IF(AB505="",0,IF(AB505="","",INDEX(시장분석!$AN:$AN,AB505)))</f>
        <v>0</v>
      </c>
      <c r="AU505" s="94" t="n">
        <f aca="false">IF(ISNUMBER(Z505),AT505/10000*MAX(Z505-1,0)*AA505*1000000,0)</f>
        <v>0</v>
      </c>
      <c r="AV505" s="94" t="n">
        <f aca="false">AO505+AU505</f>
        <v>0</v>
      </c>
      <c r="AW505" s="43" t="str">
        <f aca="false">IF(Q505&lt;&gt;1,"",TRIM(IF(AD505=1,"FRN ","")&amp;IF(AND(AL505&gt;=10,AL505&lt;99),"BBB0미만 ","")&amp;IF(AJ505="","등급없음 ","")&amp;IF(K505&lt;&gt;1,"비USD ","")&amp;IF(AND(AB505="",Y505=0),"시장데이터없음 ","")&amp;IF(AND(ISNUMBER(U505),U505&lt;0),"만기경과 ","")))</f>
        <v/>
      </c>
      <c r="AX505" s="90" t="n">
        <f aca="false">IF(Q505&lt;&gt;1,1,IF(스프레드쇼크!$C$4="Y",INDEX(스프레드쇼크!$B$12:$L$16,IFERROR(MATCH(AH505,스프레드쇼크!$A$12:$A$16,0),MATCH("목록외",스프레드쇼크!$A$12:$A$16,0)),IFERROR(MATCH(AG505,스프레드쇼크!$B$11:$L$11,0),MATCH("목록외",스프레드쇼크!$B$11:$L$11,0))),1))</f>
        <v>1</v>
      </c>
      <c r="AY505" s="90" t="n">
        <f aca="false">IF(스프레드쇼크!$C$5="Y",IF(ISNUMBER(AF505),MIN(스프레드쇼크!$C$7,MAX(스프레드쇼크!$C$6,AF505/스프레드쇼크!$C$8)),1),1)</f>
        <v>1</v>
      </c>
      <c r="AZ505" s="94" t="n">
        <f aca="false">AN505*AX505*AY505</f>
        <v>0</v>
      </c>
      <c r="BA505" s="90" t="n">
        <f aca="false">IF(ISNUMBER(G505),AA505*G505,0)</f>
        <v>0</v>
      </c>
      <c r="BB505" s="90" t="n">
        <f aca="false">IF(ISNUMBER(G505),AA505,0)</f>
        <v>0</v>
      </c>
      <c r="BC505" s="90" t="n">
        <f aca="false">IF(AND(Y505=0,ISNUMBER(AF505)),AA505*AF505,0)</f>
        <v>0</v>
      </c>
      <c r="BD505" s="90" t="n">
        <f aca="false">IF(AND(Y505=0,ISNUMBER(AF505)),AA505,0)</f>
        <v>0</v>
      </c>
      <c r="BE505" s="90" t="n">
        <f aca="false">IF(ISNUMBER(H505),AA505*H505,0)</f>
        <v>0</v>
      </c>
      <c r="BF505" s="90" t="n">
        <f aca="false">IF(ISNUMBER(H505),AA505,0)</f>
        <v>0</v>
      </c>
      <c r="BG505" s="90" t="n">
        <f aca="false">IF(AND(Y505=0,ISNUMBER(AF505),ISNUMBER(Z505)),AA505*Z505,0)</f>
        <v>0</v>
      </c>
      <c r="BH505" s="90" t="n">
        <f aca="false">IF(AND(Y505=0,ISNUMBER(AF505),ISNUMBER(Z505)),AA505*AT505*MAX(Z505-1,0),0)</f>
        <v>0</v>
      </c>
      <c r="BI505" s="90" t="n">
        <f aca="false">IF(Y505=0,AA505,0)</f>
        <v>0</v>
      </c>
    </row>
    <row r="506" customFormat="false" ht="15" hidden="false" customHeight="false" outlineLevel="0" collapsed="false">
      <c r="A506" s="83" t="str">
        <f aca="false">IFERROR(IF(INDEX(원자료_잔고!$A$1:$EZ$1500,설정!$L$5+ROW()-1,설정!$L$8)&amp;""="0","",INDEX(원자료_잔고!$A$1:$EZ$1500,설정!$L$5+ROW()-1,설정!$L$8)&amp;""),"")</f>
        <v/>
      </c>
      <c r="B506" s="83" t="str">
        <f aca="false">IFERROR(IF(INDEX(원자료_잔고!$A$1:$EZ$1500,설정!$L$5+ROW()-1,설정!$L$7)&amp;""="0","",INDEX(원자료_잔고!$A$1:$EZ$1500,설정!$L$5+ROW()-1,설정!$L$7)&amp;""),"")</f>
        <v/>
      </c>
      <c r="C506" s="83" t="str">
        <f aca="false">IFERROR(IF(INDEX(원자료_잔고!$A$1:$EZ$1500,설정!$L$5+ROW()-1,설정!$L$9)&amp;""="0","",INDEX(원자료_잔고!$A$1:$EZ$1500,설정!$L$5+ROW()-1,설정!$L$9)&amp;""),"")</f>
        <v/>
      </c>
      <c r="D506" s="83" t="str">
        <f aca="false">IFERROR(IF(INDEX(원자료_잔고!$A$1:$EZ$1500,설정!$L$5+ROW()-1,설정!$L$10)&amp;""="0","",INDEX(원자료_잔고!$A$1:$EZ$1500,설정!$L$5+ROW()-1,설정!$L$10)&amp;""),"")</f>
        <v/>
      </c>
      <c r="E506" s="84" t="str">
        <f aca="false">IFERROR(IF(ISNUMBER(INDEX(원자료_잔고!$A$1:$EZ$1500,설정!$L$5+ROW()-1,설정!$L$11)),INDEX(원자료_잔고!$A$1:$EZ$1500,설정!$L$5+ROW()-1,설정!$L$11),""),"")</f>
        <v/>
      </c>
      <c r="F506" s="85" t="str">
        <f aca="false">IFERROR(IF(ISNUMBER(INDEX(원자료_잔고!$A$1:$EZ$1500,설정!$L$5+ROW()-1,설정!$L$12)),INDEX(원자료_잔고!$A$1:$EZ$1500,설정!$L$5+ROW()-1,설정!$L$12),""),"")</f>
        <v/>
      </c>
      <c r="G506" s="85" t="str">
        <f aca="false">IFERROR(IF(ISNUMBER(INDEX(원자료_잔고!$A$1:$EZ$1500,설정!$L$5+ROW()-1,설정!$L$13)),INDEX(원자료_잔고!$A$1:$EZ$1500,설정!$L$5+ROW()-1,설정!$L$13),""),"")</f>
        <v/>
      </c>
      <c r="H506" s="85" t="str">
        <f aca="false">IFERROR(IF(ISNUMBER(INDEX(원자료_잔고!$A$1:$EZ$1500,설정!$L$5+ROW()-1,설정!$L$14)),INDEX(원자료_잔고!$A$1:$EZ$1500,설정!$L$5+ROW()-1,설정!$L$14),""),"")</f>
        <v/>
      </c>
      <c r="I506" s="86" t="str">
        <f aca="false">IFERROR(IF(ISNUMBER(INDEX(원자료_잔고!$A$1:$EZ$1500,설정!$L$5+ROW()-1,설정!$L$15)),INDEX(원자료_잔고!$A$1:$EZ$1500,설정!$L$5+ROW()-1,설정!$L$15),""),"")</f>
        <v/>
      </c>
      <c r="J506" s="85" t="str">
        <f aca="false">IFERROR(IF(ISNUMBER(INDEX(원자료_잔고!$A$1:$EZ$1500,설정!$L$5+ROW()-1,설정!$L$16)),INDEX(원자료_잔고!$A$1:$EZ$1500,설정!$L$5+ROW()-1,설정!$L$16),""),"")</f>
        <v/>
      </c>
      <c r="K506" s="87" t="str">
        <f aca="false">IFERROR(IF(ISNUMBER(INDEX(원자료_잔고!$A$1:$EZ$1500,설정!$L$5+ROW()-1,설정!$L$17)),INDEX(원자료_잔고!$A$1:$EZ$1500,설정!$L$5+ROW()-1,설정!$L$17),""),"")</f>
        <v/>
      </c>
      <c r="L506" s="84" t="str">
        <f aca="false">IFERROR(IF(ISNUMBER(INDEX(원자료_잔고!$A$1:$EZ$1500,설정!$L$5+ROW()-1,설정!$L$18)),INDEX(원자료_잔고!$A$1:$EZ$1500,설정!$L$5+ROW()-1,설정!$L$18),""),"")</f>
        <v/>
      </c>
      <c r="M506" s="88" t="str">
        <f aca="false">IFERROR(IF(ISNUMBER(INDEX(원자료_잔고!$A$1:$EZ$1500,설정!$L$5+ROW()-1,설정!$L$19)),INDEX(원자료_잔고!$A$1:$EZ$1500,설정!$L$5+ROW()-1,설정!$L$19),""),"")</f>
        <v/>
      </c>
      <c r="N506" s="83" t="str">
        <f aca="false">IFERROR(IF(INDEX(원자료_잔고!$A$1:$EZ$1500,설정!$L$5+ROW()-1,설정!$L$21)&amp;""="0","",INDEX(원자료_잔고!$A$1:$EZ$1500,설정!$L$5+ROW()-1,설정!$L$21)&amp;""),"")</f>
        <v/>
      </c>
      <c r="O506" s="83" t="str">
        <f aca="false">IFERROR(IF(INDEX(원자료_잔고!$A$1:$EZ$1500,설정!$L$5+ROW()-1,설정!$L$22)&amp;""="0","",INDEX(원자료_잔고!$A$1:$EZ$1500,설정!$L$5+ROW()-1,설정!$L$22)&amp;""),"")</f>
        <v/>
      </c>
      <c r="P506" s="83" t="str">
        <f aca="false">IFERROR(IF(INDEX(원자료_잔고!$A$1:$EZ$1500,설정!$L$5+ROW()-1,설정!$L$23)&amp;""="0","",INDEX(원자료_잔고!$A$1:$EZ$1500,설정!$L$5+ROW()-1,설정!$L$23)&amp;""),"")</f>
        <v/>
      </c>
      <c r="Q506" s="89" t="n">
        <f aca="false">IF(AND($A506&lt;&gt;"",ISNUMBER(E506)),IF(E506&gt;0,1,0),0)</f>
        <v>0</v>
      </c>
      <c r="R506" s="43" t="str">
        <f aca="false">IF(Q506=1,UPPER(LEFT($A506,FIND(" ",$A506&amp;" ")-1)),"")</f>
        <v/>
      </c>
      <c r="S506" s="89" t="n">
        <f aca="false">IF(Q506=1,IF(OR(ISNUMBER(SEARCH("Float",$A506)),ISNUMBER(SEARCH("FRN",$A506))),1,0),0)</f>
        <v>0</v>
      </c>
      <c r="T506" s="43" t="str">
        <f aca="false">IF(AND(Q506=1,ISNUMBER(I506)),TEXT(I506,"yyyymmdd")&amp;"|"&amp;IF(S506=1,"F",TEXT(J506,"0.000")),"")</f>
        <v/>
      </c>
      <c r="U506" s="90" t="str">
        <f aca="false">IF(AND(Q506=1,ISNUMBER(I506)),(I506-설정!$C$4)/365.25,"")</f>
        <v/>
      </c>
      <c r="V506" s="43" t="str">
        <f aca="false">IF(Q506&lt;&gt;1,"",IF(ISNUMBER(U506),IF(U506&lt;=1,"1년 이하",IF(U506&lt;=2,"1-2년",IF(U506&lt;=3,"2-3년",IF(U506&lt;=4,"3-4년",IF(U506&lt;=5,"4-5년",IF(U506&lt;=7,"5-7년",IF(U506&lt;=10,"7-10년",IF(U506&lt;=20,"10-20년","20년 이상")))))))),"미분류"))</f>
        <v/>
      </c>
      <c r="W506" s="43" t="str">
        <f aca="false">IF(Q506&lt;&gt;1,"",IF(AB506&lt;&gt;"",INDEX(시장분석!$C:$C,AB506),IF(K506=1,"USD","비USD")))</f>
        <v/>
      </c>
      <c r="X506" s="91" t="n">
        <f aca="false">IF(Q506=1,E506*K506/1000000,0)</f>
        <v>0</v>
      </c>
      <c r="Y506" s="89" t="n">
        <f aca="false">IF(R506="T",1,0)</f>
        <v>0</v>
      </c>
      <c r="Z506" s="92" t="str">
        <f aca="false">IF(Q506&lt;&gt;1,"",IF(AD506=1,IF(ISNUMBER(U506),MAX(U506,0),H506),H506))</f>
        <v/>
      </c>
      <c r="AA506" s="91" t="n">
        <f aca="false">IF(Q506=1,IF(ISNUMBER(L506),L506,0)*K506/1000000,0)</f>
        <v>0</v>
      </c>
      <c r="AB506" s="89" t="str">
        <f aca="false">IF(Q506&lt;&gt;1,"",IFERROR(MATCH(VLOOKUP(B506,매핑!$H$4:$I$15,2,0),시장분석!$A$2:$A$601,0)+1,IFERROR(MATCH(R506&amp;"|"&amp;T506,시장분석!$V$2:$V$601,0)+1,IF(COUNTIF(시장분석!$U$2:$U$601,T506)=1,MATCH(T506,시장분석!$U$2:$U$601,0)+1,""))))</f>
        <v/>
      </c>
      <c r="AC506" s="89" t="n">
        <f aca="false">IF(Q506&lt;&gt;1,0,IF(OR(설정!$C$5="전체",AND(설정!$C$5="선택펀드",IFERROR(COUNTIFS(설정!$F$16:$F$36,C506,설정!$G$16:$G$36,"Y")+COUNTIFS(설정!$F$16:$F$36,VALUE(C506),설정!$G$16:$G$36,"Y"),0)&gt;0),C506&amp;""=설정!$C$5&amp;""),1,0))</f>
        <v>0</v>
      </c>
      <c r="AD506" s="89" t="n">
        <f aca="false">IF(Q506&lt;&gt;1,0,IF(OR(S506=1,IF(AB506="",FALSE(),INDEX(시장분석!$R:$R,AB506)=1)),1,0))</f>
        <v>0</v>
      </c>
      <c r="AE506" s="43" t="str">
        <f aca="false">IF(AB506="","",INDEX(시장분석!$A:$A,AB506))</f>
        <v/>
      </c>
      <c r="AF506" s="93" t="str">
        <f aca="false">IF(AB506="","",IF(ISNUMBER(IF(AB506="","",INDEX(시장분석!$E:$E,AB506))),IF(AB506="","",INDEX(시장분석!$E:$E,AB506)),""))</f>
        <v/>
      </c>
      <c r="AG506" s="43" t="str">
        <f aca="false">IF(Q506&lt;&gt;1,"",IF(AB506&lt;&gt;"",IF(AB506="","",INDEX(시장분석!$L:$L,AB506)),IFERROR(IF(VLOOKUP(R506,매핑!$A$4:$E$92,5,0)="","미분류",VLOOKUP(R506,매핑!$A$4:$E$92,5,0)),"미분류")))</f>
        <v/>
      </c>
      <c r="AH506" s="43" t="str">
        <f aca="false">IF(Q506&lt;&gt;1,"",IF(AB506&lt;&gt;"",IF(AB506="","",INDEX(시장분석!$N:$N,AB506)),IFERROR(IF(VLOOKUP(R506,매핑!$A$4:$E$92,4,0)="","미분류",VLOOKUP(R506,매핑!$A$4:$E$92,4,0)),"미분류")))</f>
        <v/>
      </c>
      <c r="AI506" s="43" t="str">
        <f aca="false">IF(Q506&lt;&gt;1,"",IFERROR(IF(VLOOKUP(R506,매핑!$A$4:$E$92,3,0)="","미분류",VLOOKUP(R506,매핑!$A$4:$E$92,3,0)),IF(AB506&lt;&gt;"",IF(AB506="","",INDEX(시장분석!$W:$W,AB506)),"미분류")))</f>
        <v/>
      </c>
      <c r="AJ506" s="43" t="str">
        <f aca="false">IF(Q506&lt;&gt;1,"",IFERROR(VLOOKUP(IF(N506&lt;&gt;"",N506,IF(P506&lt;&gt;"",P506,O506)),설정!$A$15:$D$47,2,0),""))</f>
        <v/>
      </c>
      <c r="AK506" s="43" t="str">
        <f aca="false">IF(Q506&lt;&gt;1,"",IF(AJ506="","무등급",IFERROR(VLOOKUP(AJ506,설정!$A$15:$D$47,3,0),"무등급")))</f>
        <v/>
      </c>
      <c r="AL506" s="89" t="n">
        <f aca="false">IF(AJ506="",99,IFERROR(VLOOKUP(AJ506,설정!$A$15:$D$47,4,0),99))</f>
        <v>99</v>
      </c>
      <c r="AM506" s="94" t="n">
        <f aca="false">IF(ISNUMBER(H506),AA506*1000000*H506/10000,0)</f>
        <v>0</v>
      </c>
      <c r="AN506" s="94" t="n">
        <f aca="false">IF(OR(Y506=1,NOT(ISNUMBER(Z506))),0,AA506*1000000*Z506/10000)</f>
        <v>0</v>
      </c>
      <c r="AO506" s="94" t="n">
        <f aca="false">IF(ISNUMBER(G506),AA506*1000000*G506/100,0)</f>
        <v>0</v>
      </c>
      <c r="AP506" s="94" t="n">
        <f aca="false">IF(ISNUMBER(M506),M506*K506,0)</f>
        <v>0</v>
      </c>
      <c r="AQ506" s="95" t="str">
        <f aca="false">IF(AB506="","",INDEX(시장분석!$AK:$AK,AB506))</f>
        <v/>
      </c>
      <c r="AR506" s="43" t="str">
        <f aca="false">IF(AB506="","-",IF(AB506="","",INDEX(시장분석!$AL:$AL,AB506)))</f>
        <v>-</v>
      </c>
      <c r="AS506" s="96" t="str">
        <f aca="false">IF(AB506="","",INDEX(시장분석!$AJ:$AJ,AB506))</f>
        <v/>
      </c>
      <c r="AT506" s="93" t="n">
        <f aca="false">IF(AB506="",0,IF(AB506="","",INDEX(시장분석!$AN:$AN,AB506)))</f>
        <v>0</v>
      </c>
      <c r="AU506" s="94" t="n">
        <f aca="false">IF(ISNUMBER(Z506),AT506/10000*MAX(Z506-1,0)*AA506*1000000,0)</f>
        <v>0</v>
      </c>
      <c r="AV506" s="94" t="n">
        <f aca="false">AO506+AU506</f>
        <v>0</v>
      </c>
      <c r="AW506" s="43" t="str">
        <f aca="false">IF(Q506&lt;&gt;1,"",TRIM(IF(AD506=1,"FRN ","")&amp;IF(AND(AL506&gt;=10,AL506&lt;99),"BBB0미만 ","")&amp;IF(AJ506="","등급없음 ","")&amp;IF(K506&lt;&gt;1,"비USD ","")&amp;IF(AND(AB506="",Y506=0),"시장데이터없음 ","")&amp;IF(AND(ISNUMBER(U506),U506&lt;0),"만기경과 ","")))</f>
        <v/>
      </c>
      <c r="AX506" s="90" t="n">
        <f aca="false">IF(Q506&lt;&gt;1,1,IF(스프레드쇼크!$C$4="Y",INDEX(스프레드쇼크!$B$12:$L$16,IFERROR(MATCH(AH506,스프레드쇼크!$A$12:$A$16,0),MATCH("목록외",스프레드쇼크!$A$12:$A$16,0)),IFERROR(MATCH(AG506,스프레드쇼크!$B$11:$L$11,0),MATCH("목록외",스프레드쇼크!$B$11:$L$11,0))),1))</f>
        <v>1</v>
      </c>
      <c r="AY506" s="90" t="n">
        <f aca="false">IF(스프레드쇼크!$C$5="Y",IF(ISNUMBER(AF506),MIN(스프레드쇼크!$C$7,MAX(스프레드쇼크!$C$6,AF506/스프레드쇼크!$C$8)),1),1)</f>
        <v>1</v>
      </c>
      <c r="AZ506" s="94" t="n">
        <f aca="false">AN506*AX506*AY506</f>
        <v>0</v>
      </c>
      <c r="BA506" s="90" t="n">
        <f aca="false">IF(ISNUMBER(G506),AA506*G506,0)</f>
        <v>0</v>
      </c>
      <c r="BB506" s="90" t="n">
        <f aca="false">IF(ISNUMBER(G506),AA506,0)</f>
        <v>0</v>
      </c>
      <c r="BC506" s="90" t="n">
        <f aca="false">IF(AND(Y506=0,ISNUMBER(AF506)),AA506*AF506,0)</f>
        <v>0</v>
      </c>
      <c r="BD506" s="90" t="n">
        <f aca="false">IF(AND(Y506=0,ISNUMBER(AF506)),AA506,0)</f>
        <v>0</v>
      </c>
      <c r="BE506" s="90" t="n">
        <f aca="false">IF(ISNUMBER(H506),AA506*H506,0)</f>
        <v>0</v>
      </c>
      <c r="BF506" s="90" t="n">
        <f aca="false">IF(ISNUMBER(H506),AA506,0)</f>
        <v>0</v>
      </c>
      <c r="BG506" s="90" t="n">
        <f aca="false">IF(AND(Y506=0,ISNUMBER(AF506),ISNUMBER(Z506)),AA506*Z506,0)</f>
        <v>0</v>
      </c>
      <c r="BH506" s="90" t="n">
        <f aca="false">IF(AND(Y506=0,ISNUMBER(AF506),ISNUMBER(Z506)),AA506*AT506*MAX(Z506-1,0),0)</f>
        <v>0</v>
      </c>
      <c r="BI506" s="90" t="n">
        <f aca="false">IF(Y506=0,AA506,0)</f>
        <v>0</v>
      </c>
    </row>
    <row r="507" customFormat="false" ht="15" hidden="false" customHeight="false" outlineLevel="0" collapsed="false">
      <c r="A507" s="83" t="str">
        <f aca="false">IFERROR(IF(INDEX(원자료_잔고!$A$1:$EZ$1500,설정!$L$5+ROW()-1,설정!$L$8)&amp;""="0","",INDEX(원자료_잔고!$A$1:$EZ$1500,설정!$L$5+ROW()-1,설정!$L$8)&amp;""),"")</f>
        <v/>
      </c>
      <c r="B507" s="83" t="str">
        <f aca="false">IFERROR(IF(INDEX(원자료_잔고!$A$1:$EZ$1500,설정!$L$5+ROW()-1,설정!$L$7)&amp;""="0","",INDEX(원자료_잔고!$A$1:$EZ$1500,설정!$L$5+ROW()-1,설정!$L$7)&amp;""),"")</f>
        <v/>
      </c>
      <c r="C507" s="83" t="str">
        <f aca="false">IFERROR(IF(INDEX(원자료_잔고!$A$1:$EZ$1500,설정!$L$5+ROW()-1,설정!$L$9)&amp;""="0","",INDEX(원자료_잔고!$A$1:$EZ$1500,설정!$L$5+ROW()-1,설정!$L$9)&amp;""),"")</f>
        <v/>
      </c>
      <c r="D507" s="83" t="str">
        <f aca="false">IFERROR(IF(INDEX(원자료_잔고!$A$1:$EZ$1500,설정!$L$5+ROW()-1,설정!$L$10)&amp;""="0","",INDEX(원자료_잔고!$A$1:$EZ$1500,설정!$L$5+ROW()-1,설정!$L$10)&amp;""),"")</f>
        <v/>
      </c>
      <c r="E507" s="84" t="str">
        <f aca="false">IFERROR(IF(ISNUMBER(INDEX(원자료_잔고!$A$1:$EZ$1500,설정!$L$5+ROW()-1,설정!$L$11)),INDEX(원자료_잔고!$A$1:$EZ$1500,설정!$L$5+ROW()-1,설정!$L$11),""),"")</f>
        <v/>
      </c>
      <c r="F507" s="85" t="str">
        <f aca="false">IFERROR(IF(ISNUMBER(INDEX(원자료_잔고!$A$1:$EZ$1500,설정!$L$5+ROW()-1,설정!$L$12)),INDEX(원자료_잔고!$A$1:$EZ$1500,설정!$L$5+ROW()-1,설정!$L$12),""),"")</f>
        <v/>
      </c>
      <c r="G507" s="85" t="str">
        <f aca="false">IFERROR(IF(ISNUMBER(INDEX(원자료_잔고!$A$1:$EZ$1500,설정!$L$5+ROW()-1,설정!$L$13)),INDEX(원자료_잔고!$A$1:$EZ$1500,설정!$L$5+ROW()-1,설정!$L$13),""),"")</f>
        <v/>
      </c>
      <c r="H507" s="85" t="str">
        <f aca="false">IFERROR(IF(ISNUMBER(INDEX(원자료_잔고!$A$1:$EZ$1500,설정!$L$5+ROW()-1,설정!$L$14)),INDEX(원자료_잔고!$A$1:$EZ$1500,설정!$L$5+ROW()-1,설정!$L$14),""),"")</f>
        <v/>
      </c>
      <c r="I507" s="86" t="str">
        <f aca="false">IFERROR(IF(ISNUMBER(INDEX(원자료_잔고!$A$1:$EZ$1500,설정!$L$5+ROW()-1,설정!$L$15)),INDEX(원자료_잔고!$A$1:$EZ$1500,설정!$L$5+ROW()-1,설정!$L$15),""),"")</f>
        <v/>
      </c>
      <c r="J507" s="85" t="str">
        <f aca="false">IFERROR(IF(ISNUMBER(INDEX(원자료_잔고!$A$1:$EZ$1500,설정!$L$5+ROW()-1,설정!$L$16)),INDEX(원자료_잔고!$A$1:$EZ$1500,설정!$L$5+ROW()-1,설정!$L$16),""),"")</f>
        <v/>
      </c>
      <c r="K507" s="87" t="str">
        <f aca="false">IFERROR(IF(ISNUMBER(INDEX(원자료_잔고!$A$1:$EZ$1500,설정!$L$5+ROW()-1,설정!$L$17)),INDEX(원자료_잔고!$A$1:$EZ$1500,설정!$L$5+ROW()-1,설정!$L$17),""),"")</f>
        <v/>
      </c>
      <c r="L507" s="84" t="str">
        <f aca="false">IFERROR(IF(ISNUMBER(INDEX(원자료_잔고!$A$1:$EZ$1500,설정!$L$5+ROW()-1,설정!$L$18)),INDEX(원자료_잔고!$A$1:$EZ$1500,설정!$L$5+ROW()-1,설정!$L$18),""),"")</f>
        <v/>
      </c>
      <c r="M507" s="88" t="str">
        <f aca="false">IFERROR(IF(ISNUMBER(INDEX(원자료_잔고!$A$1:$EZ$1500,설정!$L$5+ROW()-1,설정!$L$19)),INDEX(원자료_잔고!$A$1:$EZ$1500,설정!$L$5+ROW()-1,설정!$L$19),""),"")</f>
        <v/>
      </c>
      <c r="N507" s="83" t="str">
        <f aca="false">IFERROR(IF(INDEX(원자료_잔고!$A$1:$EZ$1500,설정!$L$5+ROW()-1,설정!$L$21)&amp;""="0","",INDEX(원자료_잔고!$A$1:$EZ$1500,설정!$L$5+ROW()-1,설정!$L$21)&amp;""),"")</f>
        <v/>
      </c>
      <c r="O507" s="83" t="str">
        <f aca="false">IFERROR(IF(INDEX(원자료_잔고!$A$1:$EZ$1500,설정!$L$5+ROW()-1,설정!$L$22)&amp;""="0","",INDEX(원자료_잔고!$A$1:$EZ$1500,설정!$L$5+ROW()-1,설정!$L$22)&amp;""),"")</f>
        <v/>
      </c>
      <c r="P507" s="83" t="str">
        <f aca="false">IFERROR(IF(INDEX(원자료_잔고!$A$1:$EZ$1500,설정!$L$5+ROW()-1,설정!$L$23)&amp;""="0","",INDEX(원자료_잔고!$A$1:$EZ$1500,설정!$L$5+ROW()-1,설정!$L$23)&amp;""),"")</f>
        <v/>
      </c>
      <c r="Q507" s="89" t="n">
        <f aca="false">IF(AND($A507&lt;&gt;"",ISNUMBER(E507)),IF(E507&gt;0,1,0),0)</f>
        <v>0</v>
      </c>
      <c r="R507" s="43" t="str">
        <f aca="false">IF(Q507=1,UPPER(LEFT($A507,FIND(" ",$A507&amp;" ")-1)),"")</f>
        <v/>
      </c>
      <c r="S507" s="89" t="n">
        <f aca="false">IF(Q507=1,IF(OR(ISNUMBER(SEARCH("Float",$A507)),ISNUMBER(SEARCH("FRN",$A507))),1,0),0)</f>
        <v>0</v>
      </c>
      <c r="T507" s="43" t="str">
        <f aca="false">IF(AND(Q507=1,ISNUMBER(I507)),TEXT(I507,"yyyymmdd")&amp;"|"&amp;IF(S507=1,"F",TEXT(J507,"0.000")),"")</f>
        <v/>
      </c>
      <c r="U507" s="90" t="str">
        <f aca="false">IF(AND(Q507=1,ISNUMBER(I507)),(I507-설정!$C$4)/365.25,"")</f>
        <v/>
      </c>
      <c r="V507" s="43" t="str">
        <f aca="false">IF(Q507&lt;&gt;1,"",IF(ISNUMBER(U507),IF(U507&lt;=1,"1년 이하",IF(U507&lt;=2,"1-2년",IF(U507&lt;=3,"2-3년",IF(U507&lt;=4,"3-4년",IF(U507&lt;=5,"4-5년",IF(U507&lt;=7,"5-7년",IF(U507&lt;=10,"7-10년",IF(U507&lt;=20,"10-20년","20년 이상")))))))),"미분류"))</f>
        <v/>
      </c>
      <c r="W507" s="43" t="str">
        <f aca="false">IF(Q507&lt;&gt;1,"",IF(AB507&lt;&gt;"",INDEX(시장분석!$C:$C,AB507),IF(K507=1,"USD","비USD")))</f>
        <v/>
      </c>
      <c r="X507" s="91" t="n">
        <f aca="false">IF(Q507=1,E507*K507/1000000,0)</f>
        <v>0</v>
      </c>
      <c r="Y507" s="89" t="n">
        <f aca="false">IF(R507="T",1,0)</f>
        <v>0</v>
      </c>
      <c r="Z507" s="92" t="str">
        <f aca="false">IF(Q507&lt;&gt;1,"",IF(AD507=1,IF(ISNUMBER(U507),MAX(U507,0),H507),H507))</f>
        <v/>
      </c>
      <c r="AA507" s="91" t="n">
        <f aca="false">IF(Q507=1,IF(ISNUMBER(L507),L507,0)*K507/1000000,0)</f>
        <v>0</v>
      </c>
      <c r="AB507" s="89" t="str">
        <f aca="false">IF(Q507&lt;&gt;1,"",IFERROR(MATCH(VLOOKUP(B507,매핑!$H$4:$I$15,2,0),시장분석!$A$2:$A$601,0)+1,IFERROR(MATCH(R507&amp;"|"&amp;T507,시장분석!$V$2:$V$601,0)+1,IF(COUNTIF(시장분석!$U$2:$U$601,T507)=1,MATCH(T507,시장분석!$U$2:$U$601,0)+1,""))))</f>
        <v/>
      </c>
      <c r="AC507" s="89" t="n">
        <f aca="false">IF(Q507&lt;&gt;1,0,IF(OR(설정!$C$5="전체",AND(설정!$C$5="선택펀드",IFERROR(COUNTIFS(설정!$F$16:$F$36,C507,설정!$G$16:$G$36,"Y")+COUNTIFS(설정!$F$16:$F$36,VALUE(C507),설정!$G$16:$G$36,"Y"),0)&gt;0),C507&amp;""=설정!$C$5&amp;""),1,0))</f>
        <v>0</v>
      </c>
      <c r="AD507" s="89" t="n">
        <f aca="false">IF(Q507&lt;&gt;1,0,IF(OR(S507=1,IF(AB507="",FALSE(),INDEX(시장분석!$R:$R,AB507)=1)),1,0))</f>
        <v>0</v>
      </c>
      <c r="AE507" s="43" t="str">
        <f aca="false">IF(AB507="","",INDEX(시장분석!$A:$A,AB507))</f>
        <v/>
      </c>
      <c r="AF507" s="93" t="str">
        <f aca="false">IF(AB507="","",IF(ISNUMBER(IF(AB507="","",INDEX(시장분석!$E:$E,AB507))),IF(AB507="","",INDEX(시장분석!$E:$E,AB507)),""))</f>
        <v/>
      </c>
      <c r="AG507" s="43" t="str">
        <f aca="false">IF(Q507&lt;&gt;1,"",IF(AB507&lt;&gt;"",IF(AB507="","",INDEX(시장분석!$L:$L,AB507)),IFERROR(IF(VLOOKUP(R507,매핑!$A$4:$E$92,5,0)="","미분류",VLOOKUP(R507,매핑!$A$4:$E$92,5,0)),"미분류")))</f>
        <v/>
      </c>
      <c r="AH507" s="43" t="str">
        <f aca="false">IF(Q507&lt;&gt;1,"",IF(AB507&lt;&gt;"",IF(AB507="","",INDEX(시장분석!$N:$N,AB507)),IFERROR(IF(VLOOKUP(R507,매핑!$A$4:$E$92,4,0)="","미분류",VLOOKUP(R507,매핑!$A$4:$E$92,4,0)),"미분류")))</f>
        <v/>
      </c>
      <c r="AI507" s="43" t="str">
        <f aca="false">IF(Q507&lt;&gt;1,"",IFERROR(IF(VLOOKUP(R507,매핑!$A$4:$E$92,3,0)="","미분류",VLOOKUP(R507,매핑!$A$4:$E$92,3,0)),IF(AB507&lt;&gt;"",IF(AB507="","",INDEX(시장분석!$W:$W,AB507)),"미분류")))</f>
        <v/>
      </c>
      <c r="AJ507" s="43" t="str">
        <f aca="false">IF(Q507&lt;&gt;1,"",IFERROR(VLOOKUP(IF(N507&lt;&gt;"",N507,IF(P507&lt;&gt;"",P507,O507)),설정!$A$15:$D$47,2,0),""))</f>
        <v/>
      </c>
      <c r="AK507" s="43" t="str">
        <f aca="false">IF(Q507&lt;&gt;1,"",IF(AJ507="","무등급",IFERROR(VLOOKUP(AJ507,설정!$A$15:$D$47,3,0),"무등급")))</f>
        <v/>
      </c>
      <c r="AL507" s="89" t="n">
        <f aca="false">IF(AJ507="",99,IFERROR(VLOOKUP(AJ507,설정!$A$15:$D$47,4,0),99))</f>
        <v>99</v>
      </c>
      <c r="AM507" s="94" t="n">
        <f aca="false">IF(ISNUMBER(H507),AA507*1000000*H507/10000,0)</f>
        <v>0</v>
      </c>
      <c r="AN507" s="94" t="n">
        <f aca="false">IF(OR(Y507=1,NOT(ISNUMBER(Z507))),0,AA507*1000000*Z507/10000)</f>
        <v>0</v>
      </c>
      <c r="AO507" s="94" t="n">
        <f aca="false">IF(ISNUMBER(G507),AA507*1000000*G507/100,0)</f>
        <v>0</v>
      </c>
      <c r="AP507" s="94" t="n">
        <f aca="false">IF(ISNUMBER(M507),M507*K507,0)</f>
        <v>0</v>
      </c>
      <c r="AQ507" s="95" t="str">
        <f aca="false">IF(AB507="","",INDEX(시장분석!$AK:$AK,AB507))</f>
        <v/>
      </c>
      <c r="AR507" s="43" t="str">
        <f aca="false">IF(AB507="","-",IF(AB507="","",INDEX(시장분석!$AL:$AL,AB507)))</f>
        <v>-</v>
      </c>
      <c r="AS507" s="96" t="str">
        <f aca="false">IF(AB507="","",INDEX(시장분석!$AJ:$AJ,AB507))</f>
        <v/>
      </c>
      <c r="AT507" s="93" t="n">
        <f aca="false">IF(AB507="",0,IF(AB507="","",INDEX(시장분석!$AN:$AN,AB507)))</f>
        <v>0</v>
      </c>
      <c r="AU507" s="94" t="n">
        <f aca="false">IF(ISNUMBER(Z507),AT507/10000*MAX(Z507-1,0)*AA507*1000000,0)</f>
        <v>0</v>
      </c>
      <c r="AV507" s="94" t="n">
        <f aca="false">AO507+AU507</f>
        <v>0</v>
      </c>
      <c r="AW507" s="43" t="str">
        <f aca="false">IF(Q507&lt;&gt;1,"",TRIM(IF(AD507=1,"FRN ","")&amp;IF(AND(AL507&gt;=10,AL507&lt;99),"BBB0미만 ","")&amp;IF(AJ507="","등급없음 ","")&amp;IF(K507&lt;&gt;1,"비USD ","")&amp;IF(AND(AB507="",Y507=0),"시장데이터없음 ","")&amp;IF(AND(ISNUMBER(U507),U507&lt;0),"만기경과 ","")))</f>
        <v/>
      </c>
      <c r="AX507" s="90" t="n">
        <f aca="false">IF(Q507&lt;&gt;1,1,IF(스프레드쇼크!$C$4="Y",INDEX(스프레드쇼크!$B$12:$L$16,IFERROR(MATCH(AH507,스프레드쇼크!$A$12:$A$16,0),MATCH("목록외",스프레드쇼크!$A$12:$A$16,0)),IFERROR(MATCH(AG507,스프레드쇼크!$B$11:$L$11,0),MATCH("목록외",스프레드쇼크!$B$11:$L$11,0))),1))</f>
        <v>1</v>
      </c>
      <c r="AY507" s="90" t="n">
        <f aca="false">IF(스프레드쇼크!$C$5="Y",IF(ISNUMBER(AF507),MIN(스프레드쇼크!$C$7,MAX(스프레드쇼크!$C$6,AF507/스프레드쇼크!$C$8)),1),1)</f>
        <v>1</v>
      </c>
      <c r="AZ507" s="94" t="n">
        <f aca="false">AN507*AX507*AY507</f>
        <v>0</v>
      </c>
      <c r="BA507" s="90" t="n">
        <f aca="false">IF(ISNUMBER(G507),AA507*G507,0)</f>
        <v>0</v>
      </c>
      <c r="BB507" s="90" t="n">
        <f aca="false">IF(ISNUMBER(G507),AA507,0)</f>
        <v>0</v>
      </c>
      <c r="BC507" s="90" t="n">
        <f aca="false">IF(AND(Y507=0,ISNUMBER(AF507)),AA507*AF507,0)</f>
        <v>0</v>
      </c>
      <c r="BD507" s="90" t="n">
        <f aca="false">IF(AND(Y507=0,ISNUMBER(AF507)),AA507,0)</f>
        <v>0</v>
      </c>
      <c r="BE507" s="90" t="n">
        <f aca="false">IF(ISNUMBER(H507),AA507*H507,0)</f>
        <v>0</v>
      </c>
      <c r="BF507" s="90" t="n">
        <f aca="false">IF(ISNUMBER(H507),AA507,0)</f>
        <v>0</v>
      </c>
      <c r="BG507" s="90" t="n">
        <f aca="false">IF(AND(Y507=0,ISNUMBER(AF507),ISNUMBER(Z507)),AA507*Z507,0)</f>
        <v>0</v>
      </c>
      <c r="BH507" s="90" t="n">
        <f aca="false">IF(AND(Y507=0,ISNUMBER(AF507),ISNUMBER(Z507)),AA507*AT507*MAX(Z507-1,0),0)</f>
        <v>0</v>
      </c>
      <c r="BI507" s="90" t="n">
        <f aca="false">IF(Y507=0,AA507,0)</f>
        <v>0</v>
      </c>
    </row>
    <row r="508" customFormat="false" ht="15" hidden="false" customHeight="false" outlineLevel="0" collapsed="false">
      <c r="A508" s="83" t="str">
        <f aca="false">IFERROR(IF(INDEX(원자료_잔고!$A$1:$EZ$1500,설정!$L$5+ROW()-1,설정!$L$8)&amp;""="0","",INDEX(원자료_잔고!$A$1:$EZ$1500,설정!$L$5+ROW()-1,설정!$L$8)&amp;""),"")</f>
        <v/>
      </c>
      <c r="B508" s="83" t="str">
        <f aca="false">IFERROR(IF(INDEX(원자료_잔고!$A$1:$EZ$1500,설정!$L$5+ROW()-1,설정!$L$7)&amp;""="0","",INDEX(원자료_잔고!$A$1:$EZ$1500,설정!$L$5+ROW()-1,설정!$L$7)&amp;""),"")</f>
        <v/>
      </c>
      <c r="C508" s="83" t="str">
        <f aca="false">IFERROR(IF(INDEX(원자료_잔고!$A$1:$EZ$1500,설정!$L$5+ROW()-1,설정!$L$9)&amp;""="0","",INDEX(원자료_잔고!$A$1:$EZ$1500,설정!$L$5+ROW()-1,설정!$L$9)&amp;""),"")</f>
        <v/>
      </c>
      <c r="D508" s="83" t="str">
        <f aca="false">IFERROR(IF(INDEX(원자료_잔고!$A$1:$EZ$1500,설정!$L$5+ROW()-1,설정!$L$10)&amp;""="0","",INDEX(원자료_잔고!$A$1:$EZ$1500,설정!$L$5+ROW()-1,설정!$L$10)&amp;""),"")</f>
        <v/>
      </c>
      <c r="E508" s="84" t="str">
        <f aca="false">IFERROR(IF(ISNUMBER(INDEX(원자료_잔고!$A$1:$EZ$1500,설정!$L$5+ROW()-1,설정!$L$11)),INDEX(원자료_잔고!$A$1:$EZ$1500,설정!$L$5+ROW()-1,설정!$L$11),""),"")</f>
        <v/>
      </c>
      <c r="F508" s="85" t="str">
        <f aca="false">IFERROR(IF(ISNUMBER(INDEX(원자료_잔고!$A$1:$EZ$1500,설정!$L$5+ROW()-1,설정!$L$12)),INDEX(원자료_잔고!$A$1:$EZ$1500,설정!$L$5+ROW()-1,설정!$L$12),""),"")</f>
        <v/>
      </c>
      <c r="G508" s="85" t="str">
        <f aca="false">IFERROR(IF(ISNUMBER(INDEX(원자료_잔고!$A$1:$EZ$1500,설정!$L$5+ROW()-1,설정!$L$13)),INDEX(원자료_잔고!$A$1:$EZ$1500,설정!$L$5+ROW()-1,설정!$L$13),""),"")</f>
        <v/>
      </c>
      <c r="H508" s="85" t="str">
        <f aca="false">IFERROR(IF(ISNUMBER(INDEX(원자료_잔고!$A$1:$EZ$1500,설정!$L$5+ROW()-1,설정!$L$14)),INDEX(원자료_잔고!$A$1:$EZ$1500,설정!$L$5+ROW()-1,설정!$L$14),""),"")</f>
        <v/>
      </c>
      <c r="I508" s="86" t="str">
        <f aca="false">IFERROR(IF(ISNUMBER(INDEX(원자료_잔고!$A$1:$EZ$1500,설정!$L$5+ROW()-1,설정!$L$15)),INDEX(원자료_잔고!$A$1:$EZ$1500,설정!$L$5+ROW()-1,설정!$L$15),""),"")</f>
        <v/>
      </c>
      <c r="J508" s="85" t="str">
        <f aca="false">IFERROR(IF(ISNUMBER(INDEX(원자료_잔고!$A$1:$EZ$1500,설정!$L$5+ROW()-1,설정!$L$16)),INDEX(원자료_잔고!$A$1:$EZ$1500,설정!$L$5+ROW()-1,설정!$L$16),""),"")</f>
        <v/>
      </c>
      <c r="K508" s="87" t="str">
        <f aca="false">IFERROR(IF(ISNUMBER(INDEX(원자료_잔고!$A$1:$EZ$1500,설정!$L$5+ROW()-1,설정!$L$17)),INDEX(원자료_잔고!$A$1:$EZ$1500,설정!$L$5+ROW()-1,설정!$L$17),""),"")</f>
        <v/>
      </c>
      <c r="L508" s="84" t="str">
        <f aca="false">IFERROR(IF(ISNUMBER(INDEX(원자료_잔고!$A$1:$EZ$1500,설정!$L$5+ROW()-1,설정!$L$18)),INDEX(원자료_잔고!$A$1:$EZ$1500,설정!$L$5+ROW()-1,설정!$L$18),""),"")</f>
        <v/>
      </c>
      <c r="M508" s="88" t="str">
        <f aca="false">IFERROR(IF(ISNUMBER(INDEX(원자료_잔고!$A$1:$EZ$1500,설정!$L$5+ROW()-1,설정!$L$19)),INDEX(원자료_잔고!$A$1:$EZ$1500,설정!$L$5+ROW()-1,설정!$L$19),""),"")</f>
        <v/>
      </c>
      <c r="N508" s="83" t="str">
        <f aca="false">IFERROR(IF(INDEX(원자료_잔고!$A$1:$EZ$1500,설정!$L$5+ROW()-1,설정!$L$21)&amp;""="0","",INDEX(원자료_잔고!$A$1:$EZ$1500,설정!$L$5+ROW()-1,설정!$L$21)&amp;""),"")</f>
        <v/>
      </c>
      <c r="O508" s="83" t="str">
        <f aca="false">IFERROR(IF(INDEX(원자료_잔고!$A$1:$EZ$1500,설정!$L$5+ROW()-1,설정!$L$22)&amp;""="0","",INDEX(원자료_잔고!$A$1:$EZ$1500,설정!$L$5+ROW()-1,설정!$L$22)&amp;""),"")</f>
        <v/>
      </c>
      <c r="P508" s="83" t="str">
        <f aca="false">IFERROR(IF(INDEX(원자료_잔고!$A$1:$EZ$1500,설정!$L$5+ROW()-1,설정!$L$23)&amp;""="0","",INDEX(원자료_잔고!$A$1:$EZ$1500,설정!$L$5+ROW()-1,설정!$L$23)&amp;""),"")</f>
        <v/>
      </c>
      <c r="Q508" s="89" t="n">
        <f aca="false">IF(AND($A508&lt;&gt;"",ISNUMBER(E508)),IF(E508&gt;0,1,0),0)</f>
        <v>0</v>
      </c>
      <c r="R508" s="43" t="str">
        <f aca="false">IF(Q508=1,UPPER(LEFT($A508,FIND(" ",$A508&amp;" ")-1)),"")</f>
        <v/>
      </c>
      <c r="S508" s="89" t="n">
        <f aca="false">IF(Q508=1,IF(OR(ISNUMBER(SEARCH("Float",$A508)),ISNUMBER(SEARCH("FRN",$A508))),1,0),0)</f>
        <v>0</v>
      </c>
      <c r="T508" s="43" t="str">
        <f aca="false">IF(AND(Q508=1,ISNUMBER(I508)),TEXT(I508,"yyyymmdd")&amp;"|"&amp;IF(S508=1,"F",TEXT(J508,"0.000")),"")</f>
        <v/>
      </c>
      <c r="U508" s="90" t="str">
        <f aca="false">IF(AND(Q508=1,ISNUMBER(I508)),(I508-설정!$C$4)/365.25,"")</f>
        <v/>
      </c>
      <c r="V508" s="43" t="str">
        <f aca="false">IF(Q508&lt;&gt;1,"",IF(ISNUMBER(U508),IF(U508&lt;=1,"1년 이하",IF(U508&lt;=2,"1-2년",IF(U508&lt;=3,"2-3년",IF(U508&lt;=4,"3-4년",IF(U508&lt;=5,"4-5년",IF(U508&lt;=7,"5-7년",IF(U508&lt;=10,"7-10년",IF(U508&lt;=20,"10-20년","20년 이상")))))))),"미분류"))</f>
        <v/>
      </c>
      <c r="W508" s="43" t="str">
        <f aca="false">IF(Q508&lt;&gt;1,"",IF(AB508&lt;&gt;"",INDEX(시장분석!$C:$C,AB508),IF(K508=1,"USD","비USD")))</f>
        <v/>
      </c>
      <c r="X508" s="91" t="n">
        <f aca="false">IF(Q508=1,E508*K508/1000000,0)</f>
        <v>0</v>
      </c>
      <c r="Y508" s="89" t="n">
        <f aca="false">IF(R508="T",1,0)</f>
        <v>0</v>
      </c>
      <c r="Z508" s="92" t="str">
        <f aca="false">IF(Q508&lt;&gt;1,"",IF(AD508=1,IF(ISNUMBER(U508),MAX(U508,0),H508),H508))</f>
        <v/>
      </c>
      <c r="AA508" s="91" t="n">
        <f aca="false">IF(Q508=1,IF(ISNUMBER(L508),L508,0)*K508/1000000,0)</f>
        <v>0</v>
      </c>
      <c r="AB508" s="89" t="str">
        <f aca="false">IF(Q508&lt;&gt;1,"",IFERROR(MATCH(VLOOKUP(B508,매핑!$H$4:$I$15,2,0),시장분석!$A$2:$A$601,0)+1,IFERROR(MATCH(R508&amp;"|"&amp;T508,시장분석!$V$2:$V$601,0)+1,IF(COUNTIF(시장분석!$U$2:$U$601,T508)=1,MATCH(T508,시장분석!$U$2:$U$601,0)+1,""))))</f>
        <v/>
      </c>
      <c r="AC508" s="89" t="n">
        <f aca="false">IF(Q508&lt;&gt;1,0,IF(OR(설정!$C$5="전체",AND(설정!$C$5="선택펀드",IFERROR(COUNTIFS(설정!$F$16:$F$36,C508,설정!$G$16:$G$36,"Y")+COUNTIFS(설정!$F$16:$F$36,VALUE(C508),설정!$G$16:$G$36,"Y"),0)&gt;0),C508&amp;""=설정!$C$5&amp;""),1,0))</f>
        <v>0</v>
      </c>
      <c r="AD508" s="89" t="n">
        <f aca="false">IF(Q508&lt;&gt;1,0,IF(OR(S508=1,IF(AB508="",FALSE(),INDEX(시장분석!$R:$R,AB508)=1)),1,0))</f>
        <v>0</v>
      </c>
      <c r="AE508" s="43" t="str">
        <f aca="false">IF(AB508="","",INDEX(시장분석!$A:$A,AB508))</f>
        <v/>
      </c>
      <c r="AF508" s="93" t="str">
        <f aca="false">IF(AB508="","",IF(ISNUMBER(IF(AB508="","",INDEX(시장분석!$E:$E,AB508))),IF(AB508="","",INDEX(시장분석!$E:$E,AB508)),""))</f>
        <v/>
      </c>
      <c r="AG508" s="43" t="str">
        <f aca="false">IF(Q508&lt;&gt;1,"",IF(AB508&lt;&gt;"",IF(AB508="","",INDEX(시장분석!$L:$L,AB508)),IFERROR(IF(VLOOKUP(R508,매핑!$A$4:$E$92,5,0)="","미분류",VLOOKUP(R508,매핑!$A$4:$E$92,5,0)),"미분류")))</f>
        <v/>
      </c>
      <c r="AH508" s="43" t="str">
        <f aca="false">IF(Q508&lt;&gt;1,"",IF(AB508&lt;&gt;"",IF(AB508="","",INDEX(시장분석!$N:$N,AB508)),IFERROR(IF(VLOOKUP(R508,매핑!$A$4:$E$92,4,0)="","미분류",VLOOKUP(R508,매핑!$A$4:$E$92,4,0)),"미분류")))</f>
        <v/>
      </c>
      <c r="AI508" s="43" t="str">
        <f aca="false">IF(Q508&lt;&gt;1,"",IFERROR(IF(VLOOKUP(R508,매핑!$A$4:$E$92,3,0)="","미분류",VLOOKUP(R508,매핑!$A$4:$E$92,3,0)),IF(AB508&lt;&gt;"",IF(AB508="","",INDEX(시장분석!$W:$W,AB508)),"미분류")))</f>
        <v/>
      </c>
      <c r="AJ508" s="43" t="str">
        <f aca="false">IF(Q508&lt;&gt;1,"",IFERROR(VLOOKUP(IF(N508&lt;&gt;"",N508,IF(P508&lt;&gt;"",P508,O508)),설정!$A$15:$D$47,2,0),""))</f>
        <v/>
      </c>
      <c r="AK508" s="43" t="str">
        <f aca="false">IF(Q508&lt;&gt;1,"",IF(AJ508="","무등급",IFERROR(VLOOKUP(AJ508,설정!$A$15:$D$47,3,0),"무등급")))</f>
        <v/>
      </c>
      <c r="AL508" s="89" t="n">
        <f aca="false">IF(AJ508="",99,IFERROR(VLOOKUP(AJ508,설정!$A$15:$D$47,4,0),99))</f>
        <v>99</v>
      </c>
      <c r="AM508" s="94" t="n">
        <f aca="false">IF(ISNUMBER(H508),AA508*1000000*H508/10000,0)</f>
        <v>0</v>
      </c>
      <c r="AN508" s="94" t="n">
        <f aca="false">IF(OR(Y508=1,NOT(ISNUMBER(Z508))),0,AA508*1000000*Z508/10000)</f>
        <v>0</v>
      </c>
      <c r="AO508" s="94" t="n">
        <f aca="false">IF(ISNUMBER(G508),AA508*1000000*G508/100,0)</f>
        <v>0</v>
      </c>
      <c r="AP508" s="94" t="n">
        <f aca="false">IF(ISNUMBER(M508),M508*K508,0)</f>
        <v>0</v>
      </c>
      <c r="AQ508" s="95" t="str">
        <f aca="false">IF(AB508="","",INDEX(시장분석!$AK:$AK,AB508))</f>
        <v/>
      </c>
      <c r="AR508" s="43" t="str">
        <f aca="false">IF(AB508="","-",IF(AB508="","",INDEX(시장분석!$AL:$AL,AB508)))</f>
        <v>-</v>
      </c>
      <c r="AS508" s="96" t="str">
        <f aca="false">IF(AB508="","",INDEX(시장분석!$AJ:$AJ,AB508))</f>
        <v/>
      </c>
      <c r="AT508" s="93" t="n">
        <f aca="false">IF(AB508="",0,IF(AB508="","",INDEX(시장분석!$AN:$AN,AB508)))</f>
        <v>0</v>
      </c>
      <c r="AU508" s="94" t="n">
        <f aca="false">IF(ISNUMBER(Z508),AT508/10000*MAX(Z508-1,0)*AA508*1000000,0)</f>
        <v>0</v>
      </c>
      <c r="AV508" s="94" t="n">
        <f aca="false">AO508+AU508</f>
        <v>0</v>
      </c>
      <c r="AW508" s="43" t="str">
        <f aca="false">IF(Q508&lt;&gt;1,"",TRIM(IF(AD508=1,"FRN ","")&amp;IF(AND(AL508&gt;=10,AL508&lt;99),"BBB0미만 ","")&amp;IF(AJ508="","등급없음 ","")&amp;IF(K508&lt;&gt;1,"비USD ","")&amp;IF(AND(AB508="",Y508=0),"시장데이터없음 ","")&amp;IF(AND(ISNUMBER(U508),U508&lt;0),"만기경과 ","")))</f>
        <v/>
      </c>
      <c r="AX508" s="90" t="n">
        <f aca="false">IF(Q508&lt;&gt;1,1,IF(스프레드쇼크!$C$4="Y",INDEX(스프레드쇼크!$B$12:$L$16,IFERROR(MATCH(AH508,스프레드쇼크!$A$12:$A$16,0),MATCH("목록외",스프레드쇼크!$A$12:$A$16,0)),IFERROR(MATCH(AG508,스프레드쇼크!$B$11:$L$11,0),MATCH("목록외",스프레드쇼크!$B$11:$L$11,0))),1))</f>
        <v>1</v>
      </c>
      <c r="AY508" s="90" t="n">
        <f aca="false">IF(스프레드쇼크!$C$5="Y",IF(ISNUMBER(AF508),MIN(스프레드쇼크!$C$7,MAX(스프레드쇼크!$C$6,AF508/스프레드쇼크!$C$8)),1),1)</f>
        <v>1</v>
      </c>
      <c r="AZ508" s="94" t="n">
        <f aca="false">AN508*AX508*AY508</f>
        <v>0</v>
      </c>
      <c r="BA508" s="90" t="n">
        <f aca="false">IF(ISNUMBER(G508),AA508*G508,0)</f>
        <v>0</v>
      </c>
      <c r="BB508" s="90" t="n">
        <f aca="false">IF(ISNUMBER(G508),AA508,0)</f>
        <v>0</v>
      </c>
      <c r="BC508" s="90" t="n">
        <f aca="false">IF(AND(Y508=0,ISNUMBER(AF508)),AA508*AF508,0)</f>
        <v>0</v>
      </c>
      <c r="BD508" s="90" t="n">
        <f aca="false">IF(AND(Y508=0,ISNUMBER(AF508)),AA508,0)</f>
        <v>0</v>
      </c>
      <c r="BE508" s="90" t="n">
        <f aca="false">IF(ISNUMBER(H508),AA508*H508,0)</f>
        <v>0</v>
      </c>
      <c r="BF508" s="90" t="n">
        <f aca="false">IF(ISNUMBER(H508),AA508,0)</f>
        <v>0</v>
      </c>
      <c r="BG508" s="90" t="n">
        <f aca="false">IF(AND(Y508=0,ISNUMBER(AF508),ISNUMBER(Z508)),AA508*Z508,0)</f>
        <v>0</v>
      </c>
      <c r="BH508" s="90" t="n">
        <f aca="false">IF(AND(Y508=0,ISNUMBER(AF508),ISNUMBER(Z508)),AA508*AT508*MAX(Z508-1,0),0)</f>
        <v>0</v>
      </c>
      <c r="BI508" s="90" t="n">
        <f aca="false">IF(Y508=0,AA508,0)</f>
        <v>0</v>
      </c>
    </row>
    <row r="509" customFormat="false" ht="15" hidden="false" customHeight="false" outlineLevel="0" collapsed="false">
      <c r="A509" s="83" t="str">
        <f aca="false">IFERROR(IF(INDEX(원자료_잔고!$A$1:$EZ$1500,설정!$L$5+ROW()-1,설정!$L$8)&amp;""="0","",INDEX(원자료_잔고!$A$1:$EZ$1500,설정!$L$5+ROW()-1,설정!$L$8)&amp;""),"")</f>
        <v/>
      </c>
      <c r="B509" s="83" t="str">
        <f aca="false">IFERROR(IF(INDEX(원자료_잔고!$A$1:$EZ$1500,설정!$L$5+ROW()-1,설정!$L$7)&amp;""="0","",INDEX(원자료_잔고!$A$1:$EZ$1500,설정!$L$5+ROW()-1,설정!$L$7)&amp;""),"")</f>
        <v/>
      </c>
      <c r="C509" s="83" t="str">
        <f aca="false">IFERROR(IF(INDEX(원자료_잔고!$A$1:$EZ$1500,설정!$L$5+ROW()-1,설정!$L$9)&amp;""="0","",INDEX(원자료_잔고!$A$1:$EZ$1500,설정!$L$5+ROW()-1,설정!$L$9)&amp;""),"")</f>
        <v/>
      </c>
      <c r="D509" s="83" t="str">
        <f aca="false">IFERROR(IF(INDEX(원자료_잔고!$A$1:$EZ$1500,설정!$L$5+ROW()-1,설정!$L$10)&amp;""="0","",INDEX(원자료_잔고!$A$1:$EZ$1500,설정!$L$5+ROW()-1,설정!$L$10)&amp;""),"")</f>
        <v/>
      </c>
      <c r="E509" s="84" t="str">
        <f aca="false">IFERROR(IF(ISNUMBER(INDEX(원자료_잔고!$A$1:$EZ$1500,설정!$L$5+ROW()-1,설정!$L$11)),INDEX(원자료_잔고!$A$1:$EZ$1500,설정!$L$5+ROW()-1,설정!$L$11),""),"")</f>
        <v/>
      </c>
      <c r="F509" s="85" t="str">
        <f aca="false">IFERROR(IF(ISNUMBER(INDEX(원자료_잔고!$A$1:$EZ$1500,설정!$L$5+ROW()-1,설정!$L$12)),INDEX(원자료_잔고!$A$1:$EZ$1500,설정!$L$5+ROW()-1,설정!$L$12),""),"")</f>
        <v/>
      </c>
      <c r="G509" s="85" t="str">
        <f aca="false">IFERROR(IF(ISNUMBER(INDEX(원자료_잔고!$A$1:$EZ$1500,설정!$L$5+ROW()-1,설정!$L$13)),INDEX(원자료_잔고!$A$1:$EZ$1500,설정!$L$5+ROW()-1,설정!$L$13),""),"")</f>
        <v/>
      </c>
      <c r="H509" s="85" t="str">
        <f aca="false">IFERROR(IF(ISNUMBER(INDEX(원자료_잔고!$A$1:$EZ$1500,설정!$L$5+ROW()-1,설정!$L$14)),INDEX(원자료_잔고!$A$1:$EZ$1500,설정!$L$5+ROW()-1,설정!$L$14),""),"")</f>
        <v/>
      </c>
      <c r="I509" s="86" t="str">
        <f aca="false">IFERROR(IF(ISNUMBER(INDEX(원자료_잔고!$A$1:$EZ$1500,설정!$L$5+ROW()-1,설정!$L$15)),INDEX(원자료_잔고!$A$1:$EZ$1500,설정!$L$5+ROW()-1,설정!$L$15),""),"")</f>
        <v/>
      </c>
      <c r="J509" s="85" t="str">
        <f aca="false">IFERROR(IF(ISNUMBER(INDEX(원자료_잔고!$A$1:$EZ$1500,설정!$L$5+ROW()-1,설정!$L$16)),INDEX(원자료_잔고!$A$1:$EZ$1500,설정!$L$5+ROW()-1,설정!$L$16),""),"")</f>
        <v/>
      </c>
      <c r="K509" s="87" t="str">
        <f aca="false">IFERROR(IF(ISNUMBER(INDEX(원자료_잔고!$A$1:$EZ$1500,설정!$L$5+ROW()-1,설정!$L$17)),INDEX(원자료_잔고!$A$1:$EZ$1500,설정!$L$5+ROW()-1,설정!$L$17),""),"")</f>
        <v/>
      </c>
      <c r="L509" s="84" t="str">
        <f aca="false">IFERROR(IF(ISNUMBER(INDEX(원자료_잔고!$A$1:$EZ$1500,설정!$L$5+ROW()-1,설정!$L$18)),INDEX(원자료_잔고!$A$1:$EZ$1500,설정!$L$5+ROW()-1,설정!$L$18),""),"")</f>
        <v/>
      </c>
      <c r="M509" s="88" t="str">
        <f aca="false">IFERROR(IF(ISNUMBER(INDEX(원자료_잔고!$A$1:$EZ$1500,설정!$L$5+ROW()-1,설정!$L$19)),INDEX(원자료_잔고!$A$1:$EZ$1500,설정!$L$5+ROW()-1,설정!$L$19),""),"")</f>
        <v/>
      </c>
      <c r="N509" s="83" t="str">
        <f aca="false">IFERROR(IF(INDEX(원자료_잔고!$A$1:$EZ$1500,설정!$L$5+ROW()-1,설정!$L$21)&amp;""="0","",INDEX(원자료_잔고!$A$1:$EZ$1500,설정!$L$5+ROW()-1,설정!$L$21)&amp;""),"")</f>
        <v/>
      </c>
      <c r="O509" s="83" t="str">
        <f aca="false">IFERROR(IF(INDEX(원자료_잔고!$A$1:$EZ$1500,설정!$L$5+ROW()-1,설정!$L$22)&amp;""="0","",INDEX(원자료_잔고!$A$1:$EZ$1500,설정!$L$5+ROW()-1,설정!$L$22)&amp;""),"")</f>
        <v/>
      </c>
      <c r="P509" s="83" t="str">
        <f aca="false">IFERROR(IF(INDEX(원자료_잔고!$A$1:$EZ$1500,설정!$L$5+ROW()-1,설정!$L$23)&amp;""="0","",INDEX(원자료_잔고!$A$1:$EZ$1500,설정!$L$5+ROW()-1,설정!$L$23)&amp;""),"")</f>
        <v/>
      </c>
      <c r="Q509" s="89" t="n">
        <f aca="false">IF(AND($A509&lt;&gt;"",ISNUMBER(E509)),IF(E509&gt;0,1,0),0)</f>
        <v>0</v>
      </c>
      <c r="R509" s="43" t="str">
        <f aca="false">IF(Q509=1,UPPER(LEFT($A509,FIND(" ",$A509&amp;" ")-1)),"")</f>
        <v/>
      </c>
      <c r="S509" s="89" t="n">
        <f aca="false">IF(Q509=1,IF(OR(ISNUMBER(SEARCH("Float",$A509)),ISNUMBER(SEARCH("FRN",$A509))),1,0),0)</f>
        <v>0</v>
      </c>
      <c r="T509" s="43" t="str">
        <f aca="false">IF(AND(Q509=1,ISNUMBER(I509)),TEXT(I509,"yyyymmdd")&amp;"|"&amp;IF(S509=1,"F",TEXT(J509,"0.000")),"")</f>
        <v/>
      </c>
      <c r="U509" s="90" t="str">
        <f aca="false">IF(AND(Q509=1,ISNUMBER(I509)),(I509-설정!$C$4)/365.25,"")</f>
        <v/>
      </c>
      <c r="V509" s="43" t="str">
        <f aca="false">IF(Q509&lt;&gt;1,"",IF(ISNUMBER(U509),IF(U509&lt;=1,"1년 이하",IF(U509&lt;=2,"1-2년",IF(U509&lt;=3,"2-3년",IF(U509&lt;=4,"3-4년",IF(U509&lt;=5,"4-5년",IF(U509&lt;=7,"5-7년",IF(U509&lt;=10,"7-10년",IF(U509&lt;=20,"10-20년","20년 이상")))))))),"미분류"))</f>
        <v/>
      </c>
      <c r="W509" s="43" t="str">
        <f aca="false">IF(Q509&lt;&gt;1,"",IF(AB509&lt;&gt;"",INDEX(시장분석!$C:$C,AB509),IF(K509=1,"USD","비USD")))</f>
        <v/>
      </c>
      <c r="X509" s="91" t="n">
        <f aca="false">IF(Q509=1,E509*K509/1000000,0)</f>
        <v>0</v>
      </c>
      <c r="Y509" s="89" t="n">
        <f aca="false">IF(R509="T",1,0)</f>
        <v>0</v>
      </c>
      <c r="Z509" s="92" t="str">
        <f aca="false">IF(Q509&lt;&gt;1,"",IF(AD509=1,IF(ISNUMBER(U509),MAX(U509,0),H509),H509))</f>
        <v/>
      </c>
      <c r="AA509" s="91" t="n">
        <f aca="false">IF(Q509=1,IF(ISNUMBER(L509),L509,0)*K509/1000000,0)</f>
        <v>0</v>
      </c>
      <c r="AB509" s="89" t="str">
        <f aca="false">IF(Q509&lt;&gt;1,"",IFERROR(MATCH(VLOOKUP(B509,매핑!$H$4:$I$15,2,0),시장분석!$A$2:$A$601,0)+1,IFERROR(MATCH(R509&amp;"|"&amp;T509,시장분석!$V$2:$V$601,0)+1,IF(COUNTIF(시장분석!$U$2:$U$601,T509)=1,MATCH(T509,시장분석!$U$2:$U$601,0)+1,""))))</f>
        <v/>
      </c>
      <c r="AC509" s="89" t="n">
        <f aca="false">IF(Q509&lt;&gt;1,0,IF(OR(설정!$C$5="전체",AND(설정!$C$5="선택펀드",IFERROR(COUNTIFS(설정!$F$16:$F$36,C509,설정!$G$16:$G$36,"Y")+COUNTIFS(설정!$F$16:$F$36,VALUE(C509),설정!$G$16:$G$36,"Y"),0)&gt;0),C509&amp;""=설정!$C$5&amp;""),1,0))</f>
        <v>0</v>
      </c>
      <c r="AD509" s="89" t="n">
        <f aca="false">IF(Q509&lt;&gt;1,0,IF(OR(S509=1,IF(AB509="",FALSE(),INDEX(시장분석!$R:$R,AB509)=1)),1,0))</f>
        <v>0</v>
      </c>
      <c r="AE509" s="43" t="str">
        <f aca="false">IF(AB509="","",INDEX(시장분석!$A:$A,AB509))</f>
        <v/>
      </c>
      <c r="AF509" s="93" t="str">
        <f aca="false">IF(AB509="","",IF(ISNUMBER(IF(AB509="","",INDEX(시장분석!$E:$E,AB509))),IF(AB509="","",INDEX(시장분석!$E:$E,AB509)),""))</f>
        <v/>
      </c>
      <c r="AG509" s="43" t="str">
        <f aca="false">IF(Q509&lt;&gt;1,"",IF(AB509&lt;&gt;"",IF(AB509="","",INDEX(시장분석!$L:$L,AB509)),IFERROR(IF(VLOOKUP(R509,매핑!$A$4:$E$92,5,0)="","미분류",VLOOKUP(R509,매핑!$A$4:$E$92,5,0)),"미분류")))</f>
        <v/>
      </c>
      <c r="AH509" s="43" t="str">
        <f aca="false">IF(Q509&lt;&gt;1,"",IF(AB509&lt;&gt;"",IF(AB509="","",INDEX(시장분석!$N:$N,AB509)),IFERROR(IF(VLOOKUP(R509,매핑!$A$4:$E$92,4,0)="","미분류",VLOOKUP(R509,매핑!$A$4:$E$92,4,0)),"미분류")))</f>
        <v/>
      </c>
      <c r="AI509" s="43" t="str">
        <f aca="false">IF(Q509&lt;&gt;1,"",IFERROR(IF(VLOOKUP(R509,매핑!$A$4:$E$92,3,0)="","미분류",VLOOKUP(R509,매핑!$A$4:$E$92,3,0)),IF(AB509&lt;&gt;"",IF(AB509="","",INDEX(시장분석!$W:$W,AB509)),"미분류")))</f>
        <v/>
      </c>
      <c r="AJ509" s="43" t="str">
        <f aca="false">IF(Q509&lt;&gt;1,"",IFERROR(VLOOKUP(IF(N509&lt;&gt;"",N509,IF(P509&lt;&gt;"",P509,O509)),설정!$A$15:$D$47,2,0),""))</f>
        <v/>
      </c>
      <c r="AK509" s="43" t="str">
        <f aca="false">IF(Q509&lt;&gt;1,"",IF(AJ509="","무등급",IFERROR(VLOOKUP(AJ509,설정!$A$15:$D$47,3,0),"무등급")))</f>
        <v/>
      </c>
      <c r="AL509" s="89" t="n">
        <f aca="false">IF(AJ509="",99,IFERROR(VLOOKUP(AJ509,설정!$A$15:$D$47,4,0),99))</f>
        <v>99</v>
      </c>
      <c r="AM509" s="94" t="n">
        <f aca="false">IF(ISNUMBER(H509),AA509*1000000*H509/10000,0)</f>
        <v>0</v>
      </c>
      <c r="AN509" s="94" t="n">
        <f aca="false">IF(OR(Y509=1,NOT(ISNUMBER(Z509))),0,AA509*1000000*Z509/10000)</f>
        <v>0</v>
      </c>
      <c r="AO509" s="94" t="n">
        <f aca="false">IF(ISNUMBER(G509),AA509*1000000*G509/100,0)</f>
        <v>0</v>
      </c>
      <c r="AP509" s="94" t="n">
        <f aca="false">IF(ISNUMBER(M509),M509*K509,0)</f>
        <v>0</v>
      </c>
      <c r="AQ509" s="95" t="str">
        <f aca="false">IF(AB509="","",INDEX(시장분석!$AK:$AK,AB509))</f>
        <v/>
      </c>
      <c r="AR509" s="43" t="str">
        <f aca="false">IF(AB509="","-",IF(AB509="","",INDEX(시장분석!$AL:$AL,AB509)))</f>
        <v>-</v>
      </c>
      <c r="AS509" s="96" t="str">
        <f aca="false">IF(AB509="","",INDEX(시장분석!$AJ:$AJ,AB509))</f>
        <v/>
      </c>
      <c r="AT509" s="93" t="n">
        <f aca="false">IF(AB509="",0,IF(AB509="","",INDEX(시장분석!$AN:$AN,AB509)))</f>
        <v>0</v>
      </c>
      <c r="AU509" s="94" t="n">
        <f aca="false">IF(ISNUMBER(Z509),AT509/10000*MAX(Z509-1,0)*AA509*1000000,0)</f>
        <v>0</v>
      </c>
      <c r="AV509" s="94" t="n">
        <f aca="false">AO509+AU509</f>
        <v>0</v>
      </c>
      <c r="AW509" s="43" t="str">
        <f aca="false">IF(Q509&lt;&gt;1,"",TRIM(IF(AD509=1,"FRN ","")&amp;IF(AND(AL509&gt;=10,AL509&lt;99),"BBB0미만 ","")&amp;IF(AJ509="","등급없음 ","")&amp;IF(K509&lt;&gt;1,"비USD ","")&amp;IF(AND(AB509="",Y509=0),"시장데이터없음 ","")&amp;IF(AND(ISNUMBER(U509),U509&lt;0),"만기경과 ","")))</f>
        <v/>
      </c>
      <c r="AX509" s="90" t="n">
        <f aca="false">IF(Q509&lt;&gt;1,1,IF(스프레드쇼크!$C$4="Y",INDEX(스프레드쇼크!$B$12:$L$16,IFERROR(MATCH(AH509,스프레드쇼크!$A$12:$A$16,0),MATCH("목록외",스프레드쇼크!$A$12:$A$16,0)),IFERROR(MATCH(AG509,스프레드쇼크!$B$11:$L$11,0),MATCH("목록외",스프레드쇼크!$B$11:$L$11,0))),1))</f>
        <v>1</v>
      </c>
      <c r="AY509" s="90" t="n">
        <f aca="false">IF(스프레드쇼크!$C$5="Y",IF(ISNUMBER(AF509),MIN(스프레드쇼크!$C$7,MAX(스프레드쇼크!$C$6,AF509/스프레드쇼크!$C$8)),1),1)</f>
        <v>1</v>
      </c>
      <c r="AZ509" s="94" t="n">
        <f aca="false">AN509*AX509*AY509</f>
        <v>0</v>
      </c>
      <c r="BA509" s="90" t="n">
        <f aca="false">IF(ISNUMBER(G509),AA509*G509,0)</f>
        <v>0</v>
      </c>
      <c r="BB509" s="90" t="n">
        <f aca="false">IF(ISNUMBER(G509),AA509,0)</f>
        <v>0</v>
      </c>
      <c r="BC509" s="90" t="n">
        <f aca="false">IF(AND(Y509=0,ISNUMBER(AF509)),AA509*AF509,0)</f>
        <v>0</v>
      </c>
      <c r="BD509" s="90" t="n">
        <f aca="false">IF(AND(Y509=0,ISNUMBER(AF509)),AA509,0)</f>
        <v>0</v>
      </c>
      <c r="BE509" s="90" t="n">
        <f aca="false">IF(ISNUMBER(H509),AA509*H509,0)</f>
        <v>0</v>
      </c>
      <c r="BF509" s="90" t="n">
        <f aca="false">IF(ISNUMBER(H509),AA509,0)</f>
        <v>0</v>
      </c>
      <c r="BG509" s="90" t="n">
        <f aca="false">IF(AND(Y509=0,ISNUMBER(AF509),ISNUMBER(Z509)),AA509*Z509,0)</f>
        <v>0</v>
      </c>
      <c r="BH509" s="90" t="n">
        <f aca="false">IF(AND(Y509=0,ISNUMBER(AF509),ISNUMBER(Z509)),AA509*AT509*MAX(Z509-1,0),0)</f>
        <v>0</v>
      </c>
      <c r="BI509" s="90" t="n">
        <f aca="false">IF(Y509=0,AA509,0)</f>
        <v>0</v>
      </c>
    </row>
    <row r="510" customFormat="false" ht="15" hidden="false" customHeight="false" outlineLevel="0" collapsed="false">
      <c r="A510" s="83" t="str">
        <f aca="false">IFERROR(IF(INDEX(원자료_잔고!$A$1:$EZ$1500,설정!$L$5+ROW()-1,설정!$L$8)&amp;""="0","",INDEX(원자료_잔고!$A$1:$EZ$1500,설정!$L$5+ROW()-1,설정!$L$8)&amp;""),"")</f>
        <v/>
      </c>
      <c r="B510" s="83" t="str">
        <f aca="false">IFERROR(IF(INDEX(원자료_잔고!$A$1:$EZ$1500,설정!$L$5+ROW()-1,설정!$L$7)&amp;""="0","",INDEX(원자료_잔고!$A$1:$EZ$1500,설정!$L$5+ROW()-1,설정!$L$7)&amp;""),"")</f>
        <v/>
      </c>
      <c r="C510" s="83" t="str">
        <f aca="false">IFERROR(IF(INDEX(원자료_잔고!$A$1:$EZ$1500,설정!$L$5+ROW()-1,설정!$L$9)&amp;""="0","",INDEX(원자료_잔고!$A$1:$EZ$1500,설정!$L$5+ROW()-1,설정!$L$9)&amp;""),"")</f>
        <v/>
      </c>
      <c r="D510" s="83" t="str">
        <f aca="false">IFERROR(IF(INDEX(원자료_잔고!$A$1:$EZ$1500,설정!$L$5+ROW()-1,설정!$L$10)&amp;""="0","",INDEX(원자료_잔고!$A$1:$EZ$1500,설정!$L$5+ROW()-1,설정!$L$10)&amp;""),"")</f>
        <v/>
      </c>
      <c r="E510" s="84" t="str">
        <f aca="false">IFERROR(IF(ISNUMBER(INDEX(원자료_잔고!$A$1:$EZ$1500,설정!$L$5+ROW()-1,설정!$L$11)),INDEX(원자료_잔고!$A$1:$EZ$1500,설정!$L$5+ROW()-1,설정!$L$11),""),"")</f>
        <v/>
      </c>
      <c r="F510" s="85" t="str">
        <f aca="false">IFERROR(IF(ISNUMBER(INDEX(원자료_잔고!$A$1:$EZ$1500,설정!$L$5+ROW()-1,설정!$L$12)),INDEX(원자료_잔고!$A$1:$EZ$1500,설정!$L$5+ROW()-1,설정!$L$12),""),"")</f>
        <v/>
      </c>
      <c r="G510" s="85" t="str">
        <f aca="false">IFERROR(IF(ISNUMBER(INDEX(원자료_잔고!$A$1:$EZ$1500,설정!$L$5+ROW()-1,설정!$L$13)),INDEX(원자료_잔고!$A$1:$EZ$1500,설정!$L$5+ROW()-1,설정!$L$13),""),"")</f>
        <v/>
      </c>
      <c r="H510" s="85" t="str">
        <f aca="false">IFERROR(IF(ISNUMBER(INDEX(원자료_잔고!$A$1:$EZ$1500,설정!$L$5+ROW()-1,설정!$L$14)),INDEX(원자료_잔고!$A$1:$EZ$1500,설정!$L$5+ROW()-1,설정!$L$14),""),"")</f>
        <v/>
      </c>
      <c r="I510" s="86" t="str">
        <f aca="false">IFERROR(IF(ISNUMBER(INDEX(원자료_잔고!$A$1:$EZ$1500,설정!$L$5+ROW()-1,설정!$L$15)),INDEX(원자료_잔고!$A$1:$EZ$1500,설정!$L$5+ROW()-1,설정!$L$15),""),"")</f>
        <v/>
      </c>
      <c r="J510" s="85" t="str">
        <f aca="false">IFERROR(IF(ISNUMBER(INDEX(원자료_잔고!$A$1:$EZ$1500,설정!$L$5+ROW()-1,설정!$L$16)),INDEX(원자료_잔고!$A$1:$EZ$1500,설정!$L$5+ROW()-1,설정!$L$16),""),"")</f>
        <v/>
      </c>
      <c r="K510" s="87" t="str">
        <f aca="false">IFERROR(IF(ISNUMBER(INDEX(원자료_잔고!$A$1:$EZ$1500,설정!$L$5+ROW()-1,설정!$L$17)),INDEX(원자료_잔고!$A$1:$EZ$1500,설정!$L$5+ROW()-1,설정!$L$17),""),"")</f>
        <v/>
      </c>
      <c r="L510" s="84" t="str">
        <f aca="false">IFERROR(IF(ISNUMBER(INDEX(원자료_잔고!$A$1:$EZ$1500,설정!$L$5+ROW()-1,설정!$L$18)),INDEX(원자료_잔고!$A$1:$EZ$1500,설정!$L$5+ROW()-1,설정!$L$18),""),"")</f>
        <v/>
      </c>
      <c r="M510" s="88" t="str">
        <f aca="false">IFERROR(IF(ISNUMBER(INDEX(원자료_잔고!$A$1:$EZ$1500,설정!$L$5+ROW()-1,설정!$L$19)),INDEX(원자료_잔고!$A$1:$EZ$1500,설정!$L$5+ROW()-1,설정!$L$19),""),"")</f>
        <v/>
      </c>
      <c r="N510" s="83" t="str">
        <f aca="false">IFERROR(IF(INDEX(원자료_잔고!$A$1:$EZ$1500,설정!$L$5+ROW()-1,설정!$L$21)&amp;""="0","",INDEX(원자료_잔고!$A$1:$EZ$1500,설정!$L$5+ROW()-1,설정!$L$21)&amp;""),"")</f>
        <v/>
      </c>
      <c r="O510" s="83" t="str">
        <f aca="false">IFERROR(IF(INDEX(원자료_잔고!$A$1:$EZ$1500,설정!$L$5+ROW()-1,설정!$L$22)&amp;""="0","",INDEX(원자료_잔고!$A$1:$EZ$1500,설정!$L$5+ROW()-1,설정!$L$22)&amp;""),"")</f>
        <v/>
      </c>
      <c r="P510" s="83" t="str">
        <f aca="false">IFERROR(IF(INDEX(원자료_잔고!$A$1:$EZ$1500,설정!$L$5+ROW()-1,설정!$L$23)&amp;""="0","",INDEX(원자료_잔고!$A$1:$EZ$1500,설정!$L$5+ROW()-1,설정!$L$23)&amp;""),"")</f>
        <v/>
      </c>
      <c r="Q510" s="89" t="n">
        <f aca="false">IF(AND($A510&lt;&gt;"",ISNUMBER(E510)),IF(E510&gt;0,1,0),0)</f>
        <v>0</v>
      </c>
      <c r="R510" s="43" t="str">
        <f aca="false">IF(Q510=1,UPPER(LEFT($A510,FIND(" ",$A510&amp;" ")-1)),"")</f>
        <v/>
      </c>
      <c r="S510" s="89" t="n">
        <f aca="false">IF(Q510=1,IF(OR(ISNUMBER(SEARCH("Float",$A510)),ISNUMBER(SEARCH("FRN",$A510))),1,0),0)</f>
        <v>0</v>
      </c>
      <c r="T510" s="43" t="str">
        <f aca="false">IF(AND(Q510=1,ISNUMBER(I510)),TEXT(I510,"yyyymmdd")&amp;"|"&amp;IF(S510=1,"F",TEXT(J510,"0.000")),"")</f>
        <v/>
      </c>
      <c r="U510" s="90" t="str">
        <f aca="false">IF(AND(Q510=1,ISNUMBER(I510)),(I510-설정!$C$4)/365.25,"")</f>
        <v/>
      </c>
      <c r="V510" s="43" t="str">
        <f aca="false">IF(Q510&lt;&gt;1,"",IF(ISNUMBER(U510),IF(U510&lt;=1,"1년 이하",IF(U510&lt;=2,"1-2년",IF(U510&lt;=3,"2-3년",IF(U510&lt;=4,"3-4년",IF(U510&lt;=5,"4-5년",IF(U510&lt;=7,"5-7년",IF(U510&lt;=10,"7-10년",IF(U510&lt;=20,"10-20년","20년 이상")))))))),"미분류"))</f>
        <v/>
      </c>
      <c r="W510" s="43" t="str">
        <f aca="false">IF(Q510&lt;&gt;1,"",IF(AB510&lt;&gt;"",INDEX(시장분석!$C:$C,AB510),IF(K510=1,"USD","비USD")))</f>
        <v/>
      </c>
      <c r="X510" s="91" t="n">
        <f aca="false">IF(Q510=1,E510*K510/1000000,0)</f>
        <v>0</v>
      </c>
      <c r="Y510" s="89" t="n">
        <f aca="false">IF(R510="T",1,0)</f>
        <v>0</v>
      </c>
      <c r="Z510" s="92" t="str">
        <f aca="false">IF(Q510&lt;&gt;1,"",IF(AD510=1,IF(ISNUMBER(U510),MAX(U510,0),H510),H510))</f>
        <v/>
      </c>
      <c r="AA510" s="91" t="n">
        <f aca="false">IF(Q510=1,IF(ISNUMBER(L510),L510,0)*K510/1000000,0)</f>
        <v>0</v>
      </c>
      <c r="AB510" s="89" t="str">
        <f aca="false">IF(Q510&lt;&gt;1,"",IFERROR(MATCH(VLOOKUP(B510,매핑!$H$4:$I$15,2,0),시장분석!$A$2:$A$601,0)+1,IFERROR(MATCH(R510&amp;"|"&amp;T510,시장분석!$V$2:$V$601,0)+1,IF(COUNTIF(시장분석!$U$2:$U$601,T510)=1,MATCH(T510,시장분석!$U$2:$U$601,0)+1,""))))</f>
        <v/>
      </c>
      <c r="AC510" s="89" t="n">
        <f aca="false">IF(Q510&lt;&gt;1,0,IF(OR(설정!$C$5="전체",AND(설정!$C$5="선택펀드",IFERROR(COUNTIFS(설정!$F$16:$F$36,C510,설정!$G$16:$G$36,"Y")+COUNTIFS(설정!$F$16:$F$36,VALUE(C510),설정!$G$16:$G$36,"Y"),0)&gt;0),C510&amp;""=설정!$C$5&amp;""),1,0))</f>
        <v>0</v>
      </c>
      <c r="AD510" s="89" t="n">
        <f aca="false">IF(Q510&lt;&gt;1,0,IF(OR(S510=1,IF(AB510="",FALSE(),INDEX(시장분석!$R:$R,AB510)=1)),1,0))</f>
        <v>0</v>
      </c>
      <c r="AE510" s="43" t="str">
        <f aca="false">IF(AB510="","",INDEX(시장분석!$A:$A,AB510))</f>
        <v/>
      </c>
      <c r="AF510" s="93" t="str">
        <f aca="false">IF(AB510="","",IF(ISNUMBER(IF(AB510="","",INDEX(시장분석!$E:$E,AB510))),IF(AB510="","",INDEX(시장분석!$E:$E,AB510)),""))</f>
        <v/>
      </c>
      <c r="AG510" s="43" t="str">
        <f aca="false">IF(Q510&lt;&gt;1,"",IF(AB510&lt;&gt;"",IF(AB510="","",INDEX(시장분석!$L:$L,AB510)),IFERROR(IF(VLOOKUP(R510,매핑!$A$4:$E$92,5,0)="","미분류",VLOOKUP(R510,매핑!$A$4:$E$92,5,0)),"미분류")))</f>
        <v/>
      </c>
      <c r="AH510" s="43" t="str">
        <f aca="false">IF(Q510&lt;&gt;1,"",IF(AB510&lt;&gt;"",IF(AB510="","",INDEX(시장분석!$N:$N,AB510)),IFERROR(IF(VLOOKUP(R510,매핑!$A$4:$E$92,4,0)="","미분류",VLOOKUP(R510,매핑!$A$4:$E$92,4,0)),"미분류")))</f>
        <v/>
      </c>
      <c r="AI510" s="43" t="str">
        <f aca="false">IF(Q510&lt;&gt;1,"",IFERROR(IF(VLOOKUP(R510,매핑!$A$4:$E$92,3,0)="","미분류",VLOOKUP(R510,매핑!$A$4:$E$92,3,0)),IF(AB510&lt;&gt;"",IF(AB510="","",INDEX(시장분석!$W:$W,AB510)),"미분류")))</f>
        <v/>
      </c>
      <c r="AJ510" s="43" t="str">
        <f aca="false">IF(Q510&lt;&gt;1,"",IFERROR(VLOOKUP(IF(N510&lt;&gt;"",N510,IF(P510&lt;&gt;"",P510,O510)),설정!$A$15:$D$47,2,0),""))</f>
        <v/>
      </c>
      <c r="AK510" s="43" t="str">
        <f aca="false">IF(Q510&lt;&gt;1,"",IF(AJ510="","무등급",IFERROR(VLOOKUP(AJ510,설정!$A$15:$D$47,3,0),"무등급")))</f>
        <v/>
      </c>
      <c r="AL510" s="89" t="n">
        <f aca="false">IF(AJ510="",99,IFERROR(VLOOKUP(AJ510,설정!$A$15:$D$47,4,0),99))</f>
        <v>99</v>
      </c>
      <c r="AM510" s="94" t="n">
        <f aca="false">IF(ISNUMBER(H510),AA510*1000000*H510/10000,0)</f>
        <v>0</v>
      </c>
      <c r="AN510" s="94" t="n">
        <f aca="false">IF(OR(Y510=1,NOT(ISNUMBER(Z510))),0,AA510*1000000*Z510/10000)</f>
        <v>0</v>
      </c>
      <c r="AO510" s="94" t="n">
        <f aca="false">IF(ISNUMBER(G510),AA510*1000000*G510/100,0)</f>
        <v>0</v>
      </c>
      <c r="AP510" s="94" t="n">
        <f aca="false">IF(ISNUMBER(M510),M510*K510,0)</f>
        <v>0</v>
      </c>
      <c r="AQ510" s="95" t="str">
        <f aca="false">IF(AB510="","",INDEX(시장분석!$AK:$AK,AB510))</f>
        <v/>
      </c>
      <c r="AR510" s="43" t="str">
        <f aca="false">IF(AB510="","-",IF(AB510="","",INDEX(시장분석!$AL:$AL,AB510)))</f>
        <v>-</v>
      </c>
      <c r="AS510" s="96" t="str">
        <f aca="false">IF(AB510="","",INDEX(시장분석!$AJ:$AJ,AB510))</f>
        <v/>
      </c>
      <c r="AT510" s="93" t="n">
        <f aca="false">IF(AB510="",0,IF(AB510="","",INDEX(시장분석!$AN:$AN,AB510)))</f>
        <v>0</v>
      </c>
      <c r="AU510" s="94" t="n">
        <f aca="false">IF(ISNUMBER(Z510),AT510/10000*MAX(Z510-1,0)*AA510*1000000,0)</f>
        <v>0</v>
      </c>
      <c r="AV510" s="94" t="n">
        <f aca="false">AO510+AU510</f>
        <v>0</v>
      </c>
      <c r="AW510" s="43" t="str">
        <f aca="false">IF(Q510&lt;&gt;1,"",TRIM(IF(AD510=1,"FRN ","")&amp;IF(AND(AL510&gt;=10,AL510&lt;99),"BBB0미만 ","")&amp;IF(AJ510="","등급없음 ","")&amp;IF(K510&lt;&gt;1,"비USD ","")&amp;IF(AND(AB510="",Y510=0),"시장데이터없음 ","")&amp;IF(AND(ISNUMBER(U510),U510&lt;0),"만기경과 ","")))</f>
        <v/>
      </c>
      <c r="AX510" s="90" t="n">
        <f aca="false">IF(Q510&lt;&gt;1,1,IF(스프레드쇼크!$C$4="Y",INDEX(스프레드쇼크!$B$12:$L$16,IFERROR(MATCH(AH510,스프레드쇼크!$A$12:$A$16,0),MATCH("목록외",스프레드쇼크!$A$12:$A$16,0)),IFERROR(MATCH(AG510,스프레드쇼크!$B$11:$L$11,0),MATCH("목록외",스프레드쇼크!$B$11:$L$11,0))),1))</f>
        <v>1</v>
      </c>
      <c r="AY510" s="90" t="n">
        <f aca="false">IF(스프레드쇼크!$C$5="Y",IF(ISNUMBER(AF510),MIN(스프레드쇼크!$C$7,MAX(스프레드쇼크!$C$6,AF510/스프레드쇼크!$C$8)),1),1)</f>
        <v>1</v>
      </c>
      <c r="AZ510" s="94" t="n">
        <f aca="false">AN510*AX510*AY510</f>
        <v>0</v>
      </c>
      <c r="BA510" s="90" t="n">
        <f aca="false">IF(ISNUMBER(G510),AA510*G510,0)</f>
        <v>0</v>
      </c>
      <c r="BB510" s="90" t="n">
        <f aca="false">IF(ISNUMBER(G510),AA510,0)</f>
        <v>0</v>
      </c>
      <c r="BC510" s="90" t="n">
        <f aca="false">IF(AND(Y510=0,ISNUMBER(AF510)),AA510*AF510,0)</f>
        <v>0</v>
      </c>
      <c r="BD510" s="90" t="n">
        <f aca="false">IF(AND(Y510=0,ISNUMBER(AF510)),AA510,0)</f>
        <v>0</v>
      </c>
      <c r="BE510" s="90" t="n">
        <f aca="false">IF(ISNUMBER(H510),AA510*H510,0)</f>
        <v>0</v>
      </c>
      <c r="BF510" s="90" t="n">
        <f aca="false">IF(ISNUMBER(H510),AA510,0)</f>
        <v>0</v>
      </c>
      <c r="BG510" s="90" t="n">
        <f aca="false">IF(AND(Y510=0,ISNUMBER(AF510),ISNUMBER(Z510)),AA510*Z510,0)</f>
        <v>0</v>
      </c>
      <c r="BH510" s="90" t="n">
        <f aca="false">IF(AND(Y510=0,ISNUMBER(AF510),ISNUMBER(Z510)),AA510*AT510*MAX(Z510-1,0),0)</f>
        <v>0</v>
      </c>
      <c r="BI510" s="90" t="n">
        <f aca="false">IF(Y510=0,AA510,0)</f>
        <v>0</v>
      </c>
    </row>
    <row r="511" customFormat="false" ht="15" hidden="false" customHeight="false" outlineLevel="0" collapsed="false">
      <c r="A511" s="83" t="str">
        <f aca="false">IFERROR(IF(INDEX(원자료_잔고!$A$1:$EZ$1500,설정!$L$5+ROW()-1,설정!$L$8)&amp;""="0","",INDEX(원자료_잔고!$A$1:$EZ$1500,설정!$L$5+ROW()-1,설정!$L$8)&amp;""),"")</f>
        <v/>
      </c>
      <c r="B511" s="83" t="str">
        <f aca="false">IFERROR(IF(INDEX(원자료_잔고!$A$1:$EZ$1500,설정!$L$5+ROW()-1,설정!$L$7)&amp;""="0","",INDEX(원자료_잔고!$A$1:$EZ$1500,설정!$L$5+ROW()-1,설정!$L$7)&amp;""),"")</f>
        <v/>
      </c>
      <c r="C511" s="83" t="str">
        <f aca="false">IFERROR(IF(INDEX(원자료_잔고!$A$1:$EZ$1500,설정!$L$5+ROW()-1,설정!$L$9)&amp;""="0","",INDEX(원자료_잔고!$A$1:$EZ$1500,설정!$L$5+ROW()-1,설정!$L$9)&amp;""),"")</f>
        <v/>
      </c>
      <c r="D511" s="83" t="str">
        <f aca="false">IFERROR(IF(INDEX(원자료_잔고!$A$1:$EZ$1500,설정!$L$5+ROW()-1,설정!$L$10)&amp;""="0","",INDEX(원자료_잔고!$A$1:$EZ$1500,설정!$L$5+ROW()-1,설정!$L$10)&amp;""),"")</f>
        <v/>
      </c>
      <c r="E511" s="84" t="str">
        <f aca="false">IFERROR(IF(ISNUMBER(INDEX(원자료_잔고!$A$1:$EZ$1500,설정!$L$5+ROW()-1,설정!$L$11)),INDEX(원자료_잔고!$A$1:$EZ$1500,설정!$L$5+ROW()-1,설정!$L$11),""),"")</f>
        <v/>
      </c>
      <c r="F511" s="85" t="str">
        <f aca="false">IFERROR(IF(ISNUMBER(INDEX(원자료_잔고!$A$1:$EZ$1500,설정!$L$5+ROW()-1,설정!$L$12)),INDEX(원자료_잔고!$A$1:$EZ$1500,설정!$L$5+ROW()-1,설정!$L$12),""),"")</f>
        <v/>
      </c>
      <c r="G511" s="85" t="str">
        <f aca="false">IFERROR(IF(ISNUMBER(INDEX(원자료_잔고!$A$1:$EZ$1500,설정!$L$5+ROW()-1,설정!$L$13)),INDEX(원자료_잔고!$A$1:$EZ$1500,설정!$L$5+ROW()-1,설정!$L$13),""),"")</f>
        <v/>
      </c>
      <c r="H511" s="85" t="str">
        <f aca="false">IFERROR(IF(ISNUMBER(INDEX(원자료_잔고!$A$1:$EZ$1500,설정!$L$5+ROW()-1,설정!$L$14)),INDEX(원자료_잔고!$A$1:$EZ$1500,설정!$L$5+ROW()-1,설정!$L$14),""),"")</f>
        <v/>
      </c>
      <c r="I511" s="86" t="str">
        <f aca="false">IFERROR(IF(ISNUMBER(INDEX(원자료_잔고!$A$1:$EZ$1500,설정!$L$5+ROW()-1,설정!$L$15)),INDEX(원자료_잔고!$A$1:$EZ$1500,설정!$L$5+ROW()-1,설정!$L$15),""),"")</f>
        <v/>
      </c>
      <c r="J511" s="85" t="str">
        <f aca="false">IFERROR(IF(ISNUMBER(INDEX(원자료_잔고!$A$1:$EZ$1500,설정!$L$5+ROW()-1,설정!$L$16)),INDEX(원자료_잔고!$A$1:$EZ$1500,설정!$L$5+ROW()-1,설정!$L$16),""),"")</f>
        <v/>
      </c>
      <c r="K511" s="87" t="str">
        <f aca="false">IFERROR(IF(ISNUMBER(INDEX(원자료_잔고!$A$1:$EZ$1500,설정!$L$5+ROW()-1,설정!$L$17)),INDEX(원자료_잔고!$A$1:$EZ$1500,설정!$L$5+ROW()-1,설정!$L$17),""),"")</f>
        <v/>
      </c>
      <c r="L511" s="84" t="str">
        <f aca="false">IFERROR(IF(ISNUMBER(INDEX(원자료_잔고!$A$1:$EZ$1500,설정!$L$5+ROW()-1,설정!$L$18)),INDEX(원자료_잔고!$A$1:$EZ$1500,설정!$L$5+ROW()-1,설정!$L$18),""),"")</f>
        <v/>
      </c>
      <c r="M511" s="88" t="str">
        <f aca="false">IFERROR(IF(ISNUMBER(INDEX(원자료_잔고!$A$1:$EZ$1500,설정!$L$5+ROW()-1,설정!$L$19)),INDEX(원자료_잔고!$A$1:$EZ$1500,설정!$L$5+ROW()-1,설정!$L$19),""),"")</f>
        <v/>
      </c>
      <c r="N511" s="83" t="str">
        <f aca="false">IFERROR(IF(INDEX(원자료_잔고!$A$1:$EZ$1500,설정!$L$5+ROW()-1,설정!$L$21)&amp;""="0","",INDEX(원자료_잔고!$A$1:$EZ$1500,설정!$L$5+ROW()-1,설정!$L$21)&amp;""),"")</f>
        <v/>
      </c>
      <c r="O511" s="83" t="str">
        <f aca="false">IFERROR(IF(INDEX(원자료_잔고!$A$1:$EZ$1500,설정!$L$5+ROW()-1,설정!$L$22)&amp;""="0","",INDEX(원자료_잔고!$A$1:$EZ$1500,설정!$L$5+ROW()-1,설정!$L$22)&amp;""),"")</f>
        <v/>
      </c>
      <c r="P511" s="83" t="str">
        <f aca="false">IFERROR(IF(INDEX(원자료_잔고!$A$1:$EZ$1500,설정!$L$5+ROW()-1,설정!$L$23)&amp;""="0","",INDEX(원자료_잔고!$A$1:$EZ$1500,설정!$L$5+ROW()-1,설정!$L$23)&amp;""),"")</f>
        <v/>
      </c>
      <c r="Q511" s="89" t="n">
        <f aca="false">IF(AND($A511&lt;&gt;"",ISNUMBER(E511)),IF(E511&gt;0,1,0),0)</f>
        <v>0</v>
      </c>
      <c r="R511" s="43" t="str">
        <f aca="false">IF(Q511=1,UPPER(LEFT($A511,FIND(" ",$A511&amp;" ")-1)),"")</f>
        <v/>
      </c>
      <c r="S511" s="89" t="n">
        <f aca="false">IF(Q511=1,IF(OR(ISNUMBER(SEARCH("Float",$A511)),ISNUMBER(SEARCH("FRN",$A511))),1,0),0)</f>
        <v>0</v>
      </c>
      <c r="T511" s="43" t="str">
        <f aca="false">IF(AND(Q511=1,ISNUMBER(I511)),TEXT(I511,"yyyymmdd")&amp;"|"&amp;IF(S511=1,"F",TEXT(J511,"0.000")),"")</f>
        <v/>
      </c>
      <c r="U511" s="90" t="str">
        <f aca="false">IF(AND(Q511=1,ISNUMBER(I511)),(I511-설정!$C$4)/365.25,"")</f>
        <v/>
      </c>
      <c r="V511" s="43" t="str">
        <f aca="false">IF(Q511&lt;&gt;1,"",IF(ISNUMBER(U511),IF(U511&lt;=1,"1년 이하",IF(U511&lt;=2,"1-2년",IF(U511&lt;=3,"2-3년",IF(U511&lt;=4,"3-4년",IF(U511&lt;=5,"4-5년",IF(U511&lt;=7,"5-7년",IF(U511&lt;=10,"7-10년",IF(U511&lt;=20,"10-20년","20년 이상")))))))),"미분류"))</f>
        <v/>
      </c>
      <c r="W511" s="43" t="str">
        <f aca="false">IF(Q511&lt;&gt;1,"",IF(AB511&lt;&gt;"",INDEX(시장분석!$C:$C,AB511),IF(K511=1,"USD","비USD")))</f>
        <v/>
      </c>
      <c r="X511" s="91" t="n">
        <f aca="false">IF(Q511=1,E511*K511/1000000,0)</f>
        <v>0</v>
      </c>
      <c r="Y511" s="89" t="n">
        <f aca="false">IF(R511="T",1,0)</f>
        <v>0</v>
      </c>
      <c r="Z511" s="92" t="str">
        <f aca="false">IF(Q511&lt;&gt;1,"",IF(AD511=1,IF(ISNUMBER(U511),MAX(U511,0),H511),H511))</f>
        <v/>
      </c>
      <c r="AA511" s="91" t="n">
        <f aca="false">IF(Q511=1,IF(ISNUMBER(L511),L511,0)*K511/1000000,0)</f>
        <v>0</v>
      </c>
      <c r="AB511" s="89" t="str">
        <f aca="false">IF(Q511&lt;&gt;1,"",IFERROR(MATCH(VLOOKUP(B511,매핑!$H$4:$I$15,2,0),시장분석!$A$2:$A$601,0)+1,IFERROR(MATCH(R511&amp;"|"&amp;T511,시장분석!$V$2:$V$601,0)+1,IF(COUNTIF(시장분석!$U$2:$U$601,T511)=1,MATCH(T511,시장분석!$U$2:$U$601,0)+1,""))))</f>
        <v/>
      </c>
      <c r="AC511" s="89" t="n">
        <f aca="false">IF(Q511&lt;&gt;1,0,IF(OR(설정!$C$5="전체",AND(설정!$C$5="선택펀드",IFERROR(COUNTIFS(설정!$F$16:$F$36,C511,설정!$G$16:$G$36,"Y")+COUNTIFS(설정!$F$16:$F$36,VALUE(C511),설정!$G$16:$G$36,"Y"),0)&gt;0),C511&amp;""=설정!$C$5&amp;""),1,0))</f>
        <v>0</v>
      </c>
      <c r="AD511" s="89" t="n">
        <f aca="false">IF(Q511&lt;&gt;1,0,IF(OR(S511=1,IF(AB511="",FALSE(),INDEX(시장분석!$R:$R,AB511)=1)),1,0))</f>
        <v>0</v>
      </c>
      <c r="AE511" s="43" t="str">
        <f aca="false">IF(AB511="","",INDEX(시장분석!$A:$A,AB511))</f>
        <v/>
      </c>
      <c r="AF511" s="93" t="str">
        <f aca="false">IF(AB511="","",IF(ISNUMBER(IF(AB511="","",INDEX(시장분석!$E:$E,AB511))),IF(AB511="","",INDEX(시장분석!$E:$E,AB511)),""))</f>
        <v/>
      </c>
      <c r="AG511" s="43" t="str">
        <f aca="false">IF(Q511&lt;&gt;1,"",IF(AB511&lt;&gt;"",IF(AB511="","",INDEX(시장분석!$L:$L,AB511)),IFERROR(IF(VLOOKUP(R511,매핑!$A$4:$E$92,5,0)="","미분류",VLOOKUP(R511,매핑!$A$4:$E$92,5,0)),"미분류")))</f>
        <v/>
      </c>
      <c r="AH511" s="43" t="str">
        <f aca="false">IF(Q511&lt;&gt;1,"",IF(AB511&lt;&gt;"",IF(AB511="","",INDEX(시장분석!$N:$N,AB511)),IFERROR(IF(VLOOKUP(R511,매핑!$A$4:$E$92,4,0)="","미분류",VLOOKUP(R511,매핑!$A$4:$E$92,4,0)),"미분류")))</f>
        <v/>
      </c>
      <c r="AI511" s="43" t="str">
        <f aca="false">IF(Q511&lt;&gt;1,"",IFERROR(IF(VLOOKUP(R511,매핑!$A$4:$E$92,3,0)="","미분류",VLOOKUP(R511,매핑!$A$4:$E$92,3,0)),IF(AB511&lt;&gt;"",IF(AB511="","",INDEX(시장분석!$W:$W,AB511)),"미분류")))</f>
        <v/>
      </c>
      <c r="AJ511" s="43" t="str">
        <f aca="false">IF(Q511&lt;&gt;1,"",IFERROR(VLOOKUP(IF(N511&lt;&gt;"",N511,IF(P511&lt;&gt;"",P511,O511)),설정!$A$15:$D$47,2,0),""))</f>
        <v/>
      </c>
      <c r="AK511" s="43" t="str">
        <f aca="false">IF(Q511&lt;&gt;1,"",IF(AJ511="","무등급",IFERROR(VLOOKUP(AJ511,설정!$A$15:$D$47,3,0),"무등급")))</f>
        <v/>
      </c>
      <c r="AL511" s="89" t="n">
        <f aca="false">IF(AJ511="",99,IFERROR(VLOOKUP(AJ511,설정!$A$15:$D$47,4,0),99))</f>
        <v>99</v>
      </c>
      <c r="AM511" s="94" t="n">
        <f aca="false">IF(ISNUMBER(H511),AA511*1000000*H511/10000,0)</f>
        <v>0</v>
      </c>
      <c r="AN511" s="94" t="n">
        <f aca="false">IF(OR(Y511=1,NOT(ISNUMBER(Z511))),0,AA511*1000000*Z511/10000)</f>
        <v>0</v>
      </c>
      <c r="AO511" s="94" t="n">
        <f aca="false">IF(ISNUMBER(G511),AA511*1000000*G511/100,0)</f>
        <v>0</v>
      </c>
      <c r="AP511" s="94" t="n">
        <f aca="false">IF(ISNUMBER(M511),M511*K511,0)</f>
        <v>0</v>
      </c>
      <c r="AQ511" s="95" t="str">
        <f aca="false">IF(AB511="","",INDEX(시장분석!$AK:$AK,AB511))</f>
        <v/>
      </c>
      <c r="AR511" s="43" t="str">
        <f aca="false">IF(AB511="","-",IF(AB511="","",INDEX(시장분석!$AL:$AL,AB511)))</f>
        <v>-</v>
      </c>
      <c r="AS511" s="96" t="str">
        <f aca="false">IF(AB511="","",INDEX(시장분석!$AJ:$AJ,AB511))</f>
        <v/>
      </c>
      <c r="AT511" s="93" t="n">
        <f aca="false">IF(AB511="",0,IF(AB511="","",INDEX(시장분석!$AN:$AN,AB511)))</f>
        <v>0</v>
      </c>
      <c r="AU511" s="94" t="n">
        <f aca="false">IF(ISNUMBER(Z511),AT511/10000*MAX(Z511-1,0)*AA511*1000000,0)</f>
        <v>0</v>
      </c>
      <c r="AV511" s="94" t="n">
        <f aca="false">AO511+AU511</f>
        <v>0</v>
      </c>
      <c r="AW511" s="43" t="str">
        <f aca="false">IF(Q511&lt;&gt;1,"",TRIM(IF(AD511=1,"FRN ","")&amp;IF(AND(AL511&gt;=10,AL511&lt;99),"BBB0미만 ","")&amp;IF(AJ511="","등급없음 ","")&amp;IF(K511&lt;&gt;1,"비USD ","")&amp;IF(AND(AB511="",Y511=0),"시장데이터없음 ","")&amp;IF(AND(ISNUMBER(U511),U511&lt;0),"만기경과 ","")))</f>
        <v/>
      </c>
      <c r="AX511" s="90" t="n">
        <f aca="false">IF(Q511&lt;&gt;1,1,IF(스프레드쇼크!$C$4="Y",INDEX(스프레드쇼크!$B$12:$L$16,IFERROR(MATCH(AH511,스프레드쇼크!$A$12:$A$16,0),MATCH("목록외",스프레드쇼크!$A$12:$A$16,0)),IFERROR(MATCH(AG511,스프레드쇼크!$B$11:$L$11,0),MATCH("목록외",스프레드쇼크!$B$11:$L$11,0))),1))</f>
        <v>1</v>
      </c>
      <c r="AY511" s="90" t="n">
        <f aca="false">IF(스프레드쇼크!$C$5="Y",IF(ISNUMBER(AF511),MIN(스프레드쇼크!$C$7,MAX(스프레드쇼크!$C$6,AF511/스프레드쇼크!$C$8)),1),1)</f>
        <v>1</v>
      </c>
      <c r="AZ511" s="94" t="n">
        <f aca="false">AN511*AX511*AY511</f>
        <v>0</v>
      </c>
      <c r="BA511" s="90" t="n">
        <f aca="false">IF(ISNUMBER(G511),AA511*G511,0)</f>
        <v>0</v>
      </c>
      <c r="BB511" s="90" t="n">
        <f aca="false">IF(ISNUMBER(G511),AA511,0)</f>
        <v>0</v>
      </c>
      <c r="BC511" s="90" t="n">
        <f aca="false">IF(AND(Y511=0,ISNUMBER(AF511)),AA511*AF511,0)</f>
        <v>0</v>
      </c>
      <c r="BD511" s="90" t="n">
        <f aca="false">IF(AND(Y511=0,ISNUMBER(AF511)),AA511,0)</f>
        <v>0</v>
      </c>
      <c r="BE511" s="90" t="n">
        <f aca="false">IF(ISNUMBER(H511),AA511*H511,0)</f>
        <v>0</v>
      </c>
      <c r="BF511" s="90" t="n">
        <f aca="false">IF(ISNUMBER(H511),AA511,0)</f>
        <v>0</v>
      </c>
      <c r="BG511" s="90" t="n">
        <f aca="false">IF(AND(Y511=0,ISNUMBER(AF511),ISNUMBER(Z511)),AA511*Z511,0)</f>
        <v>0</v>
      </c>
      <c r="BH511" s="90" t="n">
        <f aca="false">IF(AND(Y511=0,ISNUMBER(AF511),ISNUMBER(Z511)),AA511*AT511*MAX(Z511-1,0),0)</f>
        <v>0</v>
      </c>
      <c r="BI511" s="90" t="n">
        <f aca="false">IF(Y511=0,AA511,0)</f>
        <v>0</v>
      </c>
    </row>
    <row r="512" customFormat="false" ht="15" hidden="false" customHeight="false" outlineLevel="0" collapsed="false">
      <c r="A512" s="83" t="str">
        <f aca="false">IFERROR(IF(INDEX(원자료_잔고!$A$1:$EZ$1500,설정!$L$5+ROW()-1,설정!$L$8)&amp;""="0","",INDEX(원자료_잔고!$A$1:$EZ$1500,설정!$L$5+ROW()-1,설정!$L$8)&amp;""),"")</f>
        <v/>
      </c>
      <c r="B512" s="83" t="str">
        <f aca="false">IFERROR(IF(INDEX(원자료_잔고!$A$1:$EZ$1500,설정!$L$5+ROW()-1,설정!$L$7)&amp;""="0","",INDEX(원자료_잔고!$A$1:$EZ$1500,설정!$L$5+ROW()-1,설정!$L$7)&amp;""),"")</f>
        <v/>
      </c>
      <c r="C512" s="83" t="str">
        <f aca="false">IFERROR(IF(INDEX(원자료_잔고!$A$1:$EZ$1500,설정!$L$5+ROW()-1,설정!$L$9)&amp;""="0","",INDEX(원자료_잔고!$A$1:$EZ$1500,설정!$L$5+ROW()-1,설정!$L$9)&amp;""),"")</f>
        <v/>
      </c>
      <c r="D512" s="83" t="str">
        <f aca="false">IFERROR(IF(INDEX(원자료_잔고!$A$1:$EZ$1500,설정!$L$5+ROW()-1,설정!$L$10)&amp;""="0","",INDEX(원자료_잔고!$A$1:$EZ$1500,설정!$L$5+ROW()-1,설정!$L$10)&amp;""),"")</f>
        <v/>
      </c>
      <c r="E512" s="84" t="str">
        <f aca="false">IFERROR(IF(ISNUMBER(INDEX(원자료_잔고!$A$1:$EZ$1500,설정!$L$5+ROW()-1,설정!$L$11)),INDEX(원자료_잔고!$A$1:$EZ$1500,설정!$L$5+ROW()-1,설정!$L$11),""),"")</f>
        <v/>
      </c>
      <c r="F512" s="85" t="str">
        <f aca="false">IFERROR(IF(ISNUMBER(INDEX(원자료_잔고!$A$1:$EZ$1500,설정!$L$5+ROW()-1,설정!$L$12)),INDEX(원자료_잔고!$A$1:$EZ$1500,설정!$L$5+ROW()-1,설정!$L$12),""),"")</f>
        <v/>
      </c>
      <c r="G512" s="85" t="str">
        <f aca="false">IFERROR(IF(ISNUMBER(INDEX(원자료_잔고!$A$1:$EZ$1500,설정!$L$5+ROW()-1,설정!$L$13)),INDEX(원자료_잔고!$A$1:$EZ$1500,설정!$L$5+ROW()-1,설정!$L$13),""),"")</f>
        <v/>
      </c>
      <c r="H512" s="85" t="str">
        <f aca="false">IFERROR(IF(ISNUMBER(INDEX(원자료_잔고!$A$1:$EZ$1500,설정!$L$5+ROW()-1,설정!$L$14)),INDEX(원자료_잔고!$A$1:$EZ$1500,설정!$L$5+ROW()-1,설정!$L$14),""),"")</f>
        <v/>
      </c>
      <c r="I512" s="86" t="str">
        <f aca="false">IFERROR(IF(ISNUMBER(INDEX(원자료_잔고!$A$1:$EZ$1500,설정!$L$5+ROW()-1,설정!$L$15)),INDEX(원자료_잔고!$A$1:$EZ$1500,설정!$L$5+ROW()-1,설정!$L$15),""),"")</f>
        <v/>
      </c>
      <c r="J512" s="85" t="str">
        <f aca="false">IFERROR(IF(ISNUMBER(INDEX(원자료_잔고!$A$1:$EZ$1500,설정!$L$5+ROW()-1,설정!$L$16)),INDEX(원자료_잔고!$A$1:$EZ$1500,설정!$L$5+ROW()-1,설정!$L$16),""),"")</f>
        <v/>
      </c>
      <c r="K512" s="87" t="str">
        <f aca="false">IFERROR(IF(ISNUMBER(INDEX(원자료_잔고!$A$1:$EZ$1500,설정!$L$5+ROW()-1,설정!$L$17)),INDEX(원자료_잔고!$A$1:$EZ$1500,설정!$L$5+ROW()-1,설정!$L$17),""),"")</f>
        <v/>
      </c>
      <c r="L512" s="84" t="str">
        <f aca="false">IFERROR(IF(ISNUMBER(INDEX(원자료_잔고!$A$1:$EZ$1500,설정!$L$5+ROW()-1,설정!$L$18)),INDEX(원자료_잔고!$A$1:$EZ$1500,설정!$L$5+ROW()-1,설정!$L$18),""),"")</f>
        <v/>
      </c>
      <c r="M512" s="88" t="str">
        <f aca="false">IFERROR(IF(ISNUMBER(INDEX(원자료_잔고!$A$1:$EZ$1500,설정!$L$5+ROW()-1,설정!$L$19)),INDEX(원자료_잔고!$A$1:$EZ$1500,설정!$L$5+ROW()-1,설정!$L$19),""),"")</f>
        <v/>
      </c>
      <c r="N512" s="83" t="str">
        <f aca="false">IFERROR(IF(INDEX(원자료_잔고!$A$1:$EZ$1500,설정!$L$5+ROW()-1,설정!$L$21)&amp;""="0","",INDEX(원자료_잔고!$A$1:$EZ$1500,설정!$L$5+ROW()-1,설정!$L$21)&amp;""),"")</f>
        <v/>
      </c>
      <c r="O512" s="83" t="str">
        <f aca="false">IFERROR(IF(INDEX(원자료_잔고!$A$1:$EZ$1500,설정!$L$5+ROW()-1,설정!$L$22)&amp;""="0","",INDEX(원자료_잔고!$A$1:$EZ$1500,설정!$L$5+ROW()-1,설정!$L$22)&amp;""),"")</f>
        <v/>
      </c>
      <c r="P512" s="83" t="str">
        <f aca="false">IFERROR(IF(INDEX(원자료_잔고!$A$1:$EZ$1500,설정!$L$5+ROW()-1,설정!$L$23)&amp;""="0","",INDEX(원자료_잔고!$A$1:$EZ$1500,설정!$L$5+ROW()-1,설정!$L$23)&amp;""),"")</f>
        <v/>
      </c>
      <c r="Q512" s="89" t="n">
        <f aca="false">IF(AND($A512&lt;&gt;"",ISNUMBER(E512)),IF(E512&gt;0,1,0),0)</f>
        <v>0</v>
      </c>
      <c r="R512" s="43" t="str">
        <f aca="false">IF(Q512=1,UPPER(LEFT($A512,FIND(" ",$A512&amp;" ")-1)),"")</f>
        <v/>
      </c>
      <c r="S512" s="89" t="n">
        <f aca="false">IF(Q512=1,IF(OR(ISNUMBER(SEARCH("Float",$A512)),ISNUMBER(SEARCH("FRN",$A512))),1,0),0)</f>
        <v>0</v>
      </c>
      <c r="T512" s="43" t="str">
        <f aca="false">IF(AND(Q512=1,ISNUMBER(I512)),TEXT(I512,"yyyymmdd")&amp;"|"&amp;IF(S512=1,"F",TEXT(J512,"0.000")),"")</f>
        <v/>
      </c>
      <c r="U512" s="90" t="str">
        <f aca="false">IF(AND(Q512=1,ISNUMBER(I512)),(I512-설정!$C$4)/365.25,"")</f>
        <v/>
      </c>
      <c r="V512" s="43" t="str">
        <f aca="false">IF(Q512&lt;&gt;1,"",IF(ISNUMBER(U512),IF(U512&lt;=1,"1년 이하",IF(U512&lt;=2,"1-2년",IF(U512&lt;=3,"2-3년",IF(U512&lt;=4,"3-4년",IF(U512&lt;=5,"4-5년",IF(U512&lt;=7,"5-7년",IF(U512&lt;=10,"7-10년",IF(U512&lt;=20,"10-20년","20년 이상")))))))),"미분류"))</f>
        <v/>
      </c>
      <c r="W512" s="43" t="str">
        <f aca="false">IF(Q512&lt;&gt;1,"",IF(AB512&lt;&gt;"",INDEX(시장분석!$C:$C,AB512),IF(K512=1,"USD","비USD")))</f>
        <v/>
      </c>
      <c r="X512" s="91" t="n">
        <f aca="false">IF(Q512=1,E512*K512/1000000,0)</f>
        <v>0</v>
      </c>
      <c r="Y512" s="89" t="n">
        <f aca="false">IF(R512="T",1,0)</f>
        <v>0</v>
      </c>
      <c r="Z512" s="92" t="str">
        <f aca="false">IF(Q512&lt;&gt;1,"",IF(AD512=1,IF(ISNUMBER(U512),MAX(U512,0),H512),H512))</f>
        <v/>
      </c>
      <c r="AA512" s="91" t="n">
        <f aca="false">IF(Q512=1,IF(ISNUMBER(L512),L512,0)*K512/1000000,0)</f>
        <v>0</v>
      </c>
      <c r="AB512" s="89" t="str">
        <f aca="false">IF(Q512&lt;&gt;1,"",IFERROR(MATCH(VLOOKUP(B512,매핑!$H$4:$I$15,2,0),시장분석!$A$2:$A$601,0)+1,IFERROR(MATCH(R512&amp;"|"&amp;T512,시장분석!$V$2:$V$601,0)+1,IF(COUNTIF(시장분석!$U$2:$U$601,T512)=1,MATCH(T512,시장분석!$U$2:$U$601,0)+1,""))))</f>
        <v/>
      </c>
      <c r="AC512" s="89" t="n">
        <f aca="false">IF(Q512&lt;&gt;1,0,IF(OR(설정!$C$5="전체",AND(설정!$C$5="선택펀드",IFERROR(COUNTIFS(설정!$F$16:$F$36,C512,설정!$G$16:$G$36,"Y")+COUNTIFS(설정!$F$16:$F$36,VALUE(C512),설정!$G$16:$G$36,"Y"),0)&gt;0),C512&amp;""=설정!$C$5&amp;""),1,0))</f>
        <v>0</v>
      </c>
      <c r="AD512" s="89" t="n">
        <f aca="false">IF(Q512&lt;&gt;1,0,IF(OR(S512=1,IF(AB512="",FALSE(),INDEX(시장분석!$R:$R,AB512)=1)),1,0))</f>
        <v>0</v>
      </c>
      <c r="AE512" s="43" t="str">
        <f aca="false">IF(AB512="","",INDEX(시장분석!$A:$A,AB512))</f>
        <v/>
      </c>
      <c r="AF512" s="93" t="str">
        <f aca="false">IF(AB512="","",IF(ISNUMBER(IF(AB512="","",INDEX(시장분석!$E:$E,AB512))),IF(AB512="","",INDEX(시장분석!$E:$E,AB512)),""))</f>
        <v/>
      </c>
      <c r="AG512" s="43" t="str">
        <f aca="false">IF(Q512&lt;&gt;1,"",IF(AB512&lt;&gt;"",IF(AB512="","",INDEX(시장분석!$L:$L,AB512)),IFERROR(IF(VLOOKUP(R512,매핑!$A$4:$E$92,5,0)="","미분류",VLOOKUP(R512,매핑!$A$4:$E$92,5,0)),"미분류")))</f>
        <v/>
      </c>
      <c r="AH512" s="43" t="str">
        <f aca="false">IF(Q512&lt;&gt;1,"",IF(AB512&lt;&gt;"",IF(AB512="","",INDEX(시장분석!$N:$N,AB512)),IFERROR(IF(VLOOKUP(R512,매핑!$A$4:$E$92,4,0)="","미분류",VLOOKUP(R512,매핑!$A$4:$E$92,4,0)),"미분류")))</f>
        <v/>
      </c>
      <c r="AI512" s="43" t="str">
        <f aca="false">IF(Q512&lt;&gt;1,"",IFERROR(IF(VLOOKUP(R512,매핑!$A$4:$E$92,3,0)="","미분류",VLOOKUP(R512,매핑!$A$4:$E$92,3,0)),IF(AB512&lt;&gt;"",IF(AB512="","",INDEX(시장분석!$W:$W,AB512)),"미분류")))</f>
        <v/>
      </c>
      <c r="AJ512" s="43" t="str">
        <f aca="false">IF(Q512&lt;&gt;1,"",IFERROR(VLOOKUP(IF(N512&lt;&gt;"",N512,IF(P512&lt;&gt;"",P512,O512)),설정!$A$15:$D$47,2,0),""))</f>
        <v/>
      </c>
      <c r="AK512" s="43" t="str">
        <f aca="false">IF(Q512&lt;&gt;1,"",IF(AJ512="","무등급",IFERROR(VLOOKUP(AJ512,설정!$A$15:$D$47,3,0),"무등급")))</f>
        <v/>
      </c>
      <c r="AL512" s="89" t="n">
        <f aca="false">IF(AJ512="",99,IFERROR(VLOOKUP(AJ512,설정!$A$15:$D$47,4,0),99))</f>
        <v>99</v>
      </c>
      <c r="AM512" s="94" t="n">
        <f aca="false">IF(ISNUMBER(H512),AA512*1000000*H512/10000,0)</f>
        <v>0</v>
      </c>
      <c r="AN512" s="94" t="n">
        <f aca="false">IF(OR(Y512=1,NOT(ISNUMBER(Z512))),0,AA512*1000000*Z512/10000)</f>
        <v>0</v>
      </c>
      <c r="AO512" s="94" t="n">
        <f aca="false">IF(ISNUMBER(G512),AA512*1000000*G512/100,0)</f>
        <v>0</v>
      </c>
      <c r="AP512" s="94" t="n">
        <f aca="false">IF(ISNUMBER(M512),M512*K512,0)</f>
        <v>0</v>
      </c>
      <c r="AQ512" s="95" t="str">
        <f aca="false">IF(AB512="","",INDEX(시장분석!$AK:$AK,AB512))</f>
        <v/>
      </c>
      <c r="AR512" s="43" t="str">
        <f aca="false">IF(AB512="","-",IF(AB512="","",INDEX(시장분석!$AL:$AL,AB512)))</f>
        <v>-</v>
      </c>
      <c r="AS512" s="96" t="str">
        <f aca="false">IF(AB512="","",INDEX(시장분석!$AJ:$AJ,AB512))</f>
        <v/>
      </c>
      <c r="AT512" s="93" t="n">
        <f aca="false">IF(AB512="",0,IF(AB512="","",INDEX(시장분석!$AN:$AN,AB512)))</f>
        <v>0</v>
      </c>
      <c r="AU512" s="94" t="n">
        <f aca="false">IF(ISNUMBER(Z512),AT512/10000*MAX(Z512-1,0)*AA512*1000000,0)</f>
        <v>0</v>
      </c>
      <c r="AV512" s="94" t="n">
        <f aca="false">AO512+AU512</f>
        <v>0</v>
      </c>
      <c r="AW512" s="43" t="str">
        <f aca="false">IF(Q512&lt;&gt;1,"",TRIM(IF(AD512=1,"FRN ","")&amp;IF(AND(AL512&gt;=10,AL512&lt;99),"BBB0미만 ","")&amp;IF(AJ512="","등급없음 ","")&amp;IF(K512&lt;&gt;1,"비USD ","")&amp;IF(AND(AB512="",Y512=0),"시장데이터없음 ","")&amp;IF(AND(ISNUMBER(U512),U512&lt;0),"만기경과 ","")))</f>
        <v/>
      </c>
      <c r="AX512" s="90" t="n">
        <f aca="false">IF(Q512&lt;&gt;1,1,IF(스프레드쇼크!$C$4="Y",INDEX(스프레드쇼크!$B$12:$L$16,IFERROR(MATCH(AH512,스프레드쇼크!$A$12:$A$16,0),MATCH("목록외",스프레드쇼크!$A$12:$A$16,0)),IFERROR(MATCH(AG512,스프레드쇼크!$B$11:$L$11,0),MATCH("목록외",스프레드쇼크!$B$11:$L$11,0))),1))</f>
        <v>1</v>
      </c>
      <c r="AY512" s="90" t="n">
        <f aca="false">IF(스프레드쇼크!$C$5="Y",IF(ISNUMBER(AF512),MIN(스프레드쇼크!$C$7,MAX(스프레드쇼크!$C$6,AF512/스프레드쇼크!$C$8)),1),1)</f>
        <v>1</v>
      </c>
      <c r="AZ512" s="94" t="n">
        <f aca="false">AN512*AX512*AY512</f>
        <v>0</v>
      </c>
      <c r="BA512" s="90" t="n">
        <f aca="false">IF(ISNUMBER(G512),AA512*G512,0)</f>
        <v>0</v>
      </c>
      <c r="BB512" s="90" t="n">
        <f aca="false">IF(ISNUMBER(G512),AA512,0)</f>
        <v>0</v>
      </c>
      <c r="BC512" s="90" t="n">
        <f aca="false">IF(AND(Y512=0,ISNUMBER(AF512)),AA512*AF512,0)</f>
        <v>0</v>
      </c>
      <c r="BD512" s="90" t="n">
        <f aca="false">IF(AND(Y512=0,ISNUMBER(AF512)),AA512,0)</f>
        <v>0</v>
      </c>
      <c r="BE512" s="90" t="n">
        <f aca="false">IF(ISNUMBER(H512),AA512*H512,0)</f>
        <v>0</v>
      </c>
      <c r="BF512" s="90" t="n">
        <f aca="false">IF(ISNUMBER(H512),AA512,0)</f>
        <v>0</v>
      </c>
      <c r="BG512" s="90" t="n">
        <f aca="false">IF(AND(Y512=0,ISNUMBER(AF512),ISNUMBER(Z512)),AA512*Z512,0)</f>
        <v>0</v>
      </c>
      <c r="BH512" s="90" t="n">
        <f aca="false">IF(AND(Y512=0,ISNUMBER(AF512),ISNUMBER(Z512)),AA512*AT512*MAX(Z512-1,0),0)</f>
        <v>0</v>
      </c>
      <c r="BI512" s="90" t="n">
        <f aca="false">IF(Y512=0,AA512,0)</f>
        <v>0</v>
      </c>
    </row>
    <row r="513" customFormat="false" ht="15" hidden="false" customHeight="false" outlineLevel="0" collapsed="false">
      <c r="A513" s="83" t="str">
        <f aca="false">IFERROR(IF(INDEX(원자료_잔고!$A$1:$EZ$1500,설정!$L$5+ROW()-1,설정!$L$8)&amp;""="0","",INDEX(원자료_잔고!$A$1:$EZ$1500,설정!$L$5+ROW()-1,설정!$L$8)&amp;""),"")</f>
        <v/>
      </c>
      <c r="B513" s="83" t="str">
        <f aca="false">IFERROR(IF(INDEX(원자료_잔고!$A$1:$EZ$1500,설정!$L$5+ROW()-1,설정!$L$7)&amp;""="0","",INDEX(원자료_잔고!$A$1:$EZ$1500,설정!$L$5+ROW()-1,설정!$L$7)&amp;""),"")</f>
        <v/>
      </c>
      <c r="C513" s="83" t="str">
        <f aca="false">IFERROR(IF(INDEX(원자료_잔고!$A$1:$EZ$1500,설정!$L$5+ROW()-1,설정!$L$9)&amp;""="0","",INDEX(원자료_잔고!$A$1:$EZ$1500,설정!$L$5+ROW()-1,설정!$L$9)&amp;""),"")</f>
        <v/>
      </c>
      <c r="D513" s="83" t="str">
        <f aca="false">IFERROR(IF(INDEX(원자료_잔고!$A$1:$EZ$1500,설정!$L$5+ROW()-1,설정!$L$10)&amp;""="0","",INDEX(원자료_잔고!$A$1:$EZ$1500,설정!$L$5+ROW()-1,설정!$L$10)&amp;""),"")</f>
        <v/>
      </c>
      <c r="E513" s="84" t="str">
        <f aca="false">IFERROR(IF(ISNUMBER(INDEX(원자료_잔고!$A$1:$EZ$1500,설정!$L$5+ROW()-1,설정!$L$11)),INDEX(원자료_잔고!$A$1:$EZ$1500,설정!$L$5+ROW()-1,설정!$L$11),""),"")</f>
        <v/>
      </c>
      <c r="F513" s="85" t="str">
        <f aca="false">IFERROR(IF(ISNUMBER(INDEX(원자료_잔고!$A$1:$EZ$1500,설정!$L$5+ROW()-1,설정!$L$12)),INDEX(원자료_잔고!$A$1:$EZ$1500,설정!$L$5+ROW()-1,설정!$L$12),""),"")</f>
        <v/>
      </c>
      <c r="G513" s="85" t="str">
        <f aca="false">IFERROR(IF(ISNUMBER(INDEX(원자료_잔고!$A$1:$EZ$1500,설정!$L$5+ROW()-1,설정!$L$13)),INDEX(원자료_잔고!$A$1:$EZ$1500,설정!$L$5+ROW()-1,설정!$L$13),""),"")</f>
        <v/>
      </c>
      <c r="H513" s="85" t="str">
        <f aca="false">IFERROR(IF(ISNUMBER(INDEX(원자료_잔고!$A$1:$EZ$1500,설정!$L$5+ROW()-1,설정!$L$14)),INDEX(원자료_잔고!$A$1:$EZ$1500,설정!$L$5+ROW()-1,설정!$L$14),""),"")</f>
        <v/>
      </c>
      <c r="I513" s="86" t="str">
        <f aca="false">IFERROR(IF(ISNUMBER(INDEX(원자료_잔고!$A$1:$EZ$1500,설정!$L$5+ROW()-1,설정!$L$15)),INDEX(원자료_잔고!$A$1:$EZ$1500,설정!$L$5+ROW()-1,설정!$L$15),""),"")</f>
        <v/>
      </c>
      <c r="J513" s="85" t="str">
        <f aca="false">IFERROR(IF(ISNUMBER(INDEX(원자료_잔고!$A$1:$EZ$1500,설정!$L$5+ROW()-1,설정!$L$16)),INDEX(원자료_잔고!$A$1:$EZ$1500,설정!$L$5+ROW()-1,설정!$L$16),""),"")</f>
        <v/>
      </c>
      <c r="K513" s="87" t="str">
        <f aca="false">IFERROR(IF(ISNUMBER(INDEX(원자료_잔고!$A$1:$EZ$1500,설정!$L$5+ROW()-1,설정!$L$17)),INDEX(원자료_잔고!$A$1:$EZ$1500,설정!$L$5+ROW()-1,설정!$L$17),""),"")</f>
        <v/>
      </c>
      <c r="L513" s="84" t="str">
        <f aca="false">IFERROR(IF(ISNUMBER(INDEX(원자료_잔고!$A$1:$EZ$1500,설정!$L$5+ROW()-1,설정!$L$18)),INDEX(원자료_잔고!$A$1:$EZ$1500,설정!$L$5+ROW()-1,설정!$L$18),""),"")</f>
        <v/>
      </c>
      <c r="M513" s="88" t="str">
        <f aca="false">IFERROR(IF(ISNUMBER(INDEX(원자료_잔고!$A$1:$EZ$1500,설정!$L$5+ROW()-1,설정!$L$19)),INDEX(원자료_잔고!$A$1:$EZ$1500,설정!$L$5+ROW()-1,설정!$L$19),""),"")</f>
        <v/>
      </c>
      <c r="N513" s="83" t="str">
        <f aca="false">IFERROR(IF(INDEX(원자료_잔고!$A$1:$EZ$1500,설정!$L$5+ROW()-1,설정!$L$21)&amp;""="0","",INDEX(원자료_잔고!$A$1:$EZ$1500,설정!$L$5+ROW()-1,설정!$L$21)&amp;""),"")</f>
        <v/>
      </c>
      <c r="O513" s="83" t="str">
        <f aca="false">IFERROR(IF(INDEX(원자료_잔고!$A$1:$EZ$1500,설정!$L$5+ROW()-1,설정!$L$22)&amp;""="0","",INDEX(원자료_잔고!$A$1:$EZ$1500,설정!$L$5+ROW()-1,설정!$L$22)&amp;""),"")</f>
        <v/>
      </c>
      <c r="P513" s="83" t="str">
        <f aca="false">IFERROR(IF(INDEX(원자료_잔고!$A$1:$EZ$1500,설정!$L$5+ROW()-1,설정!$L$23)&amp;""="0","",INDEX(원자료_잔고!$A$1:$EZ$1500,설정!$L$5+ROW()-1,설정!$L$23)&amp;""),"")</f>
        <v/>
      </c>
      <c r="Q513" s="89" t="n">
        <f aca="false">IF(AND($A513&lt;&gt;"",ISNUMBER(E513)),IF(E513&gt;0,1,0),0)</f>
        <v>0</v>
      </c>
      <c r="R513" s="43" t="str">
        <f aca="false">IF(Q513=1,UPPER(LEFT($A513,FIND(" ",$A513&amp;" ")-1)),"")</f>
        <v/>
      </c>
      <c r="S513" s="89" t="n">
        <f aca="false">IF(Q513=1,IF(OR(ISNUMBER(SEARCH("Float",$A513)),ISNUMBER(SEARCH("FRN",$A513))),1,0),0)</f>
        <v>0</v>
      </c>
      <c r="T513" s="43" t="str">
        <f aca="false">IF(AND(Q513=1,ISNUMBER(I513)),TEXT(I513,"yyyymmdd")&amp;"|"&amp;IF(S513=1,"F",TEXT(J513,"0.000")),"")</f>
        <v/>
      </c>
      <c r="U513" s="90" t="str">
        <f aca="false">IF(AND(Q513=1,ISNUMBER(I513)),(I513-설정!$C$4)/365.25,"")</f>
        <v/>
      </c>
      <c r="V513" s="43" t="str">
        <f aca="false">IF(Q513&lt;&gt;1,"",IF(ISNUMBER(U513),IF(U513&lt;=1,"1년 이하",IF(U513&lt;=2,"1-2년",IF(U513&lt;=3,"2-3년",IF(U513&lt;=4,"3-4년",IF(U513&lt;=5,"4-5년",IF(U513&lt;=7,"5-7년",IF(U513&lt;=10,"7-10년",IF(U513&lt;=20,"10-20년","20년 이상")))))))),"미분류"))</f>
        <v/>
      </c>
      <c r="W513" s="43" t="str">
        <f aca="false">IF(Q513&lt;&gt;1,"",IF(AB513&lt;&gt;"",INDEX(시장분석!$C:$C,AB513),IF(K513=1,"USD","비USD")))</f>
        <v/>
      </c>
      <c r="X513" s="91" t="n">
        <f aca="false">IF(Q513=1,E513*K513/1000000,0)</f>
        <v>0</v>
      </c>
      <c r="Y513" s="89" t="n">
        <f aca="false">IF(R513="T",1,0)</f>
        <v>0</v>
      </c>
      <c r="Z513" s="92" t="str">
        <f aca="false">IF(Q513&lt;&gt;1,"",IF(AD513=1,IF(ISNUMBER(U513),MAX(U513,0),H513),H513))</f>
        <v/>
      </c>
      <c r="AA513" s="91" t="n">
        <f aca="false">IF(Q513=1,IF(ISNUMBER(L513),L513,0)*K513/1000000,0)</f>
        <v>0</v>
      </c>
      <c r="AB513" s="89" t="str">
        <f aca="false">IF(Q513&lt;&gt;1,"",IFERROR(MATCH(VLOOKUP(B513,매핑!$H$4:$I$15,2,0),시장분석!$A$2:$A$601,0)+1,IFERROR(MATCH(R513&amp;"|"&amp;T513,시장분석!$V$2:$V$601,0)+1,IF(COUNTIF(시장분석!$U$2:$U$601,T513)=1,MATCH(T513,시장분석!$U$2:$U$601,0)+1,""))))</f>
        <v/>
      </c>
      <c r="AC513" s="89" t="n">
        <f aca="false">IF(Q513&lt;&gt;1,0,IF(OR(설정!$C$5="전체",AND(설정!$C$5="선택펀드",IFERROR(COUNTIFS(설정!$F$16:$F$36,C513,설정!$G$16:$G$36,"Y")+COUNTIFS(설정!$F$16:$F$36,VALUE(C513),설정!$G$16:$G$36,"Y"),0)&gt;0),C513&amp;""=설정!$C$5&amp;""),1,0))</f>
        <v>0</v>
      </c>
      <c r="AD513" s="89" t="n">
        <f aca="false">IF(Q513&lt;&gt;1,0,IF(OR(S513=1,IF(AB513="",FALSE(),INDEX(시장분석!$R:$R,AB513)=1)),1,0))</f>
        <v>0</v>
      </c>
      <c r="AE513" s="43" t="str">
        <f aca="false">IF(AB513="","",INDEX(시장분석!$A:$A,AB513))</f>
        <v/>
      </c>
      <c r="AF513" s="93" t="str">
        <f aca="false">IF(AB513="","",IF(ISNUMBER(IF(AB513="","",INDEX(시장분석!$E:$E,AB513))),IF(AB513="","",INDEX(시장분석!$E:$E,AB513)),""))</f>
        <v/>
      </c>
      <c r="AG513" s="43" t="str">
        <f aca="false">IF(Q513&lt;&gt;1,"",IF(AB513&lt;&gt;"",IF(AB513="","",INDEX(시장분석!$L:$L,AB513)),IFERROR(IF(VLOOKUP(R513,매핑!$A$4:$E$92,5,0)="","미분류",VLOOKUP(R513,매핑!$A$4:$E$92,5,0)),"미분류")))</f>
        <v/>
      </c>
      <c r="AH513" s="43" t="str">
        <f aca="false">IF(Q513&lt;&gt;1,"",IF(AB513&lt;&gt;"",IF(AB513="","",INDEX(시장분석!$N:$N,AB513)),IFERROR(IF(VLOOKUP(R513,매핑!$A$4:$E$92,4,0)="","미분류",VLOOKUP(R513,매핑!$A$4:$E$92,4,0)),"미분류")))</f>
        <v/>
      </c>
      <c r="AI513" s="43" t="str">
        <f aca="false">IF(Q513&lt;&gt;1,"",IFERROR(IF(VLOOKUP(R513,매핑!$A$4:$E$92,3,0)="","미분류",VLOOKUP(R513,매핑!$A$4:$E$92,3,0)),IF(AB513&lt;&gt;"",IF(AB513="","",INDEX(시장분석!$W:$W,AB513)),"미분류")))</f>
        <v/>
      </c>
      <c r="AJ513" s="43" t="str">
        <f aca="false">IF(Q513&lt;&gt;1,"",IFERROR(VLOOKUP(IF(N513&lt;&gt;"",N513,IF(P513&lt;&gt;"",P513,O513)),설정!$A$15:$D$47,2,0),""))</f>
        <v/>
      </c>
      <c r="AK513" s="43" t="str">
        <f aca="false">IF(Q513&lt;&gt;1,"",IF(AJ513="","무등급",IFERROR(VLOOKUP(AJ513,설정!$A$15:$D$47,3,0),"무등급")))</f>
        <v/>
      </c>
      <c r="AL513" s="89" t="n">
        <f aca="false">IF(AJ513="",99,IFERROR(VLOOKUP(AJ513,설정!$A$15:$D$47,4,0),99))</f>
        <v>99</v>
      </c>
      <c r="AM513" s="94" t="n">
        <f aca="false">IF(ISNUMBER(H513),AA513*1000000*H513/10000,0)</f>
        <v>0</v>
      </c>
      <c r="AN513" s="94" t="n">
        <f aca="false">IF(OR(Y513=1,NOT(ISNUMBER(Z513))),0,AA513*1000000*Z513/10000)</f>
        <v>0</v>
      </c>
      <c r="AO513" s="94" t="n">
        <f aca="false">IF(ISNUMBER(G513),AA513*1000000*G513/100,0)</f>
        <v>0</v>
      </c>
      <c r="AP513" s="94" t="n">
        <f aca="false">IF(ISNUMBER(M513),M513*K513,0)</f>
        <v>0</v>
      </c>
      <c r="AQ513" s="95" t="str">
        <f aca="false">IF(AB513="","",INDEX(시장분석!$AK:$AK,AB513))</f>
        <v/>
      </c>
      <c r="AR513" s="43" t="str">
        <f aca="false">IF(AB513="","-",IF(AB513="","",INDEX(시장분석!$AL:$AL,AB513)))</f>
        <v>-</v>
      </c>
      <c r="AS513" s="96" t="str">
        <f aca="false">IF(AB513="","",INDEX(시장분석!$AJ:$AJ,AB513))</f>
        <v/>
      </c>
      <c r="AT513" s="93" t="n">
        <f aca="false">IF(AB513="",0,IF(AB513="","",INDEX(시장분석!$AN:$AN,AB513)))</f>
        <v>0</v>
      </c>
      <c r="AU513" s="94" t="n">
        <f aca="false">IF(ISNUMBER(Z513),AT513/10000*MAX(Z513-1,0)*AA513*1000000,0)</f>
        <v>0</v>
      </c>
      <c r="AV513" s="94" t="n">
        <f aca="false">AO513+AU513</f>
        <v>0</v>
      </c>
      <c r="AW513" s="43" t="str">
        <f aca="false">IF(Q513&lt;&gt;1,"",TRIM(IF(AD513=1,"FRN ","")&amp;IF(AND(AL513&gt;=10,AL513&lt;99),"BBB0미만 ","")&amp;IF(AJ513="","등급없음 ","")&amp;IF(K513&lt;&gt;1,"비USD ","")&amp;IF(AND(AB513="",Y513=0),"시장데이터없음 ","")&amp;IF(AND(ISNUMBER(U513),U513&lt;0),"만기경과 ","")))</f>
        <v/>
      </c>
      <c r="AX513" s="90" t="n">
        <f aca="false">IF(Q513&lt;&gt;1,1,IF(스프레드쇼크!$C$4="Y",INDEX(스프레드쇼크!$B$12:$L$16,IFERROR(MATCH(AH513,스프레드쇼크!$A$12:$A$16,0),MATCH("목록외",스프레드쇼크!$A$12:$A$16,0)),IFERROR(MATCH(AG513,스프레드쇼크!$B$11:$L$11,0),MATCH("목록외",스프레드쇼크!$B$11:$L$11,0))),1))</f>
        <v>1</v>
      </c>
      <c r="AY513" s="90" t="n">
        <f aca="false">IF(스프레드쇼크!$C$5="Y",IF(ISNUMBER(AF513),MIN(스프레드쇼크!$C$7,MAX(스프레드쇼크!$C$6,AF513/스프레드쇼크!$C$8)),1),1)</f>
        <v>1</v>
      </c>
      <c r="AZ513" s="94" t="n">
        <f aca="false">AN513*AX513*AY513</f>
        <v>0</v>
      </c>
      <c r="BA513" s="90" t="n">
        <f aca="false">IF(ISNUMBER(G513),AA513*G513,0)</f>
        <v>0</v>
      </c>
      <c r="BB513" s="90" t="n">
        <f aca="false">IF(ISNUMBER(G513),AA513,0)</f>
        <v>0</v>
      </c>
      <c r="BC513" s="90" t="n">
        <f aca="false">IF(AND(Y513=0,ISNUMBER(AF513)),AA513*AF513,0)</f>
        <v>0</v>
      </c>
      <c r="BD513" s="90" t="n">
        <f aca="false">IF(AND(Y513=0,ISNUMBER(AF513)),AA513,0)</f>
        <v>0</v>
      </c>
      <c r="BE513" s="90" t="n">
        <f aca="false">IF(ISNUMBER(H513),AA513*H513,0)</f>
        <v>0</v>
      </c>
      <c r="BF513" s="90" t="n">
        <f aca="false">IF(ISNUMBER(H513),AA513,0)</f>
        <v>0</v>
      </c>
      <c r="BG513" s="90" t="n">
        <f aca="false">IF(AND(Y513=0,ISNUMBER(AF513),ISNUMBER(Z513)),AA513*Z513,0)</f>
        <v>0</v>
      </c>
      <c r="BH513" s="90" t="n">
        <f aca="false">IF(AND(Y513=0,ISNUMBER(AF513),ISNUMBER(Z513)),AA513*AT513*MAX(Z513-1,0),0)</f>
        <v>0</v>
      </c>
      <c r="BI513" s="90" t="n">
        <f aca="false">IF(Y513=0,AA513,0)</f>
        <v>0</v>
      </c>
    </row>
    <row r="514" customFormat="false" ht="15" hidden="false" customHeight="false" outlineLevel="0" collapsed="false">
      <c r="A514" s="83" t="str">
        <f aca="false">IFERROR(IF(INDEX(원자료_잔고!$A$1:$EZ$1500,설정!$L$5+ROW()-1,설정!$L$8)&amp;""="0","",INDEX(원자료_잔고!$A$1:$EZ$1500,설정!$L$5+ROW()-1,설정!$L$8)&amp;""),"")</f>
        <v/>
      </c>
      <c r="B514" s="83" t="str">
        <f aca="false">IFERROR(IF(INDEX(원자료_잔고!$A$1:$EZ$1500,설정!$L$5+ROW()-1,설정!$L$7)&amp;""="0","",INDEX(원자료_잔고!$A$1:$EZ$1500,설정!$L$5+ROW()-1,설정!$L$7)&amp;""),"")</f>
        <v/>
      </c>
      <c r="C514" s="83" t="str">
        <f aca="false">IFERROR(IF(INDEX(원자료_잔고!$A$1:$EZ$1500,설정!$L$5+ROW()-1,설정!$L$9)&amp;""="0","",INDEX(원자료_잔고!$A$1:$EZ$1500,설정!$L$5+ROW()-1,설정!$L$9)&amp;""),"")</f>
        <v/>
      </c>
      <c r="D514" s="83" t="str">
        <f aca="false">IFERROR(IF(INDEX(원자료_잔고!$A$1:$EZ$1500,설정!$L$5+ROW()-1,설정!$L$10)&amp;""="0","",INDEX(원자료_잔고!$A$1:$EZ$1500,설정!$L$5+ROW()-1,설정!$L$10)&amp;""),"")</f>
        <v/>
      </c>
      <c r="E514" s="84" t="str">
        <f aca="false">IFERROR(IF(ISNUMBER(INDEX(원자료_잔고!$A$1:$EZ$1500,설정!$L$5+ROW()-1,설정!$L$11)),INDEX(원자료_잔고!$A$1:$EZ$1500,설정!$L$5+ROW()-1,설정!$L$11),""),"")</f>
        <v/>
      </c>
      <c r="F514" s="85" t="str">
        <f aca="false">IFERROR(IF(ISNUMBER(INDEX(원자료_잔고!$A$1:$EZ$1500,설정!$L$5+ROW()-1,설정!$L$12)),INDEX(원자료_잔고!$A$1:$EZ$1500,설정!$L$5+ROW()-1,설정!$L$12),""),"")</f>
        <v/>
      </c>
      <c r="G514" s="85" t="str">
        <f aca="false">IFERROR(IF(ISNUMBER(INDEX(원자료_잔고!$A$1:$EZ$1500,설정!$L$5+ROW()-1,설정!$L$13)),INDEX(원자료_잔고!$A$1:$EZ$1500,설정!$L$5+ROW()-1,설정!$L$13),""),"")</f>
        <v/>
      </c>
      <c r="H514" s="85" t="str">
        <f aca="false">IFERROR(IF(ISNUMBER(INDEX(원자료_잔고!$A$1:$EZ$1500,설정!$L$5+ROW()-1,설정!$L$14)),INDEX(원자료_잔고!$A$1:$EZ$1500,설정!$L$5+ROW()-1,설정!$L$14),""),"")</f>
        <v/>
      </c>
      <c r="I514" s="86" t="str">
        <f aca="false">IFERROR(IF(ISNUMBER(INDEX(원자료_잔고!$A$1:$EZ$1500,설정!$L$5+ROW()-1,설정!$L$15)),INDEX(원자료_잔고!$A$1:$EZ$1500,설정!$L$5+ROW()-1,설정!$L$15),""),"")</f>
        <v/>
      </c>
      <c r="J514" s="85" t="str">
        <f aca="false">IFERROR(IF(ISNUMBER(INDEX(원자료_잔고!$A$1:$EZ$1500,설정!$L$5+ROW()-1,설정!$L$16)),INDEX(원자료_잔고!$A$1:$EZ$1500,설정!$L$5+ROW()-1,설정!$L$16),""),"")</f>
        <v/>
      </c>
      <c r="K514" s="87" t="str">
        <f aca="false">IFERROR(IF(ISNUMBER(INDEX(원자료_잔고!$A$1:$EZ$1500,설정!$L$5+ROW()-1,설정!$L$17)),INDEX(원자료_잔고!$A$1:$EZ$1500,설정!$L$5+ROW()-1,설정!$L$17),""),"")</f>
        <v/>
      </c>
      <c r="L514" s="84" t="str">
        <f aca="false">IFERROR(IF(ISNUMBER(INDEX(원자료_잔고!$A$1:$EZ$1500,설정!$L$5+ROW()-1,설정!$L$18)),INDEX(원자료_잔고!$A$1:$EZ$1500,설정!$L$5+ROW()-1,설정!$L$18),""),"")</f>
        <v/>
      </c>
      <c r="M514" s="88" t="str">
        <f aca="false">IFERROR(IF(ISNUMBER(INDEX(원자료_잔고!$A$1:$EZ$1500,설정!$L$5+ROW()-1,설정!$L$19)),INDEX(원자료_잔고!$A$1:$EZ$1500,설정!$L$5+ROW()-1,설정!$L$19),""),"")</f>
        <v/>
      </c>
      <c r="N514" s="83" t="str">
        <f aca="false">IFERROR(IF(INDEX(원자료_잔고!$A$1:$EZ$1500,설정!$L$5+ROW()-1,설정!$L$21)&amp;""="0","",INDEX(원자료_잔고!$A$1:$EZ$1500,설정!$L$5+ROW()-1,설정!$L$21)&amp;""),"")</f>
        <v/>
      </c>
      <c r="O514" s="83" t="str">
        <f aca="false">IFERROR(IF(INDEX(원자료_잔고!$A$1:$EZ$1500,설정!$L$5+ROW()-1,설정!$L$22)&amp;""="0","",INDEX(원자료_잔고!$A$1:$EZ$1500,설정!$L$5+ROW()-1,설정!$L$22)&amp;""),"")</f>
        <v/>
      </c>
      <c r="P514" s="83" t="str">
        <f aca="false">IFERROR(IF(INDEX(원자료_잔고!$A$1:$EZ$1500,설정!$L$5+ROW()-1,설정!$L$23)&amp;""="0","",INDEX(원자료_잔고!$A$1:$EZ$1500,설정!$L$5+ROW()-1,설정!$L$23)&amp;""),"")</f>
        <v/>
      </c>
      <c r="Q514" s="89" t="n">
        <f aca="false">IF(AND($A514&lt;&gt;"",ISNUMBER(E514)),IF(E514&gt;0,1,0),0)</f>
        <v>0</v>
      </c>
      <c r="R514" s="43" t="str">
        <f aca="false">IF(Q514=1,UPPER(LEFT($A514,FIND(" ",$A514&amp;" ")-1)),"")</f>
        <v/>
      </c>
      <c r="S514" s="89" t="n">
        <f aca="false">IF(Q514=1,IF(OR(ISNUMBER(SEARCH("Float",$A514)),ISNUMBER(SEARCH("FRN",$A514))),1,0),0)</f>
        <v>0</v>
      </c>
      <c r="T514" s="43" t="str">
        <f aca="false">IF(AND(Q514=1,ISNUMBER(I514)),TEXT(I514,"yyyymmdd")&amp;"|"&amp;IF(S514=1,"F",TEXT(J514,"0.000")),"")</f>
        <v/>
      </c>
      <c r="U514" s="90" t="str">
        <f aca="false">IF(AND(Q514=1,ISNUMBER(I514)),(I514-설정!$C$4)/365.25,"")</f>
        <v/>
      </c>
      <c r="V514" s="43" t="str">
        <f aca="false">IF(Q514&lt;&gt;1,"",IF(ISNUMBER(U514),IF(U514&lt;=1,"1년 이하",IF(U514&lt;=2,"1-2년",IF(U514&lt;=3,"2-3년",IF(U514&lt;=4,"3-4년",IF(U514&lt;=5,"4-5년",IF(U514&lt;=7,"5-7년",IF(U514&lt;=10,"7-10년",IF(U514&lt;=20,"10-20년","20년 이상")))))))),"미분류"))</f>
        <v/>
      </c>
      <c r="W514" s="43" t="str">
        <f aca="false">IF(Q514&lt;&gt;1,"",IF(AB514&lt;&gt;"",INDEX(시장분석!$C:$C,AB514),IF(K514=1,"USD","비USD")))</f>
        <v/>
      </c>
      <c r="X514" s="91" t="n">
        <f aca="false">IF(Q514=1,E514*K514/1000000,0)</f>
        <v>0</v>
      </c>
      <c r="Y514" s="89" t="n">
        <f aca="false">IF(R514="T",1,0)</f>
        <v>0</v>
      </c>
      <c r="Z514" s="92" t="str">
        <f aca="false">IF(Q514&lt;&gt;1,"",IF(AD514=1,IF(ISNUMBER(U514),MAX(U514,0),H514),H514))</f>
        <v/>
      </c>
      <c r="AA514" s="91" t="n">
        <f aca="false">IF(Q514=1,IF(ISNUMBER(L514),L514,0)*K514/1000000,0)</f>
        <v>0</v>
      </c>
      <c r="AB514" s="89" t="str">
        <f aca="false">IF(Q514&lt;&gt;1,"",IFERROR(MATCH(VLOOKUP(B514,매핑!$H$4:$I$15,2,0),시장분석!$A$2:$A$601,0)+1,IFERROR(MATCH(R514&amp;"|"&amp;T514,시장분석!$V$2:$V$601,0)+1,IF(COUNTIF(시장분석!$U$2:$U$601,T514)=1,MATCH(T514,시장분석!$U$2:$U$601,0)+1,""))))</f>
        <v/>
      </c>
      <c r="AC514" s="89" t="n">
        <f aca="false">IF(Q514&lt;&gt;1,0,IF(OR(설정!$C$5="전체",AND(설정!$C$5="선택펀드",IFERROR(COUNTIFS(설정!$F$16:$F$36,C514,설정!$G$16:$G$36,"Y")+COUNTIFS(설정!$F$16:$F$36,VALUE(C514),설정!$G$16:$G$36,"Y"),0)&gt;0),C514&amp;""=설정!$C$5&amp;""),1,0))</f>
        <v>0</v>
      </c>
      <c r="AD514" s="89" t="n">
        <f aca="false">IF(Q514&lt;&gt;1,0,IF(OR(S514=1,IF(AB514="",FALSE(),INDEX(시장분석!$R:$R,AB514)=1)),1,0))</f>
        <v>0</v>
      </c>
      <c r="AE514" s="43" t="str">
        <f aca="false">IF(AB514="","",INDEX(시장분석!$A:$A,AB514))</f>
        <v/>
      </c>
      <c r="AF514" s="93" t="str">
        <f aca="false">IF(AB514="","",IF(ISNUMBER(IF(AB514="","",INDEX(시장분석!$E:$E,AB514))),IF(AB514="","",INDEX(시장분석!$E:$E,AB514)),""))</f>
        <v/>
      </c>
      <c r="AG514" s="43" t="str">
        <f aca="false">IF(Q514&lt;&gt;1,"",IF(AB514&lt;&gt;"",IF(AB514="","",INDEX(시장분석!$L:$L,AB514)),IFERROR(IF(VLOOKUP(R514,매핑!$A$4:$E$92,5,0)="","미분류",VLOOKUP(R514,매핑!$A$4:$E$92,5,0)),"미분류")))</f>
        <v/>
      </c>
      <c r="AH514" s="43" t="str">
        <f aca="false">IF(Q514&lt;&gt;1,"",IF(AB514&lt;&gt;"",IF(AB514="","",INDEX(시장분석!$N:$N,AB514)),IFERROR(IF(VLOOKUP(R514,매핑!$A$4:$E$92,4,0)="","미분류",VLOOKUP(R514,매핑!$A$4:$E$92,4,0)),"미분류")))</f>
        <v/>
      </c>
      <c r="AI514" s="43" t="str">
        <f aca="false">IF(Q514&lt;&gt;1,"",IFERROR(IF(VLOOKUP(R514,매핑!$A$4:$E$92,3,0)="","미분류",VLOOKUP(R514,매핑!$A$4:$E$92,3,0)),IF(AB514&lt;&gt;"",IF(AB514="","",INDEX(시장분석!$W:$W,AB514)),"미분류")))</f>
        <v/>
      </c>
      <c r="AJ514" s="43" t="str">
        <f aca="false">IF(Q514&lt;&gt;1,"",IFERROR(VLOOKUP(IF(N514&lt;&gt;"",N514,IF(P514&lt;&gt;"",P514,O514)),설정!$A$15:$D$47,2,0),""))</f>
        <v/>
      </c>
      <c r="AK514" s="43" t="str">
        <f aca="false">IF(Q514&lt;&gt;1,"",IF(AJ514="","무등급",IFERROR(VLOOKUP(AJ514,설정!$A$15:$D$47,3,0),"무등급")))</f>
        <v/>
      </c>
      <c r="AL514" s="89" t="n">
        <f aca="false">IF(AJ514="",99,IFERROR(VLOOKUP(AJ514,설정!$A$15:$D$47,4,0),99))</f>
        <v>99</v>
      </c>
      <c r="AM514" s="94" t="n">
        <f aca="false">IF(ISNUMBER(H514),AA514*1000000*H514/10000,0)</f>
        <v>0</v>
      </c>
      <c r="AN514" s="94" t="n">
        <f aca="false">IF(OR(Y514=1,NOT(ISNUMBER(Z514))),0,AA514*1000000*Z514/10000)</f>
        <v>0</v>
      </c>
      <c r="AO514" s="94" t="n">
        <f aca="false">IF(ISNUMBER(G514),AA514*1000000*G514/100,0)</f>
        <v>0</v>
      </c>
      <c r="AP514" s="94" t="n">
        <f aca="false">IF(ISNUMBER(M514),M514*K514,0)</f>
        <v>0</v>
      </c>
      <c r="AQ514" s="95" t="str">
        <f aca="false">IF(AB514="","",INDEX(시장분석!$AK:$AK,AB514))</f>
        <v/>
      </c>
      <c r="AR514" s="43" t="str">
        <f aca="false">IF(AB514="","-",IF(AB514="","",INDEX(시장분석!$AL:$AL,AB514)))</f>
        <v>-</v>
      </c>
      <c r="AS514" s="96" t="str">
        <f aca="false">IF(AB514="","",INDEX(시장분석!$AJ:$AJ,AB514))</f>
        <v/>
      </c>
      <c r="AT514" s="93" t="n">
        <f aca="false">IF(AB514="",0,IF(AB514="","",INDEX(시장분석!$AN:$AN,AB514)))</f>
        <v>0</v>
      </c>
      <c r="AU514" s="94" t="n">
        <f aca="false">IF(ISNUMBER(Z514),AT514/10000*MAX(Z514-1,0)*AA514*1000000,0)</f>
        <v>0</v>
      </c>
      <c r="AV514" s="94" t="n">
        <f aca="false">AO514+AU514</f>
        <v>0</v>
      </c>
      <c r="AW514" s="43" t="str">
        <f aca="false">IF(Q514&lt;&gt;1,"",TRIM(IF(AD514=1,"FRN ","")&amp;IF(AND(AL514&gt;=10,AL514&lt;99),"BBB0미만 ","")&amp;IF(AJ514="","등급없음 ","")&amp;IF(K514&lt;&gt;1,"비USD ","")&amp;IF(AND(AB514="",Y514=0),"시장데이터없음 ","")&amp;IF(AND(ISNUMBER(U514),U514&lt;0),"만기경과 ","")))</f>
        <v/>
      </c>
      <c r="AX514" s="90" t="n">
        <f aca="false">IF(Q514&lt;&gt;1,1,IF(스프레드쇼크!$C$4="Y",INDEX(스프레드쇼크!$B$12:$L$16,IFERROR(MATCH(AH514,스프레드쇼크!$A$12:$A$16,0),MATCH("목록외",스프레드쇼크!$A$12:$A$16,0)),IFERROR(MATCH(AG514,스프레드쇼크!$B$11:$L$11,0),MATCH("목록외",스프레드쇼크!$B$11:$L$11,0))),1))</f>
        <v>1</v>
      </c>
      <c r="AY514" s="90" t="n">
        <f aca="false">IF(스프레드쇼크!$C$5="Y",IF(ISNUMBER(AF514),MIN(스프레드쇼크!$C$7,MAX(스프레드쇼크!$C$6,AF514/스프레드쇼크!$C$8)),1),1)</f>
        <v>1</v>
      </c>
      <c r="AZ514" s="94" t="n">
        <f aca="false">AN514*AX514*AY514</f>
        <v>0</v>
      </c>
      <c r="BA514" s="90" t="n">
        <f aca="false">IF(ISNUMBER(G514),AA514*G514,0)</f>
        <v>0</v>
      </c>
      <c r="BB514" s="90" t="n">
        <f aca="false">IF(ISNUMBER(G514),AA514,0)</f>
        <v>0</v>
      </c>
      <c r="BC514" s="90" t="n">
        <f aca="false">IF(AND(Y514=0,ISNUMBER(AF514)),AA514*AF514,0)</f>
        <v>0</v>
      </c>
      <c r="BD514" s="90" t="n">
        <f aca="false">IF(AND(Y514=0,ISNUMBER(AF514)),AA514,0)</f>
        <v>0</v>
      </c>
      <c r="BE514" s="90" t="n">
        <f aca="false">IF(ISNUMBER(H514),AA514*H514,0)</f>
        <v>0</v>
      </c>
      <c r="BF514" s="90" t="n">
        <f aca="false">IF(ISNUMBER(H514),AA514,0)</f>
        <v>0</v>
      </c>
      <c r="BG514" s="90" t="n">
        <f aca="false">IF(AND(Y514=0,ISNUMBER(AF514),ISNUMBER(Z514)),AA514*Z514,0)</f>
        <v>0</v>
      </c>
      <c r="BH514" s="90" t="n">
        <f aca="false">IF(AND(Y514=0,ISNUMBER(AF514),ISNUMBER(Z514)),AA514*AT514*MAX(Z514-1,0),0)</f>
        <v>0</v>
      </c>
      <c r="BI514" s="90" t="n">
        <f aca="false">IF(Y514=0,AA514,0)</f>
        <v>0</v>
      </c>
    </row>
    <row r="515" customFormat="false" ht="15" hidden="false" customHeight="false" outlineLevel="0" collapsed="false">
      <c r="A515" s="83" t="str">
        <f aca="false">IFERROR(IF(INDEX(원자료_잔고!$A$1:$EZ$1500,설정!$L$5+ROW()-1,설정!$L$8)&amp;""="0","",INDEX(원자료_잔고!$A$1:$EZ$1500,설정!$L$5+ROW()-1,설정!$L$8)&amp;""),"")</f>
        <v/>
      </c>
      <c r="B515" s="83" t="str">
        <f aca="false">IFERROR(IF(INDEX(원자료_잔고!$A$1:$EZ$1500,설정!$L$5+ROW()-1,설정!$L$7)&amp;""="0","",INDEX(원자료_잔고!$A$1:$EZ$1500,설정!$L$5+ROW()-1,설정!$L$7)&amp;""),"")</f>
        <v/>
      </c>
      <c r="C515" s="83" t="str">
        <f aca="false">IFERROR(IF(INDEX(원자료_잔고!$A$1:$EZ$1500,설정!$L$5+ROW()-1,설정!$L$9)&amp;""="0","",INDEX(원자료_잔고!$A$1:$EZ$1500,설정!$L$5+ROW()-1,설정!$L$9)&amp;""),"")</f>
        <v/>
      </c>
      <c r="D515" s="83" t="str">
        <f aca="false">IFERROR(IF(INDEX(원자료_잔고!$A$1:$EZ$1500,설정!$L$5+ROW()-1,설정!$L$10)&amp;""="0","",INDEX(원자료_잔고!$A$1:$EZ$1500,설정!$L$5+ROW()-1,설정!$L$10)&amp;""),"")</f>
        <v/>
      </c>
      <c r="E515" s="84" t="str">
        <f aca="false">IFERROR(IF(ISNUMBER(INDEX(원자료_잔고!$A$1:$EZ$1500,설정!$L$5+ROW()-1,설정!$L$11)),INDEX(원자료_잔고!$A$1:$EZ$1500,설정!$L$5+ROW()-1,설정!$L$11),""),"")</f>
        <v/>
      </c>
      <c r="F515" s="85" t="str">
        <f aca="false">IFERROR(IF(ISNUMBER(INDEX(원자료_잔고!$A$1:$EZ$1500,설정!$L$5+ROW()-1,설정!$L$12)),INDEX(원자료_잔고!$A$1:$EZ$1500,설정!$L$5+ROW()-1,설정!$L$12),""),"")</f>
        <v/>
      </c>
      <c r="G515" s="85" t="str">
        <f aca="false">IFERROR(IF(ISNUMBER(INDEX(원자료_잔고!$A$1:$EZ$1500,설정!$L$5+ROW()-1,설정!$L$13)),INDEX(원자료_잔고!$A$1:$EZ$1500,설정!$L$5+ROW()-1,설정!$L$13),""),"")</f>
        <v/>
      </c>
      <c r="H515" s="85" t="str">
        <f aca="false">IFERROR(IF(ISNUMBER(INDEX(원자료_잔고!$A$1:$EZ$1500,설정!$L$5+ROW()-1,설정!$L$14)),INDEX(원자료_잔고!$A$1:$EZ$1500,설정!$L$5+ROW()-1,설정!$L$14),""),"")</f>
        <v/>
      </c>
      <c r="I515" s="86" t="str">
        <f aca="false">IFERROR(IF(ISNUMBER(INDEX(원자료_잔고!$A$1:$EZ$1500,설정!$L$5+ROW()-1,설정!$L$15)),INDEX(원자료_잔고!$A$1:$EZ$1500,설정!$L$5+ROW()-1,설정!$L$15),""),"")</f>
        <v/>
      </c>
      <c r="J515" s="85" t="str">
        <f aca="false">IFERROR(IF(ISNUMBER(INDEX(원자료_잔고!$A$1:$EZ$1500,설정!$L$5+ROW()-1,설정!$L$16)),INDEX(원자료_잔고!$A$1:$EZ$1500,설정!$L$5+ROW()-1,설정!$L$16),""),"")</f>
        <v/>
      </c>
      <c r="K515" s="87" t="str">
        <f aca="false">IFERROR(IF(ISNUMBER(INDEX(원자료_잔고!$A$1:$EZ$1500,설정!$L$5+ROW()-1,설정!$L$17)),INDEX(원자료_잔고!$A$1:$EZ$1500,설정!$L$5+ROW()-1,설정!$L$17),""),"")</f>
        <v/>
      </c>
      <c r="L515" s="84" t="str">
        <f aca="false">IFERROR(IF(ISNUMBER(INDEX(원자료_잔고!$A$1:$EZ$1500,설정!$L$5+ROW()-1,설정!$L$18)),INDEX(원자료_잔고!$A$1:$EZ$1500,설정!$L$5+ROW()-1,설정!$L$18),""),"")</f>
        <v/>
      </c>
      <c r="M515" s="88" t="str">
        <f aca="false">IFERROR(IF(ISNUMBER(INDEX(원자료_잔고!$A$1:$EZ$1500,설정!$L$5+ROW()-1,설정!$L$19)),INDEX(원자료_잔고!$A$1:$EZ$1500,설정!$L$5+ROW()-1,설정!$L$19),""),"")</f>
        <v/>
      </c>
      <c r="N515" s="83" t="str">
        <f aca="false">IFERROR(IF(INDEX(원자료_잔고!$A$1:$EZ$1500,설정!$L$5+ROW()-1,설정!$L$21)&amp;""="0","",INDEX(원자료_잔고!$A$1:$EZ$1500,설정!$L$5+ROW()-1,설정!$L$21)&amp;""),"")</f>
        <v/>
      </c>
      <c r="O515" s="83" t="str">
        <f aca="false">IFERROR(IF(INDEX(원자료_잔고!$A$1:$EZ$1500,설정!$L$5+ROW()-1,설정!$L$22)&amp;""="0","",INDEX(원자료_잔고!$A$1:$EZ$1500,설정!$L$5+ROW()-1,설정!$L$22)&amp;""),"")</f>
        <v/>
      </c>
      <c r="P515" s="83" t="str">
        <f aca="false">IFERROR(IF(INDEX(원자료_잔고!$A$1:$EZ$1500,설정!$L$5+ROW()-1,설정!$L$23)&amp;""="0","",INDEX(원자료_잔고!$A$1:$EZ$1500,설정!$L$5+ROW()-1,설정!$L$23)&amp;""),"")</f>
        <v/>
      </c>
      <c r="Q515" s="89" t="n">
        <f aca="false">IF(AND($A515&lt;&gt;"",ISNUMBER(E515)),IF(E515&gt;0,1,0),0)</f>
        <v>0</v>
      </c>
      <c r="R515" s="43" t="str">
        <f aca="false">IF(Q515=1,UPPER(LEFT($A515,FIND(" ",$A515&amp;" ")-1)),"")</f>
        <v/>
      </c>
      <c r="S515" s="89" t="n">
        <f aca="false">IF(Q515=1,IF(OR(ISNUMBER(SEARCH("Float",$A515)),ISNUMBER(SEARCH("FRN",$A515))),1,0),0)</f>
        <v>0</v>
      </c>
      <c r="T515" s="43" t="str">
        <f aca="false">IF(AND(Q515=1,ISNUMBER(I515)),TEXT(I515,"yyyymmdd")&amp;"|"&amp;IF(S515=1,"F",TEXT(J515,"0.000")),"")</f>
        <v/>
      </c>
      <c r="U515" s="90" t="str">
        <f aca="false">IF(AND(Q515=1,ISNUMBER(I515)),(I515-설정!$C$4)/365.25,"")</f>
        <v/>
      </c>
      <c r="V515" s="43" t="str">
        <f aca="false">IF(Q515&lt;&gt;1,"",IF(ISNUMBER(U515),IF(U515&lt;=1,"1년 이하",IF(U515&lt;=2,"1-2년",IF(U515&lt;=3,"2-3년",IF(U515&lt;=4,"3-4년",IF(U515&lt;=5,"4-5년",IF(U515&lt;=7,"5-7년",IF(U515&lt;=10,"7-10년",IF(U515&lt;=20,"10-20년","20년 이상")))))))),"미분류"))</f>
        <v/>
      </c>
      <c r="W515" s="43" t="str">
        <f aca="false">IF(Q515&lt;&gt;1,"",IF(AB515&lt;&gt;"",INDEX(시장분석!$C:$C,AB515),IF(K515=1,"USD","비USD")))</f>
        <v/>
      </c>
      <c r="X515" s="91" t="n">
        <f aca="false">IF(Q515=1,E515*K515/1000000,0)</f>
        <v>0</v>
      </c>
      <c r="Y515" s="89" t="n">
        <f aca="false">IF(R515="T",1,0)</f>
        <v>0</v>
      </c>
      <c r="Z515" s="92" t="str">
        <f aca="false">IF(Q515&lt;&gt;1,"",IF(AD515=1,IF(ISNUMBER(U515),MAX(U515,0),H515),H515))</f>
        <v/>
      </c>
      <c r="AA515" s="91" t="n">
        <f aca="false">IF(Q515=1,IF(ISNUMBER(L515),L515,0)*K515/1000000,0)</f>
        <v>0</v>
      </c>
      <c r="AB515" s="89" t="str">
        <f aca="false">IF(Q515&lt;&gt;1,"",IFERROR(MATCH(VLOOKUP(B515,매핑!$H$4:$I$15,2,0),시장분석!$A$2:$A$601,0)+1,IFERROR(MATCH(R515&amp;"|"&amp;T515,시장분석!$V$2:$V$601,0)+1,IF(COUNTIF(시장분석!$U$2:$U$601,T515)=1,MATCH(T515,시장분석!$U$2:$U$601,0)+1,""))))</f>
        <v/>
      </c>
      <c r="AC515" s="89" t="n">
        <f aca="false">IF(Q515&lt;&gt;1,0,IF(OR(설정!$C$5="전체",AND(설정!$C$5="선택펀드",IFERROR(COUNTIFS(설정!$F$16:$F$36,C515,설정!$G$16:$G$36,"Y")+COUNTIFS(설정!$F$16:$F$36,VALUE(C515),설정!$G$16:$G$36,"Y"),0)&gt;0),C515&amp;""=설정!$C$5&amp;""),1,0))</f>
        <v>0</v>
      </c>
      <c r="AD515" s="89" t="n">
        <f aca="false">IF(Q515&lt;&gt;1,0,IF(OR(S515=1,IF(AB515="",FALSE(),INDEX(시장분석!$R:$R,AB515)=1)),1,0))</f>
        <v>0</v>
      </c>
      <c r="AE515" s="43" t="str">
        <f aca="false">IF(AB515="","",INDEX(시장분석!$A:$A,AB515))</f>
        <v/>
      </c>
      <c r="AF515" s="93" t="str">
        <f aca="false">IF(AB515="","",IF(ISNUMBER(IF(AB515="","",INDEX(시장분석!$E:$E,AB515))),IF(AB515="","",INDEX(시장분석!$E:$E,AB515)),""))</f>
        <v/>
      </c>
      <c r="AG515" s="43" t="str">
        <f aca="false">IF(Q515&lt;&gt;1,"",IF(AB515&lt;&gt;"",IF(AB515="","",INDEX(시장분석!$L:$L,AB515)),IFERROR(IF(VLOOKUP(R515,매핑!$A$4:$E$92,5,0)="","미분류",VLOOKUP(R515,매핑!$A$4:$E$92,5,0)),"미분류")))</f>
        <v/>
      </c>
      <c r="AH515" s="43" t="str">
        <f aca="false">IF(Q515&lt;&gt;1,"",IF(AB515&lt;&gt;"",IF(AB515="","",INDEX(시장분석!$N:$N,AB515)),IFERROR(IF(VLOOKUP(R515,매핑!$A$4:$E$92,4,0)="","미분류",VLOOKUP(R515,매핑!$A$4:$E$92,4,0)),"미분류")))</f>
        <v/>
      </c>
      <c r="AI515" s="43" t="str">
        <f aca="false">IF(Q515&lt;&gt;1,"",IFERROR(IF(VLOOKUP(R515,매핑!$A$4:$E$92,3,0)="","미분류",VLOOKUP(R515,매핑!$A$4:$E$92,3,0)),IF(AB515&lt;&gt;"",IF(AB515="","",INDEX(시장분석!$W:$W,AB515)),"미분류")))</f>
        <v/>
      </c>
      <c r="AJ515" s="43" t="str">
        <f aca="false">IF(Q515&lt;&gt;1,"",IFERROR(VLOOKUP(IF(N515&lt;&gt;"",N515,IF(P515&lt;&gt;"",P515,O515)),설정!$A$15:$D$47,2,0),""))</f>
        <v/>
      </c>
      <c r="AK515" s="43" t="str">
        <f aca="false">IF(Q515&lt;&gt;1,"",IF(AJ515="","무등급",IFERROR(VLOOKUP(AJ515,설정!$A$15:$D$47,3,0),"무등급")))</f>
        <v/>
      </c>
      <c r="AL515" s="89" t="n">
        <f aca="false">IF(AJ515="",99,IFERROR(VLOOKUP(AJ515,설정!$A$15:$D$47,4,0),99))</f>
        <v>99</v>
      </c>
      <c r="AM515" s="94" t="n">
        <f aca="false">IF(ISNUMBER(H515),AA515*1000000*H515/10000,0)</f>
        <v>0</v>
      </c>
      <c r="AN515" s="94" t="n">
        <f aca="false">IF(OR(Y515=1,NOT(ISNUMBER(Z515))),0,AA515*1000000*Z515/10000)</f>
        <v>0</v>
      </c>
      <c r="AO515" s="94" t="n">
        <f aca="false">IF(ISNUMBER(G515),AA515*1000000*G515/100,0)</f>
        <v>0</v>
      </c>
      <c r="AP515" s="94" t="n">
        <f aca="false">IF(ISNUMBER(M515),M515*K515,0)</f>
        <v>0</v>
      </c>
      <c r="AQ515" s="95" t="str">
        <f aca="false">IF(AB515="","",INDEX(시장분석!$AK:$AK,AB515))</f>
        <v/>
      </c>
      <c r="AR515" s="43" t="str">
        <f aca="false">IF(AB515="","-",IF(AB515="","",INDEX(시장분석!$AL:$AL,AB515)))</f>
        <v>-</v>
      </c>
      <c r="AS515" s="96" t="str">
        <f aca="false">IF(AB515="","",INDEX(시장분석!$AJ:$AJ,AB515))</f>
        <v/>
      </c>
      <c r="AT515" s="93" t="n">
        <f aca="false">IF(AB515="",0,IF(AB515="","",INDEX(시장분석!$AN:$AN,AB515)))</f>
        <v>0</v>
      </c>
      <c r="AU515" s="94" t="n">
        <f aca="false">IF(ISNUMBER(Z515),AT515/10000*MAX(Z515-1,0)*AA515*1000000,0)</f>
        <v>0</v>
      </c>
      <c r="AV515" s="94" t="n">
        <f aca="false">AO515+AU515</f>
        <v>0</v>
      </c>
      <c r="AW515" s="43" t="str">
        <f aca="false">IF(Q515&lt;&gt;1,"",TRIM(IF(AD515=1,"FRN ","")&amp;IF(AND(AL515&gt;=10,AL515&lt;99),"BBB0미만 ","")&amp;IF(AJ515="","등급없음 ","")&amp;IF(K515&lt;&gt;1,"비USD ","")&amp;IF(AND(AB515="",Y515=0),"시장데이터없음 ","")&amp;IF(AND(ISNUMBER(U515),U515&lt;0),"만기경과 ","")))</f>
        <v/>
      </c>
      <c r="AX515" s="90" t="n">
        <f aca="false">IF(Q515&lt;&gt;1,1,IF(스프레드쇼크!$C$4="Y",INDEX(스프레드쇼크!$B$12:$L$16,IFERROR(MATCH(AH515,스프레드쇼크!$A$12:$A$16,0),MATCH("목록외",스프레드쇼크!$A$12:$A$16,0)),IFERROR(MATCH(AG515,스프레드쇼크!$B$11:$L$11,0),MATCH("목록외",스프레드쇼크!$B$11:$L$11,0))),1))</f>
        <v>1</v>
      </c>
      <c r="AY515" s="90" t="n">
        <f aca="false">IF(스프레드쇼크!$C$5="Y",IF(ISNUMBER(AF515),MIN(스프레드쇼크!$C$7,MAX(스프레드쇼크!$C$6,AF515/스프레드쇼크!$C$8)),1),1)</f>
        <v>1</v>
      </c>
      <c r="AZ515" s="94" t="n">
        <f aca="false">AN515*AX515*AY515</f>
        <v>0</v>
      </c>
      <c r="BA515" s="90" t="n">
        <f aca="false">IF(ISNUMBER(G515),AA515*G515,0)</f>
        <v>0</v>
      </c>
      <c r="BB515" s="90" t="n">
        <f aca="false">IF(ISNUMBER(G515),AA515,0)</f>
        <v>0</v>
      </c>
      <c r="BC515" s="90" t="n">
        <f aca="false">IF(AND(Y515=0,ISNUMBER(AF515)),AA515*AF515,0)</f>
        <v>0</v>
      </c>
      <c r="BD515" s="90" t="n">
        <f aca="false">IF(AND(Y515=0,ISNUMBER(AF515)),AA515,0)</f>
        <v>0</v>
      </c>
      <c r="BE515" s="90" t="n">
        <f aca="false">IF(ISNUMBER(H515),AA515*H515,0)</f>
        <v>0</v>
      </c>
      <c r="BF515" s="90" t="n">
        <f aca="false">IF(ISNUMBER(H515),AA515,0)</f>
        <v>0</v>
      </c>
      <c r="BG515" s="90" t="n">
        <f aca="false">IF(AND(Y515=0,ISNUMBER(AF515),ISNUMBER(Z515)),AA515*Z515,0)</f>
        <v>0</v>
      </c>
      <c r="BH515" s="90" t="n">
        <f aca="false">IF(AND(Y515=0,ISNUMBER(AF515),ISNUMBER(Z515)),AA515*AT515*MAX(Z515-1,0),0)</f>
        <v>0</v>
      </c>
      <c r="BI515" s="90" t="n">
        <f aca="false">IF(Y515=0,AA515,0)</f>
        <v>0</v>
      </c>
    </row>
    <row r="516" customFormat="false" ht="15" hidden="false" customHeight="false" outlineLevel="0" collapsed="false">
      <c r="A516" s="83" t="str">
        <f aca="false">IFERROR(IF(INDEX(원자료_잔고!$A$1:$EZ$1500,설정!$L$5+ROW()-1,설정!$L$8)&amp;""="0","",INDEX(원자료_잔고!$A$1:$EZ$1500,설정!$L$5+ROW()-1,설정!$L$8)&amp;""),"")</f>
        <v/>
      </c>
      <c r="B516" s="83" t="str">
        <f aca="false">IFERROR(IF(INDEX(원자료_잔고!$A$1:$EZ$1500,설정!$L$5+ROW()-1,설정!$L$7)&amp;""="0","",INDEX(원자료_잔고!$A$1:$EZ$1500,설정!$L$5+ROW()-1,설정!$L$7)&amp;""),"")</f>
        <v/>
      </c>
      <c r="C516" s="83" t="str">
        <f aca="false">IFERROR(IF(INDEX(원자료_잔고!$A$1:$EZ$1500,설정!$L$5+ROW()-1,설정!$L$9)&amp;""="0","",INDEX(원자료_잔고!$A$1:$EZ$1500,설정!$L$5+ROW()-1,설정!$L$9)&amp;""),"")</f>
        <v/>
      </c>
      <c r="D516" s="83" t="str">
        <f aca="false">IFERROR(IF(INDEX(원자료_잔고!$A$1:$EZ$1500,설정!$L$5+ROW()-1,설정!$L$10)&amp;""="0","",INDEX(원자료_잔고!$A$1:$EZ$1500,설정!$L$5+ROW()-1,설정!$L$10)&amp;""),"")</f>
        <v/>
      </c>
      <c r="E516" s="84" t="str">
        <f aca="false">IFERROR(IF(ISNUMBER(INDEX(원자료_잔고!$A$1:$EZ$1500,설정!$L$5+ROW()-1,설정!$L$11)),INDEX(원자료_잔고!$A$1:$EZ$1500,설정!$L$5+ROW()-1,설정!$L$11),""),"")</f>
        <v/>
      </c>
      <c r="F516" s="85" t="str">
        <f aca="false">IFERROR(IF(ISNUMBER(INDEX(원자료_잔고!$A$1:$EZ$1500,설정!$L$5+ROW()-1,설정!$L$12)),INDEX(원자료_잔고!$A$1:$EZ$1500,설정!$L$5+ROW()-1,설정!$L$12),""),"")</f>
        <v/>
      </c>
      <c r="G516" s="85" t="str">
        <f aca="false">IFERROR(IF(ISNUMBER(INDEX(원자료_잔고!$A$1:$EZ$1500,설정!$L$5+ROW()-1,설정!$L$13)),INDEX(원자료_잔고!$A$1:$EZ$1500,설정!$L$5+ROW()-1,설정!$L$13),""),"")</f>
        <v/>
      </c>
      <c r="H516" s="85" t="str">
        <f aca="false">IFERROR(IF(ISNUMBER(INDEX(원자료_잔고!$A$1:$EZ$1500,설정!$L$5+ROW()-1,설정!$L$14)),INDEX(원자료_잔고!$A$1:$EZ$1500,설정!$L$5+ROW()-1,설정!$L$14),""),"")</f>
        <v/>
      </c>
      <c r="I516" s="86" t="str">
        <f aca="false">IFERROR(IF(ISNUMBER(INDEX(원자료_잔고!$A$1:$EZ$1500,설정!$L$5+ROW()-1,설정!$L$15)),INDEX(원자료_잔고!$A$1:$EZ$1500,설정!$L$5+ROW()-1,설정!$L$15),""),"")</f>
        <v/>
      </c>
      <c r="J516" s="85" t="str">
        <f aca="false">IFERROR(IF(ISNUMBER(INDEX(원자료_잔고!$A$1:$EZ$1500,설정!$L$5+ROW()-1,설정!$L$16)),INDEX(원자료_잔고!$A$1:$EZ$1500,설정!$L$5+ROW()-1,설정!$L$16),""),"")</f>
        <v/>
      </c>
      <c r="K516" s="87" t="str">
        <f aca="false">IFERROR(IF(ISNUMBER(INDEX(원자료_잔고!$A$1:$EZ$1500,설정!$L$5+ROW()-1,설정!$L$17)),INDEX(원자료_잔고!$A$1:$EZ$1500,설정!$L$5+ROW()-1,설정!$L$17),""),"")</f>
        <v/>
      </c>
      <c r="L516" s="84" t="str">
        <f aca="false">IFERROR(IF(ISNUMBER(INDEX(원자료_잔고!$A$1:$EZ$1500,설정!$L$5+ROW()-1,설정!$L$18)),INDEX(원자료_잔고!$A$1:$EZ$1500,설정!$L$5+ROW()-1,설정!$L$18),""),"")</f>
        <v/>
      </c>
      <c r="M516" s="88" t="str">
        <f aca="false">IFERROR(IF(ISNUMBER(INDEX(원자료_잔고!$A$1:$EZ$1500,설정!$L$5+ROW()-1,설정!$L$19)),INDEX(원자료_잔고!$A$1:$EZ$1500,설정!$L$5+ROW()-1,설정!$L$19),""),"")</f>
        <v/>
      </c>
      <c r="N516" s="83" t="str">
        <f aca="false">IFERROR(IF(INDEX(원자료_잔고!$A$1:$EZ$1500,설정!$L$5+ROW()-1,설정!$L$21)&amp;""="0","",INDEX(원자료_잔고!$A$1:$EZ$1500,설정!$L$5+ROW()-1,설정!$L$21)&amp;""),"")</f>
        <v/>
      </c>
      <c r="O516" s="83" t="str">
        <f aca="false">IFERROR(IF(INDEX(원자료_잔고!$A$1:$EZ$1500,설정!$L$5+ROW()-1,설정!$L$22)&amp;""="0","",INDEX(원자료_잔고!$A$1:$EZ$1500,설정!$L$5+ROW()-1,설정!$L$22)&amp;""),"")</f>
        <v/>
      </c>
      <c r="P516" s="83" t="str">
        <f aca="false">IFERROR(IF(INDEX(원자료_잔고!$A$1:$EZ$1500,설정!$L$5+ROW()-1,설정!$L$23)&amp;""="0","",INDEX(원자료_잔고!$A$1:$EZ$1500,설정!$L$5+ROW()-1,설정!$L$23)&amp;""),"")</f>
        <v/>
      </c>
      <c r="Q516" s="89" t="n">
        <f aca="false">IF(AND($A516&lt;&gt;"",ISNUMBER(E516)),IF(E516&gt;0,1,0),0)</f>
        <v>0</v>
      </c>
      <c r="R516" s="43" t="str">
        <f aca="false">IF(Q516=1,UPPER(LEFT($A516,FIND(" ",$A516&amp;" ")-1)),"")</f>
        <v/>
      </c>
      <c r="S516" s="89" t="n">
        <f aca="false">IF(Q516=1,IF(OR(ISNUMBER(SEARCH("Float",$A516)),ISNUMBER(SEARCH("FRN",$A516))),1,0),0)</f>
        <v>0</v>
      </c>
      <c r="T516" s="43" t="str">
        <f aca="false">IF(AND(Q516=1,ISNUMBER(I516)),TEXT(I516,"yyyymmdd")&amp;"|"&amp;IF(S516=1,"F",TEXT(J516,"0.000")),"")</f>
        <v/>
      </c>
      <c r="U516" s="90" t="str">
        <f aca="false">IF(AND(Q516=1,ISNUMBER(I516)),(I516-설정!$C$4)/365.25,"")</f>
        <v/>
      </c>
      <c r="V516" s="43" t="str">
        <f aca="false">IF(Q516&lt;&gt;1,"",IF(ISNUMBER(U516),IF(U516&lt;=1,"1년 이하",IF(U516&lt;=2,"1-2년",IF(U516&lt;=3,"2-3년",IF(U516&lt;=4,"3-4년",IF(U516&lt;=5,"4-5년",IF(U516&lt;=7,"5-7년",IF(U516&lt;=10,"7-10년",IF(U516&lt;=20,"10-20년","20년 이상")))))))),"미분류"))</f>
        <v/>
      </c>
      <c r="W516" s="43" t="str">
        <f aca="false">IF(Q516&lt;&gt;1,"",IF(AB516&lt;&gt;"",INDEX(시장분석!$C:$C,AB516),IF(K516=1,"USD","비USD")))</f>
        <v/>
      </c>
      <c r="X516" s="91" t="n">
        <f aca="false">IF(Q516=1,E516*K516/1000000,0)</f>
        <v>0</v>
      </c>
      <c r="Y516" s="89" t="n">
        <f aca="false">IF(R516="T",1,0)</f>
        <v>0</v>
      </c>
      <c r="Z516" s="92" t="str">
        <f aca="false">IF(Q516&lt;&gt;1,"",IF(AD516=1,IF(ISNUMBER(U516),MAX(U516,0),H516),H516))</f>
        <v/>
      </c>
      <c r="AA516" s="91" t="n">
        <f aca="false">IF(Q516=1,IF(ISNUMBER(L516),L516,0)*K516/1000000,0)</f>
        <v>0</v>
      </c>
      <c r="AB516" s="89" t="str">
        <f aca="false">IF(Q516&lt;&gt;1,"",IFERROR(MATCH(VLOOKUP(B516,매핑!$H$4:$I$15,2,0),시장분석!$A$2:$A$601,0)+1,IFERROR(MATCH(R516&amp;"|"&amp;T516,시장분석!$V$2:$V$601,0)+1,IF(COUNTIF(시장분석!$U$2:$U$601,T516)=1,MATCH(T516,시장분석!$U$2:$U$601,0)+1,""))))</f>
        <v/>
      </c>
      <c r="AC516" s="89" t="n">
        <f aca="false">IF(Q516&lt;&gt;1,0,IF(OR(설정!$C$5="전체",AND(설정!$C$5="선택펀드",IFERROR(COUNTIFS(설정!$F$16:$F$36,C516,설정!$G$16:$G$36,"Y")+COUNTIFS(설정!$F$16:$F$36,VALUE(C516),설정!$G$16:$G$36,"Y"),0)&gt;0),C516&amp;""=설정!$C$5&amp;""),1,0))</f>
        <v>0</v>
      </c>
      <c r="AD516" s="89" t="n">
        <f aca="false">IF(Q516&lt;&gt;1,0,IF(OR(S516=1,IF(AB516="",FALSE(),INDEX(시장분석!$R:$R,AB516)=1)),1,0))</f>
        <v>0</v>
      </c>
      <c r="AE516" s="43" t="str">
        <f aca="false">IF(AB516="","",INDEX(시장분석!$A:$A,AB516))</f>
        <v/>
      </c>
      <c r="AF516" s="93" t="str">
        <f aca="false">IF(AB516="","",IF(ISNUMBER(IF(AB516="","",INDEX(시장분석!$E:$E,AB516))),IF(AB516="","",INDEX(시장분석!$E:$E,AB516)),""))</f>
        <v/>
      </c>
      <c r="AG516" s="43" t="str">
        <f aca="false">IF(Q516&lt;&gt;1,"",IF(AB516&lt;&gt;"",IF(AB516="","",INDEX(시장분석!$L:$L,AB516)),IFERROR(IF(VLOOKUP(R516,매핑!$A$4:$E$92,5,0)="","미분류",VLOOKUP(R516,매핑!$A$4:$E$92,5,0)),"미분류")))</f>
        <v/>
      </c>
      <c r="AH516" s="43" t="str">
        <f aca="false">IF(Q516&lt;&gt;1,"",IF(AB516&lt;&gt;"",IF(AB516="","",INDEX(시장분석!$N:$N,AB516)),IFERROR(IF(VLOOKUP(R516,매핑!$A$4:$E$92,4,0)="","미분류",VLOOKUP(R516,매핑!$A$4:$E$92,4,0)),"미분류")))</f>
        <v/>
      </c>
      <c r="AI516" s="43" t="str">
        <f aca="false">IF(Q516&lt;&gt;1,"",IFERROR(IF(VLOOKUP(R516,매핑!$A$4:$E$92,3,0)="","미분류",VLOOKUP(R516,매핑!$A$4:$E$92,3,0)),IF(AB516&lt;&gt;"",IF(AB516="","",INDEX(시장분석!$W:$W,AB516)),"미분류")))</f>
        <v/>
      </c>
      <c r="AJ516" s="43" t="str">
        <f aca="false">IF(Q516&lt;&gt;1,"",IFERROR(VLOOKUP(IF(N516&lt;&gt;"",N516,IF(P516&lt;&gt;"",P516,O516)),설정!$A$15:$D$47,2,0),""))</f>
        <v/>
      </c>
      <c r="AK516" s="43" t="str">
        <f aca="false">IF(Q516&lt;&gt;1,"",IF(AJ516="","무등급",IFERROR(VLOOKUP(AJ516,설정!$A$15:$D$47,3,0),"무등급")))</f>
        <v/>
      </c>
      <c r="AL516" s="89" t="n">
        <f aca="false">IF(AJ516="",99,IFERROR(VLOOKUP(AJ516,설정!$A$15:$D$47,4,0),99))</f>
        <v>99</v>
      </c>
      <c r="AM516" s="94" t="n">
        <f aca="false">IF(ISNUMBER(H516),AA516*1000000*H516/10000,0)</f>
        <v>0</v>
      </c>
      <c r="AN516" s="94" t="n">
        <f aca="false">IF(OR(Y516=1,NOT(ISNUMBER(Z516))),0,AA516*1000000*Z516/10000)</f>
        <v>0</v>
      </c>
      <c r="AO516" s="94" t="n">
        <f aca="false">IF(ISNUMBER(G516),AA516*1000000*G516/100,0)</f>
        <v>0</v>
      </c>
      <c r="AP516" s="94" t="n">
        <f aca="false">IF(ISNUMBER(M516),M516*K516,0)</f>
        <v>0</v>
      </c>
      <c r="AQ516" s="95" t="str">
        <f aca="false">IF(AB516="","",INDEX(시장분석!$AK:$AK,AB516))</f>
        <v/>
      </c>
      <c r="AR516" s="43" t="str">
        <f aca="false">IF(AB516="","-",IF(AB516="","",INDEX(시장분석!$AL:$AL,AB516)))</f>
        <v>-</v>
      </c>
      <c r="AS516" s="96" t="str">
        <f aca="false">IF(AB516="","",INDEX(시장분석!$AJ:$AJ,AB516))</f>
        <v/>
      </c>
      <c r="AT516" s="93" t="n">
        <f aca="false">IF(AB516="",0,IF(AB516="","",INDEX(시장분석!$AN:$AN,AB516)))</f>
        <v>0</v>
      </c>
      <c r="AU516" s="94" t="n">
        <f aca="false">IF(ISNUMBER(Z516),AT516/10000*MAX(Z516-1,0)*AA516*1000000,0)</f>
        <v>0</v>
      </c>
      <c r="AV516" s="94" t="n">
        <f aca="false">AO516+AU516</f>
        <v>0</v>
      </c>
      <c r="AW516" s="43" t="str">
        <f aca="false">IF(Q516&lt;&gt;1,"",TRIM(IF(AD516=1,"FRN ","")&amp;IF(AND(AL516&gt;=10,AL516&lt;99),"BBB0미만 ","")&amp;IF(AJ516="","등급없음 ","")&amp;IF(K516&lt;&gt;1,"비USD ","")&amp;IF(AND(AB516="",Y516=0),"시장데이터없음 ","")&amp;IF(AND(ISNUMBER(U516),U516&lt;0),"만기경과 ","")))</f>
        <v/>
      </c>
      <c r="AX516" s="90" t="n">
        <f aca="false">IF(Q516&lt;&gt;1,1,IF(스프레드쇼크!$C$4="Y",INDEX(스프레드쇼크!$B$12:$L$16,IFERROR(MATCH(AH516,스프레드쇼크!$A$12:$A$16,0),MATCH("목록외",스프레드쇼크!$A$12:$A$16,0)),IFERROR(MATCH(AG516,스프레드쇼크!$B$11:$L$11,0),MATCH("목록외",스프레드쇼크!$B$11:$L$11,0))),1))</f>
        <v>1</v>
      </c>
      <c r="AY516" s="90" t="n">
        <f aca="false">IF(스프레드쇼크!$C$5="Y",IF(ISNUMBER(AF516),MIN(스프레드쇼크!$C$7,MAX(스프레드쇼크!$C$6,AF516/스프레드쇼크!$C$8)),1),1)</f>
        <v>1</v>
      </c>
      <c r="AZ516" s="94" t="n">
        <f aca="false">AN516*AX516*AY516</f>
        <v>0</v>
      </c>
      <c r="BA516" s="90" t="n">
        <f aca="false">IF(ISNUMBER(G516),AA516*G516,0)</f>
        <v>0</v>
      </c>
      <c r="BB516" s="90" t="n">
        <f aca="false">IF(ISNUMBER(G516),AA516,0)</f>
        <v>0</v>
      </c>
      <c r="BC516" s="90" t="n">
        <f aca="false">IF(AND(Y516=0,ISNUMBER(AF516)),AA516*AF516,0)</f>
        <v>0</v>
      </c>
      <c r="BD516" s="90" t="n">
        <f aca="false">IF(AND(Y516=0,ISNUMBER(AF516)),AA516,0)</f>
        <v>0</v>
      </c>
      <c r="BE516" s="90" t="n">
        <f aca="false">IF(ISNUMBER(H516),AA516*H516,0)</f>
        <v>0</v>
      </c>
      <c r="BF516" s="90" t="n">
        <f aca="false">IF(ISNUMBER(H516),AA516,0)</f>
        <v>0</v>
      </c>
      <c r="BG516" s="90" t="n">
        <f aca="false">IF(AND(Y516=0,ISNUMBER(AF516),ISNUMBER(Z516)),AA516*Z516,0)</f>
        <v>0</v>
      </c>
      <c r="BH516" s="90" t="n">
        <f aca="false">IF(AND(Y516=0,ISNUMBER(AF516),ISNUMBER(Z516)),AA516*AT516*MAX(Z516-1,0),0)</f>
        <v>0</v>
      </c>
      <c r="BI516" s="90" t="n">
        <f aca="false">IF(Y516=0,AA516,0)</f>
        <v>0</v>
      </c>
    </row>
    <row r="517" customFormat="false" ht="15" hidden="false" customHeight="false" outlineLevel="0" collapsed="false">
      <c r="A517" s="83" t="str">
        <f aca="false">IFERROR(IF(INDEX(원자료_잔고!$A$1:$EZ$1500,설정!$L$5+ROW()-1,설정!$L$8)&amp;""="0","",INDEX(원자료_잔고!$A$1:$EZ$1500,설정!$L$5+ROW()-1,설정!$L$8)&amp;""),"")</f>
        <v/>
      </c>
      <c r="B517" s="83" t="str">
        <f aca="false">IFERROR(IF(INDEX(원자료_잔고!$A$1:$EZ$1500,설정!$L$5+ROW()-1,설정!$L$7)&amp;""="0","",INDEX(원자료_잔고!$A$1:$EZ$1500,설정!$L$5+ROW()-1,설정!$L$7)&amp;""),"")</f>
        <v/>
      </c>
      <c r="C517" s="83" t="str">
        <f aca="false">IFERROR(IF(INDEX(원자료_잔고!$A$1:$EZ$1500,설정!$L$5+ROW()-1,설정!$L$9)&amp;""="0","",INDEX(원자료_잔고!$A$1:$EZ$1500,설정!$L$5+ROW()-1,설정!$L$9)&amp;""),"")</f>
        <v/>
      </c>
      <c r="D517" s="83" t="str">
        <f aca="false">IFERROR(IF(INDEX(원자료_잔고!$A$1:$EZ$1500,설정!$L$5+ROW()-1,설정!$L$10)&amp;""="0","",INDEX(원자료_잔고!$A$1:$EZ$1500,설정!$L$5+ROW()-1,설정!$L$10)&amp;""),"")</f>
        <v/>
      </c>
      <c r="E517" s="84" t="str">
        <f aca="false">IFERROR(IF(ISNUMBER(INDEX(원자료_잔고!$A$1:$EZ$1500,설정!$L$5+ROW()-1,설정!$L$11)),INDEX(원자료_잔고!$A$1:$EZ$1500,설정!$L$5+ROW()-1,설정!$L$11),""),"")</f>
        <v/>
      </c>
      <c r="F517" s="85" t="str">
        <f aca="false">IFERROR(IF(ISNUMBER(INDEX(원자료_잔고!$A$1:$EZ$1500,설정!$L$5+ROW()-1,설정!$L$12)),INDEX(원자료_잔고!$A$1:$EZ$1500,설정!$L$5+ROW()-1,설정!$L$12),""),"")</f>
        <v/>
      </c>
      <c r="G517" s="85" t="str">
        <f aca="false">IFERROR(IF(ISNUMBER(INDEX(원자료_잔고!$A$1:$EZ$1500,설정!$L$5+ROW()-1,설정!$L$13)),INDEX(원자료_잔고!$A$1:$EZ$1500,설정!$L$5+ROW()-1,설정!$L$13),""),"")</f>
        <v/>
      </c>
      <c r="H517" s="85" t="str">
        <f aca="false">IFERROR(IF(ISNUMBER(INDEX(원자료_잔고!$A$1:$EZ$1500,설정!$L$5+ROW()-1,설정!$L$14)),INDEX(원자료_잔고!$A$1:$EZ$1500,설정!$L$5+ROW()-1,설정!$L$14),""),"")</f>
        <v/>
      </c>
      <c r="I517" s="86" t="str">
        <f aca="false">IFERROR(IF(ISNUMBER(INDEX(원자료_잔고!$A$1:$EZ$1500,설정!$L$5+ROW()-1,설정!$L$15)),INDEX(원자료_잔고!$A$1:$EZ$1500,설정!$L$5+ROW()-1,설정!$L$15),""),"")</f>
        <v/>
      </c>
      <c r="J517" s="85" t="str">
        <f aca="false">IFERROR(IF(ISNUMBER(INDEX(원자료_잔고!$A$1:$EZ$1500,설정!$L$5+ROW()-1,설정!$L$16)),INDEX(원자료_잔고!$A$1:$EZ$1500,설정!$L$5+ROW()-1,설정!$L$16),""),"")</f>
        <v/>
      </c>
      <c r="K517" s="87" t="str">
        <f aca="false">IFERROR(IF(ISNUMBER(INDEX(원자료_잔고!$A$1:$EZ$1500,설정!$L$5+ROW()-1,설정!$L$17)),INDEX(원자료_잔고!$A$1:$EZ$1500,설정!$L$5+ROW()-1,설정!$L$17),""),"")</f>
        <v/>
      </c>
      <c r="L517" s="84" t="str">
        <f aca="false">IFERROR(IF(ISNUMBER(INDEX(원자료_잔고!$A$1:$EZ$1500,설정!$L$5+ROW()-1,설정!$L$18)),INDEX(원자료_잔고!$A$1:$EZ$1500,설정!$L$5+ROW()-1,설정!$L$18),""),"")</f>
        <v/>
      </c>
      <c r="M517" s="88" t="str">
        <f aca="false">IFERROR(IF(ISNUMBER(INDEX(원자료_잔고!$A$1:$EZ$1500,설정!$L$5+ROW()-1,설정!$L$19)),INDEX(원자료_잔고!$A$1:$EZ$1500,설정!$L$5+ROW()-1,설정!$L$19),""),"")</f>
        <v/>
      </c>
      <c r="N517" s="83" t="str">
        <f aca="false">IFERROR(IF(INDEX(원자료_잔고!$A$1:$EZ$1500,설정!$L$5+ROW()-1,설정!$L$21)&amp;""="0","",INDEX(원자료_잔고!$A$1:$EZ$1500,설정!$L$5+ROW()-1,설정!$L$21)&amp;""),"")</f>
        <v/>
      </c>
      <c r="O517" s="83" t="str">
        <f aca="false">IFERROR(IF(INDEX(원자료_잔고!$A$1:$EZ$1500,설정!$L$5+ROW()-1,설정!$L$22)&amp;""="0","",INDEX(원자료_잔고!$A$1:$EZ$1500,설정!$L$5+ROW()-1,설정!$L$22)&amp;""),"")</f>
        <v/>
      </c>
      <c r="P517" s="83" t="str">
        <f aca="false">IFERROR(IF(INDEX(원자료_잔고!$A$1:$EZ$1500,설정!$L$5+ROW()-1,설정!$L$23)&amp;""="0","",INDEX(원자료_잔고!$A$1:$EZ$1500,설정!$L$5+ROW()-1,설정!$L$23)&amp;""),"")</f>
        <v/>
      </c>
      <c r="Q517" s="89" t="n">
        <f aca="false">IF(AND($A517&lt;&gt;"",ISNUMBER(E517)),IF(E517&gt;0,1,0),0)</f>
        <v>0</v>
      </c>
      <c r="R517" s="43" t="str">
        <f aca="false">IF(Q517=1,UPPER(LEFT($A517,FIND(" ",$A517&amp;" ")-1)),"")</f>
        <v/>
      </c>
      <c r="S517" s="89" t="n">
        <f aca="false">IF(Q517=1,IF(OR(ISNUMBER(SEARCH("Float",$A517)),ISNUMBER(SEARCH("FRN",$A517))),1,0),0)</f>
        <v>0</v>
      </c>
      <c r="T517" s="43" t="str">
        <f aca="false">IF(AND(Q517=1,ISNUMBER(I517)),TEXT(I517,"yyyymmdd")&amp;"|"&amp;IF(S517=1,"F",TEXT(J517,"0.000")),"")</f>
        <v/>
      </c>
      <c r="U517" s="90" t="str">
        <f aca="false">IF(AND(Q517=1,ISNUMBER(I517)),(I517-설정!$C$4)/365.25,"")</f>
        <v/>
      </c>
      <c r="V517" s="43" t="str">
        <f aca="false">IF(Q517&lt;&gt;1,"",IF(ISNUMBER(U517),IF(U517&lt;=1,"1년 이하",IF(U517&lt;=2,"1-2년",IF(U517&lt;=3,"2-3년",IF(U517&lt;=4,"3-4년",IF(U517&lt;=5,"4-5년",IF(U517&lt;=7,"5-7년",IF(U517&lt;=10,"7-10년",IF(U517&lt;=20,"10-20년","20년 이상")))))))),"미분류"))</f>
        <v/>
      </c>
      <c r="W517" s="43" t="str">
        <f aca="false">IF(Q517&lt;&gt;1,"",IF(AB517&lt;&gt;"",INDEX(시장분석!$C:$C,AB517),IF(K517=1,"USD","비USD")))</f>
        <v/>
      </c>
      <c r="X517" s="91" t="n">
        <f aca="false">IF(Q517=1,E517*K517/1000000,0)</f>
        <v>0</v>
      </c>
      <c r="Y517" s="89" t="n">
        <f aca="false">IF(R517="T",1,0)</f>
        <v>0</v>
      </c>
      <c r="Z517" s="92" t="str">
        <f aca="false">IF(Q517&lt;&gt;1,"",IF(AD517=1,IF(ISNUMBER(U517),MAX(U517,0),H517),H517))</f>
        <v/>
      </c>
      <c r="AA517" s="91" t="n">
        <f aca="false">IF(Q517=1,IF(ISNUMBER(L517),L517,0)*K517/1000000,0)</f>
        <v>0</v>
      </c>
      <c r="AB517" s="89" t="str">
        <f aca="false">IF(Q517&lt;&gt;1,"",IFERROR(MATCH(VLOOKUP(B517,매핑!$H$4:$I$15,2,0),시장분석!$A$2:$A$601,0)+1,IFERROR(MATCH(R517&amp;"|"&amp;T517,시장분석!$V$2:$V$601,0)+1,IF(COUNTIF(시장분석!$U$2:$U$601,T517)=1,MATCH(T517,시장분석!$U$2:$U$601,0)+1,""))))</f>
        <v/>
      </c>
      <c r="AC517" s="89" t="n">
        <f aca="false">IF(Q517&lt;&gt;1,0,IF(OR(설정!$C$5="전체",AND(설정!$C$5="선택펀드",IFERROR(COUNTIFS(설정!$F$16:$F$36,C517,설정!$G$16:$G$36,"Y")+COUNTIFS(설정!$F$16:$F$36,VALUE(C517),설정!$G$16:$G$36,"Y"),0)&gt;0),C517&amp;""=설정!$C$5&amp;""),1,0))</f>
        <v>0</v>
      </c>
      <c r="AD517" s="89" t="n">
        <f aca="false">IF(Q517&lt;&gt;1,0,IF(OR(S517=1,IF(AB517="",FALSE(),INDEX(시장분석!$R:$R,AB517)=1)),1,0))</f>
        <v>0</v>
      </c>
      <c r="AE517" s="43" t="str">
        <f aca="false">IF(AB517="","",INDEX(시장분석!$A:$A,AB517))</f>
        <v/>
      </c>
      <c r="AF517" s="93" t="str">
        <f aca="false">IF(AB517="","",IF(ISNUMBER(IF(AB517="","",INDEX(시장분석!$E:$E,AB517))),IF(AB517="","",INDEX(시장분석!$E:$E,AB517)),""))</f>
        <v/>
      </c>
      <c r="AG517" s="43" t="str">
        <f aca="false">IF(Q517&lt;&gt;1,"",IF(AB517&lt;&gt;"",IF(AB517="","",INDEX(시장분석!$L:$L,AB517)),IFERROR(IF(VLOOKUP(R517,매핑!$A$4:$E$92,5,0)="","미분류",VLOOKUP(R517,매핑!$A$4:$E$92,5,0)),"미분류")))</f>
        <v/>
      </c>
      <c r="AH517" s="43" t="str">
        <f aca="false">IF(Q517&lt;&gt;1,"",IF(AB517&lt;&gt;"",IF(AB517="","",INDEX(시장분석!$N:$N,AB517)),IFERROR(IF(VLOOKUP(R517,매핑!$A$4:$E$92,4,0)="","미분류",VLOOKUP(R517,매핑!$A$4:$E$92,4,0)),"미분류")))</f>
        <v/>
      </c>
      <c r="AI517" s="43" t="str">
        <f aca="false">IF(Q517&lt;&gt;1,"",IFERROR(IF(VLOOKUP(R517,매핑!$A$4:$E$92,3,0)="","미분류",VLOOKUP(R517,매핑!$A$4:$E$92,3,0)),IF(AB517&lt;&gt;"",IF(AB517="","",INDEX(시장분석!$W:$W,AB517)),"미분류")))</f>
        <v/>
      </c>
      <c r="AJ517" s="43" t="str">
        <f aca="false">IF(Q517&lt;&gt;1,"",IFERROR(VLOOKUP(IF(N517&lt;&gt;"",N517,IF(P517&lt;&gt;"",P517,O517)),설정!$A$15:$D$47,2,0),""))</f>
        <v/>
      </c>
      <c r="AK517" s="43" t="str">
        <f aca="false">IF(Q517&lt;&gt;1,"",IF(AJ517="","무등급",IFERROR(VLOOKUP(AJ517,설정!$A$15:$D$47,3,0),"무등급")))</f>
        <v/>
      </c>
      <c r="AL517" s="89" t="n">
        <f aca="false">IF(AJ517="",99,IFERROR(VLOOKUP(AJ517,설정!$A$15:$D$47,4,0),99))</f>
        <v>99</v>
      </c>
      <c r="AM517" s="94" t="n">
        <f aca="false">IF(ISNUMBER(H517),AA517*1000000*H517/10000,0)</f>
        <v>0</v>
      </c>
      <c r="AN517" s="94" t="n">
        <f aca="false">IF(OR(Y517=1,NOT(ISNUMBER(Z517))),0,AA517*1000000*Z517/10000)</f>
        <v>0</v>
      </c>
      <c r="AO517" s="94" t="n">
        <f aca="false">IF(ISNUMBER(G517),AA517*1000000*G517/100,0)</f>
        <v>0</v>
      </c>
      <c r="AP517" s="94" t="n">
        <f aca="false">IF(ISNUMBER(M517),M517*K517,0)</f>
        <v>0</v>
      </c>
      <c r="AQ517" s="95" t="str">
        <f aca="false">IF(AB517="","",INDEX(시장분석!$AK:$AK,AB517))</f>
        <v/>
      </c>
      <c r="AR517" s="43" t="str">
        <f aca="false">IF(AB517="","-",IF(AB517="","",INDEX(시장분석!$AL:$AL,AB517)))</f>
        <v>-</v>
      </c>
      <c r="AS517" s="96" t="str">
        <f aca="false">IF(AB517="","",INDEX(시장분석!$AJ:$AJ,AB517))</f>
        <v/>
      </c>
      <c r="AT517" s="93" t="n">
        <f aca="false">IF(AB517="",0,IF(AB517="","",INDEX(시장분석!$AN:$AN,AB517)))</f>
        <v>0</v>
      </c>
      <c r="AU517" s="94" t="n">
        <f aca="false">IF(ISNUMBER(Z517),AT517/10000*MAX(Z517-1,0)*AA517*1000000,0)</f>
        <v>0</v>
      </c>
      <c r="AV517" s="94" t="n">
        <f aca="false">AO517+AU517</f>
        <v>0</v>
      </c>
      <c r="AW517" s="43" t="str">
        <f aca="false">IF(Q517&lt;&gt;1,"",TRIM(IF(AD517=1,"FRN ","")&amp;IF(AND(AL517&gt;=10,AL517&lt;99),"BBB0미만 ","")&amp;IF(AJ517="","등급없음 ","")&amp;IF(K517&lt;&gt;1,"비USD ","")&amp;IF(AND(AB517="",Y517=0),"시장데이터없음 ","")&amp;IF(AND(ISNUMBER(U517),U517&lt;0),"만기경과 ","")))</f>
        <v/>
      </c>
      <c r="AX517" s="90" t="n">
        <f aca="false">IF(Q517&lt;&gt;1,1,IF(스프레드쇼크!$C$4="Y",INDEX(스프레드쇼크!$B$12:$L$16,IFERROR(MATCH(AH517,스프레드쇼크!$A$12:$A$16,0),MATCH("목록외",스프레드쇼크!$A$12:$A$16,0)),IFERROR(MATCH(AG517,스프레드쇼크!$B$11:$L$11,0),MATCH("목록외",스프레드쇼크!$B$11:$L$11,0))),1))</f>
        <v>1</v>
      </c>
      <c r="AY517" s="90" t="n">
        <f aca="false">IF(스프레드쇼크!$C$5="Y",IF(ISNUMBER(AF517),MIN(스프레드쇼크!$C$7,MAX(스프레드쇼크!$C$6,AF517/스프레드쇼크!$C$8)),1),1)</f>
        <v>1</v>
      </c>
      <c r="AZ517" s="94" t="n">
        <f aca="false">AN517*AX517*AY517</f>
        <v>0</v>
      </c>
      <c r="BA517" s="90" t="n">
        <f aca="false">IF(ISNUMBER(G517),AA517*G517,0)</f>
        <v>0</v>
      </c>
      <c r="BB517" s="90" t="n">
        <f aca="false">IF(ISNUMBER(G517),AA517,0)</f>
        <v>0</v>
      </c>
      <c r="BC517" s="90" t="n">
        <f aca="false">IF(AND(Y517=0,ISNUMBER(AF517)),AA517*AF517,0)</f>
        <v>0</v>
      </c>
      <c r="BD517" s="90" t="n">
        <f aca="false">IF(AND(Y517=0,ISNUMBER(AF517)),AA517,0)</f>
        <v>0</v>
      </c>
      <c r="BE517" s="90" t="n">
        <f aca="false">IF(ISNUMBER(H517),AA517*H517,0)</f>
        <v>0</v>
      </c>
      <c r="BF517" s="90" t="n">
        <f aca="false">IF(ISNUMBER(H517),AA517,0)</f>
        <v>0</v>
      </c>
      <c r="BG517" s="90" t="n">
        <f aca="false">IF(AND(Y517=0,ISNUMBER(AF517),ISNUMBER(Z517)),AA517*Z517,0)</f>
        <v>0</v>
      </c>
      <c r="BH517" s="90" t="n">
        <f aca="false">IF(AND(Y517=0,ISNUMBER(AF517),ISNUMBER(Z517)),AA517*AT517*MAX(Z517-1,0),0)</f>
        <v>0</v>
      </c>
      <c r="BI517" s="90" t="n">
        <f aca="false">IF(Y517=0,AA517,0)</f>
        <v>0</v>
      </c>
    </row>
    <row r="518" customFormat="false" ht="15" hidden="false" customHeight="false" outlineLevel="0" collapsed="false">
      <c r="A518" s="83" t="str">
        <f aca="false">IFERROR(IF(INDEX(원자료_잔고!$A$1:$EZ$1500,설정!$L$5+ROW()-1,설정!$L$8)&amp;""="0","",INDEX(원자료_잔고!$A$1:$EZ$1500,설정!$L$5+ROW()-1,설정!$L$8)&amp;""),"")</f>
        <v/>
      </c>
      <c r="B518" s="83" t="str">
        <f aca="false">IFERROR(IF(INDEX(원자료_잔고!$A$1:$EZ$1500,설정!$L$5+ROW()-1,설정!$L$7)&amp;""="0","",INDEX(원자료_잔고!$A$1:$EZ$1500,설정!$L$5+ROW()-1,설정!$L$7)&amp;""),"")</f>
        <v/>
      </c>
      <c r="C518" s="83" t="str">
        <f aca="false">IFERROR(IF(INDEX(원자료_잔고!$A$1:$EZ$1500,설정!$L$5+ROW()-1,설정!$L$9)&amp;""="0","",INDEX(원자료_잔고!$A$1:$EZ$1500,설정!$L$5+ROW()-1,설정!$L$9)&amp;""),"")</f>
        <v/>
      </c>
      <c r="D518" s="83" t="str">
        <f aca="false">IFERROR(IF(INDEX(원자료_잔고!$A$1:$EZ$1500,설정!$L$5+ROW()-1,설정!$L$10)&amp;""="0","",INDEX(원자료_잔고!$A$1:$EZ$1500,설정!$L$5+ROW()-1,설정!$L$10)&amp;""),"")</f>
        <v/>
      </c>
      <c r="E518" s="84" t="str">
        <f aca="false">IFERROR(IF(ISNUMBER(INDEX(원자료_잔고!$A$1:$EZ$1500,설정!$L$5+ROW()-1,설정!$L$11)),INDEX(원자료_잔고!$A$1:$EZ$1500,설정!$L$5+ROW()-1,설정!$L$11),""),"")</f>
        <v/>
      </c>
      <c r="F518" s="85" t="str">
        <f aca="false">IFERROR(IF(ISNUMBER(INDEX(원자료_잔고!$A$1:$EZ$1500,설정!$L$5+ROW()-1,설정!$L$12)),INDEX(원자료_잔고!$A$1:$EZ$1500,설정!$L$5+ROW()-1,설정!$L$12),""),"")</f>
        <v/>
      </c>
      <c r="G518" s="85" t="str">
        <f aca="false">IFERROR(IF(ISNUMBER(INDEX(원자료_잔고!$A$1:$EZ$1500,설정!$L$5+ROW()-1,설정!$L$13)),INDEX(원자료_잔고!$A$1:$EZ$1500,설정!$L$5+ROW()-1,설정!$L$13),""),"")</f>
        <v/>
      </c>
      <c r="H518" s="85" t="str">
        <f aca="false">IFERROR(IF(ISNUMBER(INDEX(원자료_잔고!$A$1:$EZ$1500,설정!$L$5+ROW()-1,설정!$L$14)),INDEX(원자료_잔고!$A$1:$EZ$1500,설정!$L$5+ROW()-1,설정!$L$14),""),"")</f>
        <v/>
      </c>
      <c r="I518" s="86" t="str">
        <f aca="false">IFERROR(IF(ISNUMBER(INDEX(원자료_잔고!$A$1:$EZ$1500,설정!$L$5+ROW()-1,설정!$L$15)),INDEX(원자료_잔고!$A$1:$EZ$1500,설정!$L$5+ROW()-1,설정!$L$15),""),"")</f>
        <v/>
      </c>
      <c r="J518" s="85" t="str">
        <f aca="false">IFERROR(IF(ISNUMBER(INDEX(원자료_잔고!$A$1:$EZ$1500,설정!$L$5+ROW()-1,설정!$L$16)),INDEX(원자료_잔고!$A$1:$EZ$1500,설정!$L$5+ROW()-1,설정!$L$16),""),"")</f>
        <v/>
      </c>
      <c r="K518" s="87" t="str">
        <f aca="false">IFERROR(IF(ISNUMBER(INDEX(원자료_잔고!$A$1:$EZ$1500,설정!$L$5+ROW()-1,설정!$L$17)),INDEX(원자료_잔고!$A$1:$EZ$1500,설정!$L$5+ROW()-1,설정!$L$17),""),"")</f>
        <v/>
      </c>
      <c r="L518" s="84" t="str">
        <f aca="false">IFERROR(IF(ISNUMBER(INDEX(원자료_잔고!$A$1:$EZ$1500,설정!$L$5+ROW()-1,설정!$L$18)),INDEX(원자료_잔고!$A$1:$EZ$1500,설정!$L$5+ROW()-1,설정!$L$18),""),"")</f>
        <v/>
      </c>
      <c r="M518" s="88" t="str">
        <f aca="false">IFERROR(IF(ISNUMBER(INDEX(원자료_잔고!$A$1:$EZ$1500,설정!$L$5+ROW()-1,설정!$L$19)),INDEX(원자료_잔고!$A$1:$EZ$1500,설정!$L$5+ROW()-1,설정!$L$19),""),"")</f>
        <v/>
      </c>
      <c r="N518" s="83" t="str">
        <f aca="false">IFERROR(IF(INDEX(원자료_잔고!$A$1:$EZ$1500,설정!$L$5+ROW()-1,설정!$L$21)&amp;""="0","",INDEX(원자료_잔고!$A$1:$EZ$1500,설정!$L$5+ROW()-1,설정!$L$21)&amp;""),"")</f>
        <v/>
      </c>
      <c r="O518" s="83" t="str">
        <f aca="false">IFERROR(IF(INDEX(원자료_잔고!$A$1:$EZ$1500,설정!$L$5+ROW()-1,설정!$L$22)&amp;""="0","",INDEX(원자료_잔고!$A$1:$EZ$1500,설정!$L$5+ROW()-1,설정!$L$22)&amp;""),"")</f>
        <v/>
      </c>
      <c r="P518" s="83" t="str">
        <f aca="false">IFERROR(IF(INDEX(원자료_잔고!$A$1:$EZ$1500,설정!$L$5+ROW()-1,설정!$L$23)&amp;""="0","",INDEX(원자료_잔고!$A$1:$EZ$1500,설정!$L$5+ROW()-1,설정!$L$23)&amp;""),"")</f>
        <v/>
      </c>
      <c r="Q518" s="89" t="n">
        <f aca="false">IF(AND($A518&lt;&gt;"",ISNUMBER(E518)),IF(E518&gt;0,1,0),0)</f>
        <v>0</v>
      </c>
      <c r="R518" s="43" t="str">
        <f aca="false">IF(Q518=1,UPPER(LEFT($A518,FIND(" ",$A518&amp;" ")-1)),"")</f>
        <v/>
      </c>
      <c r="S518" s="89" t="n">
        <f aca="false">IF(Q518=1,IF(OR(ISNUMBER(SEARCH("Float",$A518)),ISNUMBER(SEARCH("FRN",$A518))),1,0),0)</f>
        <v>0</v>
      </c>
      <c r="T518" s="43" t="str">
        <f aca="false">IF(AND(Q518=1,ISNUMBER(I518)),TEXT(I518,"yyyymmdd")&amp;"|"&amp;IF(S518=1,"F",TEXT(J518,"0.000")),"")</f>
        <v/>
      </c>
      <c r="U518" s="90" t="str">
        <f aca="false">IF(AND(Q518=1,ISNUMBER(I518)),(I518-설정!$C$4)/365.25,"")</f>
        <v/>
      </c>
      <c r="V518" s="43" t="str">
        <f aca="false">IF(Q518&lt;&gt;1,"",IF(ISNUMBER(U518),IF(U518&lt;=1,"1년 이하",IF(U518&lt;=2,"1-2년",IF(U518&lt;=3,"2-3년",IF(U518&lt;=4,"3-4년",IF(U518&lt;=5,"4-5년",IF(U518&lt;=7,"5-7년",IF(U518&lt;=10,"7-10년",IF(U518&lt;=20,"10-20년","20년 이상")))))))),"미분류"))</f>
        <v/>
      </c>
      <c r="W518" s="43" t="str">
        <f aca="false">IF(Q518&lt;&gt;1,"",IF(AB518&lt;&gt;"",INDEX(시장분석!$C:$C,AB518),IF(K518=1,"USD","비USD")))</f>
        <v/>
      </c>
      <c r="X518" s="91" t="n">
        <f aca="false">IF(Q518=1,E518*K518/1000000,0)</f>
        <v>0</v>
      </c>
      <c r="Y518" s="89" t="n">
        <f aca="false">IF(R518="T",1,0)</f>
        <v>0</v>
      </c>
      <c r="Z518" s="92" t="str">
        <f aca="false">IF(Q518&lt;&gt;1,"",IF(AD518=1,IF(ISNUMBER(U518),MAX(U518,0),H518),H518))</f>
        <v/>
      </c>
      <c r="AA518" s="91" t="n">
        <f aca="false">IF(Q518=1,IF(ISNUMBER(L518),L518,0)*K518/1000000,0)</f>
        <v>0</v>
      </c>
      <c r="AB518" s="89" t="str">
        <f aca="false">IF(Q518&lt;&gt;1,"",IFERROR(MATCH(VLOOKUP(B518,매핑!$H$4:$I$15,2,0),시장분석!$A$2:$A$601,0)+1,IFERROR(MATCH(R518&amp;"|"&amp;T518,시장분석!$V$2:$V$601,0)+1,IF(COUNTIF(시장분석!$U$2:$U$601,T518)=1,MATCH(T518,시장분석!$U$2:$U$601,0)+1,""))))</f>
        <v/>
      </c>
      <c r="AC518" s="89" t="n">
        <f aca="false">IF(Q518&lt;&gt;1,0,IF(OR(설정!$C$5="전체",AND(설정!$C$5="선택펀드",IFERROR(COUNTIFS(설정!$F$16:$F$36,C518,설정!$G$16:$G$36,"Y")+COUNTIFS(설정!$F$16:$F$36,VALUE(C518),설정!$G$16:$G$36,"Y"),0)&gt;0),C518&amp;""=설정!$C$5&amp;""),1,0))</f>
        <v>0</v>
      </c>
      <c r="AD518" s="89" t="n">
        <f aca="false">IF(Q518&lt;&gt;1,0,IF(OR(S518=1,IF(AB518="",FALSE(),INDEX(시장분석!$R:$R,AB518)=1)),1,0))</f>
        <v>0</v>
      </c>
      <c r="AE518" s="43" t="str">
        <f aca="false">IF(AB518="","",INDEX(시장분석!$A:$A,AB518))</f>
        <v/>
      </c>
      <c r="AF518" s="93" t="str">
        <f aca="false">IF(AB518="","",IF(ISNUMBER(IF(AB518="","",INDEX(시장분석!$E:$E,AB518))),IF(AB518="","",INDEX(시장분석!$E:$E,AB518)),""))</f>
        <v/>
      </c>
      <c r="AG518" s="43" t="str">
        <f aca="false">IF(Q518&lt;&gt;1,"",IF(AB518&lt;&gt;"",IF(AB518="","",INDEX(시장분석!$L:$L,AB518)),IFERROR(IF(VLOOKUP(R518,매핑!$A$4:$E$92,5,0)="","미분류",VLOOKUP(R518,매핑!$A$4:$E$92,5,0)),"미분류")))</f>
        <v/>
      </c>
      <c r="AH518" s="43" t="str">
        <f aca="false">IF(Q518&lt;&gt;1,"",IF(AB518&lt;&gt;"",IF(AB518="","",INDEX(시장분석!$N:$N,AB518)),IFERROR(IF(VLOOKUP(R518,매핑!$A$4:$E$92,4,0)="","미분류",VLOOKUP(R518,매핑!$A$4:$E$92,4,0)),"미분류")))</f>
        <v/>
      </c>
      <c r="AI518" s="43" t="str">
        <f aca="false">IF(Q518&lt;&gt;1,"",IFERROR(IF(VLOOKUP(R518,매핑!$A$4:$E$92,3,0)="","미분류",VLOOKUP(R518,매핑!$A$4:$E$92,3,0)),IF(AB518&lt;&gt;"",IF(AB518="","",INDEX(시장분석!$W:$W,AB518)),"미분류")))</f>
        <v/>
      </c>
      <c r="AJ518" s="43" t="str">
        <f aca="false">IF(Q518&lt;&gt;1,"",IFERROR(VLOOKUP(IF(N518&lt;&gt;"",N518,IF(P518&lt;&gt;"",P518,O518)),설정!$A$15:$D$47,2,0),""))</f>
        <v/>
      </c>
      <c r="AK518" s="43" t="str">
        <f aca="false">IF(Q518&lt;&gt;1,"",IF(AJ518="","무등급",IFERROR(VLOOKUP(AJ518,설정!$A$15:$D$47,3,0),"무등급")))</f>
        <v/>
      </c>
      <c r="AL518" s="89" t="n">
        <f aca="false">IF(AJ518="",99,IFERROR(VLOOKUP(AJ518,설정!$A$15:$D$47,4,0),99))</f>
        <v>99</v>
      </c>
      <c r="AM518" s="94" t="n">
        <f aca="false">IF(ISNUMBER(H518),AA518*1000000*H518/10000,0)</f>
        <v>0</v>
      </c>
      <c r="AN518" s="94" t="n">
        <f aca="false">IF(OR(Y518=1,NOT(ISNUMBER(Z518))),0,AA518*1000000*Z518/10000)</f>
        <v>0</v>
      </c>
      <c r="AO518" s="94" t="n">
        <f aca="false">IF(ISNUMBER(G518),AA518*1000000*G518/100,0)</f>
        <v>0</v>
      </c>
      <c r="AP518" s="94" t="n">
        <f aca="false">IF(ISNUMBER(M518),M518*K518,0)</f>
        <v>0</v>
      </c>
      <c r="AQ518" s="95" t="str">
        <f aca="false">IF(AB518="","",INDEX(시장분석!$AK:$AK,AB518))</f>
        <v/>
      </c>
      <c r="AR518" s="43" t="str">
        <f aca="false">IF(AB518="","-",IF(AB518="","",INDEX(시장분석!$AL:$AL,AB518)))</f>
        <v>-</v>
      </c>
      <c r="AS518" s="96" t="str">
        <f aca="false">IF(AB518="","",INDEX(시장분석!$AJ:$AJ,AB518))</f>
        <v/>
      </c>
      <c r="AT518" s="93" t="n">
        <f aca="false">IF(AB518="",0,IF(AB518="","",INDEX(시장분석!$AN:$AN,AB518)))</f>
        <v>0</v>
      </c>
      <c r="AU518" s="94" t="n">
        <f aca="false">IF(ISNUMBER(Z518),AT518/10000*MAX(Z518-1,0)*AA518*1000000,0)</f>
        <v>0</v>
      </c>
      <c r="AV518" s="94" t="n">
        <f aca="false">AO518+AU518</f>
        <v>0</v>
      </c>
      <c r="AW518" s="43" t="str">
        <f aca="false">IF(Q518&lt;&gt;1,"",TRIM(IF(AD518=1,"FRN ","")&amp;IF(AND(AL518&gt;=10,AL518&lt;99),"BBB0미만 ","")&amp;IF(AJ518="","등급없음 ","")&amp;IF(K518&lt;&gt;1,"비USD ","")&amp;IF(AND(AB518="",Y518=0),"시장데이터없음 ","")&amp;IF(AND(ISNUMBER(U518),U518&lt;0),"만기경과 ","")))</f>
        <v/>
      </c>
      <c r="AX518" s="90" t="n">
        <f aca="false">IF(Q518&lt;&gt;1,1,IF(스프레드쇼크!$C$4="Y",INDEX(스프레드쇼크!$B$12:$L$16,IFERROR(MATCH(AH518,스프레드쇼크!$A$12:$A$16,0),MATCH("목록외",스프레드쇼크!$A$12:$A$16,0)),IFERROR(MATCH(AG518,스프레드쇼크!$B$11:$L$11,0),MATCH("목록외",스프레드쇼크!$B$11:$L$11,0))),1))</f>
        <v>1</v>
      </c>
      <c r="AY518" s="90" t="n">
        <f aca="false">IF(스프레드쇼크!$C$5="Y",IF(ISNUMBER(AF518),MIN(스프레드쇼크!$C$7,MAX(스프레드쇼크!$C$6,AF518/스프레드쇼크!$C$8)),1),1)</f>
        <v>1</v>
      </c>
      <c r="AZ518" s="94" t="n">
        <f aca="false">AN518*AX518*AY518</f>
        <v>0</v>
      </c>
      <c r="BA518" s="90" t="n">
        <f aca="false">IF(ISNUMBER(G518),AA518*G518,0)</f>
        <v>0</v>
      </c>
      <c r="BB518" s="90" t="n">
        <f aca="false">IF(ISNUMBER(G518),AA518,0)</f>
        <v>0</v>
      </c>
      <c r="BC518" s="90" t="n">
        <f aca="false">IF(AND(Y518=0,ISNUMBER(AF518)),AA518*AF518,0)</f>
        <v>0</v>
      </c>
      <c r="BD518" s="90" t="n">
        <f aca="false">IF(AND(Y518=0,ISNUMBER(AF518)),AA518,0)</f>
        <v>0</v>
      </c>
      <c r="BE518" s="90" t="n">
        <f aca="false">IF(ISNUMBER(H518),AA518*H518,0)</f>
        <v>0</v>
      </c>
      <c r="BF518" s="90" t="n">
        <f aca="false">IF(ISNUMBER(H518),AA518,0)</f>
        <v>0</v>
      </c>
      <c r="BG518" s="90" t="n">
        <f aca="false">IF(AND(Y518=0,ISNUMBER(AF518),ISNUMBER(Z518)),AA518*Z518,0)</f>
        <v>0</v>
      </c>
      <c r="BH518" s="90" t="n">
        <f aca="false">IF(AND(Y518=0,ISNUMBER(AF518),ISNUMBER(Z518)),AA518*AT518*MAX(Z518-1,0),0)</f>
        <v>0</v>
      </c>
      <c r="BI518" s="90" t="n">
        <f aca="false">IF(Y518=0,AA518,0)</f>
        <v>0</v>
      </c>
    </row>
    <row r="519" customFormat="false" ht="15" hidden="false" customHeight="false" outlineLevel="0" collapsed="false">
      <c r="A519" s="83" t="str">
        <f aca="false">IFERROR(IF(INDEX(원자료_잔고!$A$1:$EZ$1500,설정!$L$5+ROW()-1,설정!$L$8)&amp;""="0","",INDEX(원자료_잔고!$A$1:$EZ$1500,설정!$L$5+ROW()-1,설정!$L$8)&amp;""),"")</f>
        <v/>
      </c>
      <c r="B519" s="83" t="str">
        <f aca="false">IFERROR(IF(INDEX(원자료_잔고!$A$1:$EZ$1500,설정!$L$5+ROW()-1,설정!$L$7)&amp;""="0","",INDEX(원자료_잔고!$A$1:$EZ$1500,설정!$L$5+ROW()-1,설정!$L$7)&amp;""),"")</f>
        <v/>
      </c>
      <c r="C519" s="83" t="str">
        <f aca="false">IFERROR(IF(INDEX(원자료_잔고!$A$1:$EZ$1500,설정!$L$5+ROW()-1,설정!$L$9)&amp;""="0","",INDEX(원자료_잔고!$A$1:$EZ$1500,설정!$L$5+ROW()-1,설정!$L$9)&amp;""),"")</f>
        <v/>
      </c>
      <c r="D519" s="83" t="str">
        <f aca="false">IFERROR(IF(INDEX(원자료_잔고!$A$1:$EZ$1500,설정!$L$5+ROW()-1,설정!$L$10)&amp;""="0","",INDEX(원자료_잔고!$A$1:$EZ$1500,설정!$L$5+ROW()-1,설정!$L$10)&amp;""),"")</f>
        <v/>
      </c>
      <c r="E519" s="84" t="str">
        <f aca="false">IFERROR(IF(ISNUMBER(INDEX(원자료_잔고!$A$1:$EZ$1500,설정!$L$5+ROW()-1,설정!$L$11)),INDEX(원자료_잔고!$A$1:$EZ$1500,설정!$L$5+ROW()-1,설정!$L$11),""),"")</f>
        <v/>
      </c>
      <c r="F519" s="85" t="str">
        <f aca="false">IFERROR(IF(ISNUMBER(INDEX(원자료_잔고!$A$1:$EZ$1500,설정!$L$5+ROW()-1,설정!$L$12)),INDEX(원자료_잔고!$A$1:$EZ$1500,설정!$L$5+ROW()-1,설정!$L$12),""),"")</f>
        <v/>
      </c>
      <c r="G519" s="85" t="str">
        <f aca="false">IFERROR(IF(ISNUMBER(INDEX(원자료_잔고!$A$1:$EZ$1500,설정!$L$5+ROW()-1,설정!$L$13)),INDEX(원자료_잔고!$A$1:$EZ$1500,설정!$L$5+ROW()-1,설정!$L$13),""),"")</f>
        <v/>
      </c>
      <c r="H519" s="85" t="str">
        <f aca="false">IFERROR(IF(ISNUMBER(INDEX(원자료_잔고!$A$1:$EZ$1500,설정!$L$5+ROW()-1,설정!$L$14)),INDEX(원자료_잔고!$A$1:$EZ$1500,설정!$L$5+ROW()-1,설정!$L$14),""),"")</f>
        <v/>
      </c>
      <c r="I519" s="86" t="str">
        <f aca="false">IFERROR(IF(ISNUMBER(INDEX(원자료_잔고!$A$1:$EZ$1500,설정!$L$5+ROW()-1,설정!$L$15)),INDEX(원자료_잔고!$A$1:$EZ$1500,설정!$L$5+ROW()-1,설정!$L$15),""),"")</f>
        <v/>
      </c>
      <c r="J519" s="85" t="str">
        <f aca="false">IFERROR(IF(ISNUMBER(INDEX(원자료_잔고!$A$1:$EZ$1500,설정!$L$5+ROW()-1,설정!$L$16)),INDEX(원자료_잔고!$A$1:$EZ$1500,설정!$L$5+ROW()-1,설정!$L$16),""),"")</f>
        <v/>
      </c>
      <c r="K519" s="87" t="str">
        <f aca="false">IFERROR(IF(ISNUMBER(INDEX(원자료_잔고!$A$1:$EZ$1500,설정!$L$5+ROW()-1,설정!$L$17)),INDEX(원자료_잔고!$A$1:$EZ$1500,설정!$L$5+ROW()-1,설정!$L$17),""),"")</f>
        <v/>
      </c>
      <c r="L519" s="84" t="str">
        <f aca="false">IFERROR(IF(ISNUMBER(INDEX(원자료_잔고!$A$1:$EZ$1500,설정!$L$5+ROW()-1,설정!$L$18)),INDEX(원자료_잔고!$A$1:$EZ$1500,설정!$L$5+ROW()-1,설정!$L$18),""),"")</f>
        <v/>
      </c>
      <c r="M519" s="88" t="str">
        <f aca="false">IFERROR(IF(ISNUMBER(INDEX(원자료_잔고!$A$1:$EZ$1500,설정!$L$5+ROW()-1,설정!$L$19)),INDEX(원자료_잔고!$A$1:$EZ$1500,설정!$L$5+ROW()-1,설정!$L$19),""),"")</f>
        <v/>
      </c>
      <c r="N519" s="83" t="str">
        <f aca="false">IFERROR(IF(INDEX(원자료_잔고!$A$1:$EZ$1500,설정!$L$5+ROW()-1,설정!$L$21)&amp;""="0","",INDEX(원자료_잔고!$A$1:$EZ$1500,설정!$L$5+ROW()-1,설정!$L$21)&amp;""),"")</f>
        <v/>
      </c>
      <c r="O519" s="83" t="str">
        <f aca="false">IFERROR(IF(INDEX(원자료_잔고!$A$1:$EZ$1500,설정!$L$5+ROW()-1,설정!$L$22)&amp;""="0","",INDEX(원자료_잔고!$A$1:$EZ$1500,설정!$L$5+ROW()-1,설정!$L$22)&amp;""),"")</f>
        <v/>
      </c>
      <c r="P519" s="83" t="str">
        <f aca="false">IFERROR(IF(INDEX(원자료_잔고!$A$1:$EZ$1500,설정!$L$5+ROW()-1,설정!$L$23)&amp;""="0","",INDEX(원자료_잔고!$A$1:$EZ$1500,설정!$L$5+ROW()-1,설정!$L$23)&amp;""),"")</f>
        <v/>
      </c>
      <c r="Q519" s="89" t="n">
        <f aca="false">IF(AND($A519&lt;&gt;"",ISNUMBER(E519)),IF(E519&gt;0,1,0),0)</f>
        <v>0</v>
      </c>
      <c r="R519" s="43" t="str">
        <f aca="false">IF(Q519=1,UPPER(LEFT($A519,FIND(" ",$A519&amp;" ")-1)),"")</f>
        <v/>
      </c>
      <c r="S519" s="89" t="n">
        <f aca="false">IF(Q519=1,IF(OR(ISNUMBER(SEARCH("Float",$A519)),ISNUMBER(SEARCH("FRN",$A519))),1,0),0)</f>
        <v>0</v>
      </c>
      <c r="T519" s="43" t="str">
        <f aca="false">IF(AND(Q519=1,ISNUMBER(I519)),TEXT(I519,"yyyymmdd")&amp;"|"&amp;IF(S519=1,"F",TEXT(J519,"0.000")),"")</f>
        <v/>
      </c>
      <c r="U519" s="90" t="str">
        <f aca="false">IF(AND(Q519=1,ISNUMBER(I519)),(I519-설정!$C$4)/365.25,"")</f>
        <v/>
      </c>
      <c r="V519" s="43" t="str">
        <f aca="false">IF(Q519&lt;&gt;1,"",IF(ISNUMBER(U519),IF(U519&lt;=1,"1년 이하",IF(U519&lt;=2,"1-2년",IF(U519&lt;=3,"2-3년",IF(U519&lt;=4,"3-4년",IF(U519&lt;=5,"4-5년",IF(U519&lt;=7,"5-7년",IF(U519&lt;=10,"7-10년",IF(U519&lt;=20,"10-20년","20년 이상")))))))),"미분류"))</f>
        <v/>
      </c>
      <c r="W519" s="43" t="str">
        <f aca="false">IF(Q519&lt;&gt;1,"",IF(AB519&lt;&gt;"",INDEX(시장분석!$C:$C,AB519),IF(K519=1,"USD","비USD")))</f>
        <v/>
      </c>
      <c r="X519" s="91" t="n">
        <f aca="false">IF(Q519=1,E519*K519/1000000,0)</f>
        <v>0</v>
      </c>
      <c r="Y519" s="89" t="n">
        <f aca="false">IF(R519="T",1,0)</f>
        <v>0</v>
      </c>
      <c r="Z519" s="92" t="str">
        <f aca="false">IF(Q519&lt;&gt;1,"",IF(AD519=1,IF(ISNUMBER(U519),MAX(U519,0),H519),H519))</f>
        <v/>
      </c>
      <c r="AA519" s="91" t="n">
        <f aca="false">IF(Q519=1,IF(ISNUMBER(L519),L519,0)*K519/1000000,0)</f>
        <v>0</v>
      </c>
      <c r="AB519" s="89" t="str">
        <f aca="false">IF(Q519&lt;&gt;1,"",IFERROR(MATCH(VLOOKUP(B519,매핑!$H$4:$I$15,2,0),시장분석!$A$2:$A$601,0)+1,IFERROR(MATCH(R519&amp;"|"&amp;T519,시장분석!$V$2:$V$601,0)+1,IF(COUNTIF(시장분석!$U$2:$U$601,T519)=1,MATCH(T519,시장분석!$U$2:$U$601,0)+1,""))))</f>
        <v/>
      </c>
      <c r="AC519" s="89" t="n">
        <f aca="false">IF(Q519&lt;&gt;1,0,IF(OR(설정!$C$5="전체",AND(설정!$C$5="선택펀드",IFERROR(COUNTIFS(설정!$F$16:$F$36,C519,설정!$G$16:$G$36,"Y")+COUNTIFS(설정!$F$16:$F$36,VALUE(C519),설정!$G$16:$G$36,"Y"),0)&gt;0),C519&amp;""=설정!$C$5&amp;""),1,0))</f>
        <v>0</v>
      </c>
      <c r="AD519" s="89" t="n">
        <f aca="false">IF(Q519&lt;&gt;1,0,IF(OR(S519=1,IF(AB519="",FALSE(),INDEX(시장분석!$R:$R,AB519)=1)),1,0))</f>
        <v>0</v>
      </c>
      <c r="AE519" s="43" t="str">
        <f aca="false">IF(AB519="","",INDEX(시장분석!$A:$A,AB519))</f>
        <v/>
      </c>
      <c r="AF519" s="93" t="str">
        <f aca="false">IF(AB519="","",IF(ISNUMBER(IF(AB519="","",INDEX(시장분석!$E:$E,AB519))),IF(AB519="","",INDEX(시장분석!$E:$E,AB519)),""))</f>
        <v/>
      </c>
      <c r="AG519" s="43" t="str">
        <f aca="false">IF(Q519&lt;&gt;1,"",IF(AB519&lt;&gt;"",IF(AB519="","",INDEX(시장분석!$L:$L,AB519)),IFERROR(IF(VLOOKUP(R519,매핑!$A$4:$E$92,5,0)="","미분류",VLOOKUP(R519,매핑!$A$4:$E$92,5,0)),"미분류")))</f>
        <v/>
      </c>
      <c r="AH519" s="43" t="str">
        <f aca="false">IF(Q519&lt;&gt;1,"",IF(AB519&lt;&gt;"",IF(AB519="","",INDEX(시장분석!$N:$N,AB519)),IFERROR(IF(VLOOKUP(R519,매핑!$A$4:$E$92,4,0)="","미분류",VLOOKUP(R519,매핑!$A$4:$E$92,4,0)),"미분류")))</f>
        <v/>
      </c>
      <c r="AI519" s="43" t="str">
        <f aca="false">IF(Q519&lt;&gt;1,"",IFERROR(IF(VLOOKUP(R519,매핑!$A$4:$E$92,3,0)="","미분류",VLOOKUP(R519,매핑!$A$4:$E$92,3,0)),IF(AB519&lt;&gt;"",IF(AB519="","",INDEX(시장분석!$W:$W,AB519)),"미분류")))</f>
        <v/>
      </c>
      <c r="AJ519" s="43" t="str">
        <f aca="false">IF(Q519&lt;&gt;1,"",IFERROR(VLOOKUP(IF(N519&lt;&gt;"",N519,IF(P519&lt;&gt;"",P519,O519)),설정!$A$15:$D$47,2,0),""))</f>
        <v/>
      </c>
      <c r="AK519" s="43" t="str">
        <f aca="false">IF(Q519&lt;&gt;1,"",IF(AJ519="","무등급",IFERROR(VLOOKUP(AJ519,설정!$A$15:$D$47,3,0),"무등급")))</f>
        <v/>
      </c>
      <c r="AL519" s="89" t="n">
        <f aca="false">IF(AJ519="",99,IFERROR(VLOOKUP(AJ519,설정!$A$15:$D$47,4,0),99))</f>
        <v>99</v>
      </c>
      <c r="AM519" s="94" t="n">
        <f aca="false">IF(ISNUMBER(H519),AA519*1000000*H519/10000,0)</f>
        <v>0</v>
      </c>
      <c r="AN519" s="94" t="n">
        <f aca="false">IF(OR(Y519=1,NOT(ISNUMBER(Z519))),0,AA519*1000000*Z519/10000)</f>
        <v>0</v>
      </c>
      <c r="AO519" s="94" t="n">
        <f aca="false">IF(ISNUMBER(G519),AA519*1000000*G519/100,0)</f>
        <v>0</v>
      </c>
      <c r="AP519" s="94" t="n">
        <f aca="false">IF(ISNUMBER(M519),M519*K519,0)</f>
        <v>0</v>
      </c>
      <c r="AQ519" s="95" t="str">
        <f aca="false">IF(AB519="","",INDEX(시장분석!$AK:$AK,AB519))</f>
        <v/>
      </c>
      <c r="AR519" s="43" t="str">
        <f aca="false">IF(AB519="","-",IF(AB519="","",INDEX(시장분석!$AL:$AL,AB519)))</f>
        <v>-</v>
      </c>
      <c r="AS519" s="96" t="str">
        <f aca="false">IF(AB519="","",INDEX(시장분석!$AJ:$AJ,AB519))</f>
        <v/>
      </c>
      <c r="AT519" s="93" t="n">
        <f aca="false">IF(AB519="",0,IF(AB519="","",INDEX(시장분석!$AN:$AN,AB519)))</f>
        <v>0</v>
      </c>
      <c r="AU519" s="94" t="n">
        <f aca="false">IF(ISNUMBER(Z519),AT519/10000*MAX(Z519-1,0)*AA519*1000000,0)</f>
        <v>0</v>
      </c>
      <c r="AV519" s="94" t="n">
        <f aca="false">AO519+AU519</f>
        <v>0</v>
      </c>
      <c r="AW519" s="43" t="str">
        <f aca="false">IF(Q519&lt;&gt;1,"",TRIM(IF(AD519=1,"FRN ","")&amp;IF(AND(AL519&gt;=10,AL519&lt;99),"BBB0미만 ","")&amp;IF(AJ519="","등급없음 ","")&amp;IF(K519&lt;&gt;1,"비USD ","")&amp;IF(AND(AB519="",Y519=0),"시장데이터없음 ","")&amp;IF(AND(ISNUMBER(U519),U519&lt;0),"만기경과 ","")))</f>
        <v/>
      </c>
      <c r="AX519" s="90" t="n">
        <f aca="false">IF(Q519&lt;&gt;1,1,IF(스프레드쇼크!$C$4="Y",INDEX(스프레드쇼크!$B$12:$L$16,IFERROR(MATCH(AH519,스프레드쇼크!$A$12:$A$16,0),MATCH("목록외",스프레드쇼크!$A$12:$A$16,0)),IFERROR(MATCH(AG519,스프레드쇼크!$B$11:$L$11,0),MATCH("목록외",스프레드쇼크!$B$11:$L$11,0))),1))</f>
        <v>1</v>
      </c>
      <c r="AY519" s="90" t="n">
        <f aca="false">IF(스프레드쇼크!$C$5="Y",IF(ISNUMBER(AF519),MIN(스프레드쇼크!$C$7,MAX(스프레드쇼크!$C$6,AF519/스프레드쇼크!$C$8)),1),1)</f>
        <v>1</v>
      </c>
      <c r="AZ519" s="94" t="n">
        <f aca="false">AN519*AX519*AY519</f>
        <v>0</v>
      </c>
      <c r="BA519" s="90" t="n">
        <f aca="false">IF(ISNUMBER(G519),AA519*G519,0)</f>
        <v>0</v>
      </c>
      <c r="BB519" s="90" t="n">
        <f aca="false">IF(ISNUMBER(G519),AA519,0)</f>
        <v>0</v>
      </c>
      <c r="BC519" s="90" t="n">
        <f aca="false">IF(AND(Y519=0,ISNUMBER(AF519)),AA519*AF519,0)</f>
        <v>0</v>
      </c>
      <c r="BD519" s="90" t="n">
        <f aca="false">IF(AND(Y519=0,ISNUMBER(AF519)),AA519,0)</f>
        <v>0</v>
      </c>
      <c r="BE519" s="90" t="n">
        <f aca="false">IF(ISNUMBER(H519),AA519*H519,0)</f>
        <v>0</v>
      </c>
      <c r="BF519" s="90" t="n">
        <f aca="false">IF(ISNUMBER(H519),AA519,0)</f>
        <v>0</v>
      </c>
      <c r="BG519" s="90" t="n">
        <f aca="false">IF(AND(Y519=0,ISNUMBER(AF519),ISNUMBER(Z519)),AA519*Z519,0)</f>
        <v>0</v>
      </c>
      <c r="BH519" s="90" t="n">
        <f aca="false">IF(AND(Y519=0,ISNUMBER(AF519),ISNUMBER(Z519)),AA519*AT519*MAX(Z519-1,0),0)</f>
        <v>0</v>
      </c>
      <c r="BI519" s="90" t="n">
        <f aca="false">IF(Y519=0,AA519,0)</f>
        <v>0</v>
      </c>
    </row>
    <row r="520" customFormat="false" ht="15" hidden="false" customHeight="false" outlineLevel="0" collapsed="false">
      <c r="A520" s="83" t="str">
        <f aca="false">IFERROR(IF(INDEX(원자료_잔고!$A$1:$EZ$1500,설정!$L$5+ROW()-1,설정!$L$8)&amp;""="0","",INDEX(원자료_잔고!$A$1:$EZ$1500,설정!$L$5+ROW()-1,설정!$L$8)&amp;""),"")</f>
        <v/>
      </c>
      <c r="B520" s="83" t="str">
        <f aca="false">IFERROR(IF(INDEX(원자료_잔고!$A$1:$EZ$1500,설정!$L$5+ROW()-1,설정!$L$7)&amp;""="0","",INDEX(원자료_잔고!$A$1:$EZ$1500,설정!$L$5+ROW()-1,설정!$L$7)&amp;""),"")</f>
        <v/>
      </c>
      <c r="C520" s="83" t="str">
        <f aca="false">IFERROR(IF(INDEX(원자료_잔고!$A$1:$EZ$1500,설정!$L$5+ROW()-1,설정!$L$9)&amp;""="0","",INDEX(원자료_잔고!$A$1:$EZ$1500,설정!$L$5+ROW()-1,설정!$L$9)&amp;""),"")</f>
        <v/>
      </c>
      <c r="D520" s="83" t="str">
        <f aca="false">IFERROR(IF(INDEX(원자료_잔고!$A$1:$EZ$1500,설정!$L$5+ROW()-1,설정!$L$10)&amp;""="0","",INDEX(원자료_잔고!$A$1:$EZ$1500,설정!$L$5+ROW()-1,설정!$L$10)&amp;""),"")</f>
        <v/>
      </c>
      <c r="E520" s="84" t="str">
        <f aca="false">IFERROR(IF(ISNUMBER(INDEX(원자료_잔고!$A$1:$EZ$1500,설정!$L$5+ROW()-1,설정!$L$11)),INDEX(원자료_잔고!$A$1:$EZ$1500,설정!$L$5+ROW()-1,설정!$L$11),""),"")</f>
        <v/>
      </c>
      <c r="F520" s="85" t="str">
        <f aca="false">IFERROR(IF(ISNUMBER(INDEX(원자료_잔고!$A$1:$EZ$1500,설정!$L$5+ROW()-1,설정!$L$12)),INDEX(원자료_잔고!$A$1:$EZ$1500,설정!$L$5+ROW()-1,설정!$L$12),""),"")</f>
        <v/>
      </c>
      <c r="G520" s="85" t="str">
        <f aca="false">IFERROR(IF(ISNUMBER(INDEX(원자료_잔고!$A$1:$EZ$1500,설정!$L$5+ROW()-1,설정!$L$13)),INDEX(원자료_잔고!$A$1:$EZ$1500,설정!$L$5+ROW()-1,설정!$L$13),""),"")</f>
        <v/>
      </c>
      <c r="H520" s="85" t="str">
        <f aca="false">IFERROR(IF(ISNUMBER(INDEX(원자료_잔고!$A$1:$EZ$1500,설정!$L$5+ROW()-1,설정!$L$14)),INDEX(원자료_잔고!$A$1:$EZ$1500,설정!$L$5+ROW()-1,설정!$L$14),""),"")</f>
        <v/>
      </c>
      <c r="I520" s="86" t="str">
        <f aca="false">IFERROR(IF(ISNUMBER(INDEX(원자료_잔고!$A$1:$EZ$1500,설정!$L$5+ROW()-1,설정!$L$15)),INDEX(원자료_잔고!$A$1:$EZ$1500,설정!$L$5+ROW()-1,설정!$L$15),""),"")</f>
        <v/>
      </c>
      <c r="J520" s="85" t="str">
        <f aca="false">IFERROR(IF(ISNUMBER(INDEX(원자료_잔고!$A$1:$EZ$1500,설정!$L$5+ROW()-1,설정!$L$16)),INDEX(원자료_잔고!$A$1:$EZ$1500,설정!$L$5+ROW()-1,설정!$L$16),""),"")</f>
        <v/>
      </c>
      <c r="K520" s="87" t="str">
        <f aca="false">IFERROR(IF(ISNUMBER(INDEX(원자료_잔고!$A$1:$EZ$1500,설정!$L$5+ROW()-1,설정!$L$17)),INDEX(원자료_잔고!$A$1:$EZ$1500,설정!$L$5+ROW()-1,설정!$L$17),""),"")</f>
        <v/>
      </c>
      <c r="L520" s="84" t="str">
        <f aca="false">IFERROR(IF(ISNUMBER(INDEX(원자료_잔고!$A$1:$EZ$1500,설정!$L$5+ROW()-1,설정!$L$18)),INDEX(원자료_잔고!$A$1:$EZ$1500,설정!$L$5+ROW()-1,설정!$L$18),""),"")</f>
        <v/>
      </c>
      <c r="M520" s="88" t="str">
        <f aca="false">IFERROR(IF(ISNUMBER(INDEX(원자료_잔고!$A$1:$EZ$1500,설정!$L$5+ROW()-1,설정!$L$19)),INDEX(원자료_잔고!$A$1:$EZ$1500,설정!$L$5+ROW()-1,설정!$L$19),""),"")</f>
        <v/>
      </c>
      <c r="N520" s="83" t="str">
        <f aca="false">IFERROR(IF(INDEX(원자료_잔고!$A$1:$EZ$1500,설정!$L$5+ROW()-1,설정!$L$21)&amp;""="0","",INDEX(원자료_잔고!$A$1:$EZ$1500,설정!$L$5+ROW()-1,설정!$L$21)&amp;""),"")</f>
        <v/>
      </c>
      <c r="O520" s="83" t="str">
        <f aca="false">IFERROR(IF(INDEX(원자료_잔고!$A$1:$EZ$1500,설정!$L$5+ROW()-1,설정!$L$22)&amp;""="0","",INDEX(원자료_잔고!$A$1:$EZ$1500,설정!$L$5+ROW()-1,설정!$L$22)&amp;""),"")</f>
        <v/>
      </c>
      <c r="P520" s="83" t="str">
        <f aca="false">IFERROR(IF(INDEX(원자료_잔고!$A$1:$EZ$1500,설정!$L$5+ROW()-1,설정!$L$23)&amp;""="0","",INDEX(원자료_잔고!$A$1:$EZ$1500,설정!$L$5+ROW()-1,설정!$L$23)&amp;""),"")</f>
        <v/>
      </c>
      <c r="Q520" s="89" t="n">
        <f aca="false">IF(AND($A520&lt;&gt;"",ISNUMBER(E520)),IF(E520&gt;0,1,0),0)</f>
        <v>0</v>
      </c>
      <c r="R520" s="43" t="str">
        <f aca="false">IF(Q520=1,UPPER(LEFT($A520,FIND(" ",$A520&amp;" ")-1)),"")</f>
        <v/>
      </c>
      <c r="S520" s="89" t="n">
        <f aca="false">IF(Q520=1,IF(OR(ISNUMBER(SEARCH("Float",$A520)),ISNUMBER(SEARCH("FRN",$A520))),1,0),0)</f>
        <v>0</v>
      </c>
      <c r="T520" s="43" t="str">
        <f aca="false">IF(AND(Q520=1,ISNUMBER(I520)),TEXT(I520,"yyyymmdd")&amp;"|"&amp;IF(S520=1,"F",TEXT(J520,"0.000")),"")</f>
        <v/>
      </c>
      <c r="U520" s="90" t="str">
        <f aca="false">IF(AND(Q520=1,ISNUMBER(I520)),(I520-설정!$C$4)/365.25,"")</f>
        <v/>
      </c>
      <c r="V520" s="43" t="str">
        <f aca="false">IF(Q520&lt;&gt;1,"",IF(ISNUMBER(U520),IF(U520&lt;=1,"1년 이하",IF(U520&lt;=2,"1-2년",IF(U520&lt;=3,"2-3년",IF(U520&lt;=4,"3-4년",IF(U520&lt;=5,"4-5년",IF(U520&lt;=7,"5-7년",IF(U520&lt;=10,"7-10년",IF(U520&lt;=20,"10-20년","20년 이상")))))))),"미분류"))</f>
        <v/>
      </c>
      <c r="W520" s="43" t="str">
        <f aca="false">IF(Q520&lt;&gt;1,"",IF(AB520&lt;&gt;"",INDEX(시장분석!$C:$C,AB520),IF(K520=1,"USD","비USD")))</f>
        <v/>
      </c>
      <c r="X520" s="91" t="n">
        <f aca="false">IF(Q520=1,E520*K520/1000000,0)</f>
        <v>0</v>
      </c>
      <c r="Y520" s="89" t="n">
        <f aca="false">IF(R520="T",1,0)</f>
        <v>0</v>
      </c>
      <c r="Z520" s="92" t="str">
        <f aca="false">IF(Q520&lt;&gt;1,"",IF(AD520=1,IF(ISNUMBER(U520),MAX(U520,0),H520),H520))</f>
        <v/>
      </c>
      <c r="AA520" s="91" t="n">
        <f aca="false">IF(Q520=1,IF(ISNUMBER(L520),L520,0)*K520/1000000,0)</f>
        <v>0</v>
      </c>
      <c r="AB520" s="89" t="str">
        <f aca="false">IF(Q520&lt;&gt;1,"",IFERROR(MATCH(VLOOKUP(B520,매핑!$H$4:$I$15,2,0),시장분석!$A$2:$A$601,0)+1,IFERROR(MATCH(R520&amp;"|"&amp;T520,시장분석!$V$2:$V$601,0)+1,IF(COUNTIF(시장분석!$U$2:$U$601,T520)=1,MATCH(T520,시장분석!$U$2:$U$601,0)+1,""))))</f>
        <v/>
      </c>
      <c r="AC520" s="89" t="n">
        <f aca="false">IF(Q520&lt;&gt;1,0,IF(OR(설정!$C$5="전체",AND(설정!$C$5="선택펀드",IFERROR(COUNTIFS(설정!$F$16:$F$36,C520,설정!$G$16:$G$36,"Y")+COUNTIFS(설정!$F$16:$F$36,VALUE(C520),설정!$G$16:$G$36,"Y"),0)&gt;0),C520&amp;""=설정!$C$5&amp;""),1,0))</f>
        <v>0</v>
      </c>
      <c r="AD520" s="89" t="n">
        <f aca="false">IF(Q520&lt;&gt;1,0,IF(OR(S520=1,IF(AB520="",FALSE(),INDEX(시장분석!$R:$R,AB520)=1)),1,0))</f>
        <v>0</v>
      </c>
      <c r="AE520" s="43" t="str">
        <f aca="false">IF(AB520="","",INDEX(시장분석!$A:$A,AB520))</f>
        <v/>
      </c>
      <c r="AF520" s="93" t="str">
        <f aca="false">IF(AB520="","",IF(ISNUMBER(IF(AB520="","",INDEX(시장분석!$E:$E,AB520))),IF(AB520="","",INDEX(시장분석!$E:$E,AB520)),""))</f>
        <v/>
      </c>
      <c r="AG520" s="43" t="str">
        <f aca="false">IF(Q520&lt;&gt;1,"",IF(AB520&lt;&gt;"",IF(AB520="","",INDEX(시장분석!$L:$L,AB520)),IFERROR(IF(VLOOKUP(R520,매핑!$A$4:$E$92,5,0)="","미분류",VLOOKUP(R520,매핑!$A$4:$E$92,5,0)),"미분류")))</f>
        <v/>
      </c>
      <c r="AH520" s="43" t="str">
        <f aca="false">IF(Q520&lt;&gt;1,"",IF(AB520&lt;&gt;"",IF(AB520="","",INDEX(시장분석!$N:$N,AB520)),IFERROR(IF(VLOOKUP(R520,매핑!$A$4:$E$92,4,0)="","미분류",VLOOKUP(R520,매핑!$A$4:$E$92,4,0)),"미분류")))</f>
        <v/>
      </c>
      <c r="AI520" s="43" t="str">
        <f aca="false">IF(Q520&lt;&gt;1,"",IFERROR(IF(VLOOKUP(R520,매핑!$A$4:$E$92,3,0)="","미분류",VLOOKUP(R520,매핑!$A$4:$E$92,3,0)),IF(AB520&lt;&gt;"",IF(AB520="","",INDEX(시장분석!$W:$W,AB520)),"미분류")))</f>
        <v/>
      </c>
      <c r="AJ520" s="43" t="str">
        <f aca="false">IF(Q520&lt;&gt;1,"",IFERROR(VLOOKUP(IF(N520&lt;&gt;"",N520,IF(P520&lt;&gt;"",P520,O520)),설정!$A$15:$D$47,2,0),""))</f>
        <v/>
      </c>
      <c r="AK520" s="43" t="str">
        <f aca="false">IF(Q520&lt;&gt;1,"",IF(AJ520="","무등급",IFERROR(VLOOKUP(AJ520,설정!$A$15:$D$47,3,0),"무등급")))</f>
        <v/>
      </c>
      <c r="AL520" s="89" t="n">
        <f aca="false">IF(AJ520="",99,IFERROR(VLOOKUP(AJ520,설정!$A$15:$D$47,4,0),99))</f>
        <v>99</v>
      </c>
      <c r="AM520" s="94" t="n">
        <f aca="false">IF(ISNUMBER(H520),AA520*1000000*H520/10000,0)</f>
        <v>0</v>
      </c>
      <c r="AN520" s="94" t="n">
        <f aca="false">IF(OR(Y520=1,NOT(ISNUMBER(Z520))),0,AA520*1000000*Z520/10000)</f>
        <v>0</v>
      </c>
      <c r="AO520" s="94" t="n">
        <f aca="false">IF(ISNUMBER(G520),AA520*1000000*G520/100,0)</f>
        <v>0</v>
      </c>
      <c r="AP520" s="94" t="n">
        <f aca="false">IF(ISNUMBER(M520),M520*K520,0)</f>
        <v>0</v>
      </c>
      <c r="AQ520" s="95" t="str">
        <f aca="false">IF(AB520="","",INDEX(시장분석!$AK:$AK,AB520))</f>
        <v/>
      </c>
      <c r="AR520" s="43" t="str">
        <f aca="false">IF(AB520="","-",IF(AB520="","",INDEX(시장분석!$AL:$AL,AB520)))</f>
        <v>-</v>
      </c>
      <c r="AS520" s="96" t="str">
        <f aca="false">IF(AB520="","",INDEX(시장분석!$AJ:$AJ,AB520))</f>
        <v/>
      </c>
      <c r="AT520" s="93" t="n">
        <f aca="false">IF(AB520="",0,IF(AB520="","",INDEX(시장분석!$AN:$AN,AB520)))</f>
        <v>0</v>
      </c>
      <c r="AU520" s="94" t="n">
        <f aca="false">IF(ISNUMBER(Z520),AT520/10000*MAX(Z520-1,0)*AA520*1000000,0)</f>
        <v>0</v>
      </c>
      <c r="AV520" s="94" t="n">
        <f aca="false">AO520+AU520</f>
        <v>0</v>
      </c>
      <c r="AW520" s="43" t="str">
        <f aca="false">IF(Q520&lt;&gt;1,"",TRIM(IF(AD520=1,"FRN ","")&amp;IF(AND(AL520&gt;=10,AL520&lt;99),"BBB0미만 ","")&amp;IF(AJ520="","등급없음 ","")&amp;IF(K520&lt;&gt;1,"비USD ","")&amp;IF(AND(AB520="",Y520=0),"시장데이터없음 ","")&amp;IF(AND(ISNUMBER(U520),U520&lt;0),"만기경과 ","")))</f>
        <v/>
      </c>
      <c r="AX520" s="90" t="n">
        <f aca="false">IF(Q520&lt;&gt;1,1,IF(스프레드쇼크!$C$4="Y",INDEX(스프레드쇼크!$B$12:$L$16,IFERROR(MATCH(AH520,스프레드쇼크!$A$12:$A$16,0),MATCH("목록외",스프레드쇼크!$A$12:$A$16,0)),IFERROR(MATCH(AG520,스프레드쇼크!$B$11:$L$11,0),MATCH("목록외",스프레드쇼크!$B$11:$L$11,0))),1))</f>
        <v>1</v>
      </c>
      <c r="AY520" s="90" t="n">
        <f aca="false">IF(스프레드쇼크!$C$5="Y",IF(ISNUMBER(AF520),MIN(스프레드쇼크!$C$7,MAX(스프레드쇼크!$C$6,AF520/스프레드쇼크!$C$8)),1),1)</f>
        <v>1</v>
      </c>
      <c r="AZ520" s="94" t="n">
        <f aca="false">AN520*AX520*AY520</f>
        <v>0</v>
      </c>
      <c r="BA520" s="90" t="n">
        <f aca="false">IF(ISNUMBER(G520),AA520*G520,0)</f>
        <v>0</v>
      </c>
      <c r="BB520" s="90" t="n">
        <f aca="false">IF(ISNUMBER(G520),AA520,0)</f>
        <v>0</v>
      </c>
      <c r="BC520" s="90" t="n">
        <f aca="false">IF(AND(Y520=0,ISNUMBER(AF520)),AA520*AF520,0)</f>
        <v>0</v>
      </c>
      <c r="BD520" s="90" t="n">
        <f aca="false">IF(AND(Y520=0,ISNUMBER(AF520)),AA520,0)</f>
        <v>0</v>
      </c>
      <c r="BE520" s="90" t="n">
        <f aca="false">IF(ISNUMBER(H520),AA520*H520,0)</f>
        <v>0</v>
      </c>
      <c r="BF520" s="90" t="n">
        <f aca="false">IF(ISNUMBER(H520),AA520,0)</f>
        <v>0</v>
      </c>
      <c r="BG520" s="90" t="n">
        <f aca="false">IF(AND(Y520=0,ISNUMBER(AF520),ISNUMBER(Z520)),AA520*Z520,0)</f>
        <v>0</v>
      </c>
      <c r="BH520" s="90" t="n">
        <f aca="false">IF(AND(Y520=0,ISNUMBER(AF520),ISNUMBER(Z520)),AA520*AT520*MAX(Z520-1,0),0)</f>
        <v>0</v>
      </c>
      <c r="BI520" s="90" t="n">
        <f aca="false">IF(Y520=0,AA520,0)</f>
        <v>0</v>
      </c>
    </row>
    <row r="521" customFormat="false" ht="15" hidden="false" customHeight="false" outlineLevel="0" collapsed="false">
      <c r="A521" s="83" t="str">
        <f aca="false">IFERROR(IF(INDEX(원자료_잔고!$A$1:$EZ$1500,설정!$L$5+ROW()-1,설정!$L$8)&amp;""="0","",INDEX(원자료_잔고!$A$1:$EZ$1500,설정!$L$5+ROW()-1,설정!$L$8)&amp;""),"")</f>
        <v/>
      </c>
      <c r="B521" s="83" t="str">
        <f aca="false">IFERROR(IF(INDEX(원자료_잔고!$A$1:$EZ$1500,설정!$L$5+ROW()-1,설정!$L$7)&amp;""="0","",INDEX(원자료_잔고!$A$1:$EZ$1500,설정!$L$5+ROW()-1,설정!$L$7)&amp;""),"")</f>
        <v/>
      </c>
      <c r="C521" s="83" t="str">
        <f aca="false">IFERROR(IF(INDEX(원자료_잔고!$A$1:$EZ$1500,설정!$L$5+ROW()-1,설정!$L$9)&amp;""="0","",INDEX(원자료_잔고!$A$1:$EZ$1500,설정!$L$5+ROW()-1,설정!$L$9)&amp;""),"")</f>
        <v/>
      </c>
      <c r="D521" s="83" t="str">
        <f aca="false">IFERROR(IF(INDEX(원자료_잔고!$A$1:$EZ$1500,설정!$L$5+ROW()-1,설정!$L$10)&amp;""="0","",INDEX(원자료_잔고!$A$1:$EZ$1500,설정!$L$5+ROW()-1,설정!$L$10)&amp;""),"")</f>
        <v/>
      </c>
      <c r="E521" s="84" t="str">
        <f aca="false">IFERROR(IF(ISNUMBER(INDEX(원자료_잔고!$A$1:$EZ$1500,설정!$L$5+ROW()-1,설정!$L$11)),INDEX(원자료_잔고!$A$1:$EZ$1500,설정!$L$5+ROW()-1,설정!$L$11),""),"")</f>
        <v/>
      </c>
      <c r="F521" s="85" t="str">
        <f aca="false">IFERROR(IF(ISNUMBER(INDEX(원자료_잔고!$A$1:$EZ$1500,설정!$L$5+ROW()-1,설정!$L$12)),INDEX(원자료_잔고!$A$1:$EZ$1500,설정!$L$5+ROW()-1,설정!$L$12),""),"")</f>
        <v/>
      </c>
      <c r="G521" s="85" t="str">
        <f aca="false">IFERROR(IF(ISNUMBER(INDEX(원자료_잔고!$A$1:$EZ$1500,설정!$L$5+ROW()-1,설정!$L$13)),INDEX(원자료_잔고!$A$1:$EZ$1500,설정!$L$5+ROW()-1,설정!$L$13),""),"")</f>
        <v/>
      </c>
      <c r="H521" s="85" t="str">
        <f aca="false">IFERROR(IF(ISNUMBER(INDEX(원자료_잔고!$A$1:$EZ$1500,설정!$L$5+ROW()-1,설정!$L$14)),INDEX(원자료_잔고!$A$1:$EZ$1500,설정!$L$5+ROW()-1,설정!$L$14),""),"")</f>
        <v/>
      </c>
      <c r="I521" s="86" t="str">
        <f aca="false">IFERROR(IF(ISNUMBER(INDEX(원자료_잔고!$A$1:$EZ$1500,설정!$L$5+ROW()-1,설정!$L$15)),INDEX(원자료_잔고!$A$1:$EZ$1500,설정!$L$5+ROW()-1,설정!$L$15),""),"")</f>
        <v/>
      </c>
      <c r="J521" s="85" t="str">
        <f aca="false">IFERROR(IF(ISNUMBER(INDEX(원자료_잔고!$A$1:$EZ$1500,설정!$L$5+ROW()-1,설정!$L$16)),INDEX(원자료_잔고!$A$1:$EZ$1500,설정!$L$5+ROW()-1,설정!$L$16),""),"")</f>
        <v/>
      </c>
      <c r="K521" s="87" t="str">
        <f aca="false">IFERROR(IF(ISNUMBER(INDEX(원자료_잔고!$A$1:$EZ$1500,설정!$L$5+ROW()-1,설정!$L$17)),INDEX(원자료_잔고!$A$1:$EZ$1500,설정!$L$5+ROW()-1,설정!$L$17),""),"")</f>
        <v/>
      </c>
      <c r="L521" s="84" t="str">
        <f aca="false">IFERROR(IF(ISNUMBER(INDEX(원자료_잔고!$A$1:$EZ$1500,설정!$L$5+ROW()-1,설정!$L$18)),INDEX(원자료_잔고!$A$1:$EZ$1500,설정!$L$5+ROW()-1,설정!$L$18),""),"")</f>
        <v/>
      </c>
      <c r="M521" s="88" t="str">
        <f aca="false">IFERROR(IF(ISNUMBER(INDEX(원자료_잔고!$A$1:$EZ$1500,설정!$L$5+ROW()-1,설정!$L$19)),INDEX(원자료_잔고!$A$1:$EZ$1500,설정!$L$5+ROW()-1,설정!$L$19),""),"")</f>
        <v/>
      </c>
      <c r="N521" s="83" t="str">
        <f aca="false">IFERROR(IF(INDEX(원자료_잔고!$A$1:$EZ$1500,설정!$L$5+ROW()-1,설정!$L$21)&amp;""="0","",INDEX(원자료_잔고!$A$1:$EZ$1500,설정!$L$5+ROW()-1,설정!$L$21)&amp;""),"")</f>
        <v/>
      </c>
      <c r="O521" s="83" t="str">
        <f aca="false">IFERROR(IF(INDEX(원자료_잔고!$A$1:$EZ$1500,설정!$L$5+ROW()-1,설정!$L$22)&amp;""="0","",INDEX(원자료_잔고!$A$1:$EZ$1500,설정!$L$5+ROW()-1,설정!$L$22)&amp;""),"")</f>
        <v/>
      </c>
      <c r="P521" s="83" t="str">
        <f aca="false">IFERROR(IF(INDEX(원자료_잔고!$A$1:$EZ$1500,설정!$L$5+ROW()-1,설정!$L$23)&amp;""="0","",INDEX(원자료_잔고!$A$1:$EZ$1500,설정!$L$5+ROW()-1,설정!$L$23)&amp;""),"")</f>
        <v/>
      </c>
      <c r="Q521" s="89" t="n">
        <f aca="false">IF(AND($A521&lt;&gt;"",ISNUMBER(E521)),IF(E521&gt;0,1,0),0)</f>
        <v>0</v>
      </c>
      <c r="R521" s="43" t="str">
        <f aca="false">IF(Q521=1,UPPER(LEFT($A521,FIND(" ",$A521&amp;" ")-1)),"")</f>
        <v/>
      </c>
      <c r="S521" s="89" t="n">
        <f aca="false">IF(Q521=1,IF(OR(ISNUMBER(SEARCH("Float",$A521)),ISNUMBER(SEARCH("FRN",$A521))),1,0),0)</f>
        <v>0</v>
      </c>
      <c r="T521" s="43" t="str">
        <f aca="false">IF(AND(Q521=1,ISNUMBER(I521)),TEXT(I521,"yyyymmdd")&amp;"|"&amp;IF(S521=1,"F",TEXT(J521,"0.000")),"")</f>
        <v/>
      </c>
      <c r="U521" s="90" t="str">
        <f aca="false">IF(AND(Q521=1,ISNUMBER(I521)),(I521-설정!$C$4)/365.25,"")</f>
        <v/>
      </c>
      <c r="V521" s="43" t="str">
        <f aca="false">IF(Q521&lt;&gt;1,"",IF(ISNUMBER(U521),IF(U521&lt;=1,"1년 이하",IF(U521&lt;=2,"1-2년",IF(U521&lt;=3,"2-3년",IF(U521&lt;=4,"3-4년",IF(U521&lt;=5,"4-5년",IF(U521&lt;=7,"5-7년",IF(U521&lt;=10,"7-10년",IF(U521&lt;=20,"10-20년","20년 이상")))))))),"미분류"))</f>
        <v/>
      </c>
      <c r="W521" s="43" t="str">
        <f aca="false">IF(Q521&lt;&gt;1,"",IF(AB521&lt;&gt;"",INDEX(시장분석!$C:$C,AB521),IF(K521=1,"USD","비USD")))</f>
        <v/>
      </c>
      <c r="X521" s="91" t="n">
        <f aca="false">IF(Q521=1,E521*K521/1000000,0)</f>
        <v>0</v>
      </c>
      <c r="Y521" s="89" t="n">
        <f aca="false">IF(R521="T",1,0)</f>
        <v>0</v>
      </c>
      <c r="Z521" s="92" t="str">
        <f aca="false">IF(Q521&lt;&gt;1,"",IF(AD521=1,IF(ISNUMBER(U521),MAX(U521,0),H521),H521))</f>
        <v/>
      </c>
      <c r="AA521" s="91" t="n">
        <f aca="false">IF(Q521=1,IF(ISNUMBER(L521),L521,0)*K521/1000000,0)</f>
        <v>0</v>
      </c>
      <c r="AB521" s="89" t="str">
        <f aca="false">IF(Q521&lt;&gt;1,"",IFERROR(MATCH(VLOOKUP(B521,매핑!$H$4:$I$15,2,0),시장분석!$A$2:$A$601,0)+1,IFERROR(MATCH(R521&amp;"|"&amp;T521,시장분석!$V$2:$V$601,0)+1,IF(COUNTIF(시장분석!$U$2:$U$601,T521)=1,MATCH(T521,시장분석!$U$2:$U$601,0)+1,""))))</f>
        <v/>
      </c>
      <c r="AC521" s="89" t="n">
        <f aca="false">IF(Q521&lt;&gt;1,0,IF(OR(설정!$C$5="전체",AND(설정!$C$5="선택펀드",IFERROR(COUNTIFS(설정!$F$16:$F$36,C521,설정!$G$16:$G$36,"Y")+COUNTIFS(설정!$F$16:$F$36,VALUE(C521),설정!$G$16:$G$36,"Y"),0)&gt;0),C521&amp;""=설정!$C$5&amp;""),1,0))</f>
        <v>0</v>
      </c>
      <c r="AD521" s="89" t="n">
        <f aca="false">IF(Q521&lt;&gt;1,0,IF(OR(S521=1,IF(AB521="",FALSE(),INDEX(시장분석!$R:$R,AB521)=1)),1,0))</f>
        <v>0</v>
      </c>
      <c r="AE521" s="43" t="str">
        <f aca="false">IF(AB521="","",INDEX(시장분석!$A:$A,AB521))</f>
        <v/>
      </c>
      <c r="AF521" s="93" t="str">
        <f aca="false">IF(AB521="","",IF(ISNUMBER(IF(AB521="","",INDEX(시장분석!$E:$E,AB521))),IF(AB521="","",INDEX(시장분석!$E:$E,AB521)),""))</f>
        <v/>
      </c>
      <c r="AG521" s="43" t="str">
        <f aca="false">IF(Q521&lt;&gt;1,"",IF(AB521&lt;&gt;"",IF(AB521="","",INDEX(시장분석!$L:$L,AB521)),IFERROR(IF(VLOOKUP(R521,매핑!$A$4:$E$92,5,0)="","미분류",VLOOKUP(R521,매핑!$A$4:$E$92,5,0)),"미분류")))</f>
        <v/>
      </c>
      <c r="AH521" s="43" t="str">
        <f aca="false">IF(Q521&lt;&gt;1,"",IF(AB521&lt;&gt;"",IF(AB521="","",INDEX(시장분석!$N:$N,AB521)),IFERROR(IF(VLOOKUP(R521,매핑!$A$4:$E$92,4,0)="","미분류",VLOOKUP(R521,매핑!$A$4:$E$92,4,0)),"미분류")))</f>
        <v/>
      </c>
      <c r="AI521" s="43" t="str">
        <f aca="false">IF(Q521&lt;&gt;1,"",IFERROR(IF(VLOOKUP(R521,매핑!$A$4:$E$92,3,0)="","미분류",VLOOKUP(R521,매핑!$A$4:$E$92,3,0)),IF(AB521&lt;&gt;"",IF(AB521="","",INDEX(시장분석!$W:$W,AB521)),"미분류")))</f>
        <v/>
      </c>
      <c r="AJ521" s="43" t="str">
        <f aca="false">IF(Q521&lt;&gt;1,"",IFERROR(VLOOKUP(IF(N521&lt;&gt;"",N521,IF(P521&lt;&gt;"",P521,O521)),설정!$A$15:$D$47,2,0),""))</f>
        <v/>
      </c>
      <c r="AK521" s="43" t="str">
        <f aca="false">IF(Q521&lt;&gt;1,"",IF(AJ521="","무등급",IFERROR(VLOOKUP(AJ521,설정!$A$15:$D$47,3,0),"무등급")))</f>
        <v/>
      </c>
      <c r="AL521" s="89" t="n">
        <f aca="false">IF(AJ521="",99,IFERROR(VLOOKUP(AJ521,설정!$A$15:$D$47,4,0),99))</f>
        <v>99</v>
      </c>
      <c r="AM521" s="94" t="n">
        <f aca="false">IF(ISNUMBER(H521),AA521*1000000*H521/10000,0)</f>
        <v>0</v>
      </c>
      <c r="AN521" s="94" t="n">
        <f aca="false">IF(OR(Y521=1,NOT(ISNUMBER(Z521))),0,AA521*1000000*Z521/10000)</f>
        <v>0</v>
      </c>
      <c r="AO521" s="94" t="n">
        <f aca="false">IF(ISNUMBER(G521),AA521*1000000*G521/100,0)</f>
        <v>0</v>
      </c>
      <c r="AP521" s="94" t="n">
        <f aca="false">IF(ISNUMBER(M521),M521*K521,0)</f>
        <v>0</v>
      </c>
      <c r="AQ521" s="95" t="str">
        <f aca="false">IF(AB521="","",INDEX(시장분석!$AK:$AK,AB521))</f>
        <v/>
      </c>
      <c r="AR521" s="43" t="str">
        <f aca="false">IF(AB521="","-",IF(AB521="","",INDEX(시장분석!$AL:$AL,AB521)))</f>
        <v>-</v>
      </c>
      <c r="AS521" s="96" t="str">
        <f aca="false">IF(AB521="","",INDEX(시장분석!$AJ:$AJ,AB521))</f>
        <v/>
      </c>
      <c r="AT521" s="93" t="n">
        <f aca="false">IF(AB521="",0,IF(AB521="","",INDEX(시장분석!$AN:$AN,AB521)))</f>
        <v>0</v>
      </c>
      <c r="AU521" s="94" t="n">
        <f aca="false">IF(ISNUMBER(Z521),AT521/10000*MAX(Z521-1,0)*AA521*1000000,0)</f>
        <v>0</v>
      </c>
      <c r="AV521" s="94" t="n">
        <f aca="false">AO521+AU521</f>
        <v>0</v>
      </c>
      <c r="AW521" s="43" t="str">
        <f aca="false">IF(Q521&lt;&gt;1,"",TRIM(IF(AD521=1,"FRN ","")&amp;IF(AND(AL521&gt;=10,AL521&lt;99),"BBB0미만 ","")&amp;IF(AJ521="","등급없음 ","")&amp;IF(K521&lt;&gt;1,"비USD ","")&amp;IF(AND(AB521="",Y521=0),"시장데이터없음 ","")&amp;IF(AND(ISNUMBER(U521),U521&lt;0),"만기경과 ","")))</f>
        <v/>
      </c>
      <c r="AX521" s="90" t="n">
        <f aca="false">IF(Q521&lt;&gt;1,1,IF(스프레드쇼크!$C$4="Y",INDEX(스프레드쇼크!$B$12:$L$16,IFERROR(MATCH(AH521,스프레드쇼크!$A$12:$A$16,0),MATCH("목록외",스프레드쇼크!$A$12:$A$16,0)),IFERROR(MATCH(AG521,스프레드쇼크!$B$11:$L$11,0),MATCH("목록외",스프레드쇼크!$B$11:$L$11,0))),1))</f>
        <v>1</v>
      </c>
      <c r="AY521" s="90" t="n">
        <f aca="false">IF(스프레드쇼크!$C$5="Y",IF(ISNUMBER(AF521),MIN(스프레드쇼크!$C$7,MAX(스프레드쇼크!$C$6,AF521/스프레드쇼크!$C$8)),1),1)</f>
        <v>1</v>
      </c>
      <c r="AZ521" s="94" t="n">
        <f aca="false">AN521*AX521*AY521</f>
        <v>0</v>
      </c>
      <c r="BA521" s="90" t="n">
        <f aca="false">IF(ISNUMBER(G521),AA521*G521,0)</f>
        <v>0</v>
      </c>
      <c r="BB521" s="90" t="n">
        <f aca="false">IF(ISNUMBER(G521),AA521,0)</f>
        <v>0</v>
      </c>
      <c r="BC521" s="90" t="n">
        <f aca="false">IF(AND(Y521=0,ISNUMBER(AF521)),AA521*AF521,0)</f>
        <v>0</v>
      </c>
      <c r="BD521" s="90" t="n">
        <f aca="false">IF(AND(Y521=0,ISNUMBER(AF521)),AA521,0)</f>
        <v>0</v>
      </c>
      <c r="BE521" s="90" t="n">
        <f aca="false">IF(ISNUMBER(H521),AA521*H521,0)</f>
        <v>0</v>
      </c>
      <c r="BF521" s="90" t="n">
        <f aca="false">IF(ISNUMBER(H521),AA521,0)</f>
        <v>0</v>
      </c>
      <c r="BG521" s="90" t="n">
        <f aca="false">IF(AND(Y521=0,ISNUMBER(AF521),ISNUMBER(Z521)),AA521*Z521,0)</f>
        <v>0</v>
      </c>
      <c r="BH521" s="90" t="n">
        <f aca="false">IF(AND(Y521=0,ISNUMBER(AF521),ISNUMBER(Z521)),AA521*AT521*MAX(Z521-1,0),0)</f>
        <v>0</v>
      </c>
      <c r="BI521" s="90" t="n">
        <f aca="false">IF(Y521=0,AA521,0)</f>
        <v>0</v>
      </c>
    </row>
    <row r="522" customFormat="false" ht="15" hidden="false" customHeight="false" outlineLevel="0" collapsed="false">
      <c r="A522" s="83" t="str">
        <f aca="false">IFERROR(IF(INDEX(원자료_잔고!$A$1:$EZ$1500,설정!$L$5+ROW()-1,설정!$L$8)&amp;""="0","",INDEX(원자료_잔고!$A$1:$EZ$1500,설정!$L$5+ROW()-1,설정!$L$8)&amp;""),"")</f>
        <v/>
      </c>
      <c r="B522" s="83" t="str">
        <f aca="false">IFERROR(IF(INDEX(원자료_잔고!$A$1:$EZ$1500,설정!$L$5+ROW()-1,설정!$L$7)&amp;""="0","",INDEX(원자료_잔고!$A$1:$EZ$1500,설정!$L$5+ROW()-1,설정!$L$7)&amp;""),"")</f>
        <v/>
      </c>
      <c r="C522" s="83" t="str">
        <f aca="false">IFERROR(IF(INDEX(원자료_잔고!$A$1:$EZ$1500,설정!$L$5+ROW()-1,설정!$L$9)&amp;""="0","",INDEX(원자료_잔고!$A$1:$EZ$1500,설정!$L$5+ROW()-1,설정!$L$9)&amp;""),"")</f>
        <v/>
      </c>
      <c r="D522" s="83" t="str">
        <f aca="false">IFERROR(IF(INDEX(원자료_잔고!$A$1:$EZ$1500,설정!$L$5+ROW()-1,설정!$L$10)&amp;""="0","",INDEX(원자료_잔고!$A$1:$EZ$1500,설정!$L$5+ROW()-1,설정!$L$10)&amp;""),"")</f>
        <v/>
      </c>
      <c r="E522" s="84" t="str">
        <f aca="false">IFERROR(IF(ISNUMBER(INDEX(원자료_잔고!$A$1:$EZ$1500,설정!$L$5+ROW()-1,설정!$L$11)),INDEX(원자료_잔고!$A$1:$EZ$1500,설정!$L$5+ROW()-1,설정!$L$11),""),"")</f>
        <v/>
      </c>
      <c r="F522" s="85" t="str">
        <f aca="false">IFERROR(IF(ISNUMBER(INDEX(원자료_잔고!$A$1:$EZ$1500,설정!$L$5+ROW()-1,설정!$L$12)),INDEX(원자료_잔고!$A$1:$EZ$1500,설정!$L$5+ROW()-1,설정!$L$12),""),"")</f>
        <v/>
      </c>
      <c r="G522" s="85" t="str">
        <f aca="false">IFERROR(IF(ISNUMBER(INDEX(원자료_잔고!$A$1:$EZ$1500,설정!$L$5+ROW()-1,설정!$L$13)),INDEX(원자료_잔고!$A$1:$EZ$1500,설정!$L$5+ROW()-1,설정!$L$13),""),"")</f>
        <v/>
      </c>
      <c r="H522" s="85" t="str">
        <f aca="false">IFERROR(IF(ISNUMBER(INDEX(원자료_잔고!$A$1:$EZ$1500,설정!$L$5+ROW()-1,설정!$L$14)),INDEX(원자료_잔고!$A$1:$EZ$1500,설정!$L$5+ROW()-1,설정!$L$14),""),"")</f>
        <v/>
      </c>
      <c r="I522" s="86" t="str">
        <f aca="false">IFERROR(IF(ISNUMBER(INDEX(원자료_잔고!$A$1:$EZ$1500,설정!$L$5+ROW()-1,설정!$L$15)),INDEX(원자료_잔고!$A$1:$EZ$1500,설정!$L$5+ROW()-1,설정!$L$15),""),"")</f>
        <v/>
      </c>
      <c r="J522" s="85" t="str">
        <f aca="false">IFERROR(IF(ISNUMBER(INDEX(원자료_잔고!$A$1:$EZ$1500,설정!$L$5+ROW()-1,설정!$L$16)),INDEX(원자료_잔고!$A$1:$EZ$1500,설정!$L$5+ROW()-1,설정!$L$16),""),"")</f>
        <v/>
      </c>
      <c r="K522" s="87" t="str">
        <f aca="false">IFERROR(IF(ISNUMBER(INDEX(원자료_잔고!$A$1:$EZ$1500,설정!$L$5+ROW()-1,설정!$L$17)),INDEX(원자료_잔고!$A$1:$EZ$1500,설정!$L$5+ROW()-1,설정!$L$17),""),"")</f>
        <v/>
      </c>
      <c r="L522" s="84" t="str">
        <f aca="false">IFERROR(IF(ISNUMBER(INDEX(원자료_잔고!$A$1:$EZ$1500,설정!$L$5+ROW()-1,설정!$L$18)),INDEX(원자료_잔고!$A$1:$EZ$1500,설정!$L$5+ROW()-1,설정!$L$18),""),"")</f>
        <v/>
      </c>
      <c r="M522" s="88" t="str">
        <f aca="false">IFERROR(IF(ISNUMBER(INDEX(원자료_잔고!$A$1:$EZ$1500,설정!$L$5+ROW()-1,설정!$L$19)),INDEX(원자료_잔고!$A$1:$EZ$1500,설정!$L$5+ROW()-1,설정!$L$19),""),"")</f>
        <v/>
      </c>
      <c r="N522" s="83" t="str">
        <f aca="false">IFERROR(IF(INDEX(원자료_잔고!$A$1:$EZ$1500,설정!$L$5+ROW()-1,설정!$L$21)&amp;""="0","",INDEX(원자료_잔고!$A$1:$EZ$1500,설정!$L$5+ROW()-1,설정!$L$21)&amp;""),"")</f>
        <v/>
      </c>
      <c r="O522" s="83" t="str">
        <f aca="false">IFERROR(IF(INDEX(원자료_잔고!$A$1:$EZ$1500,설정!$L$5+ROW()-1,설정!$L$22)&amp;""="0","",INDEX(원자료_잔고!$A$1:$EZ$1500,설정!$L$5+ROW()-1,설정!$L$22)&amp;""),"")</f>
        <v/>
      </c>
      <c r="P522" s="83" t="str">
        <f aca="false">IFERROR(IF(INDEX(원자료_잔고!$A$1:$EZ$1500,설정!$L$5+ROW()-1,설정!$L$23)&amp;""="0","",INDEX(원자료_잔고!$A$1:$EZ$1500,설정!$L$5+ROW()-1,설정!$L$23)&amp;""),"")</f>
        <v/>
      </c>
      <c r="Q522" s="89" t="n">
        <f aca="false">IF(AND($A522&lt;&gt;"",ISNUMBER(E522)),IF(E522&gt;0,1,0),0)</f>
        <v>0</v>
      </c>
      <c r="R522" s="43" t="str">
        <f aca="false">IF(Q522=1,UPPER(LEFT($A522,FIND(" ",$A522&amp;" ")-1)),"")</f>
        <v/>
      </c>
      <c r="S522" s="89" t="n">
        <f aca="false">IF(Q522=1,IF(OR(ISNUMBER(SEARCH("Float",$A522)),ISNUMBER(SEARCH("FRN",$A522))),1,0),0)</f>
        <v>0</v>
      </c>
      <c r="T522" s="43" t="str">
        <f aca="false">IF(AND(Q522=1,ISNUMBER(I522)),TEXT(I522,"yyyymmdd")&amp;"|"&amp;IF(S522=1,"F",TEXT(J522,"0.000")),"")</f>
        <v/>
      </c>
      <c r="U522" s="90" t="str">
        <f aca="false">IF(AND(Q522=1,ISNUMBER(I522)),(I522-설정!$C$4)/365.25,"")</f>
        <v/>
      </c>
      <c r="V522" s="43" t="str">
        <f aca="false">IF(Q522&lt;&gt;1,"",IF(ISNUMBER(U522),IF(U522&lt;=1,"1년 이하",IF(U522&lt;=2,"1-2년",IF(U522&lt;=3,"2-3년",IF(U522&lt;=4,"3-4년",IF(U522&lt;=5,"4-5년",IF(U522&lt;=7,"5-7년",IF(U522&lt;=10,"7-10년",IF(U522&lt;=20,"10-20년","20년 이상")))))))),"미분류"))</f>
        <v/>
      </c>
      <c r="W522" s="43" t="str">
        <f aca="false">IF(Q522&lt;&gt;1,"",IF(AB522&lt;&gt;"",INDEX(시장분석!$C:$C,AB522),IF(K522=1,"USD","비USD")))</f>
        <v/>
      </c>
      <c r="X522" s="91" t="n">
        <f aca="false">IF(Q522=1,E522*K522/1000000,0)</f>
        <v>0</v>
      </c>
      <c r="Y522" s="89" t="n">
        <f aca="false">IF(R522="T",1,0)</f>
        <v>0</v>
      </c>
      <c r="Z522" s="92" t="str">
        <f aca="false">IF(Q522&lt;&gt;1,"",IF(AD522=1,IF(ISNUMBER(U522),MAX(U522,0),H522),H522))</f>
        <v/>
      </c>
      <c r="AA522" s="91" t="n">
        <f aca="false">IF(Q522=1,IF(ISNUMBER(L522),L522,0)*K522/1000000,0)</f>
        <v>0</v>
      </c>
      <c r="AB522" s="89" t="str">
        <f aca="false">IF(Q522&lt;&gt;1,"",IFERROR(MATCH(VLOOKUP(B522,매핑!$H$4:$I$15,2,0),시장분석!$A$2:$A$601,0)+1,IFERROR(MATCH(R522&amp;"|"&amp;T522,시장분석!$V$2:$V$601,0)+1,IF(COUNTIF(시장분석!$U$2:$U$601,T522)=1,MATCH(T522,시장분석!$U$2:$U$601,0)+1,""))))</f>
        <v/>
      </c>
      <c r="AC522" s="89" t="n">
        <f aca="false">IF(Q522&lt;&gt;1,0,IF(OR(설정!$C$5="전체",AND(설정!$C$5="선택펀드",IFERROR(COUNTIFS(설정!$F$16:$F$36,C522,설정!$G$16:$G$36,"Y")+COUNTIFS(설정!$F$16:$F$36,VALUE(C522),설정!$G$16:$G$36,"Y"),0)&gt;0),C522&amp;""=설정!$C$5&amp;""),1,0))</f>
        <v>0</v>
      </c>
      <c r="AD522" s="89" t="n">
        <f aca="false">IF(Q522&lt;&gt;1,0,IF(OR(S522=1,IF(AB522="",FALSE(),INDEX(시장분석!$R:$R,AB522)=1)),1,0))</f>
        <v>0</v>
      </c>
      <c r="AE522" s="43" t="str">
        <f aca="false">IF(AB522="","",INDEX(시장분석!$A:$A,AB522))</f>
        <v/>
      </c>
      <c r="AF522" s="93" t="str">
        <f aca="false">IF(AB522="","",IF(ISNUMBER(IF(AB522="","",INDEX(시장분석!$E:$E,AB522))),IF(AB522="","",INDEX(시장분석!$E:$E,AB522)),""))</f>
        <v/>
      </c>
      <c r="AG522" s="43" t="str">
        <f aca="false">IF(Q522&lt;&gt;1,"",IF(AB522&lt;&gt;"",IF(AB522="","",INDEX(시장분석!$L:$L,AB522)),IFERROR(IF(VLOOKUP(R522,매핑!$A$4:$E$92,5,0)="","미분류",VLOOKUP(R522,매핑!$A$4:$E$92,5,0)),"미분류")))</f>
        <v/>
      </c>
      <c r="AH522" s="43" t="str">
        <f aca="false">IF(Q522&lt;&gt;1,"",IF(AB522&lt;&gt;"",IF(AB522="","",INDEX(시장분석!$N:$N,AB522)),IFERROR(IF(VLOOKUP(R522,매핑!$A$4:$E$92,4,0)="","미분류",VLOOKUP(R522,매핑!$A$4:$E$92,4,0)),"미분류")))</f>
        <v/>
      </c>
      <c r="AI522" s="43" t="str">
        <f aca="false">IF(Q522&lt;&gt;1,"",IFERROR(IF(VLOOKUP(R522,매핑!$A$4:$E$92,3,0)="","미분류",VLOOKUP(R522,매핑!$A$4:$E$92,3,0)),IF(AB522&lt;&gt;"",IF(AB522="","",INDEX(시장분석!$W:$W,AB522)),"미분류")))</f>
        <v/>
      </c>
      <c r="AJ522" s="43" t="str">
        <f aca="false">IF(Q522&lt;&gt;1,"",IFERROR(VLOOKUP(IF(N522&lt;&gt;"",N522,IF(P522&lt;&gt;"",P522,O522)),설정!$A$15:$D$47,2,0),""))</f>
        <v/>
      </c>
      <c r="AK522" s="43" t="str">
        <f aca="false">IF(Q522&lt;&gt;1,"",IF(AJ522="","무등급",IFERROR(VLOOKUP(AJ522,설정!$A$15:$D$47,3,0),"무등급")))</f>
        <v/>
      </c>
      <c r="AL522" s="89" t="n">
        <f aca="false">IF(AJ522="",99,IFERROR(VLOOKUP(AJ522,설정!$A$15:$D$47,4,0),99))</f>
        <v>99</v>
      </c>
      <c r="AM522" s="94" t="n">
        <f aca="false">IF(ISNUMBER(H522),AA522*1000000*H522/10000,0)</f>
        <v>0</v>
      </c>
      <c r="AN522" s="94" t="n">
        <f aca="false">IF(OR(Y522=1,NOT(ISNUMBER(Z522))),0,AA522*1000000*Z522/10000)</f>
        <v>0</v>
      </c>
      <c r="AO522" s="94" t="n">
        <f aca="false">IF(ISNUMBER(G522),AA522*1000000*G522/100,0)</f>
        <v>0</v>
      </c>
      <c r="AP522" s="94" t="n">
        <f aca="false">IF(ISNUMBER(M522),M522*K522,0)</f>
        <v>0</v>
      </c>
      <c r="AQ522" s="95" t="str">
        <f aca="false">IF(AB522="","",INDEX(시장분석!$AK:$AK,AB522))</f>
        <v/>
      </c>
      <c r="AR522" s="43" t="str">
        <f aca="false">IF(AB522="","-",IF(AB522="","",INDEX(시장분석!$AL:$AL,AB522)))</f>
        <v>-</v>
      </c>
      <c r="AS522" s="96" t="str">
        <f aca="false">IF(AB522="","",INDEX(시장분석!$AJ:$AJ,AB522))</f>
        <v/>
      </c>
      <c r="AT522" s="93" t="n">
        <f aca="false">IF(AB522="",0,IF(AB522="","",INDEX(시장분석!$AN:$AN,AB522)))</f>
        <v>0</v>
      </c>
      <c r="AU522" s="94" t="n">
        <f aca="false">IF(ISNUMBER(Z522),AT522/10000*MAX(Z522-1,0)*AA522*1000000,0)</f>
        <v>0</v>
      </c>
      <c r="AV522" s="94" t="n">
        <f aca="false">AO522+AU522</f>
        <v>0</v>
      </c>
      <c r="AW522" s="43" t="str">
        <f aca="false">IF(Q522&lt;&gt;1,"",TRIM(IF(AD522=1,"FRN ","")&amp;IF(AND(AL522&gt;=10,AL522&lt;99),"BBB0미만 ","")&amp;IF(AJ522="","등급없음 ","")&amp;IF(K522&lt;&gt;1,"비USD ","")&amp;IF(AND(AB522="",Y522=0),"시장데이터없음 ","")&amp;IF(AND(ISNUMBER(U522),U522&lt;0),"만기경과 ","")))</f>
        <v/>
      </c>
      <c r="AX522" s="90" t="n">
        <f aca="false">IF(Q522&lt;&gt;1,1,IF(스프레드쇼크!$C$4="Y",INDEX(스프레드쇼크!$B$12:$L$16,IFERROR(MATCH(AH522,스프레드쇼크!$A$12:$A$16,0),MATCH("목록외",스프레드쇼크!$A$12:$A$16,0)),IFERROR(MATCH(AG522,스프레드쇼크!$B$11:$L$11,0),MATCH("목록외",스프레드쇼크!$B$11:$L$11,0))),1))</f>
        <v>1</v>
      </c>
      <c r="AY522" s="90" t="n">
        <f aca="false">IF(스프레드쇼크!$C$5="Y",IF(ISNUMBER(AF522),MIN(스프레드쇼크!$C$7,MAX(스프레드쇼크!$C$6,AF522/스프레드쇼크!$C$8)),1),1)</f>
        <v>1</v>
      </c>
      <c r="AZ522" s="94" t="n">
        <f aca="false">AN522*AX522*AY522</f>
        <v>0</v>
      </c>
      <c r="BA522" s="90" t="n">
        <f aca="false">IF(ISNUMBER(G522),AA522*G522,0)</f>
        <v>0</v>
      </c>
      <c r="BB522" s="90" t="n">
        <f aca="false">IF(ISNUMBER(G522),AA522,0)</f>
        <v>0</v>
      </c>
      <c r="BC522" s="90" t="n">
        <f aca="false">IF(AND(Y522=0,ISNUMBER(AF522)),AA522*AF522,0)</f>
        <v>0</v>
      </c>
      <c r="BD522" s="90" t="n">
        <f aca="false">IF(AND(Y522=0,ISNUMBER(AF522)),AA522,0)</f>
        <v>0</v>
      </c>
      <c r="BE522" s="90" t="n">
        <f aca="false">IF(ISNUMBER(H522),AA522*H522,0)</f>
        <v>0</v>
      </c>
      <c r="BF522" s="90" t="n">
        <f aca="false">IF(ISNUMBER(H522),AA522,0)</f>
        <v>0</v>
      </c>
      <c r="BG522" s="90" t="n">
        <f aca="false">IF(AND(Y522=0,ISNUMBER(AF522),ISNUMBER(Z522)),AA522*Z522,0)</f>
        <v>0</v>
      </c>
      <c r="BH522" s="90" t="n">
        <f aca="false">IF(AND(Y522=0,ISNUMBER(AF522),ISNUMBER(Z522)),AA522*AT522*MAX(Z522-1,0),0)</f>
        <v>0</v>
      </c>
      <c r="BI522" s="90" t="n">
        <f aca="false">IF(Y522=0,AA522,0)</f>
        <v>0</v>
      </c>
    </row>
    <row r="523" customFormat="false" ht="15" hidden="false" customHeight="false" outlineLevel="0" collapsed="false">
      <c r="A523" s="83" t="str">
        <f aca="false">IFERROR(IF(INDEX(원자료_잔고!$A$1:$EZ$1500,설정!$L$5+ROW()-1,설정!$L$8)&amp;""="0","",INDEX(원자료_잔고!$A$1:$EZ$1500,설정!$L$5+ROW()-1,설정!$L$8)&amp;""),"")</f>
        <v/>
      </c>
      <c r="B523" s="83" t="str">
        <f aca="false">IFERROR(IF(INDEX(원자료_잔고!$A$1:$EZ$1500,설정!$L$5+ROW()-1,설정!$L$7)&amp;""="0","",INDEX(원자료_잔고!$A$1:$EZ$1500,설정!$L$5+ROW()-1,설정!$L$7)&amp;""),"")</f>
        <v/>
      </c>
      <c r="C523" s="83" t="str">
        <f aca="false">IFERROR(IF(INDEX(원자료_잔고!$A$1:$EZ$1500,설정!$L$5+ROW()-1,설정!$L$9)&amp;""="0","",INDEX(원자료_잔고!$A$1:$EZ$1500,설정!$L$5+ROW()-1,설정!$L$9)&amp;""),"")</f>
        <v/>
      </c>
      <c r="D523" s="83" t="str">
        <f aca="false">IFERROR(IF(INDEX(원자료_잔고!$A$1:$EZ$1500,설정!$L$5+ROW()-1,설정!$L$10)&amp;""="0","",INDEX(원자료_잔고!$A$1:$EZ$1500,설정!$L$5+ROW()-1,설정!$L$10)&amp;""),"")</f>
        <v/>
      </c>
      <c r="E523" s="84" t="str">
        <f aca="false">IFERROR(IF(ISNUMBER(INDEX(원자료_잔고!$A$1:$EZ$1500,설정!$L$5+ROW()-1,설정!$L$11)),INDEX(원자료_잔고!$A$1:$EZ$1500,설정!$L$5+ROW()-1,설정!$L$11),""),"")</f>
        <v/>
      </c>
      <c r="F523" s="85" t="str">
        <f aca="false">IFERROR(IF(ISNUMBER(INDEX(원자료_잔고!$A$1:$EZ$1500,설정!$L$5+ROW()-1,설정!$L$12)),INDEX(원자료_잔고!$A$1:$EZ$1500,설정!$L$5+ROW()-1,설정!$L$12),""),"")</f>
        <v/>
      </c>
      <c r="G523" s="85" t="str">
        <f aca="false">IFERROR(IF(ISNUMBER(INDEX(원자료_잔고!$A$1:$EZ$1500,설정!$L$5+ROW()-1,설정!$L$13)),INDEX(원자료_잔고!$A$1:$EZ$1500,설정!$L$5+ROW()-1,설정!$L$13),""),"")</f>
        <v/>
      </c>
      <c r="H523" s="85" t="str">
        <f aca="false">IFERROR(IF(ISNUMBER(INDEX(원자료_잔고!$A$1:$EZ$1500,설정!$L$5+ROW()-1,설정!$L$14)),INDEX(원자료_잔고!$A$1:$EZ$1500,설정!$L$5+ROW()-1,설정!$L$14),""),"")</f>
        <v/>
      </c>
      <c r="I523" s="86" t="str">
        <f aca="false">IFERROR(IF(ISNUMBER(INDEX(원자료_잔고!$A$1:$EZ$1500,설정!$L$5+ROW()-1,설정!$L$15)),INDEX(원자료_잔고!$A$1:$EZ$1500,설정!$L$5+ROW()-1,설정!$L$15),""),"")</f>
        <v/>
      </c>
      <c r="J523" s="85" t="str">
        <f aca="false">IFERROR(IF(ISNUMBER(INDEX(원자료_잔고!$A$1:$EZ$1500,설정!$L$5+ROW()-1,설정!$L$16)),INDEX(원자료_잔고!$A$1:$EZ$1500,설정!$L$5+ROW()-1,설정!$L$16),""),"")</f>
        <v/>
      </c>
      <c r="K523" s="87" t="str">
        <f aca="false">IFERROR(IF(ISNUMBER(INDEX(원자료_잔고!$A$1:$EZ$1500,설정!$L$5+ROW()-1,설정!$L$17)),INDEX(원자료_잔고!$A$1:$EZ$1500,설정!$L$5+ROW()-1,설정!$L$17),""),"")</f>
        <v/>
      </c>
      <c r="L523" s="84" t="str">
        <f aca="false">IFERROR(IF(ISNUMBER(INDEX(원자료_잔고!$A$1:$EZ$1500,설정!$L$5+ROW()-1,설정!$L$18)),INDEX(원자료_잔고!$A$1:$EZ$1500,설정!$L$5+ROW()-1,설정!$L$18),""),"")</f>
        <v/>
      </c>
      <c r="M523" s="88" t="str">
        <f aca="false">IFERROR(IF(ISNUMBER(INDEX(원자료_잔고!$A$1:$EZ$1500,설정!$L$5+ROW()-1,설정!$L$19)),INDEX(원자료_잔고!$A$1:$EZ$1500,설정!$L$5+ROW()-1,설정!$L$19),""),"")</f>
        <v/>
      </c>
      <c r="N523" s="83" t="str">
        <f aca="false">IFERROR(IF(INDEX(원자료_잔고!$A$1:$EZ$1500,설정!$L$5+ROW()-1,설정!$L$21)&amp;""="0","",INDEX(원자료_잔고!$A$1:$EZ$1500,설정!$L$5+ROW()-1,설정!$L$21)&amp;""),"")</f>
        <v/>
      </c>
      <c r="O523" s="83" t="str">
        <f aca="false">IFERROR(IF(INDEX(원자료_잔고!$A$1:$EZ$1500,설정!$L$5+ROW()-1,설정!$L$22)&amp;""="0","",INDEX(원자료_잔고!$A$1:$EZ$1500,설정!$L$5+ROW()-1,설정!$L$22)&amp;""),"")</f>
        <v/>
      </c>
      <c r="P523" s="83" t="str">
        <f aca="false">IFERROR(IF(INDEX(원자료_잔고!$A$1:$EZ$1500,설정!$L$5+ROW()-1,설정!$L$23)&amp;""="0","",INDEX(원자료_잔고!$A$1:$EZ$1500,설정!$L$5+ROW()-1,설정!$L$23)&amp;""),"")</f>
        <v/>
      </c>
      <c r="Q523" s="89" t="n">
        <f aca="false">IF(AND($A523&lt;&gt;"",ISNUMBER(E523)),IF(E523&gt;0,1,0),0)</f>
        <v>0</v>
      </c>
      <c r="R523" s="43" t="str">
        <f aca="false">IF(Q523=1,UPPER(LEFT($A523,FIND(" ",$A523&amp;" ")-1)),"")</f>
        <v/>
      </c>
      <c r="S523" s="89" t="n">
        <f aca="false">IF(Q523=1,IF(OR(ISNUMBER(SEARCH("Float",$A523)),ISNUMBER(SEARCH("FRN",$A523))),1,0),0)</f>
        <v>0</v>
      </c>
      <c r="T523" s="43" t="str">
        <f aca="false">IF(AND(Q523=1,ISNUMBER(I523)),TEXT(I523,"yyyymmdd")&amp;"|"&amp;IF(S523=1,"F",TEXT(J523,"0.000")),"")</f>
        <v/>
      </c>
      <c r="U523" s="90" t="str">
        <f aca="false">IF(AND(Q523=1,ISNUMBER(I523)),(I523-설정!$C$4)/365.25,"")</f>
        <v/>
      </c>
      <c r="V523" s="43" t="str">
        <f aca="false">IF(Q523&lt;&gt;1,"",IF(ISNUMBER(U523),IF(U523&lt;=1,"1년 이하",IF(U523&lt;=2,"1-2년",IF(U523&lt;=3,"2-3년",IF(U523&lt;=4,"3-4년",IF(U523&lt;=5,"4-5년",IF(U523&lt;=7,"5-7년",IF(U523&lt;=10,"7-10년",IF(U523&lt;=20,"10-20년","20년 이상")))))))),"미분류"))</f>
        <v/>
      </c>
      <c r="W523" s="43" t="str">
        <f aca="false">IF(Q523&lt;&gt;1,"",IF(AB523&lt;&gt;"",INDEX(시장분석!$C:$C,AB523),IF(K523=1,"USD","비USD")))</f>
        <v/>
      </c>
      <c r="X523" s="91" t="n">
        <f aca="false">IF(Q523=1,E523*K523/1000000,0)</f>
        <v>0</v>
      </c>
      <c r="Y523" s="89" t="n">
        <f aca="false">IF(R523="T",1,0)</f>
        <v>0</v>
      </c>
      <c r="Z523" s="92" t="str">
        <f aca="false">IF(Q523&lt;&gt;1,"",IF(AD523=1,IF(ISNUMBER(U523),MAX(U523,0),H523),H523))</f>
        <v/>
      </c>
      <c r="AA523" s="91" t="n">
        <f aca="false">IF(Q523=1,IF(ISNUMBER(L523),L523,0)*K523/1000000,0)</f>
        <v>0</v>
      </c>
      <c r="AB523" s="89" t="str">
        <f aca="false">IF(Q523&lt;&gt;1,"",IFERROR(MATCH(VLOOKUP(B523,매핑!$H$4:$I$15,2,0),시장분석!$A$2:$A$601,0)+1,IFERROR(MATCH(R523&amp;"|"&amp;T523,시장분석!$V$2:$V$601,0)+1,IF(COUNTIF(시장분석!$U$2:$U$601,T523)=1,MATCH(T523,시장분석!$U$2:$U$601,0)+1,""))))</f>
        <v/>
      </c>
      <c r="AC523" s="89" t="n">
        <f aca="false">IF(Q523&lt;&gt;1,0,IF(OR(설정!$C$5="전체",AND(설정!$C$5="선택펀드",IFERROR(COUNTIFS(설정!$F$16:$F$36,C523,설정!$G$16:$G$36,"Y")+COUNTIFS(설정!$F$16:$F$36,VALUE(C523),설정!$G$16:$G$36,"Y"),0)&gt;0),C523&amp;""=설정!$C$5&amp;""),1,0))</f>
        <v>0</v>
      </c>
      <c r="AD523" s="89" t="n">
        <f aca="false">IF(Q523&lt;&gt;1,0,IF(OR(S523=1,IF(AB523="",FALSE(),INDEX(시장분석!$R:$R,AB523)=1)),1,0))</f>
        <v>0</v>
      </c>
      <c r="AE523" s="43" t="str">
        <f aca="false">IF(AB523="","",INDEX(시장분석!$A:$A,AB523))</f>
        <v/>
      </c>
      <c r="AF523" s="93" t="str">
        <f aca="false">IF(AB523="","",IF(ISNUMBER(IF(AB523="","",INDEX(시장분석!$E:$E,AB523))),IF(AB523="","",INDEX(시장분석!$E:$E,AB523)),""))</f>
        <v/>
      </c>
      <c r="AG523" s="43" t="str">
        <f aca="false">IF(Q523&lt;&gt;1,"",IF(AB523&lt;&gt;"",IF(AB523="","",INDEX(시장분석!$L:$L,AB523)),IFERROR(IF(VLOOKUP(R523,매핑!$A$4:$E$92,5,0)="","미분류",VLOOKUP(R523,매핑!$A$4:$E$92,5,0)),"미분류")))</f>
        <v/>
      </c>
      <c r="AH523" s="43" t="str">
        <f aca="false">IF(Q523&lt;&gt;1,"",IF(AB523&lt;&gt;"",IF(AB523="","",INDEX(시장분석!$N:$N,AB523)),IFERROR(IF(VLOOKUP(R523,매핑!$A$4:$E$92,4,0)="","미분류",VLOOKUP(R523,매핑!$A$4:$E$92,4,0)),"미분류")))</f>
        <v/>
      </c>
      <c r="AI523" s="43" t="str">
        <f aca="false">IF(Q523&lt;&gt;1,"",IFERROR(IF(VLOOKUP(R523,매핑!$A$4:$E$92,3,0)="","미분류",VLOOKUP(R523,매핑!$A$4:$E$92,3,0)),IF(AB523&lt;&gt;"",IF(AB523="","",INDEX(시장분석!$W:$W,AB523)),"미분류")))</f>
        <v/>
      </c>
      <c r="AJ523" s="43" t="str">
        <f aca="false">IF(Q523&lt;&gt;1,"",IFERROR(VLOOKUP(IF(N523&lt;&gt;"",N523,IF(P523&lt;&gt;"",P523,O523)),설정!$A$15:$D$47,2,0),""))</f>
        <v/>
      </c>
      <c r="AK523" s="43" t="str">
        <f aca="false">IF(Q523&lt;&gt;1,"",IF(AJ523="","무등급",IFERROR(VLOOKUP(AJ523,설정!$A$15:$D$47,3,0),"무등급")))</f>
        <v/>
      </c>
      <c r="AL523" s="89" t="n">
        <f aca="false">IF(AJ523="",99,IFERROR(VLOOKUP(AJ523,설정!$A$15:$D$47,4,0),99))</f>
        <v>99</v>
      </c>
      <c r="AM523" s="94" t="n">
        <f aca="false">IF(ISNUMBER(H523),AA523*1000000*H523/10000,0)</f>
        <v>0</v>
      </c>
      <c r="AN523" s="94" t="n">
        <f aca="false">IF(OR(Y523=1,NOT(ISNUMBER(Z523))),0,AA523*1000000*Z523/10000)</f>
        <v>0</v>
      </c>
      <c r="AO523" s="94" t="n">
        <f aca="false">IF(ISNUMBER(G523),AA523*1000000*G523/100,0)</f>
        <v>0</v>
      </c>
      <c r="AP523" s="94" t="n">
        <f aca="false">IF(ISNUMBER(M523),M523*K523,0)</f>
        <v>0</v>
      </c>
      <c r="AQ523" s="95" t="str">
        <f aca="false">IF(AB523="","",INDEX(시장분석!$AK:$AK,AB523))</f>
        <v/>
      </c>
      <c r="AR523" s="43" t="str">
        <f aca="false">IF(AB523="","-",IF(AB523="","",INDEX(시장분석!$AL:$AL,AB523)))</f>
        <v>-</v>
      </c>
      <c r="AS523" s="96" t="str">
        <f aca="false">IF(AB523="","",INDEX(시장분석!$AJ:$AJ,AB523))</f>
        <v/>
      </c>
      <c r="AT523" s="93" t="n">
        <f aca="false">IF(AB523="",0,IF(AB523="","",INDEX(시장분석!$AN:$AN,AB523)))</f>
        <v>0</v>
      </c>
      <c r="AU523" s="94" t="n">
        <f aca="false">IF(ISNUMBER(Z523),AT523/10000*MAX(Z523-1,0)*AA523*1000000,0)</f>
        <v>0</v>
      </c>
      <c r="AV523" s="94" t="n">
        <f aca="false">AO523+AU523</f>
        <v>0</v>
      </c>
      <c r="AW523" s="43" t="str">
        <f aca="false">IF(Q523&lt;&gt;1,"",TRIM(IF(AD523=1,"FRN ","")&amp;IF(AND(AL523&gt;=10,AL523&lt;99),"BBB0미만 ","")&amp;IF(AJ523="","등급없음 ","")&amp;IF(K523&lt;&gt;1,"비USD ","")&amp;IF(AND(AB523="",Y523=0),"시장데이터없음 ","")&amp;IF(AND(ISNUMBER(U523),U523&lt;0),"만기경과 ","")))</f>
        <v/>
      </c>
      <c r="AX523" s="90" t="n">
        <f aca="false">IF(Q523&lt;&gt;1,1,IF(스프레드쇼크!$C$4="Y",INDEX(스프레드쇼크!$B$12:$L$16,IFERROR(MATCH(AH523,스프레드쇼크!$A$12:$A$16,0),MATCH("목록외",스프레드쇼크!$A$12:$A$16,0)),IFERROR(MATCH(AG523,스프레드쇼크!$B$11:$L$11,0),MATCH("목록외",스프레드쇼크!$B$11:$L$11,0))),1))</f>
        <v>1</v>
      </c>
      <c r="AY523" s="90" t="n">
        <f aca="false">IF(스프레드쇼크!$C$5="Y",IF(ISNUMBER(AF523),MIN(스프레드쇼크!$C$7,MAX(스프레드쇼크!$C$6,AF523/스프레드쇼크!$C$8)),1),1)</f>
        <v>1</v>
      </c>
      <c r="AZ523" s="94" t="n">
        <f aca="false">AN523*AX523*AY523</f>
        <v>0</v>
      </c>
      <c r="BA523" s="90" t="n">
        <f aca="false">IF(ISNUMBER(G523),AA523*G523,0)</f>
        <v>0</v>
      </c>
      <c r="BB523" s="90" t="n">
        <f aca="false">IF(ISNUMBER(G523),AA523,0)</f>
        <v>0</v>
      </c>
      <c r="BC523" s="90" t="n">
        <f aca="false">IF(AND(Y523=0,ISNUMBER(AF523)),AA523*AF523,0)</f>
        <v>0</v>
      </c>
      <c r="BD523" s="90" t="n">
        <f aca="false">IF(AND(Y523=0,ISNUMBER(AF523)),AA523,0)</f>
        <v>0</v>
      </c>
      <c r="BE523" s="90" t="n">
        <f aca="false">IF(ISNUMBER(H523),AA523*H523,0)</f>
        <v>0</v>
      </c>
      <c r="BF523" s="90" t="n">
        <f aca="false">IF(ISNUMBER(H523),AA523,0)</f>
        <v>0</v>
      </c>
      <c r="BG523" s="90" t="n">
        <f aca="false">IF(AND(Y523=0,ISNUMBER(AF523),ISNUMBER(Z523)),AA523*Z523,0)</f>
        <v>0</v>
      </c>
      <c r="BH523" s="90" t="n">
        <f aca="false">IF(AND(Y523=0,ISNUMBER(AF523),ISNUMBER(Z523)),AA523*AT523*MAX(Z523-1,0),0)</f>
        <v>0</v>
      </c>
      <c r="BI523" s="90" t="n">
        <f aca="false">IF(Y523=0,AA523,0)</f>
        <v>0</v>
      </c>
    </row>
    <row r="524" customFormat="false" ht="15" hidden="false" customHeight="false" outlineLevel="0" collapsed="false">
      <c r="A524" s="83" t="str">
        <f aca="false">IFERROR(IF(INDEX(원자료_잔고!$A$1:$EZ$1500,설정!$L$5+ROW()-1,설정!$L$8)&amp;""="0","",INDEX(원자료_잔고!$A$1:$EZ$1500,설정!$L$5+ROW()-1,설정!$L$8)&amp;""),"")</f>
        <v/>
      </c>
      <c r="B524" s="83" t="str">
        <f aca="false">IFERROR(IF(INDEX(원자료_잔고!$A$1:$EZ$1500,설정!$L$5+ROW()-1,설정!$L$7)&amp;""="0","",INDEX(원자료_잔고!$A$1:$EZ$1500,설정!$L$5+ROW()-1,설정!$L$7)&amp;""),"")</f>
        <v/>
      </c>
      <c r="C524" s="83" t="str">
        <f aca="false">IFERROR(IF(INDEX(원자료_잔고!$A$1:$EZ$1500,설정!$L$5+ROW()-1,설정!$L$9)&amp;""="0","",INDEX(원자료_잔고!$A$1:$EZ$1500,설정!$L$5+ROW()-1,설정!$L$9)&amp;""),"")</f>
        <v/>
      </c>
      <c r="D524" s="83" t="str">
        <f aca="false">IFERROR(IF(INDEX(원자료_잔고!$A$1:$EZ$1500,설정!$L$5+ROW()-1,설정!$L$10)&amp;""="0","",INDEX(원자료_잔고!$A$1:$EZ$1500,설정!$L$5+ROW()-1,설정!$L$10)&amp;""),"")</f>
        <v/>
      </c>
      <c r="E524" s="84" t="str">
        <f aca="false">IFERROR(IF(ISNUMBER(INDEX(원자료_잔고!$A$1:$EZ$1500,설정!$L$5+ROW()-1,설정!$L$11)),INDEX(원자료_잔고!$A$1:$EZ$1500,설정!$L$5+ROW()-1,설정!$L$11),""),"")</f>
        <v/>
      </c>
      <c r="F524" s="85" t="str">
        <f aca="false">IFERROR(IF(ISNUMBER(INDEX(원자료_잔고!$A$1:$EZ$1500,설정!$L$5+ROW()-1,설정!$L$12)),INDEX(원자료_잔고!$A$1:$EZ$1500,설정!$L$5+ROW()-1,설정!$L$12),""),"")</f>
        <v/>
      </c>
      <c r="G524" s="85" t="str">
        <f aca="false">IFERROR(IF(ISNUMBER(INDEX(원자료_잔고!$A$1:$EZ$1500,설정!$L$5+ROW()-1,설정!$L$13)),INDEX(원자료_잔고!$A$1:$EZ$1500,설정!$L$5+ROW()-1,설정!$L$13),""),"")</f>
        <v/>
      </c>
      <c r="H524" s="85" t="str">
        <f aca="false">IFERROR(IF(ISNUMBER(INDEX(원자료_잔고!$A$1:$EZ$1500,설정!$L$5+ROW()-1,설정!$L$14)),INDEX(원자료_잔고!$A$1:$EZ$1500,설정!$L$5+ROW()-1,설정!$L$14),""),"")</f>
        <v/>
      </c>
      <c r="I524" s="86" t="str">
        <f aca="false">IFERROR(IF(ISNUMBER(INDEX(원자료_잔고!$A$1:$EZ$1500,설정!$L$5+ROW()-1,설정!$L$15)),INDEX(원자료_잔고!$A$1:$EZ$1500,설정!$L$5+ROW()-1,설정!$L$15),""),"")</f>
        <v/>
      </c>
      <c r="J524" s="85" t="str">
        <f aca="false">IFERROR(IF(ISNUMBER(INDEX(원자료_잔고!$A$1:$EZ$1500,설정!$L$5+ROW()-1,설정!$L$16)),INDEX(원자료_잔고!$A$1:$EZ$1500,설정!$L$5+ROW()-1,설정!$L$16),""),"")</f>
        <v/>
      </c>
      <c r="K524" s="87" t="str">
        <f aca="false">IFERROR(IF(ISNUMBER(INDEX(원자료_잔고!$A$1:$EZ$1500,설정!$L$5+ROW()-1,설정!$L$17)),INDEX(원자료_잔고!$A$1:$EZ$1500,설정!$L$5+ROW()-1,설정!$L$17),""),"")</f>
        <v/>
      </c>
      <c r="L524" s="84" t="str">
        <f aca="false">IFERROR(IF(ISNUMBER(INDEX(원자료_잔고!$A$1:$EZ$1500,설정!$L$5+ROW()-1,설정!$L$18)),INDEX(원자료_잔고!$A$1:$EZ$1500,설정!$L$5+ROW()-1,설정!$L$18),""),"")</f>
        <v/>
      </c>
      <c r="M524" s="88" t="str">
        <f aca="false">IFERROR(IF(ISNUMBER(INDEX(원자료_잔고!$A$1:$EZ$1500,설정!$L$5+ROW()-1,설정!$L$19)),INDEX(원자료_잔고!$A$1:$EZ$1500,설정!$L$5+ROW()-1,설정!$L$19),""),"")</f>
        <v/>
      </c>
      <c r="N524" s="83" t="str">
        <f aca="false">IFERROR(IF(INDEX(원자료_잔고!$A$1:$EZ$1500,설정!$L$5+ROW()-1,설정!$L$21)&amp;""="0","",INDEX(원자료_잔고!$A$1:$EZ$1500,설정!$L$5+ROW()-1,설정!$L$21)&amp;""),"")</f>
        <v/>
      </c>
      <c r="O524" s="83" t="str">
        <f aca="false">IFERROR(IF(INDEX(원자료_잔고!$A$1:$EZ$1500,설정!$L$5+ROW()-1,설정!$L$22)&amp;""="0","",INDEX(원자료_잔고!$A$1:$EZ$1500,설정!$L$5+ROW()-1,설정!$L$22)&amp;""),"")</f>
        <v/>
      </c>
      <c r="P524" s="83" t="str">
        <f aca="false">IFERROR(IF(INDEX(원자료_잔고!$A$1:$EZ$1500,설정!$L$5+ROW()-1,설정!$L$23)&amp;""="0","",INDEX(원자료_잔고!$A$1:$EZ$1500,설정!$L$5+ROW()-1,설정!$L$23)&amp;""),"")</f>
        <v/>
      </c>
      <c r="Q524" s="89" t="n">
        <f aca="false">IF(AND($A524&lt;&gt;"",ISNUMBER(E524)),IF(E524&gt;0,1,0),0)</f>
        <v>0</v>
      </c>
      <c r="R524" s="43" t="str">
        <f aca="false">IF(Q524=1,UPPER(LEFT($A524,FIND(" ",$A524&amp;" ")-1)),"")</f>
        <v/>
      </c>
      <c r="S524" s="89" t="n">
        <f aca="false">IF(Q524=1,IF(OR(ISNUMBER(SEARCH("Float",$A524)),ISNUMBER(SEARCH("FRN",$A524))),1,0),0)</f>
        <v>0</v>
      </c>
      <c r="T524" s="43" t="str">
        <f aca="false">IF(AND(Q524=1,ISNUMBER(I524)),TEXT(I524,"yyyymmdd")&amp;"|"&amp;IF(S524=1,"F",TEXT(J524,"0.000")),"")</f>
        <v/>
      </c>
      <c r="U524" s="90" t="str">
        <f aca="false">IF(AND(Q524=1,ISNUMBER(I524)),(I524-설정!$C$4)/365.25,"")</f>
        <v/>
      </c>
      <c r="V524" s="43" t="str">
        <f aca="false">IF(Q524&lt;&gt;1,"",IF(ISNUMBER(U524),IF(U524&lt;=1,"1년 이하",IF(U524&lt;=2,"1-2년",IF(U524&lt;=3,"2-3년",IF(U524&lt;=4,"3-4년",IF(U524&lt;=5,"4-5년",IF(U524&lt;=7,"5-7년",IF(U524&lt;=10,"7-10년",IF(U524&lt;=20,"10-20년","20년 이상")))))))),"미분류"))</f>
        <v/>
      </c>
      <c r="W524" s="43" t="str">
        <f aca="false">IF(Q524&lt;&gt;1,"",IF(AB524&lt;&gt;"",INDEX(시장분석!$C:$C,AB524),IF(K524=1,"USD","비USD")))</f>
        <v/>
      </c>
      <c r="X524" s="91" t="n">
        <f aca="false">IF(Q524=1,E524*K524/1000000,0)</f>
        <v>0</v>
      </c>
      <c r="Y524" s="89" t="n">
        <f aca="false">IF(R524="T",1,0)</f>
        <v>0</v>
      </c>
      <c r="Z524" s="92" t="str">
        <f aca="false">IF(Q524&lt;&gt;1,"",IF(AD524=1,IF(ISNUMBER(U524),MAX(U524,0),H524),H524))</f>
        <v/>
      </c>
      <c r="AA524" s="91" t="n">
        <f aca="false">IF(Q524=1,IF(ISNUMBER(L524),L524,0)*K524/1000000,0)</f>
        <v>0</v>
      </c>
      <c r="AB524" s="89" t="str">
        <f aca="false">IF(Q524&lt;&gt;1,"",IFERROR(MATCH(VLOOKUP(B524,매핑!$H$4:$I$15,2,0),시장분석!$A$2:$A$601,0)+1,IFERROR(MATCH(R524&amp;"|"&amp;T524,시장분석!$V$2:$V$601,0)+1,IF(COUNTIF(시장분석!$U$2:$U$601,T524)=1,MATCH(T524,시장분석!$U$2:$U$601,0)+1,""))))</f>
        <v/>
      </c>
      <c r="AC524" s="89" t="n">
        <f aca="false">IF(Q524&lt;&gt;1,0,IF(OR(설정!$C$5="전체",AND(설정!$C$5="선택펀드",IFERROR(COUNTIFS(설정!$F$16:$F$36,C524,설정!$G$16:$G$36,"Y")+COUNTIFS(설정!$F$16:$F$36,VALUE(C524),설정!$G$16:$G$36,"Y"),0)&gt;0),C524&amp;""=설정!$C$5&amp;""),1,0))</f>
        <v>0</v>
      </c>
      <c r="AD524" s="89" t="n">
        <f aca="false">IF(Q524&lt;&gt;1,0,IF(OR(S524=1,IF(AB524="",FALSE(),INDEX(시장분석!$R:$R,AB524)=1)),1,0))</f>
        <v>0</v>
      </c>
      <c r="AE524" s="43" t="str">
        <f aca="false">IF(AB524="","",INDEX(시장분석!$A:$A,AB524))</f>
        <v/>
      </c>
      <c r="AF524" s="93" t="str">
        <f aca="false">IF(AB524="","",IF(ISNUMBER(IF(AB524="","",INDEX(시장분석!$E:$E,AB524))),IF(AB524="","",INDEX(시장분석!$E:$E,AB524)),""))</f>
        <v/>
      </c>
      <c r="AG524" s="43" t="str">
        <f aca="false">IF(Q524&lt;&gt;1,"",IF(AB524&lt;&gt;"",IF(AB524="","",INDEX(시장분석!$L:$L,AB524)),IFERROR(IF(VLOOKUP(R524,매핑!$A$4:$E$92,5,0)="","미분류",VLOOKUP(R524,매핑!$A$4:$E$92,5,0)),"미분류")))</f>
        <v/>
      </c>
      <c r="AH524" s="43" t="str">
        <f aca="false">IF(Q524&lt;&gt;1,"",IF(AB524&lt;&gt;"",IF(AB524="","",INDEX(시장분석!$N:$N,AB524)),IFERROR(IF(VLOOKUP(R524,매핑!$A$4:$E$92,4,0)="","미분류",VLOOKUP(R524,매핑!$A$4:$E$92,4,0)),"미분류")))</f>
        <v/>
      </c>
      <c r="AI524" s="43" t="str">
        <f aca="false">IF(Q524&lt;&gt;1,"",IFERROR(IF(VLOOKUP(R524,매핑!$A$4:$E$92,3,0)="","미분류",VLOOKUP(R524,매핑!$A$4:$E$92,3,0)),IF(AB524&lt;&gt;"",IF(AB524="","",INDEX(시장분석!$W:$W,AB524)),"미분류")))</f>
        <v/>
      </c>
      <c r="AJ524" s="43" t="str">
        <f aca="false">IF(Q524&lt;&gt;1,"",IFERROR(VLOOKUP(IF(N524&lt;&gt;"",N524,IF(P524&lt;&gt;"",P524,O524)),설정!$A$15:$D$47,2,0),""))</f>
        <v/>
      </c>
      <c r="AK524" s="43" t="str">
        <f aca="false">IF(Q524&lt;&gt;1,"",IF(AJ524="","무등급",IFERROR(VLOOKUP(AJ524,설정!$A$15:$D$47,3,0),"무등급")))</f>
        <v/>
      </c>
      <c r="AL524" s="89" t="n">
        <f aca="false">IF(AJ524="",99,IFERROR(VLOOKUP(AJ524,설정!$A$15:$D$47,4,0),99))</f>
        <v>99</v>
      </c>
      <c r="AM524" s="94" t="n">
        <f aca="false">IF(ISNUMBER(H524),AA524*1000000*H524/10000,0)</f>
        <v>0</v>
      </c>
      <c r="AN524" s="94" t="n">
        <f aca="false">IF(OR(Y524=1,NOT(ISNUMBER(Z524))),0,AA524*1000000*Z524/10000)</f>
        <v>0</v>
      </c>
      <c r="AO524" s="94" t="n">
        <f aca="false">IF(ISNUMBER(G524),AA524*1000000*G524/100,0)</f>
        <v>0</v>
      </c>
      <c r="AP524" s="94" t="n">
        <f aca="false">IF(ISNUMBER(M524),M524*K524,0)</f>
        <v>0</v>
      </c>
      <c r="AQ524" s="95" t="str">
        <f aca="false">IF(AB524="","",INDEX(시장분석!$AK:$AK,AB524))</f>
        <v/>
      </c>
      <c r="AR524" s="43" t="str">
        <f aca="false">IF(AB524="","-",IF(AB524="","",INDEX(시장분석!$AL:$AL,AB524)))</f>
        <v>-</v>
      </c>
      <c r="AS524" s="96" t="str">
        <f aca="false">IF(AB524="","",INDEX(시장분석!$AJ:$AJ,AB524))</f>
        <v/>
      </c>
      <c r="AT524" s="93" t="n">
        <f aca="false">IF(AB524="",0,IF(AB524="","",INDEX(시장분석!$AN:$AN,AB524)))</f>
        <v>0</v>
      </c>
      <c r="AU524" s="94" t="n">
        <f aca="false">IF(ISNUMBER(Z524),AT524/10000*MAX(Z524-1,0)*AA524*1000000,0)</f>
        <v>0</v>
      </c>
      <c r="AV524" s="94" t="n">
        <f aca="false">AO524+AU524</f>
        <v>0</v>
      </c>
      <c r="AW524" s="43" t="str">
        <f aca="false">IF(Q524&lt;&gt;1,"",TRIM(IF(AD524=1,"FRN ","")&amp;IF(AND(AL524&gt;=10,AL524&lt;99),"BBB0미만 ","")&amp;IF(AJ524="","등급없음 ","")&amp;IF(K524&lt;&gt;1,"비USD ","")&amp;IF(AND(AB524="",Y524=0),"시장데이터없음 ","")&amp;IF(AND(ISNUMBER(U524),U524&lt;0),"만기경과 ","")))</f>
        <v/>
      </c>
      <c r="AX524" s="90" t="n">
        <f aca="false">IF(Q524&lt;&gt;1,1,IF(스프레드쇼크!$C$4="Y",INDEX(스프레드쇼크!$B$12:$L$16,IFERROR(MATCH(AH524,스프레드쇼크!$A$12:$A$16,0),MATCH("목록외",스프레드쇼크!$A$12:$A$16,0)),IFERROR(MATCH(AG524,스프레드쇼크!$B$11:$L$11,0),MATCH("목록외",스프레드쇼크!$B$11:$L$11,0))),1))</f>
        <v>1</v>
      </c>
      <c r="AY524" s="90" t="n">
        <f aca="false">IF(스프레드쇼크!$C$5="Y",IF(ISNUMBER(AF524),MIN(스프레드쇼크!$C$7,MAX(스프레드쇼크!$C$6,AF524/스프레드쇼크!$C$8)),1),1)</f>
        <v>1</v>
      </c>
      <c r="AZ524" s="94" t="n">
        <f aca="false">AN524*AX524*AY524</f>
        <v>0</v>
      </c>
      <c r="BA524" s="90" t="n">
        <f aca="false">IF(ISNUMBER(G524),AA524*G524,0)</f>
        <v>0</v>
      </c>
      <c r="BB524" s="90" t="n">
        <f aca="false">IF(ISNUMBER(G524),AA524,0)</f>
        <v>0</v>
      </c>
      <c r="BC524" s="90" t="n">
        <f aca="false">IF(AND(Y524=0,ISNUMBER(AF524)),AA524*AF524,0)</f>
        <v>0</v>
      </c>
      <c r="BD524" s="90" t="n">
        <f aca="false">IF(AND(Y524=0,ISNUMBER(AF524)),AA524,0)</f>
        <v>0</v>
      </c>
      <c r="BE524" s="90" t="n">
        <f aca="false">IF(ISNUMBER(H524),AA524*H524,0)</f>
        <v>0</v>
      </c>
      <c r="BF524" s="90" t="n">
        <f aca="false">IF(ISNUMBER(H524),AA524,0)</f>
        <v>0</v>
      </c>
      <c r="BG524" s="90" t="n">
        <f aca="false">IF(AND(Y524=0,ISNUMBER(AF524),ISNUMBER(Z524)),AA524*Z524,0)</f>
        <v>0</v>
      </c>
      <c r="BH524" s="90" t="n">
        <f aca="false">IF(AND(Y524=0,ISNUMBER(AF524),ISNUMBER(Z524)),AA524*AT524*MAX(Z524-1,0),0)</f>
        <v>0</v>
      </c>
      <c r="BI524" s="90" t="n">
        <f aca="false">IF(Y524=0,AA524,0)</f>
        <v>0</v>
      </c>
    </row>
    <row r="525" customFormat="false" ht="15" hidden="false" customHeight="false" outlineLevel="0" collapsed="false">
      <c r="A525" s="83" t="str">
        <f aca="false">IFERROR(IF(INDEX(원자료_잔고!$A$1:$EZ$1500,설정!$L$5+ROW()-1,설정!$L$8)&amp;""="0","",INDEX(원자료_잔고!$A$1:$EZ$1500,설정!$L$5+ROW()-1,설정!$L$8)&amp;""),"")</f>
        <v/>
      </c>
      <c r="B525" s="83" t="str">
        <f aca="false">IFERROR(IF(INDEX(원자료_잔고!$A$1:$EZ$1500,설정!$L$5+ROW()-1,설정!$L$7)&amp;""="0","",INDEX(원자료_잔고!$A$1:$EZ$1500,설정!$L$5+ROW()-1,설정!$L$7)&amp;""),"")</f>
        <v/>
      </c>
      <c r="C525" s="83" t="str">
        <f aca="false">IFERROR(IF(INDEX(원자료_잔고!$A$1:$EZ$1500,설정!$L$5+ROW()-1,설정!$L$9)&amp;""="0","",INDEX(원자료_잔고!$A$1:$EZ$1500,설정!$L$5+ROW()-1,설정!$L$9)&amp;""),"")</f>
        <v/>
      </c>
      <c r="D525" s="83" t="str">
        <f aca="false">IFERROR(IF(INDEX(원자료_잔고!$A$1:$EZ$1500,설정!$L$5+ROW()-1,설정!$L$10)&amp;""="0","",INDEX(원자료_잔고!$A$1:$EZ$1500,설정!$L$5+ROW()-1,설정!$L$10)&amp;""),"")</f>
        <v/>
      </c>
      <c r="E525" s="84" t="str">
        <f aca="false">IFERROR(IF(ISNUMBER(INDEX(원자료_잔고!$A$1:$EZ$1500,설정!$L$5+ROW()-1,설정!$L$11)),INDEX(원자료_잔고!$A$1:$EZ$1500,설정!$L$5+ROW()-1,설정!$L$11),""),"")</f>
        <v/>
      </c>
      <c r="F525" s="85" t="str">
        <f aca="false">IFERROR(IF(ISNUMBER(INDEX(원자료_잔고!$A$1:$EZ$1500,설정!$L$5+ROW()-1,설정!$L$12)),INDEX(원자료_잔고!$A$1:$EZ$1500,설정!$L$5+ROW()-1,설정!$L$12),""),"")</f>
        <v/>
      </c>
      <c r="G525" s="85" t="str">
        <f aca="false">IFERROR(IF(ISNUMBER(INDEX(원자료_잔고!$A$1:$EZ$1500,설정!$L$5+ROW()-1,설정!$L$13)),INDEX(원자료_잔고!$A$1:$EZ$1500,설정!$L$5+ROW()-1,설정!$L$13),""),"")</f>
        <v/>
      </c>
      <c r="H525" s="85" t="str">
        <f aca="false">IFERROR(IF(ISNUMBER(INDEX(원자료_잔고!$A$1:$EZ$1500,설정!$L$5+ROW()-1,설정!$L$14)),INDEX(원자료_잔고!$A$1:$EZ$1500,설정!$L$5+ROW()-1,설정!$L$14),""),"")</f>
        <v/>
      </c>
      <c r="I525" s="86" t="str">
        <f aca="false">IFERROR(IF(ISNUMBER(INDEX(원자료_잔고!$A$1:$EZ$1500,설정!$L$5+ROW()-1,설정!$L$15)),INDEX(원자료_잔고!$A$1:$EZ$1500,설정!$L$5+ROW()-1,설정!$L$15),""),"")</f>
        <v/>
      </c>
      <c r="J525" s="85" t="str">
        <f aca="false">IFERROR(IF(ISNUMBER(INDEX(원자료_잔고!$A$1:$EZ$1500,설정!$L$5+ROW()-1,설정!$L$16)),INDEX(원자료_잔고!$A$1:$EZ$1500,설정!$L$5+ROW()-1,설정!$L$16),""),"")</f>
        <v/>
      </c>
      <c r="K525" s="87" t="str">
        <f aca="false">IFERROR(IF(ISNUMBER(INDEX(원자료_잔고!$A$1:$EZ$1500,설정!$L$5+ROW()-1,설정!$L$17)),INDEX(원자료_잔고!$A$1:$EZ$1500,설정!$L$5+ROW()-1,설정!$L$17),""),"")</f>
        <v/>
      </c>
      <c r="L525" s="84" t="str">
        <f aca="false">IFERROR(IF(ISNUMBER(INDEX(원자료_잔고!$A$1:$EZ$1500,설정!$L$5+ROW()-1,설정!$L$18)),INDEX(원자료_잔고!$A$1:$EZ$1500,설정!$L$5+ROW()-1,설정!$L$18),""),"")</f>
        <v/>
      </c>
      <c r="M525" s="88" t="str">
        <f aca="false">IFERROR(IF(ISNUMBER(INDEX(원자료_잔고!$A$1:$EZ$1500,설정!$L$5+ROW()-1,설정!$L$19)),INDEX(원자료_잔고!$A$1:$EZ$1500,설정!$L$5+ROW()-1,설정!$L$19),""),"")</f>
        <v/>
      </c>
      <c r="N525" s="83" t="str">
        <f aca="false">IFERROR(IF(INDEX(원자료_잔고!$A$1:$EZ$1500,설정!$L$5+ROW()-1,설정!$L$21)&amp;""="0","",INDEX(원자료_잔고!$A$1:$EZ$1500,설정!$L$5+ROW()-1,설정!$L$21)&amp;""),"")</f>
        <v/>
      </c>
      <c r="O525" s="83" t="str">
        <f aca="false">IFERROR(IF(INDEX(원자료_잔고!$A$1:$EZ$1500,설정!$L$5+ROW()-1,설정!$L$22)&amp;""="0","",INDEX(원자료_잔고!$A$1:$EZ$1500,설정!$L$5+ROW()-1,설정!$L$22)&amp;""),"")</f>
        <v/>
      </c>
      <c r="P525" s="83" t="str">
        <f aca="false">IFERROR(IF(INDEX(원자료_잔고!$A$1:$EZ$1500,설정!$L$5+ROW()-1,설정!$L$23)&amp;""="0","",INDEX(원자료_잔고!$A$1:$EZ$1500,설정!$L$5+ROW()-1,설정!$L$23)&amp;""),"")</f>
        <v/>
      </c>
      <c r="Q525" s="89" t="n">
        <f aca="false">IF(AND($A525&lt;&gt;"",ISNUMBER(E525)),IF(E525&gt;0,1,0),0)</f>
        <v>0</v>
      </c>
      <c r="R525" s="43" t="str">
        <f aca="false">IF(Q525=1,UPPER(LEFT($A525,FIND(" ",$A525&amp;" ")-1)),"")</f>
        <v/>
      </c>
      <c r="S525" s="89" t="n">
        <f aca="false">IF(Q525=1,IF(OR(ISNUMBER(SEARCH("Float",$A525)),ISNUMBER(SEARCH("FRN",$A525))),1,0),0)</f>
        <v>0</v>
      </c>
      <c r="T525" s="43" t="str">
        <f aca="false">IF(AND(Q525=1,ISNUMBER(I525)),TEXT(I525,"yyyymmdd")&amp;"|"&amp;IF(S525=1,"F",TEXT(J525,"0.000")),"")</f>
        <v/>
      </c>
      <c r="U525" s="90" t="str">
        <f aca="false">IF(AND(Q525=1,ISNUMBER(I525)),(I525-설정!$C$4)/365.25,"")</f>
        <v/>
      </c>
      <c r="V525" s="43" t="str">
        <f aca="false">IF(Q525&lt;&gt;1,"",IF(ISNUMBER(U525),IF(U525&lt;=1,"1년 이하",IF(U525&lt;=2,"1-2년",IF(U525&lt;=3,"2-3년",IF(U525&lt;=4,"3-4년",IF(U525&lt;=5,"4-5년",IF(U525&lt;=7,"5-7년",IF(U525&lt;=10,"7-10년",IF(U525&lt;=20,"10-20년","20년 이상")))))))),"미분류"))</f>
        <v/>
      </c>
      <c r="W525" s="43" t="str">
        <f aca="false">IF(Q525&lt;&gt;1,"",IF(AB525&lt;&gt;"",INDEX(시장분석!$C:$C,AB525),IF(K525=1,"USD","비USD")))</f>
        <v/>
      </c>
      <c r="X525" s="91" t="n">
        <f aca="false">IF(Q525=1,E525*K525/1000000,0)</f>
        <v>0</v>
      </c>
      <c r="Y525" s="89" t="n">
        <f aca="false">IF(R525="T",1,0)</f>
        <v>0</v>
      </c>
      <c r="Z525" s="92" t="str">
        <f aca="false">IF(Q525&lt;&gt;1,"",IF(AD525=1,IF(ISNUMBER(U525),MAX(U525,0),H525),H525))</f>
        <v/>
      </c>
      <c r="AA525" s="91" t="n">
        <f aca="false">IF(Q525=1,IF(ISNUMBER(L525),L525,0)*K525/1000000,0)</f>
        <v>0</v>
      </c>
      <c r="AB525" s="89" t="str">
        <f aca="false">IF(Q525&lt;&gt;1,"",IFERROR(MATCH(VLOOKUP(B525,매핑!$H$4:$I$15,2,0),시장분석!$A$2:$A$601,0)+1,IFERROR(MATCH(R525&amp;"|"&amp;T525,시장분석!$V$2:$V$601,0)+1,IF(COUNTIF(시장분석!$U$2:$U$601,T525)=1,MATCH(T525,시장분석!$U$2:$U$601,0)+1,""))))</f>
        <v/>
      </c>
      <c r="AC525" s="89" t="n">
        <f aca="false">IF(Q525&lt;&gt;1,0,IF(OR(설정!$C$5="전체",AND(설정!$C$5="선택펀드",IFERROR(COUNTIFS(설정!$F$16:$F$36,C525,설정!$G$16:$G$36,"Y")+COUNTIFS(설정!$F$16:$F$36,VALUE(C525),설정!$G$16:$G$36,"Y"),0)&gt;0),C525&amp;""=설정!$C$5&amp;""),1,0))</f>
        <v>0</v>
      </c>
      <c r="AD525" s="89" t="n">
        <f aca="false">IF(Q525&lt;&gt;1,0,IF(OR(S525=1,IF(AB525="",FALSE(),INDEX(시장분석!$R:$R,AB525)=1)),1,0))</f>
        <v>0</v>
      </c>
      <c r="AE525" s="43" t="str">
        <f aca="false">IF(AB525="","",INDEX(시장분석!$A:$A,AB525))</f>
        <v/>
      </c>
      <c r="AF525" s="93" t="str">
        <f aca="false">IF(AB525="","",IF(ISNUMBER(IF(AB525="","",INDEX(시장분석!$E:$E,AB525))),IF(AB525="","",INDEX(시장분석!$E:$E,AB525)),""))</f>
        <v/>
      </c>
      <c r="AG525" s="43" t="str">
        <f aca="false">IF(Q525&lt;&gt;1,"",IF(AB525&lt;&gt;"",IF(AB525="","",INDEX(시장분석!$L:$L,AB525)),IFERROR(IF(VLOOKUP(R525,매핑!$A$4:$E$92,5,0)="","미분류",VLOOKUP(R525,매핑!$A$4:$E$92,5,0)),"미분류")))</f>
        <v/>
      </c>
      <c r="AH525" s="43" t="str">
        <f aca="false">IF(Q525&lt;&gt;1,"",IF(AB525&lt;&gt;"",IF(AB525="","",INDEX(시장분석!$N:$N,AB525)),IFERROR(IF(VLOOKUP(R525,매핑!$A$4:$E$92,4,0)="","미분류",VLOOKUP(R525,매핑!$A$4:$E$92,4,0)),"미분류")))</f>
        <v/>
      </c>
      <c r="AI525" s="43" t="str">
        <f aca="false">IF(Q525&lt;&gt;1,"",IFERROR(IF(VLOOKUP(R525,매핑!$A$4:$E$92,3,0)="","미분류",VLOOKUP(R525,매핑!$A$4:$E$92,3,0)),IF(AB525&lt;&gt;"",IF(AB525="","",INDEX(시장분석!$W:$W,AB525)),"미분류")))</f>
        <v/>
      </c>
      <c r="AJ525" s="43" t="str">
        <f aca="false">IF(Q525&lt;&gt;1,"",IFERROR(VLOOKUP(IF(N525&lt;&gt;"",N525,IF(P525&lt;&gt;"",P525,O525)),설정!$A$15:$D$47,2,0),""))</f>
        <v/>
      </c>
      <c r="AK525" s="43" t="str">
        <f aca="false">IF(Q525&lt;&gt;1,"",IF(AJ525="","무등급",IFERROR(VLOOKUP(AJ525,설정!$A$15:$D$47,3,0),"무등급")))</f>
        <v/>
      </c>
      <c r="AL525" s="89" t="n">
        <f aca="false">IF(AJ525="",99,IFERROR(VLOOKUP(AJ525,설정!$A$15:$D$47,4,0),99))</f>
        <v>99</v>
      </c>
      <c r="AM525" s="94" t="n">
        <f aca="false">IF(ISNUMBER(H525),AA525*1000000*H525/10000,0)</f>
        <v>0</v>
      </c>
      <c r="AN525" s="94" t="n">
        <f aca="false">IF(OR(Y525=1,NOT(ISNUMBER(Z525))),0,AA525*1000000*Z525/10000)</f>
        <v>0</v>
      </c>
      <c r="AO525" s="94" t="n">
        <f aca="false">IF(ISNUMBER(G525),AA525*1000000*G525/100,0)</f>
        <v>0</v>
      </c>
      <c r="AP525" s="94" t="n">
        <f aca="false">IF(ISNUMBER(M525),M525*K525,0)</f>
        <v>0</v>
      </c>
      <c r="AQ525" s="95" t="str">
        <f aca="false">IF(AB525="","",INDEX(시장분석!$AK:$AK,AB525))</f>
        <v/>
      </c>
      <c r="AR525" s="43" t="str">
        <f aca="false">IF(AB525="","-",IF(AB525="","",INDEX(시장분석!$AL:$AL,AB525)))</f>
        <v>-</v>
      </c>
      <c r="AS525" s="96" t="str">
        <f aca="false">IF(AB525="","",INDEX(시장분석!$AJ:$AJ,AB525))</f>
        <v/>
      </c>
      <c r="AT525" s="93" t="n">
        <f aca="false">IF(AB525="",0,IF(AB525="","",INDEX(시장분석!$AN:$AN,AB525)))</f>
        <v>0</v>
      </c>
      <c r="AU525" s="94" t="n">
        <f aca="false">IF(ISNUMBER(Z525),AT525/10000*MAX(Z525-1,0)*AA525*1000000,0)</f>
        <v>0</v>
      </c>
      <c r="AV525" s="94" t="n">
        <f aca="false">AO525+AU525</f>
        <v>0</v>
      </c>
      <c r="AW525" s="43" t="str">
        <f aca="false">IF(Q525&lt;&gt;1,"",TRIM(IF(AD525=1,"FRN ","")&amp;IF(AND(AL525&gt;=10,AL525&lt;99),"BBB0미만 ","")&amp;IF(AJ525="","등급없음 ","")&amp;IF(K525&lt;&gt;1,"비USD ","")&amp;IF(AND(AB525="",Y525=0),"시장데이터없음 ","")&amp;IF(AND(ISNUMBER(U525),U525&lt;0),"만기경과 ","")))</f>
        <v/>
      </c>
      <c r="AX525" s="90" t="n">
        <f aca="false">IF(Q525&lt;&gt;1,1,IF(스프레드쇼크!$C$4="Y",INDEX(스프레드쇼크!$B$12:$L$16,IFERROR(MATCH(AH525,스프레드쇼크!$A$12:$A$16,0),MATCH("목록외",스프레드쇼크!$A$12:$A$16,0)),IFERROR(MATCH(AG525,스프레드쇼크!$B$11:$L$11,0),MATCH("목록외",스프레드쇼크!$B$11:$L$11,0))),1))</f>
        <v>1</v>
      </c>
      <c r="AY525" s="90" t="n">
        <f aca="false">IF(스프레드쇼크!$C$5="Y",IF(ISNUMBER(AF525),MIN(스프레드쇼크!$C$7,MAX(스프레드쇼크!$C$6,AF525/스프레드쇼크!$C$8)),1),1)</f>
        <v>1</v>
      </c>
      <c r="AZ525" s="94" t="n">
        <f aca="false">AN525*AX525*AY525</f>
        <v>0</v>
      </c>
      <c r="BA525" s="90" t="n">
        <f aca="false">IF(ISNUMBER(G525),AA525*G525,0)</f>
        <v>0</v>
      </c>
      <c r="BB525" s="90" t="n">
        <f aca="false">IF(ISNUMBER(G525),AA525,0)</f>
        <v>0</v>
      </c>
      <c r="BC525" s="90" t="n">
        <f aca="false">IF(AND(Y525=0,ISNUMBER(AF525)),AA525*AF525,0)</f>
        <v>0</v>
      </c>
      <c r="BD525" s="90" t="n">
        <f aca="false">IF(AND(Y525=0,ISNUMBER(AF525)),AA525,0)</f>
        <v>0</v>
      </c>
      <c r="BE525" s="90" t="n">
        <f aca="false">IF(ISNUMBER(H525),AA525*H525,0)</f>
        <v>0</v>
      </c>
      <c r="BF525" s="90" t="n">
        <f aca="false">IF(ISNUMBER(H525),AA525,0)</f>
        <v>0</v>
      </c>
      <c r="BG525" s="90" t="n">
        <f aca="false">IF(AND(Y525=0,ISNUMBER(AF525),ISNUMBER(Z525)),AA525*Z525,0)</f>
        <v>0</v>
      </c>
      <c r="BH525" s="90" t="n">
        <f aca="false">IF(AND(Y525=0,ISNUMBER(AF525),ISNUMBER(Z525)),AA525*AT525*MAX(Z525-1,0),0)</f>
        <v>0</v>
      </c>
      <c r="BI525" s="90" t="n">
        <f aca="false">IF(Y525=0,AA525,0)</f>
        <v>0</v>
      </c>
    </row>
    <row r="526" customFormat="false" ht="15" hidden="false" customHeight="false" outlineLevel="0" collapsed="false">
      <c r="A526" s="83" t="str">
        <f aca="false">IFERROR(IF(INDEX(원자료_잔고!$A$1:$EZ$1500,설정!$L$5+ROW()-1,설정!$L$8)&amp;""="0","",INDEX(원자료_잔고!$A$1:$EZ$1500,설정!$L$5+ROW()-1,설정!$L$8)&amp;""),"")</f>
        <v/>
      </c>
      <c r="B526" s="83" t="str">
        <f aca="false">IFERROR(IF(INDEX(원자료_잔고!$A$1:$EZ$1500,설정!$L$5+ROW()-1,설정!$L$7)&amp;""="0","",INDEX(원자료_잔고!$A$1:$EZ$1500,설정!$L$5+ROW()-1,설정!$L$7)&amp;""),"")</f>
        <v/>
      </c>
      <c r="C526" s="83" t="str">
        <f aca="false">IFERROR(IF(INDEX(원자료_잔고!$A$1:$EZ$1500,설정!$L$5+ROW()-1,설정!$L$9)&amp;""="0","",INDEX(원자료_잔고!$A$1:$EZ$1500,설정!$L$5+ROW()-1,설정!$L$9)&amp;""),"")</f>
        <v/>
      </c>
      <c r="D526" s="83" t="str">
        <f aca="false">IFERROR(IF(INDEX(원자료_잔고!$A$1:$EZ$1500,설정!$L$5+ROW()-1,설정!$L$10)&amp;""="0","",INDEX(원자료_잔고!$A$1:$EZ$1500,설정!$L$5+ROW()-1,설정!$L$10)&amp;""),"")</f>
        <v/>
      </c>
      <c r="E526" s="84" t="str">
        <f aca="false">IFERROR(IF(ISNUMBER(INDEX(원자료_잔고!$A$1:$EZ$1500,설정!$L$5+ROW()-1,설정!$L$11)),INDEX(원자료_잔고!$A$1:$EZ$1500,설정!$L$5+ROW()-1,설정!$L$11),""),"")</f>
        <v/>
      </c>
      <c r="F526" s="85" t="str">
        <f aca="false">IFERROR(IF(ISNUMBER(INDEX(원자료_잔고!$A$1:$EZ$1500,설정!$L$5+ROW()-1,설정!$L$12)),INDEX(원자료_잔고!$A$1:$EZ$1500,설정!$L$5+ROW()-1,설정!$L$12),""),"")</f>
        <v/>
      </c>
      <c r="G526" s="85" t="str">
        <f aca="false">IFERROR(IF(ISNUMBER(INDEX(원자료_잔고!$A$1:$EZ$1500,설정!$L$5+ROW()-1,설정!$L$13)),INDEX(원자료_잔고!$A$1:$EZ$1500,설정!$L$5+ROW()-1,설정!$L$13),""),"")</f>
        <v/>
      </c>
      <c r="H526" s="85" t="str">
        <f aca="false">IFERROR(IF(ISNUMBER(INDEX(원자료_잔고!$A$1:$EZ$1500,설정!$L$5+ROW()-1,설정!$L$14)),INDEX(원자료_잔고!$A$1:$EZ$1500,설정!$L$5+ROW()-1,설정!$L$14),""),"")</f>
        <v/>
      </c>
      <c r="I526" s="86" t="str">
        <f aca="false">IFERROR(IF(ISNUMBER(INDEX(원자료_잔고!$A$1:$EZ$1500,설정!$L$5+ROW()-1,설정!$L$15)),INDEX(원자료_잔고!$A$1:$EZ$1500,설정!$L$5+ROW()-1,설정!$L$15),""),"")</f>
        <v/>
      </c>
      <c r="J526" s="85" t="str">
        <f aca="false">IFERROR(IF(ISNUMBER(INDEX(원자료_잔고!$A$1:$EZ$1500,설정!$L$5+ROW()-1,설정!$L$16)),INDEX(원자료_잔고!$A$1:$EZ$1500,설정!$L$5+ROW()-1,설정!$L$16),""),"")</f>
        <v/>
      </c>
      <c r="K526" s="87" t="str">
        <f aca="false">IFERROR(IF(ISNUMBER(INDEX(원자료_잔고!$A$1:$EZ$1500,설정!$L$5+ROW()-1,설정!$L$17)),INDEX(원자료_잔고!$A$1:$EZ$1500,설정!$L$5+ROW()-1,설정!$L$17),""),"")</f>
        <v/>
      </c>
      <c r="L526" s="84" t="str">
        <f aca="false">IFERROR(IF(ISNUMBER(INDEX(원자료_잔고!$A$1:$EZ$1500,설정!$L$5+ROW()-1,설정!$L$18)),INDEX(원자료_잔고!$A$1:$EZ$1500,설정!$L$5+ROW()-1,설정!$L$18),""),"")</f>
        <v/>
      </c>
      <c r="M526" s="88" t="str">
        <f aca="false">IFERROR(IF(ISNUMBER(INDEX(원자료_잔고!$A$1:$EZ$1500,설정!$L$5+ROW()-1,설정!$L$19)),INDEX(원자료_잔고!$A$1:$EZ$1500,설정!$L$5+ROW()-1,설정!$L$19),""),"")</f>
        <v/>
      </c>
      <c r="N526" s="83" t="str">
        <f aca="false">IFERROR(IF(INDEX(원자료_잔고!$A$1:$EZ$1500,설정!$L$5+ROW()-1,설정!$L$21)&amp;""="0","",INDEX(원자료_잔고!$A$1:$EZ$1500,설정!$L$5+ROW()-1,설정!$L$21)&amp;""),"")</f>
        <v/>
      </c>
      <c r="O526" s="83" t="str">
        <f aca="false">IFERROR(IF(INDEX(원자료_잔고!$A$1:$EZ$1500,설정!$L$5+ROW()-1,설정!$L$22)&amp;""="0","",INDEX(원자료_잔고!$A$1:$EZ$1500,설정!$L$5+ROW()-1,설정!$L$22)&amp;""),"")</f>
        <v/>
      </c>
      <c r="P526" s="83" t="str">
        <f aca="false">IFERROR(IF(INDEX(원자료_잔고!$A$1:$EZ$1500,설정!$L$5+ROW()-1,설정!$L$23)&amp;""="0","",INDEX(원자료_잔고!$A$1:$EZ$1500,설정!$L$5+ROW()-1,설정!$L$23)&amp;""),"")</f>
        <v/>
      </c>
      <c r="Q526" s="89" t="n">
        <f aca="false">IF(AND($A526&lt;&gt;"",ISNUMBER(E526)),IF(E526&gt;0,1,0),0)</f>
        <v>0</v>
      </c>
      <c r="R526" s="43" t="str">
        <f aca="false">IF(Q526=1,UPPER(LEFT($A526,FIND(" ",$A526&amp;" ")-1)),"")</f>
        <v/>
      </c>
      <c r="S526" s="89" t="n">
        <f aca="false">IF(Q526=1,IF(OR(ISNUMBER(SEARCH("Float",$A526)),ISNUMBER(SEARCH("FRN",$A526))),1,0),0)</f>
        <v>0</v>
      </c>
      <c r="T526" s="43" t="str">
        <f aca="false">IF(AND(Q526=1,ISNUMBER(I526)),TEXT(I526,"yyyymmdd")&amp;"|"&amp;IF(S526=1,"F",TEXT(J526,"0.000")),"")</f>
        <v/>
      </c>
      <c r="U526" s="90" t="str">
        <f aca="false">IF(AND(Q526=1,ISNUMBER(I526)),(I526-설정!$C$4)/365.25,"")</f>
        <v/>
      </c>
      <c r="V526" s="43" t="str">
        <f aca="false">IF(Q526&lt;&gt;1,"",IF(ISNUMBER(U526),IF(U526&lt;=1,"1년 이하",IF(U526&lt;=2,"1-2년",IF(U526&lt;=3,"2-3년",IF(U526&lt;=4,"3-4년",IF(U526&lt;=5,"4-5년",IF(U526&lt;=7,"5-7년",IF(U526&lt;=10,"7-10년",IF(U526&lt;=20,"10-20년","20년 이상")))))))),"미분류"))</f>
        <v/>
      </c>
      <c r="W526" s="43" t="str">
        <f aca="false">IF(Q526&lt;&gt;1,"",IF(AB526&lt;&gt;"",INDEX(시장분석!$C:$C,AB526),IF(K526=1,"USD","비USD")))</f>
        <v/>
      </c>
      <c r="X526" s="91" t="n">
        <f aca="false">IF(Q526=1,E526*K526/1000000,0)</f>
        <v>0</v>
      </c>
      <c r="Y526" s="89" t="n">
        <f aca="false">IF(R526="T",1,0)</f>
        <v>0</v>
      </c>
      <c r="Z526" s="92" t="str">
        <f aca="false">IF(Q526&lt;&gt;1,"",IF(AD526=1,IF(ISNUMBER(U526),MAX(U526,0),H526),H526))</f>
        <v/>
      </c>
      <c r="AA526" s="91" t="n">
        <f aca="false">IF(Q526=1,IF(ISNUMBER(L526),L526,0)*K526/1000000,0)</f>
        <v>0</v>
      </c>
      <c r="AB526" s="89" t="str">
        <f aca="false">IF(Q526&lt;&gt;1,"",IFERROR(MATCH(VLOOKUP(B526,매핑!$H$4:$I$15,2,0),시장분석!$A$2:$A$601,0)+1,IFERROR(MATCH(R526&amp;"|"&amp;T526,시장분석!$V$2:$V$601,0)+1,IF(COUNTIF(시장분석!$U$2:$U$601,T526)=1,MATCH(T526,시장분석!$U$2:$U$601,0)+1,""))))</f>
        <v/>
      </c>
      <c r="AC526" s="89" t="n">
        <f aca="false">IF(Q526&lt;&gt;1,0,IF(OR(설정!$C$5="전체",AND(설정!$C$5="선택펀드",IFERROR(COUNTIFS(설정!$F$16:$F$36,C526,설정!$G$16:$G$36,"Y")+COUNTIFS(설정!$F$16:$F$36,VALUE(C526),설정!$G$16:$G$36,"Y"),0)&gt;0),C526&amp;""=설정!$C$5&amp;""),1,0))</f>
        <v>0</v>
      </c>
      <c r="AD526" s="89" t="n">
        <f aca="false">IF(Q526&lt;&gt;1,0,IF(OR(S526=1,IF(AB526="",FALSE(),INDEX(시장분석!$R:$R,AB526)=1)),1,0))</f>
        <v>0</v>
      </c>
      <c r="AE526" s="43" t="str">
        <f aca="false">IF(AB526="","",INDEX(시장분석!$A:$A,AB526))</f>
        <v/>
      </c>
      <c r="AF526" s="93" t="str">
        <f aca="false">IF(AB526="","",IF(ISNUMBER(IF(AB526="","",INDEX(시장분석!$E:$E,AB526))),IF(AB526="","",INDEX(시장분석!$E:$E,AB526)),""))</f>
        <v/>
      </c>
      <c r="AG526" s="43" t="str">
        <f aca="false">IF(Q526&lt;&gt;1,"",IF(AB526&lt;&gt;"",IF(AB526="","",INDEX(시장분석!$L:$L,AB526)),IFERROR(IF(VLOOKUP(R526,매핑!$A$4:$E$92,5,0)="","미분류",VLOOKUP(R526,매핑!$A$4:$E$92,5,0)),"미분류")))</f>
        <v/>
      </c>
      <c r="AH526" s="43" t="str">
        <f aca="false">IF(Q526&lt;&gt;1,"",IF(AB526&lt;&gt;"",IF(AB526="","",INDEX(시장분석!$N:$N,AB526)),IFERROR(IF(VLOOKUP(R526,매핑!$A$4:$E$92,4,0)="","미분류",VLOOKUP(R526,매핑!$A$4:$E$92,4,0)),"미분류")))</f>
        <v/>
      </c>
      <c r="AI526" s="43" t="str">
        <f aca="false">IF(Q526&lt;&gt;1,"",IFERROR(IF(VLOOKUP(R526,매핑!$A$4:$E$92,3,0)="","미분류",VLOOKUP(R526,매핑!$A$4:$E$92,3,0)),IF(AB526&lt;&gt;"",IF(AB526="","",INDEX(시장분석!$W:$W,AB526)),"미분류")))</f>
        <v/>
      </c>
      <c r="AJ526" s="43" t="str">
        <f aca="false">IF(Q526&lt;&gt;1,"",IFERROR(VLOOKUP(IF(N526&lt;&gt;"",N526,IF(P526&lt;&gt;"",P526,O526)),설정!$A$15:$D$47,2,0),""))</f>
        <v/>
      </c>
      <c r="AK526" s="43" t="str">
        <f aca="false">IF(Q526&lt;&gt;1,"",IF(AJ526="","무등급",IFERROR(VLOOKUP(AJ526,설정!$A$15:$D$47,3,0),"무등급")))</f>
        <v/>
      </c>
      <c r="AL526" s="89" t="n">
        <f aca="false">IF(AJ526="",99,IFERROR(VLOOKUP(AJ526,설정!$A$15:$D$47,4,0),99))</f>
        <v>99</v>
      </c>
      <c r="AM526" s="94" t="n">
        <f aca="false">IF(ISNUMBER(H526),AA526*1000000*H526/10000,0)</f>
        <v>0</v>
      </c>
      <c r="AN526" s="94" t="n">
        <f aca="false">IF(OR(Y526=1,NOT(ISNUMBER(Z526))),0,AA526*1000000*Z526/10000)</f>
        <v>0</v>
      </c>
      <c r="AO526" s="94" t="n">
        <f aca="false">IF(ISNUMBER(G526),AA526*1000000*G526/100,0)</f>
        <v>0</v>
      </c>
      <c r="AP526" s="94" t="n">
        <f aca="false">IF(ISNUMBER(M526),M526*K526,0)</f>
        <v>0</v>
      </c>
      <c r="AQ526" s="95" t="str">
        <f aca="false">IF(AB526="","",INDEX(시장분석!$AK:$AK,AB526))</f>
        <v/>
      </c>
      <c r="AR526" s="43" t="str">
        <f aca="false">IF(AB526="","-",IF(AB526="","",INDEX(시장분석!$AL:$AL,AB526)))</f>
        <v>-</v>
      </c>
      <c r="AS526" s="96" t="str">
        <f aca="false">IF(AB526="","",INDEX(시장분석!$AJ:$AJ,AB526))</f>
        <v/>
      </c>
      <c r="AT526" s="93" t="n">
        <f aca="false">IF(AB526="",0,IF(AB526="","",INDEX(시장분석!$AN:$AN,AB526)))</f>
        <v>0</v>
      </c>
      <c r="AU526" s="94" t="n">
        <f aca="false">IF(ISNUMBER(Z526),AT526/10000*MAX(Z526-1,0)*AA526*1000000,0)</f>
        <v>0</v>
      </c>
      <c r="AV526" s="94" t="n">
        <f aca="false">AO526+AU526</f>
        <v>0</v>
      </c>
      <c r="AW526" s="43" t="str">
        <f aca="false">IF(Q526&lt;&gt;1,"",TRIM(IF(AD526=1,"FRN ","")&amp;IF(AND(AL526&gt;=10,AL526&lt;99),"BBB0미만 ","")&amp;IF(AJ526="","등급없음 ","")&amp;IF(K526&lt;&gt;1,"비USD ","")&amp;IF(AND(AB526="",Y526=0),"시장데이터없음 ","")&amp;IF(AND(ISNUMBER(U526),U526&lt;0),"만기경과 ","")))</f>
        <v/>
      </c>
      <c r="AX526" s="90" t="n">
        <f aca="false">IF(Q526&lt;&gt;1,1,IF(스프레드쇼크!$C$4="Y",INDEX(스프레드쇼크!$B$12:$L$16,IFERROR(MATCH(AH526,스프레드쇼크!$A$12:$A$16,0),MATCH("목록외",스프레드쇼크!$A$12:$A$16,0)),IFERROR(MATCH(AG526,스프레드쇼크!$B$11:$L$11,0),MATCH("목록외",스프레드쇼크!$B$11:$L$11,0))),1))</f>
        <v>1</v>
      </c>
      <c r="AY526" s="90" t="n">
        <f aca="false">IF(스프레드쇼크!$C$5="Y",IF(ISNUMBER(AF526),MIN(스프레드쇼크!$C$7,MAX(스프레드쇼크!$C$6,AF526/스프레드쇼크!$C$8)),1),1)</f>
        <v>1</v>
      </c>
      <c r="AZ526" s="94" t="n">
        <f aca="false">AN526*AX526*AY526</f>
        <v>0</v>
      </c>
      <c r="BA526" s="90" t="n">
        <f aca="false">IF(ISNUMBER(G526),AA526*G526,0)</f>
        <v>0</v>
      </c>
      <c r="BB526" s="90" t="n">
        <f aca="false">IF(ISNUMBER(G526),AA526,0)</f>
        <v>0</v>
      </c>
      <c r="BC526" s="90" t="n">
        <f aca="false">IF(AND(Y526=0,ISNUMBER(AF526)),AA526*AF526,0)</f>
        <v>0</v>
      </c>
      <c r="BD526" s="90" t="n">
        <f aca="false">IF(AND(Y526=0,ISNUMBER(AF526)),AA526,0)</f>
        <v>0</v>
      </c>
      <c r="BE526" s="90" t="n">
        <f aca="false">IF(ISNUMBER(H526),AA526*H526,0)</f>
        <v>0</v>
      </c>
      <c r="BF526" s="90" t="n">
        <f aca="false">IF(ISNUMBER(H526),AA526,0)</f>
        <v>0</v>
      </c>
      <c r="BG526" s="90" t="n">
        <f aca="false">IF(AND(Y526=0,ISNUMBER(AF526),ISNUMBER(Z526)),AA526*Z526,0)</f>
        <v>0</v>
      </c>
      <c r="BH526" s="90" t="n">
        <f aca="false">IF(AND(Y526=0,ISNUMBER(AF526),ISNUMBER(Z526)),AA526*AT526*MAX(Z526-1,0),0)</f>
        <v>0</v>
      </c>
      <c r="BI526" s="90" t="n">
        <f aca="false">IF(Y526=0,AA526,0)</f>
        <v>0</v>
      </c>
    </row>
    <row r="527" customFormat="false" ht="15" hidden="false" customHeight="false" outlineLevel="0" collapsed="false">
      <c r="A527" s="83" t="str">
        <f aca="false">IFERROR(IF(INDEX(원자료_잔고!$A$1:$EZ$1500,설정!$L$5+ROW()-1,설정!$L$8)&amp;""="0","",INDEX(원자료_잔고!$A$1:$EZ$1500,설정!$L$5+ROW()-1,설정!$L$8)&amp;""),"")</f>
        <v/>
      </c>
      <c r="B527" s="83" t="str">
        <f aca="false">IFERROR(IF(INDEX(원자료_잔고!$A$1:$EZ$1500,설정!$L$5+ROW()-1,설정!$L$7)&amp;""="0","",INDEX(원자료_잔고!$A$1:$EZ$1500,설정!$L$5+ROW()-1,설정!$L$7)&amp;""),"")</f>
        <v/>
      </c>
      <c r="C527" s="83" t="str">
        <f aca="false">IFERROR(IF(INDEX(원자료_잔고!$A$1:$EZ$1500,설정!$L$5+ROW()-1,설정!$L$9)&amp;""="0","",INDEX(원자료_잔고!$A$1:$EZ$1500,설정!$L$5+ROW()-1,설정!$L$9)&amp;""),"")</f>
        <v/>
      </c>
      <c r="D527" s="83" t="str">
        <f aca="false">IFERROR(IF(INDEX(원자료_잔고!$A$1:$EZ$1500,설정!$L$5+ROW()-1,설정!$L$10)&amp;""="0","",INDEX(원자료_잔고!$A$1:$EZ$1500,설정!$L$5+ROW()-1,설정!$L$10)&amp;""),"")</f>
        <v/>
      </c>
      <c r="E527" s="84" t="str">
        <f aca="false">IFERROR(IF(ISNUMBER(INDEX(원자료_잔고!$A$1:$EZ$1500,설정!$L$5+ROW()-1,설정!$L$11)),INDEX(원자료_잔고!$A$1:$EZ$1500,설정!$L$5+ROW()-1,설정!$L$11),""),"")</f>
        <v/>
      </c>
      <c r="F527" s="85" t="str">
        <f aca="false">IFERROR(IF(ISNUMBER(INDEX(원자료_잔고!$A$1:$EZ$1500,설정!$L$5+ROW()-1,설정!$L$12)),INDEX(원자료_잔고!$A$1:$EZ$1500,설정!$L$5+ROW()-1,설정!$L$12),""),"")</f>
        <v/>
      </c>
      <c r="G527" s="85" t="str">
        <f aca="false">IFERROR(IF(ISNUMBER(INDEX(원자료_잔고!$A$1:$EZ$1500,설정!$L$5+ROW()-1,설정!$L$13)),INDEX(원자료_잔고!$A$1:$EZ$1500,설정!$L$5+ROW()-1,설정!$L$13),""),"")</f>
        <v/>
      </c>
      <c r="H527" s="85" t="str">
        <f aca="false">IFERROR(IF(ISNUMBER(INDEX(원자료_잔고!$A$1:$EZ$1500,설정!$L$5+ROW()-1,설정!$L$14)),INDEX(원자료_잔고!$A$1:$EZ$1500,설정!$L$5+ROW()-1,설정!$L$14),""),"")</f>
        <v/>
      </c>
      <c r="I527" s="86" t="str">
        <f aca="false">IFERROR(IF(ISNUMBER(INDEX(원자료_잔고!$A$1:$EZ$1500,설정!$L$5+ROW()-1,설정!$L$15)),INDEX(원자료_잔고!$A$1:$EZ$1500,설정!$L$5+ROW()-1,설정!$L$15),""),"")</f>
        <v/>
      </c>
      <c r="J527" s="85" t="str">
        <f aca="false">IFERROR(IF(ISNUMBER(INDEX(원자료_잔고!$A$1:$EZ$1500,설정!$L$5+ROW()-1,설정!$L$16)),INDEX(원자료_잔고!$A$1:$EZ$1500,설정!$L$5+ROW()-1,설정!$L$16),""),"")</f>
        <v/>
      </c>
      <c r="K527" s="87" t="str">
        <f aca="false">IFERROR(IF(ISNUMBER(INDEX(원자료_잔고!$A$1:$EZ$1500,설정!$L$5+ROW()-1,설정!$L$17)),INDEX(원자료_잔고!$A$1:$EZ$1500,설정!$L$5+ROW()-1,설정!$L$17),""),"")</f>
        <v/>
      </c>
      <c r="L527" s="84" t="str">
        <f aca="false">IFERROR(IF(ISNUMBER(INDEX(원자료_잔고!$A$1:$EZ$1500,설정!$L$5+ROW()-1,설정!$L$18)),INDEX(원자료_잔고!$A$1:$EZ$1500,설정!$L$5+ROW()-1,설정!$L$18),""),"")</f>
        <v/>
      </c>
      <c r="M527" s="88" t="str">
        <f aca="false">IFERROR(IF(ISNUMBER(INDEX(원자료_잔고!$A$1:$EZ$1500,설정!$L$5+ROW()-1,설정!$L$19)),INDEX(원자료_잔고!$A$1:$EZ$1500,설정!$L$5+ROW()-1,설정!$L$19),""),"")</f>
        <v/>
      </c>
      <c r="N527" s="83" t="str">
        <f aca="false">IFERROR(IF(INDEX(원자료_잔고!$A$1:$EZ$1500,설정!$L$5+ROW()-1,설정!$L$21)&amp;""="0","",INDEX(원자료_잔고!$A$1:$EZ$1500,설정!$L$5+ROW()-1,설정!$L$21)&amp;""),"")</f>
        <v/>
      </c>
      <c r="O527" s="83" t="str">
        <f aca="false">IFERROR(IF(INDEX(원자료_잔고!$A$1:$EZ$1500,설정!$L$5+ROW()-1,설정!$L$22)&amp;""="0","",INDEX(원자료_잔고!$A$1:$EZ$1500,설정!$L$5+ROW()-1,설정!$L$22)&amp;""),"")</f>
        <v/>
      </c>
      <c r="P527" s="83" t="str">
        <f aca="false">IFERROR(IF(INDEX(원자료_잔고!$A$1:$EZ$1500,설정!$L$5+ROW()-1,설정!$L$23)&amp;""="0","",INDEX(원자료_잔고!$A$1:$EZ$1500,설정!$L$5+ROW()-1,설정!$L$23)&amp;""),"")</f>
        <v/>
      </c>
      <c r="Q527" s="89" t="n">
        <f aca="false">IF(AND($A527&lt;&gt;"",ISNUMBER(E527)),IF(E527&gt;0,1,0),0)</f>
        <v>0</v>
      </c>
      <c r="R527" s="43" t="str">
        <f aca="false">IF(Q527=1,UPPER(LEFT($A527,FIND(" ",$A527&amp;" ")-1)),"")</f>
        <v/>
      </c>
      <c r="S527" s="89" t="n">
        <f aca="false">IF(Q527=1,IF(OR(ISNUMBER(SEARCH("Float",$A527)),ISNUMBER(SEARCH("FRN",$A527))),1,0),0)</f>
        <v>0</v>
      </c>
      <c r="T527" s="43" t="str">
        <f aca="false">IF(AND(Q527=1,ISNUMBER(I527)),TEXT(I527,"yyyymmdd")&amp;"|"&amp;IF(S527=1,"F",TEXT(J527,"0.000")),"")</f>
        <v/>
      </c>
      <c r="U527" s="90" t="str">
        <f aca="false">IF(AND(Q527=1,ISNUMBER(I527)),(I527-설정!$C$4)/365.25,"")</f>
        <v/>
      </c>
      <c r="V527" s="43" t="str">
        <f aca="false">IF(Q527&lt;&gt;1,"",IF(ISNUMBER(U527),IF(U527&lt;=1,"1년 이하",IF(U527&lt;=2,"1-2년",IF(U527&lt;=3,"2-3년",IF(U527&lt;=4,"3-4년",IF(U527&lt;=5,"4-5년",IF(U527&lt;=7,"5-7년",IF(U527&lt;=10,"7-10년",IF(U527&lt;=20,"10-20년","20년 이상")))))))),"미분류"))</f>
        <v/>
      </c>
      <c r="W527" s="43" t="str">
        <f aca="false">IF(Q527&lt;&gt;1,"",IF(AB527&lt;&gt;"",INDEX(시장분석!$C:$C,AB527),IF(K527=1,"USD","비USD")))</f>
        <v/>
      </c>
      <c r="X527" s="91" t="n">
        <f aca="false">IF(Q527=1,E527*K527/1000000,0)</f>
        <v>0</v>
      </c>
      <c r="Y527" s="89" t="n">
        <f aca="false">IF(R527="T",1,0)</f>
        <v>0</v>
      </c>
      <c r="Z527" s="92" t="str">
        <f aca="false">IF(Q527&lt;&gt;1,"",IF(AD527=1,IF(ISNUMBER(U527),MAX(U527,0),H527),H527))</f>
        <v/>
      </c>
      <c r="AA527" s="91" t="n">
        <f aca="false">IF(Q527=1,IF(ISNUMBER(L527),L527,0)*K527/1000000,0)</f>
        <v>0</v>
      </c>
      <c r="AB527" s="89" t="str">
        <f aca="false">IF(Q527&lt;&gt;1,"",IFERROR(MATCH(VLOOKUP(B527,매핑!$H$4:$I$15,2,0),시장분석!$A$2:$A$601,0)+1,IFERROR(MATCH(R527&amp;"|"&amp;T527,시장분석!$V$2:$V$601,0)+1,IF(COUNTIF(시장분석!$U$2:$U$601,T527)=1,MATCH(T527,시장분석!$U$2:$U$601,0)+1,""))))</f>
        <v/>
      </c>
      <c r="AC527" s="89" t="n">
        <f aca="false">IF(Q527&lt;&gt;1,0,IF(OR(설정!$C$5="전체",AND(설정!$C$5="선택펀드",IFERROR(COUNTIFS(설정!$F$16:$F$36,C527,설정!$G$16:$G$36,"Y")+COUNTIFS(설정!$F$16:$F$36,VALUE(C527),설정!$G$16:$G$36,"Y"),0)&gt;0),C527&amp;""=설정!$C$5&amp;""),1,0))</f>
        <v>0</v>
      </c>
      <c r="AD527" s="89" t="n">
        <f aca="false">IF(Q527&lt;&gt;1,0,IF(OR(S527=1,IF(AB527="",FALSE(),INDEX(시장분석!$R:$R,AB527)=1)),1,0))</f>
        <v>0</v>
      </c>
      <c r="AE527" s="43" t="str">
        <f aca="false">IF(AB527="","",INDEX(시장분석!$A:$A,AB527))</f>
        <v/>
      </c>
      <c r="AF527" s="93" t="str">
        <f aca="false">IF(AB527="","",IF(ISNUMBER(IF(AB527="","",INDEX(시장분석!$E:$E,AB527))),IF(AB527="","",INDEX(시장분석!$E:$E,AB527)),""))</f>
        <v/>
      </c>
      <c r="AG527" s="43" t="str">
        <f aca="false">IF(Q527&lt;&gt;1,"",IF(AB527&lt;&gt;"",IF(AB527="","",INDEX(시장분석!$L:$L,AB527)),IFERROR(IF(VLOOKUP(R527,매핑!$A$4:$E$92,5,0)="","미분류",VLOOKUP(R527,매핑!$A$4:$E$92,5,0)),"미분류")))</f>
        <v/>
      </c>
      <c r="AH527" s="43" t="str">
        <f aca="false">IF(Q527&lt;&gt;1,"",IF(AB527&lt;&gt;"",IF(AB527="","",INDEX(시장분석!$N:$N,AB527)),IFERROR(IF(VLOOKUP(R527,매핑!$A$4:$E$92,4,0)="","미분류",VLOOKUP(R527,매핑!$A$4:$E$92,4,0)),"미분류")))</f>
        <v/>
      </c>
      <c r="AI527" s="43" t="str">
        <f aca="false">IF(Q527&lt;&gt;1,"",IFERROR(IF(VLOOKUP(R527,매핑!$A$4:$E$92,3,0)="","미분류",VLOOKUP(R527,매핑!$A$4:$E$92,3,0)),IF(AB527&lt;&gt;"",IF(AB527="","",INDEX(시장분석!$W:$W,AB527)),"미분류")))</f>
        <v/>
      </c>
      <c r="AJ527" s="43" t="str">
        <f aca="false">IF(Q527&lt;&gt;1,"",IFERROR(VLOOKUP(IF(N527&lt;&gt;"",N527,IF(P527&lt;&gt;"",P527,O527)),설정!$A$15:$D$47,2,0),""))</f>
        <v/>
      </c>
      <c r="AK527" s="43" t="str">
        <f aca="false">IF(Q527&lt;&gt;1,"",IF(AJ527="","무등급",IFERROR(VLOOKUP(AJ527,설정!$A$15:$D$47,3,0),"무등급")))</f>
        <v/>
      </c>
      <c r="AL527" s="89" t="n">
        <f aca="false">IF(AJ527="",99,IFERROR(VLOOKUP(AJ527,설정!$A$15:$D$47,4,0),99))</f>
        <v>99</v>
      </c>
      <c r="AM527" s="94" t="n">
        <f aca="false">IF(ISNUMBER(H527),AA527*1000000*H527/10000,0)</f>
        <v>0</v>
      </c>
      <c r="AN527" s="94" t="n">
        <f aca="false">IF(OR(Y527=1,NOT(ISNUMBER(Z527))),0,AA527*1000000*Z527/10000)</f>
        <v>0</v>
      </c>
      <c r="AO527" s="94" t="n">
        <f aca="false">IF(ISNUMBER(G527),AA527*1000000*G527/100,0)</f>
        <v>0</v>
      </c>
      <c r="AP527" s="94" t="n">
        <f aca="false">IF(ISNUMBER(M527),M527*K527,0)</f>
        <v>0</v>
      </c>
      <c r="AQ527" s="95" t="str">
        <f aca="false">IF(AB527="","",INDEX(시장분석!$AK:$AK,AB527))</f>
        <v/>
      </c>
      <c r="AR527" s="43" t="str">
        <f aca="false">IF(AB527="","-",IF(AB527="","",INDEX(시장분석!$AL:$AL,AB527)))</f>
        <v>-</v>
      </c>
      <c r="AS527" s="96" t="str">
        <f aca="false">IF(AB527="","",INDEX(시장분석!$AJ:$AJ,AB527))</f>
        <v/>
      </c>
      <c r="AT527" s="93" t="n">
        <f aca="false">IF(AB527="",0,IF(AB527="","",INDEX(시장분석!$AN:$AN,AB527)))</f>
        <v>0</v>
      </c>
      <c r="AU527" s="94" t="n">
        <f aca="false">IF(ISNUMBER(Z527),AT527/10000*MAX(Z527-1,0)*AA527*1000000,0)</f>
        <v>0</v>
      </c>
      <c r="AV527" s="94" t="n">
        <f aca="false">AO527+AU527</f>
        <v>0</v>
      </c>
      <c r="AW527" s="43" t="str">
        <f aca="false">IF(Q527&lt;&gt;1,"",TRIM(IF(AD527=1,"FRN ","")&amp;IF(AND(AL527&gt;=10,AL527&lt;99),"BBB0미만 ","")&amp;IF(AJ527="","등급없음 ","")&amp;IF(K527&lt;&gt;1,"비USD ","")&amp;IF(AND(AB527="",Y527=0),"시장데이터없음 ","")&amp;IF(AND(ISNUMBER(U527),U527&lt;0),"만기경과 ","")))</f>
        <v/>
      </c>
      <c r="AX527" s="90" t="n">
        <f aca="false">IF(Q527&lt;&gt;1,1,IF(스프레드쇼크!$C$4="Y",INDEX(스프레드쇼크!$B$12:$L$16,IFERROR(MATCH(AH527,스프레드쇼크!$A$12:$A$16,0),MATCH("목록외",스프레드쇼크!$A$12:$A$16,0)),IFERROR(MATCH(AG527,스프레드쇼크!$B$11:$L$11,0),MATCH("목록외",스프레드쇼크!$B$11:$L$11,0))),1))</f>
        <v>1</v>
      </c>
      <c r="AY527" s="90" t="n">
        <f aca="false">IF(스프레드쇼크!$C$5="Y",IF(ISNUMBER(AF527),MIN(스프레드쇼크!$C$7,MAX(스프레드쇼크!$C$6,AF527/스프레드쇼크!$C$8)),1),1)</f>
        <v>1</v>
      </c>
      <c r="AZ527" s="94" t="n">
        <f aca="false">AN527*AX527*AY527</f>
        <v>0</v>
      </c>
      <c r="BA527" s="90" t="n">
        <f aca="false">IF(ISNUMBER(G527),AA527*G527,0)</f>
        <v>0</v>
      </c>
      <c r="BB527" s="90" t="n">
        <f aca="false">IF(ISNUMBER(G527),AA527,0)</f>
        <v>0</v>
      </c>
      <c r="BC527" s="90" t="n">
        <f aca="false">IF(AND(Y527=0,ISNUMBER(AF527)),AA527*AF527,0)</f>
        <v>0</v>
      </c>
      <c r="BD527" s="90" t="n">
        <f aca="false">IF(AND(Y527=0,ISNUMBER(AF527)),AA527,0)</f>
        <v>0</v>
      </c>
      <c r="BE527" s="90" t="n">
        <f aca="false">IF(ISNUMBER(H527),AA527*H527,0)</f>
        <v>0</v>
      </c>
      <c r="BF527" s="90" t="n">
        <f aca="false">IF(ISNUMBER(H527),AA527,0)</f>
        <v>0</v>
      </c>
      <c r="BG527" s="90" t="n">
        <f aca="false">IF(AND(Y527=0,ISNUMBER(AF527),ISNUMBER(Z527)),AA527*Z527,0)</f>
        <v>0</v>
      </c>
      <c r="BH527" s="90" t="n">
        <f aca="false">IF(AND(Y527=0,ISNUMBER(AF527),ISNUMBER(Z527)),AA527*AT527*MAX(Z527-1,0),0)</f>
        <v>0</v>
      </c>
      <c r="BI527" s="90" t="n">
        <f aca="false">IF(Y527=0,AA527,0)</f>
        <v>0</v>
      </c>
    </row>
    <row r="528" customFormat="false" ht="15" hidden="false" customHeight="false" outlineLevel="0" collapsed="false">
      <c r="A528" s="83" t="str">
        <f aca="false">IFERROR(IF(INDEX(원자료_잔고!$A$1:$EZ$1500,설정!$L$5+ROW()-1,설정!$L$8)&amp;""="0","",INDEX(원자료_잔고!$A$1:$EZ$1500,설정!$L$5+ROW()-1,설정!$L$8)&amp;""),"")</f>
        <v/>
      </c>
      <c r="B528" s="83" t="str">
        <f aca="false">IFERROR(IF(INDEX(원자료_잔고!$A$1:$EZ$1500,설정!$L$5+ROW()-1,설정!$L$7)&amp;""="0","",INDEX(원자료_잔고!$A$1:$EZ$1500,설정!$L$5+ROW()-1,설정!$L$7)&amp;""),"")</f>
        <v/>
      </c>
      <c r="C528" s="83" t="str">
        <f aca="false">IFERROR(IF(INDEX(원자료_잔고!$A$1:$EZ$1500,설정!$L$5+ROW()-1,설정!$L$9)&amp;""="0","",INDEX(원자료_잔고!$A$1:$EZ$1500,설정!$L$5+ROW()-1,설정!$L$9)&amp;""),"")</f>
        <v/>
      </c>
      <c r="D528" s="83" t="str">
        <f aca="false">IFERROR(IF(INDEX(원자료_잔고!$A$1:$EZ$1500,설정!$L$5+ROW()-1,설정!$L$10)&amp;""="0","",INDEX(원자료_잔고!$A$1:$EZ$1500,설정!$L$5+ROW()-1,설정!$L$10)&amp;""),"")</f>
        <v/>
      </c>
      <c r="E528" s="84" t="str">
        <f aca="false">IFERROR(IF(ISNUMBER(INDEX(원자료_잔고!$A$1:$EZ$1500,설정!$L$5+ROW()-1,설정!$L$11)),INDEX(원자료_잔고!$A$1:$EZ$1500,설정!$L$5+ROW()-1,설정!$L$11),""),"")</f>
        <v/>
      </c>
      <c r="F528" s="85" t="str">
        <f aca="false">IFERROR(IF(ISNUMBER(INDEX(원자료_잔고!$A$1:$EZ$1500,설정!$L$5+ROW()-1,설정!$L$12)),INDEX(원자료_잔고!$A$1:$EZ$1500,설정!$L$5+ROW()-1,설정!$L$12),""),"")</f>
        <v/>
      </c>
      <c r="G528" s="85" t="str">
        <f aca="false">IFERROR(IF(ISNUMBER(INDEX(원자료_잔고!$A$1:$EZ$1500,설정!$L$5+ROW()-1,설정!$L$13)),INDEX(원자료_잔고!$A$1:$EZ$1500,설정!$L$5+ROW()-1,설정!$L$13),""),"")</f>
        <v/>
      </c>
      <c r="H528" s="85" t="str">
        <f aca="false">IFERROR(IF(ISNUMBER(INDEX(원자료_잔고!$A$1:$EZ$1500,설정!$L$5+ROW()-1,설정!$L$14)),INDEX(원자료_잔고!$A$1:$EZ$1500,설정!$L$5+ROW()-1,설정!$L$14),""),"")</f>
        <v/>
      </c>
      <c r="I528" s="86" t="str">
        <f aca="false">IFERROR(IF(ISNUMBER(INDEX(원자료_잔고!$A$1:$EZ$1500,설정!$L$5+ROW()-1,설정!$L$15)),INDEX(원자료_잔고!$A$1:$EZ$1500,설정!$L$5+ROW()-1,설정!$L$15),""),"")</f>
        <v/>
      </c>
      <c r="J528" s="85" t="str">
        <f aca="false">IFERROR(IF(ISNUMBER(INDEX(원자료_잔고!$A$1:$EZ$1500,설정!$L$5+ROW()-1,설정!$L$16)),INDEX(원자료_잔고!$A$1:$EZ$1500,설정!$L$5+ROW()-1,설정!$L$16),""),"")</f>
        <v/>
      </c>
      <c r="K528" s="87" t="str">
        <f aca="false">IFERROR(IF(ISNUMBER(INDEX(원자료_잔고!$A$1:$EZ$1500,설정!$L$5+ROW()-1,설정!$L$17)),INDEX(원자료_잔고!$A$1:$EZ$1500,설정!$L$5+ROW()-1,설정!$L$17),""),"")</f>
        <v/>
      </c>
      <c r="L528" s="84" t="str">
        <f aca="false">IFERROR(IF(ISNUMBER(INDEX(원자료_잔고!$A$1:$EZ$1500,설정!$L$5+ROW()-1,설정!$L$18)),INDEX(원자료_잔고!$A$1:$EZ$1500,설정!$L$5+ROW()-1,설정!$L$18),""),"")</f>
        <v/>
      </c>
      <c r="M528" s="88" t="str">
        <f aca="false">IFERROR(IF(ISNUMBER(INDEX(원자료_잔고!$A$1:$EZ$1500,설정!$L$5+ROW()-1,설정!$L$19)),INDEX(원자료_잔고!$A$1:$EZ$1500,설정!$L$5+ROW()-1,설정!$L$19),""),"")</f>
        <v/>
      </c>
      <c r="N528" s="83" t="str">
        <f aca="false">IFERROR(IF(INDEX(원자료_잔고!$A$1:$EZ$1500,설정!$L$5+ROW()-1,설정!$L$21)&amp;""="0","",INDEX(원자료_잔고!$A$1:$EZ$1500,설정!$L$5+ROW()-1,설정!$L$21)&amp;""),"")</f>
        <v/>
      </c>
      <c r="O528" s="83" t="str">
        <f aca="false">IFERROR(IF(INDEX(원자료_잔고!$A$1:$EZ$1500,설정!$L$5+ROW()-1,설정!$L$22)&amp;""="0","",INDEX(원자료_잔고!$A$1:$EZ$1500,설정!$L$5+ROW()-1,설정!$L$22)&amp;""),"")</f>
        <v/>
      </c>
      <c r="P528" s="83" t="str">
        <f aca="false">IFERROR(IF(INDEX(원자료_잔고!$A$1:$EZ$1500,설정!$L$5+ROW()-1,설정!$L$23)&amp;""="0","",INDEX(원자료_잔고!$A$1:$EZ$1500,설정!$L$5+ROW()-1,설정!$L$23)&amp;""),"")</f>
        <v/>
      </c>
      <c r="Q528" s="89" t="n">
        <f aca="false">IF(AND($A528&lt;&gt;"",ISNUMBER(E528)),IF(E528&gt;0,1,0),0)</f>
        <v>0</v>
      </c>
      <c r="R528" s="43" t="str">
        <f aca="false">IF(Q528=1,UPPER(LEFT($A528,FIND(" ",$A528&amp;" ")-1)),"")</f>
        <v/>
      </c>
      <c r="S528" s="89" t="n">
        <f aca="false">IF(Q528=1,IF(OR(ISNUMBER(SEARCH("Float",$A528)),ISNUMBER(SEARCH("FRN",$A528))),1,0),0)</f>
        <v>0</v>
      </c>
      <c r="T528" s="43" t="str">
        <f aca="false">IF(AND(Q528=1,ISNUMBER(I528)),TEXT(I528,"yyyymmdd")&amp;"|"&amp;IF(S528=1,"F",TEXT(J528,"0.000")),"")</f>
        <v/>
      </c>
      <c r="U528" s="90" t="str">
        <f aca="false">IF(AND(Q528=1,ISNUMBER(I528)),(I528-설정!$C$4)/365.25,"")</f>
        <v/>
      </c>
      <c r="V528" s="43" t="str">
        <f aca="false">IF(Q528&lt;&gt;1,"",IF(ISNUMBER(U528),IF(U528&lt;=1,"1년 이하",IF(U528&lt;=2,"1-2년",IF(U528&lt;=3,"2-3년",IF(U528&lt;=4,"3-4년",IF(U528&lt;=5,"4-5년",IF(U528&lt;=7,"5-7년",IF(U528&lt;=10,"7-10년",IF(U528&lt;=20,"10-20년","20년 이상")))))))),"미분류"))</f>
        <v/>
      </c>
      <c r="W528" s="43" t="str">
        <f aca="false">IF(Q528&lt;&gt;1,"",IF(AB528&lt;&gt;"",INDEX(시장분석!$C:$C,AB528),IF(K528=1,"USD","비USD")))</f>
        <v/>
      </c>
      <c r="X528" s="91" t="n">
        <f aca="false">IF(Q528=1,E528*K528/1000000,0)</f>
        <v>0</v>
      </c>
      <c r="Y528" s="89" t="n">
        <f aca="false">IF(R528="T",1,0)</f>
        <v>0</v>
      </c>
      <c r="Z528" s="92" t="str">
        <f aca="false">IF(Q528&lt;&gt;1,"",IF(AD528=1,IF(ISNUMBER(U528),MAX(U528,0),H528),H528))</f>
        <v/>
      </c>
      <c r="AA528" s="91" t="n">
        <f aca="false">IF(Q528=1,IF(ISNUMBER(L528),L528,0)*K528/1000000,0)</f>
        <v>0</v>
      </c>
      <c r="AB528" s="89" t="str">
        <f aca="false">IF(Q528&lt;&gt;1,"",IFERROR(MATCH(VLOOKUP(B528,매핑!$H$4:$I$15,2,0),시장분석!$A$2:$A$601,0)+1,IFERROR(MATCH(R528&amp;"|"&amp;T528,시장분석!$V$2:$V$601,0)+1,IF(COUNTIF(시장분석!$U$2:$U$601,T528)=1,MATCH(T528,시장분석!$U$2:$U$601,0)+1,""))))</f>
        <v/>
      </c>
      <c r="AC528" s="89" t="n">
        <f aca="false">IF(Q528&lt;&gt;1,0,IF(OR(설정!$C$5="전체",AND(설정!$C$5="선택펀드",IFERROR(COUNTIFS(설정!$F$16:$F$36,C528,설정!$G$16:$G$36,"Y")+COUNTIFS(설정!$F$16:$F$36,VALUE(C528),설정!$G$16:$G$36,"Y"),0)&gt;0),C528&amp;""=설정!$C$5&amp;""),1,0))</f>
        <v>0</v>
      </c>
      <c r="AD528" s="89" t="n">
        <f aca="false">IF(Q528&lt;&gt;1,0,IF(OR(S528=1,IF(AB528="",FALSE(),INDEX(시장분석!$R:$R,AB528)=1)),1,0))</f>
        <v>0</v>
      </c>
      <c r="AE528" s="43" t="str">
        <f aca="false">IF(AB528="","",INDEX(시장분석!$A:$A,AB528))</f>
        <v/>
      </c>
      <c r="AF528" s="93" t="str">
        <f aca="false">IF(AB528="","",IF(ISNUMBER(IF(AB528="","",INDEX(시장분석!$E:$E,AB528))),IF(AB528="","",INDEX(시장분석!$E:$E,AB528)),""))</f>
        <v/>
      </c>
      <c r="AG528" s="43" t="str">
        <f aca="false">IF(Q528&lt;&gt;1,"",IF(AB528&lt;&gt;"",IF(AB528="","",INDEX(시장분석!$L:$L,AB528)),IFERROR(IF(VLOOKUP(R528,매핑!$A$4:$E$92,5,0)="","미분류",VLOOKUP(R528,매핑!$A$4:$E$92,5,0)),"미분류")))</f>
        <v/>
      </c>
      <c r="AH528" s="43" t="str">
        <f aca="false">IF(Q528&lt;&gt;1,"",IF(AB528&lt;&gt;"",IF(AB528="","",INDEX(시장분석!$N:$N,AB528)),IFERROR(IF(VLOOKUP(R528,매핑!$A$4:$E$92,4,0)="","미분류",VLOOKUP(R528,매핑!$A$4:$E$92,4,0)),"미분류")))</f>
        <v/>
      </c>
      <c r="AI528" s="43" t="str">
        <f aca="false">IF(Q528&lt;&gt;1,"",IFERROR(IF(VLOOKUP(R528,매핑!$A$4:$E$92,3,0)="","미분류",VLOOKUP(R528,매핑!$A$4:$E$92,3,0)),IF(AB528&lt;&gt;"",IF(AB528="","",INDEX(시장분석!$W:$W,AB528)),"미분류")))</f>
        <v/>
      </c>
      <c r="AJ528" s="43" t="str">
        <f aca="false">IF(Q528&lt;&gt;1,"",IFERROR(VLOOKUP(IF(N528&lt;&gt;"",N528,IF(P528&lt;&gt;"",P528,O528)),설정!$A$15:$D$47,2,0),""))</f>
        <v/>
      </c>
      <c r="AK528" s="43" t="str">
        <f aca="false">IF(Q528&lt;&gt;1,"",IF(AJ528="","무등급",IFERROR(VLOOKUP(AJ528,설정!$A$15:$D$47,3,0),"무등급")))</f>
        <v/>
      </c>
      <c r="AL528" s="89" t="n">
        <f aca="false">IF(AJ528="",99,IFERROR(VLOOKUP(AJ528,설정!$A$15:$D$47,4,0),99))</f>
        <v>99</v>
      </c>
      <c r="AM528" s="94" t="n">
        <f aca="false">IF(ISNUMBER(H528),AA528*1000000*H528/10000,0)</f>
        <v>0</v>
      </c>
      <c r="AN528" s="94" t="n">
        <f aca="false">IF(OR(Y528=1,NOT(ISNUMBER(Z528))),0,AA528*1000000*Z528/10000)</f>
        <v>0</v>
      </c>
      <c r="AO528" s="94" t="n">
        <f aca="false">IF(ISNUMBER(G528),AA528*1000000*G528/100,0)</f>
        <v>0</v>
      </c>
      <c r="AP528" s="94" t="n">
        <f aca="false">IF(ISNUMBER(M528),M528*K528,0)</f>
        <v>0</v>
      </c>
      <c r="AQ528" s="95" t="str">
        <f aca="false">IF(AB528="","",INDEX(시장분석!$AK:$AK,AB528))</f>
        <v/>
      </c>
      <c r="AR528" s="43" t="str">
        <f aca="false">IF(AB528="","-",IF(AB528="","",INDEX(시장분석!$AL:$AL,AB528)))</f>
        <v>-</v>
      </c>
      <c r="AS528" s="96" t="str">
        <f aca="false">IF(AB528="","",INDEX(시장분석!$AJ:$AJ,AB528))</f>
        <v/>
      </c>
      <c r="AT528" s="93" t="n">
        <f aca="false">IF(AB528="",0,IF(AB528="","",INDEX(시장분석!$AN:$AN,AB528)))</f>
        <v>0</v>
      </c>
      <c r="AU528" s="94" t="n">
        <f aca="false">IF(ISNUMBER(Z528),AT528/10000*MAX(Z528-1,0)*AA528*1000000,0)</f>
        <v>0</v>
      </c>
      <c r="AV528" s="94" t="n">
        <f aca="false">AO528+AU528</f>
        <v>0</v>
      </c>
      <c r="AW528" s="43" t="str">
        <f aca="false">IF(Q528&lt;&gt;1,"",TRIM(IF(AD528=1,"FRN ","")&amp;IF(AND(AL528&gt;=10,AL528&lt;99),"BBB0미만 ","")&amp;IF(AJ528="","등급없음 ","")&amp;IF(K528&lt;&gt;1,"비USD ","")&amp;IF(AND(AB528="",Y528=0),"시장데이터없음 ","")&amp;IF(AND(ISNUMBER(U528),U528&lt;0),"만기경과 ","")))</f>
        <v/>
      </c>
      <c r="AX528" s="90" t="n">
        <f aca="false">IF(Q528&lt;&gt;1,1,IF(스프레드쇼크!$C$4="Y",INDEX(스프레드쇼크!$B$12:$L$16,IFERROR(MATCH(AH528,스프레드쇼크!$A$12:$A$16,0),MATCH("목록외",스프레드쇼크!$A$12:$A$16,0)),IFERROR(MATCH(AG528,스프레드쇼크!$B$11:$L$11,0),MATCH("목록외",스프레드쇼크!$B$11:$L$11,0))),1))</f>
        <v>1</v>
      </c>
      <c r="AY528" s="90" t="n">
        <f aca="false">IF(스프레드쇼크!$C$5="Y",IF(ISNUMBER(AF528),MIN(스프레드쇼크!$C$7,MAX(스프레드쇼크!$C$6,AF528/스프레드쇼크!$C$8)),1),1)</f>
        <v>1</v>
      </c>
      <c r="AZ528" s="94" t="n">
        <f aca="false">AN528*AX528*AY528</f>
        <v>0</v>
      </c>
      <c r="BA528" s="90" t="n">
        <f aca="false">IF(ISNUMBER(G528),AA528*G528,0)</f>
        <v>0</v>
      </c>
      <c r="BB528" s="90" t="n">
        <f aca="false">IF(ISNUMBER(G528),AA528,0)</f>
        <v>0</v>
      </c>
      <c r="BC528" s="90" t="n">
        <f aca="false">IF(AND(Y528=0,ISNUMBER(AF528)),AA528*AF528,0)</f>
        <v>0</v>
      </c>
      <c r="BD528" s="90" t="n">
        <f aca="false">IF(AND(Y528=0,ISNUMBER(AF528)),AA528,0)</f>
        <v>0</v>
      </c>
      <c r="BE528" s="90" t="n">
        <f aca="false">IF(ISNUMBER(H528),AA528*H528,0)</f>
        <v>0</v>
      </c>
      <c r="BF528" s="90" t="n">
        <f aca="false">IF(ISNUMBER(H528),AA528,0)</f>
        <v>0</v>
      </c>
      <c r="BG528" s="90" t="n">
        <f aca="false">IF(AND(Y528=0,ISNUMBER(AF528),ISNUMBER(Z528)),AA528*Z528,0)</f>
        <v>0</v>
      </c>
      <c r="BH528" s="90" t="n">
        <f aca="false">IF(AND(Y528=0,ISNUMBER(AF528),ISNUMBER(Z528)),AA528*AT528*MAX(Z528-1,0),0)</f>
        <v>0</v>
      </c>
      <c r="BI528" s="90" t="n">
        <f aca="false">IF(Y528=0,AA528,0)</f>
        <v>0</v>
      </c>
    </row>
    <row r="529" customFormat="false" ht="15" hidden="false" customHeight="false" outlineLevel="0" collapsed="false">
      <c r="A529" s="83" t="str">
        <f aca="false">IFERROR(IF(INDEX(원자료_잔고!$A$1:$EZ$1500,설정!$L$5+ROW()-1,설정!$L$8)&amp;""="0","",INDEX(원자료_잔고!$A$1:$EZ$1500,설정!$L$5+ROW()-1,설정!$L$8)&amp;""),"")</f>
        <v/>
      </c>
      <c r="B529" s="83" t="str">
        <f aca="false">IFERROR(IF(INDEX(원자료_잔고!$A$1:$EZ$1500,설정!$L$5+ROW()-1,설정!$L$7)&amp;""="0","",INDEX(원자료_잔고!$A$1:$EZ$1500,설정!$L$5+ROW()-1,설정!$L$7)&amp;""),"")</f>
        <v/>
      </c>
      <c r="C529" s="83" t="str">
        <f aca="false">IFERROR(IF(INDEX(원자료_잔고!$A$1:$EZ$1500,설정!$L$5+ROW()-1,설정!$L$9)&amp;""="0","",INDEX(원자료_잔고!$A$1:$EZ$1500,설정!$L$5+ROW()-1,설정!$L$9)&amp;""),"")</f>
        <v/>
      </c>
      <c r="D529" s="83" t="str">
        <f aca="false">IFERROR(IF(INDEX(원자료_잔고!$A$1:$EZ$1500,설정!$L$5+ROW()-1,설정!$L$10)&amp;""="0","",INDEX(원자료_잔고!$A$1:$EZ$1500,설정!$L$5+ROW()-1,설정!$L$10)&amp;""),"")</f>
        <v/>
      </c>
      <c r="E529" s="84" t="str">
        <f aca="false">IFERROR(IF(ISNUMBER(INDEX(원자료_잔고!$A$1:$EZ$1500,설정!$L$5+ROW()-1,설정!$L$11)),INDEX(원자료_잔고!$A$1:$EZ$1500,설정!$L$5+ROW()-1,설정!$L$11),""),"")</f>
        <v/>
      </c>
      <c r="F529" s="85" t="str">
        <f aca="false">IFERROR(IF(ISNUMBER(INDEX(원자료_잔고!$A$1:$EZ$1500,설정!$L$5+ROW()-1,설정!$L$12)),INDEX(원자료_잔고!$A$1:$EZ$1500,설정!$L$5+ROW()-1,설정!$L$12),""),"")</f>
        <v/>
      </c>
      <c r="G529" s="85" t="str">
        <f aca="false">IFERROR(IF(ISNUMBER(INDEX(원자료_잔고!$A$1:$EZ$1500,설정!$L$5+ROW()-1,설정!$L$13)),INDEX(원자료_잔고!$A$1:$EZ$1500,설정!$L$5+ROW()-1,설정!$L$13),""),"")</f>
        <v/>
      </c>
      <c r="H529" s="85" t="str">
        <f aca="false">IFERROR(IF(ISNUMBER(INDEX(원자료_잔고!$A$1:$EZ$1500,설정!$L$5+ROW()-1,설정!$L$14)),INDEX(원자료_잔고!$A$1:$EZ$1500,설정!$L$5+ROW()-1,설정!$L$14),""),"")</f>
        <v/>
      </c>
      <c r="I529" s="86" t="str">
        <f aca="false">IFERROR(IF(ISNUMBER(INDEX(원자료_잔고!$A$1:$EZ$1500,설정!$L$5+ROW()-1,설정!$L$15)),INDEX(원자료_잔고!$A$1:$EZ$1500,설정!$L$5+ROW()-1,설정!$L$15),""),"")</f>
        <v/>
      </c>
      <c r="J529" s="85" t="str">
        <f aca="false">IFERROR(IF(ISNUMBER(INDEX(원자료_잔고!$A$1:$EZ$1500,설정!$L$5+ROW()-1,설정!$L$16)),INDEX(원자료_잔고!$A$1:$EZ$1500,설정!$L$5+ROW()-1,설정!$L$16),""),"")</f>
        <v/>
      </c>
      <c r="K529" s="87" t="str">
        <f aca="false">IFERROR(IF(ISNUMBER(INDEX(원자료_잔고!$A$1:$EZ$1500,설정!$L$5+ROW()-1,설정!$L$17)),INDEX(원자료_잔고!$A$1:$EZ$1500,설정!$L$5+ROW()-1,설정!$L$17),""),"")</f>
        <v/>
      </c>
      <c r="L529" s="84" t="str">
        <f aca="false">IFERROR(IF(ISNUMBER(INDEX(원자료_잔고!$A$1:$EZ$1500,설정!$L$5+ROW()-1,설정!$L$18)),INDEX(원자료_잔고!$A$1:$EZ$1500,설정!$L$5+ROW()-1,설정!$L$18),""),"")</f>
        <v/>
      </c>
      <c r="M529" s="88" t="str">
        <f aca="false">IFERROR(IF(ISNUMBER(INDEX(원자료_잔고!$A$1:$EZ$1500,설정!$L$5+ROW()-1,설정!$L$19)),INDEX(원자료_잔고!$A$1:$EZ$1500,설정!$L$5+ROW()-1,설정!$L$19),""),"")</f>
        <v/>
      </c>
      <c r="N529" s="83" t="str">
        <f aca="false">IFERROR(IF(INDEX(원자료_잔고!$A$1:$EZ$1500,설정!$L$5+ROW()-1,설정!$L$21)&amp;""="0","",INDEX(원자료_잔고!$A$1:$EZ$1500,설정!$L$5+ROW()-1,설정!$L$21)&amp;""),"")</f>
        <v/>
      </c>
      <c r="O529" s="83" t="str">
        <f aca="false">IFERROR(IF(INDEX(원자료_잔고!$A$1:$EZ$1500,설정!$L$5+ROW()-1,설정!$L$22)&amp;""="0","",INDEX(원자료_잔고!$A$1:$EZ$1500,설정!$L$5+ROW()-1,설정!$L$22)&amp;""),"")</f>
        <v/>
      </c>
      <c r="P529" s="83" t="str">
        <f aca="false">IFERROR(IF(INDEX(원자료_잔고!$A$1:$EZ$1500,설정!$L$5+ROW()-1,설정!$L$23)&amp;""="0","",INDEX(원자료_잔고!$A$1:$EZ$1500,설정!$L$5+ROW()-1,설정!$L$23)&amp;""),"")</f>
        <v/>
      </c>
      <c r="Q529" s="89" t="n">
        <f aca="false">IF(AND($A529&lt;&gt;"",ISNUMBER(E529)),IF(E529&gt;0,1,0),0)</f>
        <v>0</v>
      </c>
      <c r="R529" s="43" t="str">
        <f aca="false">IF(Q529=1,UPPER(LEFT($A529,FIND(" ",$A529&amp;" ")-1)),"")</f>
        <v/>
      </c>
      <c r="S529" s="89" t="n">
        <f aca="false">IF(Q529=1,IF(OR(ISNUMBER(SEARCH("Float",$A529)),ISNUMBER(SEARCH("FRN",$A529))),1,0),0)</f>
        <v>0</v>
      </c>
      <c r="T529" s="43" t="str">
        <f aca="false">IF(AND(Q529=1,ISNUMBER(I529)),TEXT(I529,"yyyymmdd")&amp;"|"&amp;IF(S529=1,"F",TEXT(J529,"0.000")),"")</f>
        <v/>
      </c>
      <c r="U529" s="90" t="str">
        <f aca="false">IF(AND(Q529=1,ISNUMBER(I529)),(I529-설정!$C$4)/365.25,"")</f>
        <v/>
      </c>
      <c r="V529" s="43" t="str">
        <f aca="false">IF(Q529&lt;&gt;1,"",IF(ISNUMBER(U529),IF(U529&lt;=1,"1년 이하",IF(U529&lt;=2,"1-2년",IF(U529&lt;=3,"2-3년",IF(U529&lt;=4,"3-4년",IF(U529&lt;=5,"4-5년",IF(U529&lt;=7,"5-7년",IF(U529&lt;=10,"7-10년",IF(U529&lt;=20,"10-20년","20년 이상")))))))),"미분류"))</f>
        <v/>
      </c>
      <c r="W529" s="43" t="str">
        <f aca="false">IF(Q529&lt;&gt;1,"",IF(AB529&lt;&gt;"",INDEX(시장분석!$C:$C,AB529),IF(K529=1,"USD","비USD")))</f>
        <v/>
      </c>
      <c r="X529" s="91" t="n">
        <f aca="false">IF(Q529=1,E529*K529/1000000,0)</f>
        <v>0</v>
      </c>
      <c r="Y529" s="89" t="n">
        <f aca="false">IF(R529="T",1,0)</f>
        <v>0</v>
      </c>
      <c r="Z529" s="92" t="str">
        <f aca="false">IF(Q529&lt;&gt;1,"",IF(AD529=1,IF(ISNUMBER(U529),MAX(U529,0),H529),H529))</f>
        <v/>
      </c>
      <c r="AA529" s="91" t="n">
        <f aca="false">IF(Q529=1,IF(ISNUMBER(L529),L529,0)*K529/1000000,0)</f>
        <v>0</v>
      </c>
      <c r="AB529" s="89" t="str">
        <f aca="false">IF(Q529&lt;&gt;1,"",IFERROR(MATCH(VLOOKUP(B529,매핑!$H$4:$I$15,2,0),시장분석!$A$2:$A$601,0)+1,IFERROR(MATCH(R529&amp;"|"&amp;T529,시장분석!$V$2:$V$601,0)+1,IF(COUNTIF(시장분석!$U$2:$U$601,T529)=1,MATCH(T529,시장분석!$U$2:$U$601,0)+1,""))))</f>
        <v/>
      </c>
      <c r="AC529" s="89" t="n">
        <f aca="false">IF(Q529&lt;&gt;1,0,IF(OR(설정!$C$5="전체",AND(설정!$C$5="선택펀드",IFERROR(COUNTIFS(설정!$F$16:$F$36,C529,설정!$G$16:$G$36,"Y")+COUNTIFS(설정!$F$16:$F$36,VALUE(C529),설정!$G$16:$G$36,"Y"),0)&gt;0),C529&amp;""=설정!$C$5&amp;""),1,0))</f>
        <v>0</v>
      </c>
      <c r="AD529" s="89" t="n">
        <f aca="false">IF(Q529&lt;&gt;1,0,IF(OR(S529=1,IF(AB529="",FALSE(),INDEX(시장분석!$R:$R,AB529)=1)),1,0))</f>
        <v>0</v>
      </c>
      <c r="AE529" s="43" t="str">
        <f aca="false">IF(AB529="","",INDEX(시장분석!$A:$A,AB529))</f>
        <v/>
      </c>
      <c r="AF529" s="93" t="str">
        <f aca="false">IF(AB529="","",IF(ISNUMBER(IF(AB529="","",INDEX(시장분석!$E:$E,AB529))),IF(AB529="","",INDEX(시장분석!$E:$E,AB529)),""))</f>
        <v/>
      </c>
      <c r="AG529" s="43" t="str">
        <f aca="false">IF(Q529&lt;&gt;1,"",IF(AB529&lt;&gt;"",IF(AB529="","",INDEX(시장분석!$L:$L,AB529)),IFERROR(IF(VLOOKUP(R529,매핑!$A$4:$E$92,5,0)="","미분류",VLOOKUP(R529,매핑!$A$4:$E$92,5,0)),"미분류")))</f>
        <v/>
      </c>
      <c r="AH529" s="43" t="str">
        <f aca="false">IF(Q529&lt;&gt;1,"",IF(AB529&lt;&gt;"",IF(AB529="","",INDEX(시장분석!$N:$N,AB529)),IFERROR(IF(VLOOKUP(R529,매핑!$A$4:$E$92,4,0)="","미분류",VLOOKUP(R529,매핑!$A$4:$E$92,4,0)),"미분류")))</f>
        <v/>
      </c>
      <c r="AI529" s="43" t="str">
        <f aca="false">IF(Q529&lt;&gt;1,"",IFERROR(IF(VLOOKUP(R529,매핑!$A$4:$E$92,3,0)="","미분류",VLOOKUP(R529,매핑!$A$4:$E$92,3,0)),IF(AB529&lt;&gt;"",IF(AB529="","",INDEX(시장분석!$W:$W,AB529)),"미분류")))</f>
        <v/>
      </c>
      <c r="AJ529" s="43" t="str">
        <f aca="false">IF(Q529&lt;&gt;1,"",IFERROR(VLOOKUP(IF(N529&lt;&gt;"",N529,IF(P529&lt;&gt;"",P529,O529)),설정!$A$15:$D$47,2,0),""))</f>
        <v/>
      </c>
      <c r="AK529" s="43" t="str">
        <f aca="false">IF(Q529&lt;&gt;1,"",IF(AJ529="","무등급",IFERROR(VLOOKUP(AJ529,설정!$A$15:$D$47,3,0),"무등급")))</f>
        <v/>
      </c>
      <c r="AL529" s="89" t="n">
        <f aca="false">IF(AJ529="",99,IFERROR(VLOOKUP(AJ529,설정!$A$15:$D$47,4,0),99))</f>
        <v>99</v>
      </c>
      <c r="AM529" s="94" t="n">
        <f aca="false">IF(ISNUMBER(H529),AA529*1000000*H529/10000,0)</f>
        <v>0</v>
      </c>
      <c r="AN529" s="94" t="n">
        <f aca="false">IF(OR(Y529=1,NOT(ISNUMBER(Z529))),0,AA529*1000000*Z529/10000)</f>
        <v>0</v>
      </c>
      <c r="AO529" s="94" t="n">
        <f aca="false">IF(ISNUMBER(G529),AA529*1000000*G529/100,0)</f>
        <v>0</v>
      </c>
      <c r="AP529" s="94" t="n">
        <f aca="false">IF(ISNUMBER(M529),M529*K529,0)</f>
        <v>0</v>
      </c>
      <c r="AQ529" s="95" t="str">
        <f aca="false">IF(AB529="","",INDEX(시장분석!$AK:$AK,AB529))</f>
        <v/>
      </c>
      <c r="AR529" s="43" t="str">
        <f aca="false">IF(AB529="","-",IF(AB529="","",INDEX(시장분석!$AL:$AL,AB529)))</f>
        <v>-</v>
      </c>
      <c r="AS529" s="96" t="str">
        <f aca="false">IF(AB529="","",INDEX(시장분석!$AJ:$AJ,AB529))</f>
        <v/>
      </c>
      <c r="AT529" s="93" t="n">
        <f aca="false">IF(AB529="",0,IF(AB529="","",INDEX(시장분석!$AN:$AN,AB529)))</f>
        <v>0</v>
      </c>
      <c r="AU529" s="94" t="n">
        <f aca="false">IF(ISNUMBER(Z529),AT529/10000*MAX(Z529-1,0)*AA529*1000000,0)</f>
        <v>0</v>
      </c>
      <c r="AV529" s="94" t="n">
        <f aca="false">AO529+AU529</f>
        <v>0</v>
      </c>
      <c r="AW529" s="43" t="str">
        <f aca="false">IF(Q529&lt;&gt;1,"",TRIM(IF(AD529=1,"FRN ","")&amp;IF(AND(AL529&gt;=10,AL529&lt;99),"BBB0미만 ","")&amp;IF(AJ529="","등급없음 ","")&amp;IF(K529&lt;&gt;1,"비USD ","")&amp;IF(AND(AB529="",Y529=0),"시장데이터없음 ","")&amp;IF(AND(ISNUMBER(U529),U529&lt;0),"만기경과 ","")))</f>
        <v/>
      </c>
      <c r="AX529" s="90" t="n">
        <f aca="false">IF(Q529&lt;&gt;1,1,IF(스프레드쇼크!$C$4="Y",INDEX(스프레드쇼크!$B$12:$L$16,IFERROR(MATCH(AH529,스프레드쇼크!$A$12:$A$16,0),MATCH("목록외",스프레드쇼크!$A$12:$A$16,0)),IFERROR(MATCH(AG529,스프레드쇼크!$B$11:$L$11,0),MATCH("목록외",스프레드쇼크!$B$11:$L$11,0))),1))</f>
        <v>1</v>
      </c>
      <c r="AY529" s="90" t="n">
        <f aca="false">IF(스프레드쇼크!$C$5="Y",IF(ISNUMBER(AF529),MIN(스프레드쇼크!$C$7,MAX(스프레드쇼크!$C$6,AF529/스프레드쇼크!$C$8)),1),1)</f>
        <v>1</v>
      </c>
      <c r="AZ529" s="94" t="n">
        <f aca="false">AN529*AX529*AY529</f>
        <v>0</v>
      </c>
      <c r="BA529" s="90" t="n">
        <f aca="false">IF(ISNUMBER(G529),AA529*G529,0)</f>
        <v>0</v>
      </c>
      <c r="BB529" s="90" t="n">
        <f aca="false">IF(ISNUMBER(G529),AA529,0)</f>
        <v>0</v>
      </c>
      <c r="BC529" s="90" t="n">
        <f aca="false">IF(AND(Y529=0,ISNUMBER(AF529)),AA529*AF529,0)</f>
        <v>0</v>
      </c>
      <c r="BD529" s="90" t="n">
        <f aca="false">IF(AND(Y529=0,ISNUMBER(AF529)),AA529,0)</f>
        <v>0</v>
      </c>
      <c r="BE529" s="90" t="n">
        <f aca="false">IF(ISNUMBER(H529),AA529*H529,0)</f>
        <v>0</v>
      </c>
      <c r="BF529" s="90" t="n">
        <f aca="false">IF(ISNUMBER(H529),AA529,0)</f>
        <v>0</v>
      </c>
      <c r="BG529" s="90" t="n">
        <f aca="false">IF(AND(Y529=0,ISNUMBER(AF529),ISNUMBER(Z529)),AA529*Z529,0)</f>
        <v>0</v>
      </c>
      <c r="BH529" s="90" t="n">
        <f aca="false">IF(AND(Y529=0,ISNUMBER(AF529),ISNUMBER(Z529)),AA529*AT529*MAX(Z529-1,0),0)</f>
        <v>0</v>
      </c>
      <c r="BI529" s="90" t="n">
        <f aca="false">IF(Y529=0,AA529,0)</f>
        <v>0</v>
      </c>
    </row>
    <row r="530" customFormat="false" ht="15" hidden="false" customHeight="false" outlineLevel="0" collapsed="false">
      <c r="A530" s="83" t="str">
        <f aca="false">IFERROR(IF(INDEX(원자료_잔고!$A$1:$EZ$1500,설정!$L$5+ROW()-1,설정!$L$8)&amp;""="0","",INDEX(원자료_잔고!$A$1:$EZ$1500,설정!$L$5+ROW()-1,설정!$L$8)&amp;""),"")</f>
        <v/>
      </c>
      <c r="B530" s="83" t="str">
        <f aca="false">IFERROR(IF(INDEX(원자료_잔고!$A$1:$EZ$1500,설정!$L$5+ROW()-1,설정!$L$7)&amp;""="0","",INDEX(원자료_잔고!$A$1:$EZ$1500,설정!$L$5+ROW()-1,설정!$L$7)&amp;""),"")</f>
        <v/>
      </c>
      <c r="C530" s="83" t="str">
        <f aca="false">IFERROR(IF(INDEX(원자료_잔고!$A$1:$EZ$1500,설정!$L$5+ROW()-1,설정!$L$9)&amp;""="0","",INDEX(원자료_잔고!$A$1:$EZ$1500,설정!$L$5+ROW()-1,설정!$L$9)&amp;""),"")</f>
        <v/>
      </c>
      <c r="D530" s="83" t="str">
        <f aca="false">IFERROR(IF(INDEX(원자료_잔고!$A$1:$EZ$1500,설정!$L$5+ROW()-1,설정!$L$10)&amp;""="0","",INDEX(원자료_잔고!$A$1:$EZ$1500,설정!$L$5+ROW()-1,설정!$L$10)&amp;""),"")</f>
        <v/>
      </c>
      <c r="E530" s="84" t="str">
        <f aca="false">IFERROR(IF(ISNUMBER(INDEX(원자료_잔고!$A$1:$EZ$1500,설정!$L$5+ROW()-1,설정!$L$11)),INDEX(원자료_잔고!$A$1:$EZ$1500,설정!$L$5+ROW()-1,설정!$L$11),""),"")</f>
        <v/>
      </c>
      <c r="F530" s="85" t="str">
        <f aca="false">IFERROR(IF(ISNUMBER(INDEX(원자료_잔고!$A$1:$EZ$1500,설정!$L$5+ROW()-1,설정!$L$12)),INDEX(원자료_잔고!$A$1:$EZ$1500,설정!$L$5+ROW()-1,설정!$L$12),""),"")</f>
        <v/>
      </c>
      <c r="G530" s="85" t="str">
        <f aca="false">IFERROR(IF(ISNUMBER(INDEX(원자료_잔고!$A$1:$EZ$1500,설정!$L$5+ROW()-1,설정!$L$13)),INDEX(원자료_잔고!$A$1:$EZ$1500,설정!$L$5+ROW()-1,설정!$L$13),""),"")</f>
        <v/>
      </c>
      <c r="H530" s="85" t="str">
        <f aca="false">IFERROR(IF(ISNUMBER(INDEX(원자료_잔고!$A$1:$EZ$1500,설정!$L$5+ROW()-1,설정!$L$14)),INDEX(원자료_잔고!$A$1:$EZ$1500,설정!$L$5+ROW()-1,설정!$L$14),""),"")</f>
        <v/>
      </c>
      <c r="I530" s="86" t="str">
        <f aca="false">IFERROR(IF(ISNUMBER(INDEX(원자료_잔고!$A$1:$EZ$1500,설정!$L$5+ROW()-1,설정!$L$15)),INDEX(원자료_잔고!$A$1:$EZ$1500,설정!$L$5+ROW()-1,설정!$L$15),""),"")</f>
        <v/>
      </c>
      <c r="J530" s="85" t="str">
        <f aca="false">IFERROR(IF(ISNUMBER(INDEX(원자료_잔고!$A$1:$EZ$1500,설정!$L$5+ROW()-1,설정!$L$16)),INDEX(원자료_잔고!$A$1:$EZ$1500,설정!$L$5+ROW()-1,설정!$L$16),""),"")</f>
        <v/>
      </c>
      <c r="K530" s="87" t="str">
        <f aca="false">IFERROR(IF(ISNUMBER(INDEX(원자료_잔고!$A$1:$EZ$1500,설정!$L$5+ROW()-1,설정!$L$17)),INDEX(원자료_잔고!$A$1:$EZ$1500,설정!$L$5+ROW()-1,설정!$L$17),""),"")</f>
        <v/>
      </c>
      <c r="L530" s="84" t="str">
        <f aca="false">IFERROR(IF(ISNUMBER(INDEX(원자료_잔고!$A$1:$EZ$1500,설정!$L$5+ROW()-1,설정!$L$18)),INDEX(원자료_잔고!$A$1:$EZ$1500,설정!$L$5+ROW()-1,설정!$L$18),""),"")</f>
        <v/>
      </c>
      <c r="M530" s="88" t="str">
        <f aca="false">IFERROR(IF(ISNUMBER(INDEX(원자료_잔고!$A$1:$EZ$1500,설정!$L$5+ROW()-1,설정!$L$19)),INDEX(원자료_잔고!$A$1:$EZ$1500,설정!$L$5+ROW()-1,설정!$L$19),""),"")</f>
        <v/>
      </c>
      <c r="N530" s="83" t="str">
        <f aca="false">IFERROR(IF(INDEX(원자료_잔고!$A$1:$EZ$1500,설정!$L$5+ROW()-1,설정!$L$21)&amp;""="0","",INDEX(원자료_잔고!$A$1:$EZ$1500,설정!$L$5+ROW()-1,설정!$L$21)&amp;""),"")</f>
        <v/>
      </c>
      <c r="O530" s="83" t="str">
        <f aca="false">IFERROR(IF(INDEX(원자료_잔고!$A$1:$EZ$1500,설정!$L$5+ROW()-1,설정!$L$22)&amp;""="0","",INDEX(원자료_잔고!$A$1:$EZ$1500,설정!$L$5+ROW()-1,설정!$L$22)&amp;""),"")</f>
        <v/>
      </c>
      <c r="P530" s="83" t="str">
        <f aca="false">IFERROR(IF(INDEX(원자료_잔고!$A$1:$EZ$1500,설정!$L$5+ROW()-1,설정!$L$23)&amp;""="0","",INDEX(원자료_잔고!$A$1:$EZ$1500,설정!$L$5+ROW()-1,설정!$L$23)&amp;""),"")</f>
        <v/>
      </c>
      <c r="Q530" s="89" t="n">
        <f aca="false">IF(AND($A530&lt;&gt;"",ISNUMBER(E530)),IF(E530&gt;0,1,0),0)</f>
        <v>0</v>
      </c>
      <c r="R530" s="43" t="str">
        <f aca="false">IF(Q530=1,UPPER(LEFT($A530,FIND(" ",$A530&amp;" ")-1)),"")</f>
        <v/>
      </c>
      <c r="S530" s="89" t="n">
        <f aca="false">IF(Q530=1,IF(OR(ISNUMBER(SEARCH("Float",$A530)),ISNUMBER(SEARCH("FRN",$A530))),1,0),0)</f>
        <v>0</v>
      </c>
      <c r="T530" s="43" t="str">
        <f aca="false">IF(AND(Q530=1,ISNUMBER(I530)),TEXT(I530,"yyyymmdd")&amp;"|"&amp;IF(S530=1,"F",TEXT(J530,"0.000")),"")</f>
        <v/>
      </c>
      <c r="U530" s="90" t="str">
        <f aca="false">IF(AND(Q530=1,ISNUMBER(I530)),(I530-설정!$C$4)/365.25,"")</f>
        <v/>
      </c>
      <c r="V530" s="43" t="str">
        <f aca="false">IF(Q530&lt;&gt;1,"",IF(ISNUMBER(U530),IF(U530&lt;=1,"1년 이하",IF(U530&lt;=2,"1-2년",IF(U530&lt;=3,"2-3년",IF(U530&lt;=4,"3-4년",IF(U530&lt;=5,"4-5년",IF(U530&lt;=7,"5-7년",IF(U530&lt;=10,"7-10년",IF(U530&lt;=20,"10-20년","20년 이상")))))))),"미분류"))</f>
        <v/>
      </c>
      <c r="W530" s="43" t="str">
        <f aca="false">IF(Q530&lt;&gt;1,"",IF(AB530&lt;&gt;"",INDEX(시장분석!$C:$C,AB530),IF(K530=1,"USD","비USD")))</f>
        <v/>
      </c>
      <c r="X530" s="91" t="n">
        <f aca="false">IF(Q530=1,E530*K530/1000000,0)</f>
        <v>0</v>
      </c>
      <c r="Y530" s="89" t="n">
        <f aca="false">IF(R530="T",1,0)</f>
        <v>0</v>
      </c>
      <c r="Z530" s="92" t="str">
        <f aca="false">IF(Q530&lt;&gt;1,"",IF(AD530=1,IF(ISNUMBER(U530),MAX(U530,0),H530),H530))</f>
        <v/>
      </c>
      <c r="AA530" s="91" t="n">
        <f aca="false">IF(Q530=1,IF(ISNUMBER(L530),L530,0)*K530/1000000,0)</f>
        <v>0</v>
      </c>
      <c r="AB530" s="89" t="str">
        <f aca="false">IF(Q530&lt;&gt;1,"",IFERROR(MATCH(VLOOKUP(B530,매핑!$H$4:$I$15,2,0),시장분석!$A$2:$A$601,0)+1,IFERROR(MATCH(R530&amp;"|"&amp;T530,시장분석!$V$2:$V$601,0)+1,IF(COUNTIF(시장분석!$U$2:$U$601,T530)=1,MATCH(T530,시장분석!$U$2:$U$601,0)+1,""))))</f>
        <v/>
      </c>
      <c r="AC530" s="89" t="n">
        <f aca="false">IF(Q530&lt;&gt;1,0,IF(OR(설정!$C$5="전체",AND(설정!$C$5="선택펀드",IFERROR(COUNTIFS(설정!$F$16:$F$36,C530,설정!$G$16:$G$36,"Y")+COUNTIFS(설정!$F$16:$F$36,VALUE(C530),설정!$G$16:$G$36,"Y"),0)&gt;0),C530&amp;""=설정!$C$5&amp;""),1,0))</f>
        <v>0</v>
      </c>
      <c r="AD530" s="89" t="n">
        <f aca="false">IF(Q530&lt;&gt;1,0,IF(OR(S530=1,IF(AB530="",FALSE(),INDEX(시장분석!$R:$R,AB530)=1)),1,0))</f>
        <v>0</v>
      </c>
      <c r="AE530" s="43" t="str">
        <f aca="false">IF(AB530="","",INDEX(시장분석!$A:$A,AB530))</f>
        <v/>
      </c>
      <c r="AF530" s="93" t="str">
        <f aca="false">IF(AB530="","",IF(ISNUMBER(IF(AB530="","",INDEX(시장분석!$E:$E,AB530))),IF(AB530="","",INDEX(시장분석!$E:$E,AB530)),""))</f>
        <v/>
      </c>
      <c r="AG530" s="43" t="str">
        <f aca="false">IF(Q530&lt;&gt;1,"",IF(AB530&lt;&gt;"",IF(AB530="","",INDEX(시장분석!$L:$L,AB530)),IFERROR(IF(VLOOKUP(R530,매핑!$A$4:$E$92,5,0)="","미분류",VLOOKUP(R530,매핑!$A$4:$E$92,5,0)),"미분류")))</f>
        <v/>
      </c>
      <c r="AH530" s="43" t="str">
        <f aca="false">IF(Q530&lt;&gt;1,"",IF(AB530&lt;&gt;"",IF(AB530="","",INDEX(시장분석!$N:$N,AB530)),IFERROR(IF(VLOOKUP(R530,매핑!$A$4:$E$92,4,0)="","미분류",VLOOKUP(R530,매핑!$A$4:$E$92,4,0)),"미분류")))</f>
        <v/>
      </c>
      <c r="AI530" s="43" t="str">
        <f aca="false">IF(Q530&lt;&gt;1,"",IFERROR(IF(VLOOKUP(R530,매핑!$A$4:$E$92,3,0)="","미분류",VLOOKUP(R530,매핑!$A$4:$E$92,3,0)),IF(AB530&lt;&gt;"",IF(AB530="","",INDEX(시장분석!$W:$W,AB530)),"미분류")))</f>
        <v/>
      </c>
      <c r="AJ530" s="43" t="str">
        <f aca="false">IF(Q530&lt;&gt;1,"",IFERROR(VLOOKUP(IF(N530&lt;&gt;"",N530,IF(P530&lt;&gt;"",P530,O530)),설정!$A$15:$D$47,2,0),""))</f>
        <v/>
      </c>
      <c r="AK530" s="43" t="str">
        <f aca="false">IF(Q530&lt;&gt;1,"",IF(AJ530="","무등급",IFERROR(VLOOKUP(AJ530,설정!$A$15:$D$47,3,0),"무등급")))</f>
        <v/>
      </c>
      <c r="AL530" s="89" t="n">
        <f aca="false">IF(AJ530="",99,IFERROR(VLOOKUP(AJ530,설정!$A$15:$D$47,4,0),99))</f>
        <v>99</v>
      </c>
      <c r="AM530" s="94" t="n">
        <f aca="false">IF(ISNUMBER(H530),AA530*1000000*H530/10000,0)</f>
        <v>0</v>
      </c>
      <c r="AN530" s="94" t="n">
        <f aca="false">IF(OR(Y530=1,NOT(ISNUMBER(Z530))),0,AA530*1000000*Z530/10000)</f>
        <v>0</v>
      </c>
      <c r="AO530" s="94" t="n">
        <f aca="false">IF(ISNUMBER(G530),AA530*1000000*G530/100,0)</f>
        <v>0</v>
      </c>
      <c r="AP530" s="94" t="n">
        <f aca="false">IF(ISNUMBER(M530),M530*K530,0)</f>
        <v>0</v>
      </c>
      <c r="AQ530" s="95" t="str">
        <f aca="false">IF(AB530="","",INDEX(시장분석!$AK:$AK,AB530))</f>
        <v/>
      </c>
      <c r="AR530" s="43" t="str">
        <f aca="false">IF(AB530="","-",IF(AB530="","",INDEX(시장분석!$AL:$AL,AB530)))</f>
        <v>-</v>
      </c>
      <c r="AS530" s="96" t="str">
        <f aca="false">IF(AB530="","",INDEX(시장분석!$AJ:$AJ,AB530))</f>
        <v/>
      </c>
      <c r="AT530" s="93" t="n">
        <f aca="false">IF(AB530="",0,IF(AB530="","",INDEX(시장분석!$AN:$AN,AB530)))</f>
        <v>0</v>
      </c>
      <c r="AU530" s="94" t="n">
        <f aca="false">IF(ISNUMBER(Z530),AT530/10000*MAX(Z530-1,0)*AA530*1000000,0)</f>
        <v>0</v>
      </c>
      <c r="AV530" s="94" t="n">
        <f aca="false">AO530+AU530</f>
        <v>0</v>
      </c>
      <c r="AW530" s="43" t="str">
        <f aca="false">IF(Q530&lt;&gt;1,"",TRIM(IF(AD530=1,"FRN ","")&amp;IF(AND(AL530&gt;=10,AL530&lt;99),"BBB0미만 ","")&amp;IF(AJ530="","등급없음 ","")&amp;IF(K530&lt;&gt;1,"비USD ","")&amp;IF(AND(AB530="",Y530=0),"시장데이터없음 ","")&amp;IF(AND(ISNUMBER(U530),U530&lt;0),"만기경과 ","")))</f>
        <v/>
      </c>
      <c r="AX530" s="90" t="n">
        <f aca="false">IF(Q530&lt;&gt;1,1,IF(스프레드쇼크!$C$4="Y",INDEX(스프레드쇼크!$B$12:$L$16,IFERROR(MATCH(AH530,스프레드쇼크!$A$12:$A$16,0),MATCH("목록외",스프레드쇼크!$A$12:$A$16,0)),IFERROR(MATCH(AG530,스프레드쇼크!$B$11:$L$11,0),MATCH("목록외",스프레드쇼크!$B$11:$L$11,0))),1))</f>
        <v>1</v>
      </c>
      <c r="AY530" s="90" t="n">
        <f aca="false">IF(스프레드쇼크!$C$5="Y",IF(ISNUMBER(AF530),MIN(스프레드쇼크!$C$7,MAX(스프레드쇼크!$C$6,AF530/스프레드쇼크!$C$8)),1),1)</f>
        <v>1</v>
      </c>
      <c r="AZ530" s="94" t="n">
        <f aca="false">AN530*AX530*AY530</f>
        <v>0</v>
      </c>
      <c r="BA530" s="90" t="n">
        <f aca="false">IF(ISNUMBER(G530),AA530*G530,0)</f>
        <v>0</v>
      </c>
      <c r="BB530" s="90" t="n">
        <f aca="false">IF(ISNUMBER(G530),AA530,0)</f>
        <v>0</v>
      </c>
      <c r="BC530" s="90" t="n">
        <f aca="false">IF(AND(Y530=0,ISNUMBER(AF530)),AA530*AF530,0)</f>
        <v>0</v>
      </c>
      <c r="BD530" s="90" t="n">
        <f aca="false">IF(AND(Y530=0,ISNUMBER(AF530)),AA530,0)</f>
        <v>0</v>
      </c>
      <c r="BE530" s="90" t="n">
        <f aca="false">IF(ISNUMBER(H530),AA530*H530,0)</f>
        <v>0</v>
      </c>
      <c r="BF530" s="90" t="n">
        <f aca="false">IF(ISNUMBER(H530),AA530,0)</f>
        <v>0</v>
      </c>
      <c r="BG530" s="90" t="n">
        <f aca="false">IF(AND(Y530=0,ISNUMBER(AF530),ISNUMBER(Z530)),AA530*Z530,0)</f>
        <v>0</v>
      </c>
      <c r="BH530" s="90" t="n">
        <f aca="false">IF(AND(Y530=0,ISNUMBER(AF530),ISNUMBER(Z530)),AA530*AT530*MAX(Z530-1,0),0)</f>
        <v>0</v>
      </c>
      <c r="BI530" s="90" t="n">
        <f aca="false">IF(Y530=0,AA530,0)</f>
        <v>0</v>
      </c>
    </row>
    <row r="531" customFormat="false" ht="15" hidden="false" customHeight="false" outlineLevel="0" collapsed="false">
      <c r="A531" s="83" t="str">
        <f aca="false">IFERROR(IF(INDEX(원자료_잔고!$A$1:$EZ$1500,설정!$L$5+ROW()-1,설정!$L$8)&amp;""="0","",INDEX(원자료_잔고!$A$1:$EZ$1500,설정!$L$5+ROW()-1,설정!$L$8)&amp;""),"")</f>
        <v/>
      </c>
      <c r="B531" s="83" t="str">
        <f aca="false">IFERROR(IF(INDEX(원자료_잔고!$A$1:$EZ$1500,설정!$L$5+ROW()-1,설정!$L$7)&amp;""="0","",INDEX(원자료_잔고!$A$1:$EZ$1500,설정!$L$5+ROW()-1,설정!$L$7)&amp;""),"")</f>
        <v/>
      </c>
      <c r="C531" s="83" t="str">
        <f aca="false">IFERROR(IF(INDEX(원자료_잔고!$A$1:$EZ$1500,설정!$L$5+ROW()-1,설정!$L$9)&amp;""="0","",INDEX(원자료_잔고!$A$1:$EZ$1500,설정!$L$5+ROW()-1,설정!$L$9)&amp;""),"")</f>
        <v/>
      </c>
      <c r="D531" s="83" t="str">
        <f aca="false">IFERROR(IF(INDEX(원자료_잔고!$A$1:$EZ$1500,설정!$L$5+ROW()-1,설정!$L$10)&amp;""="0","",INDEX(원자료_잔고!$A$1:$EZ$1500,설정!$L$5+ROW()-1,설정!$L$10)&amp;""),"")</f>
        <v/>
      </c>
      <c r="E531" s="84" t="str">
        <f aca="false">IFERROR(IF(ISNUMBER(INDEX(원자료_잔고!$A$1:$EZ$1500,설정!$L$5+ROW()-1,설정!$L$11)),INDEX(원자료_잔고!$A$1:$EZ$1500,설정!$L$5+ROW()-1,설정!$L$11),""),"")</f>
        <v/>
      </c>
      <c r="F531" s="85" t="str">
        <f aca="false">IFERROR(IF(ISNUMBER(INDEX(원자료_잔고!$A$1:$EZ$1500,설정!$L$5+ROW()-1,설정!$L$12)),INDEX(원자료_잔고!$A$1:$EZ$1500,설정!$L$5+ROW()-1,설정!$L$12),""),"")</f>
        <v/>
      </c>
      <c r="G531" s="85" t="str">
        <f aca="false">IFERROR(IF(ISNUMBER(INDEX(원자료_잔고!$A$1:$EZ$1500,설정!$L$5+ROW()-1,설정!$L$13)),INDEX(원자료_잔고!$A$1:$EZ$1500,설정!$L$5+ROW()-1,설정!$L$13),""),"")</f>
        <v/>
      </c>
      <c r="H531" s="85" t="str">
        <f aca="false">IFERROR(IF(ISNUMBER(INDEX(원자료_잔고!$A$1:$EZ$1500,설정!$L$5+ROW()-1,설정!$L$14)),INDEX(원자료_잔고!$A$1:$EZ$1500,설정!$L$5+ROW()-1,설정!$L$14),""),"")</f>
        <v/>
      </c>
      <c r="I531" s="86" t="str">
        <f aca="false">IFERROR(IF(ISNUMBER(INDEX(원자료_잔고!$A$1:$EZ$1500,설정!$L$5+ROW()-1,설정!$L$15)),INDEX(원자료_잔고!$A$1:$EZ$1500,설정!$L$5+ROW()-1,설정!$L$15),""),"")</f>
        <v/>
      </c>
      <c r="J531" s="85" t="str">
        <f aca="false">IFERROR(IF(ISNUMBER(INDEX(원자료_잔고!$A$1:$EZ$1500,설정!$L$5+ROW()-1,설정!$L$16)),INDEX(원자료_잔고!$A$1:$EZ$1500,설정!$L$5+ROW()-1,설정!$L$16),""),"")</f>
        <v/>
      </c>
      <c r="K531" s="87" t="str">
        <f aca="false">IFERROR(IF(ISNUMBER(INDEX(원자료_잔고!$A$1:$EZ$1500,설정!$L$5+ROW()-1,설정!$L$17)),INDEX(원자료_잔고!$A$1:$EZ$1500,설정!$L$5+ROW()-1,설정!$L$17),""),"")</f>
        <v/>
      </c>
      <c r="L531" s="84" t="str">
        <f aca="false">IFERROR(IF(ISNUMBER(INDEX(원자료_잔고!$A$1:$EZ$1500,설정!$L$5+ROW()-1,설정!$L$18)),INDEX(원자료_잔고!$A$1:$EZ$1500,설정!$L$5+ROW()-1,설정!$L$18),""),"")</f>
        <v/>
      </c>
      <c r="M531" s="88" t="str">
        <f aca="false">IFERROR(IF(ISNUMBER(INDEX(원자료_잔고!$A$1:$EZ$1500,설정!$L$5+ROW()-1,설정!$L$19)),INDEX(원자료_잔고!$A$1:$EZ$1500,설정!$L$5+ROW()-1,설정!$L$19),""),"")</f>
        <v/>
      </c>
      <c r="N531" s="83" t="str">
        <f aca="false">IFERROR(IF(INDEX(원자료_잔고!$A$1:$EZ$1500,설정!$L$5+ROW()-1,설정!$L$21)&amp;""="0","",INDEX(원자료_잔고!$A$1:$EZ$1500,설정!$L$5+ROW()-1,설정!$L$21)&amp;""),"")</f>
        <v/>
      </c>
      <c r="O531" s="83" t="str">
        <f aca="false">IFERROR(IF(INDEX(원자료_잔고!$A$1:$EZ$1500,설정!$L$5+ROW()-1,설정!$L$22)&amp;""="0","",INDEX(원자료_잔고!$A$1:$EZ$1500,설정!$L$5+ROW()-1,설정!$L$22)&amp;""),"")</f>
        <v/>
      </c>
      <c r="P531" s="83" t="str">
        <f aca="false">IFERROR(IF(INDEX(원자료_잔고!$A$1:$EZ$1500,설정!$L$5+ROW()-1,설정!$L$23)&amp;""="0","",INDEX(원자료_잔고!$A$1:$EZ$1500,설정!$L$5+ROW()-1,설정!$L$23)&amp;""),"")</f>
        <v/>
      </c>
      <c r="Q531" s="89" t="n">
        <f aca="false">IF(AND($A531&lt;&gt;"",ISNUMBER(E531)),IF(E531&gt;0,1,0),0)</f>
        <v>0</v>
      </c>
      <c r="R531" s="43" t="str">
        <f aca="false">IF(Q531=1,UPPER(LEFT($A531,FIND(" ",$A531&amp;" ")-1)),"")</f>
        <v/>
      </c>
      <c r="S531" s="89" t="n">
        <f aca="false">IF(Q531=1,IF(OR(ISNUMBER(SEARCH("Float",$A531)),ISNUMBER(SEARCH("FRN",$A531))),1,0),0)</f>
        <v>0</v>
      </c>
      <c r="T531" s="43" t="str">
        <f aca="false">IF(AND(Q531=1,ISNUMBER(I531)),TEXT(I531,"yyyymmdd")&amp;"|"&amp;IF(S531=1,"F",TEXT(J531,"0.000")),"")</f>
        <v/>
      </c>
      <c r="U531" s="90" t="str">
        <f aca="false">IF(AND(Q531=1,ISNUMBER(I531)),(I531-설정!$C$4)/365.25,"")</f>
        <v/>
      </c>
      <c r="V531" s="43" t="str">
        <f aca="false">IF(Q531&lt;&gt;1,"",IF(ISNUMBER(U531),IF(U531&lt;=1,"1년 이하",IF(U531&lt;=2,"1-2년",IF(U531&lt;=3,"2-3년",IF(U531&lt;=4,"3-4년",IF(U531&lt;=5,"4-5년",IF(U531&lt;=7,"5-7년",IF(U531&lt;=10,"7-10년",IF(U531&lt;=20,"10-20년","20년 이상")))))))),"미분류"))</f>
        <v/>
      </c>
      <c r="W531" s="43" t="str">
        <f aca="false">IF(Q531&lt;&gt;1,"",IF(AB531&lt;&gt;"",INDEX(시장분석!$C:$C,AB531),IF(K531=1,"USD","비USD")))</f>
        <v/>
      </c>
      <c r="X531" s="91" t="n">
        <f aca="false">IF(Q531=1,E531*K531/1000000,0)</f>
        <v>0</v>
      </c>
      <c r="Y531" s="89" t="n">
        <f aca="false">IF(R531="T",1,0)</f>
        <v>0</v>
      </c>
      <c r="Z531" s="92" t="str">
        <f aca="false">IF(Q531&lt;&gt;1,"",IF(AD531=1,IF(ISNUMBER(U531),MAX(U531,0),H531),H531))</f>
        <v/>
      </c>
      <c r="AA531" s="91" t="n">
        <f aca="false">IF(Q531=1,IF(ISNUMBER(L531),L531,0)*K531/1000000,0)</f>
        <v>0</v>
      </c>
      <c r="AB531" s="89" t="str">
        <f aca="false">IF(Q531&lt;&gt;1,"",IFERROR(MATCH(VLOOKUP(B531,매핑!$H$4:$I$15,2,0),시장분석!$A$2:$A$601,0)+1,IFERROR(MATCH(R531&amp;"|"&amp;T531,시장분석!$V$2:$V$601,0)+1,IF(COUNTIF(시장분석!$U$2:$U$601,T531)=1,MATCH(T531,시장분석!$U$2:$U$601,0)+1,""))))</f>
        <v/>
      </c>
      <c r="AC531" s="89" t="n">
        <f aca="false">IF(Q531&lt;&gt;1,0,IF(OR(설정!$C$5="전체",AND(설정!$C$5="선택펀드",IFERROR(COUNTIFS(설정!$F$16:$F$36,C531,설정!$G$16:$G$36,"Y")+COUNTIFS(설정!$F$16:$F$36,VALUE(C531),설정!$G$16:$G$36,"Y"),0)&gt;0),C531&amp;""=설정!$C$5&amp;""),1,0))</f>
        <v>0</v>
      </c>
      <c r="AD531" s="89" t="n">
        <f aca="false">IF(Q531&lt;&gt;1,0,IF(OR(S531=1,IF(AB531="",FALSE(),INDEX(시장분석!$R:$R,AB531)=1)),1,0))</f>
        <v>0</v>
      </c>
      <c r="AE531" s="43" t="str">
        <f aca="false">IF(AB531="","",INDEX(시장분석!$A:$A,AB531))</f>
        <v/>
      </c>
      <c r="AF531" s="93" t="str">
        <f aca="false">IF(AB531="","",IF(ISNUMBER(IF(AB531="","",INDEX(시장분석!$E:$E,AB531))),IF(AB531="","",INDEX(시장분석!$E:$E,AB531)),""))</f>
        <v/>
      </c>
      <c r="AG531" s="43" t="str">
        <f aca="false">IF(Q531&lt;&gt;1,"",IF(AB531&lt;&gt;"",IF(AB531="","",INDEX(시장분석!$L:$L,AB531)),IFERROR(IF(VLOOKUP(R531,매핑!$A$4:$E$92,5,0)="","미분류",VLOOKUP(R531,매핑!$A$4:$E$92,5,0)),"미분류")))</f>
        <v/>
      </c>
      <c r="AH531" s="43" t="str">
        <f aca="false">IF(Q531&lt;&gt;1,"",IF(AB531&lt;&gt;"",IF(AB531="","",INDEX(시장분석!$N:$N,AB531)),IFERROR(IF(VLOOKUP(R531,매핑!$A$4:$E$92,4,0)="","미분류",VLOOKUP(R531,매핑!$A$4:$E$92,4,0)),"미분류")))</f>
        <v/>
      </c>
      <c r="AI531" s="43" t="str">
        <f aca="false">IF(Q531&lt;&gt;1,"",IFERROR(IF(VLOOKUP(R531,매핑!$A$4:$E$92,3,0)="","미분류",VLOOKUP(R531,매핑!$A$4:$E$92,3,0)),IF(AB531&lt;&gt;"",IF(AB531="","",INDEX(시장분석!$W:$W,AB531)),"미분류")))</f>
        <v/>
      </c>
      <c r="AJ531" s="43" t="str">
        <f aca="false">IF(Q531&lt;&gt;1,"",IFERROR(VLOOKUP(IF(N531&lt;&gt;"",N531,IF(P531&lt;&gt;"",P531,O531)),설정!$A$15:$D$47,2,0),""))</f>
        <v/>
      </c>
      <c r="AK531" s="43" t="str">
        <f aca="false">IF(Q531&lt;&gt;1,"",IF(AJ531="","무등급",IFERROR(VLOOKUP(AJ531,설정!$A$15:$D$47,3,0),"무등급")))</f>
        <v/>
      </c>
      <c r="AL531" s="89" t="n">
        <f aca="false">IF(AJ531="",99,IFERROR(VLOOKUP(AJ531,설정!$A$15:$D$47,4,0),99))</f>
        <v>99</v>
      </c>
      <c r="AM531" s="94" t="n">
        <f aca="false">IF(ISNUMBER(H531),AA531*1000000*H531/10000,0)</f>
        <v>0</v>
      </c>
      <c r="AN531" s="94" t="n">
        <f aca="false">IF(OR(Y531=1,NOT(ISNUMBER(Z531))),0,AA531*1000000*Z531/10000)</f>
        <v>0</v>
      </c>
      <c r="AO531" s="94" t="n">
        <f aca="false">IF(ISNUMBER(G531),AA531*1000000*G531/100,0)</f>
        <v>0</v>
      </c>
      <c r="AP531" s="94" t="n">
        <f aca="false">IF(ISNUMBER(M531),M531*K531,0)</f>
        <v>0</v>
      </c>
      <c r="AQ531" s="95" t="str">
        <f aca="false">IF(AB531="","",INDEX(시장분석!$AK:$AK,AB531))</f>
        <v/>
      </c>
      <c r="AR531" s="43" t="str">
        <f aca="false">IF(AB531="","-",IF(AB531="","",INDEX(시장분석!$AL:$AL,AB531)))</f>
        <v>-</v>
      </c>
      <c r="AS531" s="96" t="str">
        <f aca="false">IF(AB531="","",INDEX(시장분석!$AJ:$AJ,AB531))</f>
        <v/>
      </c>
      <c r="AT531" s="93" t="n">
        <f aca="false">IF(AB531="",0,IF(AB531="","",INDEX(시장분석!$AN:$AN,AB531)))</f>
        <v>0</v>
      </c>
      <c r="AU531" s="94" t="n">
        <f aca="false">IF(ISNUMBER(Z531),AT531/10000*MAX(Z531-1,0)*AA531*1000000,0)</f>
        <v>0</v>
      </c>
      <c r="AV531" s="94" t="n">
        <f aca="false">AO531+AU531</f>
        <v>0</v>
      </c>
      <c r="AW531" s="43" t="str">
        <f aca="false">IF(Q531&lt;&gt;1,"",TRIM(IF(AD531=1,"FRN ","")&amp;IF(AND(AL531&gt;=10,AL531&lt;99),"BBB0미만 ","")&amp;IF(AJ531="","등급없음 ","")&amp;IF(K531&lt;&gt;1,"비USD ","")&amp;IF(AND(AB531="",Y531=0),"시장데이터없음 ","")&amp;IF(AND(ISNUMBER(U531),U531&lt;0),"만기경과 ","")))</f>
        <v/>
      </c>
      <c r="AX531" s="90" t="n">
        <f aca="false">IF(Q531&lt;&gt;1,1,IF(스프레드쇼크!$C$4="Y",INDEX(스프레드쇼크!$B$12:$L$16,IFERROR(MATCH(AH531,스프레드쇼크!$A$12:$A$16,0),MATCH("목록외",스프레드쇼크!$A$12:$A$16,0)),IFERROR(MATCH(AG531,스프레드쇼크!$B$11:$L$11,0),MATCH("목록외",스프레드쇼크!$B$11:$L$11,0))),1))</f>
        <v>1</v>
      </c>
      <c r="AY531" s="90" t="n">
        <f aca="false">IF(스프레드쇼크!$C$5="Y",IF(ISNUMBER(AF531),MIN(스프레드쇼크!$C$7,MAX(스프레드쇼크!$C$6,AF531/스프레드쇼크!$C$8)),1),1)</f>
        <v>1</v>
      </c>
      <c r="AZ531" s="94" t="n">
        <f aca="false">AN531*AX531*AY531</f>
        <v>0</v>
      </c>
      <c r="BA531" s="90" t="n">
        <f aca="false">IF(ISNUMBER(G531),AA531*G531,0)</f>
        <v>0</v>
      </c>
      <c r="BB531" s="90" t="n">
        <f aca="false">IF(ISNUMBER(G531),AA531,0)</f>
        <v>0</v>
      </c>
      <c r="BC531" s="90" t="n">
        <f aca="false">IF(AND(Y531=0,ISNUMBER(AF531)),AA531*AF531,0)</f>
        <v>0</v>
      </c>
      <c r="BD531" s="90" t="n">
        <f aca="false">IF(AND(Y531=0,ISNUMBER(AF531)),AA531,0)</f>
        <v>0</v>
      </c>
      <c r="BE531" s="90" t="n">
        <f aca="false">IF(ISNUMBER(H531),AA531*H531,0)</f>
        <v>0</v>
      </c>
      <c r="BF531" s="90" t="n">
        <f aca="false">IF(ISNUMBER(H531),AA531,0)</f>
        <v>0</v>
      </c>
      <c r="BG531" s="90" t="n">
        <f aca="false">IF(AND(Y531=0,ISNUMBER(AF531),ISNUMBER(Z531)),AA531*Z531,0)</f>
        <v>0</v>
      </c>
      <c r="BH531" s="90" t="n">
        <f aca="false">IF(AND(Y531=0,ISNUMBER(AF531),ISNUMBER(Z531)),AA531*AT531*MAX(Z531-1,0),0)</f>
        <v>0</v>
      </c>
      <c r="BI531" s="90" t="n">
        <f aca="false">IF(Y531=0,AA531,0)</f>
        <v>0</v>
      </c>
    </row>
    <row r="532" customFormat="false" ht="15" hidden="false" customHeight="false" outlineLevel="0" collapsed="false">
      <c r="A532" s="83" t="str">
        <f aca="false">IFERROR(IF(INDEX(원자료_잔고!$A$1:$EZ$1500,설정!$L$5+ROW()-1,설정!$L$8)&amp;""="0","",INDEX(원자료_잔고!$A$1:$EZ$1500,설정!$L$5+ROW()-1,설정!$L$8)&amp;""),"")</f>
        <v/>
      </c>
      <c r="B532" s="83" t="str">
        <f aca="false">IFERROR(IF(INDEX(원자료_잔고!$A$1:$EZ$1500,설정!$L$5+ROW()-1,설정!$L$7)&amp;""="0","",INDEX(원자료_잔고!$A$1:$EZ$1500,설정!$L$5+ROW()-1,설정!$L$7)&amp;""),"")</f>
        <v/>
      </c>
      <c r="C532" s="83" t="str">
        <f aca="false">IFERROR(IF(INDEX(원자료_잔고!$A$1:$EZ$1500,설정!$L$5+ROW()-1,설정!$L$9)&amp;""="0","",INDEX(원자료_잔고!$A$1:$EZ$1500,설정!$L$5+ROW()-1,설정!$L$9)&amp;""),"")</f>
        <v/>
      </c>
      <c r="D532" s="83" t="str">
        <f aca="false">IFERROR(IF(INDEX(원자료_잔고!$A$1:$EZ$1500,설정!$L$5+ROW()-1,설정!$L$10)&amp;""="0","",INDEX(원자료_잔고!$A$1:$EZ$1500,설정!$L$5+ROW()-1,설정!$L$10)&amp;""),"")</f>
        <v/>
      </c>
      <c r="E532" s="84" t="str">
        <f aca="false">IFERROR(IF(ISNUMBER(INDEX(원자료_잔고!$A$1:$EZ$1500,설정!$L$5+ROW()-1,설정!$L$11)),INDEX(원자료_잔고!$A$1:$EZ$1500,설정!$L$5+ROW()-1,설정!$L$11),""),"")</f>
        <v/>
      </c>
      <c r="F532" s="85" t="str">
        <f aca="false">IFERROR(IF(ISNUMBER(INDEX(원자료_잔고!$A$1:$EZ$1500,설정!$L$5+ROW()-1,설정!$L$12)),INDEX(원자료_잔고!$A$1:$EZ$1500,설정!$L$5+ROW()-1,설정!$L$12),""),"")</f>
        <v/>
      </c>
      <c r="G532" s="85" t="str">
        <f aca="false">IFERROR(IF(ISNUMBER(INDEX(원자료_잔고!$A$1:$EZ$1500,설정!$L$5+ROW()-1,설정!$L$13)),INDEX(원자료_잔고!$A$1:$EZ$1500,설정!$L$5+ROW()-1,설정!$L$13),""),"")</f>
        <v/>
      </c>
      <c r="H532" s="85" t="str">
        <f aca="false">IFERROR(IF(ISNUMBER(INDEX(원자료_잔고!$A$1:$EZ$1500,설정!$L$5+ROW()-1,설정!$L$14)),INDEX(원자료_잔고!$A$1:$EZ$1500,설정!$L$5+ROW()-1,설정!$L$14),""),"")</f>
        <v/>
      </c>
      <c r="I532" s="86" t="str">
        <f aca="false">IFERROR(IF(ISNUMBER(INDEX(원자료_잔고!$A$1:$EZ$1500,설정!$L$5+ROW()-1,설정!$L$15)),INDEX(원자료_잔고!$A$1:$EZ$1500,설정!$L$5+ROW()-1,설정!$L$15),""),"")</f>
        <v/>
      </c>
      <c r="J532" s="85" t="str">
        <f aca="false">IFERROR(IF(ISNUMBER(INDEX(원자료_잔고!$A$1:$EZ$1500,설정!$L$5+ROW()-1,설정!$L$16)),INDEX(원자료_잔고!$A$1:$EZ$1500,설정!$L$5+ROW()-1,설정!$L$16),""),"")</f>
        <v/>
      </c>
      <c r="K532" s="87" t="str">
        <f aca="false">IFERROR(IF(ISNUMBER(INDEX(원자료_잔고!$A$1:$EZ$1500,설정!$L$5+ROW()-1,설정!$L$17)),INDEX(원자료_잔고!$A$1:$EZ$1500,설정!$L$5+ROW()-1,설정!$L$17),""),"")</f>
        <v/>
      </c>
      <c r="L532" s="84" t="str">
        <f aca="false">IFERROR(IF(ISNUMBER(INDEX(원자료_잔고!$A$1:$EZ$1500,설정!$L$5+ROW()-1,설정!$L$18)),INDEX(원자료_잔고!$A$1:$EZ$1500,설정!$L$5+ROW()-1,설정!$L$18),""),"")</f>
        <v/>
      </c>
      <c r="M532" s="88" t="str">
        <f aca="false">IFERROR(IF(ISNUMBER(INDEX(원자료_잔고!$A$1:$EZ$1500,설정!$L$5+ROW()-1,설정!$L$19)),INDEX(원자료_잔고!$A$1:$EZ$1500,설정!$L$5+ROW()-1,설정!$L$19),""),"")</f>
        <v/>
      </c>
      <c r="N532" s="83" t="str">
        <f aca="false">IFERROR(IF(INDEX(원자료_잔고!$A$1:$EZ$1500,설정!$L$5+ROW()-1,설정!$L$21)&amp;""="0","",INDEX(원자료_잔고!$A$1:$EZ$1500,설정!$L$5+ROW()-1,설정!$L$21)&amp;""),"")</f>
        <v/>
      </c>
      <c r="O532" s="83" t="str">
        <f aca="false">IFERROR(IF(INDEX(원자료_잔고!$A$1:$EZ$1500,설정!$L$5+ROW()-1,설정!$L$22)&amp;""="0","",INDEX(원자료_잔고!$A$1:$EZ$1500,설정!$L$5+ROW()-1,설정!$L$22)&amp;""),"")</f>
        <v/>
      </c>
      <c r="P532" s="83" t="str">
        <f aca="false">IFERROR(IF(INDEX(원자료_잔고!$A$1:$EZ$1500,설정!$L$5+ROW()-1,설정!$L$23)&amp;""="0","",INDEX(원자료_잔고!$A$1:$EZ$1500,설정!$L$5+ROW()-1,설정!$L$23)&amp;""),"")</f>
        <v/>
      </c>
      <c r="Q532" s="89" t="n">
        <f aca="false">IF(AND($A532&lt;&gt;"",ISNUMBER(E532)),IF(E532&gt;0,1,0),0)</f>
        <v>0</v>
      </c>
      <c r="R532" s="43" t="str">
        <f aca="false">IF(Q532=1,UPPER(LEFT($A532,FIND(" ",$A532&amp;" ")-1)),"")</f>
        <v/>
      </c>
      <c r="S532" s="89" t="n">
        <f aca="false">IF(Q532=1,IF(OR(ISNUMBER(SEARCH("Float",$A532)),ISNUMBER(SEARCH("FRN",$A532))),1,0),0)</f>
        <v>0</v>
      </c>
      <c r="T532" s="43" t="str">
        <f aca="false">IF(AND(Q532=1,ISNUMBER(I532)),TEXT(I532,"yyyymmdd")&amp;"|"&amp;IF(S532=1,"F",TEXT(J532,"0.000")),"")</f>
        <v/>
      </c>
      <c r="U532" s="90" t="str">
        <f aca="false">IF(AND(Q532=1,ISNUMBER(I532)),(I532-설정!$C$4)/365.25,"")</f>
        <v/>
      </c>
      <c r="V532" s="43" t="str">
        <f aca="false">IF(Q532&lt;&gt;1,"",IF(ISNUMBER(U532),IF(U532&lt;=1,"1년 이하",IF(U532&lt;=2,"1-2년",IF(U532&lt;=3,"2-3년",IF(U532&lt;=4,"3-4년",IF(U532&lt;=5,"4-5년",IF(U532&lt;=7,"5-7년",IF(U532&lt;=10,"7-10년",IF(U532&lt;=20,"10-20년","20년 이상")))))))),"미분류"))</f>
        <v/>
      </c>
      <c r="W532" s="43" t="str">
        <f aca="false">IF(Q532&lt;&gt;1,"",IF(AB532&lt;&gt;"",INDEX(시장분석!$C:$C,AB532),IF(K532=1,"USD","비USD")))</f>
        <v/>
      </c>
      <c r="X532" s="91" t="n">
        <f aca="false">IF(Q532=1,E532*K532/1000000,0)</f>
        <v>0</v>
      </c>
      <c r="Y532" s="89" t="n">
        <f aca="false">IF(R532="T",1,0)</f>
        <v>0</v>
      </c>
      <c r="Z532" s="92" t="str">
        <f aca="false">IF(Q532&lt;&gt;1,"",IF(AD532=1,IF(ISNUMBER(U532),MAX(U532,0),H532),H532))</f>
        <v/>
      </c>
      <c r="AA532" s="91" t="n">
        <f aca="false">IF(Q532=1,IF(ISNUMBER(L532),L532,0)*K532/1000000,0)</f>
        <v>0</v>
      </c>
      <c r="AB532" s="89" t="str">
        <f aca="false">IF(Q532&lt;&gt;1,"",IFERROR(MATCH(VLOOKUP(B532,매핑!$H$4:$I$15,2,0),시장분석!$A$2:$A$601,0)+1,IFERROR(MATCH(R532&amp;"|"&amp;T532,시장분석!$V$2:$V$601,0)+1,IF(COUNTIF(시장분석!$U$2:$U$601,T532)=1,MATCH(T532,시장분석!$U$2:$U$601,0)+1,""))))</f>
        <v/>
      </c>
      <c r="AC532" s="89" t="n">
        <f aca="false">IF(Q532&lt;&gt;1,0,IF(OR(설정!$C$5="전체",AND(설정!$C$5="선택펀드",IFERROR(COUNTIFS(설정!$F$16:$F$36,C532,설정!$G$16:$G$36,"Y")+COUNTIFS(설정!$F$16:$F$36,VALUE(C532),설정!$G$16:$G$36,"Y"),0)&gt;0),C532&amp;""=설정!$C$5&amp;""),1,0))</f>
        <v>0</v>
      </c>
      <c r="AD532" s="89" t="n">
        <f aca="false">IF(Q532&lt;&gt;1,0,IF(OR(S532=1,IF(AB532="",FALSE(),INDEX(시장분석!$R:$R,AB532)=1)),1,0))</f>
        <v>0</v>
      </c>
      <c r="AE532" s="43" t="str">
        <f aca="false">IF(AB532="","",INDEX(시장분석!$A:$A,AB532))</f>
        <v/>
      </c>
      <c r="AF532" s="93" t="str">
        <f aca="false">IF(AB532="","",IF(ISNUMBER(IF(AB532="","",INDEX(시장분석!$E:$E,AB532))),IF(AB532="","",INDEX(시장분석!$E:$E,AB532)),""))</f>
        <v/>
      </c>
      <c r="AG532" s="43" t="str">
        <f aca="false">IF(Q532&lt;&gt;1,"",IF(AB532&lt;&gt;"",IF(AB532="","",INDEX(시장분석!$L:$L,AB532)),IFERROR(IF(VLOOKUP(R532,매핑!$A$4:$E$92,5,0)="","미분류",VLOOKUP(R532,매핑!$A$4:$E$92,5,0)),"미분류")))</f>
        <v/>
      </c>
      <c r="AH532" s="43" t="str">
        <f aca="false">IF(Q532&lt;&gt;1,"",IF(AB532&lt;&gt;"",IF(AB532="","",INDEX(시장분석!$N:$N,AB532)),IFERROR(IF(VLOOKUP(R532,매핑!$A$4:$E$92,4,0)="","미분류",VLOOKUP(R532,매핑!$A$4:$E$92,4,0)),"미분류")))</f>
        <v/>
      </c>
      <c r="AI532" s="43" t="str">
        <f aca="false">IF(Q532&lt;&gt;1,"",IFERROR(IF(VLOOKUP(R532,매핑!$A$4:$E$92,3,0)="","미분류",VLOOKUP(R532,매핑!$A$4:$E$92,3,0)),IF(AB532&lt;&gt;"",IF(AB532="","",INDEX(시장분석!$W:$W,AB532)),"미분류")))</f>
        <v/>
      </c>
      <c r="AJ532" s="43" t="str">
        <f aca="false">IF(Q532&lt;&gt;1,"",IFERROR(VLOOKUP(IF(N532&lt;&gt;"",N532,IF(P532&lt;&gt;"",P532,O532)),설정!$A$15:$D$47,2,0),""))</f>
        <v/>
      </c>
      <c r="AK532" s="43" t="str">
        <f aca="false">IF(Q532&lt;&gt;1,"",IF(AJ532="","무등급",IFERROR(VLOOKUP(AJ532,설정!$A$15:$D$47,3,0),"무등급")))</f>
        <v/>
      </c>
      <c r="AL532" s="89" t="n">
        <f aca="false">IF(AJ532="",99,IFERROR(VLOOKUP(AJ532,설정!$A$15:$D$47,4,0),99))</f>
        <v>99</v>
      </c>
      <c r="AM532" s="94" t="n">
        <f aca="false">IF(ISNUMBER(H532),AA532*1000000*H532/10000,0)</f>
        <v>0</v>
      </c>
      <c r="AN532" s="94" t="n">
        <f aca="false">IF(OR(Y532=1,NOT(ISNUMBER(Z532))),0,AA532*1000000*Z532/10000)</f>
        <v>0</v>
      </c>
      <c r="AO532" s="94" t="n">
        <f aca="false">IF(ISNUMBER(G532),AA532*1000000*G532/100,0)</f>
        <v>0</v>
      </c>
      <c r="AP532" s="94" t="n">
        <f aca="false">IF(ISNUMBER(M532),M532*K532,0)</f>
        <v>0</v>
      </c>
      <c r="AQ532" s="95" t="str">
        <f aca="false">IF(AB532="","",INDEX(시장분석!$AK:$AK,AB532))</f>
        <v/>
      </c>
      <c r="AR532" s="43" t="str">
        <f aca="false">IF(AB532="","-",IF(AB532="","",INDEX(시장분석!$AL:$AL,AB532)))</f>
        <v>-</v>
      </c>
      <c r="AS532" s="96" t="str">
        <f aca="false">IF(AB532="","",INDEX(시장분석!$AJ:$AJ,AB532))</f>
        <v/>
      </c>
      <c r="AT532" s="93" t="n">
        <f aca="false">IF(AB532="",0,IF(AB532="","",INDEX(시장분석!$AN:$AN,AB532)))</f>
        <v>0</v>
      </c>
      <c r="AU532" s="94" t="n">
        <f aca="false">IF(ISNUMBER(Z532),AT532/10000*MAX(Z532-1,0)*AA532*1000000,0)</f>
        <v>0</v>
      </c>
      <c r="AV532" s="94" t="n">
        <f aca="false">AO532+AU532</f>
        <v>0</v>
      </c>
      <c r="AW532" s="43" t="str">
        <f aca="false">IF(Q532&lt;&gt;1,"",TRIM(IF(AD532=1,"FRN ","")&amp;IF(AND(AL532&gt;=10,AL532&lt;99),"BBB0미만 ","")&amp;IF(AJ532="","등급없음 ","")&amp;IF(K532&lt;&gt;1,"비USD ","")&amp;IF(AND(AB532="",Y532=0),"시장데이터없음 ","")&amp;IF(AND(ISNUMBER(U532),U532&lt;0),"만기경과 ","")))</f>
        <v/>
      </c>
      <c r="AX532" s="90" t="n">
        <f aca="false">IF(Q532&lt;&gt;1,1,IF(스프레드쇼크!$C$4="Y",INDEX(스프레드쇼크!$B$12:$L$16,IFERROR(MATCH(AH532,스프레드쇼크!$A$12:$A$16,0),MATCH("목록외",스프레드쇼크!$A$12:$A$16,0)),IFERROR(MATCH(AG532,스프레드쇼크!$B$11:$L$11,0),MATCH("목록외",스프레드쇼크!$B$11:$L$11,0))),1))</f>
        <v>1</v>
      </c>
      <c r="AY532" s="90" t="n">
        <f aca="false">IF(스프레드쇼크!$C$5="Y",IF(ISNUMBER(AF532),MIN(스프레드쇼크!$C$7,MAX(스프레드쇼크!$C$6,AF532/스프레드쇼크!$C$8)),1),1)</f>
        <v>1</v>
      </c>
      <c r="AZ532" s="94" t="n">
        <f aca="false">AN532*AX532*AY532</f>
        <v>0</v>
      </c>
      <c r="BA532" s="90" t="n">
        <f aca="false">IF(ISNUMBER(G532),AA532*G532,0)</f>
        <v>0</v>
      </c>
      <c r="BB532" s="90" t="n">
        <f aca="false">IF(ISNUMBER(G532),AA532,0)</f>
        <v>0</v>
      </c>
      <c r="BC532" s="90" t="n">
        <f aca="false">IF(AND(Y532=0,ISNUMBER(AF532)),AA532*AF532,0)</f>
        <v>0</v>
      </c>
      <c r="BD532" s="90" t="n">
        <f aca="false">IF(AND(Y532=0,ISNUMBER(AF532)),AA532,0)</f>
        <v>0</v>
      </c>
      <c r="BE532" s="90" t="n">
        <f aca="false">IF(ISNUMBER(H532),AA532*H532,0)</f>
        <v>0</v>
      </c>
      <c r="BF532" s="90" t="n">
        <f aca="false">IF(ISNUMBER(H532),AA532,0)</f>
        <v>0</v>
      </c>
      <c r="BG532" s="90" t="n">
        <f aca="false">IF(AND(Y532=0,ISNUMBER(AF532),ISNUMBER(Z532)),AA532*Z532,0)</f>
        <v>0</v>
      </c>
      <c r="BH532" s="90" t="n">
        <f aca="false">IF(AND(Y532=0,ISNUMBER(AF532),ISNUMBER(Z532)),AA532*AT532*MAX(Z532-1,0),0)</f>
        <v>0</v>
      </c>
      <c r="BI532" s="90" t="n">
        <f aca="false">IF(Y532=0,AA532,0)</f>
        <v>0</v>
      </c>
    </row>
    <row r="533" customFormat="false" ht="15" hidden="false" customHeight="false" outlineLevel="0" collapsed="false">
      <c r="A533" s="83" t="str">
        <f aca="false">IFERROR(IF(INDEX(원자료_잔고!$A$1:$EZ$1500,설정!$L$5+ROW()-1,설정!$L$8)&amp;""="0","",INDEX(원자료_잔고!$A$1:$EZ$1500,설정!$L$5+ROW()-1,설정!$L$8)&amp;""),"")</f>
        <v/>
      </c>
      <c r="B533" s="83" t="str">
        <f aca="false">IFERROR(IF(INDEX(원자료_잔고!$A$1:$EZ$1500,설정!$L$5+ROW()-1,설정!$L$7)&amp;""="0","",INDEX(원자료_잔고!$A$1:$EZ$1500,설정!$L$5+ROW()-1,설정!$L$7)&amp;""),"")</f>
        <v/>
      </c>
      <c r="C533" s="83" t="str">
        <f aca="false">IFERROR(IF(INDEX(원자료_잔고!$A$1:$EZ$1500,설정!$L$5+ROW()-1,설정!$L$9)&amp;""="0","",INDEX(원자료_잔고!$A$1:$EZ$1500,설정!$L$5+ROW()-1,설정!$L$9)&amp;""),"")</f>
        <v/>
      </c>
      <c r="D533" s="83" t="str">
        <f aca="false">IFERROR(IF(INDEX(원자료_잔고!$A$1:$EZ$1500,설정!$L$5+ROW()-1,설정!$L$10)&amp;""="0","",INDEX(원자료_잔고!$A$1:$EZ$1500,설정!$L$5+ROW()-1,설정!$L$10)&amp;""),"")</f>
        <v/>
      </c>
      <c r="E533" s="84" t="str">
        <f aca="false">IFERROR(IF(ISNUMBER(INDEX(원자료_잔고!$A$1:$EZ$1500,설정!$L$5+ROW()-1,설정!$L$11)),INDEX(원자료_잔고!$A$1:$EZ$1500,설정!$L$5+ROW()-1,설정!$L$11),""),"")</f>
        <v/>
      </c>
      <c r="F533" s="85" t="str">
        <f aca="false">IFERROR(IF(ISNUMBER(INDEX(원자료_잔고!$A$1:$EZ$1500,설정!$L$5+ROW()-1,설정!$L$12)),INDEX(원자료_잔고!$A$1:$EZ$1500,설정!$L$5+ROW()-1,설정!$L$12),""),"")</f>
        <v/>
      </c>
      <c r="G533" s="85" t="str">
        <f aca="false">IFERROR(IF(ISNUMBER(INDEX(원자료_잔고!$A$1:$EZ$1500,설정!$L$5+ROW()-1,설정!$L$13)),INDEX(원자료_잔고!$A$1:$EZ$1500,설정!$L$5+ROW()-1,설정!$L$13),""),"")</f>
        <v/>
      </c>
      <c r="H533" s="85" t="str">
        <f aca="false">IFERROR(IF(ISNUMBER(INDEX(원자료_잔고!$A$1:$EZ$1500,설정!$L$5+ROW()-1,설정!$L$14)),INDEX(원자료_잔고!$A$1:$EZ$1500,설정!$L$5+ROW()-1,설정!$L$14),""),"")</f>
        <v/>
      </c>
      <c r="I533" s="86" t="str">
        <f aca="false">IFERROR(IF(ISNUMBER(INDEX(원자료_잔고!$A$1:$EZ$1500,설정!$L$5+ROW()-1,설정!$L$15)),INDEX(원자료_잔고!$A$1:$EZ$1500,설정!$L$5+ROW()-1,설정!$L$15),""),"")</f>
        <v/>
      </c>
      <c r="J533" s="85" t="str">
        <f aca="false">IFERROR(IF(ISNUMBER(INDEX(원자료_잔고!$A$1:$EZ$1500,설정!$L$5+ROW()-1,설정!$L$16)),INDEX(원자료_잔고!$A$1:$EZ$1500,설정!$L$5+ROW()-1,설정!$L$16),""),"")</f>
        <v/>
      </c>
      <c r="K533" s="87" t="str">
        <f aca="false">IFERROR(IF(ISNUMBER(INDEX(원자료_잔고!$A$1:$EZ$1500,설정!$L$5+ROW()-1,설정!$L$17)),INDEX(원자료_잔고!$A$1:$EZ$1500,설정!$L$5+ROW()-1,설정!$L$17),""),"")</f>
        <v/>
      </c>
      <c r="L533" s="84" t="str">
        <f aca="false">IFERROR(IF(ISNUMBER(INDEX(원자료_잔고!$A$1:$EZ$1500,설정!$L$5+ROW()-1,설정!$L$18)),INDEX(원자료_잔고!$A$1:$EZ$1500,설정!$L$5+ROW()-1,설정!$L$18),""),"")</f>
        <v/>
      </c>
      <c r="M533" s="88" t="str">
        <f aca="false">IFERROR(IF(ISNUMBER(INDEX(원자료_잔고!$A$1:$EZ$1500,설정!$L$5+ROW()-1,설정!$L$19)),INDEX(원자료_잔고!$A$1:$EZ$1500,설정!$L$5+ROW()-1,설정!$L$19),""),"")</f>
        <v/>
      </c>
      <c r="N533" s="83" t="str">
        <f aca="false">IFERROR(IF(INDEX(원자료_잔고!$A$1:$EZ$1500,설정!$L$5+ROW()-1,설정!$L$21)&amp;""="0","",INDEX(원자료_잔고!$A$1:$EZ$1500,설정!$L$5+ROW()-1,설정!$L$21)&amp;""),"")</f>
        <v/>
      </c>
      <c r="O533" s="83" t="str">
        <f aca="false">IFERROR(IF(INDEX(원자료_잔고!$A$1:$EZ$1500,설정!$L$5+ROW()-1,설정!$L$22)&amp;""="0","",INDEX(원자료_잔고!$A$1:$EZ$1500,설정!$L$5+ROW()-1,설정!$L$22)&amp;""),"")</f>
        <v/>
      </c>
      <c r="P533" s="83" t="str">
        <f aca="false">IFERROR(IF(INDEX(원자료_잔고!$A$1:$EZ$1500,설정!$L$5+ROW()-1,설정!$L$23)&amp;""="0","",INDEX(원자료_잔고!$A$1:$EZ$1500,설정!$L$5+ROW()-1,설정!$L$23)&amp;""),"")</f>
        <v/>
      </c>
      <c r="Q533" s="89" t="n">
        <f aca="false">IF(AND($A533&lt;&gt;"",ISNUMBER(E533)),IF(E533&gt;0,1,0),0)</f>
        <v>0</v>
      </c>
      <c r="R533" s="43" t="str">
        <f aca="false">IF(Q533=1,UPPER(LEFT($A533,FIND(" ",$A533&amp;" ")-1)),"")</f>
        <v/>
      </c>
      <c r="S533" s="89" t="n">
        <f aca="false">IF(Q533=1,IF(OR(ISNUMBER(SEARCH("Float",$A533)),ISNUMBER(SEARCH("FRN",$A533))),1,0),0)</f>
        <v>0</v>
      </c>
      <c r="T533" s="43" t="str">
        <f aca="false">IF(AND(Q533=1,ISNUMBER(I533)),TEXT(I533,"yyyymmdd")&amp;"|"&amp;IF(S533=1,"F",TEXT(J533,"0.000")),"")</f>
        <v/>
      </c>
      <c r="U533" s="90" t="str">
        <f aca="false">IF(AND(Q533=1,ISNUMBER(I533)),(I533-설정!$C$4)/365.25,"")</f>
        <v/>
      </c>
      <c r="V533" s="43" t="str">
        <f aca="false">IF(Q533&lt;&gt;1,"",IF(ISNUMBER(U533),IF(U533&lt;=1,"1년 이하",IF(U533&lt;=2,"1-2년",IF(U533&lt;=3,"2-3년",IF(U533&lt;=4,"3-4년",IF(U533&lt;=5,"4-5년",IF(U533&lt;=7,"5-7년",IF(U533&lt;=10,"7-10년",IF(U533&lt;=20,"10-20년","20년 이상")))))))),"미분류"))</f>
        <v/>
      </c>
      <c r="W533" s="43" t="str">
        <f aca="false">IF(Q533&lt;&gt;1,"",IF(AB533&lt;&gt;"",INDEX(시장분석!$C:$C,AB533),IF(K533=1,"USD","비USD")))</f>
        <v/>
      </c>
      <c r="X533" s="91" t="n">
        <f aca="false">IF(Q533=1,E533*K533/1000000,0)</f>
        <v>0</v>
      </c>
      <c r="Y533" s="89" t="n">
        <f aca="false">IF(R533="T",1,0)</f>
        <v>0</v>
      </c>
      <c r="Z533" s="92" t="str">
        <f aca="false">IF(Q533&lt;&gt;1,"",IF(AD533=1,IF(ISNUMBER(U533),MAX(U533,0),H533),H533))</f>
        <v/>
      </c>
      <c r="AA533" s="91" t="n">
        <f aca="false">IF(Q533=1,IF(ISNUMBER(L533),L533,0)*K533/1000000,0)</f>
        <v>0</v>
      </c>
      <c r="AB533" s="89" t="str">
        <f aca="false">IF(Q533&lt;&gt;1,"",IFERROR(MATCH(VLOOKUP(B533,매핑!$H$4:$I$15,2,0),시장분석!$A$2:$A$601,0)+1,IFERROR(MATCH(R533&amp;"|"&amp;T533,시장분석!$V$2:$V$601,0)+1,IF(COUNTIF(시장분석!$U$2:$U$601,T533)=1,MATCH(T533,시장분석!$U$2:$U$601,0)+1,""))))</f>
        <v/>
      </c>
      <c r="AC533" s="89" t="n">
        <f aca="false">IF(Q533&lt;&gt;1,0,IF(OR(설정!$C$5="전체",AND(설정!$C$5="선택펀드",IFERROR(COUNTIFS(설정!$F$16:$F$36,C533,설정!$G$16:$G$36,"Y")+COUNTIFS(설정!$F$16:$F$36,VALUE(C533),설정!$G$16:$G$36,"Y"),0)&gt;0),C533&amp;""=설정!$C$5&amp;""),1,0))</f>
        <v>0</v>
      </c>
      <c r="AD533" s="89" t="n">
        <f aca="false">IF(Q533&lt;&gt;1,0,IF(OR(S533=1,IF(AB533="",FALSE(),INDEX(시장분석!$R:$R,AB533)=1)),1,0))</f>
        <v>0</v>
      </c>
      <c r="AE533" s="43" t="str">
        <f aca="false">IF(AB533="","",INDEX(시장분석!$A:$A,AB533))</f>
        <v/>
      </c>
      <c r="AF533" s="93" t="str">
        <f aca="false">IF(AB533="","",IF(ISNUMBER(IF(AB533="","",INDEX(시장분석!$E:$E,AB533))),IF(AB533="","",INDEX(시장분석!$E:$E,AB533)),""))</f>
        <v/>
      </c>
      <c r="AG533" s="43" t="str">
        <f aca="false">IF(Q533&lt;&gt;1,"",IF(AB533&lt;&gt;"",IF(AB533="","",INDEX(시장분석!$L:$L,AB533)),IFERROR(IF(VLOOKUP(R533,매핑!$A$4:$E$92,5,0)="","미분류",VLOOKUP(R533,매핑!$A$4:$E$92,5,0)),"미분류")))</f>
        <v/>
      </c>
      <c r="AH533" s="43" t="str">
        <f aca="false">IF(Q533&lt;&gt;1,"",IF(AB533&lt;&gt;"",IF(AB533="","",INDEX(시장분석!$N:$N,AB533)),IFERROR(IF(VLOOKUP(R533,매핑!$A$4:$E$92,4,0)="","미분류",VLOOKUP(R533,매핑!$A$4:$E$92,4,0)),"미분류")))</f>
        <v/>
      </c>
      <c r="AI533" s="43" t="str">
        <f aca="false">IF(Q533&lt;&gt;1,"",IFERROR(IF(VLOOKUP(R533,매핑!$A$4:$E$92,3,0)="","미분류",VLOOKUP(R533,매핑!$A$4:$E$92,3,0)),IF(AB533&lt;&gt;"",IF(AB533="","",INDEX(시장분석!$W:$W,AB533)),"미분류")))</f>
        <v/>
      </c>
      <c r="AJ533" s="43" t="str">
        <f aca="false">IF(Q533&lt;&gt;1,"",IFERROR(VLOOKUP(IF(N533&lt;&gt;"",N533,IF(P533&lt;&gt;"",P533,O533)),설정!$A$15:$D$47,2,0),""))</f>
        <v/>
      </c>
      <c r="AK533" s="43" t="str">
        <f aca="false">IF(Q533&lt;&gt;1,"",IF(AJ533="","무등급",IFERROR(VLOOKUP(AJ533,설정!$A$15:$D$47,3,0),"무등급")))</f>
        <v/>
      </c>
      <c r="AL533" s="89" t="n">
        <f aca="false">IF(AJ533="",99,IFERROR(VLOOKUP(AJ533,설정!$A$15:$D$47,4,0),99))</f>
        <v>99</v>
      </c>
      <c r="AM533" s="94" t="n">
        <f aca="false">IF(ISNUMBER(H533),AA533*1000000*H533/10000,0)</f>
        <v>0</v>
      </c>
      <c r="AN533" s="94" t="n">
        <f aca="false">IF(OR(Y533=1,NOT(ISNUMBER(Z533))),0,AA533*1000000*Z533/10000)</f>
        <v>0</v>
      </c>
      <c r="AO533" s="94" t="n">
        <f aca="false">IF(ISNUMBER(G533),AA533*1000000*G533/100,0)</f>
        <v>0</v>
      </c>
      <c r="AP533" s="94" t="n">
        <f aca="false">IF(ISNUMBER(M533),M533*K533,0)</f>
        <v>0</v>
      </c>
      <c r="AQ533" s="95" t="str">
        <f aca="false">IF(AB533="","",INDEX(시장분석!$AK:$AK,AB533))</f>
        <v/>
      </c>
      <c r="AR533" s="43" t="str">
        <f aca="false">IF(AB533="","-",IF(AB533="","",INDEX(시장분석!$AL:$AL,AB533)))</f>
        <v>-</v>
      </c>
      <c r="AS533" s="96" t="str">
        <f aca="false">IF(AB533="","",INDEX(시장분석!$AJ:$AJ,AB533))</f>
        <v/>
      </c>
      <c r="AT533" s="93" t="n">
        <f aca="false">IF(AB533="",0,IF(AB533="","",INDEX(시장분석!$AN:$AN,AB533)))</f>
        <v>0</v>
      </c>
      <c r="AU533" s="94" t="n">
        <f aca="false">IF(ISNUMBER(Z533),AT533/10000*MAX(Z533-1,0)*AA533*1000000,0)</f>
        <v>0</v>
      </c>
      <c r="AV533" s="94" t="n">
        <f aca="false">AO533+AU533</f>
        <v>0</v>
      </c>
      <c r="AW533" s="43" t="str">
        <f aca="false">IF(Q533&lt;&gt;1,"",TRIM(IF(AD533=1,"FRN ","")&amp;IF(AND(AL533&gt;=10,AL533&lt;99),"BBB0미만 ","")&amp;IF(AJ533="","등급없음 ","")&amp;IF(K533&lt;&gt;1,"비USD ","")&amp;IF(AND(AB533="",Y533=0),"시장데이터없음 ","")&amp;IF(AND(ISNUMBER(U533),U533&lt;0),"만기경과 ","")))</f>
        <v/>
      </c>
      <c r="AX533" s="90" t="n">
        <f aca="false">IF(Q533&lt;&gt;1,1,IF(스프레드쇼크!$C$4="Y",INDEX(스프레드쇼크!$B$12:$L$16,IFERROR(MATCH(AH533,스프레드쇼크!$A$12:$A$16,0),MATCH("목록외",스프레드쇼크!$A$12:$A$16,0)),IFERROR(MATCH(AG533,스프레드쇼크!$B$11:$L$11,0),MATCH("목록외",스프레드쇼크!$B$11:$L$11,0))),1))</f>
        <v>1</v>
      </c>
      <c r="AY533" s="90" t="n">
        <f aca="false">IF(스프레드쇼크!$C$5="Y",IF(ISNUMBER(AF533),MIN(스프레드쇼크!$C$7,MAX(스프레드쇼크!$C$6,AF533/스프레드쇼크!$C$8)),1),1)</f>
        <v>1</v>
      </c>
      <c r="AZ533" s="94" t="n">
        <f aca="false">AN533*AX533*AY533</f>
        <v>0</v>
      </c>
      <c r="BA533" s="90" t="n">
        <f aca="false">IF(ISNUMBER(G533),AA533*G533,0)</f>
        <v>0</v>
      </c>
      <c r="BB533" s="90" t="n">
        <f aca="false">IF(ISNUMBER(G533),AA533,0)</f>
        <v>0</v>
      </c>
      <c r="BC533" s="90" t="n">
        <f aca="false">IF(AND(Y533=0,ISNUMBER(AF533)),AA533*AF533,0)</f>
        <v>0</v>
      </c>
      <c r="BD533" s="90" t="n">
        <f aca="false">IF(AND(Y533=0,ISNUMBER(AF533)),AA533,0)</f>
        <v>0</v>
      </c>
      <c r="BE533" s="90" t="n">
        <f aca="false">IF(ISNUMBER(H533),AA533*H533,0)</f>
        <v>0</v>
      </c>
      <c r="BF533" s="90" t="n">
        <f aca="false">IF(ISNUMBER(H533),AA533,0)</f>
        <v>0</v>
      </c>
      <c r="BG533" s="90" t="n">
        <f aca="false">IF(AND(Y533=0,ISNUMBER(AF533),ISNUMBER(Z533)),AA533*Z533,0)</f>
        <v>0</v>
      </c>
      <c r="BH533" s="90" t="n">
        <f aca="false">IF(AND(Y533=0,ISNUMBER(AF533),ISNUMBER(Z533)),AA533*AT533*MAX(Z533-1,0),0)</f>
        <v>0</v>
      </c>
      <c r="BI533" s="90" t="n">
        <f aca="false">IF(Y533=0,AA533,0)</f>
        <v>0</v>
      </c>
    </row>
    <row r="534" customFormat="false" ht="15" hidden="false" customHeight="false" outlineLevel="0" collapsed="false">
      <c r="A534" s="83" t="str">
        <f aca="false">IFERROR(IF(INDEX(원자료_잔고!$A$1:$EZ$1500,설정!$L$5+ROW()-1,설정!$L$8)&amp;""="0","",INDEX(원자료_잔고!$A$1:$EZ$1500,설정!$L$5+ROW()-1,설정!$L$8)&amp;""),"")</f>
        <v/>
      </c>
      <c r="B534" s="83" t="str">
        <f aca="false">IFERROR(IF(INDEX(원자료_잔고!$A$1:$EZ$1500,설정!$L$5+ROW()-1,설정!$L$7)&amp;""="0","",INDEX(원자료_잔고!$A$1:$EZ$1500,설정!$L$5+ROW()-1,설정!$L$7)&amp;""),"")</f>
        <v/>
      </c>
      <c r="C534" s="83" t="str">
        <f aca="false">IFERROR(IF(INDEX(원자료_잔고!$A$1:$EZ$1500,설정!$L$5+ROW()-1,설정!$L$9)&amp;""="0","",INDEX(원자료_잔고!$A$1:$EZ$1500,설정!$L$5+ROW()-1,설정!$L$9)&amp;""),"")</f>
        <v/>
      </c>
      <c r="D534" s="83" t="str">
        <f aca="false">IFERROR(IF(INDEX(원자료_잔고!$A$1:$EZ$1500,설정!$L$5+ROW()-1,설정!$L$10)&amp;""="0","",INDEX(원자료_잔고!$A$1:$EZ$1500,설정!$L$5+ROW()-1,설정!$L$10)&amp;""),"")</f>
        <v/>
      </c>
      <c r="E534" s="84" t="str">
        <f aca="false">IFERROR(IF(ISNUMBER(INDEX(원자료_잔고!$A$1:$EZ$1500,설정!$L$5+ROW()-1,설정!$L$11)),INDEX(원자료_잔고!$A$1:$EZ$1500,설정!$L$5+ROW()-1,설정!$L$11),""),"")</f>
        <v/>
      </c>
      <c r="F534" s="85" t="str">
        <f aca="false">IFERROR(IF(ISNUMBER(INDEX(원자료_잔고!$A$1:$EZ$1500,설정!$L$5+ROW()-1,설정!$L$12)),INDEX(원자료_잔고!$A$1:$EZ$1500,설정!$L$5+ROW()-1,설정!$L$12),""),"")</f>
        <v/>
      </c>
      <c r="G534" s="85" t="str">
        <f aca="false">IFERROR(IF(ISNUMBER(INDEX(원자료_잔고!$A$1:$EZ$1500,설정!$L$5+ROW()-1,설정!$L$13)),INDEX(원자료_잔고!$A$1:$EZ$1500,설정!$L$5+ROW()-1,설정!$L$13),""),"")</f>
        <v/>
      </c>
      <c r="H534" s="85" t="str">
        <f aca="false">IFERROR(IF(ISNUMBER(INDEX(원자료_잔고!$A$1:$EZ$1500,설정!$L$5+ROW()-1,설정!$L$14)),INDEX(원자료_잔고!$A$1:$EZ$1500,설정!$L$5+ROW()-1,설정!$L$14),""),"")</f>
        <v/>
      </c>
      <c r="I534" s="86" t="str">
        <f aca="false">IFERROR(IF(ISNUMBER(INDEX(원자료_잔고!$A$1:$EZ$1500,설정!$L$5+ROW()-1,설정!$L$15)),INDEX(원자료_잔고!$A$1:$EZ$1500,설정!$L$5+ROW()-1,설정!$L$15),""),"")</f>
        <v/>
      </c>
      <c r="J534" s="85" t="str">
        <f aca="false">IFERROR(IF(ISNUMBER(INDEX(원자료_잔고!$A$1:$EZ$1500,설정!$L$5+ROW()-1,설정!$L$16)),INDEX(원자료_잔고!$A$1:$EZ$1500,설정!$L$5+ROW()-1,설정!$L$16),""),"")</f>
        <v/>
      </c>
      <c r="K534" s="87" t="str">
        <f aca="false">IFERROR(IF(ISNUMBER(INDEX(원자료_잔고!$A$1:$EZ$1500,설정!$L$5+ROW()-1,설정!$L$17)),INDEX(원자료_잔고!$A$1:$EZ$1500,설정!$L$5+ROW()-1,설정!$L$17),""),"")</f>
        <v/>
      </c>
      <c r="L534" s="84" t="str">
        <f aca="false">IFERROR(IF(ISNUMBER(INDEX(원자료_잔고!$A$1:$EZ$1500,설정!$L$5+ROW()-1,설정!$L$18)),INDEX(원자료_잔고!$A$1:$EZ$1500,설정!$L$5+ROW()-1,설정!$L$18),""),"")</f>
        <v/>
      </c>
      <c r="M534" s="88" t="str">
        <f aca="false">IFERROR(IF(ISNUMBER(INDEX(원자료_잔고!$A$1:$EZ$1500,설정!$L$5+ROW()-1,설정!$L$19)),INDEX(원자료_잔고!$A$1:$EZ$1500,설정!$L$5+ROW()-1,설정!$L$19),""),"")</f>
        <v/>
      </c>
      <c r="N534" s="83" t="str">
        <f aca="false">IFERROR(IF(INDEX(원자료_잔고!$A$1:$EZ$1500,설정!$L$5+ROW()-1,설정!$L$21)&amp;""="0","",INDEX(원자료_잔고!$A$1:$EZ$1500,설정!$L$5+ROW()-1,설정!$L$21)&amp;""),"")</f>
        <v/>
      </c>
      <c r="O534" s="83" t="str">
        <f aca="false">IFERROR(IF(INDEX(원자료_잔고!$A$1:$EZ$1500,설정!$L$5+ROW()-1,설정!$L$22)&amp;""="0","",INDEX(원자료_잔고!$A$1:$EZ$1500,설정!$L$5+ROW()-1,설정!$L$22)&amp;""),"")</f>
        <v/>
      </c>
      <c r="P534" s="83" t="str">
        <f aca="false">IFERROR(IF(INDEX(원자료_잔고!$A$1:$EZ$1500,설정!$L$5+ROW()-1,설정!$L$23)&amp;""="0","",INDEX(원자료_잔고!$A$1:$EZ$1500,설정!$L$5+ROW()-1,설정!$L$23)&amp;""),"")</f>
        <v/>
      </c>
      <c r="Q534" s="89" t="n">
        <f aca="false">IF(AND($A534&lt;&gt;"",ISNUMBER(E534)),IF(E534&gt;0,1,0),0)</f>
        <v>0</v>
      </c>
      <c r="R534" s="43" t="str">
        <f aca="false">IF(Q534=1,UPPER(LEFT($A534,FIND(" ",$A534&amp;" ")-1)),"")</f>
        <v/>
      </c>
      <c r="S534" s="89" t="n">
        <f aca="false">IF(Q534=1,IF(OR(ISNUMBER(SEARCH("Float",$A534)),ISNUMBER(SEARCH("FRN",$A534))),1,0),0)</f>
        <v>0</v>
      </c>
      <c r="T534" s="43" t="str">
        <f aca="false">IF(AND(Q534=1,ISNUMBER(I534)),TEXT(I534,"yyyymmdd")&amp;"|"&amp;IF(S534=1,"F",TEXT(J534,"0.000")),"")</f>
        <v/>
      </c>
      <c r="U534" s="90" t="str">
        <f aca="false">IF(AND(Q534=1,ISNUMBER(I534)),(I534-설정!$C$4)/365.25,"")</f>
        <v/>
      </c>
      <c r="V534" s="43" t="str">
        <f aca="false">IF(Q534&lt;&gt;1,"",IF(ISNUMBER(U534),IF(U534&lt;=1,"1년 이하",IF(U534&lt;=2,"1-2년",IF(U534&lt;=3,"2-3년",IF(U534&lt;=4,"3-4년",IF(U534&lt;=5,"4-5년",IF(U534&lt;=7,"5-7년",IF(U534&lt;=10,"7-10년",IF(U534&lt;=20,"10-20년","20년 이상")))))))),"미분류"))</f>
        <v/>
      </c>
      <c r="W534" s="43" t="str">
        <f aca="false">IF(Q534&lt;&gt;1,"",IF(AB534&lt;&gt;"",INDEX(시장분석!$C:$C,AB534),IF(K534=1,"USD","비USD")))</f>
        <v/>
      </c>
      <c r="X534" s="91" t="n">
        <f aca="false">IF(Q534=1,E534*K534/1000000,0)</f>
        <v>0</v>
      </c>
      <c r="Y534" s="89" t="n">
        <f aca="false">IF(R534="T",1,0)</f>
        <v>0</v>
      </c>
      <c r="Z534" s="92" t="str">
        <f aca="false">IF(Q534&lt;&gt;1,"",IF(AD534=1,IF(ISNUMBER(U534),MAX(U534,0),H534),H534))</f>
        <v/>
      </c>
      <c r="AA534" s="91" t="n">
        <f aca="false">IF(Q534=1,IF(ISNUMBER(L534),L534,0)*K534/1000000,0)</f>
        <v>0</v>
      </c>
      <c r="AB534" s="89" t="str">
        <f aca="false">IF(Q534&lt;&gt;1,"",IFERROR(MATCH(VLOOKUP(B534,매핑!$H$4:$I$15,2,0),시장분석!$A$2:$A$601,0)+1,IFERROR(MATCH(R534&amp;"|"&amp;T534,시장분석!$V$2:$V$601,0)+1,IF(COUNTIF(시장분석!$U$2:$U$601,T534)=1,MATCH(T534,시장분석!$U$2:$U$601,0)+1,""))))</f>
        <v/>
      </c>
      <c r="AC534" s="89" t="n">
        <f aca="false">IF(Q534&lt;&gt;1,0,IF(OR(설정!$C$5="전체",AND(설정!$C$5="선택펀드",IFERROR(COUNTIFS(설정!$F$16:$F$36,C534,설정!$G$16:$G$36,"Y")+COUNTIFS(설정!$F$16:$F$36,VALUE(C534),설정!$G$16:$G$36,"Y"),0)&gt;0),C534&amp;""=설정!$C$5&amp;""),1,0))</f>
        <v>0</v>
      </c>
      <c r="AD534" s="89" t="n">
        <f aca="false">IF(Q534&lt;&gt;1,0,IF(OR(S534=1,IF(AB534="",FALSE(),INDEX(시장분석!$R:$R,AB534)=1)),1,0))</f>
        <v>0</v>
      </c>
      <c r="AE534" s="43" t="str">
        <f aca="false">IF(AB534="","",INDEX(시장분석!$A:$A,AB534))</f>
        <v/>
      </c>
      <c r="AF534" s="93" t="str">
        <f aca="false">IF(AB534="","",IF(ISNUMBER(IF(AB534="","",INDEX(시장분석!$E:$E,AB534))),IF(AB534="","",INDEX(시장분석!$E:$E,AB534)),""))</f>
        <v/>
      </c>
      <c r="AG534" s="43" t="str">
        <f aca="false">IF(Q534&lt;&gt;1,"",IF(AB534&lt;&gt;"",IF(AB534="","",INDEX(시장분석!$L:$L,AB534)),IFERROR(IF(VLOOKUP(R534,매핑!$A$4:$E$92,5,0)="","미분류",VLOOKUP(R534,매핑!$A$4:$E$92,5,0)),"미분류")))</f>
        <v/>
      </c>
      <c r="AH534" s="43" t="str">
        <f aca="false">IF(Q534&lt;&gt;1,"",IF(AB534&lt;&gt;"",IF(AB534="","",INDEX(시장분석!$N:$N,AB534)),IFERROR(IF(VLOOKUP(R534,매핑!$A$4:$E$92,4,0)="","미분류",VLOOKUP(R534,매핑!$A$4:$E$92,4,0)),"미분류")))</f>
        <v/>
      </c>
      <c r="AI534" s="43" t="str">
        <f aca="false">IF(Q534&lt;&gt;1,"",IFERROR(IF(VLOOKUP(R534,매핑!$A$4:$E$92,3,0)="","미분류",VLOOKUP(R534,매핑!$A$4:$E$92,3,0)),IF(AB534&lt;&gt;"",IF(AB534="","",INDEX(시장분석!$W:$W,AB534)),"미분류")))</f>
        <v/>
      </c>
      <c r="AJ534" s="43" t="str">
        <f aca="false">IF(Q534&lt;&gt;1,"",IFERROR(VLOOKUP(IF(N534&lt;&gt;"",N534,IF(P534&lt;&gt;"",P534,O534)),설정!$A$15:$D$47,2,0),""))</f>
        <v/>
      </c>
      <c r="AK534" s="43" t="str">
        <f aca="false">IF(Q534&lt;&gt;1,"",IF(AJ534="","무등급",IFERROR(VLOOKUP(AJ534,설정!$A$15:$D$47,3,0),"무등급")))</f>
        <v/>
      </c>
      <c r="AL534" s="89" t="n">
        <f aca="false">IF(AJ534="",99,IFERROR(VLOOKUP(AJ534,설정!$A$15:$D$47,4,0),99))</f>
        <v>99</v>
      </c>
      <c r="AM534" s="94" t="n">
        <f aca="false">IF(ISNUMBER(H534),AA534*1000000*H534/10000,0)</f>
        <v>0</v>
      </c>
      <c r="AN534" s="94" t="n">
        <f aca="false">IF(OR(Y534=1,NOT(ISNUMBER(Z534))),0,AA534*1000000*Z534/10000)</f>
        <v>0</v>
      </c>
      <c r="AO534" s="94" t="n">
        <f aca="false">IF(ISNUMBER(G534),AA534*1000000*G534/100,0)</f>
        <v>0</v>
      </c>
      <c r="AP534" s="94" t="n">
        <f aca="false">IF(ISNUMBER(M534),M534*K534,0)</f>
        <v>0</v>
      </c>
      <c r="AQ534" s="95" t="str">
        <f aca="false">IF(AB534="","",INDEX(시장분석!$AK:$AK,AB534))</f>
        <v/>
      </c>
      <c r="AR534" s="43" t="str">
        <f aca="false">IF(AB534="","-",IF(AB534="","",INDEX(시장분석!$AL:$AL,AB534)))</f>
        <v>-</v>
      </c>
      <c r="AS534" s="96" t="str">
        <f aca="false">IF(AB534="","",INDEX(시장분석!$AJ:$AJ,AB534))</f>
        <v/>
      </c>
      <c r="AT534" s="93" t="n">
        <f aca="false">IF(AB534="",0,IF(AB534="","",INDEX(시장분석!$AN:$AN,AB534)))</f>
        <v>0</v>
      </c>
      <c r="AU534" s="94" t="n">
        <f aca="false">IF(ISNUMBER(Z534),AT534/10000*MAX(Z534-1,0)*AA534*1000000,0)</f>
        <v>0</v>
      </c>
      <c r="AV534" s="94" t="n">
        <f aca="false">AO534+AU534</f>
        <v>0</v>
      </c>
      <c r="AW534" s="43" t="str">
        <f aca="false">IF(Q534&lt;&gt;1,"",TRIM(IF(AD534=1,"FRN ","")&amp;IF(AND(AL534&gt;=10,AL534&lt;99),"BBB0미만 ","")&amp;IF(AJ534="","등급없음 ","")&amp;IF(K534&lt;&gt;1,"비USD ","")&amp;IF(AND(AB534="",Y534=0),"시장데이터없음 ","")&amp;IF(AND(ISNUMBER(U534),U534&lt;0),"만기경과 ","")))</f>
        <v/>
      </c>
      <c r="AX534" s="90" t="n">
        <f aca="false">IF(Q534&lt;&gt;1,1,IF(스프레드쇼크!$C$4="Y",INDEX(스프레드쇼크!$B$12:$L$16,IFERROR(MATCH(AH534,스프레드쇼크!$A$12:$A$16,0),MATCH("목록외",스프레드쇼크!$A$12:$A$16,0)),IFERROR(MATCH(AG534,스프레드쇼크!$B$11:$L$11,0),MATCH("목록외",스프레드쇼크!$B$11:$L$11,0))),1))</f>
        <v>1</v>
      </c>
      <c r="AY534" s="90" t="n">
        <f aca="false">IF(스프레드쇼크!$C$5="Y",IF(ISNUMBER(AF534),MIN(스프레드쇼크!$C$7,MAX(스프레드쇼크!$C$6,AF534/스프레드쇼크!$C$8)),1),1)</f>
        <v>1</v>
      </c>
      <c r="AZ534" s="94" t="n">
        <f aca="false">AN534*AX534*AY534</f>
        <v>0</v>
      </c>
      <c r="BA534" s="90" t="n">
        <f aca="false">IF(ISNUMBER(G534),AA534*G534,0)</f>
        <v>0</v>
      </c>
      <c r="BB534" s="90" t="n">
        <f aca="false">IF(ISNUMBER(G534),AA534,0)</f>
        <v>0</v>
      </c>
      <c r="BC534" s="90" t="n">
        <f aca="false">IF(AND(Y534=0,ISNUMBER(AF534)),AA534*AF534,0)</f>
        <v>0</v>
      </c>
      <c r="BD534" s="90" t="n">
        <f aca="false">IF(AND(Y534=0,ISNUMBER(AF534)),AA534,0)</f>
        <v>0</v>
      </c>
      <c r="BE534" s="90" t="n">
        <f aca="false">IF(ISNUMBER(H534),AA534*H534,0)</f>
        <v>0</v>
      </c>
      <c r="BF534" s="90" t="n">
        <f aca="false">IF(ISNUMBER(H534),AA534,0)</f>
        <v>0</v>
      </c>
      <c r="BG534" s="90" t="n">
        <f aca="false">IF(AND(Y534=0,ISNUMBER(AF534),ISNUMBER(Z534)),AA534*Z534,0)</f>
        <v>0</v>
      </c>
      <c r="BH534" s="90" t="n">
        <f aca="false">IF(AND(Y534=0,ISNUMBER(AF534),ISNUMBER(Z534)),AA534*AT534*MAX(Z534-1,0),0)</f>
        <v>0</v>
      </c>
      <c r="BI534" s="90" t="n">
        <f aca="false">IF(Y534=0,AA534,0)</f>
        <v>0</v>
      </c>
    </row>
    <row r="535" customFormat="false" ht="15" hidden="false" customHeight="false" outlineLevel="0" collapsed="false">
      <c r="A535" s="83" t="str">
        <f aca="false">IFERROR(IF(INDEX(원자료_잔고!$A$1:$EZ$1500,설정!$L$5+ROW()-1,설정!$L$8)&amp;""="0","",INDEX(원자료_잔고!$A$1:$EZ$1500,설정!$L$5+ROW()-1,설정!$L$8)&amp;""),"")</f>
        <v/>
      </c>
      <c r="B535" s="83" t="str">
        <f aca="false">IFERROR(IF(INDEX(원자료_잔고!$A$1:$EZ$1500,설정!$L$5+ROW()-1,설정!$L$7)&amp;""="0","",INDEX(원자료_잔고!$A$1:$EZ$1500,설정!$L$5+ROW()-1,설정!$L$7)&amp;""),"")</f>
        <v/>
      </c>
      <c r="C535" s="83" t="str">
        <f aca="false">IFERROR(IF(INDEX(원자료_잔고!$A$1:$EZ$1500,설정!$L$5+ROW()-1,설정!$L$9)&amp;""="0","",INDEX(원자료_잔고!$A$1:$EZ$1500,설정!$L$5+ROW()-1,설정!$L$9)&amp;""),"")</f>
        <v/>
      </c>
      <c r="D535" s="83" t="str">
        <f aca="false">IFERROR(IF(INDEX(원자료_잔고!$A$1:$EZ$1500,설정!$L$5+ROW()-1,설정!$L$10)&amp;""="0","",INDEX(원자료_잔고!$A$1:$EZ$1500,설정!$L$5+ROW()-1,설정!$L$10)&amp;""),"")</f>
        <v/>
      </c>
      <c r="E535" s="84" t="str">
        <f aca="false">IFERROR(IF(ISNUMBER(INDEX(원자료_잔고!$A$1:$EZ$1500,설정!$L$5+ROW()-1,설정!$L$11)),INDEX(원자료_잔고!$A$1:$EZ$1500,설정!$L$5+ROW()-1,설정!$L$11),""),"")</f>
        <v/>
      </c>
      <c r="F535" s="85" t="str">
        <f aca="false">IFERROR(IF(ISNUMBER(INDEX(원자료_잔고!$A$1:$EZ$1500,설정!$L$5+ROW()-1,설정!$L$12)),INDEX(원자료_잔고!$A$1:$EZ$1500,설정!$L$5+ROW()-1,설정!$L$12),""),"")</f>
        <v/>
      </c>
      <c r="G535" s="85" t="str">
        <f aca="false">IFERROR(IF(ISNUMBER(INDEX(원자료_잔고!$A$1:$EZ$1500,설정!$L$5+ROW()-1,설정!$L$13)),INDEX(원자료_잔고!$A$1:$EZ$1500,설정!$L$5+ROW()-1,설정!$L$13),""),"")</f>
        <v/>
      </c>
      <c r="H535" s="85" t="str">
        <f aca="false">IFERROR(IF(ISNUMBER(INDEX(원자료_잔고!$A$1:$EZ$1500,설정!$L$5+ROW()-1,설정!$L$14)),INDEX(원자료_잔고!$A$1:$EZ$1500,설정!$L$5+ROW()-1,설정!$L$14),""),"")</f>
        <v/>
      </c>
      <c r="I535" s="86" t="str">
        <f aca="false">IFERROR(IF(ISNUMBER(INDEX(원자료_잔고!$A$1:$EZ$1500,설정!$L$5+ROW()-1,설정!$L$15)),INDEX(원자료_잔고!$A$1:$EZ$1500,설정!$L$5+ROW()-1,설정!$L$15),""),"")</f>
        <v/>
      </c>
      <c r="J535" s="85" t="str">
        <f aca="false">IFERROR(IF(ISNUMBER(INDEX(원자료_잔고!$A$1:$EZ$1500,설정!$L$5+ROW()-1,설정!$L$16)),INDEX(원자료_잔고!$A$1:$EZ$1500,설정!$L$5+ROW()-1,설정!$L$16),""),"")</f>
        <v/>
      </c>
      <c r="K535" s="87" t="str">
        <f aca="false">IFERROR(IF(ISNUMBER(INDEX(원자료_잔고!$A$1:$EZ$1500,설정!$L$5+ROW()-1,설정!$L$17)),INDEX(원자료_잔고!$A$1:$EZ$1500,설정!$L$5+ROW()-1,설정!$L$17),""),"")</f>
        <v/>
      </c>
      <c r="L535" s="84" t="str">
        <f aca="false">IFERROR(IF(ISNUMBER(INDEX(원자료_잔고!$A$1:$EZ$1500,설정!$L$5+ROW()-1,설정!$L$18)),INDEX(원자료_잔고!$A$1:$EZ$1500,설정!$L$5+ROW()-1,설정!$L$18),""),"")</f>
        <v/>
      </c>
      <c r="M535" s="88" t="str">
        <f aca="false">IFERROR(IF(ISNUMBER(INDEX(원자료_잔고!$A$1:$EZ$1500,설정!$L$5+ROW()-1,설정!$L$19)),INDEX(원자료_잔고!$A$1:$EZ$1500,설정!$L$5+ROW()-1,설정!$L$19),""),"")</f>
        <v/>
      </c>
      <c r="N535" s="83" t="str">
        <f aca="false">IFERROR(IF(INDEX(원자료_잔고!$A$1:$EZ$1500,설정!$L$5+ROW()-1,설정!$L$21)&amp;""="0","",INDEX(원자료_잔고!$A$1:$EZ$1500,설정!$L$5+ROW()-1,설정!$L$21)&amp;""),"")</f>
        <v/>
      </c>
      <c r="O535" s="83" t="str">
        <f aca="false">IFERROR(IF(INDEX(원자료_잔고!$A$1:$EZ$1500,설정!$L$5+ROW()-1,설정!$L$22)&amp;""="0","",INDEX(원자료_잔고!$A$1:$EZ$1500,설정!$L$5+ROW()-1,설정!$L$22)&amp;""),"")</f>
        <v/>
      </c>
      <c r="P535" s="83" t="str">
        <f aca="false">IFERROR(IF(INDEX(원자료_잔고!$A$1:$EZ$1500,설정!$L$5+ROW()-1,설정!$L$23)&amp;""="0","",INDEX(원자료_잔고!$A$1:$EZ$1500,설정!$L$5+ROW()-1,설정!$L$23)&amp;""),"")</f>
        <v/>
      </c>
      <c r="Q535" s="89" t="n">
        <f aca="false">IF(AND($A535&lt;&gt;"",ISNUMBER(E535)),IF(E535&gt;0,1,0),0)</f>
        <v>0</v>
      </c>
      <c r="R535" s="43" t="str">
        <f aca="false">IF(Q535=1,UPPER(LEFT($A535,FIND(" ",$A535&amp;" ")-1)),"")</f>
        <v/>
      </c>
      <c r="S535" s="89" t="n">
        <f aca="false">IF(Q535=1,IF(OR(ISNUMBER(SEARCH("Float",$A535)),ISNUMBER(SEARCH("FRN",$A535))),1,0),0)</f>
        <v>0</v>
      </c>
      <c r="T535" s="43" t="str">
        <f aca="false">IF(AND(Q535=1,ISNUMBER(I535)),TEXT(I535,"yyyymmdd")&amp;"|"&amp;IF(S535=1,"F",TEXT(J535,"0.000")),"")</f>
        <v/>
      </c>
      <c r="U535" s="90" t="str">
        <f aca="false">IF(AND(Q535=1,ISNUMBER(I535)),(I535-설정!$C$4)/365.25,"")</f>
        <v/>
      </c>
      <c r="V535" s="43" t="str">
        <f aca="false">IF(Q535&lt;&gt;1,"",IF(ISNUMBER(U535),IF(U535&lt;=1,"1년 이하",IF(U535&lt;=2,"1-2년",IF(U535&lt;=3,"2-3년",IF(U535&lt;=4,"3-4년",IF(U535&lt;=5,"4-5년",IF(U535&lt;=7,"5-7년",IF(U535&lt;=10,"7-10년",IF(U535&lt;=20,"10-20년","20년 이상")))))))),"미분류"))</f>
        <v/>
      </c>
      <c r="W535" s="43" t="str">
        <f aca="false">IF(Q535&lt;&gt;1,"",IF(AB535&lt;&gt;"",INDEX(시장분석!$C:$C,AB535),IF(K535=1,"USD","비USD")))</f>
        <v/>
      </c>
      <c r="X535" s="91" t="n">
        <f aca="false">IF(Q535=1,E535*K535/1000000,0)</f>
        <v>0</v>
      </c>
      <c r="Y535" s="89" t="n">
        <f aca="false">IF(R535="T",1,0)</f>
        <v>0</v>
      </c>
      <c r="Z535" s="92" t="str">
        <f aca="false">IF(Q535&lt;&gt;1,"",IF(AD535=1,IF(ISNUMBER(U535),MAX(U535,0),H535),H535))</f>
        <v/>
      </c>
      <c r="AA535" s="91" t="n">
        <f aca="false">IF(Q535=1,IF(ISNUMBER(L535),L535,0)*K535/1000000,0)</f>
        <v>0</v>
      </c>
      <c r="AB535" s="89" t="str">
        <f aca="false">IF(Q535&lt;&gt;1,"",IFERROR(MATCH(VLOOKUP(B535,매핑!$H$4:$I$15,2,0),시장분석!$A$2:$A$601,0)+1,IFERROR(MATCH(R535&amp;"|"&amp;T535,시장분석!$V$2:$V$601,0)+1,IF(COUNTIF(시장분석!$U$2:$U$601,T535)=1,MATCH(T535,시장분석!$U$2:$U$601,0)+1,""))))</f>
        <v/>
      </c>
      <c r="AC535" s="89" t="n">
        <f aca="false">IF(Q535&lt;&gt;1,0,IF(OR(설정!$C$5="전체",AND(설정!$C$5="선택펀드",IFERROR(COUNTIFS(설정!$F$16:$F$36,C535,설정!$G$16:$G$36,"Y")+COUNTIFS(설정!$F$16:$F$36,VALUE(C535),설정!$G$16:$G$36,"Y"),0)&gt;0),C535&amp;""=설정!$C$5&amp;""),1,0))</f>
        <v>0</v>
      </c>
      <c r="AD535" s="89" t="n">
        <f aca="false">IF(Q535&lt;&gt;1,0,IF(OR(S535=1,IF(AB535="",FALSE(),INDEX(시장분석!$R:$R,AB535)=1)),1,0))</f>
        <v>0</v>
      </c>
      <c r="AE535" s="43" t="str">
        <f aca="false">IF(AB535="","",INDEX(시장분석!$A:$A,AB535))</f>
        <v/>
      </c>
      <c r="AF535" s="93" t="str">
        <f aca="false">IF(AB535="","",IF(ISNUMBER(IF(AB535="","",INDEX(시장분석!$E:$E,AB535))),IF(AB535="","",INDEX(시장분석!$E:$E,AB535)),""))</f>
        <v/>
      </c>
      <c r="AG535" s="43" t="str">
        <f aca="false">IF(Q535&lt;&gt;1,"",IF(AB535&lt;&gt;"",IF(AB535="","",INDEX(시장분석!$L:$L,AB535)),IFERROR(IF(VLOOKUP(R535,매핑!$A$4:$E$92,5,0)="","미분류",VLOOKUP(R535,매핑!$A$4:$E$92,5,0)),"미분류")))</f>
        <v/>
      </c>
      <c r="AH535" s="43" t="str">
        <f aca="false">IF(Q535&lt;&gt;1,"",IF(AB535&lt;&gt;"",IF(AB535="","",INDEX(시장분석!$N:$N,AB535)),IFERROR(IF(VLOOKUP(R535,매핑!$A$4:$E$92,4,0)="","미분류",VLOOKUP(R535,매핑!$A$4:$E$92,4,0)),"미분류")))</f>
        <v/>
      </c>
      <c r="AI535" s="43" t="str">
        <f aca="false">IF(Q535&lt;&gt;1,"",IFERROR(IF(VLOOKUP(R535,매핑!$A$4:$E$92,3,0)="","미분류",VLOOKUP(R535,매핑!$A$4:$E$92,3,0)),IF(AB535&lt;&gt;"",IF(AB535="","",INDEX(시장분석!$W:$W,AB535)),"미분류")))</f>
        <v/>
      </c>
      <c r="AJ535" s="43" t="str">
        <f aca="false">IF(Q535&lt;&gt;1,"",IFERROR(VLOOKUP(IF(N535&lt;&gt;"",N535,IF(P535&lt;&gt;"",P535,O535)),설정!$A$15:$D$47,2,0),""))</f>
        <v/>
      </c>
      <c r="AK535" s="43" t="str">
        <f aca="false">IF(Q535&lt;&gt;1,"",IF(AJ535="","무등급",IFERROR(VLOOKUP(AJ535,설정!$A$15:$D$47,3,0),"무등급")))</f>
        <v/>
      </c>
      <c r="AL535" s="89" t="n">
        <f aca="false">IF(AJ535="",99,IFERROR(VLOOKUP(AJ535,설정!$A$15:$D$47,4,0),99))</f>
        <v>99</v>
      </c>
      <c r="AM535" s="94" t="n">
        <f aca="false">IF(ISNUMBER(H535),AA535*1000000*H535/10000,0)</f>
        <v>0</v>
      </c>
      <c r="AN535" s="94" t="n">
        <f aca="false">IF(OR(Y535=1,NOT(ISNUMBER(Z535))),0,AA535*1000000*Z535/10000)</f>
        <v>0</v>
      </c>
      <c r="AO535" s="94" t="n">
        <f aca="false">IF(ISNUMBER(G535),AA535*1000000*G535/100,0)</f>
        <v>0</v>
      </c>
      <c r="AP535" s="94" t="n">
        <f aca="false">IF(ISNUMBER(M535),M535*K535,0)</f>
        <v>0</v>
      </c>
      <c r="AQ535" s="95" t="str">
        <f aca="false">IF(AB535="","",INDEX(시장분석!$AK:$AK,AB535))</f>
        <v/>
      </c>
      <c r="AR535" s="43" t="str">
        <f aca="false">IF(AB535="","-",IF(AB535="","",INDEX(시장분석!$AL:$AL,AB535)))</f>
        <v>-</v>
      </c>
      <c r="AS535" s="96" t="str">
        <f aca="false">IF(AB535="","",INDEX(시장분석!$AJ:$AJ,AB535))</f>
        <v/>
      </c>
      <c r="AT535" s="93" t="n">
        <f aca="false">IF(AB535="",0,IF(AB535="","",INDEX(시장분석!$AN:$AN,AB535)))</f>
        <v>0</v>
      </c>
      <c r="AU535" s="94" t="n">
        <f aca="false">IF(ISNUMBER(Z535),AT535/10000*MAX(Z535-1,0)*AA535*1000000,0)</f>
        <v>0</v>
      </c>
      <c r="AV535" s="94" t="n">
        <f aca="false">AO535+AU535</f>
        <v>0</v>
      </c>
      <c r="AW535" s="43" t="str">
        <f aca="false">IF(Q535&lt;&gt;1,"",TRIM(IF(AD535=1,"FRN ","")&amp;IF(AND(AL535&gt;=10,AL535&lt;99),"BBB0미만 ","")&amp;IF(AJ535="","등급없음 ","")&amp;IF(K535&lt;&gt;1,"비USD ","")&amp;IF(AND(AB535="",Y535=0),"시장데이터없음 ","")&amp;IF(AND(ISNUMBER(U535),U535&lt;0),"만기경과 ","")))</f>
        <v/>
      </c>
      <c r="AX535" s="90" t="n">
        <f aca="false">IF(Q535&lt;&gt;1,1,IF(스프레드쇼크!$C$4="Y",INDEX(스프레드쇼크!$B$12:$L$16,IFERROR(MATCH(AH535,스프레드쇼크!$A$12:$A$16,0),MATCH("목록외",스프레드쇼크!$A$12:$A$16,0)),IFERROR(MATCH(AG535,스프레드쇼크!$B$11:$L$11,0),MATCH("목록외",스프레드쇼크!$B$11:$L$11,0))),1))</f>
        <v>1</v>
      </c>
      <c r="AY535" s="90" t="n">
        <f aca="false">IF(스프레드쇼크!$C$5="Y",IF(ISNUMBER(AF535),MIN(스프레드쇼크!$C$7,MAX(스프레드쇼크!$C$6,AF535/스프레드쇼크!$C$8)),1),1)</f>
        <v>1</v>
      </c>
      <c r="AZ535" s="94" t="n">
        <f aca="false">AN535*AX535*AY535</f>
        <v>0</v>
      </c>
      <c r="BA535" s="90" t="n">
        <f aca="false">IF(ISNUMBER(G535),AA535*G535,0)</f>
        <v>0</v>
      </c>
      <c r="BB535" s="90" t="n">
        <f aca="false">IF(ISNUMBER(G535),AA535,0)</f>
        <v>0</v>
      </c>
      <c r="BC535" s="90" t="n">
        <f aca="false">IF(AND(Y535=0,ISNUMBER(AF535)),AA535*AF535,0)</f>
        <v>0</v>
      </c>
      <c r="BD535" s="90" t="n">
        <f aca="false">IF(AND(Y535=0,ISNUMBER(AF535)),AA535,0)</f>
        <v>0</v>
      </c>
      <c r="BE535" s="90" t="n">
        <f aca="false">IF(ISNUMBER(H535),AA535*H535,0)</f>
        <v>0</v>
      </c>
      <c r="BF535" s="90" t="n">
        <f aca="false">IF(ISNUMBER(H535),AA535,0)</f>
        <v>0</v>
      </c>
      <c r="BG535" s="90" t="n">
        <f aca="false">IF(AND(Y535=0,ISNUMBER(AF535),ISNUMBER(Z535)),AA535*Z535,0)</f>
        <v>0</v>
      </c>
      <c r="BH535" s="90" t="n">
        <f aca="false">IF(AND(Y535=0,ISNUMBER(AF535),ISNUMBER(Z535)),AA535*AT535*MAX(Z535-1,0),0)</f>
        <v>0</v>
      </c>
      <c r="BI535" s="90" t="n">
        <f aca="false">IF(Y535=0,AA535,0)</f>
        <v>0</v>
      </c>
    </row>
    <row r="536" customFormat="false" ht="15" hidden="false" customHeight="false" outlineLevel="0" collapsed="false">
      <c r="A536" s="83" t="str">
        <f aca="false">IFERROR(IF(INDEX(원자료_잔고!$A$1:$EZ$1500,설정!$L$5+ROW()-1,설정!$L$8)&amp;""="0","",INDEX(원자료_잔고!$A$1:$EZ$1500,설정!$L$5+ROW()-1,설정!$L$8)&amp;""),"")</f>
        <v/>
      </c>
      <c r="B536" s="83" t="str">
        <f aca="false">IFERROR(IF(INDEX(원자료_잔고!$A$1:$EZ$1500,설정!$L$5+ROW()-1,설정!$L$7)&amp;""="0","",INDEX(원자료_잔고!$A$1:$EZ$1500,설정!$L$5+ROW()-1,설정!$L$7)&amp;""),"")</f>
        <v/>
      </c>
      <c r="C536" s="83" t="str">
        <f aca="false">IFERROR(IF(INDEX(원자료_잔고!$A$1:$EZ$1500,설정!$L$5+ROW()-1,설정!$L$9)&amp;""="0","",INDEX(원자료_잔고!$A$1:$EZ$1500,설정!$L$5+ROW()-1,설정!$L$9)&amp;""),"")</f>
        <v/>
      </c>
      <c r="D536" s="83" t="str">
        <f aca="false">IFERROR(IF(INDEX(원자료_잔고!$A$1:$EZ$1500,설정!$L$5+ROW()-1,설정!$L$10)&amp;""="0","",INDEX(원자료_잔고!$A$1:$EZ$1500,설정!$L$5+ROW()-1,설정!$L$10)&amp;""),"")</f>
        <v/>
      </c>
      <c r="E536" s="84" t="str">
        <f aca="false">IFERROR(IF(ISNUMBER(INDEX(원자료_잔고!$A$1:$EZ$1500,설정!$L$5+ROW()-1,설정!$L$11)),INDEX(원자료_잔고!$A$1:$EZ$1500,설정!$L$5+ROW()-1,설정!$L$11),""),"")</f>
        <v/>
      </c>
      <c r="F536" s="85" t="str">
        <f aca="false">IFERROR(IF(ISNUMBER(INDEX(원자료_잔고!$A$1:$EZ$1500,설정!$L$5+ROW()-1,설정!$L$12)),INDEX(원자료_잔고!$A$1:$EZ$1500,설정!$L$5+ROW()-1,설정!$L$12),""),"")</f>
        <v/>
      </c>
      <c r="G536" s="85" t="str">
        <f aca="false">IFERROR(IF(ISNUMBER(INDEX(원자료_잔고!$A$1:$EZ$1500,설정!$L$5+ROW()-1,설정!$L$13)),INDEX(원자료_잔고!$A$1:$EZ$1500,설정!$L$5+ROW()-1,설정!$L$13),""),"")</f>
        <v/>
      </c>
      <c r="H536" s="85" t="str">
        <f aca="false">IFERROR(IF(ISNUMBER(INDEX(원자료_잔고!$A$1:$EZ$1500,설정!$L$5+ROW()-1,설정!$L$14)),INDEX(원자료_잔고!$A$1:$EZ$1500,설정!$L$5+ROW()-1,설정!$L$14),""),"")</f>
        <v/>
      </c>
      <c r="I536" s="86" t="str">
        <f aca="false">IFERROR(IF(ISNUMBER(INDEX(원자료_잔고!$A$1:$EZ$1500,설정!$L$5+ROW()-1,설정!$L$15)),INDEX(원자료_잔고!$A$1:$EZ$1500,설정!$L$5+ROW()-1,설정!$L$15),""),"")</f>
        <v/>
      </c>
      <c r="J536" s="85" t="str">
        <f aca="false">IFERROR(IF(ISNUMBER(INDEX(원자료_잔고!$A$1:$EZ$1500,설정!$L$5+ROW()-1,설정!$L$16)),INDEX(원자료_잔고!$A$1:$EZ$1500,설정!$L$5+ROW()-1,설정!$L$16),""),"")</f>
        <v/>
      </c>
      <c r="K536" s="87" t="str">
        <f aca="false">IFERROR(IF(ISNUMBER(INDEX(원자료_잔고!$A$1:$EZ$1500,설정!$L$5+ROW()-1,설정!$L$17)),INDEX(원자료_잔고!$A$1:$EZ$1500,설정!$L$5+ROW()-1,설정!$L$17),""),"")</f>
        <v/>
      </c>
      <c r="L536" s="84" t="str">
        <f aca="false">IFERROR(IF(ISNUMBER(INDEX(원자료_잔고!$A$1:$EZ$1500,설정!$L$5+ROW()-1,설정!$L$18)),INDEX(원자료_잔고!$A$1:$EZ$1500,설정!$L$5+ROW()-1,설정!$L$18),""),"")</f>
        <v/>
      </c>
      <c r="M536" s="88" t="str">
        <f aca="false">IFERROR(IF(ISNUMBER(INDEX(원자료_잔고!$A$1:$EZ$1500,설정!$L$5+ROW()-1,설정!$L$19)),INDEX(원자료_잔고!$A$1:$EZ$1500,설정!$L$5+ROW()-1,설정!$L$19),""),"")</f>
        <v/>
      </c>
      <c r="N536" s="83" t="str">
        <f aca="false">IFERROR(IF(INDEX(원자료_잔고!$A$1:$EZ$1500,설정!$L$5+ROW()-1,설정!$L$21)&amp;""="0","",INDEX(원자료_잔고!$A$1:$EZ$1500,설정!$L$5+ROW()-1,설정!$L$21)&amp;""),"")</f>
        <v/>
      </c>
      <c r="O536" s="83" t="str">
        <f aca="false">IFERROR(IF(INDEX(원자료_잔고!$A$1:$EZ$1500,설정!$L$5+ROW()-1,설정!$L$22)&amp;""="0","",INDEX(원자료_잔고!$A$1:$EZ$1500,설정!$L$5+ROW()-1,설정!$L$22)&amp;""),"")</f>
        <v/>
      </c>
      <c r="P536" s="83" t="str">
        <f aca="false">IFERROR(IF(INDEX(원자료_잔고!$A$1:$EZ$1500,설정!$L$5+ROW()-1,설정!$L$23)&amp;""="0","",INDEX(원자료_잔고!$A$1:$EZ$1500,설정!$L$5+ROW()-1,설정!$L$23)&amp;""),"")</f>
        <v/>
      </c>
      <c r="Q536" s="89" t="n">
        <f aca="false">IF(AND($A536&lt;&gt;"",ISNUMBER(E536)),IF(E536&gt;0,1,0),0)</f>
        <v>0</v>
      </c>
      <c r="R536" s="43" t="str">
        <f aca="false">IF(Q536=1,UPPER(LEFT($A536,FIND(" ",$A536&amp;" ")-1)),"")</f>
        <v/>
      </c>
      <c r="S536" s="89" t="n">
        <f aca="false">IF(Q536=1,IF(OR(ISNUMBER(SEARCH("Float",$A536)),ISNUMBER(SEARCH("FRN",$A536))),1,0),0)</f>
        <v>0</v>
      </c>
      <c r="T536" s="43" t="str">
        <f aca="false">IF(AND(Q536=1,ISNUMBER(I536)),TEXT(I536,"yyyymmdd")&amp;"|"&amp;IF(S536=1,"F",TEXT(J536,"0.000")),"")</f>
        <v/>
      </c>
      <c r="U536" s="90" t="str">
        <f aca="false">IF(AND(Q536=1,ISNUMBER(I536)),(I536-설정!$C$4)/365.25,"")</f>
        <v/>
      </c>
      <c r="V536" s="43" t="str">
        <f aca="false">IF(Q536&lt;&gt;1,"",IF(ISNUMBER(U536),IF(U536&lt;=1,"1년 이하",IF(U536&lt;=2,"1-2년",IF(U536&lt;=3,"2-3년",IF(U536&lt;=4,"3-4년",IF(U536&lt;=5,"4-5년",IF(U536&lt;=7,"5-7년",IF(U536&lt;=10,"7-10년",IF(U536&lt;=20,"10-20년","20년 이상")))))))),"미분류"))</f>
        <v/>
      </c>
      <c r="W536" s="43" t="str">
        <f aca="false">IF(Q536&lt;&gt;1,"",IF(AB536&lt;&gt;"",INDEX(시장분석!$C:$C,AB536),IF(K536=1,"USD","비USD")))</f>
        <v/>
      </c>
      <c r="X536" s="91" t="n">
        <f aca="false">IF(Q536=1,E536*K536/1000000,0)</f>
        <v>0</v>
      </c>
      <c r="Y536" s="89" t="n">
        <f aca="false">IF(R536="T",1,0)</f>
        <v>0</v>
      </c>
      <c r="Z536" s="92" t="str">
        <f aca="false">IF(Q536&lt;&gt;1,"",IF(AD536=1,IF(ISNUMBER(U536),MAX(U536,0),H536),H536))</f>
        <v/>
      </c>
      <c r="AA536" s="91" t="n">
        <f aca="false">IF(Q536=1,IF(ISNUMBER(L536),L536,0)*K536/1000000,0)</f>
        <v>0</v>
      </c>
      <c r="AB536" s="89" t="str">
        <f aca="false">IF(Q536&lt;&gt;1,"",IFERROR(MATCH(VLOOKUP(B536,매핑!$H$4:$I$15,2,0),시장분석!$A$2:$A$601,0)+1,IFERROR(MATCH(R536&amp;"|"&amp;T536,시장분석!$V$2:$V$601,0)+1,IF(COUNTIF(시장분석!$U$2:$U$601,T536)=1,MATCH(T536,시장분석!$U$2:$U$601,0)+1,""))))</f>
        <v/>
      </c>
      <c r="AC536" s="89" t="n">
        <f aca="false">IF(Q536&lt;&gt;1,0,IF(OR(설정!$C$5="전체",AND(설정!$C$5="선택펀드",IFERROR(COUNTIFS(설정!$F$16:$F$36,C536,설정!$G$16:$G$36,"Y")+COUNTIFS(설정!$F$16:$F$36,VALUE(C536),설정!$G$16:$G$36,"Y"),0)&gt;0),C536&amp;""=설정!$C$5&amp;""),1,0))</f>
        <v>0</v>
      </c>
      <c r="AD536" s="89" t="n">
        <f aca="false">IF(Q536&lt;&gt;1,0,IF(OR(S536=1,IF(AB536="",FALSE(),INDEX(시장분석!$R:$R,AB536)=1)),1,0))</f>
        <v>0</v>
      </c>
      <c r="AE536" s="43" t="str">
        <f aca="false">IF(AB536="","",INDEX(시장분석!$A:$A,AB536))</f>
        <v/>
      </c>
      <c r="AF536" s="93" t="str">
        <f aca="false">IF(AB536="","",IF(ISNUMBER(IF(AB536="","",INDEX(시장분석!$E:$E,AB536))),IF(AB536="","",INDEX(시장분석!$E:$E,AB536)),""))</f>
        <v/>
      </c>
      <c r="AG536" s="43" t="str">
        <f aca="false">IF(Q536&lt;&gt;1,"",IF(AB536&lt;&gt;"",IF(AB536="","",INDEX(시장분석!$L:$L,AB536)),IFERROR(IF(VLOOKUP(R536,매핑!$A$4:$E$92,5,0)="","미분류",VLOOKUP(R536,매핑!$A$4:$E$92,5,0)),"미분류")))</f>
        <v/>
      </c>
      <c r="AH536" s="43" t="str">
        <f aca="false">IF(Q536&lt;&gt;1,"",IF(AB536&lt;&gt;"",IF(AB536="","",INDEX(시장분석!$N:$N,AB536)),IFERROR(IF(VLOOKUP(R536,매핑!$A$4:$E$92,4,0)="","미분류",VLOOKUP(R536,매핑!$A$4:$E$92,4,0)),"미분류")))</f>
        <v/>
      </c>
      <c r="AI536" s="43" t="str">
        <f aca="false">IF(Q536&lt;&gt;1,"",IFERROR(IF(VLOOKUP(R536,매핑!$A$4:$E$92,3,0)="","미분류",VLOOKUP(R536,매핑!$A$4:$E$92,3,0)),IF(AB536&lt;&gt;"",IF(AB536="","",INDEX(시장분석!$W:$W,AB536)),"미분류")))</f>
        <v/>
      </c>
      <c r="AJ536" s="43" t="str">
        <f aca="false">IF(Q536&lt;&gt;1,"",IFERROR(VLOOKUP(IF(N536&lt;&gt;"",N536,IF(P536&lt;&gt;"",P536,O536)),설정!$A$15:$D$47,2,0),""))</f>
        <v/>
      </c>
      <c r="AK536" s="43" t="str">
        <f aca="false">IF(Q536&lt;&gt;1,"",IF(AJ536="","무등급",IFERROR(VLOOKUP(AJ536,설정!$A$15:$D$47,3,0),"무등급")))</f>
        <v/>
      </c>
      <c r="AL536" s="89" t="n">
        <f aca="false">IF(AJ536="",99,IFERROR(VLOOKUP(AJ536,설정!$A$15:$D$47,4,0),99))</f>
        <v>99</v>
      </c>
      <c r="AM536" s="94" t="n">
        <f aca="false">IF(ISNUMBER(H536),AA536*1000000*H536/10000,0)</f>
        <v>0</v>
      </c>
      <c r="AN536" s="94" t="n">
        <f aca="false">IF(OR(Y536=1,NOT(ISNUMBER(Z536))),0,AA536*1000000*Z536/10000)</f>
        <v>0</v>
      </c>
      <c r="AO536" s="94" t="n">
        <f aca="false">IF(ISNUMBER(G536),AA536*1000000*G536/100,0)</f>
        <v>0</v>
      </c>
      <c r="AP536" s="94" t="n">
        <f aca="false">IF(ISNUMBER(M536),M536*K536,0)</f>
        <v>0</v>
      </c>
      <c r="AQ536" s="95" t="str">
        <f aca="false">IF(AB536="","",INDEX(시장분석!$AK:$AK,AB536))</f>
        <v/>
      </c>
      <c r="AR536" s="43" t="str">
        <f aca="false">IF(AB536="","-",IF(AB536="","",INDEX(시장분석!$AL:$AL,AB536)))</f>
        <v>-</v>
      </c>
      <c r="AS536" s="96" t="str">
        <f aca="false">IF(AB536="","",INDEX(시장분석!$AJ:$AJ,AB536))</f>
        <v/>
      </c>
      <c r="AT536" s="93" t="n">
        <f aca="false">IF(AB536="",0,IF(AB536="","",INDEX(시장분석!$AN:$AN,AB536)))</f>
        <v>0</v>
      </c>
      <c r="AU536" s="94" t="n">
        <f aca="false">IF(ISNUMBER(Z536),AT536/10000*MAX(Z536-1,0)*AA536*1000000,0)</f>
        <v>0</v>
      </c>
      <c r="AV536" s="94" t="n">
        <f aca="false">AO536+AU536</f>
        <v>0</v>
      </c>
      <c r="AW536" s="43" t="str">
        <f aca="false">IF(Q536&lt;&gt;1,"",TRIM(IF(AD536=1,"FRN ","")&amp;IF(AND(AL536&gt;=10,AL536&lt;99),"BBB0미만 ","")&amp;IF(AJ536="","등급없음 ","")&amp;IF(K536&lt;&gt;1,"비USD ","")&amp;IF(AND(AB536="",Y536=0),"시장데이터없음 ","")&amp;IF(AND(ISNUMBER(U536),U536&lt;0),"만기경과 ","")))</f>
        <v/>
      </c>
      <c r="AX536" s="90" t="n">
        <f aca="false">IF(Q536&lt;&gt;1,1,IF(스프레드쇼크!$C$4="Y",INDEX(스프레드쇼크!$B$12:$L$16,IFERROR(MATCH(AH536,스프레드쇼크!$A$12:$A$16,0),MATCH("목록외",스프레드쇼크!$A$12:$A$16,0)),IFERROR(MATCH(AG536,스프레드쇼크!$B$11:$L$11,0),MATCH("목록외",스프레드쇼크!$B$11:$L$11,0))),1))</f>
        <v>1</v>
      </c>
      <c r="AY536" s="90" t="n">
        <f aca="false">IF(스프레드쇼크!$C$5="Y",IF(ISNUMBER(AF536),MIN(스프레드쇼크!$C$7,MAX(스프레드쇼크!$C$6,AF536/스프레드쇼크!$C$8)),1),1)</f>
        <v>1</v>
      </c>
      <c r="AZ536" s="94" t="n">
        <f aca="false">AN536*AX536*AY536</f>
        <v>0</v>
      </c>
      <c r="BA536" s="90" t="n">
        <f aca="false">IF(ISNUMBER(G536),AA536*G536,0)</f>
        <v>0</v>
      </c>
      <c r="BB536" s="90" t="n">
        <f aca="false">IF(ISNUMBER(G536),AA536,0)</f>
        <v>0</v>
      </c>
      <c r="BC536" s="90" t="n">
        <f aca="false">IF(AND(Y536=0,ISNUMBER(AF536)),AA536*AF536,0)</f>
        <v>0</v>
      </c>
      <c r="BD536" s="90" t="n">
        <f aca="false">IF(AND(Y536=0,ISNUMBER(AF536)),AA536,0)</f>
        <v>0</v>
      </c>
      <c r="BE536" s="90" t="n">
        <f aca="false">IF(ISNUMBER(H536),AA536*H536,0)</f>
        <v>0</v>
      </c>
      <c r="BF536" s="90" t="n">
        <f aca="false">IF(ISNUMBER(H536),AA536,0)</f>
        <v>0</v>
      </c>
      <c r="BG536" s="90" t="n">
        <f aca="false">IF(AND(Y536=0,ISNUMBER(AF536),ISNUMBER(Z536)),AA536*Z536,0)</f>
        <v>0</v>
      </c>
      <c r="BH536" s="90" t="n">
        <f aca="false">IF(AND(Y536=0,ISNUMBER(AF536),ISNUMBER(Z536)),AA536*AT536*MAX(Z536-1,0),0)</f>
        <v>0</v>
      </c>
      <c r="BI536" s="90" t="n">
        <f aca="false">IF(Y536=0,AA536,0)</f>
        <v>0</v>
      </c>
    </row>
    <row r="537" customFormat="false" ht="15" hidden="false" customHeight="false" outlineLevel="0" collapsed="false">
      <c r="A537" s="83" t="str">
        <f aca="false">IFERROR(IF(INDEX(원자료_잔고!$A$1:$EZ$1500,설정!$L$5+ROW()-1,설정!$L$8)&amp;""="0","",INDEX(원자료_잔고!$A$1:$EZ$1500,설정!$L$5+ROW()-1,설정!$L$8)&amp;""),"")</f>
        <v/>
      </c>
      <c r="B537" s="83" t="str">
        <f aca="false">IFERROR(IF(INDEX(원자료_잔고!$A$1:$EZ$1500,설정!$L$5+ROW()-1,설정!$L$7)&amp;""="0","",INDEX(원자료_잔고!$A$1:$EZ$1500,설정!$L$5+ROW()-1,설정!$L$7)&amp;""),"")</f>
        <v/>
      </c>
      <c r="C537" s="83" t="str">
        <f aca="false">IFERROR(IF(INDEX(원자료_잔고!$A$1:$EZ$1500,설정!$L$5+ROW()-1,설정!$L$9)&amp;""="0","",INDEX(원자료_잔고!$A$1:$EZ$1500,설정!$L$5+ROW()-1,설정!$L$9)&amp;""),"")</f>
        <v/>
      </c>
      <c r="D537" s="83" t="str">
        <f aca="false">IFERROR(IF(INDEX(원자료_잔고!$A$1:$EZ$1500,설정!$L$5+ROW()-1,설정!$L$10)&amp;""="0","",INDEX(원자료_잔고!$A$1:$EZ$1500,설정!$L$5+ROW()-1,설정!$L$10)&amp;""),"")</f>
        <v/>
      </c>
      <c r="E537" s="84" t="str">
        <f aca="false">IFERROR(IF(ISNUMBER(INDEX(원자료_잔고!$A$1:$EZ$1500,설정!$L$5+ROW()-1,설정!$L$11)),INDEX(원자료_잔고!$A$1:$EZ$1500,설정!$L$5+ROW()-1,설정!$L$11),""),"")</f>
        <v/>
      </c>
      <c r="F537" s="85" t="str">
        <f aca="false">IFERROR(IF(ISNUMBER(INDEX(원자료_잔고!$A$1:$EZ$1500,설정!$L$5+ROW()-1,설정!$L$12)),INDEX(원자료_잔고!$A$1:$EZ$1500,설정!$L$5+ROW()-1,설정!$L$12),""),"")</f>
        <v/>
      </c>
      <c r="G537" s="85" t="str">
        <f aca="false">IFERROR(IF(ISNUMBER(INDEX(원자료_잔고!$A$1:$EZ$1500,설정!$L$5+ROW()-1,설정!$L$13)),INDEX(원자료_잔고!$A$1:$EZ$1500,설정!$L$5+ROW()-1,설정!$L$13),""),"")</f>
        <v/>
      </c>
      <c r="H537" s="85" t="str">
        <f aca="false">IFERROR(IF(ISNUMBER(INDEX(원자료_잔고!$A$1:$EZ$1500,설정!$L$5+ROW()-1,설정!$L$14)),INDEX(원자료_잔고!$A$1:$EZ$1500,설정!$L$5+ROW()-1,설정!$L$14),""),"")</f>
        <v/>
      </c>
      <c r="I537" s="86" t="str">
        <f aca="false">IFERROR(IF(ISNUMBER(INDEX(원자료_잔고!$A$1:$EZ$1500,설정!$L$5+ROW()-1,설정!$L$15)),INDEX(원자료_잔고!$A$1:$EZ$1500,설정!$L$5+ROW()-1,설정!$L$15),""),"")</f>
        <v/>
      </c>
      <c r="J537" s="85" t="str">
        <f aca="false">IFERROR(IF(ISNUMBER(INDEX(원자료_잔고!$A$1:$EZ$1500,설정!$L$5+ROW()-1,설정!$L$16)),INDEX(원자료_잔고!$A$1:$EZ$1500,설정!$L$5+ROW()-1,설정!$L$16),""),"")</f>
        <v/>
      </c>
      <c r="K537" s="87" t="str">
        <f aca="false">IFERROR(IF(ISNUMBER(INDEX(원자료_잔고!$A$1:$EZ$1500,설정!$L$5+ROW()-1,설정!$L$17)),INDEX(원자료_잔고!$A$1:$EZ$1500,설정!$L$5+ROW()-1,설정!$L$17),""),"")</f>
        <v/>
      </c>
      <c r="L537" s="84" t="str">
        <f aca="false">IFERROR(IF(ISNUMBER(INDEX(원자료_잔고!$A$1:$EZ$1500,설정!$L$5+ROW()-1,설정!$L$18)),INDEX(원자료_잔고!$A$1:$EZ$1500,설정!$L$5+ROW()-1,설정!$L$18),""),"")</f>
        <v/>
      </c>
      <c r="M537" s="88" t="str">
        <f aca="false">IFERROR(IF(ISNUMBER(INDEX(원자료_잔고!$A$1:$EZ$1500,설정!$L$5+ROW()-1,설정!$L$19)),INDEX(원자료_잔고!$A$1:$EZ$1500,설정!$L$5+ROW()-1,설정!$L$19),""),"")</f>
        <v/>
      </c>
      <c r="N537" s="83" t="str">
        <f aca="false">IFERROR(IF(INDEX(원자료_잔고!$A$1:$EZ$1500,설정!$L$5+ROW()-1,설정!$L$21)&amp;""="0","",INDEX(원자료_잔고!$A$1:$EZ$1500,설정!$L$5+ROW()-1,설정!$L$21)&amp;""),"")</f>
        <v/>
      </c>
      <c r="O537" s="83" t="str">
        <f aca="false">IFERROR(IF(INDEX(원자료_잔고!$A$1:$EZ$1500,설정!$L$5+ROW()-1,설정!$L$22)&amp;""="0","",INDEX(원자료_잔고!$A$1:$EZ$1500,설정!$L$5+ROW()-1,설정!$L$22)&amp;""),"")</f>
        <v/>
      </c>
      <c r="P537" s="83" t="str">
        <f aca="false">IFERROR(IF(INDEX(원자료_잔고!$A$1:$EZ$1500,설정!$L$5+ROW()-1,설정!$L$23)&amp;""="0","",INDEX(원자료_잔고!$A$1:$EZ$1500,설정!$L$5+ROW()-1,설정!$L$23)&amp;""),"")</f>
        <v/>
      </c>
      <c r="Q537" s="89" t="n">
        <f aca="false">IF(AND($A537&lt;&gt;"",ISNUMBER(E537)),IF(E537&gt;0,1,0),0)</f>
        <v>0</v>
      </c>
      <c r="R537" s="43" t="str">
        <f aca="false">IF(Q537=1,UPPER(LEFT($A537,FIND(" ",$A537&amp;" ")-1)),"")</f>
        <v/>
      </c>
      <c r="S537" s="89" t="n">
        <f aca="false">IF(Q537=1,IF(OR(ISNUMBER(SEARCH("Float",$A537)),ISNUMBER(SEARCH("FRN",$A537))),1,0),0)</f>
        <v>0</v>
      </c>
      <c r="T537" s="43" t="str">
        <f aca="false">IF(AND(Q537=1,ISNUMBER(I537)),TEXT(I537,"yyyymmdd")&amp;"|"&amp;IF(S537=1,"F",TEXT(J537,"0.000")),"")</f>
        <v/>
      </c>
      <c r="U537" s="90" t="str">
        <f aca="false">IF(AND(Q537=1,ISNUMBER(I537)),(I537-설정!$C$4)/365.25,"")</f>
        <v/>
      </c>
      <c r="V537" s="43" t="str">
        <f aca="false">IF(Q537&lt;&gt;1,"",IF(ISNUMBER(U537),IF(U537&lt;=1,"1년 이하",IF(U537&lt;=2,"1-2년",IF(U537&lt;=3,"2-3년",IF(U537&lt;=4,"3-4년",IF(U537&lt;=5,"4-5년",IF(U537&lt;=7,"5-7년",IF(U537&lt;=10,"7-10년",IF(U537&lt;=20,"10-20년","20년 이상")))))))),"미분류"))</f>
        <v/>
      </c>
      <c r="W537" s="43" t="str">
        <f aca="false">IF(Q537&lt;&gt;1,"",IF(AB537&lt;&gt;"",INDEX(시장분석!$C:$C,AB537),IF(K537=1,"USD","비USD")))</f>
        <v/>
      </c>
      <c r="X537" s="91" t="n">
        <f aca="false">IF(Q537=1,E537*K537/1000000,0)</f>
        <v>0</v>
      </c>
      <c r="Y537" s="89" t="n">
        <f aca="false">IF(R537="T",1,0)</f>
        <v>0</v>
      </c>
      <c r="Z537" s="92" t="str">
        <f aca="false">IF(Q537&lt;&gt;1,"",IF(AD537=1,IF(ISNUMBER(U537),MAX(U537,0),H537),H537))</f>
        <v/>
      </c>
      <c r="AA537" s="91" t="n">
        <f aca="false">IF(Q537=1,IF(ISNUMBER(L537),L537,0)*K537/1000000,0)</f>
        <v>0</v>
      </c>
      <c r="AB537" s="89" t="str">
        <f aca="false">IF(Q537&lt;&gt;1,"",IFERROR(MATCH(VLOOKUP(B537,매핑!$H$4:$I$15,2,0),시장분석!$A$2:$A$601,0)+1,IFERROR(MATCH(R537&amp;"|"&amp;T537,시장분석!$V$2:$V$601,0)+1,IF(COUNTIF(시장분석!$U$2:$U$601,T537)=1,MATCH(T537,시장분석!$U$2:$U$601,0)+1,""))))</f>
        <v/>
      </c>
      <c r="AC537" s="89" t="n">
        <f aca="false">IF(Q537&lt;&gt;1,0,IF(OR(설정!$C$5="전체",AND(설정!$C$5="선택펀드",IFERROR(COUNTIFS(설정!$F$16:$F$36,C537,설정!$G$16:$G$36,"Y")+COUNTIFS(설정!$F$16:$F$36,VALUE(C537),설정!$G$16:$G$36,"Y"),0)&gt;0),C537&amp;""=설정!$C$5&amp;""),1,0))</f>
        <v>0</v>
      </c>
      <c r="AD537" s="89" t="n">
        <f aca="false">IF(Q537&lt;&gt;1,0,IF(OR(S537=1,IF(AB537="",FALSE(),INDEX(시장분석!$R:$R,AB537)=1)),1,0))</f>
        <v>0</v>
      </c>
      <c r="AE537" s="43" t="str">
        <f aca="false">IF(AB537="","",INDEX(시장분석!$A:$A,AB537))</f>
        <v/>
      </c>
      <c r="AF537" s="93" t="str">
        <f aca="false">IF(AB537="","",IF(ISNUMBER(IF(AB537="","",INDEX(시장분석!$E:$E,AB537))),IF(AB537="","",INDEX(시장분석!$E:$E,AB537)),""))</f>
        <v/>
      </c>
      <c r="AG537" s="43" t="str">
        <f aca="false">IF(Q537&lt;&gt;1,"",IF(AB537&lt;&gt;"",IF(AB537="","",INDEX(시장분석!$L:$L,AB537)),IFERROR(IF(VLOOKUP(R537,매핑!$A$4:$E$92,5,0)="","미분류",VLOOKUP(R537,매핑!$A$4:$E$92,5,0)),"미분류")))</f>
        <v/>
      </c>
      <c r="AH537" s="43" t="str">
        <f aca="false">IF(Q537&lt;&gt;1,"",IF(AB537&lt;&gt;"",IF(AB537="","",INDEX(시장분석!$N:$N,AB537)),IFERROR(IF(VLOOKUP(R537,매핑!$A$4:$E$92,4,0)="","미분류",VLOOKUP(R537,매핑!$A$4:$E$92,4,0)),"미분류")))</f>
        <v/>
      </c>
      <c r="AI537" s="43" t="str">
        <f aca="false">IF(Q537&lt;&gt;1,"",IFERROR(IF(VLOOKUP(R537,매핑!$A$4:$E$92,3,0)="","미분류",VLOOKUP(R537,매핑!$A$4:$E$92,3,0)),IF(AB537&lt;&gt;"",IF(AB537="","",INDEX(시장분석!$W:$W,AB537)),"미분류")))</f>
        <v/>
      </c>
      <c r="AJ537" s="43" t="str">
        <f aca="false">IF(Q537&lt;&gt;1,"",IFERROR(VLOOKUP(IF(N537&lt;&gt;"",N537,IF(P537&lt;&gt;"",P537,O537)),설정!$A$15:$D$47,2,0),""))</f>
        <v/>
      </c>
      <c r="AK537" s="43" t="str">
        <f aca="false">IF(Q537&lt;&gt;1,"",IF(AJ537="","무등급",IFERROR(VLOOKUP(AJ537,설정!$A$15:$D$47,3,0),"무등급")))</f>
        <v/>
      </c>
      <c r="AL537" s="89" t="n">
        <f aca="false">IF(AJ537="",99,IFERROR(VLOOKUP(AJ537,설정!$A$15:$D$47,4,0),99))</f>
        <v>99</v>
      </c>
      <c r="AM537" s="94" t="n">
        <f aca="false">IF(ISNUMBER(H537),AA537*1000000*H537/10000,0)</f>
        <v>0</v>
      </c>
      <c r="AN537" s="94" t="n">
        <f aca="false">IF(OR(Y537=1,NOT(ISNUMBER(Z537))),0,AA537*1000000*Z537/10000)</f>
        <v>0</v>
      </c>
      <c r="AO537" s="94" t="n">
        <f aca="false">IF(ISNUMBER(G537),AA537*1000000*G537/100,0)</f>
        <v>0</v>
      </c>
      <c r="AP537" s="94" t="n">
        <f aca="false">IF(ISNUMBER(M537),M537*K537,0)</f>
        <v>0</v>
      </c>
      <c r="AQ537" s="95" t="str">
        <f aca="false">IF(AB537="","",INDEX(시장분석!$AK:$AK,AB537))</f>
        <v/>
      </c>
      <c r="AR537" s="43" t="str">
        <f aca="false">IF(AB537="","-",IF(AB537="","",INDEX(시장분석!$AL:$AL,AB537)))</f>
        <v>-</v>
      </c>
      <c r="AS537" s="96" t="str">
        <f aca="false">IF(AB537="","",INDEX(시장분석!$AJ:$AJ,AB537))</f>
        <v/>
      </c>
      <c r="AT537" s="93" t="n">
        <f aca="false">IF(AB537="",0,IF(AB537="","",INDEX(시장분석!$AN:$AN,AB537)))</f>
        <v>0</v>
      </c>
      <c r="AU537" s="94" t="n">
        <f aca="false">IF(ISNUMBER(Z537),AT537/10000*MAX(Z537-1,0)*AA537*1000000,0)</f>
        <v>0</v>
      </c>
      <c r="AV537" s="94" t="n">
        <f aca="false">AO537+AU537</f>
        <v>0</v>
      </c>
      <c r="AW537" s="43" t="str">
        <f aca="false">IF(Q537&lt;&gt;1,"",TRIM(IF(AD537=1,"FRN ","")&amp;IF(AND(AL537&gt;=10,AL537&lt;99),"BBB0미만 ","")&amp;IF(AJ537="","등급없음 ","")&amp;IF(K537&lt;&gt;1,"비USD ","")&amp;IF(AND(AB537="",Y537=0),"시장데이터없음 ","")&amp;IF(AND(ISNUMBER(U537),U537&lt;0),"만기경과 ","")))</f>
        <v/>
      </c>
      <c r="AX537" s="90" t="n">
        <f aca="false">IF(Q537&lt;&gt;1,1,IF(스프레드쇼크!$C$4="Y",INDEX(스프레드쇼크!$B$12:$L$16,IFERROR(MATCH(AH537,스프레드쇼크!$A$12:$A$16,0),MATCH("목록외",스프레드쇼크!$A$12:$A$16,0)),IFERROR(MATCH(AG537,스프레드쇼크!$B$11:$L$11,0),MATCH("목록외",스프레드쇼크!$B$11:$L$11,0))),1))</f>
        <v>1</v>
      </c>
      <c r="AY537" s="90" t="n">
        <f aca="false">IF(스프레드쇼크!$C$5="Y",IF(ISNUMBER(AF537),MIN(스프레드쇼크!$C$7,MAX(스프레드쇼크!$C$6,AF537/스프레드쇼크!$C$8)),1),1)</f>
        <v>1</v>
      </c>
      <c r="AZ537" s="94" t="n">
        <f aca="false">AN537*AX537*AY537</f>
        <v>0</v>
      </c>
      <c r="BA537" s="90" t="n">
        <f aca="false">IF(ISNUMBER(G537),AA537*G537,0)</f>
        <v>0</v>
      </c>
      <c r="BB537" s="90" t="n">
        <f aca="false">IF(ISNUMBER(G537),AA537,0)</f>
        <v>0</v>
      </c>
      <c r="BC537" s="90" t="n">
        <f aca="false">IF(AND(Y537=0,ISNUMBER(AF537)),AA537*AF537,0)</f>
        <v>0</v>
      </c>
      <c r="BD537" s="90" t="n">
        <f aca="false">IF(AND(Y537=0,ISNUMBER(AF537)),AA537,0)</f>
        <v>0</v>
      </c>
      <c r="BE537" s="90" t="n">
        <f aca="false">IF(ISNUMBER(H537),AA537*H537,0)</f>
        <v>0</v>
      </c>
      <c r="BF537" s="90" t="n">
        <f aca="false">IF(ISNUMBER(H537),AA537,0)</f>
        <v>0</v>
      </c>
      <c r="BG537" s="90" t="n">
        <f aca="false">IF(AND(Y537=0,ISNUMBER(AF537),ISNUMBER(Z537)),AA537*Z537,0)</f>
        <v>0</v>
      </c>
      <c r="BH537" s="90" t="n">
        <f aca="false">IF(AND(Y537=0,ISNUMBER(AF537),ISNUMBER(Z537)),AA537*AT537*MAX(Z537-1,0),0)</f>
        <v>0</v>
      </c>
      <c r="BI537" s="90" t="n">
        <f aca="false">IF(Y537=0,AA537,0)</f>
        <v>0</v>
      </c>
    </row>
    <row r="538" customFormat="false" ht="15" hidden="false" customHeight="false" outlineLevel="0" collapsed="false">
      <c r="A538" s="83" t="str">
        <f aca="false">IFERROR(IF(INDEX(원자료_잔고!$A$1:$EZ$1500,설정!$L$5+ROW()-1,설정!$L$8)&amp;""="0","",INDEX(원자료_잔고!$A$1:$EZ$1500,설정!$L$5+ROW()-1,설정!$L$8)&amp;""),"")</f>
        <v/>
      </c>
      <c r="B538" s="83" t="str">
        <f aca="false">IFERROR(IF(INDEX(원자료_잔고!$A$1:$EZ$1500,설정!$L$5+ROW()-1,설정!$L$7)&amp;""="0","",INDEX(원자료_잔고!$A$1:$EZ$1500,설정!$L$5+ROW()-1,설정!$L$7)&amp;""),"")</f>
        <v/>
      </c>
      <c r="C538" s="83" t="str">
        <f aca="false">IFERROR(IF(INDEX(원자료_잔고!$A$1:$EZ$1500,설정!$L$5+ROW()-1,설정!$L$9)&amp;""="0","",INDEX(원자료_잔고!$A$1:$EZ$1500,설정!$L$5+ROW()-1,설정!$L$9)&amp;""),"")</f>
        <v/>
      </c>
      <c r="D538" s="83" t="str">
        <f aca="false">IFERROR(IF(INDEX(원자료_잔고!$A$1:$EZ$1500,설정!$L$5+ROW()-1,설정!$L$10)&amp;""="0","",INDEX(원자료_잔고!$A$1:$EZ$1500,설정!$L$5+ROW()-1,설정!$L$10)&amp;""),"")</f>
        <v/>
      </c>
      <c r="E538" s="84" t="str">
        <f aca="false">IFERROR(IF(ISNUMBER(INDEX(원자료_잔고!$A$1:$EZ$1500,설정!$L$5+ROW()-1,설정!$L$11)),INDEX(원자료_잔고!$A$1:$EZ$1500,설정!$L$5+ROW()-1,설정!$L$11),""),"")</f>
        <v/>
      </c>
      <c r="F538" s="85" t="str">
        <f aca="false">IFERROR(IF(ISNUMBER(INDEX(원자료_잔고!$A$1:$EZ$1500,설정!$L$5+ROW()-1,설정!$L$12)),INDEX(원자료_잔고!$A$1:$EZ$1500,설정!$L$5+ROW()-1,설정!$L$12),""),"")</f>
        <v/>
      </c>
      <c r="G538" s="85" t="str">
        <f aca="false">IFERROR(IF(ISNUMBER(INDEX(원자료_잔고!$A$1:$EZ$1500,설정!$L$5+ROW()-1,설정!$L$13)),INDEX(원자료_잔고!$A$1:$EZ$1500,설정!$L$5+ROW()-1,설정!$L$13),""),"")</f>
        <v/>
      </c>
      <c r="H538" s="85" t="str">
        <f aca="false">IFERROR(IF(ISNUMBER(INDEX(원자료_잔고!$A$1:$EZ$1500,설정!$L$5+ROW()-1,설정!$L$14)),INDEX(원자료_잔고!$A$1:$EZ$1500,설정!$L$5+ROW()-1,설정!$L$14),""),"")</f>
        <v/>
      </c>
      <c r="I538" s="86" t="str">
        <f aca="false">IFERROR(IF(ISNUMBER(INDEX(원자료_잔고!$A$1:$EZ$1500,설정!$L$5+ROW()-1,설정!$L$15)),INDEX(원자료_잔고!$A$1:$EZ$1500,설정!$L$5+ROW()-1,설정!$L$15),""),"")</f>
        <v/>
      </c>
      <c r="J538" s="85" t="str">
        <f aca="false">IFERROR(IF(ISNUMBER(INDEX(원자료_잔고!$A$1:$EZ$1500,설정!$L$5+ROW()-1,설정!$L$16)),INDEX(원자료_잔고!$A$1:$EZ$1500,설정!$L$5+ROW()-1,설정!$L$16),""),"")</f>
        <v/>
      </c>
      <c r="K538" s="87" t="str">
        <f aca="false">IFERROR(IF(ISNUMBER(INDEX(원자료_잔고!$A$1:$EZ$1500,설정!$L$5+ROW()-1,설정!$L$17)),INDEX(원자료_잔고!$A$1:$EZ$1500,설정!$L$5+ROW()-1,설정!$L$17),""),"")</f>
        <v/>
      </c>
      <c r="L538" s="84" t="str">
        <f aca="false">IFERROR(IF(ISNUMBER(INDEX(원자료_잔고!$A$1:$EZ$1500,설정!$L$5+ROW()-1,설정!$L$18)),INDEX(원자료_잔고!$A$1:$EZ$1500,설정!$L$5+ROW()-1,설정!$L$18),""),"")</f>
        <v/>
      </c>
      <c r="M538" s="88" t="str">
        <f aca="false">IFERROR(IF(ISNUMBER(INDEX(원자료_잔고!$A$1:$EZ$1500,설정!$L$5+ROW()-1,설정!$L$19)),INDEX(원자료_잔고!$A$1:$EZ$1500,설정!$L$5+ROW()-1,설정!$L$19),""),"")</f>
        <v/>
      </c>
      <c r="N538" s="83" t="str">
        <f aca="false">IFERROR(IF(INDEX(원자료_잔고!$A$1:$EZ$1500,설정!$L$5+ROW()-1,설정!$L$21)&amp;""="0","",INDEX(원자료_잔고!$A$1:$EZ$1500,설정!$L$5+ROW()-1,설정!$L$21)&amp;""),"")</f>
        <v/>
      </c>
      <c r="O538" s="83" t="str">
        <f aca="false">IFERROR(IF(INDEX(원자료_잔고!$A$1:$EZ$1500,설정!$L$5+ROW()-1,설정!$L$22)&amp;""="0","",INDEX(원자료_잔고!$A$1:$EZ$1500,설정!$L$5+ROW()-1,설정!$L$22)&amp;""),"")</f>
        <v/>
      </c>
      <c r="P538" s="83" t="str">
        <f aca="false">IFERROR(IF(INDEX(원자료_잔고!$A$1:$EZ$1500,설정!$L$5+ROW()-1,설정!$L$23)&amp;""="0","",INDEX(원자료_잔고!$A$1:$EZ$1500,설정!$L$5+ROW()-1,설정!$L$23)&amp;""),"")</f>
        <v/>
      </c>
      <c r="Q538" s="89" t="n">
        <f aca="false">IF(AND($A538&lt;&gt;"",ISNUMBER(E538)),IF(E538&gt;0,1,0),0)</f>
        <v>0</v>
      </c>
      <c r="R538" s="43" t="str">
        <f aca="false">IF(Q538=1,UPPER(LEFT($A538,FIND(" ",$A538&amp;" ")-1)),"")</f>
        <v/>
      </c>
      <c r="S538" s="89" t="n">
        <f aca="false">IF(Q538=1,IF(OR(ISNUMBER(SEARCH("Float",$A538)),ISNUMBER(SEARCH("FRN",$A538))),1,0),0)</f>
        <v>0</v>
      </c>
      <c r="T538" s="43" t="str">
        <f aca="false">IF(AND(Q538=1,ISNUMBER(I538)),TEXT(I538,"yyyymmdd")&amp;"|"&amp;IF(S538=1,"F",TEXT(J538,"0.000")),"")</f>
        <v/>
      </c>
      <c r="U538" s="90" t="str">
        <f aca="false">IF(AND(Q538=1,ISNUMBER(I538)),(I538-설정!$C$4)/365.25,"")</f>
        <v/>
      </c>
      <c r="V538" s="43" t="str">
        <f aca="false">IF(Q538&lt;&gt;1,"",IF(ISNUMBER(U538),IF(U538&lt;=1,"1년 이하",IF(U538&lt;=2,"1-2년",IF(U538&lt;=3,"2-3년",IF(U538&lt;=4,"3-4년",IF(U538&lt;=5,"4-5년",IF(U538&lt;=7,"5-7년",IF(U538&lt;=10,"7-10년",IF(U538&lt;=20,"10-20년","20년 이상")))))))),"미분류"))</f>
        <v/>
      </c>
      <c r="W538" s="43" t="str">
        <f aca="false">IF(Q538&lt;&gt;1,"",IF(AB538&lt;&gt;"",INDEX(시장분석!$C:$C,AB538),IF(K538=1,"USD","비USD")))</f>
        <v/>
      </c>
      <c r="X538" s="91" t="n">
        <f aca="false">IF(Q538=1,E538*K538/1000000,0)</f>
        <v>0</v>
      </c>
      <c r="Y538" s="89" t="n">
        <f aca="false">IF(R538="T",1,0)</f>
        <v>0</v>
      </c>
      <c r="Z538" s="92" t="str">
        <f aca="false">IF(Q538&lt;&gt;1,"",IF(AD538=1,IF(ISNUMBER(U538),MAX(U538,0),H538),H538))</f>
        <v/>
      </c>
      <c r="AA538" s="91" t="n">
        <f aca="false">IF(Q538=1,IF(ISNUMBER(L538),L538,0)*K538/1000000,0)</f>
        <v>0</v>
      </c>
      <c r="AB538" s="89" t="str">
        <f aca="false">IF(Q538&lt;&gt;1,"",IFERROR(MATCH(VLOOKUP(B538,매핑!$H$4:$I$15,2,0),시장분석!$A$2:$A$601,0)+1,IFERROR(MATCH(R538&amp;"|"&amp;T538,시장분석!$V$2:$V$601,0)+1,IF(COUNTIF(시장분석!$U$2:$U$601,T538)=1,MATCH(T538,시장분석!$U$2:$U$601,0)+1,""))))</f>
        <v/>
      </c>
      <c r="AC538" s="89" t="n">
        <f aca="false">IF(Q538&lt;&gt;1,0,IF(OR(설정!$C$5="전체",AND(설정!$C$5="선택펀드",IFERROR(COUNTIFS(설정!$F$16:$F$36,C538,설정!$G$16:$G$36,"Y")+COUNTIFS(설정!$F$16:$F$36,VALUE(C538),설정!$G$16:$G$36,"Y"),0)&gt;0),C538&amp;""=설정!$C$5&amp;""),1,0))</f>
        <v>0</v>
      </c>
      <c r="AD538" s="89" t="n">
        <f aca="false">IF(Q538&lt;&gt;1,0,IF(OR(S538=1,IF(AB538="",FALSE(),INDEX(시장분석!$R:$R,AB538)=1)),1,0))</f>
        <v>0</v>
      </c>
      <c r="AE538" s="43" t="str">
        <f aca="false">IF(AB538="","",INDEX(시장분석!$A:$A,AB538))</f>
        <v/>
      </c>
      <c r="AF538" s="93" t="str">
        <f aca="false">IF(AB538="","",IF(ISNUMBER(IF(AB538="","",INDEX(시장분석!$E:$E,AB538))),IF(AB538="","",INDEX(시장분석!$E:$E,AB538)),""))</f>
        <v/>
      </c>
      <c r="AG538" s="43" t="str">
        <f aca="false">IF(Q538&lt;&gt;1,"",IF(AB538&lt;&gt;"",IF(AB538="","",INDEX(시장분석!$L:$L,AB538)),IFERROR(IF(VLOOKUP(R538,매핑!$A$4:$E$92,5,0)="","미분류",VLOOKUP(R538,매핑!$A$4:$E$92,5,0)),"미분류")))</f>
        <v/>
      </c>
      <c r="AH538" s="43" t="str">
        <f aca="false">IF(Q538&lt;&gt;1,"",IF(AB538&lt;&gt;"",IF(AB538="","",INDEX(시장분석!$N:$N,AB538)),IFERROR(IF(VLOOKUP(R538,매핑!$A$4:$E$92,4,0)="","미분류",VLOOKUP(R538,매핑!$A$4:$E$92,4,0)),"미분류")))</f>
        <v/>
      </c>
      <c r="AI538" s="43" t="str">
        <f aca="false">IF(Q538&lt;&gt;1,"",IFERROR(IF(VLOOKUP(R538,매핑!$A$4:$E$92,3,0)="","미분류",VLOOKUP(R538,매핑!$A$4:$E$92,3,0)),IF(AB538&lt;&gt;"",IF(AB538="","",INDEX(시장분석!$W:$W,AB538)),"미분류")))</f>
        <v/>
      </c>
      <c r="AJ538" s="43" t="str">
        <f aca="false">IF(Q538&lt;&gt;1,"",IFERROR(VLOOKUP(IF(N538&lt;&gt;"",N538,IF(P538&lt;&gt;"",P538,O538)),설정!$A$15:$D$47,2,0),""))</f>
        <v/>
      </c>
      <c r="AK538" s="43" t="str">
        <f aca="false">IF(Q538&lt;&gt;1,"",IF(AJ538="","무등급",IFERROR(VLOOKUP(AJ538,설정!$A$15:$D$47,3,0),"무등급")))</f>
        <v/>
      </c>
      <c r="AL538" s="89" t="n">
        <f aca="false">IF(AJ538="",99,IFERROR(VLOOKUP(AJ538,설정!$A$15:$D$47,4,0),99))</f>
        <v>99</v>
      </c>
      <c r="AM538" s="94" t="n">
        <f aca="false">IF(ISNUMBER(H538),AA538*1000000*H538/10000,0)</f>
        <v>0</v>
      </c>
      <c r="AN538" s="94" t="n">
        <f aca="false">IF(OR(Y538=1,NOT(ISNUMBER(Z538))),0,AA538*1000000*Z538/10000)</f>
        <v>0</v>
      </c>
      <c r="AO538" s="94" t="n">
        <f aca="false">IF(ISNUMBER(G538),AA538*1000000*G538/100,0)</f>
        <v>0</v>
      </c>
      <c r="AP538" s="94" t="n">
        <f aca="false">IF(ISNUMBER(M538),M538*K538,0)</f>
        <v>0</v>
      </c>
      <c r="AQ538" s="95" t="str">
        <f aca="false">IF(AB538="","",INDEX(시장분석!$AK:$AK,AB538))</f>
        <v/>
      </c>
      <c r="AR538" s="43" t="str">
        <f aca="false">IF(AB538="","-",IF(AB538="","",INDEX(시장분석!$AL:$AL,AB538)))</f>
        <v>-</v>
      </c>
      <c r="AS538" s="96" t="str">
        <f aca="false">IF(AB538="","",INDEX(시장분석!$AJ:$AJ,AB538))</f>
        <v/>
      </c>
      <c r="AT538" s="93" t="n">
        <f aca="false">IF(AB538="",0,IF(AB538="","",INDEX(시장분석!$AN:$AN,AB538)))</f>
        <v>0</v>
      </c>
      <c r="AU538" s="94" t="n">
        <f aca="false">IF(ISNUMBER(Z538),AT538/10000*MAX(Z538-1,0)*AA538*1000000,0)</f>
        <v>0</v>
      </c>
      <c r="AV538" s="94" t="n">
        <f aca="false">AO538+AU538</f>
        <v>0</v>
      </c>
      <c r="AW538" s="43" t="str">
        <f aca="false">IF(Q538&lt;&gt;1,"",TRIM(IF(AD538=1,"FRN ","")&amp;IF(AND(AL538&gt;=10,AL538&lt;99),"BBB0미만 ","")&amp;IF(AJ538="","등급없음 ","")&amp;IF(K538&lt;&gt;1,"비USD ","")&amp;IF(AND(AB538="",Y538=0),"시장데이터없음 ","")&amp;IF(AND(ISNUMBER(U538),U538&lt;0),"만기경과 ","")))</f>
        <v/>
      </c>
      <c r="AX538" s="90" t="n">
        <f aca="false">IF(Q538&lt;&gt;1,1,IF(스프레드쇼크!$C$4="Y",INDEX(스프레드쇼크!$B$12:$L$16,IFERROR(MATCH(AH538,스프레드쇼크!$A$12:$A$16,0),MATCH("목록외",스프레드쇼크!$A$12:$A$16,0)),IFERROR(MATCH(AG538,스프레드쇼크!$B$11:$L$11,0),MATCH("목록외",스프레드쇼크!$B$11:$L$11,0))),1))</f>
        <v>1</v>
      </c>
      <c r="AY538" s="90" t="n">
        <f aca="false">IF(스프레드쇼크!$C$5="Y",IF(ISNUMBER(AF538),MIN(스프레드쇼크!$C$7,MAX(스프레드쇼크!$C$6,AF538/스프레드쇼크!$C$8)),1),1)</f>
        <v>1</v>
      </c>
      <c r="AZ538" s="94" t="n">
        <f aca="false">AN538*AX538*AY538</f>
        <v>0</v>
      </c>
      <c r="BA538" s="90" t="n">
        <f aca="false">IF(ISNUMBER(G538),AA538*G538,0)</f>
        <v>0</v>
      </c>
      <c r="BB538" s="90" t="n">
        <f aca="false">IF(ISNUMBER(G538),AA538,0)</f>
        <v>0</v>
      </c>
      <c r="BC538" s="90" t="n">
        <f aca="false">IF(AND(Y538=0,ISNUMBER(AF538)),AA538*AF538,0)</f>
        <v>0</v>
      </c>
      <c r="BD538" s="90" t="n">
        <f aca="false">IF(AND(Y538=0,ISNUMBER(AF538)),AA538,0)</f>
        <v>0</v>
      </c>
      <c r="BE538" s="90" t="n">
        <f aca="false">IF(ISNUMBER(H538),AA538*H538,0)</f>
        <v>0</v>
      </c>
      <c r="BF538" s="90" t="n">
        <f aca="false">IF(ISNUMBER(H538),AA538,0)</f>
        <v>0</v>
      </c>
      <c r="BG538" s="90" t="n">
        <f aca="false">IF(AND(Y538=0,ISNUMBER(AF538),ISNUMBER(Z538)),AA538*Z538,0)</f>
        <v>0</v>
      </c>
      <c r="BH538" s="90" t="n">
        <f aca="false">IF(AND(Y538=0,ISNUMBER(AF538),ISNUMBER(Z538)),AA538*AT538*MAX(Z538-1,0),0)</f>
        <v>0</v>
      </c>
      <c r="BI538" s="90" t="n">
        <f aca="false">IF(Y538=0,AA538,0)</f>
        <v>0</v>
      </c>
    </row>
    <row r="539" customFormat="false" ht="15" hidden="false" customHeight="false" outlineLevel="0" collapsed="false">
      <c r="A539" s="83" t="str">
        <f aca="false">IFERROR(IF(INDEX(원자료_잔고!$A$1:$EZ$1500,설정!$L$5+ROW()-1,설정!$L$8)&amp;""="0","",INDEX(원자료_잔고!$A$1:$EZ$1500,설정!$L$5+ROW()-1,설정!$L$8)&amp;""),"")</f>
        <v/>
      </c>
      <c r="B539" s="83" t="str">
        <f aca="false">IFERROR(IF(INDEX(원자료_잔고!$A$1:$EZ$1500,설정!$L$5+ROW()-1,설정!$L$7)&amp;""="0","",INDEX(원자료_잔고!$A$1:$EZ$1500,설정!$L$5+ROW()-1,설정!$L$7)&amp;""),"")</f>
        <v/>
      </c>
      <c r="C539" s="83" t="str">
        <f aca="false">IFERROR(IF(INDEX(원자료_잔고!$A$1:$EZ$1500,설정!$L$5+ROW()-1,설정!$L$9)&amp;""="0","",INDEX(원자료_잔고!$A$1:$EZ$1500,설정!$L$5+ROW()-1,설정!$L$9)&amp;""),"")</f>
        <v/>
      </c>
      <c r="D539" s="83" t="str">
        <f aca="false">IFERROR(IF(INDEX(원자료_잔고!$A$1:$EZ$1500,설정!$L$5+ROW()-1,설정!$L$10)&amp;""="0","",INDEX(원자료_잔고!$A$1:$EZ$1500,설정!$L$5+ROW()-1,설정!$L$10)&amp;""),"")</f>
        <v/>
      </c>
      <c r="E539" s="84" t="str">
        <f aca="false">IFERROR(IF(ISNUMBER(INDEX(원자료_잔고!$A$1:$EZ$1500,설정!$L$5+ROW()-1,설정!$L$11)),INDEX(원자료_잔고!$A$1:$EZ$1500,설정!$L$5+ROW()-1,설정!$L$11),""),"")</f>
        <v/>
      </c>
      <c r="F539" s="85" t="str">
        <f aca="false">IFERROR(IF(ISNUMBER(INDEX(원자료_잔고!$A$1:$EZ$1500,설정!$L$5+ROW()-1,설정!$L$12)),INDEX(원자료_잔고!$A$1:$EZ$1500,설정!$L$5+ROW()-1,설정!$L$12),""),"")</f>
        <v/>
      </c>
      <c r="G539" s="85" t="str">
        <f aca="false">IFERROR(IF(ISNUMBER(INDEX(원자료_잔고!$A$1:$EZ$1500,설정!$L$5+ROW()-1,설정!$L$13)),INDEX(원자료_잔고!$A$1:$EZ$1500,설정!$L$5+ROW()-1,설정!$L$13),""),"")</f>
        <v/>
      </c>
      <c r="H539" s="85" t="str">
        <f aca="false">IFERROR(IF(ISNUMBER(INDEX(원자료_잔고!$A$1:$EZ$1500,설정!$L$5+ROW()-1,설정!$L$14)),INDEX(원자료_잔고!$A$1:$EZ$1500,설정!$L$5+ROW()-1,설정!$L$14),""),"")</f>
        <v/>
      </c>
      <c r="I539" s="86" t="str">
        <f aca="false">IFERROR(IF(ISNUMBER(INDEX(원자료_잔고!$A$1:$EZ$1500,설정!$L$5+ROW()-1,설정!$L$15)),INDEX(원자료_잔고!$A$1:$EZ$1500,설정!$L$5+ROW()-1,설정!$L$15),""),"")</f>
        <v/>
      </c>
      <c r="J539" s="85" t="str">
        <f aca="false">IFERROR(IF(ISNUMBER(INDEX(원자료_잔고!$A$1:$EZ$1500,설정!$L$5+ROW()-1,설정!$L$16)),INDEX(원자료_잔고!$A$1:$EZ$1500,설정!$L$5+ROW()-1,설정!$L$16),""),"")</f>
        <v/>
      </c>
      <c r="K539" s="87" t="str">
        <f aca="false">IFERROR(IF(ISNUMBER(INDEX(원자료_잔고!$A$1:$EZ$1500,설정!$L$5+ROW()-1,설정!$L$17)),INDEX(원자료_잔고!$A$1:$EZ$1500,설정!$L$5+ROW()-1,설정!$L$17),""),"")</f>
        <v/>
      </c>
      <c r="L539" s="84" t="str">
        <f aca="false">IFERROR(IF(ISNUMBER(INDEX(원자료_잔고!$A$1:$EZ$1500,설정!$L$5+ROW()-1,설정!$L$18)),INDEX(원자료_잔고!$A$1:$EZ$1500,설정!$L$5+ROW()-1,설정!$L$18),""),"")</f>
        <v/>
      </c>
      <c r="M539" s="88" t="str">
        <f aca="false">IFERROR(IF(ISNUMBER(INDEX(원자료_잔고!$A$1:$EZ$1500,설정!$L$5+ROW()-1,설정!$L$19)),INDEX(원자료_잔고!$A$1:$EZ$1500,설정!$L$5+ROW()-1,설정!$L$19),""),"")</f>
        <v/>
      </c>
      <c r="N539" s="83" t="str">
        <f aca="false">IFERROR(IF(INDEX(원자료_잔고!$A$1:$EZ$1500,설정!$L$5+ROW()-1,설정!$L$21)&amp;""="0","",INDEX(원자료_잔고!$A$1:$EZ$1500,설정!$L$5+ROW()-1,설정!$L$21)&amp;""),"")</f>
        <v/>
      </c>
      <c r="O539" s="83" t="str">
        <f aca="false">IFERROR(IF(INDEX(원자료_잔고!$A$1:$EZ$1500,설정!$L$5+ROW()-1,설정!$L$22)&amp;""="0","",INDEX(원자료_잔고!$A$1:$EZ$1500,설정!$L$5+ROW()-1,설정!$L$22)&amp;""),"")</f>
        <v/>
      </c>
      <c r="P539" s="83" t="str">
        <f aca="false">IFERROR(IF(INDEX(원자료_잔고!$A$1:$EZ$1500,설정!$L$5+ROW()-1,설정!$L$23)&amp;""="0","",INDEX(원자료_잔고!$A$1:$EZ$1500,설정!$L$5+ROW()-1,설정!$L$23)&amp;""),"")</f>
        <v/>
      </c>
      <c r="Q539" s="89" t="n">
        <f aca="false">IF(AND($A539&lt;&gt;"",ISNUMBER(E539)),IF(E539&gt;0,1,0),0)</f>
        <v>0</v>
      </c>
      <c r="R539" s="43" t="str">
        <f aca="false">IF(Q539=1,UPPER(LEFT($A539,FIND(" ",$A539&amp;" ")-1)),"")</f>
        <v/>
      </c>
      <c r="S539" s="89" t="n">
        <f aca="false">IF(Q539=1,IF(OR(ISNUMBER(SEARCH("Float",$A539)),ISNUMBER(SEARCH("FRN",$A539))),1,0),0)</f>
        <v>0</v>
      </c>
      <c r="T539" s="43" t="str">
        <f aca="false">IF(AND(Q539=1,ISNUMBER(I539)),TEXT(I539,"yyyymmdd")&amp;"|"&amp;IF(S539=1,"F",TEXT(J539,"0.000")),"")</f>
        <v/>
      </c>
      <c r="U539" s="90" t="str">
        <f aca="false">IF(AND(Q539=1,ISNUMBER(I539)),(I539-설정!$C$4)/365.25,"")</f>
        <v/>
      </c>
      <c r="V539" s="43" t="str">
        <f aca="false">IF(Q539&lt;&gt;1,"",IF(ISNUMBER(U539),IF(U539&lt;=1,"1년 이하",IF(U539&lt;=2,"1-2년",IF(U539&lt;=3,"2-3년",IF(U539&lt;=4,"3-4년",IF(U539&lt;=5,"4-5년",IF(U539&lt;=7,"5-7년",IF(U539&lt;=10,"7-10년",IF(U539&lt;=20,"10-20년","20년 이상")))))))),"미분류"))</f>
        <v/>
      </c>
      <c r="W539" s="43" t="str">
        <f aca="false">IF(Q539&lt;&gt;1,"",IF(AB539&lt;&gt;"",INDEX(시장분석!$C:$C,AB539),IF(K539=1,"USD","비USD")))</f>
        <v/>
      </c>
      <c r="X539" s="91" t="n">
        <f aca="false">IF(Q539=1,E539*K539/1000000,0)</f>
        <v>0</v>
      </c>
      <c r="Y539" s="89" t="n">
        <f aca="false">IF(R539="T",1,0)</f>
        <v>0</v>
      </c>
      <c r="Z539" s="92" t="str">
        <f aca="false">IF(Q539&lt;&gt;1,"",IF(AD539=1,IF(ISNUMBER(U539),MAX(U539,0),H539),H539))</f>
        <v/>
      </c>
      <c r="AA539" s="91" t="n">
        <f aca="false">IF(Q539=1,IF(ISNUMBER(L539),L539,0)*K539/1000000,0)</f>
        <v>0</v>
      </c>
      <c r="AB539" s="89" t="str">
        <f aca="false">IF(Q539&lt;&gt;1,"",IFERROR(MATCH(VLOOKUP(B539,매핑!$H$4:$I$15,2,0),시장분석!$A$2:$A$601,0)+1,IFERROR(MATCH(R539&amp;"|"&amp;T539,시장분석!$V$2:$V$601,0)+1,IF(COUNTIF(시장분석!$U$2:$U$601,T539)=1,MATCH(T539,시장분석!$U$2:$U$601,0)+1,""))))</f>
        <v/>
      </c>
      <c r="AC539" s="89" t="n">
        <f aca="false">IF(Q539&lt;&gt;1,0,IF(OR(설정!$C$5="전체",AND(설정!$C$5="선택펀드",IFERROR(COUNTIFS(설정!$F$16:$F$36,C539,설정!$G$16:$G$36,"Y")+COUNTIFS(설정!$F$16:$F$36,VALUE(C539),설정!$G$16:$G$36,"Y"),0)&gt;0),C539&amp;""=설정!$C$5&amp;""),1,0))</f>
        <v>0</v>
      </c>
      <c r="AD539" s="89" t="n">
        <f aca="false">IF(Q539&lt;&gt;1,0,IF(OR(S539=1,IF(AB539="",FALSE(),INDEX(시장분석!$R:$R,AB539)=1)),1,0))</f>
        <v>0</v>
      </c>
      <c r="AE539" s="43" t="str">
        <f aca="false">IF(AB539="","",INDEX(시장분석!$A:$A,AB539))</f>
        <v/>
      </c>
      <c r="AF539" s="93" t="str">
        <f aca="false">IF(AB539="","",IF(ISNUMBER(IF(AB539="","",INDEX(시장분석!$E:$E,AB539))),IF(AB539="","",INDEX(시장분석!$E:$E,AB539)),""))</f>
        <v/>
      </c>
      <c r="AG539" s="43" t="str">
        <f aca="false">IF(Q539&lt;&gt;1,"",IF(AB539&lt;&gt;"",IF(AB539="","",INDEX(시장분석!$L:$L,AB539)),IFERROR(IF(VLOOKUP(R539,매핑!$A$4:$E$92,5,0)="","미분류",VLOOKUP(R539,매핑!$A$4:$E$92,5,0)),"미분류")))</f>
        <v/>
      </c>
      <c r="AH539" s="43" t="str">
        <f aca="false">IF(Q539&lt;&gt;1,"",IF(AB539&lt;&gt;"",IF(AB539="","",INDEX(시장분석!$N:$N,AB539)),IFERROR(IF(VLOOKUP(R539,매핑!$A$4:$E$92,4,0)="","미분류",VLOOKUP(R539,매핑!$A$4:$E$92,4,0)),"미분류")))</f>
        <v/>
      </c>
      <c r="AI539" s="43" t="str">
        <f aca="false">IF(Q539&lt;&gt;1,"",IFERROR(IF(VLOOKUP(R539,매핑!$A$4:$E$92,3,0)="","미분류",VLOOKUP(R539,매핑!$A$4:$E$92,3,0)),IF(AB539&lt;&gt;"",IF(AB539="","",INDEX(시장분석!$W:$W,AB539)),"미분류")))</f>
        <v/>
      </c>
      <c r="AJ539" s="43" t="str">
        <f aca="false">IF(Q539&lt;&gt;1,"",IFERROR(VLOOKUP(IF(N539&lt;&gt;"",N539,IF(P539&lt;&gt;"",P539,O539)),설정!$A$15:$D$47,2,0),""))</f>
        <v/>
      </c>
      <c r="AK539" s="43" t="str">
        <f aca="false">IF(Q539&lt;&gt;1,"",IF(AJ539="","무등급",IFERROR(VLOOKUP(AJ539,설정!$A$15:$D$47,3,0),"무등급")))</f>
        <v/>
      </c>
      <c r="AL539" s="89" t="n">
        <f aca="false">IF(AJ539="",99,IFERROR(VLOOKUP(AJ539,설정!$A$15:$D$47,4,0),99))</f>
        <v>99</v>
      </c>
      <c r="AM539" s="94" t="n">
        <f aca="false">IF(ISNUMBER(H539),AA539*1000000*H539/10000,0)</f>
        <v>0</v>
      </c>
      <c r="AN539" s="94" t="n">
        <f aca="false">IF(OR(Y539=1,NOT(ISNUMBER(Z539))),0,AA539*1000000*Z539/10000)</f>
        <v>0</v>
      </c>
      <c r="AO539" s="94" t="n">
        <f aca="false">IF(ISNUMBER(G539),AA539*1000000*G539/100,0)</f>
        <v>0</v>
      </c>
      <c r="AP539" s="94" t="n">
        <f aca="false">IF(ISNUMBER(M539),M539*K539,0)</f>
        <v>0</v>
      </c>
      <c r="AQ539" s="95" t="str">
        <f aca="false">IF(AB539="","",INDEX(시장분석!$AK:$AK,AB539))</f>
        <v/>
      </c>
      <c r="AR539" s="43" t="str">
        <f aca="false">IF(AB539="","-",IF(AB539="","",INDEX(시장분석!$AL:$AL,AB539)))</f>
        <v>-</v>
      </c>
      <c r="AS539" s="96" t="str">
        <f aca="false">IF(AB539="","",INDEX(시장분석!$AJ:$AJ,AB539))</f>
        <v/>
      </c>
      <c r="AT539" s="93" t="n">
        <f aca="false">IF(AB539="",0,IF(AB539="","",INDEX(시장분석!$AN:$AN,AB539)))</f>
        <v>0</v>
      </c>
      <c r="AU539" s="94" t="n">
        <f aca="false">IF(ISNUMBER(Z539),AT539/10000*MAX(Z539-1,0)*AA539*1000000,0)</f>
        <v>0</v>
      </c>
      <c r="AV539" s="94" t="n">
        <f aca="false">AO539+AU539</f>
        <v>0</v>
      </c>
      <c r="AW539" s="43" t="str">
        <f aca="false">IF(Q539&lt;&gt;1,"",TRIM(IF(AD539=1,"FRN ","")&amp;IF(AND(AL539&gt;=10,AL539&lt;99),"BBB0미만 ","")&amp;IF(AJ539="","등급없음 ","")&amp;IF(K539&lt;&gt;1,"비USD ","")&amp;IF(AND(AB539="",Y539=0),"시장데이터없음 ","")&amp;IF(AND(ISNUMBER(U539),U539&lt;0),"만기경과 ","")))</f>
        <v/>
      </c>
      <c r="AX539" s="90" t="n">
        <f aca="false">IF(Q539&lt;&gt;1,1,IF(스프레드쇼크!$C$4="Y",INDEX(스프레드쇼크!$B$12:$L$16,IFERROR(MATCH(AH539,스프레드쇼크!$A$12:$A$16,0),MATCH("목록외",스프레드쇼크!$A$12:$A$16,0)),IFERROR(MATCH(AG539,스프레드쇼크!$B$11:$L$11,0),MATCH("목록외",스프레드쇼크!$B$11:$L$11,0))),1))</f>
        <v>1</v>
      </c>
      <c r="AY539" s="90" t="n">
        <f aca="false">IF(스프레드쇼크!$C$5="Y",IF(ISNUMBER(AF539),MIN(스프레드쇼크!$C$7,MAX(스프레드쇼크!$C$6,AF539/스프레드쇼크!$C$8)),1),1)</f>
        <v>1</v>
      </c>
      <c r="AZ539" s="94" t="n">
        <f aca="false">AN539*AX539*AY539</f>
        <v>0</v>
      </c>
      <c r="BA539" s="90" t="n">
        <f aca="false">IF(ISNUMBER(G539),AA539*G539,0)</f>
        <v>0</v>
      </c>
      <c r="BB539" s="90" t="n">
        <f aca="false">IF(ISNUMBER(G539),AA539,0)</f>
        <v>0</v>
      </c>
      <c r="BC539" s="90" t="n">
        <f aca="false">IF(AND(Y539=0,ISNUMBER(AF539)),AA539*AF539,0)</f>
        <v>0</v>
      </c>
      <c r="BD539" s="90" t="n">
        <f aca="false">IF(AND(Y539=0,ISNUMBER(AF539)),AA539,0)</f>
        <v>0</v>
      </c>
      <c r="BE539" s="90" t="n">
        <f aca="false">IF(ISNUMBER(H539),AA539*H539,0)</f>
        <v>0</v>
      </c>
      <c r="BF539" s="90" t="n">
        <f aca="false">IF(ISNUMBER(H539),AA539,0)</f>
        <v>0</v>
      </c>
      <c r="BG539" s="90" t="n">
        <f aca="false">IF(AND(Y539=0,ISNUMBER(AF539),ISNUMBER(Z539)),AA539*Z539,0)</f>
        <v>0</v>
      </c>
      <c r="BH539" s="90" t="n">
        <f aca="false">IF(AND(Y539=0,ISNUMBER(AF539),ISNUMBER(Z539)),AA539*AT539*MAX(Z539-1,0),0)</f>
        <v>0</v>
      </c>
      <c r="BI539" s="90" t="n">
        <f aca="false">IF(Y539=0,AA539,0)</f>
        <v>0</v>
      </c>
    </row>
    <row r="540" customFormat="false" ht="15" hidden="false" customHeight="false" outlineLevel="0" collapsed="false">
      <c r="A540" s="83" t="str">
        <f aca="false">IFERROR(IF(INDEX(원자료_잔고!$A$1:$EZ$1500,설정!$L$5+ROW()-1,설정!$L$8)&amp;""="0","",INDEX(원자료_잔고!$A$1:$EZ$1500,설정!$L$5+ROW()-1,설정!$L$8)&amp;""),"")</f>
        <v/>
      </c>
      <c r="B540" s="83" t="str">
        <f aca="false">IFERROR(IF(INDEX(원자료_잔고!$A$1:$EZ$1500,설정!$L$5+ROW()-1,설정!$L$7)&amp;""="0","",INDEX(원자료_잔고!$A$1:$EZ$1500,설정!$L$5+ROW()-1,설정!$L$7)&amp;""),"")</f>
        <v/>
      </c>
      <c r="C540" s="83" t="str">
        <f aca="false">IFERROR(IF(INDEX(원자료_잔고!$A$1:$EZ$1500,설정!$L$5+ROW()-1,설정!$L$9)&amp;""="0","",INDEX(원자료_잔고!$A$1:$EZ$1500,설정!$L$5+ROW()-1,설정!$L$9)&amp;""),"")</f>
        <v/>
      </c>
      <c r="D540" s="83" t="str">
        <f aca="false">IFERROR(IF(INDEX(원자료_잔고!$A$1:$EZ$1500,설정!$L$5+ROW()-1,설정!$L$10)&amp;""="0","",INDEX(원자료_잔고!$A$1:$EZ$1500,설정!$L$5+ROW()-1,설정!$L$10)&amp;""),"")</f>
        <v/>
      </c>
      <c r="E540" s="84" t="str">
        <f aca="false">IFERROR(IF(ISNUMBER(INDEX(원자료_잔고!$A$1:$EZ$1500,설정!$L$5+ROW()-1,설정!$L$11)),INDEX(원자료_잔고!$A$1:$EZ$1500,설정!$L$5+ROW()-1,설정!$L$11),""),"")</f>
        <v/>
      </c>
      <c r="F540" s="85" t="str">
        <f aca="false">IFERROR(IF(ISNUMBER(INDEX(원자료_잔고!$A$1:$EZ$1500,설정!$L$5+ROW()-1,설정!$L$12)),INDEX(원자료_잔고!$A$1:$EZ$1500,설정!$L$5+ROW()-1,설정!$L$12),""),"")</f>
        <v/>
      </c>
      <c r="G540" s="85" t="str">
        <f aca="false">IFERROR(IF(ISNUMBER(INDEX(원자료_잔고!$A$1:$EZ$1500,설정!$L$5+ROW()-1,설정!$L$13)),INDEX(원자료_잔고!$A$1:$EZ$1500,설정!$L$5+ROW()-1,설정!$L$13),""),"")</f>
        <v/>
      </c>
      <c r="H540" s="85" t="str">
        <f aca="false">IFERROR(IF(ISNUMBER(INDEX(원자료_잔고!$A$1:$EZ$1500,설정!$L$5+ROW()-1,설정!$L$14)),INDEX(원자료_잔고!$A$1:$EZ$1500,설정!$L$5+ROW()-1,설정!$L$14),""),"")</f>
        <v/>
      </c>
      <c r="I540" s="86" t="str">
        <f aca="false">IFERROR(IF(ISNUMBER(INDEX(원자료_잔고!$A$1:$EZ$1500,설정!$L$5+ROW()-1,설정!$L$15)),INDEX(원자료_잔고!$A$1:$EZ$1500,설정!$L$5+ROW()-1,설정!$L$15),""),"")</f>
        <v/>
      </c>
      <c r="J540" s="85" t="str">
        <f aca="false">IFERROR(IF(ISNUMBER(INDEX(원자료_잔고!$A$1:$EZ$1500,설정!$L$5+ROW()-1,설정!$L$16)),INDEX(원자료_잔고!$A$1:$EZ$1500,설정!$L$5+ROW()-1,설정!$L$16),""),"")</f>
        <v/>
      </c>
      <c r="K540" s="87" t="str">
        <f aca="false">IFERROR(IF(ISNUMBER(INDEX(원자료_잔고!$A$1:$EZ$1500,설정!$L$5+ROW()-1,설정!$L$17)),INDEX(원자료_잔고!$A$1:$EZ$1500,설정!$L$5+ROW()-1,설정!$L$17),""),"")</f>
        <v/>
      </c>
      <c r="L540" s="84" t="str">
        <f aca="false">IFERROR(IF(ISNUMBER(INDEX(원자료_잔고!$A$1:$EZ$1500,설정!$L$5+ROW()-1,설정!$L$18)),INDEX(원자료_잔고!$A$1:$EZ$1500,설정!$L$5+ROW()-1,설정!$L$18),""),"")</f>
        <v/>
      </c>
      <c r="M540" s="88" t="str">
        <f aca="false">IFERROR(IF(ISNUMBER(INDEX(원자료_잔고!$A$1:$EZ$1500,설정!$L$5+ROW()-1,설정!$L$19)),INDEX(원자료_잔고!$A$1:$EZ$1500,설정!$L$5+ROW()-1,설정!$L$19),""),"")</f>
        <v/>
      </c>
      <c r="N540" s="83" t="str">
        <f aca="false">IFERROR(IF(INDEX(원자료_잔고!$A$1:$EZ$1500,설정!$L$5+ROW()-1,설정!$L$21)&amp;""="0","",INDEX(원자료_잔고!$A$1:$EZ$1500,설정!$L$5+ROW()-1,설정!$L$21)&amp;""),"")</f>
        <v/>
      </c>
      <c r="O540" s="83" t="str">
        <f aca="false">IFERROR(IF(INDEX(원자료_잔고!$A$1:$EZ$1500,설정!$L$5+ROW()-1,설정!$L$22)&amp;""="0","",INDEX(원자료_잔고!$A$1:$EZ$1500,설정!$L$5+ROW()-1,설정!$L$22)&amp;""),"")</f>
        <v/>
      </c>
      <c r="P540" s="83" t="str">
        <f aca="false">IFERROR(IF(INDEX(원자료_잔고!$A$1:$EZ$1500,설정!$L$5+ROW()-1,설정!$L$23)&amp;""="0","",INDEX(원자료_잔고!$A$1:$EZ$1500,설정!$L$5+ROW()-1,설정!$L$23)&amp;""),"")</f>
        <v/>
      </c>
      <c r="Q540" s="89" t="n">
        <f aca="false">IF(AND($A540&lt;&gt;"",ISNUMBER(E540)),IF(E540&gt;0,1,0),0)</f>
        <v>0</v>
      </c>
      <c r="R540" s="43" t="str">
        <f aca="false">IF(Q540=1,UPPER(LEFT($A540,FIND(" ",$A540&amp;" ")-1)),"")</f>
        <v/>
      </c>
      <c r="S540" s="89" t="n">
        <f aca="false">IF(Q540=1,IF(OR(ISNUMBER(SEARCH("Float",$A540)),ISNUMBER(SEARCH("FRN",$A540))),1,0),0)</f>
        <v>0</v>
      </c>
      <c r="T540" s="43" t="str">
        <f aca="false">IF(AND(Q540=1,ISNUMBER(I540)),TEXT(I540,"yyyymmdd")&amp;"|"&amp;IF(S540=1,"F",TEXT(J540,"0.000")),"")</f>
        <v/>
      </c>
      <c r="U540" s="90" t="str">
        <f aca="false">IF(AND(Q540=1,ISNUMBER(I540)),(I540-설정!$C$4)/365.25,"")</f>
        <v/>
      </c>
      <c r="V540" s="43" t="str">
        <f aca="false">IF(Q540&lt;&gt;1,"",IF(ISNUMBER(U540),IF(U540&lt;=1,"1년 이하",IF(U540&lt;=2,"1-2년",IF(U540&lt;=3,"2-3년",IF(U540&lt;=4,"3-4년",IF(U540&lt;=5,"4-5년",IF(U540&lt;=7,"5-7년",IF(U540&lt;=10,"7-10년",IF(U540&lt;=20,"10-20년","20년 이상")))))))),"미분류"))</f>
        <v/>
      </c>
      <c r="W540" s="43" t="str">
        <f aca="false">IF(Q540&lt;&gt;1,"",IF(AB540&lt;&gt;"",INDEX(시장분석!$C:$C,AB540),IF(K540=1,"USD","비USD")))</f>
        <v/>
      </c>
      <c r="X540" s="91" t="n">
        <f aca="false">IF(Q540=1,E540*K540/1000000,0)</f>
        <v>0</v>
      </c>
      <c r="Y540" s="89" t="n">
        <f aca="false">IF(R540="T",1,0)</f>
        <v>0</v>
      </c>
      <c r="Z540" s="92" t="str">
        <f aca="false">IF(Q540&lt;&gt;1,"",IF(AD540=1,IF(ISNUMBER(U540),MAX(U540,0),H540),H540))</f>
        <v/>
      </c>
      <c r="AA540" s="91" t="n">
        <f aca="false">IF(Q540=1,IF(ISNUMBER(L540),L540,0)*K540/1000000,0)</f>
        <v>0</v>
      </c>
      <c r="AB540" s="89" t="str">
        <f aca="false">IF(Q540&lt;&gt;1,"",IFERROR(MATCH(VLOOKUP(B540,매핑!$H$4:$I$15,2,0),시장분석!$A$2:$A$601,0)+1,IFERROR(MATCH(R540&amp;"|"&amp;T540,시장분석!$V$2:$V$601,0)+1,IF(COUNTIF(시장분석!$U$2:$U$601,T540)=1,MATCH(T540,시장분석!$U$2:$U$601,0)+1,""))))</f>
        <v/>
      </c>
      <c r="AC540" s="89" t="n">
        <f aca="false">IF(Q540&lt;&gt;1,0,IF(OR(설정!$C$5="전체",AND(설정!$C$5="선택펀드",IFERROR(COUNTIFS(설정!$F$16:$F$36,C540,설정!$G$16:$G$36,"Y")+COUNTIFS(설정!$F$16:$F$36,VALUE(C540),설정!$G$16:$G$36,"Y"),0)&gt;0),C540&amp;""=설정!$C$5&amp;""),1,0))</f>
        <v>0</v>
      </c>
      <c r="AD540" s="89" t="n">
        <f aca="false">IF(Q540&lt;&gt;1,0,IF(OR(S540=1,IF(AB540="",FALSE(),INDEX(시장분석!$R:$R,AB540)=1)),1,0))</f>
        <v>0</v>
      </c>
      <c r="AE540" s="43" t="str">
        <f aca="false">IF(AB540="","",INDEX(시장분석!$A:$A,AB540))</f>
        <v/>
      </c>
      <c r="AF540" s="93" t="str">
        <f aca="false">IF(AB540="","",IF(ISNUMBER(IF(AB540="","",INDEX(시장분석!$E:$E,AB540))),IF(AB540="","",INDEX(시장분석!$E:$E,AB540)),""))</f>
        <v/>
      </c>
      <c r="AG540" s="43" t="str">
        <f aca="false">IF(Q540&lt;&gt;1,"",IF(AB540&lt;&gt;"",IF(AB540="","",INDEX(시장분석!$L:$L,AB540)),IFERROR(IF(VLOOKUP(R540,매핑!$A$4:$E$92,5,0)="","미분류",VLOOKUP(R540,매핑!$A$4:$E$92,5,0)),"미분류")))</f>
        <v/>
      </c>
      <c r="AH540" s="43" t="str">
        <f aca="false">IF(Q540&lt;&gt;1,"",IF(AB540&lt;&gt;"",IF(AB540="","",INDEX(시장분석!$N:$N,AB540)),IFERROR(IF(VLOOKUP(R540,매핑!$A$4:$E$92,4,0)="","미분류",VLOOKUP(R540,매핑!$A$4:$E$92,4,0)),"미분류")))</f>
        <v/>
      </c>
      <c r="AI540" s="43" t="str">
        <f aca="false">IF(Q540&lt;&gt;1,"",IFERROR(IF(VLOOKUP(R540,매핑!$A$4:$E$92,3,0)="","미분류",VLOOKUP(R540,매핑!$A$4:$E$92,3,0)),IF(AB540&lt;&gt;"",IF(AB540="","",INDEX(시장분석!$W:$W,AB540)),"미분류")))</f>
        <v/>
      </c>
      <c r="AJ540" s="43" t="str">
        <f aca="false">IF(Q540&lt;&gt;1,"",IFERROR(VLOOKUP(IF(N540&lt;&gt;"",N540,IF(P540&lt;&gt;"",P540,O540)),설정!$A$15:$D$47,2,0),""))</f>
        <v/>
      </c>
      <c r="AK540" s="43" t="str">
        <f aca="false">IF(Q540&lt;&gt;1,"",IF(AJ540="","무등급",IFERROR(VLOOKUP(AJ540,설정!$A$15:$D$47,3,0),"무등급")))</f>
        <v/>
      </c>
      <c r="AL540" s="89" t="n">
        <f aca="false">IF(AJ540="",99,IFERROR(VLOOKUP(AJ540,설정!$A$15:$D$47,4,0),99))</f>
        <v>99</v>
      </c>
      <c r="AM540" s="94" t="n">
        <f aca="false">IF(ISNUMBER(H540),AA540*1000000*H540/10000,0)</f>
        <v>0</v>
      </c>
      <c r="AN540" s="94" t="n">
        <f aca="false">IF(OR(Y540=1,NOT(ISNUMBER(Z540))),0,AA540*1000000*Z540/10000)</f>
        <v>0</v>
      </c>
      <c r="AO540" s="94" t="n">
        <f aca="false">IF(ISNUMBER(G540),AA540*1000000*G540/100,0)</f>
        <v>0</v>
      </c>
      <c r="AP540" s="94" t="n">
        <f aca="false">IF(ISNUMBER(M540),M540*K540,0)</f>
        <v>0</v>
      </c>
      <c r="AQ540" s="95" t="str">
        <f aca="false">IF(AB540="","",INDEX(시장분석!$AK:$AK,AB540))</f>
        <v/>
      </c>
      <c r="AR540" s="43" t="str">
        <f aca="false">IF(AB540="","-",IF(AB540="","",INDEX(시장분석!$AL:$AL,AB540)))</f>
        <v>-</v>
      </c>
      <c r="AS540" s="96" t="str">
        <f aca="false">IF(AB540="","",INDEX(시장분석!$AJ:$AJ,AB540))</f>
        <v/>
      </c>
      <c r="AT540" s="93" t="n">
        <f aca="false">IF(AB540="",0,IF(AB540="","",INDEX(시장분석!$AN:$AN,AB540)))</f>
        <v>0</v>
      </c>
      <c r="AU540" s="94" t="n">
        <f aca="false">IF(ISNUMBER(Z540),AT540/10000*MAX(Z540-1,0)*AA540*1000000,0)</f>
        <v>0</v>
      </c>
      <c r="AV540" s="94" t="n">
        <f aca="false">AO540+AU540</f>
        <v>0</v>
      </c>
      <c r="AW540" s="43" t="str">
        <f aca="false">IF(Q540&lt;&gt;1,"",TRIM(IF(AD540=1,"FRN ","")&amp;IF(AND(AL540&gt;=10,AL540&lt;99),"BBB0미만 ","")&amp;IF(AJ540="","등급없음 ","")&amp;IF(K540&lt;&gt;1,"비USD ","")&amp;IF(AND(AB540="",Y540=0),"시장데이터없음 ","")&amp;IF(AND(ISNUMBER(U540),U540&lt;0),"만기경과 ","")))</f>
        <v/>
      </c>
      <c r="AX540" s="90" t="n">
        <f aca="false">IF(Q540&lt;&gt;1,1,IF(스프레드쇼크!$C$4="Y",INDEX(스프레드쇼크!$B$12:$L$16,IFERROR(MATCH(AH540,스프레드쇼크!$A$12:$A$16,0),MATCH("목록외",스프레드쇼크!$A$12:$A$16,0)),IFERROR(MATCH(AG540,스프레드쇼크!$B$11:$L$11,0),MATCH("목록외",스프레드쇼크!$B$11:$L$11,0))),1))</f>
        <v>1</v>
      </c>
      <c r="AY540" s="90" t="n">
        <f aca="false">IF(스프레드쇼크!$C$5="Y",IF(ISNUMBER(AF540),MIN(스프레드쇼크!$C$7,MAX(스프레드쇼크!$C$6,AF540/스프레드쇼크!$C$8)),1),1)</f>
        <v>1</v>
      </c>
      <c r="AZ540" s="94" t="n">
        <f aca="false">AN540*AX540*AY540</f>
        <v>0</v>
      </c>
      <c r="BA540" s="90" t="n">
        <f aca="false">IF(ISNUMBER(G540),AA540*G540,0)</f>
        <v>0</v>
      </c>
      <c r="BB540" s="90" t="n">
        <f aca="false">IF(ISNUMBER(G540),AA540,0)</f>
        <v>0</v>
      </c>
      <c r="BC540" s="90" t="n">
        <f aca="false">IF(AND(Y540=0,ISNUMBER(AF540)),AA540*AF540,0)</f>
        <v>0</v>
      </c>
      <c r="BD540" s="90" t="n">
        <f aca="false">IF(AND(Y540=0,ISNUMBER(AF540)),AA540,0)</f>
        <v>0</v>
      </c>
      <c r="BE540" s="90" t="n">
        <f aca="false">IF(ISNUMBER(H540),AA540*H540,0)</f>
        <v>0</v>
      </c>
      <c r="BF540" s="90" t="n">
        <f aca="false">IF(ISNUMBER(H540),AA540,0)</f>
        <v>0</v>
      </c>
      <c r="BG540" s="90" t="n">
        <f aca="false">IF(AND(Y540=0,ISNUMBER(AF540),ISNUMBER(Z540)),AA540*Z540,0)</f>
        <v>0</v>
      </c>
      <c r="BH540" s="90" t="n">
        <f aca="false">IF(AND(Y540=0,ISNUMBER(AF540),ISNUMBER(Z540)),AA540*AT540*MAX(Z540-1,0),0)</f>
        <v>0</v>
      </c>
      <c r="BI540" s="90" t="n">
        <f aca="false">IF(Y540=0,AA540,0)</f>
        <v>0</v>
      </c>
    </row>
    <row r="541" customFormat="false" ht="15" hidden="false" customHeight="false" outlineLevel="0" collapsed="false">
      <c r="A541" s="83" t="str">
        <f aca="false">IFERROR(IF(INDEX(원자료_잔고!$A$1:$EZ$1500,설정!$L$5+ROW()-1,설정!$L$8)&amp;""="0","",INDEX(원자료_잔고!$A$1:$EZ$1500,설정!$L$5+ROW()-1,설정!$L$8)&amp;""),"")</f>
        <v/>
      </c>
      <c r="B541" s="83" t="str">
        <f aca="false">IFERROR(IF(INDEX(원자료_잔고!$A$1:$EZ$1500,설정!$L$5+ROW()-1,설정!$L$7)&amp;""="0","",INDEX(원자료_잔고!$A$1:$EZ$1500,설정!$L$5+ROW()-1,설정!$L$7)&amp;""),"")</f>
        <v/>
      </c>
      <c r="C541" s="83" t="str">
        <f aca="false">IFERROR(IF(INDEX(원자료_잔고!$A$1:$EZ$1500,설정!$L$5+ROW()-1,설정!$L$9)&amp;""="0","",INDEX(원자료_잔고!$A$1:$EZ$1500,설정!$L$5+ROW()-1,설정!$L$9)&amp;""),"")</f>
        <v/>
      </c>
      <c r="D541" s="83" t="str">
        <f aca="false">IFERROR(IF(INDEX(원자료_잔고!$A$1:$EZ$1500,설정!$L$5+ROW()-1,설정!$L$10)&amp;""="0","",INDEX(원자료_잔고!$A$1:$EZ$1500,설정!$L$5+ROW()-1,설정!$L$10)&amp;""),"")</f>
        <v/>
      </c>
      <c r="E541" s="84" t="str">
        <f aca="false">IFERROR(IF(ISNUMBER(INDEX(원자료_잔고!$A$1:$EZ$1500,설정!$L$5+ROW()-1,설정!$L$11)),INDEX(원자료_잔고!$A$1:$EZ$1500,설정!$L$5+ROW()-1,설정!$L$11),""),"")</f>
        <v/>
      </c>
      <c r="F541" s="85" t="str">
        <f aca="false">IFERROR(IF(ISNUMBER(INDEX(원자료_잔고!$A$1:$EZ$1500,설정!$L$5+ROW()-1,설정!$L$12)),INDEX(원자료_잔고!$A$1:$EZ$1500,설정!$L$5+ROW()-1,설정!$L$12),""),"")</f>
        <v/>
      </c>
      <c r="G541" s="85" t="str">
        <f aca="false">IFERROR(IF(ISNUMBER(INDEX(원자료_잔고!$A$1:$EZ$1500,설정!$L$5+ROW()-1,설정!$L$13)),INDEX(원자료_잔고!$A$1:$EZ$1500,설정!$L$5+ROW()-1,설정!$L$13),""),"")</f>
        <v/>
      </c>
      <c r="H541" s="85" t="str">
        <f aca="false">IFERROR(IF(ISNUMBER(INDEX(원자료_잔고!$A$1:$EZ$1500,설정!$L$5+ROW()-1,설정!$L$14)),INDEX(원자료_잔고!$A$1:$EZ$1500,설정!$L$5+ROW()-1,설정!$L$14),""),"")</f>
        <v/>
      </c>
      <c r="I541" s="86" t="str">
        <f aca="false">IFERROR(IF(ISNUMBER(INDEX(원자료_잔고!$A$1:$EZ$1500,설정!$L$5+ROW()-1,설정!$L$15)),INDEX(원자료_잔고!$A$1:$EZ$1500,설정!$L$5+ROW()-1,설정!$L$15),""),"")</f>
        <v/>
      </c>
      <c r="J541" s="85" t="str">
        <f aca="false">IFERROR(IF(ISNUMBER(INDEX(원자료_잔고!$A$1:$EZ$1500,설정!$L$5+ROW()-1,설정!$L$16)),INDEX(원자료_잔고!$A$1:$EZ$1500,설정!$L$5+ROW()-1,설정!$L$16),""),"")</f>
        <v/>
      </c>
      <c r="K541" s="87" t="str">
        <f aca="false">IFERROR(IF(ISNUMBER(INDEX(원자료_잔고!$A$1:$EZ$1500,설정!$L$5+ROW()-1,설정!$L$17)),INDEX(원자료_잔고!$A$1:$EZ$1500,설정!$L$5+ROW()-1,설정!$L$17),""),"")</f>
        <v/>
      </c>
      <c r="L541" s="84" t="str">
        <f aca="false">IFERROR(IF(ISNUMBER(INDEX(원자료_잔고!$A$1:$EZ$1500,설정!$L$5+ROW()-1,설정!$L$18)),INDEX(원자료_잔고!$A$1:$EZ$1500,설정!$L$5+ROW()-1,설정!$L$18),""),"")</f>
        <v/>
      </c>
      <c r="M541" s="88" t="str">
        <f aca="false">IFERROR(IF(ISNUMBER(INDEX(원자료_잔고!$A$1:$EZ$1500,설정!$L$5+ROW()-1,설정!$L$19)),INDEX(원자료_잔고!$A$1:$EZ$1500,설정!$L$5+ROW()-1,설정!$L$19),""),"")</f>
        <v/>
      </c>
      <c r="N541" s="83" t="str">
        <f aca="false">IFERROR(IF(INDEX(원자료_잔고!$A$1:$EZ$1500,설정!$L$5+ROW()-1,설정!$L$21)&amp;""="0","",INDEX(원자료_잔고!$A$1:$EZ$1500,설정!$L$5+ROW()-1,설정!$L$21)&amp;""),"")</f>
        <v/>
      </c>
      <c r="O541" s="83" t="str">
        <f aca="false">IFERROR(IF(INDEX(원자료_잔고!$A$1:$EZ$1500,설정!$L$5+ROW()-1,설정!$L$22)&amp;""="0","",INDEX(원자료_잔고!$A$1:$EZ$1500,설정!$L$5+ROW()-1,설정!$L$22)&amp;""),"")</f>
        <v/>
      </c>
      <c r="P541" s="83" t="str">
        <f aca="false">IFERROR(IF(INDEX(원자료_잔고!$A$1:$EZ$1500,설정!$L$5+ROW()-1,설정!$L$23)&amp;""="0","",INDEX(원자료_잔고!$A$1:$EZ$1500,설정!$L$5+ROW()-1,설정!$L$23)&amp;""),"")</f>
        <v/>
      </c>
      <c r="Q541" s="89" t="n">
        <f aca="false">IF(AND($A541&lt;&gt;"",ISNUMBER(E541)),IF(E541&gt;0,1,0),0)</f>
        <v>0</v>
      </c>
      <c r="R541" s="43" t="str">
        <f aca="false">IF(Q541=1,UPPER(LEFT($A541,FIND(" ",$A541&amp;" ")-1)),"")</f>
        <v/>
      </c>
      <c r="S541" s="89" t="n">
        <f aca="false">IF(Q541=1,IF(OR(ISNUMBER(SEARCH("Float",$A541)),ISNUMBER(SEARCH("FRN",$A541))),1,0),0)</f>
        <v>0</v>
      </c>
      <c r="T541" s="43" t="str">
        <f aca="false">IF(AND(Q541=1,ISNUMBER(I541)),TEXT(I541,"yyyymmdd")&amp;"|"&amp;IF(S541=1,"F",TEXT(J541,"0.000")),"")</f>
        <v/>
      </c>
      <c r="U541" s="90" t="str">
        <f aca="false">IF(AND(Q541=1,ISNUMBER(I541)),(I541-설정!$C$4)/365.25,"")</f>
        <v/>
      </c>
      <c r="V541" s="43" t="str">
        <f aca="false">IF(Q541&lt;&gt;1,"",IF(ISNUMBER(U541),IF(U541&lt;=1,"1년 이하",IF(U541&lt;=2,"1-2년",IF(U541&lt;=3,"2-3년",IF(U541&lt;=4,"3-4년",IF(U541&lt;=5,"4-5년",IF(U541&lt;=7,"5-7년",IF(U541&lt;=10,"7-10년",IF(U541&lt;=20,"10-20년","20년 이상")))))))),"미분류"))</f>
        <v/>
      </c>
      <c r="W541" s="43" t="str">
        <f aca="false">IF(Q541&lt;&gt;1,"",IF(AB541&lt;&gt;"",INDEX(시장분석!$C:$C,AB541),IF(K541=1,"USD","비USD")))</f>
        <v/>
      </c>
      <c r="X541" s="91" t="n">
        <f aca="false">IF(Q541=1,E541*K541/1000000,0)</f>
        <v>0</v>
      </c>
      <c r="Y541" s="89" t="n">
        <f aca="false">IF(R541="T",1,0)</f>
        <v>0</v>
      </c>
      <c r="Z541" s="92" t="str">
        <f aca="false">IF(Q541&lt;&gt;1,"",IF(AD541=1,IF(ISNUMBER(U541),MAX(U541,0),H541),H541))</f>
        <v/>
      </c>
      <c r="AA541" s="91" t="n">
        <f aca="false">IF(Q541=1,IF(ISNUMBER(L541),L541,0)*K541/1000000,0)</f>
        <v>0</v>
      </c>
      <c r="AB541" s="89" t="str">
        <f aca="false">IF(Q541&lt;&gt;1,"",IFERROR(MATCH(VLOOKUP(B541,매핑!$H$4:$I$15,2,0),시장분석!$A$2:$A$601,0)+1,IFERROR(MATCH(R541&amp;"|"&amp;T541,시장분석!$V$2:$V$601,0)+1,IF(COUNTIF(시장분석!$U$2:$U$601,T541)=1,MATCH(T541,시장분석!$U$2:$U$601,0)+1,""))))</f>
        <v/>
      </c>
      <c r="AC541" s="89" t="n">
        <f aca="false">IF(Q541&lt;&gt;1,0,IF(OR(설정!$C$5="전체",AND(설정!$C$5="선택펀드",IFERROR(COUNTIFS(설정!$F$16:$F$36,C541,설정!$G$16:$G$36,"Y")+COUNTIFS(설정!$F$16:$F$36,VALUE(C541),설정!$G$16:$G$36,"Y"),0)&gt;0),C541&amp;""=설정!$C$5&amp;""),1,0))</f>
        <v>0</v>
      </c>
      <c r="AD541" s="89" t="n">
        <f aca="false">IF(Q541&lt;&gt;1,0,IF(OR(S541=1,IF(AB541="",FALSE(),INDEX(시장분석!$R:$R,AB541)=1)),1,0))</f>
        <v>0</v>
      </c>
      <c r="AE541" s="43" t="str">
        <f aca="false">IF(AB541="","",INDEX(시장분석!$A:$A,AB541))</f>
        <v/>
      </c>
      <c r="AF541" s="93" t="str">
        <f aca="false">IF(AB541="","",IF(ISNUMBER(IF(AB541="","",INDEX(시장분석!$E:$E,AB541))),IF(AB541="","",INDEX(시장분석!$E:$E,AB541)),""))</f>
        <v/>
      </c>
      <c r="AG541" s="43" t="str">
        <f aca="false">IF(Q541&lt;&gt;1,"",IF(AB541&lt;&gt;"",IF(AB541="","",INDEX(시장분석!$L:$L,AB541)),IFERROR(IF(VLOOKUP(R541,매핑!$A$4:$E$92,5,0)="","미분류",VLOOKUP(R541,매핑!$A$4:$E$92,5,0)),"미분류")))</f>
        <v/>
      </c>
      <c r="AH541" s="43" t="str">
        <f aca="false">IF(Q541&lt;&gt;1,"",IF(AB541&lt;&gt;"",IF(AB541="","",INDEX(시장분석!$N:$N,AB541)),IFERROR(IF(VLOOKUP(R541,매핑!$A$4:$E$92,4,0)="","미분류",VLOOKUP(R541,매핑!$A$4:$E$92,4,0)),"미분류")))</f>
        <v/>
      </c>
      <c r="AI541" s="43" t="str">
        <f aca="false">IF(Q541&lt;&gt;1,"",IFERROR(IF(VLOOKUP(R541,매핑!$A$4:$E$92,3,0)="","미분류",VLOOKUP(R541,매핑!$A$4:$E$92,3,0)),IF(AB541&lt;&gt;"",IF(AB541="","",INDEX(시장분석!$W:$W,AB541)),"미분류")))</f>
        <v/>
      </c>
      <c r="AJ541" s="43" t="str">
        <f aca="false">IF(Q541&lt;&gt;1,"",IFERROR(VLOOKUP(IF(N541&lt;&gt;"",N541,IF(P541&lt;&gt;"",P541,O541)),설정!$A$15:$D$47,2,0),""))</f>
        <v/>
      </c>
      <c r="AK541" s="43" t="str">
        <f aca="false">IF(Q541&lt;&gt;1,"",IF(AJ541="","무등급",IFERROR(VLOOKUP(AJ541,설정!$A$15:$D$47,3,0),"무등급")))</f>
        <v/>
      </c>
      <c r="AL541" s="89" t="n">
        <f aca="false">IF(AJ541="",99,IFERROR(VLOOKUP(AJ541,설정!$A$15:$D$47,4,0),99))</f>
        <v>99</v>
      </c>
      <c r="AM541" s="94" t="n">
        <f aca="false">IF(ISNUMBER(H541),AA541*1000000*H541/10000,0)</f>
        <v>0</v>
      </c>
      <c r="AN541" s="94" t="n">
        <f aca="false">IF(OR(Y541=1,NOT(ISNUMBER(Z541))),0,AA541*1000000*Z541/10000)</f>
        <v>0</v>
      </c>
      <c r="AO541" s="94" t="n">
        <f aca="false">IF(ISNUMBER(G541),AA541*1000000*G541/100,0)</f>
        <v>0</v>
      </c>
      <c r="AP541" s="94" t="n">
        <f aca="false">IF(ISNUMBER(M541),M541*K541,0)</f>
        <v>0</v>
      </c>
      <c r="AQ541" s="95" t="str">
        <f aca="false">IF(AB541="","",INDEX(시장분석!$AK:$AK,AB541))</f>
        <v/>
      </c>
      <c r="AR541" s="43" t="str">
        <f aca="false">IF(AB541="","-",IF(AB541="","",INDEX(시장분석!$AL:$AL,AB541)))</f>
        <v>-</v>
      </c>
      <c r="AS541" s="96" t="str">
        <f aca="false">IF(AB541="","",INDEX(시장분석!$AJ:$AJ,AB541))</f>
        <v/>
      </c>
      <c r="AT541" s="93" t="n">
        <f aca="false">IF(AB541="",0,IF(AB541="","",INDEX(시장분석!$AN:$AN,AB541)))</f>
        <v>0</v>
      </c>
      <c r="AU541" s="94" t="n">
        <f aca="false">IF(ISNUMBER(Z541),AT541/10000*MAX(Z541-1,0)*AA541*1000000,0)</f>
        <v>0</v>
      </c>
      <c r="AV541" s="94" t="n">
        <f aca="false">AO541+AU541</f>
        <v>0</v>
      </c>
      <c r="AW541" s="43" t="str">
        <f aca="false">IF(Q541&lt;&gt;1,"",TRIM(IF(AD541=1,"FRN ","")&amp;IF(AND(AL541&gt;=10,AL541&lt;99),"BBB0미만 ","")&amp;IF(AJ541="","등급없음 ","")&amp;IF(K541&lt;&gt;1,"비USD ","")&amp;IF(AND(AB541="",Y541=0),"시장데이터없음 ","")&amp;IF(AND(ISNUMBER(U541),U541&lt;0),"만기경과 ","")))</f>
        <v/>
      </c>
      <c r="AX541" s="90" t="n">
        <f aca="false">IF(Q541&lt;&gt;1,1,IF(스프레드쇼크!$C$4="Y",INDEX(스프레드쇼크!$B$12:$L$16,IFERROR(MATCH(AH541,스프레드쇼크!$A$12:$A$16,0),MATCH("목록외",스프레드쇼크!$A$12:$A$16,0)),IFERROR(MATCH(AG541,스프레드쇼크!$B$11:$L$11,0),MATCH("목록외",스프레드쇼크!$B$11:$L$11,0))),1))</f>
        <v>1</v>
      </c>
      <c r="AY541" s="90" t="n">
        <f aca="false">IF(스프레드쇼크!$C$5="Y",IF(ISNUMBER(AF541),MIN(스프레드쇼크!$C$7,MAX(스프레드쇼크!$C$6,AF541/스프레드쇼크!$C$8)),1),1)</f>
        <v>1</v>
      </c>
      <c r="AZ541" s="94" t="n">
        <f aca="false">AN541*AX541*AY541</f>
        <v>0</v>
      </c>
      <c r="BA541" s="90" t="n">
        <f aca="false">IF(ISNUMBER(G541),AA541*G541,0)</f>
        <v>0</v>
      </c>
      <c r="BB541" s="90" t="n">
        <f aca="false">IF(ISNUMBER(G541),AA541,0)</f>
        <v>0</v>
      </c>
      <c r="BC541" s="90" t="n">
        <f aca="false">IF(AND(Y541=0,ISNUMBER(AF541)),AA541*AF541,0)</f>
        <v>0</v>
      </c>
      <c r="BD541" s="90" t="n">
        <f aca="false">IF(AND(Y541=0,ISNUMBER(AF541)),AA541,0)</f>
        <v>0</v>
      </c>
      <c r="BE541" s="90" t="n">
        <f aca="false">IF(ISNUMBER(H541),AA541*H541,0)</f>
        <v>0</v>
      </c>
      <c r="BF541" s="90" t="n">
        <f aca="false">IF(ISNUMBER(H541),AA541,0)</f>
        <v>0</v>
      </c>
      <c r="BG541" s="90" t="n">
        <f aca="false">IF(AND(Y541=0,ISNUMBER(AF541),ISNUMBER(Z541)),AA541*Z541,0)</f>
        <v>0</v>
      </c>
      <c r="BH541" s="90" t="n">
        <f aca="false">IF(AND(Y541=0,ISNUMBER(AF541),ISNUMBER(Z541)),AA541*AT541*MAX(Z541-1,0),0)</f>
        <v>0</v>
      </c>
      <c r="BI541" s="90" t="n">
        <f aca="false">IF(Y541=0,AA541,0)</f>
        <v>0</v>
      </c>
    </row>
    <row r="542" customFormat="false" ht="15" hidden="false" customHeight="false" outlineLevel="0" collapsed="false">
      <c r="A542" s="83" t="str">
        <f aca="false">IFERROR(IF(INDEX(원자료_잔고!$A$1:$EZ$1500,설정!$L$5+ROW()-1,설정!$L$8)&amp;""="0","",INDEX(원자료_잔고!$A$1:$EZ$1500,설정!$L$5+ROW()-1,설정!$L$8)&amp;""),"")</f>
        <v/>
      </c>
      <c r="B542" s="83" t="str">
        <f aca="false">IFERROR(IF(INDEX(원자료_잔고!$A$1:$EZ$1500,설정!$L$5+ROW()-1,설정!$L$7)&amp;""="0","",INDEX(원자료_잔고!$A$1:$EZ$1500,설정!$L$5+ROW()-1,설정!$L$7)&amp;""),"")</f>
        <v/>
      </c>
      <c r="C542" s="83" t="str">
        <f aca="false">IFERROR(IF(INDEX(원자료_잔고!$A$1:$EZ$1500,설정!$L$5+ROW()-1,설정!$L$9)&amp;""="0","",INDEX(원자료_잔고!$A$1:$EZ$1500,설정!$L$5+ROW()-1,설정!$L$9)&amp;""),"")</f>
        <v/>
      </c>
      <c r="D542" s="83" t="str">
        <f aca="false">IFERROR(IF(INDEX(원자료_잔고!$A$1:$EZ$1500,설정!$L$5+ROW()-1,설정!$L$10)&amp;""="0","",INDEX(원자료_잔고!$A$1:$EZ$1500,설정!$L$5+ROW()-1,설정!$L$10)&amp;""),"")</f>
        <v/>
      </c>
      <c r="E542" s="84" t="str">
        <f aca="false">IFERROR(IF(ISNUMBER(INDEX(원자료_잔고!$A$1:$EZ$1500,설정!$L$5+ROW()-1,설정!$L$11)),INDEX(원자료_잔고!$A$1:$EZ$1500,설정!$L$5+ROW()-1,설정!$L$11),""),"")</f>
        <v/>
      </c>
      <c r="F542" s="85" t="str">
        <f aca="false">IFERROR(IF(ISNUMBER(INDEX(원자료_잔고!$A$1:$EZ$1500,설정!$L$5+ROW()-1,설정!$L$12)),INDEX(원자료_잔고!$A$1:$EZ$1500,설정!$L$5+ROW()-1,설정!$L$12),""),"")</f>
        <v/>
      </c>
      <c r="G542" s="85" t="str">
        <f aca="false">IFERROR(IF(ISNUMBER(INDEX(원자료_잔고!$A$1:$EZ$1500,설정!$L$5+ROW()-1,설정!$L$13)),INDEX(원자료_잔고!$A$1:$EZ$1500,설정!$L$5+ROW()-1,설정!$L$13),""),"")</f>
        <v/>
      </c>
      <c r="H542" s="85" t="str">
        <f aca="false">IFERROR(IF(ISNUMBER(INDEX(원자료_잔고!$A$1:$EZ$1500,설정!$L$5+ROW()-1,설정!$L$14)),INDEX(원자료_잔고!$A$1:$EZ$1500,설정!$L$5+ROW()-1,설정!$L$14),""),"")</f>
        <v/>
      </c>
      <c r="I542" s="86" t="str">
        <f aca="false">IFERROR(IF(ISNUMBER(INDEX(원자료_잔고!$A$1:$EZ$1500,설정!$L$5+ROW()-1,설정!$L$15)),INDEX(원자료_잔고!$A$1:$EZ$1500,설정!$L$5+ROW()-1,설정!$L$15),""),"")</f>
        <v/>
      </c>
      <c r="J542" s="85" t="str">
        <f aca="false">IFERROR(IF(ISNUMBER(INDEX(원자료_잔고!$A$1:$EZ$1500,설정!$L$5+ROW()-1,설정!$L$16)),INDEX(원자료_잔고!$A$1:$EZ$1500,설정!$L$5+ROW()-1,설정!$L$16),""),"")</f>
        <v/>
      </c>
      <c r="K542" s="87" t="str">
        <f aca="false">IFERROR(IF(ISNUMBER(INDEX(원자료_잔고!$A$1:$EZ$1500,설정!$L$5+ROW()-1,설정!$L$17)),INDEX(원자료_잔고!$A$1:$EZ$1500,설정!$L$5+ROW()-1,설정!$L$17),""),"")</f>
        <v/>
      </c>
      <c r="L542" s="84" t="str">
        <f aca="false">IFERROR(IF(ISNUMBER(INDEX(원자료_잔고!$A$1:$EZ$1500,설정!$L$5+ROW()-1,설정!$L$18)),INDEX(원자료_잔고!$A$1:$EZ$1500,설정!$L$5+ROW()-1,설정!$L$18),""),"")</f>
        <v/>
      </c>
      <c r="M542" s="88" t="str">
        <f aca="false">IFERROR(IF(ISNUMBER(INDEX(원자료_잔고!$A$1:$EZ$1500,설정!$L$5+ROW()-1,설정!$L$19)),INDEX(원자료_잔고!$A$1:$EZ$1500,설정!$L$5+ROW()-1,설정!$L$19),""),"")</f>
        <v/>
      </c>
      <c r="N542" s="83" t="str">
        <f aca="false">IFERROR(IF(INDEX(원자료_잔고!$A$1:$EZ$1500,설정!$L$5+ROW()-1,설정!$L$21)&amp;""="0","",INDEX(원자료_잔고!$A$1:$EZ$1500,설정!$L$5+ROW()-1,설정!$L$21)&amp;""),"")</f>
        <v/>
      </c>
      <c r="O542" s="83" t="str">
        <f aca="false">IFERROR(IF(INDEX(원자료_잔고!$A$1:$EZ$1500,설정!$L$5+ROW()-1,설정!$L$22)&amp;""="0","",INDEX(원자료_잔고!$A$1:$EZ$1500,설정!$L$5+ROW()-1,설정!$L$22)&amp;""),"")</f>
        <v/>
      </c>
      <c r="P542" s="83" t="str">
        <f aca="false">IFERROR(IF(INDEX(원자료_잔고!$A$1:$EZ$1500,설정!$L$5+ROW()-1,설정!$L$23)&amp;""="0","",INDEX(원자료_잔고!$A$1:$EZ$1500,설정!$L$5+ROW()-1,설정!$L$23)&amp;""),"")</f>
        <v/>
      </c>
      <c r="Q542" s="89" t="n">
        <f aca="false">IF(AND($A542&lt;&gt;"",ISNUMBER(E542)),IF(E542&gt;0,1,0),0)</f>
        <v>0</v>
      </c>
      <c r="R542" s="43" t="str">
        <f aca="false">IF(Q542=1,UPPER(LEFT($A542,FIND(" ",$A542&amp;" ")-1)),"")</f>
        <v/>
      </c>
      <c r="S542" s="89" t="n">
        <f aca="false">IF(Q542=1,IF(OR(ISNUMBER(SEARCH("Float",$A542)),ISNUMBER(SEARCH("FRN",$A542))),1,0),0)</f>
        <v>0</v>
      </c>
      <c r="T542" s="43" t="str">
        <f aca="false">IF(AND(Q542=1,ISNUMBER(I542)),TEXT(I542,"yyyymmdd")&amp;"|"&amp;IF(S542=1,"F",TEXT(J542,"0.000")),"")</f>
        <v/>
      </c>
      <c r="U542" s="90" t="str">
        <f aca="false">IF(AND(Q542=1,ISNUMBER(I542)),(I542-설정!$C$4)/365.25,"")</f>
        <v/>
      </c>
      <c r="V542" s="43" t="str">
        <f aca="false">IF(Q542&lt;&gt;1,"",IF(ISNUMBER(U542),IF(U542&lt;=1,"1년 이하",IF(U542&lt;=2,"1-2년",IF(U542&lt;=3,"2-3년",IF(U542&lt;=4,"3-4년",IF(U542&lt;=5,"4-5년",IF(U542&lt;=7,"5-7년",IF(U542&lt;=10,"7-10년",IF(U542&lt;=20,"10-20년","20년 이상")))))))),"미분류"))</f>
        <v/>
      </c>
      <c r="W542" s="43" t="str">
        <f aca="false">IF(Q542&lt;&gt;1,"",IF(AB542&lt;&gt;"",INDEX(시장분석!$C:$C,AB542),IF(K542=1,"USD","비USD")))</f>
        <v/>
      </c>
      <c r="X542" s="91" t="n">
        <f aca="false">IF(Q542=1,E542*K542/1000000,0)</f>
        <v>0</v>
      </c>
      <c r="Y542" s="89" t="n">
        <f aca="false">IF(R542="T",1,0)</f>
        <v>0</v>
      </c>
      <c r="Z542" s="92" t="str">
        <f aca="false">IF(Q542&lt;&gt;1,"",IF(AD542=1,IF(ISNUMBER(U542),MAX(U542,0),H542),H542))</f>
        <v/>
      </c>
      <c r="AA542" s="91" t="n">
        <f aca="false">IF(Q542=1,IF(ISNUMBER(L542),L542,0)*K542/1000000,0)</f>
        <v>0</v>
      </c>
      <c r="AB542" s="89" t="str">
        <f aca="false">IF(Q542&lt;&gt;1,"",IFERROR(MATCH(VLOOKUP(B542,매핑!$H$4:$I$15,2,0),시장분석!$A$2:$A$601,0)+1,IFERROR(MATCH(R542&amp;"|"&amp;T542,시장분석!$V$2:$V$601,0)+1,IF(COUNTIF(시장분석!$U$2:$U$601,T542)=1,MATCH(T542,시장분석!$U$2:$U$601,0)+1,""))))</f>
        <v/>
      </c>
      <c r="AC542" s="89" t="n">
        <f aca="false">IF(Q542&lt;&gt;1,0,IF(OR(설정!$C$5="전체",AND(설정!$C$5="선택펀드",IFERROR(COUNTIFS(설정!$F$16:$F$36,C542,설정!$G$16:$G$36,"Y")+COUNTIFS(설정!$F$16:$F$36,VALUE(C542),설정!$G$16:$G$36,"Y"),0)&gt;0),C542&amp;""=설정!$C$5&amp;""),1,0))</f>
        <v>0</v>
      </c>
      <c r="AD542" s="89" t="n">
        <f aca="false">IF(Q542&lt;&gt;1,0,IF(OR(S542=1,IF(AB542="",FALSE(),INDEX(시장분석!$R:$R,AB542)=1)),1,0))</f>
        <v>0</v>
      </c>
      <c r="AE542" s="43" t="str">
        <f aca="false">IF(AB542="","",INDEX(시장분석!$A:$A,AB542))</f>
        <v/>
      </c>
      <c r="AF542" s="93" t="str">
        <f aca="false">IF(AB542="","",IF(ISNUMBER(IF(AB542="","",INDEX(시장분석!$E:$E,AB542))),IF(AB542="","",INDEX(시장분석!$E:$E,AB542)),""))</f>
        <v/>
      </c>
      <c r="AG542" s="43" t="str">
        <f aca="false">IF(Q542&lt;&gt;1,"",IF(AB542&lt;&gt;"",IF(AB542="","",INDEX(시장분석!$L:$L,AB542)),IFERROR(IF(VLOOKUP(R542,매핑!$A$4:$E$92,5,0)="","미분류",VLOOKUP(R542,매핑!$A$4:$E$92,5,0)),"미분류")))</f>
        <v/>
      </c>
      <c r="AH542" s="43" t="str">
        <f aca="false">IF(Q542&lt;&gt;1,"",IF(AB542&lt;&gt;"",IF(AB542="","",INDEX(시장분석!$N:$N,AB542)),IFERROR(IF(VLOOKUP(R542,매핑!$A$4:$E$92,4,0)="","미분류",VLOOKUP(R542,매핑!$A$4:$E$92,4,0)),"미분류")))</f>
        <v/>
      </c>
      <c r="AI542" s="43" t="str">
        <f aca="false">IF(Q542&lt;&gt;1,"",IFERROR(IF(VLOOKUP(R542,매핑!$A$4:$E$92,3,0)="","미분류",VLOOKUP(R542,매핑!$A$4:$E$92,3,0)),IF(AB542&lt;&gt;"",IF(AB542="","",INDEX(시장분석!$W:$W,AB542)),"미분류")))</f>
        <v/>
      </c>
      <c r="AJ542" s="43" t="str">
        <f aca="false">IF(Q542&lt;&gt;1,"",IFERROR(VLOOKUP(IF(N542&lt;&gt;"",N542,IF(P542&lt;&gt;"",P542,O542)),설정!$A$15:$D$47,2,0),""))</f>
        <v/>
      </c>
      <c r="AK542" s="43" t="str">
        <f aca="false">IF(Q542&lt;&gt;1,"",IF(AJ542="","무등급",IFERROR(VLOOKUP(AJ542,설정!$A$15:$D$47,3,0),"무등급")))</f>
        <v/>
      </c>
      <c r="AL542" s="89" t="n">
        <f aca="false">IF(AJ542="",99,IFERROR(VLOOKUP(AJ542,설정!$A$15:$D$47,4,0),99))</f>
        <v>99</v>
      </c>
      <c r="AM542" s="94" t="n">
        <f aca="false">IF(ISNUMBER(H542),AA542*1000000*H542/10000,0)</f>
        <v>0</v>
      </c>
      <c r="AN542" s="94" t="n">
        <f aca="false">IF(OR(Y542=1,NOT(ISNUMBER(Z542))),0,AA542*1000000*Z542/10000)</f>
        <v>0</v>
      </c>
      <c r="AO542" s="94" t="n">
        <f aca="false">IF(ISNUMBER(G542),AA542*1000000*G542/100,0)</f>
        <v>0</v>
      </c>
      <c r="AP542" s="94" t="n">
        <f aca="false">IF(ISNUMBER(M542),M542*K542,0)</f>
        <v>0</v>
      </c>
      <c r="AQ542" s="95" t="str">
        <f aca="false">IF(AB542="","",INDEX(시장분석!$AK:$AK,AB542))</f>
        <v/>
      </c>
      <c r="AR542" s="43" t="str">
        <f aca="false">IF(AB542="","-",IF(AB542="","",INDEX(시장분석!$AL:$AL,AB542)))</f>
        <v>-</v>
      </c>
      <c r="AS542" s="96" t="str">
        <f aca="false">IF(AB542="","",INDEX(시장분석!$AJ:$AJ,AB542))</f>
        <v/>
      </c>
      <c r="AT542" s="93" t="n">
        <f aca="false">IF(AB542="",0,IF(AB542="","",INDEX(시장분석!$AN:$AN,AB542)))</f>
        <v>0</v>
      </c>
      <c r="AU542" s="94" t="n">
        <f aca="false">IF(ISNUMBER(Z542),AT542/10000*MAX(Z542-1,0)*AA542*1000000,0)</f>
        <v>0</v>
      </c>
      <c r="AV542" s="94" t="n">
        <f aca="false">AO542+AU542</f>
        <v>0</v>
      </c>
      <c r="AW542" s="43" t="str">
        <f aca="false">IF(Q542&lt;&gt;1,"",TRIM(IF(AD542=1,"FRN ","")&amp;IF(AND(AL542&gt;=10,AL542&lt;99),"BBB0미만 ","")&amp;IF(AJ542="","등급없음 ","")&amp;IF(K542&lt;&gt;1,"비USD ","")&amp;IF(AND(AB542="",Y542=0),"시장데이터없음 ","")&amp;IF(AND(ISNUMBER(U542),U542&lt;0),"만기경과 ","")))</f>
        <v/>
      </c>
      <c r="AX542" s="90" t="n">
        <f aca="false">IF(Q542&lt;&gt;1,1,IF(스프레드쇼크!$C$4="Y",INDEX(스프레드쇼크!$B$12:$L$16,IFERROR(MATCH(AH542,스프레드쇼크!$A$12:$A$16,0),MATCH("목록외",스프레드쇼크!$A$12:$A$16,0)),IFERROR(MATCH(AG542,스프레드쇼크!$B$11:$L$11,0),MATCH("목록외",스프레드쇼크!$B$11:$L$11,0))),1))</f>
        <v>1</v>
      </c>
      <c r="AY542" s="90" t="n">
        <f aca="false">IF(스프레드쇼크!$C$5="Y",IF(ISNUMBER(AF542),MIN(스프레드쇼크!$C$7,MAX(스프레드쇼크!$C$6,AF542/스프레드쇼크!$C$8)),1),1)</f>
        <v>1</v>
      </c>
      <c r="AZ542" s="94" t="n">
        <f aca="false">AN542*AX542*AY542</f>
        <v>0</v>
      </c>
      <c r="BA542" s="90" t="n">
        <f aca="false">IF(ISNUMBER(G542),AA542*G542,0)</f>
        <v>0</v>
      </c>
      <c r="BB542" s="90" t="n">
        <f aca="false">IF(ISNUMBER(G542),AA542,0)</f>
        <v>0</v>
      </c>
      <c r="BC542" s="90" t="n">
        <f aca="false">IF(AND(Y542=0,ISNUMBER(AF542)),AA542*AF542,0)</f>
        <v>0</v>
      </c>
      <c r="BD542" s="90" t="n">
        <f aca="false">IF(AND(Y542=0,ISNUMBER(AF542)),AA542,0)</f>
        <v>0</v>
      </c>
      <c r="BE542" s="90" t="n">
        <f aca="false">IF(ISNUMBER(H542),AA542*H542,0)</f>
        <v>0</v>
      </c>
      <c r="BF542" s="90" t="n">
        <f aca="false">IF(ISNUMBER(H542),AA542,0)</f>
        <v>0</v>
      </c>
      <c r="BG542" s="90" t="n">
        <f aca="false">IF(AND(Y542=0,ISNUMBER(AF542),ISNUMBER(Z542)),AA542*Z542,0)</f>
        <v>0</v>
      </c>
      <c r="BH542" s="90" t="n">
        <f aca="false">IF(AND(Y542=0,ISNUMBER(AF542),ISNUMBER(Z542)),AA542*AT542*MAX(Z542-1,0),0)</f>
        <v>0</v>
      </c>
      <c r="BI542" s="90" t="n">
        <f aca="false">IF(Y542=0,AA542,0)</f>
        <v>0</v>
      </c>
    </row>
    <row r="543" customFormat="false" ht="15" hidden="false" customHeight="false" outlineLevel="0" collapsed="false">
      <c r="A543" s="83" t="str">
        <f aca="false">IFERROR(IF(INDEX(원자료_잔고!$A$1:$EZ$1500,설정!$L$5+ROW()-1,설정!$L$8)&amp;""="0","",INDEX(원자료_잔고!$A$1:$EZ$1500,설정!$L$5+ROW()-1,설정!$L$8)&amp;""),"")</f>
        <v/>
      </c>
      <c r="B543" s="83" t="str">
        <f aca="false">IFERROR(IF(INDEX(원자료_잔고!$A$1:$EZ$1500,설정!$L$5+ROW()-1,설정!$L$7)&amp;""="0","",INDEX(원자료_잔고!$A$1:$EZ$1500,설정!$L$5+ROW()-1,설정!$L$7)&amp;""),"")</f>
        <v/>
      </c>
      <c r="C543" s="83" t="str">
        <f aca="false">IFERROR(IF(INDEX(원자료_잔고!$A$1:$EZ$1500,설정!$L$5+ROW()-1,설정!$L$9)&amp;""="0","",INDEX(원자료_잔고!$A$1:$EZ$1500,설정!$L$5+ROW()-1,설정!$L$9)&amp;""),"")</f>
        <v/>
      </c>
      <c r="D543" s="83" t="str">
        <f aca="false">IFERROR(IF(INDEX(원자료_잔고!$A$1:$EZ$1500,설정!$L$5+ROW()-1,설정!$L$10)&amp;""="0","",INDEX(원자료_잔고!$A$1:$EZ$1500,설정!$L$5+ROW()-1,설정!$L$10)&amp;""),"")</f>
        <v/>
      </c>
      <c r="E543" s="84" t="str">
        <f aca="false">IFERROR(IF(ISNUMBER(INDEX(원자료_잔고!$A$1:$EZ$1500,설정!$L$5+ROW()-1,설정!$L$11)),INDEX(원자료_잔고!$A$1:$EZ$1500,설정!$L$5+ROW()-1,설정!$L$11),""),"")</f>
        <v/>
      </c>
      <c r="F543" s="85" t="str">
        <f aca="false">IFERROR(IF(ISNUMBER(INDEX(원자료_잔고!$A$1:$EZ$1500,설정!$L$5+ROW()-1,설정!$L$12)),INDEX(원자료_잔고!$A$1:$EZ$1500,설정!$L$5+ROW()-1,설정!$L$12),""),"")</f>
        <v/>
      </c>
      <c r="G543" s="85" t="str">
        <f aca="false">IFERROR(IF(ISNUMBER(INDEX(원자료_잔고!$A$1:$EZ$1500,설정!$L$5+ROW()-1,설정!$L$13)),INDEX(원자료_잔고!$A$1:$EZ$1500,설정!$L$5+ROW()-1,설정!$L$13),""),"")</f>
        <v/>
      </c>
      <c r="H543" s="85" t="str">
        <f aca="false">IFERROR(IF(ISNUMBER(INDEX(원자료_잔고!$A$1:$EZ$1500,설정!$L$5+ROW()-1,설정!$L$14)),INDEX(원자료_잔고!$A$1:$EZ$1500,설정!$L$5+ROW()-1,설정!$L$14),""),"")</f>
        <v/>
      </c>
      <c r="I543" s="86" t="str">
        <f aca="false">IFERROR(IF(ISNUMBER(INDEX(원자료_잔고!$A$1:$EZ$1500,설정!$L$5+ROW()-1,설정!$L$15)),INDEX(원자료_잔고!$A$1:$EZ$1500,설정!$L$5+ROW()-1,설정!$L$15),""),"")</f>
        <v/>
      </c>
      <c r="J543" s="85" t="str">
        <f aca="false">IFERROR(IF(ISNUMBER(INDEX(원자료_잔고!$A$1:$EZ$1500,설정!$L$5+ROW()-1,설정!$L$16)),INDEX(원자료_잔고!$A$1:$EZ$1500,설정!$L$5+ROW()-1,설정!$L$16),""),"")</f>
        <v/>
      </c>
      <c r="K543" s="87" t="str">
        <f aca="false">IFERROR(IF(ISNUMBER(INDEX(원자료_잔고!$A$1:$EZ$1500,설정!$L$5+ROW()-1,설정!$L$17)),INDEX(원자료_잔고!$A$1:$EZ$1500,설정!$L$5+ROW()-1,설정!$L$17),""),"")</f>
        <v/>
      </c>
      <c r="L543" s="84" t="str">
        <f aca="false">IFERROR(IF(ISNUMBER(INDEX(원자료_잔고!$A$1:$EZ$1500,설정!$L$5+ROW()-1,설정!$L$18)),INDEX(원자료_잔고!$A$1:$EZ$1500,설정!$L$5+ROW()-1,설정!$L$18),""),"")</f>
        <v/>
      </c>
      <c r="M543" s="88" t="str">
        <f aca="false">IFERROR(IF(ISNUMBER(INDEX(원자료_잔고!$A$1:$EZ$1500,설정!$L$5+ROW()-1,설정!$L$19)),INDEX(원자료_잔고!$A$1:$EZ$1500,설정!$L$5+ROW()-1,설정!$L$19),""),"")</f>
        <v/>
      </c>
      <c r="N543" s="83" t="str">
        <f aca="false">IFERROR(IF(INDEX(원자료_잔고!$A$1:$EZ$1500,설정!$L$5+ROW()-1,설정!$L$21)&amp;""="0","",INDEX(원자료_잔고!$A$1:$EZ$1500,설정!$L$5+ROW()-1,설정!$L$21)&amp;""),"")</f>
        <v/>
      </c>
      <c r="O543" s="83" t="str">
        <f aca="false">IFERROR(IF(INDEX(원자료_잔고!$A$1:$EZ$1500,설정!$L$5+ROW()-1,설정!$L$22)&amp;""="0","",INDEX(원자료_잔고!$A$1:$EZ$1500,설정!$L$5+ROW()-1,설정!$L$22)&amp;""),"")</f>
        <v/>
      </c>
      <c r="P543" s="83" t="str">
        <f aca="false">IFERROR(IF(INDEX(원자료_잔고!$A$1:$EZ$1500,설정!$L$5+ROW()-1,설정!$L$23)&amp;""="0","",INDEX(원자료_잔고!$A$1:$EZ$1500,설정!$L$5+ROW()-1,설정!$L$23)&amp;""),"")</f>
        <v/>
      </c>
      <c r="Q543" s="89" t="n">
        <f aca="false">IF(AND($A543&lt;&gt;"",ISNUMBER(E543)),IF(E543&gt;0,1,0),0)</f>
        <v>0</v>
      </c>
      <c r="R543" s="43" t="str">
        <f aca="false">IF(Q543=1,UPPER(LEFT($A543,FIND(" ",$A543&amp;" ")-1)),"")</f>
        <v/>
      </c>
      <c r="S543" s="89" t="n">
        <f aca="false">IF(Q543=1,IF(OR(ISNUMBER(SEARCH("Float",$A543)),ISNUMBER(SEARCH("FRN",$A543))),1,0),0)</f>
        <v>0</v>
      </c>
      <c r="T543" s="43" t="str">
        <f aca="false">IF(AND(Q543=1,ISNUMBER(I543)),TEXT(I543,"yyyymmdd")&amp;"|"&amp;IF(S543=1,"F",TEXT(J543,"0.000")),"")</f>
        <v/>
      </c>
      <c r="U543" s="90" t="str">
        <f aca="false">IF(AND(Q543=1,ISNUMBER(I543)),(I543-설정!$C$4)/365.25,"")</f>
        <v/>
      </c>
      <c r="V543" s="43" t="str">
        <f aca="false">IF(Q543&lt;&gt;1,"",IF(ISNUMBER(U543),IF(U543&lt;=1,"1년 이하",IF(U543&lt;=2,"1-2년",IF(U543&lt;=3,"2-3년",IF(U543&lt;=4,"3-4년",IF(U543&lt;=5,"4-5년",IF(U543&lt;=7,"5-7년",IF(U543&lt;=10,"7-10년",IF(U543&lt;=20,"10-20년","20년 이상")))))))),"미분류"))</f>
        <v/>
      </c>
      <c r="W543" s="43" t="str">
        <f aca="false">IF(Q543&lt;&gt;1,"",IF(AB543&lt;&gt;"",INDEX(시장분석!$C:$C,AB543),IF(K543=1,"USD","비USD")))</f>
        <v/>
      </c>
      <c r="X543" s="91" t="n">
        <f aca="false">IF(Q543=1,E543*K543/1000000,0)</f>
        <v>0</v>
      </c>
      <c r="Y543" s="89" t="n">
        <f aca="false">IF(R543="T",1,0)</f>
        <v>0</v>
      </c>
      <c r="Z543" s="92" t="str">
        <f aca="false">IF(Q543&lt;&gt;1,"",IF(AD543=1,IF(ISNUMBER(U543),MAX(U543,0),H543),H543))</f>
        <v/>
      </c>
      <c r="AA543" s="91" t="n">
        <f aca="false">IF(Q543=1,IF(ISNUMBER(L543),L543,0)*K543/1000000,0)</f>
        <v>0</v>
      </c>
      <c r="AB543" s="89" t="str">
        <f aca="false">IF(Q543&lt;&gt;1,"",IFERROR(MATCH(VLOOKUP(B543,매핑!$H$4:$I$15,2,0),시장분석!$A$2:$A$601,0)+1,IFERROR(MATCH(R543&amp;"|"&amp;T543,시장분석!$V$2:$V$601,0)+1,IF(COUNTIF(시장분석!$U$2:$U$601,T543)=1,MATCH(T543,시장분석!$U$2:$U$601,0)+1,""))))</f>
        <v/>
      </c>
      <c r="AC543" s="89" t="n">
        <f aca="false">IF(Q543&lt;&gt;1,0,IF(OR(설정!$C$5="전체",AND(설정!$C$5="선택펀드",IFERROR(COUNTIFS(설정!$F$16:$F$36,C543,설정!$G$16:$G$36,"Y")+COUNTIFS(설정!$F$16:$F$36,VALUE(C543),설정!$G$16:$G$36,"Y"),0)&gt;0),C543&amp;""=설정!$C$5&amp;""),1,0))</f>
        <v>0</v>
      </c>
      <c r="AD543" s="89" t="n">
        <f aca="false">IF(Q543&lt;&gt;1,0,IF(OR(S543=1,IF(AB543="",FALSE(),INDEX(시장분석!$R:$R,AB543)=1)),1,0))</f>
        <v>0</v>
      </c>
      <c r="AE543" s="43" t="str">
        <f aca="false">IF(AB543="","",INDEX(시장분석!$A:$A,AB543))</f>
        <v/>
      </c>
      <c r="AF543" s="93" t="str">
        <f aca="false">IF(AB543="","",IF(ISNUMBER(IF(AB543="","",INDEX(시장분석!$E:$E,AB543))),IF(AB543="","",INDEX(시장분석!$E:$E,AB543)),""))</f>
        <v/>
      </c>
      <c r="AG543" s="43" t="str">
        <f aca="false">IF(Q543&lt;&gt;1,"",IF(AB543&lt;&gt;"",IF(AB543="","",INDEX(시장분석!$L:$L,AB543)),IFERROR(IF(VLOOKUP(R543,매핑!$A$4:$E$92,5,0)="","미분류",VLOOKUP(R543,매핑!$A$4:$E$92,5,0)),"미분류")))</f>
        <v/>
      </c>
      <c r="AH543" s="43" t="str">
        <f aca="false">IF(Q543&lt;&gt;1,"",IF(AB543&lt;&gt;"",IF(AB543="","",INDEX(시장분석!$N:$N,AB543)),IFERROR(IF(VLOOKUP(R543,매핑!$A$4:$E$92,4,0)="","미분류",VLOOKUP(R543,매핑!$A$4:$E$92,4,0)),"미분류")))</f>
        <v/>
      </c>
      <c r="AI543" s="43" t="str">
        <f aca="false">IF(Q543&lt;&gt;1,"",IFERROR(IF(VLOOKUP(R543,매핑!$A$4:$E$92,3,0)="","미분류",VLOOKUP(R543,매핑!$A$4:$E$92,3,0)),IF(AB543&lt;&gt;"",IF(AB543="","",INDEX(시장분석!$W:$W,AB543)),"미분류")))</f>
        <v/>
      </c>
      <c r="AJ543" s="43" t="str">
        <f aca="false">IF(Q543&lt;&gt;1,"",IFERROR(VLOOKUP(IF(N543&lt;&gt;"",N543,IF(P543&lt;&gt;"",P543,O543)),설정!$A$15:$D$47,2,0),""))</f>
        <v/>
      </c>
      <c r="AK543" s="43" t="str">
        <f aca="false">IF(Q543&lt;&gt;1,"",IF(AJ543="","무등급",IFERROR(VLOOKUP(AJ543,설정!$A$15:$D$47,3,0),"무등급")))</f>
        <v/>
      </c>
      <c r="AL543" s="89" t="n">
        <f aca="false">IF(AJ543="",99,IFERROR(VLOOKUP(AJ543,설정!$A$15:$D$47,4,0),99))</f>
        <v>99</v>
      </c>
      <c r="AM543" s="94" t="n">
        <f aca="false">IF(ISNUMBER(H543),AA543*1000000*H543/10000,0)</f>
        <v>0</v>
      </c>
      <c r="AN543" s="94" t="n">
        <f aca="false">IF(OR(Y543=1,NOT(ISNUMBER(Z543))),0,AA543*1000000*Z543/10000)</f>
        <v>0</v>
      </c>
      <c r="AO543" s="94" t="n">
        <f aca="false">IF(ISNUMBER(G543),AA543*1000000*G543/100,0)</f>
        <v>0</v>
      </c>
      <c r="AP543" s="94" t="n">
        <f aca="false">IF(ISNUMBER(M543),M543*K543,0)</f>
        <v>0</v>
      </c>
      <c r="AQ543" s="95" t="str">
        <f aca="false">IF(AB543="","",INDEX(시장분석!$AK:$AK,AB543))</f>
        <v/>
      </c>
      <c r="AR543" s="43" t="str">
        <f aca="false">IF(AB543="","-",IF(AB543="","",INDEX(시장분석!$AL:$AL,AB543)))</f>
        <v>-</v>
      </c>
      <c r="AS543" s="96" t="str">
        <f aca="false">IF(AB543="","",INDEX(시장분석!$AJ:$AJ,AB543))</f>
        <v/>
      </c>
      <c r="AT543" s="93" t="n">
        <f aca="false">IF(AB543="",0,IF(AB543="","",INDEX(시장분석!$AN:$AN,AB543)))</f>
        <v>0</v>
      </c>
      <c r="AU543" s="94" t="n">
        <f aca="false">IF(ISNUMBER(Z543),AT543/10000*MAX(Z543-1,0)*AA543*1000000,0)</f>
        <v>0</v>
      </c>
      <c r="AV543" s="94" t="n">
        <f aca="false">AO543+AU543</f>
        <v>0</v>
      </c>
      <c r="AW543" s="43" t="str">
        <f aca="false">IF(Q543&lt;&gt;1,"",TRIM(IF(AD543=1,"FRN ","")&amp;IF(AND(AL543&gt;=10,AL543&lt;99),"BBB0미만 ","")&amp;IF(AJ543="","등급없음 ","")&amp;IF(K543&lt;&gt;1,"비USD ","")&amp;IF(AND(AB543="",Y543=0),"시장데이터없음 ","")&amp;IF(AND(ISNUMBER(U543),U543&lt;0),"만기경과 ","")))</f>
        <v/>
      </c>
      <c r="AX543" s="90" t="n">
        <f aca="false">IF(Q543&lt;&gt;1,1,IF(스프레드쇼크!$C$4="Y",INDEX(스프레드쇼크!$B$12:$L$16,IFERROR(MATCH(AH543,스프레드쇼크!$A$12:$A$16,0),MATCH("목록외",스프레드쇼크!$A$12:$A$16,0)),IFERROR(MATCH(AG543,스프레드쇼크!$B$11:$L$11,0),MATCH("목록외",스프레드쇼크!$B$11:$L$11,0))),1))</f>
        <v>1</v>
      </c>
      <c r="AY543" s="90" t="n">
        <f aca="false">IF(스프레드쇼크!$C$5="Y",IF(ISNUMBER(AF543),MIN(스프레드쇼크!$C$7,MAX(스프레드쇼크!$C$6,AF543/스프레드쇼크!$C$8)),1),1)</f>
        <v>1</v>
      </c>
      <c r="AZ543" s="94" t="n">
        <f aca="false">AN543*AX543*AY543</f>
        <v>0</v>
      </c>
      <c r="BA543" s="90" t="n">
        <f aca="false">IF(ISNUMBER(G543),AA543*G543,0)</f>
        <v>0</v>
      </c>
      <c r="BB543" s="90" t="n">
        <f aca="false">IF(ISNUMBER(G543),AA543,0)</f>
        <v>0</v>
      </c>
      <c r="BC543" s="90" t="n">
        <f aca="false">IF(AND(Y543=0,ISNUMBER(AF543)),AA543*AF543,0)</f>
        <v>0</v>
      </c>
      <c r="BD543" s="90" t="n">
        <f aca="false">IF(AND(Y543=0,ISNUMBER(AF543)),AA543,0)</f>
        <v>0</v>
      </c>
      <c r="BE543" s="90" t="n">
        <f aca="false">IF(ISNUMBER(H543),AA543*H543,0)</f>
        <v>0</v>
      </c>
      <c r="BF543" s="90" t="n">
        <f aca="false">IF(ISNUMBER(H543),AA543,0)</f>
        <v>0</v>
      </c>
      <c r="BG543" s="90" t="n">
        <f aca="false">IF(AND(Y543=0,ISNUMBER(AF543),ISNUMBER(Z543)),AA543*Z543,0)</f>
        <v>0</v>
      </c>
      <c r="BH543" s="90" t="n">
        <f aca="false">IF(AND(Y543=0,ISNUMBER(AF543),ISNUMBER(Z543)),AA543*AT543*MAX(Z543-1,0),0)</f>
        <v>0</v>
      </c>
      <c r="BI543" s="90" t="n">
        <f aca="false">IF(Y543=0,AA543,0)</f>
        <v>0</v>
      </c>
    </row>
    <row r="544" customFormat="false" ht="15" hidden="false" customHeight="false" outlineLevel="0" collapsed="false">
      <c r="A544" s="83" t="str">
        <f aca="false">IFERROR(IF(INDEX(원자료_잔고!$A$1:$EZ$1500,설정!$L$5+ROW()-1,설정!$L$8)&amp;""="0","",INDEX(원자료_잔고!$A$1:$EZ$1500,설정!$L$5+ROW()-1,설정!$L$8)&amp;""),"")</f>
        <v/>
      </c>
      <c r="B544" s="83" t="str">
        <f aca="false">IFERROR(IF(INDEX(원자료_잔고!$A$1:$EZ$1500,설정!$L$5+ROW()-1,설정!$L$7)&amp;""="0","",INDEX(원자료_잔고!$A$1:$EZ$1500,설정!$L$5+ROW()-1,설정!$L$7)&amp;""),"")</f>
        <v/>
      </c>
      <c r="C544" s="83" t="str">
        <f aca="false">IFERROR(IF(INDEX(원자료_잔고!$A$1:$EZ$1500,설정!$L$5+ROW()-1,설정!$L$9)&amp;""="0","",INDEX(원자료_잔고!$A$1:$EZ$1500,설정!$L$5+ROW()-1,설정!$L$9)&amp;""),"")</f>
        <v/>
      </c>
      <c r="D544" s="83" t="str">
        <f aca="false">IFERROR(IF(INDEX(원자료_잔고!$A$1:$EZ$1500,설정!$L$5+ROW()-1,설정!$L$10)&amp;""="0","",INDEX(원자료_잔고!$A$1:$EZ$1500,설정!$L$5+ROW()-1,설정!$L$10)&amp;""),"")</f>
        <v/>
      </c>
      <c r="E544" s="84" t="str">
        <f aca="false">IFERROR(IF(ISNUMBER(INDEX(원자료_잔고!$A$1:$EZ$1500,설정!$L$5+ROW()-1,설정!$L$11)),INDEX(원자료_잔고!$A$1:$EZ$1500,설정!$L$5+ROW()-1,설정!$L$11),""),"")</f>
        <v/>
      </c>
      <c r="F544" s="85" t="str">
        <f aca="false">IFERROR(IF(ISNUMBER(INDEX(원자료_잔고!$A$1:$EZ$1500,설정!$L$5+ROW()-1,설정!$L$12)),INDEX(원자료_잔고!$A$1:$EZ$1500,설정!$L$5+ROW()-1,설정!$L$12),""),"")</f>
        <v/>
      </c>
      <c r="G544" s="85" t="str">
        <f aca="false">IFERROR(IF(ISNUMBER(INDEX(원자료_잔고!$A$1:$EZ$1500,설정!$L$5+ROW()-1,설정!$L$13)),INDEX(원자료_잔고!$A$1:$EZ$1500,설정!$L$5+ROW()-1,설정!$L$13),""),"")</f>
        <v/>
      </c>
      <c r="H544" s="85" t="str">
        <f aca="false">IFERROR(IF(ISNUMBER(INDEX(원자료_잔고!$A$1:$EZ$1500,설정!$L$5+ROW()-1,설정!$L$14)),INDEX(원자료_잔고!$A$1:$EZ$1500,설정!$L$5+ROW()-1,설정!$L$14),""),"")</f>
        <v/>
      </c>
      <c r="I544" s="86" t="str">
        <f aca="false">IFERROR(IF(ISNUMBER(INDEX(원자료_잔고!$A$1:$EZ$1500,설정!$L$5+ROW()-1,설정!$L$15)),INDEX(원자료_잔고!$A$1:$EZ$1500,설정!$L$5+ROW()-1,설정!$L$15),""),"")</f>
        <v/>
      </c>
      <c r="J544" s="85" t="str">
        <f aca="false">IFERROR(IF(ISNUMBER(INDEX(원자료_잔고!$A$1:$EZ$1500,설정!$L$5+ROW()-1,설정!$L$16)),INDEX(원자료_잔고!$A$1:$EZ$1500,설정!$L$5+ROW()-1,설정!$L$16),""),"")</f>
        <v/>
      </c>
      <c r="K544" s="87" t="str">
        <f aca="false">IFERROR(IF(ISNUMBER(INDEX(원자료_잔고!$A$1:$EZ$1500,설정!$L$5+ROW()-1,설정!$L$17)),INDEX(원자료_잔고!$A$1:$EZ$1500,설정!$L$5+ROW()-1,설정!$L$17),""),"")</f>
        <v/>
      </c>
      <c r="L544" s="84" t="str">
        <f aca="false">IFERROR(IF(ISNUMBER(INDEX(원자료_잔고!$A$1:$EZ$1500,설정!$L$5+ROW()-1,설정!$L$18)),INDEX(원자료_잔고!$A$1:$EZ$1500,설정!$L$5+ROW()-1,설정!$L$18),""),"")</f>
        <v/>
      </c>
      <c r="M544" s="88" t="str">
        <f aca="false">IFERROR(IF(ISNUMBER(INDEX(원자료_잔고!$A$1:$EZ$1500,설정!$L$5+ROW()-1,설정!$L$19)),INDEX(원자료_잔고!$A$1:$EZ$1500,설정!$L$5+ROW()-1,설정!$L$19),""),"")</f>
        <v/>
      </c>
      <c r="N544" s="83" t="str">
        <f aca="false">IFERROR(IF(INDEX(원자료_잔고!$A$1:$EZ$1500,설정!$L$5+ROW()-1,설정!$L$21)&amp;""="0","",INDEX(원자료_잔고!$A$1:$EZ$1500,설정!$L$5+ROW()-1,설정!$L$21)&amp;""),"")</f>
        <v/>
      </c>
      <c r="O544" s="83" t="str">
        <f aca="false">IFERROR(IF(INDEX(원자료_잔고!$A$1:$EZ$1500,설정!$L$5+ROW()-1,설정!$L$22)&amp;""="0","",INDEX(원자료_잔고!$A$1:$EZ$1500,설정!$L$5+ROW()-1,설정!$L$22)&amp;""),"")</f>
        <v/>
      </c>
      <c r="P544" s="83" t="str">
        <f aca="false">IFERROR(IF(INDEX(원자료_잔고!$A$1:$EZ$1500,설정!$L$5+ROW()-1,설정!$L$23)&amp;""="0","",INDEX(원자료_잔고!$A$1:$EZ$1500,설정!$L$5+ROW()-1,설정!$L$23)&amp;""),"")</f>
        <v/>
      </c>
      <c r="Q544" s="89" t="n">
        <f aca="false">IF(AND($A544&lt;&gt;"",ISNUMBER(E544)),IF(E544&gt;0,1,0),0)</f>
        <v>0</v>
      </c>
      <c r="R544" s="43" t="str">
        <f aca="false">IF(Q544=1,UPPER(LEFT($A544,FIND(" ",$A544&amp;" ")-1)),"")</f>
        <v/>
      </c>
      <c r="S544" s="89" t="n">
        <f aca="false">IF(Q544=1,IF(OR(ISNUMBER(SEARCH("Float",$A544)),ISNUMBER(SEARCH("FRN",$A544))),1,0),0)</f>
        <v>0</v>
      </c>
      <c r="T544" s="43" t="str">
        <f aca="false">IF(AND(Q544=1,ISNUMBER(I544)),TEXT(I544,"yyyymmdd")&amp;"|"&amp;IF(S544=1,"F",TEXT(J544,"0.000")),"")</f>
        <v/>
      </c>
      <c r="U544" s="90" t="str">
        <f aca="false">IF(AND(Q544=1,ISNUMBER(I544)),(I544-설정!$C$4)/365.25,"")</f>
        <v/>
      </c>
      <c r="V544" s="43" t="str">
        <f aca="false">IF(Q544&lt;&gt;1,"",IF(ISNUMBER(U544),IF(U544&lt;=1,"1년 이하",IF(U544&lt;=2,"1-2년",IF(U544&lt;=3,"2-3년",IF(U544&lt;=4,"3-4년",IF(U544&lt;=5,"4-5년",IF(U544&lt;=7,"5-7년",IF(U544&lt;=10,"7-10년",IF(U544&lt;=20,"10-20년","20년 이상")))))))),"미분류"))</f>
        <v/>
      </c>
      <c r="W544" s="43" t="str">
        <f aca="false">IF(Q544&lt;&gt;1,"",IF(AB544&lt;&gt;"",INDEX(시장분석!$C:$C,AB544),IF(K544=1,"USD","비USD")))</f>
        <v/>
      </c>
      <c r="X544" s="91" t="n">
        <f aca="false">IF(Q544=1,E544*K544/1000000,0)</f>
        <v>0</v>
      </c>
      <c r="Y544" s="89" t="n">
        <f aca="false">IF(R544="T",1,0)</f>
        <v>0</v>
      </c>
      <c r="Z544" s="92" t="str">
        <f aca="false">IF(Q544&lt;&gt;1,"",IF(AD544=1,IF(ISNUMBER(U544),MAX(U544,0),H544),H544))</f>
        <v/>
      </c>
      <c r="AA544" s="91" t="n">
        <f aca="false">IF(Q544=1,IF(ISNUMBER(L544),L544,0)*K544/1000000,0)</f>
        <v>0</v>
      </c>
      <c r="AB544" s="89" t="str">
        <f aca="false">IF(Q544&lt;&gt;1,"",IFERROR(MATCH(VLOOKUP(B544,매핑!$H$4:$I$15,2,0),시장분석!$A$2:$A$601,0)+1,IFERROR(MATCH(R544&amp;"|"&amp;T544,시장분석!$V$2:$V$601,0)+1,IF(COUNTIF(시장분석!$U$2:$U$601,T544)=1,MATCH(T544,시장분석!$U$2:$U$601,0)+1,""))))</f>
        <v/>
      </c>
      <c r="AC544" s="89" t="n">
        <f aca="false">IF(Q544&lt;&gt;1,0,IF(OR(설정!$C$5="전체",AND(설정!$C$5="선택펀드",IFERROR(COUNTIFS(설정!$F$16:$F$36,C544,설정!$G$16:$G$36,"Y")+COUNTIFS(설정!$F$16:$F$36,VALUE(C544),설정!$G$16:$G$36,"Y"),0)&gt;0),C544&amp;""=설정!$C$5&amp;""),1,0))</f>
        <v>0</v>
      </c>
      <c r="AD544" s="89" t="n">
        <f aca="false">IF(Q544&lt;&gt;1,0,IF(OR(S544=1,IF(AB544="",FALSE(),INDEX(시장분석!$R:$R,AB544)=1)),1,0))</f>
        <v>0</v>
      </c>
      <c r="AE544" s="43" t="str">
        <f aca="false">IF(AB544="","",INDEX(시장분석!$A:$A,AB544))</f>
        <v/>
      </c>
      <c r="AF544" s="93" t="str">
        <f aca="false">IF(AB544="","",IF(ISNUMBER(IF(AB544="","",INDEX(시장분석!$E:$E,AB544))),IF(AB544="","",INDEX(시장분석!$E:$E,AB544)),""))</f>
        <v/>
      </c>
      <c r="AG544" s="43" t="str">
        <f aca="false">IF(Q544&lt;&gt;1,"",IF(AB544&lt;&gt;"",IF(AB544="","",INDEX(시장분석!$L:$L,AB544)),IFERROR(IF(VLOOKUP(R544,매핑!$A$4:$E$92,5,0)="","미분류",VLOOKUP(R544,매핑!$A$4:$E$92,5,0)),"미분류")))</f>
        <v/>
      </c>
      <c r="AH544" s="43" t="str">
        <f aca="false">IF(Q544&lt;&gt;1,"",IF(AB544&lt;&gt;"",IF(AB544="","",INDEX(시장분석!$N:$N,AB544)),IFERROR(IF(VLOOKUP(R544,매핑!$A$4:$E$92,4,0)="","미분류",VLOOKUP(R544,매핑!$A$4:$E$92,4,0)),"미분류")))</f>
        <v/>
      </c>
      <c r="AI544" s="43" t="str">
        <f aca="false">IF(Q544&lt;&gt;1,"",IFERROR(IF(VLOOKUP(R544,매핑!$A$4:$E$92,3,0)="","미분류",VLOOKUP(R544,매핑!$A$4:$E$92,3,0)),IF(AB544&lt;&gt;"",IF(AB544="","",INDEX(시장분석!$W:$W,AB544)),"미분류")))</f>
        <v/>
      </c>
      <c r="AJ544" s="43" t="str">
        <f aca="false">IF(Q544&lt;&gt;1,"",IFERROR(VLOOKUP(IF(N544&lt;&gt;"",N544,IF(P544&lt;&gt;"",P544,O544)),설정!$A$15:$D$47,2,0),""))</f>
        <v/>
      </c>
      <c r="AK544" s="43" t="str">
        <f aca="false">IF(Q544&lt;&gt;1,"",IF(AJ544="","무등급",IFERROR(VLOOKUP(AJ544,설정!$A$15:$D$47,3,0),"무등급")))</f>
        <v/>
      </c>
      <c r="AL544" s="89" t="n">
        <f aca="false">IF(AJ544="",99,IFERROR(VLOOKUP(AJ544,설정!$A$15:$D$47,4,0),99))</f>
        <v>99</v>
      </c>
      <c r="AM544" s="94" t="n">
        <f aca="false">IF(ISNUMBER(H544),AA544*1000000*H544/10000,0)</f>
        <v>0</v>
      </c>
      <c r="AN544" s="94" t="n">
        <f aca="false">IF(OR(Y544=1,NOT(ISNUMBER(Z544))),0,AA544*1000000*Z544/10000)</f>
        <v>0</v>
      </c>
      <c r="AO544" s="94" t="n">
        <f aca="false">IF(ISNUMBER(G544),AA544*1000000*G544/100,0)</f>
        <v>0</v>
      </c>
      <c r="AP544" s="94" t="n">
        <f aca="false">IF(ISNUMBER(M544),M544*K544,0)</f>
        <v>0</v>
      </c>
      <c r="AQ544" s="95" t="str">
        <f aca="false">IF(AB544="","",INDEX(시장분석!$AK:$AK,AB544))</f>
        <v/>
      </c>
      <c r="AR544" s="43" t="str">
        <f aca="false">IF(AB544="","-",IF(AB544="","",INDEX(시장분석!$AL:$AL,AB544)))</f>
        <v>-</v>
      </c>
      <c r="AS544" s="96" t="str">
        <f aca="false">IF(AB544="","",INDEX(시장분석!$AJ:$AJ,AB544))</f>
        <v/>
      </c>
      <c r="AT544" s="93" t="n">
        <f aca="false">IF(AB544="",0,IF(AB544="","",INDEX(시장분석!$AN:$AN,AB544)))</f>
        <v>0</v>
      </c>
      <c r="AU544" s="94" t="n">
        <f aca="false">IF(ISNUMBER(Z544),AT544/10000*MAX(Z544-1,0)*AA544*1000000,0)</f>
        <v>0</v>
      </c>
      <c r="AV544" s="94" t="n">
        <f aca="false">AO544+AU544</f>
        <v>0</v>
      </c>
      <c r="AW544" s="43" t="str">
        <f aca="false">IF(Q544&lt;&gt;1,"",TRIM(IF(AD544=1,"FRN ","")&amp;IF(AND(AL544&gt;=10,AL544&lt;99),"BBB0미만 ","")&amp;IF(AJ544="","등급없음 ","")&amp;IF(K544&lt;&gt;1,"비USD ","")&amp;IF(AND(AB544="",Y544=0),"시장데이터없음 ","")&amp;IF(AND(ISNUMBER(U544),U544&lt;0),"만기경과 ","")))</f>
        <v/>
      </c>
      <c r="AX544" s="90" t="n">
        <f aca="false">IF(Q544&lt;&gt;1,1,IF(스프레드쇼크!$C$4="Y",INDEX(스프레드쇼크!$B$12:$L$16,IFERROR(MATCH(AH544,스프레드쇼크!$A$12:$A$16,0),MATCH("목록외",스프레드쇼크!$A$12:$A$16,0)),IFERROR(MATCH(AG544,스프레드쇼크!$B$11:$L$11,0),MATCH("목록외",스프레드쇼크!$B$11:$L$11,0))),1))</f>
        <v>1</v>
      </c>
      <c r="AY544" s="90" t="n">
        <f aca="false">IF(스프레드쇼크!$C$5="Y",IF(ISNUMBER(AF544),MIN(스프레드쇼크!$C$7,MAX(스프레드쇼크!$C$6,AF544/스프레드쇼크!$C$8)),1),1)</f>
        <v>1</v>
      </c>
      <c r="AZ544" s="94" t="n">
        <f aca="false">AN544*AX544*AY544</f>
        <v>0</v>
      </c>
      <c r="BA544" s="90" t="n">
        <f aca="false">IF(ISNUMBER(G544),AA544*G544,0)</f>
        <v>0</v>
      </c>
      <c r="BB544" s="90" t="n">
        <f aca="false">IF(ISNUMBER(G544),AA544,0)</f>
        <v>0</v>
      </c>
      <c r="BC544" s="90" t="n">
        <f aca="false">IF(AND(Y544=0,ISNUMBER(AF544)),AA544*AF544,0)</f>
        <v>0</v>
      </c>
      <c r="BD544" s="90" t="n">
        <f aca="false">IF(AND(Y544=0,ISNUMBER(AF544)),AA544,0)</f>
        <v>0</v>
      </c>
      <c r="BE544" s="90" t="n">
        <f aca="false">IF(ISNUMBER(H544),AA544*H544,0)</f>
        <v>0</v>
      </c>
      <c r="BF544" s="90" t="n">
        <f aca="false">IF(ISNUMBER(H544),AA544,0)</f>
        <v>0</v>
      </c>
      <c r="BG544" s="90" t="n">
        <f aca="false">IF(AND(Y544=0,ISNUMBER(AF544),ISNUMBER(Z544)),AA544*Z544,0)</f>
        <v>0</v>
      </c>
      <c r="BH544" s="90" t="n">
        <f aca="false">IF(AND(Y544=0,ISNUMBER(AF544),ISNUMBER(Z544)),AA544*AT544*MAX(Z544-1,0),0)</f>
        <v>0</v>
      </c>
      <c r="BI544" s="90" t="n">
        <f aca="false">IF(Y544=0,AA544,0)</f>
        <v>0</v>
      </c>
    </row>
    <row r="545" customFormat="false" ht="15" hidden="false" customHeight="false" outlineLevel="0" collapsed="false">
      <c r="A545" s="83" t="str">
        <f aca="false">IFERROR(IF(INDEX(원자료_잔고!$A$1:$EZ$1500,설정!$L$5+ROW()-1,설정!$L$8)&amp;""="0","",INDEX(원자료_잔고!$A$1:$EZ$1500,설정!$L$5+ROW()-1,설정!$L$8)&amp;""),"")</f>
        <v/>
      </c>
      <c r="B545" s="83" t="str">
        <f aca="false">IFERROR(IF(INDEX(원자료_잔고!$A$1:$EZ$1500,설정!$L$5+ROW()-1,설정!$L$7)&amp;""="0","",INDEX(원자료_잔고!$A$1:$EZ$1500,설정!$L$5+ROW()-1,설정!$L$7)&amp;""),"")</f>
        <v/>
      </c>
      <c r="C545" s="83" t="str">
        <f aca="false">IFERROR(IF(INDEX(원자료_잔고!$A$1:$EZ$1500,설정!$L$5+ROW()-1,설정!$L$9)&amp;""="0","",INDEX(원자료_잔고!$A$1:$EZ$1500,설정!$L$5+ROW()-1,설정!$L$9)&amp;""),"")</f>
        <v/>
      </c>
      <c r="D545" s="83" t="str">
        <f aca="false">IFERROR(IF(INDEX(원자료_잔고!$A$1:$EZ$1500,설정!$L$5+ROW()-1,설정!$L$10)&amp;""="0","",INDEX(원자료_잔고!$A$1:$EZ$1500,설정!$L$5+ROW()-1,설정!$L$10)&amp;""),"")</f>
        <v/>
      </c>
      <c r="E545" s="84" t="str">
        <f aca="false">IFERROR(IF(ISNUMBER(INDEX(원자료_잔고!$A$1:$EZ$1500,설정!$L$5+ROW()-1,설정!$L$11)),INDEX(원자료_잔고!$A$1:$EZ$1500,설정!$L$5+ROW()-1,설정!$L$11),""),"")</f>
        <v/>
      </c>
      <c r="F545" s="85" t="str">
        <f aca="false">IFERROR(IF(ISNUMBER(INDEX(원자료_잔고!$A$1:$EZ$1500,설정!$L$5+ROW()-1,설정!$L$12)),INDEX(원자료_잔고!$A$1:$EZ$1500,설정!$L$5+ROW()-1,설정!$L$12),""),"")</f>
        <v/>
      </c>
      <c r="G545" s="85" t="str">
        <f aca="false">IFERROR(IF(ISNUMBER(INDEX(원자료_잔고!$A$1:$EZ$1500,설정!$L$5+ROW()-1,설정!$L$13)),INDEX(원자료_잔고!$A$1:$EZ$1500,설정!$L$5+ROW()-1,설정!$L$13),""),"")</f>
        <v/>
      </c>
      <c r="H545" s="85" t="str">
        <f aca="false">IFERROR(IF(ISNUMBER(INDEX(원자료_잔고!$A$1:$EZ$1500,설정!$L$5+ROW()-1,설정!$L$14)),INDEX(원자료_잔고!$A$1:$EZ$1500,설정!$L$5+ROW()-1,설정!$L$14),""),"")</f>
        <v/>
      </c>
      <c r="I545" s="86" t="str">
        <f aca="false">IFERROR(IF(ISNUMBER(INDEX(원자료_잔고!$A$1:$EZ$1500,설정!$L$5+ROW()-1,설정!$L$15)),INDEX(원자료_잔고!$A$1:$EZ$1500,설정!$L$5+ROW()-1,설정!$L$15),""),"")</f>
        <v/>
      </c>
      <c r="J545" s="85" t="str">
        <f aca="false">IFERROR(IF(ISNUMBER(INDEX(원자료_잔고!$A$1:$EZ$1500,설정!$L$5+ROW()-1,설정!$L$16)),INDEX(원자료_잔고!$A$1:$EZ$1500,설정!$L$5+ROW()-1,설정!$L$16),""),"")</f>
        <v/>
      </c>
      <c r="K545" s="87" t="str">
        <f aca="false">IFERROR(IF(ISNUMBER(INDEX(원자료_잔고!$A$1:$EZ$1500,설정!$L$5+ROW()-1,설정!$L$17)),INDEX(원자료_잔고!$A$1:$EZ$1500,설정!$L$5+ROW()-1,설정!$L$17),""),"")</f>
        <v/>
      </c>
      <c r="L545" s="84" t="str">
        <f aca="false">IFERROR(IF(ISNUMBER(INDEX(원자료_잔고!$A$1:$EZ$1500,설정!$L$5+ROW()-1,설정!$L$18)),INDEX(원자료_잔고!$A$1:$EZ$1500,설정!$L$5+ROW()-1,설정!$L$18),""),"")</f>
        <v/>
      </c>
      <c r="M545" s="88" t="str">
        <f aca="false">IFERROR(IF(ISNUMBER(INDEX(원자료_잔고!$A$1:$EZ$1500,설정!$L$5+ROW()-1,설정!$L$19)),INDEX(원자료_잔고!$A$1:$EZ$1500,설정!$L$5+ROW()-1,설정!$L$19),""),"")</f>
        <v/>
      </c>
      <c r="N545" s="83" t="str">
        <f aca="false">IFERROR(IF(INDEX(원자료_잔고!$A$1:$EZ$1500,설정!$L$5+ROW()-1,설정!$L$21)&amp;""="0","",INDEX(원자료_잔고!$A$1:$EZ$1500,설정!$L$5+ROW()-1,설정!$L$21)&amp;""),"")</f>
        <v/>
      </c>
      <c r="O545" s="83" t="str">
        <f aca="false">IFERROR(IF(INDEX(원자료_잔고!$A$1:$EZ$1500,설정!$L$5+ROW()-1,설정!$L$22)&amp;""="0","",INDEX(원자료_잔고!$A$1:$EZ$1500,설정!$L$5+ROW()-1,설정!$L$22)&amp;""),"")</f>
        <v/>
      </c>
      <c r="P545" s="83" t="str">
        <f aca="false">IFERROR(IF(INDEX(원자료_잔고!$A$1:$EZ$1500,설정!$L$5+ROW()-1,설정!$L$23)&amp;""="0","",INDEX(원자료_잔고!$A$1:$EZ$1500,설정!$L$5+ROW()-1,설정!$L$23)&amp;""),"")</f>
        <v/>
      </c>
      <c r="Q545" s="89" t="n">
        <f aca="false">IF(AND($A545&lt;&gt;"",ISNUMBER(E545)),IF(E545&gt;0,1,0),0)</f>
        <v>0</v>
      </c>
      <c r="R545" s="43" t="str">
        <f aca="false">IF(Q545=1,UPPER(LEFT($A545,FIND(" ",$A545&amp;" ")-1)),"")</f>
        <v/>
      </c>
      <c r="S545" s="89" t="n">
        <f aca="false">IF(Q545=1,IF(OR(ISNUMBER(SEARCH("Float",$A545)),ISNUMBER(SEARCH("FRN",$A545))),1,0),0)</f>
        <v>0</v>
      </c>
      <c r="T545" s="43" t="str">
        <f aca="false">IF(AND(Q545=1,ISNUMBER(I545)),TEXT(I545,"yyyymmdd")&amp;"|"&amp;IF(S545=1,"F",TEXT(J545,"0.000")),"")</f>
        <v/>
      </c>
      <c r="U545" s="90" t="str">
        <f aca="false">IF(AND(Q545=1,ISNUMBER(I545)),(I545-설정!$C$4)/365.25,"")</f>
        <v/>
      </c>
      <c r="V545" s="43" t="str">
        <f aca="false">IF(Q545&lt;&gt;1,"",IF(ISNUMBER(U545),IF(U545&lt;=1,"1년 이하",IF(U545&lt;=2,"1-2년",IF(U545&lt;=3,"2-3년",IF(U545&lt;=4,"3-4년",IF(U545&lt;=5,"4-5년",IF(U545&lt;=7,"5-7년",IF(U545&lt;=10,"7-10년",IF(U545&lt;=20,"10-20년","20년 이상")))))))),"미분류"))</f>
        <v/>
      </c>
      <c r="W545" s="43" t="str">
        <f aca="false">IF(Q545&lt;&gt;1,"",IF(AB545&lt;&gt;"",INDEX(시장분석!$C:$C,AB545),IF(K545=1,"USD","비USD")))</f>
        <v/>
      </c>
      <c r="X545" s="91" t="n">
        <f aca="false">IF(Q545=1,E545*K545/1000000,0)</f>
        <v>0</v>
      </c>
      <c r="Y545" s="89" t="n">
        <f aca="false">IF(R545="T",1,0)</f>
        <v>0</v>
      </c>
      <c r="Z545" s="92" t="str">
        <f aca="false">IF(Q545&lt;&gt;1,"",IF(AD545=1,IF(ISNUMBER(U545),MAX(U545,0),H545),H545))</f>
        <v/>
      </c>
      <c r="AA545" s="91" t="n">
        <f aca="false">IF(Q545=1,IF(ISNUMBER(L545),L545,0)*K545/1000000,0)</f>
        <v>0</v>
      </c>
      <c r="AB545" s="89" t="str">
        <f aca="false">IF(Q545&lt;&gt;1,"",IFERROR(MATCH(VLOOKUP(B545,매핑!$H$4:$I$15,2,0),시장분석!$A$2:$A$601,0)+1,IFERROR(MATCH(R545&amp;"|"&amp;T545,시장분석!$V$2:$V$601,0)+1,IF(COUNTIF(시장분석!$U$2:$U$601,T545)=1,MATCH(T545,시장분석!$U$2:$U$601,0)+1,""))))</f>
        <v/>
      </c>
      <c r="AC545" s="89" t="n">
        <f aca="false">IF(Q545&lt;&gt;1,0,IF(OR(설정!$C$5="전체",AND(설정!$C$5="선택펀드",IFERROR(COUNTIFS(설정!$F$16:$F$36,C545,설정!$G$16:$G$36,"Y")+COUNTIFS(설정!$F$16:$F$36,VALUE(C545),설정!$G$16:$G$36,"Y"),0)&gt;0),C545&amp;""=설정!$C$5&amp;""),1,0))</f>
        <v>0</v>
      </c>
      <c r="AD545" s="89" t="n">
        <f aca="false">IF(Q545&lt;&gt;1,0,IF(OR(S545=1,IF(AB545="",FALSE(),INDEX(시장분석!$R:$R,AB545)=1)),1,0))</f>
        <v>0</v>
      </c>
      <c r="AE545" s="43" t="str">
        <f aca="false">IF(AB545="","",INDEX(시장분석!$A:$A,AB545))</f>
        <v/>
      </c>
      <c r="AF545" s="93" t="str">
        <f aca="false">IF(AB545="","",IF(ISNUMBER(IF(AB545="","",INDEX(시장분석!$E:$E,AB545))),IF(AB545="","",INDEX(시장분석!$E:$E,AB545)),""))</f>
        <v/>
      </c>
      <c r="AG545" s="43" t="str">
        <f aca="false">IF(Q545&lt;&gt;1,"",IF(AB545&lt;&gt;"",IF(AB545="","",INDEX(시장분석!$L:$L,AB545)),IFERROR(IF(VLOOKUP(R545,매핑!$A$4:$E$92,5,0)="","미분류",VLOOKUP(R545,매핑!$A$4:$E$92,5,0)),"미분류")))</f>
        <v/>
      </c>
      <c r="AH545" s="43" t="str">
        <f aca="false">IF(Q545&lt;&gt;1,"",IF(AB545&lt;&gt;"",IF(AB545="","",INDEX(시장분석!$N:$N,AB545)),IFERROR(IF(VLOOKUP(R545,매핑!$A$4:$E$92,4,0)="","미분류",VLOOKUP(R545,매핑!$A$4:$E$92,4,0)),"미분류")))</f>
        <v/>
      </c>
      <c r="AI545" s="43" t="str">
        <f aca="false">IF(Q545&lt;&gt;1,"",IFERROR(IF(VLOOKUP(R545,매핑!$A$4:$E$92,3,0)="","미분류",VLOOKUP(R545,매핑!$A$4:$E$92,3,0)),IF(AB545&lt;&gt;"",IF(AB545="","",INDEX(시장분석!$W:$W,AB545)),"미분류")))</f>
        <v/>
      </c>
      <c r="AJ545" s="43" t="str">
        <f aca="false">IF(Q545&lt;&gt;1,"",IFERROR(VLOOKUP(IF(N545&lt;&gt;"",N545,IF(P545&lt;&gt;"",P545,O545)),설정!$A$15:$D$47,2,0),""))</f>
        <v/>
      </c>
      <c r="AK545" s="43" t="str">
        <f aca="false">IF(Q545&lt;&gt;1,"",IF(AJ545="","무등급",IFERROR(VLOOKUP(AJ545,설정!$A$15:$D$47,3,0),"무등급")))</f>
        <v/>
      </c>
      <c r="AL545" s="89" t="n">
        <f aca="false">IF(AJ545="",99,IFERROR(VLOOKUP(AJ545,설정!$A$15:$D$47,4,0),99))</f>
        <v>99</v>
      </c>
      <c r="AM545" s="94" t="n">
        <f aca="false">IF(ISNUMBER(H545),AA545*1000000*H545/10000,0)</f>
        <v>0</v>
      </c>
      <c r="AN545" s="94" t="n">
        <f aca="false">IF(OR(Y545=1,NOT(ISNUMBER(Z545))),0,AA545*1000000*Z545/10000)</f>
        <v>0</v>
      </c>
      <c r="AO545" s="94" t="n">
        <f aca="false">IF(ISNUMBER(G545),AA545*1000000*G545/100,0)</f>
        <v>0</v>
      </c>
      <c r="AP545" s="94" t="n">
        <f aca="false">IF(ISNUMBER(M545),M545*K545,0)</f>
        <v>0</v>
      </c>
      <c r="AQ545" s="95" t="str">
        <f aca="false">IF(AB545="","",INDEX(시장분석!$AK:$AK,AB545))</f>
        <v/>
      </c>
      <c r="AR545" s="43" t="str">
        <f aca="false">IF(AB545="","-",IF(AB545="","",INDEX(시장분석!$AL:$AL,AB545)))</f>
        <v>-</v>
      </c>
      <c r="AS545" s="96" t="str">
        <f aca="false">IF(AB545="","",INDEX(시장분석!$AJ:$AJ,AB545))</f>
        <v/>
      </c>
      <c r="AT545" s="93" t="n">
        <f aca="false">IF(AB545="",0,IF(AB545="","",INDEX(시장분석!$AN:$AN,AB545)))</f>
        <v>0</v>
      </c>
      <c r="AU545" s="94" t="n">
        <f aca="false">IF(ISNUMBER(Z545),AT545/10000*MAX(Z545-1,0)*AA545*1000000,0)</f>
        <v>0</v>
      </c>
      <c r="AV545" s="94" t="n">
        <f aca="false">AO545+AU545</f>
        <v>0</v>
      </c>
      <c r="AW545" s="43" t="str">
        <f aca="false">IF(Q545&lt;&gt;1,"",TRIM(IF(AD545=1,"FRN ","")&amp;IF(AND(AL545&gt;=10,AL545&lt;99),"BBB0미만 ","")&amp;IF(AJ545="","등급없음 ","")&amp;IF(K545&lt;&gt;1,"비USD ","")&amp;IF(AND(AB545="",Y545=0),"시장데이터없음 ","")&amp;IF(AND(ISNUMBER(U545),U545&lt;0),"만기경과 ","")))</f>
        <v/>
      </c>
      <c r="AX545" s="90" t="n">
        <f aca="false">IF(Q545&lt;&gt;1,1,IF(스프레드쇼크!$C$4="Y",INDEX(스프레드쇼크!$B$12:$L$16,IFERROR(MATCH(AH545,스프레드쇼크!$A$12:$A$16,0),MATCH("목록외",스프레드쇼크!$A$12:$A$16,0)),IFERROR(MATCH(AG545,스프레드쇼크!$B$11:$L$11,0),MATCH("목록외",스프레드쇼크!$B$11:$L$11,0))),1))</f>
        <v>1</v>
      </c>
      <c r="AY545" s="90" t="n">
        <f aca="false">IF(스프레드쇼크!$C$5="Y",IF(ISNUMBER(AF545),MIN(스프레드쇼크!$C$7,MAX(스프레드쇼크!$C$6,AF545/스프레드쇼크!$C$8)),1),1)</f>
        <v>1</v>
      </c>
      <c r="AZ545" s="94" t="n">
        <f aca="false">AN545*AX545*AY545</f>
        <v>0</v>
      </c>
      <c r="BA545" s="90" t="n">
        <f aca="false">IF(ISNUMBER(G545),AA545*G545,0)</f>
        <v>0</v>
      </c>
      <c r="BB545" s="90" t="n">
        <f aca="false">IF(ISNUMBER(G545),AA545,0)</f>
        <v>0</v>
      </c>
      <c r="BC545" s="90" t="n">
        <f aca="false">IF(AND(Y545=0,ISNUMBER(AF545)),AA545*AF545,0)</f>
        <v>0</v>
      </c>
      <c r="BD545" s="90" t="n">
        <f aca="false">IF(AND(Y545=0,ISNUMBER(AF545)),AA545,0)</f>
        <v>0</v>
      </c>
      <c r="BE545" s="90" t="n">
        <f aca="false">IF(ISNUMBER(H545),AA545*H545,0)</f>
        <v>0</v>
      </c>
      <c r="BF545" s="90" t="n">
        <f aca="false">IF(ISNUMBER(H545),AA545,0)</f>
        <v>0</v>
      </c>
      <c r="BG545" s="90" t="n">
        <f aca="false">IF(AND(Y545=0,ISNUMBER(AF545),ISNUMBER(Z545)),AA545*Z545,0)</f>
        <v>0</v>
      </c>
      <c r="BH545" s="90" t="n">
        <f aca="false">IF(AND(Y545=0,ISNUMBER(AF545),ISNUMBER(Z545)),AA545*AT545*MAX(Z545-1,0),0)</f>
        <v>0</v>
      </c>
      <c r="BI545" s="90" t="n">
        <f aca="false">IF(Y545=0,AA545,0)</f>
        <v>0</v>
      </c>
    </row>
    <row r="546" customFormat="false" ht="15" hidden="false" customHeight="false" outlineLevel="0" collapsed="false">
      <c r="A546" s="83" t="str">
        <f aca="false">IFERROR(IF(INDEX(원자료_잔고!$A$1:$EZ$1500,설정!$L$5+ROW()-1,설정!$L$8)&amp;""="0","",INDEX(원자료_잔고!$A$1:$EZ$1500,설정!$L$5+ROW()-1,설정!$L$8)&amp;""),"")</f>
        <v/>
      </c>
      <c r="B546" s="83" t="str">
        <f aca="false">IFERROR(IF(INDEX(원자료_잔고!$A$1:$EZ$1500,설정!$L$5+ROW()-1,설정!$L$7)&amp;""="0","",INDEX(원자료_잔고!$A$1:$EZ$1500,설정!$L$5+ROW()-1,설정!$L$7)&amp;""),"")</f>
        <v/>
      </c>
      <c r="C546" s="83" t="str">
        <f aca="false">IFERROR(IF(INDEX(원자료_잔고!$A$1:$EZ$1500,설정!$L$5+ROW()-1,설정!$L$9)&amp;""="0","",INDEX(원자료_잔고!$A$1:$EZ$1500,설정!$L$5+ROW()-1,설정!$L$9)&amp;""),"")</f>
        <v/>
      </c>
      <c r="D546" s="83" t="str">
        <f aca="false">IFERROR(IF(INDEX(원자료_잔고!$A$1:$EZ$1500,설정!$L$5+ROW()-1,설정!$L$10)&amp;""="0","",INDEX(원자료_잔고!$A$1:$EZ$1500,설정!$L$5+ROW()-1,설정!$L$10)&amp;""),"")</f>
        <v/>
      </c>
      <c r="E546" s="84" t="str">
        <f aca="false">IFERROR(IF(ISNUMBER(INDEX(원자료_잔고!$A$1:$EZ$1500,설정!$L$5+ROW()-1,설정!$L$11)),INDEX(원자료_잔고!$A$1:$EZ$1500,설정!$L$5+ROW()-1,설정!$L$11),""),"")</f>
        <v/>
      </c>
      <c r="F546" s="85" t="str">
        <f aca="false">IFERROR(IF(ISNUMBER(INDEX(원자료_잔고!$A$1:$EZ$1500,설정!$L$5+ROW()-1,설정!$L$12)),INDEX(원자료_잔고!$A$1:$EZ$1500,설정!$L$5+ROW()-1,설정!$L$12),""),"")</f>
        <v/>
      </c>
      <c r="G546" s="85" t="str">
        <f aca="false">IFERROR(IF(ISNUMBER(INDEX(원자료_잔고!$A$1:$EZ$1500,설정!$L$5+ROW()-1,설정!$L$13)),INDEX(원자료_잔고!$A$1:$EZ$1500,설정!$L$5+ROW()-1,설정!$L$13),""),"")</f>
        <v/>
      </c>
      <c r="H546" s="85" t="str">
        <f aca="false">IFERROR(IF(ISNUMBER(INDEX(원자료_잔고!$A$1:$EZ$1500,설정!$L$5+ROW()-1,설정!$L$14)),INDEX(원자료_잔고!$A$1:$EZ$1500,설정!$L$5+ROW()-1,설정!$L$14),""),"")</f>
        <v/>
      </c>
      <c r="I546" s="86" t="str">
        <f aca="false">IFERROR(IF(ISNUMBER(INDEX(원자료_잔고!$A$1:$EZ$1500,설정!$L$5+ROW()-1,설정!$L$15)),INDEX(원자료_잔고!$A$1:$EZ$1500,설정!$L$5+ROW()-1,설정!$L$15),""),"")</f>
        <v/>
      </c>
      <c r="J546" s="85" t="str">
        <f aca="false">IFERROR(IF(ISNUMBER(INDEX(원자료_잔고!$A$1:$EZ$1500,설정!$L$5+ROW()-1,설정!$L$16)),INDEX(원자료_잔고!$A$1:$EZ$1500,설정!$L$5+ROW()-1,설정!$L$16),""),"")</f>
        <v/>
      </c>
      <c r="K546" s="87" t="str">
        <f aca="false">IFERROR(IF(ISNUMBER(INDEX(원자료_잔고!$A$1:$EZ$1500,설정!$L$5+ROW()-1,설정!$L$17)),INDEX(원자료_잔고!$A$1:$EZ$1500,설정!$L$5+ROW()-1,설정!$L$17),""),"")</f>
        <v/>
      </c>
      <c r="L546" s="84" t="str">
        <f aca="false">IFERROR(IF(ISNUMBER(INDEX(원자료_잔고!$A$1:$EZ$1500,설정!$L$5+ROW()-1,설정!$L$18)),INDEX(원자료_잔고!$A$1:$EZ$1500,설정!$L$5+ROW()-1,설정!$L$18),""),"")</f>
        <v/>
      </c>
      <c r="M546" s="88" t="str">
        <f aca="false">IFERROR(IF(ISNUMBER(INDEX(원자료_잔고!$A$1:$EZ$1500,설정!$L$5+ROW()-1,설정!$L$19)),INDEX(원자료_잔고!$A$1:$EZ$1500,설정!$L$5+ROW()-1,설정!$L$19),""),"")</f>
        <v/>
      </c>
      <c r="N546" s="83" t="str">
        <f aca="false">IFERROR(IF(INDEX(원자료_잔고!$A$1:$EZ$1500,설정!$L$5+ROW()-1,설정!$L$21)&amp;""="0","",INDEX(원자료_잔고!$A$1:$EZ$1500,설정!$L$5+ROW()-1,설정!$L$21)&amp;""),"")</f>
        <v/>
      </c>
      <c r="O546" s="83" t="str">
        <f aca="false">IFERROR(IF(INDEX(원자료_잔고!$A$1:$EZ$1500,설정!$L$5+ROW()-1,설정!$L$22)&amp;""="0","",INDEX(원자료_잔고!$A$1:$EZ$1500,설정!$L$5+ROW()-1,설정!$L$22)&amp;""),"")</f>
        <v/>
      </c>
      <c r="P546" s="83" t="str">
        <f aca="false">IFERROR(IF(INDEX(원자료_잔고!$A$1:$EZ$1500,설정!$L$5+ROW()-1,설정!$L$23)&amp;""="0","",INDEX(원자료_잔고!$A$1:$EZ$1500,설정!$L$5+ROW()-1,설정!$L$23)&amp;""),"")</f>
        <v/>
      </c>
      <c r="Q546" s="89" t="n">
        <f aca="false">IF(AND($A546&lt;&gt;"",ISNUMBER(E546)),IF(E546&gt;0,1,0),0)</f>
        <v>0</v>
      </c>
      <c r="R546" s="43" t="str">
        <f aca="false">IF(Q546=1,UPPER(LEFT($A546,FIND(" ",$A546&amp;" ")-1)),"")</f>
        <v/>
      </c>
      <c r="S546" s="89" t="n">
        <f aca="false">IF(Q546=1,IF(OR(ISNUMBER(SEARCH("Float",$A546)),ISNUMBER(SEARCH("FRN",$A546))),1,0),0)</f>
        <v>0</v>
      </c>
      <c r="T546" s="43" t="str">
        <f aca="false">IF(AND(Q546=1,ISNUMBER(I546)),TEXT(I546,"yyyymmdd")&amp;"|"&amp;IF(S546=1,"F",TEXT(J546,"0.000")),"")</f>
        <v/>
      </c>
      <c r="U546" s="90" t="str">
        <f aca="false">IF(AND(Q546=1,ISNUMBER(I546)),(I546-설정!$C$4)/365.25,"")</f>
        <v/>
      </c>
      <c r="V546" s="43" t="str">
        <f aca="false">IF(Q546&lt;&gt;1,"",IF(ISNUMBER(U546),IF(U546&lt;=1,"1년 이하",IF(U546&lt;=2,"1-2년",IF(U546&lt;=3,"2-3년",IF(U546&lt;=4,"3-4년",IF(U546&lt;=5,"4-5년",IF(U546&lt;=7,"5-7년",IF(U546&lt;=10,"7-10년",IF(U546&lt;=20,"10-20년","20년 이상")))))))),"미분류"))</f>
        <v/>
      </c>
      <c r="W546" s="43" t="str">
        <f aca="false">IF(Q546&lt;&gt;1,"",IF(AB546&lt;&gt;"",INDEX(시장분석!$C:$C,AB546),IF(K546=1,"USD","비USD")))</f>
        <v/>
      </c>
      <c r="X546" s="91" t="n">
        <f aca="false">IF(Q546=1,E546*K546/1000000,0)</f>
        <v>0</v>
      </c>
      <c r="Y546" s="89" t="n">
        <f aca="false">IF(R546="T",1,0)</f>
        <v>0</v>
      </c>
      <c r="Z546" s="92" t="str">
        <f aca="false">IF(Q546&lt;&gt;1,"",IF(AD546=1,IF(ISNUMBER(U546),MAX(U546,0),H546),H546))</f>
        <v/>
      </c>
      <c r="AA546" s="91" t="n">
        <f aca="false">IF(Q546=1,IF(ISNUMBER(L546),L546,0)*K546/1000000,0)</f>
        <v>0</v>
      </c>
      <c r="AB546" s="89" t="str">
        <f aca="false">IF(Q546&lt;&gt;1,"",IFERROR(MATCH(VLOOKUP(B546,매핑!$H$4:$I$15,2,0),시장분석!$A$2:$A$601,0)+1,IFERROR(MATCH(R546&amp;"|"&amp;T546,시장분석!$V$2:$V$601,0)+1,IF(COUNTIF(시장분석!$U$2:$U$601,T546)=1,MATCH(T546,시장분석!$U$2:$U$601,0)+1,""))))</f>
        <v/>
      </c>
      <c r="AC546" s="89" t="n">
        <f aca="false">IF(Q546&lt;&gt;1,0,IF(OR(설정!$C$5="전체",AND(설정!$C$5="선택펀드",IFERROR(COUNTIFS(설정!$F$16:$F$36,C546,설정!$G$16:$G$36,"Y")+COUNTIFS(설정!$F$16:$F$36,VALUE(C546),설정!$G$16:$G$36,"Y"),0)&gt;0),C546&amp;""=설정!$C$5&amp;""),1,0))</f>
        <v>0</v>
      </c>
      <c r="AD546" s="89" t="n">
        <f aca="false">IF(Q546&lt;&gt;1,0,IF(OR(S546=1,IF(AB546="",FALSE(),INDEX(시장분석!$R:$R,AB546)=1)),1,0))</f>
        <v>0</v>
      </c>
      <c r="AE546" s="43" t="str">
        <f aca="false">IF(AB546="","",INDEX(시장분석!$A:$A,AB546))</f>
        <v/>
      </c>
      <c r="AF546" s="93" t="str">
        <f aca="false">IF(AB546="","",IF(ISNUMBER(IF(AB546="","",INDEX(시장분석!$E:$E,AB546))),IF(AB546="","",INDEX(시장분석!$E:$E,AB546)),""))</f>
        <v/>
      </c>
      <c r="AG546" s="43" t="str">
        <f aca="false">IF(Q546&lt;&gt;1,"",IF(AB546&lt;&gt;"",IF(AB546="","",INDEX(시장분석!$L:$L,AB546)),IFERROR(IF(VLOOKUP(R546,매핑!$A$4:$E$92,5,0)="","미분류",VLOOKUP(R546,매핑!$A$4:$E$92,5,0)),"미분류")))</f>
        <v/>
      </c>
      <c r="AH546" s="43" t="str">
        <f aca="false">IF(Q546&lt;&gt;1,"",IF(AB546&lt;&gt;"",IF(AB546="","",INDEX(시장분석!$N:$N,AB546)),IFERROR(IF(VLOOKUP(R546,매핑!$A$4:$E$92,4,0)="","미분류",VLOOKUP(R546,매핑!$A$4:$E$92,4,0)),"미분류")))</f>
        <v/>
      </c>
      <c r="AI546" s="43" t="str">
        <f aca="false">IF(Q546&lt;&gt;1,"",IFERROR(IF(VLOOKUP(R546,매핑!$A$4:$E$92,3,0)="","미분류",VLOOKUP(R546,매핑!$A$4:$E$92,3,0)),IF(AB546&lt;&gt;"",IF(AB546="","",INDEX(시장분석!$W:$W,AB546)),"미분류")))</f>
        <v/>
      </c>
      <c r="AJ546" s="43" t="str">
        <f aca="false">IF(Q546&lt;&gt;1,"",IFERROR(VLOOKUP(IF(N546&lt;&gt;"",N546,IF(P546&lt;&gt;"",P546,O546)),설정!$A$15:$D$47,2,0),""))</f>
        <v/>
      </c>
      <c r="AK546" s="43" t="str">
        <f aca="false">IF(Q546&lt;&gt;1,"",IF(AJ546="","무등급",IFERROR(VLOOKUP(AJ546,설정!$A$15:$D$47,3,0),"무등급")))</f>
        <v/>
      </c>
      <c r="AL546" s="89" t="n">
        <f aca="false">IF(AJ546="",99,IFERROR(VLOOKUP(AJ546,설정!$A$15:$D$47,4,0),99))</f>
        <v>99</v>
      </c>
      <c r="AM546" s="94" t="n">
        <f aca="false">IF(ISNUMBER(H546),AA546*1000000*H546/10000,0)</f>
        <v>0</v>
      </c>
      <c r="AN546" s="94" t="n">
        <f aca="false">IF(OR(Y546=1,NOT(ISNUMBER(Z546))),0,AA546*1000000*Z546/10000)</f>
        <v>0</v>
      </c>
      <c r="AO546" s="94" t="n">
        <f aca="false">IF(ISNUMBER(G546),AA546*1000000*G546/100,0)</f>
        <v>0</v>
      </c>
      <c r="AP546" s="94" t="n">
        <f aca="false">IF(ISNUMBER(M546),M546*K546,0)</f>
        <v>0</v>
      </c>
      <c r="AQ546" s="95" t="str">
        <f aca="false">IF(AB546="","",INDEX(시장분석!$AK:$AK,AB546))</f>
        <v/>
      </c>
      <c r="AR546" s="43" t="str">
        <f aca="false">IF(AB546="","-",IF(AB546="","",INDEX(시장분석!$AL:$AL,AB546)))</f>
        <v>-</v>
      </c>
      <c r="AS546" s="96" t="str">
        <f aca="false">IF(AB546="","",INDEX(시장분석!$AJ:$AJ,AB546))</f>
        <v/>
      </c>
      <c r="AT546" s="93" t="n">
        <f aca="false">IF(AB546="",0,IF(AB546="","",INDEX(시장분석!$AN:$AN,AB546)))</f>
        <v>0</v>
      </c>
      <c r="AU546" s="94" t="n">
        <f aca="false">IF(ISNUMBER(Z546),AT546/10000*MAX(Z546-1,0)*AA546*1000000,0)</f>
        <v>0</v>
      </c>
      <c r="AV546" s="94" t="n">
        <f aca="false">AO546+AU546</f>
        <v>0</v>
      </c>
      <c r="AW546" s="43" t="str">
        <f aca="false">IF(Q546&lt;&gt;1,"",TRIM(IF(AD546=1,"FRN ","")&amp;IF(AND(AL546&gt;=10,AL546&lt;99),"BBB0미만 ","")&amp;IF(AJ546="","등급없음 ","")&amp;IF(K546&lt;&gt;1,"비USD ","")&amp;IF(AND(AB546="",Y546=0),"시장데이터없음 ","")&amp;IF(AND(ISNUMBER(U546),U546&lt;0),"만기경과 ","")))</f>
        <v/>
      </c>
      <c r="AX546" s="90" t="n">
        <f aca="false">IF(Q546&lt;&gt;1,1,IF(스프레드쇼크!$C$4="Y",INDEX(스프레드쇼크!$B$12:$L$16,IFERROR(MATCH(AH546,스프레드쇼크!$A$12:$A$16,0),MATCH("목록외",스프레드쇼크!$A$12:$A$16,0)),IFERROR(MATCH(AG546,스프레드쇼크!$B$11:$L$11,0),MATCH("목록외",스프레드쇼크!$B$11:$L$11,0))),1))</f>
        <v>1</v>
      </c>
      <c r="AY546" s="90" t="n">
        <f aca="false">IF(스프레드쇼크!$C$5="Y",IF(ISNUMBER(AF546),MIN(스프레드쇼크!$C$7,MAX(스프레드쇼크!$C$6,AF546/스프레드쇼크!$C$8)),1),1)</f>
        <v>1</v>
      </c>
      <c r="AZ546" s="94" t="n">
        <f aca="false">AN546*AX546*AY546</f>
        <v>0</v>
      </c>
      <c r="BA546" s="90" t="n">
        <f aca="false">IF(ISNUMBER(G546),AA546*G546,0)</f>
        <v>0</v>
      </c>
      <c r="BB546" s="90" t="n">
        <f aca="false">IF(ISNUMBER(G546),AA546,0)</f>
        <v>0</v>
      </c>
      <c r="BC546" s="90" t="n">
        <f aca="false">IF(AND(Y546=0,ISNUMBER(AF546)),AA546*AF546,0)</f>
        <v>0</v>
      </c>
      <c r="BD546" s="90" t="n">
        <f aca="false">IF(AND(Y546=0,ISNUMBER(AF546)),AA546,0)</f>
        <v>0</v>
      </c>
      <c r="BE546" s="90" t="n">
        <f aca="false">IF(ISNUMBER(H546),AA546*H546,0)</f>
        <v>0</v>
      </c>
      <c r="BF546" s="90" t="n">
        <f aca="false">IF(ISNUMBER(H546),AA546,0)</f>
        <v>0</v>
      </c>
      <c r="BG546" s="90" t="n">
        <f aca="false">IF(AND(Y546=0,ISNUMBER(AF546),ISNUMBER(Z546)),AA546*Z546,0)</f>
        <v>0</v>
      </c>
      <c r="BH546" s="90" t="n">
        <f aca="false">IF(AND(Y546=0,ISNUMBER(AF546),ISNUMBER(Z546)),AA546*AT546*MAX(Z546-1,0),0)</f>
        <v>0</v>
      </c>
      <c r="BI546" s="90" t="n">
        <f aca="false">IF(Y546=0,AA546,0)</f>
        <v>0</v>
      </c>
    </row>
    <row r="547" customFormat="false" ht="15" hidden="false" customHeight="false" outlineLevel="0" collapsed="false">
      <c r="A547" s="83" t="str">
        <f aca="false">IFERROR(IF(INDEX(원자료_잔고!$A$1:$EZ$1500,설정!$L$5+ROW()-1,설정!$L$8)&amp;""="0","",INDEX(원자료_잔고!$A$1:$EZ$1500,설정!$L$5+ROW()-1,설정!$L$8)&amp;""),"")</f>
        <v/>
      </c>
      <c r="B547" s="83" t="str">
        <f aca="false">IFERROR(IF(INDEX(원자료_잔고!$A$1:$EZ$1500,설정!$L$5+ROW()-1,설정!$L$7)&amp;""="0","",INDEX(원자료_잔고!$A$1:$EZ$1500,설정!$L$5+ROW()-1,설정!$L$7)&amp;""),"")</f>
        <v/>
      </c>
      <c r="C547" s="83" t="str">
        <f aca="false">IFERROR(IF(INDEX(원자료_잔고!$A$1:$EZ$1500,설정!$L$5+ROW()-1,설정!$L$9)&amp;""="0","",INDEX(원자료_잔고!$A$1:$EZ$1500,설정!$L$5+ROW()-1,설정!$L$9)&amp;""),"")</f>
        <v/>
      </c>
      <c r="D547" s="83" t="str">
        <f aca="false">IFERROR(IF(INDEX(원자료_잔고!$A$1:$EZ$1500,설정!$L$5+ROW()-1,설정!$L$10)&amp;""="0","",INDEX(원자료_잔고!$A$1:$EZ$1500,설정!$L$5+ROW()-1,설정!$L$10)&amp;""),"")</f>
        <v/>
      </c>
      <c r="E547" s="84" t="str">
        <f aca="false">IFERROR(IF(ISNUMBER(INDEX(원자료_잔고!$A$1:$EZ$1500,설정!$L$5+ROW()-1,설정!$L$11)),INDEX(원자료_잔고!$A$1:$EZ$1500,설정!$L$5+ROW()-1,설정!$L$11),""),"")</f>
        <v/>
      </c>
      <c r="F547" s="85" t="str">
        <f aca="false">IFERROR(IF(ISNUMBER(INDEX(원자료_잔고!$A$1:$EZ$1500,설정!$L$5+ROW()-1,설정!$L$12)),INDEX(원자료_잔고!$A$1:$EZ$1500,설정!$L$5+ROW()-1,설정!$L$12),""),"")</f>
        <v/>
      </c>
      <c r="G547" s="85" t="str">
        <f aca="false">IFERROR(IF(ISNUMBER(INDEX(원자료_잔고!$A$1:$EZ$1500,설정!$L$5+ROW()-1,설정!$L$13)),INDEX(원자료_잔고!$A$1:$EZ$1500,설정!$L$5+ROW()-1,설정!$L$13),""),"")</f>
        <v/>
      </c>
      <c r="H547" s="85" t="str">
        <f aca="false">IFERROR(IF(ISNUMBER(INDEX(원자료_잔고!$A$1:$EZ$1500,설정!$L$5+ROW()-1,설정!$L$14)),INDEX(원자료_잔고!$A$1:$EZ$1500,설정!$L$5+ROW()-1,설정!$L$14),""),"")</f>
        <v/>
      </c>
      <c r="I547" s="86" t="str">
        <f aca="false">IFERROR(IF(ISNUMBER(INDEX(원자료_잔고!$A$1:$EZ$1500,설정!$L$5+ROW()-1,설정!$L$15)),INDEX(원자료_잔고!$A$1:$EZ$1500,설정!$L$5+ROW()-1,설정!$L$15),""),"")</f>
        <v/>
      </c>
      <c r="J547" s="85" t="str">
        <f aca="false">IFERROR(IF(ISNUMBER(INDEX(원자료_잔고!$A$1:$EZ$1500,설정!$L$5+ROW()-1,설정!$L$16)),INDEX(원자료_잔고!$A$1:$EZ$1500,설정!$L$5+ROW()-1,설정!$L$16),""),"")</f>
        <v/>
      </c>
      <c r="K547" s="87" t="str">
        <f aca="false">IFERROR(IF(ISNUMBER(INDEX(원자료_잔고!$A$1:$EZ$1500,설정!$L$5+ROW()-1,설정!$L$17)),INDEX(원자료_잔고!$A$1:$EZ$1500,설정!$L$5+ROW()-1,설정!$L$17),""),"")</f>
        <v/>
      </c>
      <c r="L547" s="84" t="str">
        <f aca="false">IFERROR(IF(ISNUMBER(INDEX(원자료_잔고!$A$1:$EZ$1500,설정!$L$5+ROW()-1,설정!$L$18)),INDEX(원자료_잔고!$A$1:$EZ$1500,설정!$L$5+ROW()-1,설정!$L$18),""),"")</f>
        <v/>
      </c>
      <c r="M547" s="88" t="str">
        <f aca="false">IFERROR(IF(ISNUMBER(INDEX(원자료_잔고!$A$1:$EZ$1500,설정!$L$5+ROW()-1,설정!$L$19)),INDEX(원자료_잔고!$A$1:$EZ$1500,설정!$L$5+ROW()-1,설정!$L$19),""),"")</f>
        <v/>
      </c>
      <c r="N547" s="83" t="str">
        <f aca="false">IFERROR(IF(INDEX(원자료_잔고!$A$1:$EZ$1500,설정!$L$5+ROW()-1,설정!$L$21)&amp;""="0","",INDEX(원자료_잔고!$A$1:$EZ$1500,설정!$L$5+ROW()-1,설정!$L$21)&amp;""),"")</f>
        <v/>
      </c>
      <c r="O547" s="83" t="str">
        <f aca="false">IFERROR(IF(INDEX(원자료_잔고!$A$1:$EZ$1500,설정!$L$5+ROW()-1,설정!$L$22)&amp;""="0","",INDEX(원자료_잔고!$A$1:$EZ$1500,설정!$L$5+ROW()-1,설정!$L$22)&amp;""),"")</f>
        <v/>
      </c>
      <c r="P547" s="83" t="str">
        <f aca="false">IFERROR(IF(INDEX(원자료_잔고!$A$1:$EZ$1500,설정!$L$5+ROW()-1,설정!$L$23)&amp;""="0","",INDEX(원자료_잔고!$A$1:$EZ$1500,설정!$L$5+ROW()-1,설정!$L$23)&amp;""),"")</f>
        <v/>
      </c>
      <c r="Q547" s="89" t="n">
        <f aca="false">IF(AND($A547&lt;&gt;"",ISNUMBER(E547)),IF(E547&gt;0,1,0),0)</f>
        <v>0</v>
      </c>
      <c r="R547" s="43" t="str">
        <f aca="false">IF(Q547=1,UPPER(LEFT($A547,FIND(" ",$A547&amp;" ")-1)),"")</f>
        <v/>
      </c>
      <c r="S547" s="89" t="n">
        <f aca="false">IF(Q547=1,IF(OR(ISNUMBER(SEARCH("Float",$A547)),ISNUMBER(SEARCH("FRN",$A547))),1,0),0)</f>
        <v>0</v>
      </c>
      <c r="T547" s="43" t="str">
        <f aca="false">IF(AND(Q547=1,ISNUMBER(I547)),TEXT(I547,"yyyymmdd")&amp;"|"&amp;IF(S547=1,"F",TEXT(J547,"0.000")),"")</f>
        <v/>
      </c>
      <c r="U547" s="90" t="str">
        <f aca="false">IF(AND(Q547=1,ISNUMBER(I547)),(I547-설정!$C$4)/365.25,"")</f>
        <v/>
      </c>
      <c r="V547" s="43" t="str">
        <f aca="false">IF(Q547&lt;&gt;1,"",IF(ISNUMBER(U547),IF(U547&lt;=1,"1년 이하",IF(U547&lt;=2,"1-2년",IF(U547&lt;=3,"2-3년",IF(U547&lt;=4,"3-4년",IF(U547&lt;=5,"4-5년",IF(U547&lt;=7,"5-7년",IF(U547&lt;=10,"7-10년",IF(U547&lt;=20,"10-20년","20년 이상")))))))),"미분류"))</f>
        <v/>
      </c>
      <c r="W547" s="43" t="str">
        <f aca="false">IF(Q547&lt;&gt;1,"",IF(AB547&lt;&gt;"",INDEX(시장분석!$C:$C,AB547),IF(K547=1,"USD","비USD")))</f>
        <v/>
      </c>
      <c r="X547" s="91" t="n">
        <f aca="false">IF(Q547=1,E547*K547/1000000,0)</f>
        <v>0</v>
      </c>
      <c r="Y547" s="89" t="n">
        <f aca="false">IF(R547="T",1,0)</f>
        <v>0</v>
      </c>
      <c r="Z547" s="92" t="str">
        <f aca="false">IF(Q547&lt;&gt;1,"",IF(AD547=1,IF(ISNUMBER(U547),MAX(U547,0),H547),H547))</f>
        <v/>
      </c>
      <c r="AA547" s="91" t="n">
        <f aca="false">IF(Q547=1,IF(ISNUMBER(L547),L547,0)*K547/1000000,0)</f>
        <v>0</v>
      </c>
      <c r="AB547" s="89" t="str">
        <f aca="false">IF(Q547&lt;&gt;1,"",IFERROR(MATCH(VLOOKUP(B547,매핑!$H$4:$I$15,2,0),시장분석!$A$2:$A$601,0)+1,IFERROR(MATCH(R547&amp;"|"&amp;T547,시장분석!$V$2:$V$601,0)+1,IF(COUNTIF(시장분석!$U$2:$U$601,T547)=1,MATCH(T547,시장분석!$U$2:$U$601,0)+1,""))))</f>
        <v/>
      </c>
      <c r="AC547" s="89" t="n">
        <f aca="false">IF(Q547&lt;&gt;1,0,IF(OR(설정!$C$5="전체",AND(설정!$C$5="선택펀드",IFERROR(COUNTIFS(설정!$F$16:$F$36,C547,설정!$G$16:$G$36,"Y")+COUNTIFS(설정!$F$16:$F$36,VALUE(C547),설정!$G$16:$G$36,"Y"),0)&gt;0),C547&amp;""=설정!$C$5&amp;""),1,0))</f>
        <v>0</v>
      </c>
      <c r="AD547" s="89" t="n">
        <f aca="false">IF(Q547&lt;&gt;1,0,IF(OR(S547=1,IF(AB547="",FALSE(),INDEX(시장분석!$R:$R,AB547)=1)),1,0))</f>
        <v>0</v>
      </c>
      <c r="AE547" s="43" t="str">
        <f aca="false">IF(AB547="","",INDEX(시장분석!$A:$A,AB547))</f>
        <v/>
      </c>
      <c r="AF547" s="93" t="str">
        <f aca="false">IF(AB547="","",IF(ISNUMBER(IF(AB547="","",INDEX(시장분석!$E:$E,AB547))),IF(AB547="","",INDEX(시장분석!$E:$E,AB547)),""))</f>
        <v/>
      </c>
      <c r="AG547" s="43" t="str">
        <f aca="false">IF(Q547&lt;&gt;1,"",IF(AB547&lt;&gt;"",IF(AB547="","",INDEX(시장분석!$L:$L,AB547)),IFERROR(IF(VLOOKUP(R547,매핑!$A$4:$E$92,5,0)="","미분류",VLOOKUP(R547,매핑!$A$4:$E$92,5,0)),"미분류")))</f>
        <v/>
      </c>
      <c r="AH547" s="43" t="str">
        <f aca="false">IF(Q547&lt;&gt;1,"",IF(AB547&lt;&gt;"",IF(AB547="","",INDEX(시장분석!$N:$N,AB547)),IFERROR(IF(VLOOKUP(R547,매핑!$A$4:$E$92,4,0)="","미분류",VLOOKUP(R547,매핑!$A$4:$E$92,4,0)),"미분류")))</f>
        <v/>
      </c>
      <c r="AI547" s="43" t="str">
        <f aca="false">IF(Q547&lt;&gt;1,"",IFERROR(IF(VLOOKUP(R547,매핑!$A$4:$E$92,3,0)="","미분류",VLOOKUP(R547,매핑!$A$4:$E$92,3,0)),IF(AB547&lt;&gt;"",IF(AB547="","",INDEX(시장분석!$W:$W,AB547)),"미분류")))</f>
        <v/>
      </c>
      <c r="AJ547" s="43" t="str">
        <f aca="false">IF(Q547&lt;&gt;1,"",IFERROR(VLOOKUP(IF(N547&lt;&gt;"",N547,IF(P547&lt;&gt;"",P547,O547)),설정!$A$15:$D$47,2,0),""))</f>
        <v/>
      </c>
      <c r="AK547" s="43" t="str">
        <f aca="false">IF(Q547&lt;&gt;1,"",IF(AJ547="","무등급",IFERROR(VLOOKUP(AJ547,설정!$A$15:$D$47,3,0),"무등급")))</f>
        <v/>
      </c>
      <c r="AL547" s="89" t="n">
        <f aca="false">IF(AJ547="",99,IFERROR(VLOOKUP(AJ547,설정!$A$15:$D$47,4,0),99))</f>
        <v>99</v>
      </c>
      <c r="AM547" s="94" t="n">
        <f aca="false">IF(ISNUMBER(H547),AA547*1000000*H547/10000,0)</f>
        <v>0</v>
      </c>
      <c r="AN547" s="94" t="n">
        <f aca="false">IF(OR(Y547=1,NOT(ISNUMBER(Z547))),0,AA547*1000000*Z547/10000)</f>
        <v>0</v>
      </c>
      <c r="AO547" s="94" t="n">
        <f aca="false">IF(ISNUMBER(G547),AA547*1000000*G547/100,0)</f>
        <v>0</v>
      </c>
      <c r="AP547" s="94" t="n">
        <f aca="false">IF(ISNUMBER(M547),M547*K547,0)</f>
        <v>0</v>
      </c>
      <c r="AQ547" s="95" t="str">
        <f aca="false">IF(AB547="","",INDEX(시장분석!$AK:$AK,AB547))</f>
        <v/>
      </c>
      <c r="AR547" s="43" t="str">
        <f aca="false">IF(AB547="","-",IF(AB547="","",INDEX(시장분석!$AL:$AL,AB547)))</f>
        <v>-</v>
      </c>
      <c r="AS547" s="96" t="str">
        <f aca="false">IF(AB547="","",INDEX(시장분석!$AJ:$AJ,AB547))</f>
        <v/>
      </c>
      <c r="AT547" s="93" t="n">
        <f aca="false">IF(AB547="",0,IF(AB547="","",INDEX(시장분석!$AN:$AN,AB547)))</f>
        <v>0</v>
      </c>
      <c r="AU547" s="94" t="n">
        <f aca="false">IF(ISNUMBER(Z547),AT547/10000*MAX(Z547-1,0)*AA547*1000000,0)</f>
        <v>0</v>
      </c>
      <c r="AV547" s="94" t="n">
        <f aca="false">AO547+AU547</f>
        <v>0</v>
      </c>
      <c r="AW547" s="43" t="str">
        <f aca="false">IF(Q547&lt;&gt;1,"",TRIM(IF(AD547=1,"FRN ","")&amp;IF(AND(AL547&gt;=10,AL547&lt;99),"BBB0미만 ","")&amp;IF(AJ547="","등급없음 ","")&amp;IF(K547&lt;&gt;1,"비USD ","")&amp;IF(AND(AB547="",Y547=0),"시장데이터없음 ","")&amp;IF(AND(ISNUMBER(U547),U547&lt;0),"만기경과 ","")))</f>
        <v/>
      </c>
      <c r="AX547" s="90" t="n">
        <f aca="false">IF(Q547&lt;&gt;1,1,IF(스프레드쇼크!$C$4="Y",INDEX(스프레드쇼크!$B$12:$L$16,IFERROR(MATCH(AH547,스프레드쇼크!$A$12:$A$16,0),MATCH("목록외",스프레드쇼크!$A$12:$A$16,0)),IFERROR(MATCH(AG547,스프레드쇼크!$B$11:$L$11,0),MATCH("목록외",스프레드쇼크!$B$11:$L$11,0))),1))</f>
        <v>1</v>
      </c>
      <c r="AY547" s="90" t="n">
        <f aca="false">IF(스프레드쇼크!$C$5="Y",IF(ISNUMBER(AF547),MIN(스프레드쇼크!$C$7,MAX(스프레드쇼크!$C$6,AF547/스프레드쇼크!$C$8)),1),1)</f>
        <v>1</v>
      </c>
      <c r="AZ547" s="94" t="n">
        <f aca="false">AN547*AX547*AY547</f>
        <v>0</v>
      </c>
      <c r="BA547" s="90" t="n">
        <f aca="false">IF(ISNUMBER(G547),AA547*G547,0)</f>
        <v>0</v>
      </c>
      <c r="BB547" s="90" t="n">
        <f aca="false">IF(ISNUMBER(G547),AA547,0)</f>
        <v>0</v>
      </c>
      <c r="BC547" s="90" t="n">
        <f aca="false">IF(AND(Y547=0,ISNUMBER(AF547)),AA547*AF547,0)</f>
        <v>0</v>
      </c>
      <c r="BD547" s="90" t="n">
        <f aca="false">IF(AND(Y547=0,ISNUMBER(AF547)),AA547,0)</f>
        <v>0</v>
      </c>
      <c r="BE547" s="90" t="n">
        <f aca="false">IF(ISNUMBER(H547),AA547*H547,0)</f>
        <v>0</v>
      </c>
      <c r="BF547" s="90" t="n">
        <f aca="false">IF(ISNUMBER(H547),AA547,0)</f>
        <v>0</v>
      </c>
      <c r="BG547" s="90" t="n">
        <f aca="false">IF(AND(Y547=0,ISNUMBER(AF547),ISNUMBER(Z547)),AA547*Z547,0)</f>
        <v>0</v>
      </c>
      <c r="BH547" s="90" t="n">
        <f aca="false">IF(AND(Y547=0,ISNUMBER(AF547),ISNUMBER(Z547)),AA547*AT547*MAX(Z547-1,0),0)</f>
        <v>0</v>
      </c>
      <c r="BI547" s="90" t="n">
        <f aca="false">IF(Y547=0,AA547,0)</f>
        <v>0</v>
      </c>
    </row>
    <row r="548" customFormat="false" ht="15" hidden="false" customHeight="false" outlineLevel="0" collapsed="false">
      <c r="A548" s="83" t="str">
        <f aca="false">IFERROR(IF(INDEX(원자료_잔고!$A$1:$EZ$1500,설정!$L$5+ROW()-1,설정!$L$8)&amp;""="0","",INDEX(원자료_잔고!$A$1:$EZ$1500,설정!$L$5+ROW()-1,설정!$L$8)&amp;""),"")</f>
        <v/>
      </c>
      <c r="B548" s="83" t="str">
        <f aca="false">IFERROR(IF(INDEX(원자료_잔고!$A$1:$EZ$1500,설정!$L$5+ROW()-1,설정!$L$7)&amp;""="0","",INDEX(원자료_잔고!$A$1:$EZ$1500,설정!$L$5+ROW()-1,설정!$L$7)&amp;""),"")</f>
        <v/>
      </c>
      <c r="C548" s="83" t="str">
        <f aca="false">IFERROR(IF(INDEX(원자료_잔고!$A$1:$EZ$1500,설정!$L$5+ROW()-1,설정!$L$9)&amp;""="0","",INDEX(원자료_잔고!$A$1:$EZ$1500,설정!$L$5+ROW()-1,설정!$L$9)&amp;""),"")</f>
        <v/>
      </c>
      <c r="D548" s="83" t="str">
        <f aca="false">IFERROR(IF(INDEX(원자료_잔고!$A$1:$EZ$1500,설정!$L$5+ROW()-1,설정!$L$10)&amp;""="0","",INDEX(원자료_잔고!$A$1:$EZ$1500,설정!$L$5+ROW()-1,설정!$L$10)&amp;""),"")</f>
        <v/>
      </c>
      <c r="E548" s="84" t="str">
        <f aca="false">IFERROR(IF(ISNUMBER(INDEX(원자료_잔고!$A$1:$EZ$1500,설정!$L$5+ROW()-1,설정!$L$11)),INDEX(원자료_잔고!$A$1:$EZ$1500,설정!$L$5+ROW()-1,설정!$L$11),""),"")</f>
        <v/>
      </c>
      <c r="F548" s="85" t="str">
        <f aca="false">IFERROR(IF(ISNUMBER(INDEX(원자료_잔고!$A$1:$EZ$1500,설정!$L$5+ROW()-1,설정!$L$12)),INDEX(원자료_잔고!$A$1:$EZ$1500,설정!$L$5+ROW()-1,설정!$L$12),""),"")</f>
        <v/>
      </c>
      <c r="G548" s="85" t="str">
        <f aca="false">IFERROR(IF(ISNUMBER(INDEX(원자료_잔고!$A$1:$EZ$1500,설정!$L$5+ROW()-1,설정!$L$13)),INDEX(원자료_잔고!$A$1:$EZ$1500,설정!$L$5+ROW()-1,설정!$L$13),""),"")</f>
        <v/>
      </c>
      <c r="H548" s="85" t="str">
        <f aca="false">IFERROR(IF(ISNUMBER(INDEX(원자료_잔고!$A$1:$EZ$1500,설정!$L$5+ROW()-1,설정!$L$14)),INDEX(원자료_잔고!$A$1:$EZ$1500,설정!$L$5+ROW()-1,설정!$L$14),""),"")</f>
        <v/>
      </c>
      <c r="I548" s="86" t="str">
        <f aca="false">IFERROR(IF(ISNUMBER(INDEX(원자료_잔고!$A$1:$EZ$1500,설정!$L$5+ROW()-1,설정!$L$15)),INDEX(원자료_잔고!$A$1:$EZ$1500,설정!$L$5+ROW()-1,설정!$L$15),""),"")</f>
        <v/>
      </c>
      <c r="J548" s="85" t="str">
        <f aca="false">IFERROR(IF(ISNUMBER(INDEX(원자료_잔고!$A$1:$EZ$1500,설정!$L$5+ROW()-1,설정!$L$16)),INDEX(원자료_잔고!$A$1:$EZ$1500,설정!$L$5+ROW()-1,설정!$L$16),""),"")</f>
        <v/>
      </c>
      <c r="K548" s="87" t="str">
        <f aca="false">IFERROR(IF(ISNUMBER(INDEX(원자료_잔고!$A$1:$EZ$1500,설정!$L$5+ROW()-1,설정!$L$17)),INDEX(원자료_잔고!$A$1:$EZ$1500,설정!$L$5+ROW()-1,설정!$L$17),""),"")</f>
        <v/>
      </c>
      <c r="L548" s="84" t="str">
        <f aca="false">IFERROR(IF(ISNUMBER(INDEX(원자료_잔고!$A$1:$EZ$1500,설정!$L$5+ROW()-1,설정!$L$18)),INDEX(원자료_잔고!$A$1:$EZ$1500,설정!$L$5+ROW()-1,설정!$L$18),""),"")</f>
        <v/>
      </c>
      <c r="M548" s="88" t="str">
        <f aca="false">IFERROR(IF(ISNUMBER(INDEX(원자료_잔고!$A$1:$EZ$1500,설정!$L$5+ROW()-1,설정!$L$19)),INDEX(원자료_잔고!$A$1:$EZ$1500,설정!$L$5+ROW()-1,설정!$L$19),""),"")</f>
        <v/>
      </c>
      <c r="N548" s="83" t="str">
        <f aca="false">IFERROR(IF(INDEX(원자료_잔고!$A$1:$EZ$1500,설정!$L$5+ROW()-1,설정!$L$21)&amp;""="0","",INDEX(원자료_잔고!$A$1:$EZ$1500,설정!$L$5+ROW()-1,설정!$L$21)&amp;""),"")</f>
        <v/>
      </c>
      <c r="O548" s="83" t="str">
        <f aca="false">IFERROR(IF(INDEX(원자료_잔고!$A$1:$EZ$1500,설정!$L$5+ROW()-1,설정!$L$22)&amp;""="0","",INDEX(원자료_잔고!$A$1:$EZ$1500,설정!$L$5+ROW()-1,설정!$L$22)&amp;""),"")</f>
        <v/>
      </c>
      <c r="P548" s="83" t="str">
        <f aca="false">IFERROR(IF(INDEX(원자료_잔고!$A$1:$EZ$1500,설정!$L$5+ROW()-1,설정!$L$23)&amp;""="0","",INDEX(원자료_잔고!$A$1:$EZ$1500,설정!$L$5+ROW()-1,설정!$L$23)&amp;""),"")</f>
        <v/>
      </c>
      <c r="Q548" s="89" t="n">
        <f aca="false">IF(AND($A548&lt;&gt;"",ISNUMBER(E548)),IF(E548&gt;0,1,0),0)</f>
        <v>0</v>
      </c>
      <c r="R548" s="43" t="str">
        <f aca="false">IF(Q548=1,UPPER(LEFT($A548,FIND(" ",$A548&amp;" ")-1)),"")</f>
        <v/>
      </c>
      <c r="S548" s="89" t="n">
        <f aca="false">IF(Q548=1,IF(OR(ISNUMBER(SEARCH("Float",$A548)),ISNUMBER(SEARCH("FRN",$A548))),1,0),0)</f>
        <v>0</v>
      </c>
      <c r="T548" s="43" t="str">
        <f aca="false">IF(AND(Q548=1,ISNUMBER(I548)),TEXT(I548,"yyyymmdd")&amp;"|"&amp;IF(S548=1,"F",TEXT(J548,"0.000")),"")</f>
        <v/>
      </c>
      <c r="U548" s="90" t="str">
        <f aca="false">IF(AND(Q548=1,ISNUMBER(I548)),(I548-설정!$C$4)/365.25,"")</f>
        <v/>
      </c>
      <c r="V548" s="43" t="str">
        <f aca="false">IF(Q548&lt;&gt;1,"",IF(ISNUMBER(U548),IF(U548&lt;=1,"1년 이하",IF(U548&lt;=2,"1-2년",IF(U548&lt;=3,"2-3년",IF(U548&lt;=4,"3-4년",IF(U548&lt;=5,"4-5년",IF(U548&lt;=7,"5-7년",IF(U548&lt;=10,"7-10년",IF(U548&lt;=20,"10-20년","20년 이상")))))))),"미분류"))</f>
        <v/>
      </c>
      <c r="W548" s="43" t="str">
        <f aca="false">IF(Q548&lt;&gt;1,"",IF(AB548&lt;&gt;"",INDEX(시장분석!$C:$C,AB548),IF(K548=1,"USD","비USD")))</f>
        <v/>
      </c>
      <c r="X548" s="91" t="n">
        <f aca="false">IF(Q548=1,E548*K548/1000000,0)</f>
        <v>0</v>
      </c>
      <c r="Y548" s="89" t="n">
        <f aca="false">IF(R548="T",1,0)</f>
        <v>0</v>
      </c>
      <c r="Z548" s="92" t="str">
        <f aca="false">IF(Q548&lt;&gt;1,"",IF(AD548=1,IF(ISNUMBER(U548),MAX(U548,0),H548),H548))</f>
        <v/>
      </c>
      <c r="AA548" s="91" t="n">
        <f aca="false">IF(Q548=1,IF(ISNUMBER(L548),L548,0)*K548/1000000,0)</f>
        <v>0</v>
      </c>
      <c r="AB548" s="89" t="str">
        <f aca="false">IF(Q548&lt;&gt;1,"",IFERROR(MATCH(VLOOKUP(B548,매핑!$H$4:$I$15,2,0),시장분석!$A$2:$A$601,0)+1,IFERROR(MATCH(R548&amp;"|"&amp;T548,시장분석!$V$2:$V$601,0)+1,IF(COUNTIF(시장분석!$U$2:$U$601,T548)=1,MATCH(T548,시장분석!$U$2:$U$601,0)+1,""))))</f>
        <v/>
      </c>
      <c r="AC548" s="89" t="n">
        <f aca="false">IF(Q548&lt;&gt;1,0,IF(OR(설정!$C$5="전체",AND(설정!$C$5="선택펀드",IFERROR(COUNTIFS(설정!$F$16:$F$36,C548,설정!$G$16:$G$36,"Y")+COUNTIFS(설정!$F$16:$F$36,VALUE(C548),설정!$G$16:$G$36,"Y"),0)&gt;0),C548&amp;""=설정!$C$5&amp;""),1,0))</f>
        <v>0</v>
      </c>
      <c r="AD548" s="89" t="n">
        <f aca="false">IF(Q548&lt;&gt;1,0,IF(OR(S548=1,IF(AB548="",FALSE(),INDEX(시장분석!$R:$R,AB548)=1)),1,0))</f>
        <v>0</v>
      </c>
      <c r="AE548" s="43" t="str">
        <f aca="false">IF(AB548="","",INDEX(시장분석!$A:$A,AB548))</f>
        <v/>
      </c>
      <c r="AF548" s="93" t="str">
        <f aca="false">IF(AB548="","",IF(ISNUMBER(IF(AB548="","",INDEX(시장분석!$E:$E,AB548))),IF(AB548="","",INDEX(시장분석!$E:$E,AB548)),""))</f>
        <v/>
      </c>
      <c r="AG548" s="43" t="str">
        <f aca="false">IF(Q548&lt;&gt;1,"",IF(AB548&lt;&gt;"",IF(AB548="","",INDEX(시장분석!$L:$L,AB548)),IFERROR(IF(VLOOKUP(R548,매핑!$A$4:$E$92,5,0)="","미분류",VLOOKUP(R548,매핑!$A$4:$E$92,5,0)),"미분류")))</f>
        <v/>
      </c>
      <c r="AH548" s="43" t="str">
        <f aca="false">IF(Q548&lt;&gt;1,"",IF(AB548&lt;&gt;"",IF(AB548="","",INDEX(시장분석!$N:$N,AB548)),IFERROR(IF(VLOOKUP(R548,매핑!$A$4:$E$92,4,0)="","미분류",VLOOKUP(R548,매핑!$A$4:$E$92,4,0)),"미분류")))</f>
        <v/>
      </c>
      <c r="AI548" s="43" t="str">
        <f aca="false">IF(Q548&lt;&gt;1,"",IFERROR(IF(VLOOKUP(R548,매핑!$A$4:$E$92,3,0)="","미분류",VLOOKUP(R548,매핑!$A$4:$E$92,3,0)),IF(AB548&lt;&gt;"",IF(AB548="","",INDEX(시장분석!$W:$W,AB548)),"미분류")))</f>
        <v/>
      </c>
      <c r="AJ548" s="43" t="str">
        <f aca="false">IF(Q548&lt;&gt;1,"",IFERROR(VLOOKUP(IF(N548&lt;&gt;"",N548,IF(P548&lt;&gt;"",P548,O548)),설정!$A$15:$D$47,2,0),""))</f>
        <v/>
      </c>
      <c r="AK548" s="43" t="str">
        <f aca="false">IF(Q548&lt;&gt;1,"",IF(AJ548="","무등급",IFERROR(VLOOKUP(AJ548,설정!$A$15:$D$47,3,0),"무등급")))</f>
        <v/>
      </c>
      <c r="AL548" s="89" t="n">
        <f aca="false">IF(AJ548="",99,IFERROR(VLOOKUP(AJ548,설정!$A$15:$D$47,4,0),99))</f>
        <v>99</v>
      </c>
      <c r="AM548" s="94" t="n">
        <f aca="false">IF(ISNUMBER(H548),AA548*1000000*H548/10000,0)</f>
        <v>0</v>
      </c>
      <c r="AN548" s="94" t="n">
        <f aca="false">IF(OR(Y548=1,NOT(ISNUMBER(Z548))),0,AA548*1000000*Z548/10000)</f>
        <v>0</v>
      </c>
      <c r="AO548" s="94" t="n">
        <f aca="false">IF(ISNUMBER(G548),AA548*1000000*G548/100,0)</f>
        <v>0</v>
      </c>
      <c r="AP548" s="94" t="n">
        <f aca="false">IF(ISNUMBER(M548),M548*K548,0)</f>
        <v>0</v>
      </c>
      <c r="AQ548" s="95" t="str">
        <f aca="false">IF(AB548="","",INDEX(시장분석!$AK:$AK,AB548))</f>
        <v/>
      </c>
      <c r="AR548" s="43" t="str">
        <f aca="false">IF(AB548="","-",IF(AB548="","",INDEX(시장분석!$AL:$AL,AB548)))</f>
        <v>-</v>
      </c>
      <c r="AS548" s="96" t="str">
        <f aca="false">IF(AB548="","",INDEX(시장분석!$AJ:$AJ,AB548))</f>
        <v/>
      </c>
      <c r="AT548" s="93" t="n">
        <f aca="false">IF(AB548="",0,IF(AB548="","",INDEX(시장분석!$AN:$AN,AB548)))</f>
        <v>0</v>
      </c>
      <c r="AU548" s="94" t="n">
        <f aca="false">IF(ISNUMBER(Z548),AT548/10000*MAX(Z548-1,0)*AA548*1000000,0)</f>
        <v>0</v>
      </c>
      <c r="AV548" s="94" t="n">
        <f aca="false">AO548+AU548</f>
        <v>0</v>
      </c>
      <c r="AW548" s="43" t="str">
        <f aca="false">IF(Q548&lt;&gt;1,"",TRIM(IF(AD548=1,"FRN ","")&amp;IF(AND(AL548&gt;=10,AL548&lt;99),"BBB0미만 ","")&amp;IF(AJ548="","등급없음 ","")&amp;IF(K548&lt;&gt;1,"비USD ","")&amp;IF(AND(AB548="",Y548=0),"시장데이터없음 ","")&amp;IF(AND(ISNUMBER(U548),U548&lt;0),"만기경과 ","")))</f>
        <v/>
      </c>
      <c r="AX548" s="90" t="n">
        <f aca="false">IF(Q548&lt;&gt;1,1,IF(스프레드쇼크!$C$4="Y",INDEX(스프레드쇼크!$B$12:$L$16,IFERROR(MATCH(AH548,스프레드쇼크!$A$12:$A$16,0),MATCH("목록외",스프레드쇼크!$A$12:$A$16,0)),IFERROR(MATCH(AG548,스프레드쇼크!$B$11:$L$11,0),MATCH("목록외",스프레드쇼크!$B$11:$L$11,0))),1))</f>
        <v>1</v>
      </c>
      <c r="AY548" s="90" t="n">
        <f aca="false">IF(스프레드쇼크!$C$5="Y",IF(ISNUMBER(AF548),MIN(스프레드쇼크!$C$7,MAX(스프레드쇼크!$C$6,AF548/스프레드쇼크!$C$8)),1),1)</f>
        <v>1</v>
      </c>
      <c r="AZ548" s="94" t="n">
        <f aca="false">AN548*AX548*AY548</f>
        <v>0</v>
      </c>
      <c r="BA548" s="90" t="n">
        <f aca="false">IF(ISNUMBER(G548),AA548*G548,0)</f>
        <v>0</v>
      </c>
      <c r="BB548" s="90" t="n">
        <f aca="false">IF(ISNUMBER(G548),AA548,0)</f>
        <v>0</v>
      </c>
      <c r="BC548" s="90" t="n">
        <f aca="false">IF(AND(Y548=0,ISNUMBER(AF548)),AA548*AF548,0)</f>
        <v>0</v>
      </c>
      <c r="BD548" s="90" t="n">
        <f aca="false">IF(AND(Y548=0,ISNUMBER(AF548)),AA548,0)</f>
        <v>0</v>
      </c>
      <c r="BE548" s="90" t="n">
        <f aca="false">IF(ISNUMBER(H548),AA548*H548,0)</f>
        <v>0</v>
      </c>
      <c r="BF548" s="90" t="n">
        <f aca="false">IF(ISNUMBER(H548),AA548,0)</f>
        <v>0</v>
      </c>
      <c r="BG548" s="90" t="n">
        <f aca="false">IF(AND(Y548=0,ISNUMBER(AF548),ISNUMBER(Z548)),AA548*Z548,0)</f>
        <v>0</v>
      </c>
      <c r="BH548" s="90" t="n">
        <f aca="false">IF(AND(Y548=0,ISNUMBER(AF548),ISNUMBER(Z548)),AA548*AT548*MAX(Z548-1,0),0)</f>
        <v>0</v>
      </c>
      <c r="BI548" s="90" t="n">
        <f aca="false">IF(Y548=0,AA548,0)</f>
        <v>0</v>
      </c>
    </row>
    <row r="549" customFormat="false" ht="15" hidden="false" customHeight="false" outlineLevel="0" collapsed="false">
      <c r="A549" s="83" t="str">
        <f aca="false">IFERROR(IF(INDEX(원자료_잔고!$A$1:$EZ$1500,설정!$L$5+ROW()-1,설정!$L$8)&amp;""="0","",INDEX(원자료_잔고!$A$1:$EZ$1500,설정!$L$5+ROW()-1,설정!$L$8)&amp;""),"")</f>
        <v/>
      </c>
      <c r="B549" s="83" t="str">
        <f aca="false">IFERROR(IF(INDEX(원자료_잔고!$A$1:$EZ$1500,설정!$L$5+ROW()-1,설정!$L$7)&amp;""="0","",INDEX(원자료_잔고!$A$1:$EZ$1500,설정!$L$5+ROW()-1,설정!$L$7)&amp;""),"")</f>
        <v/>
      </c>
      <c r="C549" s="83" t="str">
        <f aca="false">IFERROR(IF(INDEX(원자료_잔고!$A$1:$EZ$1500,설정!$L$5+ROW()-1,설정!$L$9)&amp;""="0","",INDEX(원자료_잔고!$A$1:$EZ$1500,설정!$L$5+ROW()-1,설정!$L$9)&amp;""),"")</f>
        <v/>
      </c>
      <c r="D549" s="83" t="str">
        <f aca="false">IFERROR(IF(INDEX(원자료_잔고!$A$1:$EZ$1500,설정!$L$5+ROW()-1,설정!$L$10)&amp;""="0","",INDEX(원자료_잔고!$A$1:$EZ$1500,설정!$L$5+ROW()-1,설정!$L$10)&amp;""),"")</f>
        <v/>
      </c>
      <c r="E549" s="84" t="str">
        <f aca="false">IFERROR(IF(ISNUMBER(INDEX(원자료_잔고!$A$1:$EZ$1500,설정!$L$5+ROW()-1,설정!$L$11)),INDEX(원자료_잔고!$A$1:$EZ$1500,설정!$L$5+ROW()-1,설정!$L$11),""),"")</f>
        <v/>
      </c>
      <c r="F549" s="85" t="str">
        <f aca="false">IFERROR(IF(ISNUMBER(INDEX(원자료_잔고!$A$1:$EZ$1500,설정!$L$5+ROW()-1,설정!$L$12)),INDEX(원자료_잔고!$A$1:$EZ$1500,설정!$L$5+ROW()-1,설정!$L$12),""),"")</f>
        <v/>
      </c>
      <c r="G549" s="85" t="str">
        <f aca="false">IFERROR(IF(ISNUMBER(INDEX(원자료_잔고!$A$1:$EZ$1500,설정!$L$5+ROW()-1,설정!$L$13)),INDEX(원자료_잔고!$A$1:$EZ$1500,설정!$L$5+ROW()-1,설정!$L$13),""),"")</f>
        <v/>
      </c>
      <c r="H549" s="85" t="str">
        <f aca="false">IFERROR(IF(ISNUMBER(INDEX(원자료_잔고!$A$1:$EZ$1500,설정!$L$5+ROW()-1,설정!$L$14)),INDEX(원자료_잔고!$A$1:$EZ$1500,설정!$L$5+ROW()-1,설정!$L$14),""),"")</f>
        <v/>
      </c>
      <c r="I549" s="86" t="str">
        <f aca="false">IFERROR(IF(ISNUMBER(INDEX(원자료_잔고!$A$1:$EZ$1500,설정!$L$5+ROW()-1,설정!$L$15)),INDEX(원자료_잔고!$A$1:$EZ$1500,설정!$L$5+ROW()-1,설정!$L$15),""),"")</f>
        <v/>
      </c>
      <c r="J549" s="85" t="str">
        <f aca="false">IFERROR(IF(ISNUMBER(INDEX(원자료_잔고!$A$1:$EZ$1500,설정!$L$5+ROW()-1,설정!$L$16)),INDEX(원자료_잔고!$A$1:$EZ$1500,설정!$L$5+ROW()-1,설정!$L$16),""),"")</f>
        <v/>
      </c>
      <c r="K549" s="87" t="str">
        <f aca="false">IFERROR(IF(ISNUMBER(INDEX(원자료_잔고!$A$1:$EZ$1500,설정!$L$5+ROW()-1,설정!$L$17)),INDEX(원자료_잔고!$A$1:$EZ$1500,설정!$L$5+ROW()-1,설정!$L$17),""),"")</f>
        <v/>
      </c>
      <c r="L549" s="84" t="str">
        <f aca="false">IFERROR(IF(ISNUMBER(INDEX(원자료_잔고!$A$1:$EZ$1500,설정!$L$5+ROW()-1,설정!$L$18)),INDEX(원자료_잔고!$A$1:$EZ$1500,설정!$L$5+ROW()-1,설정!$L$18),""),"")</f>
        <v/>
      </c>
      <c r="M549" s="88" t="str">
        <f aca="false">IFERROR(IF(ISNUMBER(INDEX(원자료_잔고!$A$1:$EZ$1500,설정!$L$5+ROW()-1,설정!$L$19)),INDEX(원자료_잔고!$A$1:$EZ$1500,설정!$L$5+ROW()-1,설정!$L$19),""),"")</f>
        <v/>
      </c>
      <c r="N549" s="83" t="str">
        <f aca="false">IFERROR(IF(INDEX(원자료_잔고!$A$1:$EZ$1500,설정!$L$5+ROW()-1,설정!$L$21)&amp;""="0","",INDEX(원자료_잔고!$A$1:$EZ$1500,설정!$L$5+ROW()-1,설정!$L$21)&amp;""),"")</f>
        <v/>
      </c>
      <c r="O549" s="83" t="str">
        <f aca="false">IFERROR(IF(INDEX(원자료_잔고!$A$1:$EZ$1500,설정!$L$5+ROW()-1,설정!$L$22)&amp;""="0","",INDEX(원자료_잔고!$A$1:$EZ$1500,설정!$L$5+ROW()-1,설정!$L$22)&amp;""),"")</f>
        <v/>
      </c>
      <c r="P549" s="83" t="str">
        <f aca="false">IFERROR(IF(INDEX(원자료_잔고!$A$1:$EZ$1500,설정!$L$5+ROW()-1,설정!$L$23)&amp;""="0","",INDEX(원자료_잔고!$A$1:$EZ$1500,설정!$L$5+ROW()-1,설정!$L$23)&amp;""),"")</f>
        <v/>
      </c>
      <c r="Q549" s="89" t="n">
        <f aca="false">IF(AND($A549&lt;&gt;"",ISNUMBER(E549)),IF(E549&gt;0,1,0),0)</f>
        <v>0</v>
      </c>
      <c r="R549" s="43" t="str">
        <f aca="false">IF(Q549=1,UPPER(LEFT($A549,FIND(" ",$A549&amp;" ")-1)),"")</f>
        <v/>
      </c>
      <c r="S549" s="89" t="n">
        <f aca="false">IF(Q549=1,IF(OR(ISNUMBER(SEARCH("Float",$A549)),ISNUMBER(SEARCH("FRN",$A549))),1,0),0)</f>
        <v>0</v>
      </c>
      <c r="T549" s="43" t="str">
        <f aca="false">IF(AND(Q549=1,ISNUMBER(I549)),TEXT(I549,"yyyymmdd")&amp;"|"&amp;IF(S549=1,"F",TEXT(J549,"0.000")),"")</f>
        <v/>
      </c>
      <c r="U549" s="90" t="str">
        <f aca="false">IF(AND(Q549=1,ISNUMBER(I549)),(I549-설정!$C$4)/365.25,"")</f>
        <v/>
      </c>
      <c r="V549" s="43" t="str">
        <f aca="false">IF(Q549&lt;&gt;1,"",IF(ISNUMBER(U549),IF(U549&lt;=1,"1년 이하",IF(U549&lt;=2,"1-2년",IF(U549&lt;=3,"2-3년",IF(U549&lt;=4,"3-4년",IF(U549&lt;=5,"4-5년",IF(U549&lt;=7,"5-7년",IF(U549&lt;=10,"7-10년",IF(U549&lt;=20,"10-20년","20년 이상")))))))),"미분류"))</f>
        <v/>
      </c>
      <c r="W549" s="43" t="str">
        <f aca="false">IF(Q549&lt;&gt;1,"",IF(AB549&lt;&gt;"",INDEX(시장분석!$C:$C,AB549),IF(K549=1,"USD","비USD")))</f>
        <v/>
      </c>
      <c r="X549" s="91" t="n">
        <f aca="false">IF(Q549=1,E549*K549/1000000,0)</f>
        <v>0</v>
      </c>
      <c r="Y549" s="89" t="n">
        <f aca="false">IF(R549="T",1,0)</f>
        <v>0</v>
      </c>
      <c r="Z549" s="92" t="str">
        <f aca="false">IF(Q549&lt;&gt;1,"",IF(AD549=1,IF(ISNUMBER(U549),MAX(U549,0),H549),H549))</f>
        <v/>
      </c>
      <c r="AA549" s="91" t="n">
        <f aca="false">IF(Q549=1,IF(ISNUMBER(L549),L549,0)*K549/1000000,0)</f>
        <v>0</v>
      </c>
      <c r="AB549" s="89" t="str">
        <f aca="false">IF(Q549&lt;&gt;1,"",IFERROR(MATCH(VLOOKUP(B549,매핑!$H$4:$I$15,2,0),시장분석!$A$2:$A$601,0)+1,IFERROR(MATCH(R549&amp;"|"&amp;T549,시장분석!$V$2:$V$601,0)+1,IF(COUNTIF(시장분석!$U$2:$U$601,T549)=1,MATCH(T549,시장분석!$U$2:$U$601,0)+1,""))))</f>
        <v/>
      </c>
      <c r="AC549" s="89" t="n">
        <f aca="false">IF(Q549&lt;&gt;1,0,IF(OR(설정!$C$5="전체",AND(설정!$C$5="선택펀드",IFERROR(COUNTIFS(설정!$F$16:$F$36,C549,설정!$G$16:$G$36,"Y")+COUNTIFS(설정!$F$16:$F$36,VALUE(C549),설정!$G$16:$G$36,"Y"),0)&gt;0),C549&amp;""=설정!$C$5&amp;""),1,0))</f>
        <v>0</v>
      </c>
      <c r="AD549" s="89" t="n">
        <f aca="false">IF(Q549&lt;&gt;1,0,IF(OR(S549=1,IF(AB549="",FALSE(),INDEX(시장분석!$R:$R,AB549)=1)),1,0))</f>
        <v>0</v>
      </c>
      <c r="AE549" s="43" t="str">
        <f aca="false">IF(AB549="","",INDEX(시장분석!$A:$A,AB549))</f>
        <v/>
      </c>
      <c r="AF549" s="93" t="str">
        <f aca="false">IF(AB549="","",IF(ISNUMBER(IF(AB549="","",INDEX(시장분석!$E:$E,AB549))),IF(AB549="","",INDEX(시장분석!$E:$E,AB549)),""))</f>
        <v/>
      </c>
      <c r="AG549" s="43" t="str">
        <f aca="false">IF(Q549&lt;&gt;1,"",IF(AB549&lt;&gt;"",IF(AB549="","",INDEX(시장분석!$L:$L,AB549)),IFERROR(IF(VLOOKUP(R549,매핑!$A$4:$E$92,5,0)="","미분류",VLOOKUP(R549,매핑!$A$4:$E$92,5,0)),"미분류")))</f>
        <v/>
      </c>
      <c r="AH549" s="43" t="str">
        <f aca="false">IF(Q549&lt;&gt;1,"",IF(AB549&lt;&gt;"",IF(AB549="","",INDEX(시장분석!$N:$N,AB549)),IFERROR(IF(VLOOKUP(R549,매핑!$A$4:$E$92,4,0)="","미분류",VLOOKUP(R549,매핑!$A$4:$E$92,4,0)),"미분류")))</f>
        <v/>
      </c>
      <c r="AI549" s="43" t="str">
        <f aca="false">IF(Q549&lt;&gt;1,"",IFERROR(IF(VLOOKUP(R549,매핑!$A$4:$E$92,3,0)="","미분류",VLOOKUP(R549,매핑!$A$4:$E$92,3,0)),IF(AB549&lt;&gt;"",IF(AB549="","",INDEX(시장분석!$W:$W,AB549)),"미분류")))</f>
        <v/>
      </c>
      <c r="AJ549" s="43" t="str">
        <f aca="false">IF(Q549&lt;&gt;1,"",IFERROR(VLOOKUP(IF(N549&lt;&gt;"",N549,IF(P549&lt;&gt;"",P549,O549)),설정!$A$15:$D$47,2,0),""))</f>
        <v/>
      </c>
      <c r="AK549" s="43" t="str">
        <f aca="false">IF(Q549&lt;&gt;1,"",IF(AJ549="","무등급",IFERROR(VLOOKUP(AJ549,설정!$A$15:$D$47,3,0),"무등급")))</f>
        <v/>
      </c>
      <c r="AL549" s="89" t="n">
        <f aca="false">IF(AJ549="",99,IFERROR(VLOOKUP(AJ549,설정!$A$15:$D$47,4,0),99))</f>
        <v>99</v>
      </c>
      <c r="AM549" s="94" t="n">
        <f aca="false">IF(ISNUMBER(H549),AA549*1000000*H549/10000,0)</f>
        <v>0</v>
      </c>
      <c r="AN549" s="94" t="n">
        <f aca="false">IF(OR(Y549=1,NOT(ISNUMBER(Z549))),0,AA549*1000000*Z549/10000)</f>
        <v>0</v>
      </c>
      <c r="AO549" s="94" t="n">
        <f aca="false">IF(ISNUMBER(G549),AA549*1000000*G549/100,0)</f>
        <v>0</v>
      </c>
      <c r="AP549" s="94" t="n">
        <f aca="false">IF(ISNUMBER(M549),M549*K549,0)</f>
        <v>0</v>
      </c>
      <c r="AQ549" s="95" t="str">
        <f aca="false">IF(AB549="","",INDEX(시장분석!$AK:$AK,AB549))</f>
        <v/>
      </c>
      <c r="AR549" s="43" t="str">
        <f aca="false">IF(AB549="","-",IF(AB549="","",INDEX(시장분석!$AL:$AL,AB549)))</f>
        <v>-</v>
      </c>
      <c r="AS549" s="96" t="str">
        <f aca="false">IF(AB549="","",INDEX(시장분석!$AJ:$AJ,AB549))</f>
        <v/>
      </c>
      <c r="AT549" s="93" t="n">
        <f aca="false">IF(AB549="",0,IF(AB549="","",INDEX(시장분석!$AN:$AN,AB549)))</f>
        <v>0</v>
      </c>
      <c r="AU549" s="94" t="n">
        <f aca="false">IF(ISNUMBER(Z549),AT549/10000*MAX(Z549-1,0)*AA549*1000000,0)</f>
        <v>0</v>
      </c>
      <c r="AV549" s="94" t="n">
        <f aca="false">AO549+AU549</f>
        <v>0</v>
      </c>
      <c r="AW549" s="43" t="str">
        <f aca="false">IF(Q549&lt;&gt;1,"",TRIM(IF(AD549=1,"FRN ","")&amp;IF(AND(AL549&gt;=10,AL549&lt;99),"BBB0미만 ","")&amp;IF(AJ549="","등급없음 ","")&amp;IF(K549&lt;&gt;1,"비USD ","")&amp;IF(AND(AB549="",Y549=0),"시장데이터없음 ","")&amp;IF(AND(ISNUMBER(U549),U549&lt;0),"만기경과 ","")))</f>
        <v/>
      </c>
      <c r="AX549" s="90" t="n">
        <f aca="false">IF(Q549&lt;&gt;1,1,IF(스프레드쇼크!$C$4="Y",INDEX(스프레드쇼크!$B$12:$L$16,IFERROR(MATCH(AH549,스프레드쇼크!$A$12:$A$16,0),MATCH("목록외",스프레드쇼크!$A$12:$A$16,0)),IFERROR(MATCH(AG549,스프레드쇼크!$B$11:$L$11,0),MATCH("목록외",스프레드쇼크!$B$11:$L$11,0))),1))</f>
        <v>1</v>
      </c>
      <c r="AY549" s="90" t="n">
        <f aca="false">IF(스프레드쇼크!$C$5="Y",IF(ISNUMBER(AF549),MIN(스프레드쇼크!$C$7,MAX(스프레드쇼크!$C$6,AF549/스프레드쇼크!$C$8)),1),1)</f>
        <v>1</v>
      </c>
      <c r="AZ549" s="94" t="n">
        <f aca="false">AN549*AX549*AY549</f>
        <v>0</v>
      </c>
      <c r="BA549" s="90" t="n">
        <f aca="false">IF(ISNUMBER(G549),AA549*G549,0)</f>
        <v>0</v>
      </c>
      <c r="BB549" s="90" t="n">
        <f aca="false">IF(ISNUMBER(G549),AA549,0)</f>
        <v>0</v>
      </c>
      <c r="BC549" s="90" t="n">
        <f aca="false">IF(AND(Y549=0,ISNUMBER(AF549)),AA549*AF549,0)</f>
        <v>0</v>
      </c>
      <c r="BD549" s="90" t="n">
        <f aca="false">IF(AND(Y549=0,ISNUMBER(AF549)),AA549,0)</f>
        <v>0</v>
      </c>
      <c r="BE549" s="90" t="n">
        <f aca="false">IF(ISNUMBER(H549),AA549*H549,0)</f>
        <v>0</v>
      </c>
      <c r="BF549" s="90" t="n">
        <f aca="false">IF(ISNUMBER(H549),AA549,0)</f>
        <v>0</v>
      </c>
      <c r="BG549" s="90" t="n">
        <f aca="false">IF(AND(Y549=0,ISNUMBER(AF549),ISNUMBER(Z549)),AA549*Z549,0)</f>
        <v>0</v>
      </c>
      <c r="BH549" s="90" t="n">
        <f aca="false">IF(AND(Y549=0,ISNUMBER(AF549),ISNUMBER(Z549)),AA549*AT549*MAX(Z549-1,0),0)</f>
        <v>0</v>
      </c>
      <c r="BI549" s="90" t="n">
        <f aca="false">IF(Y549=0,AA549,0)</f>
        <v>0</v>
      </c>
    </row>
    <row r="550" customFormat="false" ht="15" hidden="false" customHeight="false" outlineLevel="0" collapsed="false">
      <c r="A550" s="83" t="str">
        <f aca="false">IFERROR(IF(INDEX(원자료_잔고!$A$1:$EZ$1500,설정!$L$5+ROW()-1,설정!$L$8)&amp;""="0","",INDEX(원자료_잔고!$A$1:$EZ$1500,설정!$L$5+ROW()-1,설정!$L$8)&amp;""),"")</f>
        <v/>
      </c>
      <c r="B550" s="83" t="str">
        <f aca="false">IFERROR(IF(INDEX(원자료_잔고!$A$1:$EZ$1500,설정!$L$5+ROW()-1,설정!$L$7)&amp;""="0","",INDEX(원자료_잔고!$A$1:$EZ$1500,설정!$L$5+ROW()-1,설정!$L$7)&amp;""),"")</f>
        <v/>
      </c>
      <c r="C550" s="83" t="str">
        <f aca="false">IFERROR(IF(INDEX(원자료_잔고!$A$1:$EZ$1500,설정!$L$5+ROW()-1,설정!$L$9)&amp;""="0","",INDEX(원자료_잔고!$A$1:$EZ$1500,설정!$L$5+ROW()-1,설정!$L$9)&amp;""),"")</f>
        <v/>
      </c>
      <c r="D550" s="83" t="str">
        <f aca="false">IFERROR(IF(INDEX(원자료_잔고!$A$1:$EZ$1500,설정!$L$5+ROW()-1,설정!$L$10)&amp;""="0","",INDEX(원자료_잔고!$A$1:$EZ$1500,설정!$L$5+ROW()-1,설정!$L$10)&amp;""),"")</f>
        <v/>
      </c>
      <c r="E550" s="84" t="str">
        <f aca="false">IFERROR(IF(ISNUMBER(INDEX(원자료_잔고!$A$1:$EZ$1500,설정!$L$5+ROW()-1,설정!$L$11)),INDEX(원자료_잔고!$A$1:$EZ$1500,설정!$L$5+ROW()-1,설정!$L$11),""),"")</f>
        <v/>
      </c>
      <c r="F550" s="85" t="str">
        <f aca="false">IFERROR(IF(ISNUMBER(INDEX(원자료_잔고!$A$1:$EZ$1500,설정!$L$5+ROW()-1,설정!$L$12)),INDEX(원자료_잔고!$A$1:$EZ$1500,설정!$L$5+ROW()-1,설정!$L$12),""),"")</f>
        <v/>
      </c>
      <c r="G550" s="85" t="str">
        <f aca="false">IFERROR(IF(ISNUMBER(INDEX(원자료_잔고!$A$1:$EZ$1500,설정!$L$5+ROW()-1,설정!$L$13)),INDEX(원자료_잔고!$A$1:$EZ$1500,설정!$L$5+ROW()-1,설정!$L$13),""),"")</f>
        <v/>
      </c>
      <c r="H550" s="85" t="str">
        <f aca="false">IFERROR(IF(ISNUMBER(INDEX(원자료_잔고!$A$1:$EZ$1500,설정!$L$5+ROW()-1,설정!$L$14)),INDEX(원자료_잔고!$A$1:$EZ$1500,설정!$L$5+ROW()-1,설정!$L$14),""),"")</f>
        <v/>
      </c>
      <c r="I550" s="86" t="str">
        <f aca="false">IFERROR(IF(ISNUMBER(INDEX(원자료_잔고!$A$1:$EZ$1500,설정!$L$5+ROW()-1,설정!$L$15)),INDEX(원자료_잔고!$A$1:$EZ$1500,설정!$L$5+ROW()-1,설정!$L$15),""),"")</f>
        <v/>
      </c>
      <c r="J550" s="85" t="str">
        <f aca="false">IFERROR(IF(ISNUMBER(INDEX(원자료_잔고!$A$1:$EZ$1500,설정!$L$5+ROW()-1,설정!$L$16)),INDEX(원자료_잔고!$A$1:$EZ$1500,설정!$L$5+ROW()-1,설정!$L$16),""),"")</f>
        <v/>
      </c>
      <c r="K550" s="87" t="str">
        <f aca="false">IFERROR(IF(ISNUMBER(INDEX(원자료_잔고!$A$1:$EZ$1500,설정!$L$5+ROW()-1,설정!$L$17)),INDEX(원자료_잔고!$A$1:$EZ$1500,설정!$L$5+ROW()-1,설정!$L$17),""),"")</f>
        <v/>
      </c>
      <c r="L550" s="84" t="str">
        <f aca="false">IFERROR(IF(ISNUMBER(INDEX(원자료_잔고!$A$1:$EZ$1500,설정!$L$5+ROW()-1,설정!$L$18)),INDEX(원자료_잔고!$A$1:$EZ$1500,설정!$L$5+ROW()-1,설정!$L$18),""),"")</f>
        <v/>
      </c>
      <c r="M550" s="88" t="str">
        <f aca="false">IFERROR(IF(ISNUMBER(INDEX(원자료_잔고!$A$1:$EZ$1500,설정!$L$5+ROW()-1,설정!$L$19)),INDEX(원자료_잔고!$A$1:$EZ$1500,설정!$L$5+ROW()-1,설정!$L$19),""),"")</f>
        <v/>
      </c>
      <c r="N550" s="83" t="str">
        <f aca="false">IFERROR(IF(INDEX(원자료_잔고!$A$1:$EZ$1500,설정!$L$5+ROW()-1,설정!$L$21)&amp;""="0","",INDEX(원자료_잔고!$A$1:$EZ$1500,설정!$L$5+ROW()-1,설정!$L$21)&amp;""),"")</f>
        <v/>
      </c>
      <c r="O550" s="83" t="str">
        <f aca="false">IFERROR(IF(INDEX(원자료_잔고!$A$1:$EZ$1500,설정!$L$5+ROW()-1,설정!$L$22)&amp;""="0","",INDEX(원자료_잔고!$A$1:$EZ$1500,설정!$L$5+ROW()-1,설정!$L$22)&amp;""),"")</f>
        <v/>
      </c>
      <c r="P550" s="83" t="str">
        <f aca="false">IFERROR(IF(INDEX(원자료_잔고!$A$1:$EZ$1500,설정!$L$5+ROW()-1,설정!$L$23)&amp;""="0","",INDEX(원자료_잔고!$A$1:$EZ$1500,설정!$L$5+ROW()-1,설정!$L$23)&amp;""),"")</f>
        <v/>
      </c>
      <c r="Q550" s="89" t="n">
        <f aca="false">IF(AND($A550&lt;&gt;"",ISNUMBER(E550)),IF(E550&gt;0,1,0),0)</f>
        <v>0</v>
      </c>
      <c r="R550" s="43" t="str">
        <f aca="false">IF(Q550=1,UPPER(LEFT($A550,FIND(" ",$A550&amp;" ")-1)),"")</f>
        <v/>
      </c>
      <c r="S550" s="89" t="n">
        <f aca="false">IF(Q550=1,IF(OR(ISNUMBER(SEARCH("Float",$A550)),ISNUMBER(SEARCH("FRN",$A550))),1,0),0)</f>
        <v>0</v>
      </c>
      <c r="T550" s="43" t="str">
        <f aca="false">IF(AND(Q550=1,ISNUMBER(I550)),TEXT(I550,"yyyymmdd")&amp;"|"&amp;IF(S550=1,"F",TEXT(J550,"0.000")),"")</f>
        <v/>
      </c>
      <c r="U550" s="90" t="str">
        <f aca="false">IF(AND(Q550=1,ISNUMBER(I550)),(I550-설정!$C$4)/365.25,"")</f>
        <v/>
      </c>
      <c r="V550" s="43" t="str">
        <f aca="false">IF(Q550&lt;&gt;1,"",IF(ISNUMBER(U550),IF(U550&lt;=1,"1년 이하",IF(U550&lt;=2,"1-2년",IF(U550&lt;=3,"2-3년",IF(U550&lt;=4,"3-4년",IF(U550&lt;=5,"4-5년",IF(U550&lt;=7,"5-7년",IF(U550&lt;=10,"7-10년",IF(U550&lt;=20,"10-20년","20년 이상")))))))),"미분류"))</f>
        <v/>
      </c>
      <c r="W550" s="43" t="str">
        <f aca="false">IF(Q550&lt;&gt;1,"",IF(AB550&lt;&gt;"",INDEX(시장분석!$C:$C,AB550),IF(K550=1,"USD","비USD")))</f>
        <v/>
      </c>
      <c r="X550" s="91" t="n">
        <f aca="false">IF(Q550=1,E550*K550/1000000,0)</f>
        <v>0</v>
      </c>
      <c r="Y550" s="89" t="n">
        <f aca="false">IF(R550="T",1,0)</f>
        <v>0</v>
      </c>
      <c r="Z550" s="92" t="str">
        <f aca="false">IF(Q550&lt;&gt;1,"",IF(AD550=1,IF(ISNUMBER(U550),MAX(U550,0),H550),H550))</f>
        <v/>
      </c>
      <c r="AA550" s="91" t="n">
        <f aca="false">IF(Q550=1,IF(ISNUMBER(L550),L550,0)*K550/1000000,0)</f>
        <v>0</v>
      </c>
      <c r="AB550" s="89" t="str">
        <f aca="false">IF(Q550&lt;&gt;1,"",IFERROR(MATCH(VLOOKUP(B550,매핑!$H$4:$I$15,2,0),시장분석!$A$2:$A$601,0)+1,IFERROR(MATCH(R550&amp;"|"&amp;T550,시장분석!$V$2:$V$601,0)+1,IF(COUNTIF(시장분석!$U$2:$U$601,T550)=1,MATCH(T550,시장분석!$U$2:$U$601,0)+1,""))))</f>
        <v/>
      </c>
      <c r="AC550" s="89" t="n">
        <f aca="false">IF(Q550&lt;&gt;1,0,IF(OR(설정!$C$5="전체",AND(설정!$C$5="선택펀드",IFERROR(COUNTIFS(설정!$F$16:$F$36,C550,설정!$G$16:$G$36,"Y")+COUNTIFS(설정!$F$16:$F$36,VALUE(C550),설정!$G$16:$G$36,"Y"),0)&gt;0),C550&amp;""=설정!$C$5&amp;""),1,0))</f>
        <v>0</v>
      </c>
      <c r="AD550" s="89" t="n">
        <f aca="false">IF(Q550&lt;&gt;1,0,IF(OR(S550=1,IF(AB550="",FALSE(),INDEX(시장분석!$R:$R,AB550)=1)),1,0))</f>
        <v>0</v>
      </c>
      <c r="AE550" s="43" t="str">
        <f aca="false">IF(AB550="","",INDEX(시장분석!$A:$A,AB550))</f>
        <v/>
      </c>
      <c r="AF550" s="93" t="str">
        <f aca="false">IF(AB550="","",IF(ISNUMBER(IF(AB550="","",INDEX(시장분석!$E:$E,AB550))),IF(AB550="","",INDEX(시장분석!$E:$E,AB550)),""))</f>
        <v/>
      </c>
      <c r="AG550" s="43" t="str">
        <f aca="false">IF(Q550&lt;&gt;1,"",IF(AB550&lt;&gt;"",IF(AB550="","",INDEX(시장분석!$L:$L,AB550)),IFERROR(IF(VLOOKUP(R550,매핑!$A$4:$E$92,5,0)="","미분류",VLOOKUP(R550,매핑!$A$4:$E$92,5,0)),"미분류")))</f>
        <v/>
      </c>
      <c r="AH550" s="43" t="str">
        <f aca="false">IF(Q550&lt;&gt;1,"",IF(AB550&lt;&gt;"",IF(AB550="","",INDEX(시장분석!$N:$N,AB550)),IFERROR(IF(VLOOKUP(R550,매핑!$A$4:$E$92,4,0)="","미분류",VLOOKUP(R550,매핑!$A$4:$E$92,4,0)),"미분류")))</f>
        <v/>
      </c>
      <c r="AI550" s="43" t="str">
        <f aca="false">IF(Q550&lt;&gt;1,"",IFERROR(IF(VLOOKUP(R550,매핑!$A$4:$E$92,3,0)="","미분류",VLOOKUP(R550,매핑!$A$4:$E$92,3,0)),IF(AB550&lt;&gt;"",IF(AB550="","",INDEX(시장분석!$W:$W,AB550)),"미분류")))</f>
        <v/>
      </c>
      <c r="AJ550" s="43" t="str">
        <f aca="false">IF(Q550&lt;&gt;1,"",IFERROR(VLOOKUP(IF(N550&lt;&gt;"",N550,IF(P550&lt;&gt;"",P550,O550)),설정!$A$15:$D$47,2,0),""))</f>
        <v/>
      </c>
      <c r="AK550" s="43" t="str">
        <f aca="false">IF(Q550&lt;&gt;1,"",IF(AJ550="","무등급",IFERROR(VLOOKUP(AJ550,설정!$A$15:$D$47,3,0),"무등급")))</f>
        <v/>
      </c>
      <c r="AL550" s="89" t="n">
        <f aca="false">IF(AJ550="",99,IFERROR(VLOOKUP(AJ550,설정!$A$15:$D$47,4,0),99))</f>
        <v>99</v>
      </c>
      <c r="AM550" s="94" t="n">
        <f aca="false">IF(ISNUMBER(H550),AA550*1000000*H550/10000,0)</f>
        <v>0</v>
      </c>
      <c r="AN550" s="94" t="n">
        <f aca="false">IF(OR(Y550=1,NOT(ISNUMBER(Z550))),0,AA550*1000000*Z550/10000)</f>
        <v>0</v>
      </c>
      <c r="AO550" s="94" t="n">
        <f aca="false">IF(ISNUMBER(G550),AA550*1000000*G550/100,0)</f>
        <v>0</v>
      </c>
      <c r="AP550" s="94" t="n">
        <f aca="false">IF(ISNUMBER(M550),M550*K550,0)</f>
        <v>0</v>
      </c>
      <c r="AQ550" s="95" t="str">
        <f aca="false">IF(AB550="","",INDEX(시장분석!$AK:$AK,AB550))</f>
        <v/>
      </c>
      <c r="AR550" s="43" t="str">
        <f aca="false">IF(AB550="","-",IF(AB550="","",INDEX(시장분석!$AL:$AL,AB550)))</f>
        <v>-</v>
      </c>
      <c r="AS550" s="96" t="str">
        <f aca="false">IF(AB550="","",INDEX(시장분석!$AJ:$AJ,AB550))</f>
        <v/>
      </c>
      <c r="AT550" s="93" t="n">
        <f aca="false">IF(AB550="",0,IF(AB550="","",INDEX(시장분석!$AN:$AN,AB550)))</f>
        <v>0</v>
      </c>
      <c r="AU550" s="94" t="n">
        <f aca="false">IF(ISNUMBER(Z550),AT550/10000*MAX(Z550-1,0)*AA550*1000000,0)</f>
        <v>0</v>
      </c>
      <c r="AV550" s="94" t="n">
        <f aca="false">AO550+AU550</f>
        <v>0</v>
      </c>
      <c r="AW550" s="43" t="str">
        <f aca="false">IF(Q550&lt;&gt;1,"",TRIM(IF(AD550=1,"FRN ","")&amp;IF(AND(AL550&gt;=10,AL550&lt;99),"BBB0미만 ","")&amp;IF(AJ550="","등급없음 ","")&amp;IF(K550&lt;&gt;1,"비USD ","")&amp;IF(AND(AB550="",Y550=0),"시장데이터없음 ","")&amp;IF(AND(ISNUMBER(U550),U550&lt;0),"만기경과 ","")))</f>
        <v/>
      </c>
      <c r="AX550" s="90" t="n">
        <f aca="false">IF(Q550&lt;&gt;1,1,IF(스프레드쇼크!$C$4="Y",INDEX(스프레드쇼크!$B$12:$L$16,IFERROR(MATCH(AH550,스프레드쇼크!$A$12:$A$16,0),MATCH("목록외",스프레드쇼크!$A$12:$A$16,0)),IFERROR(MATCH(AG550,스프레드쇼크!$B$11:$L$11,0),MATCH("목록외",스프레드쇼크!$B$11:$L$11,0))),1))</f>
        <v>1</v>
      </c>
      <c r="AY550" s="90" t="n">
        <f aca="false">IF(스프레드쇼크!$C$5="Y",IF(ISNUMBER(AF550),MIN(스프레드쇼크!$C$7,MAX(스프레드쇼크!$C$6,AF550/스프레드쇼크!$C$8)),1),1)</f>
        <v>1</v>
      </c>
      <c r="AZ550" s="94" t="n">
        <f aca="false">AN550*AX550*AY550</f>
        <v>0</v>
      </c>
      <c r="BA550" s="90" t="n">
        <f aca="false">IF(ISNUMBER(G550),AA550*G550,0)</f>
        <v>0</v>
      </c>
      <c r="BB550" s="90" t="n">
        <f aca="false">IF(ISNUMBER(G550),AA550,0)</f>
        <v>0</v>
      </c>
      <c r="BC550" s="90" t="n">
        <f aca="false">IF(AND(Y550=0,ISNUMBER(AF550)),AA550*AF550,0)</f>
        <v>0</v>
      </c>
      <c r="BD550" s="90" t="n">
        <f aca="false">IF(AND(Y550=0,ISNUMBER(AF550)),AA550,0)</f>
        <v>0</v>
      </c>
      <c r="BE550" s="90" t="n">
        <f aca="false">IF(ISNUMBER(H550),AA550*H550,0)</f>
        <v>0</v>
      </c>
      <c r="BF550" s="90" t="n">
        <f aca="false">IF(ISNUMBER(H550),AA550,0)</f>
        <v>0</v>
      </c>
      <c r="BG550" s="90" t="n">
        <f aca="false">IF(AND(Y550=0,ISNUMBER(AF550),ISNUMBER(Z550)),AA550*Z550,0)</f>
        <v>0</v>
      </c>
      <c r="BH550" s="90" t="n">
        <f aca="false">IF(AND(Y550=0,ISNUMBER(AF550),ISNUMBER(Z550)),AA550*AT550*MAX(Z550-1,0),0)</f>
        <v>0</v>
      </c>
      <c r="BI550" s="90" t="n">
        <f aca="false">IF(Y550=0,AA550,0)</f>
        <v>0</v>
      </c>
    </row>
    <row r="551" customFormat="false" ht="15" hidden="false" customHeight="false" outlineLevel="0" collapsed="false">
      <c r="A551" s="83" t="str">
        <f aca="false">IFERROR(IF(INDEX(원자료_잔고!$A$1:$EZ$1500,설정!$L$5+ROW()-1,설정!$L$8)&amp;""="0","",INDEX(원자료_잔고!$A$1:$EZ$1500,설정!$L$5+ROW()-1,설정!$L$8)&amp;""),"")</f>
        <v/>
      </c>
      <c r="B551" s="83" t="str">
        <f aca="false">IFERROR(IF(INDEX(원자료_잔고!$A$1:$EZ$1500,설정!$L$5+ROW()-1,설정!$L$7)&amp;""="0","",INDEX(원자료_잔고!$A$1:$EZ$1500,설정!$L$5+ROW()-1,설정!$L$7)&amp;""),"")</f>
        <v/>
      </c>
      <c r="C551" s="83" t="str">
        <f aca="false">IFERROR(IF(INDEX(원자료_잔고!$A$1:$EZ$1500,설정!$L$5+ROW()-1,설정!$L$9)&amp;""="0","",INDEX(원자료_잔고!$A$1:$EZ$1500,설정!$L$5+ROW()-1,설정!$L$9)&amp;""),"")</f>
        <v/>
      </c>
      <c r="D551" s="83" t="str">
        <f aca="false">IFERROR(IF(INDEX(원자료_잔고!$A$1:$EZ$1500,설정!$L$5+ROW()-1,설정!$L$10)&amp;""="0","",INDEX(원자료_잔고!$A$1:$EZ$1500,설정!$L$5+ROW()-1,설정!$L$10)&amp;""),"")</f>
        <v/>
      </c>
      <c r="E551" s="84" t="str">
        <f aca="false">IFERROR(IF(ISNUMBER(INDEX(원자료_잔고!$A$1:$EZ$1500,설정!$L$5+ROW()-1,설정!$L$11)),INDEX(원자료_잔고!$A$1:$EZ$1500,설정!$L$5+ROW()-1,설정!$L$11),""),"")</f>
        <v/>
      </c>
      <c r="F551" s="85" t="str">
        <f aca="false">IFERROR(IF(ISNUMBER(INDEX(원자료_잔고!$A$1:$EZ$1500,설정!$L$5+ROW()-1,설정!$L$12)),INDEX(원자료_잔고!$A$1:$EZ$1500,설정!$L$5+ROW()-1,설정!$L$12),""),"")</f>
        <v/>
      </c>
      <c r="G551" s="85" t="str">
        <f aca="false">IFERROR(IF(ISNUMBER(INDEX(원자료_잔고!$A$1:$EZ$1500,설정!$L$5+ROW()-1,설정!$L$13)),INDEX(원자료_잔고!$A$1:$EZ$1500,설정!$L$5+ROW()-1,설정!$L$13),""),"")</f>
        <v/>
      </c>
      <c r="H551" s="85" t="str">
        <f aca="false">IFERROR(IF(ISNUMBER(INDEX(원자료_잔고!$A$1:$EZ$1500,설정!$L$5+ROW()-1,설정!$L$14)),INDEX(원자료_잔고!$A$1:$EZ$1500,설정!$L$5+ROW()-1,설정!$L$14),""),"")</f>
        <v/>
      </c>
      <c r="I551" s="86" t="str">
        <f aca="false">IFERROR(IF(ISNUMBER(INDEX(원자료_잔고!$A$1:$EZ$1500,설정!$L$5+ROW()-1,설정!$L$15)),INDEX(원자료_잔고!$A$1:$EZ$1500,설정!$L$5+ROW()-1,설정!$L$15),""),"")</f>
        <v/>
      </c>
      <c r="J551" s="85" t="str">
        <f aca="false">IFERROR(IF(ISNUMBER(INDEX(원자료_잔고!$A$1:$EZ$1500,설정!$L$5+ROW()-1,설정!$L$16)),INDEX(원자료_잔고!$A$1:$EZ$1500,설정!$L$5+ROW()-1,설정!$L$16),""),"")</f>
        <v/>
      </c>
      <c r="K551" s="87" t="str">
        <f aca="false">IFERROR(IF(ISNUMBER(INDEX(원자료_잔고!$A$1:$EZ$1500,설정!$L$5+ROW()-1,설정!$L$17)),INDEX(원자료_잔고!$A$1:$EZ$1500,설정!$L$5+ROW()-1,설정!$L$17),""),"")</f>
        <v/>
      </c>
      <c r="L551" s="84" t="str">
        <f aca="false">IFERROR(IF(ISNUMBER(INDEX(원자료_잔고!$A$1:$EZ$1500,설정!$L$5+ROW()-1,설정!$L$18)),INDEX(원자료_잔고!$A$1:$EZ$1500,설정!$L$5+ROW()-1,설정!$L$18),""),"")</f>
        <v/>
      </c>
      <c r="M551" s="88" t="str">
        <f aca="false">IFERROR(IF(ISNUMBER(INDEX(원자료_잔고!$A$1:$EZ$1500,설정!$L$5+ROW()-1,설정!$L$19)),INDEX(원자료_잔고!$A$1:$EZ$1500,설정!$L$5+ROW()-1,설정!$L$19),""),"")</f>
        <v/>
      </c>
      <c r="N551" s="83" t="str">
        <f aca="false">IFERROR(IF(INDEX(원자료_잔고!$A$1:$EZ$1500,설정!$L$5+ROW()-1,설정!$L$21)&amp;""="0","",INDEX(원자료_잔고!$A$1:$EZ$1500,설정!$L$5+ROW()-1,설정!$L$21)&amp;""),"")</f>
        <v/>
      </c>
      <c r="O551" s="83" t="str">
        <f aca="false">IFERROR(IF(INDEX(원자료_잔고!$A$1:$EZ$1500,설정!$L$5+ROW()-1,설정!$L$22)&amp;""="0","",INDEX(원자료_잔고!$A$1:$EZ$1500,설정!$L$5+ROW()-1,설정!$L$22)&amp;""),"")</f>
        <v/>
      </c>
      <c r="P551" s="83" t="str">
        <f aca="false">IFERROR(IF(INDEX(원자료_잔고!$A$1:$EZ$1500,설정!$L$5+ROW()-1,설정!$L$23)&amp;""="0","",INDEX(원자료_잔고!$A$1:$EZ$1500,설정!$L$5+ROW()-1,설정!$L$23)&amp;""),"")</f>
        <v/>
      </c>
      <c r="Q551" s="89" t="n">
        <f aca="false">IF(AND($A551&lt;&gt;"",ISNUMBER(E551)),IF(E551&gt;0,1,0),0)</f>
        <v>0</v>
      </c>
      <c r="R551" s="43" t="str">
        <f aca="false">IF(Q551=1,UPPER(LEFT($A551,FIND(" ",$A551&amp;" ")-1)),"")</f>
        <v/>
      </c>
      <c r="S551" s="89" t="n">
        <f aca="false">IF(Q551=1,IF(OR(ISNUMBER(SEARCH("Float",$A551)),ISNUMBER(SEARCH("FRN",$A551))),1,0),0)</f>
        <v>0</v>
      </c>
      <c r="T551" s="43" t="str">
        <f aca="false">IF(AND(Q551=1,ISNUMBER(I551)),TEXT(I551,"yyyymmdd")&amp;"|"&amp;IF(S551=1,"F",TEXT(J551,"0.000")),"")</f>
        <v/>
      </c>
      <c r="U551" s="90" t="str">
        <f aca="false">IF(AND(Q551=1,ISNUMBER(I551)),(I551-설정!$C$4)/365.25,"")</f>
        <v/>
      </c>
      <c r="V551" s="43" t="str">
        <f aca="false">IF(Q551&lt;&gt;1,"",IF(ISNUMBER(U551),IF(U551&lt;=1,"1년 이하",IF(U551&lt;=2,"1-2년",IF(U551&lt;=3,"2-3년",IF(U551&lt;=4,"3-4년",IF(U551&lt;=5,"4-5년",IF(U551&lt;=7,"5-7년",IF(U551&lt;=10,"7-10년",IF(U551&lt;=20,"10-20년","20년 이상")))))))),"미분류"))</f>
        <v/>
      </c>
      <c r="W551" s="43" t="str">
        <f aca="false">IF(Q551&lt;&gt;1,"",IF(AB551&lt;&gt;"",INDEX(시장분석!$C:$C,AB551),IF(K551=1,"USD","비USD")))</f>
        <v/>
      </c>
      <c r="X551" s="91" t="n">
        <f aca="false">IF(Q551=1,E551*K551/1000000,0)</f>
        <v>0</v>
      </c>
      <c r="Y551" s="89" t="n">
        <f aca="false">IF(R551="T",1,0)</f>
        <v>0</v>
      </c>
      <c r="Z551" s="92" t="str">
        <f aca="false">IF(Q551&lt;&gt;1,"",IF(AD551=1,IF(ISNUMBER(U551),MAX(U551,0),H551),H551))</f>
        <v/>
      </c>
      <c r="AA551" s="91" t="n">
        <f aca="false">IF(Q551=1,IF(ISNUMBER(L551),L551,0)*K551/1000000,0)</f>
        <v>0</v>
      </c>
      <c r="AB551" s="89" t="str">
        <f aca="false">IF(Q551&lt;&gt;1,"",IFERROR(MATCH(VLOOKUP(B551,매핑!$H$4:$I$15,2,0),시장분석!$A$2:$A$601,0)+1,IFERROR(MATCH(R551&amp;"|"&amp;T551,시장분석!$V$2:$V$601,0)+1,IF(COUNTIF(시장분석!$U$2:$U$601,T551)=1,MATCH(T551,시장분석!$U$2:$U$601,0)+1,""))))</f>
        <v/>
      </c>
      <c r="AC551" s="89" t="n">
        <f aca="false">IF(Q551&lt;&gt;1,0,IF(OR(설정!$C$5="전체",AND(설정!$C$5="선택펀드",IFERROR(COUNTIFS(설정!$F$16:$F$36,C551,설정!$G$16:$G$36,"Y")+COUNTIFS(설정!$F$16:$F$36,VALUE(C551),설정!$G$16:$G$36,"Y"),0)&gt;0),C551&amp;""=설정!$C$5&amp;""),1,0))</f>
        <v>0</v>
      </c>
      <c r="AD551" s="89" t="n">
        <f aca="false">IF(Q551&lt;&gt;1,0,IF(OR(S551=1,IF(AB551="",FALSE(),INDEX(시장분석!$R:$R,AB551)=1)),1,0))</f>
        <v>0</v>
      </c>
      <c r="AE551" s="43" t="str">
        <f aca="false">IF(AB551="","",INDEX(시장분석!$A:$A,AB551))</f>
        <v/>
      </c>
      <c r="AF551" s="93" t="str">
        <f aca="false">IF(AB551="","",IF(ISNUMBER(IF(AB551="","",INDEX(시장분석!$E:$E,AB551))),IF(AB551="","",INDEX(시장분석!$E:$E,AB551)),""))</f>
        <v/>
      </c>
      <c r="AG551" s="43" t="str">
        <f aca="false">IF(Q551&lt;&gt;1,"",IF(AB551&lt;&gt;"",IF(AB551="","",INDEX(시장분석!$L:$L,AB551)),IFERROR(IF(VLOOKUP(R551,매핑!$A$4:$E$92,5,0)="","미분류",VLOOKUP(R551,매핑!$A$4:$E$92,5,0)),"미분류")))</f>
        <v/>
      </c>
      <c r="AH551" s="43" t="str">
        <f aca="false">IF(Q551&lt;&gt;1,"",IF(AB551&lt;&gt;"",IF(AB551="","",INDEX(시장분석!$N:$N,AB551)),IFERROR(IF(VLOOKUP(R551,매핑!$A$4:$E$92,4,0)="","미분류",VLOOKUP(R551,매핑!$A$4:$E$92,4,0)),"미분류")))</f>
        <v/>
      </c>
      <c r="AI551" s="43" t="str">
        <f aca="false">IF(Q551&lt;&gt;1,"",IFERROR(IF(VLOOKUP(R551,매핑!$A$4:$E$92,3,0)="","미분류",VLOOKUP(R551,매핑!$A$4:$E$92,3,0)),IF(AB551&lt;&gt;"",IF(AB551="","",INDEX(시장분석!$W:$W,AB551)),"미분류")))</f>
        <v/>
      </c>
      <c r="AJ551" s="43" t="str">
        <f aca="false">IF(Q551&lt;&gt;1,"",IFERROR(VLOOKUP(IF(N551&lt;&gt;"",N551,IF(P551&lt;&gt;"",P551,O551)),설정!$A$15:$D$47,2,0),""))</f>
        <v/>
      </c>
      <c r="AK551" s="43" t="str">
        <f aca="false">IF(Q551&lt;&gt;1,"",IF(AJ551="","무등급",IFERROR(VLOOKUP(AJ551,설정!$A$15:$D$47,3,0),"무등급")))</f>
        <v/>
      </c>
      <c r="AL551" s="89" t="n">
        <f aca="false">IF(AJ551="",99,IFERROR(VLOOKUP(AJ551,설정!$A$15:$D$47,4,0),99))</f>
        <v>99</v>
      </c>
      <c r="AM551" s="94" t="n">
        <f aca="false">IF(ISNUMBER(H551),AA551*1000000*H551/10000,0)</f>
        <v>0</v>
      </c>
      <c r="AN551" s="94" t="n">
        <f aca="false">IF(OR(Y551=1,NOT(ISNUMBER(Z551))),0,AA551*1000000*Z551/10000)</f>
        <v>0</v>
      </c>
      <c r="AO551" s="94" t="n">
        <f aca="false">IF(ISNUMBER(G551),AA551*1000000*G551/100,0)</f>
        <v>0</v>
      </c>
      <c r="AP551" s="94" t="n">
        <f aca="false">IF(ISNUMBER(M551),M551*K551,0)</f>
        <v>0</v>
      </c>
      <c r="AQ551" s="95" t="str">
        <f aca="false">IF(AB551="","",INDEX(시장분석!$AK:$AK,AB551))</f>
        <v/>
      </c>
      <c r="AR551" s="43" t="str">
        <f aca="false">IF(AB551="","-",IF(AB551="","",INDEX(시장분석!$AL:$AL,AB551)))</f>
        <v>-</v>
      </c>
      <c r="AS551" s="96" t="str">
        <f aca="false">IF(AB551="","",INDEX(시장분석!$AJ:$AJ,AB551))</f>
        <v/>
      </c>
      <c r="AT551" s="93" t="n">
        <f aca="false">IF(AB551="",0,IF(AB551="","",INDEX(시장분석!$AN:$AN,AB551)))</f>
        <v>0</v>
      </c>
      <c r="AU551" s="94" t="n">
        <f aca="false">IF(ISNUMBER(Z551),AT551/10000*MAX(Z551-1,0)*AA551*1000000,0)</f>
        <v>0</v>
      </c>
      <c r="AV551" s="94" t="n">
        <f aca="false">AO551+AU551</f>
        <v>0</v>
      </c>
      <c r="AW551" s="43" t="str">
        <f aca="false">IF(Q551&lt;&gt;1,"",TRIM(IF(AD551=1,"FRN ","")&amp;IF(AND(AL551&gt;=10,AL551&lt;99),"BBB0미만 ","")&amp;IF(AJ551="","등급없음 ","")&amp;IF(K551&lt;&gt;1,"비USD ","")&amp;IF(AND(AB551="",Y551=0),"시장데이터없음 ","")&amp;IF(AND(ISNUMBER(U551),U551&lt;0),"만기경과 ","")))</f>
        <v/>
      </c>
      <c r="AX551" s="90" t="n">
        <f aca="false">IF(Q551&lt;&gt;1,1,IF(스프레드쇼크!$C$4="Y",INDEX(스프레드쇼크!$B$12:$L$16,IFERROR(MATCH(AH551,스프레드쇼크!$A$12:$A$16,0),MATCH("목록외",스프레드쇼크!$A$12:$A$16,0)),IFERROR(MATCH(AG551,스프레드쇼크!$B$11:$L$11,0),MATCH("목록외",스프레드쇼크!$B$11:$L$11,0))),1))</f>
        <v>1</v>
      </c>
      <c r="AY551" s="90" t="n">
        <f aca="false">IF(스프레드쇼크!$C$5="Y",IF(ISNUMBER(AF551),MIN(스프레드쇼크!$C$7,MAX(스프레드쇼크!$C$6,AF551/스프레드쇼크!$C$8)),1),1)</f>
        <v>1</v>
      </c>
      <c r="AZ551" s="94" t="n">
        <f aca="false">AN551*AX551*AY551</f>
        <v>0</v>
      </c>
      <c r="BA551" s="90" t="n">
        <f aca="false">IF(ISNUMBER(G551),AA551*G551,0)</f>
        <v>0</v>
      </c>
      <c r="BB551" s="90" t="n">
        <f aca="false">IF(ISNUMBER(G551),AA551,0)</f>
        <v>0</v>
      </c>
      <c r="BC551" s="90" t="n">
        <f aca="false">IF(AND(Y551=0,ISNUMBER(AF551)),AA551*AF551,0)</f>
        <v>0</v>
      </c>
      <c r="BD551" s="90" t="n">
        <f aca="false">IF(AND(Y551=0,ISNUMBER(AF551)),AA551,0)</f>
        <v>0</v>
      </c>
      <c r="BE551" s="90" t="n">
        <f aca="false">IF(ISNUMBER(H551),AA551*H551,0)</f>
        <v>0</v>
      </c>
      <c r="BF551" s="90" t="n">
        <f aca="false">IF(ISNUMBER(H551),AA551,0)</f>
        <v>0</v>
      </c>
      <c r="BG551" s="90" t="n">
        <f aca="false">IF(AND(Y551=0,ISNUMBER(AF551),ISNUMBER(Z551)),AA551*Z551,0)</f>
        <v>0</v>
      </c>
      <c r="BH551" s="90" t="n">
        <f aca="false">IF(AND(Y551=0,ISNUMBER(AF551),ISNUMBER(Z551)),AA551*AT551*MAX(Z551-1,0),0)</f>
        <v>0</v>
      </c>
      <c r="BI551" s="90" t="n">
        <f aca="false">IF(Y551=0,AA551,0)</f>
        <v>0</v>
      </c>
    </row>
    <row r="552" customFormat="false" ht="15" hidden="false" customHeight="false" outlineLevel="0" collapsed="false">
      <c r="A552" s="83" t="str">
        <f aca="false">IFERROR(IF(INDEX(원자료_잔고!$A$1:$EZ$1500,설정!$L$5+ROW()-1,설정!$L$8)&amp;""="0","",INDEX(원자료_잔고!$A$1:$EZ$1500,설정!$L$5+ROW()-1,설정!$L$8)&amp;""),"")</f>
        <v/>
      </c>
      <c r="B552" s="83" t="str">
        <f aca="false">IFERROR(IF(INDEX(원자료_잔고!$A$1:$EZ$1500,설정!$L$5+ROW()-1,설정!$L$7)&amp;""="0","",INDEX(원자료_잔고!$A$1:$EZ$1500,설정!$L$5+ROW()-1,설정!$L$7)&amp;""),"")</f>
        <v/>
      </c>
      <c r="C552" s="83" t="str">
        <f aca="false">IFERROR(IF(INDEX(원자료_잔고!$A$1:$EZ$1500,설정!$L$5+ROW()-1,설정!$L$9)&amp;""="0","",INDEX(원자료_잔고!$A$1:$EZ$1500,설정!$L$5+ROW()-1,설정!$L$9)&amp;""),"")</f>
        <v/>
      </c>
      <c r="D552" s="83" t="str">
        <f aca="false">IFERROR(IF(INDEX(원자료_잔고!$A$1:$EZ$1500,설정!$L$5+ROW()-1,설정!$L$10)&amp;""="0","",INDEX(원자료_잔고!$A$1:$EZ$1500,설정!$L$5+ROW()-1,설정!$L$10)&amp;""),"")</f>
        <v/>
      </c>
      <c r="E552" s="84" t="str">
        <f aca="false">IFERROR(IF(ISNUMBER(INDEX(원자료_잔고!$A$1:$EZ$1500,설정!$L$5+ROW()-1,설정!$L$11)),INDEX(원자료_잔고!$A$1:$EZ$1500,설정!$L$5+ROW()-1,설정!$L$11),""),"")</f>
        <v/>
      </c>
      <c r="F552" s="85" t="str">
        <f aca="false">IFERROR(IF(ISNUMBER(INDEX(원자료_잔고!$A$1:$EZ$1500,설정!$L$5+ROW()-1,설정!$L$12)),INDEX(원자료_잔고!$A$1:$EZ$1500,설정!$L$5+ROW()-1,설정!$L$12),""),"")</f>
        <v/>
      </c>
      <c r="G552" s="85" t="str">
        <f aca="false">IFERROR(IF(ISNUMBER(INDEX(원자료_잔고!$A$1:$EZ$1500,설정!$L$5+ROW()-1,설정!$L$13)),INDEX(원자료_잔고!$A$1:$EZ$1500,설정!$L$5+ROW()-1,설정!$L$13),""),"")</f>
        <v/>
      </c>
      <c r="H552" s="85" t="str">
        <f aca="false">IFERROR(IF(ISNUMBER(INDEX(원자료_잔고!$A$1:$EZ$1500,설정!$L$5+ROW()-1,설정!$L$14)),INDEX(원자료_잔고!$A$1:$EZ$1500,설정!$L$5+ROW()-1,설정!$L$14),""),"")</f>
        <v/>
      </c>
      <c r="I552" s="86" t="str">
        <f aca="false">IFERROR(IF(ISNUMBER(INDEX(원자료_잔고!$A$1:$EZ$1500,설정!$L$5+ROW()-1,설정!$L$15)),INDEX(원자료_잔고!$A$1:$EZ$1500,설정!$L$5+ROW()-1,설정!$L$15),""),"")</f>
        <v/>
      </c>
      <c r="J552" s="85" t="str">
        <f aca="false">IFERROR(IF(ISNUMBER(INDEX(원자료_잔고!$A$1:$EZ$1500,설정!$L$5+ROW()-1,설정!$L$16)),INDEX(원자료_잔고!$A$1:$EZ$1500,설정!$L$5+ROW()-1,설정!$L$16),""),"")</f>
        <v/>
      </c>
      <c r="K552" s="87" t="str">
        <f aca="false">IFERROR(IF(ISNUMBER(INDEX(원자료_잔고!$A$1:$EZ$1500,설정!$L$5+ROW()-1,설정!$L$17)),INDEX(원자료_잔고!$A$1:$EZ$1500,설정!$L$5+ROW()-1,설정!$L$17),""),"")</f>
        <v/>
      </c>
      <c r="L552" s="84" t="str">
        <f aca="false">IFERROR(IF(ISNUMBER(INDEX(원자료_잔고!$A$1:$EZ$1500,설정!$L$5+ROW()-1,설정!$L$18)),INDEX(원자료_잔고!$A$1:$EZ$1500,설정!$L$5+ROW()-1,설정!$L$18),""),"")</f>
        <v/>
      </c>
      <c r="M552" s="88" t="str">
        <f aca="false">IFERROR(IF(ISNUMBER(INDEX(원자료_잔고!$A$1:$EZ$1500,설정!$L$5+ROW()-1,설정!$L$19)),INDEX(원자료_잔고!$A$1:$EZ$1500,설정!$L$5+ROW()-1,설정!$L$19),""),"")</f>
        <v/>
      </c>
      <c r="N552" s="83" t="str">
        <f aca="false">IFERROR(IF(INDEX(원자료_잔고!$A$1:$EZ$1500,설정!$L$5+ROW()-1,설정!$L$21)&amp;""="0","",INDEX(원자료_잔고!$A$1:$EZ$1500,설정!$L$5+ROW()-1,설정!$L$21)&amp;""),"")</f>
        <v/>
      </c>
      <c r="O552" s="83" t="str">
        <f aca="false">IFERROR(IF(INDEX(원자료_잔고!$A$1:$EZ$1500,설정!$L$5+ROW()-1,설정!$L$22)&amp;""="0","",INDEX(원자료_잔고!$A$1:$EZ$1500,설정!$L$5+ROW()-1,설정!$L$22)&amp;""),"")</f>
        <v/>
      </c>
      <c r="P552" s="83" t="str">
        <f aca="false">IFERROR(IF(INDEX(원자료_잔고!$A$1:$EZ$1500,설정!$L$5+ROW()-1,설정!$L$23)&amp;""="0","",INDEX(원자료_잔고!$A$1:$EZ$1500,설정!$L$5+ROW()-1,설정!$L$23)&amp;""),"")</f>
        <v/>
      </c>
      <c r="Q552" s="89" t="n">
        <f aca="false">IF(AND($A552&lt;&gt;"",ISNUMBER(E552)),IF(E552&gt;0,1,0),0)</f>
        <v>0</v>
      </c>
      <c r="R552" s="43" t="str">
        <f aca="false">IF(Q552=1,UPPER(LEFT($A552,FIND(" ",$A552&amp;" ")-1)),"")</f>
        <v/>
      </c>
      <c r="S552" s="89" t="n">
        <f aca="false">IF(Q552=1,IF(OR(ISNUMBER(SEARCH("Float",$A552)),ISNUMBER(SEARCH("FRN",$A552))),1,0),0)</f>
        <v>0</v>
      </c>
      <c r="T552" s="43" t="str">
        <f aca="false">IF(AND(Q552=1,ISNUMBER(I552)),TEXT(I552,"yyyymmdd")&amp;"|"&amp;IF(S552=1,"F",TEXT(J552,"0.000")),"")</f>
        <v/>
      </c>
      <c r="U552" s="90" t="str">
        <f aca="false">IF(AND(Q552=1,ISNUMBER(I552)),(I552-설정!$C$4)/365.25,"")</f>
        <v/>
      </c>
      <c r="V552" s="43" t="str">
        <f aca="false">IF(Q552&lt;&gt;1,"",IF(ISNUMBER(U552),IF(U552&lt;=1,"1년 이하",IF(U552&lt;=2,"1-2년",IF(U552&lt;=3,"2-3년",IF(U552&lt;=4,"3-4년",IF(U552&lt;=5,"4-5년",IF(U552&lt;=7,"5-7년",IF(U552&lt;=10,"7-10년",IF(U552&lt;=20,"10-20년","20년 이상")))))))),"미분류"))</f>
        <v/>
      </c>
      <c r="W552" s="43" t="str">
        <f aca="false">IF(Q552&lt;&gt;1,"",IF(AB552&lt;&gt;"",INDEX(시장분석!$C:$C,AB552),IF(K552=1,"USD","비USD")))</f>
        <v/>
      </c>
      <c r="X552" s="91" t="n">
        <f aca="false">IF(Q552=1,E552*K552/1000000,0)</f>
        <v>0</v>
      </c>
      <c r="Y552" s="89" t="n">
        <f aca="false">IF(R552="T",1,0)</f>
        <v>0</v>
      </c>
      <c r="Z552" s="92" t="str">
        <f aca="false">IF(Q552&lt;&gt;1,"",IF(AD552=1,IF(ISNUMBER(U552),MAX(U552,0),H552),H552))</f>
        <v/>
      </c>
      <c r="AA552" s="91" t="n">
        <f aca="false">IF(Q552=1,IF(ISNUMBER(L552),L552,0)*K552/1000000,0)</f>
        <v>0</v>
      </c>
      <c r="AB552" s="89" t="str">
        <f aca="false">IF(Q552&lt;&gt;1,"",IFERROR(MATCH(VLOOKUP(B552,매핑!$H$4:$I$15,2,0),시장분석!$A$2:$A$601,0)+1,IFERROR(MATCH(R552&amp;"|"&amp;T552,시장분석!$V$2:$V$601,0)+1,IF(COUNTIF(시장분석!$U$2:$U$601,T552)=1,MATCH(T552,시장분석!$U$2:$U$601,0)+1,""))))</f>
        <v/>
      </c>
      <c r="AC552" s="89" t="n">
        <f aca="false">IF(Q552&lt;&gt;1,0,IF(OR(설정!$C$5="전체",AND(설정!$C$5="선택펀드",IFERROR(COUNTIFS(설정!$F$16:$F$36,C552,설정!$G$16:$G$36,"Y")+COUNTIFS(설정!$F$16:$F$36,VALUE(C552),설정!$G$16:$G$36,"Y"),0)&gt;0),C552&amp;""=설정!$C$5&amp;""),1,0))</f>
        <v>0</v>
      </c>
      <c r="AD552" s="89" t="n">
        <f aca="false">IF(Q552&lt;&gt;1,0,IF(OR(S552=1,IF(AB552="",FALSE(),INDEX(시장분석!$R:$R,AB552)=1)),1,0))</f>
        <v>0</v>
      </c>
      <c r="AE552" s="43" t="str">
        <f aca="false">IF(AB552="","",INDEX(시장분석!$A:$A,AB552))</f>
        <v/>
      </c>
      <c r="AF552" s="93" t="str">
        <f aca="false">IF(AB552="","",IF(ISNUMBER(IF(AB552="","",INDEX(시장분석!$E:$E,AB552))),IF(AB552="","",INDEX(시장분석!$E:$E,AB552)),""))</f>
        <v/>
      </c>
      <c r="AG552" s="43" t="str">
        <f aca="false">IF(Q552&lt;&gt;1,"",IF(AB552&lt;&gt;"",IF(AB552="","",INDEX(시장분석!$L:$L,AB552)),IFERROR(IF(VLOOKUP(R552,매핑!$A$4:$E$92,5,0)="","미분류",VLOOKUP(R552,매핑!$A$4:$E$92,5,0)),"미분류")))</f>
        <v/>
      </c>
      <c r="AH552" s="43" t="str">
        <f aca="false">IF(Q552&lt;&gt;1,"",IF(AB552&lt;&gt;"",IF(AB552="","",INDEX(시장분석!$N:$N,AB552)),IFERROR(IF(VLOOKUP(R552,매핑!$A$4:$E$92,4,0)="","미분류",VLOOKUP(R552,매핑!$A$4:$E$92,4,0)),"미분류")))</f>
        <v/>
      </c>
      <c r="AI552" s="43" t="str">
        <f aca="false">IF(Q552&lt;&gt;1,"",IFERROR(IF(VLOOKUP(R552,매핑!$A$4:$E$92,3,0)="","미분류",VLOOKUP(R552,매핑!$A$4:$E$92,3,0)),IF(AB552&lt;&gt;"",IF(AB552="","",INDEX(시장분석!$W:$W,AB552)),"미분류")))</f>
        <v/>
      </c>
      <c r="AJ552" s="43" t="str">
        <f aca="false">IF(Q552&lt;&gt;1,"",IFERROR(VLOOKUP(IF(N552&lt;&gt;"",N552,IF(P552&lt;&gt;"",P552,O552)),설정!$A$15:$D$47,2,0),""))</f>
        <v/>
      </c>
      <c r="AK552" s="43" t="str">
        <f aca="false">IF(Q552&lt;&gt;1,"",IF(AJ552="","무등급",IFERROR(VLOOKUP(AJ552,설정!$A$15:$D$47,3,0),"무등급")))</f>
        <v/>
      </c>
      <c r="AL552" s="89" t="n">
        <f aca="false">IF(AJ552="",99,IFERROR(VLOOKUP(AJ552,설정!$A$15:$D$47,4,0),99))</f>
        <v>99</v>
      </c>
      <c r="AM552" s="94" t="n">
        <f aca="false">IF(ISNUMBER(H552),AA552*1000000*H552/10000,0)</f>
        <v>0</v>
      </c>
      <c r="AN552" s="94" t="n">
        <f aca="false">IF(OR(Y552=1,NOT(ISNUMBER(Z552))),0,AA552*1000000*Z552/10000)</f>
        <v>0</v>
      </c>
      <c r="AO552" s="94" t="n">
        <f aca="false">IF(ISNUMBER(G552),AA552*1000000*G552/100,0)</f>
        <v>0</v>
      </c>
      <c r="AP552" s="94" t="n">
        <f aca="false">IF(ISNUMBER(M552),M552*K552,0)</f>
        <v>0</v>
      </c>
      <c r="AQ552" s="95" t="str">
        <f aca="false">IF(AB552="","",INDEX(시장분석!$AK:$AK,AB552))</f>
        <v/>
      </c>
      <c r="AR552" s="43" t="str">
        <f aca="false">IF(AB552="","-",IF(AB552="","",INDEX(시장분석!$AL:$AL,AB552)))</f>
        <v>-</v>
      </c>
      <c r="AS552" s="96" t="str">
        <f aca="false">IF(AB552="","",INDEX(시장분석!$AJ:$AJ,AB552))</f>
        <v/>
      </c>
      <c r="AT552" s="93" t="n">
        <f aca="false">IF(AB552="",0,IF(AB552="","",INDEX(시장분석!$AN:$AN,AB552)))</f>
        <v>0</v>
      </c>
      <c r="AU552" s="94" t="n">
        <f aca="false">IF(ISNUMBER(Z552),AT552/10000*MAX(Z552-1,0)*AA552*1000000,0)</f>
        <v>0</v>
      </c>
      <c r="AV552" s="94" t="n">
        <f aca="false">AO552+AU552</f>
        <v>0</v>
      </c>
      <c r="AW552" s="43" t="str">
        <f aca="false">IF(Q552&lt;&gt;1,"",TRIM(IF(AD552=1,"FRN ","")&amp;IF(AND(AL552&gt;=10,AL552&lt;99),"BBB0미만 ","")&amp;IF(AJ552="","등급없음 ","")&amp;IF(K552&lt;&gt;1,"비USD ","")&amp;IF(AND(AB552="",Y552=0),"시장데이터없음 ","")&amp;IF(AND(ISNUMBER(U552),U552&lt;0),"만기경과 ","")))</f>
        <v/>
      </c>
      <c r="AX552" s="90" t="n">
        <f aca="false">IF(Q552&lt;&gt;1,1,IF(스프레드쇼크!$C$4="Y",INDEX(스프레드쇼크!$B$12:$L$16,IFERROR(MATCH(AH552,스프레드쇼크!$A$12:$A$16,0),MATCH("목록외",스프레드쇼크!$A$12:$A$16,0)),IFERROR(MATCH(AG552,스프레드쇼크!$B$11:$L$11,0),MATCH("목록외",스프레드쇼크!$B$11:$L$11,0))),1))</f>
        <v>1</v>
      </c>
      <c r="AY552" s="90" t="n">
        <f aca="false">IF(스프레드쇼크!$C$5="Y",IF(ISNUMBER(AF552),MIN(스프레드쇼크!$C$7,MAX(스프레드쇼크!$C$6,AF552/스프레드쇼크!$C$8)),1),1)</f>
        <v>1</v>
      </c>
      <c r="AZ552" s="94" t="n">
        <f aca="false">AN552*AX552*AY552</f>
        <v>0</v>
      </c>
      <c r="BA552" s="90" t="n">
        <f aca="false">IF(ISNUMBER(G552),AA552*G552,0)</f>
        <v>0</v>
      </c>
      <c r="BB552" s="90" t="n">
        <f aca="false">IF(ISNUMBER(G552),AA552,0)</f>
        <v>0</v>
      </c>
      <c r="BC552" s="90" t="n">
        <f aca="false">IF(AND(Y552=0,ISNUMBER(AF552)),AA552*AF552,0)</f>
        <v>0</v>
      </c>
      <c r="BD552" s="90" t="n">
        <f aca="false">IF(AND(Y552=0,ISNUMBER(AF552)),AA552,0)</f>
        <v>0</v>
      </c>
      <c r="BE552" s="90" t="n">
        <f aca="false">IF(ISNUMBER(H552),AA552*H552,0)</f>
        <v>0</v>
      </c>
      <c r="BF552" s="90" t="n">
        <f aca="false">IF(ISNUMBER(H552),AA552,0)</f>
        <v>0</v>
      </c>
      <c r="BG552" s="90" t="n">
        <f aca="false">IF(AND(Y552=0,ISNUMBER(AF552),ISNUMBER(Z552)),AA552*Z552,0)</f>
        <v>0</v>
      </c>
      <c r="BH552" s="90" t="n">
        <f aca="false">IF(AND(Y552=0,ISNUMBER(AF552),ISNUMBER(Z552)),AA552*AT552*MAX(Z552-1,0),0)</f>
        <v>0</v>
      </c>
      <c r="BI552" s="90" t="n">
        <f aca="false">IF(Y552=0,AA552,0)</f>
        <v>0</v>
      </c>
    </row>
    <row r="553" customFormat="false" ht="15" hidden="false" customHeight="false" outlineLevel="0" collapsed="false">
      <c r="A553" s="83" t="str">
        <f aca="false">IFERROR(IF(INDEX(원자료_잔고!$A$1:$EZ$1500,설정!$L$5+ROW()-1,설정!$L$8)&amp;""="0","",INDEX(원자료_잔고!$A$1:$EZ$1500,설정!$L$5+ROW()-1,설정!$L$8)&amp;""),"")</f>
        <v/>
      </c>
      <c r="B553" s="83" t="str">
        <f aca="false">IFERROR(IF(INDEX(원자료_잔고!$A$1:$EZ$1500,설정!$L$5+ROW()-1,설정!$L$7)&amp;""="0","",INDEX(원자료_잔고!$A$1:$EZ$1500,설정!$L$5+ROW()-1,설정!$L$7)&amp;""),"")</f>
        <v/>
      </c>
      <c r="C553" s="83" t="str">
        <f aca="false">IFERROR(IF(INDEX(원자료_잔고!$A$1:$EZ$1500,설정!$L$5+ROW()-1,설정!$L$9)&amp;""="0","",INDEX(원자료_잔고!$A$1:$EZ$1500,설정!$L$5+ROW()-1,설정!$L$9)&amp;""),"")</f>
        <v/>
      </c>
      <c r="D553" s="83" t="str">
        <f aca="false">IFERROR(IF(INDEX(원자료_잔고!$A$1:$EZ$1500,설정!$L$5+ROW()-1,설정!$L$10)&amp;""="0","",INDEX(원자료_잔고!$A$1:$EZ$1500,설정!$L$5+ROW()-1,설정!$L$10)&amp;""),"")</f>
        <v/>
      </c>
      <c r="E553" s="84" t="str">
        <f aca="false">IFERROR(IF(ISNUMBER(INDEX(원자료_잔고!$A$1:$EZ$1500,설정!$L$5+ROW()-1,설정!$L$11)),INDEX(원자료_잔고!$A$1:$EZ$1500,설정!$L$5+ROW()-1,설정!$L$11),""),"")</f>
        <v/>
      </c>
      <c r="F553" s="85" t="str">
        <f aca="false">IFERROR(IF(ISNUMBER(INDEX(원자료_잔고!$A$1:$EZ$1500,설정!$L$5+ROW()-1,설정!$L$12)),INDEX(원자료_잔고!$A$1:$EZ$1500,설정!$L$5+ROW()-1,설정!$L$12),""),"")</f>
        <v/>
      </c>
      <c r="G553" s="85" t="str">
        <f aca="false">IFERROR(IF(ISNUMBER(INDEX(원자료_잔고!$A$1:$EZ$1500,설정!$L$5+ROW()-1,설정!$L$13)),INDEX(원자료_잔고!$A$1:$EZ$1500,설정!$L$5+ROW()-1,설정!$L$13),""),"")</f>
        <v/>
      </c>
      <c r="H553" s="85" t="str">
        <f aca="false">IFERROR(IF(ISNUMBER(INDEX(원자료_잔고!$A$1:$EZ$1500,설정!$L$5+ROW()-1,설정!$L$14)),INDEX(원자료_잔고!$A$1:$EZ$1500,설정!$L$5+ROW()-1,설정!$L$14),""),"")</f>
        <v/>
      </c>
      <c r="I553" s="86" t="str">
        <f aca="false">IFERROR(IF(ISNUMBER(INDEX(원자료_잔고!$A$1:$EZ$1500,설정!$L$5+ROW()-1,설정!$L$15)),INDEX(원자료_잔고!$A$1:$EZ$1500,설정!$L$5+ROW()-1,설정!$L$15),""),"")</f>
        <v/>
      </c>
      <c r="J553" s="85" t="str">
        <f aca="false">IFERROR(IF(ISNUMBER(INDEX(원자료_잔고!$A$1:$EZ$1500,설정!$L$5+ROW()-1,설정!$L$16)),INDEX(원자료_잔고!$A$1:$EZ$1500,설정!$L$5+ROW()-1,설정!$L$16),""),"")</f>
        <v/>
      </c>
      <c r="K553" s="87" t="str">
        <f aca="false">IFERROR(IF(ISNUMBER(INDEX(원자료_잔고!$A$1:$EZ$1500,설정!$L$5+ROW()-1,설정!$L$17)),INDEX(원자료_잔고!$A$1:$EZ$1500,설정!$L$5+ROW()-1,설정!$L$17),""),"")</f>
        <v/>
      </c>
      <c r="L553" s="84" t="str">
        <f aca="false">IFERROR(IF(ISNUMBER(INDEX(원자료_잔고!$A$1:$EZ$1500,설정!$L$5+ROW()-1,설정!$L$18)),INDEX(원자료_잔고!$A$1:$EZ$1500,설정!$L$5+ROW()-1,설정!$L$18),""),"")</f>
        <v/>
      </c>
      <c r="M553" s="88" t="str">
        <f aca="false">IFERROR(IF(ISNUMBER(INDEX(원자료_잔고!$A$1:$EZ$1500,설정!$L$5+ROW()-1,설정!$L$19)),INDEX(원자료_잔고!$A$1:$EZ$1500,설정!$L$5+ROW()-1,설정!$L$19),""),"")</f>
        <v/>
      </c>
      <c r="N553" s="83" t="str">
        <f aca="false">IFERROR(IF(INDEX(원자료_잔고!$A$1:$EZ$1500,설정!$L$5+ROW()-1,설정!$L$21)&amp;""="0","",INDEX(원자료_잔고!$A$1:$EZ$1500,설정!$L$5+ROW()-1,설정!$L$21)&amp;""),"")</f>
        <v/>
      </c>
      <c r="O553" s="83" t="str">
        <f aca="false">IFERROR(IF(INDEX(원자료_잔고!$A$1:$EZ$1500,설정!$L$5+ROW()-1,설정!$L$22)&amp;""="0","",INDEX(원자료_잔고!$A$1:$EZ$1500,설정!$L$5+ROW()-1,설정!$L$22)&amp;""),"")</f>
        <v/>
      </c>
      <c r="P553" s="83" t="str">
        <f aca="false">IFERROR(IF(INDEX(원자료_잔고!$A$1:$EZ$1500,설정!$L$5+ROW()-1,설정!$L$23)&amp;""="0","",INDEX(원자료_잔고!$A$1:$EZ$1500,설정!$L$5+ROW()-1,설정!$L$23)&amp;""),"")</f>
        <v/>
      </c>
      <c r="Q553" s="89" t="n">
        <f aca="false">IF(AND($A553&lt;&gt;"",ISNUMBER(E553)),IF(E553&gt;0,1,0),0)</f>
        <v>0</v>
      </c>
      <c r="R553" s="43" t="str">
        <f aca="false">IF(Q553=1,UPPER(LEFT($A553,FIND(" ",$A553&amp;" ")-1)),"")</f>
        <v/>
      </c>
      <c r="S553" s="89" t="n">
        <f aca="false">IF(Q553=1,IF(OR(ISNUMBER(SEARCH("Float",$A553)),ISNUMBER(SEARCH("FRN",$A553))),1,0),0)</f>
        <v>0</v>
      </c>
      <c r="T553" s="43" t="str">
        <f aca="false">IF(AND(Q553=1,ISNUMBER(I553)),TEXT(I553,"yyyymmdd")&amp;"|"&amp;IF(S553=1,"F",TEXT(J553,"0.000")),"")</f>
        <v/>
      </c>
      <c r="U553" s="90" t="str">
        <f aca="false">IF(AND(Q553=1,ISNUMBER(I553)),(I553-설정!$C$4)/365.25,"")</f>
        <v/>
      </c>
      <c r="V553" s="43" t="str">
        <f aca="false">IF(Q553&lt;&gt;1,"",IF(ISNUMBER(U553),IF(U553&lt;=1,"1년 이하",IF(U553&lt;=2,"1-2년",IF(U553&lt;=3,"2-3년",IF(U553&lt;=4,"3-4년",IF(U553&lt;=5,"4-5년",IF(U553&lt;=7,"5-7년",IF(U553&lt;=10,"7-10년",IF(U553&lt;=20,"10-20년","20년 이상")))))))),"미분류"))</f>
        <v/>
      </c>
      <c r="W553" s="43" t="str">
        <f aca="false">IF(Q553&lt;&gt;1,"",IF(AB553&lt;&gt;"",INDEX(시장분석!$C:$C,AB553),IF(K553=1,"USD","비USD")))</f>
        <v/>
      </c>
      <c r="X553" s="91" t="n">
        <f aca="false">IF(Q553=1,E553*K553/1000000,0)</f>
        <v>0</v>
      </c>
      <c r="Y553" s="89" t="n">
        <f aca="false">IF(R553="T",1,0)</f>
        <v>0</v>
      </c>
      <c r="Z553" s="92" t="str">
        <f aca="false">IF(Q553&lt;&gt;1,"",IF(AD553=1,IF(ISNUMBER(U553),MAX(U553,0),H553),H553))</f>
        <v/>
      </c>
      <c r="AA553" s="91" t="n">
        <f aca="false">IF(Q553=1,IF(ISNUMBER(L553),L553,0)*K553/1000000,0)</f>
        <v>0</v>
      </c>
      <c r="AB553" s="89" t="str">
        <f aca="false">IF(Q553&lt;&gt;1,"",IFERROR(MATCH(VLOOKUP(B553,매핑!$H$4:$I$15,2,0),시장분석!$A$2:$A$601,0)+1,IFERROR(MATCH(R553&amp;"|"&amp;T553,시장분석!$V$2:$V$601,0)+1,IF(COUNTIF(시장분석!$U$2:$U$601,T553)=1,MATCH(T553,시장분석!$U$2:$U$601,0)+1,""))))</f>
        <v/>
      </c>
      <c r="AC553" s="89" t="n">
        <f aca="false">IF(Q553&lt;&gt;1,0,IF(OR(설정!$C$5="전체",AND(설정!$C$5="선택펀드",IFERROR(COUNTIFS(설정!$F$16:$F$36,C553,설정!$G$16:$G$36,"Y")+COUNTIFS(설정!$F$16:$F$36,VALUE(C553),설정!$G$16:$G$36,"Y"),0)&gt;0),C553&amp;""=설정!$C$5&amp;""),1,0))</f>
        <v>0</v>
      </c>
      <c r="AD553" s="89" t="n">
        <f aca="false">IF(Q553&lt;&gt;1,0,IF(OR(S553=1,IF(AB553="",FALSE(),INDEX(시장분석!$R:$R,AB553)=1)),1,0))</f>
        <v>0</v>
      </c>
      <c r="AE553" s="43" t="str">
        <f aca="false">IF(AB553="","",INDEX(시장분석!$A:$A,AB553))</f>
        <v/>
      </c>
      <c r="AF553" s="93" t="str">
        <f aca="false">IF(AB553="","",IF(ISNUMBER(IF(AB553="","",INDEX(시장분석!$E:$E,AB553))),IF(AB553="","",INDEX(시장분석!$E:$E,AB553)),""))</f>
        <v/>
      </c>
      <c r="AG553" s="43" t="str">
        <f aca="false">IF(Q553&lt;&gt;1,"",IF(AB553&lt;&gt;"",IF(AB553="","",INDEX(시장분석!$L:$L,AB553)),IFERROR(IF(VLOOKUP(R553,매핑!$A$4:$E$92,5,0)="","미분류",VLOOKUP(R553,매핑!$A$4:$E$92,5,0)),"미분류")))</f>
        <v/>
      </c>
      <c r="AH553" s="43" t="str">
        <f aca="false">IF(Q553&lt;&gt;1,"",IF(AB553&lt;&gt;"",IF(AB553="","",INDEX(시장분석!$N:$N,AB553)),IFERROR(IF(VLOOKUP(R553,매핑!$A$4:$E$92,4,0)="","미분류",VLOOKUP(R553,매핑!$A$4:$E$92,4,0)),"미분류")))</f>
        <v/>
      </c>
      <c r="AI553" s="43" t="str">
        <f aca="false">IF(Q553&lt;&gt;1,"",IFERROR(IF(VLOOKUP(R553,매핑!$A$4:$E$92,3,0)="","미분류",VLOOKUP(R553,매핑!$A$4:$E$92,3,0)),IF(AB553&lt;&gt;"",IF(AB553="","",INDEX(시장분석!$W:$W,AB553)),"미분류")))</f>
        <v/>
      </c>
      <c r="AJ553" s="43" t="str">
        <f aca="false">IF(Q553&lt;&gt;1,"",IFERROR(VLOOKUP(IF(N553&lt;&gt;"",N553,IF(P553&lt;&gt;"",P553,O553)),설정!$A$15:$D$47,2,0),""))</f>
        <v/>
      </c>
      <c r="AK553" s="43" t="str">
        <f aca="false">IF(Q553&lt;&gt;1,"",IF(AJ553="","무등급",IFERROR(VLOOKUP(AJ553,설정!$A$15:$D$47,3,0),"무등급")))</f>
        <v/>
      </c>
      <c r="AL553" s="89" t="n">
        <f aca="false">IF(AJ553="",99,IFERROR(VLOOKUP(AJ553,설정!$A$15:$D$47,4,0),99))</f>
        <v>99</v>
      </c>
      <c r="AM553" s="94" t="n">
        <f aca="false">IF(ISNUMBER(H553),AA553*1000000*H553/10000,0)</f>
        <v>0</v>
      </c>
      <c r="AN553" s="94" t="n">
        <f aca="false">IF(OR(Y553=1,NOT(ISNUMBER(Z553))),0,AA553*1000000*Z553/10000)</f>
        <v>0</v>
      </c>
      <c r="AO553" s="94" t="n">
        <f aca="false">IF(ISNUMBER(G553),AA553*1000000*G553/100,0)</f>
        <v>0</v>
      </c>
      <c r="AP553" s="94" t="n">
        <f aca="false">IF(ISNUMBER(M553),M553*K553,0)</f>
        <v>0</v>
      </c>
      <c r="AQ553" s="95" t="str">
        <f aca="false">IF(AB553="","",INDEX(시장분석!$AK:$AK,AB553))</f>
        <v/>
      </c>
      <c r="AR553" s="43" t="str">
        <f aca="false">IF(AB553="","-",IF(AB553="","",INDEX(시장분석!$AL:$AL,AB553)))</f>
        <v>-</v>
      </c>
      <c r="AS553" s="96" t="str">
        <f aca="false">IF(AB553="","",INDEX(시장분석!$AJ:$AJ,AB553))</f>
        <v/>
      </c>
      <c r="AT553" s="93" t="n">
        <f aca="false">IF(AB553="",0,IF(AB553="","",INDEX(시장분석!$AN:$AN,AB553)))</f>
        <v>0</v>
      </c>
      <c r="AU553" s="94" t="n">
        <f aca="false">IF(ISNUMBER(Z553),AT553/10000*MAX(Z553-1,0)*AA553*1000000,0)</f>
        <v>0</v>
      </c>
      <c r="AV553" s="94" t="n">
        <f aca="false">AO553+AU553</f>
        <v>0</v>
      </c>
      <c r="AW553" s="43" t="str">
        <f aca="false">IF(Q553&lt;&gt;1,"",TRIM(IF(AD553=1,"FRN ","")&amp;IF(AND(AL553&gt;=10,AL553&lt;99),"BBB0미만 ","")&amp;IF(AJ553="","등급없음 ","")&amp;IF(K553&lt;&gt;1,"비USD ","")&amp;IF(AND(AB553="",Y553=0),"시장데이터없음 ","")&amp;IF(AND(ISNUMBER(U553),U553&lt;0),"만기경과 ","")))</f>
        <v/>
      </c>
      <c r="AX553" s="90" t="n">
        <f aca="false">IF(Q553&lt;&gt;1,1,IF(스프레드쇼크!$C$4="Y",INDEX(스프레드쇼크!$B$12:$L$16,IFERROR(MATCH(AH553,스프레드쇼크!$A$12:$A$16,0),MATCH("목록외",스프레드쇼크!$A$12:$A$16,0)),IFERROR(MATCH(AG553,스프레드쇼크!$B$11:$L$11,0),MATCH("목록외",스프레드쇼크!$B$11:$L$11,0))),1))</f>
        <v>1</v>
      </c>
      <c r="AY553" s="90" t="n">
        <f aca="false">IF(스프레드쇼크!$C$5="Y",IF(ISNUMBER(AF553),MIN(스프레드쇼크!$C$7,MAX(스프레드쇼크!$C$6,AF553/스프레드쇼크!$C$8)),1),1)</f>
        <v>1</v>
      </c>
      <c r="AZ553" s="94" t="n">
        <f aca="false">AN553*AX553*AY553</f>
        <v>0</v>
      </c>
      <c r="BA553" s="90" t="n">
        <f aca="false">IF(ISNUMBER(G553),AA553*G553,0)</f>
        <v>0</v>
      </c>
      <c r="BB553" s="90" t="n">
        <f aca="false">IF(ISNUMBER(G553),AA553,0)</f>
        <v>0</v>
      </c>
      <c r="BC553" s="90" t="n">
        <f aca="false">IF(AND(Y553=0,ISNUMBER(AF553)),AA553*AF553,0)</f>
        <v>0</v>
      </c>
      <c r="BD553" s="90" t="n">
        <f aca="false">IF(AND(Y553=0,ISNUMBER(AF553)),AA553,0)</f>
        <v>0</v>
      </c>
      <c r="BE553" s="90" t="n">
        <f aca="false">IF(ISNUMBER(H553),AA553*H553,0)</f>
        <v>0</v>
      </c>
      <c r="BF553" s="90" t="n">
        <f aca="false">IF(ISNUMBER(H553),AA553,0)</f>
        <v>0</v>
      </c>
      <c r="BG553" s="90" t="n">
        <f aca="false">IF(AND(Y553=0,ISNUMBER(AF553),ISNUMBER(Z553)),AA553*Z553,0)</f>
        <v>0</v>
      </c>
      <c r="BH553" s="90" t="n">
        <f aca="false">IF(AND(Y553=0,ISNUMBER(AF553),ISNUMBER(Z553)),AA553*AT553*MAX(Z553-1,0),0)</f>
        <v>0</v>
      </c>
      <c r="BI553" s="90" t="n">
        <f aca="false">IF(Y553=0,AA553,0)</f>
        <v>0</v>
      </c>
    </row>
    <row r="554" customFormat="false" ht="15" hidden="false" customHeight="false" outlineLevel="0" collapsed="false">
      <c r="A554" s="83" t="str">
        <f aca="false">IFERROR(IF(INDEX(원자료_잔고!$A$1:$EZ$1500,설정!$L$5+ROW()-1,설정!$L$8)&amp;""="0","",INDEX(원자료_잔고!$A$1:$EZ$1500,설정!$L$5+ROW()-1,설정!$L$8)&amp;""),"")</f>
        <v/>
      </c>
      <c r="B554" s="83" t="str">
        <f aca="false">IFERROR(IF(INDEX(원자료_잔고!$A$1:$EZ$1500,설정!$L$5+ROW()-1,설정!$L$7)&amp;""="0","",INDEX(원자료_잔고!$A$1:$EZ$1500,설정!$L$5+ROW()-1,설정!$L$7)&amp;""),"")</f>
        <v/>
      </c>
      <c r="C554" s="83" t="str">
        <f aca="false">IFERROR(IF(INDEX(원자료_잔고!$A$1:$EZ$1500,설정!$L$5+ROW()-1,설정!$L$9)&amp;""="0","",INDEX(원자료_잔고!$A$1:$EZ$1500,설정!$L$5+ROW()-1,설정!$L$9)&amp;""),"")</f>
        <v/>
      </c>
      <c r="D554" s="83" t="str">
        <f aca="false">IFERROR(IF(INDEX(원자료_잔고!$A$1:$EZ$1500,설정!$L$5+ROW()-1,설정!$L$10)&amp;""="0","",INDEX(원자료_잔고!$A$1:$EZ$1500,설정!$L$5+ROW()-1,설정!$L$10)&amp;""),"")</f>
        <v/>
      </c>
      <c r="E554" s="84" t="str">
        <f aca="false">IFERROR(IF(ISNUMBER(INDEX(원자료_잔고!$A$1:$EZ$1500,설정!$L$5+ROW()-1,설정!$L$11)),INDEX(원자료_잔고!$A$1:$EZ$1500,설정!$L$5+ROW()-1,설정!$L$11),""),"")</f>
        <v/>
      </c>
      <c r="F554" s="85" t="str">
        <f aca="false">IFERROR(IF(ISNUMBER(INDEX(원자료_잔고!$A$1:$EZ$1500,설정!$L$5+ROW()-1,설정!$L$12)),INDEX(원자료_잔고!$A$1:$EZ$1500,설정!$L$5+ROW()-1,설정!$L$12),""),"")</f>
        <v/>
      </c>
      <c r="G554" s="85" t="str">
        <f aca="false">IFERROR(IF(ISNUMBER(INDEX(원자료_잔고!$A$1:$EZ$1500,설정!$L$5+ROW()-1,설정!$L$13)),INDEX(원자료_잔고!$A$1:$EZ$1500,설정!$L$5+ROW()-1,설정!$L$13),""),"")</f>
        <v/>
      </c>
      <c r="H554" s="85" t="str">
        <f aca="false">IFERROR(IF(ISNUMBER(INDEX(원자료_잔고!$A$1:$EZ$1500,설정!$L$5+ROW()-1,설정!$L$14)),INDEX(원자료_잔고!$A$1:$EZ$1500,설정!$L$5+ROW()-1,설정!$L$14),""),"")</f>
        <v/>
      </c>
      <c r="I554" s="86" t="str">
        <f aca="false">IFERROR(IF(ISNUMBER(INDEX(원자료_잔고!$A$1:$EZ$1500,설정!$L$5+ROW()-1,설정!$L$15)),INDEX(원자료_잔고!$A$1:$EZ$1500,설정!$L$5+ROW()-1,설정!$L$15),""),"")</f>
        <v/>
      </c>
      <c r="J554" s="85" t="str">
        <f aca="false">IFERROR(IF(ISNUMBER(INDEX(원자료_잔고!$A$1:$EZ$1500,설정!$L$5+ROW()-1,설정!$L$16)),INDEX(원자료_잔고!$A$1:$EZ$1500,설정!$L$5+ROW()-1,설정!$L$16),""),"")</f>
        <v/>
      </c>
      <c r="K554" s="87" t="str">
        <f aca="false">IFERROR(IF(ISNUMBER(INDEX(원자료_잔고!$A$1:$EZ$1500,설정!$L$5+ROW()-1,설정!$L$17)),INDEX(원자료_잔고!$A$1:$EZ$1500,설정!$L$5+ROW()-1,설정!$L$17),""),"")</f>
        <v/>
      </c>
      <c r="L554" s="84" t="str">
        <f aca="false">IFERROR(IF(ISNUMBER(INDEX(원자료_잔고!$A$1:$EZ$1500,설정!$L$5+ROW()-1,설정!$L$18)),INDEX(원자료_잔고!$A$1:$EZ$1500,설정!$L$5+ROW()-1,설정!$L$18),""),"")</f>
        <v/>
      </c>
      <c r="M554" s="88" t="str">
        <f aca="false">IFERROR(IF(ISNUMBER(INDEX(원자료_잔고!$A$1:$EZ$1500,설정!$L$5+ROW()-1,설정!$L$19)),INDEX(원자료_잔고!$A$1:$EZ$1500,설정!$L$5+ROW()-1,설정!$L$19),""),"")</f>
        <v/>
      </c>
      <c r="N554" s="83" t="str">
        <f aca="false">IFERROR(IF(INDEX(원자료_잔고!$A$1:$EZ$1500,설정!$L$5+ROW()-1,설정!$L$21)&amp;""="0","",INDEX(원자료_잔고!$A$1:$EZ$1500,설정!$L$5+ROW()-1,설정!$L$21)&amp;""),"")</f>
        <v/>
      </c>
      <c r="O554" s="83" t="str">
        <f aca="false">IFERROR(IF(INDEX(원자료_잔고!$A$1:$EZ$1500,설정!$L$5+ROW()-1,설정!$L$22)&amp;""="0","",INDEX(원자료_잔고!$A$1:$EZ$1500,설정!$L$5+ROW()-1,설정!$L$22)&amp;""),"")</f>
        <v/>
      </c>
      <c r="P554" s="83" t="str">
        <f aca="false">IFERROR(IF(INDEX(원자료_잔고!$A$1:$EZ$1500,설정!$L$5+ROW()-1,설정!$L$23)&amp;""="0","",INDEX(원자료_잔고!$A$1:$EZ$1500,설정!$L$5+ROW()-1,설정!$L$23)&amp;""),"")</f>
        <v/>
      </c>
      <c r="Q554" s="89" t="n">
        <f aca="false">IF(AND($A554&lt;&gt;"",ISNUMBER(E554)),IF(E554&gt;0,1,0),0)</f>
        <v>0</v>
      </c>
      <c r="R554" s="43" t="str">
        <f aca="false">IF(Q554=1,UPPER(LEFT($A554,FIND(" ",$A554&amp;" ")-1)),"")</f>
        <v/>
      </c>
      <c r="S554" s="89" t="n">
        <f aca="false">IF(Q554=1,IF(OR(ISNUMBER(SEARCH("Float",$A554)),ISNUMBER(SEARCH("FRN",$A554))),1,0),0)</f>
        <v>0</v>
      </c>
      <c r="T554" s="43" t="str">
        <f aca="false">IF(AND(Q554=1,ISNUMBER(I554)),TEXT(I554,"yyyymmdd")&amp;"|"&amp;IF(S554=1,"F",TEXT(J554,"0.000")),"")</f>
        <v/>
      </c>
      <c r="U554" s="90" t="str">
        <f aca="false">IF(AND(Q554=1,ISNUMBER(I554)),(I554-설정!$C$4)/365.25,"")</f>
        <v/>
      </c>
      <c r="V554" s="43" t="str">
        <f aca="false">IF(Q554&lt;&gt;1,"",IF(ISNUMBER(U554),IF(U554&lt;=1,"1년 이하",IF(U554&lt;=2,"1-2년",IF(U554&lt;=3,"2-3년",IF(U554&lt;=4,"3-4년",IF(U554&lt;=5,"4-5년",IF(U554&lt;=7,"5-7년",IF(U554&lt;=10,"7-10년",IF(U554&lt;=20,"10-20년","20년 이상")))))))),"미분류"))</f>
        <v/>
      </c>
      <c r="W554" s="43" t="str">
        <f aca="false">IF(Q554&lt;&gt;1,"",IF(AB554&lt;&gt;"",INDEX(시장분석!$C:$C,AB554),IF(K554=1,"USD","비USD")))</f>
        <v/>
      </c>
      <c r="X554" s="91" t="n">
        <f aca="false">IF(Q554=1,E554*K554/1000000,0)</f>
        <v>0</v>
      </c>
      <c r="Y554" s="89" t="n">
        <f aca="false">IF(R554="T",1,0)</f>
        <v>0</v>
      </c>
      <c r="Z554" s="92" t="str">
        <f aca="false">IF(Q554&lt;&gt;1,"",IF(AD554=1,IF(ISNUMBER(U554),MAX(U554,0),H554),H554))</f>
        <v/>
      </c>
      <c r="AA554" s="91" t="n">
        <f aca="false">IF(Q554=1,IF(ISNUMBER(L554),L554,0)*K554/1000000,0)</f>
        <v>0</v>
      </c>
      <c r="AB554" s="89" t="str">
        <f aca="false">IF(Q554&lt;&gt;1,"",IFERROR(MATCH(VLOOKUP(B554,매핑!$H$4:$I$15,2,0),시장분석!$A$2:$A$601,0)+1,IFERROR(MATCH(R554&amp;"|"&amp;T554,시장분석!$V$2:$V$601,0)+1,IF(COUNTIF(시장분석!$U$2:$U$601,T554)=1,MATCH(T554,시장분석!$U$2:$U$601,0)+1,""))))</f>
        <v/>
      </c>
      <c r="AC554" s="89" t="n">
        <f aca="false">IF(Q554&lt;&gt;1,0,IF(OR(설정!$C$5="전체",AND(설정!$C$5="선택펀드",IFERROR(COUNTIFS(설정!$F$16:$F$36,C554,설정!$G$16:$G$36,"Y")+COUNTIFS(설정!$F$16:$F$36,VALUE(C554),설정!$G$16:$G$36,"Y"),0)&gt;0),C554&amp;""=설정!$C$5&amp;""),1,0))</f>
        <v>0</v>
      </c>
      <c r="AD554" s="89" t="n">
        <f aca="false">IF(Q554&lt;&gt;1,0,IF(OR(S554=1,IF(AB554="",FALSE(),INDEX(시장분석!$R:$R,AB554)=1)),1,0))</f>
        <v>0</v>
      </c>
      <c r="AE554" s="43" t="str">
        <f aca="false">IF(AB554="","",INDEX(시장분석!$A:$A,AB554))</f>
        <v/>
      </c>
      <c r="AF554" s="93" t="str">
        <f aca="false">IF(AB554="","",IF(ISNUMBER(IF(AB554="","",INDEX(시장분석!$E:$E,AB554))),IF(AB554="","",INDEX(시장분석!$E:$E,AB554)),""))</f>
        <v/>
      </c>
      <c r="AG554" s="43" t="str">
        <f aca="false">IF(Q554&lt;&gt;1,"",IF(AB554&lt;&gt;"",IF(AB554="","",INDEX(시장분석!$L:$L,AB554)),IFERROR(IF(VLOOKUP(R554,매핑!$A$4:$E$92,5,0)="","미분류",VLOOKUP(R554,매핑!$A$4:$E$92,5,0)),"미분류")))</f>
        <v/>
      </c>
      <c r="AH554" s="43" t="str">
        <f aca="false">IF(Q554&lt;&gt;1,"",IF(AB554&lt;&gt;"",IF(AB554="","",INDEX(시장분석!$N:$N,AB554)),IFERROR(IF(VLOOKUP(R554,매핑!$A$4:$E$92,4,0)="","미분류",VLOOKUP(R554,매핑!$A$4:$E$92,4,0)),"미분류")))</f>
        <v/>
      </c>
      <c r="AI554" s="43" t="str">
        <f aca="false">IF(Q554&lt;&gt;1,"",IFERROR(IF(VLOOKUP(R554,매핑!$A$4:$E$92,3,0)="","미분류",VLOOKUP(R554,매핑!$A$4:$E$92,3,0)),IF(AB554&lt;&gt;"",IF(AB554="","",INDEX(시장분석!$W:$W,AB554)),"미분류")))</f>
        <v/>
      </c>
      <c r="AJ554" s="43" t="str">
        <f aca="false">IF(Q554&lt;&gt;1,"",IFERROR(VLOOKUP(IF(N554&lt;&gt;"",N554,IF(P554&lt;&gt;"",P554,O554)),설정!$A$15:$D$47,2,0),""))</f>
        <v/>
      </c>
      <c r="AK554" s="43" t="str">
        <f aca="false">IF(Q554&lt;&gt;1,"",IF(AJ554="","무등급",IFERROR(VLOOKUP(AJ554,설정!$A$15:$D$47,3,0),"무등급")))</f>
        <v/>
      </c>
      <c r="AL554" s="89" t="n">
        <f aca="false">IF(AJ554="",99,IFERROR(VLOOKUP(AJ554,설정!$A$15:$D$47,4,0),99))</f>
        <v>99</v>
      </c>
      <c r="AM554" s="94" t="n">
        <f aca="false">IF(ISNUMBER(H554),AA554*1000000*H554/10000,0)</f>
        <v>0</v>
      </c>
      <c r="AN554" s="94" t="n">
        <f aca="false">IF(OR(Y554=1,NOT(ISNUMBER(Z554))),0,AA554*1000000*Z554/10000)</f>
        <v>0</v>
      </c>
      <c r="AO554" s="94" t="n">
        <f aca="false">IF(ISNUMBER(G554),AA554*1000000*G554/100,0)</f>
        <v>0</v>
      </c>
      <c r="AP554" s="94" t="n">
        <f aca="false">IF(ISNUMBER(M554),M554*K554,0)</f>
        <v>0</v>
      </c>
      <c r="AQ554" s="95" t="str">
        <f aca="false">IF(AB554="","",INDEX(시장분석!$AK:$AK,AB554))</f>
        <v/>
      </c>
      <c r="AR554" s="43" t="str">
        <f aca="false">IF(AB554="","-",IF(AB554="","",INDEX(시장분석!$AL:$AL,AB554)))</f>
        <v>-</v>
      </c>
      <c r="AS554" s="96" t="str">
        <f aca="false">IF(AB554="","",INDEX(시장분석!$AJ:$AJ,AB554))</f>
        <v/>
      </c>
      <c r="AT554" s="93" t="n">
        <f aca="false">IF(AB554="",0,IF(AB554="","",INDEX(시장분석!$AN:$AN,AB554)))</f>
        <v>0</v>
      </c>
      <c r="AU554" s="94" t="n">
        <f aca="false">IF(ISNUMBER(Z554),AT554/10000*MAX(Z554-1,0)*AA554*1000000,0)</f>
        <v>0</v>
      </c>
      <c r="AV554" s="94" t="n">
        <f aca="false">AO554+AU554</f>
        <v>0</v>
      </c>
      <c r="AW554" s="43" t="str">
        <f aca="false">IF(Q554&lt;&gt;1,"",TRIM(IF(AD554=1,"FRN ","")&amp;IF(AND(AL554&gt;=10,AL554&lt;99),"BBB0미만 ","")&amp;IF(AJ554="","등급없음 ","")&amp;IF(K554&lt;&gt;1,"비USD ","")&amp;IF(AND(AB554="",Y554=0),"시장데이터없음 ","")&amp;IF(AND(ISNUMBER(U554),U554&lt;0),"만기경과 ","")))</f>
        <v/>
      </c>
      <c r="AX554" s="90" t="n">
        <f aca="false">IF(Q554&lt;&gt;1,1,IF(스프레드쇼크!$C$4="Y",INDEX(스프레드쇼크!$B$12:$L$16,IFERROR(MATCH(AH554,스프레드쇼크!$A$12:$A$16,0),MATCH("목록외",스프레드쇼크!$A$12:$A$16,0)),IFERROR(MATCH(AG554,스프레드쇼크!$B$11:$L$11,0),MATCH("목록외",스프레드쇼크!$B$11:$L$11,0))),1))</f>
        <v>1</v>
      </c>
      <c r="AY554" s="90" t="n">
        <f aca="false">IF(스프레드쇼크!$C$5="Y",IF(ISNUMBER(AF554),MIN(스프레드쇼크!$C$7,MAX(스프레드쇼크!$C$6,AF554/스프레드쇼크!$C$8)),1),1)</f>
        <v>1</v>
      </c>
      <c r="AZ554" s="94" t="n">
        <f aca="false">AN554*AX554*AY554</f>
        <v>0</v>
      </c>
      <c r="BA554" s="90" t="n">
        <f aca="false">IF(ISNUMBER(G554),AA554*G554,0)</f>
        <v>0</v>
      </c>
      <c r="BB554" s="90" t="n">
        <f aca="false">IF(ISNUMBER(G554),AA554,0)</f>
        <v>0</v>
      </c>
      <c r="BC554" s="90" t="n">
        <f aca="false">IF(AND(Y554=0,ISNUMBER(AF554)),AA554*AF554,0)</f>
        <v>0</v>
      </c>
      <c r="BD554" s="90" t="n">
        <f aca="false">IF(AND(Y554=0,ISNUMBER(AF554)),AA554,0)</f>
        <v>0</v>
      </c>
      <c r="BE554" s="90" t="n">
        <f aca="false">IF(ISNUMBER(H554),AA554*H554,0)</f>
        <v>0</v>
      </c>
      <c r="BF554" s="90" t="n">
        <f aca="false">IF(ISNUMBER(H554),AA554,0)</f>
        <v>0</v>
      </c>
      <c r="BG554" s="90" t="n">
        <f aca="false">IF(AND(Y554=0,ISNUMBER(AF554),ISNUMBER(Z554)),AA554*Z554,0)</f>
        <v>0</v>
      </c>
      <c r="BH554" s="90" t="n">
        <f aca="false">IF(AND(Y554=0,ISNUMBER(AF554),ISNUMBER(Z554)),AA554*AT554*MAX(Z554-1,0),0)</f>
        <v>0</v>
      </c>
      <c r="BI554" s="90" t="n">
        <f aca="false">IF(Y554=0,AA554,0)</f>
        <v>0</v>
      </c>
    </row>
    <row r="555" customFormat="false" ht="15" hidden="false" customHeight="false" outlineLevel="0" collapsed="false">
      <c r="A555" s="83" t="str">
        <f aca="false">IFERROR(IF(INDEX(원자료_잔고!$A$1:$EZ$1500,설정!$L$5+ROW()-1,설정!$L$8)&amp;""="0","",INDEX(원자료_잔고!$A$1:$EZ$1500,설정!$L$5+ROW()-1,설정!$L$8)&amp;""),"")</f>
        <v/>
      </c>
      <c r="B555" s="83" t="str">
        <f aca="false">IFERROR(IF(INDEX(원자료_잔고!$A$1:$EZ$1500,설정!$L$5+ROW()-1,설정!$L$7)&amp;""="0","",INDEX(원자료_잔고!$A$1:$EZ$1500,설정!$L$5+ROW()-1,설정!$L$7)&amp;""),"")</f>
        <v/>
      </c>
      <c r="C555" s="83" t="str">
        <f aca="false">IFERROR(IF(INDEX(원자료_잔고!$A$1:$EZ$1500,설정!$L$5+ROW()-1,설정!$L$9)&amp;""="0","",INDEX(원자료_잔고!$A$1:$EZ$1500,설정!$L$5+ROW()-1,설정!$L$9)&amp;""),"")</f>
        <v/>
      </c>
      <c r="D555" s="83" t="str">
        <f aca="false">IFERROR(IF(INDEX(원자료_잔고!$A$1:$EZ$1500,설정!$L$5+ROW()-1,설정!$L$10)&amp;""="0","",INDEX(원자료_잔고!$A$1:$EZ$1500,설정!$L$5+ROW()-1,설정!$L$10)&amp;""),"")</f>
        <v/>
      </c>
      <c r="E555" s="84" t="str">
        <f aca="false">IFERROR(IF(ISNUMBER(INDEX(원자료_잔고!$A$1:$EZ$1500,설정!$L$5+ROW()-1,설정!$L$11)),INDEX(원자료_잔고!$A$1:$EZ$1500,설정!$L$5+ROW()-1,설정!$L$11),""),"")</f>
        <v/>
      </c>
      <c r="F555" s="85" t="str">
        <f aca="false">IFERROR(IF(ISNUMBER(INDEX(원자료_잔고!$A$1:$EZ$1500,설정!$L$5+ROW()-1,설정!$L$12)),INDEX(원자료_잔고!$A$1:$EZ$1500,설정!$L$5+ROW()-1,설정!$L$12),""),"")</f>
        <v/>
      </c>
      <c r="G555" s="85" t="str">
        <f aca="false">IFERROR(IF(ISNUMBER(INDEX(원자료_잔고!$A$1:$EZ$1500,설정!$L$5+ROW()-1,설정!$L$13)),INDEX(원자료_잔고!$A$1:$EZ$1500,설정!$L$5+ROW()-1,설정!$L$13),""),"")</f>
        <v/>
      </c>
      <c r="H555" s="85" t="str">
        <f aca="false">IFERROR(IF(ISNUMBER(INDEX(원자료_잔고!$A$1:$EZ$1500,설정!$L$5+ROW()-1,설정!$L$14)),INDEX(원자료_잔고!$A$1:$EZ$1500,설정!$L$5+ROW()-1,설정!$L$14),""),"")</f>
        <v/>
      </c>
      <c r="I555" s="86" t="str">
        <f aca="false">IFERROR(IF(ISNUMBER(INDEX(원자료_잔고!$A$1:$EZ$1500,설정!$L$5+ROW()-1,설정!$L$15)),INDEX(원자료_잔고!$A$1:$EZ$1500,설정!$L$5+ROW()-1,설정!$L$15),""),"")</f>
        <v/>
      </c>
      <c r="J555" s="85" t="str">
        <f aca="false">IFERROR(IF(ISNUMBER(INDEX(원자료_잔고!$A$1:$EZ$1500,설정!$L$5+ROW()-1,설정!$L$16)),INDEX(원자료_잔고!$A$1:$EZ$1500,설정!$L$5+ROW()-1,설정!$L$16),""),"")</f>
        <v/>
      </c>
      <c r="K555" s="87" t="str">
        <f aca="false">IFERROR(IF(ISNUMBER(INDEX(원자료_잔고!$A$1:$EZ$1500,설정!$L$5+ROW()-1,설정!$L$17)),INDEX(원자료_잔고!$A$1:$EZ$1500,설정!$L$5+ROW()-1,설정!$L$17),""),"")</f>
        <v/>
      </c>
      <c r="L555" s="84" t="str">
        <f aca="false">IFERROR(IF(ISNUMBER(INDEX(원자료_잔고!$A$1:$EZ$1500,설정!$L$5+ROW()-1,설정!$L$18)),INDEX(원자료_잔고!$A$1:$EZ$1500,설정!$L$5+ROW()-1,설정!$L$18),""),"")</f>
        <v/>
      </c>
      <c r="M555" s="88" t="str">
        <f aca="false">IFERROR(IF(ISNUMBER(INDEX(원자료_잔고!$A$1:$EZ$1500,설정!$L$5+ROW()-1,설정!$L$19)),INDEX(원자료_잔고!$A$1:$EZ$1500,설정!$L$5+ROW()-1,설정!$L$19),""),"")</f>
        <v/>
      </c>
      <c r="N555" s="83" t="str">
        <f aca="false">IFERROR(IF(INDEX(원자료_잔고!$A$1:$EZ$1500,설정!$L$5+ROW()-1,설정!$L$21)&amp;""="0","",INDEX(원자료_잔고!$A$1:$EZ$1500,설정!$L$5+ROW()-1,설정!$L$21)&amp;""),"")</f>
        <v/>
      </c>
      <c r="O555" s="83" t="str">
        <f aca="false">IFERROR(IF(INDEX(원자료_잔고!$A$1:$EZ$1500,설정!$L$5+ROW()-1,설정!$L$22)&amp;""="0","",INDEX(원자료_잔고!$A$1:$EZ$1500,설정!$L$5+ROW()-1,설정!$L$22)&amp;""),"")</f>
        <v/>
      </c>
      <c r="P555" s="83" t="str">
        <f aca="false">IFERROR(IF(INDEX(원자료_잔고!$A$1:$EZ$1500,설정!$L$5+ROW()-1,설정!$L$23)&amp;""="0","",INDEX(원자료_잔고!$A$1:$EZ$1500,설정!$L$5+ROW()-1,설정!$L$23)&amp;""),"")</f>
        <v/>
      </c>
      <c r="Q555" s="89" t="n">
        <f aca="false">IF(AND($A555&lt;&gt;"",ISNUMBER(E555)),IF(E555&gt;0,1,0),0)</f>
        <v>0</v>
      </c>
      <c r="R555" s="43" t="str">
        <f aca="false">IF(Q555=1,UPPER(LEFT($A555,FIND(" ",$A555&amp;" ")-1)),"")</f>
        <v/>
      </c>
      <c r="S555" s="89" t="n">
        <f aca="false">IF(Q555=1,IF(OR(ISNUMBER(SEARCH("Float",$A555)),ISNUMBER(SEARCH("FRN",$A555))),1,0),0)</f>
        <v>0</v>
      </c>
      <c r="T555" s="43" t="str">
        <f aca="false">IF(AND(Q555=1,ISNUMBER(I555)),TEXT(I555,"yyyymmdd")&amp;"|"&amp;IF(S555=1,"F",TEXT(J555,"0.000")),"")</f>
        <v/>
      </c>
      <c r="U555" s="90" t="str">
        <f aca="false">IF(AND(Q555=1,ISNUMBER(I555)),(I555-설정!$C$4)/365.25,"")</f>
        <v/>
      </c>
      <c r="V555" s="43" t="str">
        <f aca="false">IF(Q555&lt;&gt;1,"",IF(ISNUMBER(U555),IF(U555&lt;=1,"1년 이하",IF(U555&lt;=2,"1-2년",IF(U555&lt;=3,"2-3년",IF(U555&lt;=4,"3-4년",IF(U555&lt;=5,"4-5년",IF(U555&lt;=7,"5-7년",IF(U555&lt;=10,"7-10년",IF(U555&lt;=20,"10-20년","20년 이상")))))))),"미분류"))</f>
        <v/>
      </c>
      <c r="W555" s="43" t="str">
        <f aca="false">IF(Q555&lt;&gt;1,"",IF(AB555&lt;&gt;"",INDEX(시장분석!$C:$C,AB555),IF(K555=1,"USD","비USD")))</f>
        <v/>
      </c>
      <c r="X555" s="91" t="n">
        <f aca="false">IF(Q555=1,E555*K555/1000000,0)</f>
        <v>0</v>
      </c>
      <c r="Y555" s="89" t="n">
        <f aca="false">IF(R555="T",1,0)</f>
        <v>0</v>
      </c>
      <c r="Z555" s="92" t="str">
        <f aca="false">IF(Q555&lt;&gt;1,"",IF(AD555=1,IF(ISNUMBER(U555),MAX(U555,0),H555),H555))</f>
        <v/>
      </c>
      <c r="AA555" s="91" t="n">
        <f aca="false">IF(Q555=1,IF(ISNUMBER(L555),L555,0)*K555/1000000,0)</f>
        <v>0</v>
      </c>
      <c r="AB555" s="89" t="str">
        <f aca="false">IF(Q555&lt;&gt;1,"",IFERROR(MATCH(VLOOKUP(B555,매핑!$H$4:$I$15,2,0),시장분석!$A$2:$A$601,0)+1,IFERROR(MATCH(R555&amp;"|"&amp;T555,시장분석!$V$2:$V$601,0)+1,IF(COUNTIF(시장분석!$U$2:$U$601,T555)=1,MATCH(T555,시장분석!$U$2:$U$601,0)+1,""))))</f>
        <v/>
      </c>
      <c r="AC555" s="89" t="n">
        <f aca="false">IF(Q555&lt;&gt;1,0,IF(OR(설정!$C$5="전체",AND(설정!$C$5="선택펀드",IFERROR(COUNTIFS(설정!$F$16:$F$36,C555,설정!$G$16:$G$36,"Y")+COUNTIFS(설정!$F$16:$F$36,VALUE(C555),설정!$G$16:$G$36,"Y"),0)&gt;0),C555&amp;""=설정!$C$5&amp;""),1,0))</f>
        <v>0</v>
      </c>
      <c r="AD555" s="89" t="n">
        <f aca="false">IF(Q555&lt;&gt;1,0,IF(OR(S555=1,IF(AB555="",FALSE(),INDEX(시장분석!$R:$R,AB555)=1)),1,0))</f>
        <v>0</v>
      </c>
      <c r="AE555" s="43" t="str">
        <f aca="false">IF(AB555="","",INDEX(시장분석!$A:$A,AB555))</f>
        <v/>
      </c>
      <c r="AF555" s="93" t="str">
        <f aca="false">IF(AB555="","",IF(ISNUMBER(IF(AB555="","",INDEX(시장분석!$E:$E,AB555))),IF(AB555="","",INDEX(시장분석!$E:$E,AB555)),""))</f>
        <v/>
      </c>
      <c r="AG555" s="43" t="str">
        <f aca="false">IF(Q555&lt;&gt;1,"",IF(AB555&lt;&gt;"",IF(AB555="","",INDEX(시장분석!$L:$L,AB555)),IFERROR(IF(VLOOKUP(R555,매핑!$A$4:$E$92,5,0)="","미분류",VLOOKUP(R555,매핑!$A$4:$E$92,5,0)),"미분류")))</f>
        <v/>
      </c>
      <c r="AH555" s="43" t="str">
        <f aca="false">IF(Q555&lt;&gt;1,"",IF(AB555&lt;&gt;"",IF(AB555="","",INDEX(시장분석!$N:$N,AB555)),IFERROR(IF(VLOOKUP(R555,매핑!$A$4:$E$92,4,0)="","미분류",VLOOKUP(R555,매핑!$A$4:$E$92,4,0)),"미분류")))</f>
        <v/>
      </c>
      <c r="AI555" s="43" t="str">
        <f aca="false">IF(Q555&lt;&gt;1,"",IFERROR(IF(VLOOKUP(R555,매핑!$A$4:$E$92,3,0)="","미분류",VLOOKUP(R555,매핑!$A$4:$E$92,3,0)),IF(AB555&lt;&gt;"",IF(AB555="","",INDEX(시장분석!$W:$W,AB555)),"미분류")))</f>
        <v/>
      </c>
      <c r="AJ555" s="43" t="str">
        <f aca="false">IF(Q555&lt;&gt;1,"",IFERROR(VLOOKUP(IF(N555&lt;&gt;"",N555,IF(P555&lt;&gt;"",P555,O555)),설정!$A$15:$D$47,2,0),""))</f>
        <v/>
      </c>
      <c r="AK555" s="43" t="str">
        <f aca="false">IF(Q555&lt;&gt;1,"",IF(AJ555="","무등급",IFERROR(VLOOKUP(AJ555,설정!$A$15:$D$47,3,0),"무등급")))</f>
        <v/>
      </c>
      <c r="AL555" s="89" t="n">
        <f aca="false">IF(AJ555="",99,IFERROR(VLOOKUP(AJ555,설정!$A$15:$D$47,4,0),99))</f>
        <v>99</v>
      </c>
      <c r="AM555" s="94" t="n">
        <f aca="false">IF(ISNUMBER(H555),AA555*1000000*H555/10000,0)</f>
        <v>0</v>
      </c>
      <c r="AN555" s="94" t="n">
        <f aca="false">IF(OR(Y555=1,NOT(ISNUMBER(Z555))),0,AA555*1000000*Z555/10000)</f>
        <v>0</v>
      </c>
      <c r="AO555" s="94" t="n">
        <f aca="false">IF(ISNUMBER(G555),AA555*1000000*G555/100,0)</f>
        <v>0</v>
      </c>
      <c r="AP555" s="94" t="n">
        <f aca="false">IF(ISNUMBER(M555),M555*K555,0)</f>
        <v>0</v>
      </c>
      <c r="AQ555" s="95" t="str">
        <f aca="false">IF(AB555="","",INDEX(시장분석!$AK:$AK,AB555))</f>
        <v/>
      </c>
      <c r="AR555" s="43" t="str">
        <f aca="false">IF(AB555="","-",IF(AB555="","",INDEX(시장분석!$AL:$AL,AB555)))</f>
        <v>-</v>
      </c>
      <c r="AS555" s="96" t="str">
        <f aca="false">IF(AB555="","",INDEX(시장분석!$AJ:$AJ,AB555))</f>
        <v/>
      </c>
      <c r="AT555" s="93" t="n">
        <f aca="false">IF(AB555="",0,IF(AB555="","",INDEX(시장분석!$AN:$AN,AB555)))</f>
        <v>0</v>
      </c>
      <c r="AU555" s="94" t="n">
        <f aca="false">IF(ISNUMBER(Z555),AT555/10000*MAX(Z555-1,0)*AA555*1000000,0)</f>
        <v>0</v>
      </c>
      <c r="AV555" s="94" t="n">
        <f aca="false">AO555+AU555</f>
        <v>0</v>
      </c>
      <c r="AW555" s="43" t="str">
        <f aca="false">IF(Q555&lt;&gt;1,"",TRIM(IF(AD555=1,"FRN ","")&amp;IF(AND(AL555&gt;=10,AL555&lt;99),"BBB0미만 ","")&amp;IF(AJ555="","등급없음 ","")&amp;IF(K555&lt;&gt;1,"비USD ","")&amp;IF(AND(AB555="",Y555=0),"시장데이터없음 ","")&amp;IF(AND(ISNUMBER(U555),U555&lt;0),"만기경과 ","")))</f>
        <v/>
      </c>
      <c r="AX555" s="90" t="n">
        <f aca="false">IF(Q555&lt;&gt;1,1,IF(스프레드쇼크!$C$4="Y",INDEX(스프레드쇼크!$B$12:$L$16,IFERROR(MATCH(AH555,스프레드쇼크!$A$12:$A$16,0),MATCH("목록외",스프레드쇼크!$A$12:$A$16,0)),IFERROR(MATCH(AG555,스프레드쇼크!$B$11:$L$11,0),MATCH("목록외",스프레드쇼크!$B$11:$L$11,0))),1))</f>
        <v>1</v>
      </c>
      <c r="AY555" s="90" t="n">
        <f aca="false">IF(스프레드쇼크!$C$5="Y",IF(ISNUMBER(AF555),MIN(스프레드쇼크!$C$7,MAX(스프레드쇼크!$C$6,AF555/스프레드쇼크!$C$8)),1),1)</f>
        <v>1</v>
      </c>
      <c r="AZ555" s="94" t="n">
        <f aca="false">AN555*AX555*AY555</f>
        <v>0</v>
      </c>
      <c r="BA555" s="90" t="n">
        <f aca="false">IF(ISNUMBER(G555),AA555*G555,0)</f>
        <v>0</v>
      </c>
      <c r="BB555" s="90" t="n">
        <f aca="false">IF(ISNUMBER(G555),AA555,0)</f>
        <v>0</v>
      </c>
      <c r="BC555" s="90" t="n">
        <f aca="false">IF(AND(Y555=0,ISNUMBER(AF555)),AA555*AF555,0)</f>
        <v>0</v>
      </c>
      <c r="BD555" s="90" t="n">
        <f aca="false">IF(AND(Y555=0,ISNUMBER(AF555)),AA555,0)</f>
        <v>0</v>
      </c>
      <c r="BE555" s="90" t="n">
        <f aca="false">IF(ISNUMBER(H555),AA555*H555,0)</f>
        <v>0</v>
      </c>
      <c r="BF555" s="90" t="n">
        <f aca="false">IF(ISNUMBER(H555),AA555,0)</f>
        <v>0</v>
      </c>
      <c r="BG555" s="90" t="n">
        <f aca="false">IF(AND(Y555=0,ISNUMBER(AF555),ISNUMBER(Z555)),AA555*Z555,0)</f>
        <v>0</v>
      </c>
      <c r="BH555" s="90" t="n">
        <f aca="false">IF(AND(Y555=0,ISNUMBER(AF555),ISNUMBER(Z555)),AA555*AT555*MAX(Z555-1,0),0)</f>
        <v>0</v>
      </c>
      <c r="BI555" s="90" t="n">
        <f aca="false">IF(Y555=0,AA555,0)</f>
        <v>0</v>
      </c>
    </row>
    <row r="556" customFormat="false" ht="15" hidden="false" customHeight="false" outlineLevel="0" collapsed="false">
      <c r="A556" s="83" t="str">
        <f aca="false">IFERROR(IF(INDEX(원자료_잔고!$A$1:$EZ$1500,설정!$L$5+ROW()-1,설정!$L$8)&amp;""="0","",INDEX(원자료_잔고!$A$1:$EZ$1500,설정!$L$5+ROW()-1,설정!$L$8)&amp;""),"")</f>
        <v/>
      </c>
      <c r="B556" s="83" t="str">
        <f aca="false">IFERROR(IF(INDEX(원자료_잔고!$A$1:$EZ$1500,설정!$L$5+ROW()-1,설정!$L$7)&amp;""="0","",INDEX(원자료_잔고!$A$1:$EZ$1500,설정!$L$5+ROW()-1,설정!$L$7)&amp;""),"")</f>
        <v/>
      </c>
      <c r="C556" s="83" t="str">
        <f aca="false">IFERROR(IF(INDEX(원자료_잔고!$A$1:$EZ$1500,설정!$L$5+ROW()-1,설정!$L$9)&amp;""="0","",INDEX(원자료_잔고!$A$1:$EZ$1500,설정!$L$5+ROW()-1,설정!$L$9)&amp;""),"")</f>
        <v/>
      </c>
      <c r="D556" s="83" t="str">
        <f aca="false">IFERROR(IF(INDEX(원자료_잔고!$A$1:$EZ$1500,설정!$L$5+ROW()-1,설정!$L$10)&amp;""="0","",INDEX(원자료_잔고!$A$1:$EZ$1500,설정!$L$5+ROW()-1,설정!$L$10)&amp;""),"")</f>
        <v/>
      </c>
      <c r="E556" s="84" t="str">
        <f aca="false">IFERROR(IF(ISNUMBER(INDEX(원자료_잔고!$A$1:$EZ$1500,설정!$L$5+ROW()-1,설정!$L$11)),INDEX(원자료_잔고!$A$1:$EZ$1500,설정!$L$5+ROW()-1,설정!$L$11),""),"")</f>
        <v/>
      </c>
      <c r="F556" s="85" t="str">
        <f aca="false">IFERROR(IF(ISNUMBER(INDEX(원자료_잔고!$A$1:$EZ$1500,설정!$L$5+ROW()-1,설정!$L$12)),INDEX(원자료_잔고!$A$1:$EZ$1500,설정!$L$5+ROW()-1,설정!$L$12),""),"")</f>
        <v/>
      </c>
      <c r="G556" s="85" t="str">
        <f aca="false">IFERROR(IF(ISNUMBER(INDEX(원자료_잔고!$A$1:$EZ$1500,설정!$L$5+ROW()-1,설정!$L$13)),INDEX(원자료_잔고!$A$1:$EZ$1500,설정!$L$5+ROW()-1,설정!$L$13),""),"")</f>
        <v/>
      </c>
      <c r="H556" s="85" t="str">
        <f aca="false">IFERROR(IF(ISNUMBER(INDEX(원자료_잔고!$A$1:$EZ$1500,설정!$L$5+ROW()-1,설정!$L$14)),INDEX(원자료_잔고!$A$1:$EZ$1500,설정!$L$5+ROW()-1,설정!$L$14),""),"")</f>
        <v/>
      </c>
      <c r="I556" s="86" t="str">
        <f aca="false">IFERROR(IF(ISNUMBER(INDEX(원자료_잔고!$A$1:$EZ$1500,설정!$L$5+ROW()-1,설정!$L$15)),INDEX(원자료_잔고!$A$1:$EZ$1500,설정!$L$5+ROW()-1,설정!$L$15),""),"")</f>
        <v/>
      </c>
      <c r="J556" s="85" t="str">
        <f aca="false">IFERROR(IF(ISNUMBER(INDEX(원자료_잔고!$A$1:$EZ$1500,설정!$L$5+ROW()-1,설정!$L$16)),INDEX(원자료_잔고!$A$1:$EZ$1500,설정!$L$5+ROW()-1,설정!$L$16),""),"")</f>
        <v/>
      </c>
      <c r="K556" s="87" t="str">
        <f aca="false">IFERROR(IF(ISNUMBER(INDEX(원자료_잔고!$A$1:$EZ$1500,설정!$L$5+ROW()-1,설정!$L$17)),INDEX(원자료_잔고!$A$1:$EZ$1500,설정!$L$5+ROW()-1,설정!$L$17),""),"")</f>
        <v/>
      </c>
      <c r="L556" s="84" t="str">
        <f aca="false">IFERROR(IF(ISNUMBER(INDEX(원자료_잔고!$A$1:$EZ$1500,설정!$L$5+ROW()-1,설정!$L$18)),INDEX(원자료_잔고!$A$1:$EZ$1500,설정!$L$5+ROW()-1,설정!$L$18),""),"")</f>
        <v/>
      </c>
      <c r="M556" s="88" t="str">
        <f aca="false">IFERROR(IF(ISNUMBER(INDEX(원자료_잔고!$A$1:$EZ$1500,설정!$L$5+ROW()-1,설정!$L$19)),INDEX(원자료_잔고!$A$1:$EZ$1500,설정!$L$5+ROW()-1,설정!$L$19),""),"")</f>
        <v/>
      </c>
      <c r="N556" s="83" t="str">
        <f aca="false">IFERROR(IF(INDEX(원자료_잔고!$A$1:$EZ$1500,설정!$L$5+ROW()-1,설정!$L$21)&amp;""="0","",INDEX(원자료_잔고!$A$1:$EZ$1500,설정!$L$5+ROW()-1,설정!$L$21)&amp;""),"")</f>
        <v/>
      </c>
      <c r="O556" s="83" t="str">
        <f aca="false">IFERROR(IF(INDEX(원자료_잔고!$A$1:$EZ$1500,설정!$L$5+ROW()-1,설정!$L$22)&amp;""="0","",INDEX(원자료_잔고!$A$1:$EZ$1500,설정!$L$5+ROW()-1,설정!$L$22)&amp;""),"")</f>
        <v/>
      </c>
      <c r="P556" s="83" t="str">
        <f aca="false">IFERROR(IF(INDEX(원자료_잔고!$A$1:$EZ$1500,설정!$L$5+ROW()-1,설정!$L$23)&amp;""="0","",INDEX(원자료_잔고!$A$1:$EZ$1500,설정!$L$5+ROW()-1,설정!$L$23)&amp;""),"")</f>
        <v/>
      </c>
      <c r="Q556" s="89" t="n">
        <f aca="false">IF(AND($A556&lt;&gt;"",ISNUMBER(E556)),IF(E556&gt;0,1,0),0)</f>
        <v>0</v>
      </c>
      <c r="R556" s="43" t="str">
        <f aca="false">IF(Q556=1,UPPER(LEFT($A556,FIND(" ",$A556&amp;" ")-1)),"")</f>
        <v/>
      </c>
      <c r="S556" s="89" t="n">
        <f aca="false">IF(Q556=1,IF(OR(ISNUMBER(SEARCH("Float",$A556)),ISNUMBER(SEARCH("FRN",$A556))),1,0),0)</f>
        <v>0</v>
      </c>
      <c r="T556" s="43" t="str">
        <f aca="false">IF(AND(Q556=1,ISNUMBER(I556)),TEXT(I556,"yyyymmdd")&amp;"|"&amp;IF(S556=1,"F",TEXT(J556,"0.000")),"")</f>
        <v/>
      </c>
      <c r="U556" s="90" t="str">
        <f aca="false">IF(AND(Q556=1,ISNUMBER(I556)),(I556-설정!$C$4)/365.25,"")</f>
        <v/>
      </c>
      <c r="V556" s="43" t="str">
        <f aca="false">IF(Q556&lt;&gt;1,"",IF(ISNUMBER(U556),IF(U556&lt;=1,"1년 이하",IF(U556&lt;=2,"1-2년",IF(U556&lt;=3,"2-3년",IF(U556&lt;=4,"3-4년",IF(U556&lt;=5,"4-5년",IF(U556&lt;=7,"5-7년",IF(U556&lt;=10,"7-10년",IF(U556&lt;=20,"10-20년","20년 이상")))))))),"미분류"))</f>
        <v/>
      </c>
      <c r="W556" s="43" t="str">
        <f aca="false">IF(Q556&lt;&gt;1,"",IF(AB556&lt;&gt;"",INDEX(시장분석!$C:$C,AB556),IF(K556=1,"USD","비USD")))</f>
        <v/>
      </c>
      <c r="X556" s="91" t="n">
        <f aca="false">IF(Q556=1,E556*K556/1000000,0)</f>
        <v>0</v>
      </c>
      <c r="Y556" s="89" t="n">
        <f aca="false">IF(R556="T",1,0)</f>
        <v>0</v>
      </c>
      <c r="Z556" s="92" t="str">
        <f aca="false">IF(Q556&lt;&gt;1,"",IF(AD556=1,IF(ISNUMBER(U556),MAX(U556,0),H556),H556))</f>
        <v/>
      </c>
      <c r="AA556" s="91" t="n">
        <f aca="false">IF(Q556=1,IF(ISNUMBER(L556),L556,0)*K556/1000000,0)</f>
        <v>0</v>
      </c>
      <c r="AB556" s="89" t="str">
        <f aca="false">IF(Q556&lt;&gt;1,"",IFERROR(MATCH(VLOOKUP(B556,매핑!$H$4:$I$15,2,0),시장분석!$A$2:$A$601,0)+1,IFERROR(MATCH(R556&amp;"|"&amp;T556,시장분석!$V$2:$V$601,0)+1,IF(COUNTIF(시장분석!$U$2:$U$601,T556)=1,MATCH(T556,시장분석!$U$2:$U$601,0)+1,""))))</f>
        <v/>
      </c>
      <c r="AC556" s="89" t="n">
        <f aca="false">IF(Q556&lt;&gt;1,0,IF(OR(설정!$C$5="전체",AND(설정!$C$5="선택펀드",IFERROR(COUNTIFS(설정!$F$16:$F$36,C556,설정!$G$16:$G$36,"Y")+COUNTIFS(설정!$F$16:$F$36,VALUE(C556),설정!$G$16:$G$36,"Y"),0)&gt;0),C556&amp;""=설정!$C$5&amp;""),1,0))</f>
        <v>0</v>
      </c>
      <c r="AD556" s="89" t="n">
        <f aca="false">IF(Q556&lt;&gt;1,0,IF(OR(S556=1,IF(AB556="",FALSE(),INDEX(시장분석!$R:$R,AB556)=1)),1,0))</f>
        <v>0</v>
      </c>
      <c r="AE556" s="43" t="str">
        <f aca="false">IF(AB556="","",INDEX(시장분석!$A:$A,AB556))</f>
        <v/>
      </c>
      <c r="AF556" s="93" t="str">
        <f aca="false">IF(AB556="","",IF(ISNUMBER(IF(AB556="","",INDEX(시장분석!$E:$E,AB556))),IF(AB556="","",INDEX(시장분석!$E:$E,AB556)),""))</f>
        <v/>
      </c>
      <c r="AG556" s="43" t="str">
        <f aca="false">IF(Q556&lt;&gt;1,"",IF(AB556&lt;&gt;"",IF(AB556="","",INDEX(시장분석!$L:$L,AB556)),IFERROR(IF(VLOOKUP(R556,매핑!$A$4:$E$92,5,0)="","미분류",VLOOKUP(R556,매핑!$A$4:$E$92,5,0)),"미분류")))</f>
        <v/>
      </c>
      <c r="AH556" s="43" t="str">
        <f aca="false">IF(Q556&lt;&gt;1,"",IF(AB556&lt;&gt;"",IF(AB556="","",INDEX(시장분석!$N:$N,AB556)),IFERROR(IF(VLOOKUP(R556,매핑!$A$4:$E$92,4,0)="","미분류",VLOOKUP(R556,매핑!$A$4:$E$92,4,0)),"미분류")))</f>
        <v/>
      </c>
      <c r="AI556" s="43" t="str">
        <f aca="false">IF(Q556&lt;&gt;1,"",IFERROR(IF(VLOOKUP(R556,매핑!$A$4:$E$92,3,0)="","미분류",VLOOKUP(R556,매핑!$A$4:$E$92,3,0)),IF(AB556&lt;&gt;"",IF(AB556="","",INDEX(시장분석!$W:$W,AB556)),"미분류")))</f>
        <v/>
      </c>
      <c r="AJ556" s="43" t="str">
        <f aca="false">IF(Q556&lt;&gt;1,"",IFERROR(VLOOKUP(IF(N556&lt;&gt;"",N556,IF(P556&lt;&gt;"",P556,O556)),설정!$A$15:$D$47,2,0),""))</f>
        <v/>
      </c>
      <c r="AK556" s="43" t="str">
        <f aca="false">IF(Q556&lt;&gt;1,"",IF(AJ556="","무등급",IFERROR(VLOOKUP(AJ556,설정!$A$15:$D$47,3,0),"무등급")))</f>
        <v/>
      </c>
      <c r="AL556" s="89" t="n">
        <f aca="false">IF(AJ556="",99,IFERROR(VLOOKUP(AJ556,설정!$A$15:$D$47,4,0),99))</f>
        <v>99</v>
      </c>
      <c r="AM556" s="94" t="n">
        <f aca="false">IF(ISNUMBER(H556),AA556*1000000*H556/10000,0)</f>
        <v>0</v>
      </c>
      <c r="AN556" s="94" t="n">
        <f aca="false">IF(OR(Y556=1,NOT(ISNUMBER(Z556))),0,AA556*1000000*Z556/10000)</f>
        <v>0</v>
      </c>
      <c r="AO556" s="94" t="n">
        <f aca="false">IF(ISNUMBER(G556),AA556*1000000*G556/100,0)</f>
        <v>0</v>
      </c>
      <c r="AP556" s="94" t="n">
        <f aca="false">IF(ISNUMBER(M556),M556*K556,0)</f>
        <v>0</v>
      </c>
      <c r="AQ556" s="95" t="str">
        <f aca="false">IF(AB556="","",INDEX(시장분석!$AK:$AK,AB556))</f>
        <v/>
      </c>
      <c r="AR556" s="43" t="str">
        <f aca="false">IF(AB556="","-",IF(AB556="","",INDEX(시장분석!$AL:$AL,AB556)))</f>
        <v>-</v>
      </c>
      <c r="AS556" s="96" t="str">
        <f aca="false">IF(AB556="","",INDEX(시장분석!$AJ:$AJ,AB556))</f>
        <v/>
      </c>
      <c r="AT556" s="93" t="n">
        <f aca="false">IF(AB556="",0,IF(AB556="","",INDEX(시장분석!$AN:$AN,AB556)))</f>
        <v>0</v>
      </c>
      <c r="AU556" s="94" t="n">
        <f aca="false">IF(ISNUMBER(Z556),AT556/10000*MAX(Z556-1,0)*AA556*1000000,0)</f>
        <v>0</v>
      </c>
      <c r="AV556" s="94" t="n">
        <f aca="false">AO556+AU556</f>
        <v>0</v>
      </c>
      <c r="AW556" s="43" t="str">
        <f aca="false">IF(Q556&lt;&gt;1,"",TRIM(IF(AD556=1,"FRN ","")&amp;IF(AND(AL556&gt;=10,AL556&lt;99),"BBB0미만 ","")&amp;IF(AJ556="","등급없음 ","")&amp;IF(K556&lt;&gt;1,"비USD ","")&amp;IF(AND(AB556="",Y556=0),"시장데이터없음 ","")&amp;IF(AND(ISNUMBER(U556),U556&lt;0),"만기경과 ","")))</f>
        <v/>
      </c>
      <c r="AX556" s="90" t="n">
        <f aca="false">IF(Q556&lt;&gt;1,1,IF(스프레드쇼크!$C$4="Y",INDEX(스프레드쇼크!$B$12:$L$16,IFERROR(MATCH(AH556,스프레드쇼크!$A$12:$A$16,0),MATCH("목록외",스프레드쇼크!$A$12:$A$16,0)),IFERROR(MATCH(AG556,스프레드쇼크!$B$11:$L$11,0),MATCH("목록외",스프레드쇼크!$B$11:$L$11,0))),1))</f>
        <v>1</v>
      </c>
      <c r="AY556" s="90" t="n">
        <f aca="false">IF(스프레드쇼크!$C$5="Y",IF(ISNUMBER(AF556),MIN(스프레드쇼크!$C$7,MAX(스프레드쇼크!$C$6,AF556/스프레드쇼크!$C$8)),1),1)</f>
        <v>1</v>
      </c>
      <c r="AZ556" s="94" t="n">
        <f aca="false">AN556*AX556*AY556</f>
        <v>0</v>
      </c>
      <c r="BA556" s="90" t="n">
        <f aca="false">IF(ISNUMBER(G556),AA556*G556,0)</f>
        <v>0</v>
      </c>
      <c r="BB556" s="90" t="n">
        <f aca="false">IF(ISNUMBER(G556),AA556,0)</f>
        <v>0</v>
      </c>
      <c r="BC556" s="90" t="n">
        <f aca="false">IF(AND(Y556=0,ISNUMBER(AF556)),AA556*AF556,0)</f>
        <v>0</v>
      </c>
      <c r="BD556" s="90" t="n">
        <f aca="false">IF(AND(Y556=0,ISNUMBER(AF556)),AA556,0)</f>
        <v>0</v>
      </c>
      <c r="BE556" s="90" t="n">
        <f aca="false">IF(ISNUMBER(H556),AA556*H556,0)</f>
        <v>0</v>
      </c>
      <c r="BF556" s="90" t="n">
        <f aca="false">IF(ISNUMBER(H556),AA556,0)</f>
        <v>0</v>
      </c>
      <c r="BG556" s="90" t="n">
        <f aca="false">IF(AND(Y556=0,ISNUMBER(AF556),ISNUMBER(Z556)),AA556*Z556,0)</f>
        <v>0</v>
      </c>
      <c r="BH556" s="90" t="n">
        <f aca="false">IF(AND(Y556=0,ISNUMBER(AF556),ISNUMBER(Z556)),AA556*AT556*MAX(Z556-1,0),0)</f>
        <v>0</v>
      </c>
      <c r="BI556" s="90" t="n">
        <f aca="false">IF(Y556=0,AA556,0)</f>
        <v>0</v>
      </c>
    </row>
    <row r="557" customFormat="false" ht="15" hidden="false" customHeight="false" outlineLevel="0" collapsed="false">
      <c r="A557" s="83" t="str">
        <f aca="false">IFERROR(IF(INDEX(원자료_잔고!$A$1:$EZ$1500,설정!$L$5+ROW()-1,설정!$L$8)&amp;""="0","",INDEX(원자료_잔고!$A$1:$EZ$1500,설정!$L$5+ROW()-1,설정!$L$8)&amp;""),"")</f>
        <v/>
      </c>
      <c r="B557" s="83" t="str">
        <f aca="false">IFERROR(IF(INDEX(원자료_잔고!$A$1:$EZ$1500,설정!$L$5+ROW()-1,설정!$L$7)&amp;""="0","",INDEX(원자료_잔고!$A$1:$EZ$1500,설정!$L$5+ROW()-1,설정!$L$7)&amp;""),"")</f>
        <v/>
      </c>
      <c r="C557" s="83" t="str">
        <f aca="false">IFERROR(IF(INDEX(원자료_잔고!$A$1:$EZ$1500,설정!$L$5+ROW()-1,설정!$L$9)&amp;""="0","",INDEX(원자료_잔고!$A$1:$EZ$1500,설정!$L$5+ROW()-1,설정!$L$9)&amp;""),"")</f>
        <v/>
      </c>
      <c r="D557" s="83" t="str">
        <f aca="false">IFERROR(IF(INDEX(원자료_잔고!$A$1:$EZ$1500,설정!$L$5+ROW()-1,설정!$L$10)&amp;""="0","",INDEX(원자료_잔고!$A$1:$EZ$1500,설정!$L$5+ROW()-1,설정!$L$10)&amp;""),"")</f>
        <v/>
      </c>
      <c r="E557" s="84" t="str">
        <f aca="false">IFERROR(IF(ISNUMBER(INDEX(원자료_잔고!$A$1:$EZ$1500,설정!$L$5+ROW()-1,설정!$L$11)),INDEX(원자료_잔고!$A$1:$EZ$1500,설정!$L$5+ROW()-1,설정!$L$11),""),"")</f>
        <v/>
      </c>
      <c r="F557" s="85" t="str">
        <f aca="false">IFERROR(IF(ISNUMBER(INDEX(원자료_잔고!$A$1:$EZ$1500,설정!$L$5+ROW()-1,설정!$L$12)),INDEX(원자료_잔고!$A$1:$EZ$1500,설정!$L$5+ROW()-1,설정!$L$12),""),"")</f>
        <v/>
      </c>
      <c r="G557" s="85" t="str">
        <f aca="false">IFERROR(IF(ISNUMBER(INDEX(원자료_잔고!$A$1:$EZ$1500,설정!$L$5+ROW()-1,설정!$L$13)),INDEX(원자료_잔고!$A$1:$EZ$1500,설정!$L$5+ROW()-1,설정!$L$13),""),"")</f>
        <v/>
      </c>
      <c r="H557" s="85" t="str">
        <f aca="false">IFERROR(IF(ISNUMBER(INDEX(원자료_잔고!$A$1:$EZ$1500,설정!$L$5+ROW()-1,설정!$L$14)),INDEX(원자료_잔고!$A$1:$EZ$1500,설정!$L$5+ROW()-1,설정!$L$14),""),"")</f>
        <v/>
      </c>
      <c r="I557" s="86" t="str">
        <f aca="false">IFERROR(IF(ISNUMBER(INDEX(원자료_잔고!$A$1:$EZ$1500,설정!$L$5+ROW()-1,설정!$L$15)),INDEX(원자료_잔고!$A$1:$EZ$1500,설정!$L$5+ROW()-1,설정!$L$15),""),"")</f>
        <v/>
      </c>
      <c r="J557" s="85" t="str">
        <f aca="false">IFERROR(IF(ISNUMBER(INDEX(원자료_잔고!$A$1:$EZ$1500,설정!$L$5+ROW()-1,설정!$L$16)),INDEX(원자료_잔고!$A$1:$EZ$1500,설정!$L$5+ROW()-1,설정!$L$16),""),"")</f>
        <v/>
      </c>
      <c r="K557" s="87" t="str">
        <f aca="false">IFERROR(IF(ISNUMBER(INDEX(원자료_잔고!$A$1:$EZ$1500,설정!$L$5+ROW()-1,설정!$L$17)),INDEX(원자료_잔고!$A$1:$EZ$1500,설정!$L$5+ROW()-1,설정!$L$17),""),"")</f>
        <v/>
      </c>
      <c r="L557" s="84" t="str">
        <f aca="false">IFERROR(IF(ISNUMBER(INDEX(원자료_잔고!$A$1:$EZ$1500,설정!$L$5+ROW()-1,설정!$L$18)),INDEX(원자료_잔고!$A$1:$EZ$1500,설정!$L$5+ROW()-1,설정!$L$18),""),"")</f>
        <v/>
      </c>
      <c r="M557" s="88" t="str">
        <f aca="false">IFERROR(IF(ISNUMBER(INDEX(원자료_잔고!$A$1:$EZ$1500,설정!$L$5+ROW()-1,설정!$L$19)),INDEX(원자료_잔고!$A$1:$EZ$1500,설정!$L$5+ROW()-1,설정!$L$19),""),"")</f>
        <v/>
      </c>
      <c r="N557" s="83" t="str">
        <f aca="false">IFERROR(IF(INDEX(원자료_잔고!$A$1:$EZ$1500,설정!$L$5+ROW()-1,설정!$L$21)&amp;""="0","",INDEX(원자료_잔고!$A$1:$EZ$1500,설정!$L$5+ROW()-1,설정!$L$21)&amp;""),"")</f>
        <v/>
      </c>
      <c r="O557" s="83" t="str">
        <f aca="false">IFERROR(IF(INDEX(원자료_잔고!$A$1:$EZ$1500,설정!$L$5+ROW()-1,설정!$L$22)&amp;""="0","",INDEX(원자료_잔고!$A$1:$EZ$1500,설정!$L$5+ROW()-1,설정!$L$22)&amp;""),"")</f>
        <v/>
      </c>
      <c r="P557" s="83" t="str">
        <f aca="false">IFERROR(IF(INDEX(원자료_잔고!$A$1:$EZ$1500,설정!$L$5+ROW()-1,설정!$L$23)&amp;""="0","",INDEX(원자료_잔고!$A$1:$EZ$1500,설정!$L$5+ROW()-1,설정!$L$23)&amp;""),"")</f>
        <v/>
      </c>
      <c r="Q557" s="89" t="n">
        <f aca="false">IF(AND($A557&lt;&gt;"",ISNUMBER(E557)),IF(E557&gt;0,1,0),0)</f>
        <v>0</v>
      </c>
      <c r="R557" s="43" t="str">
        <f aca="false">IF(Q557=1,UPPER(LEFT($A557,FIND(" ",$A557&amp;" ")-1)),"")</f>
        <v/>
      </c>
      <c r="S557" s="89" t="n">
        <f aca="false">IF(Q557=1,IF(OR(ISNUMBER(SEARCH("Float",$A557)),ISNUMBER(SEARCH("FRN",$A557))),1,0),0)</f>
        <v>0</v>
      </c>
      <c r="T557" s="43" t="str">
        <f aca="false">IF(AND(Q557=1,ISNUMBER(I557)),TEXT(I557,"yyyymmdd")&amp;"|"&amp;IF(S557=1,"F",TEXT(J557,"0.000")),"")</f>
        <v/>
      </c>
      <c r="U557" s="90" t="str">
        <f aca="false">IF(AND(Q557=1,ISNUMBER(I557)),(I557-설정!$C$4)/365.25,"")</f>
        <v/>
      </c>
      <c r="V557" s="43" t="str">
        <f aca="false">IF(Q557&lt;&gt;1,"",IF(ISNUMBER(U557),IF(U557&lt;=1,"1년 이하",IF(U557&lt;=2,"1-2년",IF(U557&lt;=3,"2-3년",IF(U557&lt;=4,"3-4년",IF(U557&lt;=5,"4-5년",IF(U557&lt;=7,"5-7년",IF(U557&lt;=10,"7-10년",IF(U557&lt;=20,"10-20년","20년 이상")))))))),"미분류"))</f>
        <v/>
      </c>
      <c r="W557" s="43" t="str">
        <f aca="false">IF(Q557&lt;&gt;1,"",IF(AB557&lt;&gt;"",INDEX(시장분석!$C:$C,AB557),IF(K557=1,"USD","비USD")))</f>
        <v/>
      </c>
      <c r="X557" s="91" t="n">
        <f aca="false">IF(Q557=1,E557*K557/1000000,0)</f>
        <v>0</v>
      </c>
      <c r="Y557" s="89" t="n">
        <f aca="false">IF(R557="T",1,0)</f>
        <v>0</v>
      </c>
      <c r="Z557" s="92" t="str">
        <f aca="false">IF(Q557&lt;&gt;1,"",IF(AD557=1,IF(ISNUMBER(U557),MAX(U557,0),H557),H557))</f>
        <v/>
      </c>
      <c r="AA557" s="91" t="n">
        <f aca="false">IF(Q557=1,IF(ISNUMBER(L557),L557,0)*K557/1000000,0)</f>
        <v>0</v>
      </c>
      <c r="AB557" s="89" t="str">
        <f aca="false">IF(Q557&lt;&gt;1,"",IFERROR(MATCH(VLOOKUP(B557,매핑!$H$4:$I$15,2,0),시장분석!$A$2:$A$601,0)+1,IFERROR(MATCH(R557&amp;"|"&amp;T557,시장분석!$V$2:$V$601,0)+1,IF(COUNTIF(시장분석!$U$2:$U$601,T557)=1,MATCH(T557,시장분석!$U$2:$U$601,0)+1,""))))</f>
        <v/>
      </c>
      <c r="AC557" s="89" t="n">
        <f aca="false">IF(Q557&lt;&gt;1,0,IF(OR(설정!$C$5="전체",AND(설정!$C$5="선택펀드",IFERROR(COUNTIFS(설정!$F$16:$F$36,C557,설정!$G$16:$G$36,"Y")+COUNTIFS(설정!$F$16:$F$36,VALUE(C557),설정!$G$16:$G$36,"Y"),0)&gt;0),C557&amp;""=설정!$C$5&amp;""),1,0))</f>
        <v>0</v>
      </c>
      <c r="AD557" s="89" t="n">
        <f aca="false">IF(Q557&lt;&gt;1,0,IF(OR(S557=1,IF(AB557="",FALSE(),INDEX(시장분석!$R:$R,AB557)=1)),1,0))</f>
        <v>0</v>
      </c>
      <c r="AE557" s="43" t="str">
        <f aca="false">IF(AB557="","",INDEX(시장분석!$A:$A,AB557))</f>
        <v/>
      </c>
      <c r="AF557" s="93" t="str">
        <f aca="false">IF(AB557="","",IF(ISNUMBER(IF(AB557="","",INDEX(시장분석!$E:$E,AB557))),IF(AB557="","",INDEX(시장분석!$E:$E,AB557)),""))</f>
        <v/>
      </c>
      <c r="AG557" s="43" t="str">
        <f aca="false">IF(Q557&lt;&gt;1,"",IF(AB557&lt;&gt;"",IF(AB557="","",INDEX(시장분석!$L:$L,AB557)),IFERROR(IF(VLOOKUP(R557,매핑!$A$4:$E$92,5,0)="","미분류",VLOOKUP(R557,매핑!$A$4:$E$92,5,0)),"미분류")))</f>
        <v/>
      </c>
      <c r="AH557" s="43" t="str">
        <f aca="false">IF(Q557&lt;&gt;1,"",IF(AB557&lt;&gt;"",IF(AB557="","",INDEX(시장분석!$N:$N,AB557)),IFERROR(IF(VLOOKUP(R557,매핑!$A$4:$E$92,4,0)="","미분류",VLOOKUP(R557,매핑!$A$4:$E$92,4,0)),"미분류")))</f>
        <v/>
      </c>
      <c r="AI557" s="43" t="str">
        <f aca="false">IF(Q557&lt;&gt;1,"",IFERROR(IF(VLOOKUP(R557,매핑!$A$4:$E$92,3,0)="","미분류",VLOOKUP(R557,매핑!$A$4:$E$92,3,0)),IF(AB557&lt;&gt;"",IF(AB557="","",INDEX(시장분석!$W:$W,AB557)),"미분류")))</f>
        <v/>
      </c>
      <c r="AJ557" s="43" t="str">
        <f aca="false">IF(Q557&lt;&gt;1,"",IFERROR(VLOOKUP(IF(N557&lt;&gt;"",N557,IF(P557&lt;&gt;"",P557,O557)),설정!$A$15:$D$47,2,0),""))</f>
        <v/>
      </c>
      <c r="AK557" s="43" t="str">
        <f aca="false">IF(Q557&lt;&gt;1,"",IF(AJ557="","무등급",IFERROR(VLOOKUP(AJ557,설정!$A$15:$D$47,3,0),"무등급")))</f>
        <v/>
      </c>
      <c r="AL557" s="89" t="n">
        <f aca="false">IF(AJ557="",99,IFERROR(VLOOKUP(AJ557,설정!$A$15:$D$47,4,0),99))</f>
        <v>99</v>
      </c>
      <c r="AM557" s="94" t="n">
        <f aca="false">IF(ISNUMBER(H557),AA557*1000000*H557/10000,0)</f>
        <v>0</v>
      </c>
      <c r="AN557" s="94" t="n">
        <f aca="false">IF(OR(Y557=1,NOT(ISNUMBER(Z557))),0,AA557*1000000*Z557/10000)</f>
        <v>0</v>
      </c>
      <c r="AO557" s="94" t="n">
        <f aca="false">IF(ISNUMBER(G557),AA557*1000000*G557/100,0)</f>
        <v>0</v>
      </c>
      <c r="AP557" s="94" t="n">
        <f aca="false">IF(ISNUMBER(M557),M557*K557,0)</f>
        <v>0</v>
      </c>
      <c r="AQ557" s="95" t="str">
        <f aca="false">IF(AB557="","",INDEX(시장분석!$AK:$AK,AB557))</f>
        <v/>
      </c>
      <c r="AR557" s="43" t="str">
        <f aca="false">IF(AB557="","-",IF(AB557="","",INDEX(시장분석!$AL:$AL,AB557)))</f>
        <v>-</v>
      </c>
      <c r="AS557" s="96" t="str">
        <f aca="false">IF(AB557="","",INDEX(시장분석!$AJ:$AJ,AB557))</f>
        <v/>
      </c>
      <c r="AT557" s="93" t="n">
        <f aca="false">IF(AB557="",0,IF(AB557="","",INDEX(시장분석!$AN:$AN,AB557)))</f>
        <v>0</v>
      </c>
      <c r="AU557" s="94" t="n">
        <f aca="false">IF(ISNUMBER(Z557),AT557/10000*MAX(Z557-1,0)*AA557*1000000,0)</f>
        <v>0</v>
      </c>
      <c r="AV557" s="94" t="n">
        <f aca="false">AO557+AU557</f>
        <v>0</v>
      </c>
      <c r="AW557" s="43" t="str">
        <f aca="false">IF(Q557&lt;&gt;1,"",TRIM(IF(AD557=1,"FRN ","")&amp;IF(AND(AL557&gt;=10,AL557&lt;99),"BBB0미만 ","")&amp;IF(AJ557="","등급없음 ","")&amp;IF(K557&lt;&gt;1,"비USD ","")&amp;IF(AND(AB557="",Y557=0),"시장데이터없음 ","")&amp;IF(AND(ISNUMBER(U557),U557&lt;0),"만기경과 ","")))</f>
        <v/>
      </c>
      <c r="AX557" s="90" t="n">
        <f aca="false">IF(Q557&lt;&gt;1,1,IF(스프레드쇼크!$C$4="Y",INDEX(스프레드쇼크!$B$12:$L$16,IFERROR(MATCH(AH557,스프레드쇼크!$A$12:$A$16,0),MATCH("목록외",스프레드쇼크!$A$12:$A$16,0)),IFERROR(MATCH(AG557,스프레드쇼크!$B$11:$L$11,0),MATCH("목록외",스프레드쇼크!$B$11:$L$11,0))),1))</f>
        <v>1</v>
      </c>
      <c r="AY557" s="90" t="n">
        <f aca="false">IF(스프레드쇼크!$C$5="Y",IF(ISNUMBER(AF557),MIN(스프레드쇼크!$C$7,MAX(스프레드쇼크!$C$6,AF557/스프레드쇼크!$C$8)),1),1)</f>
        <v>1</v>
      </c>
      <c r="AZ557" s="94" t="n">
        <f aca="false">AN557*AX557*AY557</f>
        <v>0</v>
      </c>
      <c r="BA557" s="90" t="n">
        <f aca="false">IF(ISNUMBER(G557),AA557*G557,0)</f>
        <v>0</v>
      </c>
      <c r="BB557" s="90" t="n">
        <f aca="false">IF(ISNUMBER(G557),AA557,0)</f>
        <v>0</v>
      </c>
      <c r="BC557" s="90" t="n">
        <f aca="false">IF(AND(Y557=0,ISNUMBER(AF557)),AA557*AF557,0)</f>
        <v>0</v>
      </c>
      <c r="BD557" s="90" t="n">
        <f aca="false">IF(AND(Y557=0,ISNUMBER(AF557)),AA557,0)</f>
        <v>0</v>
      </c>
      <c r="BE557" s="90" t="n">
        <f aca="false">IF(ISNUMBER(H557),AA557*H557,0)</f>
        <v>0</v>
      </c>
      <c r="BF557" s="90" t="n">
        <f aca="false">IF(ISNUMBER(H557),AA557,0)</f>
        <v>0</v>
      </c>
      <c r="BG557" s="90" t="n">
        <f aca="false">IF(AND(Y557=0,ISNUMBER(AF557),ISNUMBER(Z557)),AA557*Z557,0)</f>
        <v>0</v>
      </c>
      <c r="BH557" s="90" t="n">
        <f aca="false">IF(AND(Y557=0,ISNUMBER(AF557),ISNUMBER(Z557)),AA557*AT557*MAX(Z557-1,0),0)</f>
        <v>0</v>
      </c>
      <c r="BI557" s="90" t="n">
        <f aca="false">IF(Y557=0,AA557,0)</f>
        <v>0</v>
      </c>
    </row>
    <row r="558" customFormat="false" ht="15" hidden="false" customHeight="false" outlineLevel="0" collapsed="false">
      <c r="A558" s="83" t="str">
        <f aca="false">IFERROR(IF(INDEX(원자료_잔고!$A$1:$EZ$1500,설정!$L$5+ROW()-1,설정!$L$8)&amp;""="0","",INDEX(원자료_잔고!$A$1:$EZ$1500,설정!$L$5+ROW()-1,설정!$L$8)&amp;""),"")</f>
        <v/>
      </c>
      <c r="B558" s="83" t="str">
        <f aca="false">IFERROR(IF(INDEX(원자료_잔고!$A$1:$EZ$1500,설정!$L$5+ROW()-1,설정!$L$7)&amp;""="0","",INDEX(원자료_잔고!$A$1:$EZ$1500,설정!$L$5+ROW()-1,설정!$L$7)&amp;""),"")</f>
        <v/>
      </c>
      <c r="C558" s="83" t="str">
        <f aca="false">IFERROR(IF(INDEX(원자료_잔고!$A$1:$EZ$1500,설정!$L$5+ROW()-1,설정!$L$9)&amp;""="0","",INDEX(원자료_잔고!$A$1:$EZ$1500,설정!$L$5+ROW()-1,설정!$L$9)&amp;""),"")</f>
        <v/>
      </c>
      <c r="D558" s="83" t="str">
        <f aca="false">IFERROR(IF(INDEX(원자료_잔고!$A$1:$EZ$1500,설정!$L$5+ROW()-1,설정!$L$10)&amp;""="0","",INDEX(원자료_잔고!$A$1:$EZ$1500,설정!$L$5+ROW()-1,설정!$L$10)&amp;""),"")</f>
        <v/>
      </c>
      <c r="E558" s="84" t="str">
        <f aca="false">IFERROR(IF(ISNUMBER(INDEX(원자료_잔고!$A$1:$EZ$1500,설정!$L$5+ROW()-1,설정!$L$11)),INDEX(원자료_잔고!$A$1:$EZ$1500,설정!$L$5+ROW()-1,설정!$L$11),""),"")</f>
        <v/>
      </c>
      <c r="F558" s="85" t="str">
        <f aca="false">IFERROR(IF(ISNUMBER(INDEX(원자료_잔고!$A$1:$EZ$1500,설정!$L$5+ROW()-1,설정!$L$12)),INDEX(원자료_잔고!$A$1:$EZ$1500,설정!$L$5+ROW()-1,설정!$L$12),""),"")</f>
        <v/>
      </c>
      <c r="G558" s="85" t="str">
        <f aca="false">IFERROR(IF(ISNUMBER(INDEX(원자료_잔고!$A$1:$EZ$1500,설정!$L$5+ROW()-1,설정!$L$13)),INDEX(원자료_잔고!$A$1:$EZ$1500,설정!$L$5+ROW()-1,설정!$L$13),""),"")</f>
        <v/>
      </c>
      <c r="H558" s="85" t="str">
        <f aca="false">IFERROR(IF(ISNUMBER(INDEX(원자료_잔고!$A$1:$EZ$1500,설정!$L$5+ROW()-1,설정!$L$14)),INDEX(원자료_잔고!$A$1:$EZ$1500,설정!$L$5+ROW()-1,설정!$L$14),""),"")</f>
        <v/>
      </c>
      <c r="I558" s="86" t="str">
        <f aca="false">IFERROR(IF(ISNUMBER(INDEX(원자료_잔고!$A$1:$EZ$1500,설정!$L$5+ROW()-1,설정!$L$15)),INDEX(원자료_잔고!$A$1:$EZ$1500,설정!$L$5+ROW()-1,설정!$L$15),""),"")</f>
        <v/>
      </c>
      <c r="J558" s="85" t="str">
        <f aca="false">IFERROR(IF(ISNUMBER(INDEX(원자료_잔고!$A$1:$EZ$1500,설정!$L$5+ROW()-1,설정!$L$16)),INDEX(원자료_잔고!$A$1:$EZ$1500,설정!$L$5+ROW()-1,설정!$L$16),""),"")</f>
        <v/>
      </c>
      <c r="K558" s="87" t="str">
        <f aca="false">IFERROR(IF(ISNUMBER(INDEX(원자료_잔고!$A$1:$EZ$1500,설정!$L$5+ROW()-1,설정!$L$17)),INDEX(원자료_잔고!$A$1:$EZ$1500,설정!$L$5+ROW()-1,설정!$L$17),""),"")</f>
        <v/>
      </c>
      <c r="L558" s="84" t="str">
        <f aca="false">IFERROR(IF(ISNUMBER(INDEX(원자료_잔고!$A$1:$EZ$1500,설정!$L$5+ROW()-1,설정!$L$18)),INDEX(원자료_잔고!$A$1:$EZ$1500,설정!$L$5+ROW()-1,설정!$L$18),""),"")</f>
        <v/>
      </c>
      <c r="M558" s="88" t="str">
        <f aca="false">IFERROR(IF(ISNUMBER(INDEX(원자료_잔고!$A$1:$EZ$1500,설정!$L$5+ROW()-1,설정!$L$19)),INDEX(원자료_잔고!$A$1:$EZ$1500,설정!$L$5+ROW()-1,설정!$L$19),""),"")</f>
        <v/>
      </c>
      <c r="N558" s="83" t="str">
        <f aca="false">IFERROR(IF(INDEX(원자료_잔고!$A$1:$EZ$1500,설정!$L$5+ROW()-1,설정!$L$21)&amp;""="0","",INDEX(원자료_잔고!$A$1:$EZ$1500,설정!$L$5+ROW()-1,설정!$L$21)&amp;""),"")</f>
        <v/>
      </c>
      <c r="O558" s="83" t="str">
        <f aca="false">IFERROR(IF(INDEX(원자료_잔고!$A$1:$EZ$1500,설정!$L$5+ROW()-1,설정!$L$22)&amp;""="0","",INDEX(원자료_잔고!$A$1:$EZ$1500,설정!$L$5+ROW()-1,설정!$L$22)&amp;""),"")</f>
        <v/>
      </c>
      <c r="P558" s="83" t="str">
        <f aca="false">IFERROR(IF(INDEX(원자료_잔고!$A$1:$EZ$1500,설정!$L$5+ROW()-1,설정!$L$23)&amp;""="0","",INDEX(원자료_잔고!$A$1:$EZ$1500,설정!$L$5+ROW()-1,설정!$L$23)&amp;""),"")</f>
        <v/>
      </c>
      <c r="Q558" s="89" t="n">
        <f aca="false">IF(AND($A558&lt;&gt;"",ISNUMBER(E558)),IF(E558&gt;0,1,0),0)</f>
        <v>0</v>
      </c>
      <c r="R558" s="43" t="str">
        <f aca="false">IF(Q558=1,UPPER(LEFT($A558,FIND(" ",$A558&amp;" ")-1)),"")</f>
        <v/>
      </c>
      <c r="S558" s="89" t="n">
        <f aca="false">IF(Q558=1,IF(OR(ISNUMBER(SEARCH("Float",$A558)),ISNUMBER(SEARCH("FRN",$A558))),1,0),0)</f>
        <v>0</v>
      </c>
      <c r="T558" s="43" t="str">
        <f aca="false">IF(AND(Q558=1,ISNUMBER(I558)),TEXT(I558,"yyyymmdd")&amp;"|"&amp;IF(S558=1,"F",TEXT(J558,"0.000")),"")</f>
        <v/>
      </c>
      <c r="U558" s="90" t="str">
        <f aca="false">IF(AND(Q558=1,ISNUMBER(I558)),(I558-설정!$C$4)/365.25,"")</f>
        <v/>
      </c>
      <c r="V558" s="43" t="str">
        <f aca="false">IF(Q558&lt;&gt;1,"",IF(ISNUMBER(U558),IF(U558&lt;=1,"1년 이하",IF(U558&lt;=2,"1-2년",IF(U558&lt;=3,"2-3년",IF(U558&lt;=4,"3-4년",IF(U558&lt;=5,"4-5년",IF(U558&lt;=7,"5-7년",IF(U558&lt;=10,"7-10년",IF(U558&lt;=20,"10-20년","20년 이상")))))))),"미분류"))</f>
        <v/>
      </c>
      <c r="W558" s="43" t="str">
        <f aca="false">IF(Q558&lt;&gt;1,"",IF(AB558&lt;&gt;"",INDEX(시장분석!$C:$C,AB558),IF(K558=1,"USD","비USD")))</f>
        <v/>
      </c>
      <c r="X558" s="91" t="n">
        <f aca="false">IF(Q558=1,E558*K558/1000000,0)</f>
        <v>0</v>
      </c>
      <c r="Y558" s="89" t="n">
        <f aca="false">IF(R558="T",1,0)</f>
        <v>0</v>
      </c>
      <c r="Z558" s="92" t="str">
        <f aca="false">IF(Q558&lt;&gt;1,"",IF(AD558=1,IF(ISNUMBER(U558),MAX(U558,0),H558),H558))</f>
        <v/>
      </c>
      <c r="AA558" s="91" t="n">
        <f aca="false">IF(Q558=1,IF(ISNUMBER(L558),L558,0)*K558/1000000,0)</f>
        <v>0</v>
      </c>
      <c r="AB558" s="89" t="str">
        <f aca="false">IF(Q558&lt;&gt;1,"",IFERROR(MATCH(VLOOKUP(B558,매핑!$H$4:$I$15,2,0),시장분석!$A$2:$A$601,0)+1,IFERROR(MATCH(R558&amp;"|"&amp;T558,시장분석!$V$2:$V$601,0)+1,IF(COUNTIF(시장분석!$U$2:$U$601,T558)=1,MATCH(T558,시장분석!$U$2:$U$601,0)+1,""))))</f>
        <v/>
      </c>
      <c r="AC558" s="89" t="n">
        <f aca="false">IF(Q558&lt;&gt;1,0,IF(OR(설정!$C$5="전체",AND(설정!$C$5="선택펀드",IFERROR(COUNTIFS(설정!$F$16:$F$36,C558,설정!$G$16:$G$36,"Y")+COUNTIFS(설정!$F$16:$F$36,VALUE(C558),설정!$G$16:$G$36,"Y"),0)&gt;0),C558&amp;""=설정!$C$5&amp;""),1,0))</f>
        <v>0</v>
      </c>
      <c r="AD558" s="89" t="n">
        <f aca="false">IF(Q558&lt;&gt;1,0,IF(OR(S558=1,IF(AB558="",FALSE(),INDEX(시장분석!$R:$R,AB558)=1)),1,0))</f>
        <v>0</v>
      </c>
      <c r="AE558" s="43" t="str">
        <f aca="false">IF(AB558="","",INDEX(시장분석!$A:$A,AB558))</f>
        <v/>
      </c>
      <c r="AF558" s="93" t="str">
        <f aca="false">IF(AB558="","",IF(ISNUMBER(IF(AB558="","",INDEX(시장분석!$E:$E,AB558))),IF(AB558="","",INDEX(시장분석!$E:$E,AB558)),""))</f>
        <v/>
      </c>
      <c r="AG558" s="43" t="str">
        <f aca="false">IF(Q558&lt;&gt;1,"",IF(AB558&lt;&gt;"",IF(AB558="","",INDEX(시장분석!$L:$L,AB558)),IFERROR(IF(VLOOKUP(R558,매핑!$A$4:$E$92,5,0)="","미분류",VLOOKUP(R558,매핑!$A$4:$E$92,5,0)),"미분류")))</f>
        <v/>
      </c>
      <c r="AH558" s="43" t="str">
        <f aca="false">IF(Q558&lt;&gt;1,"",IF(AB558&lt;&gt;"",IF(AB558="","",INDEX(시장분석!$N:$N,AB558)),IFERROR(IF(VLOOKUP(R558,매핑!$A$4:$E$92,4,0)="","미분류",VLOOKUP(R558,매핑!$A$4:$E$92,4,0)),"미분류")))</f>
        <v/>
      </c>
      <c r="AI558" s="43" t="str">
        <f aca="false">IF(Q558&lt;&gt;1,"",IFERROR(IF(VLOOKUP(R558,매핑!$A$4:$E$92,3,0)="","미분류",VLOOKUP(R558,매핑!$A$4:$E$92,3,0)),IF(AB558&lt;&gt;"",IF(AB558="","",INDEX(시장분석!$W:$W,AB558)),"미분류")))</f>
        <v/>
      </c>
      <c r="AJ558" s="43" t="str">
        <f aca="false">IF(Q558&lt;&gt;1,"",IFERROR(VLOOKUP(IF(N558&lt;&gt;"",N558,IF(P558&lt;&gt;"",P558,O558)),설정!$A$15:$D$47,2,0),""))</f>
        <v/>
      </c>
      <c r="AK558" s="43" t="str">
        <f aca="false">IF(Q558&lt;&gt;1,"",IF(AJ558="","무등급",IFERROR(VLOOKUP(AJ558,설정!$A$15:$D$47,3,0),"무등급")))</f>
        <v/>
      </c>
      <c r="AL558" s="89" t="n">
        <f aca="false">IF(AJ558="",99,IFERROR(VLOOKUP(AJ558,설정!$A$15:$D$47,4,0),99))</f>
        <v>99</v>
      </c>
      <c r="AM558" s="94" t="n">
        <f aca="false">IF(ISNUMBER(H558),AA558*1000000*H558/10000,0)</f>
        <v>0</v>
      </c>
      <c r="AN558" s="94" t="n">
        <f aca="false">IF(OR(Y558=1,NOT(ISNUMBER(Z558))),0,AA558*1000000*Z558/10000)</f>
        <v>0</v>
      </c>
      <c r="AO558" s="94" t="n">
        <f aca="false">IF(ISNUMBER(G558),AA558*1000000*G558/100,0)</f>
        <v>0</v>
      </c>
      <c r="AP558" s="94" t="n">
        <f aca="false">IF(ISNUMBER(M558),M558*K558,0)</f>
        <v>0</v>
      </c>
      <c r="AQ558" s="95" t="str">
        <f aca="false">IF(AB558="","",INDEX(시장분석!$AK:$AK,AB558))</f>
        <v/>
      </c>
      <c r="AR558" s="43" t="str">
        <f aca="false">IF(AB558="","-",IF(AB558="","",INDEX(시장분석!$AL:$AL,AB558)))</f>
        <v>-</v>
      </c>
      <c r="AS558" s="96" t="str">
        <f aca="false">IF(AB558="","",INDEX(시장분석!$AJ:$AJ,AB558))</f>
        <v/>
      </c>
      <c r="AT558" s="93" t="n">
        <f aca="false">IF(AB558="",0,IF(AB558="","",INDEX(시장분석!$AN:$AN,AB558)))</f>
        <v>0</v>
      </c>
      <c r="AU558" s="94" t="n">
        <f aca="false">IF(ISNUMBER(Z558),AT558/10000*MAX(Z558-1,0)*AA558*1000000,0)</f>
        <v>0</v>
      </c>
      <c r="AV558" s="94" t="n">
        <f aca="false">AO558+AU558</f>
        <v>0</v>
      </c>
      <c r="AW558" s="43" t="str">
        <f aca="false">IF(Q558&lt;&gt;1,"",TRIM(IF(AD558=1,"FRN ","")&amp;IF(AND(AL558&gt;=10,AL558&lt;99),"BBB0미만 ","")&amp;IF(AJ558="","등급없음 ","")&amp;IF(K558&lt;&gt;1,"비USD ","")&amp;IF(AND(AB558="",Y558=0),"시장데이터없음 ","")&amp;IF(AND(ISNUMBER(U558),U558&lt;0),"만기경과 ","")))</f>
        <v/>
      </c>
      <c r="AX558" s="90" t="n">
        <f aca="false">IF(Q558&lt;&gt;1,1,IF(스프레드쇼크!$C$4="Y",INDEX(스프레드쇼크!$B$12:$L$16,IFERROR(MATCH(AH558,스프레드쇼크!$A$12:$A$16,0),MATCH("목록외",스프레드쇼크!$A$12:$A$16,0)),IFERROR(MATCH(AG558,스프레드쇼크!$B$11:$L$11,0),MATCH("목록외",스프레드쇼크!$B$11:$L$11,0))),1))</f>
        <v>1</v>
      </c>
      <c r="AY558" s="90" t="n">
        <f aca="false">IF(스프레드쇼크!$C$5="Y",IF(ISNUMBER(AF558),MIN(스프레드쇼크!$C$7,MAX(스프레드쇼크!$C$6,AF558/스프레드쇼크!$C$8)),1),1)</f>
        <v>1</v>
      </c>
      <c r="AZ558" s="94" t="n">
        <f aca="false">AN558*AX558*AY558</f>
        <v>0</v>
      </c>
      <c r="BA558" s="90" t="n">
        <f aca="false">IF(ISNUMBER(G558),AA558*G558,0)</f>
        <v>0</v>
      </c>
      <c r="BB558" s="90" t="n">
        <f aca="false">IF(ISNUMBER(G558),AA558,0)</f>
        <v>0</v>
      </c>
      <c r="BC558" s="90" t="n">
        <f aca="false">IF(AND(Y558=0,ISNUMBER(AF558)),AA558*AF558,0)</f>
        <v>0</v>
      </c>
      <c r="BD558" s="90" t="n">
        <f aca="false">IF(AND(Y558=0,ISNUMBER(AF558)),AA558,0)</f>
        <v>0</v>
      </c>
      <c r="BE558" s="90" t="n">
        <f aca="false">IF(ISNUMBER(H558),AA558*H558,0)</f>
        <v>0</v>
      </c>
      <c r="BF558" s="90" t="n">
        <f aca="false">IF(ISNUMBER(H558),AA558,0)</f>
        <v>0</v>
      </c>
      <c r="BG558" s="90" t="n">
        <f aca="false">IF(AND(Y558=0,ISNUMBER(AF558),ISNUMBER(Z558)),AA558*Z558,0)</f>
        <v>0</v>
      </c>
      <c r="BH558" s="90" t="n">
        <f aca="false">IF(AND(Y558=0,ISNUMBER(AF558),ISNUMBER(Z558)),AA558*AT558*MAX(Z558-1,0),0)</f>
        <v>0</v>
      </c>
      <c r="BI558" s="90" t="n">
        <f aca="false">IF(Y558=0,AA558,0)</f>
        <v>0</v>
      </c>
    </row>
    <row r="559" customFormat="false" ht="15" hidden="false" customHeight="false" outlineLevel="0" collapsed="false">
      <c r="A559" s="83" t="str">
        <f aca="false">IFERROR(IF(INDEX(원자료_잔고!$A$1:$EZ$1500,설정!$L$5+ROW()-1,설정!$L$8)&amp;""="0","",INDEX(원자료_잔고!$A$1:$EZ$1500,설정!$L$5+ROW()-1,설정!$L$8)&amp;""),"")</f>
        <v/>
      </c>
      <c r="B559" s="83" t="str">
        <f aca="false">IFERROR(IF(INDEX(원자료_잔고!$A$1:$EZ$1500,설정!$L$5+ROW()-1,설정!$L$7)&amp;""="0","",INDEX(원자료_잔고!$A$1:$EZ$1500,설정!$L$5+ROW()-1,설정!$L$7)&amp;""),"")</f>
        <v/>
      </c>
      <c r="C559" s="83" t="str">
        <f aca="false">IFERROR(IF(INDEX(원자료_잔고!$A$1:$EZ$1500,설정!$L$5+ROW()-1,설정!$L$9)&amp;""="0","",INDEX(원자료_잔고!$A$1:$EZ$1500,설정!$L$5+ROW()-1,설정!$L$9)&amp;""),"")</f>
        <v/>
      </c>
      <c r="D559" s="83" t="str">
        <f aca="false">IFERROR(IF(INDEX(원자료_잔고!$A$1:$EZ$1500,설정!$L$5+ROW()-1,설정!$L$10)&amp;""="0","",INDEX(원자료_잔고!$A$1:$EZ$1500,설정!$L$5+ROW()-1,설정!$L$10)&amp;""),"")</f>
        <v/>
      </c>
      <c r="E559" s="84" t="str">
        <f aca="false">IFERROR(IF(ISNUMBER(INDEX(원자료_잔고!$A$1:$EZ$1500,설정!$L$5+ROW()-1,설정!$L$11)),INDEX(원자료_잔고!$A$1:$EZ$1500,설정!$L$5+ROW()-1,설정!$L$11),""),"")</f>
        <v/>
      </c>
      <c r="F559" s="85" t="str">
        <f aca="false">IFERROR(IF(ISNUMBER(INDEX(원자료_잔고!$A$1:$EZ$1500,설정!$L$5+ROW()-1,설정!$L$12)),INDEX(원자료_잔고!$A$1:$EZ$1500,설정!$L$5+ROW()-1,설정!$L$12),""),"")</f>
        <v/>
      </c>
      <c r="G559" s="85" t="str">
        <f aca="false">IFERROR(IF(ISNUMBER(INDEX(원자료_잔고!$A$1:$EZ$1500,설정!$L$5+ROW()-1,설정!$L$13)),INDEX(원자료_잔고!$A$1:$EZ$1500,설정!$L$5+ROW()-1,설정!$L$13),""),"")</f>
        <v/>
      </c>
      <c r="H559" s="85" t="str">
        <f aca="false">IFERROR(IF(ISNUMBER(INDEX(원자료_잔고!$A$1:$EZ$1500,설정!$L$5+ROW()-1,설정!$L$14)),INDEX(원자료_잔고!$A$1:$EZ$1500,설정!$L$5+ROW()-1,설정!$L$14),""),"")</f>
        <v/>
      </c>
      <c r="I559" s="86" t="str">
        <f aca="false">IFERROR(IF(ISNUMBER(INDEX(원자료_잔고!$A$1:$EZ$1500,설정!$L$5+ROW()-1,설정!$L$15)),INDEX(원자료_잔고!$A$1:$EZ$1500,설정!$L$5+ROW()-1,설정!$L$15),""),"")</f>
        <v/>
      </c>
      <c r="J559" s="85" t="str">
        <f aca="false">IFERROR(IF(ISNUMBER(INDEX(원자료_잔고!$A$1:$EZ$1500,설정!$L$5+ROW()-1,설정!$L$16)),INDEX(원자료_잔고!$A$1:$EZ$1500,설정!$L$5+ROW()-1,설정!$L$16),""),"")</f>
        <v/>
      </c>
      <c r="K559" s="87" t="str">
        <f aca="false">IFERROR(IF(ISNUMBER(INDEX(원자료_잔고!$A$1:$EZ$1500,설정!$L$5+ROW()-1,설정!$L$17)),INDEX(원자료_잔고!$A$1:$EZ$1500,설정!$L$5+ROW()-1,설정!$L$17),""),"")</f>
        <v/>
      </c>
      <c r="L559" s="84" t="str">
        <f aca="false">IFERROR(IF(ISNUMBER(INDEX(원자료_잔고!$A$1:$EZ$1500,설정!$L$5+ROW()-1,설정!$L$18)),INDEX(원자료_잔고!$A$1:$EZ$1500,설정!$L$5+ROW()-1,설정!$L$18),""),"")</f>
        <v/>
      </c>
      <c r="M559" s="88" t="str">
        <f aca="false">IFERROR(IF(ISNUMBER(INDEX(원자료_잔고!$A$1:$EZ$1500,설정!$L$5+ROW()-1,설정!$L$19)),INDEX(원자료_잔고!$A$1:$EZ$1500,설정!$L$5+ROW()-1,설정!$L$19),""),"")</f>
        <v/>
      </c>
      <c r="N559" s="83" t="str">
        <f aca="false">IFERROR(IF(INDEX(원자료_잔고!$A$1:$EZ$1500,설정!$L$5+ROW()-1,설정!$L$21)&amp;""="0","",INDEX(원자료_잔고!$A$1:$EZ$1500,설정!$L$5+ROW()-1,설정!$L$21)&amp;""),"")</f>
        <v/>
      </c>
      <c r="O559" s="83" t="str">
        <f aca="false">IFERROR(IF(INDEX(원자료_잔고!$A$1:$EZ$1500,설정!$L$5+ROW()-1,설정!$L$22)&amp;""="0","",INDEX(원자료_잔고!$A$1:$EZ$1500,설정!$L$5+ROW()-1,설정!$L$22)&amp;""),"")</f>
        <v/>
      </c>
      <c r="P559" s="83" t="str">
        <f aca="false">IFERROR(IF(INDEX(원자료_잔고!$A$1:$EZ$1500,설정!$L$5+ROW()-1,설정!$L$23)&amp;""="0","",INDEX(원자료_잔고!$A$1:$EZ$1500,설정!$L$5+ROW()-1,설정!$L$23)&amp;""),"")</f>
        <v/>
      </c>
      <c r="Q559" s="89" t="n">
        <f aca="false">IF(AND($A559&lt;&gt;"",ISNUMBER(E559)),IF(E559&gt;0,1,0),0)</f>
        <v>0</v>
      </c>
      <c r="R559" s="43" t="str">
        <f aca="false">IF(Q559=1,UPPER(LEFT($A559,FIND(" ",$A559&amp;" ")-1)),"")</f>
        <v/>
      </c>
      <c r="S559" s="89" t="n">
        <f aca="false">IF(Q559=1,IF(OR(ISNUMBER(SEARCH("Float",$A559)),ISNUMBER(SEARCH("FRN",$A559))),1,0),0)</f>
        <v>0</v>
      </c>
      <c r="T559" s="43" t="str">
        <f aca="false">IF(AND(Q559=1,ISNUMBER(I559)),TEXT(I559,"yyyymmdd")&amp;"|"&amp;IF(S559=1,"F",TEXT(J559,"0.000")),"")</f>
        <v/>
      </c>
      <c r="U559" s="90" t="str">
        <f aca="false">IF(AND(Q559=1,ISNUMBER(I559)),(I559-설정!$C$4)/365.25,"")</f>
        <v/>
      </c>
      <c r="V559" s="43" t="str">
        <f aca="false">IF(Q559&lt;&gt;1,"",IF(ISNUMBER(U559),IF(U559&lt;=1,"1년 이하",IF(U559&lt;=2,"1-2년",IF(U559&lt;=3,"2-3년",IF(U559&lt;=4,"3-4년",IF(U559&lt;=5,"4-5년",IF(U559&lt;=7,"5-7년",IF(U559&lt;=10,"7-10년",IF(U559&lt;=20,"10-20년","20년 이상")))))))),"미분류"))</f>
        <v/>
      </c>
      <c r="W559" s="43" t="str">
        <f aca="false">IF(Q559&lt;&gt;1,"",IF(AB559&lt;&gt;"",INDEX(시장분석!$C:$C,AB559),IF(K559=1,"USD","비USD")))</f>
        <v/>
      </c>
      <c r="X559" s="91" t="n">
        <f aca="false">IF(Q559=1,E559*K559/1000000,0)</f>
        <v>0</v>
      </c>
      <c r="Y559" s="89" t="n">
        <f aca="false">IF(R559="T",1,0)</f>
        <v>0</v>
      </c>
      <c r="Z559" s="92" t="str">
        <f aca="false">IF(Q559&lt;&gt;1,"",IF(AD559=1,IF(ISNUMBER(U559),MAX(U559,0),H559),H559))</f>
        <v/>
      </c>
      <c r="AA559" s="91" t="n">
        <f aca="false">IF(Q559=1,IF(ISNUMBER(L559),L559,0)*K559/1000000,0)</f>
        <v>0</v>
      </c>
      <c r="AB559" s="89" t="str">
        <f aca="false">IF(Q559&lt;&gt;1,"",IFERROR(MATCH(VLOOKUP(B559,매핑!$H$4:$I$15,2,0),시장분석!$A$2:$A$601,0)+1,IFERROR(MATCH(R559&amp;"|"&amp;T559,시장분석!$V$2:$V$601,0)+1,IF(COUNTIF(시장분석!$U$2:$U$601,T559)=1,MATCH(T559,시장분석!$U$2:$U$601,0)+1,""))))</f>
        <v/>
      </c>
      <c r="AC559" s="89" t="n">
        <f aca="false">IF(Q559&lt;&gt;1,0,IF(OR(설정!$C$5="전체",AND(설정!$C$5="선택펀드",IFERROR(COUNTIFS(설정!$F$16:$F$36,C559,설정!$G$16:$G$36,"Y")+COUNTIFS(설정!$F$16:$F$36,VALUE(C559),설정!$G$16:$G$36,"Y"),0)&gt;0),C559&amp;""=설정!$C$5&amp;""),1,0))</f>
        <v>0</v>
      </c>
      <c r="AD559" s="89" t="n">
        <f aca="false">IF(Q559&lt;&gt;1,0,IF(OR(S559=1,IF(AB559="",FALSE(),INDEX(시장분석!$R:$R,AB559)=1)),1,0))</f>
        <v>0</v>
      </c>
      <c r="AE559" s="43" t="str">
        <f aca="false">IF(AB559="","",INDEX(시장분석!$A:$A,AB559))</f>
        <v/>
      </c>
      <c r="AF559" s="93" t="str">
        <f aca="false">IF(AB559="","",IF(ISNUMBER(IF(AB559="","",INDEX(시장분석!$E:$E,AB559))),IF(AB559="","",INDEX(시장분석!$E:$E,AB559)),""))</f>
        <v/>
      </c>
      <c r="AG559" s="43" t="str">
        <f aca="false">IF(Q559&lt;&gt;1,"",IF(AB559&lt;&gt;"",IF(AB559="","",INDEX(시장분석!$L:$L,AB559)),IFERROR(IF(VLOOKUP(R559,매핑!$A$4:$E$92,5,0)="","미분류",VLOOKUP(R559,매핑!$A$4:$E$92,5,0)),"미분류")))</f>
        <v/>
      </c>
      <c r="AH559" s="43" t="str">
        <f aca="false">IF(Q559&lt;&gt;1,"",IF(AB559&lt;&gt;"",IF(AB559="","",INDEX(시장분석!$N:$N,AB559)),IFERROR(IF(VLOOKUP(R559,매핑!$A$4:$E$92,4,0)="","미분류",VLOOKUP(R559,매핑!$A$4:$E$92,4,0)),"미분류")))</f>
        <v/>
      </c>
      <c r="AI559" s="43" t="str">
        <f aca="false">IF(Q559&lt;&gt;1,"",IFERROR(IF(VLOOKUP(R559,매핑!$A$4:$E$92,3,0)="","미분류",VLOOKUP(R559,매핑!$A$4:$E$92,3,0)),IF(AB559&lt;&gt;"",IF(AB559="","",INDEX(시장분석!$W:$W,AB559)),"미분류")))</f>
        <v/>
      </c>
      <c r="AJ559" s="43" t="str">
        <f aca="false">IF(Q559&lt;&gt;1,"",IFERROR(VLOOKUP(IF(N559&lt;&gt;"",N559,IF(P559&lt;&gt;"",P559,O559)),설정!$A$15:$D$47,2,0),""))</f>
        <v/>
      </c>
      <c r="AK559" s="43" t="str">
        <f aca="false">IF(Q559&lt;&gt;1,"",IF(AJ559="","무등급",IFERROR(VLOOKUP(AJ559,설정!$A$15:$D$47,3,0),"무등급")))</f>
        <v/>
      </c>
      <c r="AL559" s="89" t="n">
        <f aca="false">IF(AJ559="",99,IFERROR(VLOOKUP(AJ559,설정!$A$15:$D$47,4,0),99))</f>
        <v>99</v>
      </c>
      <c r="AM559" s="94" t="n">
        <f aca="false">IF(ISNUMBER(H559),AA559*1000000*H559/10000,0)</f>
        <v>0</v>
      </c>
      <c r="AN559" s="94" t="n">
        <f aca="false">IF(OR(Y559=1,NOT(ISNUMBER(Z559))),0,AA559*1000000*Z559/10000)</f>
        <v>0</v>
      </c>
      <c r="AO559" s="94" t="n">
        <f aca="false">IF(ISNUMBER(G559),AA559*1000000*G559/100,0)</f>
        <v>0</v>
      </c>
      <c r="AP559" s="94" t="n">
        <f aca="false">IF(ISNUMBER(M559),M559*K559,0)</f>
        <v>0</v>
      </c>
      <c r="AQ559" s="95" t="str">
        <f aca="false">IF(AB559="","",INDEX(시장분석!$AK:$AK,AB559))</f>
        <v/>
      </c>
      <c r="AR559" s="43" t="str">
        <f aca="false">IF(AB559="","-",IF(AB559="","",INDEX(시장분석!$AL:$AL,AB559)))</f>
        <v>-</v>
      </c>
      <c r="AS559" s="96" t="str">
        <f aca="false">IF(AB559="","",INDEX(시장분석!$AJ:$AJ,AB559))</f>
        <v/>
      </c>
      <c r="AT559" s="93" t="n">
        <f aca="false">IF(AB559="",0,IF(AB559="","",INDEX(시장분석!$AN:$AN,AB559)))</f>
        <v>0</v>
      </c>
      <c r="AU559" s="94" t="n">
        <f aca="false">IF(ISNUMBER(Z559),AT559/10000*MAX(Z559-1,0)*AA559*1000000,0)</f>
        <v>0</v>
      </c>
      <c r="AV559" s="94" t="n">
        <f aca="false">AO559+AU559</f>
        <v>0</v>
      </c>
      <c r="AW559" s="43" t="str">
        <f aca="false">IF(Q559&lt;&gt;1,"",TRIM(IF(AD559=1,"FRN ","")&amp;IF(AND(AL559&gt;=10,AL559&lt;99),"BBB0미만 ","")&amp;IF(AJ559="","등급없음 ","")&amp;IF(K559&lt;&gt;1,"비USD ","")&amp;IF(AND(AB559="",Y559=0),"시장데이터없음 ","")&amp;IF(AND(ISNUMBER(U559),U559&lt;0),"만기경과 ","")))</f>
        <v/>
      </c>
      <c r="AX559" s="90" t="n">
        <f aca="false">IF(Q559&lt;&gt;1,1,IF(스프레드쇼크!$C$4="Y",INDEX(스프레드쇼크!$B$12:$L$16,IFERROR(MATCH(AH559,스프레드쇼크!$A$12:$A$16,0),MATCH("목록외",스프레드쇼크!$A$12:$A$16,0)),IFERROR(MATCH(AG559,스프레드쇼크!$B$11:$L$11,0),MATCH("목록외",스프레드쇼크!$B$11:$L$11,0))),1))</f>
        <v>1</v>
      </c>
      <c r="AY559" s="90" t="n">
        <f aca="false">IF(스프레드쇼크!$C$5="Y",IF(ISNUMBER(AF559),MIN(스프레드쇼크!$C$7,MAX(스프레드쇼크!$C$6,AF559/스프레드쇼크!$C$8)),1),1)</f>
        <v>1</v>
      </c>
      <c r="AZ559" s="94" t="n">
        <f aca="false">AN559*AX559*AY559</f>
        <v>0</v>
      </c>
      <c r="BA559" s="90" t="n">
        <f aca="false">IF(ISNUMBER(G559),AA559*G559,0)</f>
        <v>0</v>
      </c>
      <c r="BB559" s="90" t="n">
        <f aca="false">IF(ISNUMBER(G559),AA559,0)</f>
        <v>0</v>
      </c>
      <c r="BC559" s="90" t="n">
        <f aca="false">IF(AND(Y559=0,ISNUMBER(AF559)),AA559*AF559,0)</f>
        <v>0</v>
      </c>
      <c r="BD559" s="90" t="n">
        <f aca="false">IF(AND(Y559=0,ISNUMBER(AF559)),AA559,0)</f>
        <v>0</v>
      </c>
      <c r="BE559" s="90" t="n">
        <f aca="false">IF(ISNUMBER(H559),AA559*H559,0)</f>
        <v>0</v>
      </c>
      <c r="BF559" s="90" t="n">
        <f aca="false">IF(ISNUMBER(H559),AA559,0)</f>
        <v>0</v>
      </c>
      <c r="BG559" s="90" t="n">
        <f aca="false">IF(AND(Y559=0,ISNUMBER(AF559),ISNUMBER(Z559)),AA559*Z559,0)</f>
        <v>0</v>
      </c>
      <c r="BH559" s="90" t="n">
        <f aca="false">IF(AND(Y559=0,ISNUMBER(AF559),ISNUMBER(Z559)),AA559*AT559*MAX(Z559-1,0),0)</f>
        <v>0</v>
      </c>
      <c r="BI559" s="90" t="n">
        <f aca="false">IF(Y559=0,AA559,0)</f>
        <v>0</v>
      </c>
    </row>
    <row r="560" customFormat="false" ht="15" hidden="false" customHeight="false" outlineLevel="0" collapsed="false">
      <c r="A560" s="83" t="str">
        <f aca="false">IFERROR(IF(INDEX(원자료_잔고!$A$1:$EZ$1500,설정!$L$5+ROW()-1,설정!$L$8)&amp;""="0","",INDEX(원자료_잔고!$A$1:$EZ$1500,설정!$L$5+ROW()-1,설정!$L$8)&amp;""),"")</f>
        <v/>
      </c>
      <c r="B560" s="83" t="str">
        <f aca="false">IFERROR(IF(INDEX(원자료_잔고!$A$1:$EZ$1500,설정!$L$5+ROW()-1,설정!$L$7)&amp;""="0","",INDEX(원자료_잔고!$A$1:$EZ$1500,설정!$L$5+ROW()-1,설정!$L$7)&amp;""),"")</f>
        <v/>
      </c>
      <c r="C560" s="83" t="str">
        <f aca="false">IFERROR(IF(INDEX(원자료_잔고!$A$1:$EZ$1500,설정!$L$5+ROW()-1,설정!$L$9)&amp;""="0","",INDEX(원자료_잔고!$A$1:$EZ$1500,설정!$L$5+ROW()-1,설정!$L$9)&amp;""),"")</f>
        <v/>
      </c>
      <c r="D560" s="83" t="str">
        <f aca="false">IFERROR(IF(INDEX(원자료_잔고!$A$1:$EZ$1500,설정!$L$5+ROW()-1,설정!$L$10)&amp;""="0","",INDEX(원자료_잔고!$A$1:$EZ$1500,설정!$L$5+ROW()-1,설정!$L$10)&amp;""),"")</f>
        <v/>
      </c>
      <c r="E560" s="84" t="str">
        <f aca="false">IFERROR(IF(ISNUMBER(INDEX(원자료_잔고!$A$1:$EZ$1500,설정!$L$5+ROW()-1,설정!$L$11)),INDEX(원자료_잔고!$A$1:$EZ$1500,설정!$L$5+ROW()-1,설정!$L$11),""),"")</f>
        <v/>
      </c>
      <c r="F560" s="85" t="str">
        <f aca="false">IFERROR(IF(ISNUMBER(INDEX(원자료_잔고!$A$1:$EZ$1500,설정!$L$5+ROW()-1,설정!$L$12)),INDEX(원자료_잔고!$A$1:$EZ$1500,설정!$L$5+ROW()-1,설정!$L$12),""),"")</f>
        <v/>
      </c>
      <c r="G560" s="85" t="str">
        <f aca="false">IFERROR(IF(ISNUMBER(INDEX(원자료_잔고!$A$1:$EZ$1500,설정!$L$5+ROW()-1,설정!$L$13)),INDEX(원자료_잔고!$A$1:$EZ$1500,설정!$L$5+ROW()-1,설정!$L$13),""),"")</f>
        <v/>
      </c>
      <c r="H560" s="85" t="str">
        <f aca="false">IFERROR(IF(ISNUMBER(INDEX(원자료_잔고!$A$1:$EZ$1500,설정!$L$5+ROW()-1,설정!$L$14)),INDEX(원자료_잔고!$A$1:$EZ$1500,설정!$L$5+ROW()-1,설정!$L$14),""),"")</f>
        <v/>
      </c>
      <c r="I560" s="86" t="str">
        <f aca="false">IFERROR(IF(ISNUMBER(INDEX(원자료_잔고!$A$1:$EZ$1500,설정!$L$5+ROW()-1,설정!$L$15)),INDEX(원자료_잔고!$A$1:$EZ$1500,설정!$L$5+ROW()-1,설정!$L$15),""),"")</f>
        <v/>
      </c>
      <c r="J560" s="85" t="str">
        <f aca="false">IFERROR(IF(ISNUMBER(INDEX(원자료_잔고!$A$1:$EZ$1500,설정!$L$5+ROW()-1,설정!$L$16)),INDEX(원자료_잔고!$A$1:$EZ$1500,설정!$L$5+ROW()-1,설정!$L$16),""),"")</f>
        <v/>
      </c>
      <c r="K560" s="87" t="str">
        <f aca="false">IFERROR(IF(ISNUMBER(INDEX(원자료_잔고!$A$1:$EZ$1500,설정!$L$5+ROW()-1,설정!$L$17)),INDEX(원자료_잔고!$A$1:$EZ$1500,설정!$L$5+ROW()-1,설정!$L$17),""),"")</f>
        <v/>
      </c>
      <c r="L560" s="84" t="str">
        <f aca="false">IFERROR(IF(ISNUMBER(INDEX(원자료_잔고!$A$1:$EZ$1500,설정!$L$5+ROW()-1,설정!$L$18)),INDEX(원자료_잔고!$A$1:$EZ$1500,설정!$L$5+ROW()-1,설정!$L$18),""),"")</f>
        <v/>
      </c>
      <c r="M560" s="88" t="str">
        <f aca="false">IFERROR(IF(ISNUMBER(INDEX(원자료_잔고!$A$1:$EZ$1500,설정!$L$5+ROW()-1,설정!$L$19)),INDEX(원자료_잔고!$A$1:$EZ$1500,설정!$L$5+ROW()-1,설정!$L$19),""),"")</f>
        <v/>
      </c>
      <c r="N560" s="83" t="str">
        <f aca="false">IFERROR(IF(INDEX(원자료_잔고!$A$1:$EZ$1500,설정!$L$5+ROW()-1,설정!$L$21)&amp;""="0","",INDEX(원자료_잔고!$A$1:$EZ$1500,설정!$L$5+ROW()-1,설정!$L$21)&amp;""),"")</f>
        <v/>
      </c>
      <c r="O560" s="83" t="str">
        <f aca="false">IFERROR(IF(INDEX(원자료_잔고!$A$1:$EZ$1500,설정!$L$5+ROW()-1,설정!$L$22)&amp;""="0","",INDEX(원자료_잔고!$A$1:$EZ$1500,설정!$L$5+ROW()-1,설정!$L$22)&amp;""),"")</f>
        <v/>
      </c>
      <c r="P560" s="83" t="str">
        <f aca="false">IFERROR(IF(INDEX(원자료_잔고!$A$1:$EZ$1500,설정!$L$5+ROW()-1,설정!$L$23)&amp;""="0","",INDEX(원자료_잔고!$A$1:$EZ$1500,설정!$L$5+ROW()-1,설정!$L$23)&amp;""),"")</f>
        <v/>
      </c>
      <c r="Q560" s="89" t="n">
        <f aca="false">IF(AND($A560&lt;&gt;"",ISNUMBER(E560)),IF(E560&gt;0,1,0),0)</f>
        <v>0</v>
      </c>
      <c r="R560" s="43" t="str">
        <f aca="false">IF(Q560=1,UPPER(LEFT($A560,FIND(" ",$A560&amp;" ")-1)),"")</f>
        <v/>
      </c>
      <c r="S560" s="89" t="n">
        <f aca="false">IF(Q560=1,IF(OR(ISNUMBER(SEARCH("Float",$A560)),ISNUMBER(SEARCH("FRN",$A560))),1,0),0)</f>
        <v>0</v>
      </c>
      <c r="T560" s="43" t="str">
        <f aca="false">IF(AND(Q560=1,ISNUMBER(I560)),TEXT(I560,"yyyymmdd")&amp;"|"&amp;IF(S560=1,"F",TEXT(J560,"0.000")),"")</f>
        <v/>
      </c>
      <c r="U560" s="90" t="str">
        <f aca="false">IF(AND(Q560=1,ISNUMBER(I560)),(I560-설정!$C$4)/365.25,"")</f>
        <v/>
      </c>
      <c r="V560" s="43" t="str">
        <f aca="false">IF(Q560&lt;&gt;1,"",IF(ISNUMBER(U560),IF(U560&lt;=1,"1년 이하",IF(U560&lt;=2,"1-2년",IF(U560&lt;=3,"2-3년",IF(U560&lt;=4,"3-4년",IF(U560&lt;=5,"4-5년",IF(U560&lt;=7,"5-7년",IF(U560&lt;=10,"7-10년",IF(U560&lt;=20,"10-20년","20년 이상")))))))),"미분류"))</f>
        <v/>
      </c>
      <c r="W560" s="43" t="str">
        <f aca="false">IF(Q560&lt;&gt;1,"",IF(AB560&lt;&gt;"",INDEX(시장분석!$C:$C,AB560),IF(K560=1,"USD","비USD")))</f>
        <v/>
      </c>
      <c r="X560" s="91" t="n">
        <f aca="false">IF(Q560=1,E560*K560/1000000,0)</f>
        <v>0</v>
      </c>
      <c r="Y560" s="89" t="n">
        <f aca="false">IF(R560="T",1,0)</f>
        <v>0</v>
      </c>
      <c r="Z560" s="92" t="str">
        <f aca="false">IF(Q560&lt;&gt;1,"",IF(AD560=1,IF(ISNUMBER(U560),MAX(U560,0),H560),H560))</f>
        <v/>
      </c>
      <c r="AA560" s="91" t="n">
        <f aca="false">IF(Q560=1,IF(ISNUMBER(L560),L560,0)*K560/1000000,0)</f>
        <v>0</v>
      </c>
      <c r="AB560" s="89" t="str">
        <f aca="false">IF(Q560&lt;&gt;1,"",IFERROR(MATCH(VLOOKUP(B560,매핑!$H$4:$I$15,2,0),시장분석!$A$2:$A$601,0)+1,IFERROR(MATCH(R560&amp;"|"&amp;T560,시장분석!$V$2:$V$601,0)+1,IF(COUNTIF(시장분석!$U$2:$U$601,T560)=1,MATCH(T560,시장분석!$U$2:$U$601,0)+1,""))))</f>
        <v/>
      </c>
      <c r="AC560" s="89" t="n">
        <f aca="false">IF(Q560&lt;&gt;1,0,IF(OR(설정!$C$5="전체",AND(설정!$C$5="선택펀드",IFERROR(COUNTIFS(설정!$F$16:$F$36,C560,설정!$G$16:$G$36,"Y")+COUNTIFS(설정!$F$16:$F$36,VALUE(C560),설정!$G$16:$G$36,"Y"),0)&gt;0),C560&amp;""=설정!$C$5&amp;""),1,0))</f>
        <v>0</v>
      </c>
      <c r="AD560" s="89" t="n">
        <f aca="false">IF(Q560&lt;&gt;1,0,IF(OR(S560=1,IF(AB560="",FALSE(),INDEX(시장분석!$R:$R,AB560)=1)),1,0))</f>
        <v>0</v>
      </c>
      <c r="AE560" s="43" t="str">
        <f aca="false">IF(AB560="","",INDEX(시장분석!$A:$A,AB560))</f>
        <v/>
      </c>
      <c r="AF560" s="93" t="str">
        <f aca="false">IF(AB560="","",IF(ISNUMBER(IF(AB560="","",INDEX(시장분석!$E:$E,AB560))),IF(AB560="","",INDEX(시장분석!$E:$E,AB560)),""))</f>
        <v/>
      </c>
      <c r="AG560" s="43" t="str">
        <f aca="false">IF(Q560&lt;&gt;1,"",IF(AB560&lt;&gt;"",IF(AB560="","",INDEX(시장분석!$L:$L,AB560)),IFERROR(IF(VLOOKUP(R560,매핑!$A$4:$E$92,5,0)="","미분류",VLOOKUP(R560,매핑!$A$4:$E$92,5,0)),"미분류")))</f>
        <v/>
      </c>
      <c r="AH560" s="43" t="str">
        <f aca="false">IF(Q560&lt;&gt;1,"",IF(AB560&lt;&gt;"",IF(AB560="","",INDEX(시장분석!$N:$N,AB560)),IFERROR(IF(VLOOKUP(R560,매핑!$A$4:$E$92,4,0)="","미분류",VLOOKUP(R560,매핑!$A$4:$E$92,4,0)),"미분류")))</f>
        <v/>
      </c>
      <c r="AI560" s="43" t="str">
        <f aca="false">IF(Q560&lt;&gt;1,"",IFERROR(IF(VLOOKUP(R560,매핑!$A$4:$E$92,3,0)="","미분류",VLOOKUP(R560,매핑!$A$4:$E$92,3,0)),IF(AB560&lt;&gt;"",IF(AB560="","",INDEX(시장분석!$W:$W,AB560)),"미분류")))</f>
        <v/>
      </c>
      <c r="AJ560" s="43" t="str">
        <f aca="false">IF(Q560&lt;&gt;1,"",IFERROR(VLOOKUP(IF(N560&lt;&gt;"",N560,IF(P560&lt;&gt;"",P560,O560)),설정!$A$15:$D$47,2,0),""))</f>
        <v/>
      </c>
      <c r="AK560" s="43" t="str">
        <f aca="false">IF(Q560&lt;&gt;1,"",IF(AJ560="","무등급",IFERROR(VLOOKUP(AJ560,설정!$A$15:$D$47,3,0),"무등급")))</f>
        <v/>
      </c>
      <c r="AL560" s="89" t="n">
        <f aca="false">IF(AJ560="",99,IFERROR(VLOOKUP(AJ560,설정!$A$15:$D$47,4,0),99))</f>
        <v>99</v>
      </c>
      <c r="AM560" s="94" t="n">
        <f aca="false">IF(ISNUMBER(H560),AA560*1000000*H560/10000,0)</f>
        <v>0</v>
      </c>
      <c r="AN560" s="94" t="n">
        <f aca="false">IF(OR(Y560=1,NOT(ISNUMBER(Z560))),0,AA560*1000000*Z560/10000)</f>
        <v>0</v>
      </c>
      <c r="AO560" s="94" t="n">
        <f aca="false">IF(ISNUMBER(G560),AA560*1000000*G560/100,0)</f>
        <v>0</v>
      </c>
      <c r="AP560" s="94" t="n">
        <f aca="false">IF(ISNUMBER(M560),M560*K560,0)</f>
        <v>0</v>
      </c>
      <c r="AQ560" s="95" t="str">
        <f aca="false">IF(AB560="","",INDEX(시장분석!$AK:$AK,AB560))</f>
        <v/>
      </c>
      <c r="AR560" s="43" t="str">
        <f aca="false">IF(AB560="","-",IF(AB560="","",INDEX(시장분석!$AL:$AL,AB560)))</f>
        <v>-</v>
      </c>
      <c r="AS560" s="96" t="str">
        <f aca="false">IF(AB560="","",INDEX(시장분석!$AJ:$AJ,AB560))</f>
        <v/>
      </c>
      <c r="AT560" s="93" t="n">
        <f aca="false">IF(AB560="",0,IF(AB560="","",INDEX(시장분석!$AN:$AN,AB560)))</f>
        <v>0</v>
      </c>
      <c r="AU560" s="94" t="n">
        <f aca="false">IF(ISNUMBER(Z560),AT560/10000*MAX(Z560-1,0)*AA560*1000000,0)</f>
        <v>0</v>
      </c>
      <c r="AV560" s="94" t="n">
        <f aca="false">AO560+AU560</f>
        <v>0</v>
      </c>
      <c r="AW560" s="43" t="str">
        <f aca="false">IF(Q560&lt;&gt;1,"",TRIM(IF(AD560=1,"FRN ","")&amp;IF(AND(AL560&gt;=10,AL560&lt;99),"BBB0미만 ","")&amp;IF(AJ560="","등급없음 ","")&amp;IF(K560&lt;&gt;1,"비USD ","")&amp;IF(AND(AB560="",Y560=0),"시장데이터없음 ","")&amp;IF(AND(ISNUMBER(U560),U560&lt;0),"만기경과 ","")))</f>
        <v/>
      </c>
      <c r="AX560" s="90" t="n">
        <f aca="false">IF(Q560&lt;&gt;1,1,IF(스프레드쇼크!$C$4="Y",INDEX(스프레드쇼크!$B$12:$L$16,IFERROR(MATCH(AH560,스프레드쇼크!$A$12:$A$16,0),MATCH("목록외",스프레드쇼크!$A$12:$A$16,0)),IFERROR(MATCH(AG560,스프레드쇼크!$B$11:$L$11,0),MATCH("목록외",스프레드쇼크!$B$11:$L$11,0))),1))</f>
        <v>1</v>
      </c>
      <c r="AY560" s="90" t="n">
        <f aca="false">IF(스프레드쇼크!$C$5="Y",IF(ISNUMBER(AF560),MIN(스프레드쇼크!$C$7,MAX(스프레드쇼크!$C$6,AF560/스프레드쇼크!$C$8)),1),1)</f>
        <v>1</v>
      </c>
      <c r="AZ560" s="94" t="n">
        <f aca="false">AN560*AX560*AY560</f>
        <v>0</v>
      </c>
      <c r="BA560" s="90" t="n">
        <f aca="false">IF(ISNUMBER(G560),AA560*G560,0)</f>
        <v>0</v>
      </c>
      <c r="BB560" s="90" t="n">
        <f aca="false">IF(ISNUMBER(G560),AA560,0)</f>
        <v>0</v>
      </c>
      <c r="BC560" s="90" t="n">
        <f aca="false">IF(AND(Y560=0,ISNUMBER(AF560)),AA560*AF560,0)</f>
        <v>0</v>
      </c>
      <c r="BD560" s="90" t="n">
        <f aca="false">IF(AND(Y560=0,ISNUMBER(AF560)),AA560,0)</f>
        <v>0</v>
      </c>
      <c r="BE560" s="90" t="n">
        <f aca="false">IF(ISNUMBER(H560),AA560*H560,0)</f>
        <v>0</v>
      </c>
      <c r="BF560" s="90" t="n">
        <f aca="false">IF(ISNUMBER(H560),AA560,0)</f>
        <v>0</v>
      </c>
      <c r="BG560" s="90" t="n">
        <f aca="false">IF(AND(Y560=0,ISNUMBER(AF560),ISNUMBER(Z560)),AA560*Z560,0)</f>
        <v>0</v>
      </c>
      <c r="BH560" s="90" t="n">
        <f aca="false">IF(AND(Y560=0,ISNUMBER(AF560),ISNUMBER(Z560)),AA560*AT560*MAX(Z560-1,0),0)</f>
        <v>0</v>
      </c>
      <c r="BI560" s="90" t="n">
        <f aca="false">IF(Y560=0,AA560,0)</f>
        <v>0</v>
      </c>
    </row>
    <row r="561" customFormat="false" ht="15" hidden="false" customHeight="false" outlineLevel="0" collapsed="false">
      <c r="A561" s="83" t="str">
        <f aca="false">IFERROR(IF(INDEX(원자료_잔고!$A$1:$EZ$1500,설정!$L$5+ROW()-1,설정!$L$8)&amp;""="0","",INDEX(원자료_잔고!$A$1:$EZ$1500,설정!$L$5+ROW()-1,설정!$L$8)&amp;""),"")</f>
        <v/>
      </c>
      <c r="B561" s="83" t="str">
        <f aca="false">IFERROR(IF(INDEX(원자료_잔고!$A$1:$EZ$1500,설정!$L$5+ROW()-1,설정!$L$7)&amp;""="0","",INDEX(원자료_잔고!$A$1:$EZ$1500,설정!$L$5+ROW()-1,설정!$L$7)&amp;""),"")</f>
        <v/>
      </c>
      <c r="C561" s="83" t="str">
        <f aca="false">IFERROR(IF(INDEX(원자료_잔고!$A$1:$EZ$1500,설정!$L$5+ROW()-1,설정!$L$9)&amp;""="0","",INDEX(원자료_잔고!$A$1:$EZ$1500,설정!$L$5+ROW()-1,설정!$L$9)&amp;""),"")</f>
        <v/>
      </c>
      <c r="D561" s="83" t="str">
        <f aca="false">IFERROR(IF(INDEX(원자료_잔고!$A$1:$EZ$1500,설정!$L$5+ROW()-1,설정!$L$10)&amp;""="0","",INDEX(원자료_잔고!$A$1:$EZ$1500,설정!$L$5+ROW()-1,설정!$L$10)&amp;""),"")</f>
        <v/>
      </c>
      <c r="E561" s="84" t="str">
        <f aca="false">IFERROR(IF(ISNUMBER(INDEX(원자료_잔고!$A$1:$EZ$1500,설정!$L$5+ROW()-1,설정!$L$11)),INDEX(원자료_잔고!$A$1:$EZ$1500,설정!$L$5+ROW()-1,설정!$L$11),""),"")</f>
        <v/>
      </c>
      <c r="F561" s="85" t="str">
        <f aca="false">IFERROR(IF(ISNUMBER(INDEX(원자료_잔고!$A$1:$EZ$1500,설정!$L$5+ROW()-1,설정!$L$12)),INDEX(원자료_잔고!$A$1:$EZ$1500,설정!$L$5+ROW()-1,설정!$L$12),""),"")</f>
        <v/>
      </c>
      <c r="G561" s="85" t="str">
        <f aca="false">IFERROR(IF(ISNUMBER(INDEX(원자료_잔고!$A$1:$EZ$1500,설정!$L$5+ROW()-1,설정!$L$13)),INDEX(원자료_잔고!$A$1:$EZ$1500,설정!$L$5+ROW()-1,설정!$L$13),""),"")</f>
        <v/>
      </c>
      <c r="H561" s="85" t="str">
        <f aca="false">IFERROR(IF(ISNUMBER(INDEX(원자료_잔고!$A$1:$EZ$1500,설정!$L$5+ROW()-1,설정!$L$14)),INDEX(원자료_잔고!$A$1:$EZ$1500,설정!$L$5+ROW()-1,설정!$L$14),""),"")</f>
        <v/>
      </c>
      <c r="I561" s="86" t="str">
        <f aca="false">IFERROR(IF(ISNUMBER(INDEX(원자료_잔고!$A$1:$EZ$1500,설정!$L$5+ROW()-1,설정!$L$15)),INDEX(원자료_잔고!$A$1:$EZ$1500,설정!$L$5+ROW()-1,설정!$L$15),""),"")</f>
        <v/>
      </c>
      <c r="J561" s="85" t="str">
        <f aca="false">IFERROR(IF(ISNUMBER(INDEX(원자료_잔고!$A$1:$EZ$1500,설정!$L$5+ROW()-1,설정!$L$16)),INDEX(원자료_잔고!$A$1:$EZ$1500,설정!$L$5+ROW()-1,설정!$L$16),""),"")</f>
        <v/>
      </c>
      <c r="K561" s="87" t="str">
        <f aca="false">IFERROR(IF(ISNUMBER(INDEX(원자료_잔고!$A$1:$EZ$1500,설정!$L$5+ROW()-1,설정!$L$17)),INDEX(원자료_잔고!$A$1:$EZ$1500,설정!$L$5+ROW()-1,설정!$L$17),""),"")</f>
        <v/>
      </c>
      <c r="L561" s="84" t="str">
        <f aca="false">IFERROR(IF(ISNUMBER(INDEX(원자료_잔고!$A$1:$EZ$1500,설정!$L$5+ROW()-1,설정!$L$18)),INDEX(원자료_잔고!$A$1:$EZ$1500,설정!$L$5+ROW()-1,설정!$L$18),""),"")</f>
        <v/>
      </c>
      <c r="M561" s="88" t="str">
        <f aca="false">IFERROR(IF(ISNUMBER(INDEX(원자료_잔고!$A$1:$EZ$1500,설정!$L$5+ROW()-1,설정!$L$19)),INDEX(원자료_잔고!$A$1:$EZ$1500,설정!$L$5+ROW()-1,설정!$L$19),""),"")</f>
        <v/>
      </c>
      <c r="N561" s="83" t="str">
        <f aca="false">IFERROR(IF(INDEX(원자료_잔고!$A$1:$EZ$1500,설정!$L$5+ROW()-1,설정!$L$21)&amp;""="0","",INDEX(원자료_잔고!$A$1:$EZ$1500,설정!$L$5+ROW()-1,설정!$L$21)&amp;""),"")</f>
        <v/>
      </c>
      <c r="O561" s="83" t="str">
        <f aca="false">IFERROR(IF(INDEX(원자료_잔고!$A$1:$EZ$1500,설정!$L$5+ROW()-1,설정!$L$22)&amp;""="0","",INDEX(원자료_잔고!$A$1:$EZ$1500,설정!$L$5+ROW()-1,설정!$L$22)&amp;""),"")</f>
        <v/>
      </c>
      <c r="P561" s="83" t="str">
        <f aca="false">IFERROR(IF(INDEX(원자료_잔고!$A$1:$EZ$1500,설정!$L$5+ROW()-1,설정!$L$23)&amp;""="0","",INDEX(원자료_잔고!$A$1:$EZ$1500,설정!$L$5+ROW()-1,설정!$L$23)&amp;""),"")</f>
        <v/>
      </c>
      <c r="Q561" s="89" t="n">
        <f aca="false">IF(AND($A561&lt;&gt;"",ISNUMBER(E561)),IF(E561&gt;0,1,0),0)</f>
        <v>0</v>
      </c>
      <c r="R561" s="43" t="str">
        <f aca="false">IF(Q561=1,UPPER(LEFT($A561,FIND(" ",$A561&amp;" ")-1)),"")</f>
        <v/>
      </c>
      <c r="S561" s="89" t="n">
        <f aca="false">IF(Q561=1,IF(OR(ISNUMBER(SEARCH("Float",$A561)),ISNUMBER(SEARCH("FRN",$A561))),1,0),0)</f>
        <v>0</v>
      </c>
      <c r="T561" s="43" t="str">
        <f aca="false">IF(AND(Q561=1,ISNUMBER(I561)),TEXT(I561,"yyyymmdd")&amp;"|"&amp;IF(S561=1,"F",TEXT(J561,"0.000")),"")</f>
        <v/>
      </c>
      <c r="U561" s="90" t="str">
        <f aca="false">IF(AND(Q561=1,ISNUMBER(I561)),(I561-설정!$C$4)/365.25,"")</f>
        <v/>
      </c>
      <c r="V561" s="43" t="str">
        <f aca="false">IF(Q561&lt;&gt;1,"",IF(ISNUMBER(U561),IF(U561&lt;=1,"1년 이하",IF(U561&lt;=2,"1-2년",IF(U561&lt;=3,"2-3년",IF(U561&lt;=4,"3-4년",IF(U561&lt;=5,"4-5년",IF(U561&lt;=7,"5-7년",IF(U561&lt;=10,"7-10년",IF(U561&lt;=20,"10-20년","20년 이상")))))))),"미분류"))</f>
        <v/>
      </c>
      <c r="W561" s="43" t="str">
        <f aca="false">IF(Q561&lt;&gt;1,"",IF(AB561&lt;&gt;"",INDEX(시장분석!$C:$C,AB561),IF(K561=1,"USD","비USD")))</f>
        <v/>
      </c>
      <c r="X561" s="91" t="n">
        <f aca="false">IF(Q561=1,E561*K561/1000000,0)</f>
        <v>0</v>
      </c>
      <c r="Y561" s="89" t="n">
        <f aca="false">IF(R561="T",1,0)</f>
        <v>0</v>
      </c>
      <c r="Z561" s="92" t="str">
        <f aca="false">IF(Q561&lt;&gt;1,"",IF(AD561=1,IF(ISNUMBER(U561),MAX(U561,0),H561),H561))</f>
        <v/>
      </c>
      <c r="AA561" s="91" t="n">
        <f aca="false">IF(Q561=1,IF(ISNUMBER(L561),L561,0)*K561/1000000,0)</f>
        <v>0</v>
      </c>
      <c r="AB561" s="89" t="str">
        <f aca="false">IF(Q561&lt;&gt;1,"",IFERROR(MATCH(VLOOKUP(B561,매핑!$H$4:$I$15,2,0),시장분석!$A$2:$A$601,0)+1,IFERROR(MATCH(R561&amp;"|"&amp;T561,시장분석!$V$2:$V$601,0)+1,IF(COUNTIF(시장분석!$U$2:$U$601,T561)=1,MATCH(T561,시장분석!$U$2:$U$601,0)+1,""))))</f>
        <v/>
      </c>
      <c r="AC561" s="89" t="n">
        <f aca="false">IF(Q561&lt;&gt;1,0,IF(OR(설정!$C$5="전체",AND(설정!$C$5="선택펀드",IFERROR(COUNTIFS(설정!$F$16:$F$36,C561,설정!$G$16:$G$36,"Y")+COUNTIFS(설정!$F$16:$F$36,VALUE(C561),설정!$G$16:$G$36,"Y"),0)&gt;0),C561&amp;""=설정!$C$5&amp;""),1,0))</f>
        <v>0</v>
      </c>
      <c r="AD561" s="89" t="n">
        <f aca="false">IF(Q561&lt;&gt;1,0,IF(OR(S561=1,IF(AB561="",FALSE(),INDEX(시장분석!$R:$R,AB561)=1)),1,0))</f>
        <v>0</v>
      </c>
      <c r="AE561" s="43" t="str">
        <f aca="false">IF(AB561="","",INDEX(시장분석!$A:$A,AB561))</f>
        <v/>
      </c>
      <c r="AF561" s="93" t="str">
        <f aca="false">IF(AB561="","",IF(ISNUMBER(IF(AB561="","",INDEX(시장분석!$E:$E,AB561))),IF(AB561="","",INDEX(시장분석!$E:$E,AB561)),""))</f>
        <v/>
      </c>
      <c r="AG561" s="43" t="str">
        <f aca="false">IF(Q561&lt;&gt;1,"",IF(AB561&lt;&gt;"",IF(AB561="","",INDEX(시장분석!$L:$L,AB561)),IFERROR(IF(VLOOKUP(R561,매핑!$A$4:$E$92,5,0)="","미분류",VLOOKUP(R561,매핑!$A$4:$E$92,5,0)),"미분류")))</f>
        <v/>
      </c>
      <c r="AH561" s="43" t="str">
        <f aca="false">IF(Q561&lt;&gt;1,"",IF(AB561&lt;&gt;"",IF(AB561="","",INDEX(시장분석!$N:$N,AB561)),IFERROR(IF(VLOOKUP(R561,매핑!$A$4:$E$92,4,0)="","미분류",VLOOKUP(R561,매핑!$A$4:$E$92,4,0)),"미분류")))</f>
        <v/>
      </c>
      <c r="AI561" s="43" t="str">
        <f aca="false">IF(Q561&lt;&gt;1,"",IFERROR(IF(VLOOKUP(R561,매핑!$A$4:$E$92,3,0)="","미분류",VLOOKUP(R561,매핑!$A$4:$E$92,3,0)),IF(AB561&lt;&gt;"",IF(AB561="","",INDEX(시장분석!$W:$W,AB561)),"미분류")))</f>
        <v/>
      </c>
      <c r="AJ561" s="43" t="str">
        <f aca="false">IF(Q561&lt;&gt;1,"",IFERROR(VLOOKUP(IF(N561&lt;&gt;"",N561,IF(P561&lt;&gt;"",P561,O561)),설정!$A$15:$D$47,2,0),""))</f>
        <v/>
      </c>
      <c r="AK561" s="43" t="str">
        <f aca="false">IF(Q561&lt;&gt;1,"",IF(AJ561="","무등급",IFERROR(VLOOKUP(AJ561,설정!$A$15:$D$47,3,0),"무등급")))</f>
        <v/>
      </c>
      <c r="AL561" s="89" t="n">
        <f aca="false">IF(AJ561="",99,IFERROR(VLOOKUP(AJ561,설정!$A$15:$D$47,4,0),99))</f>
        <v>99</v>
      </c>
      <c r="AM561" s="94" t="n">
        <f aca="false">IF(ISNUMBER(H561),AA561*1000000*H561/10000,0)</f>
        <v>0</v>
      </c>
      <c r="AN561" s="94" t="n">
        <f aca="false">IF(OR(Y561=1,NOT(ISNUMBER(Z561))),0,AA561*1000000*Z561/10000)</f>
        <v>0</v>
      </c>
      <c r="AO561" s="94" t="n">
        <f aca="false">IF(ISNUMBER(G561),AA561*1000000*G561/100,0)</f>
        <v>0</v>
      </c>
      <c r="AP561" s="94" t="n">
        <f aca="false">IF(ISNUMBER(M561),M561*K561,0)</f>
        <v>0</v>
      </c>
      <c r="AQ561" s="95" t="str">
        <f aca="false">IF(AB561="","",INDEX(시장분석!$AK:$AK,AB561))</f>
        <v/>
      </c>
      <c r="AR561" s="43" t="str">
        <f aca="false">IF(AB561="","-",IF(AB561="","",INDEX(시장분석!$AL:$AL,AB561)))</f>
        <v>-</v>
      </c>
      <c r="AS561" s="96" t="str">
        <f aca="false">IF(AB561="","",INDEX(시장분석!$AJ:$AJ,AB561))</f>
        <v/>
      </c>
      <c r="AT561" s="93" t="n">
        <f aca="false">IF(AB561="",0,IF(AB561="","",INDEX(시장분석!$AN:$AN,AB561)))</f>
        <v>0</v>
      </c>
      <c r="AU561" s="94" t="n">
        <f aca="false">IF(ISNUMBER(Z561),AT561/10000*MAX(Z561-1,0)*AA561*1000000,0)</f>
        <v>0</v>
      </c>
      <c r="AV561" s="94" t="n">
        <f aca="false">AO561+AU561</f>
        <v>0</v>
      </c>
      <c r="AW561" s="43" t="str">
        <f aca="false">IF(Q561&lt;&gt;1,"",TRIM(IF(AD561=1,"FRN ","")&amp;IF(AND(AL561&gt;=10,AL561&lt;99),"BBB0미만 ","")&amp;IF(AJ561="","등급없음 ","")&amp;IF(K561&lt;&gt;1,"비USD ","")&amp;IF(AND(AB561="",Y561=0),"시장데이터없음 ","")&amp;IF(AND(ISNUMBER(U561),U561&lt;0),"만기경과 ","")))</f>
        <v/>
      </c>
      <c r="AX561" s="90" t="n">
        <f aca="false">IF(Q561&lt;&gt;1,1,IF(스프레드쇼크!$C$4="Y",INDEX(스프레드쇼크!$B$12:$L$16,IFERROR(MATCH(AH561,스프레드쇼크!$A$12:$A$16,0),MATCH("목록외",스프레드쇼크!$A$12:$A$16,0)),IFERROR(MATCH(AG561,스프레드쇼크!$B$11:$L$11,0),MATCH("목록외",스프레드쇼크!$B$11:$L$11,0))),1))</f>
        <v>1</v>
      </c>
      <c r="AY561" s="90" t="n">
        <f aca="false">IF(스프레드쇼크!$C$5="Y",IF(ISNUMBER(AF561),MIN(스프레드쇼크!$C$7,MAX(스프레드쇼크!$C$6,AF561/스프레드쇼크!$C$8)),1),1)</f>
        <v>1</v>
      </c>
      <c r="AZ561" s="94" t="n">
        <f aca="false">AN561*AX561*AY561</f>
        <v>0</v>
      </c>
      <c r="BA561" s="90" t="n">
        <f aca="false">IF(ISNUMBER(G561),AA561*G561,0)</f>
        <v>0</v>
      </c>
      <c r="BB561" s="90" t="n">
        <f aca="false">IF(ISNUMBER(G561),AA561,0)</f>
        <v>0</v>
      </c>
      <c r="BC561" s="90" t="n">
        <f aca="false">IF(AND(Y561=0,ISNUMBER(AF561)),AA561*AF561,0)</f>
        <v>0</v>
      </c>
      <c r="BD561" s="90" t="n">
        <f aca="false">IF(AND(Y561=0,ISNUMBER(AF561)),AA561,0)</f>
        <v>0</v>
      </c>
      <c r="BE561" s="90" t="n">
        <f aca="false">IF(ISNUMBER(H561),AA561*H561,0)</f>
        <v>0</v>
      </c>
      <c r="BF561" s="90" t="n">
        <f aca="false">IF(ISNUMBER(H561),AA561,0)</f>
        <v>0</v>
      </c>
      <c r="BG561" s="90" t="n">
        <f aca="false">IF(AND(Y561=0,ISNUMBER(AF561),ISNUMBER(Z561)),AA561*Z561,0)</f>
        <v>0</v>
      </c>
      <c r="BH561" s="90" t="n">
        <f aca="false">IF(AND(Y561=0,ISNUMBER(AF561),ISNUMBER(Z561)),AA561*AT561*MAX(Z561-1,0),0)</f>
        <v>0</v>
      </c>
      <c r="BI561" s="90" t="n">
        <f aca="false">IF(Y561=0,AA561,0)</f>
        <v>0</v>
      </c>
    </row>
    <row r="562" customFormat="false" ht="15" hidden="false" customHeight="false" outlineLevel="0" collapsed="false">
      <c r="A562" s="83" t="str">
        <f aca="false">IFERROR(IF(INDEX(원자료_잔고!$A$1:$EZ$1500,설정!$L$5+ROW()-1,설정!$L$8)&amp;""="0","",INDEX(원자료_잔고!$A$1:$EZ$1500,설정!$L$5+ROW()-1,설정!$L$8)&amp;""),"")</f>
        <v/>
      </c>
      <c r="B562" s="83" t="str">
        <f aca="false">IFERROR(IF(INDEX(원자료_잔고!$A$1:$EZ$1500,설정!$L$5+ROW()-1,설정!$L$7)&amp;""="0","",INDEX(원자료_잔고!$A$1:$EZ$1500,설정!$L$5+ROW()-1,설정!$L$7)&amp;""),"")</f>
        <v/>
      </c>
      <c r="C562" s="83" t="str">
        <f aca="false">IFERROR(IF(INDEX(원자료_잔고!$A$1:$EZ$1500,설정!$L$5+ROW()-1,설정!$L$9)&amp;""="0","",INDEX(원자료_잔고!$A$1:$EZ$1500,설정!$L$5+ROW()-1,설정!$L$9)&amp;""),"")</f>
        <v/>
      </c>
      <c r="D562" s="83" t="str">
        <f aca="false">IFERROR(IF(INDEX(원자료_잔고!$A$1:$EZ$1500,설정!$L$5+ROW()-1,설정!$L$10)&amp;""="0","",INDEX(원자료_잔고!$A$1:$EZ$1500,설정!$L$5+ROW()-1,설정!$L$10)&amp;""),"")</f>
        <v/>
      </c>
      <c r="E562" s="84" t="str">
        <f aca="false">IFERROR(IF(ISNUMBER(INDEX(원자료_잔고!$A$1:$EZ$1500,설정!$L$5+ROW()-1,설정!$L$11)),INDEX(원자료_잔고!$A$1:$EZ$1500,설정!$L$5+ROW()-1,설정!$L$11),""),"")</f>
        <v/>
      </c>
      <c r="F562" s="85" t="str">
        <f aca="false">IFERROR(IF(ISNUMBER(INDEX(원자료_잔고!$A$1:$EZ$1500,설정!$L$5+ROW()-1,설정!$L$12)),INDEX(원자료_잔고!$A$1:$EZ$1500,설정!$L$5+ROW()-1,설정!$L$12),""),"")</f>
        <v/>
      </c>
      <c r="G562" s="85" t="str">
        <f aca="false">IFERROR(IF(ISNUMBER(INDEX(원자료_잔고!$A$1:$EZ$1500,설정!$L$5+ROW()-1,설정!$L$13)),INDEX(원자료_잔고!$A$1:$EZ$1500,설정!$L$5+ROW()-1,설정!$L$13),""),"")</f>
        <v/>
      </c>
      <c r="H562" s="85" t="str">
        <f aca="false">IFERROR(IF(ISNUMBER(INDEX(원자료_잔고!$A$1:$EZ$1500,설정!$L$5+ROW()-1,설정!$L$14)),INDEX(원자료_잔고!$A$1:$EZ$1500,설정!$L$5+ROW()-1,설정!$L$14),""),"")</f>
        <v/>
      </c>
      <c r="I562" s="86" t="str">
        <f aca="false">IFERROR(IF(ISNUMBER(INDEX(원자료_잔고!$A$1:$EZ$1500,설정!$L$5+ROW()-1,설정!$L$15)),INDEX(원자료_잔고!$A$1:$EZ$1500,설정!$L$5+ROW()-1,설정!$L$15),""),"")</f>
        <v/>
      </c>
      <c r="J562" s="85" t="str">
        <f aca="false">IFERROR(IF(ISNUMBER(INDEX(원자료_잔고!$A$1:$EZ$1500,설정!$L$5+ROW()-1,설정!$L$16)),INDEX(원자료_잔고!$A$1:$EZ$1500,설정!$L$5+ROW()-1,설정!$L$16),""),"")</f>
        <v/>
      </c>
      <c r="K562" s="87" t="str">
        <f aca="false">IFERROR(IF(ISNUMBER(INDEX(원자료_잔고!$A$1:$EZ$1500,설정!$L$5+ROW()-1,설정!$L$17)),INDEX(원자료_잔고!$A$1:$EZ$1500,설정!$L$5+ROW()-1,설정!$L$17),""),"")</f>
        <v/>
      </c>
      <c r="L562" s="84" t="str">
        <f aca="false">IFERROR(IF(ISNUMBER(INDEX(원자료_잔고!$A$1:$EZ$1500,설정!$L$5+ROW()-1,설정!$L$18)),INDEX(원자료_잔고!$A$1:$EZ$1500,설정!$L$5+ROW()-1,설정!$L$18),""),"")</f>
        <v/>
      </c>
      <c r="M562" s="88" t="str">
        <f aca="false">IFERROR(IF(ISNUMBER(INDEX(원자료_잔고!$A$1:$EZ$1500,설정!$L$5+ROW()-1,설정!$L$19)),INDEX(원자료_잔고!$A$1:$EZ$1500,설정!$L$5+ROW()-1,설정!$L$19),""),"")</f>
        <v/>
      </c>
      <c r="N562" s="83" t="str">
        <f aca="false">IFERROR(IF(INDEX(원자료_잔고!$A$1:$EZ$1500,설정!$L$5+ROW()-1,설정!$L$21)&amp;""="0","",INDEX(원자료_잔고!$A$1:$EZ$1500,설정!$L$5+ROW()-1,설정!$L$21)&amp;""),"")</f>
        <v/>
      </c>
      <c r="O562" s="83" t="str">
        <f aca="false">IFERROR(IF(INDEX(원자료_잔고!$A$1:$EZ$1500,설정!$L$5+ROW()-1,설정!$L$22)&amp;""="0","",INDEX(원자료_잔고!$A$1:$EZ$1500,설정!$L$5+ROW()-1,설정!$L$22)&amp;""),"")</f>
        <v/>
      </c>
      <c r="P562" s="83" t="str">
        <f aca="false">IFERROR(IF(INDEX(원자료_잔고!$A$1:$EZ$1500,설정!$L$5+ROW()-1,설정!$L$23)&amp;""="0","",INDEX(원자료_잔고!$A$1:$EZ$1500,설정!$L$5+ROW()-1,설정!$L$23)&amp;""),"")</f>
        <v/>
      </c>
      <c r="Q562" s="89" t="n">
        <f aca="false">IF(AND($A562&lt;&gt;"",ISNUMBER(E562)),IF(E562&gt;0,1,0),0)</f>
        <v>0</v>
      </c>
      <c r="R562" s="43" t="str">
        <f aca="false">IF(Q562=1,UPPER(LEFT($A562,FIND(" ",$A562&amp;" ")-1)),"")</f>
        <v/>
      </c>
      <c r="S562" s="89" t="n">
        <f aca="false">IF(Q562=1,IF(OR(ISNUMBER(SEARCH("Float",$A562)),ISNUMBER(SEARCH("FRN",$A562))),1,0),0)</f>
        <v>0</v>
      </c>
      <c r="T562" s="43" t="str">
        <f aca="false">IF(AND(Q562=1,ISNUMBER(I562)),TEXT(I562,"yyyymmdd")&amp;"|"&amp;IF(S562=1,"F",TEXT(J562,"0.000")),"")</f>
        <v/>
      </c>
      <c r="U562" s="90" t="str">
        <f aca="false">IF(AND(Q562=1,ISNUMBER(I562)),(I562-설정!$C$4)/365.25,"")</f>
        <v/>
      </c>
      <c r="V562" s="43" t="str">
        <f aca="false">IF(Q562&lt;&gt;1,"",IF(ISNUMBER(U562),IF(U562&lt;=1,"1년 이하",IF(U562&lt;=2,"1-2년",IF(U562&lt;=3,"2-3년",IF(U562&lt;=4,"3-4년",IF(U562&lt;=5,"4-5년",IF(U562&lt;=7,"5-7년",IF(U562&lt;=10,"7-10년",IF(U562&lt;=20,"10-20년","20년 이상")))))))),"미분류"))</f>
        <v/>
      </c>
      <c r="W562" s="43" t="str">
        <f aca="false">IF(Q562&lt;&gt;1,"",IF(AB562&lt;&gt;"",INDEX(시장분석!$C:$C,AB562),IF(K562=1,"USD","비USD")))</f>
        <v/>
      </c>
      <c r="X562" s="91" t="n">
        <f aca="false">IF(Q562=1,E562*K562/1000000,0)</f>
        <v>0</v>
      </c>
      <c r="Y562" s="89" t="n">
        <f aca="false">IF(R562="T",1,0)</f>
        <v>0</v>
      </c>
      <c r="Z562" s="92" t="str">
        <f aca="false">IF(Q562&lt;&gt;1,"",IF(AD562=1,IF(ISNUMBER(U562),MAX(U562,0),H562),H562))</f>
        <v/>
      </c>
      <c r="AA562" s="91" t="n">
        <f aca="false">IF(Q562=1,IF(ISNUMBER(L562),L562,0)*K562/1000000,0)</f>
        <v>0</v>
      </c>
      <c r="AB562" s="89" t="str">
        <f aca="false">IF(Q562&lt;&gt;1,"",IFERROR(MATCH(VLOOKUP(B562,매핑!$H$4:$I$15,2,0),시장분석!$A$2:$A$601,0)+1,IFERROR(MATCH(R562&amp;"|"&amp;T562,시장분석!$V$2:$V$601,0)+1,IF(COUNTIF(시장분석!$U$2:$U$601,T562)=1,MATCH(T562,시장분석!$U$2:$U$601,0)+1,""))))</f>
        <v/>
      </c>
      <c r="AC562" s="89" t="n">
        <f aca="false">IF(Q562&lt;&gt;1,0,IF(OR(설정!$C$5="전체",AND(설정!$C$5="선택펀드",IFERROR(COUNTIFS(설정!$F$16:$F$36,C562,설정!$G$16:$G$36,"Y")+COUNTIFS(설정!$F$16:$F$36,VALUE(C562),설정!$G$16:$G$36,"Y"),0)&gt;0),C562&amp;""=설정!$C$5&amp;""),1,0))</f>
        <v>0</v>
      </c>
      <c r="AD562" s="89" t="n">
        <f aca="false">IF(Q562&lt;&gt;1,0,IF(OR(S562=1,IF(AB562="",FALSE(),INDEX(시장분석!$R:$R,AB562)=1)),1,0))</f>
        <v>0</v>
      </c>
      <c r="AE562" s="43" t="str">
        <f aca="false">IF(AB562="","",INDEX(시장분석!$A:$A,AB562))</f>
        <v/>
      </c>
      <c r="AF562" s="93" t="str">
        <f aca="false">IF(AB562="","",IF(ISNUMBER(IF(AB562="","",INDEX(시장분석!$E:$E,AB562))),IF(AB562="","",INDEX(시장분석!$E:$E,AB562)),""))</f>
        <v/>
      </c>
      <c r="AG562" s="43" t="str">
        <f aca="false">IF(Q562&lt;&gt;1,"",IF(AB562&lt;&gt;"",IF(AB562="","",INDEX(시장분석!$L:$L,AB562)),IFERROR(IF(VLOOKUP(R562,매핑!$A$4:$E$92,5,0)="","미분류",VLOOKUP(R562,매핑!$A$4:$E$92,5,0)),"미분류")))</f>
        <v/>
      </c>
      <c r="AH562" s="43" t="str">
        <f aca="false">IF(Q562&lt;&gt;1,"",IF(AB562&lt;&gt;"",IF(AB562="","",INDEX(시장분석!$N:$N,AB562)),IFERROR(IF(VLOOKUP(R562,매핑!$A$4:$E$92,4,0)="","미분류",VLOOKUP(R562,매핑!$A$4:$E$92,4,0)),"미분류")))</f>
        <v/>
      </c>
      <c r="AI562" s="43" t="str">
        <f aca="false">IF(Q562&lt;&gt;1,"",IFERROR(IF(VLOOKUP(R562,매핑!$A$4:$E$92,3,0)="","미분류",VLOOKUP(R562,매핑!$A$4:$E$92,3,0)),IF(AB562&lt;&gt;"",IF(AB562="","",INDEX(시장분석!$W:$W,AB562)),"미분류")))</f>
        <v/>
      </c>
      <c r="AJ562" s="43" t="str">
        <f aca="false">IF(Q562&lt;&gt;1,"",IFERROR(VLOOKUP(IF(N562&lt;&gt;"",N562,IF(P562&lt;&gt;"",P562,O562)),설정!$A$15:$D$47,2,0),""))</f>
        <v/>
      </c>
      <c r="AK562" s="43" t="str">
        <f aca="false">IF(Q562&lt;&gt;1,"",IF(AJ562="","무등급",IFERROR(VLOOKUP(AJ562,설정!$A$15:$D$47,3,0),"무등급")))</f>
        <v/>
      </c>
      <c r="AL562" s="89" t="n">
        <f aca="false">IF(AJ562="",99,IFERROR(VLOOKUP(AJ562,설정!$A$15:$D$47,4,0),99))</f>
        <v>99</v>
      </c>
      <c r="AM562" s="94" t="n">
        <f aca="false">IF(ISNUMBER(H562),AA562*1000000*H562/10000,0)</f>
        <v>0</v>
      </c>
      <c r="AN562" s="94" t="n">
        <f aca="false">IF(OR(Y562=1,NOT(ISNUMBER(Z562))),0,AA562*1000000*Z562/10000)</f>
        <v>0</v>
      </c>
      <c r="AO562" s="94" t="n">
        <f aca="false">IF(ISNUMBER(G562),AA562*1000000*G562/100,0)</f>
        <v>0</v>
      </c>
      <c r="AP562" s="94" t="n">
        <f aca="false">IF(ISNUMBER(M562),M562*K562,0)</f>
        <v>0</v>
      </c>
      <c r="AQ562" s="95" t="str">
        <f aca="false">IF(AB562="","",INDEX(시장분석!$AK:$AK,AB562))</f>
        <v/>
      </c>
      <c r="AR562" s="43" t="str">
        <f aca="false">IF(AB562="","-",IF(AB562="","",INDEX(시장분석!$AL:$AL,AB562)))</f>
        <v>-</v>
      </c>
      <c r="AS562" s="96" t="str">
        <f aca="false">IF(AB562="","",INDEX(시장분석!$AJ:$AJ,AB562))</f>
        <v/>
      </c>
      <c r="AT562" s="93" t="n">
        <f aca="false">IF(AB562="",0,IF(AB562="","",INDEX(시장분석!$AN:$AN,AB562)))</f>
        <v>0</v>
      </c>
      <c r="AU562" s="94" t="n">
        <f aca="false">IF(ISNUMBER(Z562),AT562/10000*MAX(Z562-1,0)*AA562*1000000,0)</f>
        <v>0</v>
      </c>
      <c r="AV562" s="94" t="n">
        <f aca="false">AO562+AU562</f>
        <v>0</v>
      </c>
      <c r="AW562" s="43" t="str">
        <f aca="false">IF(Q562&lt;&gt;1,"",TRIM(IF(AD562=1,"FRN ","")&amp;IF(AND(AL562&gt;=10,AL562&lt;99),"BBB0미만 ","")&amp;IF(AJ562="","등급없음 ","")&amp;IF(K562&lt;&gt;1,"비USD ","")&amp;IF(AND(AB562="",Y562=0),"시장데이터없음 ","")&amp;IF(AND(ISNUMBER(U562),U562&lt;0),"만기경과 ","")))</f>
        <v/>
      </c>
      <c r="AX562" s="90" t="n">
        <f aca="false">IF(Q562&lt;&gt;1,1,IF(스프레드쇼크!$C$4="Y",INDEX(스프레드쇼크!$B$12:$L$16,IFERROR(MATCH(AH562,스프레드쇼크!$A$12:$A$16,0),MATCH("목록외",스프레드쇼크!$A$12:$A$16,0)),IFERROR(MATCH(AG562,스프레드쇼크!$B$11:$L$11,0),MATCH("목록외",스프레드쇼크!$B$11:$L$11,0))),1))</f>
        <v>1</v>
      </c>
      <c r="AY562" s="90" t="n">
        <f aca="false">IF(스프레드쇼크!$C$5="Y",IF(ISNUMBER(AF562),MIN(스프레드쇼크!$C$7,MAX(스프레드쇼크!$C$6,AF562/스프레드쇼크!$C$8)),1),1)</f>
        <v>1</v>
      </c>
      <c r="AZ562" s="94" t="n">
        <f aca="false">AN562*AX562*AY562</f>
        <v>0</v>
      </c>
      <c r="BA562" s="90" t="n">
        <f aca="false">IF(ISNUMBER(G562),AA562*G562,0)</f>
        <v>0</v>
      </c>
      <c r="BB562" s="90" t="n">
        <f aca="false">IF(ISNUMBER(G562),AA562,0)</f>
        <v>0</v>
      </c>
      <c r="BC562" s="90" t="n">
        <f aca="false">IF(AND(Y562=0,ISNUMBER(AF562)),AA562*AF562,0)</f>
        <v>0</v>
      </c>
      <c r="BD562" s="90" t="n">
        <f aca="false">IF(AND(Y562=0,ISNUMBER(AF562)),AA562,0)</f>
        <v>0</v>
      </c>
      <c r="BE562" s="90" t="n">
        <f aca="false">IF(ISNUMBER(H562),AA562*H562,0)</f>
        <v>0</v>
      </c>
      <c r="BF562" s="90" t="n">
        <f aca="false">IF(ISNUMBER(H562),AA562,0)</f>
        <v>0</v>
      </c>
      <c r="BG562" s="90" t="n">
        <f aca="false">IF(AND(Y562=0,ISNUMBER(AF562),ISNUMBER(Z562)),AA562*Z562,0)</f>
        <v>0</v>
      </c>
      <c r="BH562" s="90" t="n">
        <f aca="false">IF(AND(Y562=0,ISNUMBER(AF562),ISNUMBER(Z562)),AA562*AT562*MAX(Z562-1,0),0)</f>
        <v>0</v>
      </c>
      <c r="BI562" s="90" t="n">
        <f aca="false">IF(Y562=0,AA562,0)</f>
        <v>0</v>
      </c>
    </row>
    <row r="563" customFormat="false" ht="15" hidden="false" customHeight="false" outlineLevel="0" collapsed="false">
      <c r="A563" s="83" t="str">
        <f aca="false">IFERROR(IF(INDEX(원자료_잔고!$A$1:$EZ$1500,설정!$L$5+ROW()-1,설정!$L$8)&amp;""="0","",INDEX(원자료_잔고!$A$1:$EZ$1500,설정!$L$5+ROW()-1,설정!$L$8)&amp;""),"")</f>
        <v/>
      </c>
      <c r="B563" s="83" t="str">
        <f aca="false">IFERROR(IF(INDEX(원자료_잔고!$A$1:$EZ$1500,설정!$L$5+ROW()-1,설정!$L$7)&amp;""="0","",INDEX(원자료_잔고!$A$1:$EZ$1500,설정!$L$5+ROW()-1,설정!$L$7)&amp;""),"")</f>
        <v/>
      </c>
      <c r="C563" s="83" t="str">
        <f aca="false">IFERROR(IF(INDEX(원자료_잔고!$A$1:$EZ$1500,설정!$L$5+ROW()-1,설정!$L$9)&amp;""="0","",INDEX(원자료_잔고!$A$1:$EZ$1500,설정!$L$5+ROW()-1,설정!$L$9)&amp;""),"")</f>
        <v/>
      </c>
      <c r="D563" s="83" t="str">
        <f aca="false">IFERROR(IF(INDEX(원자료_잔고!$A$1:$EZ$1500,설정!$L$5+ROW()-1,설정!$L$10)&amp;""="0","",INDEX(원자료_잔고!$A$1:$EZ$1500,설정!$L$5+ROW()-1,설정!$L$10)&amp;""),"")</f>
        <v/>
      </c>
      <c r="E563" s="84" t="str">
        <f aca="false">IFERROR(IF(ISNUMBER(INDEX(원자료_잔고!$A$1:$EZ$1500,설정!$L$5+ROW()-1,설정!$L$11)),INDEX(원자료_잔고!$A$1:$EZ$1500,설정!$L$5+ROW()-1,설정!$L$11),""),"")</f>
        <v/>
      </c>
      <c r="F563" s="85" t="str">
        <f aca="false">IFERROR(IF(ISNUMBER(INDEX(원자료_잔고!$A$1:$EZ$1500,설정!$L$5+ROW()-1,설정!$L$12)),INDEX(원자료_잔고!$A$1:$EZ$1500,설정!$L$5+ROW()-1,설정!$L$12),""),"")</f>
        <v/>
      </c>
      <c r="G563" s="85" t="str">
        <f aca="false">IFERROR(IF(ISNUMBER(INDEX(원자료_잔고!$A$1:$EZ$1500,설정!$L$5+ROW()-1,설정!$L$13)),INDEX(원자료_잔고!$A$1:$EZ$1500,설정!$L$5+ROW()-1,설정!$L$13),""),"")</f>
        <v/>
      </c>
      <c r="H563" s="85" t="str">
        <f aca="false">IFERROR(IF(ISNUMBER(INDEX(원자료_잔고!$A$1:$EZ$1500,설정!$L$5+ROW()-1,설정!$L$14)),INDEX(원자료_잔고!$A$1:$EZ$1500,설정!$L$5+ROW()-1,설정!$L$14),""),"")</f>
        <v/>
      </c>
      <c r="I563" s="86" t="str">
        <f aca="false">IFERROR(IF(ISNUMBER(INDEX(원자료_잔고!$A$1:$EZ$1500,설정!$L$5+ROW()-1,설정!$L$15)),INDEX(원자료_잔고!$A$1:$EZ$1500,설정!$L$5+ROW()-1,설정!$L$15),""),"")</f>
        <v/>
      </c>
      <c r="J563" s="85" t="str">
        <f aca="false">IFERROR(IF(ISNUMBER(INDEX(원자료_잔고!$A$1:$EZ$1500,설정!$L$5+ROW()-1,설정!$L$16)),INDEX(원자료_잔고!$A$1:$EZ$1500,설정!$L$5+ROW()-1,설정!$L$16),""),"")</f>
        <v/>
      </c>
      <c r="K563" s="87" t="str">
        <f aca="false">IFERROR(IF(ISNUMBER(INDEX(원자료_잔고!$A$1:$EZ$1500,설정!$L$5+ROW()-1,설정!$L$17)),INDEX(원자료_잔고!$A$1:$EZ$1500,설정!$L$5+ROW()-1,설정!$L$17),""),"")</f>
        <v/>
      </c>
      <c r="L563" s="84" t="str">
        <f aca="false">IFERROR(IF(ISNUMBER(INDEX(원자료_잔고!$A$1:$EZ$1500,설정!$L$5+ROW()-1,설정!$L$18)),INDEX(원자료_잔고!$A$1:$EZ$1500,설정!$L$5+ROW()-1,설정!$L$18),""),"")</f>
        <v/>
      </c>
      <c r="M563" s="88" t="str">
        <f aca="false">IFERROR(IF(ISNUMBER(INDEX(원자료_잔고!$A$1:$EZ$1500,설정!$L$5+ROW()-1,설정!$L$19)),INDEX(원자료_잔고!$A$1:$EZ$1500,설정!$L$5+ROW()-1,설정!$L$19),""),"")</f>
        <v/>
      </c>
      <c r="N563" s="83" t="str">
        <f aca="false">IFERROR(IF(INDEX(원자료_잔고!$A$1:$EZ$1500,설정!$L$5+ROW()-1,설정!$L$21)&amp;""="0","",INDEX(원자료_잔고!$A$1:$EZ$1500,설정!$L$5+ROW()-1,설정!$L$21)&amp;""),"")</f>
        <v/>
      </c>
      <c r="O563" s="83" t="str">
        <f aca="false">IFERROR(IF(INDEX(원자료_잔고!$A$1:$EZ$1500,설정!$L$5+ROW()-1,설정!$L$22)&amp;""="0","",INDEX(원자료_잔고!$A$1:$EZ$1500,설정!$L$5+ROW()-1,설정!$L$22)&amp;""),"")</f>
        <v/>
      </c>
      <c r="P563" s="83" t="str">
        <f aca="false">IFERROR(IF(INDEX(원자료_잔고!$A$1:$EZ$1500,설정!$L$5+ROW()-1,설정!$L$23)&amp;""="0","",INDEX(원자료_잔고!$A$1:$EZ$1500,설정!$L$5+ROW()-1,설정!$L$23)&amp;""),"")</f>
        <v/>
      </c>
      <c r="Q563" s="89" t="n">
        <f aca="false">IF(AND($A563&lt;&gt;"",ISNUMBER(E563)),IF(E563&gt;0,1,0),0)</f>
        <v>0</v>
      </c>
      <c r="R563" s="43" t="str">
        <f aca="false">IF(Q563=1,UPPER(LEFT($A563,FIND(" ",$A563&amp;" ")-1)),"")</f>
        <v/>
      </c>
      <c r="S563" s="89" t="n">
        <f aca="false">IF(Q563=1,IF(OR(ISNUMBER(SEARCH("Float",$A563)),ISNUMBER(SEARCH("FRN",$A563))),1,0),0)</f>
        <v>0</v>
      </c>
      <c r="T563" s="43" t="str">
        <f aca="false">IF(AND(Q563=1,ISNUMBER(I563)),TEXT(I563,"yyyymmdd")&amp;"|"&amp;IF(S563=1,"F",TEXT(J563,"0.000")),"")</f>
        <v/>
      </c>
      <c r="U563" s="90" t="str">
        <f aca="false">IF(AND(Q563=1,ISNUMBER(I563)),(I563-설정!$C$4)/365.25,"")</f>
        <v/>
      </c>
      <c r="V563" s="43" t="str">
        <f aca="false">IF(Q563&lt;&gt;1,"",IF(ISNUMBER(U563),IF(U563&lt;=1,"1년 이하",IF(U563&lt;=2,"1-2년",IF(U563&lt;=3,"2-3년",IF(U563&lt;=4,"3-4년",IF(U563&lt;=5,"4-5년",IF(U563&lt;=7,"5-7년",IF(U563&lt;=10,"7-10년",IF(U563&lt;=20,"10-20년","20년 이상")))))))),"미분류"))</f>
        <v/>
      </c>
      <c r="W563" s="43" t="str">
        <f aca="false">IF(Q563&lt;&gt;1,"",IF(AB563&lt;&gt;"",INDEX(시장분석!$C:$C,AB563),IF(K563=1,"USD","비USD")))</f>
        <v/>
      </c>
      <c r="X563" s="91" t="n">
        <f aca="false">IF(Q563=1,E563*K563/1000000,0)</f>
        <v>0</v>
      </c>
      <c r="Y563" s="89" t="n">
        <f aca="false">IF(R563="T",1,0)</f>
        <v>0</v>
      </c>
      <c r="Z563" s="92" t="str">
        <f aca="false">IF(Q563&lt;&gt;1,"",IF(AD563=1,IF(ISNUMBER(U563),MAX(U563,0),H563),H563))</f>
        <v/>
      </c>
      <c r="AA563" s="91" t="n">
        <f aca="false">IF(Q563=1,IF(ISNUMBER(L563),L563,0)*K563/1000000,0)</f>
        <v>0</v>
      </c>
      <c r="AB563" s="89" t="str">
        <f aca="false">IF(Q563&lt;&gt;1,"",IFERROR(MATCH(VLOOKUP(B563,매핑!$H$4:$I$15,2,0),시장분석!$A$2:$A$601,0)+1,IFERROR(MATCH(R563&amp;"|"&amp;T563,시장분석!$V$2:$V$601,0)+1,IF(COUNTIF(시장분석!$U$2:$U$601,T563)=1,MATCH(T563,시장분석!$U$2:$U$601,0)+1,""))))</f>
        <v/>
      </c>
      <c r="AC563" s="89" t="n">
        <f aca="false">IF(Q563&lt;&gt;1,0,IF(OR(설정!$C$5="전체",AND(설정!$C$5="선택펀드",IFERROR(COUNTIFS(설정!$F$16:$F$36,C563,설정!$G$16:$G$36,"Y")+COUNTIFS(설정!$F$16:$F$36,VALUE(C563),설정!$G$16:$G$36,"Y"),0)&gt;0),C563&amp;""=설정!$C$5&amp;""),1,0))</f>
        <v>0</v>
      </c>
      <c r="AD563" s="89" t="n">
        <f aca="false">IF(Q563&lt;&gt;1,0,IF(OR(S563=1,IF(AB563="",FALSE(),INDEX(시장분석!$R:$R,AB563)=1)),1,0))</f>
        <v>0</v>
      </c>
      <c r="AE563" s="43" t="str">
        <f aca="false">IF(AB563="","",INDEX(시장분석!$A:$A,AB563))</f>
        <v/>
      </c>
      <c r="AF563" s="93" t="str">
        <f aca="false">IF(AB563="","",IF(ISNUMBER(IF(AB563="","",INDEX(시장분석!$E:$E,AB563))),IF(AB563="","",INDEX(시장분석!$E:$E,AB563)),""))</f>
        <v/>
      </c>
      <c r="AG563" s="43" t="str">
        <f aca="false">IF(Q563&lt;&gt;1,"",IF(AB563&lt;&gt;"",IF(AB563="","",INDEX(시장분석!$L:$L,AB563)),IFERROR(IF(VLOOKUP(R563,매핑!$A$4:$E$92,5,0)="","미분류",VLOOKUP(R563,매핑!$A$4:$E$92,5,0)),"미분류")))</f>
        <v/>
      </c>
      <c r="AH563" s="43" t="str">
        <f aca="false">IF(Q563&lt;&gt;1,"",IF(AB563&lt;&gt;"",IF(AB563="","",INDEX(시장분석!$N:$N,AB563)),IFERROR(IF(VLOOKUP(R563,매핑!$A$4:$E$92,4,0)="","미분류",VLOOKUP(R563,매핑!$A$4:$E$92,4,0)),"미분류")))</f>
        <v/>
      </c>
      <c r="AI563" s="43" t="str">
        <f aca="false">IF(Q563&lt;&gt;1,"",IFERROR(IF(VLOOKUP(R563,매핑!$A$4:$E$92,3,0)="","미분류",VLOOKUP(R563,매핑!$A$4:$E$92,3,0)),IF(AB563&lt;&gt;"",IF(AB563="","",INDEX(시장분석!$W:$W,AB563)),"미분류")))</f>
        <v/>
      </c>
      <c r="AJ563" s="43" t="str">
        <f aca="false">IF(Q563&lt;&gt;1,"",IFERROR(VLOOKUP(IF(N563&lt;&gt;"",N563,IF(P563&lt;&gt;"",P563,O563)),설정!$A$15:$D$47,2,0),""))</f>
        <v/>
      </c>
      <c r="AK563" s="43" t="str">
        <f aca="false">IF(Q563&lt;&gt;1,"",IF(AJ563="","무등급",IFERROR(VLOOKUP(AJ563,설정!$A$15:$D$47,3,0),"무등급")))</f>
        <v/>
      </c>
      <c r="AL563" s="89" t="n">
        <f aca="false">IF(AJ563="",99,IFERROR(VLOOKUP(AJ563,설정!$A$15:$D$47,4,0),99))</f>
        <v>99</v>
      </c>
      <c r="AM563" s="94" t="n">
        <f aca="false">IF(ISNUMBER(H563),AA563*1000000*H563/10000,0)</f>
        <v>0</v>
      </c>
      <c r="AN563" s="94" t="n">
        <f aca="false">IF(OR(Y563=1,NOT(ISNUMBER(Z563))),0,AA563*1000000*Z563/10000)</f>
        <v>0</v>
      </c>
      <c r="AO563" s="94" t="n">
        <f aca="false">IF(ISNUMBER(G563),AA563*1000000*G563/100,0)</f>
        <v>0</v>
      </c>
      <c r="AP563" s="94" t="n">
        <f aca="false">IF(ISNUMBER(M563),M563*K563,0)</f>
        <v>0</v>
      </c>
      <c r="AQ563" s="95" t="str">
        <f aca="false">IF(AB563="","",INDEX(시장분석!$AK:$AK,AB563))</f>
        <v/>
      </c>
      <c r="AR563" s="43" t="str">
        <f aca="false">IF(AB563="","-",IF(AB563="","",INDEX(시장분석!$AL:$AL,AB563)))</f>
        <v>-</v>
      </c>
      <c r="AS563" s="96" t="str">
        <f aca="false">IF(AB563="","",INDEX(시장분석!$AJ:$AJ,AB563))</f>
        <v/>
      </c>
      <c r="AT563" s="93" t="n">
        <f aca="false">IF(AB563="",0,IF(AB563="","",INDEX(시장분석!$AN:$AN,AB563)))</f>
        <v>0</v>
      </c>
      <c r="AU563" s="94" t="n">
        <f aca="false">IF(ISNUMBER(Z563),AT563/10000*MAX(Z563-1,0)*AA563*1000000,0)</f>
        <v>0</v>
      </c>
      <c r="AV563" s="94" t="n">
        <f aca="false">AO563+AU563</f>
        <v>0</v>
      </c>
      <c r="AW563" s="43" t="str">
        <f aca="false">IF(Q563&lt;&gt;1,"",TRIM(IF(AD563=1,"FRN ","")&amp;IF(AND(AL563&gt;=10,AL563&lt;99),"BBB0미만 ","")&amp;IF(AJ563="","등급없음 ","")&amp;IF(K563&lt;&gt;1,"비USD ","")&amp;IF(AND(AB563="",Y563=0),"시장데이터없음 ","")&amp;IF(AND(ISNUMBER(U563),U563&lt;0),"만기경과 ","")))</f>
        <v/>
      </c>
      <c r="AX563" s="90" t="n">
        <f aca="false">IF(Q563&lt;&gt;1,1,IF(스프레드쇼크!$C$4="Y",INDEX(스프레드쇼크!$B$12:$L$16,IFERROR(MATCH(AH563,스프레드쇼크!$A$12:$A$16,0),MATCH("목록외",스프레드쇼크!$A$12:$A$16,0)),IFERROR(MATCH(AG563,스프레드쇼크!$B$11:$L$11,0),MATCH("목록외",스프레드쇼크!$B$11:$L$11,0))),1))</f>
        <v>1</v>
      </c>
      <c r="AY563" s="90" t="n">
        <f aca="false">IF(스프레드쇼크!$C$5="Y",IF(ISNUMBER(AF563),MIN(스프레드쇼크!$C$7,MAX(스프레드쇼크!$C$6,AF563/스프레드쇼크!$C$8)),1),1)</f>
        <v>1</v>
      </c>
      <c r="AZ563" s="94" t="n">
        <f aca="false">AN563*AX563*AY563</f>
        <v>0</v>
      </c>
      <c r="BA563" s="90" t="n">
        <f aca="false">IF(ISNUMBER(G563),AA563*G563,0)</f>
        <v>0</v>
      </c>
      <c r="BB563" s="90" t="n">
        <f aca="false">IF(ISNUMBER(G563),AA563,0)</f>
        <v>0</v>
      </c>
      <c r="BC563" s="90" t="n">
        <f aca="false">IF(AND(Y563=0,ISNUMBER(AF563)),AA563*AF563,0)</f>
        <v>0</v>
      </c>
      <c r="BD563" s="90" t="n">
        <f aca="false">IF(AND(Y563=0,ISNUMBER(AF563)),AA563,0)</f>
        <v>0</v>
      </c>
      <c r="BE563" s="90" t="n">
        <f aca="false">IF(ISNUMBER(H563),AA563*H563,0)</f>
        <v>0</v>
      </c>
      <c r="BF563" s="90" t="n">
        <f aca="false">IF(ISNUMBER(H563),AA563,0)</f>
        <v>0</v>
      </c>
      <c r="BG563" s="90" t="n">
        <f aca="false">IF(AND(Y563=0,ISNUMBER(AF563),ISNUMBER(Z563)),AA563*Z563,0)</f>
        <v>0</v>
      </c>
      <c r="BH563" s="90" t="n">
        <f aca="false">IF(AND(Y563=0,ISNUMBER(AF563),ISNUMBER(Z563)),AA563*AT563*MAX(Z563-1,0),0)</f>
        <v>0</v>
      </c>
      <c r="BI563" s="90" t="n">
        <f aca="false">IF(Y563=0,AA563,0)</f>
        <v>0</v>
      </c>
    </row>
    <row r="564" customFormat="false" ht="15" hidden="false" customHeight="false" outlineLevel="0" collapsed="false">
      <c r="A564" s="83" t="str">
        <f aca="false">IFERROR(IF(INDEX(원자료_잔고!$A$1:$EZ$1500,설정!$L$5+ROW()-1,설정!$L$8)&amp;""="0","",INDEX(원자료_잔고!$A$1:$EZ$1500,설정!$L$5+ROW()-1,설정!$L$8)&amp;""),"")</f>
        <v/>
      </c>
      <c r="B564" s="83" t="str">
        <f aca="false">IFERROR(IF(INDEX(원자료_잔고!$A$1:$EZ$1500,설정!$L$5+ROW()-1,설정!$L$7)&amp;""="0","",INDEX(원자료_잔고!$A$1:$EZ$1500,설정!$L$5+ROW()-1,설정!$L$7)&amp;""),"")</f>
        <v/>
      </c>
      <c r="C564" s="83" t="str">
        <f aca="false">IFERROR(IF(INDEX(원자료_잔고!$A$1:$EZ$1500,설정!$L$5+ROW()-1,설정!$L$9)&amp;""="0","",INDEX(원자료_잔고!$A$1:$EZ$1500,설정!$L$5+ROW()-1,설정!$L$9)&amp;""),"")</f>
        <v/>
      </c>
      <c r="D564" s="83" t="str">
        <f aca="false">IFERROR(IF(INDEX(원자료_잔고!$A$1:$EZ$1500,설정!$L$5+ROW()-1,설정!$L$10)&amp;""="0","",INDEX(원자료_잔고!$A$1:$EZ$1500,설정!$L$5+ROW()-1,설정!$L$10)&amp;""),"")</f>
        <v/>
      </c>
      <c r="E564" s="84" t="str">
        <f aca="false">IFERROR(IF(ISNUMBER(INDEX(원자료_잔고!$A$1:$EZ$1500,설정!$L$5+ROW()-1,설정!$L$11)),INDEX(원자료_잔고!$A$1:$EZ$1500,설정!$L$5+ROW()-1,설정!$L$11),""),"")</f>
        <v/>
      </c>
      <c r="F564" s="85" t="str">
        <f aca="false">IFERROR(IF(ISNUMBER(INDEX(원자료_잔고!$A$1:$EZ$1500,설정!$L$5+ROW()-1,설정!$L$12)),INDEX(원자료_잔고!$A$1:$EZ$1500,설정!$L$5+ROW()-1,설정!$L$12),""),"")</f>
        <v/>
      </c>
      <c r="G564" s="85" t="str">
        <f aca="false">IFERROR(IF(ISNUMBER(INDEX(원자료_잔고!$A$1:$EZ$1500,설정!$L$5+ROW()-1,설정!$L$13)),INDEX(원자료_잔고!$A$1:$EZ$1500,설정!$L$5+ROW()-1,설정!$L$13),""),"")</f>
        <v/>
      </c>
      <c r="H564" s="85" t="str">
        <f aca="false">IFERROR(IF(ISNUMBER(INDEX(원자료_잔고!$A$1:$EZ$1500,설정!$L$5+ROW()-1,설정!$L$14)),INDEX(원자료_잔고!$A$1:$EZ$1500,설정!$L$5+ROW()-1,설정!$L$14),""),"")</f>
        <v/>
      </c>
      <c r="I564" s="86" t="str">
        <f aca="false">IFERROR(IF(ISNUMBER(INDEX(원자료_잔고!$A$1:$EZ$1500,설정!$L$5+ROW()-1,설정!$L$15)),INDEX(원자료_잔고!$A$1:$EZ$1500,설정!$L$5+ROW()-1,설정!$L$15),""),"")</f>
        <v/>
      </c>
      <c r="J564" s="85" t="str">
        <f aca="false">IFERROR(IF(ISNUMBER(INDEX(원자료_잔고!$A$1:$EZ$1500,설정!$L$5+ROW()-1,설정!$L$16)),INDEX(원자료_잔고!$A$1:$EZ$1500,설정!$L$5+ROW()-1,설정!$L$16),""),"")</f>
        <v/>
      </c>
      <c r="K564" s="87" t="str">
        <f aca="false">IFERROR(IF(ISNUMBER(INDEX(원자료_잔고!$A$1:$EZ$1500,설정!$L$5+ROW()-1,설정!$L$17)),INDEX(원자료_잔고!$A$1:$EZ$1500,설정!$L$5+ROW()-1,설정!$L$17),""),"")</f>
        <v/>
      </c>
      <c r="L564" s="84" t="str">
        <f aca="false">IFERROR(IF(ISNUMBER(INDEX(원자료_잔고!$A$1:$EZ$1500,설정!$L$5+ROW()-1,설정!$L$18)),INDEX(원자료_잔고!$A$1:$EZ$1500,설정!$L$5+ROW()-1,설정!$L$18),""),"")</f>
        <v/>
      </c>
      <c r="M564" s="88" t="str">
        <f aca="false">IFERROR(IF(ISNUMBER(INDEX(원자료_잔고!$A$1:$EZ$1500,설정!$L$5+ROW()-1,설정!$L$19)),INDEX(원자료_잔고!$A$1:$EZ$1500,설정!$L$5+ROW()-1,설정!$L$19),""),"")</f>
        <v/>
      </c>
      <c r="N564" s="83" t="str">
        <f aca="false">IFERROR(IF(INDEX(원자료_잔고!$A$1:$EZ$1500,설정!$L$5+ROW()-1,설정!$L$21)&amp;""="0","",INDEX(원자료_잔고!$A$1:$EZ$1500,설정!$L$5+ROW()-1,설정!$L$21)&amp;""),"")</f>
        <v/>
      </c>
      <c r="O564" s="83" t="str">
        <f aca="false">IFERROR(IF(INDEX(원자료_잔고!$A$1:$EZ$1500,설정!$L$5+ROW()-1,설정!$L$22)&amp;""="0","",INDEX(원자료_잔고!$A$1:$EZ$1500,설정!$L$5+ROW()-1,설정!$L$22)&amp;""),"")</f>
        <v/>
      </c>
      <c r="P564" s="83" t="str">
        <f aca="false">IFERROR(IF(INDEX(원자료_잔고!$A$1:$EZ$1500,설정!$L$5+ROW()-1,설정!$L$23)&amp;""="0","",INDEX(원자료_잔고!$A$1:$EZ$1500,설정!$L$5+ROW()-1,설정!$L$23)&amp;""),"")</f>
        <v/>
      </c>
      <c r="Q564" s="89" t="n">
        <f aca="false">IF(AND($A564&lt;&gt;"",ISNUMBER(E564)),IF(E564&gt;0,1,0),0)</f>
        <v>0</v>
      </c>
      <c r="R564" s="43" t="str">
        <f aca="false">IF(Q564=1,UPPER(LEFT($A564,FIND(" ",$A564&amp;" ")-1)),"")</f>
        <v/>
      </c>
      <c r="S564" s="89" t="n">
        <f aca="false">IF(Q564=1,IF(OR(ISNUMBER(SEARCH("Float",$A564)),ISNUMBER(SEARCH("FRN",$A564))),1,0),0)</f>
        <v>0</v>
      </c>
      <c r="T564" s="43" t="str">
        <f aca="false">IF(AND(Q564=1,ISNUMBER(I564)),TEXT(I564,"yyyymmdd")&amp;"|"&amp;IF(S564=1,"F",TEXT(J564,"0.000")),"")</f>
        <v/>
      </c>
      <c r="U564" s="90" t="str">
        <f aca="false">IF(AND(Q564=1,ISNUMBER(I564)),(I564-설정!$C$4)/365.25,"")</f>
        <v/>
      </c>
      <c r="V564" s="43" t="str">
        <f aca="false">IF(Q564&lt;&gt;1,"",IF(ISNUMBER(U564),IF(U564&lt;=1,"1년 이하",IF(U564&lt;=2,"1-2년",IF(U564&lt;=3,"2-3년",IF(U564&lt;=4,"3-4년",IF(U564&lt;=5,"4-5년",IF(U564&lt;=7,"5-7년",IF(U564&lt;=10,"7-10년",IF(U564&lt;=20,"10-20년","20년 이상")))))))),"미분류"))</f>
        <v/>
      </c>
      <c r="W564" s="43" t="str">
        <f aca="false">IF(Q564&lt;&gt;1,"",IF(AB564&lt;&gt;"",INDEX(시장분석!$C:$C,AB564),IF(K564=1,"USD","비USD")))</f>
        <v/>
      </c>
      <c r="X564" s="91" t="n">
        <f aca="false">IF(Q564=1,E564*K564/1000000,0)</f>
        <v>0</v>
      </c>
      <c r="Y564" s="89" t="n">
        <f aca="false">IF(R564="T",1,0)</f>
        <v>0</v>
      </c>
      <c r="Z564" s="92" t="str">
        <f aca="false">IF(Q564&lt;&gt;1,"",IF(AD564=1,IF(ISNUMBER(U564),MAX(U564,0),H564),H564))</f>
        <v/>
      </c>
      <c r="AA564" s="91" t="n">
        <f aca="false">IF(Q564=1,IF(ISNUMBER(L564),L564,0)*K564/1000000,0)</f>
        <v>0</v>
      </c>
      <c r="AB564" s="89" t="str">
        <f aca="false">IF(Q564&lt;&gt;1,"",IFERROR(MATCH(VLOOKUP(B564,매핑!$H$4:$I$15,2,0),시장분석!$A$2:$A$601,0)+1,IFERROR(MATCH(R564&amp;"|"&amp;T564,시장분석!$V$2:$V$601,0)+1,IF(COUNTIF(시장분석!$U$2:$U$601,T564)=1,MATCH(T564,시장분석!$U$2:$U$601,0)+1,""))))</f>
        <v/>
      </c>
      <c r="AC564" s="89" t="n">
        <f aca="false">IF(Q564&lt;&gt;1,0,IF(OR(설정!$C$5="전체",AND(설정!$C$5="선택펀드",IFERROR(COUNTIFS(설정!$F$16:$F$36,C564,설정!$G$16:$G$36,"Y")+COUNTIFS(설정!$F$16:$F$36,VALUE(C564),설정!$G$16:$G$36,"Y"),0)&gt;0),C564&amp;""=설정!$C$5&amp;""),1,0))</f>
        <v>0</v>
      </c>
      <c r="AD564" s="89" t="n">
        <f aca="false">IF(Q564&lt;&gt;1,0,IF(OR(S564=1,IF(AB564="",FALSE(),INDEX(시장분석!$R:$R,AB564)=1)),1,0))</f>
        <v>0</v>
      </c>
      <c r="AE564" s="43" t="str">
        <f aca="false">IF(AB564="","",INDEX(시장분석!$A:$A,AB564))</f>
        <v/>
      </c>
      <c r="AF564" s="93" t="str">
        <f aca="false">IF(AB564="","",IF(ISNUMBER(IF(AB564="","",INDEX(시장분석!$E:$E,AB564))),IF(AB564="","",INDEX(시장분석!$E:$E,AB564)),""))</f>
        <v/>
      </c>
      <c r="AG564" s="43" t="str">
        <f aca="false">IF(Q564&lt;&gt;1,"",IF(AB564&lt;&gt;"",IF(AB564="","",INDEX(시장분석!$L:$L,AB564)),IFERROR(IF(VLOOKUP(R564,매핑!$A$4:$E$92,5,0)="","미분류",VLOOKUP(R564,매핑!$A$4:$E$92,5,0)),"미분류")))</f>
        <v/>
      </c>
      <c r="AH564" s="43" t="str">
        <f aca="false">IF(Q564&lt;&gt;1,"",IF(AB564&lt;&gt;"",IF(AB564="","",INDEX(시장분석!$N:$N,AB564)),IFERROR(IF(VLOOKUP(R564,매핑!$A$4:$E$92,4,0)="","미분류",VLOOKUP(R564,매핑!$A$4:$E$92,4,0)),"미분류")))</f>
        <v/>
      </c>
      <c r="AI564" s="43" t="str">
        <f aca="false">IF(Q564&lt;&gt;1,"",IFERROR(IF(VLOOKUP(R564,매핑!$A$4:$E$92,3,0)="","미분류",VLOOKUP(R564,매핑!$A$4:$E$92,3,0)),IF(AB564&lt;&gt;"",IF(AB564="","",INDEX(시장분석!$W:$W,AB564)),"미분류")))</f>
        <v/>
      </c>
      <c r="AJ564" s="43" t="str">
        <f aca="false">IF(Q564&lt;&gt;1,"",IFERROR(VLOOKUP(IF(N564&lt;&gt;"",N564,IF(P564&lt;&gt;"",P564,O564)),설정!$A$15:$D$47,2,0),""))</f>
        <v/>
      </c>
      <c r="AK564" s="43" t="str">
        <f aca="false">IF(Q564&lt;&gt;1,"",IF(AJ564="","무등급",IFERROR(VLOOKUP(AJ564,설정!$A$15:$D$47,3,0),"무등급")))</f>
        <v/>
      </c>
      <c r="AL564" s="89" t="n">
        <f aca="false">IF(AJ564="",99,IFERROR(VLOOKUP(AJ564,설정!$A$15:$D$47,4,0),99))</f>
        <v>99</v>
      </c>
      <c r="AM564" s="94" t="n">
        <f aca="false">IF(ISNUMBER(H564),AA564*1000000*H564/10000,0)</f>
        <v>0</v>
      </c>
      <c r="AN564" s="94" t="n">
        <f aca="false">IF(OR(Y564=1,NOT(ISNUMBER(Z564))),0,AA564*1000000*Z564/10000)</f>
        <v>0</v>
      </c>
      <c r="AO564" s="94" t="n">
        <f aca="false">IF(ISNUMBER(G564),AA564*1000000*G564/100,0)</f>
        <v>0</v>
      </c>
      <c r="AP564" s="94" t="n">
        <f aca="false">IF(ISNUMBER(M564),M564*K564,0)</f>
        <v>0</v>
      </c>
      <c r="AQ564" s="95" t="str">
        <f aca="false">IF(AB564="","",INDEX(시장분석!$AK:$AK,AB564))</f>
        <v/>
      </c>
      <c r="AR564" s="43" t="str">
        <f aca="false">IF(AB564="","-",IF(AB564="","",INDEX(시장분석!$AL:$AL,AB564)))</f>
        <v>-</v>
      </c>
      <c r="AS564" s="96" t="str">
        <f aca="false">IF(AB564="","",INDEX(시장분석!$AJ:$AJ,AB564))</f>
        <v/>
      </c>
      <c r="AT564" s="93" t="n">
        <f aca="false">IF(AB564="",0,IF(AB564="","",INDEX(시장분석!$AN:$AN,AB564)))</f>
        <v>0</v>
      </c>
      <c r="AU564" s="94" t="n">
        <f aca="false">IF(ISNUMBER(Z564),AT564/10000*MAX(Z564-1,0)*AA564*1000000,0)</f>
        <v>0</v>
      </c>
      <c r="AV564" s="94" t="n">
        <f aca="false">AO564+AU564</f>
        <v>0</v>
      </c>
      <c r="AW564" s="43" t="str">
        <f aca="false">IF(Q564&lt;&gt;1,"",TRIM(IF(AD564=1,"FRN ","")&amp;IF(AND(AL564&gt;=10,AL564&lt;99),"BBB0미만 ","")&amp;IF(AJ564="","등급없음 ","")&amp;IF(K564&lt;&gt;1,"비USD ","")&amp;IF(AND(AB564="",Y564=0),"시장데이터없음 ","")&amp;IF(AND(ISNUMBER(U564),U564&lt;0),"만기경과 ","")))</f>
        <v/>
      </c>
      <c r="AX564" s="90" t="n">
        <f aca="false">IF(Q564&lt;&gt;1,1,IF(스프레드쇼크!$C$4="Y",INDEX(스프레드쇼크!$B$12:$L$16,IFERROR(MATCH(AH564,스프레드쇼크!$A$12:$A$16,0),MATCH("목록외",스프레드쇼크!$A$12:$A$16,0)),IFERROR(MATCH(AG564,스프레드쇼크!$B$11:$L$11,0),MATCH("목록외",스프레드쇼크!$B$11:$L$11,0))),1))</f>
        <v>1</v>
      </c>
      <c r="AY564" s="90" t="n">
        <f aca="false">IF(스프레드쇼크!$C$5="Y",IF(ISNUMBER(AF564),MIN(스프레드쇼크!$C$7,MAX(스프레드쇼크!$C$6,AF564/스프레드쇼크!$C$8)),1),1)</f>
        <v>1</v>
      </c>
      <c r="AZ564" s="94" t="n">
        <f aca="false">AN564*AX564*AY564</f>
        <v>0</v>
      </c>
      <c r="BA564" s="90" t="n">
        <f aca="false">IF(ISNUMBER(G564),AA564*G564,0)</f>
        <v>0</v>
      </c>
      <c r="BB564" s="90" t="n">
        <f aca="false">IF(ISNUMBER(G564),AA564,0)</f>
        <v>0</v>
      </c>
      <c r="BC564" s="90" t="n">
        <f aca="false">IF(AND(Y564=0,ISNUMBER(AF564)),AA564*AF564,0)</f>
        <v>0</v>
      </c>
      <c r="BD564" s="90" t="n">
        <f aca="false">IF(AND(Y564=0,ISNUMBER(AF564)),AA564,0)</f>
        <v>0</v>
      </c>
      <c r="BE564" s="90" t="n">
        <f aca="false">IF(ISNUMBER(H564),AA564*H564,0)</f>
        <v>0</v>
      </c>
      <c r="BF564" s="90" t="n">
        <f aca="false">IF(ISNUMBER(H564),AA564,0)</f>
        <v>0</v>
      </c>
      <c r="BG564" s="90" t="n">
        <f aca="false">IF(AND(Y564=0,ISNUMBER(AF564),ISNUMBER(Z564)),AA564*Z564,0)</f>
        <v>0</v>
      </c>
      <c r="BH564" s="90" t="n">
        <f aca="false">IF(AND(Y564=0,ISNUMBER(AF564),ISNUMBER(Z564)),AA564*AT564*MAX(Z564-1,0),0)</f>
        <v>0</v>
      </c>
      <c r="BI564" s="90" t="n">
        <f aca="false">IF(Y564=0,AA564,0)</f>
        <v>0</v>
      </c>
    </row>
    <row r="565" customFormat="false" ht="15" hidden="false" customHeight="false" outlineLevel="0" collapsed="false">
      <c r="A565" s="83" t="str">
        <f aca="false">IFERROR(IF(INDEX(원자료_잔고!$A$1:$EZ$1500,설정!$L$5+ROW()-1,설정!$L$8)&amp;""="0","",INDEX(원자료_잔고!$A$1:$EZ$1500,설정!$L$5+ROW()-1,설정!$L$8)&amp;""),"")</f>
        <v/>
      </c>
      <c r="B565" s="83" t="str">
        <f aca="false">IFERROR(IF(INDEX(원자료_잔고!$A$1:$EZ$1500,설정!$L$5+ROW()-1,설정!$L$7)&amp;""="0","",INDEX(원자료_잔고!$A$1:$EZ$1500,설정!$L$5+ROW()-1,설정!$L$7)&amp;""),"")</f>
        <v/>
      </c>
      <c r="C565" s="83" t="str">
        <f aca="false">IFERROR(IF(INDEX(원자료_잔고!$A$1:$EZ$1500,설정!$L$5+ROW()-1,설정!$L$9)&amp;""="0","",INDEX(원자료_잔고!$A$1:$EZ$1500,설정!$L$5+ROW()-1,설정!$L$9)&amp;""),"")</f>
        <v/>
      </c>
      <c r="D565" s="83" t="str">
        <f aca="false">IFERROR(IF(INDEX(원자료_잔고!$A$1:$EZ$1500,설정!$L$5+ROW()-1,설정!$L$10)&amp;""="0","",INDEX(원자료_잔고!$A$1:$EZ$1500,설정!$L$5+ROW()-1,설정!$L$10)&amp;""),"")</f>
        <v/>
      </c>
      <c r="E565" s="84" t="str">
        <f aca="false">IFERROR(IF(ISNUMBER(INDEX(원자료_잔고!$A$1:$EZ$1500,설정!$L$5+ROW()-1,설정!$L$11)),INDEX(원자료_잔고!$A$1:$EZ$1500,설정!$L$5+ROW()-1,설정!$L$11),""),"")</f>
        <v/>
      </c>
      <c r="F565" s="85" t="str">
        <f aca="false">IFERROR(IF(ISNUMBER(INDEX(원자료_잔고!$A$1:$EZ$1500,설정!$L$5+ROW()-1,설정!$L$12)),INDEX(원자료_잔고!$A$1:$EZ$1500,설정!$L$5+ROW()-1,설정!$L$12),""),"")</f>
        <v/>
      </c>
      <c r="G565" s="85" t="str">
        <f aca="false">IFERROR(IF(ISNUMBER(INDEX(원자료_잔고!$A$1:$EZ$1500,설정!$L$5+ROW()-1,설정!$L$13)),INDEX(원자료_잔고!$A$1:$EZ$1500,설정!$L$5+ROW()-1,설정!$L$13),""),"")</f>
        <v/>
      </c>
      <c r="H565" s="85" t="str">
        <f aca="false">IFERROR(IF(ISNUMBER(INDEX(원자료_잔고!$A$1:$EZ$1500,설정!$L$5+ROW()-1,설정!$L$14)),INDEX(원자료_잔고!$A$1:$EZ$1500,설정!$L$5+ROW()-1,설정!$L$14),""),"")</f>
        <v/>
      </c>
      <c r="I565" s="86" t="str">
        <f aca="false">IFERROR(IF(ISNUMBER(INDEX(원자료_잔고!$A$1:$EZ$1500,설정!$L$5+ROW()-1,설정!$L$15)),INDEX(원자료_잔고!$A$1:$EZ$1500,설정!$L$5+ROW()-1,설정!$L$15),""),"")</f>
        <v/>
      </c>
      <c r="J565" s="85" t="str">
        <f aca="false">IFERROR(IF(ISNUMBER(INDEX(원자료_잔고!$A$1:$EZ$1500,설정!$L$5+ROW()-1,설정!$L$16)),INDEX(원자료_잔고!$A$1:$EZ$1500,설정!$L$5+ROW()-1,설정!$L$16),""),"")</f>
        <v/>
      </c>
      <c r="K565" s="87" t="str">
        <f aca="false">IFERROR(IF(ISNUMBER(INDEX(원자료_잔고!$A$1:$EZ$1500,설정!$L$5+ROW()-1,설정!$L$17)),INDEX(원자료_잔고!$A$1:$EZ$1500,설정!$L$5+ROW()-1,설정!$L$17),""),"")</f>
        <v/>
      </c>
      <c r="L565" s="84" t="str">
        <f aca="false">IFERROR(IF(ISNUMBER(INDEX(원자료_잔고!$A$1:$EZ$1500,설정!$L$5+ROW()-1,설정!$L$18)),INDEX(원자료_잔고!$A$1:$EZ$1500,설정!$L$5+ROW()-1,설정!$L$18),""),"")</f>
        <v/>
      </c>
      <c r="M565" s="88" t="str">
        <f aca="false">IFERROR(IF(ISNUMBER(INDEX(원자료_잔고!$A$1:$EZ$1500,설정!$L$5+ROW()-1,설정!$L$19)),INDEX(원자료_잔고!$A$1:$EZ$1500,설정!$L$5+ROW()-1,설정!$L$19),""),"")</f>
        <v/>
      </c>
      <c r="N565" s="83" t="str">
        <f aca="false">IFERROR(IF(INDEX(원자료_잔고!$A$1:$EZ$1500,설정!$L$5+ROW()-1,설정!$L$21)&amp;""="0","",INDEX(원자료_잔고!$A$1:$EZ$1500,설정!$L$5+ROW()-1,설정!$L$21)&amp;""),"")</f>
        <v/>
      </c>
      <c r="O565" s="83" t="str">
        <f aca="false">IFERROR(IF(INDEX(원자료_잔고!$A$1:$EZ$1500,설정!$L$5+ROW()-1,설정!$L$22)&amp;""="0","",INDEX(원자료_잔고!$A$1:$EZ$1500,설정!$L$5+ROW()-1,설정!$L$22)&amp;""),"")</f>
        <v/>
      </c>
      <c r="P565" s="83" t="str">
        <f aca="false">IFERROR(IF(INDEX(원자료_잔고!$A$1:$EZ$1500,설정!$L$5+ROW()-1,설정!$L$23)&amp;""="0","",INDEX(원자료_잔고!$A$1:$EZ$1500,설정!$L$5+ROW()-1,설정!$L$23)&amp;""),"")</f>
        <v/>
      </c>
      <c r="Q565" s="89" t="n">
        <f aca="false">IF(AND($A565&lt;&gt;"",ISNUMBER(E565)),IF(E565&gt;0,1,0),0)</f>
        <v>0</v>
      </c>
      <c r="R565" s="43" t="str">
        <f aca="false">IF(Q565=1,UPPER(LEFT($A565,FIND(" ",$A565&amp;" ")-1)),"")</f>
        <v/>
      </c>
      <c r="S565" s="89" t="n">
        <f aca="false">IF(Q565=1,IF(OR(ISNUMBER(SEARCH("Float",$A565)),ISNUMBER(SEARCH("FRN",$A565))),1,0),0)</f>
        <v>0</v>
      </c>
      <c r="T565" s="43" t="str">
        <f aca="false">IF(AND(Q565=1,ISNUMBER(I565)),TEXT(I565,"yyyymmdd")&amp;"|"&amp;IF(S565=1,"F",TEXT(J565,"0.000")),"")</f>
        <v/>
      </c>
      <c r="U565" s="90" t="str">
        <f aca="false">IF(AND(Q565=1,ISNUMBER(I565)),(I565-설정!$C$4)/365.25,"")</f>
        <v/>
      </c>
      <c r="V565" s="43" t="str">
        <f aca="false">IF(Q565&lt;&gt;1,"",IF(ISNUMBER(U565),IF(U565&lt;=1,"1년 이하",IF(U565&lt;=2,"1-2년",IF(U565&lt;=3,"2-3년",IF(U565&lt;=4,"3-4년",IF(U565&lt;=5,"4-5년",IF(U565&lt;=7,"5-7년",IF(U565&lt;=10,"7-10년",IF(U565&lt;=20,"10-20년","20년 이상")))))))),"미분류"))</f>
        <v/>
      </c>
      <c r="W565" s="43" t="str">
        <f aca="false">IF(Q565&lt;&gt;1,"",IF(AB565&lt;&gt;"",INDEX(시장분석!$C:$C,AB565),IF(K565=1,"USD","비USD")))</f>
        <v/>
      </c>
      <c r="X565" s="91" t="n">
        <f aca="false">IF(Q565=1,E565*K565/1000000,0)</f>
        <v>0</v>
      </c>
      <c r="Y565" s="89" t="n">
        <f aca="false">IF(R565="T",1,0)</f>
        <v>0</v>
      </c>
      <c r="Z565" s="92" t="str">
        <f aca="false">IF(Q565&lt;&gt;1,"",IF(AD565=1,IF(ISNUMBER(U565),MAX(U565,0),H565),H565))</f>
        <v/>
      </c>
      <c r="AA565" s="91" t="n">
        <f aca="false">IF(Q565=1,IF(ISNUMBER(L565),L565,0)*K565/1000000,0)</f>
        <v>0</v>
      </c>
      <c r="AB565" s="89" t="str">
        <f aca="false">IF(Q565&lt;&gt;1,"",IFERROR(MATCH(VLOOKUP(B565,매핑!$H$4:$I$15,2,0),시장분석!$A$2:$A$601,0)+1,IFERROR(MATCH(R565&amp;"|"&amp;T565,시장분석!$V$2:$V$601,0)+1,IF(COUNTIF(시장분석!$U$2:$U$601,T565)=1,MATCH(T565,시장분석!$U$2:$U$601,0)+1,""))))</f>
        <v/>
      </c>
      <c r="AC565" s="89" t="n">
        <f aca="false">IF(Q565&lt;&gt;1,0,IF(OR(설정!$C$5="전체",AND(설정!$C$5="선택펀드",IFERROR(COUNTIFS(설정!$F$16:$F$36,C565,설정!$G$16:$G$36,"Y")+COUNTIFS(설정!$F$16:$F$36,VALUE(C565),설정!$G$16:$G$36,"Y"),0)&gt;0),C565&amp;""=설정!$C$5&amp;""),1,0))</f>
        <v>0</v>
      </c>
      <c r="AD565" s="89" t="n">
        <f aca="false">IF(Q565&lt;&gt;1,0,IF(OR(S565=1,IF(AB565="",FALSE(),INDEX(시장분석!$R:$R,AB565)=1)),1,0))</f>
        <v>0</v>
      </c>
      <c r="AE565" s="43" t="str">
        <f aca="false">IF(AB565="","",INDEX(시장분석!$A:$A,AB565))</f>
        <v/>
      </c>
      <c r="AF565" s="93" t="str">
        <f aca="false">IF(AB565="","",IF(ISNUMBER(IF(AB565="","",INDEX(시장분석!$E:$E,AB565))),IF(AB565="","",INDEX(시장분석!$E:$E,AB565)),""))</f>
        <v/>
      </c>
      <c r="AG565" s="43" t="str">
        <f aca="false">IF(Q565&lt;&gt;1,"",IF(AB565&lt;&gt;"",IF(AB565="","",INDEX(시장분석!$L:$L,AB565)),IFERROR(IF(VLOOKUP(R565,매핑!$A$4:$E$92,5,0)="","미분류",VLOOKUP(R565,매핑!$A$4:$E$92,5,0)),"미분류")))</f>
        <v/>
      </c>
      <c r="AH565" s="43" t="str">
        <f aca="false">IF(Q565&lt;&gt;1,"",IF(AB565&lt;&gt;"",IF(AB565="","",INDEX(시장분석!$N:$N,AB565)),IFERROR(IF(VLOOKUP(R565,매핑!$A$4:$E$92,4,0)="","미분류",VLOOKUP(R565,매핑!$A$4:$E$92,4,0)),"미분류")))</f>
        <v/>
      </c>
      <c r="AI565" s="43" t="str">
        <f aca="false">IF(Q565&lt;&gt;1,"",IFERROR(IF(VLOOKUP(R565,매핑!$A$4:$E$92,3,0)="","미분류",VLOOKUP(R565,매핑!$A$4:$E$92,3,0)),IF(AB565&lt;&gt;"",IF(AB565="","",INDEX(시장분석!$W:$W,AB565)),"미분류")))</f>
        <v/>
      </c>
      <c r="AJ565" s="43" t="str">
        <f aca="false">IF(Q565&lt;&gt;1,"",IFERROR(VLOOKUP(IF(N565&lt;&gt;"",N565,IF(P565&lt;&gt;"",P565,O565)),설정!$A$15:$D$47,2,0),""))</f>
        <v/>
      </c>
      <c r="AK565" s="43" t="str">
        <f aca="false">IF(Q565&lt;&gt;1,"",IF(AJ565="","무등급",IFERROR(VLOOKUP(AJ565,설정!$A$15:$D$47,3,0),"무등급")))</f>
        <v/>
      </c>
      <c r="AL565" s="89" t="n">
        <f aca="false">IF(AJ565="",99,IFERROR(VLOOKUP(AJ565,설정!$A$15:$D$47,4,0),99))</f>
        <v>99</v>
      </c>
      <c r="AM565" s="94" t="n">
        <f aca="false">IF(ISNUMBER(H565),AA565*1000000*H565/10000,0)</f>
        <v>0</v>
      </c>
      <c r="AN565" s="94" t="n">
        <f aca="false">IF(OR(Y565=1,NOT(ISNUMBER(Z565))),0,AA565*1000000*Z565/10000)</f>
        <v>0</v>
      </c>
      <c r="AO565" s="94" t="n">
        <f aca="false">IF(ISNUMBER(G565),AA565*1000000*G565/100,0)</f>
        <v>0</v>
      </c>
      <c r="AP565" s="94" t="n">
        <f aca="false">IF(ISNUMBER(M565),M565*K565,0)</f>
        <v>0</v>
      </c>
      <c r="AQ565" s="95" t="str">
        <f aca="false">IF(AB565="","",INDEX(시장분석!$AK:$AK,AB565))</f>
        <v/>
      </c>
      <c r="AR565" s="43" t="str">
        <f aca="false">IF(AB565="","-",IF(AB565="","",INDEX(시장분석!$AL:$AL,AB565)))</f>
        <v>-</v>
      </c>
      <c r="AS565" s="96" t="str">
        <f aca="false">IF(AB565="","",INDEX(시장분석!$AJ:$AJ,AB565))</f>
        <v/>
      </c>
      <c r="AT565" s="93" t="n">
        <f aca="false">IF(AB565="",0,IF(AB565="","",INDEX(시장분석!$AN:$AN,AB565)))</f>
        <v>0</v>
      </c>
      <c r="AU565" s="94" t="n">
        <f aca="false">IF(ISNUMBER(Z565),AT565/10000*MAX(Z565-1,0)*AA565*1000000,0)</f>
        <v>0</v>
      </c>
      <c r="AV565" s="94" t="n">
        <f aca="false">AO565+AU565</f>
        <v>0</v>
      </c>
      <c r="AW565" s="43" t="str">
        <f aca="false">IF(Q565&lt;&gt;1,"",TRIM(IF(AD565=1,"FRN ","")&amp;IF(AND(AL565&gt;=10,AL565&lt;99),"BBB0미만 ","")&amp;IF(AJ565="","등급없음 ","")&amp;IF(K565&lt;&gt;1,"비USD ","")&amp;IF(AND(AB565="",Y565=0),"시장데이터없음 ","")&amp;IF(AND(ISNUMBER(U565),U565&lt;0),"만기경과 ","")))</f>
        <v/>
      </c>
      <c r="AX565" s="90" t="n">
        <f aca="false">IF(Q565&lt;&gt;1,1,IF(스프레드쇼크!$C$4="Y",INDEX(스프레드쇼크!$B$12:$L$16,IFERROR(MATCH(AH565,스프레드쇼크!$A$12:$A$16,0),MATCH("목록외",스프레드쇼크!$A$12:$A$16,0)),IFERROR(MATCH(AG565,스프레드쇼크!$B$11:$L$11,0),MATCH("목록외",스프레드쇼크!$B$11:$L$11,0))),1))</f>
        <v>1</v>
      </c>
      <c r="AY565" s="90" t="n">
        <f aca="false">IF(스프레드쇼크!$C$5="Y",IF(ISNUMBER(AF565),MIN(스프레드쇼크!$C$7,MAX(스프레드쇼크!$C$6,AF565/스프레드쇼크!$C$8)),1),1)</f>
        <v>1</v>
      </c>
      <c r="AZ565" s="94" t="n">
        <f aca="false">AN565*AX565*AY565</f>
        <v>0</v>
      </c>
      <c r="BA565" s="90" t="n">
        <f aca="false">IF(ISNUMBER(G565),AA565*G565,0)</f>
        <v>0</v>
      </c>
      <c r="BB565" s="90" t="n">
        <f aca="false">IF(ISNUMBER(G565),AA565,0)</f>
        <v>0</v>
      </c>
      <c r="BC565" s="90" t="n">
        <f aca="false">IF(AND(Y565=0,ISNUMBER(AF565)),AA565*AF565,0)</f>
        <v>0</v>
      </c>
      <c r="BD565" s="90" t="n">
        <f aca="false">IF(AND(Y565=0,ISNUMBER(AF565)),AA565,0)</f>
        <v>0</v>
      </c>
      <c r="BE565" s="90" t="n">
        <f aca="false">IF(ISNUMBER(H565),AA565*H565,0)</f>
        <v>0</v>
      </c>
      <c r="BF565" s="90" t="n">
        <f aca="false">IF(ISNUMBER(H565),AA565,0)</f>
        <v>0</v>
      </c>
      <c r="BG565" s="90" t="n">
        <f aca="false">IF(AND(Y565=0,ISNUMBER(AF565),ISNUMBER(Z565)),AA565*Z565,0)</f>
        <v>0</v>
      </c>
      <c r="BH565" s="90" t="n">
        <f aca="false">IF(AND(Y565=0,ISNUMBER(AF565),ISNUMBER(Z565)),AA565*AT565*MAX(Z565-1,0),0)</f>
        <v>0</v>
      </c>
      <c r="BI565" s="90" t="n">
        <f aca="false">IF(Y565=0,AA565,0)</f>
        <v>0</v>
      </c>
    </row>
    <row r="566" customFormat="false" ht="15" hidden="false" customHeight="false" outlineLevel="0" collapsed="false">
      <c r="A566" s="83" t="str">
        <f aca="false">IFERROR(IF(INDEX(원자료_잔고!$A$1:$EZ$1500,설정!$L$5+ROW()-1,설정!$L$8)&amp;""="0","",INDEX(원자료_잔고!$A$1:$EZ$1500,설정!$L$5+ROW()-1,설정!$L$8)&amp;""),"")</f>
        <v/>
      </c>
      <c r="B566" s="83" t="str">
        <f aca="false">IFERROR(IF(INDEX(원자료_잔고!$A$1:$EZ$1500,설정!$L$5+ROW()-1,설정!$L$7)&amp;""="0","",INDEX(원자료_잔고!$A$1:$EZ$1500,설정!$L$5+ROW()-1,설정!$L$7)&amp;""),"")</f>
        <v/>
      </c>
      <c r="C566" s="83" t="str">
        <f aca="false">IFERROR(IF(INDEX(원자료_잔고!$A$1:$EZ$1500,설정!$L$5+ROW()-1,설정!$L$9)&amp;""="0","",INDEX(원자료_잔고!$A$1:$EZ$1500,설정!$L$5+ROW()-1,설정!$L$9)&amp;""),"")</f>
        <v/>
      </c>
      <c r="D566" s="83" t="str">
        <f aca="false">IFERROR(IF(INDEX(원자료_잔고!$A$1:$EZ$1500,설정!$L$5+ROW()-1,설정!$L$10)&amp;""="0","",INDEX(원자료_잔고!$A$1:$EZ$1500,설정!$L$5+ROW()-1,설정!$L$10)&amp;""),"")</f>
        <v/>
      </c>
      <c r="E566" s="84" t="str">
        <f aca="false">IFERROR(IF(ISNUMBER(INDEX(원자료_잔고!$A$1:$EZ$1500,설정!$L$5+ROW()-1,설정!$L$11)),INDEX(원자료_잔고!$A$1:$EZ$1500,설정!$L$5+ROW()-1,설정!$L$11),""),"")</f>
        <v/>
      </c>
      <c r="F566" s="85" t="str">
        <f aca="false">IFERROR(IF(ISNUMBER(INDEX(원자료_잔고!$A$1:$EZ$1500,설정!$L$5+ROW()-1,설정!$L$12)),INDEX(원자료_잔고!$A$1:$EZ$1500,설정!$L$5+ROW()-1,설정!$L$12),""),"")</f>
        <v/>
      </c>
      <c r="G566" s="85" t="str">
        <f aca="false">IFERROR(IF(ISNUMBER(INDEX(원자료_잔고!$A$1:$EZ$1500,설정!$L$5+ROW()-1,설정!$L$13)),INDEX(원자료_잔고!$A$1:$EZ$1500,설정!$L$5+ROW()-1,설정!$L$13),""),"")</f>
        <v/>
      </c>
      <c r="H566" s="85" t="str">
        <f aca="false">IFERROR(IF(ISNUMBER(INDEX(원자료_잔고!$A$1:$EZ$1500,설정!$L$5+ROW()-1,설정!$L$14)),INDEX(원자료_잔고!$A$1:$EZ$1500,설정!$L$5+ROW()-1,설정!$L$14),""),"")</f>
        <v/>
      </c>
      <c r="I566" s="86" t="str">
        <f aca="false">IFERROR(IF(ISNUMBER(INDEX(원자료_잔고!$A$1:$EZ$1500,설정!$L$5+ROW()-1,설정!$L$15)),INDEX(원자료_잔고!$A$1:$EZ$1500,설정!$L$5+ROW()-1,설정!$L$15),""),"")</f>
        <v/>
      </c>
      <c r="J566" s="85" t="str">
        <f aca="false">IFERROR(IF(ISNUMBER(INDEX(원자료_잔고!$A$1:$EZ$1500,설정!$L$5+ROW()-1,설정!$L$16)),INDEX(원자료_잔고!$A$1:$EZ$1500,설정!$L$5+ROW()-1,설정!$L$16),""),"")</f>
        <v/>
      </c>
      <c r="K566" s="87" t="str">
        <f aca="false">IFERROR(IF(ISNUMBER(INDEX(원자료_잔고!$A$1:$EZ$1500,설정!$L$5+ROW()-1,설정!$L$17)),INDEX(원자료_잔고!$A$1:$EZ$1500,설정!$L$5+ROW()-1,설정!$L$17),""),"")</f>
        <v/>
      </c>
      <c r="L566" s="84" t="str">
        <f aca="false">IFERROR(IF(ISNUMBER(INDEX(원자료_잔고!$A$1:$EZ$1500,설정!$L$5+ROW()-1,설정!$L$18)),INDEX(원자료_잔고!$A$1:$EZ$1500,설정!$L$5+ROW()-1,설정!$L$18),""),"")</f>
        <v/>
      </c>
      <c r="M566" s="88" t="str">
        <f aca="false">IFERROR(IF(ISNUMBER(INDEX(원자료_잔고!$A$1:$EZ$1500,설정!$L$5+ROW()-1,설정!$L$19)),INDEX(원자료_잔고!$A$1:$EZ$1500,설정!$L$5+ROW()-1,설정!$L$19),""),"")</f>
        <v/>
      </c>
      <c r="N566" s="83" t="str">
        <f aca="false">IFERROR(IF(INDEX(원자료_잔고!$A$1:$EZ$1500,설정!$L$5+ROW()-1,설정!$L$21)&amp;""="0","",INDEX(원자료_잔고!$A$1:$EZ$1500,설정!$L$5+ROW()-1,설정!$L$21)&amp;""),"")</f>
        <v/>
      </c>
      <c r="O566" s="83" t="str">
        <f aca="false">IFERROR(IF(INDEX(원자료_잔고!$A$1:$EZ$1500,설정!$L$5+ROW()-1,설정!$L$22)&amp;""="0","",INDEX(원자료_잔고!$A$1:$EZ$1500,설정!$L$5+ROW()-1,설정!$L$22)&amp;""),"")</f>
        <v/>
      </c>
      <c r="P566" s="83" t="str">
        <f aca="false">IFERROR(IF(INDEX(원자료_잔고!$A$1:$EZ$1500,설정!$L$5+ROW()-1,설정!$L$23)&amp;""="0","",INDEX(원자료_잔고!$A$1:$EZ$1500,설정!$L$5+ROW()-1,설정!$L$23)&amp;""),"")</f>
        <v/>
      </c>
      <c r="Q566" s="89" t="n">
        <f aca="false">IF(AND($A566&lt;&gt;"",ISNUMBER(E566)),IF(E566&gt;0,1,0),0)</f>
        <v>0</v>
      </c>
      <c r="R566" s="43" t="str">
        <f aca="false">IF(Q566=1,UPPER(LEFT($A566,FIND(" ",$A566&amp;" ")-1)),"")</f>
        <v/>
      </c>
      <c r="S566" s="89" t="n">
        <f aca="false">IF(Q566=1,IF(OR(ISNUMBER(SEARCH("Float",$A566)),ISNUMBER(SEARCH("FRN",$A566))),1,0),0)</f>
        <v>0</v>
      </c>
      <c r="T566" s="43" t="str">
        <f aca="false">IF(AND(Q566=1,ISNUMBER(I566)),TEXT(I566,"yyyymmdd")&amp;"|"&amp;IF(S566=1,"F",TEXT(J566,"0.000")),"")</f>
        <v/>
      </c>
      <c r="U566" s="90" t="str">
        <f aca="false">IF(AND(Q566=1,ISNUMBER(I566)),(I566-설정!$C$4)/365.25,"")</f>
        <v/>
      </c>
      <c r="V566" s="43" t="str">
        <f aca="false">IF(Q566&lt;&gt;1,"",IF(ISNUMBER(U566),IF(U566&lt;=1,"1년 이하",IF(U566&lt;=2,"1-2년",IF(U566&lt;=3,"2-3년",IF(U566&lt;=4,"3-4년",IF(U566&lt;=5,"4-5년",IF(U566&lt;=7,"5-7년",IF(U566&lt;=10,"7-10년",IF(U566&lt;=20,"10-20년","20년 이상")))))))),"미분류"))</f>
        <v/>
      </c>
      <c r="W566" s="43" t="str">
        <f aca="false">IF(Q566&lt;&gt;1,"",IF(AB566&lt;&gt;"",INDEX(시장분석!$C:$C,AB566),IF(K566=1,"USD","비USD")))</f>
        <v/>
      </c>
      <c r="X566" s="91" t="n">
        <f aca="false">IF(Q566=1,E566*K566/1000000,0)</f>
        <v>0</v>
      </c>
      <c r="Y566" s="89" t="n">
        <f aca="false">IF(R566="T",1,0)</f>
        <v>0</v>
      </c>
      <c r="Z566" s="92" t="str">
        <f aca="false">IF(Q566&lt;&gt;1,"",IF(AD566=1,IF(ISNUMBER(U566),MAX(U566,0),H566),H566))</f>
        <v/>
      </c>
      <c r="AA566" s="91" t="n">
        <f aca="false">IF(Q566=1,IF(ISNUMBER(L566),L566,0)*K566/1000000,0)</f>
        <v>0</v>
      </c>
      <c r="AB566" s="89" t="str">
        <f aca="false">IF(Q566&lt;&gt;1,"",IFERROR(MATCH(VLOOKUP(B566,매핑!$H$4:$I$15,2,0),시장분석!$A$2:$A$601,0)+1,IFERROR(MATCH(R566&amp;"|"&amp;T566,시장분석!$V$2:$V$601,0)+1,IF(COUNTIF(시장분석!$U$2:$U$601,T566)=1,MATCH(T566,시장분석!$U$2:$U$601,0)+1,""))))</f>
        <v/>
      </c>
      <c r="AC566" s="89" t="n">
        <f aca="false">IF(Q566&lt;&gt;1,0,IF(OR(설정!$C$5="전체",AND(설정!$C$5="선택펀드",IFERROR(COUNTIFS(설정!$F$16:$F$36,C566,설정!$G$16:$G$36,"Y")+COUNTIFS(설정!$F$16:$F$36,VALUE(C566),설정!$G$16:$G$36,"Y"),0)&gt;0),C566&amp;""=설정!$C$5&amp;""),1,0))</f>
        <v>0</v>
      </c>
      <c r="AD566" s="89" t="n">
        <f aca="false">IF(Q566&lt;&gt;1,0,IF(OR(S566=1,IF(AB566="",FALSE(),INDEX(시장분석!$R:$R,AB566)=1)),1,0))</f>
        <v>0</v>
      </c>
      <c r="AE566" s="43" t="str">
        <f aca="false">IF(AB566="","",INDEX(시장분석!$A:$A,AB566))</f>
        <v/>
      </c>
      <c r="AF566" s="93" t="str">
        <f aca="false">IF(AB566="","",IF(ISNUMBER(IF(AB566="","",INDEX(시장분석!$E:$E,AB566))),IF(AB566="","",INDEX(시장분석!$E:$E,AB566)),""))</f>
        <v/>
      </c>
      <c r="AG566" s="43" t="str">
        <f aca="false">IF(Q566&lt;&gt;1,"",IF(AB566&lt;&gt;"",IF(AB566="","",INDEX(시장분석!$L:$L,AB566)),IFERROR(IF(VLOOKUP(R566,매핑!$A$4:$E$92,5,0)="","미분류",VLOOKUP(R566,매핑!$A$4:$E$92,5,0)),"미분류")))</f>
        <v/>
      </c>
      <c r="AH566" s="43" t="str">
        <f aca="false">IF(Q566&lt;&gt;1,"",IF(AB566&lt;&gt;"",IF(AB566="","",INDEX(시장분석!$N:$N,AB566)),IFERROR(IF(VLOOKUP(R566,매핑!$A$4:$E$92,4,0)="","미분류",VLOOKUP(R566,매핑!$A$4:$E$92,4,0)),"미분류")))</f>
        <v/>
      </c>
      <c r="AI566" s="43" t="str">
        <f aca="false">IF(Q566&lt;&gt;1,"",IFERROR(IF(VLOOKUP(R566,매핑!$A$4:$E$92,3,0)="","미분류",VLOOKUP(R566,매핑!$A$4:$E$92,3,0)),IF(AB566&lt;&gt;"",IF(AB566="","",INDEX(시장분석!$W:$W,AB566)),"미분류")))</f>
        <v/>
      </c>
      <c r="AJ566" s="43" t="str">
        <f aca="false">IF(Q566&lt;&gt;1,"",IFERROR(VLOOKUP(IF(N566&lt;&gt;"",N566,IF(P566&lt;&gt;"",P566,O566)),설정!$A$15:$D$47,2,0),""))</f>
        <v/>
      </c>
      <c r="AK566" s="43" t="str">
        <f aca="false">IF(Q566&lt;&gt;1,"",IF(AJ566="","무등급",IFERROR(VLOOKUP(AJ566,설정!$A$15:$D$47,3,0),"무등급")))</f>
        <v/>
      </c>
      <c r="AL566" s="89" t="n">
        <f aca="false">IF(AJ566="",99,IFERROR(VLOOKUP(AJ566,설정!$A$15:$D$47,4,0),99))</f>
        <v>99</v>
      </c>
      <c r="AM566" s="94" t="n">
        <f aca="false">IF(ISNUMBER(H566),AA566*1000000*H566/10000,0)</f>
        <v>0</v>
      </c>
      <c r="AN566" s="94" t="n">
        <f aca="false">IF(OR(Y566=1,NOT(ISNUMBER(Z566))),0,AA566*1000000*Z566/10000)</f>
        <v>0</v>
      </c>
      <c r="AO566" s="94" t="n">
        <f aca="false">IF(ISNUMBER(G566),AA566*1000000*G566/100,0)</f>
        <v>0</v>
      </c>
      <c r="AP566" s="94" t="n">
        <f aca="false">IF(ISNUMBER(M566),M566*K566,0)</f>
        <v>0</v>
      </c>
      <c r="AQ566" s="95" t="str">
        <f aca="false">IF(AB566="","",INDEX(시장분석!$AK:$AK,AB566))</f>
        <v/>
      </c>
      <c r="AR566" s="43" t="str">
        <f aca="false">IF(AB566="","-",IF(AB566="","",INDEX(시장분석!$AL:$AL,AB566)))</f>
        <v>-</v>
      </c>
      <c r="AS566" s="96" t="str">
        <f aca="false">IF(AB566="","",INDEX(시장분석!$AJ:$AJ,AB566))</f>
        <v/>
      </c>
      <c r="AT566" s="93" t="n">
        <f aca="false">IF(AB566="",0,IF(AB566="","",INDEX(시장분석!$AN:$AN,AB566)))</f>
        <v>0</v>
      </c>
      <c r="AU566" s="94" t="n">
        <f aca="false">IF(ISNUMBER(Z566),AT566/10000*MAX(Z566-1,0)*AA566*1000000,0)</f>
        <v>0</v>
      </c>
      <c r="AV566" s="94" t="n">
        <f aca="false">AO566+AU566</f>
        <v>0</v>
      </c>
      <c r="AW566" s="43" t="str">
        <f aca="false">IF(Q566&lt;&gt;1,"",TRIM(IF(AD566=1,"FRN ","")&amp;IF(AND(AL566&gt;=10,AL566&lt;99),"BBB0미만 ","")&amp;IF(AJ566="","등급없음 ","")&amp;IF(K566&lt;&gt;1,"비USD ","")&amp;IF(AND(AB566="",Y566=0),"시장데이터없음 ","")&amp;IF(AND(ISNUMBER(U566),U566&lt;0),"만기경과 ","")))</f>
        <v/>
      </c>
      <c r="AX566" s="90" t="n">
        <f aca="false">IF(Q566&lt;&gt;1,1,IF(스프레드쇼크!$C$4="Y",INDEX(스프레드쇼크!$B$12:$L$16,IFERROR(MATCH(AH566,스프레드쇼크!$A$12:$A$16,0),MATCH("목록외",스프레드쇼크!$A$12:$A$16,0)),IFERROR(MATCH(AG566,스프레드쇼크!$B$11:$L$11,0),MATCH("목록외",스프레드쇼크!$B$11:$L$11,0))),1))</f>
        <v>1</v>
      </c>
      <c r="AY566" s="90" t="n">
        <f aca="false">IF(스프레드쇼크!$C$5="Y",IF(ISNUMBER(AF566),MIN(스프레드쇼크!$C$7,MAX(스프레드쇼크!$C$6,AF566/스프레드쇼크!$C$8)),1),1)</f>
        <v>1</v>
      </c>
      <c r="AZ566" s="94" t="n">
        <f aca="false">AN566*AX566*AY566</f>
        <v>0</v>
      </c>
      <c r="BA566" s="90" t="n">
        <f aca="false">IF(ISNUMBER(G566),AA566*G566,0)</f>
        <v>0</v>
      </c>
      <c r="BB566" s="90" t="n">
        <f aca="false">IF(ISNUMBER(G566),AA566,0)</f>
        <v>0</v>
      </c>
      <c r="BC566" s="90" t="n">
        <f aca="false">IF(AND(Y566=0,ISNUMBER(AF566)),AA566*AF566,0)</f>
        <v>0</v>
      </c>
      <c r="BD566" s="90" t="n">
        <f aca="false">IF(AND(Y566=0,ISNUMBER(AF566)),AA566,0)</f>
        <v>0</v>
      </c>
      <c r="BE566" s="90" t="n">
        <f aca="false">IF(ISNUMBER(H566),AA566*H566,0)</f>
        <v>0</v>
      </c>
      <c r="BF566" s="90" t="n">
        <f aca="false">IF(ISNUMBER(H566),AA566,0)</f>
        <v>0</v>
      </c>
      <c r="BG566" s="90" t="n">
        <f aca="false">IF(AND(Y566=0,ISNUMBER(AF566),ISNUMBER(Z566)),AA566*Z566,0)</f>
        <v>0</v>
      </c>
      <c r="BH566" s="90" t="n">
        <f aca="false">IF(AND(Y566=0,ISNUMBER(AF566),ISNUMBER(Z566)),AA566*AT566*MAX(Z566-1,0),0)</f>
        <v>0</v>
      </c>
      <c r="BI566" s="90" t="n">
        <f aca="false">IF(Y566=0,AA566,0)</f>
        <v>0</v>
      </c>
    </row>
    <row r="567" customFormat="false" ht="15" hidden="false" customHeight="false" outlineLevel="0" collapsed="false">
      <c r="A567" s="83" t="str">
        <f aca="false">IFERROR(IF(INDEX(원자료_잔고!$A$1:$EZ$1500,설정!$L$5+ROW()-1,설정!$L$8)&amp;""="0","",INDEX(원자료_잔고!$A$1:$EZ$1500,설정!$L$5+ROW()-1,설정!$L$8)&amp;""),"")</f>
        <v/>
      </c>
      <c r="B567" s="83" t="str">
        <f aca="false">IFERROR(IF(INDEX(원자료_잔고!$A$1:$EZ$1500,설정!$L$5+ROW()-1,설정!$L$7)&amp;""="0","",INDEX(원자료_잔고!$A$1:$EZ$1500,설정!$L$5+ROW()-1,설정!$L$7)&amp;""),"")</f>
        <v/>
      </c>
      <c r="C567" s="83" t="str">
        <f aca="false">IFERROR(IF(INDEX(원자료_잔고!$A$1:$EZ$1500,설정!$L$5+ROW()-1,설정!$L$9)&amp;""="0","",INDEX(원자료_잔고!$A$1:$EZ$1500,설정!$L$5+ROW()-1,설정!$L$9)&amp;""),"")</f>
        <v/>
      </c>
      <c r="D567" s="83" t="str">
        <f aca="false">IFERROR(IF(INDEX(원자료_잔고!$A$1:$EZ$1500,설정!$L$5+ROW()-1,설정!$L$10)&amp;""="0","",INDEX(원자료_잔고!$A$1:$EZ$1500,설정!$L$5+ROW()-1,설정!$L$10)&amp;""),"")</f>
        <v/>
      </c>
      <c r="E567" s="84" t="str">
        <f aca="false">IFERROR(IF(ISNUMBER(INDEX(원자료_잔고!$A$1:$EZ$1500,설정!$L$5+ROW()-1,설정!$L$11)),INDEX(원자료_잔고!$A$1:$EZ$1500,설정!$L$5+ROW()-1,설정!$L$11),""),"")</f>
        <v/>
      </c>
      <c r="F567" s="85" t="str">
        <f aca="false">IFERROR(IF(ISNUMBER(INDEX(원자료_잔고!$A$1:$EZ$1500,설정!$L$5+ROW()-1,설정!$L$12)),INDEX(원자료_잔고!$A$1:$EZ$1500,설정!$L$5+ROW()-1,설정!$L$12),""),"")</f>
        <v/>
      </c>
      <c r="G567" s="85" t="str">
        <f aca="false">IFERROR(IF(ISNUMBER(INDEX(원자료_잔고!$A$1:$EZ$1500,설정!$L$5+ROW()-1,설정!$L$13)),INDEX(원자료_잔고!$A$1:$EZ$1500,설정!$L$5+ROW()-1,설정!$L$13),""),"")</f>
        <v/>
      </c>
      <c r="H567" s="85" t="str">
        <f aca="false">IFERROR(IF(ISNUMBER(INDEX(원자료_잔고!$A$1:$EZ$1500,설정!$L$5+ROW()-1,설정!$L$14)),INDEX(원자료_잔고!$A$1:$EZ$1500,설정!$L$5+ROW()-1,설정!$L$14),""),"")</f>
        <v/>
      </c>
      <c r="I567" s="86" t="str">
        <f aca="false">IFERROR(IF(ISNUMBER(INDEX(원자료_잔고!$A$1:$EZ$1500,설정!$L$5+ROW()-1,설정!$L$15)),INDEX(원자료_잔고!$A$1:$EZ$1500,설정!$L$5+ROW()-1,설정!$L$15),""),"")</f>
        <v/>
      </c>
      <c r="J567" s="85" t="str">
        <f aca="false">IFERROR(IF(ISNUMBER(INDEX(원자료_잔고!$A$1:$EZ$1500,설정!$L$5+ROW()-1,설정!$L$16)),INDEX(원자료_잔고!$A$1:$EZ$1500,설정!$L$5+ROW()-1,설정!$L$16),""),"")</f>
        <v/>
      </c>
      <c r="K567" s="87" t="str">
        <f aca="false">IFERROR(IF(ISNUMBER(INDEX(원자료_잔고!$A$1:$EZ$1500,설정!$L$5+ROW()-1,설정!$L$17)),INDEX(원자료_잔고!$A$1:$EZ$1500,설정!$L$5+ROW()-1,설정!$L$17),""),"")</f>
        <v/>
      </c>
      <c r="L567" s="84" t="str">
        <f aca="false">IFERROR(IF(ISNUMBER(INDEX(원자료_잔고!$A$1:$EZ$1500,설정!$L$5+ROW()-1,설정!$L$18)),INDEX(원자료_잔고!$A$1:$EZ$1500,설정!$L$5+ROW()-1,설정!$L$18),""),"")</f>
        <v/>
      </c>
      <c r="M567" s="88" t="str">
        <f aca="false">IFERROR(IF(ISNUMBER(INDEX(원자료_잔고!$A$1:$EZ$1500,설정!$L$5+ROW()-1,설정!$L$19)),INDEX(원자료_잔고!$A$1:$EZ$1500,설정!$L$5+ROW()-1,설정!$L$19),""),"")</f>
        <v/>
      </c>
      <c r="N567" s="83" t="str">
        <f aca="false">IFERROR(IF(INDEX(원자료_잔고!$A$1:$EZ$1500,설정!$L$5+ROW()-1,설정!$L$21)&amp;""="0","",INDEX(원자료_잔고!$A$1:$EZ$1500,설정!$L$5+ROW()-1,설정!$L$21)&amp;""),"")</f>
        <v/>
      </c>
      <c r="O567" s="83" t="str">
        <f aca="false">IFERROR(IF(INDEX(원자료_잔고!$A$1:$EZ$1500,설정!$L$5+ROW()-1,설정!$L$22)&amp;""="0","",INDEX(원자료_잔고!$A$1:$EZ$1500,설정!$L$5+ROW()-1,설정!$L$22)&amp;""),"")</f>
        <v/>
      </c>
      <c r="P567" s="83" t="str">
        <f aca="false">IFERROR(IF(INDEX(원자료_잔고!$A$1:$EZ$1500,설정!$L$5+ROW()-1,설정!$L$23)&amp;""="0","",INDEX(원자료_잔고!$A$1:$EZ$1500,설정!$L$5+ROW()-1,설정!$L$23)&amp;""),"")</f>
        <v/>
      </c>
      <c r="Q567" s="89" t="n">
        <f aca="false">IF(AND($A567&lt;&gt;"",ISNUMBER(E567)),IF(E567&gt;0,1,0),0)</f>
        <v>0</v>
      </c>
      <c r="R567" s="43" t="str">
        <f aca="false">IF(Q567=1,UPPER(LEFT($A567,FIND(" ",$A567&amp;" ")-1)),"")</f>
        <v/>
      </c>
      <c r="S567" s="89" t="n">
        <f aca="false">IF(Q567=1,IF(OR(ISNUMBER(SEARCH("Float",$A567)),ISNUMBER(SEARCH("FRN",$A567))),1,0),0)</f>
        <v>0</v>
      </c>
      <c r="T567" s="43" t="str">
        <f aca="false">IF(AND(Q567=1,ISNUMBER(I567)),TEXT(I567,"yyyymmdd")&amp;"|"&amp;IF(S567=1,"F",TEXT(J567,"0.000")),"")</f>
        <v/>
      </c>
      <c r="U567" s="90" t="str">
        <f aca="false">IF(AND(Q567=1,ISNUMBER(I567)),(I567-설정!$C$4)/365.25,"")</f>
        <v/>
      </c>
      <c r="V567" s="43" t="str">
        <f aca="false">IF(Q567&lt;&gt;1,"",IF(ISNUMBER(U567),IF(U567&lt;=1,"1년 이하",IF(U567&lt;=2,"1-2년",IF(U567&lt;=3,"2-3년",IF(U567&lt;=4,"3-4년",IF(U567&lt;=5,"4-5년",IF(U567&lt;=7,"5-7년",IF(U567&lt;=10,"7-10년",IF(U567&lt;=20,"10-20년","20년 이상")))))))),"미분류"))</f>
        <v/>
      </c>
      <c r="W567" s="43" t="str">
        <f aca="false">IF(Q567&lt;&gt;1,"",IF(AB567&lt;&gt;"",INDEX(시장분석!$C:$C,AB567),IF(K567=1,"USD","비USD")))</f>
        <v/>
      </c>
      <c r="X567" s="91" t="n">
        <f aca="false">IF(Q567=1,E567*K567/1000000,0)</f>
        <v>0</v>
      </c>
      <c r="Y567" s="89" t="n">
        <f aca="false">IF(R567="T",1,0)</f>
        <v>0</v>
      </c>
      <c r="Z567" s="92" t="str">
        <f aca="false">IF(Q567&lt;&gt;1,"",IF(AD567=1,IF(ISNUMBER(U567),MAX(U567,0),H567),H567))</f>
        <v/>
      </c>
      <c r="AA567" s="91" t="n">
        <f aca="false">IF(Q567=1,IF(ISNUMBER(L567),L567,0)*K567/1000000,0)</f>
        <v>0</v>
      </c>
      <c r="AB567" s="89" t="str">
        <f aca="false">IF(Q567&lt;&gt;1,"",IFERROR(MATCH(VLOOKUP(B567,매핑!$H$4:$I$15,2,0),시장분석!$A$2:$A$601,0)+1,IFERROR(MATCH(R567&amp;"|"&amp;T567,시장분석!$V$2:$V$601,0)+1,IF(COUNTIF(시장분석!$U$2:$U$601,T567)=1,MATCH(T567,시장분석!$U$2:$U$601,0)+1,""))))</f>
        <v/>
      </c>
      <c r="AC567" s="89" t="n">
        <f aca="false">IF(Q567&lt;&gt;1,0,IF(OR(설정!$C$5="전체",AND(설정!$C$5="선택펀드",IFERROR(COUNTIFS(설정!$F$16:$F$36,C567,설정!$G$16:$G$36,"Y")+COUNTIFS(설정!$F$16:$F$36,VALUE(C567),설정!$G$16:$G$36,"Y"),0)&gt;0),C567&amp;""=설정!$C$5&amp;""),1,0))</f>
        <v>0</v>
      </c>
      <c r="AD567" s="89" t="n">
        <f aca="false">IF(Q567&lt;&gt;1,0,IF(OR(S567=1,IF(AB567="",FALSE(),INDEX(시장분석!$R:$R,AB567)=1)),1,0))</f>
        <v>0</v>
      </c>
      <c r="AE567" s="43" t="str">
        <f aca="false">IF(AB567="","",INDEX(시장분석!$A:$A,AB567))</f>
        <v/>
      </c>
      <c r="AF567" s="93" t="str">
        <f aca="false">IF(AB567="","",IF(ISNUMBER(IF(AB567="","",INDEX(시장분석!$E:$E,AB567))),IF(AB567="","",INDEX(시장분석!$E:$E,AB567)),""))</f>
        <v/>
      </c>
      <c r="AG567" s="43" t="str">
        <f aca="false">IF(Q567&lt;&gt;1,"",IF(AB567&lt;&gt;"",IF(AB567="","",INDEX(시장분석!$L:$L,AB567)),IFERROR(IF(VLOOKUP(R567,매핑!$A$4:$E$92,5,0)="","미분류",VLOOKUP(R567,매핑!$A$4:$E$92,5,0)),"미분류")))</f>
        <v/>
      </c>
      <c r="AH567" s="43" t="str">
        <f aca="false">IF(Q567&lt;&gt;1,"",IF(AB567&lt;&gt;"",IF(AB567="","",INDEX(시장분석!$N:$N,AB567)),IFERROR(IF(VLOOKUP(R567,매핑!$A$4:$E$92,4,0)="","미분류",VLOOKUP(R567,매핑!$A$4:$E$92,4,0)),"미분류")))</f>
        <v/>
      </c>
      <c r="AI567" s="43" t="str">
        <f aca="false">IF(Q567&lt;&gt;1,"",IFERROR(IF(VLOOKUP(R567,매핑!$A$4:$E$92,3,0)="","미분류",VLOOKUP(R567,매핑!$A$4:$E$92,3,0)),IF(AB567&lt;&gt;"",IF(AB567="","",INDEX(시장분석!$W:$W,AB567)),"미분류")))</f>
        <v/>
      </c>
      <c r="AJ567" s="43" t="str">
        <f aca="false">IF(Q567&lt;&gt;1,"",IFERROR(VLOOKUP(IF(N567&lt;&gt;"",N567,IF(P567&lt;&gt;"",P567,O567)),설정!$A$15:$D$47,2,0),""))</f>
        <v/>
      </c>
      <c r="AK567" s="43" t="str">
        <f aca="false">IF(Q567&lt;&gt;1,"",IF(AJ567="","무등급",IFERROR(VLOOKUP(AJ567,설정!$A$15:$D$47,3,0),"무등급")))</f>
        <v/>
      </c>
      <c r="AL567" s="89" t="n">
        <f aca="false">IF(AJ567="",99,IFERROR(VLOOKUP(AJ567,설정!$A$15:$D$47,4,0),99))</f>
        <v>99</v>
      </c>
      <c r="AM567" s="94" t="n">
        <f aca="false">IF(ISNUMBER(H567),AA567*1000000*H567/10000,0)</f>
        <v>0</v>
      </c>
      <c r="AN567" s="94" t="n">
        <f aca="false">IF(OR(Y567=1,NOT(ISNUMBER(Z567))),0,AA567*1000000*Z567/10000)</f>
        <v>0</v>
      </c>
      <c r="AO567" s="94" t="n">
        <f aca="false">IF(ISNUMBER(G567),AA567*1000000*G567/100,0)</f>
        <v>0</v>
      </c>
      <c r="AP567" s="94" t="n">
        <f aca="false">IF(ISNUMBER(M567),M567*K567,0)</f>
        <v>0</v>
      </c>
      <c r="AQ567" s="95" t="str">
        <f aca="false">IF(AB567="","",INDEX(시장분석!$AK:$AK,AB567))</f>
        <v/>
      </c>
      <c r="AR567" s="43" t="str">
        <f aca="false">IF(AB567="","-",IF(AB567="","",INDEX(시장분석!$AL:$AL,AB567)))</f>
        <v>-</v>
      </c>
      <c r="AS567" s="96" t="str">
        <f aca="false">IF(AB567="","",INDEX(시장분석!$AJ:$AJ,AB567))</f>
        <v/>
      </c>
      <c r="AT567" s="93" t="n">
        <f aca="false">IF(AB567="",0,IF(AB567="","",INDEX(시장분석!$AN:$AN,AB567)))</f>
        <v>0</v>
      </c>
      <c r="AU567" s="94" t="n">
        <f aca="false">IF(ISNUMBER(Z567),AT567/10000*MAX(Z567-1,0)*AA567*1000000,0)</f>
        <v>0</v>
      </c>
      <c r="AV567" s="94" t="n">
        <f aca="false">AO567+AU567</f>
        <v>0</v>
      </c>
      <c r="AW567" s="43" t="str">
        <f aca="false">IF(Q567&lt;&gt;1,"",TRIM(IF(AD567=1,"FRN ","")&amp;IF(AND(AL567&gt;=10,AL567&lt;99),"BBB0미만 ","")&amp;IF(AJ567="","등급없음 ","")&amp;IF(K567&lt;&gt;1,"비USD ","")&amp;IF(AND(AB567="",Y567=0),"시장데이터없음 ","")&amp;IF(AND(ISNUMBER(U567),U567&lt;0),"만기경과 ","")))</f>
        <v/>
      </c>
      <c r="AX567" s="90" t="n">
        <f aca="false">IF(Q567&lt;&gt;1,1,IF(스프레드쇼크!$C$4="Y",INDEX(스프레드쇼크!$B$12:$L$16,IFERROR(MATCH(AH567,스프레드쇼크!$A$12:$A$16,0),MATCH("목록외",스프레드쇼크!$A$12:$A$16,0)),IFERROR(MATCH(AG567,스프레드쇼크!$B$11:$L$11,0),MATCH("목록외",스프레드쇼크!$B$11:$L$11,0))),1))</f>
        <v>1</v>
      </c>
      <c r="AY567" s="90" t="n">
        <f aca="false">IF(스프레드쇼크!$C$5="Y",IF(ISNUMBER(AF567),MIN(스프레드쇼크!$C$7,MAX(스프레드쇼크!$C$6,AF567/스프레드쇼크!$C$8)),1),1)</f>
        <v>1</v>
      </c>
      <c r="AZ567" s="94" t="n">
        <f aca="false">AN567*AX567*AY567</f>
        <v>0</v>
      </c>
      <c r="BA567" s="90" t="n">
        <f aca="false">IF(ISNUMBER(G567),AA567*G567,0)</f>
        <v>0</v>
      </c>
      <c r="BB567" s="90" t="n">
        <f aca="false">IF(ISNUMBER(G567),AA567,0)</f>
        <v>0</v>
      </c>
      <c r="BC567" s="90" t="n">
        <f aca="false">IF(AND(Y567=0,ISNUMBER(AF567)),AA567*AF567,0)</f>
        <v>0</v>
      </c>
      <c r="BD567" s="90" t="n">
        <f aca="false">IF(AND(Y567=0,ISNUMBER(AF567)),AA567,0)</f>
        <v>0</v>
      </c>
      <c r="BE567" s="90" t="n">
        <f aca="false">IF(ISNUMBER(H567),AA567*H567,0)</f>
        <v>0</v>
      </c>
      <c r="BF567" s="90" t="n">
        <f aca="false">IF(ISNUMBER(H567),AA567,0)</f>
        <v>0</v>
      </c>
      <c r="BG567" s="90" t="n">
        <f aca="false">IF(AND(Y567=0,ISNUMBER(AF567),ISNUMBER(Z567)),AA567*Z567,0)</f>
        <v>0</v>
      </c>
      <c r="BH567" s="90" t="n">
        <f aca="false">IF(AND(Y567=0,ISNUMBER(AF567),ISNUMBER(Z567)),AA567*AT567*MAX(Z567-1,0),0)</f>
        <v>0</v>
      </c>
      <c r="BI567" s="90" t="n">
        <f aca="false">IF(Y567=0,AA567,0)</f>
        <v>0</v>
      </c>
    </row>
    <row r="568" customFormat="false" ht="15" hidden="false" customHeight="false" outlineLevel="0" collapsed="false">
      <c r="A568" s="83" t="str">
        <f aca="false">IFERROR(IF(INDEX(원자료_잔고!$A$1:$EZ$1500,설정!$L$5+ROW()-1,설정!$L$8)&amp;""="0","",INDEX(원자료_잔고!$A$1:$EZ$1500,설정!$L$5+ROW()-1,설정!$L$8)&amp;""),"")</f>
        <v/>
      </c>
      <c r="B568" s="83" t="str">
        <f aca="false">IFERROR(IF(INDEX(원자료_잔고!$A$1:$EZ$1500,설정!$L$5+ROW()-1,설정!$L$7)&amp;""="0","",INDEX(원자료_잔고!$A$1:$EZ$1500,설정!$L$5+ROW()-1,설정!$L$7)&amp;""),"")</f>
        <v/>
      </c>
      <c r="C568" s="83" t="str">
        <f aca="false">IFERROR(IF(INDEX(원자료_잔고!$A$1:$EZ$1500,설정!$L$5+ROW()-1,설정!$L$9)&amp;""="0","",INDEX(원자료_잔고!$A$1:$EZ$1500,설정!$L$5+ROW()-1,설정!$L$9)&amp;""),"")</f>
        <v/>
      </c>
      <c r="D568" s="83" t="str">
        <f aca="false">IFERROR(IF(INDEX(원자료_잔고!$A$1:$EZ$1500,설정!$L$5+ROW()-1,설정!$L$10)&amp;""="0","",INDEX(원자료_잔고!$A$1:$EZ$1500,설정!$L$5+ROW()-1,설정!$L$10)&amp;""),"")</f>
        <v/>
      </c>
      <c r="E568" s="84" t="str">
        <f aca="false">IFERROR(IF(ISNUMBER(INDEX(원자료_잔고!$A$1:$EZ$1500,설정!$L$5+ROW()-1,설정!$L$11)),INDEX(원자료_잔고!$A$1:$EZ$1500,설정!$L$5+ROW()-1,설정!$L$11),""),"")</f>
        <v/>
      </c>
      <c r="F568" s="85" t="str">
        <f aca="false">IFERROR(IF(ISNUMBER(INDEX(원자료_잔고!$A$1:$EZ$1500,설정!$L$5+ROW()-1,설정!$L$12)),INDEX(원자료_잔고!$A$1:$EZ$1500,설정!$L$5+ROW()-1,설정!$L$12),""),"")</f>
        <v/>
      </c>
      <c r="G568" s="85" t="str">
        <f aca="false">IFERROR(IF(ISNUMBER(INDEX(원자료_잔고!$A$1:$EZ$1500,설정!$L$5+ROW()-1,설정!$L$13)),INDEX(원자료_잔고!$A$1:$EZ$1500,설정!$L$5+ROW()-1,설정!$L$13),""),"")</f>
        <v/>
      </c>
      <c r="H568" s="85" t="str">
        <f aca="false">IFERROR(IF(ISNUMBER(INDEX(원자료_잔고!$A$1:$EZ$1500,설정!$L$5+ROW()-1,설정!$L$14)),INDEX(원자료_잔고!$A$1:$EZ$1500,설정!$L$5+ROW()-1,설정!$L$14),""),"")</f>
        <v/>
      </c>
      <c r="I568" s="86" t="str">
        <f aca="false">IFERROR(IF(ISNUMBER(INDEX(원자료_잔고!$A$1:$EZ$1500,설정!$L$5+ROW()-1,설정!$L$15)),INDEX(원자료_잔고!$A$1:$EZ$1500,설정!$L$5+ROW()-1,설정!$L$15),""),"")</f>
        <v/>
      </c>
      <c r="J568" s="85" t="str">
        <f aca="false">IFERROR(IF(ISNUMBER(INDEX(원자료_잔고!$A$1:$EZ$1500,설정!$L$5+ROW()-1,설정!$L$16)),INDEX(원자료_잔고!$A$1:$EZ$1500,설정!$L$5+ROW()-1,설정!$L$16),""),"")</f>
        <v/>
      </c>
      <c r="K568" s="87" t="str">
        <f aca="false">IFERROR(IF(ISNUMBER(INDEX(원자료_잔고!$A$1:$EZ$1500,설정!$L$5+ROW()-1,설정!$L$17)),INDEX(원자료_잔고!$A$1:$EZ$1500,설정!$L$5+ROW()-1,설정!$L$17),""),"")</f>
        <v/>
      </c>
      <c r="L568" s="84" t="str">
        <f aca="false">IFERROR(IF(ISNUMBER(INDEX(원자료_잔고!$A$1:$EZ$1500,설정!$L$5+ROW()-1,설정!$L$18)),INDEX(원자료_잔고!$A$1:$EZ$1500,설정!$L$5+ROW()-1,설정!$L$18),""),"")</f>
        <v/>
      </c>
      <c r="M568" s="88" t="str">
        <f aca="false">IFERROR(IF(ISNUMBER(INDEX(원자료_잔고!$A$1:$EZ$1500,설정!$L$5+ROW()-1,설정!$L$19)),INDEX(원자료_잔고!$A$1:$EZ$1500,설정!$L$5+ROW()-1,설정!$L$19),""),"")</f>
        <v/>
      </c>
      <c r="N568" s="83" t="str">
        <f aca="false">IFERROR(IF(INDEX(원자료_잔고!$A$1:$EZ$1500,설정!$L$5+ROW()-1,설정!$L$21)&amp;""="0","",INDEX(원자료_잔고!$A$1:$EZ$1500,설정!$L$5+ROW()-1,설정!$L$21)&amp;""),"")</f>
        <v/>
      </c>
      <c r="O568" s="83" t="str">
        <f aca="false">IFERROR(IF(INDEX(원자료_잔고!$A$1:$EZ$1500,설정!$L$5+ROW()-1,설정!$L$22)&amp;""="0","",INDEX(원자료_잔고!$A$1:$EZ$1500,설정!$L$5+ROW()-1,설정!$L$22)&amp;""),"")</f>
        <v/>
      </c>
      <c r="P568" s="83" t="str">
        <f aca="false">IFERROR(IF(INDEX(원자료_잔고!$A$1:$EZ$1500,설정!$L$5+ROW()-1,설정!$L$23)&amp;""="0","",INDEX(원자료_잔고!$A$1:$EZ$1500,설정!$L$5+ROW()-1,설정!$L$23)&amp;""),"")</f>
        <v/>
      </c>
      <c r="Q568" s="89" t="n">
        <f aca="false">IF(AND($A568&lt;&gt;"",ISNUMBER(E568)),IF(E568&gt;0,1,0),0)</f>
        <v>0</v>
      </c>
      <c r="R568" s="43" t="str">
        <f aca="false">IF(Q568=1,UPPER(LEFT($A568,FIND(" ",$A568&amp;" ")-1)),"")</f>
        <v/>
      </c>
      <c r="S568" s="89" t="n">
        <f aca="false">IF(Q568=1,IF(OR(ISNUMBER(SEARCH("Float",$A568)),ISNUMBER(SEARCH("FRN",$A568))),1,0),0)</f>
        <v>0</v>
      </c>
      <c r="T568" s="43" t="str">
        <f aca="false">IF(AND(Q568=1,ISNUMBER(I568)),TEXT(I568,"yyyymmdd")&amp;"|"&amp;IF(S568=1,"F",TEXT(J568,"0.000")),"")</f>
        <v/>
      </c>
      <c r="U568" s="90" t="str">
        <f aca="false">IF(AND(Q568=1,ISNUMBER(I568)),(I568-설정!$C$4)/365.25,"")</f>
        <v/>
      </c>
      <c r="V568" s="43" t="str">
        <f aca="false">IF(Q568&lt;&gt;1,"",IF(ISNUMBER(U568),IF(U568&lt;=1,"1년 이하",IF(U568&lt;=2,"1-2년",IF(U568&lt;=3,"2-3년",IF(U568&lt;=4,"3-4년",IF(U568&lt;=5,"4-5년",IF(U568&lt;=7,"5-7년",IF(U568&lt;=10,"7-10년",IF(U568&lt;=20,"10-20년","20년 이상")))))))),"미분류"))</f>
        <v/>
      </c>
      <c r="W568" s="43" t="str">
        <f aca="false">IF(Q568&lt;&gt;1,"",IF(AB568&lt;&gt;"",INDEX(시장분석!$C:$C,AB568),IF(K568=1,"USD","비USD")))</f>
        <v/>
      </c>
      <c r="X568" s="91" t="n">
        <f aca="false">IF(Q568=1,E568*K568/1000000,0)</f>
        <v>0</v>
      </c>
      <c r="Y568" s="89" t="n">
        <f aca="false">IF(R568="T",1,0)</f>
        <v>0</v>
      </c>
      <c r="Z568" s="92" t="str">
        <f aca="false">IF(Q568&lt;&gt;1,"",IF(AD568=1,IF(ISNUMBER(U568),MAX(U568,0),H568),H568))</f>
        <v/>
      </c>
      <c r="AA568" s="91" t="n">
        <f aca="false">IF(Q568=1,IF(ISNUMBER(L568),L568,0)*K568/1000000,0)</f>
        <v>0</v>
      </c>
      <c r="AB568" s="89" t="str">
        <f aca="false">IF(Q568&lt;&gt;1,"",IFERROR(MATCH(VLOOKUP(B568,매핑!$H$4:$I$15,2,0),시장분석!$A$2:$A$601,0)+1,IFERROR(MATCH(R568&amp;"|"&amp;T568,시장분석!$V$2:$V$601,0)+1,IF(COUNTIF(시장분석!$U$2:$U$601,T568)=1,MATCH(T568,시장분석!$U$2:$U$601,0)+1,""))))</f>
        <v/>
      </c>
      <c r="AC568" s="89" t="n">
        <f aca="false">IF(Q568&lt;&gt;1,0,IF(OR(설정!$C$5="전체",AND(설정!$C$5="선택펀드",IFERROR(COUNTIFS(설정!$F$16:$F$36,C568,설정!$G$16:$G$36,"Y")+COUNTIFS(설정!$F$16:$F$36,VALUE(C568),설정!$G$16:$G$36,"Y"),0)&gt;0),C568&amp;""=설정!$C$5&amp;""),1,0))</f>
        <v>0</v>
      </c>
      <c r="AD568" s="89" t="n">
        <f aca="false">IF(Q568&lt;&gt;1,0,IF(OR(S568=1,IF(AB568="",FALSE(),INDEX(시장분석!$R:$R,AB568)=1)),1,0))</f>
        <v>0</v>
      </c>
      <c r="AE568" s="43" t="str">
        <f aca="false">IF(AB568="","",INDEX(시장분석!$A:$A,AB568))</f>
        <v/>
      </c>
      <c r="AF568" s="93" t="str">
        <f aca="false">IF(AB568="","",IF(ISNUMBER(IF(AB568="","",INDEX(시장분석!$E:$E,AB568))),IF(AB568="","",INDEX(시장분석!$E:$E,AB568)),""))</f>
        <v/>
      </c>
      <c r="AG568" s="43" t="str">
        <f aca="false">IF(Q568&lt;&gt;1,"",IF(AB568&lt;&gt;"",IF(AB568="","",INDEX(시장분석!$L:$L,AB568)),IFERROR(IF(VLOOKUP(R568,매핑!$A$4:$E$92,5,0)="","미분류",VLOOKUP(R568,매핑!$A$4:$E$92,5,0)),"미분류")))</f>
        <v/>
      </c>
      <c r="AH568" s="43" t="str">
        <f aca="false">IF(Q568&lt;&gt;1,"",IF(AB568&lt;&gt;"",IF(AB568="","",INDEX(시장분석!$N:$N,AB568)),IFERROR(IF(VLOOKUP(R568,매핑!$A$4:$E$92,4,0)="","미분류",VLOOKUP(R568,매핑!$A$4:$E$92,4,0)),"미분류")))</f>
        <v/>
      </c>
      <c r="AI568" s="43" t="str">
        <f aca="false">IF(Q568&lt;&gt;1,"",IFERROR(IF(VLOOKUP(R568,매핑!$A$4:$E$92,3,0)="","미분류",VLOOKUP(R568,매핑!$A$4:$E$92,3,0)),IF(AB568&lt;&gt;"",IF(AB568="","",INDEX(시장분석!$W:$W,AB568)),"미분류")))</f>
        <v/>
      </c>
      <c r="AJ568" s="43" t="str">
        <f aca="false">IF(Q568&lt;&gt;1,"",IFERROR(VLOOKUP(IF(N568&lt;&gt;"",N568,IF(P568&lt;&gt;"",P568,O568)),설정!$A$15:$D$47,2,0),""))</f>
        <v/>
      </c>
      <c r="AK568" s="43" t="str">
        <f aca="false">IF(Q568&lt;&gt;1,"",IF(AJ568="","무등급",IFERROR(VLOOKUP(AJ568,설정!$A$15:$D$47,3,0),"무등급")))</f>
        <v/>
      </c>
      <c r="AL568" s="89" t="n">
        <f aca="false">IF(AJ568="",99,IFERROR(VLOOKUP(AJ568,설정!$A$15:$D$47,4,0),99))</f>
        <v>99</v>
      </c>
      <c r="AM568" s="94" t="n">
        <f aca="false">IF(ISNUMBER(H568),AA568*1000000*H568/10000,0)</f>
        <v>0</v>
      </c>
      <c r="AN568" s="94" t="n">
        <f aca="false">IF(OR(Y568=1,NOT(ISNUMBER(Z568))),0,AA568*1000000*Z568/10000)</f>
        <v>0</v>
      </c>
      <c r="AO568" s="94" t="n">
        <f aca="false">IF(ISNUMBER(G568),AA568*1000000*G568/100,0)</f>
        <v>0</v>
      </c>
      <c r="AP568" s="94" t="n">
        <f aca="false">IF(ISNUMBER(M568),M568*K568,0)</f>
        <v>0</v>
      </c>
      <c r="AQ568" s="95" t="str">
        <f aca="false">IF(AB568="","",INDEX(시장분석!$AK:$AK,AB568))</f>
        <v/>
      </c>
      <c r="AR568" s="43" t="str">
        <f aca="false">IF(AB568="","-",IF(AB568="","",INDEX(시장분석!$AL:$AL,AB568)))</f>
        <v>-</v>
      </c>
      <c r="AS568" s="96" t="str">
        <f aca="false">IF(AB568="","",INDEX(시장분석!$AJ:$AJ,AB568))</f>
        <v/>
      </c>
      <c r="AT568" s="93" t="n">
        <f aca="false">IF(AB568="",0,IF(AB568="","",INDEX(시장분석!$AN:$AN,AB568)))</f>
        <v>0</v>
      </c>
      <c r="AU568" s="94" t="n">
        <f aca="false">IF(ISNUMBER(Z568),AT568/10000*MAX(Z568-1,0)*AA568*1000000,0)</f>
        <v>0</v>
      </c>
      <c r="AV568" s="94" t="n">
        <f aca="false">AO568+AU568</f>
        <v>0</v>
      </c>
      <c r="AW568" s="43" t="str">
        <f aca="false">IF(Q568&lt;&gt;1,"",TRIM(IF(AD568=1,"FRN ","")&amp;IF(AND(AL568&gt;=10,AL568&lt;99),"BBB0미만 ","")&amp;IF(AJ568="","등급없음 ","")&amp;IF(K568&lt;&gt;1,"비USD ","")&amp;IF(AND(AB568="",Y568=0),"시장데이터없음 ","")&amp;IF(AND(ISNUMBER(U568),U568&lt;0),"만기경과 ","")))</f>
        <v/>
      </c>
      <c r="AX568" s="90" t="n">
        <f aca="false">IF(Q568&lt;&gt;1,1,IF(스프레드쇼크!$C$4="Y",INDEX(스프레드쇼크!$B$12:$L$16,IFERROR(MATCH(AH568,스프레드쇼크!$A$12:$A$16,0),MATCH("목록외",스프레드쇼크!$A$12:$A$16,0)),IFERROR(MATCH(AG568,스프레드쇼크!$B$11:$L$11,0),MATCH("목록외",스프레드쇼크!$B$11:$L$11,0))),1))</f>
        <v>1</v>
      </c>
      <c r="AY568" s="90" t="n">
        <f aca="false">IF(스프레드쇼크!$C$5="Y",IF(ISNUMBER(AF568),MIN(스프레드쇼크!$C$7,MAX(스프레드쇼크!$C$6,AF568/스프레드쇼크!$C$8)),1),1)</f>
        <v>1</v>
      </c>
      <c r="AZ568" s="94" t="n">
        <f aca="false">AN568*AX568*AY568</f>
        <v>0</v>
      </c>
      <c r="BA568" s="90" t="n">
        <f aca="false">IF(ISNUMBER(G568),AA568*G568,0)</f>
        <v>0</v>
      </c>
      <c r="BB568" s="90" t="n">
        <f aca="false">IF(ISNUMBER(G568),AA568,0)</f>
        <v>0</v>
      </c>
      <c r="BC568" s="90" t="n">
        <f aca="false">IF(AND(Y568=0,ISNUMBER(AF568)),AA568*AF568,0)</f>
        <v>0</v>
      </c>
      <c r="BD568" s="90" t="n">
        <f aca="false">IF(AND(Y568=0,ISNUMBER(AF568)),AA568,0)</f>
        <v>0</v>
      </c>
      <c r="BE568" s="90" t="n">
        <f aca="false">IF(ISNUMBER(H568),AA568*H568,0)</f>
        <v>0</v>
      </c>
      <c r="BF568" s="90" t="n">
        <f aca="false">IF(ISNUMBER(H568),AA568,0)</f>
        <v>0</v>
      </c>
      <c r="BG568" s="90" t="n">
        <f aca="false">IF(AND(Y568=0,ISNUMBER(AF568),ISNUMBER(Z568)),AA568*Z568,0)</f>
        <v>0</v>
      </c>
      <c r="BH568" s="90" t="n">
        <f aca="false">IF(AND(Y568=0,ISNUMBER(AF568),ISNUMBER(Z568)),AA568*AT568*MAX(Z568-1,0),0)</f>
        <v>0</v>
      </c>
      <c r="BI568" s="90" t="n">
        <f aca="false">IF(Y568=0,AA568,0)</f>
        <v>0</v>
      </c>
    </row>
    <row r="569" customFormat="false" ht="15" hidden="false" customHeight="false" outlineLevel="0" collapsed="false">
      <c r="A569" s="83" t="str">
        <f aca="false">IFERROR(IF(INDEX(원자료_잔고!$A$1:$EZ$1500,설정!$L$5+ROW()-1,설정!$L$8)&amp;""="0","",INDEX(원자료_잔고!$A$1:$EZ$1500,설정!$L$5+ROW()-1,설정!$L$8)&amp;""),"")</f>
        <v/>
      </c>
      <c r="B569" s="83" t="str">
        <f aca="false">IFERROR(IF(INDEX(원자료_잔고!$A$1:$EZ$1500,설정!$L$5+ROW()-1,설정!$L$7)&amp;""="0","",INDEX(원자료_잔고!$A$1:$EZ$1500,설정!$L$5+ROW()-1,설정!$L$7)&amp;""),"")</f>
        <v/>
      </c>
      <c r="C569" s="83" t="str">
        <f aca="false">IFERROR(IF(INDEX(원자료_잔고!$A$1:$EZ$1500,설정!$L$5+ROW()-1,설정!$L$9)&amp;""="0","",INDEX(원자료_잔고!$A$1:$EZ$1500,설정!$L$5+ROW()-1,설정!$L$9)&amp;""),"")</f>
        <v/>
      </c>
      <c r="D569" s="83" t="str">
        <f aca="false">IFERROR(IF(INDEX(원자료_잔고!$A$1:$EZ$1500,설정!$L$5+ROW()-1,설정!$L$10)&amp;""="0","",INDEX(원자료_잔고!$A$1:$EZ$1500,설정!$L$5+ROW()-1,설정!$L$10)&amp;""),"")</f>
        <v/>
      </c>
      <c r="E569" s="84" t="str">
        <f aca="false">IFERROR(IF(ISNUMBER(INDEX(원자료_잔고!$A$1:$EZ$1500,설정!$L$5+ROW()-1,설정!$L$11)),INDEX(원자료_잔고!$A$1:$EZ$1500,설정!$L$5+ROW()-1,설정!$L$11),""),"")</f>
        <v/>
      </c>
      <c r="F569" s="85" t="str">
        <f aca="false">IFERROR(IF(ISNUMBER(INDEX(원자료_잔고!$A$1:$EZ$1500,설정!$L$5+ROW()-1,설정!$L$12)),INDEX(원자료_잔고!$A$1:$EZ$1500,설정!$L$5+ROW()-1,설정!$L$12),""),"")</f>
        <v/>
      </c>
      <c r="G569" s="85" t="str">
        <f aca="false">IFERROR(IF(ISNUMBER(INDEX(원자료_잔고!$A$1:$EZ$1500,설정!$L$5+ROW()-1,설정!$L$13)),INDEX(원자료_잔고!$A$1:$EZ$1500,설정!$L$5+ROW()-1,설정!$L$13),""),"")</f>
        <v/>
      </c>
      <c r="H569" s="85" t="str">
        <f aca="false">IFERROR(IF(ISNUMBER(INDEX(원자료_잔고!$A$1:$EZ$1500,설정!$L$5+ROW()-1,설정!$L$14)),INDEX(원자료_잔고!$A$1:$EZ$1500,설정!$L$5+ROW()-1,설정!$L$14),""),"")</f>
        <v/>
      </c>
      <c r="I569" s="86" t="str">
        <f aca="false">IFERROR(IF(ISNUMBER(INDEX(원자료_잔고!$A$1:$EZ$1500,설정!$L$5+ROW()-1,설정!$L$15)),INDEX(원자료_잔고!$A$1:$EZ$1500,설정!$L$5+ROW()-1,설정!$L$15),""),"")</f>
        <v/>
      </c>
      <c r="J569" s="85" t="str">
        <f aca="false">IFERROR(IF(ISNUMBER(INDEX(원자료_잔고!$A$1:$EZ$1500,설정!$L$5+ROW()-1,설정!$L$16)),INDEX(원자료_잔고!$A$1:$EZ$1500,설정!$L$5+ROW()-1,설정!$L$16),""),"")</f>
        <v/>
      </c>
      <c r="K569" s="87" t="str">
        <f aca="false">IFERROR(IF(ISNUMBER(INDEX(원자료_잔고!$A$1:$EZ$1500,설정!$L$5+ROW()-1,설정!$L$17)),INDEX(원자료_잔고!$A$1:$EZ$1500,설정!$L$5+ROW()-1,설정!$L$17),""),"")</f>
        <v/>
      </c>
      <c r="L569" s="84" t="str">
        <f aca="false">IFERROR(IF(ISNUMBER(INDEX(원자료_잔고!$A$1:$EZ$1500,설정!$L$5+ROW()-1,설정!$L$18)),INDEX(원자료_잔고!$A$1:$EZ$1500,설정!$L$5+ROW()-1,설정!$L$18),""),"")</f>
        <v/>
      </c>
      <c r="M569" s="88" t="str">
        <f aca="false">IFERROR(IF(ISNUMBER(INDEX(원자료_잔고!$A$1:$EZ$1500,설정!$L$5+ROW()-1,설정!$L$19)),INDEX(원자료_잔고!$A$1:$EZ$1500,설정!$L$5+ROW()-1,설정!$L$19),""),"")</f>
        <v/>
      </c>
      <c r="N569" s="83" t="str">
        <f aca="false">IFERROR(IF(INDEX(원자료_잔고!$A$1:$EZ$1500,설정!$L$5+ROW()-1,설정!$L$21)&amp;""="0","",INDEX(원자료_잔고!$A$1:$EZ$1500,설정!$L$5+ROW()-1,설정!$L$21)&amp;""),"")</f>
        <v/>
      </c>
      <c r="O569" s="83" t="str">
        <f aca="false">IFERROR(IF(INDEX(원자료_잔고!$A$1:$EZ$1500,설정!$L$5+ROW()-1,설정!$L$22)&amp;""="0","",INDEX(원자료_잔고!$A$1:$EZ$1500,설정!$L$5+ROW()-1,설정!$L$22)&amp;""),"")</f>
        <v/>
      </c>
      <c r="P569" s="83" t="str">
        <f aca="false">IFERROR(IF(INDEX(원자료_잔고!$A$1:$EZ$1500,설정!$L$5+ROW()-1,설정!$L$23)&amp;""="0","",INDEX(원자료_잔고!$A$1:$EZ$1500,설정!$L$5+ROW()-1,설정!$L$23)&amp;""),"")</f>
        <v/>
      </c>
      <c r="Q569" s="89" t="n">
        <f aca="false">IF(AND($A569&lt;&gt;"",ISNUMBER(E569)),IF(E569&gt;0,1,0),0)</f>
        <v>0</v>
      </c>
      <c r="R569" s="43" t="str">
        <f aca="false">IF(Q569=1,UPPER(LEFT($A569,FIND(" ",$A569&amp;" ")-1)),"")</f>
        <v/>
      </c>
      <c r="S569" s="89" t="n">
        <f aca="false">IF(Q569=1,IF(OR(ISNUMBER(SEARCH("Float",$A569)),ISNUMBER(SEARCH("FRN",$A569))),1,0),0)</f>
        <v>0</v>
      </c>
      <c r="T569" s="43" t="str">
        <f aca="false">IF(AND(Q569=1,ISNUMBER(I569)),TEXT(I569,"yyyymmdd")&amp;"|"&amp;IF(S569=1,"F",TEXT(J569,"0.000")),"")</f>
        <v/>
      </c>
      <c r="U569" s="90" t="str">
        <f aca="false">IF(AND(Q569=1,ISNUMBER(I569)),(I569-설정!$C$4)/365.25,"")</f>
        <v/>
      </c>
      <c r="V569" s="43" t="str">
        <f aca="false">IF(Q569&lt;&gt;1,"",IF(ISNUMBER(U569),IF(U569&lt;=1,"1년 이하",IF(U569&lt;=2,"1-2년",IF(U569&lt;=3,"2-3년",IF(U569&lt;=4,"3-4년",IF(U569&lt;=5,"4-5년",IF(U569&lt;=7,"5-7년",IF(U569&lt;=10,"7-10년",IF(U569&lt;=20,"10-20년","20년 이상")))))))),"미분류"))</f>
        <v/>
      </c>
      <c r="W569" s="43" t="str">
        <f aca="false">IF(Q569&lt;&gt;1,"",IF(AB569&lt;&gt;"",INDEX(시장분석!$C:$C,AB569),IF(K569=1,"USD","비USD")))</f>
        <v/>
      </c>
      <c r="X569" s="91" t="n">
        <f aca="false">IF(Q569=1,E569*K569/1000000,0)</f>
        <v>0</v>
      </c>
      <c r="Y569" s="89" t="n">
        <f aca="false">IF(R569="T",1,0)</f>
        <v>0</v>
      </c>
      <c r="Z569" s="92" t="str">
        <f aca="false">IF(Q569&lt;&gt;1,"",IF(AD569=1,IF(ISNUMBER(U569),MAX(U569,0),H569),H569))</f>
        <v/>
      </c>
      <c r="AA569" s="91" t="n">
        <f aca="false">IF(Q569=1,IF(ISNUMBER(L569),L569,0)*K569/1000000,0)</f>
        <v>0</v>
      </c>
      <c r="AB569" s="89" t="str">
        <f aca="false">IF(Q569&lt;&gt;1,"",IFERROR(MATCH(VLOOKUP(B569,매핑!$H$4:$I$15,2,0),시장분석!$A$2:$A$601,0)+1,IFERROR(MATCH(R569&amp;"|"&amp;T569,시장분석!$V$2:$V$601,0)+1,IF(COUNTIF(시장분석!$U$2:$U$601,T569)=1,MATCH(T569,시장분석!$U$2:$U$601,0)+1,""))))</f>
        <v/>
      </c>
      <c r="AC569" s="89" t="n">
        <f aca="false">IF(Q569&lt;&gt;1,0,IF(OR(설정!$C$5="전체",AND(설정!$C$5="선택펀드",IFERROR(COUNTIFS(설정!$F$16:$F$36,C569,설정!$G$16:$G$36,"Y")+COUNTIFS(설정!$F$16:$F$36,VALUE(C569),설정!$G$16:$G$36,"Y"),0)&gt;0),C569&amp;""=설정!$C$5&amp;""),1,0))</f>
        <v>0</v>
      </c>
      <c r="AD569" s="89" t="n">
        <f aca="false">IF(Q569&lt;&gt;1,0,IF(OR(S569=1,IF(AB569="",FALSE(),INDEX(시장분석!$R:$R,AB569)=1)),1,0))</f>
        <v>0</v>
      </c>
      <c r="AE569" s="43" t="str">
        <f aca="false">IF(AB569="","",INDEX(시장분석!$A:$A,AB569))</f>
        <v/>
      </c>
      <c r="AF569" s="93" t="str">
        <f aca="false">IF(AB569="","",IF(ISNUMBER(IF(AB569="","",INDEX(시장분석!$E:$E,AB569))),IF(AB569="","",INDEX(시장분석!$E:$E,AB569)),""))</f>
        <v/>
      </c>
      <c r="AG569" s="43" t="str">
        <f aca="false">IF(Q569&lt;&gt;1,"",IF(AB569&lt;&gt;"",IF(AB569="","",INDEX(시장분석!$L:$L,AB569)),IFERROR(IF(VLOOKUP(R569,매핑!$A$4:$E$92,5,0)="","미분류",VLOOKUP(R569,매핑!$A$4:$E$92,5,0)),"미분류")))</f>
        <v/>
      </c>
      <c r="AH569" s="43" t="str">
        <f aca="false">IF(Q569&lt;&gt;1,"",IF(AB569&lt;&gt;"",IF(AB569="","",INDEX(시장분석!$N:$N,AB569)),IFERROR(IF(VLOOKUP(R569,매핑!$A$4:$E$92,4,0)="","미분류",VLOOKUP(R569,매핑!$A$4:$E$92,4,0)),"미분류")))</f>
        <v/>
      </c>
      <c r="AI569" s="43" t="str">
        <f aca="false">IF(Q569&lt;&gt;1,"",IFERROR(IF(VLOOKUP(R569,매핑!$A$4:$E$92,3,0)="","미분류",VLOOKUP(R569,매핑!$A$4:$E$92,3,0)),IF(AB569&lt;&gt;"",IF(AB569="","",INDEX(시장분석!$W:$W,AB569)),"미분류")))</f>
        <v/>
      </c>
      <c r="AJ569" s="43" t="str">
        <f aca="false">IF(Q569&lt;&gt;1,"",IFERROR(VLOOKUP(IF(N569&lt;&gt;"",N569,IF(P569&lt;&gt;"",P569,O569)),설정!$A$15:$D$47,2,0),""))</f>
        <v/>
      </c>
      <c r="AK569" s="43" t="str">
        <f aca="false">IF(Q569&lt;&gt;1,"",IF(AJ569="","무등급",IFERROR(VLOOKUP(AJ569,설정!$A$15:$D$47,3,0),"무등급")))</f>
        <v/>
      </c>
      <c r="AL569" s="89" t="n">
        <f aca="false">IF(AJ569="",99,IFERROR(VLOOKUP(AJ569,설정!$A$15:$D$47,4,0),99))</f>
        <v>99</v>
      </c>
      <c r="AM569" s="94" t="n">
        <f aca="false">IF(ISNUMBER(H569),AA569*1000000*H569/10000,0)</f>
        <v>0</v>
      </c>
      <c r="AN569" s="94" t="n">
        <f aca="false">IF(OR(Y569=1,NOT(ISNUMBER(Z569))),0,AA569*1000000*Z569/10000)</f>
        <v>0</v>
      </c>
      <c r="AO569" s="94" t="n">
        <f aca="false">IF(ISNUMBER(G569),AA569*1000000*G569/100,0)</f>
        <v>0</v>
      </c>
      <c r="AP569" s="94" t="n">
        <f aca="false">IF(ISNUMBER(M569),M569*K569,0)</f>
        <v>0</v>
      </c>
      <c r="AQ569" s="95" t="str">
        <f aca="false">IF(AB569="","",INDEX(시장분석!$AK:$AK,AB569))</f>
        <v/>
      </c>
      <c r="AR569" s="43" t="str">
        <f aca="false">IF(AB569="","-",IF(AB569="","",INDEX(시장분석!$AL:$AL,AB569)))</f>
        <v>-</v>
      </c>
      <c r="AS569" s="96" t="str">
        <f aca="false">IF(AB569="","",INDEX(시장분석!$AJ:$AJ,AB569))</f>
        <v/>
      </c>
      <c r="AT569" s="93" t="n">
        <f aca="false">IF(AB569="",0,IF(AB569="","",INDEX(시장분석!$AN:$AN,AB569)))</f>
        <v>0</v>
      </c>
      <c r="AU569" s="94" t="n">
        <f aca="false">IF(ISNUMBER(Z569),AT569/10000*MAX(Z569-1,0)*AA569*1000000,0)</f>
        <v>0</v>
      </c>
      <c r="AV569" s="94" t="n">
        <f aca="false">AO569+AU569</f>
        <v>0</v>
      </c>
      <c r="AW569" s="43" t="str">
        <f aca="false">IF(Q569&lt;&gt;1,"",TRIM(IF(AD569=1,"FRN ","")&amp;IF(AND(AL569&gt;=10,AL569&lt;99),"BBB0미만 ","")&amp;IF(AJ569="","등급없음 ","")&amp;IF(K569&lt;&gt;1,"비USD ","")&amp;IF(AND(AB569="",Y569=0),"시장데이터없음 ","")&amp;IF(AND(ISNUMBER(U569),U569&lt;0),"만기경과 ","")))</f>
        <v/>
      </c>
      <c r="AX569" s="90" t="n">
        <f aca="false">IF(Q569&lt;&gt;1,1,IF(스프레드쇼크!$C$4="Y",INDEX(스프레드쇼크!$B$12:$L$16,IFERROR(MATCH(AH569,스프레드쇼크!$A$12:$A$16,0),MATCH("목록외",스프레드쇼크!$A$12:$A$16,0)),IFERROR(MATCH(AG569,스프레드쇼크!$B$11:$L$11,0),MATCH("목록외",스프레드쇼크!$B$11:$L$11,0))),1))</f>
        <v>1</v>
      </c>
      <c r="AY569" s="90" t="n">
        <f aca="false">IF(스프레드쇼크!$C$5="Y",IF(ISNUMBER(AF569),MIN(스프레드쇼크!$C$7,MAX(스프레드쇼크!$C$6,AF569/스프레드쇼크!$C$8)),1),1)</f>
        <v>1</v>
      </c>
      <c r="AZ569" s="94" t="n">
        <f aca="false">AN569*AX569*AY569</f>
        <v>0</v>
      </c>
      <c r="BA569" s="90" t="n">
        <f aca="false">IF(ISNUMBER(G569),AA569*G569,0)</f>
        <v>0</v>
      </c>
      <c r="BB569" s="90" t="n">
        <f aca="false">IF(ISNUMBER(G569),AA569,0)</f>
        <v>0</v>
      </c>
      <c r="BC569" s="90" t="n">
        <f aca="false">IF(AND(Y569=0,ISNUMBER(AF569)),AA569*AF569,0)</f>
        <v>0</v>
      </c>
      <c r="BD569" s="90" t="n">
        <f aca="false">IF(AND(Y569=0,ISNUMBER(AF569)),AA569,0)</f>
        <v>0</v>
      </c>
      <c r="BE569" s="90" t="n">
        <f aca="false">IF(ISNUMBER(H569),AA569*H569,0)</f>
        <v>0</v>
      </c>
      <c r="BF569" s="90" t="n">
        <f aca="false">IF(ISNUMBER(H569),AA569,0)</f>
        <v>0</v>
      </c>
      <c r="BG569" s="90" t="n">
        <f aca="false">IF(AND(Y569=0,ISNUMBER(AF569),ISNUMBER(Z569)),AA569*Z569,0)</f>
        <v>0</v>
      </c>
      <c r="BH569" s="90" t="n">
        <f aca="false">IF(AND(Y569=0,ISNUMBER(AF569),ISNUMBER(Z569)),AA569*AT569*MAX(Z569-1,0),0)</f>
        <v>0</v>
      </c>
      <c r="BI569" s="90" t="n">
        <f aca="false">IF(Y569=0,AA569,0)</f>
        <v>0</v>
      </c>
    </row>
    <row r="570" customFormat="false" ht="15" hidden="false" customHeight="false" outlineLevel="0" collapsed="false">
      <c r="A570" s="83" t="str">
        <f aca="false">IFERROR(IF(INDEX(원자료_잔고!$A$1:$EZ$1500,설정!$L$5+ROW()-1,설정!$L$8)&amp;""="0","",INDEX(원자료_잔고!$A$1:$EZ$1500,설정!$L$5+ROW()-1,설정!$L$8)&amp;""),"")</f>
        <v/>
      </c>
      <c r="B570" s="83" t="str">
        <f aca="false">IFERROR(IF(INDEX(원자료_잔고!$A$1:$EZ$1500,설정!$L$5+ROW()-1,설정!$L$7)&amp;""="0","",INDEX(원자료_잔고!$A$1:$EZ$1500,설정!$L$5+ROW()-1,설정!$L$7)&amp;""),"")</f>
        <v/>
      </c>
      <c r="C570" s="83" t="str">
        <f aca="false">IFERROR(IF(INDEX(원자료_잔고!$A$1:$EZ$1500,설정!$L$5+ROW()-1,설정!$L$9)&amp;""="0","",INDEX(원자료_잔고!$A$1:$EZ$1500,설정!$L$5+ROW()-1,설정!$L$9)&amp;""),"")</f>
        <v/>
      </c>
      <c r="D570" s="83" t="str">
        <f aca="false">IFERROR(IF(INDEX(원자료_잔고!$A$1:$EZ$1500,설정!$L$5+ROW()-1,설정!$L$10)&amp;""="0","",INDEX(원자료_잔고!$A$1:$EZ$1500,설정!$L$5+ROW()-1,설정!$L$10)&amp;""),"")</f>
        <v/>
      </c>
      <c r="E570" s="84" t="str">
        <f aca="false">IFERROR(IF(ISNUMBER(INDEX(원자료_잔고!$A$1:$EZ$1500,설정!$L$5+ROW()-1,설정!$L$11)),INDEX(원자료_잔고!$A$1:$EZ$1500,설정!$L$5+ROW()-1,설정!$L$11),""),"")</f>
        <v/>
      </c>
      <c r="F570" s="85" t="str">
        <f aca="false">IFERROR(IF(ISNUMBER(INDEX(원자료_잔고!$A$1:$EZ$1500,설정!$L$5+ROW()-1,설정!$L$12)),INDEX(원자료_잔고!$A$1:$EZ$1500,설정!$L$5+ROW()-1,설정!$L$12),""),"")</f>
        <v/>
      </c>
      <c r="G570" s="85" t="str">
        <f aca="false">IFERROR(IF(ISNUMBER(INDEX(원자료_잔고!$A$1:$EZ$1500,설정!$L$5+ROW()-1,설정!$L$13)),INDEX(원자료_잔고!$A$1:$EZ$1500,설정!$L$5+ROW()-1,설정!$L$13),""),"")</f>
        <v/>
      </c>
      <c r="H570" s="85" t="str">
        <f aca="false">IFERROR(IF(ISNUMBER(INDEX(원자료_잔고!$A$1:$EZ$1500,설정!$L$5+ROW()-1,설정!$L$14)),INDEX(원자료_잔고!$A$1:$EZ$1500,설정!$L$5+ROW()-1,설정!$L$14),""),"")</f>
        <v/>
      </c>
      <c r="I570" s="86" t="str">
        <f aca="false">IFERROR(IF(ISNUMBER(INDEX(원자료_잔고!$A$1:$EZ$1500,설정!$L$5+ROW()-1,설정!$L$15)),INDEX(원자료_잔고!$A$1:$EZ$1500,설정!$L$5+ROW()-1,설정!$L$15),""),"")</f>
        <v/>
      </c>
      <c r="J570" s="85" t="str">
        <f aca="false">IFERROR(IF(ISNUMBER(INDEX(원자료_잔고!$A$1:$EZ$1500,설정!$L$5+ROW()-1,설정!$L$16)),INDEX(원자료_잔고!$A$1:$EZ$1500,설정!$L$5+ROW()-1,설정!$L$16),""),"")</f>
        <v/>
      </c>
      <c r="K570" s="87" t="str">
        <f aca="false">IFERROR(IF(ISNUMBER(INDEX(원자료_잔고!$A$1:$EZ$1500,설정!$L$5+ROW()-1,설정!$L$17)),INDEX(원자료_잔고!$A$1:$EZ$1500,설정!$L$5+ROW()-1,설정!$L$17),""),"")</f>
        <v/>
      </c>
      <c r="L570" s="84" t="str">
        <f aca="false">IFERROR(IF(ISNUMBER(INDEX(원자료_잔고!$A$1:$EZ$1500,설정!$L$5+ROW()-1,설정!$L$18)),INDEX(원자료_잔고!$A$1:$EZ$1500,설정!$L$5+ROW()-1,설정!$L$18),""),"")</f>
        <v/>
      </c>
      <c r="M570" s="88" t="str">
        <f aca="false">IFERROR(IF(ISNUMBER(INDEX(원자료_잔고!$A$1:$EZ$1500,설정!$L$5+ROW()-1,설정!$L$19)),INDEX(원자료_잔고!$A$1:$EZ$1500,설정!$L$5+ROW()-1,설정!$L$19),""),"")</f>
        <v/>
      </c>
      <c r="N570" s="83" t="str">
        <f aca="false">IFERROR(IF(INDEX(원자료_잔고!$A$1:$EZ$1500,설정!$L$5+ROW()-1,설정!$L$21)&amp;""="0","",INDEX(원자료_잔고!$A$1:$EZ$1500,설정!$L$5+ROW()-1,설정!$L$21)&amp;""),"")</f>
        <v/>
      </c>
      <c r="O570" s="83" t="str">
        <f aca="false">IFERROR(IF(INDEX(원자료_잔고!$A$1:$EZ$1500,설정!$L$5+ROW()-1,설정!$L$22)&amp;""="0","",INDEX(원자료_잔고!$A$1:$EZ$1500,설정!$L$5+ROW()-1,설정!$L$22)&amp;""),"")</f>
        <v/>
      </c>
      <c r="P570" s="83" t="str">
        <f aca="false">IFERROR(IF(INDEX(원자료_잔고!$A$1:$EZ$1500,설정!$L$5+ROW()-1,설정!$L$23)&amp;""="0","",INDEX(원자료_잔고!$A$1:$EZ$1500,설정!$L$5+ROW()-1,설정!$L$23)&amp;""),"")</f>
        <v/>
      </c>
      <c r="Q570" s="89" t="n">
        <f aca="false">IF(AND($A570&lt;&gt;"",ISNUMBER(E570)),IF(E570&gt;0,1,0),0)</f>
        <v>0</v>
      </c>
      <c r="R570" s="43" t="str">
        <f aca="false">IF(Q570=1,UPPER(LEFT($A570,FIND(" ",$A570&amp;" ")-1)),"")</f>
        <v/>
      </c>
      <c r="S570" s="89" t="n">
        <f aca="false">IF(Q570=1,IF(OR(ISNUMBER(SEARCH("Float",$A570)),ISNUMBER(SEARCH("FRN",$A570))),1,0),0)</f>
        <v>0</v>
      </c>
      <c r="T570" s="43" t="str">
        <f aca="false">IF(AND(Q570=1,ISNUMBER(I570)),TEXT(I570,"yyyymmdd")&amp;"|"&amp;IF(S570=1,"F",TEXT(J570,"0.000")),"")</f>
        <v/>
      </c>
      <c r="U570" s="90" t="str">
        <f aca="false">IF(AND(Q570=1,ISNUMBER(I570)),(I570-설정!$C$4)/365.25,"")</f>
        <v/>
      </c>
      <c r="V570" s="43" t="str">
        <f aca="false">IF(Q570&lt;&gt;1,"",IF(ISNUMBER(U570),IF(U570&lt;=1,"1년 이하",IF(U570&lt;=2,"1-2년",IF(U570&lt;=3,"2-3년",IF(U570&lt;=4,"3-4년",IF(U570&lt;=5,"4-5년",IF(U570&lt;=7,"5-7년",IF(U570&lt;=10,"7-10년",IF(U570&lt;=20,"10-20년","20년 이상")))))))),"미분류"))</f>
        <v/>
      </c>
      <c r="W570" s="43" t="str">
        <f aca="false">IF(Q570&lt;&gt;1,"",IF(AB570&lt;&gt;"",INDEX(시장분석!$C:$C,AB570),IF(K570=1,"USD","비USD")))</f>
        <v/>
      </c>
      <c r="X570" s="91" t="n">
        <f aca="false">IF(Q570=1,E570*K570/1000000,0)</f>
        <v>0</v>
      </c>
      <c r="Y570" s="89" t="n">
        <f aca="false">IF(R570="T",1,0)</f>
        <v>0</v>
      </c>
      <c r="Z570" s="92" t="str">
        <f aca="false">IF(Q570&lt;&gt;1,"",IF(AD570=1,IF(ISNUMBER(U570),MAX(U570,0),H570),H570))</f>
        <v/>
      </c>
      <c r="AA570" s="91" t="n">
        <f aca="false">IF(Q570=1,IF(ISNUMBER(L570),L570,0)*K570/1000000,0)</f>
        <v>0</v>
      </c>
      <c r="AB570" s="89" t="str">
        <f aca="false">IF(Q570&lt;&gt;1,"",IFERROR(MATCH(VLOOKUP(B570,매핑!$H$4:$I$15,2,0),시장분석!$A$2:$A$601,0)+1,IFERROR(MATCH(R570&amp;"|"&amp;T570,시장분석!$V$2:$V$601,0)+1,IF(COUNTIF(시장분석!$U$2:$U$601,T570)=1,MATCH(T570,시장분석!$U$2:$U$601,0)+1,""))))</f>
        <v/>
      </c>
      <c r="AC570" s="89" t="n">
        <f aca="false">IF(Q570&lt;&gt;1,0,IF(OR(설정!$C$5="전체",AND(설정!$C$5="선택펀드",IFERROR(COUNTIFS(설정!$F$16:$F$36,C570,설정!$G$16:$G$36,"Y")+COUNTIFS(설정!$F$16:$F$36,VALUE(C570),설정!$G$16:$G$36,"Y"),0)&gt;0),C570&amp;""=설정!$C$5&amp;""),1,0))</f>
        <v>0</v>
      </c>
      <c r="AD570" s="89" t="n">
        <f aca="false">IF(Q570&lt;&gt;1,0,IF(OR(S570=1,IF(AB570="",FALSE(),INDEX(시장분석!$R:$R,AB570)=1)),1,0))</f>
        <v>0</v>
      </c>
      <c r="AE570" s="43" t="str">
        <f aca="false">IF(AB570="","",INDEX(시장분석!$A:$A,AB570))</f>
        <v/>
      </c>
      <c r="AF570" s="93" t="str">
        <f aca="false">IF(AB570="","",IF(ISNUMBER(IF(AB570="","",INDEX(시장분석!$E:$E,AB570))),IF(AB570="","",INDEX(시장분석!$E:$E,AB570)),""))</f>
        <v/>
      </c>
      <c r="AG570" s="43" t="str">
        <f aca="false">IF(Q570&lt;&gt;1,"",IF(AB570&lt;&gt;"",IF(AB570="","",INDEX(시장분석!$L:$L,AB570)),IFERROR(IF(VLOOKUP(R570,매핑!$A$4:$E$92,5,0)="","미분류",VLOOKUP(R570,매핑!$A$4:$E$92,5,0)),"미분류")))</f>
        <v/>
      </c>
      <c r="AH570" s="43" t="str">
        <f aca="false">IF(Q570&lt;&gt;1,"",IF(AB570&lt;&gt;"",IF(AB570="","",INDEX(시장분석!$N:$N,AB570)),IFERROR(IF(VLOOKUP(R570,매핑!$A$4:$E$92,4,0)="","미분류",VLOOKUP(R570,매핑!$A$4:$E$92,4,0)),"미분류")))</f>
        <v/>
      </c>
      <c r="AI570" s="43" t="str">
        <f aca="false">IF(Q570&lt;&gt;1,"",IFERROR(IF(VLOOKUP(R570,매핑!$A$4:$E$92,3,0)="","미분류",VLOOKUP(R570,매핑!$A$4:$E$92,3,0)),IF(AB570&lt;&gt;"",IF(AB570="","",INDEX(시장분석!$W:$W,AB570)),"미분류")))</f>
        <v/>
      </c>
      <c r="AJ570" s="43" t="str">
        <f aca="false">IF(Q570&lt;&gt;1,"",IFERROR(VLOOKUP(IF(N570&lt;&gt;"",N570,IF(P570&lt;&gt;"",P570,O570)),설정!$A$15:$D$47,2,0),""))</f>
        <v/>
      </c>
      <c r="AK570" s="43" t="str">
        <f aca="false">IF(Q570&lt;&gt;1,"",IF(AJ570="","무등급",IFERROR(VLOOKUP(AJ570,설정!$A$15:$D$47,3,0),"무등급")))</f>
        <v/>
      </c>
      <c r="AL570" s="89" t="n">
        <f aca="false">IF(AJ570="",99,IFERROR(VLOOKUP(AJ570,설정!$A$15:$D$47,4,0),99))</f>
        <v>99</v>
      </c>
      <c r="AM570" s="94" t="n">
        <f aca="false">IF(ISNUMBER(H570),AA570*1000000*H570/10000,0)</f>
        <v>0</v>
      </c>
      <c r="AN570" s="94" t="n">
        <f aca="false">IF(OR(Y570=1,NOT(ISNUMBER(Z570))),0,AA570*1000000*Z570/10000)</f>
        <v>0</v>
      </c>
      <c r="AO570" s="94" t="n">
        <f aca="false">IF(ISNUMBER(G570),AA570*1000000*G570/100,0)</f>
        <v>0</v>
      </c>
      <c r="AP570" s="94" t="n">
        <f aca="false">IF(ISNUMBER(M570),M570*K570,0)</f>
        <v>0</v>
      </c>
      <c r="AQ570" s="95" t="str">
        <f aca="false">IF(AB570="","",INDEX(시장분석!$AK:$AK,AB570))</f>
        <v/>
      </c>
      <c r="AR570" s="43" t="str">
        <f aca="false">IF(AB570="","-",IF(AB570="","",INDEX(시장분석!$AL:$AL,AB570)))</f>
        <v>-</v>
      </c>
      <c r="AS570" s="96" t="str">
        <f aca="false">IF(AB570="","",INDEX(시장분석!$AJ:$AJ,AB570))</f>
        <v/>
      </c>
      <c r="AT570" s="93" t="n">
        <f aca="false">IF(AB570="",0,IF(AB570="","",INDEX(시장분석!$AN:$AN,AB570)))</f>
        <v>0</v>
      </c>
      <c r="AU570" s="94" t="n">
        <f aca="false">IF(ISNUMBER(Z570),AT570/10000*MAX(Z570-1,0)*AA570*1000000,0)</f>
        <v>0</v>
      </c>
      <c r="AV570" s="94" t="n">
        <f aca="false">AO570+AU570</f>
        <v>0</v>
      </c>
      <c r="AW570" s="43" t="str">
        <f aca="false">IF(Q570&lt;&gt;1,"",TRIM(IF(AD570=1,"FRN ","")&amp;IF(AND(AL570&gt;=10,AL570&lt;99),"BBB0미만 ","")&amp;IF(AJ570="","등급없음 ","")&amp;IF(K570&lt;&gt;1,"비USD ","")&amp;IF(AND(AB570="",Y570=0),"시장데이터없음 ","")&amp;IF(AND(ISNUMBER(U570),U570&lt;0),"만기경과 ","")))</f>
        <v/>
      </c>
      <c r="AX570" s="90" t="n">
        <f aca="false">IF(Q570&lt;&gt;1,1,IF(스프레드쇼크!$C$4="Y",INDEX(스프레드쇼크!$B$12:$L$16,IFERROR(MATCH(AH570,스프레드쇼크!$A$12:$A$16,0),MATCH("목록외",스프레드쇼크!$A$12:$A$16,0)),IFERROR(MATCH(AG570,스프레드쇼크!$B$11:$L$11,0),MATCH("목록외",스프레드쇼크!$B$11:$L$11,0))),1))</f>
        <v>1</v>
      </c>
      <c r="AY570" s="90" t="n">
        <f aca="false">IF(스프레드쇼크!$C$5="Y",IF(ISNUMBER(AF570),MIN(스프레드쇼크!$C$7,MAX(스프레드쇼크!$C$6,AF570/스프레드쇼크!$C$8)),1),1)</f>
        <v>1</v>
      </c>
      <c r="AZ570" s="94" t="n">
        <f aca="false">AN570*AX570*AY570</f>
        <v>0</v>
      </c>
      <c r="BA570" s="90" t="n">
        <f aca="false">IF(ISNUMBER(G570),AA570*G570,0)</f>
        <v>0</v>
      </c>
      <c r="BB570" s="90" t="n">
        <f aca="false">IF(ISNUMBER(G570),AA570,0)</f>
        <v>0</v>
      </c>
      <c r="BC570" s="90" t="n">
        <f aca="false">IF(AND(Y570=0,ISNUMBER(AF570)),AA570*AF570,0)</f>
        <v>0</v>
      </c>
      <c r="BD570" s="90" t="n">
        <f aca="false">IF(AND(Y570=0,ISNUMBER(AF570)),AA570,0)</f>
        <v>0</v>
      </c>
      <c r="BE570" s="90" t="n">
        <f aca="false">IF(ISNUMBER(H570),AA570*H570,0)</f>
        <v>0</v>
      </c>
      <c r="BF570" s="90" t="n">
        <f aca="false">IF(ISNUMBER(H570),AA570,0)</f>
        <v>0</v>
      </c>
      <c r="BG570" s="90" t="n">
        <f aca="false">IF(AND(Y570=0,ISNUMBER(AF570),ISNUMBER(Z570)),AA570*Z570,0)</f>
        <v>0</v>
      </c>
      <c r="BH570" s="90" t="n">
        <f aca="false">IF(AND(Y570=0,ISNUMBER(AF570),ISNUMBER(Z570)),AA570*AT570*MAX(Z570-1,0),0)</f>
        <v>0</v>
      </c>
      <c r="BI570" s="90" t="n">
        <f aca="false">IF(Y570=0,AA570,0)</f>
        <v>0</v>
      </c>
    </row>
    <row r="571" customFormat="false" ht="15" hidden="false" customHeight="false" outlineLevel="0" collapsed="false">
      <c r="A571" s="83" t="str">
        <f aca="false">IFERROR(IF(INDEX(원자료_잔고!$A$1:$EZ$1500,설정!$L$5+ROW()-1,설정!$L$8)&amp;""="0","",INDEX(원자료_잔고!$A$1:$EZ$1500,설정!$L$5+ROW()-1,설정!$L$8)&amp;""),"")</f>
        <v/>
      </c>
      <c r="B571" s="83" t="str">
        <f aca="false">IFERROR(IF(INDEX(원자료_잔고!$A$1:$EZ$1500,설정!$L$5+ROW()-1,설정!$L$7)&amp;""="0","",INDEX(원자료_잔고!$A$1:$EZ$1500,설정!$L$5+ROW()-1,설정!$L$7)&amp;""),"")</f>
        <v/>
      </c>
      <c r="C571" s="83" t="str">
        <f aca="false">IFERROR(IF(INDEX(원자료_잔고!$A$1:$EZ$1500,설정!$L$5+ROW()-1,설정!$L$9)&amp;""="0","",INDEX(원자료_잔고!$A$1:$EZ$1500,설정!$L$5+ROW()-1,설정!$L$9)&amp;""),"")</f>
        <v/>
      </c>
      <c r="D571" s="83" t="str">
        <f aca="false">IFERROR(IF(INDEX(원자료_잔고!$A$1:$EZ$1500,설정!$L$5+ROW()-1,설정!$L$10)&amp;""="0","",INDEX(원자료_잔고!$A$1:$EZ$1500,설정!$L$5+ROW()-1,설정!$L$10)&amp;""),"")</f>
        <v/>
      </c>
      <c r="E571" s="84" t="str">
        <f aca="false">IFERROR(IF(ISNUMBER(INDEX(원자료_잔고!$A$1:$EZ$1500,설정!$L$5+ROW()-1,설정!$L$11)),INDEX(원자료_잔고!$A$1:$EZ$1500,설정!$L$5+ROW()-1,설정!$L$11),""),"")</f>
        <v/>
      </c>
      <c r="F571" s="85" t="str">
        <f aca="false">IFERROR(IF(ISNUMBER(INDEX(원자료_잔고!$A$1:$EZ$1500,설정!$L$5+ROW()-1,설정!$L$12)),INDEX(원자료_잔고!$A$1:$EZ$1500,설정!$L$5+ROW()-1,설정!$L$12),""),"")</f>
        <v/>
      </c>
      <c r="G571" s="85" t="str">
        <f aca="false">IFERROR(IF(ISNUMBER(INDEX(원자료_잔고!$A$1:$EZ$1500,설정!$L$5+ROW()-1,설정!$L$13)),INDEX(원자료_잔고!$A$1:$EZ$1500,설정!$L$5+ROW()-1,설정!$L$13),""),"")</f>
        <v/>
      </c>
      <c r="H571" s="85" t="str">
        <f aca="false">IFERROR(IF(ISNUMBER(INDEX(원자료_잔고!$A$1:$EZ$1500,설정!$L$5+ROW()-1,설정!$L$14)),INDEX(원자료_잔고!$A$1:$EZ$1500,설정!$L$5+ROW()-1,설정!$L$14),""),"")</f>
        <v/>
      </c>
      <c r="I571" s="86" t="str">
        <f aca="false">IFERROR(IF(ISNUMBER(INDEX(원자료_잔고!$A$1:$EZ$1500,설정!$L$5+ROW()-1,설정!$L$15)),INDEX(원자료_잔고!$A$1:$EZ$1500,설정!$L$5+ROW()-1,설정!$L$15),""),"")</f>
        <v/>
      </c>
      <c r="J571" s="85" t="str">
        <f aca="false">IFERROR(IF(ISNUMBER(INDEX(원자료_잔고!$A$1:$EZ$1500,설정!$L$5+ROW()-1,설정!$L$16)),INDEX(원자료_잔고!$A$1:$EZ$1500,설정!$L$5+ROW()-1,설정!$L$16),""),"")</f>
        <v/>
      </c>
      <c r="K571" s="87" t="str">
        <f aca="false">IFERROR(IF(ISNUMBER(INDEX(원자료_잔고!$A$1:$EZ$1500,설정!$L$5+ROW()-1,설정!$L$17)),INDEX(원자료_잔고!$A$1:$EZ$1500,설정!$L$5+ROW()-1,설정!$L$17),""),"")</f>
        <v/>
      </c>
      <c r="L571" s="84" t="str">
        <f aca="false">IFERROR(IF(ISNUMBER(INDEX(원자료_잔고!$A$1:$EZ$1500,설정!$L$5+ROW()-1,설정!$L$18)),INDEX(원자료_잔고!$A$1:$EZ$1500,설정!$L$5+ROW()-1,설정!$L$18),""),"")</f>
        <v/>
      </c>
      <c r="M571" s="88" t="str">
        <f aca="false">IFERROR(IF(ISNUMBER(INDEX(원자료_잔고!$A$1:$EZ$1500,설정!$L$5+ROW()-1,설정!$L$19)),INDEX(원자료_잔고!$A$1:$EZ$1500,설정!$L$5+ROW()-1,설정!$L$19),""),"")</f>
        <v/>
      </c>
      <c r="N571" s="83" t="str">
        <f aca="false">IFERROR(IF(INDEX(원자료_잔고!$A$1:$EZ$1500,설정!$L$5+ROW()-1,설정!$L$21)&amp;""="0","",INDEX(원자료_잔고!$A$1:$EZ$1500,설정!$L$5+ROW()-1,설정!$L$21)&amp;""),"")</f>
        <v/>
      </c>
      <c r="O571" s="83" t="str">
        <f aca="false">IFERROR(IF(INDEX(원자료_잔고!$A$1:$EZ$1500,설정!$L$5+ROW()-1,설정!$L$22)&amp;""="0","",INDEX(원자료_잔고!$A$1:$EZ$1500,설정!$L$5+ROW()-1,설정!$L$22)&amp;""),"")</f>
        <v/>
      </c>
      <c r="P571" s="83" t="str">
        <f aca="false">IFERROR(IF(INDEX(원자료_잔고!$A$1:$EZ$1500,설정!$L$5+ROW()-1,설정!$L$23)&amp;""="0","",INDEX(원자료_잔고!$A$1:$EZ$1500,설정!$L$5+ROW()-1,설정!$L$23)&amp;""),"")</f>
        <v/>
      </c>
      <c r="Q571" s="89" t="n">
        <f aca="false">IF(AND($A571&lt;&gt;"",ISNUMBER(E571)),IF(E571&gt;0,1,0),0)</f>
        <v>0</v>
      </c>
      <c r="R571" s="43" t="str">
        <f aca="false">IF(Q571=1,UPPER(LEFT($A571,FIND(" ",$A571&amp;" ")-1)),"")</f>
        <v/>
      </c>
      <c r="S571" s="89" t="n">
        <f aca="false">IF(Q571=1,IF(OR(ISNUMBER(SEARCH("Float",$A571)),ISNUMBER(SEARCH("FRN",$A571))),1,0),0)</f>
        <v>0</v>
      </c>
      <c r="T571" s="43" t="str">
        <f aca="false">IF(AND(Q571=1,ISNUMBER(I571)),TEXT(I571,"yyyymmdd")&amp;"|"&amp;IF(S571=1,"F",TEXT(J571,"0.000")),"")</f>
        <v/>
      </c>
      <c r="U571" s="90" t="str">
        <f aca="false">IF(AND(Q571=1,ISNUMBER(I571)),(I571-설정!$C$4)/365.25,"")</f>
        <v/>
      </c>
      <c r="V571" s="43" t="str">
        <f aca="false">IF(Q571&lt;&gt;1,"",IF(ISNUMBER(U571),IF(U571&lt;=1,"1년 이하",IF(U571&lt;=2,"1-2년",IF(U571&lt;=3,"2-3년",IF(U571&lt;=4,"3-4년",IF(U571&lt;=5,"4-5년",IF(U571&lt;=7,"5-7년",IF(U571&lt;=10,"7-10년",IF(U571&lt;=20,"10-20년","20년 이상")))))))),"미분류"))</f>
        <v/>
      </c>
      <c r="W571" s="43" t="str">
        <f aca="false">IF(Q571&lt;&gt;1,"",IF(AB571&lt;&gt;"",INDEX(시장분석!$C:$C,AB571),IF(K571=1,"USD","비USD")))</f>
        <v/>
      </c>
      <c r="X571" s="91" t="n">
        <f aca="false">IF(Q571=1,E571*K571/1000000,0)</f>
        <v>0</v>
      </c>
      <c r="Y571" s="89" t="n">
        <f aca="false">IF(R571="T",1,0)</f>
        <v>0</v>
      </c>
      <c r="Z571" s="92" t="str">
        <f aca="false">IF(Q571&lt;&gt;1,"",IF(AD571=1,IF(ISNUMBER(U571),MAX(U571,0),H571),H571))</f>
        <v/>
      </c>
      <c r="AA571" s="91" t="n">
        <f aca="false">IF(Q571=1,IF(ISNUMBER(L571),L571,0)*K571/1000000,0)</f>
        <v>0</v>
      </c>
      <c r="AB571" s="89" t="str">
        <f aca="false">IF(Q571&lt;&gt;1,"",IFERROR(MATCH(VLOOKUP(B571,매핑!$H$4:$I$15,2,0),시장분석!$A$2:$A$601,0)+1,IFERROR(MATCH(R571&amp;"|"&amp;T571,시장분석!$V$2:$V$601,0)+1,IF(COUNTIF(시장분석!$U$2:$U$601,T571)=1,MATCH(T571,시장분석!$U$2:$U$601,0)+1,""))))</f>
        <v/>
      </c>
      <c r="AC571" s="89" t="n">
        <f aca="false">IF(Q571&lt;&gt;1,0,IF(OR(설정!$C$5="전체",AND(설정!$C$5="선택펀드",IFERROR(COUNTIFS(설정!$F$16:$F$36,C571,설정!$G$16:$G$36,"Y")+COUNTIFS(설정!$F$16:$F$36,VALUE(C571),설정!$G$16:$G$36,"Y"),0)&gt;0),C571&amp;""=설정!$C$5&amp;""),1,0))</f>
        <v>0</v>
      </c>
      <c r="AD571" s="89" t="n">
        <f aca="false">IF(Q571&lt;&gt;1,0,IF(OR(S571=1,IF(AB571="",FALSE(),INDEX(시장분석!$R:$R,AB571)=1)),1,0))</f>
        <v>0</v>
      </c>
      <c r="AE571" s="43" t="str">
        <f aca="false">IF(AB571="","",INDEX(시장분석!$A:$A,AB571))</f>
        <v/>
      </c>
      <c r="AF571" s="93" t="str">
        <f aca="false">IF(AB571="","",IF(ISNUMBER(IF(AB571="","",INDEX(시장분석!$E:$E,AB571))),IF(AB571="","",INDEX(시장분석!$E:$E,AB571)),""))</f>
        <v/>
      </c>
      <c r="AG571" s="43" t="str">
        <f aca="false">IF(Q571&lt;&gt;1,"",IF(AB571&lt;&gt;"",IF(AB571="","",INDEX(시장분석!$L:$L,AB571)),IFERROR(IF(VLOOKUP(R571,매핑!$A$4:$E$92,5,0)="","미분류",VLOOKUP(R571,매핑!$A$4:$E$92,5,0)),"미분류")))</f>
        <v/>
      </c>
      <c r="AH571" s="43" t="str">
        <f aca="false">IF(Q571&lt;&gt;1,"",IF(AB571&lt;&gt;"",IF(AB571="","",INDEX(시장분석!$N:$N,AB571)),IFERROR(IF(VLOOKUP(R571,매핑!$A$4:$E$92,4,0)="","미분류",VLOOKUP(R571,매핑!$A$4:$E$92,4,0)),"미분류")))</f>
        <v/>
      </c>
      <c r="AI571" s="43" t="str">
        <f aca="false">IF(Q571&lt;&gt;1,"",IFERROR(IF(VLOOKUP(R571,매핑!$A$4:$E$92,3,0)="","미분류",VLOOKUP(R571,매핑!$A$4:$E$92,3,0)),IF(AB571&lt;&gt;"",IF(AB571="","",INDEX(시장분석!$W:$W,AB571)),"미분류")))</f>
        <v/>
      </c>
      <c r="AJ571" s="43" t="str">
        <f aca="false">IF(Q571&lt;&gt;1,"",IFERROR(VLOOKUP(IF(N571&lt;&gt;"",N571,IF(P571&lt;&gt;"",P571,O571)),설정!$A$15:$D$47,2,0),""))</f>
        <v/>
      </c>
      <c r="AK571" s="43" t="str">
        <f aca="false">IF(Q571&lt;&gt;1,"",IF(AJ571="","무등급",IFERROR(VLOOKUP(AJ571,설정!$A$15:$D$47,3,0),"무등급")))</f>
        <v/>
      </c>
      <c r="AL571" s="89" t="n">
        <f aca="false">IF(AJ571="",99,IFERROR(VLOOKUP(AJ571,설정!$A$15:$D$47,4,0),99))</f>
        <v>99</v>
      </c>
      <c r="AM571" s="94" t="n">
        <f aca="false">IF(ISNUMBER(H571),AA571*1000000*H571/10000,0)</f>
        <v>0</v>
      </c>
      <c r="AN571" s="94" t="n">
        <f aca="false">IF(OR(Y571=1,NOT(ISNUMBER(Z571))),0,AA571*1000000*Z571/10000)</f>
        <v>0</v>
      </c>
      <c r="AO571" s="94" t="n">
        <f aca="false">IF(ISNUMBER(G571),AA571*1000000*G571/100,0)</f>
        <v>0</v>
      </c>
      <c r="AP571" s="94" t="n">
        <f aca="false">IF(ISNUMBER(M571),M571*K571,0)</f>
        <v>0</v>
      </c>
      <c r="AQ571" s="95" t="str">
        <f aca="false">IF(AB571="","",INDEX(시장분석!$AK:$AK,AB571))</f>
        <v/>
      </c>
      <c r="AR571" s="43" t="str">
        <f aca="false">IF(AB571="","-",IF(AB571="","",INDEX(시장분석!$AL:$AL,AB571)))</f>
        <v>-</v>
      </c>
      <c r="AS571" s="96" t="str">
        <f aca="false">IF(AB571="","",INDEX(시장분석!$AJ:$AJ,AB571))</f>
        <v/>
      </c>
      <c r="AT571" s="93" t="n">
        <f aca="false">IF(AB571="",0,IF(AB571="","",INDEX(시장분석!$AN:$AN,AB571)))</f>
        <v>0</v>
      </c>
      <c r="AU571" s="94" t="n">
        <f aca="false">IF(ISNUMBER(Z571),AT571/10000*MAX(Z571-1,0)*AA571*1000000,0)</f>
        <v>0</v>
      </c>
      <c r="AV571" s="94" t="n">
        <f aca="false">AO571+AU571</f>
        <v>0</v>
      </c>
      <c r="AW571" s="43" t="str">
        <f aca="false">IF(Q571&lt;&gt;1,"",TRIM(IF(AD571=1,"FRN ","")&amp;IF(AND(AL571&gt;=10,AL571&lt;99),"BBB0미만 ","")&amp;IF(AJ571="","등급없음 ","")&amp;IF(K571&lt;&gt;1,"비USD ","")&amp;IF(AND(AB571="",Y571=0),"시장데이터없음 ","")&amp;IF(AND(ISNUMBER(U571),U571&lt;0),"만기경과 ","")))</f>
        <v/>
      </c>
      <c r="AX571" s="90" t="n">
        <f aca="false">IF(Q571&lt;&gt;1,1,IF(스프레드쇼크!$C$4="Y",INDEX(스프레드쇼크!$B$12:$L$16,IFERROR(MATCH(AH571,스프레드쇼크!$A$12:$A$16,0),MATCH("목록외",스프레드쇼크!$A$12:$A$16,0)),IFERROR(MATCH(AG571,스프레드쇼크!$B$11:$L$11,0),MATCH("목록외",스프레드쇼크!$B$11:$L$11,0))),1))</f>
        <v>1</v>
      </c>
      <c r="AY571" s="90" t="n">
        <f aca="false">IF(스프레드쇼크!$C$5="Y",IF(ISNUMBER(AF571),MIN(스프레드쇼크!$C$7,MAX(스프레드쇼크!$C$6,AF571/스프레드쇼크!$C$8)),1),1)</f>
        <v>1</v>
      </c>
      <c r="AZ571" s="94" t="n">
        <f aca="false">AN571*AX571*AY571</f>
        <v>0</v>
      </c>
      <c r="BA571" s="90" t="n">
        <f aca="false">IF(ISNUMBER(G571),AA571*G571,0)</f>
        <v>0</v>
      </c>
      <c r="BB571" s="90" t="n">
        <f aca="false">IF(ISNUMBER(G571),AA571,0)</f>
        <v>0</v>
      </c>
      <c r="BC571" s="90" t="n">
        <f aca="false">IF(AND(Y571=0,ISNUMBER(AF571)),AA571*AF571,0)</f>
        <v>0</v>
      </c>
      <c r="BD571" s="90" t="n">
        <f aca="false">IF(AND(Y571=0,ISNUMBER(AF571)),AA571,0)</f>
        <v>0</v>
      </c>
      <c r="BE571" s="90" t="n">
        <f aca="false">IF(ISNUMBER(H571),AA571*H571,0)</f>
        <v>0</v>
      </c>
      <c r="BF571" s="90" t="n">
        <f aca="false">IF(ISNUMBER(H571),AA571,0)</f>
        <v>0</v>
      </c>
      <c r="BG571" s="90" t="n">
        <f aca="false">IF(AND(Y571=0,ISNUMBER(AF571),ISNUMBER(Z571)),AA571*Z571,0)</f>
        <v>0</v>
      </c>
      <c r="BH571" s="90" t="n">
        <f aca="false">IF(AND(Y571=0,ISNUMBER(AF571),ISNUMBER(Z571)),AA571*AT571*MAX(Z571-1,0),0)</f>
        <v>0</v>
      </c>
      <c r="BI571" s="90" t="n">
        <f aca="false">IF(Y571=0,AA571,0)</f>
        <v>0</v>
      </c>
    </row>
    <row r="572" customFormat="false" ht="15" hidden="false" customHeight="false" outlineLevel="0" collapsed="false">
      <c r="A572" s="83" t="str">
        <f aca="false">IFERROR(IF(INDEX(원자료_잔고!$A$1:$EZ$1500,설정!$L$5+ROW()-1,설정!$L$8)&amp;""="0","",INDEX(원자료_잔고!$A$1:$EZ$1500,설정!$L$5+ROW()-1,설정!$L$8)&amp;""),"")</f>
        <v/>
      </c>
      <c r="B572" s="83" t="str">
        <f aca="false">IFERROR(IF(INDEX(원자료_잔고!$A$1:$EZ$1500,설정!$L$5+ROW()-1,설정!$L$7)&amp;""="0","",INDEX(원자료_잔고!$A$1:$EZ$1500,설정!$L$5+ROW()-1,설정!$L$7)&amp;""),"")</f>
        <v/>
      </c>
      <c r="C572" s="83" t="str">
        <f aca="false">IFERROR(IF(INDEX(원자료_잔고!$A$1:$EZ$1500,설정!$L$5+ROW()-1,설정!$L$9)&amp;""="0","",INDEX(원자료_잔고!$A$1:$EZ$1500,설정!$L$5+ROW()-1,설정!$L$9)&amp;""),"")</f>
        <v/>
      </c>
      <c r="D572" s="83" t="str">
        <f aca="false">IFERROR(IF(INDEX(원자료_잔고!$A$1:$EZ$1500,설정!$L$5+ROW()-1,설정!$L$10)&amp;""="0","",INDEX(원자료_잔고!$A$1:$EZ$1500,설정!$L$5+ROW()-1,설정!$L$10)&amp;""),"")</f>
        <v/>
      </c>
      <c r="E572" s="84" t="str">
        <f aca="false">IFERROR(IF(ISNUMBER(INDEX(원자료_잔고!$A$1:$EZ$1500,설정!$L$5+ROW()-1,설정!$L$11)),INDEX(원자료_잔고!$A$1:$EZ$1500,설정!$L$5+ROW()-1,설정!$L$11),""),"")</f>
        <v/>
      </c>
      <c r="F572" s="85" t="str">
        <f aca="false">IFERROR(IF(ISNUMBER(INDEX(원자료_잔고!$A$1:$EZ$1500,설정!$L$5+ROW()-1,설정!$L$12)),INDEX(원자료_잔고!$A$1:$EZ$1500,설정!$L$5+ROW()-1,설정!$L$12),""),"")</f>
        <v/>
      </c>
      <c r="G572" s="85" t="str">
        <f aca="false">IFERROR(IF(ISNUMBER(INDEX(원자료_잔고!$A$1:$EZ$1500,설정!$L$5+ROW()-1,설정!$L$13)),INDEX(원자료_잔고!$A$1:$EZ$1500,설정!$L$5+ROW()-1,설정!$L$13),""),"")</f>
        <v/>
      </c>
      <c r="H572" s="85" t="str">
        <f aca="false">IFERROR(IF(ISNUMBER(INDEX(원자료_잔고!$A$1:$EZ$1500,설정!$L$5+ROW()-1,설정!$L$14)),INDEX(원자료_잔고!$A$1:$EZ$1500,설정!$L$5+ROW()-1,설정!$L$14),""),"")</f>
        <v/>
      </c>
      <c r="I572" s="86" t="str">
        <f aca="false">IFERROR(IF(ISNUMBER(INDEX(원자료_잔고!$A$1:$EZ$1500,설정!$L$5+ROW()-1,설정!$L$15)),INDEX(원자료_잔고!$A$1:$EZ$1500,설정!$L$5+ROW()-1,설정!$L$15),""),"")</f>
        <v/>
      </c>
      <c r="J572" s="85" t="str">
        <f aca="false">IFERROR(IF(ISNUMBER(INDEX(원자료_잔고!$A$1:$EZ$1500,설정!$L$5+ROW()-1,설정!$L$16)),INDEX(원자료_잔고!$A$1:$EZ$1500,설정!$L$5+ROW()-1,설정!$L$16),""),"")</f>
        <v/>
      </c>
      <c r="K572" s="87" t="str">
        <f aca="false">IFERROR(IF(ISNUMBER(INDEX(원자료_잔고!$A$1:$EZ$1500,설정!$L$5+ROW()-1,설정!$L$17)),INDEX(원자료_잔고!$A$1:$EZ$1500,설정!$L$5+ROW()-1,설정!$L$17),""),"")</f>
        <v/>
      </c>
      <c r="L572" s="84" t="str">
        <f aca="false">IFERROR(IF(ISNUMBER(INDEX(원자료_잔고!$A$1:$EZ$1500,설정!$L$5+ROW()-1,설정!$L$18)),INDEX(원자료_잔고!$A$1:$EZ$1500,설정!$L$5+ROW()-1,설정!$L$18),""),"")</f>
        <v/>
      </c>
      <c r="M572" s="88" t="str">
        <f aca="false">IFERROR(IF(ISNUMBER(INDEX(원자료_잔고!$A$1:$EZ$1500,설정!$L$5+ROW()-1,설정!$L$19)),INDEX(원자료_잔고!$A$1:$EZ$1500,설정!$L$5+ROW()-1,설정!$L$19),""),"")</f>
        <v/>
      </c>
      <c r="N572" s="83" t="str">
        <f aca="false">IFERROR(IF(INDEX(원자료_잔고!$A$1:$EZ$1500,설정!$L$5+ROW()-1,설정!$L$21)&amp;""="0","",INDEX(원자료_잔고!$A$1:$EZ$1500,설정!$L$5+ROW()-1,설정!$L$21)&amp;""),"")</f>
        <v/>
      </c>
      <c r="O572" s="83" t="str">
        <f aca="false">IFERROR(IF(INDEX(원자료_잔고!$A$1:$EZ$1500,설정!$L$5+ROW()-1,설정!$L$22)&amp;""="0","",INDEX(원자료_잔고!$A$1:$EZ$1500,설정!$L$5+ROW()-1,설정!$L$22)&amp;""),"")</f>
        <v/>
      </c>
      <c r="P572" s="83" t="str">
        <f aca="false">IFERROR(IF(INDEX(원자료_잔고!$A$1:$EZ$1500,설정!$L$5+ROW()-1,설정!$L$23)&amp;""="0","",INDEX(원자료_잔고!$A$1:$EZ$1500,설정!$L$5+ROW()-1,설정!$L$23)&amp;""),"")</f>
        <v/>
      </c>
      <c r="Q572" s="89" t="n">
        <f aca="false">IF(AND($A572&lt;&gt;"",ISNUMBER(E572)),IF(E572&gt;0,1,0),0)</f>
        <v>0</v>
      </c>
      <c r="R572" s="43" t="str">
        <f aca="false">IF(Q572=1,UPPER(LEFT($A572,FIND(" ",$A572&amp;" ")-1)),"")</f>
        <v/>
      </c>
      <c r="S572" s="89" t="n">
        <f aca="false">IF(Q572=1,IF(OR(ISNUMBER(SEARCH("Float",$A572)),ISNUMBER(SEARCH("FRN",$A572))),1,0),0)</f>
        <v>0</v>
      </c>
      <c r="T572" s="43" t="str">
        <f aca="false">IF(AND(Q572=1,ISNUMBER(I572)),TEXT(I572,"yyyymmdd")&amp;"|"&amp;IF(S572=1,"F",TEXT(J572,"0.000")),"")</f>
        <v/>
      </c>
      <c r="U572" s="90" t="str">
        <f aca="false">IF(AND(Q572=1,ISNUMBER(I572)),(I572-설정!$C$4)/365.25,"")</f>
        <v/>
      </c>
      <c r="V572" s="43" t="str">
        <f aca="false">IF(Q572&lt;&gt;1,"",IF(ISNUMBER(U572),IF(U572&lt;=1,"1년 이하",IF(U572&lt;=2,"1-2년",IF(U572&lt;=3,"2-3년",IF(U572&lt;=4,"3-4년",IF(U572&lt;=5,"4-5년",IF(U572&lt;=7,"5-7년",IF(U572&lt;=10,"7-10년",IF(U572&lt;=20,"10-20년","20년 이상")))))))),"미분류"))</f>
        <v/>
      </c>
      <c r="W572" s="43" t="str">
        <f aca="false">IF(Q572&lt;&gt;1,"",IF(AB572&lt;&gt;"",INDEX(시장분석!$C:$C,AB572),IF(K572=1,"USD","비USD")))</f>
        <v/>
      </c>
      <c r="X572" s="91" t="n">
        <f aca="false">IF(Q572=1,E572*K572/1000000,0)</f>
        <v>0</v>
      </c>
      <c r="Y572" s="89" t="n">
        <f aca="false">IF(R572="T",1,0)</f>
        <v>0</v>
      </c>
      <c r="Z572" s="92" t="str">
        <f aca="false">IF(Q572&lt;&gt;1,"",IF(AD572=1,IF(ISNUMBER(U572),MAX(U572,0),H572),H572))</f>
        <v/>
      </c>
      <c r="AA572" s="91" t="n">
        <f aca="false">IF(Q572=1,IF(ISNUMBER(L572),L572,0)*K572/1000000,0)</f>
        <v>0</v>
      </c>
      <c r="AB572" s="89" t="str">
        <f aca="false">IF(Q572&lt;&gt;1,"",IFERROR(MATCH(VLOOKUP(B572,매핑!$H$4:$I$15,2,0),시장분석!$A$2:$A$601,0)+1,IFERROR(MATCH(R572&amp;"|"&amp;T572,시장분석!$V$2:$V$601,0)+1,IF(COUNTIF(시장분석!$U$2:$U$601,T572)=1,MATCH(T572,시장분석!$U$2:$U$601,0)+1,""))))</f>
        <v/>
      </c>
      <c r="AC572" s="89" t="n">
        <f aca="false">IF(Q572&lt;&gt;1,0,IF(OR(설정!$C$5="전체",AND(설정!$C$5="선택펀드",IFERROR(COUNTIFS(설정!$F$16:$F$36,C572,설정!$G$16:$G$36,"Y")+COUNTIFS(설정!$F$16:$F$36,VALUE(C572),설정!$G$16:$G$36,"Y"),0)&gt;0),C572&amp;""=설정!$C$5&amp;""),1,0))</f>
        <v>0</v>
      </c>
      <c r="AD572" s="89" t="n">
        <f aca="false">IF(Q572&lt;&gt;1,0,IF(OR(S572=1,IF(AB572="",FALSE(),INDEX(시장분석!$R:$R,AB572)=1)),1,0))</f>
        <v>0</v>
      </c>
      <c r="AE572" s="43" t="str">
        <f aca="false">IF(AB572="","",INDEX(시장분석!$A:$A,AB572))</f>
        <v/>
      </c>
      <c r="AF572" s="93" t="str">
        <f aca="false">IF(AB572="","",IF(ISNUMBER(IF(AB572="","",INDEX(시장분석!$E:$E,AB572))),IF(AB572="","",INDEX(시장분석!$E:$E,AB572)),""))</f>
        <v/>
      </c>
      <c r="AG572" s="43" t="str">
        <f aca="false">IF(Q572&lt;&gt;1,"",IF(AB572&lt;&gt;"",IF(AB572="","",INDEX(시장분석!$L:$L,AB572)),IFERROR(IF(VLOOKUP(R572,매핑!$A$4:$E$92,5,0)="","미분류",VLOOKUP(R572,매핑!$A$4:$E$92,5,0)),"미분류")))</f>
        <v/>
      </c>
      <c r="AH572" s="43" t="str">
        <f aca="false">IF(Q572&lt;&gt;1,"",IF(AB572&lt;&gt;"",IF(AB572="","",INDEX(시장분석!$N:$N,AB572)),IFERROR(IF(VLOOKUP(R572,매핑!$A$4:$E$92,4,0)="","미분류",VLOOKUP(R572,매핑!$A$4:$E$92,4,0)),"미분류")))</f>
        <v/>
      </c>
      <c r="AI572" s="43" t="str">
        <f aca="false">IF(Q572&lt;&gt;1,"",IFERROR(IF(VLOOKUP(R572,매핑!$A$4:$E$92,3,0)="","미분류",VLOOKUP(R572,매핑!$A$4:$E$92,3,0)),IF(AB572&lt;&gt;"",IF(AB572="","",INDEX(시장분석!$W:$W,AB572)),"미분류")))</f>
        <v/>
      </c>
      <c r="AJ572" s="43" t="str">
        <f aca="false">IF(Q572&lt;&gt;1,"",IFERROR(VLOOKUP(IF(N572&lt;&gt;"",N572,IF(P572&lt;&gt;"",P572,O572)),설정!$A$15:$D$47,2,0),""))</f>
        <v/>
      </c>
      <c r="AK572" s="43" t="str">
        <f aca="false">IF(Q572&lt;&gt;1,"",IF(AJ572="","무등급",IFERROR(VLOOKUP(AJ572,설정!$A$15:$D$47,3,0),"무등급")))</f>
        <v/>
      </c>
      <c r="AL572" s="89" t="n">
        <f aca="false">IF(AJ572="",99,IFERROR(VLOOKUP(AJ572,설정!$A$15:$D$47,4,0),99))</f>
        <v>99</v>
      </c>
      <c r="AM572" s="94" t="n">
        <f aca="false">IF(ISNUMBER(H572),AA572*1000000*H572/10000,0)</f>
        <v>0</v>
      </c>
      <c r="AN572" s="94" t="n">
        <f aca="false">IF(OR(Y572=1,NOT(ISNUMBER(Z572))),0,AA572*1000000*Z572/10000)</f>
        <v>0</v>
      </c>
      <c r="AO572" s="94" t="n">
        <f aca="false">IF(ISNUMBER(G572),AA572*1000000*G572/100,0)</f>
        <v>0</v>
      </c>
      <c r="AP572" s="94" t="n">
        <f aca="false">IF(ISNUMBER(M572),M572*K572,0)</f>
        <v>0</v>
      </c>
      <c r="AQ572" s="95" t="str">
        <f aca="false">IF(AB572="","",INDEX(시장분석!$AK:$AK,AB572))</f>
        <v/>
      </c>
      <c r="AR572" s="43" t="str">
        <f aca="false">IF(AB572="","-",IF(AB572="","",INDEX(시장분석!$AL:$AL,AB572)))</f>
        <v>-</v>
      </c>
      <c r="AS572" s="96" t="str">
        <f aca="false">IF(AB572="","",INDEX(시장분석!$AJ:$AJ,AB572))</f>
        <v/>
      </c>
      <c r="AT572" s="93" t="n">
        <f aca="false">IF(AB572="",0,IF(AB572="","",INDEX(시장분석!$AN:$AN,AB572)))</f>
        <v>0</v>
      </c>
      <c r="AU572" s="94" t="n">
        <f aca="false">IF(ISNUMBER(Z572),AT572/10000*MAX(Z572-1,0)*AA572*1000000,0)</f>
        <v>0</v>
      </c>
      <c r="AV572" s="94" t="n">
        <f aca="false">AO572+AU572</f>
        <v>0</v>
      </c>
      <c r="AW572" s="43" t="str">
        <f aca="false">IF(Q572&lt;&gt;1,"",TRIM(IF(AD572=1,"FRN ","")&amp;IF(AND(AL572&gt;=10,AL572&lt;99),"BBB0미만 ","")&amp;IF(AJ572="","등급없음 ","")&amp;IF(K572&lt;&gt;1,"비USD ","")&amp;IF(AND(AB572="",Y572=0),"시장데이터없음 ","")&amp;IF(AND(ISNUMBER(U572),U572&lt;0),"만기경과 ","")))</f>
        <v/>
      </c>
      <c r="AX572" s="90" t="n">
        <f aca="false">IF(Q572&lt;&gt;1,1,IF(스프레드쇼크!$C$4="Y",INDEX(스프레드쇼크!$B$12:$L$16,IFERROR(MATCH(AH572,스프레드쇼크!$A$12:$A$16,0),MATCH("목록외",스프레드쇼크!$A$12:$A$16,0)),IFERROR(MATCH(AG572,스프레드쇼크!$B$11:$L$11,0),MATCH("목록외",스프레드쇼크!$B$11:$L$11,0))),1))</f>
        <v>1</v>
      </c>
      <c r="AY572" s="90" t="n">
        <f aca="false">IF(스프레드쇼크!$C$5="Y",IF(ISNUMBER(AF572),MIN(스프레드쇼크!$C$7,MAX(스프레드쇼크!$C$6,AF572/스프레드쇼크!$C$8)),1),1)</f>
        <v>1</v>
      </c>
      <c r="AZ572" s="94" t="n">
        <f aca="false">AN572*AX572*AY572</f>
        <v>0</v>
      </c>
      <c r="BA572" s="90" t="n">
        <f aca="false">IF(ISNUMBER(G572),AA572*G572,0)</f>
        <v>0</v>
      </c>
      <c r="BB572" s="90" t="n">
        <f aca="false">IF(ISNUMBER(G572),AA572,0)</f>
        <v>0</v>
      </c>
      <c r="BC572" s="90" t="n">
        <f aca="false">IF(AND(Y572=0,ISNUMBER(AF572)),AA572*AF572,0)</f>
        <v>0</v>
      </c>
      <c r="BD572" s="90" t="n">
        <f aca="false">IF(AND(Y572=0,ISNUMBER(AF572)),AA572,0)</f>
        <v>0</v>
      </c>
      <c r="BE572" s="90" t="n">
        <f aca="false">IF(ISNUMBER(H572),AA572*H572,0)</f>
        <v>0</v>
      </c>
      <c r="BF572" s="90" t="n">
        <f aca="false">IF(ISNUMBER(H572),AA572,0)</f>
        <v>0</v>
      </c>
      <c r="BG572" s="90" t="n">
        <f aca="false">IF(AND(Y572=0,ISNUMBER(AF572),ISNUMBER(Z572)),AA572*Z572,0)</f>
        <v>0</v>
      </c>
      <c r="BH572" s="90" t="n">
        <f aca="false">IF(AND(Y572=0,ISNUMBER(AF572),ISNUMBER(Z572)),AA572*AT572*MAX(Z572-1,0),0)</f>
        <v>0</v>
      </c>
      <c r="BI572" s="90" t="n">
        <f aca="false">IF(Y572=0,AA572,0)</f>
        <v>0</v>
      </c>
    </row>
    <row r="573" customFormat="false" ht="15" hidden="false" customHeight="false" outlineLevel="0" collapsed="false">
      <c r="A573" s="83" t="str">
        <f aca="false">IFERROR(IF(INDEX(원자료_잔고!$A$1:$EZ$1500,설정!$L$5+ROW()-1,설정!$L$8)&amp;""="0","",INDEX(원자료_잔고!$A$1:$EZ$1500,설정!$L$5+ROW()-1,설정!$L$8)&amp;""),"")</f>
        <v/>
      </c>
      <c r="B573" s="83" t="str">
        <f aca="false">IFERROR(IF(INDEX(원자료_잔고!$A$1:$EZ$1500,설정!$L$5+ROW()-1,설정!$L$7)&amp;""="0","",INDEX(원자료_잔고!$A$1:$EZ$1500,설정!$L$5+ROW()-1,설정!$L$7)&amp;""),"")</f>
        <v/>
      </c>
      <c r="C573" s="83" t="str">
        <f aca="false">IFERROR(IF(INDEX(원자료_잔고!$A$1:$EZ$1500,설정!$L$5+ROW()-1,설정!$L$9)&amp;""="0","",INDEX(원자료_잔고!$A$1:$EZ$1500,설정!$L$5+ROW()-1,설정!$L$9)&amp;""),"")</f>
        <v/>
      </c>
      <c r="D573" s="83" t="str">
        <f aca="false">IFERROR(IF(INDEX(원자료_잔고!$A$1:$EZ$1500,설정!$L$5+ROW()-1,설정!$L$10)&amp;""="0","",INDEX(원자료_잔고!$A$1:$EZ$1500,설정!$L$5+ROW()-1,설정!$L$10)&amp;""),"")</f>
        <v/>
      </c>
      <c r="E573" s="84" t="str">
        <f aca="false">IFERROR(IF(ISNUMBER(INDEX(원자료_잔고!$A$1:$EZ$1500,설정!$L$5+ROW()-1,설정!$L$11)),INDEX(원자료_잔고!$A$1:$EZ$1500,설정!$L$5+ROW()-1,설정!$L$11),""),"")</f>
        <v/>
      </c>
      <c r="F573" s="85" t="str">
        <f aca="false">IFERROR(IF(ISNUMBER(INDEX(원자료_잔고!$A$1:$EZ$1500,설정!$L$5+ROW()-1,설정!$L$12)),INDEX(원자료_잔고!$A$1:$EZ$1500,설정!$L$5+ROW()-1,설정!$L$12),""),"")</f>
        <v/>
      </c>
      <c r="G573" s="85" t="str">
        <f aca="false">IFERROR(IF(ISNUMBER(INDEX(원자료_잔고!$A$1:$EZ$1500,설정!$L$5+ROW()-1,설정!$L$13)),INDEX(원자료_잔고!$A$1:$EZ$1500,설정!$L$5+ROW()-1,설정!$L$13),""),"")</f>
        <v/>
      </c>
      <c r="H573" s="85" t="str">
        <f aca="false">IFERROR(IF(ISNUMBER(INDEX(원자료_잔고!$A$1:$EZ$1500,설정!$L$5+ROW()-1,설정!$L$14)),INDEX(원자료_잔고!$A$1:$EZ$1500,설정!$L$5+ROW()-1,설정!$L$14),""),"")</f>
        <v/>
      </c>
      <c r="I573" s="86" t="str">
        <f aca="false">IFERROR(IF(ISNUMBER(INDEX(원자료_잔고!$A$1:$EZ$1500,설정!$L$5+ROW()-1,설정!$L$15)),INDEX(원자료_잔고!$A$1:$EZ$1500,설정!$L$5+ROW()-1,설정!$L$15),""),"")</f>
        <v/>
      </c>
      <c r="J573" s="85" t="str">
        <f aca="false">IFERROR(IF(ISNUMBER(INDEX(원자료_잔고!$A$1:$EZ$1500,설정!$L$5+ROW()-1,설정!$L$16)),INDEX(원자료_잔고!$A$1:$EZ$1500,설정!$L$5+ROW()-1,설정!$L$16),""),"")</f>
        <v/>
      </c>
      <c r="K573" s="87" t="str">
        <f aca="false">IFERROR(IF(ISNUMBER(INDEX(원자료_잔고!$A$1:$EZ$1500,설정!$L$5+ROW()-1,설정!$L$17)),INDEX(원자료_잔고!$A$1:$EZ$1500,설정!$L$5+ROW()-1,설정!$L$17),""),"")</f>
        <v/>
      </c>
      <c r="L573" s="84" t="str">
        <f aca="false">IFERROR(IF(ISNUMBER(INDEX(원자료_잔고!$A$1:$EZ$1500,설정!$L$5+ROW()-1,설정!$L$18)),INDEX(원자료_잔고!$A$1:$EZ$1500,설정!$L$5+ROW()-1,설정!$L$18),""),"")</f>
        <v/>
      </c>
      <c r="M573" s="88" t="str">
        <f aca="false">IFERROR(IF(ISNUMBER(INDEX(원자료_잔고!$A$1:$EZ$1500,설정!$L$5+ROW()-1,설정!$L$19)),INDEX(원자료_잔고!$A$1:$EZ$1500,설정!$L$5+ROW()-1,설정!$L$19),""),"")</f>
        <v/>
      </c>
      <c r="N573" s="83" t="str">
        <f aca="false">IFERROR(IF(INDEX(원자료_잔고!$A$1:$EZ$1500,설정!$L$5+ROW()-1,설정!$L$21)&amp;""="0","",INDEX(원자료_잔고!$A$1:$EZ$1500,설정!$L$5+ROW()-1,설정!$L$21)&amp;""),"")</f>
        <v/>
      </c>
      <c r="O573" s="83" t="str">
        <f aca="false">IFERROR(IF(INDEX(원자료_잔고!$A$1:$EZ$1500,설정!$L$5+ROW()-1,설정!$L$22)&amp;""="0","",INDEX(원자료_잔고!$A$1:$EZ$1500,설정!$L$5+ROW()-1,설정!$L$22)&amp;""),"")</f>
        <v/>
      </c>
      <c r="P573" s="83" t="str">
        <f aca="false">IFERROR(IF(INDEX(원자료_잔고!$A$1:$EZ$1500,설정!$L$5+ROW()-1,설정!$L$23)&amp;""="0","",INDEX(원자료_잔고!$A$1:$EZ$1500,설정!$L$5+ROW()-1,설정!$L$23)&amp;""),"")</f>
        <v/>
      </c>
      <c r="Q573" s="89" t="n">
        <f aca="false">IF(AND($A573&lt;&gt;"",ISNUMBER(E573)),IF(E573&gt;0,1,0),0)</f>
        <v>0</v>
      </c>
      <c r="R573" s="43" t="str">
        <f aca="false">IF(Q573=1,UPPER(LEFT($A573,FIND(" ",$A573&amp;" ")-1)),"")</f>
        <v/>
      </c>
      <c r="S573" s="89" t="n">
        <f aca="false">IF(Q573=1,IF(OR(ISNUMBER(SEARCH("Float",$A573)),ISNUMBER(SEARCH("FRN",$A573))),1,0),0)</f>
        <v>0</v>
      </c>
      <c r="T573" s="43" t="str">
        <f aca="false">IF(AND(Q573=1,ISNUMBER(I573)),TEXT(I573,"yyyymmdd")&amp;"|"&amp;IF(S573=1,"F",TEXT(J573,"0.000")),"")</f>
        <v/>
      </c>
      <c r="U573" s="90" t="str">
        <f aca="false">IF(AND(Q573=1,ISNUMBER(I573)),(I573-설정!$C$4)/365.25,"")</f>
        <v/>
      </c>
      <c r="V573" s="43" t="str">
        <f aca="false">IF(Q573&lt;&gt;1,"",IF(ISNUMBER(U573),IF(U573&lt;=1,"1년 이하",IF(U573&lt;=2,"1-2년",IF(U573&lt;=3,"2-3년",IF(U573&lt;=4,"3-4년",IF(U573&lt;=5,"4-5년",IF(U573&lt;=7,"5-7년",IF(U573&lt;=10,"7-10년",IF(U573&lt;=20,"10-20년","20년 이상")))))))),"미분류"))</f>
        <v/>
      </c>
      <c r="W573" s="43" t="str">
        <f aca="false">IF(Q573&lt;&gt;1,"",IF(AB573&lt;&gt;"",INDEX(시장분석!$C:$C,AB573),IF(K573=1,"USD","비USD")))</f>
        <v/>
      </c>
      <c r="X573" s="91" t="n">
        <f aca="false">IF(Q573=1,E573*K573/1000000,0)</f>
        <v>0</v>
      </c>
      <c r="Y573" s="89" t="n">
        <f aca="false">IF(R573="T",1,0)</f>
        <v>0</v>
      </c>
      <c r="Z573" s="92" t="str">
        <f aca="false">IF(Q573&lt;&gt;1,"",IF(AD573=1,IF(ISNUMBER(U573),MAX(U573,0),H573),H573))</f>
        <v/>
      </c>
      <c r="AA573" s="91" t="n">
        <f aca="false">IF(Q573=1,IF(ISNUMBER(L573),L573,0)*K573/1000000,0)</f>
        <v>0</v>
      </c>
      <c r="AB573" s="89" t="str">
        <f aca="false">IF(Q573&lt;&gt;1,"",IFERROR(MATCH(VLOOKUP(B573,매핑!$H$4:$I$15,2,0),시장분석!$A$2:$A$601,0)+1,IFERROR(MATCH(R573&amp;"|"&amp;T573,시장분석!$V$2:$V$601,0)+1,IF(COUNTIF(시장분석!$U$2:$U$601,T573)=1,MATCH(T573,시장분석!$U$2:$U$601,0)+1,""))))</f>
        <v/>
      </c>
      <c r="AC573" s="89" t="n">
        <f aca="false">IF(Q573&lt;&gt;1,0,IF(OR(설정!$C$5="전체",AND(설정!$C$5="선택펀드",IFERROR(COUNTIFS(설정!$F$16:$F$36,C573,설정!$G$16:$G$36,"Y")+COUNTIFS(설정!$F$16:$F$36,VALUE(C573),설정!$G$16:$G$36,"Y"),0)&gt;0),C573&amp;""=설정!$C$5&amp;""),1,0))</f>
        <v>0</v>
      </c>
      <c r="AD573" s="89" t="n">
        <f aca="false">IF(Q573&lt;&gt;1,0,IF(OR(S573=1,IF(AB573="",FALSE(),INDEX(시장분석!$R:$R,AB573)=1)),1,0))</f>
        <v>0</v>
      </c>
      <c r="AE573" s="43" t="str">
        <f aca="false">IF(AB573="","",INDEX(시장분석!$A:$A,AB573))</f>
        <v/>
      </c>
      <c r="AF573" s="93" t="str">
        <f aca="false">IF(AB573="","",IF(ISNUMBER(IF(AB573="","",INDEX(시장분석!$E:$E,AB573))),IF(AB573="","",INDEX(시장분석!$E:$E,AB573)),""))</f>
        <v/>
      </c>
      <c r="AG573" s="43" t="str">
        <f aca="false">IF(Q573&lt;&gt;1,"",IF(AB573&lt;&gt;"",IF(AB573="","",INDEX(시장분석!$L:$L,AB573)),IFERROR(IF(VLOOKUP(R573,매핑!$A$4:$E$92,5,0)="","미분류",VLOOKUP(R573,매핑!$A$4:$E$92,5,0)),"미분류")))</f>
        <v/>
      </c>
      <c r="AH573" s="43" t="str">
        <f aca="false">IF(Q573&lt;&gt;1,"",IF(AB573&lt;&gt;"",IF(AB573="","",INDEX(시장분석!$N:$N,AB573)),IFERROR(IF(VLOOKUP(R573,매핑!$A$4:$E$92,4,0)="","미분류",VLOOKUP(R573,매핑!$A$4:$E$92,4,0)),"미분류")))</f>
        <v/>
      </c>
      <c r="AI573" s="43" t="str">
        <f aca="false">IF(Q573&lt;&gt;1,"",IFERROR(IF(VLOOKUP(R573,매핑!$A$4:$E$92,3,0)="","미분류",VLOOKUP(R573,매핑!$A$4:$E$92,3,0)),IF(AB573&lt;&gt;"",IF(AB573="","",INDEX(시장분석!$W:$W,AB573)),"미분류")))</f>
        <v/>
      </c>
      <c r="AJ573" s="43" t="str">
        <f aca="false">IF(Q573&lt;&gt;1,"",IFERROR(VLOOKUP(IF(N573&lt;&gt;"",N573,IF(P573&lt;&gt;"",P573,O573)),설정!$A$15:$D$47,2,0),""))</f>
        <v/>
      </c>
      <c r="AK573" s="43" t="str">
        <f aca="false">IF(Q573&lt;&gt;1,"",IF(AJ573="","무등급",IFERROR(VLOOKUP(AJ573,설정!$A$15:$D$47,3,0),"무등급")))</f>
        <v/>
      </c>
      <c r="AL573" s="89" t="n">
        <f aca="false">IF(AJ573="",99,IFERROR(VLOOKUP(AJ573,설정!$A$15:$D$47,4,0),99))</f>
        <v>99</v>
      </c>
      <c r="AM573" s="94" t="n">
        <f aca="false">IF(ISNUMBER(H573),AA573*1000000*H573/10000,0)</f>
        <v>0</v>
      </c>
      <c r="AN573" s="94" t="n">
        <f aca="false">IF(OR(Y573=1,NOT(ISNUMBER(Z573))),0,AA573*1000000*Z573/10000)</f>
        <v>0</v>
      </c>
      <c r="AO573" s="94" t="n">
        <f aca="false">IF(ISNUMBER(G573),AA573*1000000*G573/100,0)</f>
        <v>0</v>
      </c>
      <c r="AP573" s="94" t="n">
        <f aca="false">IF(ISNUMBER(M573),M573*K573,0)</f>
        <v>0</v>
      </c>
      <c r="AQ573" s="95" t="str">
        <f aca="false">IF(AB573="","",INDEX(시장분석!$AK:$AK,AB573))</f>
        <v/>
      </c>
      <c r="AR573" s="43" t="str">
        <f aca="false">IF(AB573="","-",IF(AB573="","",INDEX(시장분석!$AL:$AL,AB573)))</f>
        <v>-</v>
      </c>
      <c r="AS573" s="96" t="str">
        <f aca="false">IF(AB573="","",INDEX(시장분석!$AJ:$AJ,AB573))</f>
        <v/>
      </c>
      <c r="AT573" s="93" t="n">
        <f aca="false">IF(AB573="",0,IF(AB573="","",INDEX(시장분석!$AN:$AN,AB573)))</f>
        <v>0</v>
      </c>
      <c r="AU573" s="94" t="n">
        <f aca="false">IF(ISNUMBER(Z573),AT573/10000*MAX(Z573-1,0)*AA573*1000000,0)</f>
        <v>0</v>
      </c>
      <c r="AV573" s="94" t="n">
        <f aca="false">AO573+AU573</f>
        <v>0</v>
      </c>
      <c r="AW573" s="43" t="str">
        <f aca="false">IF(Q573&lt;&gt;1,"",TRIM(IF(AD573=1,"FRN ","")&amp;IF(AND(AL573&gt;=10,AL573&lt;99),"BBB0미만 ","")&amp;IF(AJ573="","등급없음 ","")&amp;IF(K573&lt;&gt;1,"비USD ","")&amp;IF(AND(AB573="",Y573=0),"시장데이터없음 ","")&amp;IF(AND(ISNUMBER(U573),U573&lt;0),"만기경과 ","")))</f>
        <v/>
      </c>
      <c r="AX573" s="90" t="n">
        <f aca="false">IF(Q573&lt;&gt;1,1,IF(스프레드쇼크!$C$4="Y",INDEX(스프레드쇼크!$B$12:$L$16,IFERROR(MATCH(AH573,스프레드쇼크!$A$12:$A$16,0),MATCH("목록외",스프레드쇼크!$A$12:$A$16,0)),IFERROR(MATCH(AG573,스프레드쇼크!$B$11:$L$11,0),MATCH("목록외",스프레드쇼크!$B$11:$L$11,0))),1))</f>
        <v>1</v>
      </c>
      <c r="AY573" s="90" t="n">
        <f aca="false">IF(스프레드쇼크!$C$5="Y",IF(ISNUMBER(AF573),MIN(스프레드쇼크!$C$7,MAX(스프레드쇼크!$C$6,AF573/스프레드쇼크!$C$8)),1),1)</f>
        <v>1</v>
      </c>
      <c r="AZ573" s="94" t="n">
        <f aca="false">AN573*AX573*AY573</f>
        <v>0</v>
      </c>
      <c r="BA573" s="90" t="n">
        <f aca="false">IF(ISNUMBER(G573),AA573*G573,0)</f>
        <v>0</v>
      </c>
      <c r="BB573" s="90" t="n">
        <f aca="false">IF(ISNUMBER(G573),AA573,0)</f>
        <v>0</v>
      </c>
      <c r="BC573" s="90" t="n">
        <f aca="false">IF(AND(Y573=0,ISNUMBER(AF573)),AA573*AF573,0)</f>
        <v>0</v>
      </c>
      <c r="BD573" s="90" t="n">
        <f aca="false">IF(AND(Y573=0,ISNUMBER(AF573)),AA573,0)</f>
        <v>0</v>
      </c>
      <c r="BE573" s="90" t="n">
        <f aca="false">IF(ISNUMBER(H573),AA573*H573,0)</f>
        <v>0</v>
      </c>
      <c r="BF573" s="90" t="n">
        <f aca="false">IF(ISNUMBER(H573),AA573,0)</f>
        <v>0</v>
      </c>
      <c r="BG573" s="90" t="n">
        <f aca="false">IF(AND(Y573=0,ISNUMBER(AF573),ISNUMBER(Z573)),AA573*Z573,0)</f>
        <v>0</v>
      </c>
      <c r="BH573" s="90" t="n">
        <f aca="false">IF(AND(Y573=0,ISNUMBER(AF573),ISNUMBER(Z573)),AA573*AT573*MAX(Z573-1,0),0)</f>
        <v>0</v>
      </c>
      <c r="BI573" s="90" t="n">
        <f aca="false">IF(Y573=0,AA573,0)</f>
        <v>0</v>
      </c>
    </row>
    <row r="574" customFormat="false" ht="15" hidden="false" customHeight="false" outlineLevel="0" collapsed="false">
      <c r="A574" s="83" t="str">
        <f aca="false">IFERROR(IF(INDEX(원자료_잔고!$A$1:$EZ$1500,설정!$L$5+ROW()-1,설정!$L$8)&amp;""="0","",INDEX(원자료_잔고!$A$1:$EZ$1500,설정!$L$5+ROW()-1,설정!$L$8)&amp;""),"")</f>
        <v/>
      </c>
      <c r="B574" s="83" t="str">
        <f aca="false">IFERROR(IF(INDEX(원자료_잔고!$A$1:$EZ$1500,설정!$L$5+ROW()-1,설정!$L$7)&amp;""="0","",INDEX(원자료_잔고!$A$1:$EZ$1500,설정!$L$5+ROW()-1,설정!$L$7)&amp;""),"")</f>
        <v/>
      </c>
      <c r="C574" s="83" t="str">
        <f aca="false">IFERROR(IF(INDEX(원자료_잔고!$A$1:$EZ$1500,설정!$L$5+ROW()-1,설정!$L$9)&amp;""="0","",INDEX(원자료_잔고!$A$1:$EZ$1500,설정!$L$5+ROW()-1,설정!$L$9)&amp;""),"")</f>
        <v/>
      </c>
      <c r="D574" s="83" t="str">
        <f aca="false">IFERROR(IF(INDEX(원자료_잔고!$A$1:$EZ$1500,설정!$L$5+ROW()-1,설정!$L$10)&amp;""="0","",INDEX(원자료_잔고!$A$1:$EZ$1500,설정!$L$5+ROW()-1,설정!$L$10)&amp;""),"")</f>
        <v/>
      </c>
      <c r="E574" s="84" t="str">
        <f aca="false">IFERROR(IF(ISNUMBER(INDEX(원자료_잔고!$A$1:$EZ$1500,설정!$L$5+ROW()-1,설정!$L$11)),INDEX(원자료_잔고!$A$1:$EZ$1500,설정!$L$5+ROW()-1,설정!$L$11),""),"")</f>
        <v/>
      </c>
      <c r="F574" s="85" t="str">
        <f aca="false">IFERROR(IF(ISNUMBER(INDEX(원자료_잔고!$A$1:$EZ$1500,설정!$L$5+ROW()-1,설정!$L$12)),INDEX(원자료_잔고!$A$1:$EZ$1500,설정!$L$5+ROW()-1,설정!$L$12),""),"")</f>
        <v/>
      </c>
      <c r="G574" s="85" t="str">
        <f aca="false">IFERROR(IF(ISNUMBER(INDEX(원자료_잔고!$A$1:$EZ$1500,설정!$L$5+ROW()-1,설정!$L$13)),INDEX(원자료_잔고!$A$1:$EZ$1500,설정!$L$5+ROW()-1,설정!$L$13),""),"")</f>
        <v/>
      </c>
      <c r="H574" s="85" t="str">
        <f aca="false">IFERROR(IF(ISNUMBER(INDEX(원자료_잔고!$A$1:$EZ$1500,설정!$L$5+ROW()-1,설정!$L$14)),INDEX(원자료_잔고!$A$1:$EZ$1500,설정!$L$5+ROW()-1,설정!$L$14),""),"")</f>
        <v/>
      </c>
      <c r="I574" s="86" t="str">
        <f aca="false">IFERROR(IF(ISNUMBER(INDEX(원자료_잔고!$A$1:$EZ$1500,설정!$L$5+ROW()-1,설정!$L$15)),INDEX(원자료_잔고!$A$1:$EZ$1500,설정!$L$5+ROW()-1,설정!$L$15),""),"")</f>
        <v/>
      </c>
      <c r="J574" s="85" t="str">
        <f aca="false">IFERROR(IF(ISNUMBER(INDEX(원자료_잔고!$A$1:$EZ$1500,설정!$L$5+ROW()-1,설정!$L$16)),INDEX(원자료_잔고!$A$1:$EZ$1500,설정!$L$5+ROW()-1,설정!$L$16),""),"")</f>
        <v/>
      </c>
      <c r="K574" s="87" t="str">
        <f aca="false">IFERROR(IF(ISNUMBER(INDEX(원자료_잔고!$A$1:$EZ$1500,설정!$L$5+ROW()-1,설정!$L$17)),INDEX(원자료_잔고!$A$1:$EZ$1500,설정!$L$5+ROW()-1,설정!$L$17),""),"")</f>
        <v/>
      </c>
      <c r="L574" s="84" t="str">
        <f aca="false">IFERROR(IF(ISNUMBER(INDEX(원자료_잔고!$A$1:$EZ$1500,설정!$L$5+ROW()-1,설정!$L$18)),INDEX(원자료_잔고!$A$1:$EZ$1500,설정!$L$5+ROW()-1,설정!$L$18),""),"")</f>
        <v/>
      </c>
      <c r="M574" s="88" t="str">
        <f aca="false">IFERROR(IF(ISNUMBER(INDEX(원자료_잔고!$A$1:$EZ$1500,설정!$L$5+ROW()-1,설정!$L$19)),INDEX(원자료_잔고!$A$1:$EZ$1500,설정!$L$5+ROW()-1,설정!$L$19),""),"")</f>
        <v/>
      </c>
      <c r="N574" s="83" t="str">
        <f aca="false">IFERROR(IF(INDEX(원자료_잔고!$A$1:$EZ$1500,설정!$L$5+ROW()-1,설정!$L$21)&amp;""="0","",INDEX(원자료_잔고!$A$1:$EZ$1500,설정!$L$5+ROW()-1,설정!$L$21)&amp;""),"")</f>
        <v/>
      </c>
      <c r="O574" s="83" t="str">
        <f aca="false">IFERROR(IF(INDEX(원자료_잔고!$A$1:$EZ$1500,설정!$L$5+ROW()-1,설정!$L$22)&amp;""="0","",INDEX(원자료_잔고!$A$1:$EZ$1500,설정!$L$5+ROW()-1,설정!$L$22)&amp;""),"")</f>
        <v/>
      </c>
      <c r="P574" s="83" t="str">
        <f aca="false">IFERROR(IF(INDEX(원자료_잔고!$A$1:$EZ$1500,설정!$L$5+ROW()-1,설정!$L$23)&amp;""="0","",INDEX(원자료_잔고!$A$1:$EZ$1500,설정!$L$5+ROW()-1,설정!$L$23)&amp;""),"")</f>
        <v/>
      </c>
      <c r="Q574" s="89" t="n">
        <f aca="false">IF(AND($A574&lt;&gt;"",ISNUMBER(E574)),IF(E574&gt;0,1,0),0)</f>
        <v>0</v>
      </c>
      <c r="R574" s="43" t="str">
        <f aca="false">IF(Q574=1,UPPER(LEFT($A574,FIND(" ",$A574&amp;" ")-1)),"")</f>
        <v/>
      </c>
      <c r="S574" s="89" t="n">
        <f aca="false">IF(Q574=1,IF(OR(ISNUMBER(SEARCH("Float",$A574)),ISNUMBER(SEARCH("FRN",$A574))),1,0),0)</f>
        <v>0</v>
      </c>
      <c r="T574" s="43" t="str">
        <f aca="false">IF(AND(Q574=1,ISNUMBER(I574)),TEXT(I574,"yyyymmdd")&amp;"|"&amp;IF(S574=1,"F",TEXT(J574,"0.000")),"")</f>
        <v/>
      </c>
      <c r="U574" s="90" t="str">
        <f aca="false">IF(AND(Q574=1,ISNUMBER(I574)),(I574-설정!$C$4)/365.25,"")</f>
        <v/>
      </c>
      <c r="V574" s="43" t="str">
        <f aca="false">IF(Q574&lt;&gt;1,"",IF(ISNUMBER(U574),IF(U574&lt;=1,"1년 이하",IF(U574&lt;=2,"1-2년",IF(U574&lt;=3,"2-3년",IF(U574&lt;=4,"3-4년",IF(U574&lt;=5,"4-5년",IF(U574&lt;=7,"5-7년",IF(U574&lt;=10,"7-10년",IF(U574&lt;=20,"10-20년","20년 이상")))))))),"미분류"))</f>
        <v/>
      </c>
      <c r="W574" s="43" t="str">
        <f aca="false">IF(Q574&lt;&gt;1,"",IF(AB574&lt;&gt;"",INDEX(시장분석!$C:$C,AB574),IF(K574=1,"USD","비USD")))</f>
        <v/>
      </c>
      <c r="X574" s="91" t="n">
        <f aca="false">IF(Q574=1,E574*K574/1000000,0)</f>
        <v>0</v>
      </c>
      <c r="Y574" s="89" t="n">
        <f aca="false">IF(R574="T",1,0)</f>
        <v>0</v>
      </c>
      <c r="Z574" s="92" t="str">
        <f aca="false">IF(Q574&lt;&gt;1,"",IF(AD574=1,IF(ISNUMBER(U574),MAX(U574,0),H574),H574))</f>
        <v/>
      </c>
      <c r="AA574" s="91" t="n">
        <f aca="false">IF(Q574=1,IF(ISNUMBER(L574),L574,0)*K574/1000000,0)</f>
        <v>0</v>
      </c>
      <c r="AB574" s="89" t="str">
        <f aca="false">IF(Q574&lt;&gt;1,"",IFERROR(MATCH(VLOOKUP(B574,매핑!$H$4:$I$15,2,0),시장분석!$A$2:$A$601,0)+1,IFERROR(MATCH(R574&amp;"|"&amp;T574,시장분석!$V$2:$V$601,0)+1,IF(COUNTIF(시장분석!$U$2:$U$601,T574)=1,MATCH(T574,시장분석!$U$2:$U$601,0)+1,""))))</f>
        <v/>
      </c>
      <c r="AC574" s="89" t="n">
        <f aca="false">IF(Q574&lt;&gt;1,0,IF(OR(설정!$C$5="전체",AND(설정!$C$5="선택펀드",IFERROR(COUNTIFS(설정!$F$16:$F$36,C574,설정!$G$16:$G$36,"Y")+COUNTIFS(설정!$F$16:$F$36,VALUE(C574),설정!$G$16:$G$36,"Y"),0)&gt;0),C574&amp;""=설정!$C$5&amp;""),1,0))</f>
        <v>0</v>
      </c>
      <c r="AD574" s="89" t="n">
        <f aca="false">IF(Q574&lt;&gt;1,0,IF(OR(S574=1,IF(AB574="",FALSE(),INDEX(시장분석!$R:$R,AB574)=1)),1,0))</f>
        <v>0</v>
      </c>
      <c r="AE574" s="43" t="str">
        <f aca="false">IF(AB574="","",INDEX(시장분석!$A:$A,AB574))</f>
        <v/>
      </c>
      <c r="AF574" s="93" t="str">
        <f aca="false">IF(AB574="","",IF(ISNUMBER(IF(AB574="","",INDEX(시장분석!$E:$E,AB574))),IF(AB574="","",INDEX(시장분석!$E:$E,AB574)),""))</f>
        <v/>
      </c>
      <c r="AG574" s="43" t="str">
        <f aca="false">IF(Q574&lt;&gt;1,"",IF(AB574&lt;&gt;"",IF(AB574="","",INDEX(시장분석!$L:$L,AB574)),IFERROR(IF(VLOOKUP(R574,매핑!$A$4:$E$92,5,0)="","미분류",VLOOKUP(R574,매핑!$A$4:$E$92,5,0)),"미분류")))</f>
        <v/>
      </c>
      <c r="AH574" s="43" t="str">
        <f aca="false">IF(Q574&lt;&gt;1,"",IF(AB574&lt;&gt;"",IF(AB574="","",INDEX(시장분석!$N:$N,AB574)),IFERROR(IF(VLOOKUP(R574,매핑!$A$4:$E$92,4,0)="","미분류",VLOOKUP(R574,매핑!$A$4:$E$92,4,0)),"미분류")))</f>
        <v/>
      </c>
      <c r="AI574" s="43" t="str">
        <f aca="false">IF(Q574&lt;&gt;1,"",IFERROR(IF(VLOOKUP(R574,매핑!$A$4:$E$92,3,0)="","미분류",VLOOKUP(R574,매핑!$A$4:$E$92,3,0)),IF(AB574&lt;&gt;"",IF(AB574="","",INDEX(시장분석!$W:$W,AB574)),"미분류")))</f>
        <v/>
      </c>
      <c r="AJ574" s="43" t="str">
        <f aca="false">IF(Q574&lt;&gt;1,"",IFERROR(VLOOKUP(IF(N574&lt;&gt;"",N574,IF(P574&lt;&gt;"",P574,O574)),설정!$A$15:$D$47,2,0),""))</f>
        <v/>
      </c>
      <c r="AK574" s="43" t="str">
        <f aca="false">IF(Q574&lt;&gt;1,"",IF(AJ574="","무등급",IFERROR(VLOOKUP(AJ574,설정!$A$15:$D$47,3,0),"무등급")))</f>
        <v/>
      </c>
      <c r="AL574" s="89" t="n">
        <f aca="false">IF(AJ574="",99,IFERROR(VLOOKUP(AJ574,설정!$A$15:$D$47,4,0),99))</f>
        <v>99</v>
      </c>
      <c r="AM574" s="94" t="n">
        <f aca="false">IF(ISNUMBER(H574),AA574*1000000*H574/10000,0)</f>
        <v>0</v>
      </c>
      <c r="AN574" s="94" t="n">
        <f aca="false">IF(OR(Y574=1,NOT(ISNUMBER(Z574))),0,AA574*1000000*Z574/10000)</f>
        <v>0</v>
      </c>
      <c r="AO574" s="94" t="n">
        <f aca="false">IF(ISNUMBER(G574),AA574*1000000*G574/100,0)</f>
        <v>0</v>
      </c>
      <c r="AP574" s="94" t="n">
        <f aca="false">IF(ISNUMBER(M574),M574*K574,0)</f>
        <v>0</v>
      </c>
      <c r="AQ574" s="95" t="str">
        <f aca="false">IF(AB574="","",INDEX(시장분석!$AK:$AK,AB574))</f>
        <v/>
      </c>
      <c r="AR574" s="43" t="str">
        <f aca="false">IF(AB574="","-",IF(AB574="","",INDEX(시장분석!$AL:$AL,AB574)))</f>
        <v>-</v>
      </c>
      <c r="AS574" s="96" t="str">
        <f aca="false">IF(AB574="","",INDEX(시장분석!$AJ:$AJ,AB574))</f>
        <v/>
      </c>
      <c r="AT574" s="93" t="n">
        <f aca="false">IF(AB574="",0,IF(AB574="","",INDEX(시장분석!$AN:$AN,AB574)))</f>
        <v>0</v>
      </c>
      <c r="AU574" s="94" t="n">
        <f aca="false">IF(ISNUMBER(Z574),AT574/10000*MAX(Z574-1,0)*AA574*1000000,0)</f>
        <v>0</v>
      </c>
      <c r="AV574" s="94" t="n">
        <f aca="false">AO574+AU574</f>
        <v>0</v>
      </c>
      <c r="AW574" s="43" t="str">
        <f aca="false">IF(Q574&lt;&gt;1,"",TRIM(IF(AD574=1,"FRN ","")&amp;IF(AND(AL574&gt;=10,AL574&lt;99),"BBB0미만 ","")&amp;IF(AJ574="","등급없음 ","")&amp;IF(K574&lt;&gt;1,"비USD ","")&amp;IF(AND(AB574="",Y574=0),"시장데이터없음 ","")&amp;IF(AND(ISNUMBER(U574),U574&lt;0),"만기경과 ","")))</f>
        <v/>
      </c>
      <c r="AX574" s="90" t="n">
        <f aca="false">IF(Q574&lt;&gt;1,1,IF(스프레드쇼크!$C$4="Y",INDEX(스프레드쇼크!$B$12:$L$16,IFERROR(MATCH(AH574,스프레드쇼크!$A$12:$A$16,0),MATCH("목록외",스프레드쇼크!$A$12:$A$16,0)),IFERROR(MATCH(AG574,스프레드쇼크!$B$11:$L$11,0),MATCH("목록외",스프레드쇼크!$B$11:$L$11,0))),1))</f>
        <v>1</v>
      </c>
      <c r="AY574" s="90" t="n">
        <f aca="false">IF(스프레드쇼크!$C$5="Y",IF(ISNUMBER(AF574),MIN(스프레드쇼크!$C$7,MAX(스프레드쇼크!$C$6,AF574/스프레드쇼크!$C$8)),1),1)</f>
        <v>1</v>
      </c>
      <c r="AZ574" s="94" t="n">
        <f aca="false">AN574*AX574*AY574</f>
        <v>0</v>
      </c>
      <c r="BA574" s="90" t="n">
        <f aca="false">IF(ISNUMBER(G574),AA574*G574,0)</f>
        <v>0</v>
      </c>
      <c r="BB574" s="90" t="n">
        <f aca="false">IF(ISNUMBER(G574),AA574,0)</f>
        <v>0</v>
      </c>
      <c r="BC574" s="90" t="n">
        <f aca="false">IF(AND(Y574=0,ISNUMBER(AF574)),AA574*AF574,0)</f>
        <v>0</v>
      </c>
      <c r="BD574" s="90" t="n">
        <f aca="false">IF(AND(Y574=0,ISNUMBER(AF574)),AA574,0)</f>
        <v>0</v>
      </c>
      <c r="BE574" s="90" t="n">
        <f aca="false">IF(ISNUMBER(H574),AA574*H574,0)</f>
        <v>0</v>
      </c>
      <c r="BF574" s="90" t="n">
        <f aca="false">IF(ISNUMBER(H574),AA574,0)</f>
        <v>0</v>
      </c>
      <c r="BG574" s="90" t="n">
        <f aca="false">IF(AND(Y574=0,ISNUMBER(AF574),ISNUMBER(Z574)),AA574*Z574,0)</f>
        <v>0</v>
      </c>
      <c r="BH574" s="90" t="n">
        <f aca="false">IF(AND(Y574=0,ISNUMBER(AF574),ISNUMBER(Z574)),AA574*AT574*MAX(Z574-1,0),0)</f>
        <v>0</v>
      </c>
      <c r="BI574" s="90" t="n">
        <f aca="false">IF(Y574=0,AA574,0)</f>
        <v>0</v>
      </c>
    </row>
    <row r="575" customFormat="false" ht="15" hidden="false" customHeight="false" outlineLevel="0" collapsed="false">
      <c r="A575" s="83" t="str">
        <f aca="false">IFERROR(IF(INDEX(원자료_잔고!$A$1:$EZ$1500,설정!$L$5+ROW()-1,설정!$L$8)&amp;""="0","",INDEX(원자료_잔고!$A$1:$EZ$1500,설정!$L$5+ROW()-1,설정!$L$8)&amp;""),"")</f>
        <v/>
      </c>
      <c r="B575" s="83" t="str">
        <f aca="false">IFERROR(IF(INDEX(원자료_잔고!$A$1:$EZ$1500,설정!$L$5+ROW()-1,설정!$L$7)&amp;""="0","",INDEX(원자료_잔고!$A$1:$EZ$1500,설정!$L$5+ROW()-1,설정!$L$7)&amp;""),"")</f>
        <v/>
      </c>
      <c r="C575" s="83" t="str">
        <f aca="false">IFERROR(IF(INDEX(원자료_잔고!$A$1:$EZ$1500,설정!$L$5+ROW()-1,설정!$L$9)&amp;""="0","",INDEX(원자료_잔고!$A$1:$EZ$1500,설정!$L$5+ROW()-1,설정!$L$9)&amp;""),"")</f>
        <v/>
      </c>
      <c r="D575" s="83" t="str">
        <f aca="false">IFERROR(IF(INDEX(원자료_잔고!$A$1:$EZ$1500,설정!$L$5+ROW()-1,설정!$L$10)&amp;""="0","",INDEX(원자료_잔고!$A$1:$EZ$1500,설정!$L$5+ROW()-1,설정!$L$10)&amp;""),"")</f>
        <v/>
      </c>
      <c r="E575" s="84" t="str">
        <f aca="false">IFERROR(IF(ISNUMBER(INDEX(원자료_잔고!$A$1:$EZ$1500,설정!$L$5+ROW()-1,설정!$L$11)),INDEX(원자료_잔고!$A$1:$EZ$1500,설정!$L$5+ROW()-1,설정!$L$11),""),"")</f>
        <v/>
      </c>
      <c r="F575" s="85" t="str">
        <f aca="false">IFERROR(IF(ISNUMBER(INDEX(원자료_잔고!$A$1:$EZ$1500,설정!$L$5+ROW()-1,설정!$L$12)),INDEX(원자료_잔고!$A$1:$EZ$1500,설정!$L$5+ROW()-1,설정!$L$12),""),"")</f>
        <v/>
      </c>
      <c r="G575" s="85" t="str">
        <f aca="false">IFERROR(IF(ISNUMBER(INDEX(원자료_잔고!$A$1:$EZ$1500,설정!$L$5+ROW()-1,설정!$L$13)),INDEX(원자료_잔고!$A$1:$EZ$1500,설정!$L$5+ROW()-1,설정!$L$13),""),"")</f>
        <v/>
      </c>
      <c r="H575" s="85" t="str">
        <f aca="false">IFERROR(IF(ISNUMBER(INDEX(원자료_잔고!$A$1:$EZ$1500,설정!$L$5+ROW()-1,설정!$L$14)),INDEX(원자료_잔고!$A$1:$EZ$1500,설정!$L$5+ROW()-1,설정!$L$14),""),"")</f>
        <v/>
      </c>
      <c r="I575" s="86" t="str">
        <f aca="false">IFERROR(IF(ISNUMBER(INDEX(원자료_잔고!$A$1:$EZ$1500,설정!$L$5+ROW()-1,설정!$L$15)),INDEX(원자료_잔고!$A$1:$EZ$1500,설정!$L$5+ROW()-1,설정!$L$15),""),"")</f>
        <v/>
      </c>
      <c r="J575" s="85" t="str">
        <f aca="false">IFERROR(IF(ISNUMBER(INDEX(원자료_잔고!$A$1:$EZ$1500,설정!$L$5+ROW()-1,설정!$L$16)),INDEX(원자료_잔고!$A$1:$EZ$1500,설정!$L$5+ROW()-1,설정!$L$16),""),"")</f>
        <v/>
      </c>
      <c r="K575" s="87" t="str">
        <f aca="false">IFERROR(IF(ISNUMBER(INDEX(원자료_잔고!$A$1:$EZ$1500,설정!$L$5+ROW()-1,설정!$L$17)),INDEX(원자료_잔고!$A$1:$EZ$1500,설정!$L$5+ROW()-1,설정!$L$17),""),"")</f>
        <v/>
      </c>
      <c r="L575" s="84" t="str">
        <f aca="false">IFERROR(IF(ISNUMBER(INDEX(원자료_잔고!$A$1:$EZ$1500,설정!$L$5+ROW()-1,설정!$L$18)),INDEX(원자료_잔고!$A$1:$EZ$1500,설정!$L$5+ROW()-1,설정!$L$18),""),"")</f>
        <v/>
      </c>
      <c r="M575" s="88" t="str">
        <f aca="false">IFERROR(IF(ISNUMBER(INDEX(원자료_잔고!$A$1:$EZ$1500,설정!$L$5+ROW()-1,설정!$L$19)),INDEX(원자료_잔고!$A$1:$EZ$1500,설정!$L$5+ROW()-1,설정!$L$19),""),"")</f>
        <v/>
      </c>
      <c r="N575" s="83" t="str">
        <f aca="false">IFERROR(IF(INDEX(원자료_잔고!$A$1:$EZ$1500,설정!$L$5+ROW()-1,설정!$L$21)&amp;""="0","",INDEX(원자료_잔고!$A$1:$EZ$1500,설정!$L$5+ROW()-1,설정!$L$21)&amp;""),"")</f>
        <v/>
      </c>
      <c r="O575" s="83" t="str">
        <f aca="false">IFERROR(IF(INDEX(원자료_잔고!$A$1:$EZ$1500,설정!$L$5+ROW()-1,설정!$L$22)&amp;""="0","",INDEX(원자료_잔고!$A$1:$EZ$1500,설정!$L$5+ROW()-1,설정!$L$22)&amp;""),"")</f>
        <v/>
      </c>
      <c r="P575" s="83" t="str">
        <f aca="false">IFERROR(IF(INDEX(원자료_잔고!$A$1:$EZ$1500,설정!$L$5+ROW()-1,설정!$L$23)&amp;""="0","",INDEX(원자료_잔고!$A$1:$EZ$1500,설정!$L$5+ROW()-1,설정!$L$23)&amp;""),"")</f>
        <v/>
      </c>
      <c r="Q575" s="89" t="n">
        <f aca="false">IF(AND($A575&lt;&gt;"",ISNUMBER(E575)),IF(E575&gt;0,1,0),0)</f>
        <v>0</v>
      </c>
      <c r="R575" s="43" t="str">
        <f aca="false">IF(Q575=1,UPPER(LEFT($A575,FIND(" ",$A575&amp;" ")-1)),"")</f>
        <v/>
      </c>
      <c r="S575" s="89" t="n">
        <f aca="false">IF(Q575=1,IF(OR(ISNUMBER(SEARCH("Float",$A575)),ISNUMBER(SEARCH("FRN",$A575))),1,0),0)</f>
        <v>0</v>
      </c>
      <c r="T575" s="43" t="str">
        <f aca="false">IF(AND(Q575=1,ISNUMBER(I575)),TEXT(I575,"yyyymmdd")&amp;"|"&amp;IF(S575=1,"F",TEXT(J575,"0.000")),"")</f>
        <v/>
      </c>
      <c r="U575" s="90" t="str">
        <f aca="false">IF(AND(Q575=1,ISNUMBER(I575)),(I575-설정!$C$4)/365.25,"")</f>
        <v/>
      </c>
      <c r="V575" s="43" t="str">
        <f aca="false">IF(Q575&lt;&gt;1,"",IF(ISNUMBER(U575),IF(U575&lt;=1,"1년 이하",IF(U575&lt;=2,"1-2년",IF(U575&lt;=3,"2-3년",IF(U575&lt;=4,"3-4년",IF(U575&lt;=5,"4-5년",IF(U575&lt;=7,"5-7년",IF(U575&lt;=10,"7-10년",IF(U575&lt;=20,"10-20년","20년 이상")))))))),"미분류"))</f>
        <v/>
      </c>
      <c r="W575" s="43" t="str">
        <f aca="false">IF(Q575&lt;&gt;1,"",IF(AB575&lt;&gt;"",INDEX(시장분석!$C:$C,AB575),IF(K575=1,"USD","비USD")))</f>
        <v/>
      </c>
      <c r="X575" s="91" t="n">
        <f aca="false">IF(Q575=1,E575*K575/1000000,0)</f>
        <v>0</v>
      </c>
      <c r="Y575" s="89" t="n">
        <f aca="false">IF(R575="T",1,0)</f>
        <v>0</v>
      </c>
      <c r="Z575" s="92" t="str">
        <f aca="false">IF(Q575&lt;&gt;1,"",IF(AD575=1,IF(ISNUMBER(U575),MAX(U575,0),H575),H575))</f>
        <v/>
      </c>
      <c r="AA575" s="91" t="n">
        <f aca="false">IF(Q575=1,IF(ISNUMBER(L575),L575,0)*K575/1000000,0)</f>
        <v>0</v>
      </c>
      <c r="AB575" s="89" t="str">
        <f aca="false">IF(Q575&lt;&gt;1,"",IFERROR(MATCH(VLOOKUP(B575,매핑!$H$4:$I$15,2,0),시장분석!$A$2:$A$601,0)+1,IFERROR(MATCH(R575&amp;"|"&amp;T575,시장분석!$V$2:$V$601,0)+1,IF(COUNTIF(시장분석!$U$2:$U$601,T575)=1,MATCH(T575,시장분석!$U$2:$U$601,0)+1,""))))</f>
        <v/>
      </c>
      <c r="AC575" s="89" t="n">
        <f aca="false">IF(Q575&lt;&gt;1,0,IF(OR(설정!$C$5="전체",AND(설정!$C$5="선택펀드",IFERROR(COUNTIFS(설정!$F$16:$F$36,C575,설정!$G$16:$G$36,"Y")+COUNTIFS(설정!$F$16:$F$36,VALUE(C575),설정!$G$16:$G$36,"Y"),0)&gt;0),C575&amp;""=설정!$C$5&amp;""),1,0))</f>
        <v>0</v>
      </c>
      <c r="AD575" s="89" t="n">
        <f aca="false">IF(Q575&lt;&gt;1,0,IF(OR(S575=1,IF(AB575="",FALSE(),INDEX(시장분석!$R:$R,AB575)=1)),1,0))</f>
        <v>0</v>
      </c>
      <c r="AE575" s="43" t="str">
        <f aca="false">IF(AB575="","",INDEX(시장분석!$A:$A,AB575))</f>
        <v/>
      </c>
      <c r="AF575" s="93" t="str">
        <f aca="false">IF(AB575="","",IF(ISNUMBER(IF(AB575="","",INDEX(시장분석!$E:$E,AB575))),IF(AB575="","",INDEX(시장분석!$E:$E,AB575)),""))</f>
        <v/>
      </c>
      <c r="AG575" s="43" t="str">
        <f aca="false">IF(Q575&lt;&gt;1,"",IF(AB575&lt;&gt;"",IF(AB575="","",INDEX(시장분석!$L:$L,AB575)),IFERROR(IF(VLOOKUP(R575,매핑!$A$4:$E$92,5,0)="","미분류",VLOOKUP(R575,매핑!$A$4:$E$92,5,0)),"미분류")))</f>
        <v/>
      </c>
      <c r="AH575" s="43" t="str">
        <f aca="false">IF(Q575&lt;&gt;1,"",IF(AB575&lt;&gt;"",IF(AB575="","",INDEX(시장분석!$N:$N,AB575)),IFERROR(IF(VLOOKUP(R575,매핑!$A$4:$E$92,4,0)="","미분류",VLOOKUP(R575,매핑!$A$4:$E$92,4,0)),"미분류")))</f>
        <v/>
      </c>
      <c r="AI575" s="43" t="str">
        <f aca="false">IF(Q575&lt;&gt;1,"",IFERROR(IF(VLOOKUP(R575,매핑!$A$4:$E$92,3,0)="","미분류",VLOOKUP(R575,매핑!$A$4:$E$92,3,0)),IF(AB575&lt;&gt;"",IF(AB575="","",INDEX(시장분석!$W:$W,AB575)),"미분류")))</f>
        <v/>
      </c>
      <c r="AJ575" s="43" t="str">
        <f aca="false">IF(Q575&lt;&gt;1,"",IFERROR(VLOOKUP(IF(N575&lt;&gt;"",N575,IF(P575&lt;&gt;"",P575,O575)),설정!$A$15:$D$47,2,0),""))</f>
        <v/>
      </c>
      <c r="AK575" s="43" t="str">
        <f aca="false">IF(Q575&lt;&gt;1,"",IF(AJ575="","무등급",IFERROR(VLOOKUP(AJ575,설정!$A$15:$D$47,3,0),"무등급")))</f>
        <v/>
      </c>
      <c r="AL575" s="89" t="n">
        <f aca="false">IF(AJ575="",99,IFERROR(VLOOKUP(AJ575,설정!$A$15:$D$47,4,0),99))</f>
        <v>99</v>
      </c>
      <c r="AM575" s="94" t="n">
        <f aca="false">IF(ISNUMBER(H575),AA575*1000000*H575/10000,0)</f>
        <v>0</v>
      </c>
      <c r="AN575" s="94" t="n">
        <f aca="false">IF(OR(Y575=1,NOT(ISNUMBER(Z575))),0,AA575*1000000*Z575/10000)</f>
        <v>0</v>
      </c>
      <c r="AO575" s="94" t="n">
        <f aca="false">IF(ISNUMBER(G575),AA575*1000000*G575/100,0)</f>
        <v>0</v>
      </c>
      <c r="AP575" s="94" t="n">
        <f aca="false">IF(ISNUMBER(M575),M575*K575,0)</f>
        <v>0</v>
      </c>
      <c r="AQ575" s="95" t="str">
        <f aca="false">IF(AB575="","",INDEX(시장분석!$AK:$AK,AB575))</f>
        <v/>
      </c>
      <c r="AR575" s="43" t="str">
        <f aca="false">IF(AB575="","-",IF(AB575="","",INDEX(시장분석!$AL:$AL,AB575)))</f>
        <v>-</v>
      </c>
      <c r="AS575" s="96" t="str">
        <f aca="false">IF(AB575="","",INDEX(시장분석!$AJ:$AJ,AB575))</f>
        <v/>
      </c>
      <c r="AT575" s="93" t="n">
        <f aca="false">IF(AB575="",0,IF(AB575="","",INDEX(시장분석!$AN:$AN,AB575)))</f>
        <v>0</v>
      </c>
      <c r="AU575" s="94" t="n">
        <f aca="false">IF(ISNUMBER(Z575),AT575/10000*MAX(Z575-1,0)*AA575*1000000,0)</f>
        <v>0</v>
      </c>
      <c r="AV575" s="94" t="n">
        <f aca="false">AO575+AU575</f>
        <v>0</v>
      </c>
      <c r="AW575" s="43" t="str">
        <f aca="false">IF(Q575&lt;&gt;1,"",TRIM(IF(AD575=1,"FRN ","")&amp;IF(AND(AL575&gt;=10,AL575&lt;99),"BBB0미만 ","")&amp;IF(AJ575="","등급없음 ","")&amp;IF(K575&lt;&gt;1,"비USD ","")&amp;IF(AND(AB575="",Y575=0),"시장데이터없음 ","")&amp;IF(AND(ISNUMBER(U575),U575&lt;0),"만기경과 ","")))</f>
        <v/>
      </c>
      <c r="AX575" s="90" t="n">
        <f aca="false">IF(Q575&lt;&gt;1,1,IF(스프레드쇼크!$C$4="Y",INDEX(스프레드쇼크!$B$12:$L$16,IFERROR(MATCH(AH575,스프레드쇼크!$A$12:$A$16,0),MATCH("목록외",스프레드쇼크!$A$12:$A$16,0)),IFERROR(MATCH(AG575,스프레드쇼크!$B$11:$L$11,0),MATCH("목록외",스프레드쇼크!$B$11:$L$11,0))),1))</f>
        <v>1</v>
      </c>
      <c r="AY575" s="90" t="n">
        <f aca="false">IF(스프레드쇼크!$C$5="Y",IF(ISNUMBER(AF575),MIN(스프레드쇼크!$C$7,MAX(스프레드쇼크!$C$6,AF575/스프레드쇼크!$C$8)),1),1)</f>
        <v>1</v>
      </c>
      <c r="AZ575" s="94" t="n">
        <f aca="false">AN575*AX575*AY575</f>
        <v>0</v>
      </c>
      <c r="BA575" s="90" t="n">
        <f aca="false">IF(ISNUMBER(G575),AA575*G575,0)</f>
        <v>0</v>
      </c>
      <c r="BB575" s="90" t="n">
        <f aca="false">IF(ISNUMBER(G575),AA575,0)</f>
        <v>0</v>
      </c>
      <c r="BC575" s="90" t="n">
        <f aca="false">IF(AND(Y575=0,ISNUMBER(AF575)),AA575*AF575,0)</f>
        <v>0</v>
      </c>
      <c r="BD575" s="90" t="n">
        <f aca="false">IF(AND(Y575=0,ISNUMBER(AF575)),AA575,0)</f>
        <v>0</v>
      </c>
      <c r="BE575" s="90" t="n">
        <f aca="false">IF(ISNUMBER(H575),AA575*H575,0)</f>
        <v>0</v>
      </c>
      <c r="BF575" s="90" t="n">
        <f aca="false">IF(ISNUMBER(H575),AA575,0)</f>
        <v>0</v>
      </c>
      <c r="BG575" s="90" t="n">
        <f aca="false">IF(AND(Y575=0,ISNUMBER(AF575),ISNUMBER(Z575)),AA575*Z575,0)</f>
        <v>0</v>
      </c>
      <c r="BH575" s="90" t="n">
        <f aca="false">IF(AND(Y575=0,ISNUMBER(AF575),ISNUMBER(Z575)),AA575*AT575*MAX(Z575-1,0),0)</f>
        <v>0</v>
      </c>
      <c r="BI575" s="90" t="n">
        <f aca="false">IF(Y575=0,AA575,0)</f>
        <v>0</v>
      </c>
    </row>
    <row r="576" customFormat="false" ht="15" hidden="false" customHeight="false" outlineLevel="0" collapsed="false">
      <c r="A576" s="83" t="str">
        <f aca="false">IFERROR(IF(INDEX(원자료_잔고!$A$1:$EZ$1500,설정!$L$5+ROW()-1,설정!$L$8)&amp;""="0","",INDEX(원자료_잔고!$A$1:$EZ$1500,설정!$L$5+ROW()-1,설정!$L$8)&amp;""),"")</f>
        <v/>
      </c>
      <c r="B576" s="83" t="str">
        <f aca="false">IFERROR(IF(INDEX(원자료_잔고!$A$1:$EZ$1500,설정!$L$5+ROW()-1,설정!$L$7)&amp;""="0","",INDEX(원자료_잔고!$A$1:$EZ$1500,설정!$L$5+ROW()-1,설정!$L$7)&amp;""),"")</f>
        <v/>
      </c>
      <c r="C576" s="83" t="str">
        <f aca="false">IFERROR(IF(INDEX(원자료_잔고!$A$1:$EZ$1500,설정!$L$5+ROW()-1,설정!$L$9)&amp;""="0","",INDEX(원자료_잔고!$A$1:$EZ$1500,설정!$L$5+ROW()-1,설정!$L$9)&amp;""),"")</f>
        <v/>
      </c>
      <c r="D576" s="83" t="str">
        <f aca="false">IFERROR(IF(INDEX(원자료_잔고!$A$1:$EZ$1500,설정!$L$5+ROW()-1,설정!$L$10)&amp;""="0","",INDEX(원자료_잔고!$A$1:$EZ$1500,설정!$L$5+ROW()-1,설정!$L$10)&amp;""),"")</f>
        <v/>
      </c>
      <c r="E576" s="84" t="str">
        <f aca="false">IFERROR(IF(ISNUMBER(INDEX(원자료_잔고!$A$1:$EZ$1500,설정!$L$5+ROW()-1,설정!$L$11)),INDEX(원자료_잔고!$A$1:$EZ$1500,설정!$L$5+ROW()-1,설정!$L$11),""),"")</f>
        <v/>
      </c>
      <c r="F576" s="85" t="str">
        <f aca="false">IFERROR(IF(ISNUMBER(INDEX(원자료_잔고!$A$1:$EZ$1500,설정!$L$5+ROW()-1,설정!$L$12)),INDEX(원자료_잔고!$A$1:$EZ$1500,설정!$L$5+ROW()-1,설정!$L$12),""),"")</f>
        <v/>
      </c>
      <c r="G576" s="85" t="str">
        <f aca="false">IFERROR(IF(ISNUMBER(INDEX(원자료_잔고!$A$1:$EZ$1500,설정!$L$5+ROW()-1,설정!$L$13)),INDEX(원자료_잔고!$A$1:$EZ$1500,설정!$L$5+ROW()-1,설정!$L$13),""),"")</f>
        <v/>
      </c>
      <c r="H576" s="85" t="str">
        <f aca="false">IFERROR(IF(ISNUMBER(INDEX(원자료_잔고!$A$1:$EZ$1500,설정!$L$5+ROW()-1,설정!$L$14)),INDEX(원자료_잔고!$A$1:$EZ$1500,설정!$L$5+ROW()-1,설정!$L$14),""),"")</f>
        <v/>
      </c>
      <c r="I576" s="86" t="str">
        <f aca="false">IFERROR(IF(ISNUMBER(INDEX(원자료_잔고!$A$1:$EZ$1500,설정!$L$5+ROW()-1,설정!$L$15)),INDEX(원자료_잔고!$A$1:$EZ$1500,설정!$L$5+ROW()-1,설정!$L$15),""),"")</f>
        <v/>
      </c>
      <c r="J576" s="85" t="str">
        <f aca="false">IFERROR(IF(ISNUMBER(INDEX(원자료_잔고!$A$1:$EZ$1500,설정!$L$5+ROW()-1,설정!$L$16)),INDEX(원자료_잔고!$A$1:$EZ$1500,설정!$L$5+ROW()-1,설정!$L$16),""),"")</f>
        <v/>
      </c>
      <c r="K576" s="87" t="str">
        <f aca="false">IFERROR(IF(ISNUMBER(INDEX(원자료_잔고!$A$1:$EZ$1500,설정!$L$5+ROW()-1,설정!$L$17)),INDEX(원자료_잔고!$A$1:$EZ$1500,설정!$L$5+ROW()-1,설정!$L$17),""),"")</f>
        <v/>
      </c>
      <c r="L576" s="84" t="str">
        <f aca="false">IFERROR(IF(ISNUMBER(INDEX(원자료_잔고!$A$1:$EZ$1500,설정!$L$5+ROW()-1,설정!$L$18)),INDEX(원자료_잔고!$A$1:$EZ$1500,설정!$L$5+ROW()-1,설정!$L$18),""),"")</f>
        <v/>
      </c>
      <c r="M576" s="88" t="str">
        <f aca="false">IFERROR(IF(ISNUMBER(INDEX(원자료_잔고!$A$1:$EZ$1500,설정!$L$5+ROW()-1,설정!$L$19)),INDEX(원자료_잔고!$A$1:$EZ$1500,설정!$L$5+ROW()-1,설정!$L$19),""),"")</f>
        <v/>
      </c>
      <c r="N576" s="83" t="str">
        <f aca="false">IFERROR(IF(INDEX(원자료_잔고!$A$1:$EZ$1500,설정!$L$5+ROW()-1,설정!$L$21)&amp;""="0","",INDEX(원자료_잔고!$A$1:$EZ$1500,설정!$L$5+ROW()-1,설정!$L$21)&amp;""),"")</f>
        <v/>
      </c>
      <c r="O576" s="83" t="str">
        <f aca="false">IFERROR(IF(INDEX(원자료_잔고!$A$1:$EZ$1500,설정!$L$5+ROW()-1,설정!$L$22)&amp;""="0","",INDEX(원자료_잔고!$A$1:$EZ$1500,설정!$L$5+ROW()-1,설정!$L$22)&amp;""),"")</f>
        <v/>
      </c>
      <c r="P576" s="83" t="str">
        <f aca="false">IFERROR(IF(INDEX(원자료_잔고!$A$1:$EZ$1500,설정!$L$5+ROW()-1,설정!$L$23)&amp;""="0","",INDEX(원자료_잔고!$A$1:$EZ$1500,설정!$L$5+ROW()-1,설정!$L$23)&amp;""),"")</f>
        <v/>
      </c>
      <c r="Q576" s="89" t="n">
        <f aca="false">IF(AND($A576&lt;&gt;"",ISNUMBER(E576)),IF(E576&gt;0,1,0),0)</f>
        <v>0</v>
      </c>
      <c r="R576" s="43" t="str">
        <f aca="false">IF(Q576=1,UPPER(LEFT($A576,FIND(" ",$A576&amp;" ")-1)),"")</f>
        <v/>
      </c>
      <c r="S576" s="89" t="n">
        <f aca="false">IF(Q576=1,IF(OR(ISNUMBER(SEARCH("Float",$A576)),ISNUMBER(SEARCH("FRN",$A576))),1,0),0)</f>
        <v>0</v>
      </c>
      <c r="T576" s="43" t="str">
        <f aca="false">IF(AND(Q576=1,ISNUMBER(I576)),TEXT(I576,"yyyymmdd")&amp;"|"&amp;IF(S576=1,"F",TEXT(J576,"0.000")),"")</f>
        <v/>
      </c>
      <c r="U576" s="90" t="str">
        <f aca="false">IF(AND(Q576=1,ISNUMBER(I576)),(I576-설정!$C$4)/365.25,"")</f>
        <v/>
      </c>
      <c r="V576" s="43" t="str">
        <f aca="false">IF(Q576&lt;&gt;1,"",IF(ISNUMBER(U576),IF(U576&lt;=1,"1년 이하",IF(U576&lt;=2,"1-2년",IF(U576&lt;=3,"2-3년",IF(U576&lt;=4,"3-4년",IF(U576&lt;=5,"4-5년",IF(U576&lt;=7,"5-7년",IF(U576&lt;=10,"7-10년",IF(U576&lt;=20,"10-20년","20년 이상")))))))),"미분류"))</f>
        <v/>
      </c>
      <c r="W576" s="43" t="str">
        <f aca="false">IF(Q576&lt;&gt;1,"",IF(AB576&lt;&gt;"",INDEX(시장분석!$C:$C,AB576),IF(K576=1,"USD","비USD")))</f>
        <v/>
      </c>
      <c r="X576" s="91" t="n">
        <f aca="false">IF(Q576=1,E576*K576/1000000,0)</f>
        <v>0</v>
      </c>
      <c r="Y576" s="89" t="n">
        <f aca="false">IF(R576="T",1,0)</f>
        <v>0</v>
      </c>
      <c r="Z576" s="92" t="str">
        <f aca="false">IF(Q576&lt;&gt;1,"",IF(AD576=1,IF(ISNUMBER(U576),MAX(U576,0),H576),H576))</f>
        <v/>
      </c>
      <c r="AA576" s="91" t="n">
        <f aca="false">IF(Q576=1,IF(ISNUMBER(L576),L576,0)*K576/1000000,0)</f>
        <v>0</v>
      </c>
      <c r="AB576" s="89" t="str">
        <f aca="false">IF(Q576&lt;&gt;1,"",IFERROR(MATCH(VLOOKUP(B576,매핑!$H$4:$I$15,2,0),시장분석!$A$2:$A$601,0)+1,IFERROR(MATCH(R576&amp;"|"&amp;T576,시장분석!$V$2:$V$601,0)+1,IF(COUNTIF(시장분석!$U$2:$U$601,T576)=1,MATCH(T576,시장분석!$U$2:$U$601,0)+1,""))))</f>
        <v/>
      </c>
      <c r="AC576" s="89" t="n">
        <f aca="false">IF(Q576&lt;&gt;1,0,IF(OR(설정!$C$5="전체",AND(설정!$C$5="선택펀드",IFERROR(COUNTIFS(설정!$F$16:$F$36,C576,설정!$G$16:$G$36,"Y")+COUNTIFS(설정!$F$16:$F$36,VALUE(C576),설정!$G$16:$G$36,"Y"),0)&gt;0),C576&amp;""=설정!$C$5&amp;""),1,0))</f>
        <v>0</v>
      </c>
      <c r="AD576" s="89" t="n">
        <f aca="false">IF(Q576&lt;&gt;1,0,IF(OR(S576=1,IF(AB576="",FALSE(),INDEX(시장분석!$R:$R,AB576)=1)),1,0))</f>
        <v>0</v>
      </c>
      <c r="AE576" s="43" t="str">
        <f aca="false">IF(AB576="","",INDEX(시장분석!$A:$A,AB576))</f>
        <v/>
      </c>
      <c r="AF576" s="93" t="str">
        <f aca="false">IF(AB576="","",IF(ISNUMBER(IF(AB576="","",INDEX(시장분석!$E:$E,AB576))),IF(AB576="","",INDEX(시장분석!$E:$E,AB576)),""))</f>
        <v/>
      </c>
      <c r="AG576" s="43" t="str">
        <f aca="false">IF(Q576&lt;&gt;1,"",IF(AB576&lt;&gt;"",IF(AB576="","",INDEX(시장분석!$L:$L,AB576)),IFERROR(IF(VLOOKUP(R576,매핑!$A$4:$E$92,5,0)="","미분류",VLOOKUP(R576,매핑!$A$4:$E$92,5,0)),"미분류")))</f>
        <v/>
      </c>
      <c r="AH576" s="43" t="str">
        <f aca="false">IF(Q576&lt;&gt;1,"",IF(AB576&lt;&gt;"",IF(AB576="","",INDEX(시장분석!$N:$N,AB576)),IFERROR(IF(VLOOKUP(R576,매핑!$A$4:$E$92,4,0)="","미분류",VLOOKUP(R576,매핑!$A$4:$E$92,4,0)),"미분류")))</f>
        <v/>
      </c>
      <c r="AI576" s="43" t="str">
        <f aca="false">IF(Q576&lt;&gt;1,"",IFERROR(IF(VLOOKUP(R576,매핑!$A$4:$E$92,3,0)="","미분류",VLOOKUP(R576,매핑!$A$4:$E$92,3,0)),IF(AB576&lt;&gt;"",IF(AB576="","",INDEX(시장분석!$W:$W,AB576)),"미분류")))</f>
        <v/>
      </c>
      <c r="AJ576" s="43" t="str">
        <f aca="false">IF(Q576&lt;&gt;1,"",IFERROR(VLOOKUP(IF(N576&lt;&gt;"",N576,IF(P576&lt;&gt;"",P576,O576)),설정!$A$15:$D$47,2,0),""))</f>
        <v/>
      </c>
      <c r="AK576" s="43" t="str">
        <f aca="false">IF(Q576&lt;&gt;1,"",IF(AJ576="","무등급",IFERROR(VLOOKUP(AJ576,설정!$A$15:$D$47,3,0),"무등급")))</f>
        <v/>
      </c>
      <c r="AL576" s="89" t="n">
        <f aca="false">IF(AJ576="",99,IFERROR(VLOOKUP(AJ576,설정!$A$15:$D$47,4,0),99))</f>
        <v>99</v>
      </c>
      <c r="AM576" s="94" t="n">
        <f aca="false">IF(ISNUMBER(H576),AA576*1000000*H576/10000,0)</f>
        <v>0</v>
      </c>
      <c r="AN576" s="94" t="n">
        <f aca="false">IF(OR(Y576=1,NOT(ISNUMBER(Z576))),0,AA576*1000000*Z576/10000)</f>
        <v>0</v>
      </c>
      <c r="AO576" s="94" t="n">
        <f aca="false">IF(ISNUMBER(G576),AA576*1000000*G576/100,0)</f>
        <v>0</v>
      </c>
      <c r="AP576" s="94" t="n">
        <f aca="false">IF(ISNUMBER(M576),M576*K576,0)</f>
        <v>0</v>
      </c>
      <c r="AQ576" s="95" t="str">
        <f aca="false">IF(AB576="","",INDEX(시장분석!$AK:$AK,AB576))</f>
        <v/>
      </c>
      <c r="AR576" s="43" t="str">
        <f aca="false">IF(AB576="","-",IF(AB576="","",INDEX(시장분석!$AL:$AL,AB576)))</f>
        <v>-</v>
      </c>
      <c r="AS576" s="96" t="str">
        <f aca="false">IF(AB576="","",INDEX(시장분석!$AJ:$AJ,AB576))</f>
        <v/>
      </c>
      <c r="AT576" s="93" t="n">
        <f aca="false">IF(AB576="",0,IF(AB576="","",INDEX(시장분석!$AN:$AN,AB576)))</f>
        <v>0</v>
      </c>
      <c r="AU576" s="94" t="n">
        <f aca="false">IF(ISNUMBER(Z576),AT576/10000*MAX(Z576-1,0)*AA576*1000000,0)</f>
        <v>0</v>
      </c>
      <c r="AV576" s="94" t="n">
        <f aca="false">AO576+AU576</f>
        <v>0</v>
      </c>
      <c r="AW576" s="43" t="str">
        <f aca="false">IF(Q576&lt;&gt;1,"",TRIM(IF(AD576=1,"FRN ","")&amp;IF(AND(AL576&gt;=10,AL576&lt;99),"BBB0미만 ","")&amp;IF(AJ576="","등급없음 ","")&amp;IF(K576&lt;&gt;1,"비USD ","")&amp;IF(AND(AB576="",Y576=0),"시장데이터없음 ","")&amp;IF(AND(ISNUMBER(U576),U576&lt;0),"만기경과 ","")))</f>
        <v/>
      </c>
      <c r="AX576" s="90" t="n">
        <f aca="false">IF(Q576&lt;&gt;1,1,IF(스프레드쇼크!$C$4="Y",INDEX(스프레드쇼크!$B$12:$L$16,IFERROR(MATCH(AH576,스프레드쇼크!$A$12:$A$16,0),MATCH("목록외",스프레드쇼크!$A$12:$A$16,0)),IFERROR(MATCH(AG576,스프레드쇼크!$B$11:$L$11,0),MATCH("목록외",스프레드쇼크!$B$11:$L$11,0))),1))</f>
        <v>1</v>
      </c>
      <c r="AY576" s="90" t="n">
        <f aca="false">IF(스프레드쇼크!$C$5="Y",IF(ISNUMBER(AF576),MIN(스프레드쇼크!$C$7,MAX(스프레드쇼크!$C$6,AF576/스프레드쇼크!$C$8)),1),1)</f>
        <v>1</v>
      </c>
      <c r="AZ576" s="94" t="n">
        <f aca="false">AN576*AX576*AY576</f>
        <v>0</v>
      </c>
      <c r="BA576" s="90" t="n">
        <f aca="false">IF(ISNUMBER(G576),AA576*G576,0)</f>
        <v>0</v>
      </c>
      <c r="BB576" s="90" t="n">
        <f aca="false">IF(ISNUMBER(G576),AA576,0)</f>
        <v>0</v>
      </c>
      <c r="BC576" s="90" t="n">
        <f aca="false">IF(AND(Y576=0,ISNUMBER(AF576)),AA576*AF576,0)</f>
        <v>0</v>
      </c>
      <c r="BD576" s="90" t="n">
        <f aca="false">IF(AND(Y576=0,ISNUMBER(AF576)),AA576,0)</f>
        <v>0</v>
      </c>
      <c r="BE576" s="90" t="n">
        <f aca="false">IF(ISNUMBER(H576),AA576*H576,0)</f>
        <v>0</v>
      </c>
      <c r="BF576" s="90" t="n">
        <f aca="false">IF(ISNUMBER(H576),AA576,0)</f>
        <v>0</v>
      </c>
      <c r="BG576" s="90" t="n">
        <f aca="false">IF(AND(Y576=0,ISNUMBER(AF576),ISNUMBER(Z576)),AA576*Z576,0)</f>
        <v>0</v>
      </c>
      <c r="BH576" s="90" t="n">
        <f aca="false">IF(AND(Y576=0,ISNUMBER(AF576),ISNUMBER(Z576)),AA576*AT576*MAX(Z576-1,0),0)</f>
        <v>0</v>
      </c>
      <c r="BI576" s="90" t="n">
        <f aca="false">IF(Y576=0,AA576,0)</f>
        <v>0</v>
      </c>
    </row>
    <row r="577" customFormat="false" ht="15" hidden="false" customHeight="false" outlineLevel="0" collapsed="false">
      <c r="A577" s="83" t="str">
        <f aca="false">IFERROR(IF(INDEX(원자료_잔고!$A$1:$EZ$1500,설정!$L$5+ROW()-1,설정!$L$8)&amp;""="0","",INDEX(원자료_잔고!$A$1:$EZ$1500,설정!$L$5+ROW()-1,설정!$L$8)&amp;""),"")</f>
        <v/>
      </c>
      <c r="B577" s="83" t="str">
        <f aca="false">IFERROR(IF(INDEX(원자료_잔고!$A$1:$EZ$1500,설정!$L$5+ROW()-1,설정!$L$7)&amp;""="0","",INDEX(원자료_잔고!$A$1:$EZ$1500,설정!$L$5+ROW()-1,설정!$L$7)&amp;""),"")</f>
        <v/>
      </c>
      <c r="C577" s="83" t="str">
        <f aca="false">IFERROR(IF(INDEX(원자료_잔고!$A$1:$EZ$1500,설정!$L$5+ROW()-1,설정!$L$9)&amp;""="0","",INDEX(원자료_잔고!$A$1:$EZ$1500,설정!$L$5+ROW()-1,설정!$L$9)&amp;""),"")</f>
        <v/>
      </c>
      <c r="D577" s="83" t="str">
        <f aca="false">IFERROR(IF(INDEX(원자료_잔고!$A$1:$EZ$1500,설정!$L$5+ROW()-1,설정!$L$10)&amp;""="0","",INDEX(원자료_잔고!$A$1:$EZ$1500,설정!$L$5+ROW()-1,설정!$L$10)&amp;""),"")</f>
        <v/>
      </c>
      <c r="E577" s="84" t="str">
        <f aca="false">IFERROR(IF(ISNUMBER(INDEX(원자료_잔고!$A$1:$EZ$1500,설정!$L$5+ROW()-1,설정!$L$11)),INDEX(원자료_잔고!$A$1:$EZ$1500,설정!$L$5+ROW()-1,설정!$L$11),""),"")</f>
        <v/>
      </c>
      <c r="F577" s="85" t="str">
        <f aca="false">IFERROR(IF(ISNUMBER(INDEX(원자료_잔고!$A$1:$EZ$1500,설정!$L$5+ROW()-1,설정!$L$12)),INDEX(원자료_잔고!$A$1:$EZ$1500,설정!$L$5+ROW()-1,설정!$L$12),""),"")</f>
        <v/>
      </c>
      <c r="G577" s="85" t="str">
        <f aca="false">IFERROR(IF(ISNUMBER(INDEX(원자료_잔고!$A$1:$EZ$1500,설정!$L$5+ROW()-1,설정!$L$13)),INDEX(원자료_잔고!$A$1:$EZ$1500,설정!$L$5+ROW()-1,설정!$L$13),""),"")</f>
        <v/>
      </c>
      <c r="H577" s="85" t="str">
        <f aca="false">IFERROR(IF(ISNUMBER(INDEX(원자료_잔고!$A$1:$EZ$1500,설정!$L$5+ROW()-1,설정!$L$14)),INDEX(원자료_잔고!$A$1:$EZ$1500,설정!$L$5+ROW()-1,설정!$L$14),""),"")</f>
        <v/>
      </c>
      <c r="I577" s="86" t="str">
        <f aca="false">IFERROR(IF(ISNUMBER(INDEX(원자료_잔고!$A$1:$EZ$1500,설정!$L$5+ROW()-1,설정!$L$15)),INDEX(원자료_잔고!$A$1:$EZ$1500,설정!$L$5+ROW()-1,설정!$L$15),""),"")</f>
        <v/>
      </c>
      <c r="J577" s="85" t="str">
        <f aca="false">IFERROR(IF(ISNUMBER(INDEX(원자료_잔고!$A$1:$EZ$1500,설정!$L$5+ROW()-1,설정!$L$16)),INDEX(원자료_잔고!$A$1:$EZ$1500,설정!$L$5+ROW()-1,설정!$L$16),""),"")</f>
        <v/>
      </c>
      <c r="K577" s="87" t="str">
        <f aca="false">IFERROR(IF(ISNUMBER(INDEX(원자료_잔고!$A$1:$EZ$1500,설정!$L$5+ROW()-1,설정!$L$17)),INDEX(원자료_잔고!$A$1:$EZ$1500,설정!$L$5+ROW()-1,설정!$L$17),""),"")</f>
        <v/>
      </c>
      <c r="L577" s="84" t="str">
        <f aca="false">IFERROR(IF(ISNUMBER(INDEX(원자료_잔고!$A$1:$EZ$1500,설정!$L$5+ROW()-1,설정!$L$18)),INDEX(원자료_잔고!$A$1:$EZ$1500,설정!$L$5+ROW()-1,설정!$L$18),""),"")</f>
        <v/>
      </c>
      <c r="M577" s="88" t="str">
        <f aca="false">IFERROR(IF(ISNUMBER(INDEX(원자료_잔고!$A$1:$EZ$1500,설정!$L$5+ROW()-1,설정!$L$19)),INDEX(원자료_잔고!$A$1:$EZ$1500,설정!$L$5+ROW()-1,설정!$L$19),""),"")</f>
        <v/>
      </c>
      <c r="N577" s="83" t="str">
        <f aca="false">IFERROR(IF(INDEX(원자료_잔고!$A$1:$EZ$1500,설정!$L$5+ROW()-1,설정!$L$21)&amp;""="0","",INDEX(원자료_잔고!$A$1:$EZ$1500,설정!$L$5+ROW()-1,설정!$L$21)&amp;""),"")</f>
        <v/>
      </c>
      <c r="O577" s="83" t="str">
        <f aca="false">IFERROR(IF(INDEX(원자료_잔고!$A$1:$EZ$1500,설정!$L$5+ROW()-1,설정!$L$22)&amp;""="0","",INDEX(원자료_잔고!$A$1:$EZ$1500,설정!$L$5+ROW()-1,설정!$L$22)&amp;""),"")</f>
        <v/>
      </c>
      <c r="P577" s="83" t="str">
        <f aca="false">IFERROR(IF(INDEX(원자료_잔고!$A$1:$EZ$1500,설정!$L$5+ROW()-1,설정!$L$23)&amp;""="0","",INDEX(원자료_잔고!$A$1:$EZ$1500,설정!$L$5+ROW()-1,설정!$L$23)&amp;""),"")</f>
        <v/>
      </c>
      <c r="Q577" s="89" t="n">
        <f aca="false">IF(AND($A577&lt;&gt;"",ISNUMBER(E577)),IF(E577&gt;0,1,0),0)</f>
        <v>0</v>
      </c>
      <c r="R577" s="43" t="str">
        <f aca="false">IF(Q577=1,UPPER(LEFT($A577,FIND(" ",$A577&amp;" ")-1)),"")</f>
        <v/>
      </c>
      <c r="S577" s="89" t="n">
        <f aca="false">IF(Q577=1,IF(OR(ISNUMBER(SEARCH("Float",$A577)),ISNUMBER(SEARCH("FRN",$A577))),1,0),0)</f>
        <v>0</v>
      </c>
      <c r="T577" s="43" t="str">
        <f aca="false">IF(AND(Q577=1,ISNUMBER(I577)),TEXT(I577,"yyyymmdd")&amp;"|"&amp;IF(S577=1,"F",TEXT(J577,"0.000")),"")</f>
        <v/>
      </c>
      <c r="U577" s="90" t="str">
        <f aca="false">IF(AND(Q577=1,ISNUMBER(I577)),(I577-설정!$C$4)/365.25,"")</f>
        <v/>
      </c>
      <c r="V577" s="43" t="str">
        <f aca="false">IF(Q577&lt;&gt;1,"",IF(ISNUMBER(U577),IF(U577&lt;=1,"1년 이하",IF(U577&lt;=2,"1-2년",IF(U577&lt;=3,"2-3년",IF(U577&lt;=4,"3-4년",IF(U577&lt;=5,"4-5년",IF(U577&lt;=7,"5-7년",IF(U577&lt;=10,"7-10년",IF(U577&lt;=20,"10-20년","20년 이상")))))))),"미분류"))</f>
        <v/>
      </c>
      <c r="W577" s="43" t="str">
        <f aca="false">IF(Q577&lt;&gt;1,"",IF(AB577&lt;&gt;"",INDEX(시장분석!$C:$C,AB577),IF(K577=1,"USD","비USD")))</f>
        <v/>
      </c>
      <c r="X577" s="91" t="n">
        <f aca="false">IF(Q577=1,E577*K577/1000000,0)</f>
        <v>0</v>
      </c>
      <c r="Y577" s="89" t="n">
        <f aca="false">IF(R577="T",1,0)</f>
        <v>0</v>
      </c>
      <c r="Z577" s="92" t="str">
        <f aca="false">IF(Q577&lt;&gt;1,"",IF(AD577=1,IF(ISNUMBER(U577),MAX(U577,0),H577),H577))</f>
        <v/>
      </c>
      <c r="AA577" s="91" t="n">
        <f aca="false">IF(Q577=1,IF(ISNUMBER(L577),L577,0)*K577/1000000,0)</f>
        <v>0</v>
      </c>
      <c r="AB577" s="89" t="str">
        <f aca="false">IF(Q577&lt;&gt;1,"",IFERROR(MATCH(VLOOKUP(B577,매핑!$H$4:$I$15,2,0),시장분석!$A$2:$A$601,0)+1,IFERROR(MATCH(R577&amp;"|"&amp;T577,시장분석!$V$2:$V$601,0)+1,IF(COUNTIF(시장분석!$U$2:$U$601,T577)=1,MATCH(T577,시장분석!$U$2:$U$601,0)+1,""))))</f>
        <v/>
      </c>
      <c r="AC577" s="89" t="n">
        <f aca="false">IF(Q577&lt;&gt;1,0,IF(OR(설정!$C$5="전체",AND(설정!$C$5="선택펀드",IFERROR(COUNTIFS(설정!$F$16:$F$36,C577,설정!$G$16:$G$36,"Y")+COUNTIFS(설정!$F$16:$F$36,VALUE(C577),설정!$G$16:$G$36,"Y"),0)&gt;0),C577&amp;""=설정!$C$5&amp;""),1,0))</f>
        <v>0</v>
      </c>
      <c r="AD577" s="89" t="n">
        <f aca="false">IF(Q577&lt;&gt;1,0,IF(OR(S577=1,IF(AB577="",FALSE(),INDEX(시장분석!$R:$R,AB577)=1)),1,0))</f>
        <v>0</v>
      </c>
      <c r="AE577" s="43" t="str">
        <f aca="false">IF(AB577="","",INDEX(시장분석!$A:$A,AB577))</f>
        <v/>
      </c>
      <c r="AF577" s="93" t="str">
        <f aca="false">IF(AB577="","",IF(ISNUMBER(IF(AB577="","",INDEX(시장분석!$E:$E,AB577))),IF(AB577="","",INDEX(시장분석!$E:$E,AB577)),""))</f>
        <v/>
      </c>
      <c r="AG577" s="43" t="str">
        <f aca="false">IF(Q577&lt;&gt;1,"",IF(AB577&lt;&gt;"",IF(AB577="","",INDEX(시장분석!$L:$L,AB577)),IFERROR(IF(VLOOKUP(R577,매핑!$A$4:$E$92,5,0)="","미분류",VLOOKUP(R577,매핑!$A$4:$E$92,5,0)),"미분류")))</f>
        <v/>
      </c>
      <c r="AH577" s="43" t="str">
        <f aca="false">IF(Q577&lt;&gt;1,"",IF(AB577&lt;&gt;"",IF(AB577="","",INDEX(시장분석!$N:$N,AB577)),IFERROR(IF(VLOOKUP(R577,매핑!$A$4:$E$92,4,0)="","미분류",VLOOKUP(R577,매핑!$A$4:$E$92,4,0)),"미분류")))</f>
        <v/>
      </c>
      <c r="AI577" s="43" t="str">
        <f aca="false">IF(Q577&lt;&gt;1,"",IFERROR(IF(VLOOKUP(R577,매핑!$A$4:$E$92,3,0)="","미분류",VLOOKUP(R577,매핑!$A$4:$E$92,3,0)),IF(AB577&lt;&gt;"",IF(AB577="","",INDEX(시장분석!$W:$W,AB577)),"미분류")))</f>
        <v/>
      </c>
      <c r="AJ577" s="43" t="str">
        <f aca="false">IF(Q577&lt;&gt;1,"",IFERROR(VLOOKUP(IF(N577&lt;&gt;"",N577,IF(P577&lt;&gt;"",P577,O577)),설정!$A$15:$D$47,2,0),""))</f>
        <v/>
      </c>
      <c r="AK577" s="43" t="str">
        <f aca="false">IF(Q577&lt;&gt;1,"",IF(AJ577="","무등급",IFERROR(VLOOKUP(AJ577,설정!$A$15:$D$47,3,0),"무등급")))</f>
        <v/>
      </c>
      <c r="AL577" s="89" t="n">
        <f aca="false">IF(AJ577="",99,IFERROR(VLOOKUP(AJ577,설정!$A$15:$D$47,4,0),99))</f>
        <v>99</v>
      </c>
      <c r="AM577" s="94" t="n">
        <f aca="false">IF(ISNUMBER(H577),AA577*1000000*H577/10000,0)</f>
        <v>0</v>
      </c>
      <c r="AN577" s="94" t="n">
        <f aca="false">IF(OR(Y577=1,NOT(ISNUMBER(Z577))),0,AA577*1000000*Z577/10000)</f>
        <v>0</v>
      </c>
      <c r="AO577" s="94" t="n">
        <f aca="false">IF(ISNUMBER(G577),AA577*1000000*G577/100,0)</f>
        <v>0</v>
      </c>
      <c r="AP577" s="94" t="n">
        <f aca="false">IF(ISNUMBER(M577),M577*K577,0)</f>
        <v>0</v>
      </c>
      <c r="AQ577" s="95" t="str">
        <f aca="false">IF(AB577="","",INDEX(시장분석!$AK:$AK,AB577))</f>
        <v/>
      </c>
      <c r="AR577" s="43" t="str">
        <f aca="false">IF(AB577="","-",IF(AB577="","",INDEX(시장분석!$AL:$AL,AB577)))</f>
        <v>-</v>
      </c>
      <c r="AS577" s="96" t="str">
        <f aca="false">IF(AB577="","",INDEX(시장분석!$AJ:$AJ,AB577))</f>
        <v/>
      </c>
      <c r="AT577" s="93" t="n">
        <f aca="false">IF(AB577="",0,IF(AB577="","",INDEX(시장분석!$AN:$AN,AB577)))</f>
        <v>0</v>
      </c>
      <c r="AU577" s="94" t="n">
        <f aca="false">IF(ISNUMBER(Z577),AT577/10000*MAX(Z577-1,0)*AA577*1000000,0)</f>
        <v>0</v>
      </c>
      <c r="AV577" s="94" t="n">
        <f aca="false">AO577+AU577</f>
        <v>0</v>
      </c>
      <c r="AW577" s="43" t="str">
        <f aca="false">IF(Q577&lt;&gt;1,"",TRIM(IF(AD577=1,"FRN ","")&amp;IF(AND(AL577&gt;=10,AL577&lt;99),"BBB0미만 ","")&amp;IF(AJ577="","등급없음 ","")&amp;IF(K577&lt;&gt;1,"비USD ","")&amp;IF(AND(AB577="",Y577=0),"시장데이터없음 ","")&amp;IF(AND(ISNUMBER(U577),U577&lt;0),"만기경과 ","")))</f>
        <v/>
      </c>
      <c r="AX577" s="90" t="n">
        <f aca="false">IF(Q577&lt;&gt;1,1,IF(스프레드쇼크!$C$4="Y",INDEX(스프레드쇼크!$B$12:$L$16,IFERROR(MATCH(AH577,스프레드쇼크!$A$12:$A$16,0),MATCH("목록외",스프레드쇼크!$A$12:$A$16,0)),IFERROR(MATCH(AG577,스프레드쇼크!$B$11:$L$11,0),MATCH("목록외",스프레드쇼크!$B$11:$L$11,0))),1))</f>
        <v>1</v>
      </c>
      <c r="AY577" s="90" t="n">
        <f aca="false">IF(스프레드쇼크!$C$5="Y",IF(ISNUMBER(AF577),MIN(스프레드쇼크!$C$7,MAX(스프레드쇼크!$C$6,AF577/스프레드쇼크!$C$8)),1),1)</f>
        <v>1</v>
      </c>
      <c r="AZ577" s="94" t="n">
        <f aca="false">AN577*AX577*AY577</f>
        <v>0</v>
      </c>
      <c r="BA577" s="90" t="n">
        <f aca="false">IF(ISNUMBER(G577),AA577*G577,0)</f>
        <v>0</v>
      </c>
      <c r="BB577" s="90" t="n">
        <f aca="false">IF(ISNUMBER(G577),AA577,0)</f>
        <v>0</v>
      </c>
      <c r="BC577" s="90" t="n">
        <f aca="false">IF(AND(Y577=0,ISNUMBER(AF577)),AA577*AF577,0)</f>
        <v>0</v>
      </c>
      <c r="BD577" s="90" t="n">
        <f aca="false">IF(AND(Y577=0,ISNUMBER(AF577)),AA577,0)</f>
        <v>0</v>
      </c>
      <c r="BE577" s="90" t="n">
        <f aca="false">IF(ISNUMBER(H577),AA577*H577,0)</f>
        <v>0</v>
      </c>
      <c r="BF577" s="90" t="n">
        <f aca="false">IF(ISNUMBER(H577),AA577,0)</f>
        <v>0</v>
      </c>
      <c r="BG577" s="90" t="n">
        <f aca="false">IF(AND(Y577=0,ISNUMBER(AF577),ISNUMBER(Z577)),AA577*Z577,0)</f>
        <v>0</v>
      </c>
      <c r="BH577" s="90" t="n">
        <f aca="false">IF(AND(Y577=0,ISNUMBER(AF577),ISNUMBER(Z577)),AA577*AT577*MAX(Z577-1,0),0)</f>
        <v>0</v>
      </c>
      <c r="BI577" s="90" t="n">
        <f aca="false">IF(Y577=0,AA577,0)</f>
        <v>0</v>
      </c>
    </row>
    <row r="578" customFormat="false" ht="15" hidden="false" customHeight="false" outlineLevel="0" collapsed="false">
      <c r="A578" s="83" t="str">
        <f aca="false">IFERROR(IF(INDEX(원자료_잔고!$A$1:$EZ$1500,설정!$L$5+ROW()-1,설정!$L$8)&amp;""="0","",INDEX(원자료_잔고!$A$1:$EZ$1500,설정!$L$5+ROW()-1,설정!$L$8)&amp;""),"")</f>
        <v/>
      </c>
      <c r="B578" s="83" t="str">
        <f aca="false">IFERROR(IF(INDEX(원자료_잔고!$A$1:$EZ$1500,설정!$L$5+ROW()-1,설정!$L$7)&amp;""="0","",INDEX(원자료_잔고!$A$1:$EZ$1500,설정!$L$5+ROW()-1,설정!$L$7)&amp;""),"")</f>
        <v/>
      </c>
      <c r="C578" s="83" t="str">
        <f aca="false">IFERROR(IF(INDEX(원자료_잔고!$A$1:$EZ$1500,설정!$L$5+ROW()-1,설정!$L$9)&amp;""="0","",INDEX(원자료_잔고!$A$1:$EZ$1500,설정!$L$5+ROW()-1,설정!$L$9)&amp;""),"")</f>
        <v/>
      </c>
      <c r="D578" s="83" t="str">
        <f aca="false">IFERROR(IF(INDEX(원자료_잔고!$A$1:$EZ$1500,설정!$L$5+ROW()-1,설정!$L$10)&amp;""="0","",INDEX(원자료_잔고!$A$1:$EZ$1500,설정!$L$5+ROW()-1,설정!$L$10)&amp;""),"")</f>
        <v/>
      </c>
      <c r="E578" s="84" t="str">
        <f aca="false">IFERROR(IF(ISNUMBER(INDEX(원자료_잔고!$A$1:$EZ$1500,설정!$L$5+ROW()-1,설정!$L$11)),INDEX(원자료_잔고!$A$1:$EZ$1500,설정!$L$5+ROW()-1,설정!$L$11),""),"")</f>
        <v/>
      </c>
      <c r="F578" s="85" t="str">
        <f aca="false">IFERROR(IF(ISNUMBER(INDEX(원자료_잔고!$A$1:$EZ$1500,설정!$L$5+ROW()-1,설정!$L$12)),INDEX(원자료_잔고!$A$1:$EZ$1500,설정!$L$5+ROW()-1,설정!$L$12),""),"")</f>
        <v/>
      </c>
      <c r="G578" s="85" t="str">
        <f aca="false">IFERROR(IF(ISNUMBER(INDEX(원자료_잔고!$A$1:$EZ$1500,설정!$L$5+ROW()-1,설정!$L$13)),INDEX(원자료_잔고!$A$1:$EZ$1500,설정!$L$5+ROW()-1,설정!$L$13),""),"")</f>
        <v/>
      </c>
      <c r="H578" s="85" t="str">
        <f aca="false">IFERROR(IF(ISNUMBER(INDEX(원자료_잔고!$A$1:$EZ$1500,설정!$L$5+ROW()-1,설정!$L$14)),INDEX(원자료_잔고!$A$1:$EZ$1500,설정!$L$5+ROW()-1,설정!$L$14),""),"")</f>
        <v/>
      </c>
      <c r="I578" s="86" t="str">
        <f aca="false">IFERROR(IF(ISNUMBER(INDEX(원자료_잔고!$A$1:$EZ$1500,설정!$L$5+ROW()-1,설정!$L$15)),INDEX(원자료_잔고!$A$1:$EZ$1500,설정!$L$5+ROW()-1,설정!$L$15),""),"")</f>
        <v/>
      </c>
      <c r="J578" s="85" t="str">
        <f aca="false">IFERROR(IF(ISNUMBER(INDEX(원자료_잔고!$A$1:$EZ$1500,설정!$L$5+ROW()-1,설정!$L$16)),INDEX(원자료_잔고!$A$1:$EZ$1500,설정!$L$5+ROW()-1,설정!$L$16),""),"")</f>
        <v/>
      </c>
      <c r="K578" s="87" t="str">
        <f aca="false">IFERROR(IF(ISNUMBER(INDEX(원자료_잔고!$A$1:$EZ$1500,설정!$L$5+ROW()-1,설정!$L$17)),INDEX(원자료_잔고!$A$1:$EZ$1500,설정!$L$5+ROW()-1,설정!$L$17),""),"")</f>
        <v/>
      </c>
      <c r="L578" s="84" t="str">
        <f aca="false">IFERROR(IF(ISNUMBER(INDEX(원자료_잔고!$A$1:$EZ$1500,설정!$L$5+ROW()-1,설정!$L$18)),INDEX(원자료_잔고!$A$1:$EZ$1500,설정!$L$5+ROW()-1,설정!$L$18),""),"")</f>
        <v/>
      </c>
      <c r="M578" s="88" t="str">
        <f aca="false">IFERROR(IF(ISNUMBER(INDEX(원자료_잔고!$A$1:$EZ$1500,설정!$L$5+ROW()-1,설정!$L$19)),INDEX(원자료_잔고!$A$1:$EZ$1500,설정!$L$5+ROW()-1,설정!$L$19),""),"")</f>
        <v/>
      </c>
      <c r="N578" s="83" t="str">
        <f aca="false">IFERROR(IF(INDEX(원자료_잔고!$A$1:$EZ$1500,설정!$L$5+ROW()-1,설정!$L$21)&amp;""="0","",INDEX(원자료_잔고!$A$1:$EZ$1500,설정!$L$5+ROW()-1,설정!$L$21)&amp;""),"")</f>
        <v/>
      </c>
      <c r="O578" s="83" t="str">
        <f aca="false">IFERROR(IF(INDEX(원자료_잔고!$A$1:$EZ$1500,설정!$L$5+ROW()-1,설정!$L$22)&amp;""="0","",INDEX(원자료_잔고!$A$1:$EZ$1500,설정!$L$5+ROW()-1,설정!$L$22)&amp;""),"")</f>
        <v/>
      </c>
      <c r="P578" s="83" t="str">
        <f aca="false">IFERROR(IF(INDEX(원자료_잔고!$A$1:$EZ$1500,설정!$L$5+ROW()-1,설정!$L$23)&amp;""="0","",INDEX(원자료_잔고!$A$1:$EZ$1500,설정!$L$5+ROW()-1,설정!$L$23)&amp;""),"")</f>
        <v/>
      </c>
      <c r="Q578" s="89" t="n">
        <f aca="false">IF(AND($A578&lt;&gt;"",ISNUMBER(E578)),IF(E578&gt;0,1,0),0)</f>
        <v>0</v>
      </c>
      <c r="R578" s="43" t="str">
        <f aca="false">IF(Q578=1,UPPER(LEFT($A578,FIND(" ",$A578&amp;" ")-1)),"")</f>
        <v/>
      </c>
      <c r="S578" s="89" t="n">
        <f aca="false">IF(Q578=1,IF(OR(ISNUMBER(SEARCH("Float",$A578)),ISNUMBER(SEARCH("FRN",$A578))),1,0),0)</f>
        <v>0</v>
      </c>
      <c r="T578" s="43" t="str">
        <f aca="false">IF(AND(Q578=1,ISNUMBER(I578)),TEXT(I578,"yyyymmdd")&amp;"|"&amp;IF(S578=1,"F",TEXT(J578,"0.000")),"")</f>
        <v/>
      </c>
      <c r="U578" s="90" t="str">
        <f aca="false">IF(AND(Q578=1,ISNUMBER(I578)),(I578-설정!$C$4)/365.25,"")</f>
        <v/>
      </c>
      <c r="V578" s="43" t="str">
        <f aca="false">IF(Q578&lt;&gt;1,"",IF(ISNUMBER(U578),IF(U578&lt;=1,"1년 이하",IF(U578&lt;=2,"1-2년",IF(U578&lt;=3,"2-3년",IF(U578&lt;=4,"3-4년",IF(U578&lt;=5,"4-5년",IF(U578&lt;=7,"5-7년",IF(U578&lt;=10,"7-10년",IF(U578&lt;=20,"10-20년","20년 이상")))))))),"미분류"))</f>
        <v/>
      </c>
      <c r="W578" s="43" t="str">
        <f aca="false">IF(Q578&lt;&gt;1,"",IF(AB578&lt;&gt;"",INDEX(시장분석!$C:$C,AB578),IF(K578=1,"USD","비USD")))</f>
        <v/>
      </c>
      <c r="X578" s="91" t="n">
        <f aca="false">IF(Q578=1,E578*K578/1000000,0)</f>
        <v>0</v>
      </c>
      <c r="Y578" s="89" t="n">
        <f aca="false">IF(R578="T",1,0)</f>
        <v>0</v>
      </c>
      <c r="Z578" s="92" t="str">
        <f aca="false">IF(Q578&lt;&gt;1,"",IF(AD578=1,IF(ISNUMBER(U578),MAX(U578,0),H578),H578))</f>
        <v/>
      </c>
      <c r="AA578" s="91" t="n">
        <f aca="false">IF(Q578=1,IF(ISNUMBER(L578),L578,0)*K578/1000000,0)</f>
        <v>0</v>
      </c>
      <c r="AB578" s="89" t="str">
        <f aca="false">IF(Q578&lt;&gt;1,"",IFERROR(MATCH(VLOOKUP(B578,매핑!$H$4:$I$15,2,0),시장분석!$A$2:$A$601,0)+1,IFERROR(MATCH(R578&amp;"|"&amp;T578,시장분석!$V$2:$V$601,0)+1,IF(COUNTIF(시장분석!$U$2:$U$601,T578)=1,MATCH(T578,시장분석!$U$2:$U$601,0)+1,""))))</f>
        <v/>
      </c>
      <c r="AC578" s="89" t="n">
        <f aca="false">IF(Q578&lt;&gt;1,0,IF(OR(설정!$C$5="전체",AND(설정!$C$5="선택펀드",IFERROR(COUNTIFS(설정!$F$16:$F$36,C578,설정!$G$16:$G$36,"Y")+COUNTIFS(설정!$F$16:$F$36,VALUE(C578),설정!$G$16:$G$36,"Y"),0)&gt;0),C578&amp;""=설정!$C$5&amp;""),1,0))</f>
        <v>0</v>
      </c>
      <c r="AD578" s="89" t="n">
        <f aca="false">IF(Q578&lt;&gt;1,0,IF(OR(S578=1,IF(AB578="",FALSE(),INDEX(시장분석!$R:$R,AB578)=1)),1,0))</f>
        <v>0</v>
      </c>
      <c r="AE578" s="43" t="str">
        <f aca="false">IF(AB578="","",INDEX(시장분석!$A:$A,AB578))</f>
        <v/>
      </c>
      <c r="AF578" s="93" t="str">
        <f aca="false">IF(AB578="","",IF(ISNUMBER(IF(AB578="","",INDEX(시장분석!$E:$E,AB578))),IF(AB578="","",INDEX(시장분석!$E:$E,AB578)),""))</f>
        <v/>
      </c>
      <c r="AG578" s="43" t="str">
        <f aca="false">IF(Q578&lt;&gt;1,"",IF(AB578&lt;&gt;"",IF(AB578="","",INDEX(시장분석!$L:$L,AB578)),IFERROR(IF(VLOOKUP(R578,매핑!$A$4:$E$92,5,0)="","미분류",VLOOKUP(R578,매핑!$A$4:$E$92,5,0)),"미분류")))</f>
        <v/>
      </c>
      <c r="AH578" s="43" t="str">
        <f aca="false">IF(Q578&lt;&gt;1,"",IF(AB578&lt;&gt;"",IF(AB578="","",INDEX(시장분석!$N:$N,AB578)),IFERROR(IF(VLOOKUP(R578,매핑!$A$4:$E$92,4,0)="","미분류",VLOOKUP(R578,매핑!$A$4:$E$92,4,0)),"미분류")))</f>
        <v/>
      </c>
      <c r="AI578" s="43" t="str">
        <f aca="false">IF(Q578&lt;&gt;1,"",IFERROR(IF(VLOOKUP(R578,매핑!$A$4:$E$92,3,0)="","미분류",VLOOKUP(R578,매핑!$A$4:$E$92,3,0)),IF(AB578&lt;&gt;"",IF(AB578="","",INDEX(시장분석!$W:$W,AB578)),"미분류")))</f>
        <v/>
      </c>
      <c r="AJ578" s="43" t="str">
        <f aca="false">IF(Q578&lt;&gt;1,"",IFERROR(VLOOKUP(IF(N578&lt;&gt;"",N578,IF(P578&lt;&gt;"",P578,O578)),설정!$A$15:$D$47,2,0),""))</f>
        <v/>
      </c>
      <c r="AK578" s="43" t="str">
        <f aca="false">IF(Q578&lt;&gt;1,"",IF(AJ578="","무등급",IFERROR(VLOOKUP(AJ578,설정!$A$15:$D$47,3,0),"무등급")))</f>
        <v/>
      </c>
      <c r="AL578" s="89" t="n">
        <f aca="false">IF(AJ578="",99,IFERROR(VLOOKUP(AJ578,설정!$A$15:$D$47,4,0),99))</f>
        <v>99</v>
      </c>
      <c r="AM578" s="94" t="n">
        <f aca="false">IF(ISNUMBER(H578),AA578*1000000*H578/10000,0)</f>
        <v>0</v>
      </c>
      <c r="AN578" s="94" t="n">
        <f aca="false">IF(OR(Y578=1,NOT(ISNUMBER(Z578))),0,AA578*1000000*Z578/10000)</f>
        <v>0</v>
      </c>
      <c r="AO578" s="94" t="n">
        <f aca="false">IF(ISNUMBER(G578),AA578*1000000*G578/100,0)</f>
        <v>0</v>
      </c>
      <c r="AP578" s="94" t="n">
        <f aca="false">IF(ISNUMBER(M578),M578*K578,0)</f>
        <v>0</v>
      </c>
      <c r="AQ578" s="95" t="str">
        <f aca="false">IF(AB578="","",INDEX(시장분석!$AK:$AK,AB578))</f>
        <v/>
      </c>
      <c r="AR578" s="43" t="str">
        <f aca="false">IF(AB578="","-",IF(AB578="","",INDEX(시장분석!$AL:$AL,AB578)))</f>
        <v>-</v>
      </c>
      <c r="AS578" s="96" t="str">
        <f aca="false">IF(AB578="","",INDEX(시장분석!$AJ:$AJ,AB578))</f>
        <v/>
      </c>
      <c r="AT578" s="93" t="n">
        <f aca="false">IF(AB578="",0,IF(AB578="","",INDEX(시장분석!$AN:$AN,AB578)))</f>
        <v>0</v>
      </c>
      <c r="AU578" s="94" t="n">
        <f aca="false">IF(ISNUMBER(Z578),AT578/10000*MAX(Z578-1,0)*AA578*1000000,0)</f>
        <v>0</v>
      </c>
      <c r="AV578" s="94" t="n">
        <f aca="false">AO578+AU578</f>
        <v>0</v>
      </c>
      <c r="AW578" s="43" t="str">
        <f aca="false">IF(Q578&lt;&gt;1,"",TRIM(IF(AD578=1,"FRN ","")&amp;IF(AND(AL578&gt;=10,AL578&lt;99),"BBB0미만 ","")&amp;IF(AJ578="","등급없음 ","")&amp;IF(K578&lt;&gt;1,"비USD ","")&amp;IF(AND(AB578="",Y578=0),"시장데이터없음 ","")&amp;IF(AND(ISNUMBER(U578),U578&lt;0),"만기경과 ","")))</f>
        <v/>
      </c>
      <c r="AX578" s="90" t="n">
        <f aca="false">IF(Q578&lt;&gt;1,1,IF(스프레드쇼크!$C$4="Y",INDEX(스프레드쇼크!$B$12:$L$16,IFERROR(MATCH(AH578,스프레드쇼크!$A$12:$A$16,0),MATCH("목록외",스프레드쇼크!$A$12:$A$16,0)),IFERROR(MATCH(AG578,스프레드쇼크!$B$11:$L$11,0),MATCH("목록외",스프레드쇼크!$B$11:$L$11,0))),1))</f>
        <v>1</v>
      </c>
      <c r="AY578" s="90" t="n">
        <f aca="false">IF(스프레드쇼크!$C$5="Y",IF(ISNUMBER(AF578),MIN(스프레드쇼크!$C$7,MAX(스프레드쇼크!$C$6,AF578/스프레드쇼크!$C$8)),1),1)</f>
        <v>1</v>
      </c>
      <c r="AZ578" s="94" t="n">
        <f aca="false">AN578*AX578*AY578</f>
        <v>0</v>
      </c>
      <c r="BA578" s="90" t="n">
        <f aca="false">IF(ISNUMBER(G578),AA578*G578,0)</f>
        <v>0</v>
      </c>
      <c r="BB578" s="90" t="n">
        <f aca="false">IF(ISNUMBER(G578),AA578,0)</f>
        <v>0</v>
      </c>
      <c r="BC578" s="90" t="n">
        <f aca="false">IF(AND(Y578=0,ISNUMBER(AF578)),AA578*AF578,0)</f>
        <v>0</v>
      </c>
      <c r="BD578" s="90" t="n">
        <f aca="false">IF(AND(Y578=0,ISNUMBER(AF578)),AA578,0)</f>
        <v>0</v>
      </c>
      <c r="BE578" s="90" t="n">
        <f aca="false">IF(ISNUMBER(H578),AA578*H578,0)</f>
        <v>0</v>
      </c>
      <c r="BF578" s="90" t="n">
        <f aca="false">IF(ISNUMBER(H578),AA578,0)</f>
        <v>0</v>
      </c>
      <c r="BG578" s="90" t="n">
        <f aca="false">IF(AND(Y578=0,ISNUMBER(AF578),ISNUMBER(Z578)),AA578*Z578,0)</f>
        <v>0</v>
      </c>
      <c r="BH578" s="90" t="n">
        <f aca="false">IF(AND(Y578=0,ISNUMBER(AF578),ISNUMBER(Z578)),AA578*AT578*MAX(Z578-1,0),0)</f>
        <v>0</v>
      </c>
      <c r="BI578" s="90" t="n">
        <f aca="false">IF(Y578=0,AA578,0)</f>
        <v>0</v>
      </c>
    </row>
    <row r="579" customFormat="false" ht="15" hidden="false" customHeight="false" outlineLevel="0" collapsed="false">
      <c r="A579" s="83" t="str">
        <f aca="false">IFERROR(IF(INDEX(원자료_잔고!$A$1:$EZ$1500,설정!$L$5+ROW()-1,설정!$L$8)&amp;""="0","",INDEX(원자료_잔고!$A$1:$EZ$1500,설정!$L$5+ROW()-1,설정!$L$8)&amp;""),"")</f>
        <v/>
      </c>
      <c r="B579" s="83" t="str">
        <f aca="false">IFERROR(IF(INDEX(원자료_잔고!$A$1:$EZ$1500,설정!$L$5+ROW()-1,설정!$L$7)&amp;""="0","",INDEX(원자료_잔고!$A$1:$EZ$1500,설정!$L$5+ROW()-1,설정!$L$7)&amp;""),"")</f>
        <v/>
      </c>
      <c r="C579" s="83" t="str">
        <f aca="false">IFERROR(IF(INDEX(원자료_잔고!$A$1:$EZ$1500,설정!$L$5+ROW()-1,설정!$L$9)&amp;""="0","",INDEX(원자료_잔고!$A$1:$EZ$1500,설정!$L$5+ROW()-1,설정!$L$9)&amp;""),"")</f>
        <v/>
      </c>
      <c r="D579" s="83" t="str">
        <f aca="false">IFERROR(IF(INDEX(원자료_잔고!$A$1:$EZ$1500,설정!$L$5+ROW()-1,설정!$L$10)&amp;""="0","",INDEX(원자료_잔고!$A$1:$EZ$1500,설정!$L$5+ROW()-1,설정!$L$10)&amp;""),"")</f>
        <v/>
      </c>
      <c r="E579" s="84" t="str">
        <f aca="false">IFERROR(IF(ISNUMBER(INDEX(원자료_잔고!$A$1:$EZ$1500,설정!$L$5+ROW()-1,설정!$L$11)),INDEX(원자료_잔고!$A$1:$EZ$1500,설정!$L$5+ROW()-1,설정!$L$11),""),"")</f>
        <v/>
      </c>
      <c r="F579" s="85" t="str">
        <f aca="false">IFERROR(IF(ISNUMBER(INDEX(원자료_잔고!$A$1:$EZ$1500,설정!$L$5+ROW()-1,설정!$L$12)),INDEX(원자료_잔고!$A$1:$EZ$1500,설정!$L$5+ROW()-1,설정!$L$12),""),"")</f>
        <v/>
      </c>
      <c r="G579" s="85" t="str">
        <f aca="false">IFERROR(IF(ISNUMBER(INDEX(원자료_잔고!$A$1:$EZ$1500,설정!$L$5+ROW()-1,설정!$L$13)),INDEX(원자료_잔고!$A$1:$EZ$1500,설정!$L$5+ROW()-1,설정!$L$13),""),"")</f>
        <v/>
      </c>
      <c r="H579" s="85" t="str">
        <f aca="false">IFERROR(IF(ISNUMBER(INDEX(원자료_잔고!$A$1:$EZ$1500,설정!$L$5+ROW()-1,설정!$L$14)),INDEX(원자료_잔고!$A$1:$EZ$1500,설정!$L$5+ROW()-1,설정!$L$14),""),"")</f>
        <v/>
      </c>
      <c r="I579" s="86" t="str">
        <f aca="false">IFERROR(IF(ISNUMBER(INDEX(원자료_잔고!$A$1:$EZ$1500,설정!$L$5+ROW()-1,설정!$L$15)),INDEX(원자료_잔고!$A$1:$EZ$1500,설정!$L$5+ROW()-1,설정!$L$15),""),"")</f>
        <v/>
      </c>
      <c r="J579" s="85" t="str">
        <f aca="false">IFERROR(IF(ISNUMBER(INDEX(원자료_잔고!$A$1:$EZ$1500,설정!$L$5+ROW()-1,설정!$L$16)),INDEX(원자료_잔고!$A$1:$EZ$1500,설정!$L$5+ROW()-1,설정!$L$16),""),"")</f>
        <v/>
      </c>
      <c r="K579" s="87" t="str">
        <f aca="false">IFERROR(IF(ISNUMBER(INDEX(원자료_잔고!$A$1:$EZ$1500,설정!$L$5+ROW()-1,설정!$L$17)),INDEX(원자료_잔고!$A$1:$EZ$1500,설정!$L$5+ROW()-1,설정!$L$17),""),"")</f>
        <v/>
      </c>
      <c r="L579" s="84" t="str">
        <f aca="false">IFERROR(IF(ISNUMBER(INDEX(원자료_잔고!$A$1:$EZ$1500,설정!$L$5+ROW()-1,설정!$L$18)),INDEX(원자료_잔고!$A$1:$EZ$1500,설정!$L$5+ROW()-1,설정!$L$18),""),"")</f>
        <v/>
      </c>
      <c r="M579" s="88" t="str">
        <f aca="false">IFERROR(IF(ISNUMBER(INDEX(원자료_잔고!$A$1:$EZ$1500,설정!$L$5+ROW()-1,설정!$L$19)),INDEX(원자료_잔고!$A$1:$EZ$1500,설정!$L$5+ROW()-1,설정!$L$19),""),"")</f>
        <v/>
      </c>
      <c r="N579" s="83" t="str">
        <f aca="false">IFERROR(IF(INDEX(원자료_잔고!$A$1:$EZ$1500,설정!$L$5+ROW()-1,설정!$L$21)&amp;""="0","",INDEX(원자료_잔고!$A$1:$EZ$1500,설정!$L$5+ROW()-1,설정!$L$21)&amp;""),"")</f>
        <v/>
      </c>
      <c r="O579" s="83" t="str">
        <f aca="false">IFERROR(IF(INDEX(원자료_잔고!$A$1:$EZ$1500,설정!$L$5+ROW()-1,설정!$L$22)&amp;""="0","",INDEX(원자료_잔고!$A$1:$EZ$1500,설정!$L$5+ROW()-1,설정!$L$22)&amp;""),"")</f>
        <v/>
      </c>
      <c r="P579" s="83" t="str">
        <f aca="false">IFERROR(IF(INDEX(원자료_잔고!$A$1:$EZ$1500,설정!$L$5+ROW()-1,설정!$L$23)&amp;""="0","",INDEX(원자료_잔고!$A$1:$EZ$1500,설정!$L$5+ROW()-1,설정!$L$23)&amp;""),"")</f>
        <v/>
      </c>
      <c r="Q579" s="89" t="n">
        <f aca="false">IF(AND($A579&lt;&gt;"",ISNUMBER(E579)),IF(E579&gt;0,1,0),0)</f>
        <v>0</v>
      </c>
      <c r="R579" s="43" t="str">
        <f aca="false">IF(Q579=1,UPPER(LEFT($A579,FIND(" ",$A579&amp;" ")-1)),"")</f>
        <v/>
      </c>
      <c r="S579" s="89" t="n">
        <f aca="false">IF(Q579=1,IF(OR(ISNUMBER(SEARCH("Float",$A579)),ISNUMBER(SEARCH("FRN",$A579))),1,0),0)</f>
        <v>0</v>
      </c>
      <c r="T579" s="43" t="str">
        <f aca="false">IF(AND(Q579=1,ISNUMBER(I579)),TEXT(I579,"yyyymmdd")&amp;"|"&amp;IF(S579=1,"F",TEXT(J579,"0.000")),"")</f>
        <v/>
      </c>
      <c r="U579" s="90" t="str">
        <f aca="false">IF(AND(Q579=1,ISNUMBER(I579)),(I579-설정!$C$4)/365.25,"")</f>
        <v/>
      </c>
      <c r="V579" s="43" t="str">
        <f aca="false">IF(Q579&lt;&gt;1,"",IF(ISNUMBER(U579),IF(U579&lt;=1,"1년 이하",IF(U579&lt;=2,"1-2년",IF(U579&lt;=3,"2-3년",IF(U579&lt;=4,"3-4년",IF(U579&lt;=5,"4-5년",IF(U579&lt;=7,"5-7년",IF(U579&lt;=10,"7-10년",IF(U579&lt;=20,"10-20년","20년 이상")))))))),"미분류"))</f>
        <v/>
      </c>
      <c r="W579" s="43" t="str">
        <f aca="false">IF(Q579&lt;&gt;1,"",IF(AB579&lt;&gt;"",INDEX(시장분석!$C:$C,AB579),IF(K579=1,"USD","비USD")))</f>
        <v/>
      </c>
      <c r="X579" s="91" t="n">
        <f aca="false">IF(Q579=1,E579*K579/1000000,0)</f>
        <v>0</v>
      </c>
      <c r="Y579" s="89" t="n">
        <f aca="false">IF(R579="T",1,0)</f>
        <v>0</v>
      </c>
      <c r="Z579" s="92" t="str">
        <f aca="false">IF(Q579&lt;&gt;1,"",IF(AD579=1,IF(ISNUMBER(U579),MAX(U579,0),H579),H579))</f>
        <v/>
      </c>
      <c r="AA579" s="91" t="n">
        <f aca="false">IF(Q579=1,IF(ISNUMBER(L579),L579,0)*K579/1000000,0)</f>
        <v>0</v>
      </c>
      <c r="AB579" s="89" t="str">
        <f aca="false">IF(Q579&lt;&gt;1,"",IFERROR(MATCH(VLOOKUP(B579,매핑!$H$4:$I$15,2,0),시장분석!$A$2:$A$601,0)+1,IFERROR(MATCH(R579&amp;"|"&amp;T579,시장분석!$V$2:$V$601,0)+1,IF(COUNTIF(시장분석!$U$2:$U$601,T579)=1,MATCH(T579,시장분석!$U$2:$U$601,0)+1,""))))</f>
        <v/>
      </c>
      <c r="AC579" s="89" t="n">
        <f aca="false">IF(Q579&lt;&gt;1,0,IF(OR(설정!$C$5="전체",AND(설정!$C$5="선택펀드",IFERROR(COUNTIFS(설정!$F$16:$F$36,C579,설정!$G$16:$G$36,"Y")+COUNTIFS(설정!$F$16:$F$36,VALUE(C579),설정!$G$16:$G$36,"Y"),0)&gt;0),C579&amp;""=설정!$C$5&amp;""),1,0))</f>
        <v>0</v>
      </c>
      <c r="AD579" s="89" t="n">
        <f aca="false">IF(Q579&lt;&gt;1,0,IF(OR(S579=1,IF(AB579="",FALSE(),INDEX(시장분석!$R:$R,AB579)=1)),1,0))</f>
        <v>0</v>
      </c>
      <c r="AE579" s="43" t="str">
        <f aca="false">IF(AB579="","",INDEX(시장분석!$A:$A,AB579))</f>
        <v/>
      </c>
      <c r="AF579" s="93" t="str">
        <f aca="false">IF(AB579="","",IF(ISNUMBER(IF(AB579="","",INDEX(시장분석!$E:$E,AB579))),IF(AB579="","",INDEX(시장분석!$E:$E,AB579)),""))</f>
        <v/>
      </c>
      <c r="AG579" s="43" t="str">
        <f aca="false">IF(Q579&lt;&gt;1,"",IF(AB579&lt;&gt;"",IF(AB579="","",INDEX(시장분석!$L:$L,AB579)),IFERROR(IF(VLOOKUP(R579,매핑!$A$4:$E$92,5,0)="","미분류",VLOOKUP(R579,매핑!$A$4:$E$92,5,0)),"미분류")))</f>
        <v/>
      </c>
      <c r="AH579" s="43" t="str">
        <f aca="false">IF(Q579&lt;&gt;1,"",IF(AB579&lt;&gt;"",IF(AB579="","",INDEX(시장분석!$N:$N,AB579)),IFERROR(IF(VLOOKUP(R579,매핑!$A$4:$E$92,4,0)="","미분류",VLOOKUP(R579,매핑!$A$4:$E$92,4,0)),"미분류")))</f>
        <v/>
      </c>
      <c r="AI579" s="43" t="str">
        <f aca="false">IF(Q579&lt;&gt;1,"",IFERROR(IF(VLOOKUP(R579,매핑!$A$4:$E$92,3,0)="","미분류",VLOOKUP(R579,매핑!$A$4:$E$92,3,0)),IF(AB579&lt;&gt;"",IF(AB579="","",INDEX(시장분석!$W:$W,AB579)),"미분류")))</f>
        <v/>
      </c>
      <c r="AJ579" s="43" t="str">
        <f aca="false">IF(Q579&lt;&gt;1,"",IFERROR(VLOOKUP(IF(N579&lt;&gt;"",N579,IF(P579&lt;&gt;"",P579,O579)),설정!$A$15:$D$47,2,0),""))</f>
        <v/>
      </c>
      <c r="AK579" s="43" t="str">
        <f aca="false">IF(Q579&lt;&gt;1,"",IF(AJ579="","무등급",IFERROR(VLOOKUP(AJ579,설정!$A$15:$D$47,3,0),"무등급")))</f>
        <v/>
      </c>
      <c r="AL579" s="89" t="n">
        <f aca="false">IF(AJ579="",99,IFERROR(VLOOKUP(AJ579,설정!$A$15:$D$47,4,0),99))</f>
        <v>99</v>
      </c>
      <c r="AM579" s="94" t="n">
        <f aca="false">IF(ISNUMBER(H579),AA579*1000000*H579/10000,0)</f>
        <v>0</v>
      </c>
      <c r="AN579" s="94" t="n">
        <f aca="false">IF(OR(Y579=1,NOT(ISNUMBER(Z579))),0,AA579*1000000*Z579/10000)</f>
        <v>0</v>
      </c>
      <c r="AO579" s="94" t="n">
        <f aca="false">IF(ISNUMBER(G579),AA579*1000000*G579/100,0)</f>
        <v>0</v>
      </c>
      <c r="AP579" s="94" t="n">
        <f aca="false">IF(ISNUMBER(M579),M579*K579,0)</f>
        <v>0</v>
      </c>
      <c r="AQ579" s="95" t="str">
        <f aca="false">IF(AB579="","",INDEX(시장분석!$AK:$AK,AB579))</f>
        <v/>
      </c>
      <c r="AR579" s="43" t="str">
        <f aca="false">IF(AB579="","-",IF(AB579="","",INDEX(시장분석!$AL:$AL,AB579)))</f>
        <v>-</v>
      </c>
      <c r="AS579" s="96" t="str">
        <f aca="false">IF(AB579="","",INDEX(시장분석!$AJ:$AJ,AB579))</f>
        <v/>
      </c>
      <c r="AT579" s="93" t="n">
        <f aca="false">IF(AB579="",0,IF(AB579="","",INDEX(시장분석!$AN:$AN,AB579)))</f>
        <v>0</v>
      </c>
      <c r="AU579" s="94" t="n">
        <f aca="false">IF(ISNUMBER(Z579),AT579/10000*MAX(Z579-1,0)*AA579*1000000,0)</f>
        <v>0</v>
      </c>
      <c r="AV579" s="94" t="n">
        <f aca="false">AO579+AU579</f>
        <v>0</v>
      </c>
      <c r="AW579" s="43" t="str">
        <f aca="false">IF(Q579&lt;&gt;1,"",TRIM(IF(AD579=1,"FRN ","")&amp;IF(AND(AL579&gt;=10,AL579&lt;99),"BBB0미만 ","")&amp;IF(AJ579="","등급없음 ","")&amp;IF(K579&lt;&gt;1,"비USD ","")&amp;IF(AND(AB579="",Y579=0),"시장데이터없음 ","")&amp;IF(AND(ISNUMBER(U579),U579&lt;0),"만기경과 ","")))</f>
        <v/>
      </c>
      <c r="AX579" s="90" t="n">
        <f aca="false">IF(Q579&lt;&gt;1,1,IF(스프레드쇼크!$C$4="Y",INDEX(스프레드쇼크!$B$12:$L$16,IFERROR(MATCH(AH579,스프레드쇼크!$A$12:$A$16,0),MATCH("목록외",스프레드쇼크!$A$12:$A$16,0)),IFERROR(MATCH(AG579,스프레드쇼크!$B$11:$L$11,0),MATCH("목록외",스프레드쇼크!$B$11:$L$11,0))),1))</f>
        <v>1</v>
      </c>
      <c r="AY579" s="90" t="n">
        <f aca="false">IF(스프레드쇼크!$C$5="Y",IF(ISNUMBER(AF579),MIN(스프레드쇼크!$C$7,MAX(스프레드쇼크!$C$6,AF579/스프레드쇼크!$C$8)),1),1)</f>
        <v>1</v>
      </c>
      <c r="AZ579" s="94" t="n">
        <f aca="false">AN579*AX579*AY579</f>
        <v>0</v>
      </c>
      <c r="BA579" s="90" t="n">
        <f aca="false">IF(ISNUMBER(G579),AA579*G579,0)</f>
        <v>0</v>
      </c>
      <c r="BB579" s="90" t="n">
        <f aca="false">IF(ISNUMBER(G579),AA579,0)</f>
        <v>0</v>
      </c>
      <c r="BC579" s="90" t="n">
        <f aca="false">IF(AND(Y579=0,ISNUMBER(AF579)),AA579*AF579,0)</f>
        <v>0</v>
      </c>
      <c r="BD579" s="90" t="n">
        <f aca="false">IF(AND(Y579=0,ISNUMBER(AF579)),AA579,0)</f>
        <v>0</v>
      </c>
      <c r="BE579" s="90" t="n">
        <f aca="false">IF(ISNUMBER(H579),AA579*H579,0)</f>
        <v>0</v>
      </c>
      <c r="BF579" s="90" t="n">
        <f aca="false">IF(ISNUMBER(H579),AA579,0)</f>
        <v>0</v>
      </c>
      <c r="BG579" s="90" t="n">
        <f aca="false">IF(AND(Y579=0,ISNUMBER(AF579),ISNUMBER(Z579)),AA579*Z579,0)</f>
        <v>0</v>
      </c>
      <c r="BH579" s="90" t="n">
        <f aca="false">IF(AND(Y579=0,ISNUMBER(AF579),ISNUMBER(Z579)),AA579*AT579*MAX(Z579-1,0),0)</f>
        <v>0</v>
      </c>
      <c r="BI579" s="90" t="n">
        <f aca="false">IF(Y579=0,AA579,0)</f>
        <v>0</v>
      </c>
    </row>
    <row r="580" customFormat="false" ht="15" hidden="false" customHeight="false" outlineLevel="0" collapsed="false">
      <c r="A580" s="83" t="str">
        <f aca="false">IFERROR(IF(INDEX(원자료_잔고!$A$1:$EZ$1500,설정!$L$5+ROW()-1,설정!$L$8)&amp;""="0","",INDEX(원자료_잔고!$A$1:$EZ$1500,설정!$L$5+ROW()-1,설정!$L$8)&amp;""),"")</f>
        <v/>
      </c>
      <c r="B580" s="83" t="str">
        <f aca="false">IFERROR(IF(INDEX(원자료_잔고!$A$1:$EZ$1500,설정!$L$5+ROW()-1,설정!$L$7)&amp;""="0","",INDEX(원자료_잔고!$A$1:$EZ$1500,설정!$L$5+ROW()-1,설정!$L$7)&amp;""),"")</f>
        <v/>
      </c>
      <c r="C580" s="83" t="str">
        <f aca="false">IFERROR(IF(INDEX(원자료_잔고!$A$1:$EZ$1500,설정!$L$5+ROW()-1,설정!$L$9)&amp;""="0","",INDEX(원자료_잔고!$A$1:$EZ$1500,설정!$L$5+ROW()-1,설정!$L$9)&amp;""),"")</f>
        <v/>
      </c>
      <c r="D580" s="83" t="str">
        <f aca="false">IFERROR(IF(INDEX(원자료_잔고!$A$1:$EZ$1500,설정!$L$5+ROW()-1,설정!$L$10)&amp;""="0","",INDEX(원자료_잔고!$A$1:$EZ$1500,설정!$L$5+ROW()-1,설정!$L$10)&amp;""),"")</f>
        <v/>
      </c>
      <c r="E580" s="84" t="str">
        <f aca="false">IFERROR(IF(ISNUMBER(INDEX(원자료_잔고!$A$1:$EZ$1500,설정!$L$5+ROW()-1,설정!$L$11)),INDEX(원자료_잔고!$A$1:$EZ$1500,설정!$L$5+ROW()-1,설정!$L$11),""),"")</f>
        <v/>
      </c>
      <c r="F580" s="85" t="str">
        <f aca="false">IFERROR(IF(ISNUMBER(INDEX(원자료_잔고!$A$1:$EZ$1500,설정!$L$5+ROW()-1,설정!$L$12)),INDEX(원자료_잔고!$A$1:$EZ$1500,설정!$L$5+ROW()-1,설정!$L$12),""),"")</f>
        <v/>
      </c>
      <c r="G580" s="85" t="str">
        <f aca="false">IFERROR(IF(ISNUMBER(INDEX(원자료_잔고!$A$1:$EZ$1500,설정!$L$5+ROW()-1,설정!$L$13)),INDEX(원자료_잔고!$A$1:$EZ$1500,설정!$L$5+ROW()-1,설정!$L$13),""),"")</f>
        <v/>
      </c>
      <c r="H580" s="85" t="str">
        <f aca="false">IFERROR(IF(ISNUMBER(INDEX(원자료_잔고!$A$1:$EZ$1500,설정!$L$5+ROW()-1,설정!$L$14)),INDEX(원자료_잔고!$A$1:$EZ$1500,설정!$L$5+ROW()-1,설정!$L$14),""),"")</f>
        <v/>
      </c>
      <c r="I580" s="86" t="str">
        <f aca="false">IFERROR(IF(ISNUMBER(INDEX(원자료_잔고!$A$1:$EZ$1500,설정!$L$5+ROW()-1,설정!$L$15)),INDEX(원자료_잔고!$A$1:$EZ$1500,설정!$L$5+ROW()-1,설정!$L$15),""),"")</f>
        <v/>
      </c>
      <c r="J580" s="85" t="str">
        <f aca="false">IFERROR(IF(ISNUMBER(INDEX(원자료_잔고!$A$1:$EZ$1500,설정!$L$5+ROW()-1,설정!$L$16)),INDEX(원자료_잔고!$A$1:$EZ$1500,설정!$L$5+ROW()-1,설정!$L$16),""),"")</f>
        <v/>
      </c>
      <c r="K580" s="87" t="str">
        <f aca="false">IFERROR(IF(ISNUMBER(INDEX(원자료_잔고!$A$1:$EZ$1500,설정!$L$5+ROW()-1,설정!$L$17)),INDEX(원자료_잔고!$A$1:$EZ$1500,설정!$L$5+ROW()-1,설정!$L$17),""),"")</f>
        <v/>
      </c>
      <c r="L580" s="84" t="str">
        <f aca="false">IFERROR(IF(ISNUMBER(INDEX(원자료_잔고!$A$1:$EZ$1500,설정!$L$5+ROW()-1,설정!$L$18)),INDEX(원자료_잔고!$A$1:$EZ$1500,설정!$L$5+ROW()-1,설정!$L$18),""),"")</f>
        <v/>
      </c>
      <c r="M580" s="88" t="str">
        <f aca="false">IFERROR(IF(ISNUMBER(INDEX(원자료_잔고!$A$1:$EZ$1500,설정!$L$5+ROW()-1,설정!$L$19)),INDEX(원자료_잔고!$A$1:$EZ$1500,설정!$L$5+ROW()-1,설정!$L$19),""),"")</f>
        <v/>
      </c>
      <c r="N580" s="83" t="str">
        <f aca="false">IFERROR(IF(INDEX(원자료_잔고!$A$1:$EZ$1500,설정!$L$5+ROW()-1,설정!$L$21)&amp;""="0","",INDEX(원자료_잔고!$A$1:$EZ$1500,설정!$L$5+ROW()-1,설정!$L$21)&amp;""),"")</f>
        <v/>
      </c>
      <c r="O580" s="83" t="str">
        <f aca="false">IFERROR(IF(INDEX(원자료_잔고!$A$1:$EZ$1500,설정!$L$5+ROW()-1,설정!$L$22)&amp;""="0","",INDEX(원자료_잔고!$A$1:$EZ$1500,설정!$L$5+ROW()-1,설정!$L$22)&amp;""),"")</f>
        <v/>
      </c>
      <c r="P580" s="83" t="str">
        <f aca="false">IFERROR(IF(INDEX(원자료_잔고!$A$1:$EZ$1500,설정!$L$5+ROW()-1,설정!$L$23)&amp;""="0","",INDEX(원자료_잔고!$A$1:$EZ$1500,설정!$L$5+ROW()-1,설정!$L$23)&amp;""),"")</f>
        <v/>
      </c>
      <c r="Q580" s="89" t="n">
        <f aca="false">IF(AND($A580&lt;&gt;"",ISNUMBER(E580)),IF(E580&gt;0,1,0),0)</f>
        <v>0</v>
      </c>
      <c r="R580" s="43" t="str">
        <f aca="false">IF(Q580=1,UPPER(LEFT($A580,FIND(" ",$A580&amp;" ")-1)),"")</f>
        <v/>
      </c>
      <c r="S580" s="89" t="n">
        <f aca="false">IF(Q580=1,IF(OR(ISNUMBER(SEARCH("Float",$A580)),ISNUMBER(SEARCH("FRN",$A580))),1,0),0)</f>
        <v>0</v>
      </c>
      <c r="T580" s="43" t="str">
        <f aca="false">IF(AND(Q580=1,ISNUMBER(I580)),TEXT(I580,"yyyymmdd")&amp;"|"&amp;IF(S580=1,"F",TEXT(J580,"0.000")),"")</f>
        <v/>
      </c>
      <c r="U580" s="90" t="str">
        <f aca="false">IF(AND(Q580=1,ISNUMBER(I580)),(I580-설정!$C$4)/365.25,"")</f>
        <v/>
      </c>
      <c r="V580" s="43" t="str">
        <f aca="false">IF(Q580&lt;&gt;1,"",IF(ISNUMBER(U580),IF(U580&lt;=1,"1년 이하",IF(U580&lt;=2,"1-2년",IF(U580&lt;=3,"2-3년",IF(U580&lt;=4,"3-4년",IF(U580&lt;=5,"4-5년",IF(U580&lt;=7,"5-7년",IF(U580&lt;=10,"7-10년",IF(U580&lt;=20,"10-20년","20년 이상")))))))),"미분류"))</f>
        <v/>
      </c>
      <c r="W580" s="43" t="str">
        <f aca="false">IF(Q580&lt;&gt;1,"",IF(AB580&lt;&gt;"",INDEX(시장분석!$C:$C,AB580),IF(K580=1,"USD","비USD")))</f>
        <v/>
      </c>
      <c r="X580" s="91" t="n">
        <f aca="false">IF(Q580=1,E580*K580/1000000,0)</f>
        <v>0</v>
      </c>
      <c r="Y580" s="89" t="n">
        <f aca="false">IF(R580="T",1,0)</f>
        <v>0</v>
      </c>
      <c r="Z580" s="92" t="str">
        <f aca="false">IF(Q580&lt;&gt;1,"",IF(AD580=1,IF(ISNUMBER(U580),MAX(U580,0),H580),H580))</f>
        <v/>
      </c>
      <c r="AA580" s="91" t="n">
        <f aca="false">IF(Q580=1,IF(ISNUMBER(L580),L580,0)*K580/1000000,0)</f>
        <v>0</v>
      </c>
      <c r="AB580" s="89" t="str">
        <f aca="false">IF(Q580&lt;&gt;1,"",IFERROR(MATCH(VLOOKUP(B580,매핑!$H$4:$I$15,2,0),시장분석!$A$2:$A$601,0)+1,IFERROR(MATCH(R580&amp;"|"&amp;T580,시장분석!$V$2:$V$601,0)+1,IF(COUNTIF(시장분석!$U$2:$U$601,T580)=1,MATCH(T580,시장분석!$U$2:$U$601,0)+1,""))))</f>
        <v/>
      </c>
      <c r="AC580" s="89" t="n">
        <f aca="false">IF(Q580&lt;&gt;1,0,IF(OR(설정!$C$5="전체",AND(설정!$C$5="선택펀드",IFERROR(COUNTIFS(설정!$F$16:$F$36,C580,설정!$G$16:$G$36,"Y")+COUNTIFS(설정!$F$16:$F$36,VALUE(C580),설정!$G$16:$G$36,"Y"),0)&gt;0),C580&amp;""=설정!$C$5&amp;""),1,0))</f>
        <v>0</v>
      </c>
      <c r="AD580" s="89" t="n">
        <f aca="false">IF(Q580&lt;&gt;1,0,IF(OR(S580=1,IF(AB580="",FALSE(),INDEX(시장분석!$R:$R,AB580)=1)),1,0))</f>
        <v>0</v>
      </c>
      <c r="AE580" s="43" t="str">
        <f aca="false">IF(AB580="","",INDEX(시장분석!$A:$A,AB580))</f>
        <v/>
      </c>
      <c r="AF580" s="93" t="str">
        <f aca="false">IF(AB580="","",IF(ISNUMBER(IF(AB580="","",INDEX(시장분석!$E:$E,AB580))),IF(AB580="","",INDEX(시장분석!$E:$E,AB580)),""))</f>
        <v/>
      </c>
      <c r="AG580" s="43" t="str">
        <f aca="false">IF(Q580&lt;&gt;1,"",IF(AB580&lt;&gt;"",IF(AB580="","",INDEX(시장분석!$L:$L,AB580)),IFERROR(IF(VLOOKUP(R580,매핑!$A$4:$E$92,5,0)="","미분류",VLOOKUP(R580,매핑!$A$4:$E$92,5,0)),"미분류")))</f>
        <v/>
      </c>
      <c r="AH580" s="43" t="str">
        <f aca="false">IF(Q580&lt;&gt;1,"",IF(AB580&lt;&gt;"",IF(AB580="","",INDEX(시장분석!$N:$N,AB580)),IFERROR(IF(VLOOKUP(R580,매핑!$A$4:$E$92,4,0)="","미분류",VLOOKUP(R580,매핑!$A$4:$E$92,4,0)),"미분류")))</f>
        <v/>
      </c>
      <c r="AI580" s="43" t="str">
        <f aca="false">IF(Q580&lt;&gt;1,"",IFERROR(IF(VLOOKUP(R580,매핑!$A$4:$E$92,3,0)="","미분류",VLOOKUP(R580,매핑!$A$4:$E$92,3,0)),IF(AB580&lt;&gt;"",IF(AB580="","",INDEX(시장분석!$W:$W,AB580)),"미분류")))</f>
        <v/>
      </c>
      <c r="AJ580" s="43" t="str">
        <f aca="false">IF(Q580&lt;&gt;1,"",IFERROR(VLOOKUP(IF(N580&lt;&gt;"",N580,IF(P580&lt;&gt;"",P580,O580)),설정!$A$15:$D$47,2,0),""))</f>
        <v/>
      </c>
      <c r="AK580" s="43" t="str">
        <f aca="false">IF(Q580&lt;&gt;1,"",IF(AJ580="","무등급",IFERROR(VLOOKUP(AJ580,설정!$A$15:$D$47,3,0),"무등급")))</f>
        <v/>
      </c>
      <c r="AL580" s="89" t="n">
        <f aca="false">IF(AJ580="",99,IFERROR(VLOOKUP(AJ580,설정!$A$15:$D$47,4,0),99))</f>
        <v>99</v>
      </c>
      <c r="AM580" s="94" t="n">
        <f aca="false">IF(ISNUMBER(H580),AA580*1000000*H580/10000,0)</f>
        <v>0</v>
      </c>
      <c r="AN580" s="94" t="n">
        <f aca="false">IF(OR(Y580=1,NOT(ISNUMBER(Z580))),0,AA580*1000000*Z580/10000)</f>
        <v>0</v>
      </c>
      <c r="AO580" s="94" t="n">
        <f aca="false">IF(ISNUMBER(G580),AA580*1000000*G580/100,0)</f>
        <v>0</v>
      </c>
      <c r="AP580" s="94" t="n">
        <f aca="false">IF(ISNUMBER(M580),M580*K580,0)</f>
        <v>0</v>
      </c>
      <c r="AQ580" s="95" t="str">
        <f aca="false">IF(AB580="","",INDEX(시장분석!$AK:$AK,AB580))</f>
        <v/>
      </c>
      <c r="AR580" s="43" t="str">
        <f aca="false">IF(AB580="","-",IF(AB580="","",INDEX(시장분석!$AL:$AL,AB580)))</f>
        <v>-</v>
      </c>
      <c r="AS580" s="96" t="str">
        <f aca="false">IF(AB580="","",INDEX(시장분석!$AJ:$AJ,AB580))</f>
        <v/>
      </c>
      <c r="AT580" s="93" t="n">
        <f aca="false">IF(AB580="",0,IF(AB580="","",INDEX(시장분석!$AN:$AN,AB580)))</f>
        <v>0</v>
      </c>
      <c r="AU580" s="94" t="n">
        <f aca="false">IF(ISNUMBER(Z580),AT580/10000*MAX(Z580-1,0)*AA580*1000000,0)</f>
        <v>0</v>
      </c>
      <c r="AV580" s="94" t="n">
        <f aca="false">AO580+AU580</f>
        <v>0</v>
      </c>
      <c r="AW580" s="43" t="str">
        <f aca="false">IF(Q580&lt;&gt;1,"",TRIM(IF(AD580=1,"FRN ","")&amp;IF(AND(AL580&gt;=10,AL580&lt;99),"BBB0미만 ","")&amp;IF(AJ580="","등급없음 ","")&amp;IF(K580&lt;&gt;1,"비USD ","")&amp;IF(AND(AB580="",Y580=0),"시장데이터없음 ","")&amp;IF(AND(ISNUMBER(U580),U580&lt;0),"만기경과 ","")))</f>
        <v/>
      </c>
      <c r="AX580" s="90" t="n">
        <f aca="false">IF(Q580&lt;&gt;1,1,IF(스프레드쇼크!$C$4="Y",INDEX(스프레드쇼크!$B$12:$L$16,IFERROR(MATCH(AH580,스프레드쇼크!$A$12:$A$16,0),MATCH("목록외",스프레드쇼크!$A$12:$A$16,0)),IFERROR(MATCH(AG580,스프레드쇼크!$B$11:$L$11,0),MATCH("목록외",스프레드쇼크!$B$11:$L$11,0))),1))</f>
        <v>1</v>
      </c>
      <c r="AY580" s="90" t="n">
        <f aca="false">IF(스프레드쇼크!$C$5="Y",IF(ISNUMBER(AF580),MIN(스프레드쇼크!$C$7,MAX(스프레드쇼크!$C$6,AF580/스프레드쇼크!$C$8)),1),1)</f>
        <v>1</v>
      </c>
      <c r="AZ580" s="94" t="n">
        <f aca="false">AN580*AX580*AY580</f>
        <v>0</v>
      </c>
      <c r="BA580" s="90" t="n">
        <f aca="false">IF(ISNUMBER(G580),AA580*G580,0)</f>
        <v>0</v>
      </c>
      <c r="BB580" s="90" t="n">
        <f aca="false">IF(ISNUMBER(G580),AA580,0)</f>
        <v>0</v>
      </c>
      <c r="BC580" s="90" t="n">
        <f aca="false">IF(AND(Y580=0,ISNUMBER(AF580)),AA580*AF580,0)</f>
        <v>0</v>
      </c>
      <c r="BD580" s="90" t="n">
        <f aca="false">IF(AND(Y580=0,ISNUMBER(AF580)),AA580,0)</f>
        <v>0</v>
      </c>
      <c r="BE580" s="90" t="n">
        <f aca="false">IF(ISNUMBER(H580),AA580*H580,0)</f>
        <v>0</v>
      </c>
      <c r="BF580" s="90" t="n">
        <f aca="false">IF(ISNUMBER(H580),AA580,0)</f>
        <v>0</v>
      </c>
      <c r="BG580" s="90" t="n">
        <f aca="false">IF(AND(Y580=0,ISNUMBER(AF580),ISNUMBER(Z580)),AA580*Z580,0)</f>
        <v>0</v>
      </c>
      <c r="BH580" s="90" t="n">
        <f aca="false">IF(AND(Y580=0,ISNUMBER(AF580),ISNUMBER(Z580)),AA580*AT580*MAX(Z580-1,0),0)</f>
        <v>0</v>
      </c>
      <c r="BI580" s="90" t="n">
        <f aca="false">IF(Y580=0,AA580,0)</f>
        <v>0</v>
      </c>
    </row>
    <row r="581" customFormat="false" ht="15" hidden="false" customHeight="false" outlineLevel="0" collapsed="false">
      <c r="A581" s="83" t="str">
        <f aca="false">IFERROR(IF(INDEX(원자료_잔고!$A$1:$EZ$1500,설정!$L$5+ROW()-1,설정!$L$8)&amp;""="0","",INDEX(원자료_잔고!$A$1:$EZ$1500,설정!$L$5+ROW()-1,설정!$L$8)&amp;""),"")</f>
        <v/>
      </c>
      <c r="B581" s="83" t="str">
        <f aca="false">IFERROR(IF(INDEX(원자료_잔고!$A$1:$EZ$1500,설정!$L$5+ROW()-1,설정!$L$7)&amp;""="0","",INDEX(원자료_잔고!$A$1:$EZ$1500,설정!$L$5+ROW()-1,설정!$L$7)&amp;""),"")</f>
        <v/>
      </c>
      <c r="C581" s="83" t="str">
        <f aca="false">IFERROR(IF(INDEX(원자료_잔고!$A$1:$EZ$1500,설정!$L$5+ROW()-1,설정!$L$9)&amp;""="0","",INDEX(원자료_잔고!$A$1:$EZ$1500,설정!$L$5+ROW()-1,설정!$L$9)&amp;""),"")</f>
        <v/>
      </c>
      <c r="D581" s="83" t="str">
        <f aca="false">IFERROR(IF(INDEX(원자료_잔고!$A$1:$EZ$1500,설정!$L$5+ROW()-1,설정!$L$10)&amp;""="0","",INDEX(원자료_잔고!$A$1:$EZ$1500,설정!$L$5+ROW()-1,설정!$L$10)&amp;""),"")</f>
        <v/>
      </c>
      <c r="E581" s="84" t="str">
        <f aca="false">IFERROR(IF(ISNUMBER(INDEX(원자료_잔고!$A$1:$EZ$1500,설정!$L$5+ROW()-1,설정!$L$11)),INDEX(원자료_잔고!$A$1:$EZ$1500,설정!$L$5+ROW()-1,설정!$L$11),""),"")</f>
        <v/>
      </c>
      <c r="F581" s="85" t="str">
        <f aca="false">IFERROR(IF(ISNUMBER(INDEX(원자료_잔고!$A$1:$EZ$1500,설정!$L$5+ROW()-1,설정!$L$12)),INDEX(원자료_잔고!$A$1:$EZ$1500,설정!$L$5+ROW()-1,설정!$L$12),""),"")</f>
        <v/>
      </c>
      <c r="G581" s="85" t="str">
        <f aca="false">IFERROR(IF(ISNUMBER(INDEX(원자료_잔고!$A$1:$EZ$1500,설정!$L$5+ROW()-1,설정!$L$13)),INDEX(원자료_잔고!$A$1:$EZ$1500,설정!$L$5+ROW()-1,설정!$L$13),""),"")</f>
        <v/>
      </c>
      <c r="H581" s="85" t="str">
        <f aca="false">IFERROR(IF(ISNUMBER(INDEX(원자료_잔고!$A$1:$EZ$1500,설정!$L$5+ROW()-1,설정!$L$14)),INDEX(원자료_잔고!$A$1:$EZ$1500,설정!$L$5+ROW()-1,설정!$L$14),""),"")</f>
        <v/>
      </c>
      <c r="I581" s="86" t="str">
        <f aca="false">IFERROR(IF(ISNUMBER(INDEX(원자료_잔고!$A$1:$EZ$1500,설정!$L$5+ROW()-1,설정!$L$15)),INDEX(원자료_잔고!$A$1:$EZ$1500,설정!$L$5+ROW()-1,설정!$L$15),""),"")</f>
        <v/>
      </c>
      <c r="J581" s="85" t="str">
        <f aca="false">IFERROR(IF(ISNUMBER(INDEX(원자료_잔고!$A$1:$EZ$1500,설정!$L$5+ROW()-1,설정!$L$16)),INDEX(원자료_잔고!$A$1:$EZ$1500,설정!$L$5+ROW()-1,설정!$L$16),""),"")</f>
        <v/>
      </c>
      <c r="K581" s="87" t="str">
        <f aca="false">IFERROR(IF(ISNUMBER(INDEX(원자료_잔고!$A$1:$EZ$1500,설정!$L$5+ROW()-1,설정!$L$17)),INDEX(원자료_잔고!$A$1:$EZ$1500,설정!$L$5+ROW()-1,설정!$L$17),""),"")</f>
        <v/>
      </c>
      <c r="L581" s="84" t="str">
        <f aca="false">IFERROR(IF(ISNUMBER(INDEX(원자료_잔고!$A$1:$EZ$1500,설정!$L$5+ROW()-1,설정!$L$18)),INDEX(원자료_잔고!$A$1:$EZ$1500,설정!$L$5+ROW()-1,설정!$L$18),""),"")</f>
        <v/>
      </c>
      <c r="M581" s="88" t="str">
        <f aca="false">IFERROR(IF(ISNUMBER(INDEX(원자료_잔고!$A$1:$EZ$1500,설정!$L$5+ROW()-1,설정!$L$19)),INDEX(원자료_잔고!$A$1:$EZ$1500,설정!$L$5+ROW()-1,설정!$L$19),""),"")</f>
        <v/>
      </c>
      <c r="N581" s="83" t="str">
        <f aca="false">IFERROR(IF(INDEX(원자료_잔고!$A$1:$EZ$1500,설정!$L$5+ROW()-1,설정!$L$21)&amp;""="0","",INDEX(원자료_잔고!$A$1:$EZ$1500,설정!$L$5+ROW()-1,설정!$L$21)&amp;""),"")</f>
        <v/>
      </c>
      <c r="O581" s="83" t="str">
        <f aca="false">IFERROR(IF(INDEX(원자료_잔고!$A$1:$EZ$1500,설정!$L$5+ROW()-1,설정!$L$22)&amp;""="0","",INDEX(원자료_잔고!$A$1:$EZ$1500,설정!$L$5+ROW()-1,설정!$L$22)&amp;""),"")</f>
        <v/>
      </c>
      <c r="P581" s="83" t="str">
        <f aca="false">IFERROR(IF(INDEX(원자료_잔고!$A$1:$EZ$1500,설정!$L$5+ROW()-1,설정!$L$23)&amp;""="0","",INDEX(원자료_잔고!$A$1:$EZ$1500,설정!$L$5+ROW()-1,설정!$L$23)&amp;""),"")</f>
        <v/>
      </c>
      <c r="Q581" s="89" t="n">
        <f aca="false">IF(AND($A581&lt;&gt;"",ISNUMBER(E581)),IF(E581&gt;0,1,0),0)</f>
        <v>0</v>
      </c>
      <c r="R581" s="43" t="str">
        <f aca="false">IF(Q581=1,UPPER(LEFT($A581,FIND(" ",$A581&amp;" ")-1)),"")</f>
        <v/>
      </c>
      <c r="S581" s="89" t="n">
        <f aca="false">IF(Q581=1,IF(OR(ISNUMBER(SEARCH("Float",$A581)),ISNUMBER(SEARCH("FRN",$A581))),1,0),0)</f>
        <v>0</v>
      </c>
      <c r="T581" s="43" t="str">
        <f aca="false">IF(AND(Q581=1,ISNUMBER(I581)),TEXT(I581,"yyyymmdd")&amp;"|"&amp;IF(S581=1,"F",TEXT(J581,"0.000")),"")</f>
        <v/>
      </c>
      <c r="U581" s="90" t="str">
        <f aca="false">IF(AND(Q581=1,ISNUMBER(I581)),(I581-설정!$C$4)/365.25,"")</f>
        <v/>
      </c>
      <c r="V581" s="43" t="str">
        <f aca="false">IF(Q581&lt;&gt;1,"",IF(ISNUMBER(U581),IF(U581&lt;=1,"1년 이하",IF(U581&lt;=2,"1-2년",IF(U581&lt;=3,"2-3년",IF(U581&lt;=4,"3-4년",IF(U581&lt;=5,"4-5년",IF(U581&lt;=7,"5-7년",IF(U581&lt;=10,"7-10년",IF(U581&lt;=20,"10-20년","20년 이상")))))))),"미분류"))</f>
        <v/>
      </c>
      <c r="W581" s="43" t="str">
        <f aca="false">IF(Q581&lt;&gt;1,"",IF(AB581&lt;&gt;"",INDEX(시장분석!$C:$C,AB581),IF(K581=1,"USD","비USD")))</f>
        <v/>
      </c>
      <c r="X581" s="91" t="n">
        <f aca="false">IF(Q581=1,E581*K581/1000000,0)</f>
        <v>0</v>
      </c>
      <c r="Y581" s="89" t="n">
        <f aca="false">IF(R581="T",1,0)</f>
        <v>0</v>
      </c>
      <c r="Z581" s="92" t="str">
        <f aca="false">IF(Q581&lt;&gt;1,"",IF(AD581=1,IF(ISNUMBER(U581),MAX(U581,0),H581),H581))</f>
        <v/>
      </c>
      <c r="AA581" s="91" t="n">
        <f aca="false">IF(Q581=1,IF(ISNUMBER(L581),L581,0)*K581/1000000,0)</f>
        <v>0</v>
      </c>
      <c r="AB581" s="89" t="str">
        <f aca="false">IF(Q581&lt;&gt;1,"",IFERROR(MATCH(VLOOKUP(B581,매핑!$H$4:$I$15,2,0),시장분석!$A$2:$A$601,0)+1,IFERROR(MATCH(R581&amp;"|"&amp;T581,시장분석!$V$2:$V$601,0)+1,IF(COUNTIF(시장분석!$U$2:$U$601,T581)=1,MATCH(T581,시장분석!$U$2:$U$601,0)+1,""))))</f>
        <v/>
      </c>
      <c r="AC581" s="89" t="n">
        <f aca="false">IF(Q581&lt;&gt;1,0,IF(OR(설정!$C$5="전체",AND(설정!$C$5="선택펀드",IFERROR(COUNTIFS(설정!$F$16:$F$36,C581,설정!$G$16:$G$36,"Y")+COUNTIFS(설정!$F$16:$F$36,VALUE(C581),설정!$G$16:$G$36,"Y"),0)&gt;0),C581&amp;""=설정!$C$5&amp;""),1,0))</f>
        <v>0</v>
      </c>
      <c r="AD581" s="89" t="n">
        <f aca="false">IF(Q581&lt;&gt;1,0,IF(OR(S581=1,IF(AB581="",FALSE(),INDEX(시장분석!$R:$R,AB581)=1)),1,0))</f>
        <v>0</v>
      </c>
      <c r="AE581" s="43" t="str">
        <f aca="false">IF(AB581="","",INDEX(시장분석!$A:$A,AB581))</f>
        <v/>
      </c>
      <c r="AF581" s="93" t="str">
        <f aca="false">IF(AB581="","",IF(ISNUMBER(IF(AB581="","",INDEX(시장분석!$E:$E,AB581))),IF(AB581="","",INDEX(시장분석!$E:$E,AB581)),""))</f>
        <v/>
      </c>
      <c r="AG581" s="43" t="str">
        <f aca="false">IF(Q581&lt;&gt;1,"",IF(AB581&lt;&gt;"",IF(AB581="","",INDEX(시장분석!$L:$L,AB581)),IFERROR(IF(VLOOKUP(R581,매핑!$A$4:$E$92,5,0)="","미분류",VLOOKUP(R581,매핑!$A$4:$E$92,5,0)),"미분류")))</f>
        <v/>
      </c>
      <c r="AH581" s="43" t="str">
        <f aca="false">IF(Q581&lt;&gt;1,"",IF(AB581&lt;&gt;"",IF(AB581="","",INDEX(시장분석!$N:$N,AB581)),IFERROR(IF(VLOOKUP(R581,매핑!$A$4:$E$92,4,0)="","미분류",VLOOKUP(R581,매핑!$A$4:$E$92,4,0)),"미분류")))</f>
        <v/>
      </c>
      <c r="AI581" s="43" t="str">
        <f aca="false">IF(Q581&lt;&gt;1,"",IFERROR(IF(VLOOKUP(R581,매핑!$A$4:$E$92,3,0)="","미분류",VLOOKUP(R581,매핑!$A$4:$E$92,3,0)),IF(AB581&lt;&gt;"",IF(AB581="","",INDEX(시장분석!$W:$W,AB581)),"미분류")))</f>
        <v/>
      </c>
      <c r="AJ581" s="43" t="str">
        <f aca="false">IF(Q581&lt;&gt;1,"",IFERROR(VLOOKUP(IF(N581&lt;&gt;"",N581,IF(P581&lt;&gt;"",P581,O581)),설정!$A$15:$D$47,2,0),""))</f>
        <v/>
      </c>
      <c r="AK581" s="43" t="str">
        <f aca="false">IF(Q581&lt;&gt;1,"",IF(AJ581="","무등급",IFERROR(VLOOKUP(AJ581,설정!$A$15:$D$47,3,0),"무등급")))</f>
        <v/>
      </c>
      <c r="AL581" s="89" t="n">
        <f aca="false">IF(AJ581="",99,IFERROR(VLOOKUP(AJ581,설정!$A$15:$D$47,4,0),99))</f>
        <v>99</v>
      </c>
      <c r="AM581" s="94" t="n">
        <f aca="false">IF(ISNUMBER(H581),AA581*1000000*H581/10000,0)</f>
        <v>0</v>
      </c>
      <c r="AN581" s="94" t="n">
        <f aca="false">IF(OR(Y581=1,NOT(ISNUMBER(Z581))),0,AA581*1000000*Z581/10000)</f>
        <v>0</v>
      </c>
      <c r="AO581" s="94" t="n">
        <f aca="false">IF(ISNUMBER(G581),AA581*1000000*G581/100,0)</f>
        <v>0</v>
      </c>
      <c r="AP581" s="94" t="n">
        <f aca="false">IF(ISNUMBER(M581),M581*K581,0)</f>
        <v>0</v>
      </c>
      <c r="AQ581" s="95" t="str">
        <f aca="false">IF(AB581="","",INDEX(시장분석!$AK:$AK,AB581))</f>
        <v/>
      </c>
      <c r="AR581" s="43" t="str">
        <f aca="false">IF(AB581="","-",IF(AB581="","",INDEX(시장분석!$AL:$AL,AB581)))</f>
        <v>-</v>
      </c>
      <c r="AS581" s="96" t="str">
        <f aca="false">IF(AB581="","",INDEX(시장분석!$AJ:$AJ,AB581))</f>
        <v/>
      </c>
      <c r="AT581" s="93" t="n">
        <f aca="false">IF(AB581="",0,IF(AB581="","",INDEX(시장분석!$AN:$AN,AB581)))</f>
        <v>0</v>
      </c>
      <c r="AU581" s="94" t="n">
        <f aca="false">IF(ISNUMBER(Z581),AT581/10000*MAX(Z581-1,0)*AA581*1000000,0)</f>
        <v>0</v>
      </c>
      <c r="AV581" s="94" t="n">
        <f aca="false">AO581+AU581</f>
        <v>0</v>
      </c>
      <c r="AW581" s="43" t="str">
        <f aca="false">IF(Q581&lt;&gt;1,"",TRIM(IF(AD581=1,"FRN ","")&amp;IF(AND(AL581&gt;=10,AL581&lt;99),"BBB0미만 ","")&amp;IF(AJ581="","등급없음 ","")&amp;IF(K581&lt;&gt;1,"비USD ","")&amp;IF(AND(AB581="",Y581=0),"시장데이터없음 ","")&amp;IF(AND(ISNUMBER(U581),U581&lt;0),"만기경과 ","")))</f>
        <v/>
      </c>
      <c r="AX581" s="90" t="n">
        <f aca="false">IF(Q581&lt;&gt;1,1,IF(스프레드쇼크!$C$4="Y",INDEX(스프레드쇼크!$B$12:$L$16,IFERROR(MATCH(AH581,스프레드쇼크!$A$12:$A$16,0),MATCH("목록외",스프레드쇼크!$A$12:$A$16,0)),IFERROR(MATCH(AG581,스프레드쇼크!$B$11:$L$11,0),MATCH("목록외",스프레드쇼크!$B$11:$L$11,0))),1))</f>
        <v>1</v>
      </c>
      <c r="AY581" s="90" t="n">
        <f aca="false">IF(스프레드쇼크!$C$5="Y",IF(ISNUMBER(AF581),MIN(스프레드쇼크!$C$7,MAX(스프레드쇼크!$C$6,AF581/스프레드쇼크!$C$8)),1),1)</f>
        <v>1</v>
      </c>
      <c r="AZ581" s="94" t="n">
        <f aca="false">AN581*AX581*AY581</f>
        <v>0</v>
      </c>
      <c r="BA581" s="90" t="n">
        <f aca="false">IF(ISNUMBER(G581),AA581*G581,0)</f>
        <v>0</v>
      </c>
      <c r="BB581" s="90" t="n">
        <f aca="false">IF(ISNUMBER(G581),AA581,0)</f>
        <v>0</v>
      </c>
      <c r="BC581" s="90" t="n">
        <f aca="false">IF(AND(Y581=0,ISNUMBER(AF581)),AA581*AF581,0)</f>
        <v>0</v>
      </c>
      <c r="BD581" s="90" t="n">
        <f aca="false">IF(AND(Y581=0,ISNUMBER(AF581)),AA581,0)</f>
        <v>0</v>
      </c>
      <c r="BE581" s="90" t="n">
        <f aca="false">IF(ISNUMBER(H581),AA581*H581,0)</f>
        <v>0</v>
      </c>
      <c r="BF581" s="90" t="n">
        <f aca="false">IF(ISNUMBER(H581),AA581,0)</f>
        <v>0</v>
      </c>
      <c r="BG581" s="90" t="n">
        <f aca="false">IF(AND(Y581=0,ISNUMBER(AF581),ISNUMBER(Z581)),AA581*Z581,0)</f>
        <v>0</v>
      </c>
      <c r="BH581" s="90" t="n">
        <f aca="false">IF(AND(Y581=0,ISNUMBER(AF581),ISNUMBER(Z581)),AA581*AT581*MAX(Z581-1,0),0)</f>
        <v>0</v>
      </c>
      <c r="BI581" s="90" t="n">
        <f aca="false">IF(Y581=0,AA581,0)</f>
        <v>0</v>
      </c>
    </row>
    <row r="582" customFormat="false" ht="15" hidden="false" customHeight="false" outlineLevel="0" collapsed="false">
      <c r="A582" s="83" t="str">
        <f aca="false">IFERROR(IF(INDEX(원자료_잔고!$A$1:$EZ$1500,설정!$L$5+ROW()-1,설정!$L$8)&amp;""="0","",INDEX(원자료_잔고!$A$1:$EZ$1500,설정!$L$5+ROW()-1,설정!$L$8)&amp;""),"")</f>
        <v/>
      </c>
      <c r="B582" s="83" t="str">
        <f aca="false">IFERROR(IF(INDEX(원자료_잔고!$A$1:$EZ$1500,설정!$L$5+ROW()-1,설정!$L$7)&amp;""="0","",INDEX(원자료_잔고!$A$1:$EZ$1500,설정!$L$5+ROW()-1,설정!$L$7)&amp;""),"")</f>
        <v/>
      </c>
      <c r="C582" s="83" t="str">
        <f aca="false">IFERROR(IF(INDEX(원자료_잔고!$A$1:$EZ$1500,설정!$L$5+ROW()-1,설정!$L$9)&amp;""="0","",INDEX(원자료_잔고!$A$1:$EZ$1500,설정!$L$5+ROW()-1,설정!$L$9)&amp;""),"")</f>
        <v/>
      </c>
      <c r="D582" s="83" t="str">
        <f aca="false">IFERROR(IF(INDEX(원자료_잔고!$A$1:$EZ$1500,설정!$L$5+ROW()-1,설정!$L$10)&amp;""="0","",INDEX(원자료_잔고!$A$1:$EZ$1500,설정!$L$5+ROW()-1,설정!$L$10)&amp;""),"")</f>
        <v/>
      </c>
      <c r="E582" s="84" t="str">
        <f aca="false">IFERROR(IF(ISNUMBER(INDEX(원자료_잔고!$A$1:$EZ$1500,설정!$L$5+ROW()-1,설정!$L$11)),INDEX(원자료_잔고!$A$1:$EZ$1500,설정!$L$5+ROW()-1,설정!$L$11),""),"")</f>
        <v/>
      </c>
      <c r="F582" s="85" t="str">
        <f aca="false">IFERROR(IF(ISNUMBER(INDEX(원자료_잔고!$A$1:$EZ$1500,설정!$L$5+ROW()-1,설정!$L$12)),INDEX(원자료_잔고!$A$1:$EZ$1500,설정!$L$5+ROW()-1,설정!$L$12),""),"")</f>
        <v/>
      </c>
      <c r="G582" s="85" t="str">
        <f aca="false">IFERROR(IF(ISNUMBER(INDEX(원자료_잔고!$A$1:$EZ$1500,설정!$L$5+ROW()-1,설정!$L$13)),INDEX(원자료_잔고!$A$1:$EZ$1500,설정!$L$5+ROW()-1,설정!$L$13),""),"")</f>
        <v/>
      </c>
      <c r="H582" s="85" t="str">
        <f aca="false">IFERROR(IF(ISNUMBER(INDEX(원자료_잔고!$A$1:$EZ$1500,설정!$L$5+ROW()-1,설정!$L$14)),INDEX(원자료_잔고!$A$1:$EZ$1500,설정!$L$5+ROW()-1,설정!$L$14),""),"")</f>
        <v/>
      </c>
      <c r="I582" s="86" t="str">
        <f aca="false">IFERROR(IF(ISNUMBER(INDEX(원자료_잔고!$A$1:$EZ$1500,설정!$L$5+ROW()-1,설정!$L$15)),INDEX(원자료_잔고!$A$1:$EZ$1500,설정!$L$5+ROW()-1,설정!$L$15),""),"")</f>
        <v/>
      </c>
      <c r="J582" s="85" t="str">
        <f aca="false">IFERROR(IF(ISNUMBER(INDEX(원자료_잔고!$A$1:$EZ$1500,설정!$L$5+ROW()-1,설정!$L$16)),INDEX(원자료_잔고!$A$1:$EZ$1500,설정!$L$5+ROW()-1,설정!$L$16),""),"")</f>
        <v/>
      </c>
      <c r="K582" s="87" t="str">
        <f aca="false">IFERROR(IF(ISNUMBER(INDEX(원자료_잔고!$A$1:$EZ$1500,설정!$L$5+ROW()-1,설정!$L$17)),INDEX(원자료_잔고!$A$1:$EZ$1500,설정!$L$5+ROW()-1,설정!$L$17),""),"")</f>
        <v/>
      </c>
      <c r="L582" s="84" t="str">
        <f aca="false">IFERROR(IF(ISNUMBER(INDEX(원자료_잔고!$A$1:$EZ$1500,설정!$L$5+ROW()-1,설정!$L$18)),INDEX(원자료_잔고!$A$1:$EZ$1500,설정!$L$5+ROW()-1,설정!$L$18),""),"")</f>
        <v/>
      </c>
      <c r="M582" s="88" t="str">
        <f aca="false">IFERROR(IF(ISNUMBER(INDEX(원자료_잔고!$A$1:$EZ$1500,설정!$L$5+ROW()-1,설정!$L$19)),INDEX(원자료_잔고!$A$1:$EZ$1500,설정!$L$5+ROW()-1,설정!$L$19),""),"")</f>
        <v/>
      </c>
      <c r="N582" s="83" t="str">
        <f aca="false">IFERROR(IF(INDEX(원자료_잔고!$A$1:$EZ$1500,설정!$L$5+ROW()-1,설정!$L$21)&amp;""="0","",INDEX(원자료_잔고!$A$1:$EZ$1500,설정!$L$5+ROW()-1,설정!$L$21)&amp;""),"")</f>
        <v/>
      </c>
      <c r="O582" s="83" t="str">
        <f aca="false">IFERROR(IF(INDEX(원자료_잔고!$A$1:$EZ$1500,설정!$L$5+ROW()-1,설정!$L$22)&amp;""="0","",INDEX(원자료_잔고!$A$1:$EZ$1500,설정!$L$5+ROW()-1,설정!$L$22)&amp;""),"")</f>
        <v/>
      </c>
      <c r="P582" s="83" t="str">
        <f aca="false">IFERROR(IF(INDEX(원자료_잔고!$A$1:$EZ$1500,설정!$L$5+ROW()-1,설정!$L$23)&amp;""="0","",INDEX(원자료_잔고!$A$1:$EZ$1500,설정!$L$5+ROW()-1,설정!$L$23)&amp;""),"")</f>
        <v/>
      </c>
      <c r="Q582" s="89" t="n">
        <f aca="false">IF(AND($A582&lt;&gt;"",ISNUMBER(E582)),IF(E582&gt;0,1,0),0)</f>
        <v>0</v>
      </c>
      <c r="R582" s="43" t="str">
        <f aca="false">IF(Q582=1,UPPER(LEFT($A582,FIND(" ",$A582&amp;" ")-1)),"")</f>
        <v/>
      </c>
      <c r="S582" s="89" t="n">
        <f aca="false">IF(Q582=1,IF(OR(ISNUMBER(SEARCH("Float",$A582)),ISNUMBER(SEARCH("FRN",$A582))),1,0),0)</f>
        <v>0</v>
      </c>
      <c r="T582" s="43" t="str">
        <f aca="false">IF(AND(Q582=1,ISNUMBER(I582)),TEXT(I582,"yyyymmdd")&amp;"|"&amp;IF(S582=1,"F",TEXT(J582,"0.000")),"")</f>
        <v/>
      </c>
      <c r="U582" s="90" t="str">
        <f aca="false">IF(AND(Q582=1,ISNUMBER(I582)),(I582-설정!$C$4)/365.25,"")</f>
        <v/>
      </c>
      <c r="V582" s="43" t="str">
        <f aca="false">IF(Q582&lt;&gt;1,"",IF(ISNUMBER(U582),IF(U582&lt;=1,"1년 이하",IF(U582&lt;=2,"1-2년",IF(U582&lt;=3,"2-3년",IF(U582&lt;=4,"3-4년",IF(U582&lt;=5,"4-5년",IF(U582&lt;=7,"5-7년",IF(U582&lt;=10,"7-10년",IF(U582&lt;=20,"10-20년","20년 이상")))))))),"미분류"))</f>
        <v/>
      </c>
      <c r="W582" s="43" t="str">
        <f aca="false">IF(Q582&lt;&gt;1,"",IF(AB582&lt;&gt;"",INDEX(시장분석!$C:$C,AB582),IF(K582=1,"USD","비USD")))</f>
        <v/>
      </c>
      <c r="X582" s="91" t="n">
        <f aca="false">IF(Q582=1,E582*K582/1000000,0)</f>
        <v>0</v>
      </c>
      <c r="Y582" s="89" t="n">
        <f aca="false">IF(R582="T",1,0)</f>
        <v>0</v>
      </c>
      <c r="Z582" s="92" t="str">
        <f aca="false">IF(Q582&lt;&gt;1,"",IF(AD582=1,IF(ISNUMBER(U582),MAX(U582,0),H582),H582))</f>
        <v/>
      </c>
      <c r="AA582" s="91" t="n">
        <f aca="false">IF(Q582=1,IF(ISNUMBER(L582),L582,0)*K582/1000000,0)</f>
        <v>0</v>
      </c>
      <c r="AB582" s="89" t="str">
        <f aca="false">IF(Q582&lt;&gt;1,"",IFERROR(MATCH(VLOOKUP(B582,매핑!$H$4:$I$15,2,0),시장분석!$A$2:$A$601,0)+1,IFERROR(MATCH(R582&amp;"|"&amp;T582,시장분석!$V$2:$V$601,0)+1,IF(COUNTIF(시장분석!$U$2:$U$601,T582)=1,MATCH(T582,시장분석!$U$2:$U$601,0)+1,""))))</f>
        <v/>
      </c>
      <c r="AC582" s="89" t="n">
        <f aca="false">IF(Q582&lt;&gt;1,0,IF(OR(설정!$C$5="전체",AND(설정!$C$5="선택펀드",IFERROR(COUNTIFS(설정!$F$16:$F$36,C582,설정!$G$16:$G$36,"Y")+COUNTIFS(설정!$F$16:$F$36,VALUE(C582),설정!$G$16:$G$36,"Y"),0)&gt;0),C582&amp;""=설정!$C$5&amp;""),1,0))</f>
        <v>0</v>
      </c>
      <c r="AD582" s="89" t="n">
        <f aca="false">IF(Q582&lt;&gt;1,0,IF(OR(S582=1,IF(AB582="",FALSE(),INDEX(시장분석!$R:$R,AB582)=1)),1,0))</f>
        <v>0</v>
      </c>
      <c r="AE582" s="43" t="str">
        <f aca="false">IF(AB582="","",INDEX(시장분석!$A:$A,AB582))</f>
        <v/>
      </c>
      <c r="AF582" s="93" t="str">
        <f aca="false">IF(AB582="","",IF(ISNUMBER(IF(AB582="","",INDEX(시장분석!$E:$E,AB582))),IF(AB582="","",INDEX(시장분석!$E:$E,AB582)),""))</f>
        <v/>
      </c>
      <c r="AG582" s="43" t="str">
        <f aca="false">IF(Q582&lt;&gt;1,"",IF(AB582&lt;&gt;"",IF(AB582="","",INDEX(시장분석!$L:$L,AB582)),IFERROR(IF(VLOOKUP(R582,매핑!$A$4:$E$92,5,0)="","미분류",VLOOKUP(R582,매핑!$A$4:$E$92,5,0)),"미분류")))</f>
        <v/>
      </c>
      <c r="AH582" s="43" t="str">
        <f aca="false">IF(Q582&lt;&gt;1,"",IF(AB582&lt;&gt;"",IF(AB582="","",INDEX(시장분석!$N:$N,AB582)),IFERROR(IF(VLOOKUP(R582,매핑!$A$4:$E$92,4,0)="","미분류",VLOOKUP(R582,매핑!$A$4:$E$92,4,0)),"미분류")))</f>
        <v/>
      </c>
      <c r="AI582" s="43" t="str">
        <f aca="false">IF(Q582&lt;&gt;1,"",IFERROR(IF(VLOOKUP(R582,매핑!$A$4:$E$92,3,0)="","미분류",VLOOKUP(R582,매핑!$A$4:$E$92,3,0)),IF(AB582&lt;&gt;"",IF(AB582="","",INDEX(시장분석!$W:$W,AB582)),"미분류")))</f>
        <v/>
      </c>
      <c r="AJ582" s="43" t="str">
        <f aca="false">IF(Q582&lt;&gt;1,"",IFERROR(VLOOKUP(IF(N582&lt;&gt;"",N582,IF(P582&lt;&gt;"",P582,O582)),설정!$A$15:$D$47,2,0),""))</f>
        <v/>
      </c>
      <c r="AK582" s="43" t="str">
        <f aca="false">IF(Q582&lt;&gt;1,"",IF(AJ582="","무등급",IFERROR(VLOOKUP(AJ582,설정!$A$15:$D$47,3,0),"무등급")))</f>
        <v/>
      </c>
      <c r="AL582" s="89" t="n">
        <f aca="false">IF(AJ582="",99,IFERROR(VLOOKUP(AJ582,설정!$A$15:$D$47,4,0),99))</f>
        <v>99</v>
      </c>
      <c r="AM582" s="94" t="n">
        <f aca="false">IF(ISNUMBER(H582),AA582*1000000*H582/10000,0)</f>
        <v>0</v>
      </c>
      <c r="AN582" s="94" t="n">
        <f aca="false">IF(OR(Y582=1,NOT(ISNUMBER(Z582))),0,AA582*1000000*Z582/10000)</f>
        <v>0</v>
      </c>
      <c r="AO582" s="94" t="n">
        <f aca="false">IF(ISNUMBER(G582),AA582*1000000*G582/100,0)</f>
        <v>0</v>
      </c>
      <c r="AP582" s="94" t="n">
        <f aca="false">IF(ISNUMBER(M582),M582*K582,0)</f>
        <v>0</v>
      </c>
      <c r="AQ582" s="95" t="str">
        <f aca="false">IF(AB582="","",INDEX(시장분석!$AK:$AK,AB582))</f>
        <v/>
      </c>
      <c r="AR582" s="43" t="str">
        <f aca="false">IF(AB582="","-",IF(AB582="","",INDEX(시장분석!$AL:$AL,AB582)))</f>
        <v>-</v>
      </c>
      <c r="AS582" s="96" t="str">
        <f aca="false">IF(AB582="","",INDEX(시장분석!$AJ:$AJ,AB582))</f>
        <v/>
      </c>
      <c r="AT582" s="93" t="n">
        <f aca="false">IF(AB582="",0,IF(AB582="","",INDEX(시장분석!$AN:$AN,AB582)))</f>
        <v>0</v>
      </c>
      <c r="AU582" s="94" t="n">
        <f aca="false">IF(ISNUMBER(Z582),AT582/10000*MAX(Z582-1,0)*AA582*1000000,0)</f>
        <v>0</v>
      </c>
      <c r="AV582" s="94" t="n">
        <f aca="false">AO582+AU582</f>
        <v>0</v>
      </c>
      <c r="AW582" s="43" t="str">
        <f aca="false">IF(Q582&lt;&gt;1,"",TRIM(IF(AD582=1,"FRN ","")&amp;IF(AND(AL582&gt;=10,AL582&lt;99),"BBB0미만 ","")&amp;IF(AJ582="","등급없음 ","")&amp;IF(K582&lt;&gt;1,"비USD ","")&amp;IF(AND(AB582="",Y582=0),"시장데이터없음 ","")&amp;IF(AND(ISNUMBER(U582),U582&lt;0),"만기경과 ","")))</f>
        <v/>
      </c>
      <c r="AX582" s="90" t="n">
        <f aca="false">IF(Q582&lt;&gt;1,1,IF(스프레드쇼크!$C$4="Y",INDEX(스프레드쇼크!$B$12:$L$16,IFERROR(MATCH(AH582,스프레드쇼크!$A$12:$A$16,0),MATCH("목록외",스프레드쇼크!$A$12:$A$16,0)),IFERROR(MATCH(AG582,스프레드쇼크!$B$11:$L$11,0),MATCH("목록외",스프레드쇼크!$B$11:$L$11,0))),1))</f>
        <v>1</v>
      </c>
      <c r="AY582" s="90" t="n">
        <f aca="false">IF(스프레드쇼크!$C$5="Y",IF(ISNUMBER(AF582),MIN(스프레드쇼크!$C$7,MAX(스프레드쇼크!$C$6,AF582/스프레드쇼크!$C$8)),1),1)</f>
        <v>1</v>
      </c>
      <c r="AZ582" s="94" t="n">
        <f aca="false">AN582*AX582*AY582</f>
        <v>0</v>
      </c>
      <c r="BA582" s="90" t="n">
        <f aca="false">IF(ISNUMBER(G582),AA582*G582,0)</f>
        <v>0</v>
      </c>
      <c r="BB582" s="90" t="n">
        <f aca="false">IF(ISNUMBER(G582),AA582,0)</f>
        <v>0</v>
      </c>
      <c r="BC582" s="90" t="n">
        <f aca="false">IF(AND(Y582=0,ISNUMBER(AF582)),AA582*AF582,0)</f>
        <v>0</v>
      </c>
      <c r="BD582" s="90" t="n">
        <f aca="false">IF(AND(Y582=0,ISNUMBER(AF582)),AA582,0)</f>
        <v>0</v>
      </c>
      <c r="BE582" s="90" t="n">
        <f aca="false">IF(ISNUMBER(H582),AA582*H582,0)</f>
        <v>0</v>
      </c>
      <c r="BF582" s="90" t="n">
        <f aca="false">IF(ISNUMBER(H582),AA582,0)</f>
        <v>0</v>
      </c>
      <c r="BG582" s="90" t="n">
        <f aca="false">IF(AND(Y582=0,ISNUMBER(AF582),ISNUMBER(Z582)),AA582*Z582,0)</f>
        <v>0</v>
      </c>
      <c r="BH582" s="90" t="n">
        <f aca="false">IF(AND(Y582=0,ISNUMBER(AF582),ISNUMBER(Z582)),AA582*AT582*MAX(Z582-1,0),0)</f>
        <v>0</v>
      </c>
      <c r="BI582" s="90" t="n">
        <f aca="false">IF(Y582=0,AA582,0)</f>
        <v>0</v>
      </c>
    </row>
    <row r="583" customFormat="false" ht="15" hidden="false" customHeight="false" outlineLevel="0" collapsed="false">
      <c r="A583" s="83" t="str">
        <f aca="false">IFERROR(IF(INDEX(원자료_잔고!$A$1:$EZ$1500,설정!$L$5+ROW()-1,설정!$L$8)&amp;""="0","",INDEX(원자료_잔고!$A$1:$EZ$1500,설정!$L$5+ROW()-1,설정!$L$8)&amp;""),"")</f>
        <v/>
      </c>
      <c r="B583" s="83" t="str">
        <f aca="false">IFERROR(IF(INDEX(원자료_잔고!$A$1:$EZ$1500,설정!$L$5+ROW()-1,설정!$L$7)&amp;""="0","",INDEX(원자료_잔고!$A$1:$EZ$1500,설정!$L$5+ROW()-1,설정!$L$7)&amp;""),"")</f>
        <v/>
      </c>
      <c r="C583" s="83" t="str">
        <f aca="false">IFERROR(IF(INDEX(원자료_잔고!$A$1:$EZ$1500,설정!$L$5+ROW()-1,설정!$L$9)&amp;""="0","",INDEX(원자료_잔고!$A$1:$EZ$1500,설정!$L$5+ROW()-1,설정!$L$9)&amp;""),"")</f>
        <v/>
      </c>
      <c r="D583" s="83" t="str">
        <f aca="false">IFERROR(IF(INDEX(원자료_잔고!$A$1:$EZ$1500,설정!$L$5+ROW()-1,설정!$L$10)&amp;""="0","",INDEX(원자료_잔고!$A$1:$EZ$1500,설정!$L$5+ROW()-1,설정!$L$10)&amp;""),"")</f>
        <v/>
      </c>
      <c r="E583" s="84" t="str">
        <f aca="false">IFERROR(IF(ISNUMBER(INDEX(원자료_잔고!$A$1:$EZ$1500,설정!$L$5+ROW()-1,설정!$L$11)),INDEX(원자료_잔고!$A$1:$EZ$1500,설정!$L$5+ROW()-1,설정!$L$11),""),"")</f>
        <v/>
      </c>
      <c r="F583" s="85" t="str">
        <f aca="false">IFERROR(IF(ISNUMBER(INDEX(원자료_잔고!$A$1:$EZ$1500,설정!$L$5+ROW()-1,설정!$L$12)),INDEX(원자료_잔고!$A$1:$EZ$1500,설정!$L$5+ROW()-1,설정!$L$12),""),"")</f>
        <v/>
      </c>
      <c r="G583" s="85" t="str">
        <f aca="false">IFERROR(IF(ISNUMBER(INDEX(원자료_잔고!$A$1:$EZ$1500,설정!$L$5+ROW()-1,설정!$L$13)),INDEX(원자료_잔고!$A$1:$EZ$1500,설정!$L$5+ROW()-1,설정!$L$13),""),"")</f>
        <v/>
      </c>
      <c r="H583" s="85" t="str">
        <f aca="false">IFERROR(IF(ISNUMBER(INDEX(원자료_잔고!$A$1:$EZ$1500,설정!$L$5+ROW()-1,설정!$L$14)),INDEX(원자료_잔고!$A$1:$EZ$1500,설정!$L$5+ROW()-1,설정!$L$14),""),"")</f>
        <v/>
      </c>
      <c r="I583" s="86" t="str">
        <f aca="false">IFERROR(IF(ISNUMBER(INDEX(원자료_잔고!$A$1:$EZ$1500,설정!$L$5+ROW()-1,설정!$L$15)),INDEX(원자료_잔고!$A$1:$EZ$1500,설정!$L$5+ROW()-1,설정!$L$15),""),"")</f>
        <v/>
      </c>
      <c r="J583" s="85" t="str">
        <f aca="false">IFERROR(IF(ISNUMBER(INDEX(원자료_잔고!$A$1:$EZ$1500,설정!$L$5+ROW()-1,설정!$L$16)),INDEX(원자료_잔고!$A$1:$EZ$1500,설정!$L$5+ROW()-1,설정!$L$16),""),"")</f>
        <v/>
      </c>
      <c r="K583" s="87" t="str">
        <f aca="false">IFERROR(IF(ISNUMBER(INDEX(원자료_잔고!$A$1:$EZ$1500,설정!$L$5+ROW()-1,설정!$L$17)),INDEX(원자료_잔고!$A$1:$EZ$1500,설정!$L$5+ROW()-1,설정!$L$17),""),"")</f>
        <v/>
      </c>
      <c r="L583" s="84" t="str">
        <f aca="false">IFERROR(IF(ISNUMBER(INDEX(원자료_잔고!$A$1:$EZ$1500,설정!$L$5+ROW()-1,설정!$L$18)),INDEX(원자료_잔고!$A$1:$EZ$1500,설정!$L$5+ROW()-1,설정!$L$18),""),"")</f>
        <v/>
      </c>
      <c r="M583" s="88" t="str">
        <f aca="false">IFERROR(IF(ISNUMBER(INDEX(원자료_잔고!$A$1:$EZ$1500,설정!$L$5+ROW()-1,설정!$L$19)),INDEX(원자료_잔고!$A$1:$EZ$1500,설정!$L$5+ROW()-1,설정!$L$19),""),"")</f>
        <v/>
      </c>
      <c r="N583" s="83" t="str">
        <f aca="false">IFERROR(IF(INDEX(원자료_잔고!$A$1:$EZ$1500,설정!$L$5+ROW()-1,설정!$L$21)&amp;""="0","",INDEX(원자료_잔고!$A$1:$EZ$1500,설정!$L$5+ROW()-1,설정!$L$21)&amp;""),"")</f>
        <v/>
      </c>
      <c r="O583" s="83" t="str">
        <f aca="false">IFERROR(IF(INDEX(원자료_잔고!$A$1:$EZ$1500,설정!$L$5+ROW()-1,설정!$L$22)&amp;""="0","",INDEX(원자료_잔고!$A$1:$EZ$1500,설정!$L$5+ROW()-1,설정!$L$22)&amp;""),"")</f>
        <v/>
      </c>
      <c r="P583" s="83" t="str">
        <f aca="false">IFERROR(IF(INDEX(원자료_잔고!$A$1:$EZ$1500,설정!$L$5+ROW()-1,설정!$L$23)&amp;""="0","",INDEX(원자료_잔고!$A$1:$EZ$1500,설정!$L$5+ROW()-1,설정!$L$23)&amp;""),"")</f>
        <v/>
      </c>
      <c r="Q583" s="89" t="n">
        <f aca="false">IF(AND($A583&lt;&gt;"",ISNUMBER(E583)),IF(E583&gt;0,1,0),0)</f>
        <v>0</v>
      </c>
      <c r="R583" s="43" t="str">
        <f aca="false">IF(Q583=1,UPPER(LEFT($A583,FIND(" ",$A583&amp;" ")-1)),"")</f>
        <v/>
      </c>
      <c r="S583" s="89" t="n">
        <f aca="false">IF(Q583=1,IF(OR(ISNUMBER(SEARCH("Float",$A583)),ISNUMBER(SEARCH("FRN",$A583))),1,0),0)</f>
        <v>0</v>
      </c>
      <c r="T583" s="43" t="str">
        <f aca="false">IF(AND(Q583=1,ISNUMBER(I583)),TEXT(I583,"yyyymmdd")&amp;"|"&amp;IF(S583=1,"F",TEXT(J583,"0.000")),"")</f>
        <v/>
      </c>
      <c r="U583" s="90" t="str">
        <f aca="false">IF(AND(Q583=1,ISNUMBER(I583)),(I583-설정!$C$4)/365.25,"")</f>
        <v/>
      </c>
      <c r="V583" s="43" t="str">
        <f aca="false">IF(Q583&lt;&gt;1,"",IF(ISNUMBER(U583),IF(U583&lt;=1,"1년 이하",IF(U583&lt;=2,"1-2년",IF(U583&lt;=3,"2-3년",IF(U583&lt;=4,"3-4년",IF(U583&lt;=5,"4-5년",IF(U583&lt;=7,"5-7년",IF(U583&lt;=10,"7-10년",IF(U583&lt;=20,"10-20년","20년 이상")))))))),"미분류"))</f>
        <v/>
      </c>
      <c r="W583" s="43" t="str">
        <f aca="false">IF(Q583&lt;&gt;1,"",IF(AB583&lt;&gt;"",INDEX(시장분석!$C:$C,AB583),IF(K583=1,"USD","비USD")))</f>
        <v/>
      </c>
      <c r="X583" s="91" t="n">
        <f aca="false">IF(Q583=1,E583*K583/1000000,0)</f>
        <v>0</v>
      </c>
      <c r="Y583" s="89" t="n">
        <f aca="false">IF(R583="T",1,0)</f>
        <v>0</v>
      </c>
      <c r="Z583" s="92" t="str">
        <f aca="false">IF(Q583&lt;&gt;1,"",IF(AD583=1,IF(ISNUMBER(U583),MAX(U583,0),H583),H583))</f>
        <v/>
      </c>
      <c r="AA583" s="91" t="n">
        <f aca="false">IF(Q583=1,IF(ISNUMBER(L583),L583,0)*K583/1000000,0)</f>
        <v>0</v>
      </c>
      <c r="AB583" s="89" t="str">
        <f aca="false">IF(Q583&lt;&gt;1,"",IFERROR(MATCH(VLOOKUP(B583,매핑!$H$4:$I$15,2,0),시장분석!$A$2:$A$601,0)+1,IFERROR(MATCH(R583&amp;"|"&amp;T583,시장분석!$V$2:$V$601,0)+1,IF(COUNTIF(시장분석!$U$2:$U$601,T583)=1,MATCH(T583,시장분석!$U$2:$U$601,0)+1,""))))</f>
        <v/>
      </c>
      <c r="AC583" s="89" t="n">
        <f aca="false">IF(Q583&lt;&gt;1,0,IF(OR(설정!$C$5="전체",AND(설정!$C$5="선택펀드",IFERROR(COUNTIFS(설정!$F$16:$F$36,C583,설정!$G$16:$G$36,"Y")+COUNTIFS(설정!$F$16:$F$36,VALUE(C583),설정!$G$16:$G$36,"Y"),0)&gt;0),C583&amp;""=설정!$C$5&amp;""),1,0))</f>
        <v>0</v>
      </c>
      <c r="AD583" s="89" t="n">
        <f aca="false">IF(Q583&lt;&gt;1,0,IF(OR(S583=1,IF(AB583="",FALSE(),INDEX(시장분석!$R:$R,AB583)=1)),1,0))</f>
        <v>0</v>
      </c>
      <c r="AE583" s="43" t="str">
        <f aca="false">IF(AB583="","",INDEX(시장분석!$A:$A,AB583))</f>
        <v/>
      </c>
      <c r="AF583" s="93" t="str">
        <f aca="false">IF(AB583="","",IF(ISNUMBER(IF(AB583="","",INDEX(시장분석!$E:$E,AB583))),IF(AB583="","",INDEX(시장분석!$E:$E,AB583)),""))</f>
        <v/>
      </c>
      <c r="AG583" s="43" t="str">
        <f aca="false">IF(Q583&lt;&gt;1,"",IF(AB583&lt;&gt;"",IF(AB583="","",INDEX(시장분석!$L:$L,AB583)),IFERROR(IF(VLOOKUP(R583,매핑!$A$4:$E$92,5,0)="","미분류",VLOOKUP(R583,매핑!$A$4:$E$92,5,0)),"미분류")))</f>
        <v/>
      </c>
      <c r="AH583" s="43" t="str">
        <f aca="false">IF(Q583&lt;&gt;1,"",IF(AB583&lt;&gt;"",IF(AB583="","",INDEX(시장분석!$N:$N,AB583)),IFERROR(IF(VLOOKUP(R583,매핑!$A$4:$E$92,4,0)="","미분류",VLOOKUP(R583,매핑!$A$4:$E$92,4,0)),"미분류")))</f>
        <v/>
      </c>
      <c r="AI583" s="43" t="str">
        <f aca="false">IF(Q583&lt;&gt;1,"",IFERROR(IF(VLOOKUP(R583,매핑!$A$4:$E$92,3,0)="","미분류",VLOOKUP(R583,매핑!$A$4:$E$92,3,0)),IF(AB583&lt;&gt;"",IF(AB583="","",INDEX(시장분석!$W:$W,AB583)),"미분류")))</f>
        <v/>
      </c>
      <c r="AJ583" s="43" t="str">
        <f aca="false">IF(Q583&lt;&gt;1,"",IFERROR(VLOOKUP(IF(N583&lt;&gt;"",N583,IF(P583&lt;&gt;"",P583,O583)),설정!$A$15:$D$47,2,0),""))</f>
        <v/>
      </c>
      <c r="AK583" s="43" t="str">
        <f aca="false">IF(Q583&lt;&gt;1,"",IF(AJ583="","무등급",IFERROR(VLOOKUP(AJ583,설정!$A$15:$D$47,3,0),"무등급")))</f>
        <v/>
      </c>
      <c r="AL583" s="89" t="n">
        <f aca="false">IF(AJ583="",99,IFERROR(VLOOKUP(AJ583,설정!$A$15:$D$47,4,0),99))</f>
        <v>99</v>
      </c>
      <c r="AM583" s="94" t="n">
        <f aca="false">IF(ISNUMBER(H583),AA583*1000000*H583/10000,0)</f>
        <v>0</v>
      </c>
      <c r="AN583" s="94" t="n">
        <f aca="false">IF(OR(Y583=1,NOT(ISNUMBER(Z583))),0,AA583*1000000*Z583/10000)</f>
        <v>0</v>
      </c>
      <c r="AO583" s="94" t="n">
        <f aca="false">IF(ISNUMBER(G583),AA583*1000000*G583/100,0)</f>
        <v>0</v>
      </c>
      <c r="AP583" s="94" t="n">
        <f aca="false">IF(ISNUMBER(M583),M583*K583,0)</f>
        <v>0</v>
      </c>
      <c r="AQ583" s="95" t="str">
        <f aca="false">IF(AB583="","",INDEX(시장분석!$AK:$AK,AB583))</f>
        <v/>
      </c>
      <c r="AR583" s="43" t="str">
        <f aca="false">IF(AB583="","-",IF(AB583="","",INDEX(시장분석!$AL:$AL,AB583)))</f>
        <v>-</v>
      </c>
      <c r="AS583" s="96" t="str">
        <f aca="false">IF(AB583="","",INDEX(시장분석!$AJ:$AJ,AB583))</f>
        <v/>
      </c>
      <c r="AT583" s="93" t="n">
        <f aca="false">IF(AB583="",0,IF(AB583="","",INDEX(시장분석!$AN:$AN,AB583)))</f>
        <v>0</v>
      </c>
      <c r="AU583" s="94" t="n">
        <f aca="false">IF(ISNUMBER(Z583),AT583/10000*MAX(Z583-1,0)*AA583*1000000,0)</f>
        <v>0</v>
      </c>
      <c r="AV583" s="94" t="n">
        <f aca="false">AO583+AU583</f>
        <v>0</v>
      </c>
      <c r="AW583" s="43" t="str">
        <f aca="false">IF(Q583&lt;&gt;1,"",TRIM(IF(AD583=1,"FRN ","")&amp;IF(AND(AL583&gt;=10,AL583&lt;99),"BBB0미만 ","")&amp;IF(AJ583="","등급없음 ","")&amp;IF(K583&lt;&gt;1,"비USD ","")&amp;IF(AND(AB583="",Y583=0),"시장데이터없음 ","")&amp;IF(AND(ISNUMBER(U583),U583&lt;0),"만기경과 ","")))</f>
        <v/>
      </c>
      <c r="AX583" s="90" t="n">
        <f aca="false">IF(Q583&lt;&gt;1,1,IF(스프레드쇼크!$C$4="Y",INDEX(스프레드쇼크!$B$12:$L$16,IFERROR(MATCH(AH583,스프레드쇼크!$A$12:$A$16,0),MATCH("목록외",스프레드쇼크!$A$12:$A$16,0)),IFERROR(MATCH(AG583,스프레드쇼크!$B$11:$L$11,0),MATCH("목록외",스프레드쇼크!$B$11:$L$11,0))),1))</f>
        <v>1</v>
      </c>
      <c r="AY583" s="90" t="n">
        <f aca="false">IF(스프레드쇼크!$C$5="Y",IF(ISNUMBER(AF583),MIN(스프레드쇼크!$C$7,MAX(스프레드쇼크!$C$6,AF583/스프레드쇼크!$C$8)),1),1)</f>
        <v>1</v>
      </c>
      <c r="AZ583" s="94" t="n">
        <f aca="false">AN583*AX583*AY583</f>
        <v>0</v>
      </c>
      <c r="BA583" s="90" t="n">
        <f aca="false">IF(ISNUMBER(G583),AA583*G583,0)</f>
        <v>0</v>
      </c>
      <c r="BB583" s="90" t="n">
        <f aca="false">IF(ISNUMBER(G583),AA583,0)</f>
        <v>0</v>
      </c>
      <c r="BC583" s="90" t="n">
        <f aca="false">IF(AND(Y583=0,ISNUMBER(AF583)),AA583*AF583,0)</f>
        <v>0</v>
      </c>
      <c r="BD583" s="90" t="n">
        <f aca="false">IF(AND(Y583=0,ISNUMBER(AF583)),AA583,0)</f>
        <v>0</v>
      </c>
      <c r="BE583" s="90" t="n">
        <f aca="false">IF(ISNUMBER(H583),AA583*H583,0)</f>
        <v>0</v>
      </c>
      <c r="BF583" s="90" t="n">
        <f aca="false">IF(ISNUMBER(H583),AA583,0)</f>
        <v>0</v>
      </c>
      <c r="BG583" s="90" t="n">
        <f aca="false">IF(AND(Y583=0,ISNUMBER(AF583),ISNUMBER(Z583)),AA583*Z583,0)</f>
        <v>0</v>
      </c>
      <c r="BH583" s="90" t="n">
        <f aca="false">IF(AND(Y583=0,ISNUMBER(AF583),ISNUMBER(Z583)),AA583*AT583*MAX(Z583-1,0),0)</f>
        <v>0</v>
      </c>
      <c r="BI583" s="90" t="n">
        <f aca="false">IF(Y583=0,AA583,0)</f>
        <v>0</v>
      </c>
    </row>
    <row r="584" customFormat="false" ht="15" hidden="false" customHeight="false" outlineLevel="0" collapsed="false">
      <c r="A584" s="83" t="str">
        <f aca="false">IFERROR(IF(INDEX(원자료_잔고!$A$1:$EZ$1500,설정!$L$5+ROW()-1,설정!$L$8)&amp;""="0","",INDEX(원자료_잔고!$A$1:$EZ$1500,설정!$L$5+ROW()-1,설정!$L$8)&amp;""),"")</f>
        <v/>
      </c>
      <c r="B584" s="83" t="str">
        <f aca="false">IFERROR(IF(INDEX(원자료_잔고!$A$1:$EZ$1500,설정!$L$5+ROW()-1,설정!$L$7)&amp;""="0","",INDEX(원자료_잔고!$A$1:$EZ$1500,설정!$L$5+ROW()-1,설정!$L$7)&amp;""),"")</f>
        <v/>
      </c>
      <c r="C584" s="83" t="str">
        <f aca="false">IFERROR(IF(INDEX(원자료_잔고!$A$1:$EZ$1500,설정!$L$5+ROW()-1,설정!$L$9)&amp;""="0","",INDEX(원자료_잔고!$A$1:$EZ$1500,설정!$L$5+ROW()-1,설정!$L$9)&amp;""),"")</f>
        <v/>
      </c>
      <c r="D584" s="83" t="str">
        <f aca="false">IFERROR(IF(INDEX(원자료_잔고!$A$1:$EZ$1500,설정!$L$5+ROW()-1,설정!$L$10)&amp;""="0","",INDEX(원자료_잔고!$A$1:$EZ$1500,설정!$L$5+ROW()-1,설정!$L$10)&amp;""),"")</f>
        <v/>
      </c>
      <c r="E584" s="84" t="str">
        <f aca="false">IFERROR(IF(ISNUMBER(INDEX(원자료_잔고!$A$1:$EZ$1500,설정!$L$5+ROW()-1,설정!$L$11)),INDEX(원자료_잔고!$A$1:$EZ$1500,설정!$L$5+ROW()-1,설정!$L$11),""),"")</f>
        <v/>
      </c>
      <c r="F584" s="85" t="str">
        <f aca="false">IFERROR(IF(ISNUMBER(INDEX(원자료_잔고!$A$1:$EZ$1500,설정!$L$5+ROW()-1,설정!$L$12)),INDEX(원자료_잔고!$A$1:$EZ$1500,설정!$L$5+ROW()-1,설정!$L$12),""),"")</f>
        <v/>
      </c>
      <c r="G584" s="85" t="str">
        <f aca="false">IFERROR(IF(ISNUMBER(INDEX(원자료_잔고!$A$1:$EZ$1500,설정!$L$5+ROW()-1,설정!$L$13)),INDEX(원자료_잔고!$A$1:$EZ$1500,설정!$L$5+ROW()-1,설정!$L$13),""),"")</f>
        <v/>
      </c>
      <c r="H584" s="85" t="str">
        <f aca="false">IFERROR(IF(ISNUMBER(INDEX(원자료_잔고!$A$1:$EZ$1500,설정!$L$5+ROW()-1,설정!$L$14)),INDEX(원자료_잔고!$A$1:$EZ$1500,설정!$L$5+ROW()-1,설정!$L$14),""),"")</f>
        <v/>
      </c>
      <c r="I584" s="86" t="str">
        <f aca="false">IFERROR(IF(ISNUMBER(INDEX(원자료_잔고!$A$1:$EZ$1500,설정!$L$5+ROW()-1,설정!$L$15)),INDEX(원자료_잔고!$A$1:$EZ$1500,설정!$L$5+ROW()-1,설정!$L$15),""),"")</f>
        <v/>
      </c>
      <c r="J584" s="85" t="str">
        <f aca="false">IFERROR(IF(ISNUMBER(INDEX(원자료_잔고!$A$1:$EZ$1500,설정!$L$5+ROW()-1,설정!$L$16)),INDEX(원자료_잔고!$A$1:$EZ$1500,설정!$L$5+ROW()-1,설정!$L$16),""),"")</f>
        <v/>
      </c>
      <c r="K584" s="87" t="str">
        <f aca="false">IFERROR(IF(ISNUMBER(INDEX(원자료_잔고!$A$1:$EZ$1500,설정!$L$5+ROW()-1,설정!$L$17)),INDEX(원자료_잔고!$A$1:$EZ$1500,설정!$L$5+ROW()-1,설정!$L$17),""),"")</f>
        <v/>
      </c>
      <c r="L584" s="84" t="str">
        <f aca="false">IFERROR(IF(ISNUMBER(INDEX(원자료_잔고!$A$1:$EZ$1500,설정!$L$5+ROW()-1,설정!$L$18)),INDEX(원자료_잔고!$A$1:$EZ$1500,설정!$L$5+ROW()-1,설정!$L$18),""),"")</f>
        <v/>
      </c>
      <c r="M584" s="88" t="str">
        <f aca="false">IFERROR(IF(ISNUMBER(INDEX(원자료_잔고!$A$1:$EZ$1500,설정!$L$5+ROW()-1,설정!$L$19)),INDEX(원자료_잔고!$A$1:$EZ$1500,설정!$L$5+ROW()-1,설정!$L$19),""),"")</f>
        <v/>
      </c>
      <c r="N584" s="83" t="str">
        <f aca="false">IFERROR(IF(INDEX(원자료_잔고!$A$1:$EZ$1500,설정!$L$5+ROW()-1,설정!$L$21)&amp;""="0","",INDEX(원자료_잔고!$A$1:$EZ$1500,설정!$L$5+ROW()-1,설정!$L$21)&amp;""),"")</f>
        <v/>
      </c>
      <c r="O584" s="83" t="str">
        <f aca="false">IFERROR(IF(INDEX(원자료_잔고!$A$1:$EZ$1500,설정!$L$5+ROW()-1,설정!$L$22)&amp;""="0","",INDEX(원자료_잔고!$A$1:$EZ$1500,설정!$L$5+ROW()-1,설정!$L$22)&amp;""),"")</f>
        <v/>
      </c>
      <c r="P584" s="83" t="str">
        <f aca="false">IFERROR(IF(INDEX(원자료_잔고!$A$1:$EZ$1500,설정!$L$5+ROW()-1,설정!$L$23)&amp;""="0","",INDEX(원자료_잔고!$A$1:$EZ$1500,설정!$L$5+ROW()-1,설정!$L$23)&amp;""),"")</f>
        <v/>
      </c>
      <c r="Q584" s="89" t="n">
        <f aca="false">IF(AND($A584&lt;&gt;"",ISNUMBER(E584)),IF(E584&gt;0,1,0),0)</f>
        <v>0</v>
      </c>
      <c r="R584" s="43" t="str">
        <f aca="false">IF(Q584=1,UPPER(LEFT($A584,FIND(" ",$A584&amp;" ")-1)),"")</f>
        <v/>
      </c>
      <c r="S584" s="89" t="n">
        <f aca="false">IF(Q584=1,IF(OR(ISNUMBER(SEARCH("Float",$A584)),ISNUMBER(SEARCH("FRN",$A584))),1,0),0)</f>
        <v>0</v>
      </c>
      <c r="T584" s="43" t="str">
        <f aca="false">IF(AND(Q584=1,ISNUMBER(I584)),TEXT(I584,"yyyymmdd")&amp;"|"&amp;IF(S584=1,"F",TEXT(J584,"0.000")),"")</f>
        <v/>
      </c>
      <c r="U584" s="90" t="str">
        <f aca="false">IF(AND(Q584=1,ISNUMBER(I584)),(I584-설정!$C$4)/365.25,"")</f>
        <v/>
      </c>
      <c r="V584" s="43" t="str">
        <f aca="false">IF(Q584&lt;&gt;1,"",IF(ISNUMBER(U584),IF(U584&lt;=1,"1년 이하",IF(U584&lt;=2,"1-2년",IF(U584&lt;=3,"2-3년",IF(U584&lt;=4,"3-4년",IF(U584&lt;=5,"4-5년",IF(U584&lt;=7,"5-7년",IF(U584&lt;=10,"7-10년",IF(U584&lt;=20,"10-20년","20년 이상")))))))),"미분류"))</f>
        <v/>
      </c>
      <c r="W584" s="43" t="str">
        <f aca="false">IF(Q584&lt;&gt;1,"",IF(AB584&lt;&gt;"",INDEX(시장분석!$C:$C,AB584),IF(K584=1,"USD","비USD")))</f>
        <v/>
      </c>
      <c r="X584" s="91" t="n">
        <f aca="false">IF(Q584=1,E584*K584/1000000,0)</f>
        <v>0</v>
      </c>
      <c r="Y584" s="89" t="n">
        <f aca="false">IF(R584="T",1,0)</f>
        <v>0</v>
      </c>
      <c r="Z584" s="92" t="str">
        <f aca="false">IF(Q584&lt;&gt;1,"",IF(AD584=1,IF(ISNUMBER(U584),MAX(U584,0),H584),H584))</f>
        <v/>
      </c>
      <c r="AA584" s="91" t="n">
        <f aca="false">IF(Q584=1,IF(ISNUMBER(L584),L584,0)*K584/1000000,0)</f>
        <v>0</v>
      </c>
      <c r="AB584" s="89" t="str">
        <f aca="false">IF(Q584&lt;&gt;1,"",IFERROR(MATCH(VLOOKUP(B584,매핑!$H$4:$I$15,2,0),시장분석!$A$2:$A$601,0)+1,IFERROR(MATCH(R584&amp;"|"&amp;T584,시장분석!$V$2:$V$601,0)+1,IF(COUNTIF(시장분석!$U$2:$U$601,T584)=1,MATCH(T584,시장분석!$U$2:$U$601,0)+1,""))))</f>
        <v/>
      </c>
      <c r="AC584" s="89" t="n">
        <f aca="false">IF(Q584&lt;&gt;1,0,IF(OR(설정!$C$5="전체",AND(설정!$C$5="선택펀드",IFERROR(COUNTIFS(설정!$F$16:$F$36,C584,설정!$G$16:$G$36,"Y")+COUNTIFS(설정!$F$16:$F$36,VALUE(C584),설정!$G$16:$G$36,"Y"),0)&gt;0),C584&amp;""=설정!$C$5&amp;""),1,0))</f>
        <v>0</v>
      </c>
      <c r="AD584" s="89" t="n">
        <f aca="false">IF(Q584&lt;&gt;1,0,IF(OR(S584=1,IF(AB584="",FALSE(),INDEX(시장분석!$R:$R,AB584)=1)),1,0))</f>
        <v>0</v>
      </c>
      <c r="AE584" s="43" t="str">
        <f aca="false">IF(AB584="","",INDEX(시장분석!$A:$A,AB584))</f>
        <v/>
      </c>
      <c r="AF584" s="93" t="str">
        <f aca="false">IF(AB584="","",IF(ISNUMBER(IF(AB584="","",INDEX(시장분석!$E:$E,AB584))),IF(AB584="","",INDEX(시장분석!$E:$E,AB584)),""))</f>
        <v/>
      </c>
      <c r="AG584" s="43" t="str">
        <f aca="false">IF(Q584&lt;&gt;1,"",IF(AB584&lt;&gt;"",IF(AB584="","",INDEX(시장분석!$L:$L,AB584)),IFERROR(IF(VLOOKUP(R584,매핑!$A$4:$E$92,5,0)="","미분류",VLOOKUP(R584,매핑!$A$4:$E$92,5,0)),"미분류")))</f>
        <v/>
      </c>
      <c r="AH584" s="43" t="str">
        <f aca="false">IF(Q584&lt;&gt;1,"",IF(AB584&lt;&gt;"",IF(AB584="","",INDEX(시장분석!$N:$N,AB584)),IFERROR(IF(VLOOKUP(R584,매핑!$A$4:$E$92,4,0)="","미분류",VLOOKUP(R584,매핑!$A$4:$E$92,4,0)),"미분류")))</f>
        <v/>
      </c>
      <c r="AI584" s="43" t="str">
        <f aca="false">IF(Q584&lt;&gt;1,"",IFERROR(IF(VLOOKUP(R584,매핑!$A$4:$E$92,3,0)="","미분류",VLOOKUP(R584,매핑!$A$4:$E$92,3,0)),IF(AB584&lt;&gt;"",IF(AB584="","",INDEX(시장분석!$W:$W,AB584)),"미분류")))</f>
        <v/>
      </c>
      <c r="AJ584" s="43" t="str">
        <f aca="false">IF(Q584&lt;&gt;1,"",IFERROR(VLOOKUP(IF(N584&lt;&gt;"",N584,IF(P584&lt;&gt;"",P584,O584)),설정!$A$15:$D$47,2,0),""))</f>
        <v/>
      </c>
      <c r="AK584" s="43" t="str">
        <f aca="false">IF(Q584&lt;&gt;1,"",IF(AJ584="","무등급",IFERROR(VLOOKUP(AJ584,설정!$A$15:$D$47,3,0),"무등급")))</f>
        <v/>
      </c>
      <c r="AL584" s="89" t="n">
        <f aca="false">IF(AJ584="",99,IFERROR(VLOOKUP(AJ584,설정!$A$15:$D$47,4,0),99))</f>
        <v>99</v>
      </c>
      <c r="AM584" s="94" t="n">
        <f aca="false">IF(ISNUMBER(H584),AA584*1000000*H584/10000,0)</f>
        <v>0</v>
      </c>
      <c r="AN584" s="94" t="n">
        <f aca="false">IF(OR(Y584=1,NOT(ISNUMBER(Z584))),0,AA584*1000000*Z584/10000)</f>
        <v>0</v>
      </c>
      <c r="AO584" s="94" t="n">
        <f aca="false">IF(ISNUMBER(G584),AA584*1000000*G584/100,0)</f>
        <v>0</v>
      </c>
      <c r="AP584" s="94" t="n">
        <f aca="false">IF(ISNUMBER(M584),M584*K584,0)</f>
        <v>0</v>
      </c>
      <c r="AQ584" s="95" t="str">
        <f aca="false">IF(AB584="","",INDEX(시장분석!$AK:$AK,AB584))</f>
        <v/>
      </c>
      <c r="AR584" s="43" t="str">
        <f aca="false">IF(AB584="","-",IF(AB584="","",INDEX(시장분석!$AL:$AL,AB584)))</f>
        <v>-</v>
      </c>
      <c r="AS584" s="96" t="str">
        <f aca="false">IF(AB584="","",INDEX(시장분석!$AJ:$AJ,AB584))</f>
        <v/>
      </c>
      <c r="AT584" s="93" t="n">
        <f aca="false">IF(AB584="",0,IF(AB584="","",INDEX(시장분석!$AN:$AN,AB584)))</f>
        <v>0</v>
      </c>
      <c r="AU584" s="94" t="n">
        <f aca="false">IF(ISNUMBER(Z584),AT584/10000*MAX(Z584-1,0)*AA584*1000000,0)</f>
        <v>0</v>
      </c>
      <c r="AV584" s="94" t="n">
        <f aca="false">AO584+AU584</f>
        <v>0</v>
      </c>
      <c r="AW584" s="43" t="str">
        <f aca="false">IF(Q584&lt;&gt;1,"",TRIM(IF(AD584=1,"FRN ","")&amp;IF(AND(AL584&gt;=10,AL584&lt;99),"BBB0미만 ","")&amp;IF(AJ584="","등급없음 ","")&amp;IF(K584&lt;&gt;1,"비USD ","")&amp;IF(AND(AB584="",Y584=0),"시장데이터없음 ","")&amp;IF(AND(ISNUMBER(U584),U584&lt;0),"만기경과 ","")))</f>
        <v/>
      </c>
      <c r="AX584" s="90" t="n">
        <f aca="false">IF(Q584&lt;&gt;1,1,IF(스프레드쇼크!$C$4="Y",INDEX(스프레드쇼크!$B$12:$L$16,IFERROR(MATCH(AH584,스프레드쇼크!$A$12:$A$16,0),MATCH("목록외",스프레드쇼크!$A$12:$A$16,0)),IFERROR(MATCH(AG584,스프레드쇼크!$B$11:$L$11,0),MATCH("목록외",스프레드쇼크!$B$11:$L$11,0))),1))</f>
        <v>1</v>
      </c>
      <c r="AY584" s="90" t="n">
        <f aca="false">IF(스프레드쇼크!$C$5="Y",IF(ISNUMBER(AF584),MIN(스프레드쇼크!$C$7,MAX(스프레드쇼크!$C$6,AF584/스프레드쇼크!$C$8)),1),1)</f>
        <v>1</v>
      </c>
      <c r="AZ584" s="94" t="n">
        <f aca="false">AN584*AX584*AY584</f>
        <v>0</v>
      </c>
      <c r="BA584" s="90" t="n">
        <f aca="false">IF(ISNUMBER(G584),AA584*G584,0)</f>
        <v>0</v>
      </c>
      <c r="BB584" s="90" t="n">
        <f aca="false">IF(ISNUMBER(G584),AA584,0)</f>
        <v>0</v>
      </c>
      <c r="BC584" s="90" t="n">
        <f aca="false">IF(AND(Y584=0,ISNUMBER(AF584)),AA584*AF584,0)</f>
        <v>0</v>
      </c>
      <c r="BD584" s="90" t="n">
        <f aca="false">IF(AND(Y584=0,ISNUMBER(AF584)),AA584,0)</f>
        <v>0</v>
      </c>
      <c r="BE584" s="90" t="n">
        <f aca="false">IF(ISNUMBER(H584),AA584*H584,0)</f>
        <v>0</v>
      </c>
      <c r="BF584" s="90" t="n">
        <f aca="false">IF(ISNUMBER(H584),AA584,0)</f>
        <v>0</v>
      </c>
      <c r="BG584" s="90" t="n">
        <f aca="false">IF(AND(Y584=0,ISNUMBER(AF584),ISNUMBER(Z584)),AA584*Z584,0)</f>
        <v>0</v>
      </c>
      <c r="BH584" s="90" t="n">
        <f aca="false">IF(AND(Y584=0,ISNUMBER(AF584),ISNUMBER(Z584)),AA584*AT584*MAX(Z584-1,0),0)</f>
        <v>0</v>
      </c>
      <c r="BI584" s="90" t="n">
        <f aca="false">IF(Y584=0,AA584,0)</f>
        <v>0</v>
      </c>
    </row>
    <row r="585" customFormat="false" ht="15" hidden="false" customHeight="false" outlineLevel="0" collapsed="false">
      <c r="A585" s="83" t="str">
        <f aca="false">IFERROR(IF(INDEX(원자료_잔고!$A$1:$EZ$1500,설정!$L$5+ROW()-1,설정!$L$8)&amp;""="0","",INDEX(원자료_잔고!$A$1:$EZ$1500,설정!$L$5+ROW()-1,설정!$L$8)&amp;""),"")</f>
        <v/>
      </c>
      <c r="B585" s="83" t="str">
        <f aca="false">IFERROR(IF(INDEX(원자료_잔고!$A$1:$EZ$1500,설정!$L$5+ROW()-1,설정!$L$7)&amp;""="0","",INDEX(원자료_잔고!$A$1:$EZ$1500,설정!$L$5+ROW()-1,설정!$L$7)&amp;""),"")</f>
        <v/>
      </c>
      <c r="C585" s="83" t="str">
        <f aca="false">IFERROR(IF(INDEX(원자료_잔고!$A$1:$EZ$1500,설정!$L$5+ROW()-1,설정!$L$9)&amp;""="0","",INDEX(원자료_잔고!$A$1:$EZ$1500,설정!$L$5+ROW()-1,설정!$L$9)&amp;""),"")</f>
        <v/>
      </c>
      <c r="D585" s="83" t="str">
        <f aca="false">IFERROR(IF(INDEX(원자료_잔고!$A$1:$EZ$1500,설정!$L$5+ROW()-1,설정!$L$10)&amp;""="0","",INDEX(원자료_잔고!$A$1:$EZ$1500,설정!$L$5+ROW()-1,설정!$L$10)&amp;""),"")</f>
        <v/>
      </c>
      <c r="E585" s="84" t="str">
        <f aca="false">IFERROR(IF(ISNUMBER(INDEX(원자료_잔고!$A$1:$EZ$1500,설정!$L$5+ROW()-1,설정!$L$11)),INDEX(원자료_잔고!$A$1:$EZ$1500,설정!$L$5+ROW()-1,설정!$L$11),""),"")</f>
        <v/>
      </c>
      <c r="F585" s="85" t="str">
        <f aca="false">IFERROR(IF(ISNUMBER(INDEX(원자료_잔고!$A$1:$EZ$1500,설정!$L$5+ROW()-1,설정!$L$12)),INDEX(원자료_잔고!$A$1:$EZ$1500,설정!$L$5+ROW()-1,설정!$L$12),""),"")</f>
        <v/>
      </c>
      <c r="G585" s="85" t="str">
        <f aca="false">IFERROR(IF(ISNUMBER(INDEX(원자료_잔고!$A$1:$EZ$1500,설정!$L$5+ROW()-1,설정!$L$13)),INDEX(원자료_잔고!$A$1:$EZ$1500,설정!$L$5+ROW()-1,설정!$L$13),""),"")</f>
        <v/>
      </c>
      <c r="H585" s="85" t="str">
        <f aca="false">IFERROR(IF(ISNUMBER(INDEX(원자료_잔고!$A$1:$EZ$1500,설정!$L$5+ROW()-1,설정!$L$14)),INDEX(원자료_잔고!$A$1:$EZ$1500,설정!$L$5+ROW()-1,설정!$L$14),""),"")</f>
        <v/>
      </c>
      <c r="I585" s="86" t="str">
        <f aca="false">IFERROR(IF(ISNUMBER(INDEX(원자료_잔고!$A$1:$EZ$1500,설정!$L$5+ROW()-1,설정!$L$15)),INDEX(원자료_잔고!$A$1:$EZ$1500,설정!$L$5+ROW()-1,설정!$L$15),""),"")</f>
        <v/>
      </c>
      <c r="J585" s="85" t="str">
        <f aca="false">IFERROR(IF(ISNUMBER(INDEX(원자료_잔고!$A$1:$EZ$1500,설정!$L$5+ROW()-1,설정!$L$16)),INDEX(원자료_잔고!$A$1:$EZ$1500,설정!$L$5+ROW()-1,설정!$L$16),""),"")</f>
        <v/>
      </c>
      <c r="K585" s="87" t="str">
        <f aca="false">IFERROR(IF(ISNUMBER(INDEX(원자료_잔고!$A$1:$EZ$1500,설정!$L$5+ROW()-1,설정!$L$17)),INDEX(원자료_잔고!$A$1:$EZ$1500,설정!$L$5+ROW()-1,설정!$L$17),""),"")</f>
        <v/>
      </c>
      <c r="L585" s="84" t="str">
        <f aca="false">IFERROR(IF(ISNUMBER(INDEX(원자료_잔고!$A$1:$EZ$1500,설정!$L$5+ROW()-1,설정!$L$18)),INDEX(원자료_잔고!$A$1:$EZ$1500,설정!$L$5+ROW()-1,설정!$L$18),""),"")</f>
        <v/>
      </c>
      <c r="M585" s="88" t="str">
        <f aca="false">IFERROR(IF(ISNUMBER(INDEX(원자료_잔고!$A$1:$EZ$1500,설정!$L$5+ROW()-1,설정!$L$19)),INDEX(원자료_잔고!$A$1:$EZ$1500,설정!$L$5+ROW()-1,설정!$L$19),""),"")</f>
        <v/>
      </c>
      <c r="N585" s="83" t="str">
        <f aca="false">IFERROR(IF(INDEX(원자료_잔고!$A$1:$EZ$1500,설정!$L$5+ROW()-1,설정!$L$21)&amp;""="0","",INDEX(원자료_잔고!$A$1:$EZ$1500,설정!$L$5+ROW()-1,설정!$L$21)&amp;""),"")</f>
        <v/>
      </c>
      <c r="O585" s="83" t="str">
        <f aca="false">IFERROR(IF(INDEX(원자료_잔고!$A$1:$EZ$1500,설정!$L$5+ROW()-1,설정!$L$22)&amp;""="0","",INDEX(원자료_잔고!$A$1:$EZ$1500,설정!$L$5+ROW()-1,설정!$L$22)&amp;""),"")</f>
        <v/>
      </c>
      <c r="P585" s="83" t="str">
        <f aca="false">IFERROR(IF(INDEX(원자료_잔고!$A$1:$EZ$1500,설정!$L$5+ROW()-1,설정!$L$23)&amp;""="0","",INDEX(원자료_잔고!$A$1:$EZ$1500,설정!$L$5+ROW()-1,설정!$L$23)&amp;""),"")</f>
        <v/>
      </c>
      <c r="Q585" s="89" t="n">
        <f aca="false">IF(AND($A585&lt;&gt;"",ISNUMBER(E585)),IF(E585&gt;0,1,0),0)</f>
        <v>0</v>
      </c>
      <c r="R585" s="43" t="str">
        <f aca="false">IF(Q585=1,UPPER(LEFT($A585,FIND(" ",$A585&amp;" ")-1)),"")</f>
        <v/>
      </c>
      <c r="S585" s="89" t="n">
        <f aca="false">IF(Q585=1,IF(OR(ISNUMBER(SEARCH("Float",$A585)),ISNUMBER(SEARCH("FRN",$A585))),1,0),0)</f>
        <v>0</v>
      </c>
      <c r="T585" s="43" t="str">
        <f aca="false">IF(AND(Q585=1,ISNUMBER(I585)),TEXT(I585,"yyyymmdd")&amp;"|"&amp;IF(S585=1,"F",TEXT(J585,"0.000")),"")</f>
        <v/>
      </c>
      <c r="U585" s="90" t="str">
        <f aca="false">IF(AND(Q585=1,ISNUMBER(I585)),(I585-설정!$C$4)/365.25,"")</f>
        <v/>
      </c>
      <c r="V585" s="43" t="str">
        <f aca="false">IF(Q585&lt;&gt;1,"",IF(ISNUMBER(U585),IF(U585&lt;=1,"1년 이하",IF(U585&lt;=2,"1-2년",IF(U585&lt;=3,"2-3년",IF(U585&lt;=4,"3-4년",IF(U585&lt;=5,"4-5년",IF(U585&lt;=7,"5-7년",IF(U585&lt;=10,"7-10년",IF(U585&lt;=20,"10-20년","20년 이상")))))))),"미분류"))</f>
        <v/>
      </c>
      <c r="W585" s="43" t="str">
        <f aca="false">IF(Q585&lt;&gt;1,"",IF(AB585&lt;&gt;"",INDEX(시장분석!$C:$C,AB585),IF(K585=1,"USD","비USD")))</f>
        <v/>
      </c>
      <c r="X585" s="91" t="n">
        <f aca="false">IF(Q585=1,E585*K585/1000000,0)</f>
        <v>0</v>
      </c>
      <c r="Y585" s="89" t="n">
        <f aca="false">IF(R585="T",1,0)</f>
        <v>0</v>
      </c>
      <c r="Z585" s="92" t="str">
        <f aca="false">IF(Q585&lt;&gt;1,"",IF(AD585=1,IF(ISNUMBER(U585),MAX(U585,0),H585),H585))</f>
        <v/>
      </c>
      <c r="AA585" s="91" t="n">
        <f aca="false">IF(Q585=1,IF(ISNUMBER(L585),L585,0)*K585/1000000,0)</f>
        <v>0</v>
      </c>
      <c r="AB585" s="89" t="str">
        <f aca="false">IF(Q585&lt;&gt;1,"",IFERROR(MATCH(VLOOKUP(B585,매핑!$H$4:$I$15,2,0),시장분석!$A$2:$A$601,0)+1,IFERROR(MATCH(R585&amp;"|"&amp;T585,시장분석!$V$2:$V$601,0)+1,IF(COUNTIF(시장분석!$U$2:$U$601,T585)=1,MATCH(T585,시장분석!$U$2:$U$601,0)+1,""))))</f>
        <v/>
      </c>
      <c r="AC585" s="89" t="n">
        <f aca="false">IF(Q585&lt;&gt;1,0,IF(OR(설정!$C$5="전체",AND(설정!$C$5="선택펀드",IFERROR(COUNTIFS(설정!$F$16:$F$36,C585,설정!$G$16:$G$36,"Y")+COUNTIFS(설정!$F$16:$F$36,VALUE(C585),설정!$G$16:$G$36,"Y"),0)&gt;0),C585&amp;""=설정!$C$5&amp;""),1,0))</f>
        <v>0</v>
      </c>
      <c r="AD585" s="89" t="n">
        <f aca="false">IF(Q585&lt;&gt;1,0,IF(OR(S585=1,IF(AB585="",FALSE(),INDEX(시장분석!$R:$R,AB585)=1)),1,0))</f>
        <v>0</v>
      </c>
      <c r="AE585" s="43" t="str">
        <f aca="false">IF(AB585="","",INDEX(시장분석!$A:$A,AB585))</f>
        <v/>
      </c>
      <c r="AF585" s="93" t="str">
        <f aca="false">IF(AB585="","",IF(ISNUMBER(IF(AB585="","",INDEX(시장분석!$E:$E,AB585))),IF(AB585="","",INDEX(시장분석!$E:$E,AB585)),""))</f>
        <v/>
      </c>
      <c r="AG585" s="43" t="str">
        <f aca="false">IF(Q585&lt;&gt;1,"",IF(AB585&lt;&gt;"",IF(AB585="","",INDEX(시장분석!$L:$L,AB585)),IFERROR(IF(VLOOKUP(R585,매핑!$A$4:$E$92,5,0)="","미분류",VLOOKUP(R585,매핑!$A$4:$E$92,5,0)),"미분류")))</f>
        <v/>
      </c>
      <c r="AH585" s="43" t="str">
        <f aca="false">IF(Q585&lt;&gt;1,"",IF(AB585&lt;&gt;"",IF(AB585="","",INDEX(시장분석!$N:$N,AB585)),IFERROR(IF(VLOOKUP(R585,매핑!$A$4:$E$92,4,0)="","미분류",VLOOKUP(R585,매핑!$A$4:$E$92,4,0)),"미분류")))</f>
        <v/>
      </c>
      <c r="AI585" s="43" t="str">
        <f aca="false">IF(Q585&lt;&gt;1,"",IFERROR(IF(VLOOKUP(R585,매핑!$A$4:$E$92,3,0)="","미분류",VLOOKUP(R585,매핑!$A$4:$E$92,3,0)),IF(AB585&lt;&gt;"",IF(AB585="","",INDEX(시장분석!$W:$W,AB585)),"미분류")))</f>
        <v/>
      </c>
      <c r="AJ585" s="43" t="str">
        <f aca="false">IF(Q585&lt;&gt;1,"",IFERROR(VLOOKUP(IF(N585&lt;&gt;"",N585,IF(P585&lt;&gt;"",P585,O585)),설정!$A$15:$D$47,2,0),""))</f>
        <v/>
      </c>
      <c r="AK585" s="43" t="str">
        <f aca="false">IF(Q585&lt;&gt;1,"",IF(AJ585="","무등급",IFERROR(VLOOKUP(AJ585,설정!$A$15:$D$47,3,0),"무등급")))</f>
        <v/>
      </c>
      <c r="AL585" s="89" t="n">
        <f aca="false">IF(AJ585="",99,IFERROR(VLOOKUP(AJ585,설정!$A$15:$D$47,4,0),99))</f>
        <v>99</v>
      </c>
      <c r="AM585" s="94" t="n">
        <f aca="false">IF(ISNUMBER(H585),AA585*1000000*H585/10000,0)</f>
        <v>0</v>
      </c>
      <c r="AN585" s="94" t="n">
        <f aca="false">IF(OR(Y585=1,NOT(ISNUMBER(Z585))),0,AA585*1000000*Z585/10000)</f>
        <v>0</v>
      </c>
      <c r="AO585" s="94" t="n">
        <f aca="false">IF(ISNUMBER(G585),AA585*1000000*G585/100,0)</f>
        <v>0</v>
      </c>
      <c r="AP585" s="94" t="n">
        <f aca="false">IF(ISNUMBER(M585),M585*K585,0)</f>
        <v>0</v>
      </c>
      <c r="AQ585" s="95" t="str">
        <f aca="false">IF(AB585="","",INDEX(시장분석!$AK:$AK,AB585))</f>
        <v/>
      </c>
      <c r="AR585" s="43" t="str">
        <f aca="false">IF(AB585="","-",IF(AB585="","",INDEX(시장분석!$AL:$AL,AB585)))</f>
        <v>-</v>
      </c>
      <c r="AS585" s="96" t="str">
        <f aca="false">IF(AB585="","",INDEX(시장분석!$AJ:$AJ,AB585))</f>
        <v/>
      </c>
      <c r="AT585" s="93" t="n">
        <f aca="false">IF(AB585="",0,IF(AB585="","",INDEX(시장분석!$AN:$AN,AB585)))</f>
        <v>0</v>
      </c>
      <c r="AU585" s="94" t="n">
        <f aca="false">IF(ISNUMBER(Z585),AT585/10000*MAX(Z585-1,0)*AA585*1000000,0)</f>
        <v>0</v>
      </c>
      <c r="AV585" s="94" t="n">
        <f aca="false">AO585+AU585</f>
        <v>0</v>
      </c>
      <c r="AW585" s="43" t="str">
        <f aca="false">IF(Q585&lt;&gt;1,"",TRIM(IF(AD585=1,"FRN ","")&amp;IF(AND(AL585&gt;=10,AL585&lt;99),"BBB0미만 ","")&amp;IF(AJ585="","등급없음 ","")&amp;IF(K585&lt;&gt;1,"비USD ","")&amp;IF(AND(AB585="",Y585=0),"시장데이터없음 ","")&amp;IF(AND(ISNUMBER(U585),U585&lt;0),"만기경과 ","")))</f>
        <v/>
      </c>
      <c r="AX585" s="90" t="n">
        <f aca="false">IF(Q585&lt;&gt;1,1,IF(스프레드쇼크!$C$4="Y",INDEX(스프레드쇼크!$B$12:$L$16,IFERROR(MATCH(AH585,스프레드쇼크!$A$12:$A$16,0),MATCH("목록외",스프레드쇼크!$A$12:$A$16,0)),IFERROR(MATCH(AG585,스프레드쇼크!$B$11:$L$11,0),MATCH("목록외",스프레드쇼크!$B$11:$L$11,0))),1))</f>
        <v>1</v>
      </c>
      <c r="AY585" s="90" t="n">
        <f aca="false">IF(스프레드쇼크!$C$5="Y",IF(ISNUMBER(AF585),MIN(스프레드쇼크!$C$7,MAX(스프레드쇼크!$C$6,AF585/스프레드쇼크!$C$8)),1),1)</f>
        <v>1</v>
      </c>
      <c r="AZ585" s="94" t="n">
        <f aca="false">AN585*AX585*AY585</f>
        <v>0</v>
      </c>
      <c r="BA585" s="90" t="n">
        <f aca="false">IF(ISNUMBER(G585),AA585*G585,0)</f>
        <v>0</v>
      </c>
      <c r="BB585" s="90" t="n">
        <f aca="false">IF(ISNUMBER(G585),AA585,0)</f>
        <v>0</v>
      </c>
      <c r="BC585" s="90" t="n">
        <f aca="false">IF(AND(Y585=0,ISNUMBER(AF585)),AA585*AF585,0)</f>
        <v>0</v>
      </c>
      <c r="BD585" s="90" t="n">
        <f aca="false">IF(AND(Y585=0,ISNUMBER(AF585)),AA585,0)</f>
        <v>0</v>
      </c>
      <c r="BE585" s="90" t="n">
        <f aca="false">IF(ISNUMBER(H585),AA585*H585,0)</f>
        <v>0</v>
      </c>
      <c r="BF585" s="90" t="n">
        <f aca="false">IF(ISNUMBER(H585),AA585,0)</f>
        <v>0</v>
      </c>
      <c r="BG585" s="90" t="n">
        <f aca="false">IF(AND(Y585=0,ISNUMBER(AF585),ISNUMBER(Z585)),AA585*Z585,0)</f>
        <v>0</v>
      </c>
      <c r="BH585" s="90" t="n">
        <f aca="false">IF(AND(Y585=0,ISNUMBER(AF585),ISNUMBER(Z585)),AA585*AT585*MAX(Z585-1,0),0)</f>
        <v>0</v>
      </c>
      <c r="BI585" s="90" t="n">
        <f aca="false">IF(Y585=0,AA585,0)</f>
        <v>0</v>
      </c>
    </row>
    <row r="586" customFormat="false" ht="15" hidden="false" customHeight="false" outlineLevel="0" collapsed="false">
      <c r="A586" s="83" t="str">
        <f aca="false">IFERROR(IF(INDEX(원자료_잔고!$A$1:$EZ$1500,설정!$L$5+ROW()-1,설정!$L$8)&amp;""="0","",INDEX(원자료_잔고!$A$1:$EZ$1500,설정!$L$5+ROW()-1,설정!$L$8)&amp;""),"")</f>
        <v/>
      </c>
      <c r="B586" s="83" t="str">
        <f aca="false">IFERROR(IF(INDEX(원자료_잔고!$A$1:$EZ$1500,설정!$L$5+ROW()-1,설정!$L$7)&amp;""="0","",INDEX(원자료_잔고!$A$1:$EZ$1500,설정!$L$5+ROW()-1,설정!$L$7)&amp;""),"")</f>
        <v/>
      </c>
      <c r="C586" s="83" t="str">
        <f aca="false">IFERROR(IF(INDEX(원자료_잔고!$A$1:$EZ$1500,설정!$L$5+ROW()-1,설정!$L$9)&amp;""="0","",INDEX(원자료_잔고!$A$1:$EZ$1500,설정!$L$5+ROW()-1,설정!$L$9)&amp;""),"")</f>
        <v/>
      </c>
      <c r="D586" s="83" t="str">
        <f aca="false">IFERROR(IF(INDEX(원자료_잔고!$A$1:$EZ$1500,설정!$L$5+ROW()-1,설정!$L$10)&amp;""="0","",INDEX(원자료_잔고!$A$1:$EZ$1500,설정!$L$5+ROW()-1,설정!$L$10)&amp;""),"")</f>
        <v/>
      </c>
      <c r="E586" s="84" t="str">
        <f aca="false">IFERROR(IF(ISNUMBER(INDEX(원자료_잔고!$A$1:$EZ$1500,설정!$L$5+ROW()-1,설정!$L$11)),INDEX(원자료_잔고!$A$1:$EZ$1500,설정!$L$5+ROW()-1,설정!$L$11),""),"")</f>
        <v/>
      </c>
      <c r="F586" s="85" t="str">
        <f aca="false">IFERROR(IF(ISNUMBER(INDEX(원자료_잔고!$A$1:$EZ$1500,설정!$L$5+ROW()-1,설정!$L$12)),INDEX(원자료_잔고!$A$1:$EZ$1500,설정!$L$5+ROW()-1,설정!$L$12),""),"")</f>
        <v/>
      </c>
      <c r="G586" s="85" t="str">
        <f aca="false">IFERROR(IF(ISNUMBER(INDEX(원자료_잔고!$A$1:$EZ$1500,설정!$L$5+ROW()-1,설정!$L$13)),INDEX(원자료_잔고!$A$1:$EZ$1500,설정!$L$5+ROW()-1,설정!$L$13),""),"")</f>
        <v/>
      </c>
      <c r="H586" s="85" t="str">
        <f aca="false">IFERROR(IF(ISNUMBER(INDEX(원자료_잔고!$A$1:$EZ$1500,설정!$L$5+ROW()-1,설정!$L$14)),INDEX(원자료_잔고!$A$1:$EZ$1500,설정!$L$5+ROW()-1,설정!$L$14),""),"")</f>
        <v/>
      </c>
      <c r="I586" s="86" t="str">
        <f aca="false">IFERROR(IF(ISNUMBER(INDEX(원자료_잔고!$A$1:$EZ$1500,설정!$L$5+ROW()-1,설정!$L$15)),INDEX(원자료_잔고!$A$1:$EZ$1500,설정!$L$5+ROW()-1,설정!$L$15),""),"")</f>
        <v/>
      </c>
      <c r="J586" s="85" t="str">
        <f aca="false">IFERROR(IF(ISNUMBER(INDEX(원자료_잔고!$A$1:$EZ$1500,설정!$L$5+ROW()-1,설정!$L$16)),INDEX(원자료_잔고!$A$1:$EZ$1500,설정!$L$5+ROW()-1,설정!$L$16),""),"")</f>
        <v/>
      </c>
      <c r="K586" s="87" t="str">
        <f aca="false">IFERROR(IF(ISNUMBER(INDEX(원자료_잔고!$A$1:$EZ$1500,설정!$L$5+ROW()-1,설정!$L$17)),INDEX(원자료_잔고!$A$1:$EZ$1500,설정!$L$5+ROW()-1,설정!$L$17),""),"")</f>
        <v/>
      </c>
      <c r="L586" s="84" t="str">
        <f aca="false">IFERROR(IF(ISNUMBER(INDEX(원자료_잔고!$A$1:$EZ$1500,설정!$L$5+ROW()-1,설정!$L$18)),INDEX(원자료_잔고!$A$1:$EZ$1500,설정!$L$5+ROW()-1,설정!$L$18),""),"")</f>
        <v/>
      </c>
      <c r="M586" s="88" t="str">
        <f aca="false">IFERROR(IF(ISNUMBER(INDEX(원자료_잔고!$A$1:$EZ$1500,설정!$L$5+ROW()-1,설정!$L$19)),INDEX(원자료_잔고!$A$1:$EZ$1500,설정!$L$5+ROW()-1,설정!$L$19),""),"")</f>
        <v/>
      </c>
      <c r="N586" s="83" t="str">
        <f aca="false">IFERROR(IF(INDEX(원자료_잔고!$A$1:$EZ$1500,설정!$L$5+ROW()-1,설정!$L$21)&amp;""="0","",INDEX(원자료_잔고!$A$1:$EZ$1500,설정!$L$5+ROW()-1,설정!$L$21)&amp;""),"")</f>
        <v/>
      </c>
      <c r="O586" s="83" t="str">
        <f aca="false">IFERROR(IF(INDEX(원자료_잔고!$A$1:$EZ$1500,설정!$L$5+ROW()-1,설정!$L$22)&amp;""="0","",INDEX(원자료_잔고!$A$1:$EZ$1500,설정!$L$5+ROW()-1,설정!$L$22)&amp;""),"")</f>
        <v/>
      </c>
      <c r="P586" s="83" t="str">
        <f aca="false">IFERROR(IF(INDEX(원자료_잔고!$A$1:$EZ$1500,설정!$L$5+ROW()-1,설정!$L$23)&amp;""="0","",INDEX(원자료_잔고!$A$1:$EZ$1500,설정!$L$5+ROW()-1,설정!$L$23)&amp;""),"")</f>
        <v/>
      </c>
      <c r="Q586" s="89" t="n">
        <f aca="false">IF(AND($A586&lt;&gt;"",ISNUMBER(E586)),IF(E586&gt;0,1,0),0)</f>
        <v>0</v>
      </c>
      <c r="R586" s="43" t="str">
        <f aca="false">IF(Q586=1,UPPER(LEFT($A586,FIND(" ",$A586&amp;" ")-1)),"")</f>
        <v/>
      </c>
      <c r="S586" s="89" t="n">
        <f aca="false">IF(Q586=1,IF(OR(ISNUMBER(SEARCH("Float",$A586)),ISNUMBER(SEARCH("FRN",$A586))),1,0),0)</f>
        <v>0</v>
      </c>
      <c r="T586" s="43" t="str">
        <f aca="false">IF(AND(Q586=1,ISNUMBER(I586)),TEXT(I586,"yyyymmdd")&amp;"|"&amp;IF(S586=1,"F",TEXT(J586,"0.000")),"")</f>
        <v/>
      </c>
      <c r="U586" s="90" t="str">
        <f aca="false">IF(AND(Q586=1,ISNUMBER(I586)),(I586-설정!$C$4)/365.25,"")</f>
        <v/>
      </c>
      <c r="V586" s="43" t="str">
        <f aca="false">IF(Q586&lt;&gt;1,"",IF(ISNUMBER(U586),IF(U586&lt;=1,"1년 이하",IF(U586&lt;=2,"1-2년",IF(U586&lt;=3,"2-3년",IF(U586&lt;=4,"3-4년",IF(U586&lt;=5,"4-5년",IF(U586&lt;=7,"5-7년",IF(U586&lt;=10,"7-10년",IF(U586&lt;=20,"10-20년","20년 이상")))))))),"미분류"))</f>
        <v/>
      </c>
      <c r="W586" s="43" t="str">
        <f aca="false">IF(Q586&lt;&gt;1,"",IF(AB586&lt;&gt;"",INDEX(시장분석!$C:$C,AB586),IF(K586=1,"USD","비USD")))</f>
        <v/>
      </c>
      <c r="X586" s="91" t="n">
        <f aca="false">IF(Q586=1,E586*K586/1000000,0)</f>
        <v>0</v>
      </c>
      <c r="Y586" s="89" t="n">
        <f aca="false">IF(R586="T",1,0)</f>
        <v>0</v>
      </c>
      <c r="Z586" s="92" t="str">
        <f aca="false">IF(Q586&lt;&gt;1,"",IF(AD586=1,IF(ISNUMBER(U586),MAX(U586,0),H586),H586))</f>
        <v/>
      </c>
      <c r="AA586" s="91" t="n">
        <f aca="false">IF(Q586=1,IF(ISNUMBER(L586),L586,0)*K586/1000000,0)</f>
        <v>0</v>
      </c>
      <c r="AB586" s="89" t="str">
        <f aca="false">IF(Q586&lt;&gt;1,"",IFERROR(MATCH(VLOOKUP(B586,매핑!$H$4:$I$15,2,0),시장분석!$A$2:$A$601,0)+1,IFERROR(MATCH(R586&amp;"|"&amp;T586,시장분석!$V$2:$V$601,0)+1,IF(COUNTIF(시장분석!$U$2:$U$601,T586)=1,MATCH(T586,시장분석!$U$2:$U$601,0)+1,""))))</f>
        <v/>
      </c>
      <c r="AC586" s="89" t="n">
        <f aca="false">IF(Q586&lt;&gt;1,0,IF(OR(설정!$C$5="전체",AND(설정!$C$5="선택펀드",IFERROR(COUNTIFS(설정!$F$16:$F$36,C586,설정!$G$16:$G$36,"Y")+COUNTIFS(설정!$F$16:$F$36,VALUE(C586),설정!$G$16:$G$36,"Y"),0)&gt;0),C586&amp;""=설정!$C$5&amp;""),1,0))</f>
        <v>0</v>
      </c>
      <c r="AD586" s="89" t="n">
        <f aca="false">IF(Q586&lt;&gt;1,0,IF(OR(S586=1,IF(AB586="",FALSE(),INDEX(시장분석!$R:$R,AB586)=1)),1,0))</f>
        <v>0</v>
      </c>
      <c r="AE586" s="43" t="str">
        <f aca="false">IF(AB586="","",INDEX(시장분석!$A:$A,AB586))</f>
        <v/>
      </c>
      <c r="AF586" s="93" t="str">
        <f aca="false">IF(AB586="","",IF(ISNUMBER(IF(AB586="","",INDEX(시장분석!$E:$E,AB586))),IF(AB586="","",INDEX(시장분석!$E:$E,AB586)),""))</f>
        <v/>
      </c>
      <c r="AG586" s="43" t="str">
        <f aca="false">IF(Q586&lt;&gt;1,"",IF(AB586&lt;&gt;"",IF(AB586="","",INDEX(시장분석!$L:$L,AB586)),IFERROR(IF(VLOOKUP(R586,매핑!$A$4:$E$92,5,0)="","미분류",VLOOKUP(R586,매핑!$A$4:$E$92,5,0)),"미분류")))</f>
        <v/>
      </c>
      <c r="AH586" s="43" t="str">
        <f aca="false">IF(Q586&lt;&gt;1,"",IF(AB586&lt;&gt;"",IF(AB586="","",INDEX(시장분석!$N:$N,AB586)),IFERROR(IF(VLOOKUP(R586,매핑!$A$4:$E$92,4,0)="","미분류",VLOOKUP(R586,매핑!$A$4:$E$92,4,0)),"미분류")))</f>
        <v/>
      </c>
      <c r="AI586" s="43" t="str">
        <f aca="false">IF(Q586&lt;&gt;1,"",IFERROR(IF(VLOOKUP(R586,매핑!$A$4:$E$92,3,0)="","미분류",VLOOKUP(R586,매핑!$A$4:$E$92,3,0)),IF(AB586&lt;&gt;"",IF(AB586="","",INDEX(시장분석!$W:$W,AB586)),"미분류")))</f>
        <v/>
      </c>
      <c r="AJ586" s="43" t="str">
        <f aca="false">IF(Q586&lt;&gt;1,"",IFERROR(VLOOKUP(IF(N586&lt;&gt;"",N586,IF(P586&lt;&gt;"",P586,O586)),설정!$A$15:$D$47,2,0),""))</f>
        <v/>
      </c>
      <c r="AK586" s="43" t="str">
        <f aca="false">IF(Q586&lt;&gt;1,"",IF(AJ586="","무등급",IFERROR(VLOOKUP(AJ586,설정!$A$15:$D$47,3,0),"무등급")))</f>
        <v/>
      </c>
      <c r="AL586" s="89" t="n">
        <f aca="false">IF(AJ586="",99,IFERROR(VLOOKUP(AJ586,설정!$A$15:$D$47,4,0),99))</f>
        <v>99</v>
      </c>
      <c r="AM586" s="94" t="n">
        <f aca="false">IF(ISNUMBER(H586),AA586*1000000*H586/10000,0)</f>
        <v>0</v>
      </c>
      <c r="AN586" s="94" t="n">
        <f aca="false">IF(OR(Y586=1,NOT(ISNUMBER(Z586))),0,AA586*1000000*Z586/10000)</f>
        <v>0</v>
      </c>
      <c r="AO586" s="94" t="n">
        <f aca="false">IF(ISNUMBER(G586),AA586*1000000*G586/100,0)</f>
        <v>0</v>
      </c>
      <c r="AP586" s="94" t="n">
        <f aca="false">IF(ISNUMBER(M586),M586*K586,0)</f>
        <v>0</v>
      </c>
      <c r="AQ586" s="95" t="str">
        <f aca="false">IF(AB586="","",INDEX(시장분석!$AK:$AK,AB586))</f>
        <v/>
      </c>
      <c r="AR586" s="43" t="str">
        <f aca="false">IF(AB586="","-",IF(AB586="","",INDEX(시장분석!$AL:$AL,AB586)))</f>
        <v>-</v>
      </c>
      <c r="AS586" s="96" t="str">
        <f aca="false">IF(AB586="","",INDEX(시장분석!$AJ:$AJ,AB586))</f>
        <v/>
      </c>
      <c r="AT586" s="93" t="n">
        <f aca="false">IF(AB586="",0,IF(AB586="","",INDEX(시장분석!$AN:$AN,AB586)))</f>
        <v>0</v>
      </c>
      <c r="AU586" s="94" t="n">
        <f aca="false">IF(ISNUMBER(Z586),AT586/10000*MAX(Z586-1,0)*AA586*1000000,0)</f>
        <v>0</v>
      </c>
      <c r="AV586" s="94" t="n">
        <f aca="false">AO586+AU586</f>
        <v>0</v>
      </c>
      <c r="AW586" s="43" t="str">
        <f aca="false">IF(Q586&lt;&gt;1,"",TRIM(IF(AD586=1,"FRN ","")&amp;IF(AND(AL586&gt;=10,AL586&lt;99),"BBB0미만 ","")&amp;IF(AJ586="","등급없음 ","")&amp;IF(K586&lt;&gt;1,"비USD ","")&amp;IF(AND(AB586="",Y586=0),"시장데이터없음 ","")&amp;IF(AND(ISNUMBER(U586),U586&lt;0),"만기경과 ","")))</f>
        <v/>
      </c>
      <c r="AX586" s="90" t="n">
        <f aca="false">IF(Q586&lt;&gt;1,1,IF(스프레드쇼크!$C$4="Y",INDEX(스프레드쇼크!$B$12:$L$16,IFERROR(MATCH(AH586,스프레드쇼크!$A$12:$A$16,0),MATCH("목록외",스프레드쇼크!$A$12:$A$16,0)),IFERROR(MATCH(AG586,스프레드쇼크!$B$11:$L$11,0),MATCH("목록외",스프레드쇼크!$B$11:$L$11,0))),1))</f>
        <v>1</v>
      </c>
      <c r="AY586" s="90" t="n">
        <f aca="false">IF(스프레드쇼크!$C$5="Y",IF(ISNUMBER(AF586),MIN(스프레드쇼크!$C$7,MAX(스프레드쇼크!$C$6,AF586/스프레드쇼크!$C$8)),1),1)</f>
        <v>1</v>
      </c>
      <c r="AZ586" s="94" t="n">
        <f aca="false">AN586*AX586*AY586</f>
        <v>0</v>
      </c>
      <c r="BA586" s="90" t="n">
        <f aca="false">IF(ISNUMBER(G586),AA586*G586,0)</f>
        <v>0</v>
      </c>
      <c r="BB586" s="90" t="n">
        <f aca="false">IF(ISNUMBER(G586),AA586,0)</f>
        <v>0</v>
      </c>
      <c r="BC586" s="90" t="n">
        <f aca="false">IF(AND(Y586=0,ISNUMBER(AF586)),AA586*AF586,0)</f>
        <v>0</v>
      </c>
      <c r="BD586" s="90" t="n">
        <f aca="false">IF(AND(Y586=0,ISNUMBER(AF586)),AA586,0)</f>
        <v>0</v>
      </c>
      <c r="BE586" s="90" t="n">
        <f aca="false">IF(ISNUMBER(H586),AA586*H586,0)</f>
        <v>0</v>
      </c>
      <c r="BF586" s="90" t="n">
        <f aca="false">IF(ISNUMBER(H586),AA586,0)</f>
        <v>0</v>
      </c>
      <c r="BG586" s="90" t="n">
        <f aca="false">IF(AND(Y586=0,ISNUMBER(AF586),ISNUMBER(Z586)),AA586*Z586,0)</f>
        <v>0</v>
      </c>
      <c r="BH586" s="90" t="n">
        <f aca="false">IF(AND(Y586=0,ISNUMBER(AF586),ISNUMBER(Z586)),AA586*AT586*MAX(Z586-1,0),0)</f>
        <v>0</v>
      </c>
      <c r="BI586" s="90" t="n">
        <f aca="false">IF(Y586=0,AA586,0)</f>
        <v>0</v>
      </c>
    </row>
    <row r="587" customFormat="false" ht="15" hidden="false" customHeight="false" outlineLevel="0" collapsed="false">
      <c r="A587" s="83" t="str">
        <f aca="false">IFERROR(IF(INDEX(원자료_잔고!$A$1:$EZ$1500,설정!$L$5+ROW()-1,설정!$L$8)&amp;""="0","",INDEX(원자료_잔고!$A$1:$EZ$1500,설정!$L$5+ROW()-1,설정!$L$8)&amp;""),"")</f>
        <v/>
      </c>
      <c r="B587" s="83" t="str">
        <f aca="false">IFERROR(IF(INDEX(원자료_잔고!$A$1:$EZ$1500,설정!$L$5+ROW()-1,설정!$L$7)&amp;""="0","",INDEX(원자료_잔고!$A$1:$EZ$1500,설정!$L$5+ROW()-1,설정!$L$7)&amp;""),"")</f>
        <v/>
      </c>
      <c r="C587" s="83" t="str">
        <f aca="false">IFERROR(IF(INDEX(원자료_잔고!$A$1:$EZ$1500,설정!$L$5+ROW()-1,설정!$L$9)&amp;""="0","",INDEX(원자료_잔고!$A$1:$EZ$1500,설정!$L$5+ROW()-1,설정!$L$9)&amp;""),"")</f>
        <v/>
      </c>
      <c r="D587" s="83" t="str">
        <f aca="false">IFERROR(IF(INDEX(원자료_잔고!$A$1:$EZ$1500,설정!$L$5+ROW()-1,설정!$L$10)&amp;""="0","",INDEX(원자료_잔고!$A$1:$EZ$1500,설정!$L$5+ROW()-1,설정!$L$10)&amp;""),"")</f>
        <v/>
      </c>
      <c r="E587" s="84" t="str">
        <f aca="false">IFERROR(IF(ISNUMBER(INDEX(원자료_잔고!$A$1:$EZ$1500,설정!$L$5+ROW()-1,설정!$L$11)),INDEX(원자료_잔고!$A$1:$EZ$1500,설정!$L$5+ROW()-1,설정!$L$11),""),"")</f>
        <v/>
      </c>
      <c r="F587" s="85" t="str">
        <f aca="false">IFERROR(IF(ISNUMBER(INDEX(원자료_잔고!$A$1:$EZ$1500,설정!$L$5+ROW()-1,설정!$L$12)),INDEX(원자료_잔고!$A$1:$EZ$1500,설정!$L$5+ROW()-1,설정!$L$12),""),"")</f>
        <v/>
      </c>
      <c r="G587" s="85" t="str">
        <f aca="false">IFERROR(IF(ISNUMBER(INDEX(원자료_잔고!$A$1:$EZ$1500,설정!$L$5+ROW()-1,설정!$L$13)),INDEX(원자료_잔고!$A$1:$EZ$1500,설정!$L$5+ROW()-1,설정!$L$13),""),"")</f>
        <v/>
      </c>
      <c r="H587" s="85" t="str">
        <f aca="false">IFERROR(IF(ISNUMBER(INDEX(원자료_잔고!$A$1:$EZ$1500,설정!$L$5+ROW()-1,설정!$L$14)),INDEX(원자료_잔고!$A$1:$EZ$1500,설정!$L$5+ROW()-1,설정!$L$14),""),"")</f>
        <v/>
      </c>
      <c r="I587" s="86" t="str">
        <f aca="false">IFERROR(IF(ISNUMBER(INDEX(원자료_잔고!$A$1:$EZ$1500,설정!$L$5+ROW()-1,설정!$L$15)),INDEX(원자료_잔고!$A$1:$EZ$1500,설정!$L$5+ROW()-1,설정!$L$15),""),"")</f>
        <v/>
      </c>
      <c r="J587" s="85" t="str">
        <f aca="false">IFERROR(IF(ISNUMBER(INDEX(원자료_잔고!$A$1:$EZ$1500,설정!$L$5+ROW()-1,설정!$L$16)),INDEX(원자료_잔고!$A$1:$EZ$1500,설정!$L$5+ROW()-1,설정!$L$16),""),"")</f>
        <v/>
      </c>
      <c r="K587" s="87" t="str">
        <f aca="false">IFERROR(IF(ISNUMBER(INDEX(원자료_잔고!$A$1:$EZ$1500,설정!$L$5+ROW()-1,설정!$L$17)),INDEX(원자료_잔고!$A$1:$EZ$1500,설정!$L$5+ROW()-1,설정!$L$17),""),"")</f>
        <v/>
      </c>
      <c r="L587" s="84" t="str">
        <f aca="false">IFERROR(IF(ISNUMBER(INDEX(원자료_잔고!$A$1:$EZ$1500,설정!$L$5+ROW()-1,설정!$L$18)),INDEX(원자료_잔고!$A$1:$EZ$1500,설정!$L$5+ROW()-1,설정!$L$18),""),"")</f>
        <v/>
      </c>
      <c r="M587" s="88" t="str">
        <f aca="false">IFERROR(IF(ISNUMBER(INDEX(원자료_잔고!$A$1:$EZ$1500,설정!$L$5+ROW()-1,설정!$L$19)),INDEX(원자료_잔고!$A$1:$EZ$1500,설정!$L$5+ROW()-1,설정!$L$19),""),"")</f>
        <v/>
      </c>
      <c r="N587" s="83" t="str">
        <f aca="false">IFERROR(IF(INDEX(원자료_잔고!$A$1:$EZ$1500,설정!$L$5+ROW()-1,설정!$L$21)&amp;""="0","",INDEX(원자료_잔고!$A$1:$EZ$1500,설정!$L$5+ROW()-1,설정!$L$21)&amp;""),"")</f>
        <v/>
      </c>
      <c r="O587" s="83" t="str">
        <f aca="false">IFERROR(IF(INDEX(원자료_잔고!$A$1:$EZ$1500,설정!$L$5+ROW()-1,설정!$L$22)&amp;""="0","",INDEX(원자료_잔고!$A$1:$EZ$1500,설정!$L$5+ROW()-1,설정!$L$22)&amp;""),"")</f>
        <v/>
      </c>
      <c r="P587" s="83" t="str">
        <f aca="false">IFERROR(IF(INDEX(원자료_잔고!$A$1:$EZ$1500,설정!$L$5+ROW()-1,설정!$L$23)&amp;""="0","",INDEX(원자료_잔고!$A$1:$EZ$1500,설정!$L$5+ROW()-1,설정!$L$23)&amp;""),"")</f>
        <v/>
      </c>
      <c r="Q587" s="89" t="n">
        <f aca="false">IF(AND($A587&lt;&gt;"",ISNUMBER(E587)),IF(E587&gt;0,1,0),0)</f>
        <v>0</v>
      </c>
      <c r="R587" s="43" t="str">
        <f aca="false">IF(Q587=1,UPPER(LEFT($A587,FIND(" ",$A587&amp;" ")-1)),"")</f>
        <v/>
      </c>
      <c r="S587" s="89" t="n">
        <f aca="false">IF(Q587=1,IF(OR(ISNUMBER(SEARCH("Float",$A587)),ISNUMBER(SEARCH("FRN",$A587))),1,0),0)</f>
        <v>0</v>
      </c>
      <c r="T587" s="43" t="str">
        <f aca="false">IF(AND(Q587=1,ISNUMBER(I587)),TEXT(I587,"yyyymmdd")&amp;"|"&amp;IF(S587=1,"F",TEXT(J587,"0.000")),"")</f>
        <v/>
      </c>
      <c r="U587" s="90" t="str">
        <f aca="false">IF(AND(Q587=1,ISNUMBER(I587)),(I587-설정!$C$4)/365.25,"")</f>
        <v/>
      </c>
      <c r="V587" s="43" t="str">
        <f aca="false">IF(Q587&lt;&gt;1,"",IF(ISNUMBER(U587),IF(U587&lt;=1,"1년 이하",IF(U587&lt;=2,"1-2년",IF(U587&lt;=3,"2-3년",IF(U587&lt;=4,"3-4년",IF(U587&lt;=5,"4-5년",IF(U587&lt;=7,"5-7년",IF(U587&lt;=10,"7-10년",IF(U587&lt;=20,"10-20년","20년 이상")))))))),"미분류"))</f>
        <v/>
      </c>
      <c r="W587" s="43" t="str">
        <f aca="false">IF(Q587&lt;&gt;1,"",IF(AB587&lt;&gt;"",INDEX(시장분석!$C:$C,AB587),IF(K587=1,"USD","비USD")))</f>
        <v/>
      </c>
      <c r="X587" s="91" t="n">
        <f aca="false">IF(Q587=1,E587*K587/1000000,0)</f>
        <v>0</v>
      </c>
      <c r="Y587" s="89" t="n">
        <f aca="false">IF(R587="T",1,0)</f>
        <v>0</v>
      </c>
      <c r="Z587" s="92" t="str">
        <f aca="false">IF(Q587&lt;&gt;1,"",IF(AD587=1,IF(ISNUMBER(U587),MAX(U587,0),H587),H587))</f>
        <v/>
      </c>
      <c r="AA587" s="91" t="n">
        <f aca="false">IF(Q587=1,IF(ISNUMBER(L587),L587,0)*K587/1000000,0)</f>
        <v>0</v>
      </c>
      <c r="AB587" s="89" t="str">
        <f aca="false">IF(Q587&lt;&gt;1,"",IFERROR(MATCH(VLOOKUP(B587,매핑!$H$4:$I$15,2,0),시장분석!$A$2:$A$601,0)+1,IFERROR(MATCH(R587&amp;"|"&amp;T587,시장분석!$V$2:$V$601,0)+1,IF(COUNTIF(시장분석!$U$2:$U$601,T587)=1,MATCH(T587,시장분석!$U$2:$U$601,0)+1,""))))</f>
        <v/>
      </c>
      <c r="AC587" s="89" t="n">
        <f aca="false">IF(Q587&lt;&gt;1,0,IF(OR(설정!$C$5="전체",AND(설정!$C$5="선택펀드",IFERROR(COUNTIFS(설정!$F$16:$F$36,C587,설정!$G$16:$G$36,"Y")+COUNTIFS(설정!$F$16:$F$36,VALUE(C587),설정!$G$16:$G$36,"Y"),0)&gt;0),C587&amp;""=설정!$C$5&amp;""),1,0))</f>
        <v>0</v>
      </c>
      <c r="AD587" s="89" t="n">
        <f aca="false">IF(Q587&lt;&gt;1,0,IF(OR(S587=1,IF(AB587="",FALSE(),INDEX(시장분석!$R:$R,AB587)=1)),1,0))</f>
        <v>0</v>
      </c>
      <c r="AE587" s="43" t="str">
        <f aca="false">IF(AB587="","",INDEX(시장분석!$A:$A,AB587))</f>
        <v/>
      </c>
      <c r="AF587" s="93" t="str">
        <f aca="false">IF(AB587="","",IF(ISNUMBER(IF(AB587="","",INDEX(시장분석!$E:$E,AB587))),IF(AB587="","",INDEX(시장분석!$E:$E,AB587)),""))</f>
        <v/>
      </c>
      <c r="AG587" s="43" t="str">
        <f aca="false">IF(Q587&lt;&gt;1,"",IF(AB587&lt;&gt;"",IF(AB587="","",INDEX(시장분석!$L:$L,AB587)),IFERROR(IF(VLOOKUP(R587,매핑!$A$4:$E$92,5,0)="","미분류",VLOOKUP(R587,매핑!$A$4:$E$92,5,0)),"미분류")))</f>
        <v/>
      </c>
      <c r="AH587" s="43" t="str">
        <f aca="false">IF(Q587&lt;&gt;1,"",IF(AB587&lt;&gt;"",IF(AB587="","",INDEX(시장분석!$N:$N,AB587)),IFERROR(IF(VLOOKUP(R587,매핑!$A$4:$E$92,4,0)="","미분류",VLOOKUP(R587,매핑!$A$4:$E$92,4,0)),"미분류")))</f>
        <v/>
      </c>
      <c r="AI587" s="43" t="str">
        <f aca="false">IF(Q587&lt;&gt;1,"",IFERROR(IF(VLOOKUP(R587,매핑!$A$4:$E$92,3,0)="","미분류",VLOOKUP(R587,매핑!$A$4:$E$92,3,0)),IF(AB587&lt;&gt;"",IF(AB587="","",INDEX(시장분석!$W:$W,AB587)),"미분류")))</f>
        <v/>
      </c>
      <c r="AJ587" s="43" t="str">
        <f aca="false">IF(Q587&lt;&gt;1,"",IFERROR(VLOOKUP(IF(N587&lt;&gt;"",N587,IF(P587&lt;&gt;"",P587,O587)),설정!$A$15:$D$47,2,0),""))</f>
        <v/>
      </c>
      <c r="AK587" s="43" t="str">
        <f aca="false">IF(Q587&lt;&gt;1,"",IF(AJ587="","무등급",IFERROR(VLOOKUP(AJ587,설정!$A$15:$D$47,3,0),"무등급")))</f>
        <v/>
      </c>
      <c r="AL587" s="89" t="n">
        <f aca="false">IF(AJ587="",99,IFERROR(VLOOKUP(AJ587,설정!$A$15:$D$47,4,0),99))</f>
        <v>99</v>
      </c>
      <c r="AM587" s="94" t="n">
        <f aca="false">IF(ISNUMBER(H587),AA587*1000000*H587/10000,0)</f>
        <v>0</v>
      </c>
      <c r="AN587" s="94" t="n">
        <f aca="false">IF(OR(Y587=1,NOT(ISNUMBER(Z587))),0,AA587*1000000*Z587/10000)</f>
        <v>0</v>
      </c>
      <c r="AO587" s="94" t="n">
        <f aca="false">IF(ISNUMBER(G587),AA587*1000000*G587/100,0)</f>
        <v>0</v>
      </c>
      <c r="AP587" s="94" t="n">
        <f aca="false">IF(ISNUMBER(M587),M587*K587,0)</f>
        <v>0</v>
      </c>
      <c r="AQ587" s="95" t="str">
        <f aca="false">IF(AB587="","",INDEX(시장분석!$AK:$AK,AB587))</f>
        <v/>
      </c>
      <c r="AR587" s="43" t="str">
        <f aca="false">IF(AB587="","-",IF(AB587="","",INDEX(시장분석!$AL:$AL,AB587)))</f>
        <v>-</v>
      </c>
      <c r="AS587" s="96" t="str">
        <f aca="false">IF(AB587="","",INDEX(시장분석!$AJ:$AJ,AB587))</f>
        <v/>
      </c>
      <c r="AT587" s="93" t="n">
        <f aca="false">IF(AB587="",0,IF(AB587="","",INDEX(시장분석!$AN:$AN,AB587)))</f>
        <v>0</v>
      </c>
      <c r="AU587" s="94" t="n">
        <f aca="false">IF(ISNUMBER(Z587),AT587/10000*MAX(Z587-1,0)*AA587*1000000,0)</f>
        <v>0</v>
      </c>
      <c r="AV587" s="94" t="n">
        <f aca="false">AO587+AU587</f>
        <v>0</v>
      </c>
      <c r="AW587" s="43" t="str">
        <f aca="false">IF(Q587&lt;&gt;1,"",TRIM(IF(AD587=1,"FRN ","")&amp;IF(AND(AL587&gt;=10,AL587&lt;99),"BBB0미만 ","")&amp;IF(AJ587="","등급없음 ","")&amp;IF(K587&lt;&gt;1,"비USD ","")&amp;IF(AND(AB587="",Y587=0),"시장데이터없음 ","")&amp;IF(AND(ISNUMBER(U587),U587&lt;0),"만기경과 ","")))</f>
        <v/>
      </c>
      <c r="AX587" s="90" t="n">
        <f aca="false">IF(Q587&lt;&gt;1,1,IF(스프레드쇼크!$C$4="Y",INDEX(스프레드쇼크!$B$12:$L$16,IFERROR(MATCH(AH587,스프레드쇼크!$A$12:$A$16,0),MATCH("목록외",스프레드쇼크!$A$12:$A$16,0)),IFERROR(MATCH(AG587,스프레드쇼크!$B$11:$L$11,0),MATCH("목록외",스프레드쇼크!$B$11:$L$11,0))),1))</f>
        <v>1</v>
      </c>
      <c r="AY587" s="90" t="n">
        <f aca="false">IF(스프레드쇼크!$C$5="Y",IF(ISNUMBER(AF587),MIN(스프레드쇼크!$C$7,MAX(스프레드쇼크!$C$6,AF587/스프레드쇼크!$C$8)),1),1)</f>
        <v>1</v>
      </c>
      <c r="AZ587" s="94" t="n">
        <f aca="false">AN587*AX587*AY587</f>
        <v>0</v>
      </c>
      <c r="BA587" s="90" t="n">
        <f aca="false">IF(ISNUMBER(G587),AA587*G587,0)</f>
        <v>0</v>
      </c>
      <c r="BB587" s="90" t="n">
        <f aca="false">IF(ISNUMBER(G587),AA587,0)</f>
        <v>0</v>
      </c>
      <c r="BC587" s="90" t="n">
        <f aca="false">IF(AND(Y587=0,ISNUMBER(AF587)),AA587*AF587,0)</f>
        <v>0</v>
      </c>
      <c r="BD587" s="90" t="n">
        <f aca="false">IF(AND(Y587=0,ISNUMBER(AF587)),AA587,0)</f>
        <v>0</v>
      </c>
      <c r="BE587" s="90" t="n">
        <f aca="false">IF(ISNUMBER(H587),AA587*H587,0)</f>
        <v>0</v>
      </c>
      <c r="BF587" s="90" t="n">
        <f aca="false">IF(ISNUMBER(H587),AA587,0)</f>
        <v>0</v>
      </c>
      <c r="BG587" s="90" t="n">
        <f aca="false">IF(AND(Y587=0,ISNUMBER(AF587),ISNUMBER(Z587)),AA587*Z587,0)</f>
        <v>0</v>
      </c>
      <c r="BH587" s="90" t="n">
        <f aca="false">IF(AND(Y587=0,ISNUMBER(AF587),ISNUMBER(Z587)),AA587*AT587*MAX(Z587-1,0),0)</f>
        <v>0</v>
      </c>
      <c r="BI587" s="90" t="n">
        <f aca="false">IF(Y587=0,AA587,0)</f>
        <v>0</v>
      </c>
    </row>
    <row r="588" customFormat="false" ht="15" hidden="false" customHeight="false" outlineLevel="0" collapsed="false">
      <c r="A588" s="83" t="str">
        <f aca="false">IFERROR(IF(INDEX(원자료_잔고!$A$1:$EZ$1500,설정!$L$5+ROW()-1,설정!$L$8)&amp;""="0","",INDEX(원자료_잔고!$A$1:$EZ$1500,설정!$L$5+ROW()-1,설정!$L$8)&amp;""),"")</f>
        <v/>
      </c>
      <c r="B588" s="83" t="str">
        <f aca="false">IFERROR(IF(INDEX(원자료_잔고!$A$1:$EZ$1500,설정!$L$5+ROW()-1,설정!$L$7)&amp;""="0","",INDEX(원자료_잔고!$A$1:$EZ$1500,설정!$L$5+ROW()-1,설정!$L$7)&amp;""),"")</f>
        <v/>
      </c>
      <c r="C588" s="83" t="str">
        <f aca="false">IFERROR(IF(INDEX(원자료_잔고!$A$1:$EZ$1500,설정!$L$5+ROW()-1,설정!$L$9)&amp;""="0","",INDEX(원자료_잔고!$A$1:$EZ$1500,설정!$L$5+ROW()-1,설정!$L$9)&amp;""),"")</f>
        <v/>
      </c>
      <c r="D588" s="83" t="str">
        <f aca="false">IFERROR(IF(INDEX(원자료_잔고!$A$1:$EZ$1500,설정!$L$5+ROW()-1,설정!$L$10)&amp;""="0","",INDEX(원자료_잔고!$A$1:$EZ$1500,설정!$L$5+ROW()-1,설정!$L$10)&amp;""),"")</f>
        <v/>
      </c>
      <c r="E588" s="84" t="str">
        <f aca="false">IFERROR(IF(ISNUMBER(INDEX(원자료_잔고!$A$1:$EZ$1500,설정!$L$5+ROW()-1,설정!$L$11)),INDEX(원자료_잔고!$A$1:$EZ$1500,설정!$L$5+ROW()-1,설정!$L$11),""),"")</f>
        <v/>
      </c>
      <c r="F588" s="85" t="str">
        <f aca="false">IFERROR(IF(ISNUMBER(INDEX(원자료_잔고!$A$1:$EZ$1500,설정!$L$5+ROW()-1,설정!$L$12)),INDEX(원자료_잔고!$A$1:$EZ$1500,설정!$L$5+ROW()-1,설정!$L$12),""),"")</f>
        <v/>
      </c>
      <c r="G588" s="85" t="str">
        <f aca="false">IFERROR(IF(ISNUMBER(INDEX(원자료_잔고!$A$1:$EZ$1500,설정!$L$5+ROW()-1,설정!$L$13)),INDEX(원자료_잔고!$A$1:$EZ$1500,설정!$L$5+ROW()-1,설정!$L$13),""),"")</f>
        <v/>
      </c>
      <c r="H588" s="85" t="str">
        <f aca="false">IFERROR(IF(ISNUMBER(INDEX(원자료_잔고!$A$1:$EZ$1500,설정!$L$5+ROW()-1,설정!$L$14)),INDEX(원자료_잔고!$A$1:$EZ$1500,설정!$L$5+ROW()-1,설정!$L$14),""),"")</f>
        <v/>
      </c>
      <c r="I588" s="86" t="str">
        <f aca="false">IFERROR(IF(ISNUMBER(INDEX(원자료_잔고!$A$1:$EZ$1500,설정!$L$5+ROW()-1,설정!$L$15)),INDEX(원자료_잔고!$A$1:$EZ$1500,설정!$L$5+ROW()-1,설정!$L$15),""),"")</f>
        <v/>
      </c>
      <c r="J588" s="85" t="str">
        <f aca="false">IFERROR(IF(ISNUMBER(INDEX(원자료_잔고!$A$1:$EZ$1500,설정!$L$5+ROW()-1,설정!$L$16)),INDEX(원자료_잔고!$A$1:$EZ$1500,설정!$L$5+ROW()-1,설정!$L$16),""),"")</f>
        <v/>
      </c>
      <c r="K588" s="87" t="str">
        <f aca="false">IFERROR(IF(ISNUMBER(INDEX(원자료_잔고!$A$1:$EZ$1500,설정!$L$5+ROW()-1,설정!$L$17)),INDEX(원자료_잔고!$A$1:$EZ$1500,설정!$L$5+ROW()-1,설정!$L$17),""),"")</f>
        <v/>
      </c>
      <c r="L588" s="84" t="str">
        <f aca="false">IFERROR(IF(ISNUMBER(INDEX(원자료_잔고!$A$1:$EZ$1500,설정!$L$5+ROW()-1,설정!$L$18)),INDEX(원자료_잔고!$A$1:$EZ$1500,설정!$L$5+ROW()-1,설정!$L$18),""),"")</f>
        <v/>
      </c>
      <c r="M588" s="88" t="str">
        <f aca="false">IFERROR(IF(ISNUMBER(INDEX(원자료_잔고!$A$1:$EZ$1500,설정!$L$5+ROW()-1,설정!$L$19)),INDEX(원자료_잔고!$A$1:$EZ$1500,설정!$L$5+ROW()-1,설정!$L$19),""),"")</f>
        <v/>
      </c>
      <c r="N588" s="83" t="str">
        <f aca="false">IFERROR(IF(INDEX(원자료_잔고!$A$1:$EZ$1500,설정!$L$5+ROW()-1,설정!$L$21)&amp;""="0","",INDEX(원자료_잔고!$A$1:$EZ$1500,설정!$L$5+ROW()-1,설정!$L$21)&amp;""),"")</f>
        <v/>
      </c>
      <c r="O588" s="83" t="str">
        <f aca="false">IFERROR(IF(INDEX(원자료_잔고!$A$1:$EZ$1500,설정!$L$5+ROW()-1,설정!$L$22)&amp;""="0","",INDEX(원자료_잔고!$A$1:$EZ$1500,설정!$L$5+ROW()-1,설정!$L$22)&amp;""),"")</f>
        <v/>
      </c>
      <c r="P588" s="83" t="str">
        <f aca="false">IFERROR(IF(INDEX(원자료_잔고!$A$1:$EZ$1500,설정!$L$5+ROW()-1,설정!$L$23)&amp;""="0","",INDEX(원자료_잔고!$A$1:$EZ$1500,설정!$L$5+ROW()-1,설정!$L$23)&amp;""),"")</f>
        <v/>
      </c>
      <c r="Q588" s="89" t="n">
        <f aca="false">IF(AND($A588&lt;&gt;"",ISNUMBER(E588)),IF(E588&gt;0,1,0),0)</f>
        <v>0</v>
      </c>
      <c r="R588" s="43" t="str">
        <f aca="false">IF(Q588=1,UPPER(LEFT($A588,FIND(" ",$A588&amp;" ")-1)),"")</f>
        <v/>
      </c>
      <c r="S588" s="89" t="n">
        <f aca="false">IF(Q588=1,IF(OR(ISNUMBER(SEARCH("Float",$A588)),ISNUMBER(SEARCH("FRN",$A588))),1,0),0)</f>
        <v>0</v>
      </c>
      <c r="T588" s="43" t="str">
        <f aca="false">IF(AND(Q588=1,ISNUMBER(I588)),TEXT(I588,"yyyymmdd")&amp;"|"&amp;IF(S588=1,"F",TEXT(J588,"0.000")),"")</f>
        <v/>
      </c>
      <c r="U588" s="90" t="str">
        <f aca="false">IF(AND(Q588=1,ISNUMBER(I588)),(I588-설정!$C$4)/365.25,"")</f>
        <v/>
      </c>
      <c r="V588" s="43" t="str">
        <f aca="false">IF(Q588&lt;&gt;1,"",IF(ISNUMBER(U588),IF(U588&lt;=1,"1년 이하",IF(U588&lt;=2,"1-2년",IF(U588&lt;=3,"2-3년",IF(U588&lt;=4,"3-4년",IF(U588&lt;=5,"4-5년",IF(U588&lt;=7,"5-7년",IF(U588&lt;=10,"7-10년",IF(U588&lt;=20,"10-20년","20년 이상")))))))),"미분류"))</f>
        <v/>
      </c>
      <c r="W588" s="43" t="str">
        <f aca="false">IF(Q588&lt;&gt;1,"",IF(AB588&lt;&gt;"",INDEX(시장분석!$C:$C,AB588),IF(K588=1,"USD","비USD")))</f>
        <v/>
      </c>
      <c r="X588" s="91" t="n">
        <f aca="false">IF(Q588=1,E588*K588/1000000,0)</f>
        <v>0</v>
      </c>
      <c r="Y588" s="89" t="n">
        <f aca="false">IF(R588="T",1,0)</f>
        <v>0</v>
      </c>
      <c r="Z588" s="92" t="str">
        <f aca="false">IF(Q588&lt;&gt;1,"",IF(AD588=1,IF(ISNUMBER(U588),MAX(U588,0),H588),H588))</f>
        <v/>
      </c>
      <c r="AA588" s="91" t="n">
        <f aca="false">IF(Q588=1,IF(ISNUMBER(L588),L588,0)*K588/1000000,0)</f>
        <v>0</v>
      </c>
      <c r="AB588" s="89" t="str">
        <f aca="false">IF(Q588&lt;&gt;1,"",IFERROR(MATCH(VLOOKUP(B588,매핑!$H$4:$I$15,2,0),시장분석!$A$2:$A$601,0)+1,IFERROR(MATCH(R588&amp;"|"&amp;T588,시장분석!$V$2:$V$601,0)+1,IF(COUNTIF(시장분석!$U$2:$U$601,T588)=1,MATCH(T588,시장분석!$U$2:$U$601,0)+1,""))))</f>
        <v/>
      </c>
      <c r="AC588" s="89" t="n">
        <f aca="false">IF(Q588&lt;&gt;1,0,IF(OR(설정!$C$5="전체",AND(설정!$C$5="선택펀드",IFERROR(COUNTIFS(설정!$F$16:$F$36,C588,설정!$G$16:$G$36,"Y")+COUNTIFS(설정!$F$16:$F$36,VALUE(C588),설정!$G$16:$G$36,"Y"),0)&gt;0),C588&amp;""=설정!$C$5&amp;""),1,0))</f>
        <v>0</v>
      </c>
      <c r="AD588" s="89" t="n">
        <f aca="false">IF(Q588&lt;&gt;1,0,IF(OR(S588=1,IF(AB588="",FALSE(),INDEX(시장분석!$R:$R,AB588)=1)),1,0))</f>
        <v>0</v>
      </c>
      <c r="AE588" s="43" t="str">
        <f aca="false">IF(AB588="","",INDEX(시장분석!$A:$A,AB588))</f>
        <v/>
      </c>
      <c r="AF588" s="93" t="str">
        <f aca="false">IF(AB588="","",IF(ISNUMBER(IF(AB588="","",INDEX(시장분석!$E:$E,AB588))),IF(AB588="","",INDEX(시장분석!$E:$E,AB588)),""))</f>
        <v/>
      </c>
      <c r="AG588" s="43" t="str">
        <f aca="false">IF(Q588&lt;&gt;1,"",IF(AB588&lt;&gt;"",IF(AB588="","",INDEX(시장분석!$L:$L,AB588)),IFERROR(IF(VLOOKUP(R588,매핑!$A$4:$E$92,5,0)="","미분류",VLOOKUP(R588,매핑!$A$4:$E$92,5,0)),"미분류")))</f>
        <v/>
      </c>
      <c r="AH588" s="43" t="str">
        <f aca="false">IF(Q588&lt;&gt;1,"",IF(AB588&lt;&gt;"",IF(AB588="","",INDEX(시장분석!$N:$N,AB588)),IFERROR(IF(VLOOKUP(R588,매핑!$A$4:$E$92,4,0)="","미분류",VLOOKUP(R588,매핑!$A$4:$E$92,4,0)),"미분류")))</f>
        <v/>
      </c>
      <c r="AI588" s="43" t="str">
        <f aca="false">IF(Q588&lt;&gt;1,"",IFERROR(IF(VLOOKUP(R588,매핑!$A$4:$E$92,3,0)="","미분류",VLOOKUP(R588,매핑!$A$4:$E$92,3,0)),IF(AB588&lt;&gt;"",IF(AB588="","",INDEX(시장분석!$W:$W,AB588)),"미분류")))</f>
        <v/>
      </c>
      <c r="AJ588" s="43" t="str">
        <f aca="false">IF(Q588&lt;&gt;1,"",IFERROR(VLOOKUP(IF(N588&lt;&gt;"",N588,IF(P588&lt;&gt;"",P588,O588)),설정!$A$15:$D$47,2,0),""))</f>
        <v/>
      </c>
      <c r="AK588" s="43" t="str">
        <f aca="false">IF(Q588&lt;&gt;1,"",IF(AJ588="","무등급",IFERROR(VLOOKUP(AJ588,설정!$A$15:$D$47,3,0),"무등급")))</f>
        <v/>
      </c>
      <c r="AL588" s="89" t="n">
        <f aca="false">IF(AJ588="",99,IFERROR(VLOOKUP(AJ588,설정!$A$15:$D$47,4,0),99))</f>
        <v>99</v>
      </c>
      <c r="AM588" s="94" t="n">
        <f aca="false">IF(ISNUMBER(H588),AA588*1000000*H588/10000,0)</f>
        <v>0</v>
      </c>
      <c r="AN588" s="94" t="n">
        <f aca="false">IF(OR(Y588=1,NOT(ISNUMBER(Z588))),0,AA588*1000000*Z588/10000)</f>
        <v>0</v>
      </c>
      <c r="AO588" s="94" t="n">
        <f aca="false">IF(ISNUMBER(G588),AA588*1000000*G588/100,0)</f>
        <v>0</v>
      </c>
      <c r="AP588" s="94" t="n">
        <f aca="false">IF(ISNUMBER(M588),M588*K588,0)</f>
        <v>0</v>
      </c>
      <c r="AQ588" s="95" t="str">
        <f aca="false">IF(AB588="","",INDEX(시장분석!$AK:$AK,AB588))</f>
        <v/>
      </c>
      <c r="AR588" s="43" t="str">
        <f aca="false">IF(AB588="","-",IF(AB588="","",INDEX(시장분석!$AL:$AL,AB588)))</f>
        <v>-</v>
      </c>
      <c r="AS588" s="96" t="str">
        <f aca="false">IF(AB588="","",INDEX(시장분석!$AJ:$AJ,AB588))</f>
        <v/>
      </c>
      <c r="AT588" s="93" t="n">
        <f aca="false">IF(AB588="",0,IF(AB588="","",INDEX(시장분석!$AN:$AN,AB588)))</f>
        <v>0</v>
      </c>
      <c r="AU588" s="94" t="n">
        <f aca="false">IF(ISNUMBER(Z588),AT588/10000*MAX(Z588-1,0)*AA588*1000000,0)</f>
        <v>0</v>
      </c>
      <c r="AV588" s="94" t="n">
        <f aca="false">AO588+AU588</f>
        <v>0</v>
      </c>
      <c r="AW588" s="43" t="str">
        <f aca="false">IF(Q588&lt;&gt;1,"",TRIM(IF(AD588=1,"FRN ","")&amp;IF(AND(AL588&gt;=10,AL588&lt;99),"BBB0미만 ","")&amp;IF(AJ588="","등급없음 ","")&amp;IF(K588&lt;&gt;1,"비USD ","")&amp;IF(AND(AB588="",Y588=0),"시장데이터없음 ","")&amp;IF(AND(ISNUMBER(U588),U588&lt;0),"만기경과 ","")))</f>
        <v/>
      </c>
      <c r="AX588" s="90" t="n">
        <f aca="false">IF(Q588&lt;&gt;1,1,IF(스프레드쇼크!$C$4="Y",INDEX(스프레드쇼크!$B$12:$L$16,IFERROR(MATCH(AH588,스프레드쇼크!$A$12:$A$16,0),MATCH("목록외",스프레드쇼크!$A$12:$A$16,0)),IFERROR(MATCH(AG588,스프레드쇼크!$B$11:$L$11,0),MATCH("목록외",스프레드쇼크!$B$11:$L$11,0))),1))</f>
        <v>1</v>
      </c>
      <c r="AY588" s="90" t="n">
        <f aca="false">IF(스프레드쇼크!$C$5="Y",IF(ISNUMBER(AF588),MIN(스프레드쇼크!$C$7,MAX(스프레드쇼크!$C$6,AF588/스프레드쇼크!$C$8)),1),1)</f>
        <v>1</v>
      </c>
      <c r="AZ588" s="94" t="n">
        <f aca="false">AN588*AX588*AY588</f>
        <v>0</v>
      </c>
      <c r="BA588" s="90" t="n">
        <f aca="false">IF(ISNUMBER(G588),AA588*G588,0)</f>
        <v>0</v>
      </c>
      <c r="BB588" s="90" t="n">
        <f aca="false">IF(ISNUMBER(G588),AA588,0)</f>
        <v>0</v>
      </c>
      <c r="BC588" s="90" t="n">
        <f aca="false">IF(AND(Y588=0,ISNUMBER(AF588)),AA588*AF588,0)</f>
        <v>0</v>
      </c>
      <c r="BD588" s="90" t="n">
        <f aca="false">IF(AND(Y588=0,ISNUMBER(AF588)),AA588,0)</f>
        <v>0</v>
      </c>
      <c r="BE588" s="90" t="n">
        <f aca="false">IF(ISNUMBER(H588),AA588*H588,0)</f>
        <v>0</v>
      </c>
      <c r="BF588" s="90" t="n">
        <f aca="false">IF(ISNUMBER(H588),AA588,0)</f>
        <v>0</v>
      </c>
      <c r="BG588" s="90" t="n">
        <f aca="false">IF(AND(Y588=0,ISNUMBER(AF588),ISNUMBER(Z588)),AA588*Z588,0)</f>
        <v>0</v>
      </c>
      <c r="BH588" s="90" t="n">
        <f aca="false">IF(AND(Y588=0,ISNUMBER(AF588),ISNUMBER(Z588)),AA588*AT588*MAX(Z588-1,0),0)</f>
        <v>0</v>
      </c>
      <c r="BI588" s="90" t="n">
        <f aca="false">IF(Y588=0,AA588,0)</f>
        <v>0</v>
      </c>
    </row>
    <row r="589" customFormat="false" ht="15" hidden="false" customHeight="false" outlineLevel="0" collapsed="false">
      <c r="A589" s="83" t="str">
        <f aca="false">IFERROR(IF(INDEX(원자료_잔고!$A$1:$EZ$1500,설정!$L$5+ROW()-1,설정!$L$8)&amp;""="0","",INDEX(원자료_잔고!$A$1:$EZ$1500,설정!$L$5+ROW()-1,설정!$L$8)&amp;""),"")</f>
        <v/>
      </c>
      <c r="B589" s="83" t="str">
        <f aca="false">IFERROR(IF(INDEX(원자료_잔고!$A$1:$EZ$1500,설정!$L$5+ROW()-1,설정!$L$7)&amp;""="0","",INDEX(원자료_잔고!$A$1:$EZ$1500,설정!$L$5+ROW()-1,설정!$L$7)&amp;""),"")</f>
        <v/>
      </c>
      <c r="C589" s="83" t="str">
        <f aca="false">IFERROR(IF(INDEX(원자료_잔고!$A$1:$EZ$1500,설정!$L$5+ROW()-1,설정!$L$9)&amp;""="0","",INDEX(원자료_잔고!$A$1:$EZ$1500,설정!$L$5+ROW()-1,설정!$L$9)&amp;""),"")</f>
        <v/>
      </c>
      <c r="D589" s="83" t="str">
        <f aca="false">IFERROR(IF(INDEX(원자료_잔고!$A$1:$EZ$1500,설정!$L$5+ROW()-1,설정!$L$10)&amp;""="0","",INDEX(원자료_잔고!$A$1:$EZ$1500,설정!$L$5+ROW()-1,설정!$L$10)&amp;""),"")</f>
        <v/>
      </c>
      <c r="E589" s="84" t="str">
        <f aca="false">IFERROR(IF(ISNUMBER(INDEX(원자료_잔고!$A$1:$EZ$1500,설정!$L$5+ROW()-1,설정!$L$11)),INDEX(원자료_잔고!$A$1:$EZ$1500,설정!$L$5+ROW()-1,설정!$L$11),""),"")</f>
        <v/>
      </c>
      <c r="F589" s="85" t="str">
        <f aca="false">IFERROR(IF(ISNUMBER(INDEX(원자료_잔고!$A$1:$EZ$1500,설정!$L$5+ROW()-1,설정!$L$12)),INDEX(원자료_잔고!$A$1:$EZ$1500,설정!$L$5+ROW()-1,설정!$L$12),""),"")</f>
        <v/>
      </c>
      <c r="G589" s="85" t="str">
        <f aca="false">IFERROR(IF(ISNUMBER(INDEX(원자료_잔고!$A$1:$EZ$1500,설정!$L$5+ROW()-1,설정!$L$13)),INDEX(원자료_잔고!$A$1:$EZ$1500,설정!$L$5+ROW()-1,설정!$L$13),""),"")</f>
        <v/>
      </c>
      <c r="H589" s="85" t="str">
        <f aca="false">IFERROR(IF(ISNUMBER(INDEX(원자료_잔고!$A$1:$EZ$1500,설정!$L$5+ROW()-1,설정!$L$14)),INDEX(원자료_잔고!$A$1:$EZ$1500,설정!$L$5+ROW()-1,설정!$L$14),""),"")</f>
        <v/>
      </c>
      <c r="I589" s="86" t="str">
        <f aca="false">IFERROR(IF(ISNUMBER(INDEX(원자료_잔고!$A$1:$EZ$1500,설정!$L$5+ROW()-1,설정!$L$15)),INDEX(원자료_잔고!$A$1:$EZ$1500,설정!$L$5+ROW()-1,설정!$L$15),""),"")</f>
        <v/>
      </c>
      <c r="J589" s="85" t="str">
        <f aca="false">IFERROR(IF(ISNUMBER(INDEX(원자료_잔고!$A$1:$EZ$1500,설정!$L$5+ROW()-1,설정!$L$16)),INDEX(원자료_잔고!$A$1:$EZ$1500,설정!$L$5+ROW()-1,설정!$L$16),""),"")</f>
        <v/>
      </c>
      <c r="K589" s="87" t="str">
        <f aca="false">IFERROR(IF(ISNUMBER(INDEX(원자료_잔고!$A$1:$EZ$1500,설정!$L$5+ROW()-1,설정!$L$17)),INDEX(원자료_잔고!$A$1:$EZ$1500,설정!$L$5+ROW()-1,설정!$L$17),""),"")</f>
        <v/>
      </c>
      <c r="L589" s="84" t="str">
        <f aca="false">IFERROR(IF(ISNUMBER(INDEX(원자료_잔고!$A$1:$EZ$1500,설정!$L$5+ROW()-1,설정!$L$18)),INDEX(원자료_잔고!$A$1:$EZ$1500,설정!$L$5+ROW()-1,설정!$L$18),""),"")</f>
        <v/>
      </c>
      <c r="M589" s="88" t="str">
        <f aca="false">IFERROR(IF(ISNUMBER(INDEX(원자료_잔고!$A$1:$EZ$1500,설정!$L$5+ROW()-1,설정!$L$19)),INDEX(원자료_잔고!$A$1:$EZ$1500,설정!$L$5+ROW()-1,설정!$L$19),""),"")</f>
        <v/>
      </c>
      <c r="N589" s="83" t="str">
        <f aca="false">IFERROR(IF(INDEX(원자료_잔고!$A$1:$EZ$1500,설정!$L$5+ROW()-1,설정!$L$21)&amp;""="0","",INDEX(원자료_잔고!$A$1:$EZ$1500,설정!$L$5+ROW()-1,설정!$L$21)&amp;""),"")</f>
        <v/>
      </c>
      <c r="O589" s="83" t="str">
        <f aca="false">IFERROR(IF(INDEX(원자료_잔고!$A$1:$EZ$1500,설정!$L$5+ROW()-1,설정!$L$22)&amp;""="0","",INDEX(원자료_잔고!$A$1:$EZ$1500,설정!$L$5+ROW()-1,설정!$L$22)&amp;""),"")</f>
        <v/>
      </c>
      <c r="P589" s="83" t="str">
        <f aca="false">IFERROR(IF(INDEX(원자료_잔고!$A$1:$EZ$1500,설정!$L$5+ROW()-1,설정!$L$23)&amp;""="0","",INDEX(원자료_잔고!$A$1:$EZ$1500,설정!$L$5+ROW()-1,설정!$L$23)&amp;""),"")</f>
        <v/>
      </c>
      <c r="Q589" s="89" t="n">
        <f aca="false">IF(AND($A589&lt;&gt;"",ISNUMBER(E589)),IF(E589&gt;0,1,0),0)</f>
        <v>0</v>
      </c>
      <c r="R589" s="43" t="str">
        <f aca="false">IF(Q589=1,UPPER(LEFT($A589,FIND(" ",$A589&amp;" ")-1)),"")</f>
        <v/>
      </c>
      <c r="S589" s="89" t="n">
        <f aca="false">IF(Q589=1,IF(OR(ISNUMBER(SEARCH("Float",$A589)),ISNUMBER(SEARCH("FRN",$A589))),1,0),0)</f>
        <v>0</v>
      </c>
      <c r="T589" s="43" t="str">
        <f aca="false">IF(AND(Q589=1,ISNUMBER(I589)),TEXT(I589,"yyyymmdd")&amp;"|"&amp;IF(S589=1,"F",TEXT(J589,"0.000")),"")</f>
        <v/>
      </c>
      <c r="U589" s="90" t="str">
        <f aca="false">IF(AND(Q589=1,ISNUMBER(I589)),(I589-설정!$C$4)/365.25,"")</f>
        <v/>
      </c>
      <c r="V589" s="43" t="str">
        <f aca="false">IF(Q589&lt;&gt;1,"",IF(ISNUMBER(U589),IF(U589&lt;=1,"1년 이하",IF(U589&lt;=2,"1-2년",IF(U589&lt;=3,"2-3년",IF(U589&lt;=4,"3-4년",IF(U589&lt;=5,"4-5년",IF(U589&lt;=7,"5-7년",IF(U589&lt;=10,"7-10년",IF(U589&lt;=20,"10-20년","20년 이상")))))))),"미분류"))</f>
        <v/>
      </c>
      <c r="W589" s="43" t="str">
        <f aca="false">IF(Q589&lt;&gt;1,"",IF(AB589&lt;&gt;"",INDEX(시장분석!$C:$C,AB589),IF(K589=1,"USD","비USD")))</f>
        <v/>
      </c>
      <c r="X589" s="91" t="n">
        <f aca="false">IF(Q589=1,E589*K589/1000000,0)</f>
        <v>0</v>
      </c>
      <c r="Y589" s="89" t="n">
        <f aca="false">IF(R589="T",1,0)</f>
        <v>0</v>
      </c>
      <c r="Z589" s="92" t="str">
        <f aca="false">IF(Q589&lt;&gt;1,"",IF(AD589=1,IF(ISNUMBER(U589),MAX(U589,0),H589),H589))</f>
        <v/>
      </c>
      <c r="AA589" s="91" t="n">
        <f aca="false">IF(Q589=1,IF(ISNUMBER(L589),L589,0)*K589/1000000,0)</f>
        <v>0</v>
      </c>
      <c r="AB589" s="89" t="str">
        <f aca="false">IF(Q589&lt;&gt;1,"",IFERROR(MATCH(VLOOKUP(B589,매핑!$H$4:$I$15,2,0),시장분석!$A$2:$A$601,0)+1,IFERROR(MATCH(R589&amp;"|"&amp;T589,시장분석!$V$2:$V$601,0)+1,IF(COUNTIF(시장분석!$U$2:$U$601,T589)=1,MATCH(T589,시장분석!$U$2:$U$601,0)+1,""))))</f>
        <v/>
      </c>
      <c r="AC589" s="89" t="n">
        <f aca="false">IF(Q589&lt;&gt;1,0,IF(OR(설정!$C$5="전체",AND(설정!$C$5="선택펀드",IFERROR(COUNTIFS(설정!$F$16:$F$36,C589,설정!$G$16:$G$36,"Y")+COUNTIFS(설정!$F$16:$F$36,VALUE(C589),설정!$G$16:$G$36,"Y"),0)&gt;0),C589&amp;""=설정!$C$5&amp;""),1,0))</f>
        <v>0</v>
      </c>
      <c r="AD589" s="89" t="n">
        <f aca="false">IF(Q589&lt;&gt;1,0,IF(OR(S589=1,IF(AB589="",FALSE(),INDEX(시장분석!$R:$R,AB589)=1)),1,0))</f>
        <v>0</v>
      </c>
      <c r="AE589" s="43" t="str">
        <f aca="false">IF(AB589="","",INDEX(시장분석!$A:$A,AB589))</f>
        <v/>
      </c>
      <c r="AF589" s="93" t="str">
        <f aca="false">IF(AB589="","",IF(ISNUMBER(IF(AB589="","",INDEX(시장분석!$E:$E,AB589))),IF(AB589="","",INDEX(시장분석!$E:$E,AB589)),""))</f>
        <v/>
      </c>
      <c r="AG589" s="43" t="str">
        <f aca="false">IF(Q589&lt;&gt;1,"",IF(AB589&lt;&gt;"",IF(AB589="","",INDEX(시장분석!$L:$L,AB589)),IFERROR(IF(VLOOKUP(R589,매핑!$A$4:$E$92,5,0)="","미분류",VLOOKUP(R589,매핑!$A$4:$E$92,5,0)),"미분류")))</f>
        <v/>
      </c>
      <c r="AH589" s="43" t="str">
        <f aca="false">IF(Q589&lt;&gt;1,"",IF(AB589&lt;&gt;"",IF(AB589="","",INDEX(시장분석!$N:$N,AB589)),IFERROR(IF(VLOOKUP(R589,매핑!$A$4:$E$92,4,0)="","미분류",VLOOKUP(R589,매핑!$A$4:$E$92,4,0)),"미분류")))</f>
        <v/>
      </c>
      <c r="AI589" s="43" t="str">
        <f aca="false">IF(Q589&lt;&gt;1,"",IFERROR(IF(VLOOKUP(R589,매핑!$A$4:$E$92,3,0)="","미분류",VLOOKUP(R589,매핑!$A$4:$E$92,3,0)),IF(AB589&lt;&gt;"",IF(AB589="","",INDEX(시장분석!$W:$W,AB589)),"미분류")))</f>
        <v/>
      </c>
      <c r="AJ589" s="43" t="str">
        <f aca="false">IF(Q589&lt;&gt;1,"",IFERROR(VLOOKUP(IF(N589&lt;&gt;"",N589,IF(P589&lt;&gt;"",P589,O589)),설정!$A$15:$D$47,2,0),""))</f>
        <v/>
      </c>
      <c r="AK589" s="43" t="str">
        <f aca="false">IF(Q589&lt;&gt;1,"",IF(AJ589="","무등급",IFERROR(VLOOKUP(AJ589,설정!$A$15:$D$47,3,0),"무등급")))</f>
        <v/>
      </c>
      <c r="AL589" s="89" t="n">
        <f aca="false">IF(AJ589="",99,IFERROR(VLOOKUP(AJ589,설정!$A$15:$D$47,4,0),99))</f>
        <v>99</v>
      </c>
      <c r="AM589" s="94" t="n">
        <f aca="false">IF(ISNUMBER(H589),AA589*1000000*H589/10000,0)</f>
        <v>0</v>
      </c>
      <c r="AN589" s="94" t="n">
        <f aca="false">IF(OR(Y589=1,NOT(ISNUMBER(Z589))),0,AA589*1000000*Z589/10000)</f>
        <v>0</v>
      </c>
      <c r="AO589" s="94" t="n">
        <f aca="false">IF(ISNUMBER(G589),AA589*1000000*G589/100,0)</f>
        <v>0</v>
      </c>
      <c r="AP589" s="94" t="n">
        <f aca="false">IF(ISNUMBER(M589),M589*K589,0)</f>
        <v>0</v>
      </c>
      <c r="AQ589" s="95" t="str">
        <f aca="false">IF(AB589="","",INDEX(시장분석!$AK:$AK,AB589))</f>
        <v/>
      </c>
      <c r="AR589" s="43" t="str">
        <f aca="false">IF(AB589="","-",IF(AB589="","",INDEX(시장분석!$AL:$AL,AB589)))</f>
        <v>-</v>
      </c>
      <c r="AS589" s="96" t="str">
        <f aca="false">IF(AB589="","",INDEX(시장분석!$AJ:$AJ,AB589))</f>
        <v/>
      </c>
      <c r="AT589" s="93" t="n">
        <f aca="false">IF(AB589="",0,IF(AB589="","",INDEX(시장분석!$AN:$AN,AB589)))</f>
        <v>0</v>
      </c>
      <c r="AU589" s="94" t="n">
        <f aca="false">IF(ISNUMBER(Z589),AT589/10000*MAX(Z589-1,0)*AA589*1000000,0)</f>
        <v>0</v>
      </c>
      <c r="AV589" s="94" t="n">
        <f aca="false">AO589+AU589</f>
        <v>0</v>
      </c>
      <c r="AW589" s="43" t="str">
        <f aca="false">IF(Q589&lt;&gt;1,"",TRIM(IF(AD589=1,"FRN ","")&amp;IF(AND(AL589&gt;=10,AL589&lt;99),"BBB0미만 ","")&amp;IF(AJ589="","등급없음 ","")&amp;IF(K589&lt;&gt;1,"비USD ","")&amp;IF(AND(AB589="",Y589=0),"시장데이터없음 ","")&amp;IF(AND(ISNUMBER(U589),U589&lt;0),"만기경과 ","")))</f>
        <v/>
      </c>
      <c r="AX589" s="90" t="n">
        <f aca="false">IF(Q589&lt;&gt;1,1,IF(스프레드쇼크!$C$4="Y",INDEX(스프레드쇼크!$B$12:$L$16,IFERROR(MATCH(AH589,스프레드쇼크!$A$12:$A$16,0),MATCH("목록외",스프레드쇼크!$A$12:$A$16,0)),IFERROR(MATCH(AG589,스프레드쇼크!$B$11:$L$11,0),MATCH("목록외",스프레드쇼크!$B$11:$L$11,0))),1))</f>
        <v>1</v>
      </c>
      <c r="AY589" s="90" t="n">
        <f aca="false">IF(스프레드쇼크!$C$5="Y",IF(ISNUMBER(AF589),MIN(스프레드쇼크!$C$7,MAX(스프레드쇼크!$C$6,AF589/스프레드쇼크!$C$8)),1),1)</f>
        <v>1</v>
      </c>
      <c r="AZ589" s="94" t="n">
        <f aca="false">AN589*AX589*AY589</f>
        <v>0</v>
      </c>
      <c r="BA589" s="90" t="n">
        <f aca="false">IF(ISNUMBER(G589),AA589*G589,0)</f>
        <v>0</v>
      </c>
      <c r="BB589" s="90" t="n">
        <f aca="false">IF(ISNUMBER(G589),AA589,0)</f>
        <v>0</v>
      </c>
      <c r="BC589" s="90" t="n">
        <f aca="false">IF(AND(Y589=0,ISNUMBER(AF589)),AA589*AF589,0)</f>
        <v>0</v>
      </c>
      <c r="BD589" s="90" t="n">
        <f aca="false">IF(AND(Y589=0,ISNUMBER(AF589)),AA589,0)</f>
        <v>0</v>
      </c>
      <c r="BE589" s="90" t="n">
        <f aca="false">IF(ISNUMBER(H589),AA589*H589,0)</f>
        <v>0</v>
      </c>
      <c r="BF589" s="90" t="n">
        <f aca="false">IF(ISNUMBER(H589),AA589,0)</f>
        <v>0</v>
      </c>
      <c r="BG589" s="90" t="n">
        <f aca="false">IF(AND(Y589=0,ISNUMBER(AF589),ISNUMBER(Z589)),AA589*Z589,0)</f>
        <v>0</v>
      </c>
      <c r="BH589" s="90" t="n">
        <f aca="false">IF(AND(Y589=0,ISNUMBER(AF589),ISNUMBER(Z589)),AA589*AT589*MAX(Z589-1,0),0)</f>
        <v>0</v>
      </c>
      <c r="BI589" s="90" t="n">
        <f aca="false">IF(Y589=0,AA589,0)</f>
        <v>0</v>
      </c>
    </row>
    <row r="590" customFormat="false" ht="15" hidden="false" customHeight="false" outlineLevel="0" collapsed="false">
      <c r="A590" s="83" t="str">
        <f aca="false">IFERROR(IF(INDEX(원자료_잔고!$A$1:$EZ$1500,설정!$L$5+ROW()-1,설정!$L$8)&amp;""="0","",INDEX(원자료_잔고!$A$1:$EZ$1500,설정!$L$5+ROW()-1,설정!$L$8)&amp;""),"")</f>
        <v/>
      </c>
      <c r="B590" s="83" t="str">
        <f aca="false">IFERROR(IF(INDEX(원자료_잔고!$A$1:$EZ$1500,설정!$L$5+ROW()-1,설정!$L$7)&amp;""="0","",INDEX(원자료_잔고!$A$1:$EZ$1500,설정!$L$5+ROW()-1,설정!$L$7)&amp;""),"")</f>
        <v/>
      </c>
      <c r="C590" s="83" t="str">
        <f aca="false">IFERROR(IF(INDEX(원자료_잔고!$A$1:$EZ$1500,설정!$L$5+ROW()-1,설정!$L$9)&amp;""="0","",INDEX(원자료_잔고!$A$1:$EZ$1500,설정!$L$5+ROW()-1,설정!$L$9)&amp;""),"")</f>
        <v/>
      </c>
      <c r="D590" s="83" t="str">
        <f aca="false">IFERROR(IF(INDEX(원자료_잔고!$A$1:$EZ$1500,설정!$L$5+ROW()-1,설정!$L$10)&amp;""="0","",INDEX(원자료_잔고!$A$1:$EZ$1500,설정!$L$5+ROW()-1,설정!$L$10)&amp;""),"")</f>
        <v/>
      </c>
      <c r="E590" s="84" t="str">
        <f aca="false">IFERROR(IF(ISNUMBER(INDEX(원자료_잔고!$A$1:$EZ$1500,설정!$L$5+ROW()-1,설정!$L$11)),INDEX(원자료_잔고!$A$1:$EZ$1500,설정!$L$5+ROW()-1,설정!$L$11),""),"")</f>
        <v/>
      </c>
      <c r="F590" s="85" t="str">
        <f aca="false">IFERROR(IF(ISNUMBER(INDEX(원자료_잔고!$A$1:$EZ$1500,설정!$L$5+ROW()-1,설정!$L$12)),INDEX(원자료_잔고!$A$1:$EZ$1500,설정!$L$5+ROW()-1,설정!$L$12),""),"")</f>
        <v/>
      </c>
      <c r="G590" s="85" t="str">
        <f aca="false">IFERROR(IF(ISNUMBER(INDEX(원자료_잔고!$A$1:$EZ$1500,설정!$L$5+ROW()-1,설정!$L$13)),INDEX(원자료_잔고!$A$1:$EZ$1500,설정!$L$5+ROW()-1,설정!$L$13),""),"")</f>
        <v/>
      </c>
      <c r="H590" s="85" t="str">
        <f aca="false">IFERROR(IF(ISNUMBER(INDEX(원자료_잔고!$A$1:$EZ$1500,설정!$L$5+ROW()-1,설정!$L$14)),INDEX(원자료_잔고!$A$1:$EZ$1500,설정!$L$5+ROW()-1,설정!$L$14),""),"")</f>
        <v/>
      </c>
      <c r="I590" s="86" t="str">
        <f aca="false">IFERROR(IF(ISNUMBER(INDEX(원자료_잔고!$A$1:$EZ$1500,설정!$L$5+ROW()-1,설정!$L$15)),INDEX(원자료_잔고!$A$1:$EZ$1500,설정!$L$5+ROW()-1,설정!$L$15),""),"")</f>
        <v/>
      </c>
      <c r="J590" s="85" t="str">
        <f aca="false">IFERROR(IF(ISNUMBER(INDEX(원자료_잔고!$A$1:$EZ$1500,설정!$L$5+ROW()-1,설정!$L$16)),INDEX(원자료_잔고!$A$1:$EZ$1500,설정!$L$5+ROW()-1,설정!$L$16),""),"")</f>
        <v/>
      </c>
      <c r="K590" s="87" t="str">
        <f aca="false">IFERROR(IF(ISNUMBER(INDEX(원자료_잔고!$A$1:$EZ$1500,설정!$L$5+ROW()-1,설정!$L$17)),INDEX(원자료_잔고!$A$1:$EZ$1500,설정!$L$5+ROW()-1,설정!$L$17),""),"")</f>
        <v/>
      </c>
      <c r="L590" s="84" t="str">
        <f aca="false">IFERROR(IF(ISNUMBER(INDEX(원자료_잔고!$A$1:$EZ$1500,설정!$L$5+ROW()-1,설정!$L$18)),INDEX(원자료_잔고!$A$1:$EZ$1500,설정!$L$5+ROW()-1,설정!$L$18),""),"")</f>
        <v/>
      </c>
      <c r="M590" s="88" t="str">
        <f aca="false">IFERROR(IF(ISNUMBER(INDEX(원자료_잔고!$A$1:$EZ$1500,설정!$L$5+ROW()-1,설정!$L$19)),INDEX(원자료_잔고!$A$1:$EZ$1500,설정!$L$5+ROW()-1,설정!$L$19),""),"")</f>
        <v/>
      </c>
      <c r="N590" s="83" t="str">
        <f aca="false">IFERROR(IF(INDEX(원자료_잔고!$A$1:$EZ$1500,설정!$L$5+ROW()-1,설정!$L$21)&amp;""="0","",INDEX(원자료_잔고!$A$1:$EZ$1500,설정!$L$5+ROW()-1,설정!$L$21)&amp;""),"")</f>
        <v/>
      </c>
      <c r="O590" s="83" t="str">
        <f aca="false">IFERROR(IF(INDEX(원자료_잔고!$A$1:$EZ$1500,설정!$L$5+ROW()-1,설정!$L$22)&amp;""="0","",INDEX(원자료_잔고!$A$1:$EZ$1500,설정!$L$5+ROW()-1,설정!$L$22)&amp;""),"")</f>
        <v/>
      </c>
      <c r="P590" s="83" t="str">
        <f aca="false">IFERROR(IF(INDEX(원자료_잔고!$A$1:$EZ$1500,설정!$L$5+ROW()-1,설정!$L$23)&amp;""="0","",INDEX(원자료_잔고!$A$1:$EZ$1500,설정!$L$5+ROW()-1,설정!$L$23)&amp;""),"")</f>
        <v/>
      </c>
      <c r="Q590" s="89" t="n">
        <f aca="false">IF(AND($A590&lt;&gt;"",ISNUMBER(E590)),IF(E590&gt;0,1,0),0)</f>
        <v>0</v>
      </c>
      <c r="R590" s="43" t="str">
        <f aca="false">IF(Q590=1,UPPER(LEFT($A590,FIND(" ",$A590&amp;" ")-1)),"")</f>
        <v/>
      </c>
      <c r="S590" s="89" t="n">
        <f aca="false">IF(Q590=1,IF(OR(ISNUMBER(SEARCH("Float",$A590)),ISNUMBER(SEARCH("FRN",$A590))),1,0),0)</f>
        <v>0</v>
      </c>
      <c r="T590" s="43" t="str">
        <f aca="false">IF(AND(Q590=1,ISNUMBER(I590)),TEXT(I590,"yyyymmdd")&amp;"|"&amp;IF(S590=1,"F",TEXT(J590,"0.000")),"")</f>
        <v/>
      </c>
      <c r="U590" s="90" t="str">
        <f aca="false">IF(AND(Q590=1,ISNUMBER(I590)),(I590-설정!$C$4)/365.25,"")</f>
        <v/>
      </c>
      <c r="V590" s="43" t="str">
        <f aca="false">IF(Q590&lt;&gt;1,"",IF(ISNUMBER(U590),IF(U590&lt;=1,"1년 이하",IF(U590&lt;=2,"1-2년",IF(U590&lt;=3,"2-3년",IF(U590&lt;=4,"3-4년",IF(U590&lt;=5,"4-5년",IF(U590&lt;=7,"5-7년",IF(U590&lt;=10,"7-10년",IF(U590&lt;=20,"10-20년","20년 이상")))))))),"미분류"))</f>
        <v/>
      </c>
      <c r="W590" s="43" t="str">
        <f aca="false">IF(Q590&lt;&gt;1,"",IF(AB590&lt;&gt;"",INDEX(시장분석!$C:$C,AB590),IF(K590=1,"USD","비USD")))</f>
        <v/>
      </c>
      <c r="X590" s="91" t="n">
        <f aca="false">IF(Q590=1,E590*K590/1000000,0)</f>
        <v>0</v>
      </c>
      <c r="Y590" s="89" t="n">
        <f aca="false">IF(R590="T",1,0)</f>
        <v>0</v>
      </c>
      <c r="Z590" s="92" t="str">
        <f aca="false">IF(Q590&lt;&gt;1,"",IF(AD590=1,IF(ISNUMBER(U590),MAX(U590,0),H590),H590))</f>
        <v/>
      </c>
      <c r="AA590" s="91" t="n">
        <f aca="false">IF(Q590=1,IF(ISNUMBER(L590),L590,0)*K590/1000000,0)</f>
        <v>0</v>
      </c>
      <c r="AB590" s="89" t="str">
        <f aca="false">IF(Q590&lt;&gt;1,"",IFERROR(MATCH(VLOOKUP(B590,매핑!$H$4:$I$15,2,0),시장분석!$A$2:$A$601,0)+1,IFERROR(MATCH(R590&amp;"|"&amp;T590,시장분석!$V$2:$V$601,0)+1,IF(COUNTIF(시장분석!$U$2:$U$601,T590)=1,MATCH(T590,시장분석!$U$2:$U$601,0)+1,""))))</f>
        <v/>
      </c>
      <c r="AC590" s="89" t="n">
        <f aca="false">IF(Q590&lt;&gt;1,0,IF(OR(설정!$C$5="전체",AND(설정!$C$5="선택펀드",IFERROR(COUNTIFS(설정!$F$16:$F$36,C590,설정!$G$16:$G$36,"Y")+COUNTIFS(설정!$F$16:$F$36,VALUE(C590),설정!$G$16:$G$36,"Y"),0)&gt;0),C590&amp;""=설정!$C$5&amp;""),1,0))</f>
        <v>0</v>
      </c>
      <c r="AD590" s="89" t="n">
        <f aca="false">IF(Q590&lt;&gt;1,0,IF(OR(S590=1,IF(AB590="",FALSE(),INDEX(시장분석!$R:$R,AB590)=1)),1,0))</f>
        <v>0</v>
      </c>
      <c r="AE590" s="43" t="str">
        <f aca="false">IF(AB590="","",INDEX(시장분석!$A:$A,AB590))</f>
        <v/>
      </c>
      <c r="AF590" s="93" t="str">
        <f aca="false">IF(AB590="","",IF(ISNUMBER(IF(AB590="","",INDEX(시장분석!$E:$E,AB590))),IF(AB590="","",INDEX(시장분석!$E:$E,AB590)),""))</f>
        <v/>
      </c>
      <c r="AG590" s="43" t="str">
        <f aca="false">IF(Q590&lt;&gt;1,"",IF(AB590&lt;&gt;"",IF(AB590="","",INDEX(시장분석!$L:$L,AB590)),IFERROR(IF(VLOOKUP(R590,매핑!$A$4:$E$92,5,0)="","미분류",VLOOKUP(R590,매핑!$A$4:$E$92,5,0)),"미분류")))</f>
        <v/>
      </c>
      <c r="AH590" s="43" t="str">
        <f aca="false">IF(Q590&lt;&gt;1,"",IF(AB590&lt;&gt;"",IF(AB590="","",INDEX(시장분석!$N:$N,AB590)),IFERROR(IF(VLOOKUP(R590,매핑!$A$4:$E$92,4,0)="","미분류",VLOOKUP(R590,매핑!$A$4:$E$92,4,0)),"미분류")))</f>
        <v/>
      </c>
      <c r="AI590" s="43" t="str">
        <f aca="false">IF(Q590&lt;&gt;1,"",IFERROR(IF(VLOOKUP(R590,매핑!$A$4:$E$92,3,0)="","미분류",VLOOKUP(R590,매핑!$A$4:$E$92,3,0)),IF(AB590&lt;&gt;"",IF(AB590="","",INDEX(시장분석!$W:$W,AB590)),"미분류")))</f>
        <v/>
      </c>
      <c r="AJ590" s="43" t="str">
        <f aca="false">IF(Q590&lt;&gt;1,"",IFERROR(VLOOKUP(IF(N590&lt;&gt;"",N590,IF(P590&lt;&gt;"",P590,O590)),설정!$A$15:$D$47,2,0),""))</f>
        <v/>
      </c>
      <c r="AK590" s="43" t="str">
        <f aca="false">IF(Q590&lt;&gt;1,"",IF(AJ590="","무등급",IFERROR(VLOOKUP(AJ590,설정!$A$15:$D$47,3,0),"무등급")))</f>
        <v/>
      </c>
      <c r="AL590" s="89" t="n">
        <f aca="false">IF(AJ590="",99,IFERROR(VLOOKUP(AJ590,설정!$A$15:$D$47,4,0),99))</f>
        <v>99</v>
      </c>
      <c r="AM590" s="94" t="n">
        <f aca="false">IF(ISNUMBER(H590),AA590*1000000*H590/10000,0)</f>
        <v>0</v>
      </c>
      <c r="AN590" s="94" t="n">
        <f aca="false">IF(OR(Y590=1,NOT(ISNUMBER(Z590))),0,AA590*1000000*Z590/10000)</f>
        <v>0</v>
      </c>
      <c r="AO590" s="94" t="n">
        <f aca="false">IF(ISNUMBER(G590),AA590*1000000*G590/100,0)</f>
        <v>0</v>
      </c>
      <c r="AP590" s="94" t="n">
        <f aca="false">IF(ISNUMBER(M590),M590*K590,0)</f>
        <v>0</v>
      </c>
      <c r="AQ590" s="95" t="str">
        <f aca="false">IF(AB590="","",INDEX(시장분석!$AK:$AK,AB590))</f>
        <v/>
      </c>
      <c r="AR590" s="43" t="str">
        <f aca="false">IF(AB590="","-",IF(AB590="","",INDEX(시장분석!$AL:$AL,AB590)))</f>
        <v>-</v>
      </c>
      <c r="AS590" s="96" t="str">
        <f aca="false">IF(AB590="","",INDEX(시장분석!$AJ:$AJ,AB590))</f>
        <v/>
      </c>
      <c r="AT590" s="93" t="n">
        <f aca="false">IF(AB590="",0,IF(AB590="","",INDEX(시장분석!$AN:$AN,AB590)))</f>
        <v>0</v>
      </c>
      <c r="AU590" s="94" t="n">
        <f aca="false">IF(ISNUMBER(Z590),AT590/10000*MAX(Z590-1,0)*AA590*1000000,0)</f>
        <v>0</v>
      </c>
      <c r="AV590" s="94" t="n">
        <f aca="false">AO590+AU590</f>
        <v>0</v>
      </c>
      <c r="AW590" s="43" t="str">
        <f aca="false">IF(Q590&lt;&gt;1,"",TRIM(IF(AD590=1,"FRN ","")&amp;IF(AND(AL590&gt;=10,AL590&lt;99),"BBB0미만 ","")&amp;IF(AJ590="","등급없음 ","")&amp;IF(K590&lt;&gt;1,"비USD ","")&amp;IF(AND(AB590="",Y590=0),"시장데이터없음 ","")&amp;IF(AND(ISNUMBER(U590),U590&lt;0),"만기경과 ","")))</f>
        <v/>
      </c>
      <c r="AX590" s="90" t="n">
        <f aca="false">IF(Q590&lt;&gt;1,1,IF(스프레드쇼크!$C$4="Y",INDEX(스프레드쇼크!$B$12:$L$16,IFERROR(MATCH(AH590,스프레드쇼크!$A$12:$A$16,0),MATCH("목록외",스프레드쇼크!$A$12:$A$16,0)),IFERROR(MATCH(AG590,스프레드쇼크!$B$11:$L$11,0),MATCH("목록외",스프레드쇼크!$B$11:$L$11,0))),1))</f>
        <v>1</v>
      </c>
      <c r="AY590" s="90" t="n">
        <f aca="false">IF(스프레드쇼크!$C$5="Y",IF(ISNUMBER(AF590),MIN(스프레드쇼크!$C$7,MAX(스프레드쇼크!$C$6,AF590/스프레드쇼크!$C$8)),1),1)</f>
        <v>1</v>
      </c>
      <c r="AZ590" s="94" t="n">
        <f aca="false">AN590*AX590*AY590</f>
        <v>0</v>
      </c>
      <c r="BA590" s="90" t="n">
        <f aca="false">IF(ISNUMBER(G590),AA590*G590,0)</f>
        <v>0</v>
      </c>
      <c r="BB590" s="90" t="n">
        <f aca="false">IF(ISNUMBER(G590),AA590,0)</f>
        <v>0</v>
      </c>
      <c r="BC590" s="90" t="n">
        <f aca="false">IF(AND(Y590=0,ISNUMBER(AF590)),AA590*AF590,0)</f>
        <v>0</v>
      </c>
      <c r="BD590" s="90" t="n">
        <f aca="false">IF(AND(Y590=0,ISNUMBER(AF590)),AA590,0)</f>
        <v>0</v>
      </c>
      <c r="BE590" s="90" t="n">
        <f aca="false">IF(ISNUMBER(H590),AA590*H590,0)</f>
        <v>0</v>
      </c>
      <c r="BF590" s="90" t="n">
        <f aca="false">IF(ISNUMBER(H590),AA590,0)</f>
        <v>0</v>
      </c>
      <c r="BG590" s="90" t="n">
        <f aca="false">IF(AND(Y590=0,ISNUMBER(AF590),ISNUMBER(Z590)),AA590*Z590,0)</f>
        <v>0</v>
      </c>
      <c r="BH590" s="90" t="n">
        <f aca="false">IF(AND(Y590=0,ISNUMBER(AF590),ISNUMBER(Z590)),AA590*AT590*MAX(Z590-1,0),0)</f>
        <v>0</v>
      </c>
      <c r="BI590" s="90" t="n">
        <f aca="false">IF(Y590=0,AA590,0)</f>
        <v>0</v>
      </c>
    </row>
    <row r="591" customFormat="false" ht="15" hidden="false" customHeight="false" outlineLevel="0" collapsed="false">
      <c r="A591" s="83" t="str">
        <f aca="false">IFERROR(IF(INDEX(원자료_잔고!$A$1:$EZ$1500,설정!$L$5+ROW()-1,설정!$L$8)&amp;""="0","",INDEX(원자료_잔고!$A$1:$EZ$1500,설정!$L$5+ROW()-1,설정!$L$8)&amp;""),"")</f>
        <v/>
      </c>
      <c r="B591" s="83" t="str">
        <f aca="false">IFERROR(IF(INDEX(원자료_잔고!$A$1:$EZ$1500,설정!$L$5+ROW()-1,설정!$L$7)&amp;""="0","",INDEX(원자료_잔고!$A$1:$EZ$1500,설정!$L$5+ROW()-1,설정!$L$7)&amp;""),"")</f>
        <v/>
      </c>
      <c r="C591" s="83" t="str">
        <f aca="false">IFERROR(IF(INDEX(원자료_잔고!$A$1:$EZ$1500,설정!$L$5+ROW()-1,설정!$L$9)&amp;""="0","",INDEX(원자료_잔고!$A$1:$EZ$1500,설정!$L$5+ROW()-1,설정!$L$9)&amp;""),"")</f>
        <v/>
      </c>
      <c r="D591" s="83" t="str">
        <f aca="false">IFERROR(IF(INDEX(원자료_잔고!$A$1:$EZ$1500,설정!$L$5+ROW()-1,설정!$L$10)&amp;""="0","",INDEX(원자료_잔고!$A$1:$EZ$1500,설정!$L$5+ROW()-1,설정!$L$10)&amp;""),"")</f>
        <v/>
      </c>
      <c r="E591" s="84" t="str">
        <f aca="false">IFERROR(IF(ISNUMBER(INDEX(원자료_잔고!$A$1:$EZ$1500,설정!$L$5+ROW()-1,설정!$L$11)),INDEX(원자료_잔고!$A$1:$EZ$1500,설정!$L$5+ROW()-1,설정!$L$11),""),"")</f>
        <v/>
      </c>
      <c r="F591" s="85" t="str">
        <f aca="false">IFERROR(IF(ISNUMBER(INDEX(원자료_잔고!$A$1:$EZ$1500,설정!$L$5+ROW()-1,설정!$L$12)),INDEX(원자료_잔고!$A$1:$EZ$1500,설정!$L$5+ROW()-1,설정!$L$12),""),"")</f>
        <v/>
      </c>
      <c r="G591" s="85" t="str">
        <f aca="false">IFERROR(IF(ISNUMBER(INDEX(원자료_잔고!$A$1:$EZ$1500,설정!$L$5+ROW()-1,설정!$L$13)),INDEX(원자료_잔고!$A$1:$EZ$1500,설정!$L$5+ROW()-1,설정!$L$13),""),"")</f>
        <v/>
      </c>
      <c r="H591" s="85" t="str">
        <f aca="false">IFERROR(IF(ISNUMBER(INDEX(원자료_잔고!$A$1:$EZ$1500,설정!$L$5+ROW()-1,설정!$L$14)),INDEX(원자료_잔고!$A$1:$EZ$1500,설정!$L$5+ROW()-1,설정!$L$14),""),"")</f>
        <v/>
      </c>
      <c r="I591" s="86" t="str">
        <f aca="false">IFERROR(IF(ISNUMBER(INDEX(원자료_잔고!$A$1:$EZ$1500,설정!$L$5+ROW()-1,설정!$L$15)),INDEX(원자료_잔고!$A$1:$EZ$1500,설정!$L$5+ROW()-1,설정!$L$15),""),"")</f>
        <v/>
      </c>
      <c r="J591" s="85" t="str">
        <f aca="false">IFERROR(IF(ISNUMBER(INDEX(원자료_잔고!$A$1:$EZ$1500,설정!$L$5+ROW()-1,설정!$L$16)),INDEX(원자료_잔고!$A$1:$EZ$1500,설정!$L$5+ROW()-1,설정!$L$16),""),"")</f>
        <v/>
      </c>
      <c r="K591" s="87" t="str">
        <f aca="false">IFERROR(IF(ISNUMBER(INDEX(원자료_잔고!$A$1:$EZ$1500,설정!$L$5+ROW()-1,설정!$L$17)),INDEX(원자료_잔고!$A$1:$EZ$1500,설정!$L$5+ROW()-1,설정!$L$17),""),"")</f>
        <v/>
      </c>
      <c r="L591" s="84" t="str">
        <f aca="false">IFERROR(IF(ISNUMBER(INDEX(원자료_잔고!$A$1:$EZ$1500,설정!$L$5+ROW()-1,설정!$L$18)),INDEX(원자료_잔고!$A$1:$EZ$1500,설정!$L$5+ROW()-1,설정!$L$18),""),"")</f>
        <v/>
      </c>
      <c r="M591" s="88" t="str">
        <f aca="false">IFERROR(IF(ISNUMBER(INDEX(원자료_잔고!$A$1:$EZ$1500,설정!$L$5+ROW()-1,설정!$L$19)),INDEX(원자료_잔고!$A$1:$EZ$1500,설정!$L$5+ROW()-1,설정!$L$19),""),"")</f>
        <v/>
      </c>
      <c r="N591" s="83" t="str">
        <f aca="false">IFERROR(IF(INDEX(원자료_잔고!$A$1:$EZ$1500,설정!$L$5+ROW()-1,설정!$L$21)&amp;""="0","",INDEX(원자료_잔고!$A$1:$EZ$1500,설정!$L$5+ROW()-1,설정!$L$21)&amp;""),"")</f>
        <v/>
      </c>
      <c r="O591" s="83" t="str">
        <f aca="false">IFERROR(IF(INDEX(원자료_잔고!$A$1:$EZ$1500,설정!$L$5+ROW()-1,설정!$L$22)&amp;""="0","",INDEX(원자료_잔고!$A$1:$EZ$1500,설정!$L$5+ROW()-1,설정!$L$22)&amp;""),"")</f>
        <v/>
      </c>
      <c r="P591" s="83" t="str">
        <f aca="false">IFERROR(IF(INDEX(원자료_잔고!$A$1:$EZ$1500,설정!$L$5+ROW()-1,설정!$L$23)&amp;""="0","",INDEX(원자료_잔고!$A$1:$EZ$1500,설정!$L$5+ROW()-1,설정!$L$23)&amp;""),"")</f>
        <v/>
      </c>
      <c r="Q591" s="89" t="n">
        <f aca="false">IF(AND($A591&lt;&gt;"",ISNUMBER(E591)),IF(E591&gt;0,1,0),0)</f>
        <v>0</v>
      </c>
      <c r="R591" s="43" t="str">
        <f aca="false">IF(Q591=1,UPPER(LEFT($A591,FIND(" ",$A591&amp;" ")-1)),"")</f>
        <v/>
      </c>
      <c r="S591" s="89" t="n">
        <f aca="false">IF(Q591=1,IF(OR(ISNUMBER(SEARCH("Float",$A591)),ISNUMBER(SEARCH("FRN",$A591))),1,0),0)</f>
        <v>0</v>
      </c>
      <c r="T591" s="43" t="str">
        <f aca="false">IF(AND(Q591=1,ISNUMBER(I591)),TEXT(I591,"yyyymmdd")&amp;"|"&amp;IF(S591=1,"F",TEXT(J591,"0.000")),"")</f>
        <v/>
      </c>
      <c r="U591" s="90" t="str">
        <f aca="false">IF(AND(Q591=1,ISNUMBER(I591)),(I591-설정!$C$4)/365.25,"")</f>
        <v/>
      </c>
      <c r="V591" s="43" t="str">
        <f aca="false">IF(Q591&lt;&gt;1,"",IF(ISNUMBER(U591),IF(U591&lt;=1,"1년 이하",IF(U591&lt;=2,"1-2년",IF(U591&lt;=3,"2-3년",IF(U591&lt;=4,"3-4년",IF(U591&lt;=5,"4-5년",IF(U591&lt;=7,"5-7년",IF(U591&lt;=10,"7-10년",IF(U591&lt;=20,"10-20년","20년 이상")))))))),"미분류"))</f>
        <v/>
      </c>
      <c r="W591" s="43" t="str">
        <f aca="false">IF(Q591&lt;&gt;1,"",IF(AB591&lt;&gt;"",INDEX(시장분석!$C:$C,AB591),IF(K591=1,"USD","비USD")))</f>
        <v/>
      </c>
      <c r="X591" s="91" t="n">
        <f aca="false">IF(Q591=1,E591*K591/1000000,0)</f>
        <v>0</v>
      </c>
      <c r="Y591" s="89" t="n">
        <f aca="false">IF(R591="T",1,0)</f>
        <v>0</v>
      </c>
      <c r="Z591" s="92" t="str">
        <f aca="false">IF(Q591&lt;&gt;1,"",IF(AD591=1,IF(ISNUMBER(U591),MAX(U591,0),H591),H591))</f>
        <v/>
      </c>
      <c r="AA591" s="91" t="n">
        <f aca="false">IF(Q591=1,IF(ISNUMBER(L591),L591,0)*K591/1000000,0)</f>
        <v>0</v>
      </c>
      <c r="AB591" s="89" t="str">
        <f aca="false">IF(Q591&lt;&gt;1,"",IFERROR(MATCH(VLOOKUP(B591,매핑!$H$4:$I$15,2,0),시장분석!$A$2:$A$601,0)+1,IFERROR(MATCH(R591&amp;"|"&amp;T591,시장분석!$V$2:$V$601,0)+1,IF(COUNTIF(시장분석!$U$2:$U$601,T591)=1,MATCH(T591,시장분석!$U$2:$U$601,0)+1,""))))</f>
        <v/>
      </c>
      <c r="AC591" s="89" t="n">
        <f aca="false">IF(Q591&lt;&gt;1,0,IF(OR(설정!$C$5="전체",AND(설정!$C$5="선택펀드",IFERROR(COUNTIFS(설정!$F$16:$F$36,C591,설정!$G$16:$G$36,"Y")+COUNTIFS(설정!$F$16:$F$36,VALUE(C591),설정!$G$16:$G$36,"Y"),0)&gt;0),C591&amp;""=설정!$C$5&amp;""),1,0))</f>
        <v>0</v>
      </c>
      <c r="AD591" s="89" t="n">
        <f aca="false">IF(Q591&lt;&gt;1,0,IF(OR(S591=1,IF(AB591="",FALSE(),INDEX(시장분석!$R:$R,AB591)=1)),1,0))</f>
        <v>0</v>
      </c>
      <c r="AE591" s="43" t="str">
        <f aca="false">IF(AB591="","",INDEX(시장분석!$A:$A,AB591))</f>
        <v/>
      </c>
      <c r="AF591" s="93" t="str">
        <f aca="false">IF(AB591="","",IF(ISNUMBER(IF(AB591="","",INDEX(시장분석!$E:$E,AB591))),IF(AB591="","",INDEX(시장분석!$E:$E,AB591)),""))</f>
        <v/>
      </c>
      <c r="AG591" s="43" t="str">
        <f aca="false">IF(Q591&lt;&gt;1,"",IF(AB591&lt;&gt;"",IF(AB591="","",INDEX(시장분석!$L:$L,AB591)),IFERROR(IF(VLOOKUP(R591,매핑!$A$4:$E$92,5,0)="","미분류",VLOOKUP(R591,매핑!$A$4:$E$92,5,0)),"미분류")))</f>
        <v/>
      </c>
      <c r="AH591" s="43" t="str">
        <f aca="false">IF(Q591&lt;&gt;1,"",IF(AB591&lt;&gt;"",IF(AB591="","",INDEX(시장분석!$N:$N,AB591)),IFERROR(IF(VLOOKUP(R591,매핑!$A$4:$E$92,4,0)="","미분류",VLOOKUP(R591,매핑!$A$4:$E$92,4,0)),"미분류")))</f>
        <v/>
      </c>
      <c r="AI591" s="43" t="str">
        <f aca="false">IF(Q591&lt;&gt;1,"",IFERROR(IF(VLOOKUP(R591,매핑!$A$4:$E$92,3,0)="","미분류",VLOOKUP(R591,매핑!$A$4:$E$92,3,0)),IF(AB591&lt;&gt;"",IF(AB591="","",INDEX(시장분석!$W:$W,AB591)),"미분류")))</f>
        <v/>
      </c>
      <c r="AJ591" s="43" t="str">
        <f aca="false">IF(Q591&lt;&gt;1,"",IFERROR(VLOOKUP(IF(N591&lt;&gt;"",N591,IF(P591&lt;&gt;"",P591,O591)),설정!$A$15:$D$47,2,0),""))</f>
        <v/>
      </c>
      <c r="AK591" s="43" t="str">
        <f aca="false">IF(Q591&lt;&gt;1,"",IF(AJ591="","무등급",IFERROR(VLOOKUP(AJ591,설정!$A$15:$D$47,3,0),"무등급")))</f>
        <v/>
      </c>
      <c r="AL591" s="89" t="n">
        <f aca="false">IF(AJ591="",99,IFERROR(VLOOKUP(AJ591,설정!$A$15:$D$47,4,0),99))</f>
        <v>99</v>
      </c>
      <c r="AM591" s="94" t="n">
        <f aca="false">IF(ISNUMBER(H591),AA591*1000000*H591/10000,0)</f>
        <v>0</v>
      </c>
      <c r="AN591" s="94" t="n">
        <f aca="false">IF(OR(Y591=1,NOT(ISNUMBER(Z591))),0,AA591*1000000*Z591/10000)</f>
        <v>0</v>
      </c>
      <c r="AO591" s="94" t="n">
        <f aca="false">IF(ISNUMBER(G591),AA591*1000000*G591/100,0)</f>
        <v>0</v>
      </c>
      <c r="AP591" s="94" t="n">
        <f aca="false">IF(ISNUMBER(M591),M591*K591,0)</f>
        <v>0</v>
      </c>
      <c r="AQ591" s="95" t="str">
        <f aca="false">IF(AB591="","",INDEX(시장분석!$AK:$AK,AB591))</f>
        <v/>
      </c>
      <c r="AR591" s="43" t="str">
        <f aca="false">IF(AB591="","-",IF(AB591="","",INDEX(시장분석!$AL:$AL,AB591)))</f>
        <v>-</v>
      </c>
      <c r="AS591" s="96" t="str">
        <f aca="false">IF(AB591="","",INDEX(시장분석!$AJ:$AJ,AB591))</f>
        <v/>
      </c>
      <c r="AT591" s="93" t="n">
        <f aca="false">IF(AB591="",0,IF(AB591="","",INDEX(시장분석!$AN:$AN,AB591)))</f>
        <v>0</v>
      </c>
      <c r="AU591" s="94" t="n">
        <f aca="false">IF(ISNUMBER(Z591),AT591/10000*MAX(Z591-1,0)*AA591*1000000,0)</f>
        <v>0</v>
      </c>
      <c r="AV591" s="94" t="n">
        <f aca="false">AO591+AU591</f>
        <v>0</v>
      </c>
      <c r="AW591" s="43" t="str">
        <f aca="false">IF(Q591&lt;&gt;1,"",TRIM(IF(AD591=1,"FRN ","")&amp;IF(AND(AL591&gt;=10,AL591&lt;99),"BBB0미만 ","")&amp;IF(AJ591="","등급없음 ","")&amp;IF(K591&lt;&gt;1,"비USD ","")&amp;IF(AND(AB591="",Y591=0),"시장데이터없음 ","")&amp;IF(AND(ISNUMBER(U591),U591&lt;0),"만기경과 ","")))</f>
        <v/>
      </c>
      <c r="AX591" s="90" t="n">
        <f aca="false">IF(Q591&lt;&gt;1,1,IF(스프레드쇼크!$C$4="Y",INDEX(스프레드쇼크!$B$12:$L$16,IFERROR(MATCH(AH591,스프레드쇼크!$A$12:$A$16,0),MATCH("목록외",스프레드쇼크!$A$12:$A$16,0)),IFERROR(MATCH(AG591,스프레드쇼크!$B$11:$L$11,0),MATCH("목록외",스프레드쇼크!$B$11:$L$11,0))),1))</f>
        <v>1</v>
      </c>
      <c r="AY591" s="90" t="n">
        <f aca="false">IF(스프레드쇼크!$C$5="Y",IF(ISNUMBER(AF591),MIN(스프레드쇼크!$C$7,MAX(스프레드쇼크!$C$6,AF591/스프레드쇼크!$C$8)),1),1)</f>
        <v>1</v>
      </c>
      <c r="AZ591" s="94" t="n">
        <f aca="false">AN591*AX591*AY591</f>
        <v>0</v>
      </c>
      <c r="BA591" s="90" t="n">
        <f aca="false">IF(ISNUMBER(G591),AA591*G591,0)</f>
        <v>0</v>
      </c>
      <c r="BB591" s="90" t="n">
        <f aca="false">IF(ISNUMBER(G591),AA591,0)</f>
        <v>0</v>
      </c>
      <c r="BC591" s="90" t="n">
        <f aca="false">IF(AND(Y591=0,ISNUMBER(AF591)),AA591*AF591,0)</f>
        <v>0</v>
      </c>
      <c r="BD591" s="90" t="n">
        <f aca="false">IF(AND(Y591=0,ISNUMBER(AF591)),AA591,0)</f>
        <v>0</v>
      </c>
      <c r="BE591" s="90" t="n">
        <f aca="false">IF(ISNUMBER(H591),AA591*H591,0)</f>
        <v>0</v>
      </c>
      <c r="BF591" s="90" t="n">
        <f aca="false">IF(ISNUMBER(H591),AA591,0)</f>
        <v>0</v>
      </c>
      <c r="BG591" s="90" t="n">
        <f aca="false">IF(AND(Y591=0,ISNUMBER(AF591),ISNUMBER(Z591)),AA591*Z591,0)</f>
        <v>0</v>
      </c>
      <c r="BH591" s="90" t="n">
        <f aca="false">IF(AND(Y591=0,ISNUMBER(AF591),ISNUMBER(Z591)),AA591*AT591*MAX(Z591-1,0),0)</f>
        <v>0</v>
      </c>
      <c r="BI591" s="90" t="n">
        <f aca="false">IF(Y591=0,AA591,0)</f>
        <v>0</v>
      </c>
    </row>
    <row r="592" customFormat="false" ht="15" hidden="false" customHeight="false" outlineLevel="0" collapsed="false">
      <c r="A592" s="83" t="str">
        <f aca="false">IFERROR(IF(INDEX(원자료_잔고!$A$1:$EZ$1500,설정!$L$5+ROW()-1,설정!$L$8)&amp;""="0","",INDEX(원자료_잔고!$A$1:$EZ$1500,설정!$L$5+ROW()-1,설정!$L$8)&amp;""),"")</f>
        <v/>
      </c>
      <c r="B592" s="83" t="str">
        <f aca="false">IFERROR(IF(INDEX(원자료_잔고!$A$1:$EZ$1500,설정!$L$5+ROW()-1,설정!$L$7)&amp;""="0","",INDEX(원자료_잔고!$A$1:$EZ$1500,설정!$L$5+ROW()-1,설정!$L$7)&amp;""),"")</f>
        <v/>
      </c>
      <c r="C592" s="83" t="str">
        <f aca="false">IFERROR(IF(INDEX(원자료_잔고!$A$1:$EZ$1500,설정!$L$5+ROW()-1,설정!$L$9)&amp;""="0","",INDEX(원자료_잔고!$A$1:$EZ$1500,설정!$L$5+ROW()-1,설정!$L$9)&amp;""),"")</f>
        <v/>
      </c>
      <c r="D592" s="83" t="str">
        <f aca="false">IFERROR(IF(INDEX(원자료_잔고!$A$1:$EZ$1500,설정!$L$5+ROW()-1,설정!$L$10)&amp;""="0","",INDEX(원자료_잔고!$A$1:$EZ$1500,설정!$L$5+ROW()-1,설정!$L$10)&amp;""),"")</f>
        <v/>
      </c>
      <c r="E592" s="84" t="str">
        <f aca="false">IFERROR(IF(ISNUMBER(INDEX(원자료_잔고!$A$1:$EZ$1500,설정!$L$5+ROW()-1,설정!$L$11)),INDEX(원자료_잔고!$A$1:$EZ$1500,설정!$L$5+ROW()-1,설정!$L$11),""),"")</f>
        <v/>
      </c>
      <c r="F592" s="85" t="str">
        <f aca="false">IFERROR(IF(ISNUMBER(INDEX(원자료_잔고!$A$1:$EZ$1500,설정!$L$5+ROW()-1,설정!$L$12)),INDEX(원자료_잔고!$A$1:$EZ$1500,설정!$L$5+ROW()-1,설정!$L$12),""),"")</f>
        <v/>
      </c>
      <c r="G592" s="85" t="str">
        <f aca="false">IFERROR(IF(ISNUMBER(INDEX(원자료_잔고!$A$1:$EZ$1500,설정!$L$5+ROW()-1,설정!$L$13)),INDEX(원자료_잔고!$A$1:$EZ$1500,설정!$L$5+ROW()-1,설정!$L$13),""),"")</f>
        <v/>
      </c>
      <c r="H592" s="85" t="str">
        <f aca="false">IFERROR(IF(ISNUMBER(INDEX(원자료_잔고!$A$1:$EZ$1500,설정!$L$5+ROW()-1,설정!$L$14)),INDEX(원자료_잔고!$A$1:$EZ$1500,설정!$L$5+ROW()-1,설정!$L$14),""),"")</f>
        <v/>
      </c>
      <c r="I592" s="86" t="str">
        <f aca="false">IFERROR(IF(ISNUMBER(INDEX(원자료_잔고!$A$1:$EZ$1500,설정!$L$5+ROW()-1,설정!$L$15)),INDEX(원자료_잔고!$A$1:$EZ$1500,설정!$L$5+ROW()-1,설정!$L$15),""),"")</f>
        <v/>
      </c>
      <c r="J592" s="85" t="str">
        <f aca="false">IFERROR(IF(ISNUMBER(INDEX(원자료_잔고!$A$1:$EZ$1500,설정!$L$5+ROW()-1,설정!$L$16)),INDEX(원자료_잔고!$A$1:$EZ$1500,설정!$L$5+ROW()-1,설정!$L$16),""),"")</f>
        <v/>
      </c>
      <c r="K592" s="87" t="str">
        <f aca="false">IFERROR(IF(ISNUMBER(INDEX(원자료_잔고!$A$1:$EZ$1500,설정!$L$5+ROW()-1,설정!$L$17)),INDEX(원자료_잔고!$A$1:$EZ$1500,설정!$L$5+ROW()-1,설정!$L$17),""),"")</f>
        <v/>
      </c>
      <c r="L592" s="84" t="str">
        <f aca="false">IFERROR(IF(ISNUMBER(INDEX(원자료_잔고!$A$1:$EZ$1500,설정!$L$5+ROW()-1,설정!$L$18)),INDEX(원자료_잔고!$A$1:$EZ$1500,설정!$L$5+ROW()-1,설정!$L$18),""),"")</f>
        <v/>
      </c>
      <c r="M592" s="88" t="str">
        <f aca="false">IFERROR(IF(ISNUMBER(INDEX(원자료_잔고!$A$1:$EZ$1500,설정!$L$5+ROW()-1,설정!$L$19)),INDEX(원자료_잔고!$A$1:$EZ$1500,설정!$L$5+ROW()-1,설정!$L$19),""),"")</f>
        <v/>
      </c>
      <c r="N592" s="83" t="str">
        <f aca="false">IFERROR(IF(INDEX(원자료_잔고!$A$1:$EZ$1500,설정!$L$5+ROW()-1,설정!$L$21)&amp;""="0","",INDEX(원자료_잔고!$A$1:$EZ$1500,설정!$L$5+ROW()-1,설정!$L$21)&amp;""),"")</f>
        <v/>
      </c>
      <c r="O592" s="83" t="str">
        <f aca="false">IFERROR(IF(INDEX(원자료_잔고!$A$1:$EZ$1500,설정!$L$5+ROW()-1,설정!$L$22)&amp;""="0","",INDEX(원자료_잔고!$A$1:$EZ$1500,설정!$L$5+ROW()-1,설정!$L$22)&amp;""),"")</f>
        <v/>
      </c>
      <c r="P592" s="83" t="str">
        <f aca="false">IFERROR(IF(INDEX(원자료_잔고!$A$1:$EZ$1500,설정!$L$5+ROW()-1,설정!$L$23)&amp;""="0","",INDEX(원자료_잔고!$A$1:$EZ$1500,설정!$L$5+ROW()-1,설정!$L$23)&amp;""),"")</f>
        <v/>
      </c>
      <c r="Q592" s="89" t="n">
        <f aca="false">IF(AND($A592&lt;&gt;"",ISNUMBER(E592)),IF(E592&gt;0,1,0),0)</f>
        <v>0</v>
      </c>
      <c r="R592" s="43" t="str">
        <f aca="false">IF(Q592=1,UPPER(LEFT($A592,FIND(" ",$A592&amp;" ")-1)),"")</f>
        <v/>
      </c>
      <c r="S592" s="89" t="n">
        <f aca="false">IF(Q592=1,IF(OR(ISNUMBER(SEARCH("Float",$A592)),ISNUMBER(SEARCH("FRN",$A592))),1,0),0)</f>
        <v>0</v>
      </c>
      <c r="T592" s="43" t="str">
        <f aca="false">IF(AND(Q592=1,ISNUMBER(I592)),TEXT(I592,"yyyymmdd")&amp;"|"&amp;IF(S592=1,"F",TEXT(J592,"0.000")),"")</f>
        <v/>
      </c>
      <c r="U592" s="90" t="str">
        <f aca="false">IF(AND(Q592=1,ISNUMBER(I592)),(I592-설정!$C$4)/365.25,"")</f>
        <v/>
      </c>
      <c r="V592" s="43" t="str">
        <f aca="false">IF(Q592&lt;&gt;1,"",IF(ISNUMBER(U592),IF(U592&lt;=1,"1년 이하",IF(U592&lt;=2,"1-2년",IF(U592&lt;=3,"2-3년",IF(U592&lt;=4,"3-4년",IF(U592&lt;=5,"4-5년",IF(U592&lt;=7,"5-7년",IF(U592&lt;=10,"7-10년",IF(U592&lt;=20,"10-20년","20년 이상")))))))),"미분류"))</f>
        <v/>
      </c>
      <c r="W592" s="43" t="str">
        <f aca="false">IF(Q592&lt;&gt;1,"",IF(AB592&lt;&gt;"",INDEX(시장분석!$C:$C,AB592),IF(K592=1,"USD","비USD")))</f>
        <v/>
      </c>
      <c r="X592" s="91" t="n">
        <f aca="false">IF(Q592=1,E592*K592/1000000,0)</f>
        <v>0</v>
      </c>
      <c r="Y592" s="89" t="n">
        <f aca="false">IF(R592="T",1,0)</f>
        <v>0</v>
      </c>
      <c r="Z592" s="92" t="str">
        <f aca="false">IF(Q592&lt;&gt;1,"",IF(AD592=1,IF(ISNUMBER(U592),MAX(U592,0),H592),H592))</f>
        <v/>
      </c>
      <c r="AA592" s="91" t="n">
        <f aca="false">IF(Q592=1,IF(ISNUMBER(L592),L592,0)*K592/1000000,0)</f>
        <v>0</v>
      </c>
      <c r="AB592" s="89" t="str">
        <f aca="false">IF(Q592&lt;&gt;1,"",IFERROR(MATCH(VLOOKUP(B592,매핑!$H$4:$I$15,2,0),시장분석!$A$2:$A$601,0)+1,IFERROR(MATCH(R592&amp;"|"&amp;T592,시장분석!$V$2:$V$601,0)+1,IF(COUNTIF(시장분석!$U$2:$U$601,T592)=1,MATCH(T592,시장분석!$U$2:$U$601,0)+1,""))))</f>
        <v/>
      </c>
      <c r="AC592" s="89" t="n">
        <f aca="false">IF(Q592&lt;&gt;1,0,IF(OR(설정!$C$5="전체",AND(설정!$C$5="선택펀드",IFERROR(COUNTIFS(설정!$F$16:$F$36,C592,설정!$G$16:$G$36,"Y")+COUNTIFS(설정!$F$16:$F$36,VALUE(C592),설정!$G$16:$G$36,"Y"),0)&gt;0),C592&amp;""=설정!$C$5&amp;""),1,0))</f>
        <v>0</v>
      </c>
      <c r="AD592" s="89" t="n">
        <f aca="false">IF(Q592&lt;&gt;1,0,IF(OR(S592=1,IF(AB592="",FALSE(),INDEX(시장분석!$R:$R,AB592)=1)),1,0))</f>
        <v>0</v>
      </c>
      <c r="AE592" s="43" t="str">
        <f aca="false">IF(AB592="","",INDEX(시장분석!$A:$A,AB592))</f>
        <v/>
      </c>
      <c r="AF592" s="93" t="str">
        <f aca="false">IF(AB592="","",IF(ISNUMBER(IF(AB592="","",INDEX(시장분석!$E:$E,AB592))),IF(AB592="","",INDEX(시장분석!$E:$E,AB592)),""))</f>
        <v/>
      </c>
      <c r="AG592" s="43" t="str">
        <f aca="false">IF(Q592&lt;&gt;1,"",IF(AB592&lt;&gt;"",IF(AB592="","",INDEX(시장분석!$L:$L,AB592)),IFERROR(IF(VLOOKUP(R592,매핑!$A$4:$E$92,5,0)="","미분류",VLOOKUP(R592,매핑!$A$4:$E$92,5,0)),"미분류")))</f>
        <v/>
      </c>
      <c r="AH592" s="43" t="str">
        <f aca="false">IF(Q592&lt;&gt;1,"",IF(AB592&lt;&gt;"",IF(AB592="","",INDEX(시장분석!$N:$N,AB592)),IFERROR(IF(VLOOKUP(R592,매핑!$A$4:$E$92,4,0)="","미분류",VLOOKUP(R592,매핑!$A$4:$E$92,4,0)),"미분류")))</f>
        <v/>
      </c>
      <c r="AI592" s="43" t="str">
        <f aca="false">IF(Q592&lt;&gt;1,"",IFERROR(IF(VLOOKUP(R592,매핑!$A$4:$E$92,3,0)="","미분류",VLOOKUP(R592,매핑!$A$4:$E$92,3,0)),IF(AB592&lt;&gt;"",IF(AB592="","",INDEX(시장분석!$W:$W,AB592)),"미분류")))</f>
        <v/>
      </c>
      <c r="AJ592" s="43" t="str">
        <f aca="false">IF(Q592&lt;&gt;1,"",IFERROR(VLOOKUP(IF(N592&lt;&gt;"",N592,IF(P592&lt;&gt;"",P592,O592)),설정!$A$15:$D$47,2,0),""))</f>
        <v/>
      </c>
      <c r="AK592" s="43" t="str">
        <f aca="false">IF(Q592&lt;&gt;1,"",IF(AJ592="","무등급",IFERROR(VLOOKUP(AJ592,설정!$A$15:$D$47,3,0),"무등급")))</f>
        <v/>
      </c>
      <c r="AL592" s="89" t="n">
        <f aca="false">IF(AJ592="",99,IFERROR(VLOOKUP(AJ592,설정!$A$15:$D$47,4,0),99))</f>
        <v>99</v>
      </c>
      <c r="AM592" s="94" t="n">
        <f aca="false">IF(ISNUMBER(H592),AA592*1000000*H592/10000,0)</f>
        <v>0</v>
      </c>
      <c r="AN592" s="94" t="n">
        <f aca="false">IF(OR(Y592=1,NOT(ISNUMBER(Z592))),0,AA592*1000000*Z592/10000)</f>
        <v>0</v>
      </c>
      <c r="AO592" s="94" t="n">
        <f aca="false">IF(ISNUMBER(G592),AA592*1000000*G592/100,0)</f>
        <v>0</v>
      </c>
      <c r="AP592" s="94" t="n">
        <f aca="false">IF(ISNUMBER(M592),M592*K592,0)</f>
        <v>0</v>
      </c>
      <c r="AQ592" s="95" t="str">
        <f aca="false">IF(AB592="","",INDEX(시장분석!$AK:$AK,AB592))</f>
        <v/>
      </c>
      <c r="AR592" s="43" t="str">
        <f aca="false">IF(AB592="","-",IF(AB592="","",INDEX(시장분석!$AL:$AL,AB592)))</f>
        <v>-</v>
      </c>
      <c r="AS592" s="96" t="str">
        <f aca="false">IF(AB592="","",INDEX(시장분석!$AJ:$AJ,AB592))</f>
        <v/>
      </c>
      <c r="AT592" s="93" t="n">
        <f aca="false">IF(AB592="",0,IF(AB592="","",INDEX(시장분석!$AN:$AN,AB592)))</f>
        <v>0</v>
      </c>
      <c r="AU592" s="94" t="n">
        <f aca="false">IF(ISNUMBER(Z592),AT592/10000*MAX(Z592-1,0)*AA592*1000000,0)</f>
        <v>0</v>
      </c>
      <c r="AV592" s="94" t="n">
        <f aca="false">AO592+AU592</f>
        <v>0</v>
      </c>
      <c r="AW592" s="43" t="str">
        <f aca="false">IF(Q592&lt;&gt;1,"",TRIM(IF(AD592=1,"FRN ","")&amp;IF(AND(AL592&gt;=10,AL592&lt;99),"BBB0미만 ","")&amp;IF(AJ592="","등급없음 ","")&amp;IF(K592&lt;&gt;1,"비USD ","")&amp;IF(AND(AB592="",Y592=0),"시장데이터없음 ","")&amp;IF(AND(ISNUMBER(U592),U592&lt;0),"만기경과 ","")))</f>
        <v/>
      </c>
      <c r="AX592" s="90" t="n">
        <f aca="false">IF(Q592&lt;&gt;1,1,IF(스프레드쇼크!$C$4="Y",INDEX(스프레드쇼크!$B$12:$L$16,IFERROR(MATCH(AH592,스프레드쇼크!$A$12:$A$16,0),MATCH("목록외",스프레드쇼크!$A$12:$A$16,0)),IFERROR(MATCH(AG592,스프레드쇼크!$B$11:$L$11,0),MATCH("목록외",스프레드쇼크!$B$11:$L$11,0))),1))</f>
        <v>1</v>
      </c>
      <c r="AY592" s="90" t="n">
        <f aca="false">IF(스프레드쇼크!$C$5="Y",IF(ISNUMBER(AF592),MIN(스프레드쇼크!$C$7,MAX(스프레드쇼크!$C$6,AF592/스프레드쇼크!$C$8)),1),1)</f>
        <v>1</v>
      </c>
      <c r="AZ592" s="94" t="n">
        <f aca="false">AN592*AX592*AY592</f>
        <v>0</v>
      </c>
      <c r="BA592" s="90" t="n">
        <f aca="false">IF(ISNUMBER(G592),AA592*G592,0)</f>
        <v>0</v>
      </c>
      <c r="BB592" s="90" t="n">
        <f aca="false">IF(ISNUMBER(G592),AA592,0)</f>
        <v>0</v>
      </c>
      <c r="BC592" s="90" t="n">
        <f aca="false">IF(AND(Y592=0,ISNUMBER(AF592)),AA592*AF592,0)</f>
        <v>0</v>
      </c>
      <c r="BD592" s="90" t="n">
        <f aca="false">IF(AND(Y592=0,ISNUMBER(AF592)),AA592,0)</f>
        <v>0</v>
      </c>
      <c r="BE592" s="90" t="n">
        <f aca="false">IF(ISNUMBER(H592),AA592*H592,0)</f>
        <v>0</v>
      </c>
      <c r="BF592" s="90" t="n">
        <f aca="false">IF(ISNUMBER(H592),AA592,0)</f>
        <v>0</v>
      </c>
      <c r="BG592" s="90" t="n">
        <f aca="false">IF(AND(Y592=0,ISNUMBER(AF592),ISNUMBER(Z592)),AA592*Z592,0)</f>
        <v>0</v>
      </c>
      <c r="BH592" s="90" t="n">
        <f aca="false">IF(AND(Y592=0,ISNUMBER(AF592),ISNUMBER(Z592)),AA592*AT592*MAX(Z592-1,0),0)</f>
        <v>0</v>
      </c>
      <c r="BI592" s="90" t="n">
        <f aca="false">IF(Y592=0,AA592,0)</f>
        <v>0</v>
      </c>
    </row>
    <row r="593" customFormat="false" ht="15" hidden="false" customHeight="false" outlineLevel="0" collapsed="false">
      <c r="A593" s="83" t="str">
        <f aca="false">IFERROR(IF(INDEX(원자료_잔고!$A$1:$EZ$1500,설정!$L$5+ROW()-1,설정!$L$8)&amp;""="0","",INDEX(원자료_잔고!$A$1:$EZ$1500,설정!$L$5+ROW()-1,설정!$L$8)&amp;""),"")</f>
        <v/>
      </c>
      <c r="B593" s="83" t="str">
        <f aca="false">IFERROR(IF(INDEX(원자료_잔고!$A$1:$EZ$1500,설정!$L$5+ROW()-1,설정!$L$7)&amp;""="0","",INDEX(원자료_잔고!$A$1:$EZ$1500,설정!$L$5+ROW()-1,설정!$L$7)&amp;""),"")</f>
        <v/>
      </c>
      <c r="C593" s="83" t="str">
        <f aca="false">IFERROR(IF(INDEX(원자료_잔고!$A$1:$EZ$1500,설정!$L$5+ROW()-1,설정!$L$9)&amp;""="0","",INDEX(원자료_잔고!$A$1:$EZ$1500,설정!$L$5+ROW()-1,설정!$L$9)&amp;""),"")</f>
        <v/>
      </c>
      <c r="D593" s="83" t="str">
        <f aca="false">IFERROR(IF(INDEX(원자료_잔고!$A$1:$EZ$1500,설정!$L$5+ROW()-1,설정!$L$10)&amp;""="0","",INDEX(원자료_잔고!$A$1:$EZ$1500,설정!$L$5+ROW()-1,설정!$L$10)&amp;""),"")</f>
        <v/>
      </c>
      <c r="E593" s="84" t="str">
        <f aca="false">IFERROR(IF(ISNUMBER(INDEX(원자료_잔고!$A$1:$EZ$1500,설정!$L$5+ROW()-1,설정!$L$11)),INDEX(원자료_잔고!$A$1:$EZ$1500,설정!$L$5+ROW()-1,설정!$L$11),""),"")</f>
        <v/>
      </c>
      <c r="F593" s="85" t="str">
        <f aca="false">IFERROR(IF(ISNUMBER(INDEX(원자료_잔고!$A$1:$EZ$1500,설정!$L$5+ROW()-1,설정!$L$12)),INDEX(원자료_잔고!$A$1:$EZ$1500,설정!$L$5+ROW()-1,설정!$L$12),""),"")</f>
        <v/>
      </c>
      <c r="G593" s="85" t="str">
        <f aca="false">IFERROR(IF(ISNUMBER(INDEX(원자료_잔고!$A$1:$EZ$1500,설정!$L$5+ROW()-1,설정!$L$13)),INDEX(원자료_잔고!$A$1:$EZ$1500,설정!$L$5+ROW()-1,설정!$L$13),""),"")</f>
        <v/>
      </c>
      <c r="H593" s="85" t="str">
        <f aca="false">IFERROR(IF(ISNUMBER(INDEX(원자료_잔고!$A$1:$EZ$1500,설정!$L$5+ROW()-1,설정!$L$14)),INDEX(원자료_잔고!$A$1:$EZ$1500,설정!$L$5+ROW()-1,설정!$L$14),""),"")</f>
        <v/>
      </c>
      <c r="I593" s="86" t="str">
        <f aca="false">IFERROR(IF(ISNUMBER(INDEX(원자료_잔고!$A$1:$EZ$1500,설정!$L$5+ROW()-1,설정!$L$15)),INDEX(원자료_잔고!$A$1:$EZ$1500,설정!$L$5+ROW()-1,설정!$L$15),""),"")</f>
        <v/>
      </c>
      <c r="J593" s="85" t="str">
        <f aca="false">IFERROR(IF(ISNUMBER(INDEX(원자료_잔고!$A$1:$EZ$1500,설정!$L$5+ROW()-1,설정!$L$16)),INDEX(원자료_잔고!$A$1:$EZ$1500,설정!$L$5+ROW()-1,설정!$L$16),""),"")</f>
        <v/>
      </c>
      <c r="K593" s="87" t="str">
        <f aca="false">IFERROR(IF(ISNUMBER(INDEX(원자료_잔고!$A$1:$EZ$1500,설정!$L$5+ROW()-1,설정!$L$17)),INDEX(원자료_잔고!$A$1:$EZ$1500,설정!$L$5+ROW()-1,설정!$L$17),""),"")</f>
        <v/>
      </c>
      <c r="L593" s="84" t="str">
        <f aca="false">IFERROR(IF(ISNUMBER(INDEX(원자료_잔고!$A$1:$EZ$1500,설정!$L$5+ROW()-1,설정!$L$18)),INDEX(원자료_잔고!$A$1:$EZ$1500,설정!$L$5+ROW()-1,설정!$L$18),""),"")</f>
        <v/>
      </c>
      <c r="M593" s="88" t="str">
        <f aca="false">IFERROR(IF(ISNUMBER(INDEX(원자료_잔고!$A$1:$EZ$1500,설정!$L$5+ROW()-1,설정!$L$19)),INDEX(원자료_잔고!$A$1:$EZ$1500,설정!$L$5+ROW()-1,설정!$L$19),""),"")</f>
        <v/>
      </c>
      <c r="N593" s="83" t="str">
        <f aca="false">IFERROR(IF(INDEX(원자료_잔고!$A$1:$EZ$1500,설정!$L$5+ROW()-1,설정!$L$21)&amp;""="0","",INDEX(원자료_잔고!$A$1:$EZ$1500,설정!$L$5+ROW()-1,설정!$L$21)&amp;""),"")</f>
        <v/>
      </c>
      <c r="O593" s="83" t="str">
        <f aca="false">IFERROR(IF(INDEX(원자료_잔고!$A$1:$EZ$1500,설정!$L$5+ROW()-1,설정!$L$22)&amp;""="0","",INDEX(원자료_잔고!$A$1:$EZ$1500,설정!$L$5+ROW()-1,설정!$L$22)&amp;""),"")</f>
        <v/>
      </c>
      <c r="P593" s="83" t="str">
        <f aca="false">IFERROR(IF(INDEX(원자료_잔고!$A$1:$EZ$1500,설정!$L$5+ROW()-1,설정!$L$23)&amp;""="0","",INDEX(원자료_잔고!$A$1:$EZ$1500,설정!$L$5+ROW()-1,설정!$L$23)&amp;""),"")</f>
        <v/>
      </c>
      <c r="Q593" s="89" t="n">
        <f aca="false">IF(AND($A593&lt;&gt;"",ISNUMBER(E593)),IF(E593&gt;0,1,0),0)</f>
        <v>0</v>
      </c>
      <c r="R593" s="43" t="str">
        <f aca="false">IF(Q593=1,UPPER(LEFT($A593,FIND(" ",$A593&amp;" ")-1)),"")</f>
        <v/>
      </c>
      <c r="S593" s="89" t="n">
        <f aca="false">IF(Q593=1,IF(OR(ISNUMBER(SEARCH("Float",$A593)),ISNUMBER(SEARCH("FRN",$A593))),1,0),0)</f>
        <v>0</v>
      </c>
      <c r="T593" s="43" t="str">
        <f aca="false">IF(AND(Q593=1,ISNUMBER(I593)),TEXT(I593,"yyyymmdd")&amp;"|"&amp;IF(S593=1,"F",TEXT(J593,"0.000")),"")</f>
        <v/>
      </c>
      <c r="U593" s="90" t="str">
        <f aca="false">IF(AND(Q593=1,ISNUMBER(I593)),(I593-설정!$C$4)/365.25,"")</f>
        <v/>
      </c>
      <c r="V593" s="43" t="str">
        <f aca="false">IF(Q593&lt;&gt;1,"",IF(ISNUMBER(U593),IF(U593&lt;=1,"1년 이하",IF(U593&lt;=2,"1-2년",IF(U593&lt;=3,"2-3년",IF(U593&lt;=4,"3-4년",IF(U593&lt;=5,"4-5년",IF(U593&lt;=7,"5-7년",IF(U593&lt;=10,"7-10년",IF(U593&lt;=20,"10-20년","20년 이상")))))))),"미분류"))</f>
        <v/>
      </c>
      <c r="W593" s="43" t="str">
        <f aca="false">IF(Q593&lt;&gt;1,"",IF(AB593&lt;&gt;"",INDEX(시장분석!$C:$C,AB593),IF(K593=1,"USD","비USD")))</f>
        <v/>
      </c>
      <c r="X593" s="91" t="n">
        <f aca="false">IF(Q593=1,E593*K593/1000000,0)</f>
        <v>0</v>
      </c>
      <c r="Y593" s="89" t="n">
        <f aca="false">IF(R593="T",1,0)</f>
        <v>0</v>
      </c>
      <c r="Z593" s="92" t="str">
        <f aca="false">IF(Q593&lt;&gt;1,"",IF(AD593=1,IF(ISNUMBER(U593),MAX(U593,0),H593),H593))</f>
        <v/>
      </c>
      <c r="AA593" s="91" t="n">
        <f aca="false">IF(Q593=1,IF(ISNUMBER(L593),L593,0)*K593/1000000,0)</f>
        <v>0</v>
      </c>
      <c r="AB593" s="89" t="str">
        <f aca="false">IF(Q593&lt;&gt;1,"",IFERROR(MATCH(VLOOKUP(B593,매핑!$H$4:$I$15,2,0),시장분석!$A$2:$A$601,0)+1,IFERROR(MATCH(R593&amp;"|"&amp;T593,시장분석!$V$2:$V$601,0)+1,IF(COUNTIF(시장분석!$U$2:$U$601,T593)=1,MATCH(T593,시장분석!$U$2:$U$601,0)+1,""))))</f>
        <v/>
      </c>
      <c r="AC593" s="89" t="n">
        <f aca="false">IF(Q593&lt;&gt;1,0,IF(OR(설정!$C$5="전체",AND(설정!$C$5="선택펀드",IFERROR(COUNTIFS(설정!$F$16:$F$36,C593,설정!$G$16:$G$36,"Y")+COUNTIFS(설정!$F$16:$F$36,VALUE(C593),설정!$G$16:$G$36,"Y"),0)&gt;0),C593&amp;""=설정!$C$5&amp;""),1,0))</f>
        <v>0</v>
      </c>
      <c r="AD593" s="89" t="n">
        <f aca="false">IF(Q593&lt;&gt;1,0,IF(OR(S593=1,IF(AB593="",FALSE(),INDEX(시장분석!$R:$R,AB593)=1)),1,0))</f>
        <v>0</v>
      </c>
      <c r="AE593" s="43" t="str">
        <f aca="false">IF(AB593="","",INDEX(시장분석!$A:$A,AB593))</f>
        <v/>
      </c>
      <c r="AF593" s="93" t="str">
        <f aca="false">IF(AB593="","",IF(ISNUMBER(IF(AB593="","",INDEX(시장분석!$E:$E,AB593))),IF(AB593="","",INDEX(시장분석!$E:$E,AB593)),""))</f>
        <v/>
      </c>
      <c r="AG593" s="43" t="str">
        <f aca="false">IF(Q593&lt;&gt;1,"",IF(AB593&lt;&gt;"",IF(AB593="","",INDEX(시장분석!$L:$L,AB593)),IFERROR(IF(VLOOKUP(R593,매핑!$A$4:$E$92,5,0)="","미분류",VLOOKUP(R593,매핑!$A$4:$E$92,5,0)),"미분류")))</f>
        <v/>
      </c>
      <c r="AH593" s="43" t="str">
        <f aca="false">IF(Q593&lt;&gt;1,"",IF(AB593&lt;&gt;"",IF(AB593="","",INDEX(시장분석!$N:$N,AB593)),IFERROR(IF(VLOOKUP(R593,매핑!$A$4:$E$92,4,0)="","미분류",VLOOKUP(R593,매핑!$A$4:$E$92,4,0)),"미분류")))</f>
        <v/>
      </c>
      <c r="AI593" s="43" t="str">
        <f aca="false">IF(Q593&lt;&gt;1,"",IFERROR(IF(VLOOKUP(R593,매핑!$A$4:$E$92,3,0)="","미분류",VLOOKUP(R593,매핑!$A$4:$E$92,3,0)),IF(AB593&lt;&gt;"",IF(AB593="","",INDEX(시장분석!$W:$W,AB593)),"미분류")))</f>
        <v/>
      </c>
      <c r="AJ593" s="43" t="str">
        <f aca="false">IF(Q593&lt;&gt;1,"",IFERROR(VLOOKUP(IF(N593&lt;&gt;"",N593,IF(P593&lt;&gt;"",P593,O593)),설정!$A$15:$D$47,2,0),""))</f>
        <v/>
      </c>
      <c r="AK593" s="43" t="str">
        <f aca="false">IF(Q593&lt;&gt;1,"",IF(AJ593="","무등급",IFERROR(VLOOKUP(AJ593,설정!$A$15:$D$47,3,0),"무등급")))</f>
        <v/>
      </c>
      <c r="AL593" s="89" t="n">
        <f aca="false">IF(AJ593="",99,IFERROR(VLOOKUP(AJ593,설정!$A$15:$D$47,4,0),99))</f>
        <v>99</v>
      </c>
      <c r="AM593" s="94" t="n">
        <f aca="false">IF(ISNUMBER(H593),AA593*1000000*H593/10000,0)</f>
        <v>0</v>
      </c>
      <c r="AN593" s="94" t="n">
        <f aca="false">IF(OR(Y593=1,NOT(ISNUMBER(Z593))),0,AA593*1000000*Z593/10000)</f>
        <v>0</v>
      </c>
      <c r="AO593" s="94" t="n">
        <f aca="false">IF(ISNUMBER(G593),AA593*1000000*G593/100,0)</f>
        <v>0</v>
      </c>
      <c r="AP593" s="94" t="n">
        <f aca="false">IF(ISNUMBER(M593),M593*K593,0)</f>
        <v>0</v>
      </c>
      <c r="AQ593" s="95" t="str">
        <f aca="false">IF(AB593="","",INDEX(시장분석!$AK:$AK,AB593))</f>
        <v/>
      </c>
      <c r="AR593" s="43" t="str">
        <f aca="false">IF(AB593="","-",IF(AB593="","",INDEX(시장분석!$AL:$AL,AB593)))</f>
        <v>-</v>
      </c>
      <c r="AS593" s="96" t="str">
        <f aca="false">IF(AB593="","",INDEX(시장분석!$AJ:$AJ,AB593))</f>
        <v/>
      </c>
      <c r="AT593" s="93" t="n">
        <f aca="false">IF(AB593="",0,IF(AB593="","",INDEX(시장분석!$AN:$AN,AB593)))</f>
        <v>0</v>
      </c>
      <c r="AU593" s="94" t="n">
        <f aca="false">IF(ISNUMBER(Z593),AT593/10000*MAX(Z593-1,0)*AA593*1000000,0)</f>
        <v>0</v>
      </c>
      <c r="AV593" s="94" t="n">
        <f aca="false">AO593+AU593</f>
        <v>0</v>
      </c>
      <c r="AW593" s="43" t="str">
        <f aca="false">IF(Q593&lt;&gt;1,"",TRIM(IF(AD593=1,"FRN ","")&amp;IF(AND(AL593&gt;=10,AL593&lt;99),"BBB0미만 ","")&amp;IF(AJ593="","등급없음 ","")&amp;IF(K593&lt;&gt;1,"비USD ","")&amp;IF(AND(AB593="",Y593=0),"시장데이터없음 ","")&amp;IF(AND(ISNUMBER(U593),U593&lt;0),"만기경과 ","")))</f>
        <v/>
      </c>
      <c r="AX593" s="90" t="n">
        <f aca="false">IF(Q593&lt;&gt;1,1,IF(스프레드쇼크!$C$4="Y",INDEX(스프레드쇼크!$B$12:$L$16,IFERROR(MATCH(AH593,스프레드쇼크!$A$12:$A$16,0),MATCH("목록외",스프레드쇼크!$A$12:$A$16,0)),IFERROR(MATCH(AG593,스프레드쇼크!$B$11:$L$11,0),MATCH("목록외",스프레드쇼크!$B$11:$L$11,0))),1))</f>
        <v>1</v>
      </c>
      <c r="AY593" s="90" t="n">
        <f aca="false">IF(스프레드쇼크!$C$5="Y",IF(ISNUMBER(AF593),MIN(스프레드쇼크!$C$7,MAX(스프레드쇼크!$C$6,AF593/스프레드쇼크!$C$8)),1),1)</f>
        <v>1</v>
      </c>
      <c r="AZ593" s="94" t="n">
        <f aca="false">AN593*AX593*AY593</f>
        <v>0</v>
      </c>
      <c r="BA593" s="90" t="n">
        <f aca="false">IF(ISNUMBER(G593),AA593*G593,0)</f>
        <v>0</v>
      </c>
      <c r="BB593" s="90" t="n">
        <f aca="false">IF(ISNUMBER(G593),AA593,0)</f>
        <v>0</v>
      </c>
      <c r="BC593" s="90" t="n">
        <f aca="false">IF(AND(Y593=0,ISNUMBER(AF593)),AA593*AF593,0)</f>
        <v>0</v>
      </c>
      <c r="BD593" s="90" t="n">
        <f aca="false">IF(AND(Y593=0,ISNUMBER(AF593)),AA593,0)</f>
        <v>0</v>
      </c>
      <c r="BE593" s="90" t="n">
        <f aca="false">IF(ISNUMBER(H593),AA593*H593,0)</f>
        <v>0</v>
      </c>
      <c r="BF593" s="90" t="n">
        <f aca="false">IF(ISNUMBER(H593),AA593,0)</f>
        <v>0</v>
      </c>
      <c r="BG593" s="90" t="n">
        <f aca="false">IF(AND(Y593=0,ISNUMBER(AF593),ISNUMBER(Z593)),AA593*Z593,0)</f>
        <v>0</v>
      </c>
      <c r="BH593" s="90" t="n">
        <f aca="false">IF(AND(Y593=0,ISNUMBER(AF593),ISNUMBER(Z593)),AA593*AT593*MAX(Z593-1,0),0)</f>
        <v>0</v>
      </c>
      <c r="BI593" s="90" t="n">
        <f aca="false">IF(Y593=0,AA593,0)</f>
        <v>0</v>
      </c>
    </row>
    <row r="594" customFormat="false" ht="15" hidden="false" customHeight="false" outlineLevel="0" collapsed="false">
      <c r="A594" s="83" t="str">
        <f aca="false">IFERROR(IF(INDEX(원자료_잔고!$A$1:$EZ$1500,설정!$L$5+ROW()-1,설정!$L$8)&amp;""="0","",INDEX(원자료_잔고!$A$1:$EZ$1500,설정!$L$5+ROW()-1,설정!$L$8)&amp;""),"")</f>
        <v/>
      </c>
      <c r="B594" s="83" t="str">
        <f aca="false">IFERROR(IF(INDEX(원자료_잔고!$A$1:$EZ$1500,설정!$L$5+ROW()-1,설정!$L$7)&amp;""="0","",INDEX(원자료_잔고!$A$1:$EZ$1500,설정!$L$5+ROW()-1,설정!$L$7)&amp;""),"")</f>
        <v/>
      </c>
      <c r="C594" s="83" t="str">
        <f aca="false">IFERROR(IF(INDEX(원자료_잔고!$A$1:$EZ$1500,설정!$L$5+ROW()-1,설정!$L$9)&amp;""="0","",INDEX(원자료_잔고!$A$1:$EZ$1500,설정!$L$5+ROW()-1,설정!$L$9)&amp;""),"")</f>
        <v/>
      </c>
      <c r="D594" s="83" t="str">
        <f aca="false">IFERROR(IF(INDEX(원자료_잔고!$A$1:$EZ$1500,설정!$L$5+ROW()-1,설정!$L$10)&amp;""="0","",INDEX(원자료_잔고!$A$1:$EZ$1500,설정!$L$5+ROW()-1,설정!$L$10)&amp;""),"")</f>
        <v/>
      </c>
      <c r="E594" s="84" t="str">
        <f aca="false">IFERROR(IF(ISNUMBER(INDEX(원자료_잔고!$A$1:$EZ$1500,설정!$L$5+ROW()-1,설정!$L$11)),INDEX(원자료_잔고!$A$1:$EZ$1500,설정!$L$5+ROW()-1,설정!$L$11),""),"")</f>
        <v/>
      </c>
      <c r="F594" s="85" t="str">
        <f aca="false">IFERROR(IF(ISNUMBER(INDEX(원자료_잔고!$A$1:$EZ$1500,설정!$L$5+ROW()-1,설정!$L$12)),INDEX(원자료_잔고!$A$1:$EZ$1500,설정!$L$5+ROW()-1,설정!$L$12),""),"")</f>
        <v/>
      </c>
      <c r="G594" s="85" t="str">
        <f aca="false">IFERROR(IF(ISNUMBER(INDEX(원자료_잔고!$A$1:$EZ$1500,설정!$L$5+ROW()-1,설정!$L$13)),INDEX(원자료_잔고!$A$1:$EZ$1500,설정!$L$5+ROW()-1,설정!$L$13),""),"")</f>
        <v/>
      </c>
      <c r="H594" s="85" t="str">
        <f aca="false">IFERROR(IF(ISNUMBER(INDEX(원자료_잔고!$A$1:$EZ$1500,설정!$L$5+ROW()-1,설정!$L$14)),INDEX(원자료_잔고!$A$1:$EZ$1500,설정!$L$5+ROW()-1,설정!$L$14),""),"")</f>
        <v/>
      </c>
      <c r="I594" s="86" t="str">
        <f aca="false">IFERROR(IF(ISNUMBER(INDEX(원자료_잔고!$A$1:$EZ$1500,설정!$L$5+ROW()-1,설정!$L$15)),INDEX(원자료_잔고!$A$1:$EZ$1500,설정!$L$5+ROW()-1,설정!$L$15),""),"")</f>
        <v/>
      </c>
      <c r="J594" s="85" t="str">
        <f aca="false">IFERROR(IF(ISNUMBER(INDEX(원자료_잔고!$A$1:$EZ$1500,설정!$L$5+ROW()-1,설정!$L$16)),INDEX(원자료_잔고!$A$1:$EZ$1500,설정!$L$5+ROW()-1,설정!$L$16),""),"")</f>
        <v/>
      </c>
      <c r="K594" s="87" t="str">
        <f aca="false">IFERROR(IF(ISNUMBER(INDEX(원자료_잔고!$A$1:$EZ$1500,설정!$L$5+ROW()-1,설정!$L$17)),INDEX(원자료_잔고!$A$1:$EZ$1500,설정!$L$5+ROW()-1,설정!$L$17),""),"")</f>
        <v/>
      </c>
      <c r="L594" s="84" t="str">
        <f aca="false">IFERROR(IF(ISNUMBER(INDEX(원자료_잔고!$A$1:$EZ$1500,설정!$L$5+ROW()-1,설정!$L$18)),INDEX(원자료_잔고!$A$1:$EZ$1500,설정!$L$5+ROW()-1,설정!$L$18),""),"")</f>
        <v/>
      </c>
      <c r="M594" s="88" t="str">
        <f aca="false">IFERROR(IF(ISNUMBER(INDEX(원자료_잔고!$A$1:$EZ$1500,설정!$L$5+ROW()-1,설정!$L$19)),INDEX(원자료_잔고!$A$1:$EZ$1500,설정!$L$5+ROW()-1,설정!$L$19),""),"")</f>
        <v/>
      </c>
      <c r="N594" s="83" t="str">
        <f aca="false">IFERROR(IF(INDEX(원자료_잔고!$A$1:$EZ$1500,설정!$L$5+ROW()-1,설정!$L$21)&amp;""="0","",INDEX(원자료_잔고!$A$1:$EZ$1500,설정!$L$5+ROW()-1,설정!$L$21)&amp;""),"")</f>
        <v/>
      </c>
      <c r="O594" s="83" t="str">
        <f aca="false">IFERROR(IF(INDEX(원자료_잔고!$A$1:$EZ$1500,설정!$L$5+ROW()-1,설정!$L$22)&amp;""="0","",INDEX(원자료_잔고!$A$1:$EZ$1500,설정!$L$5+ROW()-1,설정!$L$22)&amp;""),"")</f>
        <v/>
      </c>
      <c r="P594" s="83" t="str">
        <f aca="false">IFERROR(IF(INDEX(원자료_잔고!$A$1:$EZ$1500,설정!$L$5+ROW()-1,설정!$L$23)&amp;""="0","",INDEX(원자료_잔고!$A$1:$EZ$1500,설정!$L$5+ROW()-1,설정!$L$23)&amp;""),"")</f>
        <v/>
      </c>
      <c r="Q594" s="89" t="n">
        <f aca="false">IF(AND($A594&lt;&gt;"",ISNUMBER(E594)),IF(E594&gt;0,1,0),0)</f>
        <v>0</v>
      </c>
      <c r="R594" s="43" t="str">
        <f aca="false">IF(Q594=1,UPPER(LEFT($A594,FIND(" ",$A594&amp;" ")-1)),"")</f>
        <v/>
      </c>
      <c r="S594" s="89" t="n">
        <f aca="false">IF(Q594=1,IF(OR(ISNUMBER(SEARCH("Float",$A594)),ISNUMBER(SEARCH("FRN",$A594))),1,0),0)</f>
        <v>0</v>
      </c>
      <c r="T594" s="43" t="str">
        <f aca="false">IF(AND(Q594=1,ISNUMBER(I594)),TEXT(I594,"yyyymmdd")&amp;"|"&amp;IF(S594=1,"F",TEXT(J594,"0.000")),"")</f>
        <v/>
      </c>
      <c r="U594" s="90" t="str">
        <f aca="false">IF(AND(Q594=1,ISNUMBER(I594)),(I594-설정!$C$4)/365.25,"")</f>
        <v/>
      </c>
      <c r="V594" s="43" t="str">
        <f aca="false">IF(Q594&lt;&gt;1,"",IF(ISNUMBER(U594),IF(U594&lt;=1,"1년 이하",IF(U594&lt;=2,"1-2년",IF(U594&lt;=3,"2-3년",IF(U594&lt;=4,"3-4년",IF(U594&lt;=5,"4-5년",IF(U594&lt;=7,"5-7년",IF(U594&lt;=10,"7-10년",IF(U594&lt;=20,"10-20년","20년 이상")))))))),"미분류"))</f>
        <v/>
      </c>
      <c r="W594" s="43" t="str">
        <f aca="false">IF(Q594&lt;&gt;1,"",IF(AB594&lt;&gt;"",INDEX(시장분석!$C:$C,AB594),IF(K594=1,"USD","비USD")))</f>
        <v/>
      </c>
      <c r="X594" s="91" t="n">
        <f aca="false">IF(Q594=1,E594*K594/1000000,0)</f>
        <v>0</v>
      </c>
      <c r="Y594" s="89" t="n">
        <f aca="false">IF(R594="T",1,0)</f>
        <v>0</v>
      </c>
      <c r="Z594" s="92" t="str">
        <f aca="false">IF(Q594&lt;&gt;1,"",IF(AD594=1,IF(ISNUMBER(U594),MAX(U594,0),H594),H594))</f>
        <v/>
      </c>
      <c r="AA594" s="91" t="n">
        <f aca="false">IF(Q594=1,IF(ISNUMBER(L594),L594,0)*K594/1000000,0)</f>
        <v>0</v>
      </c>
      <c r="AB594" s="89" t="str">
        <f aca="false">IF(Q594&lt;&gt;1,"",IFERROR(MATCH(VLOOKUP(B594,매핑!$H$4:$I$15,2,0),시장분석!$A$2:$A$601,0)+1,IFERROR(MATCH(R594&amp;"|"&amp;T594,시장분석!$V$2:$V$601,0)+1,IF(COUNTIF(시장분석!$U$2:$U$601,T594)=1,MATCH(T594,시장분석!$U$2:$U$601,0)+1,""))))</f>
        <v/>
      </c>
      <c r="AC594" s="89" t="n">
        <f aca="false">IF(Q594&lt;&gt;1,0,IF(OR(설정!$C$5="전체",AND(설정!$C$5="선택펀드",IFERROR(COUNTIFS(설정!$F$16:$F$36,C594,설정!$G$16:$G$36,"Y")+COUNTIFS(설정!$F$16:$F$36,VALUE(C594),설정!$G$16:$G$36,"Y"),0)&gt;0),C594&amp;""=설정!$C$5&amp;""),1,0))</f>
        <v>0</v>
      </c>
      <c r="AD594" s="89" t="n">
        <f aca="false">IF(Q594&lt;&gt;1,0,IF(OR(S594=1,IF(AB594="",FALSE(),INDEX(시장분석!$R:$R,AB594)=1)),1,0))</f>
        <v>0</v>
      </c>
      <c r="AE594" s="43" t="str">
        <f aca="false">IF(AB594="","",INDEX(시장분석!$A:$A,AB594))</f>
        <v/>
      </c>
      <c r="AF594" s="93" t="str">
        <f aca="false">IF(AB594="","",IF(ISNUMBER(IF(AB594="","",INDEX(시장분석!$E:$E,AB594))),IF(AB594="","",INDEX(시장분석!$E:$E,AB594)),""))</f>
        <v/>
      </c>
      <c r="AG594" s="43" t="str">
        <f aca="false">IF(Q594&lt;&gt;1,"",IF(AB594&lt;&gt;"",IF(AB594="","",INDEX(시장분석!$L:$L,AB594)),IFERROR(IF(VLOOKUP(R594,매핑!$A$4:$E$92,5,0)="","미분류",VLOOKUP(R594,매핑!$A$4:$E$92,5,0)),"미분류")))</f>
        <v/>
      </c>
      <c r="AH594" s="43" t="str">
        <f aca="false">IF(Q594&lt;&gt;1,"",IF(AB594&lt;&gt;"",IF(AB594="","",INDEX(시장분석!$N:$N,AB594)),IFERROR(IF(VLOOKUP(R594,매핑!$A$4:$E$92,4,0)="","미분류",VLOOKUP(R594,매핑!$A$4:$E$92,4,0)),"미분류")))</f>
        <v/>
      </c>
      <c r="AI594" s="43" t="str">
        <f aca="false">IF(Q594&lt;&gt;1,"",IFERROR(IF(VLOOKUP(R594,매핑!$A$4:$E$92,3,0)="","미분류",VLOOKUP(R594,매핑!$A$4:$E$92,3,0)),IF(AB594&lt;&gt;"",IF(AB594="","",INDEX(시장분석!$W:$W,AB594)),"미분류")))</f>
        <v/>
      </c>
      <c r="AJ594" s="43" t="str">
        <f aca="false">IF(Q594&lt;&gt;1,"",IFERROR(VLOOKUP(IF(N594&lt;&gt;"",N594,IF(P594&lt;&gt;"",P594,O594)),설정!$A$15:$D$47,2,0),""))</f>
        <v/>
      </c>
      <c r="AK594" s="43" t="str">
        <f aca="false">IF(Q594&lt;&gt;1,"",IF(AJ594="","무등급",IFERROR(VLOOKUP(AJ594,설정!$A$15:$D$47,3,0),"무등급")))</f>
        <v/>
      </c>
      <c r="AL594" s="89" t="n">
        <f aca="false">IF(AJ594="",99,IFERROR(VLOOKUP(AJ594,설정!$A$15:$D$47,4,0),99))</f>
        <v>99</v>
      </c>
      <c r="AM594" s="94" t="n">
        <f aca="false">IF(ISNUMBER(H594),AA594*1000000*H594/10000,0)</f>
        <v>0</v>
      </c>
      <c r="AN594" s="94" t="n">
        <f aca="false">IF(OR(Y594=1,NOT(ISNUMBER(Z594))),0,AA594*1000000*Z594/10000)</f>
        <v>0</v>
      </c>
      <c r="AO594" s="94" t="n">
        <f aca="false">IF(ISNUMBER(G594),AA594*1000000*G594/100,0)</f>
        <v>0</v>
      </c>
      <c r="AP594" s="94" t="n">
        <f aca="false">IF(ISNUMBER(M594),M594*K594,0)</f>
        <v>0</v>
      </c>
      <c r="AQ594" s="95" t="str">
        <f aca="false">IF(AB594="","",INDEX(시장분석!$AK:$AK,AB594))</f>
        <v/>
      </c>
      <c r="AR594" s="43" t="str">
        <f aca="false">IF(AB594="","-",IF(AB594="","",INDEX(시장분석!$AL:$AL,AB594)))</f>
        <v>-</v>
      </c>
      <c r="AS594" s="96" t="str">
        <f aca="false">IF(AB594="","",INDEX(시장분석!$AJ:$AJ,AB594))</f>
        <v/>
      </c>
      <c r="AT594" s="93" t="n">
        <f aca="false">IF(AB594="",0,IF(AB594="","",INDEX(시장분석!$AN:$AN,AB594)))</f>
        <v>0</v>
      </c>
      <c r="AU594" s="94" t="n">
        <f aca="false">IF(ISNUMBER(Z594),AT594/10000*MAX(Z594-1,0)*AA594*1000000,0)</f>
        <v>0</v>
      </c>
      <c r="AV594" s="94" t="n">
        <f aca="false">AO594+AU594</f>
        <v>0</v>
      </c>
      <c r="AW594" s="43" t="str">
        <f aca="false">IF(Q594&lt;&gt;1,"",TRIM(IF(AD594=1,"FRN ","")&amp;IF(AND(AL594&gt;=10,AL594&lt;99),"BBB0미만 ","")&amp;IF(AJ594="","등급없음 ","")&amp;IF(K594&lt;&gt;1,"비USD ","")&amp;IF(AND(AB594="",Y594=0),"시장데이터없음 ","")&amp;IF(AND(ISNUMBER(U594),U594&lt;0),"만기경과 ","")))</f>
        <v/>
      </c>
      <c r="AX594" s="90" t="n">
        <f aca="false">IF(Q594&lt;&gt;1,1,IF(스프레드쇼크!$C$4="Y",INDEX(스프레드쇼크!$B$12:$L$16,IFERROR(MATCH(AH594,스프레드쇼크!$A$12:$A$16,0),MATCH("목록외",스프레드쇼크!$A$12:$A$16,0)),IFERROR(MATCH(AG594,스프레드쇼크!$B$11:$L$11,0),MATCH("목록외",스프레드쇼크!$B$11:$L$11,0))),1))</f>
        <v>1</v>
      </c>
      <c r="AY594" s="90" t="n">
        <f aca="false">IF(스프레드쇼크!$C$5="Y",IF(ISNUMBER(AF594),MIN(스프레드쇼크!$C$7,MAX(스프레드쇼크!$C$6,AF594/스프레드쇼크!$C$8)),1),1)</f>
        <v>1</v>
      </c>
      <c r="AZ594" s="94" t="n">
        <f aca="false">AN594*AX594*AY594</f>
        <v>0</v>
      </c>
      <c r="BA594" s="90" t="n">
        <f aca="false">IF(ISNUMBER(G594),AA594*G594,0)</f>
        <v>0</v>
      </c>
      <c r="BB594" s="90" t="n">
        <f aca="false">IF(ISNUMBER(G594),AA594,0)</f>
        <v>0</v>
      </c>
      <c r="BC594" s="90" t="n">
        <f aca="false">IF(AND(Y594=0,ISNUMBER(AF594)),AA594*AF594,0)</f>
        <v>0</v>
      </c>
      <c r="BD594" s="90" t="n">
        <f aca="false">IF(AND(Y594=0,ISNUMBER(AF594)),AA594,0)</f>
        <v>0</v>
      </c>
      <c r="BE594" s="90" t="n">
        <f aca="false">IF(ISNUMBER(H594),AA594*H594,0)</f>
        <v>0</v>
      </c>
      <c r="BF594" s="90" t="n">
        <f aca="false">IF(ISNUMBER(H594),AA594,0)</f>
        <v>0</v>
      </c>
      <c r="BG594" s="90" t="n">
        <f aca="false">IF(AND(Y594=0,ISNUMBER(AF594),ISNUMBER(Z594)),AA594*Z594,0)</f>
        <v>0</v>
      </c>
      <c r="BH594" s="90" t="n">
        <f aca="false">IF(AND(Y594=0,ISNUMBER(AF594),ISNUMBER(Z594)),AA594*AT594*MAX(Z594-1,0),0)</f>
        <v>0</v>
      </c>
      <c r="BI594" s="90" t="n">
        <f aca="false">IF(Y594=0,AA594,0)</f>
        <v>0</v>
      </c>
    </row>
    <row r="595" customFormat="false" ht="15" hidden="false" customHeight="false" outlineLevel="0" collapsed="false">
      <c r="A595" s="83" t="str">
        <f aca="false">IFERROR(IF(INDEX(원자료_잔고!$A$1:$EZ$1500,설정!$L$5+ROW()-1,설정!$L$8)&amp;""="0","",INDEX(원자료_잔고!$A$1:$EZ$1500,설정!$L$5+ROW()-1,설정!$L$8)&amp;""),"")</f>
        <v/>
      </c>
      <c r="B595" s="83" t="str">
        <f aca="false">IFERROR(IF(INDEX(원자료_잔고!$A$1:$EZ$1500,설정!$L$5+ROW()-1,설정!$L$7)&amp;""="0","",INDEX(원자료_잔고!$A$1:$EZ$1500,설정!$L$5+ROW()-1,설정!$L$7)&amp;""),"")</f>
        <v/>
      </c>
      <c r="C595" s="83" t="str">
        <f aca="false">IFERROR(IF(INDEX(원자료_잔고!$A$1:$EZ$1500,설정!$L$5+ROW()-1,설정!$L$9)&amp;""="0","",INDEX(원자료_잔고!$A$1:$EZ$1500,설정!$L$5+ROW()-1,설정!$L$9)&amp;""),"")</f>
        <v/>
      </c>
      <c r="D595" s="83" t="str">
        <f aca="false">IFERROR(IF(INDEX(원자료_잔고!$A$1:$EZ$1500,설정!$L$5+ROW()-1,설정!$L$10)&amp;""="0","",INDEX(원자료_잔고!$A$1:$EZ$1500,설정!$L$5+ROW()-1,설정!$L$10)&amp;""),"")</f>
        <v/>
      </c>
      <c r="E595" s="84" t="str">
        <f aca="false">IFERROR(IF(ISNUMBER(INDEX(원자료_잔고!$A$1:$EZ$1500,설정!$L$5+ROW()-1,설정!$L$11)),INDEX(원자료_잔고!$A$1:$EZ$1500,설정!$L$5+ROW()-1,설정!$L$11),""),"")</f>
        <v/>
      </c>
      <c r="F595" s="85" t="str">
        <f aca="false">IFERROR(IF(ISNUMBER(INDEX(원자료_잔고!$A$1:$EZ$1500,설정!$L$5+ROW()-1,설정!$L$12)),INDEX(원자료_잔고!$A$1:$EZ$1500,설정!$L$5+ROW()-1,설정!$L$12),""),"")</f>
        <v/>
      </c>
      <c r="G595" s="85" t="str">
        <f aca="false">IFERROR(IF(ISNUMBER(INDEX(원자료_잔고!$A$1:$EZ$1500,설정!$L$5+ROW()-1,설정!$L$13)),INDEX(원자료_잔고!$A$1:$EZ$1500,설정!$L$5+ROW()-1,설정!$L$13),""),"")</f>
        <v/>
      </c>
      <c r="H595" s="85" t="str">
        <f aca="false">IFERROR(IF(ISNUMBER(INDEX(원자료_잔고!$A$1:$EZ$1500,설정!$L$5+ROW()-1,설정!$L$14)),INDEX(원자료_잔고!$A$1:$EZ$1500,설정!$L$5+ROW()-1,설정!$L$14),""),"")</f>
        <v/>
      </c>
      <c r="I595" s="86" t="str">
        <f aca="false">IFERROR(IF(ISNUMBER(INDEX(원자료_잔고!$A$1:$EZ$1500,설정!$L$5+ROW()-1,설정!$L$15)),INDEX(원자료_잔고!$A$1:$EZ$1500,설정!$L$5+ROW()-1,설정!$L$15),""),"")</f>
        <v/>
      </c>
      <c r="J595" s="85" t="str">
        <f aca="false">IFERROR(IF(ISNUMBER(INDEX(원자료_잔고!$A$1:$EZ$1500,설정!$L$5+ROW()-1,설정!$L$16)),INDEX(원자료_잔고!$A$1:$EZ$1500,설정!$L$5+ROW()-1,설정!$L$16),""),"")</f>
        <v/>
      </c>
      <c r="K595" s="87" t="str">
        <f aca="false">IFERROR(IF(ISNUMBER(INDEX(원자료_잔고!$A$1:$EZ$1500,설정!$L$5+ROW()-1,설정!$L$17)),INDEX(원자료_잔고!$A$1:$EZ$1500,설정!$L$5+ROW()-1,설정!$L$17),""),"")</f>
        <v/>
      </c>
      <c r="L595" s="84" t="str">
        <f aca="false">IFERROR(IF(ISNUMBER(INDEX(원자료_잔고!$A$1:$EZ$1500,설정!$L$5+ROW()-1,설정!$L$18)),INDEX(원자료_잔고!$A$1:$EZ$1500,설정!$L$5+ROW()-1,설정!$L$18),""),"")</f>
        <v/>
      </c>
      <c r="M595" s="88" t="str">
        <f aca="false">IFERROR(IF(ISNUMBER(INDEX(원자료_잔고!$A$1:$EZ$1500,설정!$L$5+ROW()-1,설정!$L$19)),INDEX(원자료_잔고!$A$1:$EZ$1500,설정!$L$5+ROW()-1,설정!$L$19),""),"")</f>
        <v/>
      </c>
      <c r="N595" s="83" t="str">
        <f aca="false">IFERROR(IF(INDEX(원자료_잔고!$A$1:$EZ$1500,설정!$L$5+ROW()-1,설정!$L$21)&amp;""="0","",INDEX(원자료_잔고!$A$1:$EZ$1500,설정!$L$5+ROW()-1,설정!$L$21)&amp;""),"")</f>
        <v/>
      </c>
      <c r="O595" s="83" t="str">
        <f aca="false">IFERROR(IF(INDEX(원자료_잔고!$A$1:$EZ$1500,설정!$L$5+ROW()-1,설정!$L$22)&amp;""="0","",INDEX(원자료_잔고!$A$1:$EZ$1500,설정!$L$5+ROW()-1,설정!$L$22)&amp;""),"")</f>
        <v/>
      </c>
      <c r="P595" s="83" t="str">
        <f aca="false">IFERROR(IF(INDEX(원자료_잔고!$A$1:$EZ$1500,설정!$L$5+ROW()-1,설정!$L$23)&amp;""="0","",INDEX(원자료_잔고!$A$1:$EZ$1500,설정!$L$5+ROW()-1,설정!$L$23)&amp;""),"")</f>
        <v/>
      </c>
      <c r="Q595" s="89" t="n">
        <f aca="false">IF(AND($A595&lt;&gt;"",ISNUMBER(E595)),IF(E595&gt;0,1,0),0)</f>
        <v>0</v>
      </c>
      <c r="R595" s="43" t="str">
        <f aca="false">IF(Q595=1,UPPER(LEFT($A595,FIND(" ",$A595&amp;" ")-1)),"")</f>
        <v/>
      </c>
      <c r="S595" s="89" t="n">
        <f aca="false">IF(Q595=1,IF(OR(ISNUMBER(SEARCH("Float",$A595)),ISNUMBER(SEARCH("FRN",$A595))),1,0),0)</f>
        <v>0</v>
      </c>
      <c r="T595" s="43" t="str">
        <f aca="false">IF(AND(Q595=1,ISNUMBER(I595)),TEXT(I595,"yyyymmdd")&amp;"|"&amp;IF(S595=1,"F",TEXT(J595,"0.000")),"")</f>
        <v/>
      </c>
      <c r="U595" s="90" t="str">
        <f aca="false">IF(AND(Q595=1,ISNUMBER(I595)),(I595-설정!$C$4)/365.25,"")</f>
        <v/>
      </c>
      <c r="V595" s="43" t="str">
        <f aca="false">IF(Q595&lt;&gt;1,"",IF(ISNUMBER(U595),IF(U595&lt;=1,"1년 이하",IF(U595&lt;=2,"1-2년",IF(U595&lt;=3,"2-3년",IF(U595&lt;=4,"3-4년",IF(U595&lt;=5,"4-5년",IF(U595&lt;=7,"5-7년",IF(U595&lt;=10,"7-10년",IF(U595&lt;=20,"10-20년","20년 이상")))))))),"미분류"))</f>
        <v/>
      </c>
      <c r="W595" s="43" t="str">
        <f aca="false">IF(Q595&lt;&gt;1,"",IF(AB595&lt;&gt;"",INDEX(시장분석!$C:$C,AB595),IF(K595=1,"USD","비USD")))</f>
        <v/>
      </c>
      <c r="X595" s="91" t="n">
        <f aca="false">IF(Q595=1,E595*K595/1000000,0)</f>
        <v>0</v>
      </c>
      <c r="Y595" s="89" t="n">
        <f aca="false">IF(R595="T",1,0)</f>
        <v>0</v>
      </c>
      <c r="Z595" s="92" t="str">
        <f aca="false">IF(Q595&lt;&gt;1,"",IF(AD595=1,IF(ISNUMBER(U595),MAX(U595,0),H595),H595))</f>
        <v/>
      </c>
      <c r="AA595" s="91" t="n">
        <f aca="false">IF(Q595=1,IF(ISNUMBER(L595),L595,0)*K595/1000000,0)</f>
        <v>0</v>
      </c>
      <c r="AB595" s="89" t="str">
        <f aca="false">IF(Q595&lt;&gt;1,"",IFERROR(MATCH(VLOOKUP(B595,매핑!$H$4:$I$15,2,0),시장분석!$A$2:$A$601,0)+1,IFERROR(MATCH(R595&amp;"|"&amp;T595,시장분석!$V$2:$V$601,0)+1,IF(COUNTIF(시장분석!$U$2:$U$601,T595)=1,MATCH(T595,시장분석!$U$2:$U$601,0)+1,""))))</f>
        <v/>
      </c>
      <c r="AC595" s="89" t="n">
        <f aca="false">IF(Q595&lt;&gt;1,0,IF(OR(설정!$C$5="전체",AND(설정!$C$5="선택펀드",IFERROR(COUNTIFS(설정!$F$16:$F$36,C595,설정!$G$16:$G$36,"Y")+COUNTIFS(설정!$F$16:$F$36,VALUE(C595),설정!$G$16:$G$36,"Y"),0)&gt;0),C595&amp;""=설정!$C$5&amp;""),1,0))</f>
        <v>0</v>
      </c>
      <c r="AD595" s="89" t="n">
        <f aca="false">IF(Q595&lt;&gt;1,0,IF(OR(S595=1,IF(AB595="",FALSE(),INDEX(시장분석!$R:$R,AB595)=1)),1,0))</f>
        <v>0</v>
      </c>
      <c r="AE595" s="43" t="str">
        <f aca="false">IF(AB595="","",INDEX(시장분석!$A:$A,AB595))</f>
        <v/>
      </c>
      <c r="AF595" s="93" t="str">
        <f aca="false">IF(AB595="","",IF(ISNUMBER(IF(AB595="","",INDEX(시장분석!$E:$E,AB595))),IF(AB595="","",INDEX(시장분석!$E:$E,AB595)),""))</f>
        <v/>
      </c>
      <c r="AG595" s="43" t="str">
        <f aca="false">IF(Q595&lt;&gt;1,"",IF(AB595&lt;&gt;"",IF(AB595="","",INDEX(시장분석!$L:$L,AB595)),IFERROR(IF(VLOOKUP(R595,매핑!$A$4:$E$92,5,0)="","미분류",VLOOKUP(R595,매핑!$A$4:$E$92,5,0)),"미분류")))</f>
        <v/>
      </c>
      <c r="AH595" s="43" t="str">
        <f aca="false">IF(Q595&lt;&gt;1,"",IF(AB595&lt;&gt;"",IF(AB595="","",INDEX(시장분석!$N:$N,AB595)),IFERROR(IF(VLOOKUP(R595,매핑!$A$4:$E$92,4,0)="","미분류",VLOOKUP(R595,매핑!$A$4:$E$92,4,0)),"미분류")))</f>
        <v/>
      </c>
      <c r="AI595" s="43" t="str">
        <f aca="false">IF(Q595&lt;&gt;1,"",IFERROR(IF(VLOOKUP(R595,매핑!$A$4:$E$92,3,0)="","미분류",VLOOKUP(R595,매핑!$A$4:$E$92,3,0)),IF(AB595&lt;&gt;"",IF(AB595="","",INDEX(시장분석!$W:$W,AB595)),"미분류")))</f>
        <v/>
      </c>
      <c r="AJ595" s="43" t="str">
        <f aca="false">IF(Q595&lt;&gt;1,"",IFERROR(VLOOKUP(IF(N595&lt;&gt;"",N595,IF(P595&lt;&gt;"",P595,O595)),설정!$A$15:$D$47,2,0),""))</f>
        <v/>
      </c>
      <c r="AK595" s="43" t="str">
        <f aca="false">IF(Q595&lt;&gt;1,"",IF(AJ595="","무등급",IFERROR(VLOOKUP(AJ595,설정!$A$15:$D$47,3,0),"무등급")))</f>
        <v/>
      </c>
      <c r="AL595" s="89" t="n">
        <f aca="false">IF(AJ595="",99,IFERROR(VLOOKUP(AJ595,설정!$A$15:$D$47,4,0),99))</f>
        <v>99</v>
      </c>
      <c r="AM595" s="94" t="n">
        <f aca="false">IF(ISNUMBER(H595),AA595*1000000*H595/10000,0)</f>
        <v>0</v>
      </c>
      <c r="AN595" s="94" t="n">
        <f aca="false">IF(OR(Y595=1,NOT(ISNUMBER(Z595))),0,AA595*1000000*Z595/10000)</f>
        <v>0</v>
      </c>
      <c r="AO595" s="94" t="n">
        <f aca="false">IF(ISNUMBER(G595),AA595*1000000*G595/100,0)</f>
        <v>0</v>
      </c>
      <c r="AP595" s="94" t="n">
        <f aca="false">IF(ISNUMBER(M595),M595*K595,0)</f>
        <v>0</v>
      </c>
      <c r="AQ595" s="95" t="str">
        <f aca="false">IF(AB595="","",INDEX(시장분석!$AK:$AK,AB595))</f>
        <v/>
      </c>
      <c r="AR595" s="43" t="str">
        <f aca="false">IF(AB595="","-",IF(AB595="","",INDEX(시장분석!$AL:$AL,AB595)))</f>
        <v>-</v>
      </c>
      <c r="AS595" s="96" t="str">
        <f aca="false">IF(AB595="","",INDEX(시장분석!$AJ:$AJ,AB595))</f>
        <v/>
      </c>
      <c r="AT595" s="93" t="n">
        <f aca="false">IF(AB595="",0,IF(AB595="","",INDEX(시장분석!$AN:$AN,AB595)))</f>
        <v>0</v>
      </c>
      <c r="AU595" s="94" t="n">
        <f aca="false">IF(ISNUMBER(Z595),AT595/10000*MAX(Z595-1,0)*AA595*1000000,0)</f>
        <v>0</v>
      </c>
      <c r="AV595" s="94" t="n">
        <f aca="false">AO595+AU595</f>
        <v>0</v>
      </c>
      <c r="AW595" s="43" t="str">
        <f aca="false">IF(Q595&lt;&gt;1,"",TRIM(IF(AD595=1,"FRN ","")&amp;IF(AND(AL595&gt;=10,AL595&lt;99),"BBB0미만 ","")&amp;IF(AJ595="","등급없음 ","")&amp;IF(K595&lt;&gt;1,"비USD ","")&amp;IF(AND(AB595="",Y595=0),"시장데이터없음 ","")&amp;IF(AND(ISNUMBER(U595),U595&lt;0),"만기경과 ","")))</f>
        <v/>
      </c>
      <c r="AX595" s="90" t="n">
        <f aca="false">IF(Q595&lt;&gt;1,1,IF(스프레드쇼크!$C$4="Y",INDEX(스프레드쇼크!$B$12:$L$16,IFERROR(MATCH(AH595,스프레드쇼크!$A$12:$A$16,0),MATCH("목록외",스프레드쇼크!$A$12:$A$16,0)),IFERROR(MATCH(AG595,스프레드쇼크!$B$11:$L$11,0),MATCH("목록외",스프레드쇼크!$B$11:$L$11,0))),1))</f>
        <v>1</v>
      </c>
      <c r="AY595" s="90" t="n">
        <f aca="false">IF(스프레드쇼크!$C$5="Y",IF(ISNUMBER(AF595),MIN(스프레드쇼크!$C$7,MAX(스프레드쇼크!$C$6,AF595/스프레드쇼크!$C$8)),1),1)</f>
        <v>1</v>
      </c>
      <c r="AZ595" s="94" t="n">
        <f aca="false">AN595*AX595*AY595</f>
        <v>0</v>
      </c>
      <c r="BA595" s="90" t="n">
        <f aca="false">IF(ISNUMBER(G595),AA595*G595,0)</f>
        <v>0</v>
      </c>
      <c r="BB595" s="90" t="n">
        <f aca="false">IF(ISNUMBER(G595),AA595,0)</f>
        <v>0</v>
      </c>
      <c r="BC595" s="90" t="n">
        <f aca="false">IF(AND(Y595=0,ISNUMBER(AF595)),AA595*AF595,0)</f>
        <v>0</v>
      </c>
      <c r="BD595" s="90" t="n">
        <f aca="false">IF(AND(Y595=0,ISNUMBER(AF595)),AA595,0)</f>
        <v>0</v>
      </c>
      <c r="BE595" s="90" t="n">
        <f aca="false">IF(ISNUMBER(H595),AA595*H595,0)</f>
        <v>0</v>
      </c>
      <c r="BF595" s="90" t="n">
        <f aca="false">IF(ISNUMBER(H595),AA595,0)</f>
        <v>0</v>
      </c>
      <c r="BG595" s="90" t="n">
        <f aca="false">IF(AND(Y595=0,ISNUMBER(AF595),ISNUMBER(Z595)),AA595*Z595,0)</f>
        <v>0</v>
      </c>
      <c r="BH595" s="90" t="n">
        <f aca="false">IF(AND(Y595=0,ISNUMBER(AF595),ISNUMBER(Z595)),AA595*AT595*MAX(Z595-1,0),0)</f>
        <v>0</v>
      </c>
      <c r="BI595" s="90" t="n">
        <f aca="false">IF(Y595=0,AA595,0)</f>
        <v>0</v>
      </c>
    </row>
    <row r="596" customFormat="false" ht="15" hidden="false" customHeight="false" outlineLevel="0" collapsed="false">
      <c r="A596" s="83" t="str">
        <f aca="false">IFERROR(IF(INDEX(원자료_잔고!$A$1:$EZ$1500,설정!$L$5+ROW()-1,설정!$L$8)&amp;""="0","",INDEX(원자료_잔고!$A$1:$EZ$1500,설정!$L$5+ROW()-1,설정!$L$8)&amp;""),"")</f>
        <v/>
      </c>
      <c r="B596" s="83" t="str">
        <f aca="false">IFERROR(IF(INDEX(원자료_잔고!$A$1:$EZ$1500,설정!$L$5+ROW()-1,설정!$L$7)&amp;""="0","",INDEX(원자료_잔고!$A$1:$EZ$1500,설정!$L$5+ROW()-1,설정!$L$7)&amp;""),"")</f>
        <v/>
      </c>
      <c r="C596" s="83" t="str">
        <f aca="false">IFERROR(IF(INDEX(원자료_잔고!$A$1:$EZ$1500,설정!$L$5+ROW()-1,설정!$L$9)&amp;""="0","",INDEX(원자료_잔고!$A$1:$EZ$1500,설정!$L$5+ROW()-1,설정!$L$9)&amp;""),"")</f>
        <v/>
      </c>
      <c r="D596" s="83" t="str">
        <f aca="false">IFERROR(IF(INDEX(원자료_잔고!$A$1:$EZ$1500,설정!$L$5+ROW()-1,설정!$L$10)&amp;""="0","",INDEX(원자료_잔고!$A$1:$EZ$1500,설정!$L$5+ROW()-1,설정!$L$10)&amp;""),"")</f>
        <v/>
      </c>
      <c r="E596" s="84" t="str">
        <f aca="false">IFERROR(IF(ISNUMBER(INDEX(원자료_잔고!$A$1:$EZ$1500,설정!$L$5+ROW()-1,설정!$L$11)),INDEX(원자료_잔고!$A$1:$EZ$1500,설정!$L$5+ROW()-1,설정!$L$11),""),"")</f>
        <v/>
      </c>
      <c r="F596" s="85" t="str">
        <f aca="false">IFERROR(IF(ISNUMBER(INDEX(원자료_잔고!$A$1:$EZ$1500,설정!$L$5+ROW()-1,설정!$L$12)),INDEX(원자료_잔고!$A$1:$EZ$1500,설정!$L$5+ROW()-1,설정!$L$12),""),"")</f>
        <v/>
      </c>
      <c r="G596" s="85" t="str">
        <f aca="false">IFERROR(IF(ISNUMBER(INDEX(원자료_잔고!$A$1:$EZ$1500,설정!$L$5+ROW()-1,설정!$L$13)),INDEX(원자료_잔고!$A$1:$EZ$1500,설정!$L$5+ROW()-1,설정!$L$13),""),"")</f>
        <v/>
      </c>
      <c r="H596" s="85" t="str">
        <f aca="false">IFERROR(IF(ISNUMBER(INDEX(원자료_잔고!$A$1:$EZ$1500,설정!$L$5+ROW()-1,설정!$L$14)),INDEX(원자료_잔고!$A$1:$EZ$1500,설정!$L$5+ROW()-1,설정!$L$14),""),"")</f>
        <v/>
      </c>
      <c r="I596" s="86" t="str">
        <f aca="false">IFERROR(IF(ISNUMBER(INDEX(원자료_잔고!$A$1:$EZ$1500,설정!$L$5+ROW()-1,설정!$L$15)),INDEX(원자료_잔고!$A$1:$EZ$1500,설정!$L$5+ROW()-1,설정!$L$15),""),"")</f>
        <v/>
      </c>
      <c r="J596" s="85" t="str">
        <f aca="false">IFERROR(IF(ISNUMBER(INDEX(원자료_잔고!$A$1:$EZ$1500,설정!$L$5+ROW()-1,설정!$L$16)),INDEX(원자료_잔고!$A$1:$EZ$1500,설정!$L$5+ROW()-1,설정!$L$16),""),"")</f>
        <v/>
      </c>
      <c r="K596" s="87" t="str">
        <f aca="false">IFERROR(IF(ISNUMBER(INDEX(원자료_잔고!$A$1:$EZ$1500,설정!$L$5+ROW()-1,설정!$L$17)),INDEX(원자료_잔고!$A$1:$EZ$1500,설정!$L$5+ROW()-1,설정!$L$17),""),"")</f>
        <v/>
      </c>
      <c r="L596" s="84" t="str">
        <f aca="false">IFERROR(IF(ISNUMBER(INDEX(원자료_잔고!$A$1:$EZ$1500,설정!$L$5+ROW()-1,설정!$L$18)),INDEX(원자료_잔고!$A$1:$EZ$1500,설정!$L$5+ROW()-1,설정!$L$18),""),"")</f>
        <v/>
      </c>
      <c r="M596" s="88" t="str">
        <f aca="false">IFERROR(IF(ISNUMBER(INDEX(원자료_잔고!$A$1:$EZ$1500,설정!$L$5+ROW()-1,설정!$L$19)),INDEX(원자료_잔고!$A$1:$EZ$1500,설정!$L$5+ROW()-1,설정!$L$19),""),"")</f>
        <v/>
      </c>
      <c r="N596" s="83" t="str">
        <f aca="false">IFERROR(IF(INDEX(원자료_잔고!$A$1:$EZ$1500,설정!$L$5+ROW()-1,설정!$L$21)&amp;""="0","",INDEX(원자료_잔고!$A$1:$EZ$1500,설정!$L$5+ROW()-1,설정!$L$21)&amp;""),"")</f>
        <v/>
      </c>
      <c r="O596" s="83" t="str">
        <f aca="false">IFERROR(IF(INDEX(원자료_잔고!$A$1:$EZ$1500,설정!$L$5+ROW()-1,설정!$L$22)&amp;""="0","",INDEX(원자료_잔고!$A$1:$EZ$1500,설정!$L$5+ROW()-1,설정!$L$22)&amp;""),"")</f>
        <v/>
      </c>
      <c r="P596" s="83" t="str">
        <f aca="false">IFERROR(IF(INDEX(원자료_잔고!$A$1:$EZ$1500,설정!$L$5+ROW()-1,설정!$L$23)&amp;""="0","",INDEX(원자료_잔고!$A$1:$EZ$1500,설정!$L$5+ROW()-1,설정!$L$23)&amp;""),"")</f>
        <v/>
      </c>
      <c r="Q596" s="89" t="n">
        <f aca="false">IF(AND($A596&lt;&gt;"",ISNUMBER(E596)),IF(E596&gt;0,1,0),0)</f>
        <v>0</v>
      </c>
      <c r="R596" s="43" t="str">
        <f aca="false">IF(Q596=1,UPPER(LEFT($A596,FIND(" ",$A596&amp;" ")-1)),"")</f>
        <v/>
      </c>
      <c r="S596" s="89" t="n">
        <f aca="false">IF(Q596=1,IF(OR(ISNUMBER(SEARCH("Float",$A596)),ISNUMBER(SEARCH("FRN",$A596))),1,0),0)</f>
        <v>0</v>
      </c>
      <c r="T596" s="43" t="str">
        <f aca="false">IF(AND(Q596=1,ISNUMBER(I596)),TEXT(I596,"yyyymmdd")&amp;"|"&amp;IF(S596=1,"F",TEXT(J596,"0.000")),"")</f>
        <v/>
      </c>
      <c r="U596" s="90" t="str">
        <f aca="false">IF(AND(Q596=1,ISNUMBER(I596)),(I596-설정!$C$4)/365.25,"")</f>
        <v/>
      </c>
      <c r="V596" s="43" t="str">
        <f aca="false">IF(Q596&lt;&gt;1,"",IF(ISNUMBER(U596),IF(U596&lt;=1,"1년 이하",IF(U596&lt;=2,"1-2년",IF(U596&lt;=3,"2-3년",IF(U596&lt;=4,"3-4년",IF(U596&lt;=5,"4-5년",IF(U596&lt;=7,"5-7년",IF(U596&lt;=10,"7-10년",IF(U596&lt;=20,"10-20년","20년 이상")))))))),"미분류"))</f>
        <v/>
      </c>
      <c r="W596" s="43" t="str">
        <f aca="false">IF(Q596&lt;&gt;1,"",IF(AB596&lt;&gt;"",INDEX(시장분석!$C:$C,AB596),IF(K596=1,"USD","비USD")))</f>
        <v/>
      </c>
      <c r="X596" s="91" t="n">
        <f aca="false">IF(Q596=1,E596*K596/1000000,0)</f>
        <v>0</v>
      </c>
      <c r="Y596" s="89" t="n">
        <f aca="false">IF(R596="T",1,0)</f>
        <v>0</v>
      </c>
      <c r="Z596" s="92" t="str">
        <f aca="false">IF(Q596&lt;&gt;1,"",IF(AD596=1,IF(ISNUMBER(U596),MAX(U596,0),H596),H596))</f>
        <v/>
      </c>
      <c r="AA596" s="91" t="n">
        <f aca="false">IF(Q596=1,IF(ISNUMBER(L596),L596,0)*K596/1000000,0)</f>
        <v>0</v>
      </c>
      <c r="AB596" s="89" t="str">
        <f aca="false">IF(Q596&lt;&gt;1,"",IFERROR(MATCH(VLOOKUP(B596,매핑!$H$4:$I$15,2,0),시장분석!$A$2:$A$601,0)+1,IFERROR(MATCH(R596&amp;"|"&amp;T596,시장분석!$V$2:$V$601,0)+1,IF(COUNTIF(시장분석!$U$2:$U$601,T596)=1,MATCH(T596,시장분석!$U$2:$U$601,0)+1,""))))</f>
        <v/>
      </c>
      <c r="AC596" s="89" t="n">
        <f aca="false">IF(Q596&lt;&gt;1,0,IF(OR(설정!$C$5="전체",AND(설정!$C$5="선택펀드",IFERROR(COUNTIFS(설정!$F$16:$F$36,C596,설정!$G$16:$G$36,"Y")+COUNTIFS(설정!$F$16:$F$36,VALUE(C596),설정!$G$16:$G$36,"Y"),0)&gt;0),C596&amp;""=설정!$C$5&amp;""),1,0))</f>
        <v>0</v>
      </c>
      <c r="AD596" s="89" t="n">
        <f aca="false">IF(Q596&lt;&gt;1,0,IF(OR(S596=1,IF(AB596="",FALSE(),INDEX(시장분석!$R:$R,AB596)=1)),1,0))</f>
        <v>0</v>
      </c>
      <c r="AE596" s="43" t="str">
        <f aca="false">IF(AB596="","",INDEX(시장분석!$A:$A,AB596))</f>
        <v/>
      </c>
      <c r="AF596" s="93" t="str">
        <f aca="false">IF(AB596="","",IF(ISNUMBER(IF(AB596="","",INDEX(시장분석!$E:$E,AB596))),IF(AB596="","",INDEX(시장분석!$E:$E,AB596)),""))</f>
        <v/>
      </c>
      <c r="AG596" s="43" t="str">
        <f aca="false">IF(Q596&lt;&gt;1,"",IF(AB596&lt;&gt;"",IF(AB596="","",INDEX(시장분석!$L:$L,AB596)),IFERROR(IF(VLOOKUP(R596,매핑!$A$4:$E$92,5,0)="","미분류",VLOOKUP(R596,매핑!$A$4:$E$92,5,0)),"미분류")))</f>
        <v/>
      </c>
      <c r="AH596" s="43" t="str">
        <f aca="false">IF(Q596&lt;&gt;1,"",IF(AB596&lt;&gt;"",IF(AB596="","",INDEX(시장분석!$N:$N,AB596)),IFERROR(IF(VLOOKUP(R596,매핑!$A$4:$E$92,4,0)="","미분류",VLOOKUP(R596,매핑!$A$4:$E$92,4,0)),"미분류")))</f>
        <v/>
      </c>
      <c r="AI596" s="43" t="str">
        <f aca="false">IF(Q596&lt;&gt;1,"",IFERROR(IF(VLOOKUP(R596,매핑!$A$4:$E$92,3,0)="","미분류",VLOOKUP(R596,매핑!$A$4:$E$92,3,0)),IF(AB596&lt;&gt;"",IF(AB596="","",INDEX(시장분석!$W:$W,AB596)),"미분류")))</f>
        <v/>
      </c>
      <c r="AJ596" s="43" t="str">
        <f aca="false">IF(Q596&lt;&gt;1,"",IFERROR(VLOOKUP(IF(N596&lt;&gt;"",N596,IF(P596&lt;&gt;"",P596,O596)),설정!$A$15:$D$47,2,0),""))</f>
        <v/>
      </c>
      <c r="AK596" s="43" t="str">
        <f aca="false">IF(Q596&lt;&gt;1,"",IF(AJ596="","무등급",IFERROR(VLOOKUP(AJ596,설정!$A$15:$D$47,3,0),"무등급")))</f>
        <v/>
      </c>
      <c r="AL596" s="89" t="n">
        <f aca="false">IF(AJ596="",99,IFERROR(VLOOKUP(AJ596,설정!$A$15:$D$47,4,0),99))</f>
        <v>99</v>
      </c>
      <c r="AM596" s="94" t="n">
        <f aca="false">IF(ISNUMBER(H596),AA596*1000000*H596/10000,0)</f>
        <v>0</v>
      </c>
      <c r="AN596" s="94" t="n">
        <f aca="false">IF(OR(Y596=1,NOT(ISNUMBER(Z596))),0,AA596*1000000*Z596/10000)</f>
        <v>0</v>
      </c>
      <c r="AO596" s="94" t="n">
        <f aca="false">IF(ISNUMBER(G596),AA596*1000000*G596/100,0)</f>
        <v>0</v>
      </c>
      <c r="AP596" s="94" t="n">
        <f aca="false">IF(ISNUMBER(M596),M596*K596,0)</f>
        <v>0</v>
      </c>
      <c r="AQ596" s="95" t="str">
        <f aca="false">IF(AB596="","",INDEX(시장분석!$AK:$AK,AB596))</f>
        <v/>
      </c>
      <c r="AR596" s="43" t="str">
        <f aca="false">IF(AB596="","-",IF(AB596="","",INDEX(시장분석!$AL:$AL,AB596)))</f>
        <v>-</v>
      </c>
      <c r="AS596" s="96" t="str">
        <f aca="false">IF(AB596="","",INDEX(시장분석!$AJ:$AJ,AB596))</f>
        <v/>
      </c>
      <c r="AT596" s="93" t="n">
        <f aca="false">IF(AB596="",0,IF(AB596="","",INDEX(시장분석!$AN:$AN,AB596)))</f>
        <v>0</v>
      </c>
      <c r="AU596" s="94" t="n">
        <f aca="false">IF(ISNUMBER(Z596),AT596/10000*MAX(Z596-1,0)*AA596*1000000,0)</f>
        <v>0</v>
      </c>
      <c r="AV596" s="94" t="n">
        <f aca="false">AO596+AU596</f>
        <v>0</v>
      </c>
      <c r="AW596" s="43" t="str">
        <f aca="false">IF(Q596&lt;&gt;1,"",TRIM(IF(AD596=1,"FRN ","")&amp;IF(AND(AL596&gt;=10,AL596&lt;99),"BBB0미만 ","")&amp;IF(AJ596="","등급없음 ","")&amp;IF(K596&lt;&gt;1,"비USD ","")&amp;IF(AND(AB596="",Y596=0),"시장데이터없음 ","")&amp;IF(AND(ISNUMBER(U596),U596&lt;0),"만기경과 ","")))</f>
        <v/>
      </c>
      <c r="AX596" s="90" t="n">
        <f aca="false">IF(Q596&lt;&gt;1,1,IF(스프레드쇼크!$C$4="Y",INDEX(스프레드쇼크!$B$12:$L$16,IFERROR(MATCH(AH596,스프레드쇼크!$A$12:$A$16,0),MATCH("목록외",스프레드쇼크!$A$12:$A$16,0)),IFERROR(MATCH(AG596,스프레드쇼크!$B$11:$L$11,0),MATCH("목록외",스프레드쇼크!$B$11:$L$11,0))),1))</f>
        <v>1</v>
      </c>
      <c r="AY596" s="90" t="n">
        <f aca="false">IF(스프레드쇼크!$C$5="Y",IF(ISNUMBER(AF596),MIN(스프레드쇼크!$C$7,MAX(스프레드쇼크!$C$6,AF596/스프레드쇼크!$C$8)),1),1)</f>
        <v>1</v>
      </c>
      <c r="AZ596" s="94" t="n">
        <f aca="false">AN596*AX596*AY596</f>
        <v>0</v>
      </c>
      <c r="BA596" s="90" t="n">
        <f aca="false">IF(ISNUMBER(G596),AA596*G596,0)</f>
        <v>0</v>
      </c>
      <c r="BB596" s="90" t="n">
        <f aca="false">IF(ISNUMBER(G596),AA596,0)</f>
        <v>0</v>
      </c>
      <c r="BC596" s="90" t="n">
        <f aca="false">IF(AND(Y596=0,ISNUMBER(AF596)),AA596*AF596,0)</f>
        <v>0</v>
      </c>
      <c r="BD596" s="90" t="n">
        <f aca="false">IF(AND(Y596=0,ISNUMBER(AF596)),AA596,0)</f>
        <v>0</v>
      </c>
      <c r="BE596" s="90" t="n">
        <f aca="false">IF(ISNUMBER(H596),AA596*H596,0)</f>
        <v>0</v>
      </c>
      <c r="BF596" s="90" t="n">
        <f aca="false">IF(ISNUMBER(H596),AA596,0)</f>
        <v>0</v>
      </c>
      <c r="BG596" s="90" t="n">
        <f aca="false">IF(AND(Y596=0,ISNUMBER(AF596),ISNUMBER(Z596)),AA596*Z596,0)</f>
        <v>0</v>
      </c>
      <c r="BH596" s="90" t="n">
        <f aca="false">IF(AND(Y596=0,ISNUMBER(AF596),ISNUMBER(Z596)),AA596*AT596*MAX(Z596-1,0),0)</f>
        <v>0</v>
      </c>
      <c r="BI596" s="90" t="n">
        <f aca="false">IF(Y596=0,AA596,0)</f>
        <v>0</v>
      </c>
    </row>
    <row r="597" customFormat="false" ht="15" hidden="false" customHeight="false" outlineLevel="0" collapsed="false">
      <c r="A597" s="83" t="str">
        <f aca="false">IFERROR(IF(INDEX(원자료_잔고!$A$1:$EZ$1500,설정!$L$5+ROW()-1,설정!$L$8)&amp;""="0","",INDEX(원자료_잔고!$A$1:$EZ$1500,설정!$L$5+ROW()-1,설정!$L$8)&amp;""),"")</f>
        <v/>
      </c>
      <c r="B597" s="83" t="str">
        <f aca="false">IFERROR(IF(INDEX(원자료_잔고!$A$1:$EZ$1500,설정!$L$5+ROW()-1,설정!$L$7)&amp;""="0","",INDEX(원자료_잔고!$A$1:$EZ$1500,설정!$L$5+ROW()-1,설정!$L$7)&amp;""),"")</f>
        <v/>
      </c>
      <c r="C597" s="83" t="str">
        <f aca="false">IFERROR(IF(INDEX(원자료_잔고!$A$1:$EZ$1500,설정!$L$5+ROW()-1,설정!$L$9)&amp;""="0","",INDEX(원자료_잔고!$A$1:$EZ$1500,설정!$L$5+ROW()-1,설정!$L$9)&amp;""),"")</f>
        <v/>
      </c>
      <c r="D597" s="83" t="str">
        <f aca="false">IFERROR(IF(INDEX(원자료_잔고!$A$1:$EZ$1500,설정!$L$5+ROW()-1,설정!$L$10)&amp;""="0","",INDEX(원자료_잔고!$A$1:$EZ$1500,설정!$L$5+ROW()-1,설정!$L$10)&amp;""),"")</f>
        <v/>
      </c>
      <c r="E597" s="84" t="str">
        <f aca="false">IFERROR(IF(ISNUMBER(INDEX(원자료_잔고!$A$1:$EZ$1500,설정!$L$5+ROW()-1,설정!$L$11)),INDEX(원자료_잔고!$A$1:$EZ$1500,설정!$L$5+ROW()-1,설정!$L$11),""),"")</f>
        <v/>
      </c>
      <c r="F597" s="85" t="str">
        <f aca="false">IFERROR(IF(ISNUMBER(INDEX(원자료_잔고!$A$1:$EZ$1500,설정!$L$5+ROW()-1,설정!$L$12)),INDEX(원자료_잔고!$A$1:$EZ$1500,설정!$L$5+ROW()-1,설정!$L$12),""),"")</f>
        <v/>
      </c>
      <c r="G597" s="85" t="str">
        <f aca="false">IFERROR(IF(ISNUMBER(INDEX(원자료_잔고!$A$1:$EZ$1500,설정!$L$5+ROW()-1,설정!$L$13)),INDEX(원자료_잔고!$A$1:$EZ$1500,설정!$L$5+ROW()-1,설정!$L$13),""),"")</f>
        <v/>
      </c>
      <c r="H597" s="85" t="str">
        <f aca="false">IFERROR(IF(ISNUMBER(INDEX(원자료_잔고!$A$1:$EZ$1500,설정!$L$5+ROW()-1,설정!$L$14)),INDEX(원자료_잔고!$A$1:$EZ$1500,설정!$L$5+ROW()-1,설정!$L$14),""),"")</f>
        <v/>
      </c>
      <c r="I597" s="86" t="str">
        <f aca="false">IFERROR(IF(ISNUMBER(INDEX(원자료_잔고!$A$1:$EZ$1500,설정!$L$5+ROW()-1,설정!$L$15)),INDEX(원자료_잔고!$A$1:$EZ$1500,설정!$L$5+ROW()-1,설정!$L$15),""),"")</f>
        <v/>
      </c>
      <c r="J597" s="85" t="str">
        <f aca="false">IFERROR(IF(ISNUMBER(INDEX(원자료_잔고!$A$1:$EZ$1500,설정!$L$5+ROW()-1,설정!$L$16)),INDEX(원자료_잔고!$A$1:$EZ$1500,설정!$L$5+ROW()-1,설정!$L$16),""),"")</f>
        <v/>
      </c>
      <c r="K597" s="87" t="str">
        <f aca="false">IFERROR(IF(ISNUMBER(INDEX(원자료_잔고!$A$1:$EZ$1500,설정!$L$5+ROW()-1,설정!$L$17)),INDEX(원자료_잔고!$A$1:$EZ$1500,설정!$L$5+ROW()-1,설정!$L$17),""),"")</f>
        <v/>
      </c>
      <c r="L597" s="84" t="str">
        <f aca="false">IFERROR(IF(ISNUMBER(INDEX(원자료_잔고!$A$1:$EZ$1500,설정!$L$5+ROW()-1,설정!$L$18)),INDEX(원자료_잔고!$A$1:$EZ$1500,설정!$L$5+ROW()-1,설정!$L$18),""),"")</f>
        <v/>
      </c>
      <c r="M597" s="88" t="str">
        <f aca="false">IFERROR(IF(ISNUMBER(INDEX(원자료_잔고!$A$1:$EZ$1500,설정!$L$5+ROW()-1,설정!$L$19)),INDEX(원자료_잔고!$A$1:$EZ$1500,설정!$L$5+ROW()-1,설정!$L$19),""),"")</f>
        <v/>
      </c>
      <c r="N597" s="83" t="str">
        <f aca="false">IFERROR(IF(INDEX(원자료_잔고!$A$1:$EZ$1500,설정!$L$5+ROW()-1,설정!$L$21)&amp;""="0","",INDEX(원자료_잔고!$A$1:$EZ$1500,설정!$L$5+ROW()-1,설정!$L$21)&amp;""),"")</f>
        <v/>
      </c>
      <c r="O597" s="83" t="str">
        <f aca="false">IFERROR(IF(INDEX(원자료_잔고!$A$1:$EZ$1500,설정!$L$5+ROW()-1,설정!$L$22)&amp;""="0","",INDEX(원자료_잔고!$A$1:$EZ$1500,설정!$L$5+ROW()-1,설정!$L$22)&amp;""),"")</f>
        <v/>
      </c>
      <c r="P597" s="83" t="str">
        <f aca="false">IFERROR(IF(INDEX(원자료_잔고!$A$1:$EZ$1500,설정!$L$5+ROW()-1,설정!$L$23)&amp;""="0","",INDEX(원자료_잔고!$A$1:$EZ$1500,설정!$L$5+ROW()-1,설정!$L$23)&amp;""),"")</f>
        <v/>
      </c>
      <c r="Q597" s="89" t="n">
        <f aca="false">IF(AND($A597&lt;&gt;"",ISNUMBER(E597)),IF(E597&gt;0,1,0),0)</f>
        <v>0</v>
      </c>
      <c r="R597" s="43" t="str">
        <f aca="false">IF(Q597=1,UPPER(LEFT($A597,FIND(" ",$A597&amp;" ")-1)),"")</f>
        <v/>
      </c>
      <c r="S597" s="89" t="n">
        <f aca="false">IF(Q597=1,IF(OR(ISNUMBER(SEARCH("Float",$A597)),ISNUMBER(SEARCH("FRN",$A597))),1,0),0)</f>
        <v>0</v>
      </c>
      <c r="T597" s="43" t="str">
        <f aca="false">IF(AND(Q597=1,ISNUMBER(I597)),TEXT(I597,"yyyymmdd")&amp;"|"&amp;IF(S597=1,"F",TEXT(J597,"0.000")),"")</f>
        <v/>
      </c>
      <c r="U597" s="90" t="str">
        <f aca="false">IF(AND(Q597=1,ISNUMBER(I597)),(I597-설정!$C$4)/365.25,"")</f>
        <v/>
      </c>
      <c r="V597" s="43" t="str">
        <f aca="false">IF(Q597&lt;&gt;1,"",IF(ISNUMBER(U597),IF(U597&lt;=1,"1년 이하",IF(U597&lt;=2,"1-2년",IF(U597&lt;=3,"2-3년",IF(U597&lt;=4,"3-4년",IF(U597&lt;=5,"4-5년",IF(U597&lt;=7,"5-7년",IF(U597&lt;=10,"7-10년",IF(U597&lt;=20,"10-20년","20년 이상")))))))),"미분류"))</f>
        <v/>
      </c>
      <c r="W597" s="43" t="str">
        <f aca="false">IF(Q597&lt;&gt;1,"",IF(AB597&lt;&gt;"",INDEX(시장분석!$C:$C,AB597),IF(K597=1,"USD","비USD")))</f>
        <v/>
      </c>
      <c r="X597" s="91" t="n">
        <f aca="false">IF(Q597=1,E597*K597/1000000,0)</f>
        <v>0</v>
      </c>
      <c r="Y597" s="89" t="n">
        <f aca="false">IF(R597="T",1,0)</f>
        <v>0</v>
      </c>
      <c r="Z597" s="92" t="str">
        <f aca="false">IF(Q597&lt;&gt;1,"",IF(AD597=1,IF(ISNUMBER(U597),MAX(U597,0),H597),H597))</f>
        <v/>
      </c>
      <c r="AA597" s="91" t="n">
        <f aca="false">IF(Q597=1,IF(ISNUMBER(L597),L597,0)*K597/1000000,0)</f>
        <v>0</v>
      </c>
      <c r="AB597" s="89" t="str">
        <f aca="false">IF(Q597&lt;&gt;1,"",IFERROR(MATCH(VLOOKUP(B597,매핑!$H$4:$I$15,2,0),시장분석!$A$2:$A$601,0)+1,IFERROR(MATCH(R597&amp;"|"&amp;T597,시장분석!$V$2:$V$601,0)+1,IF(COUNTIF(시장분석!$U$2:$U$601,T597)=1,MATCH(T597,시장분석!$U$2:$U$601,0)+1,""))))</f>
        <v/>
      </c>
      <c r="AC597" s="89" t="n">
        <f aca="false">IF(Q597&lt;&gt;1,0,IF(OR(설정!$C$5="전체",AND(설정!$C$5="선택펀드",IFERROR(COUNTIFS(설정!$F$16:$F$36,C597,설정!$G$16:$G$36,"Y")+COUNTIFS(설정!$F$16:$F$36,VALUE(C597),설정!$G$16:$G$36,"Y"),0)&gt;0),C597&amp;""=설정!$C$5&amp;""),1,0))</f>
        <v>0</v>
      </c>
      <c r="AD597" s="89" t="n">
        <f aca="false">IF(Q597&lt;&gt;1,0,IF(OR(S597=1,IF(AB597="",FALSE(),INDEX(시장분석!$R:$R,AB597)=1)),1,0))</f>
        <v>0</v>
      </c>
      <c r="AE597" s="43" t="str">
        <f aca="false">IF(AB597="","",INDEX(시장분석!$A:$A,AB597))</f>
        <v/>
      </c>
      <c r="AF597" s="93" t="str">
        <f aca="false">IF(AB597="","",IF(ISNUMBER(IF(AB597="","",INDEX(시장분석!$E:$E,AB597))),IF(AB597="","",INDEX(시장분석!$E:$E,AB597)),""))</f>
        <v/>
      </c>
      <c r="AG597" s="43" t="str">
        <f aca="false">IF(Q597&lt;&gt;1,"",IF(AB597&lt;&gt;"",IF(AB597="","",INDEX(시장분석!$L:$L,AB597)),IFERROR(IF(VLOOKUP(R597,매핑!$A$4:$E$92,5,0)="","미분류",VLOOKUP(R597,매핑!$A$4:$E$92,5,0)),"미분류")))</f>
        <v/>
      </c>
      <c r="AH597" s="43" t="str">
        <f aca="false">IF(Q597&lt;&gt;1,"",IF(AB597&lt;&gt;"",IF(AB597="","",INDEX(시장분석!$N:$N,AB597)),IFERROR(IF(VLOOKUP(R597,매핑!$A$4:$E$92,4,0)="","미분류",VLOOKUP(R597,매핑!$A$4:$E$92,4,0)),"미분류")))</f>
        <v/>
      </c>
      <c r="AI597" s="43" t="str">
        <f aca="false">IF(Q597&lt;&gt;1,"",IFERROR(IF(VLOOKUP(R597,매핑!$A$4:$E$92,3,0)="","미분류",VLOOKUP(R597,매핑!$A$4:$E$92,3,0)),IF(AB597&lt;&gt;"",IF(AB597="","",INDEX(시장분석!$W:$W,AB597)),"미분류")))</f>
        <v/>
      </c>
      <c r="AJ597" s="43" t="str">
        <f aca="false">IF(Q597&lt;&gt;1,"",IFERROR(VLOOKUP(IF(N597&lt;&gt;"",N597,IF(P597&lt;&gt;"",P597,O597)),설정!$A$15:$D$47,2,0),""))</f>
        <v/>
      </c>
      <c r="AK597" s="43" t="str">
        <f aca="false">IF(Q597&lt;&gt;1,"",IF(AJ597="","무등급",IFERROR(VLOOKUP(AJ597,설정!$A$15:$D$47,3,0),"무등급")))</f>
        <v/>
      </c>
      <c r="AL597" s="89" t="n">
        <f aca="false">IF(AJ597="",99,IFERROR(VLOOKUP(AJ597,설정!$A$15:$D$47,4,0),99))</f>
        <v>99</v>
      </c>
      <c r="AM597" s="94" t="n">
        <f aca="false">IF(ISNUMBER(H597),AA597*1000000*H597/10000,0)</f>
        <v>0</v>
      </c>
      <c r="AN597" s="94" t="n">
        <f aca="false">IF(OR(Y597=1,NOT(ISNUMBER(Z597))),0,AA597*1000000*Z597/10000)</f>
        <v>0</v>
      </c>
      <c r="AO597" s="94" t="n">
        <f aca="false">IF(ISNUMBER(G597),AA597*1000000*G597/100,0)</f>
        <v>0</v>
      </c>
      <c r="AP597" s="94" t="n">
        <f aca="false">IF(ISNUMBER(M597),M597*K597,0)</f>
        <v>0</v>
      </c>
      <c r="AQ597" s="95" t="str">
        <f aca="false">IF(AB597="","",INDEX(시장분석!$AK:$AK,AB597))</f>
        <v/>
      </c>
      <c r="AR597" s="43" t="str">
        <f aca="false">IF(AB597="","-",IF(AB597="","",INDEX(시장분석!$AL:$AL,AB597)))</f>
        <v>-</v>
      </c>
      <c r="AS597" s="96" t="str">
        <f aca="false">IF(AB597="","",INDEX(시장분석!$AJ:$AJ,AB597))</f>
        <v/>
      </c>
      <c r="AT597" s="93" t="n">
        <f aca="false">IF(AB597="",0,IF(AB597="","",INDEX(시장분석!$AN:$AN,AB597)))</f>
        <v>0</v>
      </c>
      <c r="AU597" s="94" t="n">
        <f aca="false">IF(ISNUMBER(Z597),AT597/10000*MAX(Z597-1,0)*AA597*1000000,0)</f>
        <v>0</v>
      </c>
      <c r="AV597" s="94" t="n">
        <f aca="false">AO597+AU597</f>
        <v>0</v>
      </c>
      <c r="AW597" s="43" t="str">
        <f aca="false">IF(Q597&lt;&gt;1,"",TRIM(IF(AD597=1,"FRN ","")&amp;IF(AND(AL597&gt;=10,AL597&lt;99),"BBB0미만 ","")&amp;IF(AJ597="","등급없음 ","")&amp;IF(K597&lt;&gt;1,"비USD ","")&amp;IF(AND(AB597="",Y597=0),"시장데이터없음 ","")&amp;IF(AND(ISNUMBER(U597),U597&lt;0),"만기경과 ","")))</f>
        <v/>
      </c>
      <c r="AX597" s="90" t="n">
        <f aca="false">IF(Q597&lt;&gt;1,1,IF(스프레드쇼크!$C$4="Y",INDEX(스프레드쇼크!$B$12:$L$16,IFERROR(MATCH(AH597,스프레드쇼크!$A$12:$A$16,0),MATCH("목록외",스프레드쇼크!$A$12:$A$16,0)),IFERROR(MATCH(AG597,스프레드쇼크!$B$11:$L$11,0),MATCH("목록외",스프레드쇼크!$B$11:$L$11,0))),1))</f>
        <v>1</v>
      </c>
      <c r="AY597" s="90" t="n">
        <f aca="false">IF(스프레드쇼크!$C$5="Y",IF(ISNUMBER(AF597),MIN(스프레드쇼크!$C$7,MAX(스프레드쇼크!$C$6,AF597/스프레드쇼크!$C$8)),1),1)</f>
        <v>1</v>
      </c>
      <c r="AZ597" s="94" t="n">
        <f aca="false">AN597*AX597*AY597</f>
        <v>0</v>
      </c>
      <c r="BA597" s="90" t="n">
        <f aca="false">IF(ISNUMBER(G597),AA597*G597,0)</f>
        <v>0</v>
      </c>
      <c r="BB597" s="90" t="n">
        <f aca="false">IF(ISNUMBER(G597),AA597,0)</f>
        <v>0</v>
      </c>
      <c r="BC597" s="90" t="n">
        <f aca="false">IF(AND(Y597=0,ISNUMBER(AF597)),AA597*AF597,0)</f>
        <v>0</v>
      </c>
      <c r="BD597" s="90" t="n">
        <f aca="false">IF(AND(Y597=0,ISNUMBER(AF597)),AA597,0)</f>
        <v>0</v>
      </c>
      <c r="BE597" s="90" t="n">
        <f aca="false">IF(ISNUMBER(H597),AA597*H597,0)</f>
        <v>0</v>
      </c>
      <c r="BF597" s="90" t="n">
        <f aca="false">IF(ISNUMBER(H597),AA597,0)</f>
        <v>0</v>
      </c>
      <c r="BG597" s="90" t="n">
        <f aca="false">IF(AND(Y597=0,ISNUMBER(AF597),ISNUMBER(Z597)),AA597*Z597,0)</f>
        <v>0</v>
      </c>
      <c r="BH597" s="90" t="n">
        <f aca="false">IF(AND(Y597=0,ISNUMBER(AF597),ISNUMBER(Z597)),AA597*AT597*MAX(Z597-1,0),0)</f>
        <v>0</v>
      </c>
      <c r="BI597" s="90" t="n">
        <f aca="false">IF(Y597=0,AA597,0)</f>
        <v>0</v>
      </c>
    </row>
    <row r="598" customFormat="false" ht="15" hidden="false" customHeight="false" outlineLevel="0" collapsed="false">
      <c r="A598" s="83" t="str">
        <f aca="false">IFERROR(IF(INDEX(원자료_잔고!$A$1:$EZ$1500,설정!$L$5+ROW()-1,설정!$L$8)&amp;""="0","",INDEX(원자료_잔고!$A$1:$EZ$1500,설정!$L$5+ROW()-1,설정!$L$8)&amp;""),"")</f>
        <v/>
      </c>
      <c r="B598" s="83" t="str">
        <f aca="false">IFERROR(IF(INDEX(원자료_잔고!$A$1:$EZ$1500,설정!$L$5+ROW()-1,설정!$L$7)&amp;""="0","",INDEX(원자료_잔고!$A$1:$EZ$1500,설정!$L$5+ROW()-1,설정!$L$7)&amp;""),"")</f>
        <v/>
      </c>
      <c r="C598" s="83" t="str">
        <f aca="false">IFERROR(IF(INDEX(원자료_잔고!$A$1:$EZ$1500,설정!$L$5+ROW()-1,설정!$L$9)&amp;""="0","",INDEX(원자료_잔고!$A$1:$EZ$1500,설정!$L$5+ROW()-1,설정!$L$9)&amp;""),"")</f>
        <v/>
      </c>
      <c r="D598" s="83" t="str">
        <f aca="false">IFERROR(IF(INDEX(원자료_잔고!$A$1:$EZ$1500,설정!$L$5+ROW()-1,설정!$L$10)&amp;""="0","",INDEX(원자료_잔고!$A$1:$EZ$1500,설정!$L$5+ROW()-1,설정!$L$10)&amp;""),"")</f>
        <v/>
      </c>
      <c r="E598" s="84" t="str">
        <f aca="false">IFERROR(IF(ISNUMBER(INDEX(원자료_잔고!$A$1:$EZ$1500,설정!$L$5+ROW()-1,설정!$L$11)),INDEX(원자료_잔고!$A$1:$EZ$1500,설정!$L$5+ROW()-1,설정!$L$11),""),"")</f>
        <v/>
      </c>
      <c r="F598" s="85" t="str">
        <f aca="false">IFERROR(IF(ISNUMBER(INDEX(원자료_잔고!$A$1:$EZ$1500,설정!$L$5+ROW()-1,설정!$L$12)),INDEX(원자료_잔고!$A$1:$EZ$1500,설정!$L$5+ROW()-1,설정!$L$12),""),"")</f>
        <v/>
      </c>
      <c r="G598" s="85" t="str">
        <f aca="false">IFERROR(IF(ISNUMBER(INDEX(원자료_잔고!$A$1:$EZ$1500,설정!$L$5+ROW()-1,설정!$L$13)),INDEX(원자료_잔고!$A$1:$EZ$1500,설정!$L$5+ROW()-1,설정!$L$13),""),"")</f>
        <v/>
      </c>
      <c r="H598" s="85" t="str">
        <f aca="false">IFERROR(IF(ISNUMBER(INDEX(원자료_잔고!$A$1:$EZ$1500,설정!$L$5+ROW()-1,설정!$L$14)),INDEX(원자료_잔고!$A$1:$EZ$1500,설정!$L$5+ROW()-1,설정!$L$14),""),"")</f>
        <v/>
      </c>
      <c r="I598" s="86" t="str">
        <f aca="false">IFERROR(IF(ISNUMBER(INDEX(원자료_잔고!$A$1:$EZ$1500,설정!$L$5+ROW()-1,설정!$L$15)),INDEX(원자료_잔고!$A$1:$EZ$1500,설정!$L$5+ROW()-1,설정!$L$15),""),"")</f>
        <v/>
      </c>
      <c r="J598" s="85" t="str">
        <f aca="false">IFERROR(IF(ISNUMBER(INDEX(원자료_잔고!$A$1:$EZ$1500,설정!$L$5+ROW()-1,설정!$L$16)),INDEX(원자료_잔고!$A$1:$EZ$1500,설정!$L$5+ROW()-1,설정!$L$16),""),"")</f>
        <v/>
      </c>
      <c r="K598" s="87" t="str">
        <f aca="false">IFERROR(IF(ISNUMBER(INDEX(원자료_잔고!$A$1:$EZ$1500,설정!$L$5+ROW()-1,설정!$L$17)),INDEX(원자료_잔고!$A$1:$EZ$1500,설정!$L$5+ROW()-1,설정!$L$17),""),"")</f>
        <v/>
      </c>
      <c r="L598" s="84" t="str">
        <f aca="false">IFERROR(IF(ISNUMBER(INDEX(원자료_잔고!$A$1:$EZ$1500,설정!$L$5+ROW()-1,설정!$L$18)),INDEX(원자료_잔고!$A$1:$EZ$1500,설정!$L$5+ROW()-1,설정!$L$18),""),"")</f>
        <v/>
      </c>
      <c r="M598" s="88" t="str">
        <f aca="false">IFERROR(IF(ISNUMBER(INDEX(원자료_잔고!$A$1:$EZ$1500,설정!$L$5+ROW()-1,설정!$L$19)),INDEX(원자료_잔고!$A$1:$EZ$1500,설정!$L$5+ROW()-1,설정!$L$19),""),"")</f>
        <v/>
      </c>
      <c r="N598" s="83" t="str">
        <f aca="false">IFERROR(IF(INDEX(원자료_잔고!$A$1:$EZ$1500,설정!$L$5+ROW()-1,설정!$L$21)&amp;""="0","",INDEX(원자료_잔고!$A$1:$EZ$1500,설정!$L$5+ROW()-1,설정!$L$21)&amp;""),"")</f>
        <v/>
      </c>
      <c r="O598" s="83" t="str">
        <f aca="false">IFERROR(IF(INDEX(원자료_잔고!$A$1:$EZ$1500,설정!$L$5+ROW()-1,설정!$L$22)&amp;""="0","",INDEX(원자료_잔고!$A$1:$EZ$1500,설정!$L$5+ROW()-1,설정!$L$22)&amp;""),"")</f>
        <v/>
      </c>
      <c r="P598" s="83" t="str">
        <f aca="false">IFERROR(IF(INDEX(원자료_잔고!$A$1:$EZ$1500,설정!$L$5+ROW()-1,설정!$L$23)&amp;""="0","",INDEX(원자료_잔고!$A$1:$EZ$1500,설정!$L$5+ROW()-1,설정!$L$23)&amp;""),"")</f>
        <v/>
      </c>
      <c r="Q598" s="89" t="n">
        <f aca="false">IF(AND($A598&lt;&gt;"",ISNUMBER(E598)),IF(E598&gt;0,1,0),0)</f>
        <v>0</v>
      </c>
      <c r="R598" s="43" t="str">
        <f aca="false">IF(Q598=1,UPPER(LEFT($A598,FIND(" ",$A598&amp;" ")-1)),"")</f>
        <v/>
      </c>
      <c r="S598" s="89" t="n">
        <f aca="false">IF(Q598=1,IF(OR(ISNUMBER(SEARCH("Float",$A598)),ISNUMBER(SEARCH("FRN",$A598))),1,0),0)</f>
        <v>0</v>
      </c>
      <c r="T598" s="43" t="str">
        <f aca="false">IF(AND(Q598=1,ISNUMBER(I598)),TEXT(I598,"yyyymmdd")&amp;"|"&amp;IF(S598=1,"F",TEXT(J598,"0.000")),"")</f>
        <v/>
      </c>
      <c r="U598" s="90" t="str">
        <f aca="false">IF(AND(Q598=1,ISNUMBER(I598)),(I598-설정!$C$4)/365.25,"")</f>
        <v/>
      </c>
      <c r="V598" s="43" t="str">
        <f aca="false">IF(Q598&lt;&gt;1,"",IF(ISNUMBER(U598),IF(U598&lt;=1,"1년 이하",IF(U598&lt;=2,"1-2년",IF(U598&lt;=3,"2-3년",IF(U598&lt;=4,"3-4년",IF(U598&lt;=5,"4-5년",IF(U598&lt;=7,"5-7년",IF(U598&lt;=10,"7-10년",IF(U598&lt;=20,"10-20년","20년 이상")))))))),"미분류"))</f>
        <v/>
      </c>
      <c r="W598" s="43" t="str">
        <f aca="false">IF(Q598&lt;&gt;1,"",IF(AB598&lt;&gt;"",INDEX(시장분석!$C:$C,AB598),IF(K598=1,"USD","비USD")))</f>
        <v/>
      </c>
      <c r="X598" s="91" t="n">
        <f aca="false">IF(Q598=1,E598*K598/1000000,0)</f>
        <v>0</v>
      </c>
      <c r="Y598" s="89" t="n">
        <f aca="false">IF(R598="T",1,0)</f>
        <v>0</v>
      </c>
      <c r="Z598" s="92" t="str">
        <f aca="false">IF(Q598&lt;&gt;1,"",IF(AD598=1,IF(ISNUMBER(U598),MAX(U598,0),H598),H598))</f>
        <v/>
      </c>
      <c r="AA598" s="91" t="n">
        <f aca="false">IF(Q598=1,IF(ISNUMBER(L598),L598,0)*K598/1000000,0)</f>
        <v>0</v>
      </c>
      <c r="AB598" s="89" t="str">
        <f aca="false">IF(Q598&lt;&gt;1,"",IFERROR(MATCH(VLOOKUP(B598,매핑!$H$4:$I$15,2,0),시장분석!$A$2:$A$601,0)+1,IFERROR(MATCH(R598&amp;"|"&amp;T598,시장분석!$V$2:$V$601,0)+1,IF(COUNTIF(시장분석!$U$2:$U$601,T598)=1,MATCH(T598,시장분석!$U$2:$U$601,0)+1,""))))</f>
        <v/>
      </c>
      <c r="AC598" s="89" t="n">
        <f aca="false">IF(Q598&lt;&gt;1,0,IF(OR(설정!$C$5="전체",AND(설정!$C$5="선택펀드",IFERROR(COUNTIFS(설정!$F$16:$F$36,C598,설정!$G$16:$G$36,"Y")+COUNTIFS(설정!$F$16:$F$36,VALUE(C598),설정!$G$16:$G$36,"Y"),0)&gt;0),C598&amp;""=설정!$C$5&amp;""),1,0))</f>
        <v>0</v>
      </c>
      <c r="AD598" s="89" t="n">
        <f aca="false">IF(Q598&lt;&gt;1,0,IF(OR(S598=1,IF(AB598="",FALSE(),INDEX(시장분석!$R:$R,AB598)=1)),1,0))</f>
        <v>0</v>
      </c>
      <c r="AE598" s="43" t="str">
        <f aca="false">IF(AB598="","",INDEX(시장분석!$A:$A,AB598))</f>
        <v/>
      </c>
      <c r="AF598" s="93" t="str">
        <f aca="false">IF(AB598="","",IF(ISNUMBER(IF(AB598="","",INDEX(시장분석!$E:$E,AB598))),IF(AB598="","",INDEX(시장분석!$E:$E,AB598)),""))</f>
        <v/>
      </c>
      <c r="AG598" s="43" t="str">
        <f aca="false">IF(Q598&lt;&gt;1,"",IF(AB598&lt;&gt;"",IF(AB598="","",INDEX(시장분석!$L:$L,AB598)),IFERROR(IF(VLOOKUP(R598,매핑!$A$4:$E$92,5,0)="","미분류",VLOOKUP(R598,매핑!$A$4:$E$92,5,0)),"미분류")))</f>
        <v/>
      </c>
      <c r="AH598" s="43" t="str">
        <f aca="false">IF(Q598&lt;&gt;1,"",IF(AB598&lt;&gt;"",IF(AB598="","",INDEX(시장분석!$N:$N,AB598)),IFERROR(IF(VLOOKUP(R598,매핑!$A$4:$E$92,4,0)="","미분류",VLOOKUP(R598,매핑!$A$4:$E$92,4,0)),"미분류")))</f>
        <v/>
      </c>
      <c r="AI598" s="43" t="str">
        <f aca="false">IF(Q598&lt;&gt;1,"",IFERROR(IF(VLOOKUP(R598,매핑!$A$4:$E$92,3,0)="","미분류",VLOOKUP(R598,매핑!$A$4:$E$92,3,0)),IF(AB598&lt;&gt;"",IF(AB598="","",INDEX(시장분석!$W:$W,AB598)),"미분류")))</f>
        <v/>
      </c>
      <c r="AJ598" s="43" t="str">
        <f aca="false">IF(Q598&lt;&gt;1,"",IFERROR(VLOOKUP(IF(N598&lt;&gt;"",N598,IF(P598&lt;&gt;"",P598,O598)),설정!$A$15:$D$47,2,0),""))</f>
        <v/>
      </c>
      <c r="AK598" s="43" t="str">
        <f aca="false">IF(Q598&lt;&gt;1,"",IF(AJ598="","무등급",IFERROR(VLOOKUP(AJ598,설정!$A$15:$D$47,3,0),"무등급")))</f>
        <v/>
      </c>
      <c r="AL598" s="89" t="n">
        <f aca="false">IF(AJ598="",99,IFERROR(VLOOKUP(AJ598,설정!$A$15:$D$47,4,0),99))</f>
        <v>99</v>
      </c>
      <c r="AM598" s="94" t="n">
        <f aca="false">IF(ISNUMBER(H598),AA598*1000000*H598/10000,0)</f>
        <v>0</v>
      </c>
      <c r="AN598" s="94" t="n">
        <f aca="false">IF(OR(Y598=1,NOT(ISNUMBER(Z598))),0,AA598*1000000*Z598/10000)</f>
        <v>0</v>
      </c>
      <c r="AO598" s="94" t="n">
        <f aca="false">IF(ISNUMBER(G598),AA598*1000000*G598/100,0)</f>
        <v>0</v>
      </c>
      <c r="AP598" s="94" t="n">
        <f aca="false">IF(ISNUMBER(M598),M598*K598,0)</f>
        <v>0</v>
      </c>
      <c r="AQ598" s="95" t="str">
        <f aca="false">IF(AB598="","",INDEX(시장분석!$AK:$AK,AB598))</f>
        <v/>
      </c>
      <c r="AR598" s="43" t="str">
        <f aca="false">IF(AB598="","-",IF(AB598="","",INDEX(시장분석!$AL:$AL,AB598)))</f>
        <v>-</v>
      </c>
      <c r="AS598" s="96" t="str">
        <f aca="false">IF(AB598="","",INDEX(시장분석!$AJ:$AJ,AB598))</f>
        <v/>
      </c>
      <c r="AT598" s="93" t="n">
        <f aca="false">IF(AB598="",0,IF(AB598="","",INDEX(시장분석!$AN:$AN,AB598)))</f>
        <v>0</v>
      </c>
      <c r="AU598" s="94" t="n">
        <f aca="false">IF(ISNUMBER(Z598),AT598/10000*MAX(Z598-1,0)*AA598*1000000,0)</f>
        <v>0</v>
      </c>
      <c r="AV598" s="94" t="n">
        <f aca="false">AO598+AU598</f>
        <v>0</v>
      </c>
      <c r="AW598" s="43" t="str">
        <f aca="false">IF(Q598&lt;&gt;1,"",TRIM(IF(AD598=1,"FRN ","")&amp;IF(AND(AL598&gt;=10,AL598&lt;99),"BBB0미만 ","")&amp;IF(AJ598="","등급없음 ","")&amp;IF(K598&lt;&gt;1,"비USD ","")&amp;IF(AND(AB598="",Y598=0),"시장데이터없음 ","")&amp;IF(AND(ISNUMBER(U598),U598&lt;0),"만기경과 ","")))</f>
        <v/>
      </c>
      <c r="AX598" s="90" t="n">
        <f aca="false">IF(Q598&lt;&gt;1,1,IF(스프레드쇼크!$C$4="Y",INDEX(스프레드쇼크!$B$12:$L$16,IFERROR(MATCH(AH598,스프레드쇼크!$A$12:$A$16,0),MATCH("목록외",스프레드쇼크!$A$12:$A$16,0)),IFERROR(MATCH(AG598,스프레드쇼크!$B$11:$L$11,0),MATCH("목록외",스프레드쇼크!$B$11:$L$11,0))),1))</f>
        <v>1</v>
      </c>
      <c r="AY598" s="90" t="n">
        <f aca="false">IF(스프레드쇼크!$C$5="Y",IF(ISNUMBER(AF598),MIN(스프레드쇼크!$C$7,MAX(스프레드쇼크!$C$6,AF598/스프레드쇼크!$C$8)),1),1)</f>
        <v>1</v>
      </c>
      <c r="AZ598" s="94" t="n">
        <f aca="false">AN598*AX598*AY598</f>
        <v>0</v>
      </c>
      <c r="BA598" s="90" t="n">
        <f aca="false">IF(ISNUMBER(G598),AA598*G598,0)</f>
        <v>0</v>
      </c>
      <c r="BB598" s="90" t="n">
        <f aca="false">IF(ISNUMBER(G598),AA598,0)</f>
        <v>0</v>
      </c>
      <c r="BC598" s="90" t="n">
        <f aca="false">IF(AND(Y598=0,ISNUMBER(AF598)),AA598*AF598,0)</f>
        <v>0</v>
      </c>
      <c r="BD598" s="90" t="n">
        <f aca="false">IF(AND(Y598=0,ISNUMBER(AF598)),AA598,0)</f>
        <v>0</v>
      </c>
      <c r="BE598" s="90" t="n">
        <f aca="false">IF(ISNUMBER(H598),AA598*H598,0)</f>
        <v>0</v>
      </c>
      <c r="BF598" s="90" t="n">
        <f aca="false">IF(ISNUMBER(H598),AA598,0)</f>
        <v>0</v>
      </c>
      <c r="BG598" s="90" t="n">
        <f aca="false">IF(AND(Y598=0,ISNUMBER(AF598),ISNUMBER(Z598)),AA598*Z598,0)</f>
        <v>0</v>
      </c>
      <c r="BH598" s="90" t="n">
        <f aca="false">IF(AND(Y598=0,ISNUMBER(AF598),ISNUMBER(Z598)),AA598*AT598*MAX(Z598-1,0),0)</f>
        <v>0</v>
      </c>
      <c r="BI598" s="90" t="n">
        <f aca="false">IF(Y598=0,AA598,0)</f>
        <v>0</v>
      </c>
    </row>
    <row r="599" customFormat="false" ht="15" hidden="false" customHeight="false" outlineLevel="0" collapsed="false">
      <c r="A599" s="83" t="str">
        <f aca="false">IFERROR(IF(INDEX(원자료_잔고!$A$1:$EZ$1500,설정!$L$5+ROW()-1,설정!$L$8)&amp;""="0","",INDEX(원자료_잔고!$A$1:$EZ$1500,설정!$L$5+ROW()-1,설정!$L$8)&amp;""),"")</f>
        <v/>
      </c>
      <c r="B599" s="83" t="str">
        <f aca="false">IFERROR(IF(INDEX(원자료_잔고!$A$1:$EZ$1500,설정!$L$5+ROW()-1,설정!$L$7)&amp;""="0","",INDEX(원자료_잔고!$A$1:$EZ$1500,설정!$L$5+ROW()-1,설정!$L$7)&amp;""),"")</f>
        <v/>
      </c>
      <c r="C599" s="83" t="str">
        <f aca="false">IFERROR(IF(INDEX(원자료_잔고!$A$1:$EZ$1500,설정!$L$5+ROW()-1,설정!$L$9)&amp;""="0","",INDEX(원자료_잔고!$A$1:$EZ$1500,설정!$L$5+ROW()-1,설정!$L$9)&amp;""),"")</f>
        <v/>
      </c>
      <c r="D599" s="83" t="str">
        <f aca="false">IFERROR(IF(INDEX(원자료_잔고!$A$1:$EZ$1500,설정!$L$5+ROW()-1,설정!$L$10)&amp;""="0","",INDEX(원자료_잔고!$A$1:$EZ$1500,설정!$L$5+ROW()-1,설정!$L$10)&amp;""),"")</f>
        <v/>
      </c>
      <c r="E599" s="84" t="str">
        <f aca="false">IFERROR(IF(ISNUMBER(INDEX(원자료_잔고!$A$1:$EZ$1500,설정!$L$5+ROW()-1,설정!$L$11)),INDEX(원자료_잔고!$A$1:$EZ$1500,설정!$L$5+ROW()-1,설정!$L$11),""),"")</f>
        <v/>
      </c>
      <c r="F599" s="85" t="str">
        <f aca="false">IFERROR(IF(ISNUMBER(INDEX(원자료_잔고!$A$1:$EZ$1500,설정!$L$5+ROW()-1,설정!$L$12)),INDEX(원자료_잔고!$A$1:$EZ$1500,설정!$L$5+ROW()-1,설정!$L$12),""),"")</f>
        <v/>
      </c>
      <c r="G599" s="85" t="str">
        <f aca="false">IFERROR(IF(ISNUMBER(INDEX(원자료_잔고!$A$1:$EZ$1500,설정!$L$5+ROW()-1,설정!$L$13)),INDEX(원자료_잔고!$A$1:$EZ$1500,설정!$L$5+ROW()-1,설정!$L$13),""),"")</f>
        <v/>
      </c>
      <c r="H599" s="85" t="str">
        <f aca="false">IFERROR(IF(ISNUMBER(INDEX(원자료_잔고!$A$1:$EZ$1500,설정!$L$5+ROW()-1,설정!$L$14)),INDEX(원자료_잔고!$A$1:$EZ$1500,설정!$L$5+ROW()-1,설정!$L$14),""),"")</f>
        <v/>
      </c>
      <c r="I599" s="86" t="str">
        <f aca="false">IFERROR(IF(ISNUMBER(INDEX(원자료_잔고!$A$1:$EZ$1500,설정!$L$5+ROW()-1,설정!$L$15)),INDEX(원자료_잔고!$A$1:$EZ$1500,설정!$L$5+ROW()-1,설정!$L$15),""),"")</f>
        <v/>
      </c>
      <c r="J599" s="85" t="str">
        <f aca="false">IFERROR(IF(ISNUMBER(INDEX(원자료_잔고!$A$1:$EZ$1500,설정!$L$5+ROW()-1,설정!$L$16)),INDEX(원자료_잔고!$A$1:$EZ$1500,설정!$L$5+ROW()-1,설정!$L$16),""),"")</f>
        <v/>
      </c>
      <c r="K599" s="87" t="str">
        <f aca="false">IFERROR(IF(ISNUMBER(INDEX(원자료_잔고!$A$1:$EZ$1500,설정!$L$5+ROW()-1,설정!$L$17)),INDEX(원자료_잔고!$A$1:$EZ$1500,설정!$L$5+ROW()-1,설정!$L$17),""),"")</f>
        <v/>
      </c>
      <c r="L599" s="84" t="str">
        <f aca="false">IFERROR(IF(ISNUMBER(INDEX(원자료_잔고!$A$1:$EZ$1500,설정!$L$5+ROW()-1,설정!$L$18)),INDEX(원자료_잔고!$A$1:$EZ$1500,설정!$L$5+ROW()-1,설정!$L$18),""),"")</f>
        <v/>
      </c>
      <c r="M599" s="88" t="str">
        <f aca="false">IFERROR(IF(ISNUMBER(INDEX(원자료_잔고!$A$1:$EZ$1500,설정!$L$5+ROW()-1,설정!$L$19)),INDEX(원자료_잔고!$A$1:$EZ$1500,설정!$L$5+ROW()-1,설정!$L$19),""),"")</f>
        <v/>
      </c>
      <c r="N599" s="83" t="str">
        <f aca="false">IFERROR(IF(INDEX(원자료_잔고!$A$1:$EZ$1500,설정!$L$5+ROW()-1,설정!$L$21)&amp;""="0","",INDEX(원자료_잔고!$A$1:$EZ$1500,설정!$L$5+ROW()-1,설정!$L$21)&amp;""),"")</f>
        <v/>
      </c>
      <c r="O599" s="83" t="str">
        <f aca="false">IFERROR(IF(INDEX(원자료_잔고!$A$1:$EZ$1500,설정!$L$5+ROW()-1,설정!$L$22)&amp;""="0","",INDEX(원자료_잔고!$A$1:$EZ$1500,설정!$L$5+ROW()-1,설정!$L$22)&amp;""),"")</f>
        <v/>
      </c>
      <c r="P599" s="83" t="str">
        <f aca="false">IFERROR(IF(INDEX(원자료_잔고!$A$1:$EZ$1500,설정!$L$5+ROW()-1,설정!$L$23)&amp;""="0","",INDEX(원자료_잔고!$A$1:$EZ$1500,설정!$L$5+ROW()-1,설정!$L$23)&amp;""),"")</f>
        <v/>
      </c>
      <c r="Q599" s="89" t="n">
        <f aca="false">IF(AND($A599&lt;&gt;"",ISNUMBER(E599)),IF(E599&gt;0,1,0),0)</f>
        <v>0</v>
      </c>
      <c r="R599" s="43" t="str">
        <f aca="false">IF(Q599=1,UPPER(LEFT($A599,FIND(" ",$A599&amp;" ")-1)),"")</f>
        <v/>
      </c>
      <c r="S599" s="89" t="n">
        <f aca="false">IF(Q599=1,IF(OR(ISNUMBER(SEARCH("Float",$A599)),ISNUMBER(SEARCH("FRN",$A599))),1,0),0)</f>
        <v>0</v>
      </c>
      <c r="T599" s="43" t="str">
        <f aca="false">IF(AND(Q599=1,ISNUMBER(I599)),TEXT(I599,"yyyymmdd")&amp;"|"&amp;IF(S599=1,"F",TEXT(J599,"0.000")),"")</f>
        <v/>
      </c>
      <c r="U599" s="90" t="str">
        <f aca="false">IF(AND(Q599=1,ISNUMBER(I599)),(I599-설정!$C$4)/365.25,"")</f>
        <v/>
      </c>
      <c r="V599" s="43" t="str">
        <f aca="false">IF(Q599&lt;&gt;1,"",IF(ISNUMBER(U599),IF(U599&lt;=1,"1년 이하",IF(U599&lt;=2,"1-2년",IF(U599&lt;=3,"2-3년",IF(U599&lt;=4,"3-4년",IF(U599&lt;=5,"4-5년",IF(U599&lt;=7,"5-7년",IF(U599&lt;=10,"7-10년",IF(U599&lt;=20,"10-20년","20년 이상")))))))),"미분류"))</f>
        <v/>
      </c>
      <c r="W599" s="43" t="str">
        <f aca="false">IF(Q599&lt;&gt;1,"",IF(AB599&lt;&gt;"",INDEX(시장분석!$C:$C,AB599),IF(K599=1,"USD","비USD")))</f>
        <v/>
      </c>
      <c r="X599" s="91" t="n">
        <f aca="false">IF(Q599=1,E599*K599/1000000,0)</f>
        <v>0</v>
      </c>
      <c r="Y599" s="89" t="n">
        <f aca="false">IF(R599="T",1,0)</f>
        <v>0</v>
      </c>
      <c r="Z599" s="92" t="str">
        <f aca="false">IF(Q599&lt;&gt;1,"",IF(AD599=1,IF(ISNUMBER(U599),MAX(U599,0),H599),H599))</f>
        <v/>
      </c>
      <c r="AA599" s="91" t="n">
        <f aca="false">IF(Q599=1,IF(ISNUMBER(L599),L599,0)*K599/1000000,0)</f>
        <v>0</v>
      </c>
      <c r="AB599" s="89" t="str">
        <f aca="false">IF(Q599&lt;&gt;1,"",IFERROR(MATCH(VLOOKUP(B599,매핑!$H$4:$I$15,2,0),시장분석!$A$2:$A$601,0)+1,IFERROR(MATCH(R599&amp;"|"&amp;T599,시장분석!$V$2:$V$601,0)+1,IF(COUNTIF(시장분석!$U$2:$U$601,T599)=1,MATCH(T599,시장분석!$U$2:$U$601,0)+1,""))))</f>
        <v/>
      </c>
      <c r="AC599" s="89" t="n">
        <f aca="false">IF(Q599&lt;&gt;1,0,IF(OR(설정!$C$5="전체",AND(설정!$C$5="선택펀드",IFERROR(COUNTIFS(설정!$F$16:$F$36,C599,설정!$G$16:$G$36,"Y")+COUNTIFS(설정!$F$16:$F$36,VALUE(C599),설정!$G$16:$G$36,"Y"),0)&gt;0),C599&amp;""=설정!$C$5&amp;""),1,0))</f>
        <v>0</v>
      </c>
      <c r="AD599" s="89" t="n">
        <f aca="false">IF(Q599&lt;&gt;1,0,IF(OR(S599=1,IF(AB599="",FALSE(),INDEX(시장분석!$R:$R,AB599)=1)),1,0))</f>
        <v>0</v>
      </c>
      <c r="AE599" s="43" t="str">
        <f aca="false">IF(AB599="","",INDEX(시장분석!$A:$A,AB599))</f>
        <v/>
      </c>
      <c r="AF599" s="93" t="str">
        <f aca="false">IF(AB599="","",IF(ISNUMBER(IF(AB599="","",INDEX(시장분석!$E:$E,AB599))),IF(AB599="","",INDEX(시장분석!$E:$E,AB599)),""))</f>
        <v/>
      </c>
      <c r="AG599" s="43" t="str">
        <f aca="false">IF(Q599&lt;&gt;1,"",IF(AB599&lt;&gt;"",IF(AB599="","",INDEX(시장분석!$L:$L,AB599)),IFERROR(IF(VLOOKUP(R599,매핑!$A$4:$E$92,5,0)="","미분류",VLOOKUP(R599,매핑!$A$4:$E$92,5,0)),"미분류")))</f>
        <v/>
      </c>
      <c r="AH599" s="43" t="str">
        <f aca="false">IF(Q599&lt;&gt;1,"",IF(AB599&lt;&gt;"",IF(AB599="","",INDEX(시장분석!$N:$N,AB599)),IFERROR(IF(VLOOKUP(R599,매핑!$A$4:$E$92,4,0)="","미분류",VLOOKUP(R599,매핑!$A$4:$E$92,4,0)),"미분류")))</f>
        <v/>
      </c>
      <c r="AI599" s="43" t="str">
        <f aca="false">IF(Q599&lt;&gt;1,"",IFERROR(IF(VLOOKUP(R599,매핑!$A$4:$E$92,3,0)="","미분류",VLOOKUP(R599,매핑!$A$4:$E$92,3,0)),IF(AB599&lt;&gt;"",IF(AB599="","",INDEX(시장분석!$W:$W,AB599)),"미분류")))</f>
        <v/>
      </c>
      <c r="AJ599" s="43" t="str">
        <f aca="false">IF(Q599&lt;&gt;1,"",IFERROR(VLOOKUP(IF(N599&lt;&gt;"",N599,IF(P599&lt;&gt;"",P599,O599)),설정!$A$15:$D$47,2,0),""))</f>
        <v/>
      </c>
      <c r="AK599" s="43" t="str">
        <f aca="false">IF(Q599&lt;&gt;1,"",IF(AJ599="","무등급",IFERROR(VLOOKUP(AJ599,설정!$A$15:$D$47,3,0),"무등급")))</f>
        <v/>
      </c>
      <c r="AL599" s="89" t="n">
        <f aca="false">IF(AJ599="",99,IFERROR(VLOOKUP(AJ599,설정!$A$15:$D$47,4,0),99))</f>
        <v>99</v>
      </c>
      <c r="AM599" s="94" t="n">
        <f aca="false">IF(ISNUMBER(H599),AA599*1000000*H599/10000,0)</f>
        <v>0</v>
      </c>
      <c r="AN599" s="94" t="n">
        <f aca="false">IF(OR(Y599=1,NOT(ISNUMBER(Z599))),0,AA599*1000000*Z599/10000)</f>
        <v>0</v>
      </c>
      <c r="AO599" s="94" t="n">
        <f aca="false">IF(ISNUMBER(G599),AA599*1000000*G599/100,0)</f>
        <v>0</v>
      </c>
      <c r="AP599" s="94" t="n">
        <f aca="false">IF(ISNUMBER(M599),M599*K599,0)</f>
        <v>0</v>
      </c>
      <c r="AQ599" s="95" t="str">
        <f aca="false">IF(AB599="","",INDEX(시장분석!$AK:$AK,AB599))</f>
        <v/>
      </c>
      <c r="AR599" s="43" t="str">
        <f aca="false">IF(AB599="","-",IF(AB599="","",INDEX(시장분석!$AL:$AL,AB599)))</f>
        <v>-</v>
      </c>
      <c r="AS599" s="96" t="str">
        <f aca="false">IF(AB599="","",INDEX(시장분석!$AJ:$AJ,AB599))</f>
        <v/>
      </c>
      <c r="AT599" s="93" t="n">
        <f aca="false">IF(AB599="",0,IF(AB599="","",INDEX(시장분석!$AN:$AN,AB599)))</f>
        <v>0</v>
      </c>
      <c r="AU599" s="94" t="n">
        <f aca="false">IF(ISNUMBER(Z599),AT599/10000*MAX(Z599-1,0)*AA599*1000000,0)</f>
        <v>0</v>
      </c>
      <c r="AV599" s="94" t="n">
        <f aca="false">AO599+AU599</f>
        <v>0</v>
      </c>
      <c r="AW599" s="43" t="str">
        <f aca="false">IF(Q599&lt;&gt;1,"",TRIM(IF(AD599=1,"FRN ","")&amp;IF(AND(AL599&gt;=10,AL599&lt;99),"BBB0미만 ","")&amp;IF(AJ599="","등급없음 ","")&amp;IF(K599&lt;&gt;1,"비USD ","")&amp;IF(AND(AB599="",Y599=0),"시장데이터없음 ","")&amp;IF(AND(ISNUMBER(U599),U599&lt;0),"만기경과 ","")))</f>
        <v/>
      </c>
      <c r="AX599" s="90" t="n">
        <f aca="false">IF(Q599&lt;&gt;1,1,IF(스프레드쇼크!$C$4="Y",INDEX(스프레드쇼크!$B$12:$L$16,IFERROR(MATCH(AH599,스프레드쇼크!$A$12:$A$16,0),MATCH("목록외",스프레드쇼크!$A$12:$A$16,0)),IFERROR(MATCH(AG599,스프레드쇼크!$B$11:$L$11,0),MATCH("목록외",스프레드쇼크!$B$11:$L$11,0))),1))</f>
        <v>1</v>
      </c>
      <c r="AY599" s="90" t="n">
        <f aca="false">IF(스프레드쇼크!$C$5="Y",IF(ISNUMBER(AF599),MIN(스프레드쇼크!$C$7,MAX(스프레드쇼크!$C$6,AF599/스프레드쇼크!$C$8)),1),1)</f>
        <v>1</v>
      </c>
      <c r="AZ599" s="94" t="n">
        <f aca="false">AN599*AX599*AY599</f>
        <v>0</v>
      </c>
      <c r="BA599" s="90" t="n">
        <f aca="false">IF(ISNUMBER(G599),AA599*G599,0)</f>
        <v>0</v>
      </c>
      <c r="BB599" s="90" t="n">
        <f aca="false">IF(ISNUMBER(G599),AA599,0)</f>
        <v>0</v>
      </c>
      <c r="BC599" s="90" t="n">
        <f aca="false">IF(AND(Y599=0,ISNUMBER(AF599)),AA599*AF599,0)</f>
        <v>0</v>
      </c>
      <c r="BD599" s="90" t="n">
        <f aca="false">IF(AND(Y599=0,ISNUMBER(AF599)),AA599,0)</f>
        <v>0</v>
      </c>
      <c r="BE599" s="90" t="n">
        <f aca="false">IF(ISNUMBER(H599),AA599*H599,0)</f>
        <v>0</v>
      </c>
      <c r="BF599" s="90" t="n">
        <f aca="false">IF(ISNUMBER(H599),AA599,0)</f>
        <v>0</v>
      </c>
      <c r="BG599" s="90" t="n">
        <f aca="false">IF(AND(Y599=0,ISNUMBER(AF599),ISNUMBER(Z599)),AA599*Z599,0)</f>
        <v>0</v>
      </c>
      <c r="BH599" s="90" t="n">
        <f aca="false">IF(AND(Y599=0,ISNUMBER(AF599),ISNUMBER(Z599)),AA599*AT599*MAX(Z599-1,0),0)</f>
        <v>0</v>
      </c>
      <c r="BI599" s="90" t="n">
        <f aca="false">IF(Y599=0,AA599,0)</f>
        <v>0</v>
      </c>
    </row>
    <row r="600" customFormat="false" ht="15" hidden="false" customHeight="false" outlineLevel="0" collapsed="false">
      <c r="A600" s="83" t="str">
        <f aca="false">IFERROR(IF(INDEX(원자료_잔고!$A$1:$EZ$1500,설정!$L$5+ROW()-1,설정!$L$8)&amp;""="0","",INDEX(원자료_잔고!$A$1:$EZ$1500,설정!$L$5+ROW()-1,설정!$L$8)&amp;""),"")</f>
        <v/>
      </c>
      <c r="B600" s="83" t="str">
        <f aca="false">IFERROR(IF(INDEX(원자료_잔고!$A$1:$EZ$1500,설정!$L$5+ROW()-1,설정!$L$7)&amp;""="0","",INDEX(원자료_잔고!$A$1:$EZ$1500,설정!$L$5+ROW()-1,설정!$L$7)&amp;""),"")</f>
        <v/>
      </c>
      <c r="C600" s="83" t="str">
        <f aca="false">IFERROR(IF(INDEX(원자료_잔고!$A$1:$EZ$1500,설정!$L$5+ROW()-1,설정!$L$9)&amp;""="0","",INDEX(원자료_잔고!$A$1:$EZ$1500,설정!$L$5+ROW()-1,설정!$L$9)&amp;""),"")</f>
        <v/>
      </c>
      <c r="D600" s="83" t="str">
        <f aca="false">IFERROR(IF(INDEX(원자료_잔고!$A$1:$EZ$1500,설정!$L$5+ROW()-1,설정!$L$10)&amp;""="0","",INDEX(원자료_잔고!$A$1:$EZ$1500,설정!$L$5+ROW()-1,설정!$L$10)&amp;""),"")</f>
        <v/>
      </c>
      <c r="E600" s="84" t="str">
        <f aca="false">IFERROR(IF(ISNUMBER(INDEX(원자료_잔고!$A$1:$EZ$1500,설정!$L$5+ROW()-1,설정!$L$11)),INDEX(원자료_잔고!$A$1:$EZ$1500,설정!$L$5+ROW()-1,설정!$L$11),""),"")</f>
        <v/>
      </c>
      <c r="F600" s="85" t="str">
        <f aca="false">IFERROR(IF(ISNUMBER(INDEX(원자료_잔고!$A$1:$EZ$1500,설정!$L$5+ROW()-1,설정!$L$12)),INDEX(원자료_잔고!$A$1:$EZ$1500,설정!$L$5+ROW()-1,설정!$L$12),""),"")</f>
        <v/>
      </c>
      <c r="G600" s="85" t="str">
        <f aca="false">IFERROR(IF(ISNUMBER(INDEX(원자료_잔고!$A$1:$EZ$1500,설정!$L$5+ROW()-1,설정!$L$13)),INDEX(원자료_잔고!$A$1:$EZ$1500,설정!$L$5+ROW()-1,설정!$L$13),""),"")</f>
        <v/>
      </c>
      <c r="H600" s="85" t="str">
        <f aca="false">IFERROR(IF(ISNUMBER(INDEX(원자료_잔고!$A$1:$EZ$1500,설정!$L$5+ROW()-1,설정!$L$14)),INDEX(원자료_잔고!$A$1:$EZ$1500,설정!$L$5+ROW()-1,설정!$L$14),""),"")</f>
        <v/>
      </c>
      <c r="I600" s="86" t="str">
        <f aca="false">IFERROR(IF(ISNUMBER(INDEX(원자료_잔고!$A$1:$EZ$1500,설정!$L$5+ROW()-1,설정!$L$15)),INDEX(원자료_잔고!$A$1:$EZ$1500,설정!$L$5+ROW()-1,설정!$L$15),""),"")</f>
        <v/>
      </c>
      <c r="J600" s="85" t="str">
        <f aca="false">IFERROR(IF(ISNUMBER(INDEX(원자료_잔고!$A$1:$EZ$1500,설정!$L$5+ROW()-1,설정!$L$16)),INDEX(원자료_잔고!$A$1:$EZ$1500,설정!$L$5+ROW()-1,설정!$L$16),""),"")</f>
        <v/>
      </c>
      <c r="K600" s="87" t="str">
        <f aca="false">IFERROR(IF(ISNUMBER(INDEX(원자료_잔고!$A$1:$EZ$1500,설정!$L$5+ROW()-1,설정!$L$17)),INDEX(원자료_잔고!$A$1:$EZ$1500,설정!$L$5+ROW()-1,설정!$L$17),""),"")</f>
        <v/>
      </c>
      <c r="L600" s="84" t="str">
        <f aca="false">IFERROR(IF(ISNUMBER(INDEX(원자료_잔고!$A$1:$EZ$1500,설정!$L$5+ROW()-1,설정!$L$18)),INDEX(원자료_잔고!$A$1:$EZ$1500,설정!$L$5+ROW()-1,설정!$L$18),""),"")</f>
        <v/>
      </c>
      <c r="M600" s="88" t="str">
        <f aca="false">IFERROR(IF(ISNUMBER(INDEX(원자료_잔고!$A$1:$EZ$1500,설정!$L$5+ROW()-1,설정!$L$19)),INDEX(원자료_잔고!$A$1:$EZ$1500,설정!$L$5+ROW()-1,설정!$L$19),""),"")</f>
        <v/>
      </c>
      <c r="N600" s="83" t="str">
        <f aca="false">IFERROR(IF(INDEX(원자료_잔고!$A$1:$EZ$1500,설정!$L$5+ROW()-1,설정!$L$21)&amp;""="0","",INDEX(원자료_잔고!$A$1:$EZ$1500,설정!$L$5+ROW()-1,설정!$L$21)&amp;""),"")</f>
        <v/>
      </c>
      <c r="O600" s="83" t="str">
        <f aca="false">IFERROR(IF(INDEX(원자료_잔고!$A$1:$EZ$1500,설정!$L$5+ROW()-1,설정!$L$22)&amp;""="0","",INDEX(원자료_잔고!$A$1:$EZ$1500,설정!$L$5+ROW()-1,설정!$L$22)&amp;""),"")</f>
        <v/>
      </c>
      <c r="P600" s="83" t="str">
        <f aca="false">IFERROR(IF(INDEX(원자료_잔고!$A$1:$EZ$1500,설정!$L$5+ROW()-1,설정!$L$23)&amp;""="0","",INDEX(원자료_잔고!$A$1:$EZ$1500,설정!$L$5+ROW()-1,설정!$L$23)&amp;""),"")</f>
        <v/>
      </c>
      <c r="Q600" s="89" t="n">
        <f aca="false">IF(AND($A600&lt;&gt;"",ISNUMBER(E600)),IF(E600&gt;0,1,0),0)</f>
        <v>0</v>
      </c>
      <c r="R600" s="43" t="str">
        <f aca="false">IF(Q600=1,UPPER(LEFT($A600,FIND(" ",$A600&amp;" ")-1)),"")</f>
        <v/>
      </c>
      <c r="S600" s="89" t="n">
        <f aca="false">IF(Q600=1,IF(OR(ISNUMBER(SEARCH("Float",$A600)),ISNUMBER(SEARCH("FRN",$A600))),1,0),0)</f>
        <v>0</v>
      </c>
      <c r="T600" s="43" t="str">
        <f aca="false">IF(AND(Q600=1,ISNUMBER(I600)),TEXT(I600,"yyyymmdd")&amp;"|"&amp;IF(S600=1,"F",TEXT(J600,"0.000")),"")</f>
        <v/>
      </c>
      <c r="U600" s="90" t="str">
        <f aca="false">IF(AND(Q600=1,ISNUMBER(I600)),(I600-설정!$C$4)/365.25,"")</f>
        <v/>
      </c>
      <c r="V600" s="43" t="str">
        <f aca="false">IF(Q600&lt;&gt;1,"",IF(ISNUMBER(U600),IF(U600&lt;=1,"1년 이하",IF(U600&lt;=2,"1-2년",IF(U600&lt;=3,"2-3년",IF(U600&lt;=4,"3-4년",IF(U600&lt;=5,"4-5년",IF(U600&lt;=7,"5-7년",IF(U600&lt;=10,"7-10년",IF(U600&lt;=20,"10-20년","20년 이상")))))))),"미분류"))</f>
        <v/>
      </c>
      <c r="W600" s="43" t="str">
        <f aca="false">IF(Q600&lt;&gt;1,"",IF(AB600&lt;&gt;"",INDEX(시장분석!$C:$C,AB600),IF(K600=1,"USD","비USD")))</f>
        <v/>
      </c>
      <c r="X600" s="91" t="n">
        <f aca="false">IF(Q600=1,E600*K600/1000000,0)</f>
        <v>0</v>
      </c>
      <c r="Y600" s="89" t="n">
        <f aca="false">IF(R600="T",1,0)</f>
        <v>0</v>
      </c>
      <c r="Z600" s="92" t="str">
        <f aca="false">IF(Q600&lt;&gt;1,"",IF(AD600=1,IF(ISNUMBER(U600),MAX(U600,0),H600),H600))</f>
        <v/>
      </c>
      <c r="AA600" s="91" t="n">
        <f aca="false">IF(Q600=1,IF(ISNUMBER(L600),L600,0)*K600/1000000,0)</f>
        <v>0</v>
      </c>
      <c r="AB600" s="89" t="str">
        <f aca="false">IF(Q600&lt;&gt;1,"",IFERROR(MATCH(VLOOKUP(B600,매핑!$H$4:$I$15,2,0),시장분석!$A$2:$A$601,0)+1,IFERROR(MATCH(R600&amp;"|"&amp;T600,시장분석!$V$2:$V$601,0)+1,IF(COUNTIF(시장분석!$U$2:$U$601,T600)=1,MATCH(T600,시장분석!$U$2:$U$601,0)+1,""))))</f>
        <v/>
      </c>
      <c r="AC600" s="89" t="n">
        <f aca="false">IF(Q600&lt;&gt;1,0,IF(OR(설정!$C$5="전체",AND(설정!$C$5="선택펀드",IFERROR(COUNTIFS(설정!$F$16:$F$36,C600,설정!$G$16:$G$36,"Y")+COUNTIFS(설정!$F$16:$F$36,VALUE(C600),설정!$G$16:$G$36,"Y"),0)&gt;0),C600&amp;""=설정!$C$5&amp;""),1,0))</f>
        <v>0</v>
      </c>
      <c r="AD600" s="89" t="n">
        <f aca="false">IF(Q600&lt;&gt;1,0,IF(OR(S600=1,IF(AB600="",FALSE(),INDEX(시장분석!$R:$R,AB600)=1)),1,0))</f>
        <v>0</v>
      </c>
      <c r="AE600" s="43" t="str">
        <f aca="false">IF(AB600="","",INDEX(시장분석!$A:$A,AB600))</f>
        <v/>
      </c>
      <c r="AF600" s="93" t="str">
        <f aca="false">IF(AB600="","",IF(ISNUMBER(IF(AB600="","",INDEX(시장분석!$E:$E,AB600))),IF(AB600="","",INDEX(시장분석!$E:$E,AB600)),""))</f>
        <v/>
      </c>
      <c r="AG600" s="43" t="str">
        <f aca="false">IF(Q600&lt;&gt;1,"",IF(AB600&lt;&gt;"",IF(AB600="","",INDEX(시장분석!$L:$L,AB600)),IFERROR(IF(VLOOKUP(R600,매핑!$A$4:$E$92,5,0)="","미분류",VLOOKUP(R600,매핑!$A$4:$E$92,5,0)),"미분류")))</f>
        <v/>
      </c>
      <c r="AH600" s="43" t="str">
        <f aca="false">IF(Q600&lt;&gt;1,"",IF(AB600&lt;&gt;"",IF(AB600="","",INDEX(시장분석!$N:$N,AB600)),IFERROR(IF(VLOOKUP(R600,매핑!$A$4:$E$92,4,0)="","미분류",VLOOKUP(R600,매핑!$A$4:$E$92,4,0)),"미분류")))</f>
        <v/>
      </c>
      <c r="AI600" s="43" t="str">
        <f aca="false">IF(Q600&lt;&gt;1,"",IFERROR(IF(VLOOKUP(R600,매핑!$A$4:$E$92,3,0)="","미분류",VLOOKUP(R600,매핑!$A$4:$E$92,3,0)),IF(AB600&lt;&gt;"",IF(AB600="","",INDEX(시장분석!$W:$W,AB600)),"미분류")))</f>
        <v/>
      </c>
      <c r="AJ600" s="43" t="str">
        <f aca="false">IF(Q600&lt;&gt;1,"",IFERROR(VLOOKUP(IF(N600&lt;&gt;"",N600,IF(P600&lt;&gt;"",P600,O600)),설정!$A$15:$D$47,2,0),""))</f>
        <v/>
      </c>
      <c r="AK600" s="43" t="str">
        <f aca="false">IF(Q600&lt;&gt;1,"",IF(AJ600="","무등급",IFERROR(VLOOKUP(AJ600,설정!$A$15:$D$47,3,0),"무등급")))</f>
        <v/>
      </c>
      <c r="AL600" s="89" t="n">
        <f aca="false">IF(AJ600="",99,IFERROR(VLOOKUP(AJ600,설정!$A$15:$D$47,4,0),99))</f>
        <v>99</v>
      </c>
      <c r="AM600" s="94" t="n">
        <f aca="false">IF(ISNUMBER(H600),AA600*1000000*H600/10000,0)</f>
        <v>0</v>
      </c>
      <c r="AN600" s="94" t="n">
        <f aca="false">IF(OR(Y600=1,NOT(ISNUMBER(Z600))),0,AA600*1000000*Z600/10000)</f>
        <v>0</v>
      </c>
      <c r="AO600" s="94" t="n">
        <f aca="false">IF(ISNUMBER(G600),AA600*1000000*G600/100,0)</f>
        <v>0</v>
      </c>
      <c r="AP600" s="94" t="n">
        <f aca="false">IF(ISNUMBER(M600),M600*K600,0)</f>
        <v>0</v>
      </c>
      <c r="AQ600" s="95" t="str">
        <f aca="false">IF(AB600="","",INDEX(시장분석!$AK:$AK,AB600))</f>
        <v/>
      </c>
      <c r="AR600" s="43" t="str">
        <f aca="false">IF(AB600="","-",IF(AB600="","",INDEX(시장분석!$AL:$AL,AB600)))</f>
        <v>-</v>
      </c>
      <c r="AS600" s="96" t="str">
        <f aca="false">IF(AB600="","",INDEX(시장분석!$AJ:$AJ,AB600))</f>
        <v/>
      </c>
      <c r="AT600" s="93" t="n">
        <f aca="false">IF(AB600="",0,IF(AB600="","",INDEX(시장분석!$AN:$AN,AB600)))</f>
        <v>0</v>
      </c>
      <c r="AU600" s="94" t="n">
        <f aca="false">IF(ISNUMBER(Z600),AT600/10000*MAX(Z600-1,0)*AA600*1000000,0)</f>
        <v>0</v>
      </c>
      <c r="AV600" s="94" t="n">
        <f aca="false">AO600+AU600</f>
        <v>0</v>
      </c>
      <c r="AW600" s="43" t="str">
        <f aca="false">IF(Q600&lt;&gt;1,"",TRIM(IF(AD600=1,"FRN ","")&amp;IF(AND(AL600&gt;=10,AL600&lt;99),"BBB0미만 ","")&amp;IF(AJ600="","등급없음 ","")&amp;IF(K600&lt;&gt;1,"비USD ","")&amp;IF(AND(AB600="",Y600=0),"시장데이터없음 ","")&amp;IF(AND(ISNUMBER(U600),U600&lt;0),"만기경과 ","")))</f>
        <v/>
      </c>
      <c r="AX600" s="90" t="n">
        <f aca="false">IF(Q600&lt;&gt;1,1,IF(스프레드쇼크!$C$4="Y",INDEX(스프레드쇼크!$B$12:$L$16,IFERROR(MATCH(AH600,스프레드쇼크!$A$12:$A$16,0),MATCH("목록외",스프레드쇼크!$A$12:$A$16,0)),IFERROR(MATCH(AG600,스프레드쇼크!$B$11:$L$11,0),MATCH("목록외",스프레드쇼크!$B$11:$L$11,0))),1))</f>
        <v>1</v>
      </c>
      <c r="AY600" s="90" t="n">
        <f aca="false">IF(스프레드쇼크!$C$5="Y",IF(ISNUMBER(AF600),MIN(스프레드쇼크!$C$7,MAX(스프레드쇼크!$C$6,AF600/스프레드쇼크!$C$8)),1),1)</f>
        <v>1</v>
      </c>
      <c r="AZ600" s="94" t="n">
        <f aca="false">AN600*AX600*AY600</f>
        <v>0</v>
      </c>
      <c r="BA600" s="90" t="n">
        <f aca="false">IF(ISNUMBER(G600),AA600*G600,0)</f>
        <v>0</v>
      </c>
      <c r="BB600" s="90" t="n">
        <f aca="false">IF(ISNUMBER(G600),AA600,0)</f>
        <v>0</v>
      </c>
      <c r="BC600" s="90" t="n">
        <f aca="false">IF(AND(Y600=0,ISNUMBER(AF600)),AA600*AF600,0)</f>
        <v>0</v>
      </c>
      <c r="BD600" s="90" t="n">
        <f aca="false">IF(AND(Y600=0,ISNUMBER(AF600)),AA600,0)</f>
        <v>0</v>
      </c>
      <c r="BE600" s="90" t="n">
        <f aca="false">IF(ISNUMBER(H600),AA600*H600,0)</f>
        <v>0</v>
      </c>
      <c r="BF600" s="90" t="n">
        <f aca="false">IF(ISNUMBER(H600),AA600,0)</f>
        <v>0</v>
      </c>
      <c r="BG600" s="90" t="n">
        <f aca="false">IF(AND(Y600=0,ISNUMBER(AF600),ISNUMBER(Z600)),AA600*Z600,0)</f>
        <v>0</v>
      </c>
      <c r="BH600" s="90" t="n">
        <f aca="false">IF(AND(Y600=0,ISNUMBER(AF600),ISNUMBER(Z600)),AA600*AT600*MAX(Z600-1,0),0)</f>
        <v>0</v>
      </c>
      <c r="BI600" s="90" t="n">
        <f aca="false">IF(Y600=0,AA600,0)</f>
        <v>0</v>
      </c>
    </row>
    <row r="601" customFormat="false" ht="15" hidden="false" customHeight="false" outlineLevel="0" collapsed="false">
      <c r="A601" s="83" t="str">
        <f aca="false">IFERROR(IF(INDEX(원자료_잔고!$A$1:$EZ$1500,설정!$L$5+ROW()-1,설정!$L$8)&amp;""="0","",INDEX(원자료_잔고!$A$1:$EZ$1500,설정!$L$5+ROW()-1,설정!$L$8)&amp;""),"")</f>
        <v/>
      </c>
      <c r="B601" s="83" t="str">
        <f aca="false">IFERROR(IF(INDEX(원자료_잔고!$A$1:$EZ$1500,설정!$L$5+ROW()-1,설정!$L$7)&amp;""="0","",INDEX(원자료_잔고!$A$1:$EZ$1500,설정!$L$5+ROW()-1,설정!$L$7)&amp;""),"")</f>
        <v/>
      </c>
      <c r="C601" s="83" t="str">
        <f aca="false">IFERROR(IF(INDEX(원자료_잔고!$A$1:$EZ$1500,설정!$L$5+ROW()-1,설정!$L$9)&amp;""="0","",INDEX(원자료_잔고!$A$1:$EZ$1500,설정!$L$5+ROW()-1,설정!$L$9)&amp;""),"")</f>
        <v/>
      </c>
      <c r="D601" s="83" t="str">
        <f aca="false">IFERROR(IF(INDEX(원자료_잔고!$A$1:$EZ$1500,설정!$L$5+ROW()-1,설정!$L$10)&amp;""="0","",INDEX(원자료_잔고!$A$1:$EZ$1500,설정!$L$5+ROW()-1,설정!$L$10)&amp;""),"")</f>
        <v/>
      </c>
      <c r="E601" s="84" t="str">
        <f aca="false">IFERROR(IF(ISNUMBER(INDEX(원자료_잔고!$A$1:$EZ$1500,설정!$L$5+ROW()-1,설정!$L$11)),INDEX(원자료_잔고!$A$1:$EZ$1500,설정!$L$5+ROW()-1,설정!$L$11),""),"")</f>
        <v/>
      </c>
      <c r="F601" s="85" t="str">
        <f aca="false">IFERROR(IF(ISNUMBER(INDEX(원자료_잔고!$A$1:$EZ$1500,설정!$L$5+ROW()-1,설정!$L$12)),INDEX(원자료_잔고!$A$1:$EZ$1500,설정!$L$5+ROW()-1,설정!$L$12),""),"")</f>
        <v/>
      </c>
      <c r="G601" s="85" t="str">
        <f aca="false">IFERROR(IF(ISNUMBER(INDEX(원자료_잔고!$A$1:$EZ$1500,설정!$L$5+ROW()-1,설정!$L$13)),INDEX(원자료_잔고!$A$1:$EZ$1500,설정!$L$5+ROW()-1,설정!$L$13),""),"")</f>
        <v/>
      </c>
      <c r="H601" s="85" t="str">
        <f aca="false">IFERROR(IF(ISNUMBER(INDEX(원자료_잔고!$A$1:$EZ$1500,설정!$L$5+ROW()-1,설정!$L$14)),INDEX(원자료_잔고!$A$1:$EZ$1500,설정!$L$5+ROW()-1,설정!$L$14),""),"")</f>
        <v/>
      </c>
      <c r="I601" s="86" t="str">
        <f aca="false">IFERROR(IF(ISNUMBER(INDEX(원자료_잔고!$A$1:$EZ$1500,설정!$L$5+ROW()-1,설정!$L$15)),INDEX(원자료_잔고!$A$1:$EZ$1500,설정!$L$5+ROW()-1,설정!$L$15),""),"")</f>
        <v/>
      </c>
      <c r="J601" s="85" t="str">
        <f aca="false">IFERROR(IF(ISNUMBER(INDEX(원자료_잔고!$A$1:$EZ$1500,설정!$L$5+ROW()-1,설정!$L$16)),INDEX(원자료_잔고!$A$1:$EZ$1500,설정!$L$5+ROW()-1,설정!$L$16),""),"")</f>
        <v/>
      </c>
      <c r="K601" s="87" t="str">
        <f aca="false">IFERROR(IF(ISNUMBER(INDEX(원자료_잔고!$A$1:$EZ$1500,설정!$L$5+ROW()-1,설정!$L$17)),INDEX(원자료_잔고!$A$1:$EZ$1500,설정!$L$5+ROW()-1,설정!$L$17),""),"")</f>
        <v/>
      </c>
      <c r="L601" s="84" t="str">
        <f aca="false">IFERROR(IF(ISNUMBER(INDEX(원자료_잔고!$A$1:$EZ$1500,설정!$L$5+ROW()-1,설정!$L$18)),INDEX(원자료_잔고!$A$1:$EZ$1500,설정!$L$5+ROW()-1,설정!$L$18),""),"")</f>
        <v/>
      </c>
      <c r="M601" s="88" t="str">
        <f aca="false">IFERROR(IF(ISNUMBER(INDEX(원자료_잔고!$A$1:$EZ$1500,설정!$L$5+ROW()-1,설정!$L$19)),INDEX(원자료_잔고!$A$1:$EZ$1500,설정!$L$5+ROW()-1,설정!$L$19),""),"")</f>
        <v/>
      </c>
      <c r="N601" s="83" t="str">
        <f aca="false">IFERROR(IF(INDEX(원자료_잔고!$A$1:$EZ$1500,설정!$L$5+ROW()-1,설정!$L$21)&amp;""="0","",INDEX(원자료_잔고!$A$1:$EZ$1500,설정!$L$5+ROW()-1,설정!$L$21)&amp;""),"")</f>
        <v/>
      </c>
      <c r="O601" s="83" t="str">
        <f aca="false">IFERROR(IF(INDEX(원자료_잔고!$A$1:$EZ$1500,설정!$L$5+ROW()-1,설정!$L$22)&amp;""="0","",INDEX(원자료_잔고!$A$1:$EZ$1500,설정!$L$5+ROW()-1,설정!$L$22)&amp;""),"")</f>
        <v/>
      </c>
      <c r="P601" s="83" t="str">
        <f aca="false">IFERROR(IF(INDEX(원자료_잔고!$A$1:$EZ$1500,설정!$L$5+ROW()-1,설정!$L$23)&amp;""="0","",INDEX(원자료_잔고!$A$1:$EZ$1500,설정!$L$5+ROW()-1,설정!$L$23)&amp;""),"")</f>
        <v/>
      </c>
      <c r="Q601" s="89" t="n">
        <f aca="false">IF(AND($A601&lt;&gt;"",ISNUMBER(E601)),IF(E601&gt;0,1,0),0)</f>
        <v>0</v>
      </c>
      <c r="R601" s="43" t="str">
        <f aca="false">IF(Q601=1,UPPER(LEFT($A601,FIND(" ",$A601&amp;" ")-1)),"")</f>
        <v/>
      </c>
      <c r="S601" s="89" t="n">
        <f aca="false">IF(Q601=1,IF(OR(ISNUMBER(SEARCH("Float",$A601)),ISNUMBER(SEARCH("FRN",$A601))),1,0),0)</f>
        <v>0</v>
      </c>
      <c r="T601" s="43" t="str">
        <f aca="false">IF(AND(Q601=1,ISNUMBER(I601)),TEXT(I601,"yyyymmdd")&amp;"|"&amp;IF(S601=1,"F",TEXT(J601,"0.000")),"")</f>
        <v/>
      </c>
      <c r="U601" s="90" t="str">
        <f aca="false">IF(AND(Q601=1,ISNUMBER(I601)),(I601-설정!$C$4)/365.25,"")</f>
        <v/>
      </c>
      <c r="V601" s="43" t="str">
        <f aca="false">IF(Q601&lt;&gt;1,"",IF(ISNUMBER(U601),IF(U601&lt;=1,"1년 이하",IF(U601&lt;=2,"1-2년",IF(U601&lt;=3,"2-3년",IF(U601&lt;=4,"3-4년",IF(U601&lt;=5,"4-5년",IF(U601&lt;=7,"5-7년",IF(U601&lt;=10,"7-10년",IF(U601&lt;=20,"10-20년","20년 이상")))))))),"미분류"))</f>
        <v/>
      </c>
      <c r="W601" s="43" t="str">
        <f aca="false">IF(Q601&lt;&gt;1,"",IF(AB601&lt;&gt;"",INDEX(시장분석!$C:$C,AB601),IF(K601=1,"USD","비USD")))</f>
        <v/>
      </c>
      <c r="X601" s="91" t="n">
        <f aca="false">IF(Q601=1,E601*K601/1000000,0)</f>
        <v>0</v>
      </c>
      <c r="Y601" s="89" t="n">
        <f aca="false">IF(R601="T",1,0)</f>
        <v>0</v>
      </c>
      <c r="Z601" s="92" t="str">
        <f aca="false">IF(Q601&lt;&gt;1,"",IF(AD601=1,IF(ISNUMBER(U601),MAX(U601,0),H601),H601))</f>
        <v/>
      </c>
      <c r="AA601" s="91" t="n">
        <f aca="false">IF(Q601=1,IF(ISNUMBER(L601),L601,0)*K601/1000000,0)</f>
        <v>0</v>
      </c>
      <c r="AB601" s="89" t="str">
        <f aca="false">IF(Q601&lt;&gt;1,"",IFERROR(MATCH(VLOOKUP(B601,매핑!$H$4:$I$15,2,0),시장분석!$A$2:$A$601,0)+1,IFERROR(MATCH(R601&amp;"|"&amp;T601,시장분석!$V$2:$V$601,0)+1,IF(COUNTIF(시장분석!$U$2:$U$601,T601)=1,MATCH(T601,시장분석!$U$2:$U$601,0)+1,""))))</f>
        <v/>
      </c>
      <c r="AC601" s="89" t="n">
        <f aca="false">IF(Q601&lt;&gt;1,0,IF(OR(설정!$C$5="전체",AND(설정!$C$5="선택펀드",IFERROR(COUNTIFS(설정!$F$16:$F$36,C601,설정!$G$16:$G$36,"Y")+COUNTIFS(설정!$F$16:$F$36,VALUE(C601),설정!$G$16:$G$36,"Y"),0)&gt;0),C601&amp;""=설정!$C$5&amp;""),1,0))</f>
        <v>0</v>
      </c>
      <c r="AD601" s="89" t="n">
        <f aca="false">IF(Q601&lt;&gt;1,0,IF(OR(S601=1,IF(AB601="",FALSE(),INDEX(시장분석!$R:$R,AB601)=1)),1,0))</f>
        <v>0</v>
      </c>
      <c r="AE601" s="43" t="str">
        <f aca="false">IF(AB601="","",INDEX(시장분석!$A:$A,AB601))</f>
        <v/>
      </c>
      <c r="AF601" s="93" t="str">
        <f aca="false">IF(AB601="","",IF(ISNUMBER(IF(AB601="","",INDEX(시장분석!$E:$E,AB601))),IF(AB601="","",INDEX(시장분석!$E:$E,AB601)),""))</f>
        <v/>
      </c>
      <c r="AG601" s="43" t="str">
        <f aca="false">IF(Q601&lt;&gt;1,"",IF(AB601&lt;&gt;"",IF(AB601="","",INDEX(시장분석!$L:$L,AB601)),IFERROR(IF(VLOOKUP(R601,매핑!$A$4:$E$92,5,0)="","미분류",VLOOKUP(R601,매핑!$A$4:$E$92,5,0)),"미분류")))</f>
        <v/>
      </c>
      <c r="AH601" s="43" t="str">
        <f aca="false">IF(Q601&lt;&gt;1,"",IF(AB601&lt;&gt;"",IF(AB601="","",INDEX(시장분석!$N:$N,AB601)),IFERROR(IF(VLOOKUP(R601,매핑!$A$4:$E$92,4,0)="","미분류",VLOOKUP(R601,매핑!$A$4:$E$92,4,0)),"미분류")))</f>
        <v/>
      </c>
      <c r="AI601" s="43" t="str">
        <f aca="false">IF(Q601&lt;&gt;1,"",IFERROR(IF(VLOOKUP(R601,매핑!$A$4:$E$92,3,0)="","미분류",VLOOKUP(R601,매핑!$A$4:$E$92,3,0)),IF(AB601&lt;&gt;"",IF(AB601="","",INDEX(시장분석!$W:$W,AB601)),"미분류")))</f>
        <v/>
      </c>
      <c r="AJ601" s="43" t="str">
        <f aca="false">IF(Q601&lt;&gt;1,"",IFERROR(VLOOKUP(IF(N601&lt;&gt;"",N601,IF(P601&lt;&gt;"",P601,O601)),설정!$A$15:$D$47,2,0),""))</f>
        <v/>
      </c>
      <c r="AK601" s="43" t="str">
        <f aca="false">IF(Q601&lt;&gt;1,"",IF(AJ601="","무등급",IFERROR(VLOOKUP(AJ601,설정!$A$15:$D$47,3,0),"무등급")))</f>
        <v/>
      </c>
      <c r="AL601" s="89" t="n">
        <f aca="false">IF(AJ601="",99,IFERROR(VLOOKUP(AJ601,설정!$A$15:$D$47,4,0),99))</f>
        <v>99</v>
      </c>
      <c r="AM601" s="94" t="n">
        <f aca="false">IF(ISNUMBER(H601),AA601*1000000*H601/10000,0)</f>
        <v>0</v>
      </c>
      <c r="AN601" s="94" t="n">
        <f aca="false">IF(OR(Y601=1,NOT(ISNUMBER(Z601))),0,AA601*1000000*Z601/10000)</f>
        <v>0</v>
      </c>
      <c r="AO601" s="94" t="n">
        <f aca="false">IF(ISNUMBER(G601),AA601*1000000*G601/100,0)</f>
        <v>0</v>
      </c>
      <c r="AP601" s="94" t="n">
        <f aca="false">IF(ISNUMBER(M601),M601*K601,0)</f>
        <v>0</v>
      </c>
      <c r="AQ601" s="95" t="str">
        <f aca="false">IF(AB601="","",INDEX(시장분석!$AK:$AK,AB601))</f>
        <v/>
      </c>
      <c r="AR601" s="43" t="str">
        <f aca="false">IF(AB601="","-",IF(AB601="","",INDEX(시장분석!$AL:$AL,AB601)))</f>
        <v>-</v>
      </c>
      <c r="AS601" s="96" t="str">
        <f aca="false">IF(AB601="","",INDEX(시장분석!$AJ:$AJ,AB601))</f>
        <v/>
      </c>
      <c r="AT601" s="93" t="n">
        <f aca="false">IF(AB601="",0,IF(AB601="","",INDEX(시장분석!$AN:$AN,AB601)))</f>
        <v>0</v>
      </c>
      <c r="AU601" s="94" t="n">
        <f aca="false">IF(ISNUMBER(Z601),AT601/10000*MAX(Z601-1,0)*AA601*1000000,0)</f>
        <v>0</v>
      </c>
      <c r="AV601" s="94" t="n">
        <f aca="false">AO601+AU601</f>
        <v>0</v>
      </c>
      <c r="AW601" s="43" t="str">
        <f aca="false">IF(Q601&lt;&gt;1,"",TRIM(IF(AD601=1,"FRN ","")&amp;IF(AND(AL601&gt;=10,AL601&lt;99),"BBB0미만 ","")&amp;IF(AJ601="","등급없음 ","")&amp;IF(K601&lt;&gt;1,"비USD ","")&amp;IF(AND(AB601="",Y601=0),"시장데이터없음 ","")&amp;IF(AND(ISNUMBER(U601),U601&lt;0),"만기경과 ","")))</f>
        <v/>
      </c>
      <c r="AX601" s="90" t="n">
        <f aca="false">IF(Q601&lt;&gt;1,1,IF(스프레드쇼크!$C$4="Y",INDEX(스프레드쇼크!$B$12:$L$16,IFERROR(MATCH(AH601,스프레드쇼크!$A$12:$A$16,0),MATCH("목록외",스프레드쇼크!$A$12:$A$16,0)),IFERROR(MATCH(AG601,스프레드쇼크!$B$11:$L$11,0),MATCH("목록외",스프레드쇼크!$B$11:$L$11,0))),1))</f>
        <v>1</v>
      </c>
      <c r="AY601" s="90" t="n">
        <f aca="false">IF(스프레드쇼크!$C$5="Y",IF(ISNUMBER(AF601),MIN(스프레드쇼크!$C$7,MAX(스프레드쇼크!$C$6,AF601/스프레드쇼크!$C$8)),1),1)</f>
        <v>1</v>
      </c>
      <c r="AZ601" s="94" t="n">
        <f aca="false">AN601*AX601*AY601</f>
        <v>0</v>
      </c>
      <c r="BA601" s="90" t="n">
        <f aca="false">IF(ISNUMBER(G601),AA601*G601,0)</f>
        <v>0</v>
      </c>
      <c r="BB601" s="90" t="n">
        <f aca="false">IF(ISNUMBER(G601),AA601,0)</f>
        <v>0</v>
      </c>
      <c r="BC601" s="90" t="n">
        <f aca="false">IF(AND(Y601=0,ISNUMBER(AF601)),AA601*AF601,0)</f>
        <v>0</v>
      </c>
      <c r="BD601" s="90" t="n">
        <f aca="false">IF(AND(Y601=0,ISNUMBER(AF601)),AA601,0)</f>
        <v>0</v>
      </c>
      <c r="BE601" s="90" t="n">
        <f aca="false">IF(ISNUMBER(H601),AA601*H601,0)</f>
        <v>0</v>
      </c>
      <c r="BF601" s="90" t="n">
        <f aca="false">IF(ISNUMBER(H601),AA601,0)</f>
        <v>0</v>
      </c>
      <c r="BG601" s="90" t="n">
        <f aca="false">IF(AND(Y601=0,ISNUMBER(AF601),ISNUMBER(Z601)),AA601*Z601,0)</f>
        <v>0</v>
      </c>
      <c r="BH601" s="90" t="n">
        <f aca="false">IF(AND(Y601=0,ISNUMBER(AF601),ISNUMBER(Z601)),AA601*AT601*MAX(Z601-1,0),0)</f>
        <v>0</v>
      </c>
      <c r="BI601" s="90" t="n">
        <f aca="false">IF(Y601=0,AA601,0)</f>
        <v>0</v>
      </c>
    </row>
    <row r="602" customFormat="false" ht="15" hidden="false" customHeight="false" outlineLevel="0" collapsed="false">
      <c r="A602" s="83" t="str">
        <f aca="false">IFERROR(IF(INDEX(원자료_잔고!$A$1:$EZ$1500,설정!$L$5+ROW()-1,설정!$L$8)&amp;""="0","",INDEX(원자료_잔고!$A$1:$EZ$1500,설정!$L$5+ROW()-1,설정!$L$8)&amp;""),"")</f>
        <v/>
      </c>
      <c r="B602" s="83" t="str">
        <f aca="false">IFERROR(IF(INDEX(원자료_잔고!$A$1:$EZ$1500,설정!$L$5+ROW()-1,설정!$L$7)&amp;""="0","",INDEX(원자료_잔고!$A$1:$EZ$1500,설정!$L$5+ROW()-1,설정!$L$7)&amp;""),"")</f>
        <v/>
      </c>
      <c r="C602" s="83" t="str">
        <f aca="false">IFERROR(IF(INDEX(원자료_잔고!$A$1:$EZ$1500,설정!$L$5+ROW()-1,설정!$L$9)&amp;""="0","",INDEX(원자료_잔고!$A$1:$EZ$1500,설정!$L$5+ROW()-1,설정!$L$9)&amp;""),"")</f>
        <v/>
      </c>
      <c r="D602" s="83" t="str">
        <f aca="false">IFERROR(IF(INDEX(원자료_잔고!$A$1:$EZ$1500,설정!$L$5+ROW()-1,설정!$L$10)&amp;""="0","",INDEX(원자료_잔고!$A$1:$EZ$1500,설정!$L$5+ROW()-1,설정!$L$10)&amp;""),"")</f>
        <v/>
      </c>
      <c r="E602" s="84" t="str">
        <f aca="false">IFERROR(IF(ISNUMBER(INDEX(원자료_잔고!$A$1:$EZ$1500,설정!$L$5+ROW()-1,설정!$L$11)),INDEX(원자료_잔고!$A$1:$EZ$1500,설정!$L$5+ROW()-1,설정!$L$11),""),"")</f>
        <v/>
      </c>
      <c r="F602" s="85" t="str">
        <f aca="false">IFERROR(IF(ISNUMBER(INDEX(원자료_잔고!$A$1:$EZ$1500,설정!$L$5+ROW()-1,설정!$L$12)),INDEX(원자료_잔고!$A$1:$EZ$1500,설정!$L$5+ROW()-1,설정!$L$12),""),"")</f>
        <v/>
      </c>
      <c r="G602" s="85" t="str">
        <f aca="false">IFERROR(IF(ISNUMBER(INDEX(원자료_잔고!$A$1:$EZ$1500,설정!$L$5+ROW()-1,설정!$L$13)),INDEX(원자료_잔고!$A$1:$EZ$1500,설정!$L$5+ROW()-1,설정!$L$13),""),"")</f>
        <v/>
      </c>
      <c r="H602" s="85" t="str">
        <f aca="false">IFERROR(IF(ISNUMBER(INDEX(원자료_잔고!$A$1:$EZ$1500,설정!$L$5+ROW()-1,설정!$L$14)),INDEX(원자료_잔고!$A$1:$EZ$1500,설정!$L$5+ROW()-1,설정!$L$14),""),"")</f>
        <v/>
      </c>
      <c r="I602" s="86" t="str">
        <f aca="false">IFERROR(IF(ISNUMBER(INDEX(원자료_잔고!$A$1:$EZ$1500,설정!$L$5+ROW()-1,설정!$L$15)),INDEX(원자료_잔고!$A$1:$EZ$1500,설정!$L$5+ROW()-1,설정!$L$15),""),"")</f>
        <v/>
      </c>
      <c r="J602" s="85" t="str">
        <f aca="false">IFERROR(IF(ISNUMBER(INDEX(원자료_잔고!$A$1:$EZ$1500,설정!$L$5+ROW()-1,설정!$L$16)),INDEX(원자료_잔고!$A$1:$EZ$1500,설정!$L$5+ROW()-1,설정!$L$16),""),"")</f>
        <v/>
      </c>
      <c r="K602" s="87" t="str">
        <f aca="false">IFERROR(IF(ISNUMBER(INDEX(원자료_잔고!$A$1:$EZ$1500,설정!$L$5+ROW()-1,설정!$L$17)),INDEX(원자료_잔고!$A$1:$EZ$1500,설정!$L$5+ROW()-1,설정!$L$17),""),"")</f>
        <v/>
      </c>
      <c r="L602" s="84" t="str">
        <f aca="false">IFERROR(IF(ISNUMBER(INDEX(원자료_잔고!$A$1:$EZ$1500,설정!$L$5+ROW()-1,설정!$L$18)),INDEX(원자료_잔고!$A$1:$EZ$1500,설정!$L$5+ROW()-1,설정!$L$18),""),"")</f>
        <v/>
      </c>
      <c r="M602" s="88" t="str">
        <f aca="false">IFERROR(IF(ISNUMBER(INDEX(원자료_잔고!$A$1:$EZ$1500,설정!$L$5+ROW()-1,설정!$L$19)),INDEX(원자료_잔고!$A$1:$EZ$1500,설정!$L$5+ROW()-1,설정!$L$19),""),"")</f>
        <v/>
      </c>
      <c r="N602" s="83" t="str">
        <f aca="false">IFERROR(IF(INDEX(원자료_잔고!$A$1:$EZ$1500,설정!$L$5+ROW()-1,설정!$L$21)&amp;""="0","",INDEX(원자료_잔고!$A$1:$EZ$1500,설정!$L$5+ROW()-1,설정!$L$21)&amp;""),"")</f>
        <v/>
      </c>
      <c r="O602" s="83" t="str">
        <f aca="false">IFERROR(IF(INDEX(원자료_잔고!$A$1:$EZ$1500,설정!$L$5+ROW()-1,설정!$L$22)&amp;""="0","",INDEX(원자료_잔고!$A$1:$EZ$1500,설정!$L$5+ROW()-1,설정!$L$22)&amp;""),"")</f>
        <v/>
      </c>
      <c r="P602" s="83" t="str">
        <f aca="false">IFERROR(IF(INDEX(원자료_잔고!$A$1:$EZ$1500,설정!$L$5+ROW()-1,설정!$L$23)&amp;""="0","",INDEX(원자료_잔고!$A$1:$EZ$1500,설정!$L$5+ROW()-1,설정!$L$23)&amp;""),"")</f>
        <v/>
      </c>
      <c r="Q602" s="89" t="n">
        <f aca="false">IF(AND($A602&lt;&gt;"",ISNUMBER(E602)),IF(E602&gt;0,1,0),0)</f>
        <v>0</v>
      </c>
      <c r="R602" s="43" t="str">
        <f aca="false">IF(Q602=1,UPPER(LEFT($A602,FIND(" ",$A602&amp;" ")-1)),"")</f>
        <v/>
      </c>
      <c r="S602" s="89" t="n">
        <f aca="false">IF(Q602=1,IF(OR(ISNUMBER(SEARCH("Float",$A602)),ISNUMBER(SEARCH("FRN",$A602))),1,0),0)</f>
        <v>0</v>
      </c>
      <c r="T602" s="43" t="str">
        <f aca="false">IF(AND(Q602=1,ISNUMBER(I602)),TEXT(I602,"yyyymmdd")&amp;"|"&amp;IF(S602=1,"F",TEXT(J602,"0.000")),"")</f>
        <v/>
      </c>
      <c r="U602" s="90" t="str">
        <f aca="false">IF(AND(Q602=1,ISNUMBER(I602)),(I602-설정!$C$4)/365.25,"")</f>
        <v/>
      </c>
      <c r="V602" s="43" t="str">
        <f aca="false">IF(Q602&lt;&gt;1,"",IF(ISNUMBER(U602),IF(U602&lt;=1,"1년 이하",IF(U602&lt;=2,"1-2년",IF(U602&lt;=3,"2-3년",IF(U602&lt;=4,"3-4년",IF(U602&lt;=5,"4-5년",IF(U602&lt;=7,"5-7년",IF(U602&lt;=10,"7-10년",IF(U602&lt;=20,"10-20년","20년 이상")))))))),"미분류"))</f>
        <v/>
      </c>
      <c r="W602" s="43" t="str">
        <f aca="false">IF(Q602&lt;&gt;1,"",IF(AB602&lt;&gt;"",INDEX(시장분석!$C:$C,AB602),IF(K602=1,"USD","비USD")))</f>
        <v/>
      </c>
      <c r="X602" s="91" t="n">
        <f aca="false">IF(Q602=1,E602*K602/1000000,0)</f>
        <v>0</v>
      </c>
      <c r="Y602" s="89" t="n">
        <f aca="false">IF(R602="T",1,0)</f>
        <v>0</v>
      </c>
      <c r="Z602" s="92" t="str">
        <f aca="false">IF(Q602&lt;&gt;1,"",IF(AD602=1,IF(ISNUMBER(U602),MAX(U602,0),H602),H602))</f>
        <v/>
      </c>
      <c r="AA602" s="91" t="n">
        <f aca="false">IF(Q602=1,IF(ISNUMBER(L602),L602,0)*K602/1000000,0)</f>
        <v>0</v>
      </c>
      <c r="AB602" s="89" t="str">
        <f aca="false">IF(Q602&lt;&gt;1,"",IFERROR(MATCH(VLOOKUP(B602,매핑!$H$4:$I$15,2,0),시장분석!$A$2:$A$601,0)+1,IFERROR(MATCH(R602&amp;"|"&amp;T602,시장분석!$V$2:$V$601,0)+1,IF(COUNTIF(시장분석!$U$2:$U$601,T602)=1,MATCH(T602,시장분석!$U$2:$U$601,0)+1,""))))</f>
        <v/>
      </c>
      <c r="AC602" s="89" t="n">
        <f aca="false">IF(Q602&lt;&gt;1,0,IF(OR(설정!$C$5="전체",AND(설정!$C$5="선택펀드",IFERROR(COUNTIFS(설정!$F$16:$F$36,C602,설정!$G$16:$G$36,"Y")+COUNTIFS(설정!$F$16:$F$36,VALUE(C602),설정!$G$16:$G$36,"Y"),0)&gt;0),C602&amp;""=설정!$C$5&amp;""),1,0))</f>
        <v>0</v>
      </c>
      <c r="AD602" s="89" t="n">
        <f aca="false">IF(Q602&lt;&gt;1,0,IF(OR(S602=1,IF(AB602="",FALSE(),INDEX(시장분석!$R:$R,AB602)=1)),1,0))</f>
        <v>0</v>
      </c>
      <c r="AE602" s="43" t="str">
        <f aca="false">IF(AB602="","",INDEX(시장분석!$A:$A,AB602))</f>
        <v/>
      </c>
      <c r="AF602" s="93" t="str">
        <f aca="false">IF(AB602="","",IF(ISNUMBER(IF(AB602="","",INDEX(시장분석!$E:$E,AB602))),IF(AB602="","",INDEX(시장분석!$E:$E,AB602)),""))</f>
        <v/>
      </c>
      <c r="AG602" s="43" t="str">
        <f aca="false">IF(Q602&lt;&gt;1,"",IF(AB602&lt;&gt;"",IF(AB602="","",INDEX(시장분석!$L:$L,AB602)),IFERROR(IF(VLOOKUP(R602,매핑!$A$4:$E$92,5,0)="","미분류",VLOOKUP(R602,매핑!$A$4:$E$92,5,0)),"미분류")))</f>
        <v/>
      </c>
      <c r="AH602" s="43" t="str">
        <f aca="false">IF(Q602&lt;&gt;1,"",IF(AB602&lt;&gt;"",IF(AB602="","",INDEX(시장분석!$N:$N,AB602)),IFERROR(IF(VLOOKUP(R602,매핑!$A$4:$E$92,4,0)="","미분류",VLOOKUP(R602,매핑!$A$4:$E$92,4,0)),"미분류")))</f>
        <v/>
      </c>
      <c r="AI602" s="43" t="str">
        <f aca="false">IF(Q602&lt;&gt;1,"",IFERROR(IF(VLOOKUP(R602,매핑!$A$4:$E$92,3,0)="","미분류",VLOOKUP(R602,매핑!$A$4:$E$92,3,0)),IF(AB602&lt;&gt;"",IF(AB602="","",INDEX(시장분석!$W:$W,AB602)),"미분류")))</f>
        <v/>
      </c>
      <c r="AJ602" s="43" t="str">
        <f aca="false">IF(Q602&lt;&gt;1,"",IFERROR(VLOOKUP(IF(N602&lt;&gt;"",N602,IF(P602&lt;&gt;"",P602,O602)),설정!$A$15:$D$47,2,0),""))</f>
        <v/>
      </c>
      <c r="AK602" s="43" t="str">
        <f aca="false">IF(Q602&lt;&gt;1,"",IF(AJ602="","무등급",IFERROR(VLOOKUP(AJ602,설정!$A$15:$D$47,3,0),"무등급")))</f>
        <v/>
      </c>
      <c r="AL602" s="89" t="n">
        <f aca="false">IF(AJ602="",99,IFERROR(VLOOKUP(AJ602,설정!$A$15:$D$47,4,0),99))</f>
        <v>99</v>
      </c>
      <c r="AM602" s="94" t="n">
        <f aca="false">IF(ISNUMBER(H602),AA602*1000000*H602/10000,0)</f>
        <v>0</v>
      </c>
      <c r="AN602" s="94" t="n">
        <f aca="false">IF(OR(Y602=1,NOT(ISNUMBER(Z602))),0,AA602*1000000*Z602/10000)</f>
        <v>0</v>
      </c>
      <c r="AO602" s="94" t="n">
        <f aca="false">IF(ISNUMBER(G602),AA602*1000000*G602/100,0)</f>
        <v>0</v>
      </c>
      <c r="AP602" s="94" t="n">
        <f aca="false">IF(ISNUMBER(M602),M602*K602,0)</f>
        <v>0</v>
      </c>
      <c r="AQ602" s="95" t="str">
        <f aca="false">IF(AB602="","",INDEX(시장분석!$AK:$AK,AB602))</f>
        <v/>
      </c>
      <c r="AR602" s="43" t="str">
        <f aca="false">IF(AB602="","-",IF(AB602="","",INDEX(시장분석!$AL:$AL,AB602)))</f>
        <v>-</v>
      </c>
      <c r="AS602" s="96" t="str">
        <f aca="false">IF(AB602="","",INDEX(시장분석!$AJ:$AJ,AB602))</f>
        <v/>
      </c>
      <c r="AT602" s="93" t="n">
        <f aca="false">IF(AB602="",0,IF(AB602="","",INDEX(시장분석!$AN:$AN,AB602)))</f>
        <v>0</v>
      </c>
      <c r="AU602" s="94" t="n">
        <f aca="false">IF(ISNUMBER(Z602),AT602/10000*MAX(Z602-1,0)*AA602*1000000,0)</f>
        <v>0</v>
      </c>
      <c r="AV602" s="94" t="n">
        <f aca="false">AO602+AU602</f>
        <v>0</v>
      </c>
      <c r="AW602" s="43" t="str">
        <f aca="false">IF(Q602&lt;&gt;1,"",TRIM(IF(AD602=1,"FRN ","")&amp;IF(AND(AL602&gt;=10,AL602&lt;99),"BBB0미만 ","")&amp;IF(AJ602="","등급없음 ","")&amp;IF(K602&lt;&gt;1,"비USD ","")&amp;IF(AND(AB602="",Y602=0),"시장데이터없음 ","")&amp;IF(AND(ISNUMBER(U602),U602&lt;0),"만기경과 ","")))</f>
        <v/>
      </c>
      <c r="AX602" s="90" t="n">
        <f aca="false">IF(Q602&lt;&gt;1,1,IF(스프레드쇼크!$C$4="Y",INDEX(스프레드쇼크!$B$12:$L$16,IFERROR(MATCH(AH602,스프레드쇼크!$A$12:$A$16,0),MATCH("목록외",스프레드쇼크!$A$12:$A$16,0)),IFERROR(MATCH(AG602,스프레드쇼크!$B$11:$L$11,0),MATCH("목록외",스프레드쇼크!$B$11:$L$11,0))),1))</f>
        <v>1</v>
      </c>
      <c r="AY602" s="90" t="n">
        <f aca="false">IF(스프레드쇼크!$C$5="Y",IF(ISNUMBER(AF602),MIN(스프레드쇼크!$C$7,MAX(스프레드쇼크!$C$6,AF602/스프레드쇼크!$C$8)),1),1)</f>
        <v>1</v>
      </c>
      <c r="AZ602" s="94" t="n">
        <f aca="false">AN602*AX602*AY602</f>
        <v>0</v>
      </c>
      <c r="BA602" s="90" t="n">
        <f aca="false">IF(ISNUMBER(G602),AA602*G602,0)</f>
        <v>0</v>
      </c>
      <c r="BB602" s="90" t="n">
        <f aca="false">IF(ISNUMBER(G602),AA602,0)</f>
        <v>0</v>
      </c>
      <c r="BC602" s="90" t="n">
        <f aca="false">IF(AND(Y602=0,ISNUMBER(AF602)),AA602*AF602,0)</f>
        <v>0</v>
      </c>
      <c r="BD602" s="90" t="n">
        <f aca="false">IF(AND(Y602=0,ISNUMBER(AF602)),AA602,0)</f>
        <v>0</v>
      </c>
      <c r="BE602" s="90" t="n">
        <f aca="false">IF(ISNUMBER(H602),AA602*H602,0)</f>
        <v>0</v>
      </c>
      <c r="BF602" s="90" t="n">
        <f aca="false">IF(ISNUMBER(H602),AA602,0)</f>
        <v>0</v>
      </c>
      <c r="BG602" s="90" t="n">
        <f aca="false">IF(AND(Y602=0,ISNUMBER(AF602),ISNUMBER(Z602)),AA602*Z602,0)</f>
        <v>0</v>
      </c>
      <c r="BH602" s="90" t="n">
        <f aca="false">IF(AND(Y602=0,ISNUMBER(AF602),ISNUMBER(Z602)),AA602*AT602*MAX(Z602-1,0),0)</f>
        <v>0</v>
      </c>
      <c r="BI602" s="90" t="n">
        <f aca="false">IF(Y602=0,AA602,0)</f>
        <v>0</v>
      </c>
    </row>
    <row r="603" customFormat="false" ht="15" hidden="false" customHeight="false" outlineLevel="0" collapsed="false">
      <c r="A603" s="83" t="str">
        <f aca="false">IFERROR(IF(INDEX(원자료_잔고!$A$1:$EZ$1500,설정!$L$5+ROW()-1,설정!$L$8)&amp;""="0","",INDEX(원자료_잔고!$A$1:$EZ$1500,설정!$L$5+ROW()-1,설정!$L$8)&amp;""),"")</f>
        <v/>
      </c>
      <c r="B603" s="83" t="str">
        <f aca="false">IFERROR(IF(INDEX(원자료_잔고!$A$1:$EZ$1500,설정!$L$5+ROW()-1,설정!$L$7)&amp;""="0","",INDEX(원자료_잔고!$A$1:$EZ$1500,설정!$L$5+ROW()-1,설정!$L$7)&amp;""),"")</f>
        <v/>
      </c>
      <c r="C603" s="83" t="str">
        <f aca="false">IFERROR(IF(INDEX(원자료_잔고!$A$1:$EZ$1500,설정!$L$5+ROW()-1,설정!$L$9)&amp;""="0","",INDEX(원자료_잔고!$A$1:$EZ$1500,설정!$L$5+ROW()-1,설정!$L$9)&amp;""),"")</f>
        <v/>
      </c>
      <c r="D603" s="83" t="str">
        <f aca="false">IFERROR(IF(INDEX(원자료_잔고!$A$1:$EZ$1500,설정!$L$5+ROW()-1,설정!$L$10)&amp;""="0","",INDEX(원자료_잔고!$A$1:$EZ$1500,설정!$L$5+ROW()-1,설정!$L$10)&amp;""),"")</f>
        <v/>
      </c>
      <c r="E603" s="84" t="str">
        <f aca="false">IFERROR(IF(ISNUMBER(INDEX(원자료_잔고!$A$1:$EZ$1500,설정!$L$5+ROW()-1,설정!$L$11)),INDEX(원자료_잔고!$A$1:$EZ$1500,설정!$L$5+ROW()-1,설정!$L$11),""),"")</f>
        <v/>
      </c>
      <c r="F603" s="85" t="str">
        <f aca="false">IFERROR(IF(ISNUMBER(INDEX(원자료_잔고!$A$1:$EZ$1500,설정!$L$5+ROW()-1,설정!$L$12)),INDEX(원자료_잔고!$A$1:$EZ$1500,설정!$L$5+ROW()-1,설정!$L$12),""),"")</f>
        <v/>
      </c>
      <c r="G603" s="85" t="str">
        <f aca="false">IFERROR(IF(ISNUMBER(INDEX(원자료_잔고!$A$1:$EZ$1500,설정!$L$5+ROW()-1,설정!$L$13)),INDEX(원자료_잔고!$A$1:$EZ$1500,설정!$L$5+ROW()-1,설정!$L$13),""),"")</f>
        <v/>
      </c>
      <c r="H603" s="85" t="str">
        <f aca="false">IFERROR(IF(ISNUMBER(INDEX(원자료_잔고!$A$1:$EZ$1500,설정!$L$5+ROW()-1,설정!$L$14)),INDEX(원자료_잔고!$A$1:$EZ$1500,설정!$L$5+ROW()-1,설정!$L$14),""),"")</f>
        <v/>
      </c>
      <c r="I603" s="86" t="str">
        <f aca="false">IFERROR(IF(ISNUMBER(INDEX(원자료_잔고!$A$1:$EZ$1500,설정!$L$5+ROW()-1,설정!$L$15)),INDEX(원자료_잔고!$A$1:$EZ$1500,설정!$L$5+ROW()-1,설정!$L$15),""),"")</f>
        <v/>
      </c>
      <c r="J603" s="85" t="str">
        <f aca="false">IFERROR(IF(ISNUMBER(INDEX(원자료_잔고!$A$1:$EZ$1500,설정!$L$5+ROW()-1,설정!$L$16)),INDEX(원자료_잔고!$A$1:$EZ$1500,설정!$L$5+ROW()-1,설정!$L$16),""),"")</f>
        <v/>
      </c>
      <c r="K603" s="87" t="str">
        <f aca="false">IFERROR(IF(ISNUMBER(INDEX(원자료_잔고!$A$1:$EZ$1500,설정!$L$5+ROW()-1,설정!$L$17)),INDEX(원자료_잔고!$A$1:$EZ$1500,설정!$L$5+ROW()-1,설정!$L$17),""),"")</f>
        <v/>
      </c>
      <c r="L603" s="84" t="str">
        <f aca="false">IFERROR(IF(ISNUMBER(INDEX(원자료_잔고!$A$1:$EZ$1500,설정!$L$5+ROW()-1,설정!$L$18)),INDEX(원자료_잔고!$A$1:$EZ$1500,설정!$L$5+ROW()-1,설정!$L$18),""),"")</f>
        <v/>
      </c>
      <c r="M603" s="88" t="str">
        <f aca="false">IFERROR(IF(ISNUMBER(INDEX(원자료_잔고!$A$1:$EZ$1500,설정!$L$5+ROW()-1,설정!$L$19)),INDEX(원자료_잔고!$A$1:$EZ$1500,설정!$L$5+ROW()-1,설정!$L$19),""),"")</f>
        <v/>
      </c>
      <c r="N603" s="83" t="str">
        <f aca="false">IFERROR(IF(INDEX(원자료_잔고!$A$1:$EZ$1500,설정!$L$5+ROW()-1,설정!$L$21)&amp;""="0","",INDEX(원자료_잔고!$A$1:$EZ$1500,설정!$L$5+ROW()-1,설정!$L$21)&amp;""),"")</f>
        <v/>
      </c>
      <c r="O603" s="83" t="str">
        <f aca="false">IFERROR(IF(INDEX(원자료_잔고!$A$1:$EZ$1500,설정!$L$5+ROW()-1,설정!$L$22)&amp;""="0","",INDEX(원자료_잔고!$A$1:$EZ$1500,설정!$L$5+ROW()-1,설정!$L$22)&amp;""),"")</f>
        <v/>
      </c>
      <c r="P603" s="83" t="str">
        <f aca="false">IFERROR(IF(INDEX(원자료_잔고!$A$1:$EZ$1500,설정!$L$5+ROW()-1,설정!$L$23)&amp;""="0","",INDEX(원자료_잔고!$A$1:$EZ$1500,설정!$L$5+ROW()-1,설정!$L$23)&amp;""),"")</f>
        <v/>
      </c>
      <c r="Q603" s="89" t="n">
        <f aca="false">IF(AND($A603&lt;&gt;"",ISNUMBER(E603)),IF(E603&gt;0,1,0),0)</f>
        <v>0</v>
      </c>
      <c r="R603" s="43" t="str">
        <f aca="false">IF(Q603=1,UPPER(LEFT($A603,FIND(" ",$A603&amp;" ")-1)),"")</f>
        <v/>
      </c>
      <c r="S603" s="89" t="n">
        <f aca="false">IF(Q603=1,IF(OR(ISNUMBER(SEARCH("Float",$A603)),ISNUMBER(SEARCH("FRN",$A603))),1,0),0)</f>
        <v>0</v>
      </c>
      <c r="T603" s="43" t="str">
        <f aca="false">IF(AND(Q603=1,ISNUMBER(I603)),TEXT(I603,"yyyymmdd")&amp;"|"&amp;IF(S603=1,"F",TEXT(J603,"0.000")),"")</f>
        <v/>
      </c>
      <c r="U603" s="90" t="str">
        <f aca="false">IF(AND(Q603=1,ISNUMBER(I603)),(I603-설정!$C$4)/365.25,"")</f>
        <v/>
      </c>
      <c r="V603" s="43" t="str">
        <f aca="false">IF(Q603&lt;&gt;1,"",IF(ISNUMBER(U603),IF(U603&lt;=1,"1년 이하",IF(U603&lt;=2,"1-2년",IF(U603&lt;=3,"2-3년",IF(U603&lt;=4,"3-4년",IF(U603&lt;=5,"4-5년",IF(U603&lt;=7,"5-7년",IF(U603&lt;=10,"7-10년",IF(U603&lt;=20,"10-20년","20년 이상")))))))),"미분류"))</f>
        <v/>
      </c>
      <c r="W603" s="43" t="str">
        <f aca="false">IF(Q603&lt;&gt;1,"",IF(AB603&lt;&gt;"",INDEX(시장분석!$C:$C,AB603),IF(K603=1,"USD","비USD")))</f>
        <v/>
      </c>
      <c r="X603" s="91" t="n">
        <f aca="false">IF(Q603=1,E603*K603/1000000,0)</f>
        <v>0</v>
      </c>
      <c r="Y603" s="89" t="n">
        <f aca="false">IF(R603="T",1,0)</f>
        <v>0</v>
      </c>
      <c r="Z603" s="92" t="str">
        <f aca="false">IF(Q603&lt;&gt;1,"",IF(AD603=1,IF(ISNUMBER(U603),MAX(U603,0),H603),H603))</f>
        <v/>
      </c>
      <c r="AA603" s="91" t="n">
        <f aca="false">IF(Q603=1,IF(ISNUMBER(L603),L603,0)*K603/1000000,0)</f>
        <v>0</v>
      </c>
      <c r="AB603" s="89" t="str">
        <f aca="false">IF(Q603&lt;&gt;1,"",IFERROR(MATCH(VLOOKUP(B603,매핑!$H$4:$I$15,2,0),시장분석!$A$2:$A$601,0)+1,IFERROR(MATCH(R603&amp;"|"&amp;T603,시장분석!$V$2:$V$601,0)+1,IF(COUNTIF(시장분석!$U$2:$U$601,T603)=1,MATCH(T603,시장분석!$U$2:$U$601,0)+1,""))))</f>
        <v/>
      </c>
      <c r="AC603" s="89" t="n">
        <f aca="false">IF(Q603&lt;&gt;1,0,IF(OR(설정!$C$5="전체",AND(설정!$C$5="선택펀드",IFERROR(COUNTIFS(설정!$F$16:$F$36,C603,설정!$G$16:$G$36,"Y")+COUNTIFS(설정!$F$16:$F$36,VALUE(C603),설정!$G$16:$G$36,"Y"),0)&gt;0),C603&amp;""=설정!$C$5&amp;""),1,0))</f>
        <v>0</v>
      </c>
      <c r="AD603" s="89" t="n">
        <f aca="false">IF(Q603&lt;&gt;1,0,IF(OR(S603=1,IF(AB603="",FALSE(),INDEX(시장분석!$R:$R,AB603)=1)),1,0))</f>
        <v>0</v>
      </c>
      <c r="AE603" s="43" t="str">
        <f aca="false">IF(AB603="","",INDEX(시장분석!$A:$A,AB603))</f>
        <v/>
      </c>
      <c r="AF603" s="93" t="str">
        <f aca="false">IF(AB603="","",IF(ISNUMBER(IF(AB603="","",INDEX(시장분석!$E:$E,AB603))),IF(AB603="","",INDEX(시장분석!$E:$E,AB603)),""))</f>
        <v/>
      </c>
      <c r="AG603" s="43" t="str">
        <f aca="false">IF(Q603&lt;&gt;1,"",IF(AB603&lt;&gt;"",IF(AB603="","",INDEX(시장분석!$L:$L,AB603)),IFERROR(IF(VLOOKUP(R603,매핑!$A$4:$E$92,5,0)="","미분류",VLOOKUP(R603,매핑!$A$4:$E$92,5,0)),"미분류")))</f>
        <v/>
      </c>
      <c r="AH603" s="43" t="str">
        <f aca="false">IF(Q603&lt;&gt;1,"",IF(AB603&lt;&gt;"",IF(AB603="","",INDEX(시장분석!$N:$N,AB603)),IFERROR(IF(VLOOKUP(R603,매핑!$A$4:$E$92,4,0)="","미분류",VLOOKUP(R603,매핑!$A$4:$E$92,4,0)),"미분류")))</f>
        <v/>
      </c>
      <c r="AI603" s="43" t="str">
        <f aca="false">IF(Q603&lt;&gt;1,"",IFERROR(IF(VLOOKUP(R603,매핑!$A$4:$E$92,3,0)="","미분류",VLOOKUP(R603,매핑!$A$4:$E$92,3,0)),IF(AB603&lt;&gt;"",IF(AB603="","",INDEX(시장분석!$W:$W,AB603)),"미분류")))</f>
        <v/>
      </c>
      <c r="AJ603" s="43" t="str">
        <f aca="false">IF(Q603&lt;&gt;1,"",IFERROR(VLOOKUP(IF(N603&lt;&gt;"",N603,IF(P603&lt;&gt;"",P603,O603)),설정!$A$15:$D$47,2,0),""))</f>
        <v/>
      </c>
      <c r="AK603" s="43" t="str">
        <f aca="false">IF(Q603&lt;&gt;1,"",IF(AJ603="","무등급",IFERROR(VLOOKUP(AJ603,설정!$A$15:$D$47,3,0),"무등급")))</f>
        <v/>
      </c>
      <c r="AL603" s="89" t="n">
        <f aca="false">IF(AJ603="",99,IFERROR(VLOOKUP(AJ603,설정!$A$15:$D$47,4,0),99))</f>
        <v>99</v>
      </c>
      <c r="AM603" s="94" t="n">
        <f aca="false">IF(ISNUMBER(H603),AA603*1000000*H603/10000,0)</f>
        <v>0</v>
      </c>
      <c r="AN603" s="94" t="n">
        <f aca="false">IF(OR(Y603=1,NOT(ISNUMBER(Z603))),0,AA603*1000000*Z603/10000)</f>
        <v>0</v>
      </c>
      <c r="AO603" s="94" t="n">
        <f aca="false">IF(ISNUMBER(G603),AA603*1000000*G603/100,0)</f>
        <v>0</v>
      </c>
      <c r="AP603" s="94" t="n">
        <f aca="false">IF(ISNUMBER(M603),M603*K603,0)</f>
        <v>0</v>
      </c>
      <c r="AQ603" s="95" t="str">
        <f aca="false">IF(AB603="","",INDEX(시장분석!$AK:$AK,AB603))</f>
        <v/>
      </c>
      <c r="AR603" s="43" t="str">
        <f aca="false">IF(AB603="","-",IF(AB603="","",INDEX(시장분석!$AL:$AL,AB603)))</f>
        <v>-</v>
      </c>
      <c r="AS603" s="96" t="str">
        <f aca="false">IF(AB603="","",INDEX(시장분석!$AJ:$AJ,AB603))</f>
        <v/>
      </c>
      <c r="AT603" s="93" t="n">
        <f aca="false">IF(AB603="",0,IF(AB603="","",INDEX(시장분석!$AN:$AN,AB603)))</f>
        <v>0</v>
      </c>
      <c r="AU603" s="94" t="n">
        <f aca="false">IF(ISNUMBER(Z603),AT603/10000*MAX(Z603-1,0)*AA603*1000000,0)</f>
        <v>0</v>
      </c>
      <c r="AV603" s="94" t="n">
        <f aca="false">AO603+AU603</f>
        <v>0</v>
      </c>
      <c r="AW603" s="43" t="str">
        <f aca="false">IF(Q603&lt;&gt;1,"",TRIM(IF(AD603=1,"FRN ","")&amp;IF(AND(AL603&gt;=10,AL603&lt;99),"BBB0미만 ","")&amp;IF(AJ603="","등급없음 ","")&amp;IF(K603&lt;&gt;1,"비USD ","")&amp;IF(AND(AB603="",Y603=0),"시장데이터없음 ","")&amp;IF(AND(ISNUMBER(U603),U603&lt;0),"만기경과 ","")))</f>
        <v/>
      </c>
      <c r="AX603" s="90" t="n">
        <f aca="false">IF(Q603&lt;&gt;1,1,IF(스프레드쇼크!$C$4="Y",INDEX(스프레드쇼크!$B$12:$L$16,IFERROR(MATCH(AH603,스프레드쇼크!$A$12:$A$16,0),MATCH("목록외",스프레드쇼크!$A$12:$A$16,0)),IFERROR(MATCH(AG603,스프레드쇼크!$B$11:$L$11,0),MATCH("목록외",스프레드쇼크!$B$11:$L$11,0))),1))</f>
        <v>1</v>
      </c>
      <c r="AY603" s="90" t="n">
        <f aca="false">IF(스프레드쇼크!$C$5="Y",IF(ISNUMBER(AF603),MIN(스프레드쇼크!$C$7,MAX(스프레드쇼크!$C$6,AF603/스프레드쇼크!$C$8)),1),1)</f>
        <v>1</v>
      </c>
      <c r="AZ603" s="94" t="n">
        <f aca="false">AN603*AX603*AY603</f>
        <v>0</v>
      </c>
      <c r="BA603" s="90" t="n">
        <f aca="false">IF(ISNUMBER(G603),AA603*G603,0)</f>
        <v>0</v>
      </c>
      <c r="BB603" s="90" t="n">
        <f aca="false">IF(ISNUMBER(G603),AA603,0)</f>
        <v>0</v>
      </c>
      <c r="BC603" s="90" t="n">
        <f aca="false">IF(AND(Y603=0,ISNUMBER(AF603)),AA603*AF603,0)</f>
        <v>0</v>
      </c>
      <c r="BD603" s="90" t="n">
        <f aca="false">IF(AND(Y603=0,ISNUMBER(AF603)),AA603,0)</f>
        <v>0</v>
      </c>
      <c r="BE603" s="90" t="n">
        <f aca="false">IF(ISNUMBER(H603),AA603*H603,0)</f>
        <v>0</v>
      </c>
      <c r="BF603" s="90" t="n">
        <f aca="false">IF(ISNUMBER(H603),AA603,0)</f>
        <v>0</v>
      </c>
      <c r="BG603" s="90" t="n">
        <f aca="false">IF(AND(Y603=0,ISNUMBER(AF603),ISNUMBER(Z603)),AA603*Z603,0)</f>
        <v>0</v>
      </c>
      <c r="BH603" s="90" t="n">
        <f aca="false">IF(AND(Y603=0,ISNUMBER(AF603),ISNUMBER(Z603)),AA603*AT603*MAX(Z603-1,0),0)</f>
        <v>0</v>
      </c>
      <c r="BI603" s="90" t="n">
        <f aca="false">IF(Y603=0,AA603,0)</f>
        <v>0</v>
      </c>
    </row>
    <row r="604" customFormat="false" ht="15" hidden="false" customHeight="false" outlineLevel="0" collapsed="false">
      <c r="A604" s="83" t="str">
        <f aca="false">IFERROR(IF(INDEX(원자료_잔고!$A$1:$EZ$1500,설정!$L$5+ROW()-1,설정!$L$8)&amp;""="0","",INDEX(원자료_잔고!$A$1:$EZ$1500,설정!$L$5+ROW()-1,설정!$L$8)&amp;""),"")</f>
        <v/>
      </c>
      <c r="B604" s="83" t="str">
        <f aca="false">IFERROR(IF(INDEX(원자료_잔고!$A$1:$EZ$1500,설정!$L$5+ROW()-1,설정!$L$7)&amp;""="0","",INDEX(원자료_잔고!$A$1:$EZ$1500,설정!$L$5+ROW()-1,설정!$L$7)&amp;""),"")</f>
        <v/>
      </c>
      <c r="C604" s="83" t="str">
        <f aca="false">IFERROR(IF(INDEX(원자료_잔고!$A$1:$EZ$1500,설정!$L$5+ROW()-1,설정!$L$9)&amp;""="0","",INDEX(원자료_잔고!$A$1:$EZ$1500,설정!$L$5+ROW()-1,설정!$L$9)&amp;""),"")</f>
        <v/>
      </c>
      <c r="D604" s="83" t="str">
        <f aca="false">IFERROR(IF(INDEX(원자료_잔고!$A$1:$EZ$1500,설정!$L$5+ROW()-1,설정!$L$10)&amp;""="0","",INDEX(원자료_잔고!$A$1:$EZ$1500,설정!$L$5+ROW()-1,설정!$L$10)&amp;""),"")</f>
        <v/>
      </c>
      <c r="E604" s="84" t="str">
        <f aca="false">IFERROR(IF(ISNUMBER(INDEX(원자료_잔고!$A$1:$EZ$1500,설정!$L$5+ROW()-1,설정!$L$11)),INDEX(원자료_잔고!$A$1:$EZ$1500,설정!$L$5+ROW()-1,설정!$L$11),""),"")</f>
        <v/>
      </c>
      <c r="F604" s="85" t="str">
        <f aca="false">IFERROR(IF(ISNUMBER(INDEX(원자료_잔고!$A$1:$EZ$1500,설정!$L$5+ROW()-1,설정!$L$12)),INDEX(원자료_잔고!$A$1:$EZ$1500,설정!$L$5+ROW()-1,설정!$L$12),""),"")</f>
        <v/>
      </c>
      <c r="G604" s="85" t="str">
        <f aca="false">IFERROR(IF(ISNUMBER(INDEX(원자료_잔고!$A$1:$EZ$1500,설정!$L$5+ROW()-1,설정!$L$13)),INDEX(원자료_잔고!$A$1:$EZ$1500,설정!$L$5+ROW()-1,설정!$L$13),""),"")</f>
        <v/>
      </c>
      <c r="H604" s="85" t="str">
        <f aca="false">IFERROR(IF(ISNUMBER(INDEX(원자료_잔고!$A$1:$EZ$1500,설정!$L$5+ROW()-1,설정!$L$14)),INDEX(원자료_잔고!$A$1:$EZ$1500,설정!$L$5+ROW()-1,설정!$L$14),""),"")</f>
        <v/>
      </c>
      <c r="I604" s="86" t="str">
        <f aca="false">IFERROR(IF(ISNUMBER(INDEX(원자료_잔고!$A$1:$EZ$1500,설정!$L$5+ROW()-1,설정!$L$15)),INDEX(원자료_잔고!$A$1:$EZ$1500,설정!$L$5+ROW()-1,설정!$L$15),""),"")</f>
        <v/>
      </c>
      <c r="J604" s="85" t="str">
        <f aca="false">IFERROR(IF(ISNUMBER(INDEX(원자료_잔고!$A$1:$EZ$1500,설정!$L$5+ROW()-1,설정!$L$16)),INDEX(원자료_잔고!$A$1:$EZ$1500,설정!$L$5+ROW()-1,설정!$L$16),""),"")</f>
        <v/>
      </c>
      <c r="K604" s="87" t="str">
        <f aca="false">IFERROR(IF(ISNUMBER(INDEX(원자료_잔고!$A$1:$EZ$1500,설정!$L$5+ROW()-1,설정!$L$17)),INDEX(원자료_잔고!$A$1:$EZ$1500,설정!$L$5+ROW()-1,설정!$L$17),""),"")</f>
        <v/>
      </c>
      <c r="L604" s="84" t="str">
        <f aca="false">IFERROR(IF(ISNUMBER(INDEX(원자료_잔고!$A$1:$EZ$1500,설정!$L$5+ROW()-1,설정!$L$18)),INDEX(원자료_잔고!$A$1:$EZ$1500,설정!$L$5+ROW()-1,설정!$L$18),""),"")</f>
        <v/>
      </c>
      <c r="M604" s="88" t="str">
        <f aca="false">IFERROR(IF(ISNUMBER(INDEX(원자료_잔고!$A$1:$EZ$1500,설정!$L$5+ROW()-1,설정!$L$19)),INDEX(원자료_잔고!$A$1:$EZ$1500,설정!$L$5+ROW()-1,설정!$L$19),""),"")</f>
        <v/>
      </c>
      <c r="N604" s="83" t="str">
        <f aca="false">IFERROR(IF(INDEX(원자료_잔고!$A$1:$EZ$1500,설정!$L$5+ROW()-1,설정!$L$21)&amp;""="0","",INDEX(원자료_잔고!$A$1:$EZ$1500,설정!$L$5+ROW()-1,설정!$L$21)&amp;""),"")</f>
        <v/>
      </c>
      <c r="O604" s="83" t="str">
        <f aca="false">IFERROR(IF(INDEX(원자료_잔고!$A$1:$EZ$1500,설정!$L$5+ROW()-1,설정!$L$22)&amp;""="0","",INDEX(원자료_잔고!$A$1:$EZ$1500,설정!$L$5+ROW()-1,설정!$L$22)&amp;""),"")</f>
        <v/>
      </c>
      <c r="P604" s="83" t="str">
        <f aca="false">IFERROR(IF(INDEX(원자료_잔고!$A$1:$EZ$1500,설정!$L$5+ROW()-1,설정!$L$23)&amp;""="0","",INDEX(원자료_잔고!$A$1:$EZ$1500,설정!$L$5+ROW()-1,설정!$L$23)&amp;""),"")</f>
        <v/>
      </c>
      <c r="Q604" s="89" t="n">
        <f aca="false">IF(AND($A604&lt;&gt;"",ISNUMBER(E604)),IF(E604&gt;0,1,0),0)</f>
        <v>0</v>
      </c>
      <c r="R604" s="43" t="str">
        <f aca="false">IF(Q604=1,UPPER(LEFT($A604,FIND(" ",$A604&amp;" ")-1)),"")</f>
        <v/>
      </c>
      <c r="S604" s="89" t="n">
        <f aca="false">IF(Q604=1,IF(OR(ISNUMBER(SEARCH("Float",$A604)),ISNUMBER(SEARCH("FRN",$A604))),1,0),0)</f>
        <v>0</v>
      </c>
      <c r="T604" s="43" t="str">
        <f aca="false">IF(AND(Q604=1,ISNUMBER(I604)),TEXT(I604,"yyyymmdd")&amp;"|"&amp;IF(S604=1,"F",TEXT(J604,"0.000")),"")</f>
        <v/>
      </c>
      <c r="U604" s="90" t="str">
        <f aca="false">IF(AND(Q604=1,ISNUMBER(I604)),(I604-설정!$C$4)/365.25,"")</f>
        <v/>
      </c>
      <c r="V604" s="43" t="str">
        <f aca="false">IF(Q604&lt;&gt;1,"",IF(ISNUMBER(U604),IF(U604&lt;=1,"1년 이하",IF(U604&lt;=2,"1-2년",IF(U604&lt;=3,"2-3년",IF(U604&lt;=4,"3-4년",IF(U604&lt;=5,"4-5년",IF(U604&lt;=7,"5-7년",IF(U604&lt;=10,"7-10년",IF(U604&lt;=20,"10-20년","20년 이상")))))))),"미분류"))</f>
        <v/>
      </c>
      <c r="W604" s="43" t="str">
        <f aca="false">IF(Q604&lt;&gt;1,"",IF(AB604&lt;&gt;"",INDEX(시장분석!$C:$C,AB604),IF(K604=1,"USD","비USD")))</f>
        <v/>
      </c>
      <c r="X604" s="91" t="n">
        <f aca="false">IF(Q604=1,E604*K604/1000000,0)</f>
        <v>0</v>
      </c>
      <c r="Y604" s="89" t="n">
        <f aca="false">IF(R604="T",1,0)</f>
        <v>0</v>
      </c>
      <c r="Z604" s="92" t="str">
        <f aca="false">IF(Q604&lt;&gt;1,"",IF(AD604=1,IF(ISNUMBER(U604),MAX(U604,0),H604),H604))</f>
        <v/>
      </c>
      <c r="AA604" s="91" t="n">
        <f aca="false">IF(Q604=1,IF(ISNUMBER(L604),L604,0)*K604/1000000,0)</f>
        <v>0</v>
      </c>
      <c r="AB604" s="89" t="str">
        <f aca="false">IF(Q604&lt;&gt;1,"",IFERROR(MATCH(VLOOKUP(B604,매핑!$H$4:$I$15,2,0),시장분석!$A$2:$A$601,0)+1,IFERROR(MATCH(R604&amp;"|"&amp;T604,시장분석!$V$2:$V$601,0)+1,IF(COUNTIF(시장분석!$U$2:$U$601,T604)=1,MATCH(T604,시장분석!$U$2:$U$601,0)+1,""))))</f>
        <v/>
      </c>
      <c r="AC604" s="89" t="n">
        <f aca="false">IF(Q604&lt;&gt;1,0,IF(OR(설정!$C$5="전체",AND(설정!$C$5="선택펀드",IFERROR(COUNTIFS(설정!$F$16:$F$36,C604,설정!$G$16:$G$36,"Y")+COUNTIFS(설정!$F$16:$F$36,VALUE(C604),설정!$G$16:$G$36,"Y"),0)&gt;0),C604&amp;""=설정!$C$5&amp;""),1,0))</f>
        <v>0</v>
      </c>
      <c r="AD604" s="89" t="n">
        <f aca="false">IF(Q604&lt;&gt;1,0,IF(OR(S604=1,IF(AB604="",FALSE(),INDEX(시장분석!$R:$R,AB604)=1)),1,0))</f>
        <v>0</v>
      </c>
      <c r="AE604" s="43" t="str">
        <f aca="false">IF(AB604="","",INDEX(시장분석!$A:$A,AB604))</f>
        <v/>
      </c>
      <c r="AF604" s="93" t="str">
        <f aca="false">IF(AB604="","",IF(ISNUMBER(IF(AB604="","",INDEX(시장분석!$E:$E,AB604))),IF(AB604="","",INDEX(시장분석!$E:$E,AB604)),""))</f>
        <v/>
      </c>
      <c r="AG604" s="43" t="str">
        <f aca="false">IF(Q604&lt;&gt;1,"",IF(AB604&lt;&gt;"",IF(AB604="","",INDEX(시장분석!$L:$L,AB604)),IFERROR(IF(VLOOKUP(R604,매핑!$A$4:$E$92,5,0)="","미분류",VLOOKUP(R604,매핑!$A$4:$E$92,5,0)),"미분류")))</f>
        <v/>
      </c>
      <c r="AH604" s="43" t="str">
        <f aca="false">IF(Q604&lt;&gt;1,"",IF(AB604&lt;&gt;"",IF(AB604="","",INDEX(시장분석!$N:$N,AB604)),IFERROR(IF(VLOOKUP(R604,매핑!$A$4:$E$92,4,0)="","미분류",VLOOKUP(R604,매핑!$A$4:$E$92,4,0)),"미분류")))</f>
        <v/>
      </c>
      <c r="AI604" s="43" t="str">
        <f aca="false">IF(Q604&lt;&gt;1,"",IFERROR(IF(VLOOKUP(R604,매핑!$A$4:$E$92,3,0)="","미분류",VLOOKUP(R604,매핑!$A$4:$E$92,3,0)),IF(AB604&lt;&gt;"",IF(AB604="","",INDEX(시장분석!$W:$W,AB604)),"미분류")))</f>
        <v/>
      </c>
      <c r="AJ604" s="43" t="str">
        <f aca="false">IF(Q604&lt;&gt;1,"",IFERROR(VLOOKUP(IF(N604&lt;&gt;"",N604,IF(P604&lt;&gt;"",P604,O604)),설정!$A$15:$D$47,2,0),""))</f>
        <v/>
      </c>
      <c r="AK604" s="43" t="str">
        <f aca="false">IF(Q604&lt;&gt;1,"",IF(AJ604="","무등급",IFERROR(VLOOKUP(AJ604,설정!$A$15:$D$47,3,0),"무등급")))</f>
        <v/>
      </c>
      <c r="AL604" s="89" t="n">
        <f aca="false">IF(AJ604="",99,IFERROR(VLOOKUP(AJ604,설정!$A$15:$D$47,4,0),99))</f>
        <v>99</v>
      </c>
      <c r="AM604" s="94" t="n">
        <f aca="false">IF(ISNUMBER(H604),AA604*1000000*H604/10000,0)</f>
        <v>0</v>
      </c>
      <c r="AN604" s="94" t="n">
        <f aca="false">IF(OR(Y604=1,NOT(ISNUMBER(Z604))),0,AA604*1000000*Z604/10000)</f>
        <v>0</v>
      </c>
      <c r="AO604" s="94" t="n">
        <f aca="false">IF(ISNUMBER(G604),AA604*1000000*G604/100,0)</f>
        <v>0</v>
      </c>
      <c r="AP604" s="94" t="n">
        <f aca="false">IF(ISNUMBER(M604),M604*K604,0)</f>
        <v>0</v>
      </c>
      <c r="AQ604" s="95" t="str">
        <f aca="false">IF(AB604="","",INDEX(시장분석!$AK:$AK,AB604))</f>
        <v/>
      </c>
      <c r="AR604" s="43" t="str">
        <f aca="false">IF(AB604="","-",IF(AB604="","",INDEX(시장분석!$AL:$AL,AB604)))</f>
        <v>-</v>
      </c>
      <c r="AS604" s="96" t="str">
        <f aca="false">IF(AB604="","",INDEX(시장분석!$AJ:$AJ,AB604))</f>
        <v/>
      </c>
      <c r="AT604" s="93" t="n">
        <f aca="false">IF(AB604="",0,IF(AB604="","",INDEX(시장분석!$AN:$AN,AB604)))</f>
        <v>0</v>
      </c>
      <c r="AU604" s="94" t="n">
        <f aca="false">IF(ISNUMBER(Z604),AT604/10000*MAX(Z604-1,0)*AA604*1000000,0)</f>
        <v>0</v>
      </c>
      <c r="AV604" s="94" t="n">
        <f aca="false">AO604+AU604</f>
        <v>0</v>
      </c>
      <c r="AW604" s="43" t="str">
        <f aca="false">IF(Q604&lt;&gt;1,"",TRIM(IF(AD604=1,"FRN ","")&amp;IF(AND(AL604&gt;=10,AL604&lt;99),"BBB0미만 ","")&amp;IF(AJ604="","등급없음 ","")&amp;IF(K604&lt;&gt;1,"비USD ","")&amp;IF(AND(AB604="",Y604=0),"시장데이터없음 ","")&amp;IF(AND(ISNUMBER(U604),U604&lt;0),"만기경과 ","")))</f>
        <v/>
      </c>
      <c r="AX604" s="90" t="n">
        <f aca="false">IF(Q604&lt;&gt;1,1,IF(스프레드쇼크!$C$4="Y",INDEX(스프레드쇼크!$B$12:$L$16,IFERROR(MATCH(AH604,스프레드쇼크!$A$12:$A$16,0),MATCH("목록외",스프레드쇼크!$A$12:$A$16,0)),IFERROR(MATCH(AG604,스프레드쇼크!$B$11:$L$11,0),MATCH("목록외",스프레드쇼크!$B$11:$L$11,0))),1))</f>
        <v>1</v>
      </c>
      <c r="AY604" s="90" t="n">
        <f aca="false">IF(스프레드쇼크!$C$5="Y",IF(ISNUMBER(AF604),MIN(스프레드쇼크!$C$7,MAX(스프레드쇼크!$C$6,AF604/스프레드쇼크!$C$8)),1),1)</f>
        <v>1</v>
      </c>
      <c r="AZ604" s="94" t="n">
        <f aca="false">AN604*AX604*AY604</f>
        <v>0</v>
      </c>
      <c r="BA604" s="90" t="n">
        <f aca="false">IF(ISNUMBER(G604),AA604*G604,0)</f>
        <v>0</v>
      </c>
      <c r="BB604" s="90" t="n">
        <f aca="false">IF(ISNUMBER(G604),AA604,0)</f>
        <v>0</v>
      </c>
      <c r="BC604" s="90" t="n">
        <f aca="false">IF(AND(Y604=0,ISNUMBER(AF604)),AA604*AF604,0)</f>
        <v>0</v>
      </c>
      <c r="BD604" s="90" t="n">
        <f aca="false">IF(AND(Y604=0,ISNUMBER(AF604)),AA604,0)</f>
        <v>0</v>
      </c>
      <c r="BE604" s="90" t="n">
        <f aca="false">IF(ISNUMBER(H604),AA604*H604,0)</f>
        <v>0</v>
      </c>
      <c r="BF604" s="90" t="n">
        <f aca="false">IF(ISNUMBER(H604),AA604,0)</f>
        <v>0</v>
      </c>
      <c r="BG604" s="90" t="n">
        <f aca="false">IF(AND(Y604=0,ISNUMBER(AF604),ISNUMBER(Z604)),AA604*Z604,0)</f>
        <v>0</v>
      </c>
      <c r="BH604" s="90" t="n">
        <f aca="false">IF(AND(Y604=0,ISNUMBER(AF604),ISNUMBER(Z604)),AA604*AT604*MAX(Z604-1,0),0)</f>
        <v>0</v>
      </c>
      <c r="BI604" s="90" t="n">
        <f aca="false">IF(Y604=0,AA604,0)</f>
        <v>0</v>
      </c>
    </row>
    <row r="605" customFormat="false" ht="15" hidden="false" customHeight="false" outlineLevel="0" collapsed="false">
      <c r="A605" s="83" t="str">
        <f aca="false">IFERROR(IF(INDEX(원자료_잔고!$A$1:$EZ$1500,설정!$L$5+ROW()-1,설정!$L$8)&amp;""="0","",INDEX(원자료_잔고!$A$1:$EZ$1500,설정!$L$5+ROW()-1,설정!$L$8)&amp;""),"")</f>
        <v/>
      </c>
      <c r="B605" s="83" t="str">
        <f aca="false">IFERROR(IF(INDEX(원자료_잔고!$A$1:$EZ$1500,설정!$L$5+ROW()-1,설정!$L$7)&amp;""="0","",INDEX(원자료_잔고!$A$1:$EZ$1500,설정!$L$5+ROW()-1,설정!$L$7)&amp;""),"")</f>
        <v/>
      </c>
      <c r="C605" s="83" t="str">
        <f aca="false">IFERROR(IF(INDEX(원자료_잔고!$A$1:$EZ$1500,설정!$L$5+ROW()-1,설정!$L$9)&amp;""="0","",INDEX(원자료_잔고!$A$1:$EZ$1500,설정!$L$5+ROW()-1,설정!$L$9)&amp;""),"")</f>
        <v/>
      </c>
      <c r="D605" s="83" t="str">
        <f aca="false">IFERROR(IF(INDEX(원자료_잔고!$A$1:$EZ$1500,설정!$L$5+ROW()-1,설정!$L$10)&amp;""="0","",INDEX(원자료_잔고!$A$1:$EZ$1500,설정!$L$5+ROW()-1,설정!$L$10)&amp;""),"")</f>
        <v/>
      </c>
      <c r="E605" s="84" t="str">
        <f aca="false">IFERROR(IF(ISNUMBER(INDEX(원자료_잔고!$A$1:$EZ$1500,설정!$L$5+ROW()-1,설정!$L$11)),INDEX(원자료_잔고!$A$1:$EZ$1500,설정!$L$5+ROW()-1,설정!$L$11),""),"")</f>
        <v/>
      </c>
      <c r="F605" s="85" t="str">
        <f aca="false">IFERROR(IF(ISNUMBER(INDEX(원자료_잔고!$A$1:$EZ$1500,설정!$L$5+ROW()-1,설정!$L$12)),INDEX(원자료_잔고!$A$1:$EZ$1500,설정!$L$5+ROW()-1,설정!$L$12),""),"")</f>
        <v/>
      </c>
      <c r="G605" s="85" t="str">
        <f aca="false">IFERROR(IF(ISNUMBER(INDEX(원자료_잔고!$A$1:$EZ$1500,설정!$L$5+ROW()-1,설정!$L$13)),INDEX(원자료_잔고!$A$1:$EZ$1500,설정!$L$5+ROW()-1,설정!$L$13),""),"")</f>
        <v/>
      </c>
      <c r="H605" s="85" t="str">
        <f aca="false">IFERROR(IF(ISNUMBER(INDEX(원자료_잔고!$A$1:$EZ$1500,설정!$L$5+ROW()-1,설정!$L$14)),INDEX(원자료_잔고!$A$1:$EZ$1500,설정!$L$5+ROW()-1,설정!$L$14),""),"")</f>
        <v/>
      </c>
      <c r="I605" s="86" t="str">
        <f aca="false">IFERROR(IF(ISNUMBER(INDEX(원자료_잔고!$A$1:$EZ$1500,설정!$L$5+ROW()-1,설정!$L$15)),INDEX(원자료_잔고!$A$1:$EZ$1500,설정!$L$5+ROW()-1,설정!$L$15),""),"")</f>
        <v/>
      </c>
      <c r="J605" s="85" t="str">
        <f aca="false">IFERROR(IF(ISNUMBER(INDEX(원자료_잔고!$A$1:$EZ$1500,설정!$L$5+ROW()-1,설정!$L$16)),INDEX(원자료_잔고!$A$1:$EZ$1500,설정!$L$5+ROW()-1,설정!$L$16),""),"")</f>
        <v/>
      </c>
      <c r="K605" s="87" t="str">
        <f aca="false">IFERROR(IF(ISNUMBER(INDEX(원자료_잔고!$A$1:$EZ$1500,설정!$L$5+ROW()-1,설정!$L$17)),INDEX(원자료_잔고!$A$1:$EZ$1500,설정!$L$5+ROW()-1,설정!$L$17),""),"")</f>
        <v/>
      </c>
      <c r="L605" s="84" t="str">
        <f aca="false">IFERROR(IF(ISNUMBER(INDEX(원자료_잔고!$A$1:$EZ$1500,설정!$L$5+ROW()-1,설정!$L$18)),INDEX(원자료_잔고!$A$1:$EZ$1500,설정!$L$5+ROW()-1,설정!$L$18),""),"")</f>
        <v/>
      </c>
      <c r="M605" s="88" t="str">
        <f aca="false">IFERROR(IF(ISNUMBER(INDEX(원자료_잔고!$A$1:$EZ$1500,설정!$L$5+ROW()-1,설정!$L$19)),INDEX(원자료_잔고!$A$1:$EZ$1500,설정!$L$5+ROW()-1,설정!$L$19),""),"")</f>
        <v/>
      </c>
      <c r="N605" s="83" t="str">
        <f aca="false">IFERROR(IF(INDEX(원자료_잔고!$A$1:$EZ$1500,설정!$L$5+ROW()-1,설정!$L$21)&amp;""="0","",INDEX(원자료_잔고!$A$1:$EZ$1500,설정!$L$5+ROW()-1,설정!$L$21)&amp;""),"")</f>
        <v/>
      </c>
      <c r="O605" s="83" t="str">
        <f aca="false">IFERROR(IF(INDEX(원자료_잔고!$A$1:$EZ$1500,설정!$L$5+ROW()-1,설정!$L$22)&amp;""="0","",INDEX(원자료_잔고!$A$1:$EZ$1500,설정!$L$5+ROW()-1,설정!$L$22)&amp;""),"")</f>
        <v/>
      </c>
      <c r="P605" s="83" t="str">
        <f aca="false">IFERROR(IF(INDEX(원자료_잔고!$A$1:$EZ$1500,설정!$L$5+ROW()-1,설정!$L$23)&amp;""="0","",INDEX(원자료_잔고!$A$1:$EZ$1500,설정!$L$5+ROW()-1,설정!$L$23)&amp;""),"")</f>
        <v/>
      </c>
      <c r="Q605" s="89" t="n">
        <f aca="false">IF(AND($A605&lt;&gt;"",ISNUMBER(E605)),IF(E605&gt;0,1,0),0)</f>
        <v>0</v>
      </c>
      <c r="R605" s="43" t="str">
        <f aca="false">IF(Q605=1,UPPER(LEFT($A605,FIND(" ",$A605&amp;" ")-1)),"")</f>
        <v/>
      </c>
      <c r="S605" s="89" t="n">
        <f aca="false">IF(Q605=1,IF(OR(ISNUMBER(SEARCH("Float",$A605)),ISNUMBER(SEARCH("FRN",$A605))),1,0),0)</f>
        <v>0</v>
      </c>
      <c r="T605" s="43" t="str">
        <f aca="false">IF(AND(Q605=1,ISNUMBER(I605)),TEXT(I605,"yyyymmdd")&amp;"|"&amp;IF(S605=1,"F",TEXT(J605,"0.000")),"")</f>
        <v/>
      </c>
      <c r="U605" s="90" t="str">
        <f aca="false">IF(AND(Q605=1,ISNUMBER(I605)),(I605-설정!$C$4)/365.25,"")</f>
        <v/>
      </c>
      <c r="V605" s="43" t="str">
        <f aca="false">IF(Q605&lt;&gt;1,"",IF(ISNUMBER(U605),IF(U605&lt;=1,"1년 이하",IF(U605&lt;=2,"1-2년",IF(U605&lt;=3,"2-3년",IF(U605&lt;=4,"3-4년",IF(U605&lt;=5,"4-5년",IF(U605&lt;=7,"5-7년",IF(U605&lt;=10,"7-10년",IF(U605&lt;=20,"10-20년","20년 이상")))))))),"미분류"))</f>
        <v/>
      </c>
      <c r="W605" s="43" t="str">
        <f aca="false">IF(Q605&lt;&gt;1,"",IF(AB605&lt;&gt;"",INDEX(시장분석!$C:$C,AB605),IF(K605=1,"USD","비USD")))</f>
        <v/>
      </c>
      <c r="X605" s="91" t="n">
        <f aca="false">IF(Q605=1,E605*K605/1000000,0)</f>
        <v>0</v>
      </c>
      <c r="Y605" s="89" t="n">
        <f aca="false">IF(R605="T",1,0)</f>
        <v>0</v>
      </c>
      <c r="Z605" s="92" t="str">
        <f aca="false">IF(Q605&lt;&gt;1,"",IF(AD605=1,IF(ISNUMBER(U605),MAX(U605,0),H605),H605))</f>
        <v/>
      </c>
      <c r="AA605" s="91" t="n">
        <f aca="false">IF(Q605=1,IF(ISNUMBER(L605),L605,0)*K605/1000000,0)</f>
        <v>0</v>
      </c>
      <c r="AB605" s="89" t="str">
        <f aca="false">IF(Q605&lt;&gt;1,"",IFERROR(MATCH(VLOOKUP(B605,매핑!$H$4:$I$15,2,0),시장분석!$A$2:$A$601,0)+1,IFERROR(MATCH(R605&amp;"|"&amp;T605,시장분석!$V$2:$V$601,0)+1,IF(COUNTIF(시장분석!$U$2:$U$601,T605)=1,MATCH(T605,시장분석!$U$2:$U$601,0)+1,""))))</f>
        <v/>
      </c>
      <c r="AC605" s="89" t="n">
        <f aca="false">IF(Q605&lt;&gt;1,0,IF(OR(설정!$C$5="전체",AND(설정!$C$5="선택펀드",IFERROR(COUNTIFS(설정!$F$16:$F$36,C605,설정!$G$16:$G$36,"Y")+COUNTIFS(설정!$F$16:$F$36,VALUE(C605),설정!$G$16:$G$36,"Y"),0)&gt;0),C605&amp;""=설정!$C$5&amp;""),1,0))</f>
        <v>0</v>
      </c>
      <c r="AD605" s="89" t="n">
        <f aca="false">IF(Q605&lt;&gt;1,0,IF(OR(S605=1,IF(AB605="",FALSE(),INDEX(시장분석!$R:$R,AB605)=1)),1,0))</f>
        <v>0</v>
      </c>
      <c r="AE605" s="43" t="str">
        <f aca="false">IF(AB605="","",INDEX(시장분석!$A:$A,AB605))</f>
        <v/>
      </c>
      <c r="AF605" s="93" t="str">
        <f aca="false">IF(AB605="","",IF(ISNUMBER(IF(AB605="","",INDEX(시장분석!$E:$E,AB605))),IF(AB605="","",INDEX(시장분석!$E:$E,AB605)),""))</f>
        <v/>
      </c>
      <c r="AG605" s="43" t="str">
        <f aca="false">IF(Q605&lt;&gt;1,"",IF(AB605&lt;&gt;"",IF(AB605="","",INDEX(시장분석!$L:$L,AB605)),IFERROR(IF(VLOOKUP(R605,매핑!$A$4:$E$92,5,0)="","미분류",VLOOKUP(R605,매핑!$A$4:$E$92,5,0)),"미분류")))</f>
        <v/>
      </c>
      <c r="AH605" s="43" t="str">
        <f aca="false">IF(Q605&lt;&gt;1,"",IF(AB605&lt;&gt;"",IF(AB605="","",INDEX(시장분석!$N:$N,AB605)),IFERROR(IF(VLOOKUP(R605,매핑!$A$4:$E$92,4,0)="","미분류",VLOOKUP(R605,매핑!$A$4:$E$92,4,0)),"미분류")))</f>
        <v/>
      </c>
      <c r="AI605" s="43" t="str">
        <f aca="false">IF(Q605&lt;&gt;1,"",IFERROR(IF(VLOOKUP(R605,매핑!$A$4:$E$92,3,0)="","미분류",VLOOKUP(R605,매핑!$A$4:$E$92,3,0)),IF(AB605&lt;&gt;"",IF(AB605="","",INDEX(시장분석!$W:$W,AB605)),"미분류")))</f>
        <v/>
      </c>
      <c r="AJ605" s="43" t="str">
        <f aca="false">IF(Q605&lt;&gt;1,"",IFERROR(VLOOKUP(IF(N605&lt;&gt;"",N605,IF(P605&lt;&gt;"",P605,O605)),설정!$A$15:$D$47,2,0),""))</f>
        <v/>
      </c>
      <c r="AK605" s="43" t="str">
        <f aca="false">IF(Q605&lt;&gt;1,"",IF(AJ605="","무등급",IFERROR(VLOOKUP(AJ605,설정!$A$15:$D$47,3,0),"무등급")))</f>
        <v/>
      </c>
      <c r="AL605" s="89" t="n">
        <f aca="false">IF(AJ605="",99,IFERROR(VLOOKUP(AJ605,설정!$A$15:$D$47,4,0),99))</f>
        <v>99</v>
      </c>
      <c r="AM605" s="94" t="n">
        <f aca="false">IF(ISNUMBER(H605),AA605*1000000*H605/10000,0)</f>
        <v>0</v>
      </c>
      <c r="AN605" s="94" t="n">
        <f aca="false">IF(OR(Y605=1,NOT(ISNUMBER(Z605))),0,AA605*1000000*Z605/10000)</f>
        <v>0</v>
      </c>
      <c r="AO605" s="94" t="n">
        <f aca="false">IF(ISNUMBER(G605),AA605*1000000*G605/100,0)</f>
        <v>0</v>
      </c>
      <c r="AP605" s="94" t="n">
        <f aca="false">IF(ISNUMBER(M605),M605*K605,0)</f>
        <v>0</v>
      </c>
      <c r="AQ605" s="95" t="str">
        <f aca="false">IF(AB605="","",INDEX(시장분석!$AK:$AK,AB605))</f>
        <v/>
      </c>
      <c r="AR605" s="43" t="str">
        <f aca="false">IF(AB605="","-",IF(AB605="","",INDEX(시장분석!$AL:$AL,AB605)))</f>
        <v>-</v>
      </c>
      <c r="AS605" s="96" t="str">
        <f aca="false">IF(AB605="","",INDEX(시장분석!$AJ:$AJ,AB605))</f>
        <v/>
      </c>
      <c r="AT605" s="93" t="n">
        <f aca="false">IF(AB605="",0,IF(AB605="","",INDEX(시장분석!$AN:$AN,AB605)))</f>
        <v>0</v>
      </c>
      <c r="AU605" s="94" t="n">
        <f aca="false">IF(ISNUMBER(Z605),AT605/10000*MAX(Z605-1,0)*AA605*1000000,0)</f>
        <v>0</v>
      </c>
      <c r="AV605" s="94" t="n">
        <f aca="false">AO605+AU605</f>
        <v>0</v>
      </c>
      <c r="AW605" s="43" t="str">
        <f aca="false">IF(Q605&lt;&gt;1,"",TRIM(IF(AD605=1,"FRN ","")&amp;IF(AND(AL605&gt;=10,AL605&lt;99),"BBB0미만 ","")&amp;IF(AJ605="","등급없음 ","")&amp;IF(K605&lt;&gt;1,"비USD ","")&amp;IF(AND(AB605="",Y605=0),"시장데이터없음 ","")&amp;IF(AND(ISNUMBER(U605),U605&lt;0),"만기경과 ","")))</f>
        <v/>
      </c>
      <c r="AX605" s="90" t="n">
        <f aca="false">IF(Q605&lt;&gt;1,1,IF(스프레드쇼크!$C$4="Y",INDEX(스프레드쇼크!$B$12:$L$16,IFERROR(MATCH(AH605,스프레드쇼크!$A$12:$A$16,0),MATCH("목록외",스프레드쇼크!$A$12:$A$16,0)),IFERROR(MATCH(AG605,스프레드쇼크!$B$11:$L$11,0),MATCH("목록외",스프레드쇼크!$B$11:$L$11,0))),1))</f>
        <v>1</v>
      </c>
      <c r="AY605" s="90" t="n">
        <f aca="false">IF(스프레드쇼크!$C$5="Y",IF(ISNUMBER(AF605),MIN(스프레드쇼크!$C$7,MAX(스프레드쇼크!$C$6,AF605/스프레드쇼크!$C$8)),1),1)</f>
        <v>1</v>
      </c>
      <c r="AZ605" s="94" t="n">
        <f aca="false">AN605*AX605*AY605</f>
        <v>0</v>
      </c>
      <c r="BA605" s="90" t="n">
        <f aca="false">IF(ISNUMBER(G605),AA605*G605,0)</f>
        <v>0</v>
      </c>
      <c r="BB605" s="90" t="n">
        <f aca="false">IF(ISNUMBER(G605),AA605,0)</f>
        <v>0</v>
      </c>
      <c r="BC605" s="90" t="n">
        <f aca="false">IF(AND(Y605=0,ISNUMBER(AF605)),AA605*AF605,0)</f>
        <v>0</v>
      </c>
      <c r="BD605" s="90" t="n">
        <f aca="false">IF(AND(Y605=0,ISNUMBER(AF605)),AA605,0)</f>
        <v>0</v>
      </c>
      <c r="BE605" s="90" t="n">
        <f aca="false">IF(ISNUMBER(H605),AA605*H605,0)</f>
        <v>0</v>
      </c>
      <c r="BF605" s="90" t="n">
        <f aca="false">IF(ISNUMBER(H605),AA605,0)</f>
        <v>0</v>
      </c>
      <c r="BG605" s="90" t="n">
        <f aca="false">IF(AND(Y605=0,ISNUMBER(AF605),ISNUMBER(Z605)),AA605*Z605,0)</f>
        <v>0</v>
      </c>
      <c r="BH605" s="90" t="n">
        <f aca="false">IF(AND(Y605=0,ISNUMBER(AF605),ISNUMBER(Z605)),AA605*AT605*MAX(Z605-1,0),0)</f>
        <v>0</v>
      </c>
      <c r="BI605" s="90" t="n">
        <f aca="false">IF(Y605=0,AA605,0)</f>
        <v>0</v>
      </c>
    </row>
    <row r="606" customFormat="false" ht="15" hidden="false" customHeight="false" outlineLevel="0" collapsed="false">
      <c r="A606" s="83" t="str">
        <f aca="false">IFERROR(IF(INDEX(원자료_잔고!$A$1:$EZ$1500,설정!$L$5+ROW()-1,설정!$L$8)&amp;""="0","",INDEX(원자료_잔고!$A$1:$EZ$1500,설정!$L$5+ROW()-1,설정!$L$8)&amp;""),"")</f>
        <v/>
      </c>
      <c r="B606" s="83" t="str">
        <f aca="false">IFERROR(IF(INDEX(원자료_잔고!$A$1:$EZ$1500,설정!$L$5+ROW()-1,설정!$L$7)&amp;""="0","",INDEX(원자료_잔고!$A$1:$EZ$1500,설정!$L$5+ROW()-1,설정!$L$7)&amp;""),"")</f>
        <v/>
      </c>
      <c r="C606" s="83" t="str">
        <f aca="false">IFERROR(IF(INDEX(원자료_잔고!$A$1:$EZ$1500,설정!$L$5+ROW()-1,설정!$L$9)&amp;""="0","",INDEX(원자료_잔고!$A$1:$EZ$1500,설정!$L$5+ROW()-1,설정!$L$9)&amp;""),"")</f>
        <v/>
      </c>
      <c r="D606" s="83" t="str">
        <f aca="false">IFERROR(IF(INDEX(원자료_잔고!$A$1:$EZ$1500,설정!$L$5+ROW()-1,설정!$L$10)&amp;""="0","",INDEX(원자료_잔고!$A$1:$EZ$1500,설정!$L$5+ROW()-1,설정!$L$10)&amp;""),"")</f>
        <v/>
      </c>
      <c r="E606" s="84" t="str">
        <f aca="false">IFERROR(IF(ISNUMBER(INDEX(원자료_잔고!$A$1:$EZ$1500,설정!$L$5+ROW()-1,설정!$L$11)),INDEX(원자료_잔고!$A$1:$EZ$1500,설정!$L$5+ROW()-1,설정!$L$11),""),"")</f>
        <v/>
      </c>
      <c r="F606" s="85" t="str">
        <f aca="false">IFERROR(IF(ISNUMBER(INDEX(원자료_잔고!$A$1:$EZ$1500,설정!$L$5+ROW()-1,설정!$L$12)),INDEX(원자료_잔고!$A$1:$EZ$1500,설정!$L$5+ROW()-1,설정!$L$12),""),"")</f>
        <v/>
      </c>
      <c r="G606" s="85" t="str">
        <f aca="false">IFERROR(IF(ISNUMBER(INDEX(원자료_잔고!$A$1:$EZ$1500,설정!$L$5+ROW()-1,설정!$L$13)),INDEX(원자료_잔고!$A$1:$EZ$1500,설정!$L$5+ROW()-1,설정!$L$13),""),"")</f>
        <v/>
      </c>
      <c r="H606" s="85" t="str">
        <f aca="false">IFERROR(IF(ISNUMBER(INDEX(원자료_잔고!$A$1:$EZ$1500,설정!$L$5+ROW()-1,설정!$L$14)),INDEX(원자료_잔고!$A$1:$EZ$1500,설정!$L$5+ROW()-1,설정!$L$14),""),"")</f>
        <v/>
      </c>
      <c r="I606" s="86" t="str">
        <f aca="false">IFERROR(IF(ISNUMBER(INDEX(원자료_잔고!$A$1:$EZ$1500,설정!$L$5+ROW()-1,설정!$L$15)),INDEX(원자료_잔고!$A$1:$EZ$1500,설정!$L$5+ROW()-1,설정!$L$15),""),"")</f>
        <v/>
      </c>
      <c r="J606" s="85" t="str">
        <f aca="false">IFERROR(IF(ISNUMBER(INDEX(원자료_잔고!$A$1:$EZ$1500,설정!$L$5+ROW()-1,설정!$L$16)),INDEX(원자료_잔고!$A$1:$EZ$1500,설정!$L$5+ROW()-1,설정!$L$16),""),"")</f>
        <v/>
      </c>
      <c r="K606" s="87" t="str">
        <f aca="false">IFERROR(IF(ISNUMBER(INDEX(원자료_잔고!$A$1:$EZ$1500,설정!$L$5+ROW()-1,설정!$L$17)),INDEX(원자료_잔고!$A$1:$EZ$1500,설정!$L$5+ROW()-1,설정!$L$17),""),"")</f>
        <v/>
      </c>
      <c r="L606" s="84" t="str">
        <f aca="false">IFERROR(IF(ISNUMBER(INDEX(원자료_잔고!$A$1:$EZ$1500,설정!$L$5+ROW()-1,설정!$L$18)),INDEX(원자료_잔고!$A$1:$EZ$1500,설정!$L$5+ROW()-1,설정!$L$18),""),"")</f>
        <v/>
      </c>
      <c r="M606" s="88" t="str">
        <f aca="false">IFERROR(IF(ISNUMBER(INDEX(원자료_잔고!$A$1:$EZ$1500,설정!$L$5+ROW()-1,설정!$L$19)),INDEX(원자료_잔고!$A$1:$EZ$1500,설정!$L$5+ROW()-1,설정!$L$19),""),"")</f>
        <v/>
      </c>
      <c r="N606" s="83" t="str">
        <f aca="false">IFERROR(IF(INDEX(원자료_잔고!$A$1:$EZ$1500,설정!$L$5+ROW()-1,설정!$L$21)&amp;""="0","",INDEX(원자료_잔고!$A$1:$EZ$1500,설정!$L$5+ROW()-1,설정!$L$21)&amp;""),"")</f>
        <v/>
      </c>
      <c r="O606" s="83" t="str">
        <f aca="false">IFERROR(IF(INDEX(원자료_잔고!$A$1:$EZ$1500,설정!$L$5+ROW()-1,설정!$L$22)&amp;""="0","",INDEX(원자료_잔고!$A$1:$EZ$1500,설정!$L$5+ROW()-1,설정!$L$22)&amp;""),"")</f>
        <v/>
      </c>
      <c r="P606" s="83" t="str">
        <f aca="false">IFERROR(IF(INDEX(원자료_잔고!$A$1:$EZ$1500,설정!$L$5+ROW()-1,설정!$L$23)&amp;""="0","",INDEX(원자료_잔고!$A$1:$EZ$1500,설정!$L$5+ROW()-1,설정!$L$23)&amp;""),"")</f>
        <v/>
      </c>
      <c r="Q606" s="89" t="n">
        <f aca="false">IF(AND($A606&lt;&gt;"",ISNUMBER(E606)),IF(E606&gt;0,1,0),0)</f>
        <v>0</v>
      </c>
      <c r="R606" s="43" t="str">
        <f aca="false">IF(Q606=1,UPPER(LEFT($A606,FIND(" ",$A606&amp;" ")-1)),"")</f>
        <v/>
      </c>
      <c r="S606" s="89" t="n">
        <f aca="false">IF(Q606=1,IF(OR(ISNUMBER(SEARCH("Float",$A606)),ISNUMBER(SEARCH("FRN",$A606))),1,0),0)</f>
        <v>0</v>
      </c>
      <c r="T606" s="43" t="str">
        <f aca="false">IF(AND(Q606=1,ISNUMBER(I606)),TEXT(I606,"yyyymmdd")&amp;"|"&amp;IF(S606=1,"F",TEXT(J606,"0.000")),"")</f>
        <v/>
      </c>
      <c r="U606" s="90" t="str">
        <f aca="false">IF(AND(Q606=1,ISNUMBER(I606)),(I606-설정!$C$4)/365.25,"")</f>
        <v/>
      </c>
      <c r="V606" s="43" t="str">
        <f aca="false">IF(Q606&lt;&gt;1,"",IF(ISNUMBER(U606),IF(U606&lt;=1,"1년 이하",IF(U606&lt;=2,"1-2년",IF(U606&lt;=3,"2-3년",IF(U606&lt;=4,"3-4년",IF(U606&lt;=5,"4-5년",IF(U606&lt;=7,"5-7년",IF(U606&lt;=10,"7-10년",IF(U606&lt;=20,"10-20년","20년 이상")))))))),"미분류"))</f>
        <v/>
      </c>
      <c r="W606" s="43" t="str">
        <f aca="false">IF(Q606&lt;&gt;1,"",IF(AB606&lt;&gt;"",INDEX(시장분석!$C:$C,AB606),IF(K606=1,"USD","비USD")))</f>
        <v/>
      </c>
      <c r="X606" s="91" t="n">
        <f aca="false">IF(Q606=1,E606*K606/1000000,0)</f>
        <v>0</v>
      </c>
      <c r="Y606" s="89" t="n">
        <f aca="false">IF(R606="T",1,0)</f>
        <v>0</v>
      </c>
      <c r="Z606" s="92" t="str">
        <f aca="false">IF(Q606&lt;&gt;1,"",IF(AD606=1,IF(ISNUMBER(U606),MAX(U606,0),H606),H606))</f>
        <v/>
      </c>
      <c r="AA606" s="91" t="n">
        <f aca="false">IF(Q606=1,IF(ISNUMBER(L606),L606,0)*K606/1000000,0)</f>
        <v>0</v>
      </c>
      <c r="AB606" s="89" t="str">
        <f aca="false">IF(Q606&lt;&gt;1,"",IFERROR(MATCH(VLOOKUP(B606,매핑!$H$4:$I$15,2,0),시장분석!$A$2:$A$601,0)+1,IFERROR(MATCH(R606&amp;"|"&amp;T606,시장분석!$V$2:$V$601,0)+1,IF(COUNTIF(시장분석!$U$2:$U$601,T606)=1,MATCH(T606,시장분석!$U$2:$U$601,0)+1,""))))</f>
        <v/>
      </c>
      <c r="AC606" s="89" t="n">
        <f aca="false">IF(Q606&lt;&gt;1,0,IF(OR(설정!$C$5="전체",AND(설정!$C$5="선택펀드",IFERROR(COUNTIFS(설정!$F$16:$F$36,C606,설정!$G$16:$G$36,"Y")+COUNTIFS(설정!$F$16:$F$36,VALUE(C606),설정!$G$16:$G$36,"Y"),0)&gt;0),C606&amp;""=설정!$C$5&amp;""),1,0))</f>
        <v>0</v>
      </c>
      <c r="AD606" s="89" t="n">
        <f aca="false">IF(Q606&lt;&gt;1,0,IF(OR(S606=1,IF(AB606="",FALSE(),INDEX(시장분석!$R:$R,AB606)=1)),1,0))</f>
        <v>0</v>
      </c>
      <c r="AE606" s="43" t="str">
        <f aca="false">IF(AB606="","",INDEX(시장분석!$A:$A,AB606))</f>
        <v/>
      </c>
      <c r="AF606" s="93" t="str">
        <f aca="false">IF(AB606="","",IF(ISNUMBER(IF(AB606="","",INDEX(시장분석!$E:$E,AB606))),IF(AB606="","",INDEX(시장분석!$E:$E,AB606)),""))</f>
        <v/>
      </c>
      <c r="AG606" s="43" t="str">
        <f aca="false">IF(Q606&lt;&gt;1,"",IF(AB606&lt;&gt;"",IF(AB606="","",INDEX(시장분석!$L:$L,AB606)),IFERROR(IF(VLOOKUP(R606,매핑!$A$4:$E$92,5,0)="","미분류",VLOOKUP(R606,매핑!$A$4:$E$92,5,0)),"미분류")))</f>
        <v/>
      </c>
      <c r="AH606" s="43" t="str">
        <f aca="false">IF(Q606&lt;&gt;1,"",IF(AB606&lt;&gt;"",IF(AB606="","",INDEX(시장분석!$N:$N,AB606)),IFERROR(IF(VLOOKUP(R606,매핑!$A$4:$E$92,4,0)="","미분류",VLOOKUP(R606,매핑!$A$4:$E$92,4,0)),"미분류")))</f>
        <v/>
      </c>
      <c r="AI606" s="43" t="str">
        <f aca="false">IF(Q606&lt;&gt;1,"",IFERROR(IF(VLOOKUP(R606,매핑!$A$4:$E$92,3,0)="","미분류",VLOOKUP(R606,매핑!$A$4:$E$92,3,0)),IF(AB606&lt;&gt;"",IF(AB606="","",INDEX(시장분석!$W:$W,AB606)),"미분류")))</f>
        <v/>
      </c>
      <c r="AJ606" s="43" t="str">
        <f aca="false">IF(Q606&lt;&gt;1,"",IFERROR(VLOOKUP(IF(N606&lt;&gt;"",N606,IF(P606&lt;&gt;"",P606,O606)),설정!$A$15:$D$47,2,0),""))</f>
        <v/>
      </c>
      <c r="AK606" s="43" t="str">
        <f aca="false">IF(Q606&lt;&gt;1,"",IF(AJ606="","무등급",IFERROR(VLOOKUP(AJ606,설정!$A$15:$D$47,3,0),"무등급")))</f>
        <v/>
      </c>
      <c r="AL606" s="89" t="n">
        <f aca="false">IF(AJ606="",99,IFERROR(VLOOKUP(AJ606,설정!$A$15:$D$47,4,0),99))</f>
        <v>99</v>
      </c>
      <c r="AM606" s="94" t="n">
        <f aca="false">IF(ISNUMBER(H606),AA606*1000000*H606/10000,0)</f>
        <v>0</v>
      </c>
      <c r="AN606" s="94" t="n">
        <f aca="false">IF(OR(Y606=1,NOT(ISNUMBER(Z606))),0,AA606*1000000*Z606/10000)</f>
        <v>0</v>
      </c>
      <c r="AO606" s="94" t="n">
        <f aca="false">IF(ISNUMBER(G606),AA606*1000000*G606/100,0)</f>
        <v>0</v>
      </c>
      <c r="AP606" s="94" t="n">
        <f aca="false">IF(ISNUMBER(M606),M606*K606,0)</f>
        <v>0</v>
      </c>
      <c r="AQ606" s="95" t="str">
        <f aca="false">IF(AB606="","",INDEX(시장분석!$AK:$AK,AB606))</f>
        <v/>
      </c>
      <c r="AR606" s="43" t="str">
        <f aca="false">IF(AB606="","-",IF(AB606="","",INDEX(시장분석!$AL:$AL,AB606)))</f>
        <v>-</v>
      </c>
      <c r="AS606" s="96" t="str">
        <f aca="false">IF(AB606="","",INDEX(시장분석!$AJ:$AJ,AB606))</f>
        <v/>
      </c>
      <c r="AT606" s="93" t="n">
        <f aca="false">IF(AB606="",0,IF(AB606="","",INDEX(시장분석!$AN:$AN,AB606)))</f>
        <v>0</v>
      </c>
      <c r="AU606" s="94" t="n">
        <f aca="false">IF(ISNUMBER(Z606),AT606/10000*MAX(Z606-1,0)*AA606*1000000,0)</f>
        <v>0</v>
      </c>
      <c r="AV606" s="94" t="n">
        <f aca="false">AO606+AU606</f>
        <v>0</v>
      </c>
      <c r="AW606" s="43" t="str">
        <f aca="false">IF(Q606&lt;&gt;1,"",TRIM(IF(AD606=1,"FRN ","")&amp;IF(AND(AL606&gt;=10,AL606&lt;99),"BBB0미만 ","")&amp;IF(AJ606="","등급없음 ","")&amp;IF(K606&lt;&gt;1,"비USD ","")&amp;IF(AND(AB606="",Y606=0),"시장데이터없음 ","")&amp;IF(AND(ISNUMBER(U606),U606&lt;0),"만기경과 ","")))</f>
        <v/>
      </c>
      <c r="AX606" s="90" t="n">
        <f aca="false">IF(Q606&lt;&gt;1,1,IF(스프레드쇼크!$C$4="Y",INDEX(스프레드쇼크!$B$12:$L$16,IFERROR(MATCH(AH606,스프레드쇼크!$A$12:$A$16,0),MATCH("목록외",스프레드쇼크!$A$12:$A$16,0)),IFERROR(MATCH(AG606,스프레드쇼크!$B$11:$L$11,0),MATCH("목록외",스프레드쇼크!$B$11:$L$11,0))),1))</f>
        <v>1</v>
      </c>
      <c r="AY606" s="90" t="n">
        <f aca="false">IF(스프레드쇼크!$C$5="Y",IF(ISNUMBER(AF606),MIN(스프레드쇼크!$C$7,MAX(스프레드쇼크!$C$6,AF606/스프레드쇼크!$C$8)),1),1)</f>
        <v>1</v>
      </c>
      <c r="AZ606" s="94" t="n">
        <f aca="false">AN606*AX606*AY606</f>
        <v>0</v>
      </c>
      <c r="BA606" s="90" t="n">
        <f aca="false">IF(ISNUMBER(G606),AA606*G606,0)</f>
        <v>0</v>
      </c>
      <c r="BB606" s="90" t="n">
        <f aca="false">IF(ISNUMBER(G606),AA606,0)</f>
        <v>0</v>
      </c>
      <c r="BC606" s="90" t="n">
        <f aca="false">IF(AND(Y606=0,ISNUMBER(AF606)),AA606*AF606,0)</f>
        <v>0</v>
      </c>
      <c r="BD606" s="90" t="n">
        <f aca="false">IF(AND(Y606=0,ISNUMBER(AF606)),AA606,0)</f>
        <v>0</v>
      </c>
      <c r="BE606" s="90" t="n">
        <f aca="false">IF(ISNUMBER(H606),AA606*H606,0)</f>
        <v>0</v>
      </c>
      <c r="BF606" s="90" t="n">
        <f aca="false">IF(ISNUMBER(H606),AA606,0)</f>
        <v>0</v>
      </c>
      <c r="BG606" s="90" t="n">
        <f aca="false">IF(AND(Y606=0,ISNUMBER(AF606),ISNUMBER(Z606)),AA606*Z606,0)</f>
        <v>0</v>
      </c>
      <c r="BH606" s="90" t="n">
        <f aca="false">IF(AND(Y606=0,ISNUMBER(AF606),ISNUMBER(Z606)),AA606*AT606*MAX(Z606-1,0),0)</f>
        <v>0</v>
      </c>
      <c r="BI606" s="90" t="n">
        <f aca="false">IF(Y606=0,AA606,0)</f>
        <v>0</v>
      </c>
    </row>
    <row r="607" customFormat="false" ht="15" hidden="false" customHeight="false" outlineLevel="0" collapsed="false">
      <c r="A607" s="83" t="str">
        <f aca="false">IFERROR(IF(INDEX(원자료_잔고!$A$1:$EZ$1500,설정!$L$5+ROW()-1,설정!$L$8)&amp;""="0","",INDEX(원자료_잔고!$A$1:$EZ$1500,설정!$L$5+ROW()-1,설정!$L$8)&amp;""),"")</f>
        <v/>
      </c>
      <c r="B607" s="83" t="str">
        <f aca="false">IFERROR(IF(INDEX(원자료_잔고!$A$1:$EZ$1500,설정!$L$5+ROW()-1,설정!$L$7)&amp;""="0","",INDEX(원자료_잔고!$A$1:$EZ$1500,설정!$L$5+ROW()-1,설정!$L$7)&amp;""),"")</f>
        <v/>
      </c>
      <c r="C607" s="83" t="str">
        <f aca="false">IFERROR(IF(INDEX(원자료_잔고!$A$1:$EZ$1500,설정!$L$5+ROW()-1,설정!$L$9)&amp;""="0","",INDEX(원자료_잔고!$A$1:$EZ$1500,설정!$L$5+ROW()-1,설정!$L$9)&amp;""),"")</f>
        <v/>
      </c>
      <c r="D607" s="83" t="str">
        <f aca="false">IFERROR(IF(INDEX(원자료_잔고!$A$1:$EZ$1500,설정!$L$5+ROW()-1,설정!$L$10)&amp;""="0","",INDEX(원자료_잔고!$A$1:$EZ$1500,설정!$L$5+ROW()-1,설정!$L$10)&amp;""),"")</f>
        <v/>
      </c>
      <c r="E607" s="84" t="str">
        <f aca="false">IFERROR(IF(ISNUMBER(INDEX(원자료_잔고!$A$1:$EZ$1500,설정!$L$5+ROW()-1,설정!$L$11)),INDEX(원자료_잔고!$A$1:$EZ$1500,설정!$L$5+ROW()-1,설정!$L$11),""),"")</f>
        <v/>
      </c>
      <c r="F607" s="85" t="str">
        <f aca="false">IFERROR(IF(ISNUMBER(INDEX(원자료_잔고!$A$1:$EZ$1500,설정!$L$5+ROW()-1,설정!$L$12)),INDEX(원자료_잔고!$A$1:$EZ$1500,설정!$L$5+ROW()-1,설정!$L$12),""),"")</f>
        <v/>
      </c>
      <c r="G607" s="85" t="str">
        <f aca="false">IFERROR(IF(ISNUMBER(INDEX(원자료_잔고!$A$1:$EZ$1500,설정!$L$5+ROW()-1,설정!$L$13)),INDEX(원자료_잔고!$A$1:$EZ$1500,설정!$L$5+ROW()-1,설정!$L$13),""),"")</f>
        <v/>
      </c>
      <c r="H607" s="85" t="str">
        <f aca="false">IFERROR(IF(ISNUMBER(INDEX(원자료_잔고!$A$1:$EZ$1500,설정!$L$5+ROW()-1,설정!$L$14)),INDEX(원자료_잔고!$A$1:$EZ$1500,설정!$L$5+ROW()-1,설정!$L$14),""),"")</f>
        <v/>
      </c>
      <c r="I607" s="86" t="str">
        <f aca="false">IFERROR(IF(ISNUMBER(INDEX(원자료_잔고!$A$1:$EZ$1500,설정!$L$5+ROW()-1,설정!$L$15)),INDEX(원자료_잔고!$A$1:$EZ$1500,설정!$L$5+ROW()-1,설정!$L$15),""),"")</f>
        <v/>
      </c>
      <c r="J607" s="85" t="str">
        <f aca="false">IFERROR(IF(ISNUMBER(INDEX(원자료_잔고!$A$1:$EZ$1500,설정!$L$5+ROW()-1,설정!$L$16)),INDEX(원자료_잔고!$A$1:$EZ$1500,설정!$L$5+ROW()-1,설정!$L$16),""),"")</f>
        <v/>
      </c>
      <c r="K607" s="87" t="str">
        <f aca="false">IFERROR(IF(ISNUMBER(INDEX(원자료_잔고!$A$1:$EZ$1500,설정!$L$5+ROW()-1,설정!$L$17)),INDEX(원자료_잔고!$A$1:$EZ$1500,설정!$L$5+ROW()-1,설정!$L$17),""),"")</f>
        <v/>
      </c>
      <c r="L607" s="84" t="str">
        <f aca="false">IFERROR(IF(ISNUMBER(INDEX(원자료_잔고!$A$1:$EZ$1500,설정!$L$5+ROW()-1,설정!$L$18)),INDEX(원자료_잔고!$A$1:$EZ$1500,설정!$L$5+ROW()-1,설정!$L$18),""),"")</f>
        <v/>
      </c>
      <c r="M607" s="88" t="str">
        <f aca="false">IFERROR(IF(ISNUMBER(INDEX(원자료_잔고!$A$1:$EZ$1500,설정!$L$5+ROW()-1,설정!$L$19)),INDEX(원자료_잔고!$A$1:$EZ$1500,설정!$L$5+ROW()-1,설정!$L$19),""),"")</f>
        <v/>
      </c>
      <c r="N607" s="83" t="str">
        <f aca="false">IFERROR(IF(INDEX(원자료_잔고!$A$1:$EZ$1500,설정!$L$5+ROW()-1,설정!$L$21)&amp;""="0","",INDEX(원자료_잔고!$A$1:$EZ$1500,설정!$L$5+ROW()-1,설정!$L$21)&amp;""),"")</f>
        <v/>
      </c>
      <c r="O607" s="83" t="str">
        <f aca="false">IFERROR(IF(INDEX(원자료_잔고!$A$1:$EZ$1500,설정!$L$5+ROW()-1,설정!$L$22)&amp;""="0","",INDEX(원자료_잔고!$A$1:$EZ$1500,설정!$L$5+ROW()-1,설정!$L$22)&amp;""),"")</f>
        <v/>
      </c>
      <c r="P607" s="83" t="str">
        <f aca="false">IFERROR(IF(INDEX(원자료_잔고!$A$1:$EZ$1500,설정!$L$5+ROW()-1,설정!$L$23)&amp;""="0","",INDEX(원자료_잔고!$A$1:$EZ$1500,설정!$L$5+ROW()-1,설정!$L$23)&amp;""),"")</f>
        <v/>
      </c>
      <c r="Q607" s="89" t="n">
        <f aca="false">IF(AND($A607&lt;&gt;"",ISNUMBER(E607)),IF(E607&gt;0,1,0),0)</f>
        <v>0</v>
      </c>
      <c r="R607" s="43" t="str">
        <f aca="false">IF(Q607=1,UPPER(LEFT($A607,FIND(" ",$A607&amp;" ")-1)),"")</f>
        <v/>
      </c>
      <c r="S607" s="89" t="n">
        <f aca="false">IF(Q607=1,IF(OR(ISNUMBER(SEARCH("Float",$A607)),ISNUMBER(SEARCH("FRN",$A607))),1,0),0)</f>
        <v>0</v>
      </c>
      <c r="T607" s="43" t="str">
        <f aca="false">IF(AND(Q607=1,ISNUMBER(I607)),TEXT(I607,"yyyymmdd")&amp;"|"&amp;IF(S607=1,"F",TEXT(J607,"0.000")),"")</f>
        <v/>
      </c>
      <c r="U607" s="90" t="str">
        <f aca="false">IF(AND(Q607=1,ISNUMBER(I607)),(I607-설정!$C$4)/365.25,"")</f>
        <v/>
      </c>
      <c r="V607" s="43" t="str">
        <f aca="false">IF(Q607&lt;&gt;1,"",IF(ISNUMBER(U607),IF(U607&lt;=1,"1년 이하",IF(U607&lt;=2,"1-2년",IF(U607&lt;=3,"2-3년",IF(U607&lt;=4,"3-4년",IF(U607&lt;=5,"4-5년",IF(U607&lt;=7,"5-7년",IF(U607&lt;=10,"7-10년",IF(U607&lt;=20,"10-20년","20년 이상")))))))),"미분류"))</f>
        <v/>
      </c>
      <c r="W607" s="43" t="str">
        <f aca="false">IF(Q607&lt;&gt;1,"",IF(AB607&lt;&gt;"",INDEX(시장분석!$C:$C,AB607),IF(K607=1,"USD","비USD")))</f>
        <v/>
      </c>
      <c r="X607" s="91" t="n">
        <f aca="false">IF(Q607=1,E607*K607/1000000,0)</f>
        <v>0</v>
      </c>
      <c r="Y607" s="89" t="n">
        <f aca="false">IF(R607="T",1,0)</f>
        <v>0</v>
      </c>
      <c r="Z607" s="92" t="str">
        <f aca="false">IF(Q607&lt;&gt;1,"",IF(AD607=1,IF(ISNUMBER(U607),MAX(U607,0),H607),H607))</f>
        <v/>
      </c>
      <c r="AA607" s="91" t="n">
        <f aca="false">IF(Q607=1,IF(ISNUMBER(L607),L607,0)*K607/1000000,0)</f>
        <v>0</v>
      </c>
      <c r="AB607" s="89" t="str">
        <f aca="false">IF(Q607&lt;&gt;1,"",IFERROR(MATCH(VLOOKUP(B607,매핑!$H$4:$I$15,2,0),시장분석!$A$2:$A$601,0)+1,IFERROR(MATCH(R607&amp;"|"&amp;T607,시장분석!$V$2:$V$601,0)+1,IF(COUNTIF(시장분석!$U$2:$U$601,T607)=1,MATCH(T607,시장분석!$U$2:$U$601,0)+1,""))))</f>
        <v/>
      </c>
      <c r="AC607" s="89" t="n">
        <f aca="false">IF(Q607&lt;&gt;1,0,IF(OR(설정!$C$5="전체",AND(설정!$C$5="선택펀드",IFERROR(COUNTIFS(설정!$F$16:$F$36,C607,설정!$G$16:$G$36,"Y")+COUNTIFS(설정!$F$16:$F$36,VALUE(C607),설정!$G$16:$G$36,"Y"),0)&gt;0),C607&amp;""=설정!$C$5&amp;""),1,0))</f>
        <v>0</v>
      </c>
      <c r="AD607" s="89" t="n">
        <f aca="false">IF(Q607&lt;&gt;1,0,IF(OR(S607=1,IF(AB607="",FALSE(),INDEX(시장분석!$R:$R,AB607)=1)),1,0))</f>
        <v>0</v>
      </c>
      <c r="AE607" s="43" t="str">
        <f aca="false">IF(AB607="","",INDEX(시장분석!$A:$A,AB607))</f>
        <v/>
      </c>
      <c r="AF607" s="93" t="str">
        <f aca="false">IF(AB607="","",IF(ISNUMBER(IF(AB607="","",INDEX(시장분석!$E:$E,AB607))),IF(AB607="","",INDEX(시장분석!$E:$E,AB607)),""))</f>
        <v/>
      </c>
      <c r="AG607" s="43" t="str">
        <f aca="false">IF(Q607&lt;&gt;1,"",IF(AB607&lt;&gt;"",IF(AB607="","",INDEX(시장분석!$L:$L,AB607)),IFERROR(IF(VLOOKUP(R607,매핑!$A$4:$E$92,5,0)="","미분류",VLOOKUP(R607,매핑!$A$4:$E$92,5,0)),"미분류")))</f>
        <v/>
      </c>
      <c r="AH607" s="43" t="str">
        <f aca="false">IF(Q607&lt;&gt;1,"",IF(AB607&lt;&gt;"",IF(AB607="","",INDEX(시장분석!$N:$N,AB607)),IFERROR(IF(VLOOKUP(R607,매핑!$A$4:$E$92,4,0)="","미분류",VLOOKUP(R607,매핑!$A$4:$E$92,4,0)),"미분류")))</f>
        <v/>
      </c>
      <c r="AI607" s="43" t="str">
        <f aca="false">IF(Q607&lt;&gt;1,"",IFERROR(IF(VLOOKUP(R607,매핑!$A$4:$E$92,3,0)="","미분류",VLOOKUP(R607,매핑!$A$4:$E$92,3,0)),IF(AB607&lt;&gt;"",IF(AB607="","",INDEX(시장분석!$W:$W,AB607)),"미분류")))</f>
        <v/>
      </c>
      <c r="AJ607" s="43" t="str">
        <f aca="false">IF(Q607&lt;&gt;1,"",IFERROR(VLOOKUP(IF(N607&lt;&gt;"",N607,IF(P607&lt;&gt;"",P607,O607)),설정!$A$15:$D$47,2,0),""))</f>
        <v/>
      </c>
      <c r="AK607" s="43" t="str">
        <f aca="false">IF(Q607&lt;&gt;1,"",IF(AJ607="","무등급",IFERROR(VLOOKUP(AJ607,설정!$A$15:$D$47,3,0),"무등급")))</f>
        <v/>
      </c>
      <c r="AL607" s="89" t="n">
        <f aca="false">IF(AJ607="",99,IFERROR(VLOOKUP(AJ607,설정!$A$15:$D$47,4,0),99))</f>
        <v>99</v>
      </c>
      <c r="AM607" s="94" t="n">
        <f aca="false">IF(ISNUMBER(H607),AA607*1000000*H607/10000,0)</f>
        <v>0</v>
      </c>
      <c r="AN607" s="94" t="n">
        <f aca="false">IF(OR(Y607=1,NOT(ISNUMBER(Z607))),0,AA607*1000000*Z607/10000)</f>
        <v>0</v>
      </c>
      <c r="AO607" s="94" t="n">
        <f aca="false">IF(ISNUMBER(G607),AA607*1000000*G607/100,0)</f>
        <v>0</v>
      </c>
      <c r="AP607" s="94" t="n">
        <f aca="false">IF(ISNUMBER(M607),M607*K607,0)</f>
        <v>0</v>
      </c>
      <c r="AQ607" s="95" t="str">
        <f aca="false">IF(AB607="","",INDEX(시장분석!$AK:$AK,AB607))</f>
        <v/>
      </c>
      <c r="AR607" s="43" t="str">
        <f aca="false">IF(AB607="","-",IF(AB607="","",INDEX(시장분석!$AL:$AL,AB607)))</f>
        <v>-</v>
      </c>
      <c r="AS607" s="96" t="str">
        <f aca="false">IF(AB607="","",INDEX(시장분석!$AJ:$AJ,AB607))</f>
        <v/>
      </c>
      <c r="AT607" s="93" t="n">
        <f aca="false">IF(AB607="",0,IF(AB607="","",INDEX(시장분석!$AN:$AN,AB607)))</f>
        <v>0</v>
      </c>
      <c r="AU607" s="94" t="n">
        <f aca="false">IF(ISNUMBER(Z607),AT607/10000*MAX(Z607-1,0)*AA607*1000000,0)</f>
        <v>0</v>
      </c>
      <c r="AV607" s="94" t="n">
        <f aca="false">AO607+AU607</f>
        <v>0</v>
      </c>
      <c r="AW607" s="43" t="str">
        <f aca="false">IF(Q607&lt;&gt;1,"",TRIM(IF(AD607=1,"FRN ","")&amp;IF(AND(AL607&gt;=10,AL607&lt;99),"BBB0미만 ","")&amp;IF(AJ607="","등급없음 ","")&amp;IF(K607&lt;&gt;1,"비USD ","")&amp;IF(AND(AB607="",Y607=0),"시장데이터없음 ","")&amp;IF(AND(ISNUMBER(U607),U607&lt;0),"만기경과 ","")))</f>
        <v/>
      </c>
      <c r="AX607" s="90" t="n">
        <f aca="false">IF(Q607&lt;&gt;1,1,IF(스프레드쇼크!$C$4="Y",INDEX(스프레드쇼크!$B$12:$L$16,IFERROR(MATCH(AH607,스프레드쇼크!$A$12:$A$16,0),MATCH("목록외",스프레드쇼크!$A$12:$A$16,0)),IFERROR(MATCH(AG607,스프레드쇼크!$B$11:$L$11,0),MATCH("목록외",스프레드쇼크!$B$11:$L$11,0))),1))</f>
        <v>1</v>
      </c>
      <c r="AY607" s="90" t="n">
        <f aca="false">IF(스프레드쇼크!$C$5="Y",IF(ISNUMBER(AF607),MIN(스프레드쇼크!$C$7,MAX(스프레드쇼크!$C$6,AF607/스프레드쇼크!$C$8)),1),1)</f>
        <v>1</v>
      </c>
      <c r="AZ607" s="94" t="n">
        <f aca="false">AN607*AX607*AY607</f>
        <v>0</v>
      </c>
      <c r="BA607" s="90" t="n">
        <f aca="false">IF(ISNUMBER(G607),AA607*G607,0)</f>
        <v>0</v>
      </c>
      <c r="BB607" s="90" t="n">
        <f aca="false">IF(ISNUMBER(G607),AA607,0)</f>
        <v>0</v>
      </c>
      <c r="BC607" s="90" t="n">
        <f aca="false">IF(AND(Y607=0,ISNUMBER(AF607)),AA607*AF607,0)</f>
        <v>0</v>
      </c>
      <c r="BD607" s="90" t="n">
        <f aca="false">IF(AND(Y607=0,ISNUMBER(AF607)),AA607,0)</f>
        <v>0</v>
      </c>
      <c r="BE607" s="90" t="n">
        <f aca="false">IF(ISNUMBER(H607),AA607*H607,0)</f>
        <v>0</v>
      </c>
      <c r="BF607" s="90" t="n">
        <f aca="false">IF(ISNUMBER(H607),AA607,0)</f>
        <v>0</v>
      </c>
      <c r="BG607" s="90" t="n">
        <f aca="false">IF(AND(Y607=0,ISNUMBER(AF607),ISNUMBER(Z607)),AA607*Z607,0)</f>
        <v>0</v>
      </c>
      <c r="BH607" s="90" t="n">
        <f aca="false">IF(AND(Y607=0,ISNUMBER(AF607),ISNUMBER(Z607)),AA607*AT607*MAX(Z607-1,0),0)</f>
        <v>0</v>
      </c>
      <c r="BI607" s="90" t="n">
        <f aca="false">IF(Y607=0,AA607,0)</f>
        <v>0</v>
      </c>
    </row>
    <row r="608" customFormat="false" ht="15" hidden="false" customHeight="false" outlineLevel="0" collapsed="false">
      <c r="A608" s="83" t="str">
        <f aca="false">IFERROR(IF(INDEX(원자료_잔고!$A$1:$EZ$1500,설정!$L$5+ROW()-1,설정!$L$8)&amp;""="0","",INDEX(원자료_잔고!$A$1:$EZ$1500,설정!$L$5+ROW()-1,설정!$L$8)&amp;""),"")</f>
        <v/>
      </c>
      <c r="B608" s="83" t="str">
        <f aca="false">IFERROR(IF(INDEX(원자료_잔고!$A$1:$EZ$1500,설정!$L$5+ROW()-1,설정!$L$7)&amp;""="0","",INDEX(원자료_잔고!$A$1:$EZ$1500,설정!$L$5+ROW()-1,설정!$L$7)&amp;""),"")</f>
        <v/>
      </c>
      <c r="C608" s="83" t="str">
        <f aca="false">IFERROR(IF(INDEX(원자료_잔고!$A$1:$EZ$1500,설정!$L$5+ROW()-1,설정!$L$9)&amp;""="0","",INDEX(원자료_잔고!$A$1:$EZ$1500,설정!$L$5+ROW()-1,설정!$L$9)&amp;""),"")</f>
        <v/>
      </c>
      <c r="D608" s="83" t="str">
        <f aca="false">IFERROR(IF(INDEX(원자료_잔고!$A$1:$EZ$1500,설정!$L$5+ROW()-1,설정!$L$10)&amp;""="0","",INDEX(원자료_잔고!$A$1:$EZ$1500,설정!$L$5+ROW()-1,설정!$L$10)&amp;""),"")</f>
        <v/>
      </c>
      <c r="E608" s="84" t="str">
        <f aca="false">IFERROR(IF(ISNUMBER(INDEX(원자료_잔고!$A$1:$EZ$1500,설정!$L$5+ROW()-1,설정!$L$11)),INDEX(원자료_잔고!$A$1:$EZ$1500,설정!$L$5+ROW()-1,설정!$L$11),""),"")</f>
        <v/>
      </c>
      <c r="F608" s="85" t="str">
        <f aca="false">IFERROR(IF(ISNUMBER(INDEX(원자료_잔고!$A$1:$EZ$1500,설정!$L$5+ROW()-1,설정!$L$12)),INDEX(원자료_잔고!$A$1:$EZ$1500,설정!$L$5+ROW()-1,설정!$L$12),""),"")</f>
        <v/>
      </c>
      <c r="G608" s="85" t="str">
        <f aca="false">IFERROR(IF(ISNUMBER(INDEX(원자료_잔고!$A$1:$EZ$1500,설정!$L$5+ROW()-1,설정!$L$13)),INDEX(원자료_잔고!$A$1:$EZ$1500,설정!$L$5+ROW()-1,설정!$L$13),""),"")</f>
        <v/>
      </c>
      <c r="H608" s="85" t="str">
        <f aca="false">IFERROR(IF(ISNUMBER(INDEX(원자료_잔고!$A$1:$EZ$1500,설정!$L$5+ROW()-1,설정!$L$14)),INDEX(원자료_잔고!$A$1:$EZ$1500,설정!$L$5+ROW()-1,설정!$L$14),""),"")</f>
        <v/>
      </c>
      <c r="I608" s="86" t="str">
        <f aca="false">IFERROR(IF(ISNUMBER(INDEX(원자료_잔고!$A$1:$EZ$1500,설정!$L$5+ROW()-1,설정!$L$15)),INDEX(원자료_잔고!$A$1:$EZ$1500,설정!$L$5+ROW()-1,설정!$L$15),""),"")</f>
        <v/>
      </c>
      <c r="J608" s="85" t="str">
        <f aca="false">IFERROR(IF(ISNUMBER(INDEX(원자료_잔고!$A$1:$EZ$1500,설정!$L$5+ROW()-1,설정!$L$16)),INDEX(원자료_잔고!$A$1:$EZ$1500,설정!$L$5+ROW()-1,설정!$L$16),""),"")</f>
        <v/>
      </c>
      <c r="K608" s="87" t="str">
        <f aca="false">IFERROR(IF(ISNUMBER(INDEX(원자료_잔고!$A$1:$EZ$1500,설정!$L$5+ROW()-1,설정!$L$17)),INDEX(원자료_잔고!$A$1:$EZ$1500,설정!$L$5+ROW()-1,설정!$L$17),""),"")</f>
        <v/>
      </c>
      <c r="L608" s="84" t="str">
        <f aca="false">IFERROR(IF(ISNUMBER(INDEX(원자료_잔고!$A$1:$EZ$1500,설정!$L$5+ROW()-1,설정!$L$18)),INDEX(원자료_잔고!$A$1:$EZ$1500,설정!$L$5+ROW()-1,설정!$L$18),""),"")</f>
        <v/>
      </c>
      <c r="M608" s="88" t="str">
        <f aca="false">IFERROR(IF(ISNUMBER(INDEX(원자료_잔고!$A$1:$EZ$1500,설정!$L$5+ROW()-1,설정!$L$19)),INDEX(원자료_잔고!$A$1:$EZ$1500,설정!$L$5+ROW()-1,설정!$L$19),""),"")</f>
        <v/>
      </c>
      <c r="N608" s="83" t="str">
        <f aca="false">IFERROR(IF(INDEX(원자료_잔고!$A$1:$EZ$1500,설정!$L$5+ROW()-1,설정!$L$21)&amp;""="0","",INDEX(원자료_잔고!$A$1:$EZ$1500,설정!$L$5+ROW()-1,설정!$L$21)&amp;""),"")</f>
        <v/>
      </c>
      <c r="O608" s="83" t="str">
        <f aca="false">IFERROR(IF(INDEX(원자료_잔고!$A$1:$EZ$1500,설정!$L$5+ROW()-1,설정!$L$22)&amp;""="0","",INDEX(원자료_잔고!$A$1:$EZ$1500,설정!$L$5+ROW()-1,설정!$L$22)&amp;""),"")</f>
        <v/>
      </c>
      <c r="P608" s="83" t="str">
        <f aca="false">IFERROR(IF(INDEX(원자료_잔고!$A$1:$EZ$1500,설정!$L$5+ROW()-1,설정!$L$23)&amp;""="0","",INDEX(원자료_잔고!$A$1:$EZ$1500,설정!$L$5+ROW()-1,설정!$L$23)&amp;""),"")</f>
        <v/>
      </c>
      <c r="Q608" s="89" t="n">
        <f aca="false">IF(AND($A608&lt;&gt;"",ISNUMBER(E608)),IF(E608&gt;0,1,0),0)</f>
        <v>0</v>
      </c>
      <c r="R608" s="43" t="str">
        <f aca="false">IF(Q608=1,UPPER(LEFT($A608,FIND(" ",$A608&amp;" ")-1)),"")</f>
        <v/>
      </c>
      <c r="S608" s="89" t="n">
        <f aca="false">IF(Q608=1,IF(OR(ISNUMBER(SEARCH("Float",$A608)),ISNUMBER(SEARCH("FRN",$A608))),1,0),0)</f>
        <v>0</v>
      </c>
      <c r="T608" s="43" t="str">
        <f aca="false">IF(AND(Q608=1,ISNUMBER(I608)),TEXT(I608,"yyyymmdd")&amp;"|"&amp;IF(S608=1,"F",TEXT(J608,"0.000")),"")</f>
        <v/>
      </c>
      <c r="U608" s="90" t="str">
        <f aca="false">IF(AND(Q608=1,ISNUMBER(I608)),(I608-설정!$C$4)/365.25,"")</f>
        <v/>
      </c>
      <c r="V608" s="43" t="str">
        <f aca="false">IF(Q608&lt;&gt;1,"",IF(ISNUMBER(U608),IF(U608&lt;=1,"1년 이하",IF(U608&lt;=2,"1-2년",IF(U608&lt;=3,"2-3년",IF(U608&lt;=4,"3-4년",IF(U608&lt;=5,"4-5년",IF(U608&lt;=7,"5-7년",IF(U608&lt;=10,"7-10년",IF(U608&lt;=20,"10-20년","20년 이상")))))))),"미분류"))</f>
        <v/>
      </c>
      <c r="W608" s="43" t="str">
        <f aca="false">IF(Q608&lt;&gt;1,"",IF(AB608&lt;&gt;"",INDEX(시장분석!$C:$C,AB608),IF(K608=1,"USD","비USD")))</f>
        <v/>
      </c>
      <c r="X608" s="91" t="n">
        <f aca="false">IF(Q608=1,E608*K608/1000000,0)</f>
        <v>0</v>
      </c>
      <c r="Y608" s="89" t="n">
        <f aca="false">IF(R608="T",1,0)</f>
        <v>0</v>
      </c>
      <c r="Z608" s="92" t="str">
        <f aca="false">IF(Q608&lt;&gt;1,"",IF(AD608=1,IF(ISNUMBER(U608),MAX(U608,0),H608),H608))</f>
        <v/>
      </c>
      <c r="AA608" s="91" t="n">
        <f aca="false">IF(Q608=1,IF(ISNUMBER(L608),L608,0)*K608/1000000,0)</f>
        <v>0</v>
      </c>
      <c r="AB608" s="89" t="str">
        <f aca="false">IF(Q608&lt;&gt;1,"",IFERROR(MATCH(VLOOKUP(B608,매핑!$H$4:$I$15,2,0),시장분석!$A$2:$A$601,0)+1,IFERROR(MATCH(R608&amp;"|"&amp;T608,시장분석!$V$2:$V$601,0)+1,IF(COUNTIF(시장분석!$U$2:$U$601,T608)=1,MATCH(T608,시장분석!$U$2:$U$601,0)+1,""))))</f>
        <v/>
      </c>
      <c r="AC608" s="89" t="n">
        <f aca="false">IF(Q608&lt;&gt;1,0,IF(OR(설정!$C$5="전체",AND(설정!$C$5="선택펀드",IFERROR(COUNTIFS(설정!$F$16:$F$36,C608,설정!$G$16:$G$36,"Y")+COUNTIFS(설정!$F$16:$F$36,VALUE(C608),설정!$G$16:$G$36,"Y"),0)&gt;0),C608&amp;""=설정!$C$5&amp;""),1,0))</f>
        <v>0</v>
      </c>
      <c r="AD608" s="89" t="n">
        <f aca="false">IF(Q608&lt;&gt;1,0,IF(OR(S608=1,IF(AB608="",FALSE(),INDEX(시장분석!$R:$R,AB608)=1)),1,0))</f>
        <v>0</v>
      </c>
      <c r="AE608" s="43" t="str">
        <f aca="false">IF(AB608="","",INDEX(시장분석!$A:$A,AB608))</f>
        <v/>
      </c>
      <c r="AF608" s="93" t="str">
        <f aca="false">IF(AB608="","",IF(ISNUMBER(IF(AB608="","",INDEX(시장분석!$E:$E,AB608))),IF(AB608="","",INDEX(시장분석!$E:$E,AB608)),""))</f>
        <v/>
      </c>
      <c r="AG608" s="43" t="str">
        <f aca="false">IF(Q608&lt;&gt;1,"",IF(AB608&lt;&gt;"",IF(AB608="","",INDEX(시장분석!$L:$L,AB608)),IFERROR(IF(VLOOKUP(R608,매핑!$A$4:$E$92,5,0)="","미분류",VLOOKUP(R608,매핑!$A$4:$E$92,5,0)),"미분류")))</f>
        <v/>
      </c>
      <c r="AH608" s="43" t="str">
        <f aca="false">IF(Q608&lt;&gt;1,"",IF(AB608&lt;&gt;"",IF(AB608="","",INDEX(시장분석!$N:$N,AB608)),IFERROR(IF(VLOOKUP(R608,매핑!$A$4:$E$92,4,0)="","미분류",VLOOKUP(R608,매핑!$A$4:$E$92,4,0)),"미분류")))</f>
        <v/>
      </c>
      <c r="AI608" s="43" t="str">
        <f aca="false">IF(Q608&lt;&gt;1,"",IFERROR(IF(VLOOKUP(R608,매핑!$A$4:$E$92,3,0)="","미분류",VLOOKUP(R608,매핑!$A$4:$E$92,3,0)),IF(AB608&lt;&gt;"",IF(AB608="","",INDEX(시장분석!$W:$W,AB608)),"미분류")))</f>
        <v/>
      </c>
      <c r="AJ608" s="43" t="str">
        <f aca="false">IF(Q608&lt;&gt;1,"",IFERROR(VLOOKUP(IF(N608&lt;&gt;"",N608,IF(P608&lt;&gt;"",P608,O608)),설정!$A$15:$D$47,2,0),""))</f>
        <v/>
      </c>
      <c r="AK608" s="43" t="str">
        <f aca="false">IF(Q608&lt;&gt;1,"",IF(AJ608="","무등급",IFERROR(VLOOKUP(AJ608,설정!$A$15:$D$47,3,0),"무등급")))</f>
        <v/>
      </c>
      <c r="AL608" s="89" t="n">
        <f aca="false">IF(AJ608="",99,IFERROR(VLOOKUP(AJ608,설정!$A$15:$D$47,4,0),99))</f>
        <v>99</v>
      </c>
      <c r="AM608" s="94" t="n">
        <f aca="false">IF(ISNUMBER(H608),AA608*1000000*H608/10000,0)</f>
        <v>0</v>
      </c>
      <c r="AN608" s="94" t="n">
        <f aca="false">IF(OR(Y608=1,NOT(ISNUMBER(Z608))),0,AA608*1000000*Z608/10000)</f>
        <v>0</v>
      </c>
      <c r="AO608" s="94" t="n">
        <f aca="false">IF(ISNUMBER(G608),AA608*1000000*G608/100,0)</f>
        <v>0</v>
      </c>
      <c r="AP608" s="94" t="n">
        <f aca="false">IF(ISNUMBER(M608),M608*K608,0)</f>
        <v>0</v>
      </c>
      <c r="AQ608" s="95" t="str">
        <f aca="false">IF(AB608="","",INDEX(시장분석!$AK:$AK,AB608))</f>
        <v/>
      </c>
      <c r="AR608" s="43" t="str">
        <f aca="false">IF(AB608="","-",IF(AB608="","",INDEX(시장분석!$AL:$AL,AB608)))</f>
        <v>-</v>
      </c>
      <c r="AS608" s="96" t="str">
        <f aca="false">IF(AB608="","",INDEX(시장분석!$AJ:$AJ,AB608))</f>
        <v/>
      </c>
      <c r="AT608" s="93" t="n">
        <f aca="false">IF(AB608="",0,IF(AB608="","",INDEX(시장분석!$AN:$AN,AB608)))</f>
        <v>0</v>
      </c>
      <c r="AU608" s="94" t="n">
        <f aca="false">IF(ISNUMBER(Z608),AT608/10000*MAX(Z608-1,0)*AA608*1000000,0)</f>
        <v>0</v>
      </c>
      <c r="AV608" s="94" t="n">
        <f aca="false">AO608+AU608</f>
        <v>0</v>
      </c>
      <c r="AW608" s="43" t="str">
        <f aca="false">IF(Q608&lt;&gt;1,"",TRIM(IF(AD608=1,"FRN ","")&amp;IF(AND(AL608&gt;=10,AL608&lt;99),"BBB0미만 ","")&amp;IF(AJ608="","등급없음 ","")&amp;IF(K608&lt;&gt;1,"비USD ","")&amp;IF(AND(AB608="",Y608=0),"시장데이터없음 ","")&amp;IF(AND(ISNUMBER(U608),U608&lt;0),"만기경과 ","")))</f>
        <v/>
      </c>
      <c r="AX608" s="90" t="n">
        <f aca="false">IF(Q608&lt;&gt;1,1,IF(스프레드쇼크!$C$4="Y",INDEX(스프레드쇼크!$B$12:$L$16,IFERROR(MATCH(AH608,스프레드쇼크!$A$12:$A$16,0),MATCH("목록외",스프레드쇼크!$A$12:$A$16,0)),IFERROR(MATCH(AG608,스프레드쇼크!$B$11:$L$11,0),MATCH("목록외",스프레드쇼크!$B$11:$L$11,0))),1))</f>
        <v>1</v>
      </c>
      <c r="AY608" s="90" t="n">
        <f aca="false">IF(스프레드쇼크!$C$5="Y",IF(ISNUMBER(AF608),MIN(스프레드쇼크!$C$7,MAX(스프레드쇼크!$C$6,AF608/스프레드쇼크!$C$8)),1),1)</f>
        <v>1</v>
      </c>
      <c r="AZ608" s="94" t="n">
        <f aca="false">AN608*AX608*AY608</f>
        <v>0</v>
      </c>
      <c r="BA608" s="90" t="n">
        <f aca="false">IF(ISNUMBER(G608),AA608*G608,0)</f>
        <v>0</v>
      </c>
      <c r="BB608" s="90" t="n">
        <f aca="false">IF(ISNUMBER(G608),AA608,0)</f>
        <v>0</v>
      </c>
      <c r="BC608" s="90" t="n">
        <f aca="false">IF(AND(Y608=0,ISNUMBER(AF608)),AA608*AF608,0)</f>
        <v>0</v>
      </c>
      <c r="BD608" s="90" t="n">
        <f aca="false">IF(AND(Y608=0,ISNUMBER(AF608)),AA608,0)</f>
        <v>0</v>
      </c>
      <c r="BE608" s="90" t="n">
        <f aca="false">IF(ISNUMBER(H608),AA608*H608,0)</f>
        <v>0</v>
      </c>
      <c r="BF608" s="90" t="n">
        <f aca="false">IF(ISNUMBER(H608),AA608,0)</f>
        <v>0</v>
      </c>
      <c r="BG608" s="90" t="n">
        <f aca="false">IF(AND(Y608=0,ISNUMBER(AF608),ISNUMBER(Z608)),AA608*Z608,0)</f>
        <v>0</v>
      </c>
      <c r="BH608" s="90" t="n">
        <f aca="false">IF(AND(Y608=0,ISNUMBER(AF608),ISNUMBER(Z608)),AA608*AT608*MAX(Z608-1,0),0)</f>
        <v>0</v>
      </c>
      <c r="BI608" s="90" t="n">
        <f aca="false">IF(Y608=0,AA608,0)</f>
        <v>0</v>
      </c>
    </row>
    <row r="609" customFormat="false" ht="15" hidden="false" customHeight="false" outlineLevel="0" collapsed="false">
      <c r="A609" s="83" t="str">
        <f aca="false">IFERROR(IF(INDEX(원자료_잔고!$A$1:$EZ$1500,설정!$L$5+ROW()-1,설정!$L$8)&amp;""="0","",INDEX(원자료_잔고!$A$1:$EZ$1500,설정!$L$5+ROW()-1,설정!$L$8)&amp;""),"")</f>
        <v/>
      </c>
      <c r="B609" s="83" t="str">
        <f aca="false">IFERROR(IF(INDEX(원자료_잔고!$A$1:$EZ$1500,설정!$L$5+ROW()-1,설정!$L$7)&amp;""="0","",INDEX(원자료_잔고!$A$1:$EZ$1500,설정!$L$5+ROW()-1,설정!$L$7)&amp;""),"")</f>
        <v/>
      </c>
      <c r="C609" s="83" t="str">
        <f aca="false">IFERROR(IF(INDEX(원자료_잔고!$A$1:$EZ$1500,설정!$L$5+ROW()-1,설정!$L$9)&amp;""="0","",INDEX(원자료_잔고!$A$1:$EZ$1500,설정!$L$5+ROW()-1,설정!$L$9)&amp;""),"")</f>
        <v/>
      </c>
      <c r="D609" s="83" t="str">
        <f aca="false">IFERROR(IF(INDEX(원자료_잔고!$A$1:$EZ$1500,설정!$L$5+ROW()-1,설정!$L$10)&amp;""="0","",INDEX(원자료_잔고!$A$1:$EZ$1500,설정!$L$5+ROW()-1,설정!$L$10)&amp;""),"")</f>
        <v/>
      </c>
      <c r="E609" s="84" t="str">
        <f aca="false">IFERROR(IF(ISNUMBER(INDEX(원자료_잔고!$A$1:$EZ$1500,설정!$L$5+ROW()-1,설정!$L$11)),INDEX(원자료_잔고!$A$1:$EZ$1500,설정!$L$5+ROW()-1,설정!$L$11),""),"")</f>
        <v/>
      </c>
      <c r="F609" s="85" t="str">
        <f aca="false">IFERROR(IF(ISNUMBER(INDEX(원자료_잔고!$A$1:$EZ$1500,설정!$L$5+ROW()-1,설정!$L$12)),INDEX(원자료_잔고!$A$1:$EZ$1500,설정!$L$5+ROW()-1,설정!$L$12),""),"")</f>
        <v/>
      </c>
      <c r="G609" s="85" t="str">
        <f aca="false">IFERROR(IF(ISNUMBER(INDEX(원자료_잔고!$A$1:$EZ$1500,설정!$L$5+ROW()-1,설정!$L$13)),INDEX(원자료_잔고!$A$1:$EZ$1500,설정!$L$5+ROW()-1,설정!$L$13),""),"")</f>
        <v/>
      </c>
      <c r="H609" s="85" t="str">
        <f aca="false">IFERROR(IF(ISNUMBER(INDEX(원자료_잔고!$A$1:$EZ$1500,설정!$L$5+ROW()-1,설정!$L$14)),INDEX(원자료_잔고!$A$1:$EZ$1500,설정!$L$5+ROW()-1,설정!$L$14),""),"")</f>
        <v/>
      </c>
      <c r="I609" s="86" t="str">
        <f aca="false">IFERROR(IF(ISNUMBER(INDEX(원자료_잔고!$A$1:$EZ$1500,설정!$L$5+ROW()-1,설정!$L$15)),INDEX(원자료_잔고!$A$1:$EZ$1500,설정!$L$5+ROW()-1,설정!$L$15),""),"")</f>
        <v/>
      </c>
      <c r="J609" s="85" t="str">
        <f aca="false">IFERROR(IF(ISNUMBER(INDEX(원자료_잔고!$A$1:$EZ$1500,설정!$L$5+ROW()-1,설정!$L$16)),INDEX(원자료_잔고!$A$1:$EZ$1500,설정!$L$5+ROW()-1,설정!$L$16),""),"")</f>
        <v/>
      </c>
      <c r="K609" s="87" t="str">
        <f aca="false">IFERROR(IF(ISNUMBER(INDEX(원자료_잔고!$A$1:$EZ$1500,설정!$L$5+ROW()-1,설정!$L$17)),INDEX(원자료_잔고!$A$1:$EZ$1500,설정!$L$5+ROW()-1,설정!$L$17),""),"")</f>
        <v/>
      </c>
      <c r="L609" s="84" t="str">
        <f aca="false">IFERROR(IF(ISNUMBER(INDEX(원자료_잔고!$A$1:$EZ$1500,설정!$L$5+ROW()-1,설정!$L$18)),INDEX(원자료_잔고!$A$1:$EZ$1500,설정!$L$5+ROW()-1,설정!$L$18),""),"")</f>
        <v/>
      </c>
      <c r="M609" s="88" t="str">
        <f aca="false">IFERROR(IF(ISNUMBER(INDEX(원자료_잔고!$A$1:$EZ$1500,설정!$L$5+ROW()-1,설정!$L$19)),INDEX(원자료_잔고!$A$1:$EZ$1500,설정!$L$5+ROW()-1,설정!$L$19),""),"")</f>
        <v/>
      </c>
      <c r="N609" s="83" t="str">
        <f aca="false">IFERROR(IF(INDEX(원자료_잔고!$A$1:$EZ$1500,설정!$L$5+ROW()-1,설정!$L$21)&amp;""="0","",INDEX(원자료_잔고!$A$1:$EZ$1500,설정!$L$5+ROW()-1,설정!$L$21)&amp;""),"")</f>
        <v/>
      </c>
      <c r="O609" s="83" t="str">
        <f aca="false">IFERROR(IF(INDEX(원자료_잔고!$A$1:$EZ$1500,설정!$L$5+ROW()-1,설정!$L$22)&amp;""="0","",INDEX(원자료_잔고!$A$1:$EZ$1500,설정!$L$5+ROW()-1,설정!$L$22)&amp;""),"")</f>
        <v/>
      </c>
      <c r="P609" s="83" t="str">
        <f aca="false">IFERROR(IF(INDEX(원자료_잔고!$A$1:$EZ$1500,설정!$L$5+ROW()-1,설정!$L$23)&amp;""="0","",INDEX(원자료_잔고!$A$1:$EZ$1500,설정!$L$5+ROW()-1,설정!$L$23)&amp;""),"")</f>
        <v/>
      </c>
      <c r="Q609" s="89" t="n">
        <f aca="false">IF(AND($A609&lt;&gt;"",ISNUMBER(E609)),IF(E609&gt;0,1,0),0)</f>
        <v>0</v>
      </c>
      <c r="R609" s="43" t="str">
        <f aca="false">IF(Q609=1,UPPER(LEFT($A609,FIND(" ",$A609&amp;" ")-1)),"")</f>
        <v/>
      </c>
      <c r="S609" s="89" t="n">
        <f aca="false">IF(Q609=1,IF(OR(ISNUMBER(SEARCH("Float",$A609)),ISNUMBER(SEARCH("FRN",$A609))),1,0),0)</f>
        <v>0</v>
      </c>
      <c r="T609" s="43" t="str">
        <f aca="false">IF(AND(Q609=1,ISNUMBER(I609)),TEXT(I609,"yyyymmdd")&amp;"|"&amp;IF(S609=1,"F",TEXT(J609,"0.000")),"")</f>
        <v/>
      </c>
      <c r="U609" s="90" t="str">
        <f aca="false">IF(AND(Q609=1,ISNUMBER(I609)),(I609-설정!$C$4)/365.25,"")</f>
        <v/>
      </c>
      <c r="V609" s="43" t="str">
        <f aca="false">IF(Q609&lt;&gt;1,"",IF(ISNUMBER(U609),IF(U609&lt;=1,"1년 이하",IF(U609&lt;=2,"1-2년",IF(U609&lt;=3,"2-3년",IF(U609&lt;=4,"3-4년",IF(U609&lt;=5,"4-5년",IF(U609&lt;=7,"5-7년",IF(U609&lt;=10,"7-10년",IF(U609&lt;=20,"10-20년","20년 이상")))))))),"미분류"))</f>
        <v/>
      </c>
      <c r="W609" s="43" t="str">
        <f aca="false">IF(Q609&lt;&gt;1,"",IF(AB609&lt;&gt;"",INDEX(시장분석!$C:$C,AB609),IF(K609=1,"USD","비USD")))</f>
        <v/>
      </c>
      <c r="X609" s="91" t="n">
        <f aca="false">IF(Q609=1,E609*K609/1000000,0)</f>
        <v>0</v>
      </c>
      <c r="Y609" s="89" t="n">
        <f aca="false">IF(R609="T",1,0)</f>
        <v>0</v>
      </c>
      <c r="Z609" s="92" t="str">
        <f aca="false">IF(Q609&lt;&gt;1,"",IF(AD609=1,IF(ISNUMBER(U609),MAX(U609,0),H609),H609))</f>
        <v/>
      </c>
      <c r="AA609" s="91" t="n">
        <f aca="false">IF(Q609=1,IF(ISNUMBER(L609),L609,0)*K609/1000000,0)</f>
        <v>0</v>
      </c>
      <c r="AB609" s="89" t="str">
        <f aca="false">IF(Q609&lt;&gt;1,"",IFERROR(MATCH(VLOOKUP(B609,매핑!$H$4:$I$15,2,0),시장분석!$A$2:$A$601,0)+1,IFERROR(MATCH(R609&amp;"|"&amp;T609,시장분석!$V$2:$V$601,0)+1,IF(COUNTIF(시장분석!$U$2:$U$601,T609)=1,MATCH(T609,시장분석!$U$2:$U$601,0)+1,""))))</f>
        <v/>
      </c>
      <c r="AC609" s="89" t="n">
        <f aca="false">IF(Q609&lt;&gt;1,0,IF(OR(설정!$C$5="전체",AND(설정!$C$5="선택펀드",IFERROR(COUNTIFS(설정!$F$16:$F$36,C609,설정!$G$16:$G$36,"Y")+COUNTIFS(설정!$F$16:$F$36,VALUE(C609),설정!$G$16:$G$36,"Y"),0)&gt;0),C609&amp;""=설정!$C$5&amp;""),1,0))</f>
        <v>0</v>
      </c>
      <c r="AD609" s="89" t="n">
        <f aca="false">IF(Q609&lt;&gt;1,0,IF(OR(S609=1,IF(AB609="",FALSE(),INDEX(시장분석!$R:$R,AB609)=1)),1,0))</f>
        <v>0</v>
      </c>
      <c r="AE609" s="43" t="str">
        <f aca="false">IF(AB609="","",INDEX(시장분석!$A:$A,AB609))</f>
        <v/>
      </c>
      <c r="AF609" s="93" t="str">
        <f aca="false">IF(AB609="","",IF(ISNUMBER(IF(AB609="","",INDEX(시장분석!$E:$E,AB609))),IF(AB609="","",INDEX(시장분석!$E:$E,AB609)),""))</f>
        <v/>
      </c>
      <c r="AG609" s="43" t="str">
        <f aca="false">IF(Q609&lt;&gt;1,"",IF(AB609&lt;&gt;"",IF(AB609="","",INDEX(시장분석!$L:$L,AB609)),IFERROR(IF(VLOOKUP(R609,매핑!$A$4:$E$92,5,0)="","미분류",VLOOKUP(R609,매핑!$A$4:$E$92,5,0)),"미분류")))</f>
        <v/>
      </c>
      <c r="AH609" s="43" t="str">
        <f aca="false">IF(Q609&lt;&gt;1,"",IF(AB609&lt;&gt;"",IF(AB609="","",INDEX(시장분석!$N:$N,AB609)),IFERROR(IF(VLOOKUP(R609,매핑!$A$4:$E$92,4,0)="","미분류",VLOOKUP(R609,매핑!$A$4:$E$92,4,0)),"미분류")))</f>
        <v/>
      </c>
      <c r="AI609" s="43" t="str">
        <f aca="false">IF(Q609&lt;&gt;1,"",IFERROR(IF(VLOOKUP(R609,매핑!$A$4:$E$92,3,0)="","미분류",VLOOKUP(R609,매핑!$A$4:$E$92,3,0)),IF(AB609&lt;&gt;"",IF(AB609="","",INDEX(시장분석!$W:$W,AB609)),"미분류")))</f>
        <v/>
      </c>
      <c r="AJ609" s="43" t="str">
        <f aca="false">IF(Q609&lt;&gt;1,"",IFERROR(VLOOKUP(IF(N609&lt;&gt;"",N609,IF(P609&lt;&gt;"",P609,O609)),설정!$A$15:$D$47,2,0),""))</f>
        <v/>
      </c>
      <c r="AK609" s="43" t="str">
        <f aca="false">IF(Q609&lt;&gt;1,"",IF(AJ609="","무등급",IFERROR(VLOOKUP(AJ609,설정!$A$15:$D$47,3,0),"무등급")))</f>
        <v/>
      </c>
      <c r="AL609" s="89" t="n">
        <f aca="false">IF(AJ609="",99,IFERROR(VLOOKUP(AJ609,설정!$A$15:$D$47,4,0),99))</f>
        <v>99</v>
      </c>
      <c r="AM609" s="94" t="n">
        <f aca="false">IF(ISNUMBER(H609),AA609*1000000*H609/10000,0)</f>
        <v>0</v>
      </c>
      <c r="AN609" s="94" t="n">
        <f aca="false">IF(OR(Y609=1,NOT(ISNUMBER(Z609))),0,AA609*1000000*Z609/10000)</f>
        <v>0</v>
      </c>
      <c r="AO609" s="94" t="n">
        <f aca="false">IF(ISNUMBER(G609),AA609*1000000*G609/100,0)</f>
        <v>0</v>
      </c>
      <c r="AP609" s="94" t="n">
        <f aca="false">IF(ISNUMBER(M609),M609*K609,0)</f>
        <v>0</v>
      </c>
      <c r="AQ609" s="95" t="str">
        <f aca="false">IF(AB609="","",INDEX(시장분석!$AK:$AK,AB609))</f>
        <v/>
      </c>
      <c r="AR609" s="43" t="str">
        <f aca="false">IF(AB609="","-",IF(AB609="","",INDEX(시장분석!$AL:$AL,AB609)))</f>
        <v>-</v>
      </c>
      <c r="AS609" s="96" t="str">
        <f aca="false">IF(AB609="","",INDEX(시장분석!$AJ:$AJ,AB609))</f>
        <v/>
      </c>
      <c r="AT609" s="93" t="n">
        <f aca="false">IF(AB609="",0,IF(AB609="","",INDEX(시장분석!$AN:$AN,AB609)))</f>
        <v>0</v>
      </c>
      <c r="AU609" s="94" t="n">
        <f aca="false">IF(ISNUMBER(Z609),AT609/10000*MAX(Z609-1,0)*AA609*1000000,0)</f>
        <v>0</v>
      </c>
      <c r="AV609" s="94" t="n">
        <f aca="false">AO609+AU609</f>
        <v>0</v>
      </c>
      <c r="AW609" s="43" t="str">
        <f aca="false">IF(Q609&lt;&gt;1,"",TRIM(IF(AD609=1,"FRN ","")&amp;IF(AND(AL609&gt;=10,AL609&lt;99),"BBB0미만 ","")&amp;IF(AJ609="","등급없음 ","")&amp;IF(K609&lt;&gt;1,"비USD ","")&amp;IF(AND(AB609="",Y609=0),"시장데이터없음 ","")&amp;IF(AND(ISNUMBER(U609),U609&lt;0),"만기경과 ","")))</f>
        <v/>
      </c>
      <c r="AX609" s="90" t="n">
        <f aca="false">IF(Q609&lt;&gt;1,1,IF(스프레드쇼크!$C$4="Y",INDEX(스프레드쇼크!$B$12:$L$16,IFERROR(MATCH(AH609,스프레드쇼크!$A$12:$A$16,0),MATCH("목록외",스프레드쇼크!$A$12:$A$16,0)),IFERROR(MATCH(AG609,스프레드쇼크!$B$11:$L$11,0),MATCH("목록외",스프레드쇼크!$B$11:$L$11,0))),1))</f>
        <v>1</v>
      </c>
      <c r="AY609" s="90" t="n">
        <f aca="false">IF(스프레드쇼크!$C$5="Y",IF(ISNUMBER(AF609),MIN(스프레드쇼크!$C$7,MAX(스프레드쇼크!$C$6,AF609/스프레드쇼크!$C$8)),1),1)</f>
        <v>1</v>
      </c>
      <c r="AZ609" s="94" t="n">
        <f aca="false">AN609*AX609*AY609</f>
        <v>0</v>
      </c>
      <c r="BA609" s="90" t="n">
        <f aca="false">IF(ISNUMBER(G609),AA609*G609,0)</f>
        <v>0</v>
      </c>
      <c r="BB609" s="90" t="n">
        <f aca="false">IF(ISNUMBER(G609),AA609,0)</f>
        <v>0</v>
      </c>
      <c r="BC609" s="90" t="n">
        <f aca="false">IF(AND(Y609=0,ISNUMBER(AF609)),AA609*AF609,0)</f>
        <v>0</v>
      </c>
      <c r="BD609" s="90" t="n">
        <f aca="false">IF(AND(Y609=0,ISNUMBER(AF609)),AA609,0)</f>
        <v>0</v>
      </c>
      <c r="BE609" s="90" t="n">
        <f aca="false">IF(ISNUMBER(H609),AA609*H609,0)</f>
        <v>0</v>
      </c>
      <c r="BF609" s="90" t="n">
        <f aca="false">IF(ISNUMBER(H609),AA609,0)</f>
        <v>0</v>
      </c>
      <c r="BG609" s="90" t="n">
        <f aca="false">IF(AND(Y609=0,ISNUMBER(AF609),ISNUMBER(Z609)),AA609*Z609,0)</f>
        <v>0</v>
      </c>
      <c r="BH609" s="90" t="n">
        <f aca="false">IF(AND(Y609=0,ISNUMBER(AF609),ISNUMBER(Z609)),AA609*AT609*MAX(Z609-1,0),0)</f>
        <v>0</v>
      </c>
      <c r="BI609" s="90" t="n">
        <f aca="false">IF(Y609=0,AA609,0)</f>
        <v>0</v>
      </c>
    </row>
    <row r="610" customFormat="false" ht="15" hidden="false" customHeight="false" outlineLevel="0" collapsed="false">
      <c r="A610" s="83" t="str">
        <f aca="false">IFERROR(IF(INDEX(원자료_잔고!$A$1:$EZ$1500,설정!$L$5+ROW()-1,설정!$L$8)&amp;""="0","",INDEX(원자료_잔고!$A$1:$EZ$1500,설정!$L$5+ROW()-1,설정!$L$8)&amp;""),"")</f>
        <v/>
      </c>
      <c r="B610" s="83" t="str">
        <f aca="false">IFERROR(IF(INDEX(원자료_잔고!$A$1:$EZ$1500,설정!$L$5+ROW()-1,설정!$L$7)&amp;""="0","",INDEX(원자료_잔고!$A$1:$EZ$1500,설정!$L$5+ROW()-1,설정!$L$7)&amp;""),"")</f>
        <v/>
      </c>
      <c r="C610" s="83" t="str">
        <f aca="false">IFERROR(IF(INDEX(원자료_잔고!$A$1:$EZ$1500,설정!$L$5+ROW()-1,설정!$L$9)&amp;""="0","",INDEX(원자료_잔고!$A$1:$EZ$1500,설정!$L$5+ROW()-1,설정!$L$9)&amp;""),"")</f>
        <v/>
      </c>
      <c r="D610" s="83" t="str">
        <f aca="false">IFERROR(IF(INDEX(원자료_잔고!$A$1:$EZ$1500,설정!$L$5+ROW()-1,설정!$L$10)&amp;""="0","",INDEX(원자료_잔고!$A$1:$EZ$1500,설정!$L$5+ROW()-1,설정!$L$10)&amp;""),"")</f>
        <v/>
      </c>
      <c r="E610" s="84" t="str">
        <f aca="false">IFERROR(IF(ISNUMBER(INDEX(원자료_잔고!$A$1:$EZ$1500,설정!$L$5+ROW()-1,설정!$L$11)),INDEX(원자료_잔고!$A$1:$EZ$1500,설정!$L$5+ROW()-1,설정!$L$11),""),"")</f>
        <v/>
      </c>
      <c r="F610" s="85" t="str">
        <f aca="false">IFERROR(IF(ISNUMBER(INDEX(원자료_잔고!$A$1:$EZ$1500,설정!$L$5+ROW()-1,설정!$L$12)),INDEX(원자료_잔고!$A$1:$EZ$1500,설정!$L$5+ROW()-1,설정!$L$12),""),"")</f>
        <v/>
      </c>
      <c r="G610" s="85" t="str">
        <f aca="false">IFERROR(IF(ISNUMBER(INDEX(원자료_잔고!$A$1:$EZ$1500,설정!$L$5+ROW()-1,설정!$L$13)),INDEX(원자료_잔고!$A$1:$EZ$1500,설정!$L$5+ROW()-1,설정!$L$13),""),"")</f>
        <v/>
      </c>
      <c r="H610" s="85" t="str">
        <f aca="false">IFERROR(IF(ISNUMBER(INDEX(원자료_잔고!$A$1:$EZ$1500,설정!$L$5+ROW()-1,설정!$L$14)),INDEX(원자료_잔고!$A$1:$EZ$1500,설정!$L$5+ROW()-1,설정!$L$14),""),"")</f>
        <v/>
      </c>
      <c r="I610" s="86" t="str">
        <f aca="false">IFERROR(IF(ISNUMBER(INDEX(원자료_잔고!$A$1:$EZ$1500,설정!$L$5+ROW()-1,설정!$L$15)),INDEX(원자료_잔고!$A$1:$EZ$1500,설정!$L$5+ROW()-1,설정!$L$15),""),"")</f>
        <v/>
      </c>
      <c r="J610" s="85" t="str">
        <f aca="false">IFERROR(IF(ISNUMBER(INDEX(원자료_잔고!$A$1:$EZ$1500,설정!$L$5+ROW()-1,설정!$L$16)),INDEX(원자료_잔고!$A$1:$EZ$1500,설정!$L$5+ROW()-1,설정!$L$16),""),"")</f>
        <v/>
      </c>
      <c r="K610" s="87" t="str">
        <f aca="false">IFERROR(IF(ISNUMBER(INDEX(원자료_잔고!$A$1:$EZ$1500,설정!$L$5+ROW()-1,설정!$L$17)),INDEX(원자료_잔고!$A$1:$EZ$1500,설정!$L$5+ROW()-1,설정!$L$17),""),"")</f>
        <v/>
      </c>
      <c r="L610" s="84" t="str">
        <f aca="false">IFERROR(IF(ISNUMBER(INDEX(원자료_잔고!$A$1:$EZ$1500,설정!$L$5+ROW()-1,설정!$L$18)),INDEX(원자료_잔고!$A$1:$EZ$1500,설정!$L$5+ROW()-1,설정!$L$18),""),"")</f>
        <v/>
      </c>
      <c r="M610" s="88" t="str">
        <f aca="false">IFERROR(IF(ISNUMBER(INDEX(원자료_잔고!$A$1:$EZ$1500,설정!$L$5+ROW()-1,설정!$L$19)),INDEX(원자료_잔고!$A$1:$EZ$1500,설정!$L$5+ROW()-1,설정!$L$19),""),"")</f>
        <v/>
      </c>
      <c r="N610" s="83" t="str">
        <f aca="false">IFERROR(IF(INDEX(원자료_잔고!$A$1:$EZ$1500,설정!$L$5+ROW()-1,설정!$L$21)&amp;""="0","",INDEX(원자료_잔고!$A$1:$EZ$1500,설정!$L$5+ROW()-1,설정!$L$21)&amp;""),"")</f>
        <v/>
      </c>
      <c r="O610" s="83" t="str">
        <f aca="false">IFERROR(IF(INDEX(원자료_잔고!$A$1:$EZ$1500,설정!$L$5+ROW()-1,설정!$L$22)&amp;""="0","",INDEX(원자료_잔고!$A$1:$EZ$1500,설정!$L$5+ROW()-1,설정!$L$22)&amp;""),"")</f>
        <v/>
      </c>
      <c r="P610" s="83" t="str">
        <f aca="false">IFERROR(IF(INDEX(원자료_잔고!$A$1:$EZ$1500,설정!$L$5+ROW()-1,설정!$L$23)&amp;""="0","",INDEX(원자료_잔고!$A$1:$EZ$1500,설정!$L$5+ROW()-1,설정!$L$23)&amp;""),"")</f>
        <v/>
      </c>
      <c r="Q610" s="89" t="n">
        <f aca="false">IF(AND($A610&lt;&gt;"",ISNUMBER(E610)),IF(E610&gt;0,1,0),0)</f>
        <v>0</v>
      </c>
      <c r="R610" s="43" t="str">
        <f aca="false">IF(Q610=1,UPPER(LEFT($A610,FIND(" ",$A610&amp;" ")-1)),"")</f>
        <v/>
      </c>
      <c r="S610" s="89" t="n">
        <f aca="false">IF(Q610=1,IF(OR(ISNUMBER(SEARCH("Float",$A610)),ISNUMBER(SEARCH("FRN",$A610))),1,0),0)</f>
        <v>0</v>
      </c>
      <c r="T610" s="43" t="str">
        <f aca="false">IF(AND(Q610=1,ISNUMBER(I610)),TEXT(I610,"yyyymmdd")&amp;"|"&amp;IF(S610=1,"F",TEXT(J610,"0.000")),"")</f>
        <v/>
      </c>
      <c r="U610" s="90" t="str">
        <f aca="false">IF(AND(Q610=1,ISNUMBER(I610)),(I610-설정!$C$4)/365.25,"")</f>
        <v/>
      </c>
      <c r="V610" s="43" t="str">
        <f aca="false">IF(Q610&lt;&gt;1,"",IF(ISNUMBER(U610),IF(U610&lt;=1,"1년 이하",IF(U610&lt;=2,"1-2년",IF(U610&lt;=3,"2-3년",IF(U610&lt;=4,"3-4년",IF(U610&lt;=5,"4-5년",IF(U610&lt;=7,"5-7년",IF(U610&lt;=10,"7-10년",IF(U610&lt;=20,"10-20년","20년 이상")))))))),"미분류"))</f>
        <v/>
      </c>
      <c r="W610" s="43" t="str">
        <f aca="false">IF(Q610&lt;&gt;1,"",IF(AB610&lt;&gt;"",INDEX(시장분석!$C:$C,AB610),IF(K610=1,"USD","비USD")))</f>
        <v/>
      </c>
      <c r="X610" s="91" t="n">
        <f aca="false">IF(Q610=1,E610*K610/1000000,0)</f>
        <v>0</v>
      </c>
      <c r="Y610" s="89" t="n">
        <f aca="false">IF(R610="T",1,0)</f>
        <v>0</v>
      </c>
      <c r="Z610" s="92" t="str">
        <f aca="false">IF(Q610&lt;&gt;1,"",IF(AD610=1,IF(ISNUMBER(U610),MAX(U610,0),H610),H610))</f>
        <v/>
      </c>
      <c r="AA610" s="91" t="n">
        <f aca="false">IF(Q610=1,IF(ISNUMBER(L610),L610,0)*K610/1000000,0)</f>
        <v>0</v>
      </c>
      <c r="AB610" s="89" t="str">
        <f aca="false">IF(Q610&lt;&gt;1,"",IFERROR(MATCH(VLOOKUP(B610,매핑!$H$4:$I$15,2,0),시장분석!$A$2:$A$601,0)+1,IFERROR(MATCH(R610&amp;"|"&amp;T610,시장분석!$V$2:$V$601,0)+1,IF(COUNTIF(시장분석!$U$2:$U$601,T610)=1,MATCH(T610,시장분석!$U$2:$U$601,0)+1,""))))</f>
        <v/>
      </c>
      <c r="AC610" s="89" t="n">
        <f aca="false">IF(Q610&lt;&gt;1,0,IF(OR(설정!$C$5="전체",AND(설정!$C$5="선택펀드",IFERROR(COUNTIFS(설정!$F$16:$F$36,C610,설정!$G$16:$G$36,"Y")+COUNTIFS(설정!$F$16:$F$36,VALUE(C610),설정!$G$16:$G$36,"Y"),0)&gt;0),C610&amp;""=설정!$C$5&amp;""),1,0))</f>
        <v>0</v>
      </c>
      <c r="AD610" s="89" t="n">
        <f aca="false">IF(Q610&lt;&gt;1,0,IF(OR(S610=1,IF(AB610="",FALSE(),INDEX(시장분석!$R:$R,AB610)=1)),1,0))</f>
        <v>0</v>
      </c>
      <c r="AE610" s="43" t="str">
        <f aca="false">IF(AB610="","",INDEX(시장분석!$A:$A,AB610))</f>
        <v/>
      </c>
      <c r="AF610" s="93" t="str">
        <f aca="false">IF(AB610="","",IF(ISNUMBER(IF(AB610="","",INDEX(시장분석!$E:$E,AB610))),IF(AB610="","",INDEX(시장분석!$E:$E,AB610)),""))</f>
        <v/>
      </c>
      <c r="AG610" s="43" t="str">
        <f aca="false">IF(Q610&lt;&gt;1,"",IF(AB610&lt;&gt;"",IF(AB610="","",INDEX(시장분석!$L:$L,AB610)),IFERROR(IF(VLOOKUP(R610,매핑!$A$4:$E$92,5,0)="","미분류",VLOOKUP(R610,매핑!$A$4:$E$92,5,0)),"미분류")))</f>
        <v/>
      </c>
      <c r="AH610" s="43" t="str">
        <f aca="false">IF(Q610&lt;&gt;1,"",IF(AB610&lt;&gt;"",IF(AB610="","",INDEX(시장분석!$N:$N,AB610)),IFERROR(IF(VLOOKUP(R610,매핑!$A$4:$E$92,4,0)="","미분류",VLOOKUP(R610,매핑!$A$4:$E$92,4,0)),"미분류")))</f>
        <v/>
      </c>
      <c r="AI610" s="43" t="str">
        <f aca="false">IF(Q610&lt;&gt;1,"",IFERROR(IF(VLOOKUP(R610,매핑!$A$4:$E$92,3,0)="","미분류",VLOOKUP(R610,매핑!$A$4:$E$92,3,0)),IF(AB610&lt;&gt;"",IF(AB610="","",INDEX(시장분석!$W:$W,AB610)),"미분류")))</f>
        <v/>
      </c>
      <c r="AJ610" s="43" t="str">
        <f aca="false">IF(Q610&lt;&gt;1,"",IFERROR(VLOOKUP(IF(N610&lt;&gt;"",N610,IF(P610&lt;&gt;"",P610,O610)),설정!$A$15:$D$47,2,0),""))</f>
        <v/>
      </c>
      <c r="AK610" s="43" t="str">
        <f aca="false">IF(Q610&lt;&gt;1,"",IF(AJ610="","무등급",IFERROR(VLOOKUP(AJ610,설정!$A$15:$D$47,3,0),"무등급")))</f>
        <v/>
      </c>
      <c r="AL610" s="89" t="n">
        <f aca="false">IF(AJ610="",99,IFERROR(VLOOKUP(AJ610,설정!$A$15:$D$47,4,0),99))</f>
        <v>99</v>
      </c>
      <c r="AM610" s="94" t="n">
        <f aca="false">IF(ISNUMBER(H610),AA610*1000000*H610/10000,0)</f>
        <v>0</v>
      </c>
      <c r="AN610" s="94" t="n">
        <f aca="false">IF(OR(Y610=1,NOT(ISNUMBER(Z610))),0,AA610*1000000*Z610/10000)</f>
        <v>0</v>
      </c>
      <c r="AO610" s="94" t="n">
        <f aca="false">IF(ISNUMBER(G610),AA610*1000000*G610/100,0)</f>
        <v>0</v>
      </c>
      <c r="AP610" s="94" t="n">
        <f aca="false">IF(ISNUMBER(M610),M610*K610,0)</f>
        <v>0</v>
      </c>
      <c r="AQ610" s="95" t="str">
        <f aca="false">IF(AB610="","",INDEX(시장분석!$AK:$AK,AB610))</f>
        <v/>
      </c>
      <c r="AR610" s="43" t="str">
        <f aca="false">IF(AB610="","-",IF(AB610="","",INDEX(시장분석!$AL:$AL,AB610)))</f>
        <v>-</v>
      </c>
      <c r="AS610" s="96" t="str">
        <f aca="false">IF(AB610="","",INDEX(시장분석!$AJ:$AJ,AB610))</f>
        <v/>
      </c>
      <c r="AT610" s="93" t="n">
        <f aca="false">IF(AB610="",0,IF(AB610="","",INDEX(시장분석!$AN:$AN,AB610)))</f>
        <v>0</v>
      </c>
      <c r="AU610" s="94" t="n">
        <f aca="false">IF(ISNUMBER(Z610),AT610/10000*MAX(Z610-1,0)*AA610*1000000,0)</f>
        <v>0</v>
      </c>
      <c r="AV610" s="94" t="n">
        <f aca="false">AO610+AU610</f>
        <v>0</v>
      </c>
      <c r="AW610" s="43" t="str">
        <f aca="false">IF(Q610&lt;&gt;1,"",TRIM(IF(AD610=1,"FRN ","")&amp;IF(AND(AL610&gt;=10,AL610&lt;99),"BBB0미만 ","")&amp;IF(AJ610="","등급없음 ","")&amp;IF(K610&lt;&gt;1,"비USD ","")&amp;IF(AND(AB610="",Y610=0),"시장데이터없음 ","")&amp;IF(AND(ISNUMBER(U610),U610&lt;0),"만기경과 ","")))</f>
        <v/>
      </c>
      <c r="AX610" s="90" t="n">
        <f aca="false">IF(Q610&lt;&gt;1,1,IF(스프레드쇼크!$C$4="Y",INDEX(스프레드쇼크!$B$12:$L$16,IFERROR(MATCH(AH610,스프레드쇼크!$A$12:$A$16,0),MATCH("목록외",스프레드쇼크!$A$12:$A$16,0)),IFERROR(MATCH(AG610,스프레드쇼크!$B$11:$L$11,0),MATCH("목록외",스프레드쇼크!$B$11:$L$11,0))),1))</f>
        <v>1</v>
      </c>
      <c r="AY610" s="90" t="n">
        <f aca="false">IF(스프레드쇼크!$C$5="Y",IF(ISNUMBER(AF610),MIN(스프레드쇼크!$C$7,MAX(스프레드쇼크!$C$6,AF610/스프레드쇼크!$C$8)),1),1)</f>
        <v>1</v>
      </c>
      <c r="AZ610" s="94" t="n">
        <f aca="false">AN610*AX610*AY610</f>
        <v>0</v>
      </c>
      <c r="BA610" s="90" t="n">
        <f aca="false">IF(ISNUMBER(G610),AA610*G610,0)</f>
        <v>0</v>
      </c>
      <c r="BB610" s="90" t="n">
        <f aca="false">IF(ISNUMBER(G610),AA610,0)</f>
        <v>0</v>
      </c>
      <c r="BC610" s="90" t="n">
        <f aca="false">IF(AND(Y610=0,ISNUMBER(AF610)),AA610*AF610,0)</f>
        <v>0</v>
      </c>
      <c r="BD610" s="90" t="n">
        <f aca="false">IF(AND(Y610=0,ISNUMBER(AF610)),AA610,0)</f>
        <v>0</v>
      </c>
      <c r="BE610" s="90" t="n">
        <f aca="false">IF(ISNUMBER(H610),AA610*H610,0)</f>
        <v>0</v>
      </c>
      <c r="BF610" s="90" t="n">
        <f aca="false">IF(ISNUMBER(H610),AA610,0)</f>
        <v>0</v>
      </c>
      <c r="BG610" s="90" t="n">
        <f aca="false">IF(AND(Y610=0,ISNUMBER(AF610),ISNUMBER(Z610)),AA610*Z610,0)</f>
        <v>0</v>
      </c>
      <c r="BH610" s="90" t="n">
        <f aca="false">IF(AND(Y610=0,ISNUMBER(AF610),ISNUMBER(Z610)),AA610*AT610*MAX(Z610-1,0),0)</f>
        <v>0</v>
      </c>
      <c r="BI610" s="90" t="n">
        <f aca="false">IF(Y610=0,AA610,0)</f>
        <v>0</v>
      </c>
    </row>
    <row r="611" customFormat="false" ht="15" hidden="false" customHeight="false" outlineLevel="0" collapsed="false">
      <c r="A611" s="83" t="str">
        <f aca="false">IFERROR(IF(INDEX(원자료_잔고!$A$1:$EZ$1500,설정!$L$5+ROW()-1,설정!$L$8)&amp;""="0","",INDEX(원자료_잔고!$A$1:$EZ$1500,설정!$L$5+ROW()-1,설정!$L$8)&amp;""),"")</f>
        <v/>
      </c>
      <c r="B611" s="83" t="str">
        <f aca="false">IFERROR(IF(INDEX(원자료_잔고!$A$1:$EZ$1500,설정!$L$5+ROW()-1,설정!$L$7)&amp;""="0","",INDEX(원자료_잔고!$A$1:$EZ$1500,설정!$L$5+ROW()-1,설정!$L$7)&amp;""),"")</f>
        <v/>
      </c>
      <c r="C611" s="83" t="str">
        <f aca="false">IFERROR(IF(INDEX(원자료_잔고!$A$1:$EZ$1500,설정!$L$5+ROW()-1,설정!$L$9)&amp;""="0","",INDEX(원자료_잔고!$A$1:$EZ$1500,설정!$L$5+ROW()-1,설정!$L$9)&amp;""),"")</f>
        <v/>
      </c>
      <c r="D611" s="83" t="str">
        <f aca="false">IFERROR(IF(INDEX(원자료_잔고!$A$1:$EZ$1500,설정!$L$5+ROW()-1,설정!$L$10)&amp;""="0","",INDEX(원자료_잔고!$A$1:$EZ$1500,설정!$L$5+ROW()-1,설정!$L$10)&amp;""),"")</f>
        <v/>
      </c>
      <c r="E611" s="84" t="str">
        <f aca="false">IFERROR(IF(ISNUMBER(INDEX(원자료_잔고!$A$1:$EZ$1500,설정!$L$5+ROW()-1,설정!$L$11)),INDEX(원자료_잔고!$A$1:$EZ$1500,설정!$L$5+ROW()-1,설정!$L$11),""),"")</f>
        <v/>
      </c>
      <c r="F611" s="85" t="str">
        <f aca="false">IFERROR(IF(ISNUMBER(INDEX(원자료_잔고!$A$1:$EZ$1500,설정!$L$5+ROW()-1,설정!$L$12)),INDEX(원자료_잔고!$A$1:$EZ$1500,설정!$L$5+ROW()-1,설정!$L$12),""),"")</f>
        <v/>
      </c>
      <c r="G611" s="85" t="str">
        <f aca="false">IFERROR(IF(ISNUMBER(INDEX(원자료_잔고!$A$1:$EZ$1500,설정!$L$5+ROW()-1,설정!$L$13)),INDEX(원자료_잔고!$A$1:$EZ$1500,설정!$L$5+ROW()-1,설정!$L$13),""),"")</f>
        <v/>
      </c>
      <c r="H611" s="85" t="str">
        <f aca="false">IFERROR(IF(ISNUMBER(INDEX(원자료_잔고!$A$1:$EZ$1500,설정!$L$5+ROW()-1,설정!$L$14)),INDEX(원자료_잔고!$A$1:$EZ$1500,설정!$L$5+ROW()-1,설정!$L$14),""),"")</f>
        <v/>
      </c>
      <c r="I611" s="86" t="str">
        <f aca="false">IFERROR(IF(ISNUMBER(INDEX(원자료_잔고!$A$1:$EZ$1500,설정!$L$5+ROW()-1,설정!$L$15)),INDEX(원자료_잔고!$A$1:$EZ$1500,설정!$L$5+ROW()-1,설정!$L$15),""),"")</f>
        <v/>
      </c>
      <c r="J611" s="85" t="str">
        <f aca="false">IFERROR(IF(ISNUMBER(INDEX(원자료_잔고!$A$1:$EZ$1500,설정!$L$5+ROW()-1,설정!$L$16)),INDEX(원자료_잔고!$A$1:$EZ$1500,설정!$L$5+ROW()-1,설정!$L$16),""),"")</f>
        <v/>
      </c>
      <c r="K611" s="87" t="str">
        <f aca="false">IFERROR(IF(ISNUMBER(INDEX(원자료_잔고!$A$1:$EZ$1500,설정!$L$5+ROW()-1,설정!$L$17)),INDEX(원자료_잔고!$A$1:$EZ$1500,설정!$L$5+ROW()-1,설정!$L$17),""),"")</f>
        <v/>
      </c>
      <c r="L611" s="84" t="str">
        <f aca="false">IFERROR(IF(ISNUMBER(INDEX(원자료_잔고!$A$1:$EZ$1500,설정!$L$5+ROW()-1,설정!$L$18)),INDEX(원자료_잔고!$A$1:$EZ$1500,설정!$L$5+ROW()-1,설정!$L$18),""),"")</f>
        <v/>
      </c>
      <c r="M611" s="88" t="str">
        <f aca="false">IFERROR(IF(ISNUMBER(INDEX(원자료_잔고!$A$1:$EZ$1500,설정!$L$5+ROW()-1,설정!$L$19)),INDEX(원자료_잔고!$A$1:$EZ$1500,설정!$L$5+ROW()-1,설정!$L$19),""),"")</f>
        <v/>
      </c>
      <c r="N611" s="83" t="str">
        <f aca="false">IFERROR(IF(INDEX(원자료_잔고!$A$1:$EZ$1500,설정!$L$5+ROW()-1,설정!$L$21)&amp;""="0","",INDEX(원자료_잔고!$A$1:$EZ$1500,설정!$L$5+ROW()-1,설정!$L$21)&amp;""),"")</f>
        <v/>
      </c>
      <c r="O611" s="83" t="str">
        <f aca="false">IFERROR(IF(INDEX(원자료_잔고!$A$1:$EZ$1500,설정!$L$5+ROW()-1,설정!$L$22)&amp;""="0","",INDEX(원자료_잔고!$A$1:$EZ$1500,설정!$L$5+ROW()-1,설정!$L$22)&amp;""),"")</f>
        <v/>
      </c>
      <c r="P611" s="83" t="str">
        <f aca="false">IFERROR(IF(INDEX(원자료_잔고!$A$1:$EZ$1500,설정!$L$5+ROW()-1,설정!$L$23)&amp;""="0","",INDEX(원자료_잔고!$A$1:$EZ$1500,설정!$L$5+ROW()-1,설정!$L$23)&amp;""),"")</f>
        <v/>
      </c>
      <c r="Q611" s="89" t="n">
        <f aca="false">IF(AND($A611&lt;&gt;"",ISNUMBER(E611)),IF(E611&gt;0,1,0),0)</f>
        <v>0</v>
      </c>
      <c r="R611" s="43" t="str">
        <f aca="false">IF(Q611=1,UPPER(LEFT($A611,FIND(" ",$A611&amp;" ")-1)),"")</f>
        <v/>
      </c>
      <c r="S611" s="89" t="n">
        <f aca="false">IF(Q611=1,IF(OR(ISNUMBER(SEARCH("Float",$A611)),ISNUMBER(SEARCH("FRN",$A611))),1,0),0)</f>
        <v>0</v>
      </c>
      <c r="T611" s="43" t="str">
        <f aca="false">IF(AND(Q611=1,ISNUMBER(I611)),TEXT(I611,"yyyymmdd")&amp;"|"&amp;IF(S611=1,"F",TEXT(J611,"0.000")),"")</f>
        <v/>
      </c>
      <c r="U611" s="90" t="str">
        <f aca="false">IF(AND(Q611=1,ISNUMBER(I611)),(I611-설정!$C$4)/365.25,"")</f>
        <v/>
      </c>
      <c r="V611" s="43" t="str">
        <f aca="false">IF(Q611&lt;&gt;1,"",IF(ISNUMBER(U611),IF(U611&lt;=1,"1년 이하",IF(U611&lt;=2,"1-2년",IF(U611&lt;=3,"2-3년",IF(U611&lt;=4,"3-4년",IF(U611&lt;=5,"4-5년",IF(U611&lt;=7,"5-7년",IF(U611&lt;=10,"7-10년",IF(U611&lt;=20,"10-20년","20년 이상")))))))),"미분류"))</f>
        <v/>
      </c>
      <c r="W611" s="43" t="str">
        <f aca="false">IF(Q611&lt;&gt;1,"",IF(AB611&lt;&gt;"",INDEX(시장분석!$C:$C,AB611),IF(K611=1,"USD","비USD")))</f>
        <v/>
      </c>
      <c r="X611" s="91" t="n">
        <f aca="false">IF(Q611=1,E611*K611/1000000,0)</f>
        <v>0</v>
      </c>
      <c r="Y611" s="89" t="n">
        <f aca="false">IF(R611="T",1,0)</f>
        <v>0</v>
      </c>
      <c r="Z611" s="92" t="str">
        <f aca="false">IF(Q611&lt;&gt;1,"",IF(AD611=1,IF(ISNUMBER(U611),MAX(U611,0),H611),H611))</f>
        <v/>
      </c>
      <c r="AA611" s="91" t="n">
        <f aca="false">IF(Q611=1,IF(ISNUMBER(L611),L611,0)*K611/1000000,0)</f>
        <v>0</v>
      </c>
      <c r="AB611" s="89" t="str">
        <f aca="false">IF(Q611&lt;&gt;1,"",IFERROR(MATCH(VLOOKUP(B611,매핑!$H$4:$I$15,2,0),시장분석!$A$2:$A$601,0)+1,IFERROR(MATCH(R611&amp;"|"&amp;T611,시장분석!$V$2:$V$601,0)+1,IF(COUNTIF(시장분석!$U$2:$U$601,T611)=1,MATCH(T611,시장분석!$U$2:$U$601,0)+1,""))))</f>
        <v/>
      </c>
      <c r="AC611" s="89" t="n">
        <f aca="false">IF(Q611&lt;&gt;1,0,IF(OR(설정!$C$5="전체",AND(설정!$C$5="선택펀드",IFERROR(COUNTIFS(설정!$F$16:$F$36,C611,설정!$G$16:$G$36,"Y")+COUNTIFS(설정!$F$16:$F$36,VALUE(C611),설정!$G$16:$G$36,"Y"),0)&gt;0),C611&amp;""=설정!$C$5&amp;""),1,0))</f>
        <v>0</v>
      </c>
      <c r="AD611" s="89" t="n">
        <f aca="false">IF(Q611&lt;&gt;1,0,IF(OR(S611=1,IF(AB611="",FALSE(),INDEX(시장분석!$R:$R,AB611)=1)),1,0))</f>
        <v>0</v>
      </c>
      <c r="AE611" s="43" t="str">
        <f aca="false">IF(AB611="","",INDEX(시장분석!$A:$A,AB611))</f>
        <v/>
      </c>
      <c r="AF611" s="93" t="str">
        <f aca="false">IF(AB611="","",IF(ISNUMBER(IF(AB611="","",INDEX(시장분석!$E:$E,AB611))),IF(AB611="","",INDEX(시장분석!$E:$E,AB611)),""))</f>
        <v/>
      </c>
      <c r="AG611" s="43" t="str">
        <f aca="false">IF(Q611&lt;&gt;1,"",IF(AB611&lt;&gt;"",IF(AB611="","",INDEX(시장분석!$L:$L,AB611)),IFERROR(IF(VLOOKUP(R611,매핑!$A$4:$E$92,5,0)="","미분류",VLOOKUP(R611,매핑!$A$4:$E$92,5,0)),"미분류")))</f>
        <v/>
      </c>
      <c r="AH611" s="43" t="str">
        <f aca="false">IF(Q611&lt;&gt;1,"",IF(AB611&lt;&gt;"",IF(AB611="","",INDEX(시장분석!$N:$N,AB611)),IFERROR(IF(VLOOKUP(R611,매핑!$A$4:$E$92,4,0)="","미분류",VLOOKUP(R611,매핑!$A$4:$E$92,4,0)),"미분류")))</f>
        <v/>
      </c>
      <c r="AI611" s="43" t="str">
        <f aca="false">IF(Q611&lt;&gt;1,"",IFERROR(IF(VLOOKUP(R611,매핑!$A$4:$E$92,3,0)="","미분류",VLOOKUP(R611,매핑!$A$4:$E$92,3,0)),IF(AB611&lt;&gt;"",IF(AB611="","",INDEX(시장분석!$W:$W,AB611)),"미분류")))</f>
        <v/>
      </c>
      <c r="AJ611" s="43" t="str">
        <f aca="false">IF(Q611&lt;&gt;1,"",IFERROR(VLOOKUP(IF(N611&lt;&gt;"",N611,IF(P611&lt;&gt;"",P611,O611)),설정!$A$15:$D$47,2,0),""))</f>
        <v/>
      </c>
      <c r="AK611" s="43" t="str">
        <f aca="false">IF(Q611&lt;&gt;1,"",IF(AJ611="","무등급",IFERROR(VLOOKUP(AJ611,설정!$A$15:$D$47,3,0),"무등급")))</f>
        <v/>
      </c>
      <c r="AL611" s="89" t="n">
        <f aca="false">IF(AJ611="",99,IFERROR(VLOOKUP(AJ611,설정!$A$15:$D$47,4,0),99))</f>
        <v>99</v>
      </c>
      <c r="AM611" s="94" t="n">
        <f aca="false">IF(ISNUMBER(H611),AA611*1000000*H611/10000,0)</f>
        <v>0</v>
      </c>
      <c r="AN611" s="94" t="n">
        <f aca="false">IF(OR(Y611=1,NOT(ISNUMBER(Z611))),0,AA611*1000000*Z611/10000)</f>
        <v>0</v>
      </c>
      <c r="AO611" s="94" t="n">
        <f aca="false">IF(ISNUMBER(G611),AA611*1000000*G611/100,0)</f>
        <v>0</v>
      </c>
      <c r="AP611" s="94" t="n">
        <f aca="false">IF(ISNUMBER(M611),M611*K611,0)</f>
        <v>0</v>
      </c>
      <c r="AQ611" s="95" t="str">
        <f aca="false">IF(AB611="","",INDEX(시장분석!$AK:$AK,AB611))</f>
        <v/>
      </c>
      <c r="AR611" s="43" t="str">
        <f aca="false">IF(AB611="","-",IF(AB611="","",INDEX(시장분석!$AL:$AL,AB611)))</f>
        <v>-</v>
      </c>
      <c r="AS611" s="96" t="str">
        <f aca="false">IF(AB611="","",INDEX(시장분석!$AJ:$AJ,AB611))</f>
        <v/>
      </c>
      <c r="AT611" s="93" t="n">
        <f aca="false">IF(AB611="",0,IF(AB611="","",INDEX(시장분석!$AN:$AN,AB611)))</f>
        <v>0</v>
      </c>
      <c r="AU611" s="94" t="n">
        <f aca="false">IF(ISNUMBER(Z611),AT611/10000*MAX(Z611-1,0)*AA611*1000000,0)</f>
        <v>0</v>
      </c>
      <c r="AV611" s="94" t="n">
        <f aca="false">AO611+AU611</f>
        <v>0</v>
      </c>
      <c r="AW611" s="43" t="str">
        <f aca="false">IF(Q611&lt;&gt;1,"",TRIM(IF(AD611=1,"FRN ","")&amp;IF(AND(AL611&gt;=10,AL611&lt;99),"BBB0미만 ","")&amp;IF(AJ611="","등급없음 ","")&amp;IF(K611&lt;&gt;1,"비USD ","")&amp;IF(AND(AB611="",Y611=0),"시장데이터없음 ","")&amp;IF(AND(ISNUMBER(U611),U611&lt;0),"만기경과 ","")))</f>
        <v/>
      </c>
      <c r="AX611" s="90" t="n">
        <f aca="false">IF(Q611&lt;&gt;1,1,IF(스프레드쇼크!$C$4="Y",INDEX(스프레드쇼크!$B$12:$L$16,IFERROR(MATCH(AH611,스프레드쇼크!$A$12:$A$16,0),MATCH("목록외",스프레드쇼크!$A$12:$A$16,0)),IFERROR(MATCH(AG611,스프레드쇼크!$B$11:$L$11,0),MATCH("목록외",스프레드쇼크!$B$11:$L$11,0))),1))</f>
        <v>1</v>
      </c>
      <c r="AY611" s="90" t="n">
        <f aca="false">IF(스프레드쇼크!$C$5="Y",IF(ISNUMBER(AF611),MIN(스프레드쇼크!$C$7,MAX(스프레드쇼크!$C$6,AF611/스프레드쇼크!$C$8)),1),1)</f>
        <v>1</v>
      </c>
      <c r="AZ611" s="94" t="n">
        <f aca="false">AN611*AX611*AY611</f>
        <v>0</v>
      </c>
      <c r="BA611" s="90" t="n">
        <f aca="false">IF(ISNUMBER(G611),AA611*G611,0)</f>
        <v>0</v>
      </c>
      <c r="BB611" s="90" t="n">
        <f aca="false">IF(ISNUMBER(G611),AA611,0)</f>
        <v>0</v>
      </c>
      <c r="BC611" s="90" t="n">
        <f aca="false">IF(AND(Y611=0,ISNUMBER(AF611)),AA611*AF611,0)</f>
        <v>0</v>
      </c>
      <c r="BD611" s="90" t="n">
        <f aca="false">IF(AND(Y611=0,ISNUMBER(AF611)),AA611,0)</f>
        <v>0</v>
      </c>
      <c r="BE611" s="90" t="n">
        <f aca="false">IF(ISNUMBER(H611),AA611*H611,0)</f>
        <v>0</v>
      </c>
      <c r="BF611" s="90" t="n">
        <f aca="false">IF(ISNUMBER(H611),AA611,0)</f>
        <v>0</v>
      </c>
      <c r="BG611" s="90" t="n">
        <f aca="false">IF(AND(Y611=0,ISNUMBER(AF611),ISNUMBER(Z611)),AA611*Z611,0)</f>
        <v>0</v>
      </c>
      <c r="BH611" s="90" t="n">
        <f aca="false">IF(AND(Y611=0,ISNUMBER(AF611),ISNUMBER(Z611)),AA611*AT611*MAX(Z611-1,0),0)</f>
        <v>0</v>
      </c>
      <c r="BI611" s="90" t="n">
        <f aca="false">IF(Y611=0,AA611,0)</f>
        <v>0</v>
      </c>
    </row>
    <row r="612" customFormat="false" ht="15" hidden="false" customHeight="false" outlineLevel="0" collapsed="false">
      <c r="A612" s="83" t="str">
        <f aca="false">IFERROR(IF(INDEX(원자료_잔고!$A$1:$EZ$1500,설정!$L$5+ROW()-1,설정!$L$8)&amp;""="0","",INDEX(원자료_잔고!$A$1:$EZ$1500,설정!$L$5+ROW()-1,설정!$L$8)&amp;""),"")</f>
        <v/>
      </c>
      <c r="B612" s="83" t="str">
        <f aca="false">IFERROR(IF(INDEX(원자료_잔고!$A$1:$EZ$1500,설정!$L$5+ROW()-1,설정!$L$7)&amp;""="0","",INDEX(원자료_잔고!$A$1:$EZ$1500,설정!$L$5+ROW()-1,설정!$L$7)&amp;""),"")</f>
        <v/>
      </c>
      <c r="C612" s="83" t="str">
        <f aca="false">IFERROR(IF(INDEX(원자료_잔고!$A$1:$EZ$1500,설정!$L$5+ROW()-1,설정!$L$9)&amp;""="0","",INDEX(원자료_잔고!$A$1:$EZ$1500,설정!$L$5+ROW()-1,설정!$L$9)&amp;""),"")</f>
        <v/>
      </c>
      <c r="D612" s="83" t="str">
        <f aca="false">IFERROR(IF(INDEX(원자료_잔고!$A$1:$EZ$1500,설정!$L$5+ROW()-1,설정!$L$10)&amp;""="0","",INDEX(원자료_잔고!$A$1:$EZ$1500,설정!$L$5+ROW()-1,설정!$L$10)&amp;""),"")</f>
        <v/>
      </c>
      <c r="E612" s="84" t="str">
        <f aca="false">IFERROR(IF(ISNUMBER(INDEX(원자료_잔고!$A$1:$EZ$1500,설정!$L$5+ROW()-1,설정!$L$11)),INDEX(원자료_잔고!$A$1:$EZ$1500,설정!$L$5+ROW()-1,설정!$L$11),""),"")</f>
        <v/>
      </c>
      <c r="F612" s="85" t="str">
        <f aca="false">IFERROR(IF(ISNUMBER(INDEX(원자료_잔고!$A$1:$EZ$1500,설정!$L$5+ROW()-1,설정!$L$12)),INDEX(원자료_잔고!$A$1:$EZ$1500,설정!$L$5+ROW()-1,설정!$L$12),""),"")</f>
        <v/>
      </c>
      <c r="G612" s="85" t="str">
        <f aca="false">IFERROR(IF(ISNUMBER(INDEX(원자료_잔고!$A$1:$EZ$1500,설정!$L$5+ROW()-1,설정!$L$13)),INDEX(원자료_잔고!$A$1:$EZ$1500,설정!$L$5+ROW()-1,설정!$L$13),""),"")</f>
        <v/>
      </c>
      <c r="H612" s="85" t="str">
        <f aca="false">IFERROR(IF(ISNUMBER(INDEX(원자료_잔고!$A$1:$EZ$1500,설정!$L$5+ROW()-1,설정!$L$14)),INDEX(원자료_잔고!$A$1:$EZ$1500,설정!$L$5+ROW()-1,설정!$L$14),""),"")</f>
        <v/>
      </c>
      <c r="I612" s="86" t="str">
        <f aca="false">IFERROR(IF(ISNUMBER(INDEX(원자료_잔고!$A$1:$EZ$1500,설정!$L$5+ROW()-1,설정!$L$15)),INDEX(원자료_잔고!$A$1:$EZ$1500,설정!$L$5+ROW()-1,설정!$L$15),""),"")</f>
        <v/>
      </c>
      <c r="J612" s="85" t="str">
        <f aca="false">IFERROR(IF(ISNUMBER(INDEX(원자료_잔고!$A$1:$EZ$1500,설정!$L$5+ROW()-1,설정!$L$16)),INDEX(원자료_잔고!$A$1:$EZ$1500,설정!$L$5+ROW()-1,설정!$L$16),""),"")</f>
        <v/>
      </c>
      <c r="K612" s="87" t="str">
        <f aca="false">IFERROR(IF(ISNUMBER(INDEX(원자료_잔고!$A$1:$EZ$1500,설정!$L$5+ROW()-1,설정!$L$17)),INDEX(원자료_잔고!$A$1:$EZ$1500,설정!$L$5+ROW()-1,설정!$L$17),""),"")</f>
        <v/>
      </c>
      <c r="L612" s="84" t="str">
        <f aca="false">IFERROR(IF(ISNUMBER(INDEX(원자료_잔고!$A$1:$EZ$1500,설정!$L$5+ROW()-1,설정!$L$18)),INDEX(원자료_잔고!$A$1:$EZ$1500,설정!$L$5+ROW()-1,설정!$L$18),""),"")</f>
        <v/>
      </c>
      <c r="M612" s="88" t="str">
        <f aca="false">IFERROR(IF(ISNUMBER(INDEX(원자료_잔고!$A$1:$EZ$1500,설정!$L$5+ROW()-1,설정!$L$19)),INDEX(원자료_잔고!$A$1:$EZ$1500,설정!$L$5+ROW()-1,설정!$L$19),""),"")</f>
        <v/>
      </c>
      <c r="N612" s="83" t="str">
        <f aca="false">IFERROR(IF(INDEX(원자료_잔고!$A$1:$EZ$1500,설정!$L$5+ROW()-1,설정!$L$21)&amp;""="0","",INDEX(원자료_잔고!$A$1:$EZ$1500,설정!$L$5+ROW()-1,설정!$L$21)&amp;""),"")</f>
        <v/>
      </c>
      <c r="O612" s="83" t="str">
        <f aca="false">IFERROR(IF(INDEX(원자료_잔고!$A$1:$EZ$1500,설정!$L$5+ROW()-1,설정!$L$22)&amp;""="0","",INDEX(원자료_잔고!$A$1:$EZ$1500,설정!$L$5+ROW()-1,설정!$L$22)&amp;""),"")</f>
        <v/>
      </c>
      <c r="P612" s="83" t="str">
        <f aca="false">IFERROR(IF(INDEX(원자료_잔고!$A$1:$EZ$1500,설정!$L$5+ROW()-1,설정!$L$23)&amp;""="0","",INDEX(원자료_잔고!$A$1:$EZ$1500,설정!$L$5+ROW()-1,설정!$L$23)&amp;""),"")</f>
        <v/>
      </c>
      <c r="Q612" s="89" t="n">
        <f aca="false">IF(AND($A612&lt;&gt;"",ISNUMBER(E612)),IF(E612&gt;0,1,0),0)</f>
        <v>0</v>
      </c>
      <c r="R612" s="43" t="str">
        <f aca="false">IF(Q612=1,UPPER(LEFT($A612,FIND(" ",$A612&amp;" ")-1)),"")</f>
        <v/>
      </c>
      <c r="S612" s="89" t="n">
        <f aca="false">IF(Q612=1,IF(OR(ISNUMBER(SEARCH("Float",$A612)),ISNUMBER(SEARCH("FRN",$A612))),1,0),0)</f>
        <v>0</v>
      </c>
      <c r="T612" s="43" t="str">
        <f aca="false">IF(AND(Q612=1,ISNUMBER(I612)),TEXT(I612,"yyyymmdd")&amp;"|"&amp;IF(S612=1,"F",TEXT(J612,"0.000")),"")</f>
        <v/>
      </c>
      <c r="U612" s="90" t="str">
        <f aca="false">IF(AND(Q612=1,ISNUMBER(I612)),(I612-설정!$C$4)/365.25,"")</f>
        <v/>
      </c>
      <c r="V612" s="43" t="str">
        <f aca="false">IF(Q612&lt;&gt;1,"",IF(ISNUMBER(U612),IF(U612&lt;=1,"1년 이하",IF(U612&lt;=2,"1-2년",IF(U612&lt;=3,"2-3년",IF(U612&lt;=4,"3-4년",IF(U612&lt;=5,"4-5년",IF(U612&lt;=7,"5-7년",IF(U612&lt;=10,"7-10년",IF(U612&lt;=20,"10-20년","20년 이상")))))))),"미분류"))</f>
        <v/>
      </c>
      <c r="W612" s="43" t="str">
        <f aca="false">IF(Q612&lt;&gt;1,"",IF(AB612&lt;&gt;"",INDEX(시장분석!$C:$C,AB612),IF(K612=1,"USD","비USD")))</f>
        <v/>
      </c>
      <c r="X612" s="91" t="n">
        <f aca="false">IF(Q612=1,E612*K612/1000000,0)</f>
        <v>0</v>
      </c>
      <c r="Y612" s="89" t="n">
        <f aca="false">IF(R612="T",1,0)</f>
        <v>0</v>
      </c>
      <c r="Z612" s="92" t="str">
        <f aca="false">IF(Q612&lt;&gt;1,"",IF(AD612=1,IF(ISNUMBER(U612),MAX(U612,0),H612),H612))</f>
        <v/>
      </c>
      <c r="AA612" s="91" t="n">
        <f aca="false">IF(Q612=1,IF(ISNUMBER(L612),L612,0)*K612/1000000,0)</f>
        <v>0</v>
      </c>
      <c r="AB612" s="89" t="str">
        <f aca="false">IF(Q612&lt;&gt;1,"",IFERROR(MATCH(VLOOKUP(B612,매핑!$H$4:$I$15,2,0),시장분석!$A$2:$A$601,0)+1,IFERROR(MATCH(R612&amp;"|"&amp;T612,시장분석!$V$2:$V$601,0)+1,IF(COUNTIF(시장분석!$U$2:$U$601,T612)=1,MATCH(T612,시장분석!$U$2:$U$601,0)+1,""))))</f>
        <v/>
      </c>
      <c r="AC612" s="89" t="n">
        <f aca="false">IF(Q612&lt;&gt;1,0,IF(OR(설정!$C$5="전체",AND(설정!$C$5="선택펀드",IFERROR(COUNTIFS(설정!$F$16:$F$36,C612,설정!$G$16:$G$36,"Y")+COUNTIFS(설정!$F$16:$F$36,VALUE(C612),설정!$G$16:$G$36,"Y"),0)&gt;0),C612&amp;""=설정!$C$5&amp;""),1,0))</f>
        <v>0</v>
      </c>
      <c r="AD612" s="89" t="n">
        <f aca="false">IF(Q612&lt;&gt;1,0,IF(OR(S612=1,IF(AB612="",FALSE(),INDEX(시장분석!$R:$R,AB612)=1)),1,0))</f>
        <v>0</v>
      </c>
      <c r="AE612" s="43" t="str">
        <f aca="false">IF(AB612="","",INDEX(시장분석!$A:$A,AB612))</f>
        <v/>
      </c>
      <c r="AF612" s="93" t="str">
        <f aca="false">IF(AB612="","",IF(ISNUMBER(IF(AB612="","",INDEX(시장분석!$E:$E,AB612))),IF(AB612="","",INDEX(시장분석!$E:$E,AB612)),""))</f>
        <v/>
      </c>
      <c r="AG612" s="43" t="str">
        <f aca="false">IF(Q612&lt;&gt;1,"",IF(AB612&lt;&gt;"",IF(AB612="","",INDEX(시장분석!$L:$L,AB612)),IFERROR(IF(VLOOKUP(R612,매핑!$A$4:$E$92,5,0)="","미분류",VLOOKUP(R612,매핑!$A$4:$E$92,5,0)),"미분류")))</f>
        <v/>
      </c>
      <c r="AH612" s="43" t="str">
        <f aca="false">IF(Q612&lt;&gt;1,"",IF(AB612&lt;&gt;"",IF(AB612="","",INDEX(시장분석!$N:$N,AB612)),IFERROR(IF(VLOOKUP(R612,매핑!$A$4:$E$92,4,0)="","미분류",VLOOKUP(R612,매핑!$A$4:$E$92,4,0)),"미분류")))</f>
        <v/>
      </c>
      <c r="AI612" s="43" t="str">
        <f aca="false">IF(Q612&lt;&gt;1,"",IFERROR(IF(VLOOKUP(R612,매핑!$A$4:$E$92,3,0)="","미분류",VLOOKUP(R612,매핑!$A$4:$E$92,3,0)),IF(AB612&lt;&gt;"",IF(AB612="","",INDEX(시장분석!$W:$W,AB612)),"미분류")))</f>
        <v/>
      </c>
      <c r="AJ612" s="43" t="str">
        <f aca="false">IF(Q612&lt;&gt;1,"",IFERROR(VLOOKUP(IF(N612&lt;&gt;"",N612,IF(P612&lt;&gt;"",P612,O612)),설정!$A$15:$D$47,2,0),""))</f>
        <v/>
      </c>
      <c r="AK612" s="43" t="str">
        <f aca="false">IF(Q612&lt;&gt;1,"",IF(AJ612="","무등급",IFERROR(VLOOKUP(AJ612,설정!$A$15:$D$47,3,0),"무등급")))</f>
        <v/>
      </c>
      <c r="AL612" s="89" t="n">
        <f aca="false">IF(AJ612="",99,IFERROR(VLOOKUP(AJ612,설정!$A$15:$D$47,4,0),99))</f>
        <v>99</v>
      </c>
      <c r="AM612" s="94" t="n">
        <f aca="false">IF(ISNUMBER(H612),AA612*1000000*H612/10000,0)</f>
        <v>0</v>
      </c>
      <c r="AN612" s="94" t="n">
        <f aca="false">IF(OR(Y612=1,NOT(ISNUMBER(Z612))),0,AA612*1000000*Z612/10000)</f>
        <v>0</v>
      </c>
      <c r="AO612" s="94" t="n">
        <f aca="false">IF(ISNUMBER(G612),AA612*1000000*G612/100,0)</f>
        <v>0</v>
      </c>
      <c r="AP612" s="94" t="n">
        <f aca="false">IF(ISNUMBER(M612),M612*K612,0)</f>
        <v>0</v>
      </c>
      <c r="AQ612" s="95" t="str">
        <f aca="false">IF(AB612="","",INDEX(시장분석!$AK:$AK,AB612))</f>
        <v/>
      </c>
      <c r="AR612" s="43" t="str">
        <f aca="false">IF(AB612="","-",IF(AB612="","",INDEX(시장분석!$AL:$AL,AB612)))</f>
        <v>-</v>
      </c>
      <c r="AS612" s="96" t="str">
        <f aca="false">IF(AB612="","",INDEX(시장분석!$AJ:$AJ,AB612))</f>
        <v/>
      </c>
      <c r="AT612" s="93" t="n">
        <f aca="false">IF(AB612="",0,IF(AB612="","",INDEX(시장분석!$AN:$AN,AB612)))</f>
        <v>0</v>
      </c>
      <c r="AU612" s="94" t="n">
        <f aca="false">IF(ISNUMBER(Z612),AT612/10000*MAX(Z612-1,0)*AA612*1000000,0)</f>
        <v>0</v>
      </c>
      <c r="AV612" s="94" t="n">
        <f aca="false">AO612+AU612</f>
        <v>0</v>
      </c>
      <c r="AW612" s="43" t="str">
        <f aca="false">IF(Q612&lt;&gt;1,"",TRIM(IF(AD612=1,"FRN ","")&amp;IF(AND(AL612&gt;=10,AL612&lt;99),"BBB0미만 ","")&amp;IF(AJ612="","등급없음 ","")&amp;IF(K612&lt;&gt;1,"비USD ","")&amp;IF(AND(AB612="",Y612=0),"시장데이터없음 ","")&amp;IF(AND(ISNUMBER(U612),U612&lt;0),"만기경과 ","")))</f>
        <v/>
      </c>
      <c r="AX612" s="90" t="n">
        <f aca="false">IF(Q612&lt;&gt;1,1,IF(스프레드쇼크!$C$4="Y",INDEX(스프레드쇼크!$B$12:$L$16,IFERROR(MATCH(AH612,스프레드쇼크!$A$12:$A$16,0),MATCH("목록외",스프레드쇼크!$A$12:$A$16,0)),IFERROR(MATCH(AG612,스프레드쇼크!$B$11:$L$11,0),MATCH("목록외",스프레드쇼크!$B$11:$L$11,0))),1))</f>
        <v>1</v>
      </c>
      <c r="AY612" s="90" t="n">
        <f aca="false">IF(스프레드쇼크!$C$5="Y",IF(ISNUMBER(AF612),MIN(스프레드쇼크!$C$7,MAX(스프레드쇼크!$C$6,AF612/스프레드쇼크!$C$8)),1),1)</f>
        <v>1</v>
      </c>
      <c r="AZ612" s="94" t="n">
        <f aca="false">AN612*AX612*AY612</f>
        <v>0</v>
      </c>
      <c r="BA612" s="90" t="n">
        <f aca="false">IF(ISNUMBER(G612),AA612*G612,0)</f>
        <v>0</v>
      </c>
      <c r="BB612" s="90" t="n">
        <f aca="false">IF(ISNUMBER(G612),AA612,0)</f>
        <v>0</v>
      </c>
      <c r="BC612" s="90" t="n">
        <f aca="false">IF(AND(Y612=0,ISNUMBER(AF612)),AA612*AF612,0)</f>
        <v>0</v>
      </c>
      <c r="BD612" s="90" t="n">
        <f aca="false">IF(AND(Y612=0,ISNUMBER(AF612)),AA612,0)</f>
        <v>0</v>
      </c>
      <c r="BE612" s="90" t="n">
        <f aca="false">IF(ISNUMBER(H612),AA612*H612,0)</f>
        <v>0</v>
      </c>
      <c r="BF612" s="90" t="n">
        <f aca="false">IF(ISNUMBER(H612),AA612,0)</f>
        <v>0</v>
      </c>
      <c r="BG612" s="90" t="n">
        <f aca="false">IF(AND(Y612=0,ISNUMBER(AF612),ISNUMBER(Z612)),AA612*Z612,0)</f>
        <v>0</v>
      </c>
      <c r="BH612" s="90" t="n">
        <f aca="false">IF(AND(Y612=0,ISNUMBER(AF612),ISNUMBER(Z612)),AA612*AT612*MAX(Z612-1,0),0)</f>
        <v>0</v>
      </c>
      <c r="BI612" s="90" t="n">
        <f aca="false">IF(Y612=0,AA612,0)</f>
        <v>0</v>
      </c>
    </row>
    <row r="613" customFormat="false" ht="15" hidden="false" customHeight="false" outlineLevel="0" collapsed="false">
      <c r="A613" s="83" t="str">
        <f aca="false">IFERROR(IF(INDEX(원자료_잔고!$A$1:$EZ$1500,설정!$L$5+ROW()-1,설정!$L$8)&amp;""="0","",INDEX(원자료_잔고!$A$1:$EZ$1500,설정!$L$5+ROW()-1,설정!$L$8)&amp;""),"")</f>
        <v/>
      </c>
      <c r="B613" s="83" t="str">
        <f aca="false">IFERROR(IF(INDEX(원자료_잔고!$A$1:$EZ$1500,설정!$L$5+ROW()-1,설정!$L$7)&amp;""="0","",INDEX(원자료_잔고!$A$1:$EZ$1500,설정!$L$5+ROW()-1,설정!$L$7)&amp;""),"")</f>
        <v/>
      </c>
      <c r="C613" s="83" t="str">
        <f aca="false">IFERROR(IF(INDEX(원자료_잔고!$A$1:$EZ$1500,설정!$L$5+ROW()-1,설정!$L$9)&amp;""="0","",INDEX(원자료_잔고!$A$1:$EZ$1500,설정!$L$5+ROW()-1,설정!$L$9)&amp;""),"")</f>
        <v/>
      </c>
      <c r="D613" s="83" t="str">
        <f aca="false">IFERROR(IF(INDEX(원자료_잔고!$A$1:$EZ$1500,설정!$L$5+ROW()-1,설정!$L$10)&amp;""="0","",INDEX(원자료_잔고!$A$1:$EZ$1500,설정!$L$5+ROW()-1,설정!$L$10)&amp;""),"")</f>
        <v/>
      </c>
      <c r="E613" s="84" t="str">
        <f aca="false">IFERROR(IF(ISNUMBER(INDEX(원자료_잔고!$A$1:$EZ$1500,설정!$L$5+ROW()-1,설정!$L$11)),INDEX(원자료_잔고!$A$1:$EZ$1500,설정!$L$5+ROW()-1,설정!$L$11),""),"")</f>
        <v/>
      </c>
      <c r="F613" s="85" t="str">
        <f aca="false">IFERROR(IF(ISNUMBER(INDEX(원자료_잔고!$A$1:$EZ$1500,설정!$L$5+ROW()-1,설정!$L$12)),INDEX(원자료_잔고!$A$1:$EZ$1500,설정!$L$5+ROW()-1,설정!$L$12),""),"")</f>
        <v/>
      </c>
      <c r="G613" s="85" t="str">
        <f aca="false">IFERROR(IF(ISNUMBER(INDEX(원자료_잔고!$A$1:$EZ$1500,설정!$L$5+ROW()-1,설정!$L$13)),INDEX(원자료_잔고!$A$1:$EZ$1500,설정!$L$5+ROW()-1,설정!$L$13),""),"")</f>
        <v/>
      </c>
      <c r="H613" s="85" t="str">
        <f aca="false">IFERROR(IF(ISNUMBER(INDEX(원자료_잔고!$A$1:$EZ$1500,설정!$L$5+ROW()-1,설정!$L$14)),INDEX(원자료_잔고!$A$1:$EZ$1500,설정!$L$5+ROW()-1,설정!$L$14),""),"")</f>
        <v/>
      </c>
      <c r="I613" s="86" t="str">
        <f aca="false">IFERROR(IF(ISNUMBER(INDEX(원자료_잔고!$A$1:$EZ$1500,설정!$L$5+ROW()-1,설정!$L$15)),INDEX(원자료_잔고!$A$1:$EZ$1500,설정!$L$5+ROW()-1,설정!$L$15),""),"")</f>
        <v/>
      </c>
      <c r="J613" s="85" t="str">
        <f aca="false">IFERROR(IF(ISNUMBER(INDEX(원자료_잔고!$A$1:$EZ$1500,설정!$L$5+ROW()-1,설정!$L$16)),INDEX(원자료_잔고!$A$1:$EZ$1500,설정!$L$5+ROW()-1,설정!$L$16),""),"")</f>
        <v/>
      </c>
      <c r="K613" s="87" t="str">
        <f aca="false">IFERROR(IF(ISNUMBER(INDEX(원자료_잔고!$A$1:$EZ$1500,설정!$L$5+ROW()-1,설정!$L$17)),INDEX(원자료_잔고!$A$1:$EZ$1500,설정!$L$5+ROW()-1,설정!$L$17),""),"")</f>
        <v/>
      </c>
      <c r="L613" s="84" t="str">
        <f aca="false">IFERROR(IF(ISNUMBER(INDEX(원자료_잔고!$A$1:$EZ$1500,설정!$L$5+ROW()-1,설정!$L$18)),INDEX(원자료_잔고!$A$1:$EZ$1500,설정!$L$5+ROW()-1,설정!$L$18),""),"")</f>
        <v/>
      </c>
      <c r="M613" s="88" t="str">
        <f aca="false">IFERROR(IF(ISNUMBER(INDEX(원자료_잔고!$A$1:$EZ$1500,설정!$L$5+ROW()-1,설정!$L$19)),INDEX(원자료_잔고!$A$1:$EZ$1500,설정!$L$5+ROW()-1,설정!$L$19),""),"")</f>
        <v/>
      </c>
      <c r="N613" s="83" t="str">
        <f aca="false">IFERROR(IF(INDEX(원자료_잔고!$A$1:$EZ$1500,설정!$L$5+ROW()-1,설정!$L$21)&amp;""="0","",INDEX(원자료_잔고!$A$1:$EZ$1500,설정!$L$5+ROW()-1,설정!$L$21)&amp;""),"")</f>
        <v/>
      </c>
      <c r="O613" s="83" t="str">
        <f aca="false">IFERROR(IF(INDEX(원자료_잔고!$A$1:$EZ$1500,설정!$L$5+ROW()-1,설정!$L$22)&amp;""="0","",INDEX(원자료_잔고!$A$1:$EZ$1500,설정!$L$5+ROW()-1,설정!$L$22)&amp;""),"")</f>
        <v/>
      </c>
      <c r="P613" s="83" t="str">
        <f aca="false">IFERROR(IF(INDEX(원자료_잔고!$A$1:$EZ$1500,설정!$L$5+ROW()-1,설정!$L$23)&amp;""="0","",INDEX(원자료_잔고!$A$1:$EZ$1500,설정!$L$5+ROW()-1,설정!$L$23)&amp;""),"")</f>
        <v/>
      </c>
      <c r="Q613" s="89" t="n">
        <f aca="false">IF(AND($A613&lt;&gt;"",ISNUMBER(E613)),IF(E613&gt;0,1,0),0)</f>
        <v>0</v>
      </c>
      <c r="R613" s="43" t="str">
        <f aca="false">IF(Q613=1,UPPER(LEFT($A613,FIND(" ",$A613&amp;" ")-1)),"")</f>
        <v/>
      </c>
      <c r="S613" s="89" t="n">
        <f aca="false">IF(Q613=1,IF(OR(ISNUMBER(SEARCH("Float",$A613)),ISNUMBER(SEARCH("FRN",$A613))),1,0),0)</f>
        <v>0</v>
      </c>
      <c r="T613" s="43" t="str">
        <f aca="false">IF(AND(Q613=1,ISNUMBER(I613)),TEXT(I613,"yyyymmdd")&amp;"|"&amp;IF(S613=1,"F",TEXT(J613,"0.000")),"")</f>
        <v/>
      </c>
      <c r="U613" s="90" t="str">
        <f aca="false">IF(AND(Q613=1,ISNUMBER(I613)),(I613-설정!$C$4)/365.25,"")</f>
        <v/>
      </c>
      <c r="V613" s="43" t="str">
        <f aca="false">IF(Q613&lt;&gt;1,"",IF(ISNUMBER(U613),IF(U613&lt;=1,"1년 이하",IF(U613&lt;=2,"1-2년",IF(U613&lt;=3,"2-3년",IF(U613&lt;=4,"3-4년",IF(U613&lt;=5,"4-5년",IF(U613&lt;=7,"5-7년",IF(U613&lt;=10,"7-10년",IF(U613&lt;=20,"10-20년","20년 이상")))))))),"미분류"))</f>
        <v/>
      </c>
      <c r="W613" s="43" t="str">
        <f aca="false">IF(Q613&lt;&gt;1,"",IF(AB613&lt;&gt;"",INDEX(시장분석!$C:$C,AB613),IF(K613=1,"USD","비USD")))</f>
        <v/>
      </c>
      <c r="X613" s="91" t="n">
        <f aca="false">IF(Q613=1,E613*K613/1000000,0)</f>
        <v>0</v>
      </c>
      <c r="Y613" s="89" t="n">
        <f aca="false">IF(R613="T",1,0)</f>
        <v>0</v>
      </c>
      <c r="Z613" s="92" t="str">
        <f aca="false">IF(Q613&lt;&gt;1,"",IF(AD613=1,IF(ISNUMBER(U613),MAX(U613,0),H613),H613))</f>
        <v/>
      </c>
      <c r="AA613" s="91" t="n">
        <f aca="false">IF(Q613=1,IF(ISNUMBER(L613),L613,0)*K613/1000000,0)</f>
        <v>0</v>
      </c>
      <c r="AB613" s="89" t="str">
        <f aca="false">IF(Q613&lt;&gt;1,"",IFERROR(MATCH(VLOOKUP(B613,매핑!$H$4:$I$15,2,0),시장분석!$A$2:$A$601,0)+1,IFERROR(MATCH(R613&amp;"|"&amp;T613,시장분석!$V$2:$V$601,0)+1,IF(COUNTIF(시장분석!$U$2:$U$601,T613)=1,MATCH(T613,시장분석!$U$2:$U$601,0)+1,""))))</f>
        <v/>
      </c>
      <c r="AC613" s="89" t="n">
        <f aca="false">IF(Q613&lt;&gt;1,0,IF(OR(설정!$C$5="전체",AND(설정!$C$5="선택펀드",IFERROR(COUNTIFS(설정!$F$16:$F$36,C613,설정!$G$16:$G$36,"Y")+COUNTIFS(설정!$F$16:$F$36,VALUE(C613),설정!$G$16:$G$36,"Y"),0)&gt;0),C613&amp;""=설정!$C$5&amp;""),1,0))</f>
        <v>0</v>
      </c>
      <c r="AD613" s="89" t="n">
        <f aca="false">IF(Q613&lt;&gt;1,0,IF(OR(S613=1,IF(AB613="",FALSE(),INDEX(시장분석!$R:$R,AB613)=1)),1,0))</f>
        <v>0</v>
      </c>
      <c r="AE613" s="43" t="str">
        <f aca="false">IF(AB613="","",INDEX(시장분석!$A:$A,AB613))</f>
        <v/>
      </c>
      <c r="AF613" s="93" t="str">
        <f aca="false">IF(AB613="","",IF(ISNUMBER(IF(AB613="","",INDEX(시장분석!$E:$E,AB613))),IF(AB613="","",INDEX(시장분석!$E:$E,AB613)),""))</f>
        <v/>
      </c>
      <c r="AG613" s="43" t="str">
        <f aca="false">IF(Q613&lt;&gt;1,"",IF(AB613&lt;&gt;"",IF(AB613="","",INDEX(시장분석!$L:$L,AB613)),IFERROR(IF(VLOOKUP(R613,매핑!$A$4:$E$92,5,0)="","미분류",VLOOKUP(R613,매핑!$A$4:$E$92,5,0)),"미분류")))</f>
        <v/>
      </c>
      <c r="AH613" s="43" t="str">
        <f aca="false">IF(Q613&lt;&gt;1,"",IF(AB613&lt;&gt;"",IF(AB613="","",INDEX(시장분석!$N:$N,AB613)),IFERROR(IF(VLOOKUP(R613,매핑!$A$4:$E$92,4,0)="","미분류",VLOOKUP(R613,매핑!$A$4:$E$92,4,0)),"미분류")))</f>
        <v/>
      </c>
      <c r="AI613" s="43" t="str">
        <f aca="false">IF(Q613&lt;&gt;1,"",IFERROR(IF(VLOOKUP(R613,매핑!$A$4:$E$92,3,0)="","미분류",VLOOKUP(R613,매핑!$A$4:$E$92,3,0)),IF(AB613&lt;&gt;"",IF(AB613="","",INDEX(시장분석!$W:$W,AB613)),"미분류")))</f>
        <v/>
      </c>
      <c r="AJ613" s="43" t="str">
        <f aca="false">IF(Q613&lt;&gt;1,"",IFERROR(VLOOKUP(IF(N613&lt;&gt;"",N613,IF(P613&lt;&gt;"",P613,O613)),설정!$A$15:$D$47,2,0),""))</f>
        <v/>
      </c>
      <c r="AK613" s="43" t="str">
        <f aca="false">IF(Q613&lt;&gt;1,"",IF(AJ613="","무등급",IFERROR(VLOOKUP(AJ613,설정!$A$15:$D$47,3,0),"무등급")))</f>
        <v/>
      </c>
      <c r="AL613" s="89" t="n">
        <f aca="false">IF(AJ613="",99,IFERROR(VLOOKUP(AJ613,설정!$A$15:$D$47,4,0),99))</f>
        <v>99</v>
      </c>
      <c r="AM613" s="94" t="n">
        <f aca="false">IF(ISNUMBER(H613),AA613*1000000*H613/10000,0)</f>
        <v>0</v>
      </c>
      <c r="AN613" s="94" t="n">
        <f aca="false">IF(OR(Y613=1,NOT(ISNUMBER(Z613))),0,AA613*1000000*Z613/10000)</f>
        <v>0</v>
      </c>
      <c r="AO613" s="94" t="n">
        <f aca="false">IF(ISNUMBER(G613),AA613*1000000*G613/100,0)</f>
        <v>0</v>
      </c>
      <c r="AP613" s="94" t="n">
        <f aca="false">IF(ISNUMBER(M613),M613*K613,0)</f>
        <v>0</v>
      </c>
      <c r="AQ613" s="95" t="str">
        <f aca="false">IF(AB613="","",INDEX(시장분석!$AK:$AK,AB613))</f>
        <v/>
      </c>
      <c r="AR613" s="43" t="str">
        <f aca="false">IF(AB613="","-",IF(AB613="","",INDEX(시장분석!$AL:$AL,AB613)))</f>
        <v>-</v>
      </c>
      <c r="AS613" s="96" t="str">
        <f aca="false">IF(AB613="","",INDEX(시장분석!$AJ:$AJ,AB613))</f>
        <v/>
      </c>
      <c r="AT613" s="93" t="n">
        <f aca="false">IF(AB613="",0,IF(AB613="","",INDEX(시장분석!$AN:$AN,AB613)))</f>
        <v>0</v>
      </c>
      <c r="AU613" s="94" t="n">
        <f aca="false">IF(ISNUMBER(Z613),AT613/10000*MAX(Z613-1,0)*AA613*1000000,0)</f>
        <v>0</v>
      </c>
      <c r="AV613" s="94" t="n">
        <f aca="false">AO613+AU613</f>
        <v>0</v>
      </c>
      <c r="AW613" s="43" t="str">
        <f aca="false">IF(Q613&lt;&gt;1,"",TRIM(IF(AD613=1,"FRN ","")&amp;IF(AND(AL613&gt;=10,AL613&lt;99),"BBB0미만 ","")&amp;IF(AJ613="","등급없음 ","")&amp;IF(K613&lt;&gt;1,"비USD ","")&amp;IF(AND(AB613="",Y613=0),"시장데이터없음 ","")&amp;IF(AND(ISNUMBER(U613),U613&lt;0),"만기경과 ","")))</f>
        <v/>
      </c>
      <c r="AX613" s="90" t="n">
        <f aca="false">IF(Q613&lt;&gt;1,1,IF(스프레드쇼크!$C$4="Y",INDEX(스프레드쇼크!$B$12:$L$16,IFERROR(MATCH(AH613,스프레드쇼크!$A$12:$A$16,0),MATCH("목록외",스프레드쇼크!$A$12:$A$16,0)),IFERROR(MATCH(AG613,스프레드쇼크!$B$11:$L$11,0),MATCH("목록외",스프레드쇼크!$B$11:$L$11,0))),1))</f>
        <v>1</v>
      </c>
      <c r="AY613" s="90" t="n">
        <f aca="false">IF(스프레드쇼크!$C$5="Y",IF(ISNUMBER(AF613),MIN(스프레드쇼크!$C$7,MAX(스프레드쇼크!$C$6,AF613/스프레드쇼크!$C$8)),1),1)</f>
        <v>1</v>
      </c>
      <c r="AZ613" s="94" t="n">
        <f aca="false">AN613*AX613*AY613</f>
        <v>0</v>
      </c>
      <c r="BA613" s="90" t="n">
        <f aca="false">IF(ISNUMBER(G613),AA613*G613,0)</f>
        <v>0</v>
      </c>
      <c r="BB613" s="90" t="n">
        <f aca="false">IF(ISNUMBER(G613),AA613,0)</f>
        <v>0</v>
      </c>
      <c r="BC613" s="90" t="n">
        <f aca="false">IF(AND(Y613=0,ISNUMBER(AF613)),AA613*AF613,0)</f>
        <v>0</v>
      </c>
      <c r="BD613" s="90" t="n">
        <f aca="false">IF(AND(Y613=0,ISNUMBER(AF613)),AA613,0)</f>
        <v>0</v>
      </c>
      <c r="BE613" s="90" t="n">
        <f aca="false">IF(ISNUMBER(H613),AA613*H613,0)</f>
        <v>0</v>
      </c>
      <c r="BF613" s="90" t="n">
        <f aca="false">IF(ISNUMBER(H613),AA613,0)</f>
        <v>0</v>
      </c>
      <c r="BG613" s="90" t="n">
        <f aca="false">IF(AND(Y613=0,ISNUMBER(AF613),ISNUMBER(Z613)),AA613*Z613,0)</f>
        <v>0</v>
      </c>
      <c r="BH613" s="90" t="n">
        <f aca="false">IF(AND(Y613=0,ISNUMBER(AF613),ISNUMBER(Z613)),AA613*AT613*MAX(Z613-1,0),0)</f>
        <v>0</v>
      </c>
      <c r="BI613" s="90" t="n">
        <f aca="false">IF(Y613=0,AA613,0)</f>
        <v>0</v>
      </c>
    </row>
    <row r="614" customFormat="false" ht="15" hidden="false" customHeight="false" outlineLevel="0" collapsed="false">
      <c r="A614" s="83" t="str">
        <f aca="false">IFERROR(IF(INDEX(원자료_잔고!$A$1:$EZ$1500,설정!$L$5+ROW()-1,설정!$L$8)&amp;""="0","",INDEX(원자료_잔고!$A$1:$EZ$1500,설정!$L$5+ROW()-1,설정!$L$8)&amp;""),"")</f>
        <v/>
      </c>
      <c r="B614" s="83" t="str">
        <f aca="false">IFERROR(IF(INDEX(원자료_잔고!$A$1:$EZ$1500,설정!$L$5+ROW()-1,설정!$L$7)&amp;""="0","",INDEX(원자료_잔고!$A$1:$EZ$1500,설정!$L$5+ROW()-1,설정!$L$7)&amp;""),"")</f>
        <v/>
      </c>
      <c r="C614" s="83" t="str">
        <f aca="false">IFERROR(IF(INDEX(원자료_잔고!$A$1:$EZ$1500,설정!$L$5+ROW()-1,설정!$L$9)&amp;""="0","",INDEX(원자료_잔고!$A$1:$EZ$1500,설정!$L$5+ROW()-1,설정!$L$9)&amp;""),"")</f>
        <v/>
      </c>
      <c r="D614" s="83" t="str">
        <f aca="false">IFERROR(IF(INDEX(원자료_잔고!$A$1:$EZ$1500,설정!$L$5+ROW()-1,설정!$L$10)&amp;""="0","",INDEX(원자료_잔고!$A$1:$EZ$1500,설정!$L$5+ROW()-1,설정!$L$10)&amp;""),"")</f>
        <v/>
      </c>
      <c r="E614" s="84" t="str">
        <f aca="false">IFERROR(IF(ISNUMBER(INDEX(원자료_잔고!$A$1:$EZ$1500,설정!$L$5+ROW()-1,설정!$L$11)),INDEX(원자료_잔고!$A$1:$EZ$1500,설정!$L$5+ROW()-1,설정!$L$11),""),"")</f>
        <v/>
      </c>
      <c r="F614" s="85" t="str">
        <f aca="false">IFERROR(IF(ISNUMBER(INDEX(원자료_잔고!$A$1:$EZ$1500,설정!$L$5+ROW()-1,설정!$L$12)),INDEX(원자료_잔고!$A$1:$EZ$1500,설정!$L$5+ROW()-1,설정!$L$12),""),"")</f>
        <v/>
      </c>
      <c r="G614" s="85" t="str">
        <f aca="false">IFERROR(IF(ISNUMBER(INDEX(원자료_잔고!$A$1:$EZ$1500,설정!$L$5+ROW()-1,설정!$L$13)),INDEX(원자료_잔고!$A$1:$EZ$1500,설정!$L$5+ROW()-1,설정!$L$13),""),"")</f>
        <v/>
      </c>
      <c r="H614" s="85" t="str">
        <f aca="false">IFERROR(IF(ISNUMBER(INDEX(원자료_잔고!$A$1:$EZ$1500,설정!$L$5+ROW()-1,설정!$L$14)),INDEX(원자료_잔고!$A$1:$EZ$1500,설정!$L$5+ROW()-1,설정!$L$14),""),"")</f>
        <v/>
      </c>
      <c r="I614" s="86" t="str">
        <f aca="false">IFERROR(IF(ISNUMBER(INDEX(원자료_잔고!$A$1:$EZ$1500,설정!$L$5+ROW()-1,설정!$L$15)),INDEX(원자료_잔고!$A$1:$EZ$1500,설정!$L$5+ROW()-1,설정!$L$15),""),"")</f>
        <v/>
      </c>
      <c r="J614" s="85" t="str">
        <f aca="false">IFERROR(IF(ISNUMBER(INDEX(원자료_잔고!$A$1:$EZ$1500,설정!$L$5+ROW()-1,설정!$L$16)),INDEX(원자료_잔고!$A$1:$EZ$1500,설정!$L$5+ROW()-1,설정!$L$16),""),"")</f>
        <v/>
      </c>
      <c r="K614" s="87" t="str">
        <f aca="false">IFERROR(IF(ISNUMBER(INDEX(원자료_잔고!$A$1:$EZ$1500,설정!$L$5+ROW()-1,설정!$L$17)),INDEX(원자료_잔고!$A$1:$EZ$1500,설정!$L$5+ROW()-1,설정!$L$17),""),"")</f>
        <v/>
      </c>
      <c r="L614" s="84" t="str">
        <f aca="false">IFERROR(IF(ISNUMBER(INDEX(원자료_잔고!$A$1:$EZ$1500,설정!$L$5+ROW()-1,설정!$L$18)),INDEX(원자료_잔고!$A$1:$EZ$1500,설정!$L$5+ROW()-1,설정!$L$18),""),"")</f>
        <v/>
      </c>
      <c r="M614" s="88" t="str">
        <f aca="false">IFERROR(IF(ISNUMBER(INDEX(원자료_잔고!$A$1:$EZ$1500,설정!$L$5+ROW()-1,설정!$L$19)),INDEX(원자료_잔고!$A$1:$EZ$1500,설정!$L$5+ROW()-1,설정!$L$19),""),"")</f>
        <v/>
      </c>
      <c r="N614" s="83" t="str">
        <f aca="false">IFERROR(IF(INDEX(원자료_잔고!$A$1:$EZ$1500,설정!$L$5+ROW()-1,설정!$L$21)&amp;""="0","",INDEX(원자료_잔고!$A$1:$EZ$1500,설정!$L$5+ROW()-1,설정!$L$21)&amp;""),"")</f>
        <v/>
      </c>
      <c r="O614" s="83" t="str">
        <f aca="false">IFERROR(IF(INDEX(원자료_잔고!$A$1:$EZ$1500,설정!$L$5+ROW()-1,설정!$L$22)&amp;""="0","",INDEX(원자료_잔고!$A$1:$EZ$1500,설정!$L$5+ROW()-1,설정!$L$22)&amp;""),"")</f>
        <v/>
      </c>
      <c r="P614" s="83" t="str">
        <f aca="false">IFERROR(IF(INDEX(원자료_잔고!$A$1:$EZ$1500,설정!$L$5+ROW()-1,설정!$L$23)&amp;""="0","",INDEX(원자료_잔고!$A$1:$EZ$1500,설정!$L$5+ROW()-1,설정!$L$23)&amp;""),"")</f>
        <v/>
      </c>
      <c r="Q614" s="89" t="n">
        <f aca="false">IF(AND($A614&lt;&gt;"",ISNUMBER(E614)),IF(E614&gt;0,1,0),0)</f>
        <v>0</v>
      </c>
      <c r="R614" s="43" t="str">
        <f aca="false">IF(Q614=1,UPPER(LEFT($A614,FIND(" ",$A614&amp;" ")-1)),"")</f>
        <v/>
      </c>
      <c r="S614" s="89" t="n">
        <f aca="false">IF(Q614=1,IF(OR(ISNUMBER(SEARCH("Float",$A614)),ISNUMBER(SEARCH("FRN",$A614))),1,0),0)</f>
        <v>0</v>
      </c>
      <c r="T614" s="43" t="str">
        <f aca="false">IF(AND(Q614=1,ISNUMBER(I614)),TEXT(I614,"yyyymmdd")&amp;"|"&amp;IF(S614=1,"F",TEXT(J614,"0.000")),"")</f>
        <v/>
      </c>
      <c r="U614" s="90" t="str">
        <f aca="false">IF(AND(Q614=1,ISNUMBER(I614)),(I614-설정!$C$4)/365.25,"")</f>
        <v/>
      </c>
      <c r="V614" s="43" t="str">
        <f aca="false">IF(Q614&lt;&gt;1,"",IF(ISNUMBER(U614),IF(U614&lt;=1,"1년 이하",IF(U614&lt;=2,"1-2년",IF(U614&lt;=3,"2-3년",IF(U614&lt;=4,"3-4년",IF(U614&lt;=5,"4-5년",IF(U614&lt;=7,"5-7년",IF(U614&lt;=10,"7-10년",IF(U614&lt;=20,"10-20년","20년 이상")))))))),"미분류"))</f>
        <v/>
      </c>
      <c r="W614" s="43" t="str">
        <f aca="false">IF(Q614&lt;&gt;1,"",IF(AB614&lt;&gt;"",INDEX(시장분석!$C:$C,AB614),IF(K614=1,"USD","비USD")))</f>
        <v/>
      </c>
      <c r="X614" s="91" t="n">
        <f aca="false">IF(Q614=1,E614*K614/1000000,0)</f>
        <v>0</v>
      </c>
      <c r="Y614" s="89" t="n">
        <f aca="false">IF(R614="T",1,0)</f>
        <v>0</v>
      </c>
      <c r="Z614" s="92" t="str">
        <f aca="false">IF(Q614&lt;&gt;1,"",IF(AD614=1,IF(ISNUMBER(U614),MAX(U614,0),H614),H614))</f>
        <v/>
      </c>
      <c r="AA614" s="91" t="n">
        <f aca="false">IF(Q614=1,IF(ISNUMBER(L614),L614,0)*K614/1000000,0)</f>
        <v>0</v>
      </c>
      <c r="AB614" s="89" t="str">
        <f aca="false">IF(Q614&lt;&gt;1,"",IFERROR(MATCH(VLOOKUP(B614,매핑!$H$4:$I$15,2,0),시장분석!$A$2:$A$601,0)+1,IFERROR(MATCH(R614&amp;"|"&amp;T614,시장분석!$V$2:$V$601,0)+1,IF(COUNTIF(시장분석!$U$2:$U$601,T614)=1,MATCH(T614,시장분석!$U$2:$U$601,0)+1,""))))</f>
        <v/>
      </c>
      <c r="AC614" s="89" t="n">
        <f aca="false">IF(Q614&lt;&gt;1,0,IF(OR(설정!$C$5="전체",AND(설정!$C$5="선택펀드",IFERROR(COUNTIFS(설정!$F$16:$F$36,C614,설정!$G$16:$G$36,"Y")+COUNTIFS(설정!$F$16:$F$36,VALUE(C614),설정!$G$16:$G$36,"Y"),0)&gt;0),C614&amp;""=설정!$C$5&amp;""),1,0))</f>
        <v>0</v>
      </c>
      <c r="AD614" s="89" t="n">
        <f aca="false">IF(Q614&lt;&gt;1,0,IF(OR(S614=1,IF(AB614="",FALSE(),INDEX(시장분석!$R:$R,AB614)=1)),1,0))</f>
        <v>0</v>
      </c>
      <c r="AE614" s="43" t="str">
        <f aca="false">IF(AB614="","",INDEX(시장분석!$A:$A,AB614))</f>
        <v/>
      </c>
      <c r="AF614" s="93" t="str">
        <f aca="false">IF(AB614="","",IF(ISNUMBER(IF(AB614="","",INDEX(시장분석!$E:$E,AB614))),IF(AB614="","",INDEX(시장분석!$E:$E,AB614)),""))</f>
        <v/>
      </c>
      <c r="AG614" s="43" t="str">
        <f aca="false">IF(Q614&lt;&gt;1,"",IF(AB614&lt;&gt;"",IF(AB614="","",INDEX(시장분석!$L:$L,AB614)),IFERROR(IF(VLOOKUP(R614,매핑!$A$4:$E$92,5,0)="","미분류",VLOOKUP(R614,매핑!$A$4:$E$92,5,0)),"미분류")))</f>
        <v/>
      </c>
      <c r="AH614" s="43" t="str">
        <f aca="false">IF(Q614&lt;&gt;1,"",IF(AB614&lt;&gt;"",IF(AB614="","",INDEX(시장분석!$N:$N,AB614)),IFERROR(IF(VLOOKUP(R614,매핑!$A$4:$E$92,4,0)="","미분류",VLOOKUP(R614,매핑!$A$4:$E$92,4,0)),"미분류")))</f>
        <v/>
      </c>
      <c r="AI614" s="43" t="str">
        <f aca="false">IF(Q614&lt;&gt;1,"",IFERROR(IF(VLOOKUP(R614,매핑!$A$4:$E$92,3,0)="","미분류",VLOOKUP(R614,매핑!$A$4:$E$92,3,0)),IF(AB614&lt;&gt;"",IF(AB614="","",INDEX(시장분석!$W:$W,AB614)),"미분류")))</f>
        <v/>
      </c>
      <c r="AJ614" s="43" t="str">
        <f aca="false">IF(Q614&lt;&gt;1,"",IFERROR(VLOOKUP(IF(N614&lt;&gt;"",N614,IF(P614&lt;&gt;"",P614,O614)),설정!$A$15:$D$47,2,0),""))</f>
        <v/>
      </c>
      <c r="AK614" s="43" t="str">
        <f aca="false">IF(Q614&lt;&gt;1,"",IF(AJ614="","무등급",IFERROR(VLOOKUP(AJ614,설정!$A$15:$D$47,3,0),"무등급")))</f>
        <v/>
      </c>
      <c r="AL614" s="89" t="n">
        <f aca="false">IF(AJ614="",99,IFERROR(VLOOKUP(AJ614,설정!$A$15:$D$47,4,0),99))</f>
        <v>99</v>
      </c>
      <c r="AM614" s="94" t="n">
        <f aca="false">IF(ISNUMBER(H614),AA614*1000000*H614/10000,0)</f>
        <v>0</v>
      </c>
      <c r="AN614" s="94" t="n">
        <f aca="false">IF(OR(Y614=1,NOT(ISNUMBER(Z614))),0,AA614*1000000*Z614/10000)</f>
        <v>0</v>
      </c>
      <c r="AO614" s="94" t="n">
        <f aca="false">IF(ISNUMBER(G614),AA614*1000000*G614/100,0)</f>
        <v>0</v>
      </c>
      <c r="AP614" s="94" t="n">
        <f aca="false">IF(ISNUMBER(M614),M614*K614,0)</f>
        <v>0</v>
      </c>
      <c r="AQ614" s="95" t="str">
        <f aca="false">IF(AB614="","",INDEX(시장분석!$AK:$AK,AB614))</f>
        <v/>
      </c>
      <c r="AR614" s="43" t="str">
        <f aca="false">IF(AB614="","-",IF(AB614="","",INDEX(시장분석!$AL:$AL,AB614)))</f>
        <v>-</v>
      </c>
      <c r="AS614" s="96" t="str">
        <f aca="false">IF(AB614="","",INDEX(시장분석!$AJ:$AJ,AB614))</f>
        <v/>
      </c>
      <c r="AT614" s="93" t="n">
        <f aca="false">IF(AB614="",0,IF(AB614="","",INDEX(시장분석!$AN:$AN,AB614)))</f>
        <v>0</v>
      </c>
      <c r="AU614" s="94" t="n">
        <f aca="false">IF(ISNUMBER(Z614),AT614/10000*MAX(Z614-1,0)*AA614*1000000,0)</f>
        <v>0</v>
      </c>
      <c r="AV614" s="94" t="n">
        <f aca="false">AO614+AU614</f>
        <v>0</v>
      </c>
      <c r="AW614" s="43" t="str">
        <f aca="false">IF(Q614&lt;&gt;1,"",TRIM(IF(AD614=1,"FRN ","")&amp;IF(AND(AL614&gt;=10,AL614&lt;99),"BBB0미만 ","")&amp;IF(AJ614="","등급없음 ","")&amp;IF(K614&lt;&gt;1,"비USD ","")&amp;IF(AND(AB614="",Y614=0),"시장데이터없음 ","")&amp;IF(AND(ISNUMBER(U614),U614&lt;0),"만기경과 ","")))</f>
        <v/>
      </c>
      <c r="AX614" s="90" t="n">
        <f aca="false">IF(Q614&lt;&gt;1,1,IF(스프레드쇼크!$C$4="Y",INDEX(스프레드쇼크!$B$12:$L$16,IFERROR(MATCH(AH614,스프레드쇼크!$A$12:$A$16,0),MATCH("목록외",스프레드쇼크!$A$12:$A$16,0)),IFERROR(MATCH(AG614,스프레드쇼크!$B$11:$L$11,0),MATCH("목록외",스프레드쇼크!$B$11:$L$11,0))),1))</f>
        <v>1</v>
      </c>
      <c r="AY614" s="90" t="n">
        <f aca="false">IF(스프레드쇼크!$C$5="Y",IF(ISNUMBER(AF614),MIN(스프레드쇼크!$C$7,MAX(스프레드쇼크!$C$6,AF614/스프레드쇼크!$C$8)),1),1)</f>
        <v>1</v>
      </c>
      <c r="AZ614" s="94" t="n">
        <f aca="false">AN614*AX614*AY614</f>
        <v>0</v>
      </c>
      <c r="BA614" s="90" t="n">
        <f aca="false">IF(ISNUMBER(G614),AA614*G614,0)</f>
        <v>0</v>
      </c>
      <c r="BB614" s="90" t="n">
        <f aca="false">IF(ISNUMBER(G614),AA614,0)</f>
        <v>0</v>
      </c>
      <c r="BC614" s="90" t="n">
        <f aca="false">IF(AND(Y614=0,ISNUMBER(AF614)),AA614*AF614,0)</f>
        <v>0</v>
      </c>
      <c r="BD614" s="90" t="n">
        <f aca="false">IF(AND(Y614=0,ISNUMBER(AF614)),AA614,0)</f>
        <v>0</v>
      </c>
      <c r="BE614" s="90" t="n">
        <f aca="false">IF(ISNUMBER(H614),AA614*H614,0)</f>
        <v>0</v>
      </c>
      <c r="BF614" s="90" t="n">
        <f aca="false">IF(ISNUMBER(H614),AA614,0)</f>
        <v>0</v>
      </c>
      <c r="BG614" s="90" t="n">
        <f aca="false">IF(AND(Y614=0,ISNUMBER(AF614),ISNUMBER(Z614)),AA614*Z614,0)</f>
        <v>0</v>
      </c>
      <c r="BH614" s="90" t="n">
        <f aca="false">IF(AND(Y614=0,ISNUMBER(AF614),ISNUMBER(Z614)),AA614*AT614*MAX(Z614-1,0),0)</f>
        <v>0</v>
      </c>
      <c r="BI614" s="90" t="n">
        <f aca="false">IF(Y614=0,AA614,0)</f>
        <v>0</v>
      </c>
    </row>
    <row r="615" customFormat="false" ht="15" hidden="false" customHeight="false" outlineLevel="0" collapsed="false">
      <c r="A615" s="83" t="str">
        <f aca="false">IFERROR(IF(INDEX(원자료_잔고!$A$1:$EZ$1500,설정!$L$5+ROW()-1,설정!$L$8)&amp;""="0","",INDEX(원자료_잔고!$A$1:$EZ$1500,설정!$L$5+ROW()-1,설정!$L$8)&amp;""),"")</f>
        <v/>
      </c>
      <c r="B615" s="83" t="str">
        <f aca="false">IFERROR(IF(INDEX(원자료_잔고!$A$1:$EZ$1500,설정!$L$5+ROW()-1,설정!$L$7)&amp;""="0","",INDEX(원자료_잔고!$A$1:$EZ$1500,설정!$L$5+ROW()-1,설정!$L$7)&amp;""),"")</f>
        <v/>
      </c>
      <c r="C615" s="83" t="str">
        <f aca="false">IFERROR(IF(INDEX(원자료_잔고!$A$1:$EZ$1500,설정!$L$5+ROW()-1,설정!$L$9)&amp;""="0","",INDEX(원자료_잔고!$A$1:$EZ$1500,설정!$L$5+ROW()-1,설정!$L$9)&amp;""),"")</f>
        <v/>
      </c>
      <c r="D615" s="83" t="str">
        <f aca="false">IFERROR(IF(INDEX(원자료_잔고!$A$1:$EZ$1500,설정!$L$5+ROW()-1,설정!$L$10)&amp;""="0","",INDEX(원자료_잔고!$A$1:$EZ$1500,설정!$L$5+ROW()-1,설정!$L$10)&amp;""),"")</f>
        <v/>
      </c>
      <c r="E615" s="84" t="str">
        <f aca="false">IFERROR(IF(ISNUMBER(INDEX(원자료_잔고!$A$1:$EZ$1500,설정!$L$5+ROW()-1,설정!$L$11)),INDEX(원자료_잔고!$A$1:$EZ$1500,설정!$L$5+ROW()-1,설정!$L$11),""),"")</f>
        <v/>
      </c>
      <c r="F615" s="85" t="str">
        <f aca="false">IFERROR(IF(ISNUMBER(INDEX(원자료_잔고!$A$1:$EZ$1500,설정!$L$5+ROW()-1,설정!$L$12)),INDEX(원자료_잔고!$A$1:$EZ$1500,설정!$L$5+ROW()-1,설정!$L$12),""),"")</f>
        <v/>
      </c>
      <c r="G615" s="85" t="str">
        <f aca="false">IFERROR(IF(ISNUMBER(INDEX(원자료_잔고!$A$1:$EZ$1500,설정!$L$5+ROW()-1,설정!$L$13)),INDEX(원자료_잔고!$A$1:$EZ$1500,설정!$L$5+ROW()-1,설정!$L$13),""),"")</f>
        <v/>
      </c>
      <c r="H615" s="85" t="str">
        <f aca="false">IFERROR(IF(ISNUMBER(INDEX(원자료_잔고!$A$1:$EZ$1500,설정!$L$5+ROW()-1,설정!$L$14)),INDEX(원자료_잔고!$A$1:$EZ$1500,설정!$L$5+ROW()-1,설정!$L$14),""),"")</f>
        <v/>
      </c>
      <c r="I615" s="86" t="str">
        <f aca="false">IFERROR(IF(ISNUMBER(INDEX(원자료_잔고!$A$1:$EZ$1500,설정!$L$5+ROW()-1,설정!$L$15)),INDEX(원자료_잔고!$A$1:$EZ$1500,설정!$L$5+ROW()-1,설정!$L$15),""),"")</f>
        <v/>
      </c>
      <c r="J615" s="85" t="str">
        <f aca="false">IFERROR(IF(ISNUMBER(INDEX(원자료_잔고!$A$1:$EZ$1500,설정!$L$5+ROW()-1,설정!$L$16)),INDEX(원자료_잔고!$A$1:$EZ$1500,설정!$L$5+ROW()-1,설정!$L$16),""),"")</f>
        <v/>
      </c>
      <c r="K615" s="87" t="str">
        <f aca="false">IFERROR(IF(ISNUMBER(INDEX(원자료_잔고!$A$1:$EZ$1500,설정!$L$5+ROW()-1,설정!$L$17)),INDEX(원자료_잔고!$A$1:$EZ$1500,설정!$L$5+ROW()-1,설정!$L$17),""),"")</f>
        <v/>
      </c>
      <c r="L615" s="84" t="str">
        <f aca="false">IFERROR(IF(ISNUMBER(INDEX(원자료_잔고!$A$1:$EZ$1500,설정!$L$5+ROW()-1,설정!$L$18)),INDEX(원자료_잔고!$A$1:$EZ$1500,설정!$L$5+ROW()-1,설정!$L$18),""),"")</f>
        <v/>
      </c>
      <c r="M615" s="88" t="str">
        <f aca="false">IFERROR(IF(ISNUMBER(INDEX(원자료_잔고!$A$1:$EZ$1500,설정!$L$5+ROW()-1,설정!$L$19)),INDEX(원자료_잔고!$A$1:$EZ$1500,설정!$L$5+ROW()-1,설정!$L$19),""),"")</f>
        <v/>
      </c>
      <c r="N615" s="83" t="str">
        <f aca="false">IFERROR(IF(INDEX(원자료_잔고!$A$1:$EZ$1500,설정!$L$5+ROW()-1,설정!$L$21)&amp;""="0","",INDEX(원자료_잔고!$A$1:$EZ$1500,설정!$L$5+ROW()-1,설정!$L$21)&amp;""),"")</f>
        <v/>
      </c>
      <c r="O615" s="83" t="str">
        <f aca="false">IFERROR(IF(INDEX(원자료_잔고!$A$1:$EZ$1500,설정!$L$5+ROW()-1,설정!$L$22)&amp;""="0","",INDEX(원자료_잔고!$A$1:$EZ$1500,설정!$L$5+ROW()-1,설정!$L$22)&amp;""),"")</f>
        <v/>
      </c>
      <c r="P615" s="83" t="str">
        <f aca="false">IFERROR(IF(INDEX(원자료_잔고!$A$1:$EZ$1500,설정!$L$5+ROW()-1,설정!$L$23)&amp;""="0","",INDEX(원자료_잔고!$A$1:$EZ$1500,설정!$L$5+ROW()-1,설정!$L$23)&amp;""),"")</f>
        <v/>
      </c>
      <c r="Q615" s="89" t="n">
        <f aca="false">IF(AND($A615&lt;&gt;"",ISNUMBER(E615)),IF(E615&gt;0,1,0),0)</f>
        <v>0</v>
      </c>
      <c r="R615" s="43" t="str">
        <f aca="false">IF(Q615=1,UPPER(LEFT($A615,FIND(" ",$A615&amp;" ")-1)),"")</f>
        <v/>
      </c>
      <c r="S615" s="89" t="n">
        <f aca="false">IF(Q615=1,IF(OR(ISNUMBER(SEARCH("Float",$A615)),ISNUMBER(SEARCH("FRN",$A615))),1,0),0)</f>
        <v>0</v>
      </c>
      <c r="T615" s="43" t="str">
        <f aca="false">IF(AND(Q615=1,ISNUMBER(I615)),TEXT(I615,"yyyymmdd")&amp;"|"&amp;IF(S615=1,"F",TEXT(J615,"0.000")),"")</f>
        <v/>
      </c>
      <c r="U615" s="90" t="str">
        <f aca="false">IF(AND(Q615=1,ISNUMBER(I615)),(I615-설정!$C$4)/365.25,"")</f>
        <v/>
      </c>
      <c r="V615" s="43" t="str">
        <f aca="false">IF(Q615&lt;&gt;1,"",IF(ISNUMBER(U615),IF(U615&lt;=1,"1년 이하",IF(U615&lt;=2,"1-2년",IF(U615&lt;=3,"2-3년",IF(U615&lt;=4,"3-4년",IF(U615&lt;=5,"4-5년",IF(U615&lt;=7,"5-7년",IF(U615&lt;=10,"7-10년",IF(U615&lt;=20,"10-20년","20년 이상")))))))),"미분류"))</f>
        <v/>
      </c>
      <c r="W615" s="43" t="str">
        <f aca="false">IF(Q615&lt;&gt;1,"",IF(AB615&lt;&gt;"",INDEX(시장분석!$C:$C,AB615),IF(K615=1,"USD","비USD")))</f>
        <v/>
      </c>
      <c r="X615" s="91" t="n">
        <f aca="false">IF(Q615=1,E615*K615/1000000,0)</f>
        <v>0</v>
      </c>
      <c r="Y615" s="89" t="n">
        <f aca="false">IF(R615="T",1,0)</f>
        <v>0</v>
      </c>
      <c r="Z615" s="92" t="str">
        <f aca="false">IF(Q615&lt;&gt;1,"",IF(AD615=1,IF(ISNUMBER(U615),MAX(U615,0),H615),H615))</f>
        <v/>
      </c>
      <c r="AA615" s="91" t="n">
        <f aca="false">IF(Q615=1,IF(ISNUMBER(L615),L615,0)*K615/1000000,0)</f>
        <v>0</v>
      </c>
      <c r="AB615" s="89" t="str">
        <f aca="false">IF(Q615&lt;&gt;1,"",IFERROR(MATCH(VLOOKUP(B615,매핑!$H$4:$I$15,2,0),시장분석!$A$2:$A$601,0)+1,IFERROR(MATCH(R615&amp;"|"&amp;T615,시장분석!$V$2:$V$601,0)+1,IF(COUNTIF(시장분석!$U$2:$U$601,T615)=1,MATCH(T615,시장분석!$U$2:$U$601,0)+1,""))))</f>
        <v/>
      </c>
      <c r="AC615" s="89" t="n">
        <f aca="false">IF(Q615&lt;&gt;1,0,IF(OR(설정!$C$5="전체",AND(설정!$C$5="선택펀드",IFERROR(COUNTIFS(설정!$F$16:$F$36,C615,설정!$G$16:$G$36,"Y")+COUNTIFS(설정!$F$16:$F$36,VALUE(C615),설정!$G$16:$G$36,"Y"),0)&gt;0),C615&amp;""=설정!$C$5&amp;""),1,0))</f>
        <v>0</v>
      </c>
      <c r="AD615" s="89" t="n">
        <f aca="false">IF(Q615&lt;&gt;1,0,IF(OR(S615=1,IF(AB615="",FALSE(),INDEX(시장분석!$R:$R,AB615)=1)),1,0))</f>
        <v>0</v>
      </c>
      <c r="AE615" s="43" t="str">
        <f aca="false">IF(AB615="","",INDEX(시장분석!$A:$A,AB615))</f>
        <v/>
      </c>
      <c r="AF615" s="93" t="str">
        <f aca="false">IF(AB615="","",IF(ISNUMBER(IF(AB615="","",INDEX(시장분석!$E:$E,AB615))),IF(AB615="","",INDEX(시장분석!$E:$E,AB615)),""))</f>
        <v/>
      </c>
      <c r="AG615" s="43" t="str">
        <f aca="false">IF(Q615&lt;&gt;1,"",IF(AB615&lt;&gt;"",IF(AB615="","",INDEX(시장분석!$L:$L,AB615)),IFERROR(IF(VLOOKUP(R615,매핑!$A$4:$E$92,5,0)="","미분류",VLOOKUP(R615,매핑!$A$4:$E$92,5,0)),"미분류")))</f>
        <v/>
      </c>
      <c r="AH615" s="43" t="str">
        <f aca="false">IF(Q615&lt;&gt;1,"",IF(AB615&lt;&gt;"",IF(AB615="","",INDEX(시장분석!$N:$N,AB615)),IFERROR(IF(VLOOKUP(R615,매핑!$A$4:$E$92,4,0)="","미분류",VLOOKUP(R615,매핑!$A$4:$E$92,4,0)),"미분류")))</f>
        <v/>
      </c>
      <c r="AI615" s="43" t="str">
        <f aca="false">IF(Q615&lt;&gt;1,"",IFERROR(IF(VLOOKUP(R615,매핑!$A$4:$E$92,3,0)="","미분류",VLOOKUP(R615,매핑!$A$4:$E$92,3,0)),IF(AB615&lt;&gt;"",IF(AB615="","",INDEX(시장분석!$W:$W,AB615)),"미분류")))</f>
        <v/>
      </c>
      <c r="AJ615" s="43" t="str">
        <f aca="false">IF(Q615&lt;&gt;1,"",IFERROR(VLOOKUP(IF(N615&lt;&gt;"",N615,IF(P615&lt;&gt;"",P615,O615)),설정!$A$15:$D$47,2,0),""))</f>
        <v/>
      </c>
      <c r="AK615" s="43" t="str">
        <f aca="false">IF(Q615&lt;&gt;1,"",IF(AJ615="","무등급",IFERROR(VLOOKUP(AJ615,설정!$A$15:$D$47,3,0),"무등급")))</f>
        <v/>
      </c>
      <c r="AL615" s="89" t="n">
        <f aca="false">IF(AJ615="",99,IFERROR(VLOOKUP(AJ615,설정!$A$15:$D$47,4,0),99))</f>
        <v>99</v>
      </c>
      <c r="AM615" s="94" t="n">
        <f aca="false">IF(ISNUMBER(H615),AA615*1000000*H615/10000,0)</f>
        <v>0</v>
      </c>
      <c r="AN615" s="94" t="n">
        <f aca="false">IF(OR(Y615=1,NOT(ISNUMBER(Z615))),0,AA615*1000000*Z615/10000)</f>
        <v>0</v>
      </c>
      <c r="AO615" s="94" t="n">
        <f aca="false">IF(ISNUMBER(G615),AA615*1000000*G615/100,0)</f>
        <v>0</v>
      </c>
      <c r="AP615" s="94" t="n">
        <f aca="false">IF(ISNUMBER(M615),M615*K615,0)</f>
        <v>0</v>
      </c>
      <c r="AQ615" s="95" t="str">
        <f aca="false">IF(AB615="","",INDEX(시장분석!$AK:$AK,AB615))</f>
        <v/>
      </c>
      <c r="AR615" s="43" t="str">
        <f aca="false">IF(AB615="","-",IF(AB615="","",INDEX(시장분석!$AL:$AL,AB615)))</f>
        <v>-</v>
      </c>
      <c r="AS615" s="96" t="str">
        <f aca="false">IF(AB615="","",INDEX(시장분석!$AJ:$AJ,AB615))</f>
        <v/>
      </c>
      <c r="AT615" s="93" t="n">
        <f aca="false">IF(AB615="",0,IF(AB615="","",INDEX(시장분석!$AN:$AN,AB615)))</f>
        <v>0</v>
      </c>
      <c r="AU615" s="94" t="n">
        <f aca="false">IF(ISNUMBER(Z615),AT615/10000*MAX(Z615-1,0)*AA615*1000000,0)</f>
        <v>0</v>
      </c>
      <c r="AV615" s="94" t="n">
        <f aca="false">AO615+AU615</f>
        <v>0</v>
      </c>
      <c r="AW615" s="43" t="str">
        <f aca="false">IF(Q615&lt;&gt;1,"",TRIM(IF(AD615=1,"FRN ","")&amp;IF(AND(AL615&gt;=10,AL615&lt;99),"BBB0미만 ","")&amp;IF(AJ615="","등급없음 ","")&amp;IF(K615&lt;&gt;1,"비USD ","")&amp;IF(AND(AB615="",Y615=0),"시장데이터없음 ","")&amp;IF(AND(ISNUMBER(U615),U615&lt;0),"만기경과 ","")))</f>
        <v/>
      </c>
      <c r="AX615" s="90" t="n">
        <f aca="false">IF(Q615&lt;&gt;1,1,IF(스프레드쇼크!$C$4="Y",INDEX(스프레드쇼크!$B$12:$L$16,IFERROR(MATCH(AH615,스프레드쇼크!$A$12:$A$16,0),MATCH("목록외",스프레드쇼크!$A$12:$A$16,0)),IFERROR(MATCH(AG615,스프레드쇼크!$B$11:$L$11,0),MATCH("목록외",스프레드쇼크!$B$11:$L$11,0))),1))</f>
        <v>1</v>
      </c>
      <c r="AY615" s="90" t="n">
        <f aca="false">IF(스프레드쇼크!$C$5="Y",IF(ISNUMBER(AF615),MIN(스프레드쇼크!$C$7,MAX(스프레드쇼크!$C$6,AF615/스프레드쇼크!$C$8)),1),1)</f>
        <v>1</v>
      </c>
      <c r="AZ615" s="94" t="n">
        <f aca="false">AN615*AX615*AY615</f>
        <v>0</v>
      </c>
      <c r="BA615" s="90" t="n">
        <f aca="false">IF(ISNUMBER(G615),AA615*G615,0)</f>
        <v>0</v>
      </c>
      <c r="BB615" s="90" t="n">
        <f aca="false">IF(ISNUMBER(G615),AA615,0)</f>
        <v>0</v>
      </c>
      <c r="BC615" s="90" t="n">
        <f aca="false">IF(AND(Y615=0,ISNUMBER(AF615)),AA615*AF615,0)</f>
        <v>0</v>
      </c>
      <c r="BD615" s="90" t="n">
        <f aca="false">IF(AND(Y615=0,ISNUMBER(AF615)),AA615,0)</f>
        <v>0</v>
      </c>
      <c r="BE615" s="90" t="n">
        <f aca="false">IF(ISNUMBER(H615),AA615*H615,0)</f>
        <v>0</v>
      </c>
      <c r="BF615" s="90" t="n">
        <f aca="false">IF(ISNUMBER(H615),AA615,0)</f>
        <v>0</v>
      </c>
      <c r="BG615" s="90" t="n">
        <f aca="false">IF(AND(Y615=0,ISNUMBER(AF615),ISNUMBER(Z615)),AA615*Z615,0)</f>
        <v>0</v>
      </c>
      <c r="BH615" s="90" t="n">
        <f aca="false">IF(AND(Y615=0,ISNUMBER(AF615),ISNUMBER(Z615)),AA615*AT615*MAX(Z615-1,0),0)</f>
        <v>0</v>
      </c>
      <c r="BI615" s="90" t="n">
        <f aca="false">IF(Y615=0,AA615,0)</f>
        <v>0</v>
      </c>
    </row>
    <row r="616" customFormat="false" ht="15" hidden="false" customHeight="false" outlineLevel="0" collapsed="false">
      <c r="A616" s="83" t="str">
        <f aca="false">IFERROR(IF(INDEX(원자료_잔고!$A$1:$EZ$1500,설정!$L$5+ROW()-1,설정!$L$8)&amp;""="0","",INDEX(원자료_잔고!$A$1:$EZ$1500,설정!$L$5+ROW()-1,설정!$L$8)&amp;""),"")</f>
        <v/>
      </c>
      <c r="B616" s="83" t="str">
        <f aca="false">IFERROR(IF(INDEX(원자료_잔고!$A$1:$EZ$1500,설정!$L$5+ROW()-1,설정!$L$7)&amp;""="0","",INDEX(원자료_잔고!$A$1:$EZ$1500,설정!$L$5+ROW()-1,설정!$L$7)&amp;""),"")</f>
        <v/>
      </c>
      <c r="C616" s="83" t="str">
        <f aca="false">IFERROR(IF(INDEX(원자료_잔고!$A$1:$EZ$1500,설정!$L$5+ROW()-1,설정!$L$9)&amp;""="0","",INDEX(원자료_잔고!$A$1:$EZ$1500,설정!$L$5+ROW()-1,설정!$L$9)&amp;""),"")</f>
        <v/>
      </c>
      <c r="D616" s="83" t="str">
        <f aca="false">IFERROR(IF(INDEX(원자료_잔고!$A$1:$EZ$1500,설정!$L$5+ROW()-1,설정!$L$10)&amp;""="0","",INDEX(원자료_잔고!$A$1:$EZ$1500,설정!$L$5+ROW()-1,설정!$L$10)&amp;""),"")</f>
        <v/>
      </c>
      <c r="E616" s="84" t="str">
        <f aca="false">IFERROR(IF(ISNUMBER(INDEX(원자료_잔고!$A$1:$EZ$1500,설정!$L$5+ROW()-1,설정!$L$11)),INDEX(원자료_잔고!$A$1:$EZ$1500,설정!$L$5+ROW()-1,설정!$L$11),""),"")</f>
        <v/>
      </c>
      <c r="F616" s="85" t="str">
        <f aca="false">IFERROR(IF(ISNUMBER(INDEX(원자료_잔고!$A$1:$EZ$1500,설정!$L$5+ROW()-1,설정!$L$12)),INDEX(원자료_잔고!$A$1:$EZ$1500,설정!$L$5+ROW()-1,설정!$L$12),""),"")</f>
        <v/>
      </c>
      <c r="G616" s="85" t="str">
        <f aca="false">IFERROR(IF(ISNUMBER(INDEX(원자료_잔고!$A$1:$EZ$1500,설정!$L$5+ROW()-1,설정!$L$13)),INDEX(원자료_잔고!$A$1:$EZ$1500,설정!$L$5+ROW()-1,설정!$L$13),""),"")</f>
        <v/>
      </c>
      <c r="H616" s="85" t="str">
        <f aca="false">IFERROR(IF(ISNUMBER(INDEX(원자료_잔고!$A$1:$EZ$1500,설정!$L$5+ROW()-1,설정!$L$14)),INDEX(원자료_잔고!$A$1:$EZ$1500,설정!$L$5+ROW()-1,설정!$L$14),""),"")</f>
        <v/>
      </c>
      <c r="I616" s="86" t="str">
        <f aca="false">IFERROR(IF(ISNUMBER(INDEX(원자료_잔고!$A$1:$EZ$1500,설정!$L$5+ROW()-1,설정!$L$15)),INDEX(원자료_잔고!$A$1:$EZ$1500,설정!$L$5+ROW()-1,설정!$L$15),""),"")</f>
        <v/>
      </c>
      <c r="J616" s="85" t="str">
        <f aca="false">IFERROR(IF(ISNUMBER(INDEX(원자료_잔고!$A$1:$EZ$1500,설정!$L$5+ROW()-1,설정!$L$16)),INDEX(원자료_잔고!$A$1:$EZ$1500,설정!$L$5+ROW()-1,설정!$L$16),""),"")</f>
        <v/>
      </c>
      <c r="K616" s="87" t="str">
        <f aca="false">IFERROR(IF(ISNUMBER(INDEX(원자료_잔고!$A$1:$EZ$1500,설정!$L$5+ROW()-1,설정!$L$17)),INDEX(원자료_잔고!$A$1:$EZ$1500,설정!$L$5+ROW()-1,설정!$L$17),""),"")</f>
        <v/>
      </c>
      <c r="L616" s="84" t="str">
        <f aca="false">IFERROR(IF(ISNUMBER(INDEX(원자료_잔고!$A$1:$EZ$1500,설정!$L$5+ROW()-1,설정!$L$18)),INDEX(원자료_잔고!$A$1:$EZ$1500,설정!$L$5+ROW()-1,설정!$L$18),""),"")</f>
        <v/>
      </c>
      <c r="M616" s="88" t="str">
        <f aca="false">IFERROR(IF(ISNUMBER(INDEX(원자료_잔고!$A$1:$EZ$1500,설정!$L$5+ROW()-1,설정!$L$19)),INDEX(원자료_잔고!$A$1:$EZ$1500,설정!$L$5+ROW()-1,설정!$L$19),""),"")</f>
        <v/>
      </c>
      <c r="N616" s="83" t="str">
        <f aca="false">IFERROR(IF(INDEX(원자료_잔고!$A$1:$EZ$1500,설정!$L$5+ROW()-1,설정!$L$21)&amp;""="0","",INDEX(원자료_잔고!$A$1:$EZ$1500,설정!$L$5+ROW()-1,설정!$L$21)&amp;""),"")</f>
        <v/>
      </c>
      <c r="O616" s="83" t="str">
        <f aca="false">IFERROR(IF(INDEX(원자료_잔고!$A$1:$EZ$1500,설정!$L$5+ROW()-1,설정!$L$22)&amp;""="0","",INDEX(원자료_잔고!$A$1:$EZ$1500,설정!$L$5+ROW()-1,설정!$L$22)&amp;""),"")</f>
        <v/>
      </c>
      <c r="P616" s="83" t="str">
        <f aca="false">IFERROR(IF(INDEX(원자료_잔고!$A$1:$EZ$1500,설정!$L$5+ROW()-1,설정!$L$23)&amp;""="0","",INDEX(원자료_잔고!$A$1:$EZ$1500,설정!$L$5+ROW()-1,설정!$L$23)&amp;""),"")</f>
        <v/>
      </c>
      <c r="Q616" s="89" t="n">
        <f aca="false">IF(AND($A616&lt;&gt;"",ISNUMBER(E616)),IF(E616&gt;0,1,0),0)</f>
        <v>0</v>
      </c>
      <c r="R616" s="43" t="str">
        <f aca="false">IF(Q616=1,UPPER(LEFT($A616,FIND(" ",$A616&amp;" ")-1)),"")</f>
        <v/>
      </c>
      <c r="S616" s="89" t="n">
        <f aca="false">IF(Q616=1,IF(OR(ISNUMBER(SEARCH("Float",$A616)),ISNUMBER(SEARCH("FRN",$A616))),1,0),0)</f>
        <v>0</v>
      </c>
      <c r="T616" s="43" t="str">
        <f aca="false">IF(AND(Q616=1,ISNUMBER(I616)),TEXT(I616,"yyyymmdd")&amp;"|"&amp;IF(S616=1,"F",TEXT(J616,"0.000")),"")</f>
        <v/>
      </c>
      <c r="U616" s="90" t="str">
        <f aca="false">IF(AND(Q616=1,ISNUMBER(I616)),(I616-설정!$C$4)/365.25,"")</f>
        <v/>
      </c>
      <c r="V616" s="43" t="str">
        <f aca="false">IF(Q616&lt;&gt;1,"",IF(ISNUMBER(U616),IF(U616&lt;=1,"1년 이하",IF(U616&lt;=2,"1-2년",IF(U616&lt;=3,"2-3년",IF(U616&lt;=4,"3-4년",IF(U616&lt;=5,"4-5년",IF(U616&lt;=7,"5-7년",IF(U616&lt;=10,"7-10년",IF(U616&lt;=20,"10-20년","20년 이상")))))))),"미분류"))</f>
        <v/>
      </c>
      <c r="W616" s="43" t="str">
        <f aca="false">IF(Q616&lt;&gt;1,"",IF(AB616&lt;&gt;"",INDEX(시장분석!$C:$C,AB616),IF(K616=1,"USD","비USD")))</f>
        <v/>
      </c>
      <c r="X616" s="91" t="n">
        <f aca="false">IF(Q616=1,E616*K616/1000000,0)</f>
        <v>0</v>
      </c>
      <c r="Y616" s="89" t="n">
        <f aca="false">IF(R616="T",1,0)</f>
        <v>0</v>
      </c>
      <c r="Z616" s="92" t="str">
        <f aca="false">IF(Q616&lt;&gt;1,"",IF(AD616=1,IF(ISNUMBER(U616),MAX(U616,0),H616),H616))</f>
        <v/>
      </c>
      <c r="AA616" s="91" t="n">
        <f aca="false">IF(Q616=1,IF(ISNUMBER(L616),L616,0)*K616/1000000,0)</f>
        <v>0</v>
      </c>
      <c r="AB616" s="89" t="str">
        <f aca="false">IF(Q616&lt;&gt;1,"",IFERROR(MATCH(VLOOKUP(B616,매핑!$H$4:$I$15,2,0),시장분석!$A$2:$A$601,0)+1,IFERROR(MATCH(R616&amp;"|"&amp;T616,시장분석!$V$2:$V$601,0)+1,IF(COUNTIF(시장분석!$U$2:$U$601,T616)=1,MATCH(T616,시장분석!$U$2:$U$601,0)+1,""))))</f>
        <v/>
      </c>
      <c r="AC616" s="89" t="n">
        <f aca="false">IF(Q616&lt;&gt;1,0,IF(OR(설정!$C$5="전체",AND(설정!$C$5="선택펀드",IFERROR(COUNTIFS(설정!$F$16:$F$36,C616,설정!$G$16:$G$36,"Y")+COUNTIFS(설정!$F$16:$F$36,VALUE(C616),설정!$G$16:$G$36,"Y"),0)&gt;0),C616&amp;""=설정!$C$5&amp;""),1,0))</f>
        <v>0</v>
      </c>
      <c r="AD616" s="89" t="n">
        <f aca="false">IF(Q616&lt;&gt;1,0,IF(OR(S616=1,IF(AB616="",FALSE(),INDEX(시장분석!$R:$R,AB616)=1)),1,0))</f>
        <v>0</v>
      </c>
      <c r="AE616" s="43" t="str">
        <f aca="false">IF(AB616="","",INDEX(시장분석!$A:$A,AB616))</f>
        <v/>
      </c>
      <c r="AF616" s="93" t="str">
        <f aca="false">IF(AB616="","",IF(ISNUMBER(IF(AB616="","",INDEX(시장분석!$E:$E,AB616))),IF(AB616="","",INDEX(시장분석!$E:$E,AB616)),""))</f>
        <v/>
      </c>
      <c r="AG616" s="43" t="str">
        <f aca="false">IF(Q616&lt;&gt;1,"",IF(AB616&lt;&gt;"",IF(AB616="","",INDEX(시장분석!$L:$L,AB616)),IFERROR(IF(VLOOKUP(R616,매핑!$A$4:$E$92,5,0)="","미분류",VLOOKUP(R616,매핑!$A$4:$E$92,5,0)),"미분류")))</f>
        <v/>
      </c>
      <c r="AH616" s="43" t="str">
        <f aca="false">IF(Q616&lt;&gt;1,"",IF(AB616&lt;&gt;"",IF(AB616="","",INDEX(시장분석!$N:$N,AB616)),IFERROR(IF(VLOOKUP(R616,매핑!$A$4:$E$92,4,0)="","미분류",VLOOKUP(R616,매핑!$A$4:$E$92,4,0)),"미분류")))</f>
        <v/>
      </c>
      <c r="AI616" s="43" t="str">
        <f aca="false">IF(Q616&lt;&gt;1,"",IFERROR(IF(VLOOKUP(R616,매핑!$A$4:$E$92,3,0)="","미분류",VLOOKUP(R616,매핑!$A$4:$E$92,3,0)),IF(AB616&lt;&gt;"",IF(AB616="","",INDEX(시장분석!$W:$W,AB616)),"미분류")))</f>
        <v/>
      </c>
      <c r="AJ616" s="43" t="str">
        <f aca="false">IF(Q616&lt;&gt;1,"",IFERROR(VLOOKUP(IF(N616&lt;&gt;"",N616,IF(P616&lt;&gt;"",P616,O616)),설정!$A$15:$D$47,2,0),""))</f>
        <v/>
      </c>
      <c r="AK616" s="43" t="str">
        <f aca="false">IF(Q616&lt;&gt;1,"",IF(AJ616="","무등급",IFERROR(VLOOKUP(AJ616,설정!$A$15:$D$47,3,0),"무등급")))</f>
        <v/>
      </c>
      <c r="AL616" s="89" t="n">
        <f aca="false">IF(AJ616="",99,IFERROR(VLOOKUP(AJ616,설정!$A$15:$D$47,4,0),99))</f>
        <v>99</v>
      </c>
      <c r="AM616" s="94" t="n">
        <f aca="false">IF(ISNUMBER(H616),AA616*1000000*H616/10000,0)</f>
        <v>0</v>
      </c>
      <c r="AN616" s="94" t="n">
        <f aca="false">IF(OR(Y616=1,NOT(ISNUMBER(Z616))),0,AA616*1000000*Z616/10000)</f>
        <v>0</v>
      </c>
      <c r="AO616" s="94" t="n">
        <f aca="false">IF(ISNUMBER(G616),AA616*1000000*G616/100,0)</f>
        <v>0</v>
      </c>
      <c r="AP616" s="94" t="n">
        <f aca="false">IF(ISNUMBER(M616),M616*K616,0)</f>
        <v>0</v>
      </c>
      <c r="AQ616" s="95" t="str">
        <f aca="false">IF(AB616="","",INDEX(시장분석!$AK:$AK,AB616))</f>
        <v/>
      </c>
      <c r="AR616" s="43" t="str">
        <f aca="false">IF(AB616="","-",IF(AB616="","",INDEX(시장분석!$AL:$AL,AB616)))</f>
        <v>-</v>
      </c>
      <c r="AS616" s="96" t="str">
        <f aca="false">IF(AB616="","",INDEX(시장분석!$AJ:$AJ,AB616))</f>
        <v/>
      </c>
      <c r="AT616" s="93" t="n">
        <f aca="false">IF(AB616="",0,IF(AB616="","",INDEX(시장분석!$AN:$AN,AB616)))</f>
        <v>0</v>
      </c>
      <c r="AU616" s="94" t="n">
        <f aca="false">IF(ISNUMBER(Z616),AT616/10000*MAX(Z616-1,0)*AA616*1000000,0)</f>
        <v>0</v>
      </c>
      <c r="AV616" s="94" t="n">
        <f aca="false">AO616+AU616</f>
        <v>0</v>
      </c>
      <c r="AW616" s="43" t="str">
        <f aca="false">IF(Q616&lt;&gt;1,"",TRIM(IF(AD616=1,"FRN ","")&amp;IF(AND(AL616&gt;=10,AL616&lt;99),"BBB0미만 ","")&amp;IF(AJ616="","등급없음 ","")&amp;IF(K616&lt;&gt;1,"비USD ","")&amp;IF(AND(AB616="",Y616=0),"시장데이터없음 ","")&amp;IF(AND(ISNUMBER(U616),U616&lt;0),"만기경과 ","")))</f>
        <v/>
      </c>
      <c r="AX616" s="90" t="n">
        <f aca="false">IF(Q616&lt;&gt;1,1,IF(스프레드쇼크!$C$4="Y",INDEX(스프레드쇼크!$B$12:$L$16,IFERROR(MATCH(AH616,스프레드쇼크!$A$12:$A$16,0),MATCH("목록외",스프레드쇼크!$A$12:$A$16,0)),IFERROR(MATCH(AG616,스프레드쇼크!$B$11:$L$11,0),MATCH("목록외",스프레드쇼크!$B$11:$L$11,0))),1))</f>
        <v>1</v>
      </c>
      <c r="AY616" s="90" t="n">
        <f aca="false">IF(스프레드쇼크!$C$5="Y",IF(ISNUMBER(AF616),MIN(스프레드쇼크!$C$7,MAX(스프레드쇼크!$C$6,AF616/스프레드쇼크!$C$8)),1),1)</f>
        <v>1</v>
      </c>
      <c r="AZ616" s="94" t="n">
        <f aca="false">AN616*AX616*AY616</f>
        <v>0</v>
      </c>
      <c r="BA616" s="90" t="n">
        <f aca="false">IF(ISNUMBER(G616),AA616*G616,0)</f>
        <v>0</v>
      </c>
      <c r="BB616" s="90" t="n">
        <f aca="false">IF(ISNUMBER(G616),AA616,0)</f>
        <v>0</v>
      </c>
      <c r="BC616" s="90" t="n">
        <f aca="false">IF(AND(Y616=0,ISNUMBER(AF616)),AA616*AF616,0)</f>
        <v>0</v>
      </c>
      <c r="BD616" s="90" t="n">
        <f aca="false">IF(AND(Y616=0,ISNUMBER(AF616)),AA616,0)</f>
        <v>0</v>
      </c>
      <c r="BE616" s="90" t="n">
        <f aca="false">IF(ISNUMBER(H616),AA616*H616,0)</f>
        <v>0</v>
      </c>
      <c r="BF616" s="90" t="n">
        <f aca="false">IF(ISNUMBER(H616),AA616,0)</f>
        <v>0</v>
      </c>
      <c r="BG616" s="90" t="n">
        <f aca="false">IF(AND(Y616=0,ISNUMBER(AF616),ISNUMBER(Z616)),AA616*Z616,0)</f>
        <v>0</v>
      </c>
      <c r="BH616" s="90" t="n">
        <f aca="false">IF(AND(Y616=0,ISNUMBER(AF616),ISNUMBER(Z616)),AA616*AT616*MAX(Z616-1,0),0)</f>
        <v>0</v>
      </c>
      <c r="BI616" s="90" t="n">
        <f aca="false">IF(Y616=0,AA616,0)</f>
        <v>0</v>
      </c>
    </row>
    <row r="617" customFormat="false" ht="15" hidden="false" customHeight="false" outlineLevel="0" collapsed="false">
      <c r="A617" s="83" t="str">
        <f aca="false">IFERROR(IF(INDEX(원자료_잔고!$A$1:$EZ$1500,설정!$L$5+ROW()-1,설정!$L$8)&amp;""="0","",INDEX(원자료_잔고!$A$1:$EZ$1500,설정!$L$5+ROW()-1,설정!$L$8)&amp;""),"")</f>
        <v/>
      </c>
      <c r="B617" s="83" t="str">
        <f aca="false">IFERROR(IF(INDEX(원자료_잔고!$A$1:$EZ$1500,설정!$L$5+ROW()-1,설정!$L$7)&amp;""="0","",INDEX(원자료_잔고!$A$1:$EZ$1500,설정!$L$5+ROW()-1,설정!$L$7)&amp;""),"")</f>
        <v/>
      </c>
      <c r="C617" s="83" t="str">
        <f aca="false">IFERROR(IF(INDEX(원자료_잔고!$A$1:$EZ$1500,설정!$L$5+ROW()-1,설정!$L$9)&amp;""="0","",INDEX(원자료_잔고!$A$1:$EZ$1500,설정!$L$5+ROW()-1,설정!$L$9)&amp;""),"")</f>
        <v/>
      </c>
      <c r="D617" s="83" t="str">
        <f aca="false">IFERROR(IF(INDEX(원자료_잔고!$A$1:$EZ$1500,설정!$L$5+ROW()-1,설정!$L$10)&amp;""="0","",INDEX(원자료_잔고!$A$1:$EZ$1500,설정!$L$5+ROW()-1,설정!$L$10)&amp;""),"")</f>
        <v/>
      </c>
      <c r="E617" s="84" t="str">
        <f aca="false">IFERROR(IF(ISNUMBER(INDEX(원자료_잔고!$A$1:$EZ$1500,설정!$L$5+ROW()-1,설정!$L$11)),INDEX(원자료_잔고!$A$1:$EZ$1500,설정!$L$5+ROW()-1,설정!$L$11),""),"")</f>
        <v/>
      </c>
      <c r="F617" s="85" t="str">
        <f aca="false">IFERROR(IF(ISNUMBER(INDEX(원자료_잔고!$A$1:$EZ$1500,설정!$L$5+ROW()-1,설정!$L$12)),INDEX(원자료_잔고!$A$1:$EZ$1500,설정!$L$5+ROW()-1,설정!$L$12),""),"")</f>
        <v/>
      </c>
      <c r="G617" s="85" t="str">
        <f aca="false">IFERROR(IF(ISNUMBER(INDEX(원자료_잔고!$A$1:$EZ$1500,설정!$L$5+ROW()-1,설정!$L$13)),INDEX(원자료_잔고!$A$1:$EZ$1500,설정!$L$5+ROW()-1,설정!$L$13),""),"")</f>
        <v/>
      </c>
      <c r="H617" s="85" t="str">
        <f aca="false">IFERROR(IF(ISNUMBER(INDEX(원자료_잔고!$A$1:$EZ$1500,설정!$L$5+ROW()-1,설정!$L$14)),INDEX(원자료_잔고!$A$1:$EZ$1500,설정!$L$5+ROW()-1,설정!$L$14),""),"")</f>
        <v/>
      </c>
      <c r="I617" s="86" t="str">
        <f aca="false">IFERROR(IF(ISNUMBER(INDEX(원자료_잔고!$A$1:$EZ$1500,설정!$L$5+ROW()-1,설정!$L$15)),INDEX(원자료_잔고!$A$1:$EZ$1500,설정!$L$5+ROW()-1,설정!$L$15),""),"")</f>
        <v/>
      </c>
      <c r="J617" s="85" t="str">
        <f aca="false">IFERROR(IF(ISNUMBER(INDEX(원자료_잔고!$A$1:$EZ$1500,설정!$L$5+ROW()-1,설정!$L$16)),INDEX(원자료_잔고!$A$1:$EZ$1500,설정!$L$5+ROW()-1,설정!$L$16),""),"")</f>
        <v/>
      </c>
      <c r="K617" s="87" t="str">
        <f aca="false">IFERROR(IF(ISNUMBER(INDEX(원자료_잔고!$A$1:$EZ$1500,설정!$L$5+ROW()-1,설정!$L$17)),INDEX(원자료_잔고!$A$1:$EZ$1500,설정!$L$5+ROW()-1,설정!$L$17),""),"")</f>
        <v/>
      </c>
      <c r="L617" s="84" t="str">
        <f aca="false">IFERROR(IF(ISNUMBER(INDEX(원자료_잔고!$A$1:$EZ$1500,설정!$L$5+ROW()-1,설정!$L$18)),INDEX(원자료_잔고!$A$1:$EZ$1500,설정!$L$5+ROW()-1,설정!$L$18),""),"")</f>
        <v/>
      </c>
      <c r="M617" s="88" t="str">
        <f aca="false">IFERROR(IF(ISNUMBER(INDEX(원자료_잔고!$A$1:$EZ$1500,설정!$L$5+ROW()-1,설정!$L$19)),INDEX(원자료_잔고!$A$1:$EZ$1500,설정!$L$5+ROW()-1,설정!$L$19),""),"")</f>
        <v/>
      </c>
      <c r="N617" s="83" t="str">
        <f aca="false">IFERROR(IF(INDEX(원자료_잔고!$A$1:$EZ$1500,설정!$L$5+ROW()-1,설정!$L$21)&amp;""="0","",INDEX(원자료_잔고!$A$1:$EZ$1500,설정!$L$5+ROW()-1,설정!$L$21)&amp;""),"")</f>
        <v/>
      </c>
      <c r="O617" s="83" t="str">
        <f aca="false">IFERROR(IF(INDEX(원자료_잔고!$A$1:$EZ$1500,설정!$L$5+ROW()-1,설정!$L$22)&amp;""="0","",INDEX(원자료_잔고!$A$1:$EZ$1500,설정!$L$5+ROW()-1,설정!$L$22)&amp;""),"")</f>
        <v/>
      </c>
      <c r="P617" s="83" t="str">
        <f aca="false">IFERROR(IF(INDEX(원자료_잔고!$A$1:$EZ$1500,설정!$L$5+ROW()-1,설정!$L$23)&amp;""="0","",INDEX(원자료_잔고!$A$1:$EZ$1500,설정!$L$5+ROW()-1,설정!$L$23)&amp;""),"")</f>
        <v/>
      </c>
      <c r="Q617" s="89" t="n">
        <f aca="false">IF(AND($A617&lt;&gt;"",ISNUMBER(E617)),IF(E617&gt;0,1,0),0)</f>
        <v>0</v>
      </c>
      <c r="R617" s="43" t="str">
        <f aca="false">IF(Q617=1,UPPER(LEFT($A617,FIND(" ",$A617&amp;" ")-1)),"")</f>
        <v/>
      </c>
      <c r="S617" s="89" t="n">
        <f aca="false">IF(Q617=1,IF(OR(ISNUMBER(SEARCH("Float",$A617)),ISNUMBER(SEARCH("FRN",$A617))),1,0),0)</f>
        <v>0</v>
      </c>
      <c r="T617" s="43" t="str">
        <f aca="false">IF(AND(Q617=1,ISNUMBER(I617)),TEXT(I617,"yyyymmdd")&amp;"|"&amp;IF(S617=1,"F",TEXT(J617,"0.000")),"")</f>
        <v/>
      </c>
      <c r="U617" s="90" t="str">
        <f aca="false">IF(AND(Q617=1,ISNUMBER(I617)),(I617-설정!$C$4)/365.25,"")</f>
        <v/>
      </c>
      <c r="V617" s="43" t="str">
        <f aca="false">IF(Q617&lt;&gt;1,"",IF(ISNUMBER(U617),IF(U617&lt;=1,"1년 이하",IF(U617&lt;=2,"1-2년",IF(U617&lt;=3,"2-3년",IF(U617&lt;=4,"3-4년",IF(U617&lt;=5,"4-5년",IF(U617&lt;=7,"5-7년",IF(U617&lt;=10,"7-10년",IF(U617&lt;=20,"10-20년","20년 이상")))))))),"미분류"))</f>
        <v/>
      </c>
      <c r="W617" s="43" t="str">
        <f aca="false">IF(Q617&lt;&gt;1,"",IF(AB617&lt;&gt;"",INDEX(시장분석!$C:$C,AB617),IF(K617=1,"USD","비USD")))</f>
        <v/>
      </c>
      <c r="X617" s="91" t="n">
        <f aca="false">IF(Q617=1,E617*K617/1000000,0)</f>
        <v>0</v>
      </c>
      <c r="Y617" s="89" t="n">
        <f aca="false">IF(R617="T",1,0)</f>
        <v>0</v>
      </c>
      <c r="Z617" s="92" t="str">
        <f aca="false">IF(Q617&lt;&gt;1,"",IF(AD617=1,IF(ISNUMBER(U617),MAX(U617,0),H617),H617))</f>
        <v/>
      </c>
      <c r="AA617" s="91" t="n">
        <f aca="false">IF(Q617=1,IF(ISNUMBER(L617),L617,0)*K617/1000000,0)</f>
        <v>0</v>
      </c>
      <c r="AB617" s="89" t="str">
        <f aca="false">IF(Q617&lt;&gt;1,"",IFERROR(MATCH(VLOOKUP(B617,매핑!$H$4:$I$15,2,0),시장분석!$A$2:$A$601,0)+1,IFERROR(MATCH(R617&amp;"|"&amp;T617,시장분석!$V$2:$V$601,0)+1,IF(COUNTIF(시장분석!$U$2:$U$601,T617)=1,MATCH(T617,시장분석!$U$2:$U$601,0)+1,""))))</f>
        <v/>
      </c>
      <c r="AC617" s="89" t="n">
        <f aca="false">IF(Q617&lt;&gt;1,0,IF(OR(설정!$C$5="전체",AND(설정!$C$5="선택펀드",IFERROR(COUNTIFS(설정!$F$16:$F$36,C617,설정!$G$16:$G$36,"Y")+COUNTIFS(설정!$F$16:$F$36,VALUE(C617),설정!$G$16:$G$36,"Y"),0)&gt;0),C617&amp;""=설정!$C$5&amp;""),1,0))</f>
        <v>0</v>
      </c>
      <c r="AD617" s="89" t="n">
        <f aca="false">IF(Q617&lt;&gt;1,0,IF(OR(S617=1,IF(AB617="",FALSE(),INDEX(시장분석!$R:$R,AB617)=1)),1,0))</f>
        <v>0</v>
      </c>
      <c r="AE617" s="43" t="str">
        <f aca="false">IF(AB617="","",INDEX(시장분석!$A:$A,AB617))</f>
        <v/>
      </c>
      <c r="AF617" s="93" t="str">
        <f aca="false">IF(AB617="","",IF(ISNUMBER(IF(AB617="","",INDEX(시장분석!$E:$E,AB617))),IF(AB617="","",INDEX(시장분석!$E:$E,AB617)),""))</f>
        <v/>
      </c>
      <c r="AG617" s="43" t="str">
        <f aca="false">IF(Q617&lt;&gt;1,"",IF(AB617&lt;&gt;"",IF(AB617="","",INDEX(시장분석!$L:$L,AB617)),IFERROR(IF(VLOOKUP(R617,매핑!$A$4:$E$92,5,0)="","미분류",VLOOKUP(R617,매핑!$A$4:$E$92,5,0)),"미분류")))</f>
        <v/>
      </c>
      <c r="AH617" s="43" t="str">
        <f aca="false">IF(Q617&lt;&gt;1,"",IF(AB617&lt;&gt;"",IF(AB617="","",INDEX(시장분석!$N:$N,AB617)),IFERROR(IF(VLOOKUP(R617,매핑!$A$4:$E$92,4,0)="","미분류",VLOOKUP(R617,매핑!$A$4:$E$92,4,0)),"미분류")))</f>
        <v/>
      </c>
      <c r="AI617" s="43" t="str">
        <f aca="false">IF(Q617&lt;&gt;1,"",IFERROR(IF(VLOOKUP(R617,매핑!$A$4:$E$92,3,0)="","미분류",VLOOKUP(R617,매핑!$A$4:$E$92,3,0)),IF(AB617&lt;&gt;"",IF(AB617="","",INDEX(시장분석!$W:$W,AB617)),"미분류")))</f>
        <v/>
      </c>
      <c r="AJ617" s="43" t="str">
        <f aca="false">IF(Q617&lt;&gt;1,"",IFERROR(VLOOKUP(IF(N617&lt;&gt;"",N617,IF(P617&lt;&gt;"",P617,O617)),설정!$A$15:$D$47,2,0),""))</f>
        <v/>
      </c>
      <c r="AK617" s="43" t="str">
        <f aca="false">IF(Q617&lt;&gt;1,"",IF(AJ617="","무등급",IFERROR(VLOOKUP(AJ617,설정!$A$15:$D$47,3,0),"무등급")))</f>
        <v/>
      </c>
      <c r="AL617" s="89" t="n">
        <f aca="false">IF(AJ617="",99,IFERROR(VLOOKUP(AJ617,설정!$A$15:$D$47,4,0),99))</f>
        <v>99</v>
      </c>
      <c r="AM617" s="94" t="n">
        <f aca="false">IF(ISNUMBER(H617),AA617*1000000*H617/10000,0)</f>
        <v>0</v>
      </c>
      <c r="AN617" s="94" t="n">
        <f aca="false">IF(OR(Y617=1,NOT(ISNUMBER(Z617))),0,AA617*1000000*Z617/10000)</f>
        <v>0</v>
      </c>
      <c r="AO617" s="94" t="n">
        <f aca="false">IF(ISNUMBER(G617),AA617*1000000*G617/100,0)</f>
        <v>0</v>
      </c>
      <c r="AP617" s="94" t="n">
        <f aca="false">IF(ISNUMBER(M617),M617*K617,0)</f>
        <v>0</v>
      </c>
      <c r="AQ617" s="95" t="str">
        <f aca="false">IF(AB617="","",INDEX(시장분석!$AK:$AK,AB617))</f>
        <v/>
      </c>
      <c r="AR617" s="43" t="str">
        <f aca="false">IF(AB617="","-",IF(AB617="","",INDEX(시장분석!$AL:$AL,AB617)))</f>
        <v>-</v>
      </c>
      <c r="AS617" s="96" t="str">
        <f aca="false">IF(AB617="","",INDEX(시장분석!$AJ:$AJ,AB617))</f>
        <v/>
      </c>
      <c r="AT617" s="93" t="n">
        <f aca="false">IF(AB617="",0,IF(AB617="","",INDEX(시장분석!$AN:$AN,AB617)))</f>
        <v>0</v>
      </c>
      <c r="AU617" s="94" t="n">
        <f aca="false">IF(ISNUMBER(Z617),AT617/10000*MAX(Z617-1,0)*AA617*1000000,0)</f>
        <v>0</v>
      </c>
      <c r="AV617" s="94" t="n">
        <f aca="false">AO617+AU617</f>
        <v>0</v>
      </c>
      <c r="AW617" s="43" t="str">
        <f aca="false">IF(Q617&lt;&gt;1,"",TRIM(IF(AD617=1,"FRN ","")&amp;IF(AND(AL617&gt;=10,AL617&lt;99),"BBB0미만 ","")&amp;IF(AJ617="","등급없음 ","")&amp;IF(K617&lt;&gt;1,"비USD ","")&amp;IF(AND(AB617="",Y617=0),"시장데이터없음 ","")&amp;IF(AND(ISNUMBER(U617),U617&lt;0),"만기경과 ","")))</f>
        <v/>
      </c>
      <c r="AX617" s="90" t="n">
        <f aca="false">IF(Q617&lt;&gt;1,1,IF(스프레드쇼크!$C$4="Y",INDEX(스프레드쇼크!$B$12:$L$16,IFERROR(MATCH(AH617,스프레드쇼크!$A$12:$A$16,0),MATCH("목록외",스프레드쇼크!$A$12:$A$16,0)),IFERROR(MATCH(AG617,스프레드쇼크!$B$11:$L$11,0),MATCH("목록외",스프레드쇼크!$B$11:$L$11,0))),1))</f>
        <v>1</v>
      </c>
      <c r="AY617" s="90" t="n">
        <f aca="false">IF(스프레드쇼크!$C$5="Y",IF(ISNUMBER(AF617),MIN(스프레드쇼크!$C$7,MAX(스프레드쇼크!$C$6,AF617/스프레드쇼크!$C$8)),1),1)</f>
        <v>1</v>
      </c>
      <c r="AZ617" s="94" t="n">
        <f aca="false">AN617*AX617*AY617</f>
        <v>0</v>
      </c>
      <c r="BA617" s="90" t="n">
        <f aca="false">IF(ISNUMBER(G617),AA617*G617,0)</f>
        <v>0</v>
      </c>
      <c r="BB617" s="90" t="n">
        <f aca="false">IF(ISNUMBER(G617),AA617,0)</f>
        <v>0</v>
      </c>
      <c r="BC617" s="90" t="n">
        <f aca="false">IF(AND(Y617=0,ISNUMBER(AF617)),AA617*AF617,0)</f>
        <v>0</v>
      </c>
      <c r="BD617" s="90" t="n">
        <f aca="false">IF(AND(Y617=0,ISNUMBER(AF617)),AA617,0)</f>
        <v>0</v>
      </c>
      <c r="BE617" s="90" t="n">
        <f aca="false">IF(ISNUMBER(H617),AA617*H617,0)</f>
        <v>0</v>
      </c>
      <c r="BF617" s="90" t="n">
        <f aca="false">IF(ISNUMBER(H617),AA617,0)</f>
        <v>0</v>
      </c>
      <c r="BG617" s="90" t="n">
        <f aca="false">IF(AND(Y617=0,ISNUMBER(AF617),ISNUMBER(Z617)),AA617*Z617,0)</f>
        <v>0</v>
      </c>
      <c r="BH617" s="90" t="n">
        <f aca="false">IF(AND(Y617=0,ISNUMBER(AF617),ISNUMBER(Z617)),AA617*AT617*MAX(Z617-1,0),0)</f>
        <v>0</v>
      </c>
      <c r="BI617" s="90" t="n">
        <f aca="false">IF(Y617=0,AA617,0)</f>
        <v>0</v>
      </c>
    </row>
    <row r="618" customFormat="false" ht="15" hidden="false" customHeight="false" outlineLevel="0" collapsed="false">
      <c r="A618" s="83" t="str">
        <f aca="false">IFERROR(IF(INDEX(원자료_잔고!$A$1:$EZ$1500,설정!$L$5+ROW()-1,설정!$L$8)&amp;""="0","",INDEX(원자료_잔고!$A$1:$EZ$1500,설정!$L$5+ROW()-1,설정!$L$8)&amp;""),"")</f>
        <v/>
      </c>
      <c r="B618" s="83" t="str">
        <f aca="false">IFERROR(IF(INDEX(원자료_잔고!$A$1:$EZ$1500,설정!$L$5+ROW()-1,설정!$L$7)&amp;""="0","",INDEX(원자료_잔고!$A$1:$EZ$1500,설정!$L$5+ROW()-1,설정!$L$7)&amp;""),"")</f>
        <v/>
      </c>
      <c r="C618" s="83" t="str">
        <f aca="false">IFERROR(IF(INDEX(원자료_잔고!$A$1:$EZ$1500,설정!$L$5+ROW()-1,설정!$L$9)&amp;""="0","",INDEX(원자료_잔고!$A$1:$EZ$1500,설정!$L$5+ROW()-1,설정!$L$9)&amp;""),"")</f>
        <v/>
      </c>
      <c r="D618" s="83" t="str">
        <f aca="false">IFERROR(IF(INDEX(원자료_잔고!$A$1:$EZ$1500,설정!$L$5+ROW()-1,설정!$L$10)&amp;""="0","",INDEX(원자료_잔고!$A$1:$EZ$1500,설정!$L$5+ROW()-1,설정!$L$10)&amp;""),"")</f>
        <v/>
      </c>
      <c r="E618" s="84" t="str">
        <f aca="false">IFERROR(IF(ISNUMBER(INDEX(원자료_잔고!$A$1:$EZ$1500,설정!$L$5+ROW()-1,설정!$L$11)),INDEX(원자료_잔고!$A$1:$EZ$1500,설정!$L$5+ROW()-1,설정!$L$11),""),"")</f>
        <v/>
      </c>
      <c r="F618" s="85" t="str">
        <f aca="false">IFERROR(IF(ISNUMBER(INDEX(원자료_잔고!$A$1:$EZ$1500,설정!$L$5+ROW()-1,설정!$L$12)),INDEX(원자료_잔고!$A$1:$EZ$1500,설정!$L$5+ROW()-1,설정!$L$12),""),"")</f>
        <v/>
      </c>
      <c r="G618" s="85" t="str">
        <f aca="false">IFERROR(IF(ISNUMBER(INDEX(원자료_잔고!$A$1:$EZ$1500,설정!$L$5+ROW()-1,설정!$L$13)),INDEX(원자료_잔고!$A$1:$EZ$1500,설정!$L$5+ROW()-1,설정!$L$13),""),"")</f>
        <v/>
      </c>
      <c r="H618" s="85" t="str">
        <f aca="false">IFERROR(IF(ISNUMBER(INDEX(원자료_잔고!$A$1:$EZ$1500,설정!$L$5+ROW()-1,설정!$L$14)),INDEX(원자료_잔고!$A$1:$EZ$1500,설정!$L$5+ROW()-1,설정!$L$14),""),"")</f>
        <v/>
      </c>
      <c r="I618" s="86" t="str">
        <f aca="false">IFERROR(IF(ISNUMBER(INDEX(원자료_잔고!$A$1:$EZ$1500,설정!$L$5+ROW()-1,설정!$L$15)),INDEX(원자료_잔고!$A$1:$EZ$1500,설정!$L$5+ROW()-1,설정!$L$15),""),"")</f>
        <v/>
      </c>
      <c r="J618" s="85" t="str">
        <f aca="false">IFERROR(IF(ISNUMBER(INDEX(원자료_잔고!$A$1:$EZ$1500,설정!$L$5+ROW()-1,설정!$L$16)),INDEX(원자료_잔고!$A$1:$EZ$1500,설정!$L$5+ROW()-1,설정!$L$16),""),"")</f>
        <v/>
      </c>
      <c r="K618" s="87" t="str">
        <f aca="false">IFERROR(IF(ISNUMBER(INDEX(원자료_잔고!$A$1:$EZ$1500,설정!$L$5+ROW()-1,설정!$L$17)),INDEX(원자료_잔고!$A$1:$EZ$1500,설정!$L$5+ROW()-1,설정!$L$17),""),"")</f>
        <v/>
      </c>
      <c r="L618" s="84" t="str">
        <f aca="false">IFERROR(IF(ISNUMBER(INDEX(원자료_잔고!$A$1:$EZ$1500,설정!$L$5+ROW()-1,설정!$L$18)),INDEX(원자료_잔고!$A$1:$EZ$1500,설정!$L$5+ROW()-1,설정!$L$18),""),"")</f>
        <v/>
      </c>
      <c r="M618" s="88" t="str">
        <f aca="false">IFERROR(IF(ISNUMBER(INDEX(원자료_잔고!$A$1:$EZ$1500,설정!$L$5+ROW()-1,설정!$L$19)),INDEX(원자료_잔고!$A$1:$EZ$1500,설정!$L$5+ROW()-1,설정!$L$19),""),"")</f>
        <v/>
      </c>
      <c r="N618" s="83" t="str">
        <f aca="false">IFERROR(IF(INDEX(원자료_잔고!$A$1:$EZ$1500,설정!$L$5+ROW()-1,설정!$L$21)&amp;""="0","",INDEX(원자료_잔고!$A$1:$EZ$1500,설정!$L$5+ROW()-1,설정!$L$21)&amp;""),"")</f>
        <v/>
      </c>
      <c r="O618" s="83" t="str">
        <f aca="false">IFERROR(IF(INDEX(원자료_잔고!$A$1:$EZ$1500,설정!$L$5+ROW()-1,설정!$L$22)&amp;""="0","",INDEX(원자료_잔고!$A$1:$EZ$1500,설정!$L$5+ROW()-1,설정!$L$22)&amp;""),"")</f>
        <v/>
      </c>
      <c r="P618" s="83" t="str">
        <f aca="false">IFERROR(IF(INDEX(원자료_잔고!$A$1:$EZ$1500,설정!$L$5+ROW()-1,설정!$L$23)&amp;""="0","",INDEX(원자료_잔고!$A$1:$EZ$1500,설정!$L$5+ROW()-1,설정!$L$23)&amp;""),"")</f>
        <v/>
      </c>
      <c r="Q618" s="89" t="n">
        <f aca="false">IF(AND($A618&lt;&gt;"",ISNUMBER(E618)),IF(E618&gt;0,1,0),0)</f>
        <v>0</v>
      </c>
      <c r="R618" s="43" t="str">
        <f aca="false">IF(Q618=1,UPPER(LEFT($A618,FIND(" ",$A618&amp;" ")-1)),"")</f>
        <v/>
      </c>
      <c r="S618" s="89" t="n">
        <f aca="false">IF(Q618=1,IF(OR(ISNUMBER(SEARCH("Float",$A618)),ISNUMBER(SEARCH("FRN",$A618))),1,0),0)</f>
        <v>0</v>
      </c>
      <c r="T618" s="43" t="str">
        <f aca="false">IF(AND(Q618=1,ISNUMBER(I618)),TEXT(I618,"yyyymmdd")&amp;"|"&amp;IF(S618=1,"F",TEXT(J618,"0.000")),"")</f>
        <v/>
      </c>
      <c r="U618" s="90" t="str">
        <f aca="false">IF(AND(Q618=1,ISNUMBER(I618)),(I618-설정!$C$4)/365.25,"")</f>
        <v/>
      </c>
      <c r="V618" s="43" t="str">
        <f aca="false">IF(Q618&lt;&gt;1,"",IF(ISNUMBER(U618),IF(U618&lt;=1,"1년 이하",IF(U618&lt;=2,"1-2년",IF(U618&lt;=3,"2-3년",IF(U618&lt;=4,"3-4년",IF(U618&lt;=5,"4-5년",IF(U618&lt;=7,"5-7년",IF(U618&lt;=10,"7-10년",IF(U618&lt;=20,"10-20년","20년 이상")))))))),"미분류"))</f>
        <v/>
      </c>
      <c r="W618" s="43" t="str">
        <f aca="false">IF(Q618&lt;&gt;1,"",IF(AB618&lt;&gt;"",INDEX(시장분석!$C:$C,AB618),IF(K618=1,"USD","비USD")))</f>
        <v/>
      </c>
      <c r="X618" s="91" t="n">
        <f aca="false">IF(Q618=1,E618*K618/1000000,0)</f>
        <v>0</v>
      </c>
      <c r="Y618" s="89" t="n">
        <f aca="false">IF(R618="T",1,0)</f>
        <v>0</v>
      </c>
      <c r="Z618" s="92" t="str">
        <f aca="false">IF(Q618&lt;&gt;1,"",IF(AD618=1,IF(ISNUMBER(U618),MAX(U618,0),H618),H618))</f>
        <v/>
      </c>
      <c r="AA618" s="91" t="n">
        <f aca="false">IF(Q618=1,IF(ISNUMBER(L618),L618,0)*K618/1000000,0)</f>
        <v>0</v>
      </c>
      <c r="AB618" s="89" t="str">
        <f aca="false">IF(Q618&lt;&gt;1,"",IFERROR(MATCH(VLOOKUP(B618,매핑!$H$4:$I$15,2,0),시장분석!$A$2:$A$601,0)+1,IFERROR(MATCH(R618&amp;"|"&amp;T618,시장분석!$V$2:$V$601,0)+1,IF(COUNTIF(시장분석!$U$2:$U$601,T618)=1,MATCH(T618,시장분석!$U$2:$U$601,0)+1,""))))</f>
        <v/>
      </c>
      <c r="AC618" s="89" t="n">
        <f aca="false">IF(Q618&lt;&gt;1,0,IF(OR(설정!$C$5="전체",AND(설정!$C$5="선택펀드",IFERROR(COUNTIFS(설정!$F$16:$F$36,C618,설정!$G$16:$G$36,"Y")+COUNTIFS(설정!$F$16:$F$36,VALUE(C618),설정!$G$16:$G$36,"Y"),0)&gt;0),C618&amp;""=설정!$C$5&amp;""),1,0))</f>
        <v>0</v>
      </c>
      <c r="AD618" s="89" t="n">
        <f aca="false">IF(Q618&lt;&gt;1,0,IF(OR(S618=1,IF(AB618="",FALSE(),INDEX(시장분석!$R:$R,AB618)=1)),1,0))</f>
        <v>0</v>
      </c>
      <c r="AE618" s="43" t="str">
        <f aca="false">IF(AB618="","",INDEX(시장분석!$A:$A,AB618))</f>
        <v/>
      </c>
      <c r="AF618" s="93" t="str">
        <f aca="false">IF(AB618="","",IF(ISNUMBER(IF(AB618="","",INDEX(시장분석!$E:$E,AB618))),IF(AB618="","",INDEX(시장분석!$E:$E,AB618)),""))</f>
        <v/>
      </c>
      <c r="AG618" s="43" t="str">
        <f aca="false">IF(Q618&lt;&gt;1,"",IF(AB618&lt;&gt;"",IF(AB618="","",INDEX(시장분석!$L:$L,AB618)),IFERROR(IF(VLOOKUP(R618,매핑!$A$4:$E$92,5,0)="","미분류",VLOOKUP(R618,매핑!$A$4:$E$92,5,0)),"미분류")))</f>
        <v/>
      </c>
      <c r="AH618" s="43" t="str">
        <f aca="false">IF(Q618&lt;&gt;1,"",IF(AB618&lt;&gt;"",IF(AB618="","",INDEX(시장분석!$N:$N,AB618)),IFERROR(IF(VLOOKUP(R618,매핑!$A$4:$E$92,4,0)="","미분류",VLOOKUP(R618,매핑!$A$4:$E$92,4,0)),"미분류")))</f>
        <v/>
      </c>
      <c r="AI618" s="43" t="str">
        <f aca="false">IF(Q618&lt;&gt;1,"",IFERROR(IF(VLOOKUP(R618,매핑!$A$4:$E$92,3,0)="","미분류",VLOOKUP(R618,매핑!$A$4:$E$92,3,0)),IF(AB618&lt;&gt;"",IF(AB618="","",INDEX(시장분석!$W:$W,AB618)),"미분류")))</f>
        <v/>
      </c>
      <c r="AJ618" s="43" t="str">
        <f aca="false">IF(Q618&lt;&gt;1,"",IFERROR(VLOOKUP(IF(N618&lt;&gt;"",N618,IF(P618&lt;&gt;"",P618,O618)),설정!$A$15:$D$47,2,0),""))</f>
        <v/>
      </c>
      <c r="AK618" s="43" t="str">
        <f aca="false">IF(Q618&lt;&gt;1,"",IF(AJ618="","무등급",IFERROR(VLOOKUP(AJ618,설정!$A$15:$D$47,3,0),"무등급")))</f>
        <v/>
      </c>
      <c r="AL618" s="89" t="n">
        <f aca="false">IF(AJ618="",99,IFERROR(VLOOKUP(AJ618,설정!$A$15:$D$47,4,0),99))</f>
        <v>99</v>
      </c>
      <c r="AM618" s="94" t="n">
        <f aca="false">IF(ISNUMBER(H618),AA618*1000000*H618/10000,0)</f>
        <v>0</v>
      </c>
      <c r="AN618" s="94" t="n">
        <f aca="false">IF(OR(Y618=1,NOT(ISNUMBER(Z618))),0,AA618*1000000*Z618/10000)</f>
        <v>0</v>
      </c>
      <c r="AO618" s="94" t="n">
        <f aca="false">IF(ISNUMBER(G618),AA618*1000000*G618/100,0)</f>
        <v>0</v>
      </c>
      <c r="AP618" s="94" t="n">
        <f aca="false">IF(ISNUMBER(M618),M618*K618,0)</f>
        <v>0</v>
      </c>
      <c r="AQ618" s="95" t="str">
        <f aca="false">IF(AB618="","",INDEX(시장분석!$AK:$AK,AB618))</f>
        <v/>
      </c>
      <c r="AR618" s="43" t="str">
        <f aca="false">IF(AB618="","-",IF(AB618="","",INDEX(시장분석!$AL:$AL,AB618)))</f>
        <v>-</v>
      </c>
      <c r="AS618" s="96" t="str">
        <f aca="false">IF(AB618="","",INDEX(시장분석!$AJ:$AJ,AB618))</f>
        <v/>
      </c>
      <c r="AT618" s="93" t="n">
        <f aca="false">IF(AB618="",0,IF(AB618="","",INDEX(시장분석!$AN:$AN,AB618)))</f>
        <v>0</v>
      </c>
      <c r="AU618" s="94" t="n">
        <f aca="false">IF(ISNUMBER(Z618),AT618/10000*MAX(Z618-1,0)*AA618*1000000,0)</f>
        <v>0</v>
      </c>
      <c r="AV618" s="94" t="n">
        <f aca="false">AO618+AU618</f>
        <v>0</v>
      </c>
      <c r="AW618" s="43" t="str">
        <f aca="false">IF(Q618&lt;&gt;1,"",TRIM(IF(AD618=1,"FRN ","")&amp;IF(AND(AL618&gt;=10,AL618&lt;99),"BBB0미만 ","")&amp;IF(AJ618="","등급없음 ","")&amp;IF(K618&lt;&gt;1,"비USD ","")&amp;IF(AND(AB618="",Y618=0),"시장데이터없음 ","")&amp;IF(AND(ISNUMBER(U618),U618&lt;0),"만기경과 ","")))</f>
        <v/>
      </c>
      <c r="AX618" s="90" t="n">
        <f aca="false">IF(Q618&lt;&gt;1,1,IF(스프레드쇼크!$C$4="Y",INDEX(스프레드쇼크!$B$12:$L$16,IFERROR(MATCH(AH618,스프레드쇼크!$A$12:$A$16,0),MATCH("목록외",스프레드쇼크!$A$12:$A$16,0)),IFERROR(MATCH(AG618,스프레드쇼크!$B$11:$L$11,0),MATCH("목록외",스프레드쇼크!$B$11:$L$11,0))),1))</f>
        <v>1</v>
      </c>
      <c r="AY618" s="90" t="n">
        <f aca="false">IF(스프레드쇼크!$C$5="Y",IF(ISNUMBER(AF618),MIN(스프레드쇼크!$C$7,MAX(스프레드쇼크!$C$6,AF618/스프레드쇼크!$C$8)),1),1)</f>
        <v>1</v>
      </c>
      <c r="AZ618" s="94" t="n">
        <f aca="false">AN618*AX618*AY618</f>
        <v>0</v>
      </c>
      <c r="BA618" s="90" t="n">
        <f aca="false">IF(ISNUMBER(G618),AA618*G618,0)</f>
        <v>0</v>
      </c>
      <c r="BB618" s="90" t="n">
        <f aca="false">IF(ISNUMBER(G618),AA618,0)</f>
        <v>0</v>
      </c>
      <c r="BC618" s="90" t="n">
        <f aca="false">IF(AND(Y618=0,ISNUMBER(AF618)),AA618*AF618,0)</f>
        <v>0</v>
      </c>
      <c r="BD618" s="90" t="n">
        <f aca="false">IF(AND(Y618=0,ISNUMBER(AF618)),AA618,0)</f>
        <v>0</v>
      </c>
      <c r="BE618" s="90" t="n">
        <f aca="false">IF(ISNUMBER(H618),AA618*H618,0)</f>
        <v>0</v>
      </c>
      <c r="BF618" s="90" t="n">
        <f aca="false">IF(ISNUMBER(H618),AA618,0)</f>
        <v>0</v>
      </c>
      <c r="BG618" s="90" t="n">
        <f aca="false">IF(AND(Y618=0,ISNUMBER(AF618),ISNUMBER(Z618)),AA618*Z618,0)</f>
        <v>0</v>
      </c>
      <c r="BH618" s="90" t="n">
        <f aca="false">IF(AND(Y618=0,ISNUMBER(AF618),ISNUMBER(Z618)),AA618*AT618*MAX(Z618-1,0),0)</f>
        <v>0</v>
      </c>
      <c r="BI618" s="90" t="n">
        <f aca="false">IF(Y618=0,AA618,0)</f>
        <v>0</v>
      </c>
    </row>
    <row r="619" customFormat="false" ht="15" hidden="false" customHeight="false" outlineLevel="0" collapsed="false">
      <c r="A619" s="83" t="str">
        <f aca="false">IFERROR(IF(INDEX(원자료_잔고!$A$1:$EZ$1500,설정!$L$5+ROW()-1,설정!$L$8)&amp;""="0","",INDEX(원자료_잔고!$A$1:$EZ$1500,설정!$L$5+ROW()-1,설정!$L$8)&amp;""),"")</f>
        <v/>
      </c>
      <c r="B619" s="83" t="str">
        <f aca="false">IFERROR(IF(INDEX(원자료_잔고!$A$1:$EZ$1500,설정!$L$5+ROW()-1,설정!$L$7)&amp;""="0","",INDEX(원자료_잔고!$A$1:$EZ$1500,설정!$L$5+ROW()-1,설정!$L$7)&amp;""),"")</f>
        <v/>
      </c>
      <c r="C619" s="83" t="str">
        <f aca="false">IFERROR(IF(INDEX(원자료_잔고!$A$1:$EZ$1500,설정!$L$5+ROW()-1,설정!$L$9)&amp;""="0","",INDEX(원자료_잔고!$A$1:$EZ$1500,설정!$L$5+ROW()-1,설정!$L$9)&amp;""),"")</f>
        <v/>
      </c>
      <c r="D619" s="83" t="str">
        <f aca="false">IFERROR(IF(INDEX(원자료_잔고!$A$1:$EZ$1500,설정!$L$5+ROW()-1,설정!$L$10)&amp;""="0","",INDEX(원자료_잔고!$A$1:$EZ$1500,설정!$L$5+ROW()-1,설정!$L$10)&amp;""),"")</f>
        <v/>
      </c>
      <c r="E619" s="84" t="str">
        <f aca="false">IFERROR(IF(ISNUMBER(INDEX(원자료_잔고!$A$1:$EZ$1500,설정!$L$5+ROW()-1,설정!$L$11)),INDEX(원자료_잔고!$A$1:$EZ$1500,설정!$L$5+ROW()-1,설정!$L$11),""),"")</f>
        <v/>
      </c>
      <c r="F619" s="85" t="str">
        <f aca="false">IFERROR(IF(ISNUMBER(INDEX(원자료_잔고!$A$1:$EZ$1500,설정!$L$5+ROW()-1,설정!$L$12)),INDEX(원자료_잔고!$A$1:$EZ$1500,설정!$L$5+ROW()-1,설정!$L$12),""),"")</f>
        <v/>
      </c>
      <c r="G619" s="85" t="str">
        <f aca="false">IFERROR(IF(ISNUMBER(INDEX(원자료_잔고!$A$1:$EZ$1500,설정!$L$5+ROW()-1,설정!$L$13)),INDEX(원자료_잔고!$A$1:$EZ$1500,설정!$L$5+ROW()-1,설정!$L$13),""),"")</f>
        <v/>
      </c>
      <c r="H619" s="85" t="str">
        <f aca="false">IFERROR(IF(ISNUMBER(INDEX(원자료_잔고!$A$1:$EZ$1500,설정!$L$5+ROW()-1,설정!$L$14)),INDEX(원자료_잔고!$A$1:$EZ$1500,설정!$L$5+ROW()-1,설정!$L$14),""),"")</f>
        <v/>
      </c>
      <c r="I619" s="86" t="str">
        <f aca="false">IFERROR(IF(ISNUMBER(INDEX(원자료_잔고!$A$1:$EZ$1500,설정!$L$5+ROW()-1,설정!$L$15)),INDEX(원자료_잔고!$A$1:$EZ$1500,설정!$L$5+ROW()-1,설정!$L$15),""),"")</f>
        <v/>
      </c>
      <c r="J619" s="85" t="str">
        <f aca="false">IFERROR(IF(ISNUMBER(INDEX(원자료_잔고!$A$1:$EZ$1500,설정!$L$5+ROW()-1,설정!$L$16)),INDEX(원자료_잔고!$A$1:$EZ$1500,설정!$L$5+ROW()-1,설정!$L$16),""),"")</f>
        <v/>
      </c>
      <c r="K619" s="87" t="str">
        <f aca="false">IFERROR(IF(ISNUMBER(INDEX(원자료_잔고!$A$1:$EZ$1500,설정!$L$5+ROW()-1,설정!$L$17)),INDEX(원자료_잔고!$A$1:$EZ$1500,설정!$L$5+ROW()-1,설정!$L$17),""),"")</f>
        <v/>
      </c>
      <c r="L619" s="84" t="str">
        <f aca="false">IFERROR(IF(ISNUMBER(INDEX(원자료_잔고!$A$1:$EZ$1500,설정!$L$5+ROW()-1,설정!$L$18)),INDEX(원자료_잔고!$A$1:$EZ$1500,설정!$L$5+ROW()-1,설정!$L$18),""),"")</f>
        <v/>
      </c>
      <c r="M619" s="88" t="str">
        <f aca="false">IFERROR(IF(ISNUMBER(INDEX(원자료_잔고!$A$1:$EZ$1500,설정!$L$5+ROW()-1,설정!$L$19)),INDEX(원자료_잔고!$A$1:$EZ$1500,설정!$L$5+ROW()-1,설정!$L$19),""),"")</f>
        <v/>
      </c>
      <c r="N619" s="83" t="str">
        <f aca="false">IFERROR(IF(INDEX(원자료_잔고!$A$1:$EZ$1500,설정!$L$5+ROW()-1,설정!$L$21)&amp;""="0","",INDEX(원자료_잔고!$A$1:$EZ$1500,설정!$L$5+ROW()-1,설정!$L$21)&amp;""),"")</f>
        <v/>
      </c>
      <c r="O619" s="83" t="str">
        <f aca="false">IFERROR(IF(INDEX(원자료_잔고!$A$1:$EZ$1500,설정!$L$5+ROW()-1,설정!$L$22)&amp;""="0","",INDEX(원자료_잔고!$A$1:$EZ$1500,설정!$L$5+ROW()-1,설정!$L$22)&amp;""),"")</f>
        <v/>
      </c>
      <c r="P619" s="83" t="str">
        <f aca="false">IFERROR(IF(INDEX(원자료_잔고!$A$1:$EZ$1500,설정!$L$5+ROW()-1,설정!$L$23)&amp;""="0","",INDEX(원자료_잔고!$A$1:$EZ$1500,설정!$L$5+ROW()-1,설정!$L$23)&amp;""),"")</f>
        <v/>
      </c>
      <c r="Q619" s="89" t="n">
        <f aca="false">IF(AND($A619&lt;&gt;"",ISNUMBER(E619)),IF(E619&gt;0,1,0),0)</f>
        <v>0</v>
      </c>
      <c r="R619" s="43" t="str">
        <f aca="false">IF(Q619=1,UPPER(LEFT($A619,FIND(" ",$A619&amp;" ")-1)),"")</f>
        <v/>
      </c>
      <c r="S619" s="89" t="n">
        <f aca="false">IF(Q619=1,IF(OR(ISNUMBER(SEARCH("Float",$A619)),ISNUMBER(SEARCH("FRN",$A619))),1,0),0)</f>
        <v>0</v>
      </c>
      <c r="T619" s="43" t="str">
        <f aca="false">IF(AND(Q619=1,ISNUMBER(I619)),TEXT(I619,"yyyymmdd")&amp;"|"&amp;IF(S619=1,"F",TEXT(J619,"0.000")),"")</f>
        <v/>
      </c>
      <c r="U619" s="90" t="str">
        <f aca="false">IF(AND(Q619=1,ISNUMBER(I619)),(I619-설정!$C$4)/365.25,"")</f>
        <v/>
      </c>
      <c r="V619" s="43" t="str">
        <f aca="false">IF(Q619&lt;&gt;1,"",IF(ISNUMBER(U619),IF(U619&lt;=1,"1년 이하",IF(U619&lt;=2,"1-2년",IF(U619&lt;=3,"2-3년",IF(U619&lt;=4,"3-4년",IF(U619&lt;=5,"4-5년",IF(U619&lt;=7,"5-7년",IF(U619&lt;=10,"7-10년",IF(U619&lt;=20,"10-20년","20년 이상")))))))),"미분류"))</f>
        <v/>
      </c>
      <c r="W619" s="43" t="str">
        <f aca="false">IF(Q619&lt;&gt;1,"",IF(AB619&lt;&gt;"",INDEX(시장분석!$C:$C,AB619),IF(K619=1,"USD","비USD")))</f>
        <v/>
      </c>
      <c r="X619" s="91" t="n">
        <f aca="false">IF(Q619=1,E619*K619/1000000,0)</f>
        <v>0</v>
      </c>
      <c r="Y619" s="89" t="n">
        <f aca="false">IF(R619="T",1,0)</f>
        <v>0</v>
      </c>
      <c r="Z619" s="92" t="str">
        <f aca="false">IF(Q619&lt;&gt;1,"",IF(AD619=1,IF(ISNUMBER(U619),MAX(U619,0),H619),H619))</f>
        <v/>
      </c>
      <c r="AA619" s="91" t="n">
        <f aca="false">IF(Q619=1,IF(ISNUMBER(L619),L619,0)*K619/1000000,0)</f>
        <v>0</v>
      </c>
      <c r="AB619" s="89" t="str">
        <f aca="false">IF(Q619&lt;&gt;1,"",IFERROR(MATCH(VLOOKUP(B619,매핑!$H$4:$I$15,2,0),시장분석!$A$2:$A$601,0)+1,IFERROR(MATCH(R619&amp;"|"&amp;T619,시장분석!$V$2:$V$601,0)+1,IF(COUNTIF(시장분석!$U$2:$U$601,T619)=1,MATCH(T619,시장분석!$U$2:$U$601,0)+1,""))))</f>
        <v/>
      </c>
      <c r="AC619" s="89" t="n">
        <f aca="false">IF(Q619&lt;&gt;1,0,IF(OR(설정!$C$5="전체",AND(설정!$C$5="선택펀드",IFERROR(COUNTIFS(설정!$F$16:$F$36,C619,설정!$G$16:$G$36,"Y")+COUNTIFS(설정!$F$16:$F$36,VALUE(C619),설정!$G$16:$G$36,"Y"),0)&gt;0),C619&amp;""=설정!$C$5&amp;""),1,0))</f>
        <v>0</v>
      </c>
      <c r="AD619" s="89" t="n">
        <f aca="false">IF(Q619&lt;&gt;1,0,IF(OR(S619=1,IF(AB619="",FALSE(),INDEX(시장분석!$R:$R,AB619)=1)),1,0))</f>
        <v>0</v>
      </c>
      <c r="AE619" s="43" t="str">
        <f aca="false">IF(AB619="","",INDEX(시장분석!$A:$A,AB619))</f>
        <v/>
      </c>
      <c r="AF619" s="93" t="str">
        <f aca="false">IF(AB619="","",IF(ISNUMBER(IF(AB619="","",INDEX(시장분석!$E:$E,AB619))),IF(AB619="","",INDEX(시장분석!$E:$E,AB619)),""))</f>
        <v/>
      </c>
      <c r="AG619" s="43" t="str">
        <f aca="false">IF(Q619&lt;&gt;1,"",IF(AB619&lt;&gt;"",IF(AB619="","",INDEX(시장분석!$L:$L,AB619)),IFERROR(IF(VLOOKUP(R619,매핑!$A$4:$E$92,5,0)="","미분류",VLOOKUP(R619,매핑!$A$4:$E$92,5,0)),"미분류")))</f>
        <v/>
      </c>
      <c r="AH619" s="43" t="str">
        <f aca="false">IF(Q619&lt;&gt;1,"",IF(AB619&lt;&gt;"",IF(AB619="","",INDEX(시장분석!$N:$N,AB619)),IFERROR(IF(VLOOKUP(R619,매핑!$A$4:$E$92,4,0)="","미분류",VLOOKUP(R619,매핑!$A$4:$E$92,4,0)),"미분류")))</f>
        <v/>
      </c>
      <c r="AI619" s="43" t="str">
        <f aca="false">IF(Q619&lt;&gt;1,"",IFERROR(IF(VLOOKUP(R619,매핑!$A$4:$E$92,3,0)="","미분류",VLOOKUP(R619,매핑!$A$4:$E$92,3,0)),IF(AB619&lt;&gt;"",IF(AB619="","",INDEX(시장분석!$W:$W,AB619)),"미분류")))</f>
        <v/>
      </c>
      <c r="AJ619" s="43" t="str">
        <f aca="false">IF(Q619&lt;&gt;1,"",IFERROR(VLOOKUP(IF(N619&lt;&gt;"",N619,IF(P619&lt;&gt;"",P619,O619)),설정!$A$15:$D$47,2,0),""))</f>
        <v/>
      </c>
      <c r="AK619" s="43" t="str">
        <f aca="false">IF(Q619&lt;&gt;1,"",IF(AJ619="","무등급",IFERROR(VLOOKUP(AJ619,설정!$A$15:$D$47,3,0),"무등급")))</f>
        <v/>
      </c>
      <c r="AL619" s="89" t="n">
        <f aca="false">IF(AJ619="",99,IFERROR(VLOOKUP(AJ619,설정!$A$15:$D$47,4,0),99))</f>
        <v>99</v>
      </c>
      <c r="AM619" s="94" t="n">
        <f aca="false">IF(ISNUMBER(H619),AA619*1000000*H619/10000,0)</f>
        <v>0</v>
      </c>
      <c r="AN619" s="94" t="n">
        <f aca="false">IF(OR(Y619=1,NOT(ISNUMBER(Z619))),0,AA619*1000000*Z619/10000)</f>
        <v>0</v>
      </c>
      <c r="AO619" s="94" t="n">
        <f aca="false">IF(ISNUMBER(G619),AA619*1000000*G619/100,0)</f>
        <v>0</v>
      </c>
      <c r="AP619" s="94" t="n">
        <f aca="false">IF(ISNUMBER(M619),M619*K619,0)</f>
        <v>0</v>
      </c>
      <c r="AQ619" s="95" t="str">
        <f aca="false">IF(AB619="","",INDEX(시장분석!$AK:$AK,AB619))</f>
        <v/>
      </c>
      <c r="AR619" s="43" t="str">
        <f aca="false">IF(AB619="","-",IF(AB619="","",INDEX(시장분석!$AL:$AL,AB619)))</f>
        <v>-</v>
      </c>
      <c r="AS619" s="96" t="str">
        <f aca="false">IF(AB619="","",INDEX(시장분석!$AJ:$AJ,AB619))</f>
        <v/>
      </c>
      <c r="AT619" s="93" t="n">
        <f aca="false">IF(AB619="",0,IF(AB619="","",INDEX(시장분석!$AN:$AN,AB619)))</f>
        <v>0</v>
      </c>
      <c r="AU619" s="94" t="n">
        <f aca="false">IF(ISNUMBER(Z619),AT619/10000*MAX(Z619-1,0)*AA619*1000000,0)</f>
        <v>0</v>
      </c>
      <c r="AV619" s="94" t="n">
        <f aca="false">AO619+AU619</f>
        <v>0</v>
      </c>
      <c r="AW619" s="43" t="str">
        <f aca="false">IF(Q619&lt;&gt;1,"",TRIM(IF(AD619=1,"FRN ","")&amp;IF(AND(AL619&gt;=10,AL619&lt;99),"BBB0미만 ","")&amp;IF(AJ619="","등급없음 ","")&amp;IF(K619&lt;&gt;1,"비USD ","")&amp;IF(AND(AB619="",Y619=0),"시장데이터없음 ","")&amp;IF(AND(ISNUMBER(U619),U619&lt;0),"만기경과 ","")))</f>
        <v/>
      </c>
      <c r="AX619" s="90" t="n">
        <f aca="false">IF(Q619&lt;&gt;1,1,IF(스프레드쇼크!$C$4="Y",INDEX(스프레드쇼크!$B$12:$L$16,IFERROR(MATCH(AH619,스프레드쇼크!$A$12:$A$16,0),MATCH("목록외",스프레드쇼크!$A$12:$A$16,0)),IFERROR(MATCH(AG619,스프레드쇼크!$B$11:$L$11,0),MATCH("목록외",스프레드쇼크!$B$11:$L$11,0))),1))</f>
        <v>1</v>
      </c>
      <c r="AY619" s="90" t="n">
        <f aca="false">IF(스프레드쇼크!$C$5="Y",IF(ISNUMBER(AF619),MIN(스프레드쇼크!$C$7,MAX(스프레드쇼크!$C$6,AF619/스프레드쇼크!$C$8)),1),1)</f>
        <v>1</v>
      </c>
      <c r="AZ619" s="94" t="n">
        <f aca="false">AN619*AX619*AY619</f>
        <v>0</v>
      </c>
      <c r="BA619" s="90" t="n">
        <f aca="false">IF(ISNUMBER(G619),AA619*G619,0)</f>
        <v>0</v>
      </c>
      <c r="BB619" s="90" t="n">
        <f aca="false">IF(ISNUMBER(G619),AA619,0)</f>
        <v>0</v>
      </c>
      <c r="BC619" s="90" t="n">
        <f aca="false">IF(AND(Y619=0,ISNUMBER(AF619)),AA619*AF619,0)</f>
        <v>0</v>
      </c>
      <c r="BD619" s="90" t="n">
        <f aca="false">IF(AND(Y619=0,ISNUMBER(AF619)),AA619,0)</f>
        <v>0</v>
      </c>
      <c r="BE619" s="90" t="n">
        <f aca="false">IF(ISNUMBER(H619),AA619*H619,0)</f>
        <v>0</v>
      </c>
      <c r="BF619" s="90" t="n">
        <f aca="false">IF(ISNUMBER(H619),AA619,0)</f>
        <v>0</v>
      </c>
      <c r="BG619" s="90" t="n">
        <f aca="false">IF(AND(Y619=0,ISNUMBER(AF619),ISNUMBER(Z619)),AA619*Z619,0)</f>
        <v>0</v>
      </c>
      <c r="BH619" s="90" t="n">
        <f aca="false">IF(AND(Y619=0,ISNUMBER(AF619),ISNUMBER(Z619)),AA619*AT619*MAX(Z619-1,0),0)</f>
        <v>0</v>
      </c>
      <c r="BI619" s="90" t="n">
        <f aca="false">IF(Y619=0,AA619,0)</f>
        <v>0</v>
      </c>
    </row>
    <row r="620" customFormat="false" ht="15" hidden="false" customHeight="false" outlineLevel="0" collapsed="false">
      <c r="A620" s="83" t="str">
        <f aca="false">IFERROR(IF(INDEX(원자료_잔고!$A$1:$EZ$1500,설정!$L$5+ROW()-1,설정!$L$8)&amp;""="0","",INDEX(원자료_잔고!$A$1:$EZ$1500,설정!$L$5+ROW()-1,설정!$L$8)&amp;""),"")</f>
        <v/>
      </c>
      <c r="B620" s="83" t="str">
        <f aca="false">IFERROR(IF(INDEX(원자료_잔고!$A$1:$EZ$1500,설정!$L$5+ROW()-1,설정!$L$7)&amp;""="0","",INDEX(원자료_잔고!$A$1:$EZ$1500,설정!$L$5+ROW()-1,설정!$L$7)&amp;""),"")</f>
        <v/>
      </c>
      <c r="C620" s="83" t="str">
        <f aca="false">IFERROR(IF(INDEX(원자료_잔고!$A$1:$EZ$1500,설정!$L$5+ROW()-1,설정!$L$9)&amp;""="0","",INDEX(원자료_잔고!$A$1:$EZ$1500,설정!$L$5+ROW()-1,설정!$L$9)&amp;""),"")</f>
        <v/>
      </c>
      <c r="D620" s="83" t="str">
        <f aca="false">IFERROR(IF(INDEX(원자료_잔고!$A$1:$EZ$1500,설정!$L$5+ROW()-1,설정!$L$10)&amp;""="0","",INDEX(원자료_잔고!$A$1:$EZ$1500,설정!$L$5+ROW()-1,설정!$L$10)&amp;""),"")</f>
        <v/>
      </c>
      <c r="E620" s="84" t="str">
        <f aca="false">IFERROR(IF(ISNUMBER(INDEX(원자료_잔고!$A$1:$EZ$1500,설정!$L$5+ROW()-1,설정!$L$11)),INDEX(원자료_잔고!$A$1:$EZ$1500,설정!$L$5+ROW()-1,설정!$L$11),""),"")</f>
        <v/>
      </c>
      <c r="F620" s="85" t="str">
        <f aca="false">IFERROR(IF(ISNUMBER(INDEX(원자료_잔고!$A$1:$EZ$1500,설정!$L$5+ROW()-1,설정!$L$12)),INDEX(원자료_잔고!$A$1:$EZ$1500,설정!$L$5+ROW()-1,설정!$L$12),""),"")</f>
        <v/>
      </c>
      <c r="G620" s="85" t="str">
        <f aca="false">IFERROR(IF(ISNUMBER(INDEX(원자료_잔고!$A$1:$EZ$1500,설정!$L$5+ROW()-1,설정!$L$13)),INDEX(원자료_잔고!$A$1:$EZ$1500,설정!$L$5+ROW()-1,설정!$L$13),""),"")</f>
        <v/>
      </c>
      <c r="H620" s="85" t="str">
        <f aca="false">IFERROR(IF(ISNUMBER(INDEX(원자료_잔고!$A$1:$EZ$1500,설정!$L$5+ROW()-1,설정!$L$14)),INDEX(원자료_잔고!$A$1:$EZ$1500,설정!$L$5+ROW()-1,설정!$L$14),""),"")</f>
        <v/>
      </c>
      <c r="I620" s="86" t="str">
        <f aca="false">IFERROR(IF(ISNUMBER(INDEX(원자료_잔고!$A$1:$EZ$1500,설정!$L$5+ROW()-1,설정!$L$15)),INDEX(원자료_잔고!$A$1:$EZ$1500,설정!$L$5+ROW()-1,설정!$L$15),""),"")</f>
        <v/>
      </c>
      <c r="J620" s="85" t="str">
        <f aca="false">IFERROR(IF(ISNUMBER(INDEX(원자료_잔고!$A$1:$EZ$1500,설정!$L$5+ROW()-1,설정!$L$16)),INDEX(원자료_잔고!$A$1:$EZ$1500,설정!$L$5+ROW()-1,설정!$L$16),""),"")</f>
        <v/>
      </c>
      <c r="K620" s="87" t="str">
        <f aca="false">IFERROR(IF(ISNUMBER(INDEX(원자료_잔고!$A$1:$EZ$1500,설정!$L$5+ROW()-1,설정!$L$17)),INDEX(원자료_잔고!$A$1:$EZ$1500,설정!$L$5+ROW()-1,설정!$L$17),""),"")</f>
        <v/>
      </c>
      <c r="L620" s="84" t="str">
        <f aca="false">IFERROR(IF(ISNUMBER(INDEX(원자료_잔고!$A$1:$EZ$1500,설정!$L$5+ROW()-1,설정!$L$18)),INDEX(원자료_잔고!$A$1:$EZ$1500,설정!$L$5+ROW()-1,설정!$L$18),""),"")</f>
        <v/>
      </c>
      <c r="M620" s="88" t="str">
        <f aca="false">IFERROR(IF(ISNUMBER(INDEX(원자료_잔고!$A$1:$EZ$1500,설정!$L$5+ROW()-1,설정!$L$19)),INDEX(원자료_잔고!$A$1:$EZ$1500,설정!$L$5+ROW()-1,설정!$L$19),""),"")</f>
        <v/>
      </c>
      <c r="N620" s="83" t="str">
        <f aca="false">IFERROR(IF(INDEX(원자료_잔고!$A$1:$EZ$1500,설정!$L$5+ROW()-1,설정!$L$21)&amp;""="0","",INDEX(원자료_잔고!$A$1:$EZ$1500,설정!$L$5+ROW()-1,설정!$L$21)&amp;""),"")</f>
        <v/>
      </c>
      <c r="O620" s="83" t="str">
        <f aca="false">IFERROR(IF(INDEX(원자료_잔고!$A$1:$EZ$1500,설정!$L$5+ROW()-1,설정!$L$22)&amp;""="0","",INDEX(원자료_잔고!$A$1:$EZ$1500,설정!$L$5+ROW()-1,설정!$L$22)&amp;""),"")</f>
        <v/>
      </c>
      <c r="P620" s="83" t="str">
        <f aca="false">IFERROR(IF(INDEX(원자료_잔고!$A$1:$EZ$1500,설정!$L$5+ROW()-1,설정!$L$23)&amp;""="0","",INDEX(원자료_잔고!$A$1:$EZ$1500,설정!$L$5+ROW()-1,설정!$L$23)&amp;""),"")</f>
        <v/>
      </c>
      <c r="Q620" s="89" t="n">
        <f aca="false">IF(AND($A620&lt;&gt;"",ISNUMBER(E620)),IF(E620&gt;0,1,0),0)</f>
        <v>0</v>
      </c>
      <c r="R620" s="43" t="str">
        <f aca="false">IF(Q620=1,UPPER(LEFT($A620,FIND(" ",$A620&amp;" ")-1)),"")</f>
        <v/>
      </c>
      <c r="S620" s="89" t="n">
        <f aca="false">IF(Q620=1,IF(OR(ISNUMBER(SEARCH("Float",$A620)),ISNUMBER(SEARCH("FRN",$A620))),1,0),0)</f>
        <v>0</v>
      </c>
      <c r="T620" s="43" t="str">
        <f aca="false">IF(AND(Q620=1,ISNUMBER(I620)),TEXT(I620,"yyyymmdd")&amp;"|"&amp;IF(S620=1,"F",TEXT(J620,"0.000")),"")</f>
        <v/>
      </c>
      <c r="U620" s="90" t="str">
        <f aca="false">IF(AND(Q620=1,ISNUMBER(I620)),(I620-설정!$C$4)/365.25,"")</f>
        <v/>
      </c>
      <c r="V620" s="43" t="str">
        <f aca="false">IF(Q620&lt;&gt;1,"",IF(ISNUMBER(U620),IF(U620&lt;=1,"1년 이하",IF(U620&lt;=2,"1-2년",IF(U620&lt;=3,"2-3년",IF(U620&lt;=4,"3-4년",IF(U620&lt;=5,"4-5년",IF(U620&lt;=7,"5-7년",IF(U620&lt;=10,"7-10년",IF(U620&lt;=20,"10-20년","20년 이상")))))))),"미분류"))</f>
        <v/>
      </c>
      <c r="W620" s="43" t="str">
        <f aca="false">IF(Q620&lt;&gt;1,"",IF(AB620&lt;&gt;"",INDEX(시장분석!$C:$C,AB620),IF(K620=1,"USD","비USD")))</f>
        <v/>
      </c>
      <c r="X620" s="91" t="n">
        <f aca="false">IF(Q620=1,E620*K620/1000000,0)</f>
        <v>0</v>
      </c>
      <c r="Y620" s="89" t="n">
        <f aca="false">IF(R620="T",1,0)</f>
        <v>0</v>
      </c>
      <c r="Z620" s="92" t="str">
        <f aca="false">IF(Q620&lt;&gt;1,"",IF(AD620=1,IF(ISNUMBER(U620),MAX(U620,0),H620),H620))</f>
        <v/>
      </c>
      <c r="AA620" s="91" t="n">
        <f aca="false">IF(Q620=1,IF(ISNUMBER(L620),L620,0)*K620/1000000,0)</f>
        <v>0</v>
      </c>
      <c r="AB620" s="89" t="str">
        <f aca="false">IF(Q620&lt;&gt;1,"",IFERROR(MATCH(VLOOKUP(B620,매핑!$H$4:$I$15,2,0),시장분석!$A$2:$A$601,0)+1,IFERROR(MATCH(R620&amp;"|"&amp;T620,시장분석!$V$2:$V$601,0)+1,IF(COUNTIF(시장분석!$U$2:$U$601,T620)=1,MATCH(T620,시장분석!$U$2:$U$601,0)+1,""))))</f>
        <v/>
      </c>
      <c r="AC620" s="89" t="n">
        <f aca="false">IF(Q620&lt;&gt;1,0,IF(OR(설정!$C$5="전체",AND(설정!$C$5="선택펀드",IFERROR(COUNTIFS(설정!$F$16:$F$36,C620,설정!$G$16:$G$36,"Y")+COUNTIFS(설정!$F$16:$F$36,VALUE(C620),설정!$G$16:$G$36,"Y"),0)&gt;0),C620&amp;""=설정!$C$5&amp;""),1,0))</f>
        <v>0</v>
      </c>
      <c r="AD620" s="89" t="n">
        <f aca="false">IF(Q620&lt;&gt;1,0,IF(OR(S620=1,IF(AB620="",FALSE(),INDEX(시장분석!$R:$R,AB620)=1)),1,0))</f>
        <v>0</v>
      </c>
      <c r="AE620" s="43" t="str">
        <f aca="false">IF(AB620="","",INDEX(시장분석!$A:$A,AB620))</f>
        <v/>
      </c>
      <c r="AF620" s="93" t="str">
        <f aca="false">IF(AB620="","",IF(ISNUMBER(IF(AB620="","",INDEX(시장분석!$E:$E,AB620))),IF(AB620="","",INDEX(시장분석!$E:$E,AB620)),""))</f>
        <v/>
      </c>
      <c r="AG620" s="43" t="str">
        <f aca="false">IF(Q620&lt;&gt;1,"",IF(AB620&lt;&gt;"",IF(AB620="","",INDEX(시장분석!$L:$L,AB620)),IFERROR(IF(VLOOKUP(R620,매핑!$A$4:$E$92,5,0)="","미분류",VLOOKUP(R620,매핑!$A$4:$E$92,5,0)),"미분류")))</f>
        <v/>
      </c>
      <c r="AH620" s="43" t="str">
        <f aca="false">IF(Q620&lt;&gt;1,"",IF(AB620&lt;&gt;"",IF(AB620="","",INDEX(시장분석!$N:$N,AB620)),IFERROR(IF(VLOOKUP(R620,매핑!$A$4:$E$92,4,0)="","미분류",VLOOKUP(R620,매핑!$A$4:$E$92,4,0)),"미분류")))</f>
        <v/>
      </c>
      <c r="AI620" s="43" t="str">
        <f aca="false">IF(Q620&lt;&gt;1,"",IFERROR(IF(VLOOKUP(R620,매핑!$A$4:$E$92,3,0)="","미분류",VLOOKUP(R620,매핑!$A$4:$E$92,3,0)),IF(AB620&lt;&gt;"",IF(AB620="","",INDEX(시장분석!$W:$W,AB620)),"미분류")))</f>
        <v/>
      </c>
      <c r="AJ620" s="43" t="str">
        <f aca="false">IF(Q620&lt;&gt;1,"",IFERROR(VLOOKUP(IF(N620&lt;&gt;"",N620,IF(P620&lt;&gt;"",P620,O620)),설정!$A$15:$D$47,2,0),""))</f>
        <v/>
      </c>
      <c r="AK620" s="43" t="str">
        <f aca="false">IF(Q620&lt;&gt;1,"",IF(AJ620="","무등급",IFERROR(VLOOKUP(AJ620,설정!$A$15:$D$47,3,0),"무등급")))</f>
        <v/>
      </c>
      <c r="AL620" s="89" t="n">
        <f aca="false">IF(AJ620="",99,IFERROR(VLOOKUP(AJ620,설정!$A$15:$D$47,4,0),99))</f>
        <v>99</v>
      </c>
      <c r="AM620" s="94" t="n">
        <f aca="false">IF(ISNUMBER(H620),AA620*1000000*H620/10000,0)</f>
        <v>0</v>
      </c>
      <c r="AN620" s="94" t="n">
        <f aca="false">IF(OR(Y620=1,NOT(ISNUMBER(Z620))),0,AA620*1000000*Z620/10000)</f>
        <v>0</v>
      </c>
      <c r="AO620" s="94" t="n">
        <f aca="false">IF(ISNUMBER(G620),AA620*1000000*G620/100,0)</f>
        <v>0</v>
      </c>
      <c r="AP620" s="94" t="n">
        <f aca="false">IF(ISNUMBER(M620),M620*K620,0)</f>
        <v>0</v>
      </c>
      <c r="AQ620" s="95" t="str">
        <f aca="false">IF(AB620="","",INDEX(시장분석!$AK:$AK,AB620))</f>
        <v/>
      </c>
      <c r="AR620" s="43" t="str">
        <f aca="false">IF(AB620="","-",IF(AB620="","",INDEX(시장분석!$AL:$AL,AB620)))</f>
        <v>-</v>
      </c>
      <c r="AS620" s="96" t="str">
        <f aca="false">IF(AB620="","",INDEX(시장분석!$AJ:$AJ,AB620))</f>
        <v/>
      </c>
      <c r="AT620" s="93" t="n">
        <f aca="false">IF(AB620="",0,IF(AB620="","",INDEX(시장분석!$AN:$AN,AB620)))</f>
        <v>0</v>
      </c>
      <c r="AU620" s="94" t="n">
        <f aca="false">IF(ISNUMBER(Z620),AT620/10000*MAX(Z620-1,0)*AA620*1000000,0)</f>
        <v>0</v>
      </c>
      <c r="AV620" s="94" t="n">
        <f aca="false">AO620+AU620</f>
        <v>0</v>
      </c>
      <c r="AW620" s="43" t="str">
        <f aca="false">IF(Q620&lt;&gt;1,"",TRIM(IF(AD620=1,"FRN ","")&amp;IF(AND(AL620&gt;=10,AL620&lt;99),"BBB0미만 ","")&amp;IF(AJ620="","등급없음 ","")&amp;IF(K620&lt;&gt;1,"비USD ","")&amp;IF(AND(AB620="",Y620=0),"시장데이터없음 ","")&amp;IF(AND(ISNUMBER(U620),U620&lt;0),"만기경과 ","")))</f>
        <v/>
      </c>
      <c r="AX620" s="90" t="n">
        <f aca="false">IF(Q620&lt;&gt;1,1,IF(스프레드쇼크!$C$4="Y",INDEX(스프레드쇼크!$B$12:$L$16,IFERROR(MATCH(AH620,스프레드쇼크!$A$12:$A$16,0),MATCH("목록외",스프레드쇼크!$A$12:$A$16,0)),IFERROR(MATCH(AG620,스프레드쇼크!$B$11:$L$11,0),MATCH("목록외",스프레드쇼크!$B$11:$L$11,0))),1))</f>
        <v>1</v>
      </c>
      <c r="AY620" s="90" t="n">
        <f aca="false">IF(스프레드쇼크!$C$5="Y",IF(ISNUMBER(AF620),MIN(스프레드쇼크!$C$7,MAX(스프레드쇼크!$C$6,AF620/스프레드쇼크!$C$8)),1),1)</f>
        <v>1</v>
      </c>
      <c r="AZ620" s="94" t="n">
        <f aca="false">AN620*AX620*AY620</f>
        <v>0</v>
      </c>
      <c r="BA620" s="90" t="n">
        <f aca="false">IF(ISNUMBER(G620),AA620*G620,0)</f>
        <v>0</v>
      </c>
      <c r="BB620" s="90" t="n">
        <f aca="false">IF(ISNUMBER(G620),AA620,0)</f>
        <v>0</v>
      </c>
      <c r="BC620" s="90" t="n">
        <f aca="false">IF(AND(Y620=0,ISNUMBER(AF620)),AA620*AF620,0)</f>
        <v>0</v>
      </c>
      <c r="BD620" s="90" t="n">
        <f aca="false">IF(AND(Y620=0,ISNUMBER(AF620)),AA620,0)</f>
        <v>0</v>
      </c>
      <c r="BE620" s="90" t="n">
        <f aca="false">IF(ISNUMBER(H620),AA620*H620,0)</f>
        <v>0</v>
      </c>
      <c r="BF620" s="90" t="n">
        <f aca="false">IF(ISNUMBER(H620),AA620,0)</f>
        <v>0</v>
      </c>
      <c r="BG620" s="90" t="n">
        <f aca="false">IF(AND(Y620=0,ISNUMBER(AF620),ISNUMBER(Z620)),AA620*Z620,0)</f>
        <v>0</v>
      </c>
      <c r="BH620" s="90" t="n">
        <f aca="false">IF(AND(Y620=0,ISNUMBER(AF620),ISNUMBER(Z620)),AA620*AT620*MAX(Z620-1,0),0)</f>
        <v>0</v>
      </c>
      <c r="BI620" s="90" t="n">
        <f aca="false">IF(Y620=0,AA620,0)</f>
        <v>0</v>
      </c>
    </row>
    <row r="621" customFormat="false" ht="15" hidden="false" customHeight="false" outlineLevel="0" collapsed="false">
      <c r="A621" s="83" t="str">
        <f aca="false">IFERROR(IF(INDEX(원자료_잔고!$A$1:$EZ$1500,설정!$L$5+ROW()-1,설정!$L$8)&amp;""="0","",INDEX(원자료_잔고!$A$1:$EZ$1500,설정!$L$5+ROW()-1,설정!$L$8)&amp;""),"")</f>
        <v/>
      </c>
      <c r="B621" s="83" t="str">
        <f aca="false">IFERROR(IF(INDEX(원자료_잔고!$A$1:$EZ$1500,설정!$L$5+ROW()-1,설정!$L$7)&amp;""="0","",INDEX(원자료_잔고!$A$1:$EZ$1500,설정!$L$5+ROW()-1,설정!$L$7)&amp;""),"")</f>
        <v/>
      </c>
      <c r="C621" s="83" t="str">
        <f aca="false">IFERROR(IF(INDEX(원자료_잔고!$A$1:$EZ$1500,설정!$L$5+ROW()-1,설정!$L$9)&amp;""="0","",INDEX(원자료_잔고!$A$1:$EZ$1500,설정!$L$5+ROW()-1,설정!$L$9)&amp;""),"")</f>
        <v/>
      </c>
      <c r="D621" s="83" t="str">
        <f aca="false">IFERROR(IF(INDEX(원자료_잔고!$A$1:$EZ$1500,설정!$L$5+ROW()-1,설정!$L$10)&amp;""="0","",INDEX(원자료_잔고!$A$1:$EZ$1500,설정!$L$5+ROW()-1,설정!$L$10)&amp;""),"")</f>
        <v/>
      </c>
      <c r="E621" s="84" t="str">
        <f aca="false">IFERROR(IF(ISNUMBER(INDEX(원자료_잔고!$A$1:$EZ$1500,설정!$L$5+ROW()-1,설정!$L$11)),INDEX(원자료_잔고!$A$1:$EZ$1500,설정!$L$5+ROW()-1,설정!$L$11),""),"")</f>
        <v/>
      </c>
      <c r="F621" s="85" t="str">
        <f aca="false">IFERROR(IF(ISNUMBER(INDEX(원자료_잔고!$A$1:$EZ$1500,설정!$L$5+ROW()-1,설정!$L$12)),INDEX(원자료_잔고!$A$1:$EZ$1500,설정!$L$5+ROW()-1,설정!$L$12),""),"")</f>
        <v/>
      </c>
      <c r="G621" s="85" t="str">
        <f aca="false">IFERROR(IF(ISNUMBER(INDEX(원자료_잔고!$A$1:$EZ$1500,설정!$L$5+ROW()-1,설정!$L$13)),INDEX(원자료_잔고!$A$1:$EZ$1500,설정!$L$5+ROW()-1,설정!$L$13),""),"")</f>
        <v/>
      </c>
      <c r="H621" s="85" t="str">
        <f aca="false">IFERROR(IF(ISNUMBER(INDEX(원자료_잔고!$A$1:$EZ$1500,설정!$L$5+ROW()-1,설정!$L$14)),INDEX(원자료_잔고!$A$1:$EZ$1500,설정!$L$5+ROW()-1,설정!$L$14),""),"")</f>
        <v/>
      </c>
      <c r="I621" s="86" t="str">
        <f aca="false">IFERROR(IF(ISNUMBER(INDEX(원자료_잔고!$A$1:$EZ$1500,설정!$L$5+ROW()-1,설정!$L$15)),INDEX(원자료_잔고!$A$1:$EZ$1500,설정!$L$5+ROW()-1,설정!$L$15),""),"")</f>
        <v/>
      </c>
      <c r="J621" s="85" t="str">
        <f aca="false">IFERROR(IF(ISNUMBER(INDEX(원자료_잔고!$A$1:$EZ$1500,설정!$L$5+ROW()-1,설정!$L$16)),INDEX(원자료_잔고!$A$1:$EZ$1500,설정!$L$5+ROW()-1,설정!$L$16),""),"")</f>
        <v/>
      </c>
      <c r="K621" s="87" t="str">
        <f aca="false">IFERROR(IF(ISNUMBER(INDEX(원자료_잔고!$A$1:$EZ$1500,설정!$L$5+ROW()-1,설정!$L$17)),INDEX(원자료_잔고!$A$1:$EZ$1500,설정!$L$5+ROW()-1,설정!$L$17),""),"")</f>
        <v/>
      </c>
      <c r="L621" s="84" t="str">
        <f aca="false">IFERROR(IF(ISNUMBER(INDEX(원자료_잔고!$A$1:$EZ$1500,설정!$L$5+ROW()-1,설정!$L$18)),INDEX(원자료_잔고!$A$1:$EZ$1500,설정!$L$5+ROW()-1,설정!$L$18),""),"")</f>
        <v/>
      </c>
      <c r="M621" s="88" t="str">
        <f aca="false">IFERROR(IF(ISNUMBER(INDEX(원자료_잔고!$A$1:$EZ$1500,설정!$L$5+ROW()-1,설정!$L$19)),INDEX(원자료_잔고!$A$1:$EZ$1500,설정!$L$5+ROW()-1,설정!$L$19),""),"")</f>
        <v/>
      </c>
      <c r="N621" s="83" t="str">
        <f aca="false">IFERROR(IF(INDEX(원자료_잔고!$A$1:$EZ$1500,설정!$L$5+ROW()-1,설정!$L$21)&amp;""="0","",INDEX(원자료_잔고!$A$1:$EZ$1500,설정!$L$5+ROW()-1,설정!$L$21)&amp;""),"")</f>
        <v/>
      </c>
      <c r="O621" s="83" t="str">
        <f aca="false">IFERROR(IF(INDEX(원자료_잔고!$A$1:$EZ$1500,설정!$L$5+ROW()-1,설정!$L$22)&amp;""="0","",INDEX(원자료_잔고!$A$1:$EZ$1500,설정!$L$5+ROW()-1,설정!$L$22)&amp;""),"")</f>
        <v/>
      </c>
      <c r="P621" s="83" t="str">
        <f aca="false">IFERROR(IF(INDEX(원자료_잔고!$A$1:$EZ$1500,설정!$L$5+ROW()-1,설정!$L$23)&amp;""="0","",INDEX(원자료_잔고!$A$1:$EZ$1500,설정!$L$5+ROW()-1,설정!$L$23)&amp;""),"")</f>
        <v/>
      </c>
      <c r="Q621" s="89" t="n">
        <f aca="false">IF(AND($A621&lt;&gt;"",ISNUMBER(E621)),IF(E621&gt;0,1,0),0)</f>
        <v>0</v>
      </c>
      <c r="R621" s="43" t="str">
        <f aca="false">IF(Q621=1,UPPER(LEFT($A621,FIND(" ",$A621&amp;" ")-1)),"")</f>
        <v/>
      </c>
      <c r="S621" s="89" t="n">
        <f aca="false">IF(Q621=1,IF(OR(ISNUMBER(SEARCH("Float",$A621)),ISNUMBER(SEARCH("FRN",$A621))),1,0),0)</f>
        <v>0</v>
      </c>
      <c r="T621" s="43" t="str">
        <f aca="false">IF(AND(Q621=1,ISNUMBER(I621)),TEXT(I621,"yyyymmdd")&amp;"|"&amp;IF(S621=1,"F",TEXT(J621,"0.000")),"")</f>
        <v/>
      </c>
      <c r="U621" s="90" t="str">
        <f aca="false">IF(AND(Q621=1,ISNUMBER(I621)),(I621-설정!$C$4)/365.25,"")</f>
        <v/>
      </c>
      <c r="V621" s="43" t="str">
        <f aca="false">IF(Q621&lt;&gt;1,"",IF(ISNUMBER(U621),IF(U621&lt;=1,"1년 이하",IF(U621&lt;=2,"1-2년",IF(U621&lt;=3,"2-3년",IF(U621&lt;=4,"3-4년",IF(U621&lt;=5,"4-5년",IF(U621&lt;=7,"5-7년",IF(U621&lt;=10,"7-10년",IF(U621&lt;=20,"10-20년","20년 이상")))))))),"미분류"))</f>
        <v/>
      </c>
      <c r="W621" s="43" t="str">
        <f aca="false">IF(Q621&lt;&gt;1,"",IF(AB621&lt;&gt;"",INDEX(시장분석!$C:$C,AB621),IF(K621=1,"USD","비USD")))</f>
        <v/>
      </c>
      <c r="X621" s="91" t="n">
        <f aca="false">IF(Q621=1,E621*K621/1000000,0)</f>
        <v>0</v>
      </c>
      <c r="Y621" s="89" t="n">
        <f aca="false">IF(R621="T",1,0)</f>
        <v>0</v>
      </c>
      <c r="Z621" s="92" t="str">
        <f aca="false">IF(Q621&lt;&gt;1,"",IF(AD621=1,IF(ISNUMBER(U621),MAX(U621,0),H621),H621))</f>
        <v/>
      </c>
      <c r="AA621" s="91" t="n">
        <f aca="false">IF(Q621=1,IF(ISNUMBER(L621),L621,0)*K621/1000000,0)</f>
        <v>0</v>
      </c>
      <c r="AB621" s="89" t="str">
        <f aca="false">IF(Q621&lt;&gt;1,"",IFERROR(MATCH(VLOOKUP(B621,매핑!$H$4:$I$15,2,0),시장분석!$A$2:$A$601,0)+1,IFERROR(MATCH(R621&amp;"|"&amp;T621,시장분석!$V$2:$V$601,0)+1,IF(COUNTIF(시장분석!$U$2:$U$601,T621)=1,MATCH(T621,시장분석!$U$2:$U$601,0)+1,""))))</f>
        <v/>
      </c>
      <c r="AC621" s="89" t="n">
        <f aca="false">IF(Q621&lt;&gt;1,0,IF(OR(설정!$C$5="전체",AND(설정!$C$5="선택펀드",IFERROR(COUNTIFS(설정!$F$16:$F$36,C621,설정!$G$16:$G$36,"Y")+COUNTIFS(설정!$F$16:$F$36,VALUE(C621),설정!$G$16:$G$36,"Y"),0)&gt;0),C621&amp;""=설정!$C$5&amp;""),1,0))</f>
        <v>0</v>
      </c>
      <c r="AD621" s="89" t="n">
        <f aca="false">IF(Q621&lt;&gt;1,0,IF(OR(S621=1,IF(AB621="",FALSE(),INDEX(시장분석!$R:$R,AB621)=1)),1,0))</f>
        <v>0</v>
      </c>
      <c r="AE621" s="43" t="str">
        <f aca="false">IF(AB621="","",INDEX(시장분석!$A:$A,AB621))</f>
        <v/>
      </c>
      <c r="AF621" s="93" t="str">
        <f aca="false">IF(AB621="","",IF(ISNUMBER(IF(AB621="","",INDEX(시장분석!$E:$E,AB621))),IF(AB621="","",INDEX(시장분석!$E:$E,AB621)),""))</f>
        <v/>
      </c>
      <c r="AG621" s="43" t="str">
        <f aca="false">IF(Q621&lt;&gt;1,"",IF(AB621&lt;&gt;"",IF(AB621="","",INDEX(시장분석!$L:$L,AB621)),IFERROR(IF(VLOOKUP(R621,매핑!$A$4:$E$92,5,0)="","미분류",VLOOKUP(R621,매핑!$A$4:$E$92,5,0)),"미분류")))</f>
        <v/>
      </c>
      <c r="AH621" s="43" t="str">
        <f aca="false">IF(Q621&lt;&gt;1,"",IF(AB621&lt;&gt;"",IF(AB621="","",INDEX(시장분석!$N:$N,AB621)),IFERROR(IF(VLOOKUP(R621,매핑!$A$4:$E$92,4,0)="","미분류",VLOOKUP(R621,매핑!$A$4:$E$92,4,0)),"미분류")))</f>
        <v/>
      </c>
      <c r="AI621" s="43" t="str">
        <f aca="false">IF(Q621&lt;&gt;1,"",IFERROR(IF(VLOOKUP(R621,매핑!$A$4:$E$92,3,0)="","미분류",VLOOKUP(R621,매핑!$A$4:$E$92,3,0)),IF(AB621&lt;&gt;"",IF(AB621="","",INDEX(시장분석!$W:$W,AB621)),"미분류")))</f>
        <v/>
      </c>
      <c r="AJ621" s="43" t="str">
        <f aca="false">IF(Q621&lt;&gt;1,"",IFERROR(VLOOKUP(IF(N621&lt;&gt;"",N621,IF(P621&lt;&gt;"",P621,O621)),설정!$A$15:$D$47,2,0),""))</f>
        <v/>
      </c>
      <c r="AK621" s="43" t="str">
        <f aca="false">IF(Q621&lt;&gt;1,"",IF(AJ621="","무등급",IFERROR(VLOOKUP(AJ621,설정!$A$15:$D$47,3,0),"무등급")))</f>
        <v/>
      </c>
      <c r="AL621" s="89" t="n">
        <f aca="false">IF(AJ621="",99,IFERROR(VLOOKUP(AJ621,설정!$A$15:$D$47,4,0),99))</f>
        <v>99</v>
      </c>
      <c r="AM621" s="94" t="n">
        <f aca="false">IF(ISNUMBER(H621),AA621*1000000*H621/10000,0)</f>
        <v>0</v>
      </c>
      <c r="AN621" s="94" t="n">
        <f aca="false">IF(OR(Y621=1,NOT(ISNUMBER(Z621))),0,AA621*1000000*Z621/10000)</f>
        <v>0</v>
      </c>
      <c r="AO621" s="94" t="n">
        <f aca="false">IF(ISNUMBER(G621),AA621*1000000*G621/100,0)</f>
        <v>0</v>
      </c>
      <c r="AP621" s="94" t="n">
        <f aca="false">IF(ISNUMBER(M621),M621*K621,0)</f>
        <v>0</v>
      </c>
      <c r="AQ621" s="95" t="str">
        <f aca="false">IF(AB621="","",INDEX(시장분석!$AK:$AK,AB621))</f>
        <v/>
      </c>
      <c r="AR621" s="43" t="str">
        <f aca="false">IF(AB621="","-",IF(AB621="","",INDEX(시장분석!$AL:$AL,AB621)))</f>
        <v>-</v>
      </c>
      <c r="AS621" s="96" t="str">
        <f aca="false">IF(AB621="","",INDEX(시장분석!$AJ:$AJ,AB621))</f>
        <v/>
      </c>
      <c r="AT621" s="93" t="n">
        <f aca="false">IF(AB621="",0,IF(AB621="","",INDEX(시장분석!$AN:$AN,AB621)))</f>
        <v>0</v>
      </c>
      <c r="AU621" s="94" t="n">
        <f aca="false">IF(ISNUMBER(Z621),AT621/10000*MAX(Z621-1,0)*AA621*1000000,0)</f>
        <v>0</v>
      </c>
      <c r="AV621" s="94" t="n">
        <f aca="false">AO621+AU621</f>
        <v>0</v>
      </c>
      <c r="AW621" s="43" t="str">
        <f aca="false">IF(Q621&lt;&gt;1,"",TRIM(IF(AD621=1,"FRN ","")&amp;IF(AND(AL621&gt;=10,AL621&lt;99),"BBB0미만 ","")&amp;IF(AJ621="","등급없음 ","")&amp;IF(K621&lt;&gt;1,"비USD ","")&amp;IF(AND(AB621="",Y621=0),"시장데이터없음 ","")&amp;IF(AND(ISNUMBER(U621),U621&lt;0),"만기경과 ","")))</f>
        <v/>
      </c>
      <c r="AX621" s="90" t="n">
        <f aca="false">IF(Q621&lt;&gt;1,1,IF(스프레드쇼크!$C$4="Y",INDEX(스프레드쇼크!$B$12:$L$16,IFERROR(MATCH(AH621,스프레드쇼크!$A$12:$A$16,0),MATCH("목록외",스프레드쇼크!$A$12:$A$16,0)),IFERROR(MATCH(AG621,스프레드쇼크!$B$11:$L$11,0),MATCH("목록외",스프레드쇼크!$B$11:$L$11,0))),1))</f>
        <v>1</v>
      </c>
      <c r="AY621" s="90" t="n">
        <f aca="false">IF(스프레드쇼크!$C$5="Y",IF(ISNUMBER(AF621),MIN(스프레드쇼크!$C$7,MAX(스프레드쇼크!$C$6,AF621/스프레드쇼크!$C$8)),1),1)</f>
        <v>1</v>
      </c>
      <c r="AZ621" s="94" t="n">
        <f aca="false">AN621*AX621*AY621</f>
        <v>0</v>
      </c>
      <c r="BA621" s="90" t="n">
        <f aca="false">IF(ISNUMBER(G621),AA621*G621,0)</f>
        <v>0</v>
      </c>
      <c r="BB621" s="90" t="n">
        <f aca="false">IF(ISNUMBER(G621),AA621,0)</f>
        <v>0</v>
      </c>
      <c r="BC621" s="90" t="n">
        <f aca="false">IF(AND(Y621=0,ISNUMBER(AF621)),AA621*AF621,0)</f>
        <v>0</v>
      </c>
      <c r="BD621" s="90" t="n">
        <f aca="false">IF(AND(Y621=0,ISNUMBER(AF621)),AA621,0)</f>
        <v>0</v>
      </c>
      <c r="BE621" s="90" t="n">
        <f aca="false">IF(ISNUMBER(H621),AA621*H621,0)</f>
        <v>0</v>
      </c>
      <c r="BF621" s="90" t="n">
        <f aca="false">IF(ISNUMBER(H621),AA621,0)</f>
        <v>0</v>
      </c>
      <c r="BG621" s="90" t="n">
        <f aca="false">IF(AND(Y621=0,ISNUMBER(AF621),ISNUMBER(Z621)),AA621*Z621,0)</f>
        <v>0</v>
      </c>
      <c r="BH621" s="90" t="n">
        <f aca="false">IF(AND(Y621=0,ISNUMBER(AF621),ISNUMBER(Z621)),AA621*AT621*MAX(Z621-1,0),0)</f>
        <v>0</v>
      </c>
      <c r="BI621" s="90" t="n">
        <f aca="false">IF(Y621=0,AA621,0)</f>
        <v>0</v>
      </c>
    </row>
    <row r="622" customFormat="false" ht="15" hidden="false" customHeight="false" outlineLevel="0" collapsed="false">
      <c r="A622" s="83" t="str">
        <f aca="false">IFERROR(IF(INDEX(원자료_잔고!$A$1:$EZ$1500,설정!$L$5+ROW()-1,설정!$L$8)&amp;""="0","",INDEX(원자료_잔고!$A$1:$EZ$1500,설정!$L$5+ROW()-1,설정!$L$8)&amp;""),"")</f>
        <v/>
      </c>
      <c r="B622" s="83" t="str">
        <f aca="false">IFERROR(IF(INDEX(원자료_잔고!$A$1:$EZ$1500,설정!$L$5+ROW()-1,설정!$L$7)&amp;""="0","",INDEX(원자료_잔고!$A$1:$EZ$1500,설정!$L$5+ROW()-1,설정!$L$7)&amp;""),"")</f>
        <v/>
      </c>
      <c r="C622" s="83" t="str">
        <f aca="false">IFERROR(IF(INDEX(원자료_잔고!$A$1:$EZ$1500,설정!$L$5+ROW()-1,설정!$L$9)&amp;""="0","",INDEX(원자료_잔고!$A$1:$EZ$1500,설정!$L$5+ROW()-1,설정!$L$9)&amp;""),"")</f>
        <v/>
      </c>
      <c r="D622" s="83" t="str">
        <f aca="false">IFERROR(IF(INDEX(원자료_잔고!$A$1:$EZ$1500,설정!$L$5+ROW()-1,설정!$L$10)&amp;""="0","",INDEX(원자료_잔고!$A$1:$EZ$1500,설정!$L$5+ROW()-1,설정!$L$10)&amp;""),"")</f>
        <v/>
      </c>
      <c r="E622" s="84" t="str">
        <f aca="false">IFERROR(IF(ISNUMBER(INDEX(원자료_잔고!$A$1:$EZ$1500,설정!$L$5+ROW()-1,설정!$L$11)),INDEX(원자료_잔고!$A$1:$EZ$1500,설정!$L$5+ROW()-1,설정!$L$11),""),"")</f>
        <v/>
      </c>
      <c r="F622" s="85" t="str">
        <f aca="false">IFERROR(IF(ISNUMBER(INDEX(원자료_잔고!$A$1:$EZ$1500,설정!$L$5+ROW()-1,설정!$L$12)),INDEX(원자료_잔고!$A$1:$EZ$1500,설정!$L$5+ROW()-1,설정!$L$12),""),"")</f>
        <v/>
      </c>
      <c r="G622" s="85" t="str">
        <f aca="false">IFERROR(IF(ISNUMBER(INDEX(원자료_잔고!$A$1:$EZ$1500,설정!$L$5+ROW()-1,설정!$L$13)),INDEX(원자료_잔고!$A$1:$EZ$1500,설정!$L$5+ROW()-1,설정!$L$13),""),"")</f>
        <v/>
      </c>
      <c r="H622" s="85" t="str">
        <f aca="false">IFERROR(IF(ISNUMBER(INDEX(원자료_잔고!$A$1:$EZ$1500,설정!$L$5+ROW()-1,설정!$L$14)),INDEX(원자료_잔고!$A$1:$EZ$1500,설정!$L$5+ROW()-1,설정!$L$14),""),"")</f>
        <v/>
      </c>
      <c r="I622" s="86" t="str">
        <f aca="false">IFERROR(IF(ISNUMBER(INDEX(원자료_잔고!$A$1:$EZ$1500,설정!$L$5+ROW()-1,설정!$L$15)),INDEX(원자료_잔고!$A$1:$EZ$1500,설정!$L$5+ROW()-1,설정!$L$15),""),"")</f>
        <v/>
      </c>
      <c r="J622" s="85" t="str">
        <f aca="false">IFERROR(IF(ISNUMBER(INDEX(원자료_잔고!$A$1:$EZ$1500,설정!$L$5+ROW()-1,설정!$L$16)),INDEX(원자료_잔고!$A$1:$EZ$1500,설정!$L$5+ROW()-1,설정!$L$16),""),"")</f>
        <v/>
      </c>
      <c r="K622" s="87" t="str">
        <f aca="false">IFERROR(IF(ISNUMBER(INDEX(원자료_잔고!$A$1:$EZ$1500,설정!$L$5+ROW()-1,설정!$L$17)),INDEX(원자료_잔고!$A$1:$EZ$1500,설정!$L$5+ROW()-1,설정!$L$17),""),"")</f>
        <v/>
      </c>
      <c r="L622" s="84" t="str">
        <f aca="false">IFERROR(IF(ISNUMBER(INDEX(원자료_잔고!$A$1:$EZ$1500,설정!$L$5+ROW()-1,설정!$L$18)),INDEX(원자료_잔고!$A$1:$EZ$1500,설정!$L$5+ROW()-1,설정!$L$18),""),"")</f>
        <v/>
      </c>
      <c r="M622" s="88" t="str">
        <f aca="false">IFERROR(IF(ISNUMBER(INDEX(원자료_잔고!$A$1:$EZ$1500,설정!$L$5+ROW()-1,설정!$L$19)),INDEX(원자료_잔고!$A$1:$EZ$1500,설정!$L$5+ROW()-1,설정!$L$19),""),"")</f>
        <v/>
      </c>
      <c r="N622" s="83" t="str">
        <f aca="false">IFERROR(IF(INDEX(원자료_잔고!$A$1:$EZ$1500,설정!$L$5+ROW()-1,설정!$L$21)&amp;""="0","",INDEX(원자료_잔고!$A$1:$EZ$1500,설정!$L$5+ROW()-1,설정!$L$21)&amp;""),"")</f>
        <v/>
      </c>
      <c r="O622" s="83" t="str">
        <f aca="false">IFERROR(IF(INDEX(원자료_잔고!$A$1:$EZ$1500,설정!$L$5+ROW()-1,설정!$L$22)&amp;""="0","",INDEX(원자료_잔고!$A$1:$EZ$1500,설정!$L$5+ROW()-1,설정!$L$22)&amp;""),"")</f>
        <v/>
      </c>
      <c r="P622" s="83" t="str">
        <f aca="false">IFERROR(IF(INDEX(원자료_잔고!$A$1:$EZ$1500,설정!$L$5+ROW()-1,설정!$L$23)&amp;""="0","",INDEX(원자료_잔고!$A$1:$EZ$1500,설정!$L$5+ROW()-1,설정!$L$23)&amp;""),"")</f>
        <v/>
      </c>
      <c r="Q622" s="89" t="n">
        <f aca="false">IF(AND($A622&lt;&gt;"",ISNUMBER(E622)),IF(E622&gt;0,1,0),0)</f>
        <v>0</v>
      </c>
      <c r="R622" s="43" t="str">
        <f aca="false">IF(Q622=1,UPPER(LEFT($A622,FIND(" ",$A622&amp;" ")-1)),"")</f>
        <v/>
      </c>
      <c r="S622" s="89" t="n">
        <f aca="false">IF(Q622=1,IF(OR(ISNUMBER(SEARCH("Float",$A622)),ISNUMBER(SEARCH("FRN",$A622))),1,0),0)</f>
        <v>0</v>
      </c>
      <c r="T622" s="43" t="str">
        <f aca="false">IF(AND(Q622=1,ISNUMBER(I622)),TEXT(I622,"yyyymmdd")&amp;"|"&amp;IF(S622=1,"F",TEXT(J622,"0.000")),"")</f>
        <v/>
      </c>
      <c r="U622" s="90" t="str">
        <f aca="false">IF(AND(Q622=1,ISNUMBER(I622)),(I622-설정!$C$4)/365.25,"")</f>
        <v/>
      </c>
      <c r="V622" s="43" t="str">
        <f aca="false">IF(Q622&lt;&gt;1,"",IF(ISNUMBER(U622),IF(U622&lt;=1,"1년 이하",IF(U622&lt;=2,"1-2년",IF(U622&lt;=3,"2-3년",IF(U622&lt;=4,"3-4년",IF(U622&lt;=5,"4-5년",IF(U622&lt;=7,"5-7년",IF(U622&lt;=10,"7-10년",IF(U622&lt;=20,"10-20년","20년 이상")))))))),"미분류"))</f>
        <v/>
      </c>
      <c r="W622" s="43" t="str">
        <f aca="false">IF(Q622&lt;&gt;1,"",IF(AB622&lt;&gt;"",INDEX(시장분석!$C:$C,AB622),IF(K622=1,"USD","비USD")))</f>
        <v/>
      </c>
      <c r="X622" s="91" t="n">
        <f aca="false">IF(Q622=1,E622*K622/1000000,0)</f>
        <v>0</v>
      </c>
      <c r="Y622" s="89" t="n">
        <f aca="false">IF(R622="T",1,0)</f>
        <v>0</v>
      </c>
      <c r="Z622" s="92" t="str">
        <f aca="false">IF(Q622&lt;&gt;1,"",IF(AD622=1,IF(ISNUMBER(U622),MAX(U622,0),H622),H622))</f>
        <v/>
      </c>
      <c r="AA622" s="91" t="n">
        <f aca="false">IF(Q622=1,IF(ISNUMBER(L622),L622,0)*K622/1000000,0)</f>
        <v>0</v>
      </c>
      <c r="AB622" s="89" t="str">
        <f aca="false">IF(Q622&lt;&gt;1,"",IFERROR(MATCH(VLOOKUP(B622,매핑!$H$4:$I$15,2,0),시장분석!$A$2:$A$601,0)+1,IFERROR(MATCH(R622&amp;"|"&amp;T622,시장분석!$V$2:$V$601,0)+1,IF(COUNTIF(시장분석!$U$2:$U$601,T622)=1,MATCH(T622,시장분석!$U$2:$U$601,0)+1,""))))</f>
        <v/>
      </c>
      <c r="AC622" s="89" t="n">
        <f aca="false">IF(Q622&lt;&gt;1,0,IF(OR(설정!$C$5="전체",AND(설정!$C$5="선택펀드",IFERROR(COUNTIFS(설정!$F$16:$F$36,C622,설정!$G$16:$G$36,"Y")+COUNTIFS(설정!$F$16:$F$36,VALUE(C622),설정!$G$16:$G$36,"Y"),0)&gt;0),C622&amp;""=설정!$C$5&amp;""),1,0))</f>
        <v>0</v>
      </c>
      <c r="AD622" s="89" t="n">
        <f aca="false">IF(Q622&lt;&gt;1,0,IF(OR(S622=1,IF(AB622="",FALSE(),INDEX(시장분석!$R:$R,AB622)=1)),1,0))</f>
        <v>0</v>
      </c>
      <c r="AE622" s="43" t="str">
        <f aca="false">IF(AB622="","",INDEX(시장분석!$A:$A,AB622))</f>
        <v/>
      </c>
      <c r="AF622" s="93" t="str">
        <f aca="false">IF(AB622="","",IF(ISNUMBER(IF(AB622="","",INDEX(시장분석!$E:$E,AB622))),IF(AB622="","",INDEX(시장분석!$E:$E,AB622)),""))</f>
        <v/>
      </c>
      <c r="AG622" s="43" t="str">
        <f aca="false">IF(Q622&lt;&gt;1,"",IF(AB622&lt;&gt;"",IF(AB622="","",INDEX(시장분석!$L:$L,AB622)),IFERROR(IF(VLOOKUP(R622,매핑!$A$4:$E$92,5,0)="","미분류",VLOOKUP(R622,매핑!$A$4:$E$92,5,0)),"미분류")))</f>
        <v/>
      </c>
      <c r="AH622" s="43" t="str">
        <f aca="false">IF(Q622&lt;&gt;1,"",IF(AB622&lt;&gt;"",IF(AB622="","",INDEX(시장분석!$N:$N,AB622)),IFERROR(IF(VLOOKUP(R622,매핑!$A$4:$E$92,4,0)="","미분류",VLOOKUP(R622,매핑!$A$4:$E$92,4,0)),"미분류")))</f>
        <v/>
      </c>
      <c r="AI622" s="43" t="str">
        <f aca="false">IF(Q622&lt;&gt;1,"",IFERROR(IF(VLOOKUP(R622,매핑!$A$4:$E$92,3,0)="","미분류",VLOOKUP(R622,매핑!$A$4:$E$92,3,0)),IF(AB622&lt;&gt;"",IF(AB622="","",INDEX(시장분석!$W:$W,AB622)),"미분류")))</f>
        <v/>
      </c>
      <c r="AJ622" s="43" t="str">
        <f aca="false">IF(Q622&lt;&gt;1,"",IFERROR(VLOOKUP(IF(N622&lt;&gt;"",N622,IF(P622&lt;&gt;"",P622,O622)),설정!$A$15:$D$47,2,0),""))</f>
        <v/>
      </c>
      <c r="AK622" s="43" t="str">
        <f aca="false">IF(Q622&lt;&gt;1,"",IF(AJ622="","무등급",IFERROR(VLOOKUP(AJ622,설정!$A$15:$D$47,3,0),"무등급")))</f>
        <v/>
      </c>
      <c r="AL622" s="89" t="n">
        <f aca="false">IF(AJ622="",99,IFERROR(VLOOKUP(AJ622,설정!$A$15:$D$47,4,0),99))</f>
        <v>99</v>
      </c>
      <c r="AM622" s="94" t="n">
        <f aca="false">IF(ISNUMBER(H622),AA622*1000000*H622/10000,0)</f>
        <v>0</v>
      </c>
      <c r="AN622" s="94" t="n">
        <f aca="false">IF(OR(Y622=1,NOT(ISNUMBER(Z622))),0,AA622*1000000*Z622/10000)</f>
        <v>0</v>
      </c>
      <c r="AO622" s="94" t="n">
        <f aca="false">IF(ISNUMBER(G622),AA622*1000000*G622/100,0)</f>
        <v>0</v>
      </c>
      <c r="AP622" s="94" t="n">
        <f aca="false">IF(ISNUMBER(M622),M622*K622,0)</f>
        <v>0</v>
      </c>
      <c r="AQ622" s="95" t="str">
        <f aca="false">IF(AB622="","",INDEX(시장분석!$AK:$AK,AB622))</f>
        <v/>
      </c>
      <c r="AR622" s="43" t="str">
        <f aca="false">IF(AB622="","-",IF(AB622="","",INDEX(시장분석!$AL:$AL,AB622)))</f>
        <v>-</v>
      </c>
      <c r="AS622" s="96" t="str">
        <f aca="false">IF(AB622="","",INDEX(시장분석!$AJ:$AJ,AB622))</f>
        <v/>
      </c>
      <c r="AT622" s="93" t="n">
        <f aca="false">IF(AB622="",0,IF(AB622="","",INDEX(시장분석!$AN:$AN,AB622)))</f>
        <v>0</v>
      </c>
      <c r="AU622" s="94" t="n">
        <f aca="false">IF(ISNUMBER(Z622),AT622/10000*MAX(Z622-1,0)*AA622*1000000,0)</f>
        <v>0</v>
      </c>
      <c r="AV622" s="94" t="n">
        <f aca="false">AO622+AU622</f>
        <v>0</v>
      </c>
      <c r="AW622" s="43" t="str">
        <f aca="false">IF(Q622&lt;&gt;1,"",TRIM(IF(AD622=1,"FRN ","")&amp;IF(AND(AL622&gt;=10,AL622&lt;99),"BBB0미만 ","")&amp;IF(AJ622="","등급없음 ","")&amp;IF(K622&lt;&gt;1,"비USD ","")&amp;IF(AND(AB622="",Y622=0),"시장데이터없음 ","")&amp;IF(AND(ISNUMBER(U622),U622&lt;0),"만기경과 ","")))</f>
        <v/>
      </c>
      <c r="AX622" s="90" t="n">
        <f aca="false">IF(Q622&lt;&gt;1,1,IF(스프레드쇼크!$C$4="Y",INDEX(스프레드쇼크!$B$12:$L$16,IFERROR(MATCH(AH622,스프레드쇼크!$A$12:$A$16,0),MATCH("목록외",스프레드쇼크!$A$12:$A$16,0)),IFERROR(MATCH(AG622,스프레드쇼크!$B$11:$L$11,0),MATCH("목록외",스프레드쇼크!$B$11:$L$11,0))),1))</f>
        <v>1</v>
      </c>
      <c r="AY622" s="90" t="n">
        <f aca="false">IF(스프레드쇼크!$C$5="Y",IF(ISNUMBER(AF622),MIN(스프레드쇼크!$C$7,MAX(스프레드쇼크!$C$6,AF622/스프레드쇼크!$C$8)),1),1)</f>
        <v>1</v>
      </c>
      <c r="AZ622" s="94" t="n">
        <f aca="false">AN622*AX622*AY622</f>
        <v>0</v>
      </c>
      <c r="BA622" s="90" t="n">
        <f aca="false">IF(ISNUMBER(G622),AA622*G622,0)</f>
        <v>0</v>
      </c>
      <c r="BB622" s="90" t="n">
        <f aca="false">IF(ISNUMBER(G622),AA622,0)</f>
        <v>0</v>
      </c>
      <c r="BC622" s="90" t="n">
        <f aca="false">IF(AND(Y622=0,ISNUMBER(AF622)),AA622*AF622,0)</f>
        <v>0</v>
      </c>
      <c r="BD622" s="90" t="n">
        <f aca="false">IF(AND(Y622=0,ISNUMBER(AF622)),AA622,0)</f>
        <v>0</v>
      </c>
      <c r="BE622" s="90" t="n">
        <f aca="false">IF(ISNUMBER(H622),AA622*H622,0)</f>
        <v>0</v>
      </c>
      <c r="BF622" s="90" t="n">
        <f aca="false">IF(ISNUMBER(H622),AA622,0)</f>
        <v>0</v>
      </c>
      <c r="BG622" s="90" t="n">
        <f aca="false">IF(AND(Y622=0,ISNUMBER(AF622),ISNUMBER(Z622)),AA622*Z622,0)</f>
        <v>0</v>
      </c>
      <c r="BH622" s="90" t="n">
        <f aca="false">IF(AND(Y622=0,ISNUMBER(AF622),ISNUMBER(Z622)),AA622*AT622*MAX(Z622-1,0),0)</f>
        <v>0</v>
      </c>
      <c r="BI622" s="90" t="n">
        <f aca="false">IF(Y622=0,AA622,0)</f>
        <v>0</v>
      </c>
    </row>
    <row r="623" customFormat="false" ht="15" hidden="false" customHeight="false" outlineLevel="0" collapsed="false">
      <c r="A623" s="83" t="str">
        <f aca="false">IFERROR(IF(INDEX(원자료_잔고!$A$1:$EZ$1500,설정!$L$5+ROW()-1,설정!$L$8)&amp;""="0","",INDEX(원자료_잔고!$A$1:$EZ$1500,설정!$L$5+ROW()-1,설정!$L$8)&amp;""),"")</f>
        <v/>
      </c>
      <c r="B623" s="83" t="str">
        <f aca="false">IFERROR(IF(INDEX(원자료_잔고!$A$1:$EZ$1500,설정!$L$5+ROW()-1,설정!$L$7)&amp;""="0","",INDEX(원자료_잔고!$A$1:$EZ$1500,설정!$L$5+ROW()-1,설정!$L$7)&amp;""),"")</f>
        <v/>
      </c>
      <c r="C623" s="83" t="str">
        <f aca="false">IFERROR(IF(INDEX(원자료_잔고!$A$1:$EZ$1500,설정!$L$5+ROW()-1,설정!$L$9)&amp;""="0","",INDEX(원자료_잔고!$A$1:$EZ$1500,설정!$L$5+ROW()-1,설정!$L$9)&amp;""),"")</f>
        <v/>
      </c>
      <c r="D623" s="83" t="str">
        <f aca="false">IFERROR(IF(INDEX(원자료_잔고!$A$1:$EZ$1500,설정!$L$5+ROW()-1,설정!$L$10)&amp;""="0","",INDEX(원자료_잔고!$A$1:$EZ$1500,설정!$L$5+ROW()-1,설정!$L$10)&amp;""),"")</f>
        <v/>
      </c>
      <c r="E623" s="84" t="str">
        <f aca="false">IFERROR(IF(ISNUMBER(INDEX(원자료_잔고!$A$1:$EZ$1500,설정!$L$5+ROW()-1,설정!$L$11)),INDEX(원자료_잔고!$A$1:$EZ$1500,설정!$L$5+ROW()-1,설정!$L$11),""),"")</f>
        <v/>
      </c>
      <c r="F623" s="85" t="str">
        <f aca="false">IFERROR(IF(ISNUMBER(INDEX(원자료_잔고!$A$1:$EZ$1500,설정!$L$5+ROW()-1,설정!$L$12)),INDEX(원자료_잔고!$A$1:$EZ$1500,설정!$L$5+ROW()-1,설정!$L$12),""),"")</f>
        <v/>
      </c>
      <c r="G623" s="85" t="str">
        <f aca="false">IFERROR(IF(ISNUMBER(INDEX(원자료_잔고!$A$1:$EZ$1500,설정!$L$5+ROW()-1,설정!$L$13)),INDEX(원자료_잔고!$A$1:$EZ$1500,설정!$L$5+ROW()-1,설정!$L$13),""),"")</f>
        <v/>
      </c>
      <c r="H623" s="85" t="str">
        <f aca="false">IFERROR(IF(ISNUMBER(INDEX(원자료_잔고!$A$1:$EZ$1500,설정!$L$5+ROW()-1,설정!$L$14)),INDEX(원자료_잔고!$A$1:$EZ$1500,설정!$L$5+ROW()-1,설정!$L$14),""),"")</f>
        <v/>
      </c>
      <c r="I623" s="86" t="str">
        <f aca="false">IFERROR(IF(ISNUMBER(INDEX(원자료_잔고!$A$1:$EZ$1500,설정!$L$5+ROW()-1,설정!$L$15)),INDEX(원자료_잔고!$A$1:$EZ$1500,설정!$L$5+ROW()-1,설정!$L$15),""),"")</f>
        <v/>
      </c>
      <c r="J623" s="85" t="str">
        <f aca="false">IFERROR(IF(ISNUMBER(INDEX(원자료_잔고!$A$1:$EZ$1500,설정!$L$5+ROW()-1,설정!$L$16)),INDEX(원자료_잔고!$A$1:$EZ$1500,설정!$L$5+ROW()-1,설정!$L$16),""),"")</f>
        <v/>
      </c>
      <c r="K623" s="87" t="str">
        <f aca="false">IFERROR(IF(ISNUMBER(INDEX(원자료_잔고!$A$1:$EZ$1500,설정!$L$5+ROW()-1,설정!$L$17)),INDEX(원자료_잔고!$A$1:$EZ$1500,설정!$L$5+ROW()-1,설정!$L$17),""),"")</f>
        <v/>
      </c>
      <c r="L623" s="84" t="str">
        <f aca="false">IFERROR(IF(ISNUMBER(INDEX(원자료_잔고!$A$1:$EZ$1500,설정!$L$5+ROW()-1,설정!$L$18)),INDEX(원자료_잔고!$A$1:$EZ$1500,설정!$L$5+ROW()-1,설정!$L$18),""),"")</f>
        <v/>
      </c>
      <c r="M623" s="88" t="str">
        <f aca="false">IFERROR(IF(ISNUMBER(INDEX(원자료_잔고!$A$1:$EZ$1500,설정!$L$5+ROW()-1,설정!$L$19)),INDEX(원자료_잔고!$A$1:$EZ$1500,설정!$L$5+ROW()-1,설정!$L$19),""),"")</f>
        <v/>
      </c>
      <c r="N623" s="83" t="str">
        <f aca="false">IFERROR(IF(INDEX(원자료_잔고!$A$1:$EZ$1500,설정!$L$5+ROW()-1,설정!$L$21)&amp;""="0","",INDEX(원자료_잔고!$A$1:$EZ$1500,설정!$L$5+ROW()-1,설정!$L$21)&amp;""),"")</f>
        <v/>
      </c>
      <c r="O623" s="83" t="str">
        <f aca="false">IFERROR(IF(INDEX(원자료_잔고!$A$1:$EZ$1500,설정!$L$5+ROW()-1,설정!$L$22)&amp;""="0","",INDEX(원자료_잔고!$A$1:$EZ$1500,설정!$L$5+ROW()-1,설정!$L$22)&amp;""),"")</f>
        <v/>
      </c>
      <c r="P623" s="83" t="str">
        <f aca="false">IFERROR(IF(INDEX(원자료_잔고!$A$1:$EZ$1500,설정!$L$5+ROW()-1,설정!$L$23)&amp;""="0","",INDEX(원자료_잔고!$A$1:$EZ$1500,설정!$L$5+ROW()-1,설정!$L$23)&amp;""),"")</f>
        <v/>
      </c>
      <c r="Q623" s="89" t="n">
        <f aca="false">IF(AND($A623&lt;&gt;"",ISNUMBER(E623)),IF(E623&gt;0,1,0),0)</f>
        <v>0</v>
      </c>
      <c r="R623" s="43" t="str">
        <f aca="false">IF(Q623=1,UPPER(LEFT($A623,FIND(" ",$A623&amp;" ")-1)),"")</f>
        <v/>
      </c>
      <c r="S623" s="89" t="n">
        <f aca="false">IF(Q623=1,IF(OR(ISNUMBER(SEARCH("Float",$A623)),ISNUMBER(SEARCH("FRN",$A623))),1,0),0)</f>
        <v>0</v>
      </c>
      <c r="T623" s="43" t="str">
        <f aca="false">IF(AND(Q623=1,ISNUMBER(I623)),TEXT(I623,"yyyymmdd")&amp;"|"&amp;IF(S623=1,"F",TEXT(J623,"0.000")),"")</f>
        <v/>
      </c>
      <c r="U623" s="90" t="str">
        <f aca="false">IF(AND(Q623=1,ISNUMBER(I623)),(I623-설정!$C$4)/365.25,"")</f>
        <v/>
      </c>
      <c r="V623" s="43" t="str">
        <f aca="false">IF(Q623&lt;&gt;1,"",IF(ISNUMBER(U623),IF(U623&lt;=1,"1년 이하",IF(U623&lt;=2,"1-2년",IF(U623&lt;=3,"2-3년",IF(U623&lt;=4,"3-4년",IF(U623&lt;=5,"4-5년",IF(U623&lt;=7,"5-7년",IF(U623&lt;=10,"7-10년",IF(U623&lt;=20,"10-20년","20년 이상")))))))),"미분류"))</f>
        <v/>
      </c>
      <c r="W623" s="43" t="str">
        <f aca="false">IF(Q623&lt;&gt;1,"",IF(AB623&lt;&gt;"",INDEX(시장분석!$C:$C,AB623),IF(K623=1,"USD","비USD")))</f>
        <v/>
      </c>
      <c r="X623" s="91" t="n">
        <f aca="false">IF(Q623=1,E623*K623/1000000,0)</f>
        <v>0</v>
      </c>
      <c r="Y623" s="89" t="n">
        <f aca="false">IF(R623="T",1,0)</f>
        <v>0</v>
      </c>
      <c r="Z623" s="92" t="str">
        <f aca="false">IF(Q623&lt;&gt;1,"",IF(AD623=1,IF(ISNUMBER(U623),MAX(U623,0),H623),H623))</f>
        <v/>
      </c>
      <c r="AA623" s="91" t="n">
        <f aca="false">IF(Q623=1,IF(ISNUMBER(L623),L623,0)*K623/1000000,0)</f>
        <v>0</v>
      </c>
      <c r="AB623" s="89" t="str">
        <f aca="false">IF(Q623&lt;&gt;1,"",IFERROR(MATCH(VLOOKUP(B623,매핑!$H$4:$I$15,2,0),시장분석!$A$2:$A$601,0)+1,IFERROR(MATCH(R623&amp;"|"&amp;T623,시장분석!$V$2:$V$601,0)+1,IF(COUNTIF(시장분석!$U$2:$U$601,T623)=1,MATCH(T623,시장분석!$U$2:$U$601,0)+1,""))))</f>
        <v/>
      </c>
      <c r="AC623" s="89" t="n">
        <f aca="false">IF(Q623&lt;&gt;1,0,IF(OR(설정!$C$5="전체",AND(설정!$C$5="선택펀드",IFERROR(COUNTIFS(설정!$F$16:$F$36,C623,설정!$G$16:$G$36,"Y")+COUNTIFS(설정!$F$16:$F$36,VALUE(C623),설정!$G$16:$G$36,"Y"),0)&gt;0),C623&amp;""=설정!$C$5&amp;""),1,0))</f>
        <v>0</v>
      </c>
      <c r="AD623" s="89" t="n">
        <f aca="false">IF(Q623&lt;&gt;1,0,IF(OR(S623=1,IF(AB623="",FALSE(),INDEX(시장분석!$R:$R,AB623)=1)),1,0))</f>
        <v>0</v>
      </c>
      <c r="AE623" s="43" t="str">
        <f aca="false">IF(AB623="","",INDEX(시장분석!$A:$A,AB623))</f>
        <v/>
      </c>
      <c r="AF623" s="93" t="str">
        <f aca="false">IF(AB623="","",IF(ISNUMBER(IF(AB623="","",INDEX(시장분석!$E:$E,AB623))),IF(AB623="","",INDEX(시장분석!$E:$E,AB623)),""))</f>
        <v/>
      </c>
      <c r="AG623" s="43" t="str">
        <f aca="false">IF(Q623&lt;&gt;1,"",IF(AB623&lt;&gt;"",IF(AB623="","",INDEX(시장분석!$L:$L,AB623)),IFERROR(IF(VLOOKUP(R623,매핑!$A$4:$E$92,5,0)="","미분류",VLOOKUP(R623,매핑!$A$4:$E$92,5,0)),"미분류")))</f>
        <v/>
      </c>
      <c r="AH623" s="43" t="str">
        <f aca="false">IF(Q623&lt;&gt;1,"",IF(AB623&lt;&gt;"",IF(AB623="","",INDEX(시장분석!$N:$N,AB623)),IFERROR(IF(VLOOKUP(R623,매핑!$A$4:$E$92,4,0)="","미분류",VLOOKUP(R623,매핑!$A$4:$E$92,4,0)),"미분류")))</f>
        <v/>
      </c>
      <c r="AI623" s="43" t="str">
        <f aca="false">IF(Q623&lt;&gt;1,"",IFERROR(IF(VLOOKUP(R623,매핑!$A$4:$E$92,3,0)="","미분류",VLOOKUP(R623,매핑!$A$4:$E$92,3,0)),IF(AB623&lt;&gt;"",IF(AB623="","",INDEX(시장분석!$W:$W,AB623)),"미분류")))</f>
        <v/>
      </c>
      <c r="AJ623" s="43" t="str">
        <f aca="false">IF(Q623&lt;&gt;1,"",IFERROR(VLOOKUP(IF(N623&lt;&gt;"",N623,IF(P623&lt;&gt;"",P623,O623)),설정!$A$15:$D$47,2,0),""))</f>
        <v/>
      </c>
      <c r="AK623" s="43" t="str">
        <f aca="false">IF(Q623&lt;&gt;1,"",IF(AJ623="","무등급",IFERROR(VLOOKUP(AJ623,설정!$A$15:$D$47,3,0),"무등급")))</f>
        <v/>
      </c>
      <c r="AL623" s="89" t="n">
        <f aca="false">IF(AJ623="",99,IFERROR(VLOOKUP(AJ623,설정!$A$15:$D$47,4,0),99))</f>
        <v>99</v>
      </c>
      <c r="AM623" s="94" t="n">
        <f aca="false">IF(ISNUMBER(H623),AA623*1000000*H623/10000,0)</f>
        <v>0</v>
      </c>
      <c r="AN623" s="94" t="n">
        <f aca="false">IF(OR(Y623=1,NOT(ISNUMBER(Z623))),0,AA623*1000000*Z623/10000)</f>
        <v>0</v>
      </c>
      <c r="AO623" s="94" t="n">
        <f aca="false">IF(ISNUMBER(G623),AA623*1000000*G623/100,0)</f>
        <v>0</v>
      </c>
      <c r="AP623" s="94" t="n">
        <f aca="false">IF(ISNUMBER(M623),M623*K623,0)</f>
        <v>0</v>
      </c>
      <c r="AQ623" s="95" t="str">
        <f aca="false">IF(AB623="","",INDEX(시장분석!$AK:$AK,AB623))</f>
        <v/>
      </c>
      <c r="AR623" s="43" t="str">
        <f aca="false">IF(AB623="","-",IF(AB623="","",INDEX(시장분석!$AL:$AL,AB623)))</f>
        <v>-</v>
      </c>
      <c r="AS623" s="96" t="str">
        <f aca="false">IF(AB623="","",INDEX(시장분석!$AJ:$AJ,AB623))</f>
        <v/>
      </c>
      <c r="AT623" s="93" t="n">
        <f aca="false">IF(AB623="",0,IF(AB623="","",INDEX(시장분석!$AN:$AN,AB623)))</f>
        <v>0</v>
      </c>
      <c r="AU623" s="94" t="n">
        <f aca="false">IF(ISNUMBER(Z623),AT623/10000*MAX(Z623-1,0)*AA623*1000000,0)</f>
        <v>0</v>
      </c>
      <c r="AV623" s="94" t="n">
        <f aca="false">AO623+AU623</f>
        <v>0</v>
      </c>
      <c r="AW623" s="43" t="str">
        <f aca="false">IF(Q623&lt;&gt;1,"",TRIM(IF(AD623=1,"FRN ","")&amp;IF(AND(AL623&gt;=10,AL623&lt;99),"BBB0미만 ","")&amp;IF(AJ623="","등급없음 ","")&amp;IF(K623&lt;&gt;1,"비USD ","")&amp;IF(AND(AB623="",Y623=0),"시장데이터없음 ","")&amp;IF(AND(ISNUMBER(U623),U623&lt;0),"만기경과 ","")))</f>
        <v/>
      </c>
      <c r="AX623" s="90" t="n">
        <f aca="false">IF(Q623&lt;&gt;1,1,IF(스프레드쇼크!$C$4="Y",INDEX(스프레드쇼크!$B$12:$L$16,IFERROR(MATCH(AH623,스프레드쇼크!$A$12:$A$16,0),MATCH("목록외",스프레드쇼크!$A$12:$A$16,0)),IFERROR(MATCH(AG623,스프레드쇼크!$B$11:$L$11,0),MATCH("목록외",스프레드쇼크!$B$11:$L$11,0))),1))</f>
        <v>1</v>
      </c>
      <c r="AY623" s="90" t="n">
        <f aca="false">IF(스프레드쇼크!$C$5="Y",IF(ISNUMBER(AF623),MIN(스프레드쇼크!$C$7,MAX(스프레드쇼크!$C$6,AF623/스프레드쇼크!$C$8)),1),1)</f>
        <v>1</v>
      </c>
      <c r="AZ623" s="94" t="n">
        <f aca="false">AN623*AX623*AY623</f>
        <v>0</v>
      </c>
      <c r="BA623" s="90" t="n">
        <f aca="false">IF(ISNUMBER(G623),AA623*G623,0)</f>
        <v>0</v>
      </c>
      <c r="BB623" s="90" t="n">
        <f aca="false">IF(ISNUMBER(G623),AA623,0)</f>
        <v>0</v>
      </c>
      <c r="BC623" s="90" t="n">
        <f aca="false">IF(AND(Y623=0,ISNUMBER(AF623)),AA623*AF623,0)</f>
        <v>0</v>
      </c>
      <c r="BD623" s="90" t="n">
        <f aca="false">IF(AND(Y623=0,ISNUMBER(AF623)),AA623,0)</f>
        <v>0</v>
      </c>
      <c r="BE623" s="90" t="n">
        <f aca="false">IF(ISNUMBER(H623),AA623*H623,0)</f>
        <v>0</v>
      </c>
      <c r="BF623" s="90" t="n">
        <f aca="false">IF(ISNUMBER(H623),AA623,0)</f>
        <v>0</v>
      </c>
      <c r="BG623" s="90" t="n">
        <f aca="false">IF(AND(Y623=0,ISNUMBER(AF623),ISNUMBER(Z623)),AA623*Z623,0)</f>
        <v>0</v>
      </c>
      <c r="BH623" s="90" t="n">
        <f aca="false">IF(AND(Y623=0,ISNUMBER(AF623),ISNUMBER(Z623)),AA623*AT623*MAX(Z623-1,0),0)</f>
        <v>0</v>
      </c>
      <c r="BI623" s="90" t="n">
        <f aca="false">IF(Y623=0,AA623,0)</f>
        <v>0</v>
      </c>
    </row>
    <row r="624" customFormat="false" ht="15" hidden="false" customHeight="false" outlineLevel="0" collapsed="false">
      <c r="A624" s="83" t="str">
        <f aca="false">IFERROR(IF(INDEX(원자료_잔고!$A$1:$EZ$1500,설정!$L$5+ROW()-1,설정!$L$8)&amp;""="0","",INDEX(원자료_잔고!$A$1:$EZ$1500,설정!$L$5+ROW()-1,설정!$L$8)&amp;""),"")</f>
        <v/>
      </c>
      <c r="B624" s="83" t="str">
        <f aca="false">IFERROR(IF(INDEX(원자료_잔고!$A$1:$EZ$1500,설정!$L$5+ROW()-1,설정!$L$7)&amp;""="0","",INDEX(원자료_잔고!$A$1:$EZ$1500,설정!$L$5+ROW()-1,설정!$L$7)&amp;""),"")</f>
        <v/>
      </c>
      <c r="C624" s="83" t="str">
        <f aca="false">IFERROR(IF(INDEX(원자료_잔고!$A$1:$EZ$1500,설정!$L$5+ROW()-1,설정!$L$9)&amp;""="0","",INDEX(원자료_잔고!$A$1:$EZ$1500,설정!$L$5+ROW()-1,설정!$L$9)&amp;""),"")</f>
        <v/>
      </c>
      <c r="D624" s="83" t="str">
        <f aca="false">IFERROR(IF(INDEX(원자료_잔고!$A$1:$EZ$1500,설정!$L$5+ROW()-1,설정!$L$10)&amp;""="0","",INDEX(원자료_잔고!$A$1:$EZ$1500,설정!$L$5+ROW()-1,설정!$L$10)&amp;""),"")</f>
        <v/>
      </c>
      <c r="E624" s="84" t="str">
        <f aca="false">IFERROR(IF(ISNUMBER(INDEX(원자료_잔고!$A$1:$EZ$1500,설정!$L$5+ROW()-1,설정!$L$11)),INDEX(원자료_잔고!$A$1:$EZ$1500,설정!$L$5+ROW()-1,설정!$L$11),""),"")</f>
        <v/>
      </c>
      <c r="F624" s="85" t="str">
        <f aca="false">IFERROR(IF(ISNUMBER(INDEX(원자료_잔고!$A$1:$EZ$1500,설정!$L$5+ROW()-1,설정!$L$12)),INDEX(원자료_잔고!$A$1:$EZ$1500,설정!$L$5+ROW()-1,설정!$L$12),""),"")</f>
        <v/>
      </c>
      <c r="G624" s="85" t="str">
        <f aca="false">IFERROR(IF(ISNUMBER(INDEX(원자료_잔고!$A$1:$EZ$1500,설정!$L$5+ROW()-1,설정!$L$13)),INDEX(원자료_잔고!$A$1:$EZ$1500,설정!$L$5+ROW()-1,설정!$L$13),""),"")</f>
        <v/>
      </c>
      <c r="H624" s="85" t="str">
        <f aca="false">IFERROR(IF(ISNUMBER(INDEX(원자료_잔고!$A$1:$EZ$1500,설정!$L$5+ROW()-1,설정!$L$14)),INDEX(원자료_잔고!$A$1:$EZ$1500,설정!$L$5+ROW()-1,설정!$L$14),""),"")</f>
        <v/>
      </c>
      <c r="I624" s="86" t="str">
        <f aca="false">IFERROR(IF(ISNUMBER(INDEX(원자료_잔고!$A$1:$EZ$1500,설정!$L$5+ROW()-1,설정!$L$15)),INDEX(원자료_잔고!$A$1:$EZ$1500,설정!$L$5+ROW()-1,설정!$L$15),""),"")</f>
        <v/>
      </c>
      <c r="J624" s="85" t="str">
        <f aca="false">IFERROR(IF(ISNUMBER(INDEX(원자료_잔고!$A$1:$EZ$1500,설정!$L$5+ROW()-1,설정!$L$16)),INDEX(원자료_잔고!$A$1:$EZ$1500,설정!$L$5+ROW()-1,설정!$L$16),""),"")</f>
        <v/>
      </c>
      <c r="K624" s="87" t="str">
        <f aca="false">IFERROR(IF(ISNUMBER(INDEX(원자료_잔고!$A$1:$EZ$1500,설정!$L$5+ROW()-1,설정!$L$17)),INDEX(원자료_잔고!$A$1:$EZ$1500,설정!$L$5+ROW()-1,설정!$L$17),""),"")</f>
        <v/>
      </c>
      <c r="L624" s="84" t="str">
        <f aca="false">IFERROR(IF(ISNUMBER(INDEX(원자료_잔고!$A$1:$EZ$1500,설정!$L$5+ROW()-1,설정!$L$18)),INDEX(원자료_잔고!$A$1:$EZ$1500,설정!$L$5+ROW()-1,설정!$L$18),""),"")</f>
        <v/>
      </c>
      <c r="M624" s="88" t="str">
        <f aca="false">IFERROR(IF(ISNUMBER(INDEX(원자료_잔고!$A$1:$EZ$1500,설정!$L$5+ROW()-1,설정!$L$19)),INDEX(원자료_잔고!$A$1:$EZ$1500,설정!$L$5+ROW()-1,설정!$L$19),""),"")</f>
        <v/>
      </c>
      <c r="N624" s="83" t="str">
        <f aca="false">IFERROR(IF(INDEX(원자료_잔고!$A$1:$EZ$1500,설정!$L$5+ROW()-1,설정!$L$21)&amp;""="0","",INDEX(원자료_잔고!$A$1:$EZ$1500,설정!$L$5+ROW()-1,설정!$L$21)&amp;""),"")</f>
        <v/>
      </c>
      <c r="O624" s="83" t="str">
        <f aca="false">IFERROR(IF(INDEX(원자료_잔고!$A$1:$EZ$1500,설정!$L$5+ROW()-1,설정!$L$22)&amp;""="0","",INDEX(원자료_잔고!$A$1:$EZ$1500,설정!$L$5+ROW()-1,설정!$L$22)&amp;""),"")</f>
        <v/>
      </c>
      <c r="P624" s="83" t="str">
        <f aca="false">IFERROR(IF(INDEX(원자료_잔고!$A$1:$EZ$1500,설정!$L$5+ROW()-1,설정!$L$23)&amp;""="0","",INDEX(원자료_잔고!$A$1:$EZ$1500,설정!$L$5+ROW()-1,설정!$L$23)&amp;""),"")</f>
        <v/>
      </c>
      <c r="Q624" s="89" t="n">
        <f aca="false">IF(AND($A624&lt;&gt;"",ISNUMBER(E624)),IF(E624&gt;0,1,0),0)</f>
        <v>0</v>
      </c>
      <c r="R624" s="43" t="str">
        <f aca="false">IF(Q624=1,UPPER(LEFT($A624,FIND(" ",$A624&amp;" ")-1)),"")</f>
        <v/>
      </c>
      <c r="S624" s="89" t="n">
        <f aca="false">IF(Q624=1,IF(OR(ISNUMBER(SEARCH("Float",$A624)),ISNUMBER(SEARCH("FRN",$A624))),1,0),0)</f>
        <v>0</v>
      </c>
      <c r="T624" s="43" t="str">
        <f aca="false">IF(AND(Q624=1,ISNUMBER(I624)),TEXT(I624,"yyyymmdd")&amp;"|"&amp;IF(S624=1,"F",TEXT(J624,"0.000")),"")</f>
        <v/>
      </c>
      <c r="U624" s="90" t="str">
        <f aca="false">IF(AND(Q624=1,ISNUMBER(I624)),(I624-설정!$C$4)/365.25,"")</f>
        <v/>
      </c>
      <c r="V624" s="43" t="str">
        <f aca="false">IF(Q624&lt;&gt;1,"",IF(ISNUMBER(U624),IF(U624&lt;=1,"1년 이하",IF(U624&lt;=2,"1-2년",IF(U624&lt;=3,"2-3년",IF(U624&lt;=4,"3-4년",IF(U624&lt;=5,"4-5년",IF(U624&lt;=7,"5-7년",IF(U624&lt;=10,"7-10년",IF(U624&lt;=20,"10-20년","20년 이상")))))))),"미분류"))</f>
        <v/>
      </c>
      <c r="W624" s="43" t="str">
        <f aca="false">IF(Q624&lt;&gt;1,"",IF(AB624&lt;&gt;"",INDEX(시장분석!$C:$C,AB624),IF(K624=1,"USD","비USD")))</f>
        <v/>
      </c>
      <c r="X624" s="91" t="n">
        <f aca="false">IF(Q624=1,E624*K624/1000000,0)</f>
        <v>0</v>
      </c>
      <c r="Y624" s="89" t="n">
        <f aca="false">IF(R624="T",1,0)</f>
        <v>0</v>
      </c>
      <c r="Z624" s="92" t="str">
        <f aca="false">IF(Q624&lt;&gt;1,"",IF(AD624=1,IF(ISNUMBER(U624),MAX(U624,0),H624),H624))</f>
        <v/>
      </c>
      <c r="AA624" s="91" t="n">
        <f aca="false">IF(Q624=1,IF(ISNUMBER(L624),L624,0)*K624/1000000,0)</f>
        <v>0</v>
      </c>
      <c r="AB624" s="89" t="str">
        <f aca="false">IF(Q624&lt;&gt;1,"",IFERROR(MATCH(VLOOKUP(B624,매핑!$H$4:$I$15,2,0),시장분석!$A$2:$A$601,0)+1,IFERROR(MATCH(R624&amp;"|"&amp;T624,시장분석!$V$2:$V$601,0)+1,IF(COUNTIF(시장분석!$U$2:$U$601,T624)=1,MATCH(T624,시장분석!$U$2:$U$601,0)+1,""))))</f>
        <v/>
      </c>
      <c r="AC624" s="89" t="n">
        <f aca="false">IF(Q624&lt;&gt;1,0,IF(OR(설정!$C$5="전체",AND(설정!$C$5="선택펀드",IFERROR(COUNTIFS(설정!$F$16:$F$36,C624,설정!$G$16:$G$36,"Y")+COUNTIFS(설정!$F$16:$F$36,VALUE(C624),설정!$G$16:$G$36,"Y"),0)&gt;0),C624&amp;""=설정!$C$5&amp;""),1,0))</f>
        <v>0</v>
      </c>
      <c r="AD624" s="89" t="n">
        <f aca="false">IF(Q624&lt;&gt;1,0,IF(OR(S624=1,IF(AB624="",FALSE(),INDEX(시장분석!$R:$R,AB624)=1)),1,0))</f>
        <v>0</v>
      </c>
      <c r="AE624" s="43" t="str">
        <f aca="false">IF(AB624="","",INDEX(시장분석!$A:$A,AB624))</f>
        <v/>
      </c>
      <c r="AF624" s="93" t="str">
        <f aca="false">IF(AB624="","",IF(ISNUMBER(IF(AB624="","",INDEX(시장분석!$E:$E,AB624))),IF(AB624="","",INDEX(시장분석!$E:$E,AB624)),""))</f>
        <v/>
      </c>
      <c r="AG624" s="43" t="str">
        <f aca="false">IF(Q624&lt;&gt;1,"",IF(AB624&lt;&gt;"",IF(AB624="","",INDEX(시장분석!$L:$L,AB624)),IFERROR(IF(VLOOKUP(R624,매핑!$A$4:$E$92,5,0)="","미분류",VLOOKUP(R624,매핑!$A$4:$E$92,5,0)),"미분류")))</f>
        <v/>
      </c>
      <c r="AH624" s="43" t="str">
        <f aca="false">IF(Q624&lt;&gt;1,"",IF(AB624&lt;&gt;"",IF(AB624="","",INDEX(시장분석!$N:$N,AB624)),IFERROR(IF(VLOOKUP(R624,매핑!$A$4:$E$92,4,0)="","미분류",VLOOKUP(R624,매핑!$A$4:$E$92,4,0)),"미분류")))</f>
        <v/>
      </c>
      <c r="AI624" s="43" t="str">
        <f aca="false">IF(Q624&lt;&gt;1,"",IFERROR(IF(VLOOKUP(R624,매핑!$A$4:$E$92,3,0)="","미분류",VLOOKUP(R624,매핑!$A$4:$E$92,3,0)),IF(AB624&lt;&gt;"",IF(AB624="","",INDEX(시장분석!$W:$W,AB624)),"미분류")))</f>
        <v/>
      </c>
      <c r="AJ624" s="43" t="str">
        <f aca="false">IF(Q624&lt;&gt;1,"",IFERROR(VLOOKUP(IF(N624&lt;&gt;"",N624,IF(P624&lt;&gt;"",P624,O624)),설정!$A$15:$D$47,2,0),""))</f>
        <v/>
      </c>
      <c r="AK624" s="43" t="str">
        <f aca="false">IF(Q624&lt;&gt;1,"",IF(AJ624="","무등급",IFERROR(VLOOKUP(AJ624,설정!$A$15:$D$47,3,0),"무등급")))</f>
        <v/>
      </c>
      <c r="AL624" s="89" t="n">
        <f aca="false">IF(AJ624="",99,IFERROR(VLOOKUP(AJ624,설정!$A$15:$D$47,4,0),99))</f>
        <v>99</v>
      </c>
      <c r="AM624" s="94" t="n">
        <f aca="false">IF(ISNUMBER(H624),AA624*1000000*H624/10000,0)</f>
        <v>0</v>
      </c>
      <c r="AN624" s="94" t="n">
        <f aca="false">IF(OR(Y624=1,NOT(ISNUMBER(Z624))),0,AA624*1000000*Z624/10000)</f>
        <v>0</v>
      </c>
      <c r="AO624" s="94" t="n">
        <f aca="false">IF(ISNUMBER(G624),AA624*1000000*G624/100,0)</f>
        <v>0</v>
      </c>
      <c r="AP624" s="94" t="n">
        <f aca="false">IF(ISNUMBER(M624),M624*K624,0)</f>
        <v>0</v>
      </c>
      <c r="AQ624" s="95" t="str">
        <f aca="false">IF(AB624="","",INDEX(시장분석!$AK:$AK,AB624))</f>
        <v/>
      </c>
      <c r="AR624" s="43" t="str">
        <f aca="false">IF(AB624="","-",IF(AB624="","",INDEX(시장분석!$AL:$AL,AB624)))</f>
        <v>-</v>
      </c>
      <c r="AS624" s="96" t="str">
        <f aca="false">IF(AB624="","",INDEX(시장분석!$AJ:$AJ,AB624))</f>
        <v/>
      </c>
      <c r="AT624" s="93" t="n">
        <f aca="false">IF(AB624="",0,IF(AB624="","",INDEX(시장분석!$AN:$AN,AB624)))</f>
        <v>0</v>
      </c>
      <c r="AU624" s="94" t="n">
        <f aca="false">IF(ISNUMBER(Z624),AT624/10000*MAX(Z624-1,0)*AA624*1000000,0)</f>
        <v>0</v>
      </c>
      <c r="AV624" s="94" t="n">
        <f aca="false">AO624+AU624</f>
        <v>0</v>
      </c>
      <c r="AW624" s="43" t="str">
        <f aca="false">IF(Q624&lt;&gt;1,"",TRIM(IF(AD624=1,"FRN ","")&amp;IF(AND(AL624&gt;=10,AL624&lt;99),"BBB0미만 ","")&amp;IF(AJ624="","등급없음 ","")&amp;IF(K624&lt;&gt;1,"비USD ","")&amp;IF(AND(AB624="",Y624=0),"시장데이터없음 ","")&amp;IF(AND(ISNUMBER(U624),U624&lt;0),"만기경과 ","")))</f>
        <v/>
      </c>
      <c r="AX624" s="90" t="n">
        <f aca="false">IF(Q624&lt;&gt;1,1,IF(스프레드쇼크!$C$4="Y",INDEX(스프레드쇼크!$B$12:$L$16,IFERROR(MATCH(AH624,스프레드쇼크!$A$12:$A$16,0),MATCH("목록외",스프레드쇼크!$A$12:$A$16,0)),IFERROR(MATCH(AG624,스프레드쇼크!$B$11:$L$11,0),MATCH("목록외",스프레드쇼크!$B$11:$L$11,0))),1))</f>
        <v>1</v>
      </c>
      <c r="AY624" s="90" t="n">
        <f aca="false">IF(스프레드쇼크!$C$5="Y",IF(ISNUMBER(AF624),MIN(스프레드쇼크!$C$7,MAX(스프레드쇼크!$C$6,AF624/스프레드쇼크!$C$8)),1),1)</f>
        <v>1</v>
      </c>
      <c r="AZ624" s="94" t="n">
        <f aca="false">AN624*AX624*AY624</f>
        <v>0</v>
      </c>
      <c r="BA624" s="90" t="n">
        <f aca="false">IF(ISNUMBER(G624),AA624*G624,0)</f>
        <v>0</v>
      </c>
      <c r="BB624" s="90" t="n">
        <f aca="false">IF(ISNUMBER(G624),AA624,0)</f>
        <v>0</v>
      </c>
      <c r="BC624" s="90" t="n">
        <f aca="false">IF(AND(Y624=0,ISNUMBER(AF624)),AA624*AF624,0)</f>
        <v>0</v>
      </c>
      <c r="BD624" s="90" t="n">
        <f aca="false">IF(AND(Y624=0,ISNUMBER(AF624)),AA624,0)</f>
        <v>0</v>
      </c>
      <c r="BE624" s="90" t="n">
        <f aca="false">IF(ISNUMBER(H624),AA624*H624,0)</f>
        <v>0</v>
      </c>
      <c r="BF624" s="90" t="n">
        <f aca="false">IF(ISNUMBER(H624),AA624,0)</f>
        <v>0</v>
      </c>
      <c r="BG624" s="90" t="n">
        <f aca="false">IF(AND(Y624=0,ISNUMBER(AF624),ISNUMBER(Z624)),AA624*Z624,0)</f>
        <v>0</v>
      </c>
      <c r="BH624" s="90" t="n">
        <f aca="false">IF(AND(Y624=0,ISNUMBER(AF624),ISNUMBER(Z624)),AA624*AT624*MAX(Z624-1,0),0)</f>
        <v>0</v>
      </c>
      <c r="BI624" s="90" t="n">
        <f aca="false">IF(Y624=0,AA624,0)</f>
        <v>0</v>
      </c>
    </row>
    <row r="625" customFormat="false" ht="15" hidden="false" customHeight="false" outlineLevel="0" collapsed="false">
      <c r="A625" s="83" t="str">
        <f aca="false">IFERROR(IF(INDEX(원자료_잔고!$A$1:$EZ$1500,설정!$L$5+ROW()-1,설정!$L$8)&amp;""="0","",INDEX(원자료_잔고!$A$1:$EZ$1500,설정!$L$5+ROW()-1,설정!$L$8)&amp;""),"")</f>
        <v/>
      </c>
      <c r="B625" s="83" t="str">
        <f aca="false">IFERROR(IF(INDEX(원자료_잔고!$A$1:$EZ$1500,설정!$L$5+ROW()-1,설정!$L$7)&amp;""="0","",INDEX(원자료_잔고!$A$1:$EZ$1500,설정!$L$5+ROW()-1,설정!$L$7)&amp;""),"")</f>
        <v/>
      </c>
      <c r="C625" s="83" t="str">
        <f aca="false">IFERROR(IF(INDEX(원자료_잔고!$A$1:$EZ$1500,설정!$L$5+ROW()-1,설정!$L$9)&amp;""="0","",INDEX(원자료_잔고!$A$1:$EZ$1500,설정!$L$5+ROW()-1,설정!$L$9)&amp;""),"")</f>
        <v/>
      </c>
      <c r="D625" s="83" t="str">
        <f aca="false">IFERROR(IF(INDEX(원자료_잔고!$A$1:$EZ$1500,설정!$L$5+ROW()-1,설정!$L$10)&amp;""="0","",INDEX(원자료_잔고!$A$1:$EZ$1500,설정!$L$5+ROW()-1,설정!$L$10)&amp;""),"")</f>
        <v/>
      </c>
      <c r="E625" s="84" t="str">
        <f aca="false">IFERROR(IF(ISNUMBER(INDEX(원자료_잔고!$A$1:$EZ$1500,설정!$L$5+ROW()-1,설정!$L$11)),INDEX(원자료_잔고!$A$1:$EZ$1500,설정!$L$5+ROW()-1,설정!$L$11),""),"")</f>
        <v/>
      </c>
      <c r="F625" s="85" t="str">
        <f aca="false">IFERROR(IF(ISNUMBER(INDEX(원자료_잔고!$A$1:$EZ$1500,설정!$L$5+ROW()-1,설정!$L$12)),INDEX(원자료_잔고!$A$1:$EZ$1500,설정!$L$5+ROW()-1,설정!$L$12),""),"")</f>
        <v/>
      </c>
      <c r="G625" s="85" t="str">
        <f aca="false">IFERROR(IF(ISNUMBER(INDEX(원자료_잔고!$A$1:$EZ$1500,설정!$L$5+ROW()-1,설정!$L$13)),INDEX(원자료_잔고!$A$1:$EZ$1500,설정!$L$5+ROW()-1,설정!$L$13),""),"")</f>
        <v/>
      </c>
      <c r="H625" s="85" t="str">
        <f aca="false">IFERROR(IF(ISNUMBER(INDEX(원자료_잔고!$A$1:$EZ$1500,설정!$L$5+ROW()-1,설정!$L$14)),INDEX(원자료_잔고!$A$1:$EZ$1500,설정!$L$5+ROW()-1,설정!$L$14),""),"")</f>
        <v/>
      </c>
      <c r="I625" s="86" t="str">
        <f aca="false">IFERROR(IF(ISNUMBER(INDEX(원자료_잔고!$A$1:$EZ$1500,설정!$L$5+ROW()-1,설정!$L$15)),INDEX(원자료_잔고!$A$1:$EZ$1500,설정!$L$5+ROW()-1,설정!$L$15),""),"")</f>
        <v/>
      </c>
      <c r="J625" s="85" t="str">
        <f aca="false">IFERROR(IF(ISNUMBER(INDEX(원자료_잔고!$A$1:$EZ$1500,설정!$L$5+ROW()-1,설정!$L$16)),INDEX(원자료_잔고!$A$1:$EZ$1500,설정!$L$5+ROW()-1,설정!$L$16),""),"")</f>
        <v/>
      </c>
      <c r="K625" s="87" t="str">
        <f aca="false">IFERROR(IF(ISNUMBER(INDEX(원자료_잔고!$A$1:$EZ$1500,설정!$L$5+ROW()-1,설정!$L$17)),INDEX(원자료_잔고!$A$1:$EZ$1500,설정!$L$5+ROW()-1,설정!$L$17),""),"")</f>
        <v/>
      </c>
      <c r="L625" s="84" t="str">
        <f aca="false">IFERROR(IF(ISNUMBER(INDEX(원자료_잔고!$A$1:$EZ$1500,설정!$L$5+ROW()-1,설정!$L$18)),INDEX(원자료_잔고!$A$1:$EZ$1500,설정!$L$5+ROW()-1,설정!$L$18),""),"")</f>
        <v/>
      </c>
      <c r="M625" s="88" t="str">
        <f aca="false">IFERROR(IF(ISNUMBER(INDEX(원자료_잔고!$A$1:$EZ$1500,설정!$L$5+ROW()-1,설정!$L$19)),INDEX(원자료_잔고!$A$1:$EZ$1500,설정!$L$5+ROW()-1,설정!$L$19),""),"")</f>
        <v/>
      </c>
      <c r="N625" s="83" t="str">
        <f aca="false">IFERROR(IF(INDEX(원자료_잔고!$A$1:$EZ$1500,설정!$L$5+ROW()-1,설정!$L$21)&amp;""="0","",INDEX(원자료_잔고!$A$1:$EZ$1500,설정!$L$5+ROW()-1,설정!$L$21)&amp;""),"")</f>
        <v/>
      </c>
      <c r="O625" s="83" t="str">
        <f aca="false">IFERROR(IF(INDEX(원자료_잔고!$A$1:$EZ$1500,설정!$L$5+ROW()-1,설정!$L$22)&amp;""="0","",INDEX(원자료_잔고!$A$1:$EZ$1500,설정!$L$5+ROW()-1,설정!$L$22)&amp;""),"")</f>
        <v/>
      </c>
      <c r="P625" s="83" t="str">
        <f aca="false">IFERROR(IF(INDEX(원자료_잔고!$A$1:$EZ$1500,설정!$L$5+ROW()-1,설정!$L$23)&amp;""="0","",INDEX(원자료_잔고!$A$1:$EZ$1500,설정!$L$5+ROW()-1,설정!$L$23)&amp;""),"")</f>
        <v/>
      </c>
      <c r="Q625" s="89" t="n">
        <f aca="false">IF(AND($A625&lt;&gt;"",ISNUMBER(E625)),IF(E625&gt;0,1,0),0)</f>
        <v>0</v>
      </c>
      <c r="R625" s="43" t="str">
        <f aca="false">IF(Q625=1,UPPER(LEFT($A625,FIND(" ",$A625&amp;" ")-1)),"")</f>
        <v/>
      </c>
      <c r="S625" s="89" t="n">
        <f aca="false">IF(Q625=1,IF(OR(ISNUMBER(SEARCH("Float",$A625)),ISNUMBER(SEARCH("FRN",$A625))),1,0),0)</f>
        <v>0</v>
      </c>
      <c r="T625" s="43" t="str">
        <f aca="false">IF(AND(Q625=1,ISNUMBER(I625)),TEXT(I625,"yyyymmdd")&amp;"|"&amp;IF(S625=1,"F",TEXT(J625,"0.000")),"")</f>
        <v/>
      </c>
      <c r="U625" s="90" t="str">
        <f aca="false">IF(AND(Q625=1,ISNUMBER(I625)),(I625-설정!$C$4)/365.25,"")</f>
        <v/>
      </c>
      <c r="V625" s="43" t="str">
        <f aca="false">IF(Q625&lt;&gt;1,"",IF(ISNUMBER(U625),IF(U625&lt;=1,"1년 이하",IF(U625&lt;=2,"1-2년",IF(U625&lt;=3,"2-3년",IF(U625&lt;=4,"3-4년",IF(U625&lt;=5,"4-5년",IF(U625&lt;=7,"5-7년",IF(U625&lt;=10,"7-10년",IF(U625&lt;=20,"10-20년","20년 이상")))))))),"미분류"))</f>
        <v/>
      </c>
      <c r="W625" s="43" t="str">
        <f aca="false">IF(Q625&lt;&gt;1,"",IF(AB625&lt;&gt;"",INDEX(시장분석!$C:$C,AB625),IF(K625=1,"USD","비USD")))</f>
        <v/>
      </c>
      <c r="X625" s="91" t="n">
        <f aca="false">IF(Q625=1,E625*K625/1000000,0)</f>
        <v>0</v>
      </c>
      <c r="Y625" s="89" t="n">
        <f aca="false">IF(R625="T",1,0)</f>
        <v>0</v>
      </c>
      <c r="Z625" s="92" t="str">
        <f aca="false">IF(Q625&lt;&gt;1,"",IF(AD625=1,IF(ISNUMBER(U625),MAX(U625,0),H625),H625))</f>
        <v/>
      </c>
      <c r="AA625" s="91" t="n">
        <f aca="false">IF(Q625=1,IF(ISNUMBER(L625),L625,0)*K625/1000000,0)</f>
        <v>0</v>
      </c>
      <c r="AB625" s="89" t="str">
        <f aca="false">IF(Q625&lt;&gt;1,"",IFERROR(MATCH(VLOOKUP(B625,매핑!$H$4:$I$15,2,0),시장분석!$A$2:$A$601,0)+1,IFERROR(MATCH(R625&amp;"|"&amp;T625,시장분석!$V$2:$V$601,0)+1,IF(COUNTIF(시장분석!$U$2:$U$601,T625)=1,MATCH(T625,시장분석!$U$2:$U$601,0)+1,""))))</f>
        <v/>
      </c>
      <c r="AC625" s="89" t="n">
        <f aca="false">IF(Q625&lt;&gt;1,0,IF(OR(설정!$C$5="전체",AND(설정!$C$5="선택펀드",IFERROR(COUNTIFS(설정!$F$16:$F$36,C625,설정!$G$16:$G$36,"Y")+COUNTIFS(설정!$F$16:$F$36,VALUE(C625),설정!$G$16:$G$36,"Y"),0)&gt;0),C625&amp;""=설정!$C$5&amp;""),1,0))</f>
        <v>0</v>
      </c>
      <c r="AD625" s="89" t="n">
        <f aca="false">IF(Q625&lt;&gt;1,0,IF(OR(S625=1,IF(AB625="",FALSE(),INDEX(시장분석!$R:$R,AB625)=1)),1,0))</f>
        <v>0</v>
      </c>
      <c r="AE625" s="43" t="str">
        <f aca="false">IF(AB625="","",INDEX(시장분석!$A:$A,AB625))</f>
        <v/>
      </c>
      <c r="AF625" s="93" t="str">
        <f aca="false">IF(AB625="","",IF(ISNUMBER(IF(AB625="","",INDEX(시장분석!$E:$E,AB625))),IF(AB625="","",INDEX(시장분석!$E:$E,AB625)),""))</f>
        <v/>
      </c>
      <c r="AG625" s="43" t="str">
        <f aca="false">IF(Q625&lt;&gt;1,"",IF(AB625&lt;&gt;"",IF(AB625="","",INDEX(시장분석!$L:$L,AB625)),IFERROR(IF(VLOOKUP(R625,매핑!$A$4:$E$92,5,0)="","미분류",VLOOKUP(R625,매핑!$A$4:$E$92,5,0)),"미분류")))</f>
        <v/>
      </c>
      <c r="AH625" s="43" t="str">
        <f aca="false">IF(Q625&lt;&gt;1,"",IF(AB625&lt;&gt;"",IF(AB625="","",INDEX(시장분석!$N:$N,AB625)),IFERROR(IF(VLOOKUP(R625,매핑!$A$4:$E$92,4,0)="","미분류",VLOOKUP(R625,매핑!$A$4:$E$92,4,0)),"미분류")))</f>
        <v/>
      </c>
      <c r="AI625" s="43" t="str">
        <f aca="false">IF(Q625&lt;&gt;1,"",IFERROR(IF(VLOOKUP(R625,매핑!$A$4:$E$92,3,0)="","미분류",VLOOKUP(R625,매핑!$A$4:$E$92,3,0)),IF(AB625&lt;&gt;"",IF(AB625="","",INDEX(시장분석!$W:$W,AB625)),"미분류")))</f>
        <v/>
      </c>
      <c r="AJ625" s="43" t="str">
        <f aca="false">IF(Q625&lt;&gt;1,"",IFERROR(VLOOKUP(IF(N625&lt;&gt;"",N625,IF(P625&lt;&gt;"",P625,O625)),설정!$A$15:$D$47,2,0),""))</f>
        <v/>
      </c>
      <c r="AK625" s="43" t="str">
        <f aca="false">IF(Q625&lt;&gt;1,"",IF(AJ625="","무등급",IFERROR(VLOOKUP(AJ625,설정!$A$15:$D$47,3,0),"무등급")))</f>
        <v/>
      </c>
      <c r="AL625" s="89" t="n">
        <f aca="false">IF(AJ625="",99,IFERROR(VLOOKUP(AJ625,설정!$A$15:$D$47,4,0),99))</f>
        <v>99</v>
      </c>
      <c r="AM625" s="94" t="n">
        <f aca="false">IF(ISNUMBER(H625),AA625*1000000*H625/10000,0)</f>
        <v>0</v>
      </c>
      <c r="AN625" s="94" t="n">
        <f aca="false">IF(OR(Y625=1,NOT(ISNUMBER(Z625))),0,AA625*1000000*Z625/10000)</f>
        <v>0</v>
      </c>
      <c r="AO625" s="94" t="n">
        <f aca="false">IF(ISNUMBER(G625),AA625*1000000*G625/100,0)</f>
        <v>0</v>
      </c>
      <c r="AP625" s="94" t="n">
        <f aca="false">IF(ISNUMBER(M625),M625*K625,0)</f>
        <v>0</v>
      </c>
      <c r="AQ625" s="95" t="str">
        <f aca="false">IF(AB625="","",INDEX(시장분석!$AK:$AK,AB625))</f>
        <v/>
      </c>
      <c r="AR625" s="43" t="str">
        <f aca="false">IF(AB625="","-",IF(AB625="","",INDEX(시장분석!$AL:$AL,AB625)))</f>
        <v>-</v>
      </c>
      <c r="AS625" s="96" t="str">
        <f aca="false">IF(AB625="","",INDEX(시장분석!$AJ:$AJ,AB625))</f>
        <v/>
      </c>
      <c r="AT625" s="93" t="n">
        <f aca="false">IF(AB625="",0,IF(AB625="","",INDEX(시장분석!$AN:$AN,AB625)))</f>
        <v>0</v>
      </c>
      <c r="AU625" s="94" t="n">
        <f aca="false">IF(ISNUMBER(Z625),AT625/10000*MAX(Z625-1,0)*AA625*1000000,0)</f>
        <v>0</v>
      </c>
      <c r="AV625" s="94" t="n">
        <f aca="false">AO625+AU625</f>
        <v>0</v>
      </c>
      <c r="AW625" s="43" t="str">
        <f aca="false">IF(Q625&lt;&gt;1,"",TRIM(IF(AD625=1,"FRN ","")&amp;IF(AND(AL625&gt;=10,AL625&lt;99),"BBB0미만 ","")&amp;IF(AJ625="","등급없음 ","")&amp;IF(K625&lt;&gt;1,"비USD ","")&amp;IF(AND(AB625="",Y625=0),"시장데이터없음 ","")&amp;IF(AND(ISNUMBER(U625),U625&lt;0),"만기경과 ","")))</f>
        <v/>
      </c>
      <c r="AX625" s="90" t="n">
        <f aca="false">IF(Q625&lt;&gt;1,1,IF(스프레드쇼크!$C$4="Y",INDEX(스프레드쇼크!$B$12:$L$16,IFERROR(MATCH(AH625,스프레드쇼크!$A$12:$A$16,0),MATCH("목록외",스프레드쇼크!$A$12:$A$16,0)),IFERROR(MATCH(AG625,스프레드쇼크!$B$11:$L$11,0),MATCH("목록외",스프레드쇼크!$B$11:$L$11,0))),1))</f>
        <v>1</v>
      </c>
      <c r="AY625" s="90" t="n">
        <f aca="false">IF(스프레드쇼크!$C$5="Y",IF(ISNUMBER(AF625),MIN(스프레드쇼크!$C$7,MAX(스프레드쇼크!$C$6,AF625/스프레드쇼크!$C$8)),1),1)</f>
        <v>1</v>
      </c>
      <c r="AZ625" s="94" t="n">
        <f aca="false">AN625*AX625*AY625</f>
        <v>0</v>
      </c>
      <c r="BA625" s="90" t="n">
        <f aca="false">IF(ISNUMBER(G625),AA625*G625,0)</f>
        <v>0</v>
      </c>
      <c r="BB625" s="90" t="n">
        <f aca="false">IF(ISNUMBER(G625),AA625,0)</f>
        <v>0</v>
      </c>
      <c r="BC625" s="90" t="n">
        <f aca="false">IF(AND(Y625=0,ISNUMBER(AF625)),AA625*AF625,0)</f>
        <v>0</v>
      </c>
      <c r="BD625" s="90" t="n">
        <f aca="false">IF(AND(Y625=0,ISNUMBER(AF625)),AA625,0)</f>
        <v>0</v>
      </c>
      <c r="BE625" s="90" t="n">
        <f aca="false">IF(ISNUMBER(H625),AA625*H625,0)</f>
        <v>0</v>
      </c>
      <c r="BF625" s="90" t="n">
        <f aca="false">IF(ISNUMBER(H625),AA625,0)</f>
        <v>0</v>
      </c>
      <c r="BG625" s="90" t="n">
        <f aca="false">IF(AND(Y625=0,ISNUMBER(AF625),ISNUMBER(Z625)),AA625*Z625,0)</f>
        <v>0</v>
      </c>
      <c r="BH625" s="90" t="n">
        <f aca="false">IF(AND(Y625=0,ISNUMBER(AF625),ISNUMBER(Z625)),AA625*AT625*MAX(Z625-1,0),0)</f>
        <v>0</v>
      </c>
      <c r="BI625" s="90" t="n">
        <f aca="false">IF(Y625=0,AA625,0)</f>
        <v>0</v>
      </c>
    </row>
    <row r="626" customFormat="false" ht="15" hidden="false" customHeight="false" outlineLevel="0" collapsed="false">
      <c r="A626" s="83" t="str">
        <f aca="false">IFERROR(IF(INDEX(원자료_잔고!$A$1:$EZ$1500,설정!$L$5+ROW()-1,설정!$L$8)&amp;""="0","",INDEX(원자료_잔고!$A$1:$EZ$1500,설정!$L$5+ROW()-1,설정!$L$8)&amp;""),"")</f>
        <v/>
      </c>
      <c r="B626" s="83" t="str">
        <f aca="false">IFERROR(IF(INDEX(원자료_잔고!$A$1:$EZ$1500,설정!$L$5+ROW()-1,설정!$L$7)&amp;""="0","",INDEX(원자료_잔고!$A$1:$EZ$1500,설정!$L$5+ROW()-1,설정!$L$7)&amp;""),"")</f>
        <v/>
      </c>
      <c r="C626" s="83" t="str">
        <f aca="false">IFERROR(IF(INDEX(원자료_잔고!$A$1:$EZ$1500,설정!$L$5+ROW()-1,설정!$L$9)&amp;""="0","",INDEX(원자료_잔고!$A$1:$EZ$1500,설정!$L$5+ROW()-1,설정!$L$9)&amp;""),"")</f>
        <v/>
      </c>
      <c r="D626" s="83" t="str">
        <f aca="false">IFERROR(IF(INDEX(원자료_잔고!$A$1:$EZ$1500,설정!$L$5+ROW()-1,설정!$L$10)&amp;""="0","",INDEX(원자료_잔고!$A$1:$EZ$1500,설정!$L$5+ROW()-1,설정!$L$10)&amp;""),"")</f>
        <v/>
      </c>
      <c r="E626" s="84" t="str">
        <f aca="false">IFERROR(IF(ISNUMBER(INDEX(원자료_잔고!$A$1:$EZ$1500,설정!$L$5+ROW()-1,설정!$L$11)),INDEX(원자료_잔고!$A$1:$EZ$1500,설정!$L$5+ROW()-1,설정!$L$11),""),"")</f>
        <v/>
      </c>
      <c r="F626" s="85" t="str">
        <f aca="false">IFERROR(IF(ISNUMBER(INDEX(원자료_잔고!$A$1:$EZ$1500,설정!$L$5+ROW()-1,설정!$L$12)),INDEX(원자료_잔고!$A$1:$EZ$1500,설정!$L$5+ROW()-1,설정!$L$12),""),"")</f>
        <v/>
      </c>
      <c r="G626" s="85" t="str">
        <f aca="false">IFERROR(IF(ISNUMBER(INDEX(원자료_잔고!$A$1:$EZ$1500,설정!$L$5+ROW()-1,설정!$L$13)),INDEX(원자료_잔고!$A$1:$EZ$1500,설정!$L$5+ROW()-1,설정!$L$13),""),"")</f>
        <v/>
      </c>
      <c r="H626" s="85" t="str">
        <f aca="false">IFERROR(IF(ISNUMBER(INDEX(원자료_잔고!$A$1:$EZ$1500,설정!$L$5+ROW()-1,설정!$L$14)),INDEX(원자료_잔고!$A$1:$EZ$1500,설정!$L$5+ROW()-1,설정!$L$14),""),"")</f>
        <v/>
      </c>
      <c r="I626" s="86" t="str">
        <f aca="false">IFERROR(IF(ISNUMBER(INDEX(원자료_잔고!$A$1:$EZ$1500,설정!$L$5+ROW()-1,설정!$L$15)),INDEX(원자료_잔고!$A$1:$EZ$1500,설정!$L$5+ROW()-1,설정!$L$15),""),"")</f>
        <v/>
      </c>
      <c r="J626" s="85" t="str">
        <f aca="false">IFERROR(IF(ISNUMBER(INDEX(원자료_잔고!$A$1:$EZ$1500,설정!$L$5+ROW()-1,설정!$L$16)),INDEX(원자료_잔고!$A$1:$EZ$1500,설정!$L$5+ROW()-1,설정!$L$16),""),"")</f>
        <v/>
      </c>
      <c r="K626" s="87" t="str">
        <f aca="false">IFERROR(IF(ISNUMBER(INDEX(원자료_잔고!$A$1:$EZ$1500,설정!$L$5+ROW()-1,설정!$L$17)),INDEX(원자료_잔고!$A$1:$EZ$1500,설정!$L$5+ROW()-1,설정!$L$17),""),"")</f>
        <v/>
      </c>
      <c r="L626" s="84" t="str">
        <f aca="false">IFERROR(IF(ISNUMBER(INDEX(원자료_잔고!$A$1:$EZ$1500,설정!$L$5+ROW()-1,설정!$L$18)),INDEX(원자료_잔고!$A$1:$EZ$1500,설정!$L$5+ROW()-1,설정!$L$18),""),"")</f>
        <v/>
      </c>
      <c r="M626" s="88" t="str">
        <f aca="false">IFERROR(IF(ISNUMBER(INDEX(원자료_잔고!$A$1:$EZ$1500,설정!$L$5+ROW()-1,설정!$L$19)),INDEX(원자료_잔고!$A$1:$EZ$1500,설정!$L$5+ROW()-1,설정!$L$19),""),"")</f>
        <v/>
      </c>
      <c r="N626" s="83" t="str">
        <f aca="false">IFERROR(IF(INDEX(원자료_잔고!$A$1:$EZ$1500,설정!$L$5+ROW()-1,설정!$L$21)&amp;""="0","",INDEX(원자료_잔고!$A$1:$EZ$1500,설정!$L$5+ROW()-1,설정!$L$21)&amp;""),"")</f>
        <v/>
      </c>
      <c r="O626" s="83" t="str">
        <f aca="false">IFERROR(IF(INDEX(원자료_잔고!$A$1:$EZ$1500,설정!$L$5+ROW()-1,설정!$L$22)&amp;""="0","",INDEX(원자료_잔고!$A$1:$EZ$1500,설정!$L$5+ROW()-1,설정!$L$22)&amp;""),"")</f>
        <v/>
      </c>
      <c r="P626" s="83" t="str">
        <f aca="false">IFERROR(IF(INDEX(원자료_잔고!$A$1:$EZ$1500,설정!$L$5+ROW()-1,설정!$L$23)&amp;""="0","",INDEX(원자료_잔고!$A$1:$EZ$1500,설정!$L$5+ROW()-1,설정!$L$23)&amp;""),"")</f>
        <v/>
      </c>
      <c r="Q626" s="89" t="n">
        <f aca="false">IF(AND($A626&lt;&gt;"",ISNUMBER(E626)),IF(E626&gt;0,1,0),0)</f>
        <v>0</v>
      </c>
      <c r="R626" s="43" t="str">
        <f aca="false">IF(Q626=1,UPPER(LEFT($A626,FIND(" ",$A626&amp;" ")-1)),"")</f>
        <v/>
      </c>
      <c r="S626" s="89" t="n">
        <f aca="false">IF(Q626=1,IF(OR(ISNUMBER(SEARCH("Float",$A626)),ISNUMBER(SEARCH("FRN",$A626))),1,0),0)</f>
        <v>0</v>
      </c>
      <c r="T626" s="43" t="str">
        <f aca="false">IF(AND(Q626=1,ISNUMBER(I626)),TEXT(I626,"yyyymmdd")&amp;"|"&amp;IF(S626=1,"F",TEXT(J626,"0.000")),"")</f>
        <v/>
      </c>
      <c r="U626" s="90" t="str">
        <f aca="false">IF(AND(Q626=1,ISNUMBER(I626)),(I626-설정!$C$4)/365.25,"")</f>
        <v/>
      </c>
      <c r="V626" s="43" t="str">
        <f aca="false">IF(Q626&lt;&gt;1,"",IF(ISNUMBER(U626),IF(U626&lt;=1,"1년 이하",IF(U626&lt;=2,"1-2년",IF(U626&lt;=3,"2-3년",IF(U626&lt;=4,"3-4년",IF(U626&lt;=5,"4-5년",IF(U626&lt;=7,"5-7년",IF(U626&lt;=10,"7-10년",IF(U626&lt;=20,"10-20년","20년 이상")))))))),"미분류"))</f>
        <v/>
      </c>
      <c r="W626" s="43" t="str">
        <f aca="false">IF(Q626&lt;&gt;1,"",IF(AB626&lt;&gt;"",INDEX(시장분석!$C:$C,AB626),IF(K626=1,"USD","비USD")))</f>
        <v/>
      </c>
      <c r="X626" s="91" t="n">
        <f aca="false">IF(Q626=1,E626*K626/1000000,0)</f>
        <v>0</v>
      </c>
      <c r="Y626" s="89" t="n">
        <f aca="false">IF(R626="T",1,0)</f>
        <v>0</v>
      </c>
      <c r="Z626" s="92" t="str">
        <f aca="false">IF(Q626&lt;&gt;1,"",IF(AD626=1,IF(ISNUMBER(U626),MAX(U626,0),H626),H626))</f>
        <v/>
      </c>
      <c r="AA626" s="91" t="n">
        <f aca="false">IF(Q626=1,IF(ISNUMBER(L626),L626,0)*K626/1000000,0)</f>
        <v>0</v>
      </c>
      <c r="AB626" s="89" t="str">
        <f aca="false">IF(Q626&lt;&gt;1,"",IFERROR(MATCH(VLOOKUP(B626,매핑!$H$4:$I$15,2,0),시장분석!$A$2:$A$601,0)+1,IFERROR(MATCH(R626&amp;"|"&amp;T626,시장분석!$V$2:$V$601,0)+1,IF(COUNTIF(시장분석!$U$2:$U$601,T626)=1,MATCH(T626,시장분석!$U$2:$U$601,0)+1,""))))</f>
        <v/>
      </c>
      <c r="AC626" s="89" t="n">
        <f aca="false">IF(Q626&lt;&gt;1,0,IF(OR(설정!$C$5="전체",AND(설정!$C$5="선택펀드",IFERROR(COUNTIFS(설정!$F$16:$F$36,C626,설정!$G$16:$G$36,"Y")+COUNTIFS(설정!$F$16:$F$36,VALUE(C626),설정!$G$16:$G$36,"Y"),0)&gt;0),C626&amp;""=설정!$C$5&amp;""),1,0))</f>
        <v>0</v>
      </c>
      <c r="AD626" s="89" t="n">
        <f aca="false">IF(Q626&lt;&gt;1,0,IF(OR(S626=1,IF(AB626="",FALSE(),INDEX(시장분석!$R:$R,AB626)=1)),1,0))</f>
        <v>0</v>
      </c>
      <c r="AE626" s="43" t="str">
        <f aca="false">IF(AB626="","",INDEX(시장분석!$A:$A,AB626))</f>
        <v/>
      </c>
      <c r="AF626" s="93" t="str">
        <f aca="false">IF(AB626="","",IF(ISNUMBER(IF(AB626="","",INDEX(시장분석!$E:$E,AB626))),IF(AB626="","",INDEX(시장분석!$E:$E,AB626)),""))</f>
        <v/>
      </c>
      <c r="AG626" s="43" t="str">
        <f aca="false">IF(Q626&lt;&gt;1,"",IF(AB626&lt;&gt;"",IF(AB626="","",INDEX(시장분석!$L:$L,AB626)),IFERROR(IF(VLOOKUP(R626,매핑!$A$4:$E$92,5,0)="","미분류",VLOOKUP(R626,매핑!$A$4:$E$92,5,0)),"미분류")))</f>
        <v/>
      </c>
      <c r="AH626" s="43" t="str">
        <f aca="false">IF(Q626&lt;&gt;1,"",IF(AB626&lt;&gt;"",IF(AB626="","",INDEX(시장분석!$N:$N,AB626)),IFERROR(IF(VLOOKUP(R626,매핑!$A$4:$E$92,4,0)="","미분류",VLOOKUP(R626,매핑!$A$4:$E$92,4,0)),"미분류")))</f>
        <v/>
      </c>
      <c r="AI626" s="43" t="str">
        <f aca="false">IF(Q626&lt;&gt;1,"",IFERROR(IF(VLOOKUP(R626,매핑!$A$4:$E$92,3,0)="","미분류",VLOOKUP(R626,매핑!$A$4:$E$92,3,0)),IF(AB626&lt;&gt;"",IF(AB626="","",INDEX(시장분석!$W:$W,AB626)),"미분류")))</f>
        <v/>
      </c>
      <c r="AJ626" s="43" t="str">
        <f aca="false">IF(Q626&lt;&gt;1,"",IFERROR(VLOOKUP(IF(N626&lt;&gt;"",N626,IF(P626&lt;&gt;"",P626,O626)),설정!$A$15:$D$47,2,0),""))</f>
        <v/>
      </c>
      <c r="AK626" s="43" t="str">
        <f aca="false">IF(Q626&lt;&gt;1,"",IF(AJ626="","무등급",IFERROR(VLOOKUP(AJ626,설정!$A$15:$D$47,3,0),"무등급")))</f>
        <v/>
      </c>
      <c r="AL626" s="89" t="n">
        <f aca="false">IF(AJ626="",99,IFERROR(VLOOKUP(AJ626,설정!$A$15:$D$47,4,0),99))</f>
        <v>99</v>
      </c>
      <c r="AM626" s="94" t="n">
        <f aca="false">IF(ISNUMBER(H626),AA626*1000000*H626/10000,0)</f>
        <v>0</v>
      </c>
      <c r="AN626" s="94" t="n">
        <f aca="false">IF(OR(Y626=1,NOT(ISNUMBER(Z626))),0,AA626*1000000*Z626/10000)</f>
        <v>0</v>
      </c>
      <c r="AO626" s="94" t="n">
        <f aca="false">IF(ISNUMBER(G626),AA626*1000000*G626/100,0)</f>
        <v>0</v>
      </c>
      <c r="AP626" s="94" t="n">
        <f aca="false">IF(ISNUMBER(M626),M626*K626,0)</f>
        <v>0</v>
      </c>
      <c r="AQ626" s="95" t="str">
        <f aca="false">IF(AB626="","",INDEX(시장분석!$AK:$AK,AB626))</f>
        <v/>
      </c>
      <c r="AR626" s="43" t="str">
        <f aca="false">IF(AB626="","-",IF(AB626="","",INDEX(시장분석!$AL:$AL,AB626)))</f>
        <v>-</v>
      </c>
      <c r="AS626" s="96" t="str">
        <f aca="false">IF(AB626="","",INDEX(시장분석!$AJ:$AJ,AB626))</f>
        <v/>
      </c>
      <c r="AT626" s="93" t="n">
        <f aca="false">IF(AB626="",0,IF(AB626="","",INDEX(시장분석!$AN:$AN,AB626)))</f>
        <v>0</v>
      </c>
      <c r="AU626" s="94" t="n">
        <f aca="false">IF(ISNUMBER(Z626),AT626/10000*MAX(Z626-1,0)*AA626*1000000,0)</f>
        <v>0</v>
      </c>
      <c r="AV626" s="94" t="n">
        <f aca="false">AO626+AU626</f>
        <v>0</v>
      </c>
      <c r="AW626" s="43" t="str">
        <f aca="false">IF(Q626&lt;&gt;1,"",TRIM(IF(AD626=1,"FRN ","")&amp;IF(AND(AL626&gt;=10,AL626&lt;99),"BBB0미만 ","")&amp;IF(AJ626="","등급없음 ","")&amp;IF(K626&lt;&gt;1,"비USD ","")&amp;IF(AND(AB626="",Y626=0),"시장데이터없음 ","")&amp;IF(AND(ISNUMBER(U626),U626&lt;0),"만기경과 ","")))</f>
        <v/>
      </c>
      <c r="AX626" s="90" t="n">
        <f aca="false">IF(Q626&lt;&gt;1,1,IF(스프레드쇼크!$C$4="Y",INDEX(스프레드쇼크!$B$12:$L$16,IFERROR(MATCH(AH626,스프레드쇼크!$A$12:$A$16,0),MATCH("목록외",스프레드쇼크!$A$12:$A$16,0)),IFERROR(MATCH(AG626,스프레드쇼크!$B$11:$L$11,0),MATCH("목록외",스프레드쇼크!$B$11:$L$11,0))),1))</f>
        <v>1</v>
      </c>
      <c r="AY626" s="90" t="n">
        <f aca="false">IF(스프레드쇼크!$C$5="Y",IF(ISNUMBER(AF626),MIN(스프레드쇼크!$C$7,MAX(스프레드쇼크!$C$6,AF626/스프레드쇼크!$C$8)),1),1)</f>
        <v>1</v>
      </c>
      <c r="AZ626" s="94" t="n">
        <f aca="false">AN626*AX626*AY626</f>
        <v>0</v>
      </c>
      <c r="BA626" s="90" t="n">
        <f aca="false">IF(ISNUMBER(G626),AA626*G626,0)</f>
        <v>0</v>
      </c>
      <c r="BB626" s="90" t="n">
        <f aca="false">IF(ISNUMBER(G626),AA626,0)</f>
        <v>0</v>
      </c>
      <c r="BC626" s="90" t="n">
        <f aca="false">IF(AND(Y626=0,ISNUMBER(AF626)),AA626*AF626,0)</f>
        <v>0</v>
      </c>
      <c r="BD626" s="90" t="n">
        <f aca="false">IF(AND(Y626=0,ISNUMBER(AF626)),AA626,0)</f>
        <v>0</v>
      </c>
      <c r="BE626" s="90" t="n">
        <f aca="false">IF(ISNUMBER(H626),AA626*H626,0)</f>
        <v>0</v>
      </c>
      <c r="BF626" s="90" t="n">
        <f aca="false">IF(ISNUMBER(H626),AA626,0)</f>
        <v>0</v>
      </c>
      <c r="BG626" s="90" t="n">
        <f aca="false">IF(AND(Y626=0,ISNUMBER(AF626),ISNUMBER(Z626)),AA626*Z626,0)</f>
        <v>0</v>
      </c>
      <c r="BH626" s="90" t="n">
        <f aca="false">IF(AND(Y626=0,ISNUMBER(AF626),ISNUMBER(Z626)),AA626*AT626*MAX(Z626-1,0),0)</f>
        <v>0</v>
      </c>
      <c r="BI626" s="90" t="n">
        <f aca="false">IF(Y626=0,AA626,0)</f>
        <v>0</v>
      </c>
    </row>
    <row r="627" customFormat="false" ht="15" hidden="false" customHeight="false" outlineLevel="0" collapsed="false">
      <c r="A627" s="83" t="str">
        <f aca="false">IFERROR(IF(INDEX(원자료_잔고!$A$1:$EZ$1500,설정!$L$5+ROW()-1,설정!$L$8)&amp;""="0","",INDEX(원자료_잔고!$A$1:$EZ$1500,설정!$L$5+ROW()-1,설정!$L$8)&amp;""),"")</f>
        <v/>
      </c>
      <c r="B627" s="83" t="str">
        <f aca="false">IFERROR(IF(INDEX(원자료_잔고!$A$1:$EZ$1500,설정!$L$5+ROW()-1,설정!$L$7)&amp;""="0","",INDEX(원자료_잔고!$A$1:$EZ$1500,설정!$L$5+ROW()-1,설정!$L$7)&amp;""),"")</f>
        <v/>
      </c>
      <c r="C627" s="83" t="str">
        <f aca="false">IFERROR(IF(INDEX(원자료_잔고!$A$1:$EZ$1500,설정!$L$5+ROW()-1,설정!$L$9)&amp;""="0","",INDEX(원자료_잔고!$A$1:$EZ$1500,설정!$L$5+ROW()-1,설정!$L$9)&amp;""),"")</f>
        <v/>
      </c>
      <c r="D627" s="83" t="str">
        <f aca="false">IFERROR(IF(INDEX(원자료_잔고!$A$1:$EZ$1500,설정!$L$5+ROW()-1,설정!$L$10)&amp;""="0","",INDEX(원자료_잔고!$A$1:$EZ$1500,설정!$L$5+ROW()-1,설정!$L$10)&amp;""),"")</f>
        <v/>
      </c>
      <c r="E627" s="84" t="str">
        <f aca="false">IFERROR(IF(ISNUMBER(INDEX(원자료_잔고!$A$1:$EZ$1500,설정!$L$5+ROW()-1,설정!$L$11)),INDEX(원자료_잔고!$A$1:$EZ$1500,설정!$L$5+ROW()-1,설정!$L$11),""),"")</f>
        <v/>
      </c>
      <c r="F627" s="85" t="str">
        <f aca="false">IFERROR(IF(ISNUMBER(INDEX(원자료_잔고!$A$1:$EZ$1500,설정!$L$5+ROW()-1,설정!$L$12)),INDEX(원자료_잔고!$A$1:$EZ$1500,설정!$L$5+ROW()-1,설정!$L$12),""),"")</f>
        <v/>
      </c>
      <c r="G627" s="85" t="str">
        <f aca="false">IFERROR(IF(ISNUMBER(INDEX(원자료_잔고!$A$1:$EZ$1500,설정!$L$5+ROW()-1,설정!$L$13)),INDEX(원자료_잔고!$A$1:$EZ$1500,설정!$L$5+ROW()-1,설정!$L$13),""),"")</f>
        <v/>
      </c>
      <c r="H627" s="85" t="str">
        <f aca="false">IFERROR(IF(ISNUMBER(INDEX(원자료_잔고!$A$1:$EZ$1500,설정!$L$5+ROW()-1,설정!$L$14)),INDEX(원자료_잔고!$A$1:$EZ$1500,설정!$L$5+ROW()-1,설정!$L$14),""),"")</f>
        <v/>
      </c>
      <c r="I627" s="86" t="str">
        <f aca="false">IFERROR(IF(ISNUMBER(INDEX(원자료_잔고!$A$1:$EZ$1500,설정!$L$5+ROW()-1,설정!$L$15)),INDEX(원자료_잔고!$A$1:$EZ$1500,설정!$L$5+ROW()-1,설정!$L$15),""),"")</f>
        <v/>
      </c>
      <c r="J627" s="85" t="str">
        <f aca="false">IFERROR(IF(ISNUMBER(INDEX(원자료_잔고!$A$1:$EZ$1500,설정!$L$5+ROW()-1,설정!$L$16)),INDEX(원자료_잔고!$A$1:$EZ$1500,설정!$L$5+ROW()-1,설정!$L$16),""),"")</f>
        <v/>
      </c>
      <c r="K627" s="87" t="str">
        <f aca="false">IFERROR(IF(ISNUMBER(INDEX(원자료_잔고!$A$1:$EZ$1500,설정!$L$5+ROW()-1,설정!$L$17)),INDEX(원자료_잔고!$A$1:$EZ$1500,설정!$L$5+ROW()-1,설정!$L$17),""),"")</f>
        <v/>
      </c>
      <c r="L627" s="84" t="str">
        <f aca="false">IFERROR(IF(ISNUMBER(INDEX(원자료_잔고!$A$1:$EZ$1500,설정!$L$5+ROW()-1,설정!$L$18)),INDEX(원자료_잔고!$A$1:$EZ$1500,설정!$L$5+ROW()-1,설정!$L$18),""),"")</f>
        <v/>
      </c>
      <c r="M627" s="88" t="str">
        <f aca="false">IFERROR(IF(ISNUMBER(INDEX(원자료_잔고!$A$1:$EZ$1500,설정!$L$5+ROW()-1,설정!$L$19)),INDEX(원자료_잔고!$A$1:$EZ$1500,설정!$L$5+ROW()-1,설정!$L$19),""),"")</f>
        <v/>
      </c>
      <c r="N627" s="83" t="str">
        <f aca="false">IFERROR(IF(INDEX(원자료_잔고!$A$1:$EZ$1500,설정!$L$5+ROW()-1,설정!$L$21)&amp;""="0","",INDEX(원자료_잔고!$A$1:$EZ$1500,설정!$L$5+ROW()-1,설정!$L$21)&amp;""),"")</f>
        <v/>
      </c>
      <c r="O627" s="83" t="str">
        <f aca="false">IFERROR(IF(INDEX(원자료_잔고!$A$1:$EZ$1500,설정!$L$5+ROW()-1,설정!$L$22)&amp;""="0","",INDEX(원자료_잔고!$A$1:$EZ$1500,설정!$L$5+ROW()-1,설정!$L$22)&amp;""),"")</f>
        <v/>
      </c>
      <c r="P627" s="83" t="str">
        <f aca="false">IFERROR(IF(INDEX(원자료_잔고!$A$1:$EZ$1500,설정!$L$5+ROW()-1,설정!$L$23)&amp;""="0","",INDEX(원자료_잔고!$A$1:$EZ$1500,설정!$L$5+ROW()-1,설정!$L$23)&amp;""),"")</f>
        <v/>
      </c>
      <c r="Q627" s="89" t="n">
        <f aca="false">IF(AND($A627&lt;&gt;"",ISNUMBER(E627)),IF(E627&gt;0,1,0),0)</f>
        <v>0</v>
      </c>
      <c r="R627" s="43" t="str">
        <f aca="false">IF(Q627=1,UPPER(LEFT($A627,FIND(" ",$A627&amp;" ")-1)),"")</f>
        <v/>
      </c>
      <c r="S627" s="89" t="n">
        <f aca="false">IF(Q627=1,IF(OR(ISNUMBER(SEARCH("Float",$A627)),ISNUMBER(SEARCH("FRN",$A627))),1,0),0)</f>
        <v>0</v>
      </c>
      <c r="T627" s="43" t="str">
        <f aca="false">IF(AND(Q627=1,ISNUMBER(I627)),TEXT(I627,"yyyymmdd")&amp;"|"&amp;IF(S627=1,"F",TEXT(J627,"0.000")),"")</f>
        <v/>
      </c>
      <c r="U627" s="90" t="str">
        <f aca="false">IF(AND(Q627=1,ISNUMBER(I627)),(I627-설정!$C$4)/365.25,"")</f>
        <v/>
      </c>
      <c r="V627" s="43" t="str">
        <f aca="false">IF(Q627&lt;&gt;1,"",IF(ISNUMBER(U627),IF(U627&lt;=1,"1년 이하",IF(U627&lt;=2,"1-2년",IF(U627&lt;=3,"2-3년",IF(U627&lt;=4,"3-4년",IF(U627&lt;=5,"4-5년",IF(U627&lt;=7,"5-7년",IF(U627&lt;=10,"7-10년",IF(U627&lt;=20,"10-20년","20년 이상")))))))),"미분류"))</f>
        <v/>
      </c>
      <c r="W627" s="43" t="str">
        <f aca="false">IF(Q627&lt;&gt;1,"",IF(AB627&lt;&gt;"",INDEX(시장분석!$C:$C,AB627),IF(K627=1,"USD","비USD")))</f>
        <v/>
      </c>
      <c r="X627" s="91" t="n">
        <f aca="false">IF(Q627=1,E627*K627/1000000,0)</f>
        <v>0</v>
      </c>
      <c r="Y627" s="89" t="n">
        <f aca="false">IF(R627="T",1,0)</f>
        <v>0</v>
      </c>
      <c r="Z627" s="92" t="str">
        <f aca="false">IF(Q627&lt;&gt;1,"",IF(AD627=1,IF(ISNUMBER(U627),MAX(U627,0),H627),H627))</f>
        <v/>
      </c>
      <c r="AA627" s="91" t="n">
        <f aca="false">IF(Q627=1,IF(ISNUMBER(L627),L627,0)*K627/1000000,0)</f>
        <v>0</v>
      </c>
      <c r="AB627" s="89" t="str">
        <f aca="false">IF(Q627&lt;&gt;1,"",IFERROR(MATCH(VLOOKUP(B627,매핑!$H$4:$I$15,2,0),시장분석!$A$2:$A$601,0)+1,IFERROR(MATCH(R627&amp;"|"&amp;T627,시장분석!$V$2:$V$601,0)+1,IF(COUNTIF(시장분석!$U$2:$U$601,T627)=1,MATCH(T627,시장분석!$U$2:$U$601,0)+1,""))))</f>
        <v/>
      </c>
      <c r="AC627" s="89" t="n">
        <f aca="false">IF(Q627&lt;&gt;1,0,IF(OR(설정!$C$5="전체",AND(설정!$C$5="선택펀드",IFERROR(COUNTIFS(설정!$F$16:$F$36,C627,설정!$G$16:$G$36,"Y")+COUNTIFS(설정!$F$16:$F$36,VALUE(C627),설정!$G$16:$G$36,"Y"),0)&gt;0),C627&amp;""=설정!$C$5&amp;""),1,0))</f>
        <v>0</v>
      </c>
      <c r="AD627" s="89" t="n">
        <f aca="false">IF(Q627&lt;&gt;1,0,IF(OR(S627=1,IF(AB627="",FALSE(),INDEX(시장분석!$R:$R,AB627)=1)),1,0))</f>
        <v>0</v>
      </c>
      <c r="AE627" s="43" t="str">
        <f aca="false">IF(AB627="","",INDEX(시장분석!$A:$A,AB627))</f>
        <v/>
      </c>
      <c r="AF627" s="93" t="str">
        <f aca="false">IF(AB627="","",IF(ISNUMBER(IF(AB627="","",INDEX(시장분석!$E:$E,AB627))),IF(AB627="","",INDEX(시장분석!$E:$E,AB627)),""))</f>
        <v/>
      </c>
      <c r="AG627" s="43" t="str">
        <f aca="false">IF(Q627&lt;&gt;1,"",IF(AB627&lt;&gt;"",IF(AB627="","",INDEX(시장분석!$L:$L,AB627)),IFERROR(IF(VLOOKUP(R627,매핑!$A$4:$E$92,5,0)="","미분류",VLOOKUP(R627,매핑!$A$4:$E$92,5,0)),"미분류")))</f>
        <v/>
      </c>
      <c r="AH627" s="43" t="str">
        <f aca="false">IF(Q627&lt;&gt;1,"",IF(AB627&lt;&gt;"",IF(AB627="","",INDEX(시장분석!$N:$N,AB627)),IFERROR(IF(VLOOKUP(R627,매핑!$A$4:$E$92,4,0)="","미분류",VLOOKUP(R627,매핑!$A$4:$E$92,4,0)),"미분류")))</f>
        <v/>
      </c>
      <c r="AI627" s="43" t="str">
        <f aca="false">IF(Q627&lt;&gt;1,"",IFERROR(IF(VLOOKUP(R627,매핑!$A$4:$E$92,3,0)="","미분류",VLOOKUP(R627,매핑!$A$4:$E$92,3,0)),IF(AB627&lt;&gt;"",IF(AB627="","",INDEX(시장분석!$W:$W,AB627)),"미분류")))</f>
        <v/>
      </c>
      <c r="AJ627" s="43" t="str">
        <f aca="false">IF(Q627&lt;&gt;1,"",IFERROR(VLOOKUP(IF(N627&lt;&gt;"",N627,IF(P627&lt;&gt;"",P627,O627)),설정!$A$15:$D$47,2,0),""))</f>
        <v/>
      </c>
      <c r="AK627" s="43" t="str">
        <f aca="false">IF(Q627&lt;&gt;1,"",IF(AJ627="","무등급",IFERROR(VLOOKUP(AJ627,설정!$A$15:$D$47,3,0),"무등급")))</f>
        <v/>
      </c>
      <c r="AL627" s="89" t="n">
        <f aca="false">IF(AJ627="",99,IFERROR(VLOOKUP(AJ627,설정!$A$15:$D$47,4,0),99))</f>
        <v>99</v>
      </c>
      <c r="AM627" s="94" t="n">
        <f aca="false">IF(ISNUMBER(H627),AA627*1000000*H627/10000,0)</f>
        <v>0</v>
      </c>
      <c r="AN627" s="94" t="n">
        <f aca="false">IF(OR(Y627=1,NOT(ISNUMBER(Z627))),0,AA627*1000000*Z627/10000)</f>
        <v>0</v>
      </c>
      <c r="AO627" s="94" t="n">
        <f aca="false">IF(ISNUMBER(G627),AA627*1000000*G627/100,0)</f>
        <v>0</v>
      </c>
      <c r="AP627" s="94" t="n">
        <f aca="false">IF(ISNUMBER(M627),M627*K627,0)</f>
        <v>0</v>
      </c>
      <c r="AQ627" s="95" t="str">
        <f aca="false">IF(AB627="","",INDEX(시장분석!$AK:$AK,AB627))</f>
        <v/>
      </c>
      <c r="AR627" s="43" t="str">
        <f aca="false">IF(AB627="","-",IF(AB627="","",INDEX(시장분석!$AL:$AL,AB627)))</f>
        <v>-</v>
      </c>
      <c r="AS627" s="96" t="str">
        <f aca="false">IF(AB627="","",INDEX(시장분석!$AJ:$AJ,AB627))</f>
        <v/>
      </c>
      <c r="AT627" s="93" t="n">
        <f aca="false">IF(AB627="",0,IF(AB627="","",INDEX(시장분석!$AN:$AN,AB627)))</f>
        <v>0</v>
      </c>
      <c r="AU627" s="94" t="n">
        <f aca="false">IF(ISNUMBER(Z627),AT627/10000*MAX(Z627-1,0)*AA627*1000000,0)</f>
        <v>0</v>
      </c>
      <c r="AV627" s="94" t="n">
        <f aca="false">AO627+AU627</f>
        <v>0</v>
      </c>
      <c r="AW627" s="43" t="str">
        <f aca="false">IF(Q627&lt;&gt;1,"",TRIM(IF(AD627=1,"FRN ","")&amp;IF(AND(AL627&gt;=10,AL627&lt;99),"BBB0미만 ","")&amp;IF(AJ627="","등급없음 ","")&amp;IF(K627&lt;&gt;1,"비USD ","")&amp;IF(AND(AB627="",Y627=0),"시장데이터없음 ","")&amp;IF(AND(ISNUMBER(U627),U627&lt;0),"만기경과 ","")))</f>
        <v/>
      </c>
      <c r="AX627" s="90" t="n">
        <f aca="false">IF(Q627&lt;&gt;1,1,IF(스프레드쇼크!$C$4="Y",INDEX(스프레드쇼크!$B$12:$L$16,IFERROR(MATCH(AH627,스프레드쇼크!$A$12:$A$16,0),MATCH("목록외",스프레드쇼크!$A$12:$A$16,0)),IFERROR(MATCH(AG627,스프레드쇼크!$B$11:$L$11,0),MATCH("목록외",스프레드쇼크!$B$11:$L$11,0))),1))</f>
        <v>1</v>
      </c>
      <c r="AY627" s="90" t="n">
        <f aca="false">IF(스프레드쇼크!$C$5="Y",IF(ISNUMBER(AF627),MIN(스프레드쇼크!$C$7,MAX(스프레드쇼크!$C$6,AF627/스프레드쇼크!$C$8)),1),1)</f>
        <v>1</v>
      </c>
      <c r="AZ627" s="94" t="n">
        <f aca="false">AN627*AX627*AY627</f>
        <v>0</v>
      </c>
      <c r="BA627" s="90" t="n">
        <f aca="false">IF(ISNUMBER(G627),AA627*G627,0)</f>
        <v>0</v>
      </c>
      <c r="BB627" s="90" t="n">
        <f aca="false">IF(ISNUMBER(G627),AA627,0)</f>
        <v>0</v>
      </c>
      <c r="BC627" s="90" t="n">
        <f aca="false">IF(AND(Y627=0,ISNUMBER(AF627)),AA627*AF627,0)</f>
        <v>0</v>
      </c>
      <c r="BD627" s="90" t="n">
        <f aca="false">IF(AND(Y627=0,ISNUMBER(AF627)),AA627,0)</f>
        <v>0</v>
      </c>
      <c r="BE627" s="90" t="n">
        <f aca="false">IF(ISNUMBER(H627),AA627*H627,0)</f>
        <v>0</v>
      </c>
      <c r="BF627" s="90" t="n">
        <f aca="false">IF(ISNUMBER(H627),AA627,0)</f>
        <v>0</v>
      </c>
      <c r="BG627" s="90" t="n">
        <f aca="false">IF(AND(Y627=0,ISNUMBER(AF627),ISNUMBER(Z627)),AA627*Z627,0)</f>
        <v>0</v>
      </c>
      <c r="BH627" s="90" t="n">
        <f aca="false">IF(AND(Y627=0,ISNUMBER(AF627),ISNUMBER(Z627)),AA627*AT627*MAX(Z627-1,0),0)</f>
        <v>0</v>
      </c>
      <c r="BI627" s="90" t="n">
        <f aca="false">IF(Y627=0,AA627,0)</f>
        <v>0</v>
      </c>
    </row>
    <row r="628" customFormat="false" ht="15" hidden="false" customHeight="false" outlineLevel="0" collapsed="false">
      <c r="A628" s="83" t="str">
        <f aca="false">IFERROR(IF(INDEX(원자료_잔고!$A$1:$EZ$1500,설정!$L$5+ROW()-1,설정!$L$8)&amp;""="0","",INDEX(원자료_잔고!$A$1:$EZ$1500,설정!$L$5+ROW()-1,설정!$L$8)&amp;""),"")</f>
        <v/>
      </c>
      <c r="B628" s="83" t="str">
        <f aca="false">IFERROR(IF(INDEX(원자료_잔고!$A$1:$EZ$1500,설정!$L$5+ROW()-1,설정!$L$7)&amp;""="0","",INDEX(원자료_잔고!$A$1:$EZ$1500,설정!$L$5+ROW()-1,설정!$L$7)&amp;""),"")</f>
        <v/>
      </c>
      <c r="C628" s="83" t="str">
        <f aca="false">IFERROR(IF(INDEX(원자료_잔고!$A$1:$EZ$1500,설정!$L$5+ROW()-1,설정!$L$9)&amp;""="0","",INDEX(원자료_잔고!$A$1:$EZ$1500,설정!$L$5+ROW()-1,설정!$L$9)&amp;""),"")</f>
        <v/>
      </c>
      <c r="D628" s="83" t="str">
        <f aca="false">IFERROR(IF(INDEX(원자료_잔고!$A$1:$EZ$1500,설정!$L$5+ROW()-1,설정!$L$10)&amp;""="0","",INDEX(원자료_잔고!$A$1:$EZ$1500,설정!$L$5+ROW()-1,설정!$L$10)&amp;""),"")</f>
        <v/>
      </c>
      <c r="E628" s="84" t="str">
        <f aca="false">IFERROR(IF(ISNUMBER(INDEX(원자료_잔고!$A$1:$EZ$1500,설정!$L$5+ROW()-1,설정!$L$11)),INDEX(원자료_잔고!$A$1:$EZ$1500,설정!$L$5+ROW()-1,설정!$L$11),""),"")</f>
        <v/>
      </c>
      <c r="F628" s="85" t="str">
        <f aca="false">IFERROR(IF(ISNUMBER(INDEX(원자료_잔고!$A$1:$EZ$1500,설정!$L$5+ROW()-1,설정!$L$12)),INDEX(원자료_잔고!$A$1:$EZ$1500,설정!$L$5+ROW()-1,설정!$L$12),""),"")</f>
        <v/>
      </c>
      <c r="G628" s="85" t="str">
        <f aca="false">IFERROR(IF(ISNUMBER(INDEX(원자료_잔고!$A$1:$EZ$1500,설정!$L$5+ROW()-1,설정!$L$13)),INDEX(원자료_잔고!$A$1:$EZ$1500,설정!$L$5+ROW()-1,설정!$L$13),""),"")</f>
        <v/>
      </c>
      <c r="H628" s="85" t="str">
        <f aca="false">IFERROR(IF(ISNUMBER(INDEX(원자료_잔고!$A$1:$EZ$1500,설정!$L$5+ROW()-1,설정!$L$14)),INDEX(원자료_잔고!$A$1:$EZ$1500,설정!$L$5+ROW()-1,설정!$L$14),""),"")</f>
        <v/>
      </c>
      <c r="I628" s="86" t="str">
        <f aca="false">IFERROR(IF(ISNUMBER(INDEX(원자료_잔고!$A$1:$EZ$1500,설정!$L$5+ROW()-1,설정!$L$15)),INDEX(원자료_잔고!$A$1:$EZ$1500,설정!$L$5+ROW()-1,설정!$L$15),""),"")</f>
        <v/>
      </c>
      <c r="J628" s="85" t="str">
        <f aca="false">IFERROR(IF(ISNUMBER(INDEX(원자료_잔고!$A$1:$EZ$1500,설정!$L$5+ROW()-1,설정!$L$16)),INDEX(원자료_잔고!$A$1:$EZ$1500,설정!$L$5+ROW()-1,설정!$L$16),""),"")</f>
        <v/>
      </c>
      <c r="K628" s="87" t="str">
        <f aca="false">IFERROR(IF(ISNUMBER(INDEX(원자료_잔고!$A$1:$EZ$1500,설정!$L$5+ROW()-1,설정!$L$17)),INDEX(원자료_잔고!$A$1:$EZ$1500,설정!$L$5+ROW()-1,설정!$L$17),""),"")</f>
        <v/>
      </c>
      <c r="L628" s="84" t="str">
        <f aca="false">IFERROR(IF(ISNUMBER(INDEX(원자료_잔고!$A$1:$EZ$1500,설정!$L$5+ROW()-1,설정!$L$18)),INDEX(원자료_잔고!$A$1:$EZ$1500,설정!$L$5+ROW()-1,설정!$L$18),""),"")</f>
        <v/>
      </c>
      <c r="M628" s="88" t="str">
        <f aca="false">IFERROR(IF(ISNUMBER(INDEX(원자료_잔고!$A$1:$EZ$1500,설정!$L$5+ROW()-1,설정!$L$19)),INDEX(원자료_잔고!$A$1:$EZ$1500,설정!$L$5+ROW()-1,설정!$L$19),""),"")</f>
        <v/>
      </c>
      <c r="N628" s="83" t="str">
        <f aca="false">IFERROR(IF(INDEX(원자료_잔고!$A$1:$EZ$1500,설정!$L$5+ROW()-1,설정!$L$21)&amp;""="0","",INDEX(원자료_잔고!$A$1:$EZ$1500,설정!$L$5+ROW()-1,설정!$L$21)&amp;""),"")</f>
        <v/>
      </c>
      <c r="O628" s="83" t="str">
        <f aca="false">IFERROR(IF(INDEX(원자료_잔고!$A$1:$EZ$1500,설정!$L$5+ROW()-1,설정!$L$22)&amp;""="0","",INDEX(원자료_잔고!$A$1:$EZ$1500,설정!$L$5+ROW()-1,설정!$L$22)&amp;""),"")</f>
        <v/>
      </c>
      <c r="P628" s="83" t="str">
        <f aca="false">IFERROR(IF(INDEX(원자료_잔고!$A$1:$EZ$1500,설정!$L$5+ROW()-1,설정!$L$23)&amp;""="0","",INDEX(원자료_잔고!$A$1:$EZ$1500,설정!$L$5+ROW()-1,설정!$L$23)&amp;""),"")</f>
        <v/>
      </c>
      <c r="Q628" s="89" t="n">
        <f aca="false">IF(AND($A628&lt;&gt;"",ISNUMBER(E628)),IF(E628&gt;0,1,0),0)</f>
        <v>0</v>
      </c>
      <c r="R628" s="43" t="str">
        <f aca="false">IF(Q628=1,UPPER(LEFT($A628,FIND(" ",$A628&amp;" ")-1)),"")</f>
        <v/>
      </c>
      <c r="S628" s="89" t="n">
        <f aca="false">IF(Q628=1,IF(OR(ISNUMBER(SEARCH("Float",$A628)),ISNUMBER(SEARCH("FRN",$A628))),1,0),0)</f>
        <v>0</v>
      </c>
      <c r="T628" s="43" t="str">
        <f aca="false">IF(AND(Q628=1,ISNUMBER(I628)),TEXT(I628,"yyyymmdd")&amp;"|"&amp;IF(S628=1,"F",TEXT(J628,"0.000")),"")</f>
        <v/>
      </c>
      <c r="U628" s="90" t="str">
        <f aca="false">IF(AND(Q628=1,ISNUMBER(I628)),(I628-설정!$C$4)/365.25,"")</f>
        <v/>
      </c>
      <c r="V628" s="43" t="str">
        <f aca="false">IF(Q628&lt;&gt;1,"",IF(ISNUMBER(U628),IF(U628&lt;=1,"1년 이하",IF(U628&lt;=2,"1-2년",IF(U628&lt;=3,"2-3년",IF(U628&lt;=4,"3-4년",IF(U628&lt;=5,"4-5년",IF(U628&lt;=7,"5-7년",IF(U628&lt;=10,"7-10년",IF(U628&lt;=20,"10-20년","20년 이상")))))))),"미분류"))</f>
        <v/>
      </c>
      <c r="W628" s="43" t="str">
        <f aca="false">IF(Q628&lt;&gt;1,"",IF(AB628&lt;&gt;"",INDEX(시장분석!$C:$C,AB628),IF(K628=1,"USD","비USD")))</f>
        <v/>
      </c>
      <c r="X628" s="91" t="n">
        <f aca="false">IF(Q628=1,E628*K628/1000000,0)</f>
        <v>0</v>
      </c>
      <c r="Y628" s="89" t="n">
        <f aca="false">IF(R628="T",1,0)</f>
        <v>0</v>
      </c>
      <c r="Z628" s="92" t="str">
        <f aca="false">IF(Q628&lt;&gt;1,"",IF(AD628=1,IF(ISNUMBER(U628),MAX(U628,0),H628),H628))</f>
        <v/>
      </c>
      <c r="AA628" s="91" t="n">
        <f aca="false">IF(Q628=1,IF(ISNUMBER(L628),L628,0)*K628/1000000,0)</f>
        <v>0</v>
      </c>
      <c r="AB628" s="89" t="str">
        <f aca="false">IF(Q628&lt;&gt;1,"",IFERROR(MATCH(VLOOKUP(B628,매핑!$H$4:$I$15,2,0),시장분석!$A$2:$A$601,0)+1,IFERROR(MATCH(R628&amp;"|"&amp;T628,시장분석!$V$2:$V$601,0)+1,IF(COUNTIF(시장분석!$U$2:$U$601,T628)=1,MATCH(T628,시장분석!$U$2:$U$601,0)+1,""))))</f>
        <v/>
      </c>
      <c r="AC628" s="89" t="n">
        <f aca="false">IF(Q628&lt;&gt;1,0,IF(OR(설정!$C$5="전체",AND(설정!$C$5="선택펀드",IFERROR(COUNTIFS(설정!$F$16:$F$36,C628,설정!$G$16:$G$36,"Y")+COUNTIFS(설정!$F$16:$F$36,VALUE(C628),설정!$G$16:$G$36,"Y"),0)&gt;0),C628&amp;""=설정!$C$5&amp;""),1,0))</f>
        <v>0</v>
      </c>
      <c r="AD628" s="89" t="n">
        <f aca="false">IF(Q628&lt;&gt;1,0,IF(OR(S628=1,IF(AB628="",FALSE(),INDEX(시장분석!$R:$R,AB628)=1)),1,0))</f>
        <v>0</v>
      </c>
      <c r="AE628" s="43" t="str">
        <f aca="false">IF(AB628="","",INDEX(시장분석!$A:$A,AB628))</f>
        <v/>
      </c>
      <c r="AF628" s="93" t="str">
        <f aca="false">IF(AB628="","",IF(ISNUMBER(IF(AB628="","",INDEX(시장분석!$E:$E,AB628))),IF(AB628="","",INDEX(시장분석!$E:$E,AB628)),""))</f>
        <v/>
      </c>
      <c r="AG628" s="43" t="str">
        <f aca="false">IF(Q628&lt;&gt;1,"",IF(AB628&lt;&gt;"",IF(AB628="","",INDEX(시장분석!$L:$L,AB628)),IFERROR(IF(VLOOKUP(R628,매핑!$A$4:$E$92,5,0)="","미분류",VLOOKUP(R628,매핑!$A$4:$E$92,5,0)),"미분류")))</f>
        <v/>
      </c>
      <c r="AH628" s="43" t="str">
        <f aca="false">IF(Q628&lt;&gt;1,"",IF(AB628&lt;&gt;"",IF(AB628="","",INDEX(시장분석!$N:$N,AB628)),IFERROR(IF(VLOOKUP(R628,매핑!$A$4:$E$92,4,0)="","미분류",VLOOKUP(R628,매핑!$A$4:$E$92,4,0)),"미분류")))</f>
        <v/>
      </c>
      <c r="AI628" s="43" t="str">
        <f aca="false">IF(Q628&lt;&gt;1,"",IFERROR(IF(VLOOKUP(R628,매핑!$A$4:$E$92,3,0)="","미분류",VLOOKUP(R628,매핑!$A$4:$E$92,3,0)),IF(AB628&lt;&gt;"",IF(AB628="","",INDEX(시장분석!$W:$W,AB628)),"미분류")))</f>
        <v/>
      </c>
      <c r="AJ628" s="43" t="str">
        <f aca="false">IF(Q628&lt;&gt;1,"",IFERROR(VLOOKUP(IF(N628&lt;&gt;"",N628,IF(P628&lt;&gt;"",P628,O628)),설정!$A$15:$D$47,2,0),""))</f>
        <v/>
      </c>
      <c r="AK628" s="43" t="str">
        <f aca="false">IF(Q628&lt;&gt;1,"",IF(AJ628="","무등급",IFERROR(VLOOKUP(AJ628,설정!$A$15:$D$47,3,0),"무등급")))</f>
        <v/>
      </c>
      <c r="AL628" s="89" t="n">
        <f aca="false">IF(AJ628="",99,IFERROR(VLOOKUP(AJ628,설정!$A$15:$D$47,4,0),99))</f>
        <v>99</v>
      </c>
      <c r="AM628" s="94" t="n">
        <f aca="false">IF(ISNUMBER(H628),AA628*1000000*H628/10000,0)</f>
        <v>0</v>
      </c>
      <c r="AN628" s="94" t="n">
        <f aca="false">IF(OR(Y628=1,NOT(ISNUMBER(Z628))),0,AA628*1000000*Z628/10000)</f>
        <v>0</v>
      </c>
      <c r="AO628" s="94" t="n">
        <f aca="false">IF(ISNUMBER(G628),AA628*1000000*G628/100,0)</f>
        <v>0</v>
      </c>
      <c r="AP628" s="94" t="n">
        <f aca="false">IF(ISNUMBER(M628),M628*K628,0)</f>
        <v>0</v>
      </c>
      <c r="AQ628" s="95" t="str">
        <f aca="false">IF(AB628="","",INDEX(시장분석!$AK:$AK,AB628))</f>
        <v/>
      </c>
      <c r="AR628" s="43" t="str">
        <f aca="false">IF(AB628="","-",IF(AB628="","",INDEX(시장분석!$AL:$AL,AB628)))</f>
        <v>-</v>
      </c>
      <c r="AS628" s="96" t="str">
        <f aca="false">IF(AB628="","",INDEX(시장분석!$AJ:$AJ,AB628))</f>
        <v/>
      </c>
      <c r="AT628" s="93" t="n">
        <f aca="false">IF(AB628="",0,IF(AB628="","",INDEX(시장분석!$AN:$AN,AB628)))</f>
        <v>0</v>
      </c>
      <c r="AU628" s="94" t="n">
        <f aca="false">IF(ISNUMBER(Z628),AT628/10000*MAX(Z628-1,0)*AA628*1000000,0)</f>
        <v>0</v>
      </c>
      <c r="AV628" s="94" t="n">
        <f aca="false">AO628+AU628</f>
        <v>0</v>
      </c>
      <c r="AW628" s="43" t="str">
        <f aca="false">IF(Q628&lt;&gt;1,"",TRIM(IF(AD628=1,"FRN ","")&amp;IF(AND(AL628&gt;=10,AL628&lt;99),"BBB0미만 ","")&amp;IF(AJ628="","등급없음 ","")&amp;IF(K628&lt;&gt;1,"비USD ","")&amp;IF(AND(AB628="",Y628=0),"시장데이터없음 ","")&amp;IF(AND(ISNUMBER(U628),U628&lt;0),"만기경과 ","")))</f>
        <v/>
      </c>
      <c r="AX628" s="90" t="n">
        <f aca="false">IF(Q628&lt;&gt;1,1,IF(스프레드쇼크!$C$4="Y",INDEX(스프레드쇼크!$B$12:$L$16,IFERROR(MATCH(AH628,스프레드쇼크!$A$12:$A$16,0),MATCH("목록외",스프레드쇼크!$A$12:$A$16,0)),IFERROR(MATCH(AG628,스프레드쇼크!$B$11:$L$11,0),MATCH("목록외",스프레드쇼크!$B$11:$L$11,0))),1))</f>
        <v>1</v>
      </c>
      <c r="AY628" s="90" t="n">
        <f aca="false">IF(스프레드쇼크!$C$5="Y",IF(ISNUMBER(AF628),MIN(스프레드쇼크!$C$7,MAX(스프레드쇼크!$C$6,AF628/스프레드쇼크!$C$8)),1),1)</f>
        <v>1</v>
      </c>
      <c r="AZ628" s="94" t="n">
        <f aca="false">AN628*AX628*AY628</f>
        <v>0</v>
      </c>
      <c r="BA628" s="90" t="n">
        <f aca="false">IF(ISNUMBER(G628),AA628*G628,0)</f>
        <v>0</v>
      </c>
      <c r="BB628" s="90" t="n">
        <f aca="false">IF(ISNUMBER(G628),AA628,0)</f>
        <v>0</v>
      </c>
      <c r="BC628" s="90" t="n">
        <f aca="false">IF(AND(Y628=0,ISNUMBER(AF628)),AA628*AF628,0)</f>
        <v>0</v>
      </c>
      <c r="BD628" s="90" t="n">
        <f aca="false">IF(AND(Y628=0,ISNUMBER(AF628)),AA628,0)</f>
        <v>0</v>
      </c>
      <c r="BE628" s="90" t="n">
        <f aca="false">IF(ISNUMBER(H628),AA628*H628,0)</f>
        <v>0</v>
      </c>
      <c r="BF628" s="90" t="n">
        <f aca="false">IF(ISNUMBER(H628),AA628,0)</f>
        <v>0</v>
      </c>
      <c r="BG628" s="90" t="n">
        <f aca="false">IF(AND(Y628=0,ISNUMBER(AF628),ISNUMBER(Z628)),AA628*Z628,0)</f>
        <v>0</v>
      </c>
      <c r="BH628" s="90" t="n">
        <f aca="false">IF(AND(Y628=0,ISNUMBER(AF628),ISNUMBER(Z628)),AA628*AT628*MAX(Z628-1,0),0)</f>
        <v>0</v>
      </c>
      <c r="BI628" s="90" t="n">
        <f aca="false">IF(Y628=0,AA628,0)</f>
        <v>0</v>
      </c>
    </row>
    <row r="629" customFormat="false" ht="15" hidden="false" customHeight="false" outlineLevel="0" collapsed="false">
      <c r="A629" s="83" t="str">
        <f aca="false">IFERROR(IF(INDEX(원자료_잔고!$A$1:$EZ$1500,설정!$L$5+ROW()-1,설정!$L$8)&amp;""="0","",INDEX(원자료_잔고!$A$1:$EZ$1500,설정!$L$5+ROW()-1,설정!$L$8)&amp;""),"")</f>
        <v/>
      </c>
      <c r="B629" s="83" t="str">
        <f aca="false">IFERROR(IF(INDEX(원자료_잔고!$A$1:$EZ$1500,설정!$L$5+ROW()-1,설정!$L$7)&amp;""="0","",INDEX(원자료_잔고!$A$1:$EZ$1500,설정!$L$5+ROW()-1,설정!$L$7)&amp;""),"")</f>
        <v/>
      </c>
      <c r="C629" s="83" t="str">
        <f aca="false">IFERROR(IF(INDEX(원자료_잔고!$A$1:$EZ$1500,설정!$L$5+ROW()-1,설정!$L$9)&amp;""="0","",INDEX(원자료_잔고!$A$1:$EZ$1500,설정!$L$5+ROW()-1,설정!$L$9)&amp;""),"")</f>
        <v/>
      </c>
      <c r="D629" s="83" t="str">
        <f aca="false">IFERROR(IF(INDEX(원자료_잔고!$A$1:$EZ$1500,설정!$L$5+ROW()-1,설정!$L$10)&amp;""="0","",INDEX(원자료_잔고!$A$1:$EZ$1500,설정!$L$5+ROW()-1,설정!$L$10)&amp;""),"")</f>
        <v/>
      </c>
      <c r="E629" s="84" t="str">
        <f aca="false">IFERROR(IF(ISNUMBER(INDEX(원자료_잔고!$A$1:$EZ$1500,설정!$L$5+ROW()-1,설정!$L$11)),INDEX(원자료_잔고!$A$1:$EZ$1500,설정!$L$5+ROW()-1,설정!$L$11),""),"")</f>
        <v/>
      </c>
      <c r="F629" s="85" t="str">
        <f aca="false">IFERROR(IF(ISNUMBER(INDEX(원자료_잔고!$A$1:$EZ$1500,설정!$L$5+ROW()-1,설정!$L$12)),INDEX(원자료_잔고!$A$1:$EZ$1500,설정!$L$5+ROW()-1,설정!$L$12),""),"")</f>
        <v/>
      </c>
      <c r="G629" s="85" t="str">
        <f aca="false">IFERROR(IF(ISNUMBER(INDEX(원자료_잔고!$A$1:$EZ$1500,설정!$L$5+ROW()-1,설정!$L$13)),INDEX(원자료_잔고!$A$1:$EZ$1500,설정!$L$5+ROW()-1,설정!$L$13),""),"")</f>
        <v/>
      </c>
      <c r="H629" s="85" t="str">
        <f aca="false">IFERROR(IF(ISNUMBER(INDEX(원자료_잔고!$A$1:$EZ$1500,설정!$L$5+ROW()-1,설정!$L$14)),INDEX(원자료_잔고!$A$1:$EZ$1500,설정!$L$5+ROW()-1,설정!$L$14),""),"")</f>
        <v/>
      </c>
      <c r="I629" s="86" t="str">
        <f aca="false">IFERROR(IF(ISNUMBER(INDEX(원자료_잔고!$A$1:$EZ$1500,설정!$L$5+ROW()-1,설정!$L$15)),INDEX(원자료_잔고!$A$1:$EZ$1500,설정!$L$5+ROW()-1,설정!$L$15),""),"")</f>
        <v/>
      </c>
      <c r="J629" s="85" t="str">
        <f aca="false">IFERROR(IF(ISNUMBER(INDEX(원자료_잔고!$A$1:$EZ$1500,설정!$L$5+ROW()-1,설정!$L$16)),INDEX(원자료_잔고!$A$1:$EZ$1500,설정!$L$5+ROW()-1,설정!$L$16),""),"")</f>
        <v/>
      </c>
      <c r="K629" s="87" t="str">
        <f aca="false">IFERROR(IF(ISNUMBER(INDEX(원자료_잔고!$A$1:$EZ$1500,설정!$L$5+ROW()-1,설정!$L$17)),INDEX(원자료_잔고!$A$1:$EZ$1500,설정!$L$5+ROW()-1,설정!$L$17),""),"")</f>
        <v/>
      </c>
      <c r="L629" s="84" t="str">
        <f aca="false">IFERROR(IF(ISNUMBER(INDEX(원자료_잔고!$A$1:$EZ$1500,설정!$L$5+ROW()-1,설정!$L$18)),INDEX(원자료_잔고!$A$1:$EZ$1500,설정!$L$5+ROW()-1,설정!$L$18),""),"")</f>
        <v/>
      </c>
      <c r="M629" s="88" t="str">
        <f aca="false">IFERROR(IF(ISNUMBER(INDEX(원자료_잔고!$A$1:$EZ$1500,설정!$L$5+ROW()-1,설정!$L$19)),INDEX(원자료_잔고!$A$1:$EZ$1500,설정!$L$5+ROW()-1,설정!$L$19),""),"")</f>
        <v/>
      </c>
      <c r="N629" s="83" t="str">
        <f aca="false">IFERROR(IF(INDEX(원자료_잔고!$A$1:$EZ$1500,설정!$L$5+ROW()-1,설정!$L$21)&amp;""="0","",INDEX(원자료_잔고!$A$1:$EZ$1500,설정!$L$5+ROW()-1,설정!$L$21)&amp;""),"")</f>
        <v/>
      </c>
      <c r="O629" s="83" t="str">
        <f aca="false">IFERROR(IF(INDEX(원자료_잔고!$A$1:$EZ$1500,설정!$L$5+ROW()-1,설정!$L$22)&amp;""="0","",INDEX(원자료_잔고!$A$1:$EZ$1500,설정!$L$5+ROW()-1,설정!$L$22)&amp;""),"")</f>
        <v/>
      </c>
      <c r="P629" s="83" t="str">
        <f aca="false">IFERROR(IF(INDEX(원자료_잔고!$A$1:$EZ$1500,설정!$L$5+ROW()-1,설정!$L$23)&amp;""="0","",INDEX(원자료_잔고!$A$1:$EZ$1500,설정!$L$5+ROW()-1,설정!$L$23)&amp;""),"")</f>
        <v/>
      </c>
      <c r="Q629" s="89" t="n">
        <f aca="false">IF(AND($A629&lt;&gt;"",ISNUMBER(E629)),IF(E629&gt;0,1,0),0)</f>
        <v>0</v>
      </c>
      <c r="R629" s="43" t="str">
        <f aca="false">IF(Q629=1,UPPER(LEFT($A629,FIND(" ",$A629&amp;" ")-1)),"")</f>
        <v/>
      </c>
      <c r="S629" s="89" t="n">
        <f aca="false">IF(Q629=1,IF(OR(ISNUMBER(SEARCH("Float",$A629)),ISNUMBER(SEARCH("FRN",$A629))),1,0),0)</f>
        <v>0</v>
      </c>
      <c r="T629" s="43" t="str">
        <f aca="false">IF(AND(Q629=1,ISNUMBER(I629)),TEXT(I629,"yyyymmdd")&amp;"|"&amp;IF(S629=1,"F",TEXT(J629,"0.000")),"")</f>
        <v/>
      </c>
      <c r="U629" s="90" t="str">
        <f aca="false">IF(AND(Q629=1,ISNUMBER(I629)),(I629-설정!$C$4)/365.25,"")</f>
        <v/>
      </c>
      <c r="V629" s="43" t="str">
        <f aca="false">IF(Q629&lt;&gt;1,"",IF(ISNUMBER(U629),IF(U629&lt;=1,"1년 이하",IF(U629&lt;=2,"1-2년",IF(U629&lt;=3,"2-3년",IF(U629&lt;=4,"3-4년",IF(U629&lt;=5,"4-5년",IF(U629&lt;=7,"5-7년",IF(U629&lt;=10,"7-10년",IF(U629&lt;=20,"10-20년","20년 이상")))))))),"미분류"))</f>
        <v/>
      </c>
      <c r="W629" s="43" t="str">
        <f aca="false">IF(Q629&lt;&gt;1,"",IF(AB629&lt;&gt;"",INDEX(시장분석!$C:$C,AB629),IF(K629=1,"USD","비USD")))</f>
        <v/>
      </c>
      <c r="X629" s="91" t="n">
        <f aca="false">IF(Q629=1,E629*K629/1000000,0)</f>
        <v>0</v>
      </c>
      <c r="Y629" s="89" t="n">
        <f aca="false">IF(R629="T",1,0)</f>
        <v>0</v>
      </c>
      <c r="Z629" s="92" t="str">
        <f aca="false">IF(Q629&lt;&gt;1,"",IF(AD629=1,IF(ISNUMBER(U629),MAX(U629,0),H629),H629))</f>
        <v/>
      </c>
      <c r="AA629" s="91" t="n">
        <f aca="false">IF(Q629=1,IF(ISNUMBER(L629),L629,0)*K629/1000000,0)</f>
        <v>0</v>
      </c>
      <c r="AB629" s="89" t="str">
        <f aca="false">IF(Q629&lt;&gt;1,"",IFERROR(MATCH(VLOOKUP(B629,매핑!$H$4:$I$15,2,0),시장분석!$A$2:$A$601,0)+1,IFERROR(MATCH(R629&amp;"|"&amp;T629,시장분석!$V$2:$V$601,0)+1,IF(COUNTIF(시장분석!$U$2:$U$601,T629)=1,MATCH(T629,시장분석!$U$2:$U$601,0)+1,""))))</f>
        <v/>
      </c>
      <c r="AC629" s="89" t="n">
        <f aca="false">IF(Q629&lt;&gt;1,0,IF(OR(설정!$C$5="전체",AND(설정!$C$5="선택펀드",IFERROR(COUNTIFS(설정!$F$16:$F$36,C629,설정!$G$16:$G$36,"Y")+COUNTIFS(설정!$F$16:$F$36,VALUE(C629),설정!$G$16:$G$36,"Y"),0)&gt;0),C629&amp;""=설정!$C$5&amp;""),1,0))</f>
        <v>0</v>
      </c>
      <c r="AD629" s="89" t="n">
        <f aca="false">IF(Q629&lt;&gt;1,0,IF(OR(S629=1,IF(AB629="",FALSE(),INDEX(시장분석!$R:$R,AB629)=1)),1,0))</f>
        <v>0</v>
      </c>
      <c r="AE629" s="43" t="str">
        <f aca="false">IF(AB629="","",INDEX(시장분석!$A:$A,AB629))</f>
        <v/>
      </c>
      <c r="AF629" s="93" t="str">
        <f aca="false">IF(AB629="","",IF(ISNUMBER(IF(AB629="","",INDEX(시장분석!$E:$E,AB629))),IF(AB629="","",INDEX(시장분석!$E:$E,AB629)),""))</f>
        <v/>
      </c>
      <c r="AG629" s="43" t="str">
        <f aca="false">IF(Q629&lt;&gt;1,"",IF(AB629&lt;&gt;"",IF(AB629="","",INDEX(시장분석!$L:$L,AB629)),IFERROR(IF(VLOOKUP(R629,매핑!$A$4:$E$92,5,0)="","미분류",VLOOKUP(R629,매핑!$A$4:$E$92,5,0)),"미분류")))</f>
        <v/>
      </c>
      <c r="AH629" s="43" t="str">
        <f aca="false">IF(Q629&lt;&gt;1,"",IF(AB629&lt;&gt;"",IF(AB629="","",INDEX(시장분석!$N:$N,AB629)),IFERROR(IF(VLOOKUP(R629,매핑!$A$4:$E$92,4,0)="","미분류",VLOOKUP(R629,매핑!$A$4:$E$92,4,0)),"미분류")))</f>
        <v/>
      </c>
      <c r="AI629" s="43" t="str">
        <f aca="false">IF(Q629&lt;&gt;1,"",IFERROR(IF(VLOOKUP(R629,매핑!$A$4:$E$92,3,0)="","미분류",VLOOKUP(R629,매핑!$A$4:$E$92,3,0)),IF(AB629&lt;&gt;"",IF(AB629="","",INDEX(시장분석!$W:$W,AB629)),"미분류")))</f>
        <v/>
      </c>
      <c r="AJ629" s="43" t="str">
        <f aca="false">IF(Q629&lt;&gt;1,"",IFERROR(VLOOKUP(IF(N629&lt;&gt;"",N629,IF(P629&lt;&gt;"",P629,O629)),설정!$A$15:$D$47,2,0),""))</f>
        <v/>
      </c>
      <c r="AK629" s="43" t="str">
        <f aca="false">IF(Q629&lt;&gt;1,"",IF(AJ629="","무등급",IFERROR(VLOOKUP(AJ629,설정!$A$15:$D$47,3,0),"무등급")))</f>
        <v/>
      </c>
      <c r="AL629" s="89" t="n">
        <f aca="false">IF(AJ629="",99,IFERROR(VLOOKUP(AJ629,설정!$A$15:$D$47,4,0),99))</f>
        <v>99</v>
      </c>
      <c r="AM629" s="94" t="n">
        <f aca="false">IF(ISNUMBER(H629),AA629*1000000*H629/10000,0)</f>
        <v>0</v>
      </c>
      <c r="AN629" s="94" t="n">
        <f aca="false">IF(OR(Y629=1,NOT(ISNUMBER(Z629))),0,AA629*1000000*Z629/10000)</f>
        <v>0</v>
      </c>
      <c r="AO629" s="94" t="n">
        <f aca="false">IF(ISNUMBER(G629),AA629*1000000*G629/100,0)</f>
        <v>0</v>
      </c>
      <c r="AP629" s="94" t="n">
        <f aca="false">IF(ISNUMBER(M629),M629*K629,0)</f>
        <v>0</v>
      </c>
      <c r="AQ629" s="95" t="str">
        <f aca="false">IF(AB629="","",INDEX(시장분석!$AK:$AK,AB629))</f>
        <v/>
      </c>
      <c r="AR629" s="43" t="str">
        <f aca="false">IF(AB629="","-",IF(AB629="","",INDEX(시장분석!$AL:$AL,AB629)))</f>
        <v>-</v>
      </c>
      <c r="AS629" s="96" t="str">
        <f aca="false">IF(AB629="","",INDEX(시장분석!$AJ:$AJ,AB629))</f>
        <v/>
      </c>
      <c r="AT629" s="93" t="n">
        <f aca="false">IF(AB629="",0,IF(AB629="","",INDEX(시장분석!$AN:$AN,AB629)))</f>
        <v>0</v>
      </c>
      <c r="AU629" s="94" t="n">
        <f aca="false">IF(ISNUMBER(Z629),AT629/10000*MAX(Z629-1,0)*AA629*1000000,0)</f>
        <v>0</v>
      </c>
      <c r="AV629" s="94" t="n">
        <f aca="false">AO629+AU629</f>
        <v>0</v>
      </c>
      <c r="AW629" s="43" t="str">
        <f aca="false">IF(Q629&lt;&gt;1,"",TRIM(IF(AD629=1,"FRN ","")&amp;IF(AND(AL629&gt;=10,AL629&lt;99),"BBB0미만 ","")&amp;IF(AJ629="","등급없음 ","")&amp;IF(K629&lt;&gt;1,"비USD ","")&amp;IF(AND(AB629="",Y629=0),"시장데이터없음 ","")&amp;IF(AND(ISNUMBER(U629),U629&lt;0),"만기경과 ","")))</f>
        <v/>
      </c>
      <c r="AX629" s="90" t="n">
        <f aca="false">IF(Q629&lt;&gt;1,1,IF(스프레드쇼크!$C$4="Y",INDEX(스프레드쇼크!$B$12:$L$16,IFERROR(MATCH(AH629,스프레드쇼크!$A$12:$A$16,0),MATCH("목록외",스프레드쇼크!$A$12:$A$16,0)),IFERROR(MATCH(AG629,스프레드쇼크!$B$11:$L$11,0),MATCH("목록외",스프레드쇼크!$B$11:$L$11,0))),1))</f>
        <v>1</v>
      </c>
      <c r="AY629" s="90" t="n">
        <f aca="false">IF(스프레드쇼크!$C$5="Y",IF(ISNUMBER(AF629),MIN(스프레드쇼크!$C$7,MAX(스프레드쇼크!$C$6,AF629/스프레드쇼크!$C$8)),1),1)</f>
        <v>1</v>
      </c>
      <c r="AZ629" s="94" t="n">
        <f aca="false">AN629*AX629*AY629</f>
        <v>0</v>
      </c>
      <c r="BA629" s="90" t="n">
        <f aca="false">IF(ISNUMBER(G629),AA629*G629,0)</f>
        <v>0</v>
      </c>
      <c r="BB629" s="90" t="n">
        <f aca="false">IF(ISNUMBER(G629),AA629,0)</f>
        <v>0</v>
      </c>
      <c r="BC629" s="90" t="n">
        <f aca="false">IF(AND(Y629=0,ISNUMBER(AF629)),AA629*AF629,0)</f>
        <v>0</v>
      </c>
      <c r="BD629" s="90" t="n">
        <f aca="false">IF(AND(Y629=0,ISNUMBER(AF629)),AA629,0)</f>
        <v>0</v>
      </c>
      <c r="BE629" s="90" t="n">
        <f aca="false">IF(ISNUMBER(H629),AA629*H629,0)</f>
        <v>0</v>
      </c>
      <c r="BF629" s="90" t="n">
        <f aca="false">IF(ISNUMBER(H629),AA629,0)</f>
        <v>0</v>
      </c>
      <c r="BG629" s="90" t="n">
        <f aca="false">IF(AND(Y629=0,ISNUMBER(AF629),ISNUMBER(Z629)),AA629*Z629,0)</f>
        <v>0</v>
      </c>
      <c r="BH629" s="90" t="n">
        <f aca="false">IF(AND(Y629=0,ISNUMBER(AF629),ISNUMBER(Z629)),AA629*AT629*MAX(Z629-1,0),0)</f>
        <v>0</v>
      </c>
      <c r="BI629" s="90" t="n">
        <f aca="false">IF(Y629=0,AA629,0)</f>
        <v>0</v>
      </c>
    </row>
    <row r="630" customFormat="false" ht="15" hidden="false" customHeight="false" outlineLevel="0" collapsed="false">
      <c r="A630" s="83" t="str">
        <f aca="false">IFERROR(IF(INDEX(원자료_잔고!$A$1:$EZ$1500,설정!$L$5+ROW()-1,설정!$L$8)&amp;""="0","",INDEX(원자료_잔고!$A$1:$EZ$1500,설정!$L$5+ROW()-1,설정!$L$8)&amp;""),"")</f>
        <v/>
      </c>
      <c r="B630" s="83" t="str">
        <f aca="false">IFERROR(IF(INDEX(원자료_잔고!$A$1:$EZ$1500,설정!$L$5+ROW()-1,설정!$L$7)&amp;""="0","",INDEX(원자료_잔고!$A$1:$EZ$1500,설정!$L$5+ROW()-1,설정!$L$7)&amp;""),"")</f>
        <v/>
      </c>
      <c r="C630" s="83" t="str">
        <f aca="false">IFERROR(IF(INDEX(원자료_잔고!$A$1:$EZ$1500,설정!$L$5+ROW()-1,설정!$L$9)&amp;""="0","",INDEX(원자료_잔고!$A$1:$EZ$1500,설정!$L$5+ROW()-1,설정!$L$9)&amp;""),"")</f>
        <v/>
      </c>
      <c r="D630" s="83" t="str">
        <f aca="false">IFERROR(IF(INDEX(원자료_잔고!$A$1:$EZ$1500,설정!$L$5+ROW()-1,설정!$L$10)&amp;""="0","",INDEX(원자료_잔고!$A$1:$EZ$1500,설정!$L$5+ROW()-1,설정!$L$10)&amp;""),"")</f>
        <v/>
      </c>
      <c r="E630" s="84" t="str">
        <f aca="false">IFERROR(IF(ISNUMBER(INDEX(원자료_잔고!$A$1:$EZ$1500,설정!$L$5+ROW()-1,설정!$L$11)),INDEX(원자료_잔고!$A$1:$EZ$1500,설정!$L$5+ROW()-1,설정!$L$11),""),"")</f>
        <v/>
      </c>
      <c r="F630" s="85" t="str">
        <f aca="false">IFERROR(IF(ISNUMBER(INDEX(원자료_잔고!$A$1:$EZ$1500,설정!$L$5+ROW()-1,설정!$L$12)),INDEX(원자료_잔고!$A$1:$EZ$1500,설정!$L$5+ROW()-1,설정!$L$12),""),"")</f>
        <v/>
      </c>
      <c r="G630" s="85" t="str">
        <f aca="false">IFERROR(IF(ISNUMBER(INDEX(원자료_잔고!$A$1:$EZ$1500,설정!$L$5+ROW()-1,설정!$L$13)),INDEX(원자료_잔고!$A$1:$EZ$1500,설정!$L$5+ROW()-1,설정!$L$13),""),"")</f>
        <v/>
      </c>
      <c r="H630" s="85" t="str">
        <f aca="false">IFERROR(IF(ISNUMBER(INDEX(원자료_잔고!$A$1:$EZ$1500,설정!$L$5+ROW()-1,설정!$L$14)),INDEX(원자료_잔고!$A$1:$EZ$1500,설정!$L$5+ROW()-1,설정!$L$14),""),"")</f>
        <v/>
      </c>
      <c r="I630" s="86" t="str">
        <f aca="false">IFERROR(IF(ISNUMBER(INDEX(원자료_잔고!$A$1:$EZ$1500,설정!$L$5+ROW()-1,설정!$L$15)),INDEX(원자료_잔고!$A$1:$EZ$1500,설정!$L$5+ROW()-1,설정!$L$15),""),"")</f>
        <v/>
      </c>
      <c r="J630" s="85" t="str">
        <f aca="false">IFERROR(IF(ISNUMBER(INDEX(원자료_잔고!$A$1:$EZ$1500,설정!$L$5+ROW()-1,설정!$L$16)),INDEX(원자료_잔고!$A$1:$EZ$1500,설정!$L$5+ROW()-1,설정!$L$16),""),"")</f>
        <v/>
      </c>
      <c r="K630" s="87" t="str">
        <f aca="false">IFERROR(IF(ISNUMBER(INDEX(원자료_잔고!$A$1:$EZ$1500,설정!$L$5+ROW()-1,설정!$L$17)),INDEX(원자료_잔고!$A$1:$EZ$1500,설정!$L$5+ROW()-1,설정!$L$17),""),"")</f>
        <v/>
      </c>
      <c r="L630" s="84" t="str">
        <f aca="false">IFERROR(IF(ISNUMBER(INDEX(원자료_잔고!$A$1:$EZ$1500,설정!$L$5+ROW()-1,설정!$L$18)),INDEX(원자료_잔고!$A$1:$EZ$1500,설정!$L$5+ROW()-1,설정!$L$18),""),"")</f>
        <v/>
      </c>
      <c r="M630" s="88" t="str">
        <f aca="false">IFERROR(IF(ISNUMBER(INDEX(원자료_잔고!$A$1:$EZ$1500,설정!$L$5+ROW()-1,설정!$L$19)),INDEX(원자료_잔고!$A$1:$EZ$1500,설정!$L$5+ROW()-1,설정!$L$19),""),"")</f>
        <v/>
      </c>
      <c r="N630" s="83" t="str">
        <f aca="false">IFERROR(IF(INDEX(원자료_잔고!$A$1:$EZ$1500,설정!$L$5+ROW()-1,설정!$L$21)&amp;""="0","",INDEX(원자료_잔고!$A$1:$EZ$1500,설정!$L$5+ROW()-1,설정!$L$21)&amp;""),"")</f>
        <v/>
      </c>
      <c r="O630" s="83" t="str">
        <f aca="false">IFERROR(IF(INDEX(원자료_잔고!$A$1:$EZ$1500,설정!$L$5+ROW()-1,설정!$L$22)&amp;""="0","",INDEX(원자료_잔고!$A$1:$EZ$1500,설정!$L$5+ROW()-1,설정!$L$22)&amp;""),"")</f>
        <v/>
      </c>
      <c r="P630" s="83" t="str">
        <f aca="false">IFERROR(IF(INDEX(원자료_잔고!$A$1:$EZ$1500,설정!$L$5+ROW()-1,설정!$L$23)&amp;""="0","",INDEX(원자료_잔고!$A$1:$EZ$1500,설정!$L$5+ROW()-1,설정!$L$23)&amp;""),"")</f>
        <v/>
      </c>
      <c r="Q630" s="89" t="n">
        <f aca="false">IF(AND($A630&lt;&gt;"",ISNUMBER(E630)),IF(E630&gt;0,1,0),0)</f>
        <v>0</v>
      </c>
      <c r="R630" s="43" t="str">
        <f aca="false">IF(Q630=1,UPPER(LEFT($A630,FIND(" ",$A630&amp;" ")-1)),"")</f>
        <v/>
      </c>
      <c r="S630" s="89" t="n">
        <f aca="false">IF(Q630=1,IF(OR(ISNUMBER(SEARCH("Float",$A630)),ISNUMBER(SEARCH("FRN",$A630))),1,0),0)</f>
        <v>0</v>
      </c>
      <c r="T630" s="43" t="str">
        <f aca="false">IF(AND(Q630=1,ISNUMBER(I630)),TEXT(I630,"yyyymmdd")&amp;"|"&amp;IF(S630=1,"F",TEXT(J630,"0.000")),"")</f>
        <v/>
      </c>
      <c r="U630" s="90" t="str">
        <f aca="false">IF(AND(Q630=1,ISNUMBER(I630)),(I630-설정!$C$4)/365.25,"")</f>
        <v/>
      </c>
      <c r="V630" s="43" t="str">
        <f aca="false">IF(Q630&lt;&gt;1,"",IF(ISNUMBER(U630),IF(U630&lt;=1,"1년 이하",IF(U630&lt;=2,"1-2년",IF(U630&lt;=3,"2-3년",IF(U630&lt;=4,"3-4년",IF(U630&lt;=5,"4-5년",IF(U630&lt;=7,"5-7년",IF(U630&lt;=10,"7-10년",IF(U630&lt;=20,"10-20년","20년 이상")))))))),"미분류"))</f>
        <v/>
      </c>
      <c r="W630" s="43" t="str">
        <f aca="false">IF(Q630&lt;&gt;1,"",IF(AB630&lt;&gt;"",INDEX(시장분석!$C:$C,AB630),IF(K630=1,"USD","비USD")))</f>
        <v/>
      </c>
      <c r="X630" s="91" t="n">
        <f aca="false">IF(Q630=1,E630*K630/1000000,0)</f>
        <v>0</v>
      </c>
      <c r="Y630" s="89" t="n">
        <f aca="false">IF(R630="T",1,0)</f>
        <v>0</v>
      </c>
      <c r="Z630" s="92" t="str">
        <f aca="false">IF(Q630&lt;&gt;1,"",IF(AD630=1,IF(ISNUMBER(U630),MAX(U630,0),H630),H630))</f>
        <v/>
      </c>
      <c r="AA630" s="91" t="n">
        <f aca="false">IF(Q630=1,IF(ISNUMBER(L630),L630,0)*K630/1000000,0)</f>
        <v>0</v>
      </c>
      <c r="AB630" s="89" t="str">
        <f aca="false">IF(Q630&lt;&gt;1,"",IFERROR(MATCH(VLOOKUP(B630,매핑!$H$4:$I$15,2,0),시장분석!$A$2:$A$601,0)+1,IFERROR(MATCH(R630&amp;"|"&amp;T630,시장분석!$V$2:$V$601,0)+1,IF(COUNTIF(시장분석!$U$2:$U$601,T630)=1,MATCH(T630,시장분석!$U$2:$U$601,0)+1,""))))</f>
        <v/>
      </c>
      <c r="AC630" s="89" t="n">
        <f aca="false">IF(Q630&lt;&gt;1,0,IF(OR(설정!$C$5="전체",AND(설정!$C$5="선택펀드",IFERROR(COUNTIFS(설정!$F$16:$F$36,C630,설정!$G$16:$G$36,"Y")+COUNTIFS(설정!$F$16:$F$36,VALUE(C630),설정!$G$16:$G$36,"Y"),0)&gt;0),C630&amp;""=설정!$C$5&amp;""),1,0))</f>
        <v>0</v>
      </c>
      <c r="AD630" s="89" t="n">
        <f aca="false">IF(Q630&lt;&gt;1,0,IF(OR(S630=1,IF(AB630="",FALSE(),INDEX(시장분석!$R:$R,AB630)=1)),1,0))</f>
        <v>0</v>
      </c>
      <c r="AE630" s="43" t="str">
        <f aca="false">IF(AB630="","",INDEX(시장분석!$A:$A,AB630))</f>
        <v/>
      </c>
      <c r="AF630" s="93" t="str">
        <f aca="false">IF(AB630="","",IF(ISNUMBER(IF(AB630="","",INDEX(시장분석!$E:$E,AB630))),IF(AB630="","",INDEX(시장분석!$E:$E,AB630)),""))</f>
        <v/>
      </c>
      <c r="AG630" s="43" t="str">
        <f aca="false">IF(Q630&lt;&gt;1,"",IF(AB630&lt;&gt;"",IF(AB630="","",INDEX(시장분석!$L:$L,AB630)),IFERROR(IF(VLOOKUP(R630,매핑!$A$4:$E$92,5,0)="","미분류",VLOOKUP(R630,매핑!$A$4:$E$92,5,0)),"미분류")))</f>
        <v/>
      </c>
      <c r="AH630" s="43" t="str">
        <f aca="false">IF(Q630&lt;&gt;1,"",IF(AB630&lt;&gt;"",IF(AB630="","",INDEX(시장분석!$N:$N,AB630)),IFERROR(IF(VLOOKUP(R630,매핑!$A$4:$E$92,4,0)="","미분류",VLOOKUP(R630,매핑!$A$4:$E$92,4,0)),"미분류")))</f>
        <v/>
      </c>
      <c r="AI630" s="43" t="str">
        <f aca="false">IF(Q630&lt;&gt;1,"",IFERROR(IF(VLOOKUP(R630,매핑!$A$4:$E$92,3,0)="","미분류",VLOOKUP(R630,매핑!$A$4:$E$92,3,0)),IF(AB630&lt;&gt;"",IF(AB630="","",INDEX(시장분석!$W:$W,AB630)),"미분류")))</f>
        <v/>
      </c>
      <c r="AJ630" s="43" t="str">
        <f aca="false">IF(Q630&lt;&gt;1,"",IFERROR(VLOOKUP(IF(N630&lt;&gt;"",N630,IF(P630&lt;&gt;"",P630,O630)),설정!$A$15:$D$47,2,0),""))</f>
        <v/>
      </c>
      <c r="AK630" s="43" t="str">
        <f aca="false">IF(Q630&lt;&gt;1,"",IF(AJ630="","무등급",IFERROR(VLOOKUP(AJ630,설정!$A$15:$D$47,3,0),"무등급")))</f>
        <v/>
      </c>
      <c r="AL630" s="89" t="n">
        <f aca="false">IF(AJ630="",99,IFERROR(VLOOKUP(AJ630,설정!$A$15:$D$47,4,0),99))</f>
        <v>99</v>
      </c>
      <c r="AM630" s="94" t="n">
        <f aca="false">IF(ISNUMBER(H630),AA630*1000000*H630/10000,0)</f>
        <v>0</v>
      </c>
      <c r="AN630" s="94" t="n">
        <f aca="false">IF(OR(Y630=1,NOT(ISNUMBER(Z630))),0,AA630*1000000*Z630/10000)</f>
        <v>0</v>
      </c>
      <c r="AO630" s="94" t="n">
        <f aca="false">IF(ISNUMBER(G630),AA630*1000000*G630/100,0)</f>
        <v>0</v>
      </c>
      <c r="AP630" s="94" t="n">
        <f aca="false">IF(ISNUMBER(M630),M630*K630,0)</f>
        <v>0</v>
      </c>
      <c r="AQ630" s="95" t="str">
        <f aca="false">IF(AB630="","",INDEX(시장분석!$AK:$AK,AB630))</f>
        <v/>
      </c>
      <c r="AR630" s="43" t="str">
        <f aca="false">IF(AB630="","-",IF(AB630="","",INDEX(시장분석!$AL:$AL,AB630)))</f>
        <v>-</v>
      </c>
      <c r="AS630" s="96" t="str">
        <f aca="false">IF(AB630="","",INDEX(시장분석!$AJ:$AJ,AB630))</f>
        <v/>
      </c>
      <c r="AT630" s="93" t="n">
        <f aca="false">IF(AB630="",0,IF(AB630="","",INDEX(시장분석!$AN:$AN,AB630)))</f>
        <v>0</v>
      </c>
      <c r="AU630" s="94" t="n">
        <f aca="false">IF(ISNUMBER(Z630),AT630/10000*MAX(Z630-1,0)*AA630*1000000,0)</f>
        <v>0</v>
      </c>
      <c r="AV630" s="94" t="n">
        <f aca="false">AO630+AU630</f>
        <v>0</v>
      </c>
      <c r="AW630" s="43" t="str">
        <f aca="false">IF(Q630&lt;&gt;1,"",TRIM(IF(AD630=1,"FRN ","")&amp;IF(AND(AL630&gt;=10,AL630&lt;99),"BBB0미만 ","")&amp;IF(AJ630="","등급없음 ","")&amp;IF(K630&lt;&gt;1,"비USD ","")&amp;IF(AND(AB630="",Y630=0),"시장데이터없음 ","")&amp;IF(AND(ISNUMBER(U630),U630&lt;0),"만기경과 ","")))</f>
        <v/>
      </c>
      <c r="AX630" s="90" t="n">
        <f aca="false">IF(Q630&lt;&gt;1,1,IF(스프레드쇼크!$C$4="Y",INDEX(스프레드쇼크!$B$12:$L$16,IFERROR(MATCH(AH630,스프레드쇼크!$A$12:$A$16,0),MATCH("목록외",스프레드쇼크!$A$12:$A$16,0)),IFERROR(MATCH(AG630,스프레드쇼크!$B$11:$L$11,0),MATCH("목록외",스프레드쇼크!$B$11:$L$11,0))),1))</f>
        <v>1</v>
      </c>
      <c r="AY630" s="90" t="n">
        <f aca="false">IF(스프레드쇼크!$C$5="Y",IF(ISNUMBER(AF630),MIN(스프레드쇼크!$C$7,MAX(스프레드쇼크!$C$6,AF630/스프레드쇼크!$C$8)),1),1)</f>
        <v>1</v>
      </c>
      <c r="AZ630" s="94" t="n">
        <f aca="false">AN630*AX630*AY630</f>
        <v>0</v>
      </c>
      <c r="BA630" s="90" t="n">
        <f aca="false">IF(ISNUMBER(G630),AA630*G630,0)</f>
        <v>0</v>
      </c>
      <c r="BB630" s="90" t="n">
        <f aca="false">IF(ISNUMBER(G630),AA630,0)</f>
        <v>0</v>
      </c>
      <c r="BC630" s="90" t="n">
        <f aca="false">IF(AND(Y630=0,ISNUMBER(AF630)),AA630*AF630,0)</f>
        <v>0</v>
      </c>
      <c r="BD630" s="90" t="n">
        <f aca="false">IF(AND(Y630=0,ISNUMBER(AF630)),AA630,0)</f>
        <v>0</v>
      </c>
      <c r="BE630" s="90" t="n">
        <f aca="false">IF(ISNUMBER(H630),AA630*H630,0)</f>
        <v>0</v>
      </c>
      <c r="BF630" s="90" t="n">
        <f aca="false">IF(ISNUMBER(H630),AA630,0)</f>
        <v>0</v>
      </c>
      <c r="BG630" s="90" t="n">
        <f aca="false">IF(AND(Y630=0,ISNUMBER(AF630),ISNUMBER(Z630)),AA630*Z630,0)</f>
        <v>0</v>
      </c>
      <c r="BH630" s="90" t="n">
        <f aca="false">IF(AND(Y630=0,ISNUMBER(AF630),ISNUMBER(Z630)),AA630*AT630*MAX(Z630-1,0),0)</f>
        <v>0</v>
      </c>
      <c r="BI630" s="90" t="n">
        <f aca="false">IF(Y630=0,AA630,0)</f>
        <v>0</v>
      </c>
    </row>
    <row r="631" customFormat="false" ht="15" hidden="false" customHeight="false" outlineLevel="0" collapsed="false">
      <c r="A631" s="83" t="str">
        <f aca="false">IFERROR(IF(INDEX(원자료_잔고!$A$1:$EZ$1500,설정!$L$5+ROW()-1,설정!$L$8)&amp;""="0","",INDEX(원자료_잔고!$A$1:$EZ$1500,설정!$L$5+ROW()-1,설정!$L$8)&amp;""),"")</f>
        <v/>
      </c>
      <c r="B631" s="83" t="str">
        <f aca="false">IFERROR(IF(INDEX(원자료_잔고!$A$1:$EZ$1500,설정!$L$5+ROW()-1,설정!$L$7)&amp;""="0","",INDEX(원자료_잔고!$A$1:$EZ$1500,설정!$L$5+ROW()-1,설정!$L$7)&amp;""),"")</f>
        <v/>
      </c>
      <c r="C631" s="83" t="str">
        <f aca="false">IFERROR(IF(INDEX(원자료_잔고!$A$1:$EZ$1500,설정!$L$5+ROW()-1,설정!$L$9)&amp;""="0","",INDEX(원자료_잔고!$A$1:$EZ$1500,설정!$L$5+ROW()-1,설정!$L$9)&amp;""),"")</f>
        <v/>
      </c>
      <c r="D631" s="83" t="str">
        <f aca="false">IFERROR(IF(INDEX(원자료_잔고!$A$1:$EZ$1500,설정!$L$5+ROW()-1,설정!$L$10)&amp;""="0","",INDEX(원자료_잔고!$A$1:$EZ$1500,설정!$L$5+ROW()-1,설정!$L$10)&amp;""),"")</f>
        <v/>
      </c>
      <c r="E631" s="84" t="str">
        <f aca="false">IFERROR(IF(ISNUMBER(INDEX(원자료_잔고!$A$1:$EZ$1500,설정!$L$5+ROW()-1,설정!$L$11)),INDEX(원자료_잔고!$A$1:$EZ$1500,설정!$L$5+ROW()-1,설정!$L$11),""),"")</f>
        <v/>
      </c>
      <c r="F631" s="85" t="str">
        <f aca="false">IFERROR(IF(ISNUMBER(INDEX(원자료_잔고!$A$1:$EZ$1500,설정!$L$5+ROW()-1,설정!$L$12)),INDEX(원자료_잔고!$A$1:$EZ$1500,설정!$L$5+ROW()-1,설정!$L$12),""),"")</f>
        <v/>
      </c>
      <c r="G631" s="85" t="str">
        <f aca="false">IFERROR(IF(ISNUMBER(INDEX(원자료_잔고!$A$1:$EZ$1500,설정!$L$5+ROW()-1,설정!$L$13)),INDEX(원자료_잔고!$A$1:$EZ$1500,설정!$L$5+ROW()-1,설정!$L$13),""),"")</f>
        <v/>
      </c>
      <c r="H631" s="85" t="str">
        <f aca="false">IFERROR(IF(ISNUMBER(INDEX(원자료_잔고!$A$1:$EZ$1500,설정!$L$5+ROW()-1,설정!$L$14)),INDEX(원자료_잔고!$A$1:$EZ$1500,설정!$L$5+ROW()-1,설정!$L$14),""),"")</f>
        <v/>
      </c>
      <c r="I631" s="86" t="str">
        <f aca="false">IFERROR(IF(ISNUMBER(INDEX(원자료_잔고!$A$1:$EZ$1500,설정!$L$5+ROW()-1,설정!$L$15)),INDEX(원자료_잔고!$A$1:$EZ$1500,설정!$L$5+ROW()-1,설정!$L$15),""),"")</f>
        <v/>
      </c>
      <c r="J631" s="85" t="str">
        <f aca="false">IFERROR(IF(ISNUMBER(INDEX(원자료_잔고!$A$1:$EZ$1500,설정!$L$5+ROW()-1,설정!$L$16)),INDEX(원자료_잔고!$A$1:$EZ$1500,설정!$L$5+ROW()-1,설정!$L$16),""),"")</f>
        <v/>
      </c>
      <c r="K631" s="87" t="str">
        <f aca="false">IFERROR(IF(ISNUMBER(INDEX(원자료_잔고!$A$1:$EZ$1500,설정!$L$5+ROW()-1,설정!$L$17)),INDEX(원자료_잔고!$A$1:$EZ$1500,설정!$L$5+ROW()-1,설정!$L$17),""),"")</f>
        <v/>
      </c>
      <c r="L631" s="84" t="str">
        <f aca="false">IFERROR(IF(ISNUMBER(INDEX(원자료_잔고!$A$1:$EZ$1500,설정!$L$5+ROW()-1,설정!$L$18)),INDEX(원자료_잔고!$A$1:$EZ$1500,설정!$L$5+ROW()-1,설정!$L$18),""),"")</f>
        <v/>
      </c>
      <c r="M631" s="88" t="str">
        <f aca="false">IFERROR(IF(ISNUMBER(INDEX(원자료_잔고!$A$1:$EZ$1500,설정!$L$5+ROW()-1,설정!$L$19)),INDEX(원자료_잔고!$A$1:$EZ$1500,설정!$L$5+ROW()-1,설정!$L$19),""),"")</f>
        <v/>
      </c>
      <c r="N631" s="83" t="str">
        <f aca="false">IFERROR(IF(INDEX(원자료_잔고!$A$1:$EZ$1500,설정!$L$5+ROW()-1,설정!$L$21)&amp;""="0","",INDEX(원자료_잔고!$A$1:$EZ$1500,설정!$L$5+ROW()-1,설정!$L$21)&amp;""),"")</f>
        <v/>
      </c>
      <c r="O631" s="83" t="str">
        <f aca="false">IFERROR(IF(INDEX(원자료_잔고!$A$1:$EZ$1500,설정!$L$5+ROW()-1,설정!$L$22)&amp;""="0","",INDEX(원자료_잔고!$A$1:$EZ$1500,설정!$L$5+ROW()-1,설정!$L$22)&amp;""),"")</f>
        <v/>
      </c>
      <c r="P631" s="83" t="str">
        <f aca="false">IFERROR(IF(INDEX(원자료_잔고!$A$1:$EZ$1500,설정!$L$5+ROW()-1,설정!$L$23)&amp;""="0","",INDEX(원자료_잔고!$A$1:$EZ$1500,설정!$L$5+ROW()-1,설정!$L$23)&amp;""),"")</f>
        <v/>
      </c>
      <c r="Q631" s="89" t="n">
        <f aca="false">IF(AND($A631&lt;&gt;"",ISNUMBER(E631)),IF(E631&gt;0,1,0),0)</f>
        <v>0</v>
      </c>
      <c r="R631" s="43" t="str">
        <f aca="false">IF(Q631=1,UPPER(LEFT($A631,FIND(" ",$A631&amp;" ")-1)),"")</f>
        <v/>
      </c>
      <c r="S631" s="89" t="n">
        <f aca="false">IF(Q631=1,IF(OR(ISNUMBER(SEARCH("Float",$A631)),ISNUMBER(SEARCH("FRN",$A631))),1,0),0)</f>
        <v>0</v>
      </c>
      <c r="T631" s="43" t="str">
        <f aca="false">IF(AND(Q631=1,ISNUMBER(I631)),TEXT(I631,"yyyymmdd")&amp;"|"&amp;IF(S631=1,"F",TEXT(J631,"0.000")),"")</f>
        <v/>
      </c>
      <c r="U631" s="90" t="str">
        <f aca="false">IF(AND(Q631=1,ISNUMBER(I631)),(I631-설정!$C$4)/365.25,"")</f>
        <v/>
      </c>
      <c r="V631" s="43" t="str">
        <f aca="false">IF(Q631&lt;&gt;1,"",IF(ISNUMBER(U631),IF(U631&lt;=1,"1년 이하",IF(U631&lt;=2,"1-2년",IF(U631&lt;=3,"2-3년",IF(U631&lt;=4,"3-4년",IF(U631&lt;=5,"4-5년",IF(U631&lt;=7,"5-7년",IF(U631&lt;=10,"7-10년",IF(U631&lt;=20,"10-20년","20년 이상")))))))),"미분류"))</f>
        <v/>
      </c>
      <c r="W631" s="43" t="str">
        <f aca="false">IF(Q631&lt;&gt;1,"",IF(AB631&lt;&gt;"",INDEX(시장분석!$C:$C,AB631),IF(K631=1,"USD","비USD")))</f>
        <v/>
      </c>
      <c r="X631" s="91" t="n">
        <f aca="false">IF(Q631=1,E631*K631/1000000,0)</f>
        <v>0</v>
      </c>
      <c r="Y631" s="89" t="n">
        <f aca="false">IF(R631="T",1,0)</f>
        <v>0</v>
      </c>
      <c r="Z631" s="92" t="str">
        <f aca="false">IF(Q631&lt;&gt;1,"",IF(AD631=1,IF(ISNUMBER(U631),MAX(U631,0),H631),H631))</f>
        <v/>
      </c>
      <c r="AA631" s="91" t="n">
        <f aca="false">IF(Q631=1,IF(ISNUMBER(L631),L631,0)*K631/1000000,0)</f>
        <v>0</v>
      </c>
      <c r="AB631" s="89" t="str">
        <f aca="false">IF(Q631&lt;&gt;1,"",IFERROR(MATCH(VLOOKUP(B631,매핑!$H$4:$I$15,2,0),시장분석!$A$2:$A$601,0)+1,IFERROR(MATCH(R631&amp;"|"&amp;T631,시장분석!$V$2:$V$601,0)+1,IF(COUNTIF(시장분석!$U$2:$U$601,T631)=1,MATCH(T631,시장분석!$U$2:$U$601,0)+1,""))))</f>
        <v/>
      </c>
      <c r="AC631" s="89" t="n">
        <f aca="false">IF(Q631&lt;&gt;1,0,IF(OR(설정!$C$5="전체",AND(설정!$C$5="선택펀드",IFERROR(COUNTIFS(설정!$F$16:$F$36,C631,설정!$G$16:$G$36,"Y")+COUNTIFS(설정!$F$16:$F$36,VALUE(C631),설정!$G$16:$G$36,"Y"),0)&gt;0),C631&amp;""=설정!$C$5&amp;""),1,0))</f>
        <v>0</v>
      </c>
      <c r="AD631" s="89" t="n">
        <f aca="false">IF(Q631&lt;&gt;1,0,IF(OR(S631=1,IF(AB631="",FALSE(),INDEX(시장분석!$R:$R,AB631)=1)),1,0))</f>
        <v>0</v>
      </c>
      <c r="AE631" s="43" t="str">
        <f aca="false">IF(AB631="","",INDEX(시장분석!$A:$A,AB631))</f>
        <v/>
      </c>
      <c r="AF631" s="93" t="str">
        <f aca="false">IF(AB631="","",IF(ISNUMBER(IF(AB631="","",INDEX(시장분석!$E:$E,AB631))),IF(AB631="","",INDEX(시장분석!$E:$E,AB631)),""))</f>
        <v/>
      </c>
      <c r="AG631" s="43" t="str">
        <f aca="false">IF(Q631&lt;&gt;1,"",IF(AB631&lt;&gt;"",IF(AB631="","",INDEX(시장분석!$L:$L,AB631)),IFERROR(IF(VLOOKUP(R631,매핑!$A$4:$E$92,5,0)="","미분류",VLOOKUP(R631,매핑!$A$4:$E$92,5,0)),"미분류")))</f>
        <v/>
      </c>
      <c r="AH631" s="43" t="str">
        <f aca="false">IF(Q631&lt;&gt;1,"",IF(AB631&lt;&gt;"",IF(AB631="","",INDEX(시장분석!$N:$N,AB631)),IFERROR(IF(VLOOKUP(R631,매핑!$A$4:$E$92,4,0)="","미분류",VLOOKUP(R631,매핑!$A$4:$E$92,4,0)),"미분류")))</f>
        <v/>
      </c>
      <c r="AI631" s="43" t="str">
        <f aca="false">IF(Q631&lt;&gt;1,"",IFERROR(IF(VLOOKUP(R631,매핑!$A$4:$E$92,3,0)="","미분류",VLOOKUP(R631,매핑!$A$4:$E$92,3,0)),IF(AB631&lt;&gt;"",IF(AB631="","",INDEX(시장분석!$W:$W,AB631)),"미분류")))</f>
        <v/>
      </c>
      <c r="AJ631" s="43" t="str">
        <f aca="false">IF(Q631&lt;&gt;1,"",IFERROR(VLOOKUP(IF(N631&lt;&gt;"",N631,IF(P631&lt;&gt;"",P631,O631)),설정!$A$15:$D$47,2,0),""))</f>
        <v/>
      </c>
      <c r="AK631" s="43" t="str">
        <f aca="false">IF(Q631&lt;&gt;1,"",IF(AJ631="","무등급",IFERROR(VLOOKUP(AJ631,설정!$A$15:$D$47,3,0),"무등급")))</f>
        <v/>
      </c>
      <c r="AL631" s="89" t="n">
        <f aca="false">IF(AJ631="",99,IFERROR(VLOOKUP(AJ631,설정!$A$15:$D$47,4,0),99))</f>
        <v>99</v>
      </c>
      <c r="AM631" s="94" t="n">
        <f aca="false">IF(ISNUMBER(H631),AA631*1000000*H631/10000,0)</f>
        <v>0</v>
      </c>
      <c r="AN631" s="94" t="n">
        <f aca="false">IF(OR(Y631=1,NOT(ISNUMBER(Z631))),0,AA631*1000000*Z631/10000)</f>
        <v>0</v>
      </c>
      <c r="AO631" s="94" t="n">
        <f aca="false">IF(ISNUMBER(G631),AA631*1000000*G631/100,0)</f>
        <v>0</v>
      </c>
      <c r="AP631" s="94" t="n">
        <f aca="false">IF(ISNUMBER(M631),M631*K631,0)</f>
        <v>0</v>
      </c>
      <c r="AQ631" s="95" t="str">
        <f aca="false">IF(AB631="","",INDEX(시장분석!$AK:$AK,AB631))</f>
        <v/>
      </c>
      <c r="AR631" s="43" t="str">
        <f aca="false">IF(AB631="","-",IF(AB631="","",INDEX(시장분석!$AL:$AL,AB631)))</f>
        <v>-</v>
      </c>
      <c r="AS631" s="96" t="str">
        <f aca="false">IF(AB631="","",INDEX(시장분석!$AJ:$AJ,AB631))</f>
        <v/>
      </c>
      <c r="AT631" s="93" t="n">
        <f aca="false">IF(AB631="",0,IF(AB631="","",INDEX(시장분석!$AN:$AN,AB631)))</f>
        <v>0</v>
      </c>
      <c r="AU631" s="94" t="n">
        <f aca="false">IF(ISNUMBER(Z631),AT631/10000*MAX(Z631-1,0)*AA631*1000000,0)</f>
        <v>0</v>
      </c>
      <c r="AV631" s="94" t="n">
        <f aca="false">AO631+AU631</f>
        <v>0</v>
      </c>
      <c r="AW631" s="43" t="str">
        <f aca="false">IF(Q631&lt;&gt;1,"",TRIM(IF(AD631=1,"FRN ","")&amp;IF(AND(AL631&gt;=10,AL631&lt;99),"BBB0미만 ","")&amp;IF(AJ631="","등급없음 ","")&amp;IF(K631&lt;&gt;1,"비USD ","")&amp;IF(AND(AB631="",Y631=0),"시장데이터없음 ","")&amp;IF(AND(ISNUMBER(U631),U631&lt;0),"만기경과 ","")))</f>
        <v/>
      </c>
      <c r="AX631" s="90" t="n">
        <f aca="false">IF(Q631&lt;&gt;1,1,IF(스프레드쇼크!$C$4="Y",INDEX(스프레드쇼크!$B$12:$L$16,IFERROR(MATCH(AH631,스프레드쇼크!$A$12:$A$16,0),MATCH("목록외",스프레드쇼크!$A$12:$A$16,0)),IFERROR(MATCH(AG631,스프레드쇼크!$B$11:$L$11,0),MATCH("목록외",스프레드쇼크!$B$11:$L$11,0))),1))</f>
        <v>1</v>
      </c>
      <c r="AY631" s="90" t="n">
        <f aca="false">IF(스프레드쇼크!$C$5="Y",IF(ISNUMBER(AF631),MIN(스프레드쇼크!$C$7,MAX(스프레드쇼크!$C$6,AF631/스프레드쇼크!$C$8)),1),1)</f>
        <v>1</v>
      </c>
      <c r="AZ631" s="94" t="n">
        <f aca="false">AN631*AX631*AY631</f>
        <v>0</v>
      </c>
      <c r="BA631" s="90" t="n">
        <f aca="false">IF(ISNUMBER(G631),AA631*G631,0)</f>
        <v>0</v>
      </c>
      <c r="BB631" s="90" t="n">
        <f aca="false">IF(ISNUMBER(G631),AA631,0)</f>
        <v>0</v>
      </c>
      <c r="BC631" s="90" t="n">
        <f aca="false">IF(AND(Y631=0,ISNUMBER(AF631)),AA631*AF631,0)</f>
        <v>0</v>
      </c>
      <c r="BD631" s="90" t="n">
        <f aca="false">IF(AND(Y631=0,ISNUMBER(AF631)),AA631,0)</f>
        <v>0</v>
      </c>
      <c r="BE631" s="90" t="n">
        <f aca="false">IF(ISNUMBER(H631),AA631*H631,0)</f>
        <v>0</v>
      </c>
      <c r="BF631" s="90" t="n">
        <f aca="false">IF(ISNUMBER(H631),AA631,0)</f>
        <v>0</v>
      </c>
      <c r="BG631" s="90" t="n">
        <f aca="false">IF(AND(Y631=0,ISNUMBER(AF631),ISNUMBER(Z631)),AA631*Z631,0)</f>
        <v>0</v>
      </c>
      <c r="BH631" s="90" t="n">
        <f aca="false">IF(AND(Y631=0,ISNUMBER(AF631),ISNUMBER(Z631)),AA631*AT631*MAX(Z631-1,0),0)</f>
        <v>0</v>
      </c>
      <c r="BI631" s="90" t="n">
        <f aca="false">IF(Y631=0,AA631,0)</f>
        <v>0</v>
      </c>
    </row>
    <row r="632" customFormat="false" ht="15" hidden="false" customHeight="false" outlineLevel="0" collapsed="false">
      <c r="A632" s="83" t="str">
        <f aca="false">IFERROR(IF(INDEX(원자료_잔고!$A$1:$EZ$1500,설정!$L$5+ROW()-1,설정!$L$8)&amp;""="0","",INDEX(원자료_잔고!$A$1:$EZ$1500,설정!$L$5+ROW()-1,설정!$L$8)&amp;""),"")</f>
        <v/>
      </c>
      <c r="B632" s="83" t="str">
        <f aca="false">IFERROR(IF(INDEX(원자료_잔고!$A$1:$EZ$1500,설정!$L$5+ROW()-1,설정!$L$7)&amp;""="0","",INDEX(원자료_잔고!$A$1:$EZ$1500,설정!$L$5+ROW()-1,설정!$L$7)&amp;""),"")</f>
        <v/>
      </c>
      <c r="C632" s="83" t="str">
        <f aca="false">IFERROR(IF(INDEX(원자료_잔고!$A$1:$EZ$1500,설정!$L$5+ROW()-1,설정!$L$9)&amp;""="0","",INDEX(원자료_잔고!$A$1:$EZ$1500,설정!$L$5+ROW()-1,설정!$L$9)&amp;""),"")</f>
        <v/>
      </c>
      <c r="D632" s="83" t="str">
        <f aca="false">IFERROR(IF(INDEX(원자료_잔고!$A$1:$EZ$1500,설정!$L$5+ROW()-1,설정!$L$10)&amp;""="0","",INDEX(원자료_잔고!$A$1:$EZ$1500,설정!$L$5+ROW()-1,설정!$L$10)&amp;""),"")</f>
        <v/>
      </c>
      <c r="E632" s="84" t="str">
        <f aca="false">IFERROR(IF(ISNUMBER(INDEX(원자료_잔고!$A$1:$EZ$1500,설정!$L$5+ROW()-1,설정!$L$11)),INDEX(원자료_잔고!$A$1:$EZ$1500,설정!$L$5+ROW()-1,설정!$L$11),""),"")</f>
        <v/>
      </c>
      <c r="F632" s="85" t="str">
        <f aca="false">IFERROR(IF(ISNUMBER(INDEX(원자료_잔고!$A$1:$EZ$1500,설정!$L$5+ROW()-1,설정!$L$12)),INDEX(원자료_잔고!$A$1:$EZ$1500,설정!$L$5+ROW()-1,설정!$L$12),""),"")</f>
        <v/>
      </c>
      <c r="G632" s="85" t="str">
        <f aca="false">IFERROR(IF(ISNUMBER(INDEX(원자료_잔고!$A$1:$EZ$1500,설정!$L$5+ROW()-1,설정!$L$13)),INDEX(원자료_잔고!$A$1:$EZ$1500,설정!$L$5+ROW()-1,설정!$L$13),""),"")</f>
        <v/>
      </c>
      <c r="H632" s="85" t="str">
        <f aca="false">IFERROR(IF(ISNUMBER(INDEX(원자료_잔고!$A$1:$EZ$1500,설정!$L$5+ROW()-1,설정!$L$14)),INDEX(원자료_잔고!$A$1:$EZ$1500,설정!$L$5+ROW()-1,설정!$L$14),""),"")</f>
        <v/>
      </c>
      <c r="I632" s="86" t="str">
        <f aca="false">IFERROR(IF(ISNUMBER(INDEX(원자료_잔고!$A$1:$EZ$1500,설정!$L$5+ROW()-1,설정!$L$15)),INDEX(원자료_잔고!$A$1:$EZ$1500,설정!$L$5+ROW()-1,설정!$L$15),""),"")</f>
        <v/>
      </c>
      <c r="J632" s="85" t="str">
        <f aca="false">IFERROR(IF(ISNUMBER(INDEX(원자료_잔고!$A$1:$EZ$1500,설정!$L$5+ROW()-1,설정!$L$16)),INDEX(원자료_잔고!$A$1:$EZ$1500,설정!$L$5+ROW()-1,설정!$L$16),""),"")</f>
        <v/>
      </c>
      <c r="K632" s="87" t="str">
        <f aca="false">IFERROR(IF(ISNUMBER(INDEX(원자료_잔고!$A$1:$EZ$1500,설정!$L$5+ROW()-1,설정!$L$17)),INDEX(원자료_잔고!$A$1:$EZ$1500,설정!$L$5+ROW()-1,설정!$L$17),""),"")</f>
        <v/>
      </c>
      <c r="L632" s="84" t="str">
        <f aca="false">IFERROR(IF(ISNUMBER(INDEX(원자료_잔고!$A$1:$EZ$1500,설정!$L$5+ROW()-1,설정!$L$18)),INDEX(원자료_잔고!$A$1:$EZ$1500,설정!$L$5+ROW()-1,설정!$L$18),""),"")</f>
        <v/>
      </c>
      <c r="M632" s="88" t="str">
        <f aca="false">IFERROR(IF(ISNUMBER(INDEX(원자료_잔고!$A$1:$EZ$1500,설정!$L$5+ROW()-1,설정!$L$19)),INDEX(원자료_잔고!$A$1:$EZ$1500,설정!$L$5+ROW()-1,설정!$L$19),""),"")</f>
        <v/>
      </c>
      <c r="N632" s="83" t="str">
        <f aca="false">IFERROR(IF(INDEX(원자료_잔고!$A$1:$EZ$1500,설정!$L$5+ROW()-1,설정!$L$21)&amp;""="0","",INDEX(원자료_잔고!$A$1:$EZ$1500,설정!$L$5+ROW()-1,설정!$L$21)&amp;""),"")</f>
        <v/>
      </c>
      <c r="O632" s="83" t="str">
        <f aca="false">IFERROR(IF(INDEX(원자료_잔고!$A$1:$EZ$1500,설정!$L$5+ROW()-1,설정!$L$22)&amp;""="0","",INDEX(원자료_잔고!$A$1:$EZ$1500,설정!$L$5+ROW()-1,설정!$L$22)&amp;""),"")</f>
        <v/>
      </c>
      <c r="P632" s="83" t="str">
        <f aca="false">IFERROR(IF(INDEX(원자료_잔고!$A$1:$EZ$1500,설정!$L$5+ROW()-1,설정!$L$23)&amp;""="0","",INDEX(원자료_잔고!$A$1:$EZ$1500,설정!$L$5+ROW()-1,설정!$L$23)&amp;""),"")</f>
        <v/>
      </c>
      <c r="Q632" s="89" t="n">
        <f aca="false">IF(AND($A632&lt;&gt;"",ISNUMBER(E632)),IF(E632&gt;0,1,0),0)</f>
        <v>0</v>
      </c>
      <c r="R632" s="43" t="str">
        <f aca="false">IF(Q632=1,UPPER(LEFT($A632,FIND(" ",$A632&amp;" ")-1)),"")</f>
        <v/>
      </c>
      <c r="S632" s="89" t="n">
        <f aca="false">IF(Q632=1,IF(OR(ISNUMBER(SEARCH("Float",$A632)),ISNUMBER(SEARCH("FRN",$A632))),1,0),0)</f>
        <v>0</v>
      </c>
      <c r="T632" s="43" t="str">
        <f aca="false">IF(AND(Q632=1,ISNUMBER(I632)),TEXT(I632,"yyyymmdd")&amp;"|"&amp;IF(S632=1,"F",TEXT(J632,"0.000")),"")</f>
        <v/>
      </c>
      <c r="U632" s="90" t="str">
        <f aca="false">IF(AND(Q632=1,ISNUMBER(I632)),(I632-설정!$C$4)/365.25,"")</f>
        <v/>
      </c>
      <c r="V632" s="43" t="str">
        <f aca="false">IF(Q632&lt;&gt;1,"",IF(ISNUMBER(U632),IF(U632&lt;=1,"1년 이하",IF(U632&lt;=2,"1-2년",IF(U632&lt;=3,"2-3년",IF(U632&lt;=4,"3-4년",IF(U632&lt;=5,"4-5년",IF(U632&lt;=7,"5-7년",IF(U632&lt;=10,"7-10년",IF(U632&lt;=20,"10-20년","20년 이상")))))))),"미분류"))</f>
        <v/>
      </c>
      <c r="W632" s="43" t="str">
        <f aca="false">IF(Q632&lt;&gt;1,"",IF(AB632&lt;&gt;"",INDEX(시장분석!$C:$C,AB632),IF(K632=1,"USD","비USD")))</f>
        <v/>
      </c>
      <c r="X632" s="91" t="n">
        <f aca="false">IF(Q632=1,E632*K632/1000000,0)</f>
        <v>0</v>
      </c>
      <c r="Y632" s="89" t="n">
        <f aca="false">IF(R632="T",1,0)</f>
        <v>0</v>
      </c>
      <c r="Z632" s="92" t="str">
        <f aca="false">IF(Q632&lt;&gt;1,"",IF(AD632=1,IF(ISNUMBER(U632),MAX(U632,0),H632),H632))</f>
        <v/>
      </c>
      <c r="AA632" s="91" t="n">
        <f aca="false">IF(Q632=1,IF(ISNUMBER(L632),L632,0)*K632/1000000,0)</f>
        <v>0</v>
      </c>
      <c r="AB632" s="89" t="str">
        <f aca="false">IF(Q632&lt;&gt;1,"",IFERROR(MATCH(VLOOKUP(B632,매핑!$H$4:$I$15,2,0),시장분석!$A$2:$A$601,0)+1,IFERROR(MATCH(R632&amp;"|"&amp;T632,시장분석!$V$2:$V$601,0)+1,IF(COUNTIF(시장분석!$U$2:$U$601,T632)=1,MATCH(T632,시장분석!$U$2:$U$601,0)+1,""))))</f>
        <v/>
      </c>
      <c r="AC632" s="89" t="n">
        <f aca="false">IF(Q632&lt;&gt;1,0,IF(OR(설정!$C$5="전체",AND(설정!$C$5="선택펀드",IFERROR(COUNTIFS(설정!$F$16:$F$36,C632,설정!$G$16:$G$36,"Y")+COUNTIFS(설정!$F$16:$F$36,VALUE(C632),설정!$G$16:$G$36,"Y"),0)&gt;0),C632&amp;""=설정!$C$5&amp;""),1,0))</f>
        <v>0</v>
      </c>
      <c r="AD632" s="89" t="n">
        <f aca="false">IF(Q632&lt;&gt;1,0,IF(OR(S632=1,IF(AB632="",FALSE(),INDEX(시장분석!$R:$R,AB632)=1)),1,0))</f>
        <v>0</v>
      </c>
      <c r="AE632" s="43" t="str">
        <f aca="false">IF(AB632="","",INDEX(시장분석!$A:$A,AB632))</f>
        <v/>
      </c>
      <c r="AF632" s="93" t="str">
        <f aca="false">IF(AB632="","",IF(ISNUMBER(IF(AB632="","",INDEX(시장분석!$E:$E,AB632))),IF(AB632="","",INDEX(시장분석!$E:$E,AB632)),""))</f>
        <v/>
      </c>
      <c r="AG632" s="43" t="str">
        <f aca="false">IF(Q632&lt;&gt;1,"",IF(AB632&lt;&gt;"",IF(AB632="","",INDEX(시장분석!$L:$L,AB632)),IFERROR(IF(VLOOKUP(R632,매핑!$A$4:$E$92,5,0)="","미분류",VLOOKUP(R632,매핑!$A$4:$E$92,5,0)),"미분류")))</f>
        <v/>
      </c>
      <c r="AH632" s="43" t="str">
        <f aca="false">IF(Q632&lt;&gt;1,"",IF(AB632&lt;&gt;"",IF(AB632="","",INDEX(시장분석!$N:$N,AB632)),IFERROR(IF(VLOOKUP(R632,매핑!$A$4:$E$92,4,0)="","미분류",VLOOKUP(R632,매핑!$A$4:$E$92,4,0)),"미분류")))</f>
        <v/>
      </c>
      <c r="AI632" s="43" t="str">
        <f aca="false">IF(Q632&lt;&gt;1,"",IFERROR(IF(VLOOKUP(R632,매핑!$A$4:$E$92,3,0)="","미분류",VLOOKUP(R632,매핑!$A$4:$E$92,3,0)),IF(AB632&lt;&gt;"",IF(AB632="","",INDEX(시장분석!$W:$W,AB632)),"미분류")))</f>
        <v/>
      </c>
      <c r="AJ632" s="43" t="str">
        <f aca="false">IF(Q632&lt;&gt;1,"",IFERROR(VLOOKUP(IF(N632&lt;&gt;"",N632,IF(P632&lt;&gt;"",P632,O632)),설정!$A$15:$D$47,2,0),""))</f>
        <v/>
      </c>
      <c r="AK632" s="43" t="str">
        <f aca="false">IF(Q632&lt;&gt;1,"",IF(AJ632="","무등급",IFERROR(VLOOKUP(AJ632,설정!$A$15:$D$47,3,0),"무등급")))</f>
        <v/>
      </c>
      <c r="AL632" s="89" t="n">
        <f aca="false">IF(AJ632="",99,IFERROR(VLOOKUP(AJ632,설정!$A$15:$D$47,4,0),99))</f>
        <v>99</v>
      </c>
      <c r="AM632" s="94" t="n">
        <f aca="false">IF(ISNUMBER(H632),AA632*1000000*H632/10000,0)</f>
        <v>0</v>
      </c>
      <c r="AN632" s="94" t="n">
        <f aca="false">IF(OR(Y632=1,NOT(ISNUMBER(Z632))),0,AA632*1000000*Z632/10000)</f>
        <v>0</v>
      </c>
      <c r="AO632" s="94" t="n">
        <f aca="false">IF(ISNUMBER(G632),AA632*1000000*G632/100,0)</f>
        <v>0</v>
      </c>
      <c r="AP632" s="94" t="n">
        <f aca="false">IF(ISNUMBER(M632),M632*K632,0)</f>
        <v>0</v>
      </c>
      <c r="AQ632" s="95" t="str">
        <f aca="false">IF(AB632="","",INDEX(시장분석!$AK:$AK,AB632))</f>
        <v/>
      </c>
      <c r="AR632" s="43" t="str">
        <f aca="false">IF(AB632="","-",IF(AB632="","",INDEX(시장분석!$AL:$AL,AB632)))</f>
        <v>-</v>
      </c>
      <c r="AS632" s="96" t="str">
        <f aca="false">IF(AB632="","",INDEX(시장분석!$AJ:$AJ,AB632))</f>
        <v/>
      </c>
      <c r="AT632" s="93" t="n">
        <f aca="false">IF(AB632="",0,IF(AB632="","",INDEX(시장분석!$AN:$AN,AB632)))</f>
        <v>0</v>
      </c>
      <c r="AU632" s="94" t="n">
        <f aca="false">IF(ISNUMBER(Z632),AT632/10000*MAX(Z632-1,0)*AA632*1000000,0)</f>
        <v>0</v>
      </c>
      <c r="AV632" s="94" t="n">
        <f aca="false">AO632+AU632</f>
        <v>0</v>
      </c>
      <c r="AW632" s="43" t="str">
        <f aca="false">IF(Q632&lt;&gt;1,"",TRIM(IF(AD632=1,"FRN ","")&amp;IF(AND(AL632&gt;=10,AL632&lt;99),"BBB0미만 ","")&amp;IF(AJ632="","등급없음 ","")&amp;IF(K632&lt;&gt;1,"비USD ","")&amp;IF(AND(AB632="",Y632=0),"시장데이터없음 ","")&amp;IF(AND(ISNUMBER(U632),U632&lt;0),"만기경과 ","")))</f>
        <v/>
      </c>
      <c r="AX632" s="90" t="n">
        <f aca="false">IF(Q632&lt;&gt;1,1,IF(스프레드쇼크!$C$4="Y",INDEX(스프레드쇼크!$B$12:$L$16,IFERROR(MATCH(AH632,스프레드쇼크!$A$12:$A$16,0),MATCH("목록외",스프레드쇼크!$A$12:$A$16,0)),IFERROR(MATCH(AG632,스프레드쇼크!$B$11:$L$11,0),MATCH("목록외",스프레드쇼크!$B$11:$L$11,0))),1))</f>
        <v>1</v>
      </c>
      <c r="AY632" s="90" t="n">
        <f aca="false">IF(스프레드쇼크!$C$5="Y",IF(ISNUMBER(AF632),MIN(스프레드쇼크!$C$7,MAX(스프레드쇼크!$C$6,AF632/스프레드쇼크!$C$8)),1),1)</f>
        <v>1</v>
      </c>
      <c r="AZ632" s="94" t="n">
        <f aca="false">AN632*AX632*AY632</f>
        <v>0</v>
      </c>
      <c r="BA632" s="90" t="n">
        <f aca="false">IF(ISNUMBER(G632),AA632*G632,0)</f>
        <v>0</v>
      </c>
      <c r="BB632" s="90" t="n">
        <f aca="false">IF(ISNUMBER(G632),AA632,0)</f>
        <v>0</v>
      </c>
      <c r="BC632" s="90" t="n">
        <f aca="false">IF(AND(Y632=0,ISNUMBER(AF632)),AA632*AF632,0)</f>
        <v>0</v>
      </c>
      <c r="BD632" s="90" t="n">
        <f aca="false">IF(AND(Y632=0,ISNUMBER(AF632)),AA632,0)</f>
        <v>0</v>
      </c>
      <c r="BE632" s="90" t="n">
        <f aca="false">IF(ISNUMBER(H632),AA632*H632,0)</f>
        <v>0</v>
      </c>
      <c r="BF632" s="90" t="n">
        <f aca="false">IF(ISNUMBER(H632),AA632,0)</f>
        <v>0</v>
      </c>
      <c r="BG632" s="90" t="n">
        <f aca="false">IF(AND(Y632=0,ISNUMBER(AF632),ISNUMBER(Z632)),AA632*Z632,0)</f>
        <v>0</v>
      </c>
      <c r="BH632" s="90" t="n">
        <f aca="false">IF(AND(Y632=0,ISNUMBER(AF632),ISNUMBER(Z632)),AA632*AT632*MAX(Z632-1,0),0)</f>
        <v>0</v>
      </c>
      <c r="BI632" s="90" t="n">
        <f aca="false">IF(Y632=0,AA632,0)</f>
        <v>0</v>
      </c>
    </row>
    <row r="633" customFormat="false" ht="15" hidden="false" customHeight="false" outlineLevel="0" collapsed="false">
      <c r="A633" s="83" t="str">
        <f aca="false">IFERROR(IF(INDEX(원자료_잔고!$A$1:$EZ$1500,설정!$L$5+ROW()-1,설정!$L$8)&amp;""="0","",INDEX(원자료_잔고!$A$1:$EZ$1500,설정!$L$5+ROW()-1,설정!$L$8)&amp;""),"")</f>
        <v/>
      </c>
      <c r="B633" s="83" t="str">
        <f aca="false">IFERROR(IF(INDEX(원자료_잔고!$A$1:$EZ$1500,설정!$L$5+ROW()-1,설정!$L$7)&amp;""="0","",INDEX(원자료_잔고!$A$1:$EZ$1500,설정!$L$5+ROW()-1,설정!$L$7)&amp;""),"")</f>
        <v/>
      </c>
      <c r="C633" s="83" t="str">
        <f aca="false">IFERROR(IF(INDEX(원자료_잔고!$A$1:$EZ$1500,설정!$L$5+ROW()-1,설정!$L$9)&amp;""="0","",INDEX(원자료_잔고!$A$1:$EZ$1500,설정!$L$5+ROW()-1,설정!$L$9)&amp;""),"")</f>
        <v/>
      </c>
      <c r="D633" s="83" t="str">
        <f aca="false">IFERROR(IF(INDEX(원자료_잔고!$A$1:$EZ$1500,설정!$L$5+ROW()-1,설정!$L$10)&amp;""="0","",INDEX(원자료_잔고!$A$1:$EZ$1500,설정!$L$5+ROW()-1,설정!$L$10)&amp;""),"")</f>
        <v/>
      </c>
      <c r="E633" s="84" t="str">
        <f aca="false">IFERROR(IF(ISNUMBER(INDEX(원자료_잔고!$A$1:$EZ$1500,설정!$L$5+ROW()-1,설정!$L$11)),INDEX(원자료_잔고!$A$1:$EZ$1500,설정!$L$5+ROW()-1,설정!$L$11),""),"")</f>
        <v/>
      </c>
      <c r="F633" s="85" t="str">
        <f aca="false">IFERROR(IF(ISNUMBER(INDEX(원자료_잔고!$A$1:$EZ$1500,설정!$L$5+ROW()-1,설정!$L$12)),INDEX(원자료_잔고!$A$1:$EZ$1500,설정!$L$5+ROW()-1,설정!$L$12),""),"")</f>
        <v/>
      </c>
      <c r="G633" s="85" t="str">
        <f aca="false">IFERROR(IF(ISNUMBER(INDEX(원자료_잔고!$A$1:$EZ$1500,설정!$L$5+ROW()-1,설정!$L$13)),INDEX(원자료_잔고!$A$1:$EZ$1500,설정!$L$5+ROW()-1,설정!$L$13),""),"")</f>
        <v/>
      </c>
      <c r="H633" s="85" t="str">
        <f aca="false">IFERROR(IF(ISNUMBER(INDEX(원자료_잔고!$A$1:$EZ$1500,설정!$L$5+ROW()-1,설정!$L$14)),INDEX(원자료_잔고!$A$1:$EZ$1500,설정!$L$5+ROW()-1,설정!$L$14),""),"")</f>
        <v/>
      </c>
      <c r="I633" s="86" t="str">
        <f aca="false">IFERROR(IF(ISNUMBER(INDEX(원자료_잔고!$A$1:$EZ$1500,설정!$L$5+ROW()-1,설정!$L$15)),INDEX(원자료_잔고!$A$1:$EZ$1500,설정!$L$5+ROW()-1,설정!$L$15),""),"")</f>
        <v/>
      </c>
      <c r="J633" s="85" t="str">
        <f aca="false">IFERROR(IF(ISNUMBER(INDEX(원자료_잔고!$A$1:$EZ$1500,설정!$L$5+ROW()-1,설정!$L$16)),INDEX(원자료_잔고!$A$1:$EZ$1500,설정!$L$5+ROW()-1,설정!$L$16),""),"")</f>
        <v/>
      </c>
      <c r="K633" s="87" t="str">
        <f aca="false">IFERROR(IF(ISNUMBER(INDEX(원자료_잔고!$A$1:$EZ$1500,설정!$L$5+ROW()-1,설정!$L$17)),INDEX(원자료_잔고!$A$1:$EZ$1500,설정!$L$5+ROW()-1,설정!$L$17),""),"")</f>
        <v/>
      </c>
      <c r="L633" s="84" t="str">
        <f aca="false">IFERROR(IF(ISNUMBER(INDEX(원자료_잔고!$A$1:$EZ$1500,설정!$L$5+ROW()-1,설정!$L$18)),INDEX(원자료_잔고!$A$1:$EZ$1500,설정!$L$5+ROW()-1,설정!$L$18),""),"")</f>
        <v/>
      </c>
      <c r="M633" s="88" t="str">
        <f aca="false">IFERROR(IF(ISNUMBER(INDEX(원자료_잔고!$A$1:$EZ$1500,설정!$L$5+ROW()-1,설정!$L$19)),INDEX(원자료_잔고!$A$1:$EZ$1500,설정!$L$5+ROW()-1,설정!$L$19),""),"")</f>
        <v/>
      </c>
      <c r="N633" s="83" t="str">
        <f aca="false">IFERROR(IF(INDEX(원자료_잔고!$A$1:$EZ$1500,설정!$L$5+ROW()-1,설정!$L$21)&amp;""="0","",INDEX(원자료_잔고!$A$1:$EZ$1500,설정!$L$5+ROW()-1,설정!$L$21)&amp;""),"")</f>
        <v/>
      </c>
      <c r="O633" s="83" t="str">
        <f aca="false">IFERROR(IF(INDEX(원자료_잔고!$A$1:$EZ$1500,설정!$L$5+ROW()-1,설정!$L$22)&amp;""="0","",INDEX(원자료_잔고!$A$1:$EZ$1500,설정!$L$5+ROW()-1,설정!$L$22)&amp;""),"")</f>
        <v/>
      </c>
      <c r="P633" s="83" t="str">
        <f aca="false">IFERROR(IF(INDEX(원자료_잔고!$A$1:$EZ$1500,설정!$L$5+ROW()-1,설정!$L$23)&amp;""="0","",INDEX(원자료_잔고!$A$1:$EZ$1500,설정!$L$5+ROW()-1,설정!$L$23)&amp;""),"")</f>
        <v/>
      </c>
      <c r="Q633" s="89" t="n">
        <f aca="false">IF(AND($A633&lt;&gt;"",ISNUMBER(E633)),IF(E633&gt;0,1,0),0)</f>
        <v>0</v>
      </c>
      <c r="R633" s="43" t="str">
        <f aca="false">IF(Q633=1,UPPER(LEFT($A633,FIND(" ",$A633&amp;" ")-1)),"")</f>
        <v/>
      </c>
      <c r="S633" s="89" t="n">
        <f aca="false">IF(Q633=1,IF(OR(ISNUMBER(SEARCH("Float",$A633)),ISNUMBER(SEARCH("FRN",$A633))),1,0),0)</f>
        <v>0</v>
      </c>
      <c r="T633" s="43" t="str">
        <f aca="false">IF(AND(Q633=1,ISNUMBER(I633)),TEXT(I633,"yyyymmdd")&amp;"|"&amp;IF(S633=1,"F",TEXT(J633,"0.000")),"")</f>
        <v/>
      </c>
      <c r="U633" s="90" t="str">
        <f aca="false">IF(AND(Q633=1,ISNUMBER(I633)),(I633-설정!$C$4)/365.25,"")</f>
        <v/>
      </c>
      <c r="V633" s="43" t="str">
        <f aca="false">IF(Q633&lt;&gt;1,"",IF(ISNUMBER(U633),IF(U633&lt;=1,"1년 이하",IF(U633&lt;=2,"1-2년",IF(U633&lt;=3,"2-3년",IF(U633&lt;=4,"3-4년",IF(U633&lt;=5,"4-5년",IF(U633&lt;=7,"5-7년",IF(U633&lt;=10,"7-10년",IF(U633&lt;=20,"10-20년","20년 이상")))))))),"미분류"))</f>
        <v/>
      </c>
      <c r="W633" s="43" t="str">
        <f aca="false">IF(Q633&lt;&gt;1,"",IF(AB633&lt;&gt;"",INDEX(시장분석!$C:$C,AB633),IF(K633=1,"USD","비USD")))</f>
        <v/>
      </c>
      <c r="X633" s="91" t="n">
        <f aca="false">IF(Q633=1,E633*K633/1000000,0)</f>
        <v>0</v>
      </c>
      <c r="Y633" s="89" t="n">
        <f aca="false">IF(R633="T",1,0)</f>
        <v>0</v>
      </c>
      <c r="Z633" s="92" t="str">
        <f aca="false">IF(Q633&lt;&gt;1,"",IF(AD633=1,IF(ISNUMBER(U633),MAX(U633,0),H633),H633))</f>
        <v/>
      </c>
      <c r="AA633" s="91" t="n">
        <f aca="false">IF(Q633=1,IF(ISNUMBER(L633),L633,0)*K633/1000000,0)</f>
        <v>0</v>
      </c>
      <c r="AB633" s="89" t="str">
        <f aca="false">IF(Q633&lt;&gt;1,"",IFERROR(MATCH(VLOOKUP(B633,매핑!$H$4:$I$15,2,0),시장분석!$A$2:$A$601,0)+1,IFERROR(MATCH(R633&amp;"|"&amp;T633,시장분석!$V$2:$V$601,0)+1,IF(COUNTIF(시장분석!$U$2:$U$601,T633)=1,MATCH(T633,시장분석!$U$2:$U$601,0)+1,""))))</f>
        <v/>
      </c>
      <c r="AC633" s="89" t="n">
        <f aca="false">IF(Q633&lt;&gt;1,0,IF(OR(설정!$C$5="전체",AND(설정!$C$5="선택펀드",IFERROR(COUNTIFS(설정!$F$16:$F$36,C633,설정!$G$16:$G$36,"Y")+COUNTIFS(설정!$F$16:$F$36,VALUE(C633),설정!$G$16:$G$36,"Y"),0)&gt;0),C633&amp;""=설정!$C$5&amp;""),1,0))</f>
        <v>0</v>
      </c>
      <c r="AD633" s="89" t="n">
        <f aca="false">IF(Q633&lt;&gt;1,0,IF(OR(S633=1,IF(AB633="",FALSE(),INDEX(시장분석!$R:$R,AB633)=1)),1,0))</f>
        <v>0</v>
      </c>
      <c r="AE633" s="43" t="str">
        <f aca="false">IF(AB633="","",INDEX(시장분석!$A:$A,AB633))</f>
        <v/>
      </c>
      <c r="AF633" s="93" t="str">
        <f aca="false">IF(AB633="","",IF(ISNUMBER(IF(AB633="","",INDEX(시장분석!$E:$E,AB633))),IF(AB633="","",INDEX(시장분석!$E:$E,AB633)),""))</f>
        <v/>
      </c>
      <c r="AG633" s="43" t="str">
        <f aca="false">IF(Q633&lt;&gt;1,"",IF(AB633&lt;&gt;"",IF(AB633="","",INDEX(시장분석!$L:$L,AB633)),IFERROR(IF(VLOOKUP(R633,매핑!$A$4:$E$92,5,0)="","미분류",VLOOKUP(R633,매핑!$A$4:$E$92,5,0)),"미분류")))</f>
        <v/>
      </c>
      <c r="AH633" s="43" t="str">
        <f aca="false">IF(Q633&lt;&gt;1,"",IF(AB633&lt;&gt;"",IF(AB633="","",INDEX(시장분석!$N:$N,AB633)),IFERROR(IF(VLOOKUP(R633,매핑!$A$4:$E$92,4,0)="","미분류",VLOOKUP(R633,매핑!$A$4:$E$92,4,0)),"미분류")))</f>
        <v/>
      </c>
      <c r="AI633" s="43" t="str">
        <f aca="false">IF(Q633&lt;&gt;1,"",IFERROR(IF(VLOOKUP(R633,매핑!$A$4:$E$92,3,0)="","미분류",VLOOKUP(R633,매핑!$A$4:$E$92,3,0)),IF(AB633&lt;&gt;"",IF(AB633="","",INDEX(시장분석!$W:$W,AB633)),"미분류")))</f>
        <v/>
      </c>
      <c r="AJ633" s="43" t="str">
        <f aca="false">IF(Q633&lt;&gt;1,"",IFERROR(VLOOKUP(IF(N633&lt;&gt;"",N633,IF(P633&lt;&gt;"",P633,O633)),설정!$A$15:$D$47,2,0),""))</f>
        <v/>
      </c>
      <c r="AK633" s="43" t="str">
        <f aca="false">IF(Q633&lt;&gt;1,"",IF(AJ633="","무등급",IFERROR(VLOOKUP(AJ633,설정!$A$15:$D$47,3,0),"무등급")))</f>
        <v/>
      </c>
      <c r="AL633" s="89" t="n">
        <f aca="false">IF(AJ633="",99,IFERROR(VLOOKUP(AJ633,설정!$A$15:$D$47,4,0),99))</f>
        <v>99</v>
      </c>
      <c r="AM633" s="94" t="n">
        <f aca="false">IF(ISNUMBER(H633),AA633*1000000*H633/10000,0)</f>
        <v>0</v>
      </c>
      <c r="AN633" s="94" t="n">
        <f aca="false">IF(OR(Y633=1,NOT(ISNUMBER(Z633))),0,AA633*1000000*Z633/10000)</f>
        <v>0</v>
      </c>
      <c r="AO633" s="94" t="n">
        <f aca="false">IF(ISNUMBER(G633),AA633*1000000*G633/100,0)</f>
        <v>0</v>
      </c>
      <c r="AP633" s="94" t="n">
        <f aca="false">IF(ISNUMBER(M633),M633*K633,0)</f>
        <v>0</v>
      </c>
      <c r="AQ633" s="95" t="str">
        <f aca="false">IF(AB633="","",INDEX(시장분석!$AK:$AK,AB633))</f>
        <v/>
      </c>
      <c r="AR633" s="43" t="str">
        <f aca="false">IF(AB633="","-",IF(AB633="","",INDEX(시장분석!$AL:$AL,AB633)))</f>
        <v>-</v>
      </c>
      <c r="AS633" s="96" t="str">
        <f aca="false">IF(AB633="","",INDEX(시장분석!$AJ:$AJ,AB633))</f>
        <v/>
      </c>
      <c r="AT633" s="93" t="n">
        <f aca="false">IF(AB633="",0,IF(AB633="","",INDEX(시장분석!$AN:$AN,AB633)))</f>
        <v>0</v>
      </c>
      <c r="AU633" s="94" t="n">
        <f aca="false">IF(ISNUMBER(Z633),AT633/10000*MAX(Z633-1,0)*AA633*1000000,0)</f>
        <v>0</v>
      </c>
      <c r="AV633" s="94" t="n">
        <f aca="false">AO633+AU633</f>
        <v>0</v>
      </c>
      <c r="AW633" s="43" t="str">
        <f aca="false">IF(Q633&lt;&gt;1,"",TRIM(IF(AD633=1,"FRN ","")&amp;IF(AND(AL633&gt;=10,AL633&lt;99),"BBB0미만 ","")&amp;IF(AJ633="","등급없음 ","")&amp;IF(K633&lt;&gt;1,"비USD ","")&amp;IF(AND(AB633="",Y633=0),"시장데이터없음 ","")&amp;IF(AND(ISNUMBER(U633),U633&lt;0),"만기경과 ","")))</f>
        <v/>
      </c>
      <c r="AX633" s="90" t="n">
        <f aca="false">IF(Q633&lt;&gt;1,1,IF(스프레드쇼크!$C$4="Y",INDEX(스프레드쇼크!$B$12:$L$16,IFERROR(MATCH(AH633,스프레드쇼크!$A$12:$A$16,0),MATCH("목록외",스프레드쇼크!$A$12:$A$16,0)),IFERROR(MATCH(AG633,스프레드쇼크!$B$11:$L$11,0),MATCH("목록외",스프레드쇼크!$B$11:$L$11,0))),1))</f>
        <v>1</v>
      </c>
      <c r="AY633" s="90" t="n">
        <f aca="false">IF(스프레드쇼크!$C$5="Y",IF(ISNUMBER(AF633),MIN(스프레드쇼크!$C$7,MAX(스프레드쇼크!$C$6,AF633/스프레드쇼크!$C$8)),1),1)</f>
        <v>1</v>
      </c>
      <c r="AZ633" s="94" t="n">
        <f aca="false">AN633*AX633*AY633</f>
        <v>0</v>
      </c>
      <c r="BA633" s="90" t="n">
        <f aca="false">IF(ISNUMBER(G633),AA633*G633,0)</f>
        <v>0</v>
      </c>
      <c r="BB633" s="90" t="n">
        <f aca="false">IF(ISNUMBER(G633),AA633,0)</f>
        <v>0</v>
      </c>
      <c r="BC633" s="90" t="n">
        <f aca="false">IF(AND(Y633=0,ISNUMBER(AF633)),AA633*AF633,0)</f>
        <v>0</v>
      </c>
      <c r="BD633" s="90" t="n">
        <f aca="false">IF(AND(Y633=0,ISNUMBER(AF633)),AA633,0)</f>
        <v>0</v>
      </c>
      <c r="BE633" s="90" t="n">
        <f aca="false">IF(ISNUMBER(H633),AA633*H633,0)</f>
        <v>0</v>
      </c>
      <c r="BF633" s="90" t="n">
        <f aca="false">IF(ISNUMBER(H633),AA633,0)</f>
        <v>0</v>
      </c>
      <c r="BG633" s="90" t="n">
        <f aca="false">IF(AND(Y633=0,ISNUMBER(AF633),ISNUMBER(Z633)),AA633*Z633,0)</f>
        <v>0</v>
      </c>
      <c r="BH633" s="90" t="n">
        <f aca="false">IF(AND(Y633=0,ISNUMBER(AF633),ISNUMBER(Z633)),AA633*AT633*MAX(Z633-1,0),0)</f>
        <v>0</v>
      </c>
      <c r="BI633" s="90" t="n">
        <f aca="false">IF(Y633=0,AA633,0)</f>
        <v>0</v>
      </c>
    </row>
    <row r="634" customFormat="false" ht="15" hidden="false" customHeight="false" outlineLevel="0" collapsed="false">
      <c r="A634" s="83" t="str">
        <f aca="false">IFERROR(IF(INDEX(원자료_잔고!$A$1:$EZ$1500,설정!$L$5+ROW()-1,설정!$L$8)&amp;""="0","",INDEX(원자료_잔고!$A$1:$EZ$1500,설정!$L$5+ROW()-1,설정!$L$8)&amp;""),"")</f>
        <v/>
      </c>
      <c r="B634" s="83" t="str">
        <f aca="false">IFERROR(IF(INDEX(원자료_잔고!$A$1:$EZ$1500,설정!$L$5+ROW()-1,설정!$L$7)&amp;""="0","",INDEX(원자료_잔고!$A$1:$EZ$1500,설정!$L$5+ROW()-1,설정!$L$7)&amp;""),"")</f>
        <v/>
      </c>
      <c r="C634" s="83" t="str">
        <f aca="false">IFERROR(IF(INDEX(원자료_잔고!$A$1:$EZ$1500,설정!$L$5+ROW()-1,설정!$L$9)&amp;""="0","",INDEX(원자료_잔고!$A$1:$EZ$1500,설정!$L$5+ROW()-1,설정!$L$9)&amp;""),"")</f>
        <v/>
      </c>
      <c r="D634" s="83" t="str">
        <f aca="false">IFERROR(IF(INDEX(원자료_잔고!$A$1:$EZ$1500,설정!$L$5+ROW()-1,설정!$L$10)&amp;""="0","",INDEX(원자료_잔고!$A$1:$EZ$1500,설정!$L$5+ROW()-1,설정!$L$10)&amp;""),"")</f>
        <v/>
      </c>
      <c r="E634" s="84" t="str">
        <f aca="false">IFERROR(IF(ISNUMBER(INDEX(원자료_잔고!$A$1:$EZ$1500,설정!$L$5+ROW()-1,설정!$L$11)),INDEX(원자료_잔고!$A$1:$EZ$1500,설정!$L$5+ROW()-1,설정!$L$11),""),"")</f>
        <v/>
      </c>
      <c r="F634" s="85" t="str">
        <f aca="false">IFERROR(IF(ISNUMBER(INDEX(원자료_잔고!$A$1:$EZ$1500,설정!$L$5+ROW()-1,설정!$L$12)),INDEX(원자료_잔고!$A$1:$EZ$1500,설정!$L$5+ROW()-1,설정!$L$12),""),"")</f>
        <v/>
      </c>
      <c r="G634" s="85" t="str">
        <f aca="false">IFERROR(IF(ISNUMBER(INDEX(원자료_잔고!$A$1:$EZ$1500,설정!$L$5+ROW()-1,설정!$L$13)),INDEX(원자료_잔고!$A$1:$EZ$1500,설정!$L$5+ROW()-1,설정!$L$13),""),"")</f>
        <v/>
      </c>
      <c r="H634" s="85" t="str">
        <f aca="false">IFERROR(IF(ISNUMBER(INDEX(원자료_잔고!$A$1:$EZ$1500,설정!$L$5+ROW()-1,설정!$L$14)),INDEX(원자료_잔고!$A$1:$EZ$1500,설정!$L$5+ROW()-1,설정!$L$14),""),"")</f>
        <v/>
      </c>
      <c r="I634" s="86" t="str">
        <f aca="false">IFERROR(IF(ISNUMBER(INDEX(원자료_잔고!$A$1:$EZ$1500,설정!$L$5+ROW()-1,설정!$L$15)),INDEX(원자료_잔고!$A$1:$EZ$1500,설정!$L$5+ROW()-1,설정!$L$15),""),"")</f>
        <v/>
      </c>
      <c r="J634" s="85" t="str">
        <f aca="false">IFERROR(IF(ISNUMBER(INDEX(원자료_잔고!$A$1:$EZ$1500,설정!$L$5+ROW()-1,설정!$L$16)),INDEX(원자료_잔고!$A$1:$EZ$1500,설정!$L$5+ROW()-1,설정!$L$16),""),"")</f>
        <v/>
      </c>
      <c r="K634" s="87" t="str">
        <f aca="false">IFERROR(IF(ISNUMBER(INDEX(원자료_잔고!$A$1:$EZ$1500,설정!$L$5+ROW()-1,설정!$L$17)),INDEX(원자료_잔고!$A$1:$EZ$1500,설정!$L$5+ROW()-1,설정!$L$17),""),"")</f>
        <v/>
      </c>
      <c r="L634" s="84" t="str">
        <f aca="false">IFERROR(IF(ISNUMBER(INDEX(원자료_잔고!$A$1:$EZ$1500,설정!$L$5+ROW()-1,설정!$L$18)),INDEX(원자료_잔고!$A$1:$EZ$1500,설정!$L$5+ROW()-1,설정!$L$18),""),"")</f>
        <v/>
      </c>
      <c r="M634" s="88" t="str">
        <f aca="false">IFERROR(IF(ISNUMBER(INDEX(원자료_잔고!$A$1:$EZ$1500,설정!$L$5+ROW()-1,설정!$L$19)),INDEX(원자료_잔고!$A$1:$EZ$1500,설정!$L$5+ROW()-1,설정!$L$19),""),"")</f>
        <v/>
      </c>
      <c r="N634" s="83" t="str">
        <f aca="false">IFERROR(IF(INDEX(원자료_잔고!$A$1:$EZ$1500,설정!$L$5+ROW()-1,설정!$L$21)&amp;""="0","",INDEX(원자료_잔고!$A$1:$EZ$1500,설정!$L$5+ROW()-1,설정!$L$21)&amp;""),"")</f>
        <v/>
      </c>
      <c r="O634" s="83" t="str">
        <f aca="false">IFERROR(IF(INDEX(원자료_잔고!$A$1:$EZ$1500,설정!$L$5+ROW()-1,설정!$L$22)&amp;""="0","",INDEX(원자료_잔고!$A$1:$EZ$1500,설정!$L$5+ROW()-1,설정!$L$22)&amp;""),"")</f>
        <v/>
      </c>
      <c r="P634" s="83" t="str">
        <f aca="false">IFERROR(IF(INDEX(원자료_잔고!$A$1:$EZ$1500,설정!$L$5+ROW()-1,설정!$L$23)&amp;""="0","",INDEX(원자료_잔고!$A$1:$EZ$1500,설정!$L$5+ROW()-1,설정!$L$23)&amp;""),"")</f>
        <v/>
      </c>
      <c r="Q634" s="89" t="n">
        <f aca="false">IF(AND($A634&lt;&gt;"",ISNUMBER(E634)),IF(E634&gt;0,1,0),0)</f>
        <v>0</v>
      </c>
      <c r="R634" s="43" t="str">
        <f aca="false">IF(Q634=1,UPPER(LEFT($A634,FIND(" ",$A634&amp;" ")-1)),"")</f>
        <v/>
      </c>
      <c r="S634" s="89" t="n">
        <f aca="false">IF(Q634=1,IF(OR(ISNUMBER(SEARCH("Float",$A634)),ISNUMBER(SEARCH("FRN",$A634))),1,0),0)</f>
        <v>0</v>
      </c>
      <c r="T634" s="43" t="str">
        <f aca="false">IF(AND(Q634=1,ISNUMBER(I634)),TEXT(I634,"yyyymmdd")&amp;"|"&amp;IF(S634=1,"F",TEXT(J634,"0.000")),"")</f>
        <v/>
      </c>
      <c r="U634" s="90" t="str">
        <f aca="false">IF(AND(Q634=1,ISNUMBER(I634)),(I634-설정!$C$4)/365.25,"")</f>
        <v/>
      </c>
      <c r="V634" s="43" t="str">
        <f aca="false">IF(Q634&lt;&gt;1,"",IF(ISNUMBER(U634),IF(U634&lt;=1,"1년 이하",IF(U634&lt;=2,"1-2년",IF(U634&lt;=3,"2-3년",IF(U634&lt;=4,"3-4년",IF(U634&lt;=5,"4-5년",IF(U634&lt;=7,"5-7년",IF(U634&lt;=10,"7-10년",IF(U634&lt;=20,"10-20년","20년 이상")))))))),"미분류"))</f>
        <v/>
      </c>
      <c r="W634" s="43" t="str">
        <f aca="false">IF(Q634&lt;&gt;1,"",IF(AB634&lt;&gt;"",INDEX(시장분석!$C:$C,AB634),IF(K634=1,"USD","비USD")))</f>
        <v/>
      </c>
      <c r="X634" s="91" t="n">
        <f aca="false">IF(Q634=1,E634*K634/1000000,0)</f>
        <v>0</v>
      </c>
      <c r="Y634" s="89" t="n">
        <f aca="false">IF(R634="T",1,0)</f>
        <v>0</v>
      </c>
      <c r="Z634" s="92" t="str">
        <f aca="false">IF(Q634&lt;&gt;1,"",IF(AD634=1,IF(ISNUMBER(U634),MAX(U634,0),H634),H634))</f>
        <v/>
      </c>
      <c r="AA634" s="91" t="n">
        <f aca="false">IF(Q634=1,IF(ISNUMBER(L634),L634,0)*K634/1000000,0)</f>
        <v>0</v>
      </c>
      <c r="AB634" s="89" t="str">
        <f aca="false">IF(Q634&lt;&gt;1,"",IFERROR(MATCH(VLOOKUP(B634,매핑!$H$4:$I$15,2,0),시장분석!$A$2:$A$601,0)+1,IFERROR(MATCH(R634&amp;"|"&amp;T634,시장분석!$V$2:$V$601,0)+1,IF(COUNTIF(시장분석!$U$2:$U$601,T634)=1,MATCH(T634,시장분석!$U$2:$U$601,0)+1,""))))</f>
        <v/>
      </c>
      <c r="AC634" s="89" t="n">
        <f aca="false">IF(Q634&lt;&gt;1,0,IF(OR(설정!$C$5="전체",AND(설정!$C$5="선택펀드",IFERROR(COUNTIFS(설정!$F$16:$F$36,C634,설정!$G$16:$G$36,"Y")+COUNTIFS(설정!$F$16:$F$36,VALUE(C634),설정!$G$16:$G$36,"Y"),0)&gt;0),C634&amp;""=설정!$C$5&amp;""),1,0))</f>
        <v>0</v>
      </c>
      <c r="AD634" s="89" t="n">
        <f aca="false">IF(Q634&lt;&gt;1,0,IF(OR(S634=1,IF(AB634="",FALSE(),INDEX(시장분석!$R:$R,AB634)=1)),1,0))</f>
        <v>0</v>
      </c>
      <c r="AE634" s="43" t="str">
        <f aca="false">IF(AB634="","",INDEX(시장분석!$A:$A,AB634))</f>
        <v/>
      </c>
      <c r="AF634" s="93" t="str">
        <f aca="false">IF(AB634="","",IF(ISNUMBER(IF(AB634="","",INDEX(시장분석!$E:$E,AB634))),IF(AB634="","",INDEX(시장분석!$E:$E,AB634)),""))</f>
        <v/>
      </c>
      <c r="AG634" s="43" t="str">
        <f aca="false">IF(Q634&lt;&gt;1,"",IF(AB634&lt;&gt;"",IF(AB634="","",INDEX(시장분석!$L:$L,AB634)),IFERROR(IF(VLOOKUP(R634,매핑!$A$4:$E$92,5,0)="","미분류",VLOOKUP(R634,매핑!$A$4:$E$92,5,0)),"미분류")))</f>
        <v/>
      </c>
      <c r="AH634" s="43" t="str">
        <f aca="false">IF(Q634&lt;&gt;1,"",IF(AB634&lt;&gt;"",IF(AB634="","",INDEX(시장분석!$N:$N,AB634)),IFERROR(IF(VLOOKUP(R634,매핑!$A$4:$E$92,4,0)="","미분류",VLOOKUP(R634,매핑!$A$4:$E$92,4,0)),"미분류")))</f>
        <v/>
      </c>
      <c r="AI634" s="43" t="str">
        <f aca="false">IF(Q634&lt;&gt;1,"",IFERROR(IF(VLOOKUP(R634,매핑!$A$4:$E$92,3,0)="","미분류",VLOOKUP(R634,매핑!$A$4:$E$92,3,0)),IF(AB634&lt;&gt;"",IF(AB634="","",INDEX(시장분석!$W:$W,AB634)),"미분류")))</f>
        <v/>
      </c>
      <c r="AJ634" s="43" t="str">
        <f aca="false">IF(Q634&lt;&gt;1,"",IFERROR(VLOOKUP(IF(N634&lt;&gt;"",N634,IF(P634&lt;&gt;"",P634,O634)),설정!$A$15:$D$47,2,0),""))</f>
        <v/>
      </c>
      <c r="AK634" s="43" t="str">
        <f aca="false">IF(Q634&lt;&gt;1,"",IF(AJ634="","무등급",IFERROR(VLOOKUP(AJ634,설정!$A$15:$D$47,3,0),"무등급")))</f>
        <v/>
      </c>
      <c r="AL634" s="89" t="n">
        <f aca="false">IF(AJ634="",99,IFERROR(VLOOKUP(AJ634,설정!$A$15:$D$47,4,0),99))</f>
        <v>99</v>
      </c>
      <c r="AM634" s="94" t="n">
        <f aca="false">IF(ISNUMBER(H634),AA634*1000000*H634/10000,0)</f>
        <v>0</v>
      </c>
      <c r="AN634" s="94" t="n">
        <f aca="false">IF(OR(Y634=1,NOT(ISNUMBER(Z634))),0,AA634*1000000*Z634/10000)</f>
        <v>0</v>
      </c>
      <c r="AO634" s="94" t="n">
        <f aca="false">IF(ISNUMBER(G634),AA634*1000000*G634/100,0)</f>
        <v>0</v>
      </c>
      <c r="AP634" s="94" t="n">
        <f aca="false">IF(ISNUMBER(M634),M634*K634,0)</f>
        <v>0</v>
      </c>
      <c r="AQ634" s="95" t="str">
        <f aca="false">IF(AB634="","",INDEX(시장분석!$AK:$AK,AB634))</f>
        <v/>
      </c>
      <c r="AR634" s="43" t="str">
        <f aca="false">IF(AB634="","-",IF(AB634="","",INDEX(시장분석!$AL:$AL,AB634)))</f>
        <v>-</v>
      </c>
      <c r="AS634" s="96" t="str">
        <f aca="false">IF(AB634="","",INDEX(시장분석!$AJ:$AJ,AB634))</f>
        <v/>
      </c>
      <c r="AT634" s="93" t="n">
        <f aca="false">IF(AB634="",0,IF(AB634="","",INDEX(시장분석!$AN:$AN,AB634)))</f>
        <v>0</v>
      </c>
      <c r="AU634" s="94" t="n">
        <f aca="false">IF(ISNUMBER(Z634),AT634/10000*MAX(Z634-1,0)*AA634*1000000,0)</f>
        <v>0</v>
      </c>
      <c r="AV634" s="94" t="n">
        <f aca="false">AO634+AU634</f>
        <v>0</v>
      </c>
      <c r="AW634" s="43" t="str">
        <f aca="false">IF(Q634&lt;&gt;1,"",TRIM(IF(AD634=1,"FRN ","")&amp;IF(AND(AL634&gt;=10,AL634&lt;99),"BBB0미만 ","")&amp;IF(AJ634="","등급없음 ","")&amp;IF(K634&lt;&gt;1,"비USD ","")&amp;IF(AND(AB634="",Y634=0),"시장데이터없음 ","")&amp;IF(AND(ISNUMBER(U634),U634&lt;0),"만기경과 ","")))</f>
        <v/>
      </c>
      <c r="AX634" s="90" t="n">
        <f aca="false">IF(Q634&lt;&gt;1,1,IF(스프레드쇼크!$C$4="Y",INDEX(스프레드쇼크!$B$12:$L$16,IFERROR(MATCH(AH634,스프레드쇼크!$A$12:$A$16,0),MATCH("목록외",스프레드쇼크!$A$12:$A$16,0)),IFERROR(MATCH(AG634,스프레드쇼크!$B$11:$L$11,0),MATCH("목록외",스프레드쇼크!$B$11:$L$11,0))),1))</f>
        <v>1</v>
      </c>
      <c r="AY634" s="90" t="n">
        <f aca="false">IF(스프레드쇼크!$C$5="Y",IF(ISNUMBER(AF634),MIN(스프레드쇼크!$C$7,MAX(스프레드쇼크!$C$6,AF634/스프레드쇼크!$C$8)),1),1)</f>
        <v>1</v>
      </c>
      <c r="AZ634" s="94" t="n">
        <f aca="false">AN634*AX634*AY634</f>
        <v>0</v>
      </c>
      <c r="BA634" s="90" t="n">
        <f aca="false">IF(ISNUMBER(G634),AA634*G634,0)</f>
        <v>0</v>
      </c>
      <c r="BB634" s="90" t="n">
        <f aca="false">IF(ISNUMBER(G634),AA634,0)</f>
        <v>0</v>
      </c>
      <c r="BC634" s="90" t="n">
        <f aca="false">IF(AND(Y634=0,ISNUMBER(AF634)),AA634*AF634,0)</f>
        <v>0</v>
      </c>
      <c r="BD634" s="90" t="n">
        <f aca="false">IF(AND(Y634=0,ISNUMBER(AF634)),AA634,0)</f>
        <v>0</v>
      </c>
      <c r="BE634" s="90" t="n">
        <f aca="false">IF(ISNUMBER(H634),AA634*H634,0)</f>
        <v>0</v>
      </c>
      <c r="BF634" s="90" t="n">
        <f aca="false">IF(ISNUMBER(H634),AA634,0)</f>
        <v>0</v>
      </c>
      <c r="BG634" s="90" t="n">
        <f aca="false">IF(AND(Y634=0,ISNUMBER(AF634),ISNUMBER(Z634)),AA634*Z634,0)</f>
        <v>0</v>
      </c>
      <c r="BH634" s="90" t="n">
        <f aca="false">IF(AND(Y634=0,ISNUMBER(AF634),ISNUMBER(Z634)),AA634*AT634*MAX(Z634-1,0),0)</f>
        <v>0</v>
      </c>
      <c r="BI634" s="90" t="n">
        <f aca="false">IF(Y634=0,AA634,0)</f>
        <v>0</v>
      </c>
    </row>
    <row r="635" customFormat="false" ht="15" hidden="false" customHeight="false" outlineLevel="0" collapsed="false">
      <c r="A635" s="83" t="str">
        <f aca="false">IFERROR(IF(INDEX(원자료_잔고!$A$1:$EZ$1500,설정!$L$5+ROW()-1,설정!$L$8)&amp;""="0","",INDEX(원자료_잔고!$A$1:$EZ$1500,설정!$L$5+ROW()-1,설정!$L$8)&amp;""),"")</f>
        <v/>
      </c>
      <c r="B635" s="83" t="str">
        <f aca="false">IFERROR(IF(INDEX(원자료_잔고!$A$1:$EZ$1500,설정!$L$5+ROW()-1,설정!$L$7)&amp;""="0","",INDEX(원자료_잔고!$A$1:$EZ$1500,설정!$L$5+ROW()-1,설정!$L$7)&amp;""),"")</f>
        <v/>
      </c>
      <c r="C635" s="83" t="str">
        <f aca="false">IFERROR(IF(INDEX(원자료_잔고!$A$1:$EZ$1500,설정!$L$5+ROW()-1,설정!$L$9)&amp;""="0","",INDEX(원자료_잔고!$A$1:$EZ$1500,설정!$L$5+ROW()-1,설정!$L$9)&amp;""),"")</f>
        <v/>
      </c>
      <c r="D635" s="83" t="str">
        <f aca="false">IFERROR(IF(INDEX(원자료_잔고!$A$1:$EZ$1500,설정!$L$5+ROW()-1,설정!$L$10)&amp;""="0","",INDEX(원자료_잔고!$A$1:$EZ$1500,설정!$L$5+ROW()-1,설정!$L$10)&amp;""),"")</f>
        <v/>
      </c>
      <c r="E635" s="84" t="str">
        <f aca="false">IFERROR(IF(ISNUMBER(INDEX(원자료_잔고!$A$1:$EZ$1500,설정!$L$5+ROW()-1,설정!$L$11)),INDEX(원자료_잔고!$A$1:$EZ$1500,설정!$L$5+ROW()-1,설정!$L$11),""),"")</f>
        <v/>
      </c>
      <c r="F635" s="85" t="str">
        <f aca="false">IFERROR(IF(ISNUMBER(INDEX(원자료_잔고!$A$1:$EZ$1500,설정!$L$5+ROW()-1,설정!$L$12)),INDEX(원자료_잔고!$A$1:$EZ$1500,설정!$L$5+ROW()-1,설정!$L$12),""),"")</f>
        <v/>
      </c>
      <c r="G635" s="85" t="str">
        <f aca="false">IFERROR(IF(ISNUMBER(INDEX(원자료_잔고!$A$1:$EZ$1500,설정!$L$5+ROW()-1,설정!$L$13)),INDEX(원자료_잔고!$A$1:$EZ$1500,설정!$L$5+ROW()-1,설정!$L$13),""),"")</f>
        <v/>
      </c>
      <c r="H635" s="85" t="str">
        <f aca="false">IFERROR(IF(ISNUMBER(INDEX(원자료_잔고!$A$1:$EZ$1500,설정!$L$5+ROW()-1,설정!$L$14)),INDEX(원자료_잔고!$A$1:$EZ$1500,설정!$L$5+ROW()-1,설정!$L$14),""),"")</f>
        <v/>
      </c>
      <c r="I635" s="86" t="str">
        <f aca="false">IFERROR(IF(ISNUMBER(INDEX(원자료_잔고!$A$1:$EZ$1500,설정!$L$5+ROW()-1,설정!$L$15)),INDEX(원자료_잔고!$A$1:$EZ$1500,설정!$L$5+ROW()-1,설정!$L$15),""),"")</f>
        <v/>
      </c>
      <c r="J635" s="85" t="str">
        <f aca="false">IFERROR(IF(ISNUMBER(INDEX(원자료_잔고!$A$1:$EZ$1500,설정!$L$5+ROW()-1,설정!$L$16)),INDEX(원자료_잔고!$A$1:$EZ$1500,설정!$L$5+ROW()-1,설정!$L$16),""),"")</f>
        <v/>
      </c>
      <c r="K635" s="87" t="str">
        <f aca="false">IFERROR(IF(ISNUMBER(INDEX(원자료_잔고!$A$1:$EZ$1500,설정!$L$5+ROW()-1,설정!$L$17)),INDEX(원자료_잔고!$A$1:$EZ$1500,설정!$L$5+ROW()-1,설정!$L$17),""),"")</f>
        <v/>
      </c>
      <c r="L635" s="84" t="str">
        <f aca="false">IFERROR(IF(ISNUMBER(INDEX(원자료_잔고!$A$1:$EZ$1500,설정!$L$5+ROW()-1,설정!$L$18)),INDEX(원자료_잔고!$A$1:$EZ$1500,설정!$L$5+ROW()-1,설정!$L$18),""),"")</f>
        <v/>
      </c>
      <c r="M635" s="88" t="str">
        <f aca="false">IFERROR(IF(ISNUMBER(INDEX(원자료_잔고!$A$1:$EZ$1500,설정!$L$5+ROW()-1,설정!$L$19)),INDEX(원자료_잔고!$A$1:$EZ$1500,설정!$L$5+ROW()-1,설정!$L$19),""),"")</f>
        <v/>
      </c>
      <c r="N635" s="83" t="str">
        <f aca="false">IFERROR(IF(INDEX(원자료_잔고!$A$1:$EZ$1500,설정!$L$5+ROW()-1,설정!$L$21)&amp;""="0","",INDEX(원자료_잔고!$A$1:$EZ$1500,설정!$L$5+ROW()-1,설정!$L$21)&amp;""),"")</f>
        <v/>
      </c>
      <c r="O635" s="83" t="str">
        <f aca="false">IFERROR(IF(INDEX(원자료_잔고!$A$1:$EZ$1500,설정!$L$5+ROW()-1,설정!$L$22)&amp;""="0","",INDEX(원자료_잔고!$A$1:$EZ$1500,설정!$L$5+ROW()-1,설정!$L$22)&amp;""),"")</f>
        <v/>
      </c>
      <c r="P635" s="83" t="str">
        <f aca="false">IFERROR(IF(INDEX(원자료_잔고!$A$1:$EZ$1500,설정!$L$5+ROW()-1,설정!$L$23)&amp;""="0","",INDEX(원자료_잔고!$A$1:$EZ$1500,설정!$L$5+ROW()-1,설정!$L$23)&amp;""),"")</f>
        <v/>
      </c>
      <c r="Q635" s="89" t="n">
        <f aca="false">IF(AND($A635&lt;&gt;"",ISNUMBER(E635)),IF(E635&gt;0,1,0),0)</f>
        <v>0</v>
      </c>
      <c r="R635" s="43" t="str">
        <f aca="false">IF(Q635=1,UPPER(LEFT($A635,FIND(" ",$A635&amp;" ")-1)),"")</f>
        <v/>
      </c>
      <c r="S635" s="89" t="n">
        <f aca="false">IF(Q635=1,IF(OR(ISNUMBER(SEARCH("Float",$A635)),ISNUMBER(SEARCH("FRN",$A635))),1,0),0)</f>
        <v>0</v>
      </c>
      <c r="T635" s="43" t="str">
        <f aca="false">IF(AND(Q635=1,ISNUMBER(I635)),TEXT(I635,"yyyymmdd")&amp;"|"&amp;IF(S635=1,"F",TEXT(J635,"0.000")),"")</f>
        <v/>
      </c>
      <c r="U635" s="90" t="str">
        <f aca="false">IF(AND(Q635=1,ISNUMBER(I635)),(I635-설정!$C$4)/365.25,"")</f>
        <v/>
      </c>
      <c r="V635" s="43" t="str">
        <f aca="false">IF(Q635&lt;&gt;1,"",IF(ISNUMBER(U635),IF(U635&lt;=1,"1년 이하",IF(U635&lt;=2,"1-2년",IF(U635&lt;=3,"2-3년",IF(U635&lt;=4,"3-4년",IF(U635&lt;=5,"4-5년",IF(U635&lt;=7,"5-7년",IF(U635&lt;=10,"7-10년",IF(U635&lt;=20,"10-20년","20년 이상")))))))),"미분류"))</f>
        <v/>
      </c>
      <c r="W635" s="43" t="str">
        <f aca="false">IF(Q635&lt;&gt;1,"",IF(AB635&lt;&gt;"",INDEX(시장분석!$C:$C,AB635),IF(K635=1,"USD","비USD")))</f>
        <v/>
      </c>
      <c r="X635" s="91" t="n">
        <f aca="false">IF(Q635=1,E635*K635/1000000,0)</f>
        <v>0</v>
      </c>
      <c r="Y635" s="89" t="n">
        <f aca="false">IF(R635="T",1,0)</f>
        <v>0</v>
      </c>
      <c r="Z635" s="92" t="str">
        <f aca="false">IF(Q635&lt;&gt;1,"",IF(AD635=1,IF(ISNUMBER(U635),MAX(U635,0),H635),H635))</f>
        <v/>
      </c>
      <c r="AA635" s="91" t="n">
        <f aca="false">IF(Q635=1,IF(ISNUMBER(L635),L635,0)*K635/1000000,0)</f>
        <v>0</v>
      </c>
      <c r="AB635" s="89" t="str">
        <f aca="false">IF(Q635&lt;&gt;1,"",IFERROR(MATCH(VLOOKUP(B635,매핑!$H$4:$I$15,2,0),시장분석!$A$2:$A$601,0)+1,IFERROR(MATCH(R635&amp;"|"&amp;T635,시장분석!$V$2:$V$601,0)+1,IF(COUNTIF(시장분석!$U$2:$U$601,T635)=1,MATCH(T635,시장분석!$U$2:$U$601,0)+1,""))))</f>
        <v/>
      </c>
      <c r="AC635" s="89" t="n">
        <f aca="false">IF(Q635&lt;&gt;1,0,IF(OR(설정!$C$5="전체",AND(설정!$C$5="선택펀드",IFERROR(COUNTIFS(설정!$F$16:$F$36,C635,설정!$G$16:$G$36,"Y")+COUNTIFS(설정!$F$16:$F$36,VALUE(C635),설정!$G$16:$G$36,"Y"),0)&gt;0),C635&amp;""=설정!$C$5&amp;""),1,0))</f>
        <v>0</v>
      </c>
      <c r="AD635" s="89" t="n">
        <f aca="false">IF(Q635&lt;&gt;1,0,IF(OR(S635=1,IF(AB635="",FALSE(),INDEX(시장분석!$R:$R,AB635)=1)),1,0))</f>
        <v>0</v>
      </c>
      <c r="AE635" s="43" t="str">
        <f aca="false">IF(AB635="","",INDEX(시장분석!$A:$A,AB635))</f>
        <v/>
      </c>
      <c r="AF635" s="93" t="str">
        <f aca="false">IF(AB635="","",IF(ISNUMBER(IF(AB635="","",INDEX(시장분석!$E:$E,AB635))),IF(AB635="","",INDEX(시장분석!$E:$E,AB635)),""))</f>
        <v/>
      </c>
      <c r="AG635" s="43" t="str">
        <f aca="false">IF(Q635&lt;&gt;1,"",IF(AB635&lt;&gt;"",IF(AB635="","",INDEX(시장분석!$L:$L,AB635)),IFERROR(IF(VLOOKUP(R635,매핑!$A$4:$E$92,5,0)="","미분류",VLOOKUP(R635,매핑!$A$4:$E$92,5,0)),"미분류")))</f>
        <v/>
      </c>
      <c r="AH635" s="43" t="str">
        <f aca="false">IF(Q635&lt;&gt;1,"",IF(AB635&lt;&gt;"",IF(AB635="","",INDEX(시장분석!$N:$N,AB635)),IFERROR(IF(VLOOKUP(R635,매핑!$A$4:$E$92,4,0)="","미분류",VLOOKUP(R635,매핑!$A$4:$E$92,4,0)),"미분류")))</f>
        <v/>
      </c>
      <c r="AI635" s="43" t="str">
        <f aca="false">IF(Q635&lt;&gt;1,"",IFERROR(IF(VLOOKUP(R635,매핑!$A$4:$E$92,3,0)="","미분류",VLOOKUP(R635,매핑!$A$4:$E$92,3,0)),IF(AB635&lt;&gt;"",IF(AB635="","",INDEX(시장분석!$W:$W,AB635)),"미분류")))</f>
        <v/>
      </c>
      <c r="AJ635" s="43" t="str">
        <f aca="false">IF(Q635&lt;&gt;1,"",IFERROR(VLOOKUP(IF(N635&lt;&gt;"",N635,IF(P635&lt;&gt;"",P635,O635)),설정!$A$15:$D$47,2,0),""))</f>
        <v/>
      </c>
      <c r="AK635" s="43" t="str">
        <f aca="false">IF(Q635&lt;&gt;1,"",IF(AJ635="","무등급",IFERROR(VLOOKUP(AJ635,설정!$A$15:$D$47,3,0),"무등급")))</f>
        <v/>
      </c>
      <c r="AL635" s="89" t="n">
        <f aca="false">IF(AJ635="",99,IFERROR(VLOOKUP(AJ635,설정!$A$15:$D$47,4,0),99))</f>
        <v>99</v>
      </c>
      <c r="AM635" s="94" t="n">
        <f aca="false">IF(ISNUMBER(H635),AA635*1000000*H635/10000,0)</f>
        <v>0</v>
      </c>
      <c r="AN635" s="94" t="n">
        <f aca="false">IF(OR(Y635=1,NOT(ISNUMBER(Z635))),0,AA635*1000000*Z635/10000)</f>
        <v>0</v>
      </c>
      <c r="AO635" s="94" t="n">
        <f aca="false">IF(ISNUMBER(G635),AA635*1000000*G635/100,0)</f>
        <v>0</v>
      </c>
      <c r="AP635" s="94" t="n">
        <f aca="false">IF(ISNUMBER(M635),M635*K635,0)</f>
        <v>0</v>
      </c>
      <c r="AQ635" s="95" t="str">
        <f aca="false">IF(AB635="","",INDEX(시장분석!$AK:$AK,AB635))</f>
        <v/>
      </c>
      <c r="AR635" s="43" t="str">
        <f aca="false">IF(AB635="","-",IF(AB635="","",INDEX(시장분석!$AL:$AL,AB635)))</f>
        <v>-</v>
      </c>
      <c r="AS635" s="96" t="str">
        <f aca="false">IF(AB635="","",INDEX(시장분석!$AJ:$AJ,AB635))</f>
        <v/>
      </c>
      <c r="AT635" s="93" t="n">
        <f aca="false">IF(AB635="",0,IF(AB635="","",INDEX(시장분석!$AN:$AN,AB635)))</f>
        <v>0</v>
      </c>
      <c r="AU635" s="94" t="n">
        <f aca="false">IF(ISNUMBER(Z635),AT635/10000*MAX(Z635-1,0)*AA635*1000000,0)</f>
        <v>0</v>
      </c>
      <c r="AV635" s="94" t="n">
        <f aca="false">AO635+AU635</f>
        <v>0</v>
      </c>
      <c r="AW635" s="43" t="str">
        <f aca="false">IF(Q635&lt;&gt;1,"",TRIM(IF(AD635=1,"FRN ","")&amp;IF(AND(AL635&gt;=10,AL635&lt;99),"BBB0미만 ","")&amp;IF(AJ635="","등급없음 ","")&amp;IF(K635&lt;&gt;1,"비USD ","")&amp;IF(AND(AB635="",Y635=0),"시장데이터없음 ","")&amp;IF(AND(ISNUMBER(U635),U635&lt;0),"만기경과 ","")))</f>
        <v/>
      </c>
      <c r="AX635" s="90" t="n">
        <f aca="false">IF(Q635&lt;&gt;1,1,IF(스프레드쇼크!$C$4="Y",INDEX(스프레드쇼크!$B$12:$L$16,IFERROR(MATCH(AH635,스프레드쇼크!$A$12:$A$16,0),MATCH("목록외",스프레드쇼크!$A$12:$A$16,0)),IFERROR(MATCH(AG635,스프레드쇼크!$B$11:$L$11,0),MATCH("목록외",스프레드쇼크!$B$11:$L$11,0))),1))</f>
        <v>1</v>
      </c>
      <c r="AY635" s="90" t="n">
        <f aca="false">IF(스프레드쇼크!$C$5="Y",IF(ISNUMBER(AF635),MIN(스프레드쇼크!$C$7,MAX(스프레드쇼크!$C$6,AF635/스프레드쇼크!$C$8)),1),1)</f>
        <v>1</v>
      </c>
      <c r="AZ635" s="94" t="n">
        <f aca="false">AN635*AX635*AY635</f>
        <v>0</v>
      </c>
      <c r="BA635" s="90" t="n">
        <f aca="false">IF(ISNUMBER(G635),AA635*G635,0)</f>
        <v>0</v>
      </c>
      <c r="BB635" s="90" t="n">
        <f aca="false">IF(ISNUMBER(G635),AA635,0)</f>
        <v>0</v>
      </c>
      <c r="BC635" s="90" t="n">
        <f aca="false">IF(AND(Y635=0,ISNUMBER(AF635)),AA635*AF635,0)</f>
        <v>0</v>
      </c>
      <c r="BD635" s="90" t="n">
        <f aca="false">IF(AND(Y635=0,ISNUMBER(AF635)),AA635,0)</f>
        <v>0</v>
      </c>
      <c r="BE635" s="90" t="n">
        <f aca="false">IF(ISNUMBER(H635),AA635*H635,0)</f>
        <v>0</v>
      </c>
      <c r="BF635" s="90" t="n">
        <f aca="false">IF(ISNUMBER(H635),AA635,0)</f>
        <v>0</v>
      </c>
      <c r="BG635" s="90" t="n">
        <f aca="false">IF(AND(Y635=0,ISNUMBER(AF635),ISNUMBER(Z635)),AA635*Z635,0)</f>
        <v>0</v>
      </c>
      <c r="BH635" s="90" t="n">
        <f aca="false">IF(AND(Y635=0,ISNUMBER(AF635),ISNUMBER(Z635)),AA635*AT635*MAX(Z635-1,0),0)</f>
        <v>0</v>
      </c>
      <c r="BI635" s="90" t="n">
        <f aca="false">IF(Y635=0,AA635,0)</f>
        <v>0</v>
      </c>
    </row>
    <row r="636" customFormat="false" ht="15" hidden="false" customHeight="false" outlineLevel="0" collapsed="false">
      <c r="A636" s="83" t="str">
        <f aca="false">IFERROR(IF(INDEX(원자료_잔고!$A$1:$EZ$1500,설정!$L$5+ROW()-1,설정!$L$8)&amp;""="0","",INDEX(원자료_잔고!$A$1:$EZ$1500,설정!$L$5+ROW()-1,설정!$L$8)&amp;""),"")</f>
        <v/>
      </c>
      <c r="B636" s="83" t="str">
        <f aca="false">IFERROR(IF(INDEX(원자료_잔고!$A$1:$EZ$1500,설정!$L$5+ROW()-1,설정!$L$7)&amp;""="0","",INDEX(원자료_잔고!$A$1:$EZ$1500,설정!$L$5+ROW()-1,설정!$L$7)&amp;""),"")</f>
        <v/>
      </c>
      <c r="C636" s="83" t="str">
        <f aca="false">IFERROR(IF(INDEX(원자료_잔고!$A$1:$EZ$1500,설정!$L$5+ROW()-1,설정!$L$9)&amp;""="0","",INDEX(원자료_잔고!$A$1:$EZ$1500,설정!$L$5+ROW()-1,설정!$L$9)&amp;""),"")</f>
        <v/>
      </c>
      <c r="D636" s="83" t="str">
        <f aca="false">IFERROR(IF(INDEX(원자료_잔고!$A$1:$EZ$1500,설정!$L$5+ROW()-1,설정!$L$10)&amp;""="0","",INDEX(원자료_잔고!$A$1:$EZ$1500,설정!$L$5+ROW()-1,설정!$L$10)&amp;""),"")</f>
        <v/>
      </c>
      <c r="E636" s="84" t="str">
        <f aca="false">IFERROR(IF(ISNUMBER(INDEX(원자료_잔고!$A$1:$EZ$1500,설정!$L$5+ROW()-1,설정!$L$11)),INDEX(원자료_잔고!$A$1:$EZ$1500,설정!$L$5+ROW()-1,설정!$L$11),""),"")</f>
        <v/>
      </c>
      <c r="F636" s="85" t="str">
        <f aca="false">IFERROR(IF(ISNUMBER(INDEX(원자료_잔고!$A$1:$EZ$1500,설정!$L$5+ROW()-1,설정!$L$12)),INDEX(원자료_잔고!$A$1:$EZ$1500,설정!$L$5+ROW()-1,설정!$L$12),""),"")</f>
        <v/>
      </c>
      <c r="G636" s="85" t="str">
        <f aca="false">IFERROR(IF(ISNUMBER(INDEX(원자료_잔고!$A$1:$EZ$1500,설정!$L$5+ROW()-1,설정!$L$13)),INDEX(원자료_잔고!$A$1:$EZ$1500,설정!$L$5+ROW()-1,설정!$L$13),""),"")</f>
        <v/>
      </c>
      <c r="H636" s="85" t="str">
        <f aca="false">IFERROR(IF(ISNUMBER(INDEX(원자료_잔고!$A$1:$EZ$1500,설정!$L$5+ROW()-1,설정!$L$14)),INDEX(원자료_잔고!$A$1:$EZ$1500,설정!$L$5+ROW()-1,설정!$L$14),""),"")</f>
        <v/>
      </c>
      <c r="I636" s="86" t="str">
        <f aca="false">IFERROR(IF(ISNUMBER(INDEX(원자료_잔고!$A$1:$EZ$1500,설정!$L$5+ROW()-1,설정!$L$15)),INDEX(원자료_잔고!$A$1:$EZ$1500,설정!$L$5+ROW()-1,설정!$L$15),""),"")</f>
        <v/>
      </c>
      <c r="J636" s="85" t="str">
        <f aca="false">IFERROR(IF(ISNUMBER(INDEX(원자료_잔고!$A$1:$EZ$1500,설정!$L$5+ROW()-1,설정!$L$16)),INDEX(원자료_잔고!$A$1:$EZ$1500,설정!$L$5+ROW()-1,설정!$L$16),""),"")</f>
        <v/>
      </c>
      <c r="K636" s="87" t="str">
        <f aca="false">IFERROR(IF(ISNUMBER(INDEX(원자료_잔고!$A$1:$EZ$1500,설정!$L$5+ROW()-1,설정!$L$17)),INDEX(원자료_잔고!$A$1:$EZ$1500,설정!$L$5+ROW()-1,설정!$L$17),""),"")</f>
        <v/>
      </c>
      <c r="L636" s="84" t="str">
        <f aca="false">IFERROR(IF(ISNUMBER(INDEX(원자료_잔고!$A$1:$EZ$1500,설정!$L$5+ROW()-1,설정!$L$18)),INDEX(원자료_잔고!$A$1:$EZ$1500,설정!$L$5+ROW()-1,설정!$L$18),""),"")</f>
        <v/>
      </c>
      <c r="M636" s="88" t="str">
        <f aca="false">IFERROR(IF(ISNUMBER(INDEX(원자료_잔고!$A$1:$EZ$1500,설정!$L$5+ROW()-1,설정!$L$19)),INDEX(원자료_잔고!$A$1:$EZ$1500,설정!$L$5+ROW()-1,설정!$L$19),""),"")</f>
        <v/>
      </c>
      <c r="N636" s="83" t="str">
        <f aca="false">IFERROR(IF(INDEX(원자료_잔고!$A$1:$EZ$1500,설정!$L$5+ROW()-1,설정!$L$21)&amp;""="0","",INDEX(원자료_잔고!$A$1:$EZ$1500,설정!$L$5+ROW()-1,설정!$L$21)&amp;""),"")</f>
        <v/>
      </c>
      <c r="O636" s="83" t="str">
        <f aca="false">IFERROR(IF(INDEX(원자료_잔고!$A$1:$EZ$1500,설정!$L$5+ROW()-1,설정!$L$22)&amp;""="0","",INDEX(원자료_잔고!$A$1:$EZ$1500,설정!$L$5+ROW()-1,설정!$L$22)&amp;""),"")</f>
        <v/>
      </c>
      <c r="P636" s="83" t="str">
        <f aca="false">IFERROR(IF(INDEX(원자료_잔고!$A$1:$EZ$1500,설정!$L$5+ROW()-1,설정!$L$23)&amp;""="0","",INDEX(원자료_잔고!$A$1:$EZ$1500,설정!$L$5+ROW()-1,설정!$L$23)&amp;""),"")</f>
        <v/>
      </c>
      <c r="Q636" s="89" t="n">
        <f aca="false">IF(AND($A636&lt;&gt;"",ISNUMBER(E636)),IF(E636&gt;0,1,0),0)</f>
        <v>0</v>
      </c>
      <c r="R636" s="43" t="str">
        <f aca="false">IF(Q636=1,UPPER(LEFT($A636,FIND(" ",$A636&amp;" ")-1)),"")</f>
        <v/>
      </c>
      <c r="S636" s="89" t="n">
        <f aca="false">IF(Q636=1,IF(OR(ISNUMBER(SEARCH("Float",$A636)),ISNUMBER(SEARCH("FRN",$A636))),1,0),0)</f>
        <v>0</v>
      </c>
      <c r="T636" s="43" t="str">
        <f aca="false">IF(AND(Q636=1,ISNUMBER(I636)),TEXT(I636,"yyyymmdd")&amp;"|"&amp;IF(S636=1,"F",TEXT(J636,"0.000")),"")</f>
        <v/>
      </c>
      <c r="U636" s="90" t="str">
        <f aca="false">IF(AND(Q636=1,ISNUMBER(I636)),(I636-설정!$C$4)/365.25,"")</f>
        <v/>
      </c>
      <c r="V636" s="43" t="str">
        <f aca="false">IF(Q636&lt;&gt;1,"",IF(ISNUMBER(U636),IF(U636&lt;=1,"1년 이하",IF(U636&lt;=2,"1-2년",IF(U636&lt;=3,"2-3년",IF(U636&lt;=4,"3-4년",IF(U636&lt;=5,"4-5년",IF(U636&lt;=7,"5-7년",IF(U636&lt;=10,"7-10년",IF(U636&lt;=20,"10-20년","20년 이상")))))))),"미분류"))</f>
        <v/>
      </c>
      <c r="W636" s="43" t="str">
        <f aca="false">IF(Q636&lt;&gt;1,"",IF(AB636&lt;&gt;"",INDEX(시장분석!$C:$C,AB636),IF(K636=1,"USD","비USD")))</f>
        <v/>
      </c>
      <c r="X636" s="91" t="n">
        <f aca="false">IF(Q636=1,E636*K636/1000000,0)</f>
        <v>0</v>
      </c>
      <c r="Y636" s="89" t="n">
        <f aca="false">IF(R636="T",1,0)</f>
        <v>0</v>
      </c>
      <c r="Z636" s="92" t="str">
        <f aca="false">IF(Q636&lt;&gt;1,"",IF(AD636=1,IF(ISNUMBER(U636),MAX(U636,0),H636),H636))</f>
        <v/>
      </c>
      <c r="AA636" s="91" t="n">
        <f aca="false">IF(Q636=1,IF(ISNUMBER(L636),L636,0)*K636/1000000,0)</f>
        <v>0</v>
      </c>
      <c r="AB636" s="89" t="str">
        <f aca="false">IF(Q636&lt;&gt;1,"",IFERROR(MATCH(VLOOKUP(B636,매핑!$H$4:$I$15,2,0),시장분석!$A$2:$A$601,0)+1,IFERROR(MATCH(R636&amp;"|"&amp;T636,시장분석!$V$2:$V$601,0)+1,IF(COUNTIF(시장분석!$U$2:$U$601,T636)=1,MATCH(T636,시장분석!$U$2:$U$601,0)+1,""))))</f>
        <v/>
      </c>
      <c r="AC636" s="89" t="n">
        <f aca="false">IF(Q636&lt;&gt;1,0,IF(OR(설정!$C$5="전체",AND(설정!$C$5="선택펀드",IFERROR(COUNTIFS(설정!$F$16:$F$36,C636,설정!$G$16:$G$36,"Y")+COUNTIFS(설정!$F$16:$F$36,VALUE(C636),설정!$G$16:$G$36,"Y"),0)&gt;0),C636&amp;""=설정!$C$5&amp;""),1,0))</f>
        <v>0</v>
      </c>
      <c r="AD636" s="89" t="n">
        <f aca="false">IF(Q636&lt;&gt;1,0,IF(OR(S636=1,IF(AB636="",FALSE(),INDEX(시장분석!$R:$R,AB636)=1)),1,0))</f>
        <v>0</v>
      </c>
      <c r="AE636" s="43" t="str">
        <f aca="false">IF(AB636="","",INDEX(시장분석!$A:$A,AB636))</f>
        <v/>
      </c>
      <c r="AF636" s="93" t="str">
        <f aca="false">IF(AB636="","",IF(ISNUMBER(IF(AB636="","",INDEX(시장분석!$E:$E,AB636))),IF(AB636="","",INDEX(시장분석!$E:$E,AB636)),""))</f>
        <v/>
      </c>
      <c r="AG636" s="43" t="str">
        <f aca="false">IF(Q636&lt;&gt;1,"",IF(AB636&lt;&gt;"",IF(AB636="","",INDEX(시장분석!$L:$L,AB636)),IFERROR(IF(VLOOKUP(R636,매핑!$A$4:$E$92,5,0)="","미분류",VLOOKUP(R636,매핑!$A$4:$E$92,5,0)),"미분류")))</f>
        <v/>
      </c>
      <c r="AH636" s="43" t="str">
        <f aca="false">IF(Q636&lt;&gt;1,"",IF(AB636&lt;&gt;"",IF(AB636="","",INDEX(시장분석!$N:$N,AB636)),IFERROR(IF(VLOOKUP(R636,매핑!$A$4:$E$92,4,0)="","미분류",VLOOKUP(R636,매핑!$A$4:$E$92,4,0)),"미분류")))</f>
        <v/>
      </c>
      <c r="AI636" s="43" t="str">
        <f aca="false">IF(Q636&lt;&gt;1,"",IFERROR(IF(VLOOKUP(R636,매핑!$A$4:$E$92,3,0)="","미분류",VLOOKUP(R636,매핑!$A$4:$E$92,3,0)),IF(AB636&lt;&gt;"",IF(AB636="","",INDEX(시장분석!$W:$W,AB636)),"미분류")))</f>
        <v/>
      </c>
      <c r="AJ636" s="43" t="str">
        <f aca="false">IF(Q636&lt;&gt;1,"",IFERROR(VLOOKUP(IF(N636&lt;&gt;"",N636,IF(P636&lt;&gt;"",P636,O636)),설정!$A$15:$D$47,2,0),""))</f>
        <v/>
      </c>
      <c r="AK636" s="43" t="str">
        <f aca="false">IF(Q636&lt;&gt;1,"",IF(AJ636="","무등급",IFERROR(VLOOKUP(AJ636,설정!$A$15:$D$47,3,0),"무등급")))</f>
        <v/>
      </c>
      <c r="AL636" s="89" t="n">
        <f aca="false">IF(AJ636="",99,IFERROR(VLOOKUP(AJ636,설정!$A$15:$D$47,4,0),99))</f>
        <v>99</v>
      </c>
      <c r="AM636" s="94" t="n">
        <f aca="false">IF(ISNUMBER(H636),AA636*1000000*H636/10000,0)</f>
        <v>0</v>
      </c>
      <c r="AN636" s="94" t="n">
        <f aca="false">IF(OR(Y636=1,NOT(ISNUMBER(Z636))),0,AA636*1000000*Z636/10000)</f>
        <v>0</v>
      </c>
      <c r="AO636" s="94" t="n">
        <f aca="false">IF(ISNUMBER(G636),AA636*1000000*G636/100,0)</f>
        <v>0</v>
      </c>
      <c r="AP636" s="94" t="n">
        <f aca="false">IF(ISNUMBER(M636),M636*K636,0)</f>
        <v>0</v>
      </c>
      <c r="AQ636" s="95" t="str">
        <f aca="false">IF(AB636="","",INDEX(시장분석!$AK:$AK,AB636))</f>
        <v/>
      </c>
      <c r="AR636" s="43" t="str">
        <f aca="false">IF(AB636="","-",IF(AB636="","",INDEX(시장분석!$AL:$AL,AB636)))</f>
        <v>-</v>
      </c>
      <c r="AS636" s="96" t="str">
        <f aca="false">IF(AB636="","",INDEX(시장분석!$AJ:$AJ,AB636))</f>
        <v/>
      </c>
      <c r="AT636" s="93" t="n">
        <f aca="false">IF(AB636="",0,IF(AB636="","",INDEX(시장분석!$AN:$AN,AB636)))</f>
        <v>0</v>
      </c>
      <c r="AU636" s="94" t="n">
        <f aca="false">IF(ISNUMBER(Z636),AT636/10000*MAX(Z636-1,0)*AA636*1000000,0)</f>
        <v>0</v>
      </c>
      <c r="AV636" s="94" t="n">
        <f aca="false">AO636+AU636</f>
        <v>0</v>
      </c>
      <c r="AW636" s="43" t="str">
        <f aca="false">IF(Q636&lt;&gt;1,"",TRIM(IF(AD636=1,"FRN ","")&amp;IF(AND(AL636&gt;=10,AL636&lt;99),"BBB0미만 ","")&amp;IF(AJ636="","등급없음 ","")&amp;IF(K636&lt;&gt;1,"비USD ","")&amp;IF(AND(AB636="",Y636=0),"시장데이터없음 ","")&amp;IF(AND(ISNUMBER(U636),U636&lt;0),"만기경과 ","")))</f>
        <v/>
      </c>
      <c r="AX636" s="90" t="n">
        <f aca="false">IF(Q636&lt;&gt;1,1,IF(스프레드쇼크!$C$4="Y",INDEX(스프레드쇼크!$B$12:$L$16,IFERROR(MATCH(AH636,스프레드쇼크!$A$12:$A$16,0),MATCH("목록외",스프레드쇼크!$A$12:$A$16,0)),IFERROR(MATCH(AG636,스프레드쇼크!$B$11:$L$11,0),MATCH("목록외",스프레드쇼크!$B$11:$L$11,0))),1))</f>
        <v>1</v>
      </c>
      <c r="AY636" s="90" t="n">
        <f aca="false">IF(스프레드쇼크!$C$5="Y",IF(ISNUMBER(AF636),MIN(스프레드쇼크!$C$7,MAX(스프레드쇼크!$C$6,AF636/스프레드쇼크!$C$8)),1),1)</f>
        <v>1</v>
      </c>
      <c r="AZ636" s="94" t="n">
        <f aca="false">AN636*AX636*AY636</f>
        <v>0</v>
      </c>
      <c r="BA636" s="90" t="n">
        <f aca="false">IF(ISNUMBER(G636),AA636*G636,0)</f>
        <v>0</v>
      </c>
      <c r="BB636" s="90" t="n">
        <f aca="false">IF(ISNUMBER(G636),AA636,0)</f>
        <v>0</v>
      </c>
      <c r="BC636" s="90" t="n">
        <f aca="false">IF(AND(Y636=0,ISNUMBER(AF636)),AA636*AF636,0)</f>
        <v>0</v>
      </c>
      <c r="BD636" s="90" t="n">
        <f aca="false">IF(AND(Y636=0,ISNUMBER(AF636)),AA636,0)</f>
        <v>0</v>
      </c>
      <c r="BE636" s="90" t="n">
        <f aca="false">IF(ISNUMBER(H636),AA636*H636,0)</f>
        <v>0</v>
      </c>
      <c r="BF636" s="90" t="n">
        <f aca="false">IF(ISNUMBER(H636),AA636,0)</f>
        <v>0</v>
      </c>
      <c r="BG636" s="90" t="n">
        <f aca="false">IF(AND(Y636=0,ISNUMBER(AF636),ISNUMBER(Z636)),AA636*Z636,0)</f>
        <v>0</v>
      </c>
      <c r="BH636" s="90" t="n">
        <f aca="false">IF(AND(Y636=0,ISNUMBER(AF636),ISNUMBER(Z636)),AA636*AT636*MAX(Z636-1,0),0)</f>
        <v>0</v>
      </c>
      <c r="BI636" s="90" t="n">
        <f aca="false">IF(Y636=0,AA636,0)</f>
        <v>0</v>
      </c>
    </row>
    <row r="637" customFormat="false" ht="15" hidden="false" customHeight="false" outlineLevel="0" collapsed="false">
      <c r="A637" s="83" t="str">
        <f aca="false">IFERROR(IF(INDEX(원자료_잔고!$A$1:$EZ$1500,설정!$L$5+ROW()-1,설정!$L$8)&amp;""="0","",INDEX(원자료_잔고!$A$1:$EZ$1500,설정!$L$5+ROW()-1,설정!$L$8)&amp;""),"")</f>
        <v/>
      </c>
      <c r="B637" s="83" t="str">
        <f aca="false">IFERROR(IF(INDEX(원자료_잔고!$A$1:$EZ$1500,설정!$L$5+ROW()-1,설정!$L$7)&amp;""="0","",INDEX(원자료_잔고!$A$1:$EZ$1500,설정!$L$5+ROW()-1,설정!$L$7)&amp;""),"")</f>
        <v/>
      </c>
      <c r="C637" s="83" t="str">
        <f aca="false">IFERROR(IF(INDEX(원자료_잔고!$A$1:$EZ$1500,설정!$L$5+ROW()-1,설정!$L$9)&amp;""="0","",INDEX(원자료_잔고!$A$1:$EZ$1500,설정!$L$5+ROW()-1,설정!$L$9)&amp;""),"")</f>
        <v/>
      </c>
      <c r="D637" s="83" t="str">
        <f aca="false">IFERROR(IF(INDEX(원자료_잔고!$A$1:$EZ$1500,설정!$L$5+ROW()-1,설정!$L$10)&amp;""="0","",INDEX(원자료_잔고!$A$1:$EZ$1500,설정!$L$5+ROW()-1,설정!$L$10)&amp;""),"")</f>
        <v/>
      </c>
      <c r="E637" s="84" t="str">
        <f aca="false">IFERROR(IF(ISNUMBER(INDEX(원자료_잔고!$A$1:$EZ$1500,설정!$L$5+ROW()-1,설정!$L$11)),INDEX(원자료_잔고!$A$1:$EZ$1500,설정!$L$5+ROW()-1,설정!$L$11),""),"")</f>
        <v/>
      </c>
      <c r="F637" s="85" t="str">
        <f aca="false">IFERROR(IF(ISNUMBER(INDEX(원자료_잔고!$A$1:$EZ$1500,설정!$L$5+ROW()-1,설정!$L$12)),INDEX(원자료_잔고!$A$1:$EZ$1500,설정!$L$5+ROW()-1,설정!$L$12),""),"")</f>
        <v/>
      </c>
      <c r="G637" s="85" t="str">
        <f aca="false">IFERROR(IF(ISNUMBER(INDEX(원자료_잔고!$A$1:$EZ$1500,설정!$L$5+ROW()-1,설정!$L$13)),INDEX(원자료_잔고!$A$1:$EZ$1500,설정!$L$5+ROW()-1,설정!$L$13),""),"")</f>
        <v/>
      </c>
      <c r="H637" s="85" t="str">
        <f aca="false">IFERROR(IF(ISNUMBER(INDEX(원자료_잔고!$A$1:$EZ$1500,설정!$L$5+ROW()-1,설정!$L$14)),INDEX(원자료_잔고!$A$1:$EZ$1500,설정!$L$5+ROW()-1,설정!$L$14),""),"")</f>
        <v/>
      </c>
      <c r="I637" s="86" t="str">
        <f aca="false">IFERROR(IF(ISNUMBER(INDEX(원자료_잔고!$A$1:$EZ$1500,설정!$L$5+ROW()-1,설정!$L$15)),INDEX(원자료_잔고!$A$1:$EZ$1500,설정!$L$5+ROW()-1,설정!$L$15),""),"")</f>
        <v/>
      </c>
      <c r="J637" s="85" t="str">
        <f aca="false">IFERROR(IF(ISNUMBER(INDEX(원자료_잔고!$A$1:$EZ$1500,설정!$L$5+ROW()-1,설정!$L$16)),INDEX(원자료_잔고!$A$1:$EZ$1500,설정!$L$5+ROW()-1,설정!$L$16),""),"")</f>
        <v/>
      </c>
      <c r="K637" s="87" t="str">
        <f aca="false">IFERROR(IF(ISNUMBER(INDEX(원자료_잔고!$A$1:$EZ$1500,설정!$L$5+ROW()-1,설정!$L$17)),INDEX(원자료_잔고!$A$1:$EZ$1500,설정!$L$5+ROW()-1,설정!$L$17),""),"")</f>
        <v/>
      </c>
      <c r="L637" s="84" t="str">
        <f aca="false">IFERROR(IF(ISNUMBER(INDEX(원자료_잔고!$A$1:$EZ$1500,설정!$L$5+ROW()-1,설정!$L$18)),INDEX(원자료_잔고!$A$1:$EZ$1500,설정!$L$5+ROW()-1,설정!$L$18),""),"")</f>
        <v/>
      </c>
      <c r="M637" s="88" t="str">
        <f aca="false">IFERROR(IF(ISNUMBER(INDEX(원자료_잔고!$A$1:$EZ$1500,설정!$L$5+ROW()-1,설정!$L$19)),INDEX(원자료_잔고!$A$1:$EZ$1500,설정!$L$5+ROW()-1,설정!$L$19),""),"")</f>
        <v/>
      </c>
      <c r="N637" s="83" t="str">
        <f aca="false">IFERROR(IF(INDEX(원자료_잔고!$A$1:$EZ$1500,설정!$L$5+ROW()-1,설정!$L$21)&amp;""="0","",INDEX(원자료_잔고!$A$1:$EZ$1500,설정!$L$5+ROW()-1,설정!$L$21)&amp;""),"")</f>
        <v/>
      </c>
      <c r="O637" s="83" t="str">
        <f aca="false">IFERROR(IF(INDEX(원자료_잔고!$A$1:$EZ$1500,설정!$L$5+ROW()-1,설정!$L$22)&amp;""="0","",INDEX(원자료_잔고!$A$1:$EZ$1500,설정!$L$5+ROW()-1,설정!$L$22)&amp;""),"")</f>
        <v/>
      </c>
      <c r="P637" s="83" t="str">
        <f aca="false">IFERROR(IF(INDEX(원자료_잔고!$A$1:$EZ$1500,설정!$L$5+ROW()-1,설정!$L$23)&amp;""="0","",INDEX(원자료_잔고!$A$1:$EZ$1500,설정!$L$5+ROW()-1,설정!$L$23)&amp;""),"")</f>
        <v/>
      </c>
      <c r="Q637" s="89" t="n">
        <f aca="false">IF(AND($A637&lt;&gt;"",ISNUMBER(E637)),IF(E637&gt;0,1,0),0)</f>
        <v>0</v>
      </c>
      <c r="R637" s="43" t="str">
        <f aca="false">IF(Q637=1,UPPER(LEFT($A637,FIND(" ",$A637&amp;" ")-1)),"")</f>
        <v/>
      </c>
      <c r="S637" s="89" t="n">
        <f aca="false">IF(Q637=1,IF(OR(ISNUMBER(SEARCH("Float",$A637)),ISNUMBER(SEARCH("FRN",$A637))),1,0),0)</f>
        <v>0</v>
      </c>
      <c r="T637" s="43" t="str">
        <f aca="false">IF(AND(Q637=1,ISNUMBER(I637)),TEXT(I637,"yyyymmdd")&amp;"|"&amp;IF(S637=1,"F",TEXT(J637,"0.000")),"")</f>
        <v/>
      </c>
      <c r="U637" s="90" t="str">
        <f aca="false">IF(AND(Q637=1,ISNUMBER(I637)),(I637-설정!$C$4)/365.25,"")</f>
        <v/>
      </c>
      <c r="V637" s="43" t="str">
        <f aca="false">IF(Q637&lt;&gt;1,"",IF(ISNUMBER(U637),IF(U637&lt;=1,"1년 이하",IF(U637&lt;=2,"1-2년",IF(U637&lt;=3,"2-3년",IF(U637&lt;=4,"3-4년",IF(U637&lt;=5,"4-5년",IF(U637&lt;=7,"5-7년",IF(U637&lt;=10,"7-10년",IF(U637&lt;=20,"10-20년","20년 이상")))))))),"미분류"))</f>
        <v/>
      </c>
      <c r="W637" s="43" t="str">
        <f aca="false">IF(Q637&lt;&gt;1,"",IF(AB637&lt;&gt;"",INDEX(시장분석!$C:$C,AB637),IF(K637=1,"USD","비USD")))</f>
        <v/>
      </c>
      <c r="X637" s="91" t="n">
        <f aca="false">IF(Q637=1,E637*K637/1000000,0)</f>
        <v>0</v>
      </c>
      <c r="Y637" s="89" t="n">
        <f aca="false">IF(R637="T",1,0)</f>
        <v>0</v>
      </c>
      <c r="Z637" s="92" t="str">
        <f aca="false">IF(Q637&lt;&gt;1,"",IF(AD637=1,IF(ISNUMBER(U637),MAX(U637,0),H637),H637))</f>
        <v/>
      </c>
      <c r="AA637" s="91" t="n">
        <f aca="false">IF(Q637=1,IF(ISNUMBER(L637),L637,0)*K637/1000000,0)</f>
        <v>0</v>
      </c>
      <c r="AB637" s="89" t="str">
        <f aca="false">IF(Q637&lt;&gt;1,"",IFERROR(MATCH(VLOOKUP(B637,매핑!$H$4:$I$15,2,0),시장분석!$A$2:$A$601,0)+1,IFERROR(MATCH(R637&amp;"|"&amp;T637,시장분석!$V$2:$V$601,0)+1,IF(COUNTIF(시장분석!$U$2:$U$601,T637)=1,MATCH(T637,시장분석!$U$2:$U$601,0)+1,""))))</f>
        <v/>
      </c>
      <c r="AC637" s="89" t="n">
        <f aca="false">IF(Q637&lt;&gt;1,0,IF(OR(설정!$C$5="전체",AND(설정!$C$5="선택펀드",IFERROR(COUNTIFS(설정!$F$16:$F$36,C637,설정!$G$16:$G$36,"Y")+COUNTIFS(설정!$F$16:$F$36,VALUE(C637),설정!$G$16:$G$36,"Y"),0)&gt;0),C637&amp;""=설정!$C$5&amp;""),1,0))</f>
        <v>0</v>
      </c>
      <c r="AD637" s="89" t="n">
        <f aca="false">IF(Q637&lt;&gt;1,0,IF(OR(S637=1,IF(AB637="",FALSE(),INDEX(시장분석!$R:$R,AB637)=1)),1,0))</f>
        <v>0</v>
      </c>
      <c r="AE637" s="43" t="str">
        <f aca="false">IF(AB637="","",INDEX(시장분석!$A:$A,AB637))</f>
        <v/>
      </c>
      <c r="AF637" s="93" t="str">
        <f aca="false">IF(AB637="","",IF(ISNUMBER(IF(AB637="","",INDEX(시장분석!$E:$E,AB637))),IF(AB637="","",INDEX(시장분석!$E:$E,AB637)),""))</f>
        <v/>
      </c>
      <c r="AG637" s="43" t="str">
        <f aca="false">IF(Q637&lt;&gt;1,"",IF(AB637&lt;&gt;"",IF(AB637="","",INDEX(시장분석!$L:$L,AB637)),IFERROR(IF(VLOOKUP(R637,매핑!$A$4:$E$92,5,0)="","미분류",VLOOKUP(R637,매핑!$A$4:$E$92,5,0)),"미분류")))</f>
        <v/>
      </c>
      <c r="AH637" s="43" t="str">
        <f aca="false">IF(Q637&lt;&gt;1,"",IF(AB637&lt;&gt;"",IF(AB637="","",INDEX(시장분석!$N:$N,AB637)),IFERROR(IF(VLOOKUP(R637,매핑!$A$4:$E$92,4,0)="","미분류",VLOOKUP(R637,매핑!$A$4:$E$92,4,0)),"미분류")))</f>
        <v/>
      </c>
      <c r="AI637" s="43" t="str">
        <f aca="false">IF(Q637&lt;&gt;1,"",IFERROR(IF(VLOOKUP(R637,매핑!$A$4:$E$92,3,0)="","미분류",VLOOKUP(R637,매핑!$A$4:$E$92,3,0)),IF(AB637&lt;&gt;"",IF(AB637="","",INDEX(시장분석!$W:$W,AB637)),"미분류")))</f>
        <v/>
      </c>
      <c r="AJ637" s="43" t="str">
        <f aca="false">IF(Q637&lt;&gt;1,"",IFERROR(VLOOKUP(IF(N637&lt;&gt;"",N637,IF(P637&lt;&gt;"",P637,O637)),설정!$A$15:$D$47,2,0),""))</f>
        <v/>
      </c>
      <c r="AK637" s="43" t="str">
        <f aca="false">IF(Q637&lt;&gt;1,"",IF(AJ637="","무등급",IFERROR(VLOOKUP(AJ637,설정!$A$15:$D$47,3,0),"무등급")))</f>
        <v/>
      </c>
      <c r="AL637" s="89" t="n">
        <f aca="false">IF(AJ637="",99,IFERROR(VLOOKUP(AJ637,설정!$A$15:$D$47,4,0),99))</f>
        <v>99</v>
      </c>
      <c r="AM637" s="94" t="n">
        <f aca="false">IF(ISNUMBER(H637),AA637*1000000*H637/10000,0)</f>
        <v>0</v>
      </c>
      <c r="AN637" s="94" t="n">
        <f aca="false">IF(OR(Y637=1,NOT(ISNUMBER(Z637))),0,AA637*1000000*Z637/10000)</f>
        <v>0</v>
      </c>
      <c r="AO637" s="94" t="n">
        <f aca="false">IF(ISNUMBER(G637),AA637*1000000*G637/100,0)</f>
        <v>0</v>
      </c>
      <c r="AP637" s="94" t="n">
        <f aca="false">IF(ISNUMBER(M637),M637*K637,0)</f>
        <v>0</v>
      </c>
      <c r="AQ637" s="95" t="str">
        <f aca="false">IF(AB637="","",INDEX(시장분석!$AK:$AK,AB637))</f>
        <v/>
      </c>
      <c r="AR637" s="43" t="str">
        <f aca="false">IF(AB637="","-",IF(AB637="","",INDEX(시장분석!$AL:$AL,AB637)))</f>
        <v>-</v>
      </c>
      <c r="AS637" s="96" t="str">
        <f aca="false">IF(AB637="","",INDEX(시장분석!$AJ:$AJ,AB637))</f>
        <v/>
      </c>
      <c r="AT637" s="93" t="n">
        <f aca="false">IF(AB637="",0,IF(AB637="","",INDEX(시장분석!$AN:$AN,AB637)))</f>
        <v>0</v>
      </c>
      <c r="AU637" s="94" t="n">
        <f aca="false">IF(ISNUMBER(Z637),AT637/10000*MAX(Z637-1,0)*AA637*1000000,0)</f>
        <v>0</v>
      </c>
      <c r="AV637" s="94" t="n">
        <f aca="false">AO637+AU637</f>
        <v>0</v>
      </c>
      <c r="AW637" s="43" t="str">
        <f aca="false">IF(Q637&lt;&gt;1,"",TRIM(IF(AD637=1,"FRN ","")&amp;IF(AND(AL637&gt;=10,AL637&lt;99),"BBB0미만 ","")&amp;IF(AJ637="","등급없음 ","")&amp;IF(K637&lt;&gt;1,"비USD ","")&amp;IF(AND(AB637="",Y637=0),"시장데이터없음 ","")&amp;IF(AND(ISNUMBER(U637),U637&lt;0),"만기경과 ","")))</f>
        <v/>
      </c>
      <c r="AX637" s="90" t="n">
        <f aca="false">IF(Q637&lt;&gt;1,1,IF(스프레드쇼크!$C$4="Y",INDEX(스프레드쇼크!$B$12:$L$16,IFERROR(MATCH(AH637,스프레드쇼크!$A$12:$A$16,0),MATCH("목록외",스프레드쇼크!$A$12:$A$16,0)),IFERROR(MATCH(AG637,스프레드쇼크!$B$11:$L$11,0),MATCH("목록외",스프레드쇼크!$B$11:$L$11,0))),1))</f>
        <v>1</v>
      </c>
      <c r="AY637" s="90" t="n">
        <f aca="false">IF(스프레드쇼크!$C$5="Y",IF(ISNUMBER(AF637),MIN(스프레드쇼크!$C$7,MAX(스프레드쇼크!$C$6,AF637/스프레드쇼크!$C$8)),1),1)</f>
        <v>1</v>
      </c>
      <c r="AZ637" s="94" t="n">
        <f aca="false">AN637*AX637*AY637</f>
        <v>0</v>
      </c>
      <c r="BA637" s="90" t="n">
        <f aca="false">IF(ISNUMBER(G637),AA637*G637,0)</f>
        <v>0</v>
      </c>
      <c r="BB637" s="90" t="n">
        <f aca="false">IF(ISNUMBER(G637),AA637,0)</f>
        <v>0</v>
      </c>
      <c r="BC637" s="90" t="n">
        <f aca="false">IF(AND(Y637=0,ISNUMBER(AF637)),AA637*AF637,0)</f>
        <v>0</v>
      </c>
      <c r="BD637" s="90" t="n">
        <f aca="false">IF(AND(Y637=0,ISNUMBER(AF637)),AA637,0)</f>
        <v>0</v>
      </c>
      <c r="BE637" s="90" t="n">
        <f aca="false">IF(ISNUMBER(H637),AA637*H637,0)</f>
        <v>0</v>
      </c>
      <c r="BF637" s="90" t="n">
        <f aca="false">IF(ISNUMBER(H637),AA637,0)</f>
        <v>0</v>
      </c>
      <c r="BG637" s="90" t="n">
        <f aca="false">IF(AND(Y637=0,ISNUMBER(AF637),ISNUMBER(Z637)),AA637*Z637,0)</f>
        <v>0</v>
      </c>
      <c r="BH637" s="90" t="n">
        <f aca="false">IF(AND(Y637=0,ISNUMBER(AF637),ISNUMBER(Z637)),AA637*AT637*MAX(Z637-1,0),0)</f>
        <v>0</v>
      </c>
      <c r="BI637" s="90" t="n">
        <f aca="false">IF(Y637=0,AA637,0)</f>
        <v>0</v>
      </c>
    </row>
    <row r="638" customFormat="false" ht="15" hidden="false" customHeight="false" outlineLevel="0" collapsed="false">
      <c r="A638" s="83" t="str">
        <f aca="false">IFERROR(IF(INDEX(원자료_잔고!$A$1:$EZ$1500,설정!$L$5+ROW()-1,설정!$L$8)&amp;""="0","",INDEX(원자료_잔고!$A$1:$EZ$1500,설정!$L$5+ROW()-1,설정!$L$8)&amp;""),"")</f>
        <v/>
      </c>
      <c r="B638" s="83" t="str">
        <f aca="false">IFERROR(IF(INDEX(원자료_잔고!$A$1:$EZ$1500,설정!$L$5+ROW()-1,설정!$L$7)&amp;""="0","",INDEX(원자료_잔고!$A$1:$EZ$1500,설정!$L$5+ROW()-1,설정!$L$7)&amp;""),"")</f>
        <v/>
      </c>
      <c r="C638" s="83" t="str">
        <f aca="false">IFERROR(IF(INDEX(원자료_잔고!$A$1:$EZ$1500,설정!$L$5+ROW()-1,설정!$L$9)&amp;""="0","",INDEX(원자료_잔고!$A$1:$EZ$1500,설정!$L$5+ROW()-1,설정!$L$9)&amp;""),"")</f>
        <v/>
      </c>
      <c r="D638" s="83" t="str">
        <f aca="false">IFERROR(IF(INDEX(원자료_잔고!$A$1:$EZ$1500,설정!$L$5+ROW()-1,설정!$L$10)&amp;""="0","",INDEX(원자료_잔고!$A$1:$EZ$1500,설정!$L$5+ROW()-1,설정!$L$10)&amp;""),"")</f>
        <v/>
      </c>
      <c r="E638" s="84" t="str">
        <f aca="false">IFERROR(IF(ISNUMBER(INDEX(원자료_잔고!$A$1:$EZ$1500,설정!$L$5+ROW()-1,설정!$L$11)),INDEX(원자료_잔고!$A$1:$EZ$1500,설정!$L$5+ROW()-1,설정!$L$11),""),"")</f>
        <v/>
      </c>
      <c r="F638" s="85" t="str">
        <f aca="false">IFERROR(IF(ISNUMBER(INDEX(원자료_잔고!$A$1:$EZ$1500,설정!$L$5+ROW()-1,설정!$L$12)),INDEX(원자료_잔고!$A$1:$EZ$1500,설정!$L$5+ROW()-1,설정!$L$12),""),"")</f>
        <v/>
      </c>
      <c r="G638" s="85" t="str">
        <f aca="false">IFERROR(IF(ISNUMBER(INDEX(원자료_잔고!$A$1:$EZ$1500,설정!$L$5+ROW()-1,설정!$L$13)),INDEX(원자료_잔고!$A$1:$EZ$1500,설정!$L$5+ROW()-1,설정!$L$13),""),"")</f>
        <v/>
      </c>
      <c r="H638" s="85" t="str">
        <f aca="false">IFERROR(IF(ISNUMBER(INDEX(원자료_잔고!$A$1:$EZ$1500,설정!$L$5+ROW()-1,설정!$L$14)),INDEX(원자료_잔고!$A$1:$EZ$1500,설정!$L$5+ROW()-1,설정!$L$14),""),"")</f>
        <v/>
      </c>
      <c r="I638" s="86" t="str">
        <f aca="false">IFERROR(IF(ISNUMBER(INDEX(원자료_잔고!$A$1:$EZ$1500,설정!$L$5+ROW()-1,설정!$L$15)),INDEX(원자료_잔고!$A$1:$EZ$1500,설정!$L$5+ROW()-1,설정!$L$15),""),"")</f>
        <v/>
      </c>
      <c r="J638" s="85" t="str">
        <f aca="false">IFERROR(IF(ISNUMBER(INDEX(원자료_잔고!$A$1:$EZ$1500,설정!$L$5+ROW()-1,설정!$L$16)),INDEX(원자료_잔고!$A$1:$EZ$1500,설정!$L$5+ROW()-1,설정!$L$16),""),"")</f>
        <v/>
      </c>
      <c r="K638" s="87" t="str">
        <f aca="false">IFERROR(IF(ISNUMBER(INDEX(원자료_잔고!$A$1:$EZ$1500,설정!$L$5+ROW()-1,설정!$L$17)),INDEX(원자료_잔고!$A$1:$EZ$1500,설정!$L$5+ROW()-1,설정!$L$17),""),"")</f>
        <v/>
      </c>
      <c r="L638" s="84" t="str">
        <f aca="false">IFERROR(IF(ISNUMBER(INDEX(원자료_잔고!$A$1:$EZ$1500,설정!$L$5+ROW()-1,설정!$L$18)),INDEX(원자료_잔고!$A$1:$EZ$1500,설정!$L$5+ROW()-1,설정!$L$18),""),"")</f>
        <v/>
      </c>
      <c r="M638" s="88" t="str">
        <f aca="false">IFERROR(IF(ISNUMBER(INDEX(원자료_잔고!$A$1:$EZ$1500,설정!$L$5+ROW()-1,설정!$L$19)),INDEX(원자료_잔고!$A$1:$EZ$1500,설정!$L$5+ROW()-1,설정!$L$19),""),"")</f>
        <v/>
      </c>
      <c r="N638" s="83" t="str">
        <f aca="false">IFERROR(IF(INDEX(원자료_잔고!$A$1:$EZ$1500,설정!$L$5+ROW()-1,설정!$L$21)&amp;""="0","",INDEX(원자료_잔고!$A$1:$EZ$1500,설정!$L$5+ROW()-1,설정!$L$21)&amp;""),"")</f>
        <v/>
      </c>
      <c r="O638" s="83" t="str">
        <f aca="false">IFERROR(IF(INDEX(원자료_잔고!$A$1:$EZ$1500,설정!$L$5+ROW()-1,설정!$L$22)&amp;""="0","",INDEX(원자료_잔고!$A$1:$EZ$1500,설정!$L$5+ROW()-1,설정!$L$22)&amp;""),"")</f>
        <v/>
      </c>
      <c r="P638" s="83" t="str">
        <f aca="false">IFERROR(IF(INDEX(원자료_잔고!$A$1:$EZ$1500,설정!$L$5+ROW()-1,설정!$L$23)&amp;""="0","",INDEX(원자료_잔고!$A$1:$EZ$1500,설정!$L$5+ROW()-1,설정!$L$23)&amp;""),"")</f>
        <v/>
      </c>
      <c r="Q638" s="89" t="n">
        <f aca="false">IF(AND($A638&lt;&gt;"",ISNUMBER(E638)),IF(E638&gt;0,1,0),0)</f>
        <v>0</v>
      </c>
      <c r="R638" s="43" t="str">
        <f aca="false">IF(Q638=1,UPPER(LEFT($A638,FIND(" ",$A638&amp;" ")-1)),"")</f>
        <v/>
      </c>
      <c r="S638" s="89" t="n">
        <f aca="false">IF(Q638=1,IF(OR(ISNUMBER(SEARCH("Float",$A638)),ISNUMBER(SEARCH("FRN",$A638))),1,0),0)</f>
        <v>0</v>
      </c>
      <c r="T638" s="43" t="str">
        <f aca="false">IF(AND(Q638=1,ISNUMBER(I638)),TEXT(I638,"yyyymmdd")&amp;"|"&amp;IF(S638=1,"F",TEXT(J638,"0.000")),"")</f>
        <v/>
      </c>
      <c r="U638" s="90" t="str">
        <f aca="false">IF(AND(Q638=1,ISNUMBER(I638)),(I638-설정!$C$4)/365.25,"")</f>
        <v/>
      </c>
      <c r="V638" s="43" t="str">
        <f aca="false">IF(Q638&lt;&gt;1,"",IF(ISNUMBER(U638),IF(U638&lt;=1,"1년 이하",IF(U638&lt;=2,"1-2년",IF(U638&lt;=3,"2-3년",IF(U638&lt;=4,"3-4년",IF(U638&lt;=5,"4-5년",IF(U638&lt;=7,"5-7년",IF(U638&lt;=10,"7-10년",IF(U638&lt;=20,"10-20년","20년 이상")))))))),"미분류"))</f>
        <v/>
      </c>
      <c r="W638" s="43" t="str">
        <f aca="false">IF(Q638&lt;&gt;1,"",IF(AB638&lt;&gt;"",INDEX(시장분석!$C:$C,AB638),IF(K638=1,"USD","비USD")))</f>
        <v/>
      </c>
      <c r="X638" s="91" t="n">
        <f aca="false">IF(Q638=1,E638*K638/1000000,0)</f>
        <v>0</v>
      </c>
      <c r="Y638" s="89" t="n">
        <f aca="false">IF(R638="T",1,0)</f>
        <v>0</v>
      </c>
      <c r="Z638" s="92" t="str">
        <f aca="false">IF(Q638&lt;&gt;1,"",IF(AD638=1,IF(ISNUMBER(U638),MAX(U638,0),H638),H638))</f>
        <v/>
      </c>
      <c r="AA638" s="91" t="n">
        <f aca="false">IF(Q638=1,IF(ISNUMBER(L638),L638,0)*K638/1000000,0)</f>
        <v>0</v>
      </c>
      <c r="AB638" s="89" t="str">
        <f aca="false">IF(Q638&lt;&gt;1,"",IFERROR(MATCH(VLOOKUP(B638,매핑!$H$4:$I$15,2,0),시장분석!$A$2:$A$601,0)+1,IFERROR(MATCH(R638&amp;"|"&amp;T638,시장분석!$V$2:$V$601,0)+1,IF(COUNTIF(시장분석!$U$2:$U$601,T638)=1,MATCH(T638,시장분석!$U$2:$U$601,0)+1,""))))</f>
        <v/>
      </c>
      <c r="AC638" s="89" t="n">
        <f aca="false">IF(Q638&lt;&gt;1,0,IF(OR(설정!$C$5="전체",AND(설정!$C$5="선택펀드",IFERROR(COUNTIFS(설정!$F$16:$F$36,C638,설정!$G$16:$G$36,"Y")+COUNTIFS(설정!$F$16:$F$36,VALUE(C638),설정!$G$16:$G$36,"Y"),0)&gt;0),C638&amp;""=설정!$C$5&amp;""),1,0))</f>
        <v>0</v>
      </c>
      <c r="AD638" s="89" t="n">
        <f aca="false">IF(Q638&lt;&gt;1,0,IF(OR(S638=1,IF(AB638="",FALSE(),INDEX(시장분석!$R:$R,AB638)=1)),1,0))</f>
        <v>0</v>
      </c>
      <c r="AE638" s="43" t="str">
        <f aca="false">IF(AB638="","",INDEX(시장분석!$A:$A,AB638))</f>
        <v/>
      </c>
      <c r="AF638" s="93" t="str">
        <f aca="false">IF(AB638="","",IF(ISNUMBER(IF(AB638="","",INDEX(시장분석!$E:$E,AB638))),IF(AB638="","",INDEX(시장분석!$E:$E,AB638)),""))</f>
        <v/>
      </c>
      <c r="AG638" s="43" t="str">
        <f aca="false">IF(Q638&lt;&gt;1,"",IF(AB638&lt;&gt;"",IF(AB638="","",INDEX(시장분석!$L:$L,AB638)),IFERROR(IF(VLOOKUP(R638,매핑!$A$4:$E$92,5,0)="","미분류",VLOOKUP(R638,매핑!$A$4:$E$92,5,0)),"미분류")))</f>
        <v/>
      </c>
      <c r="AH638" s="43" t="str">
        <f aca="false">IF(Q638&lt;&gt;1,"",IF(AB638&lt;&gt;"",IF(AB638="","",INDEX(시장분석!$N:$N,AB638)),IFERROR(IF(VLOOKUP(R638,매핑!$A$4:$E$92,4,0)="","미분류",VLOOKUP(R638,매핑!$A$4:$E$92,4,0)),"미분류")))</f>
        <v/>
      </c>
      <c r="AI638" s="43" t="str">
        <f aca="false">IF(Q638&lt;&gt;1,"",IFERROR(IF(VLOOKUP(R638,매핑!$A$4:$E$92,3,0)="","미분류",VLOOKUP(R638,매핑!$A$4:$E$92,3,0)),IF(AB638&lt;&gt;"",IF(AB638="","",INDEX(시장분석!$W:$W,AB638)),"미분류")))</f>
        <v/>
      </c>
      <c r="AJ638" s="43" t="str">
        <f aca="false">IF(Q638&lt;&gt;1,"",IFERROR(VLOOKUP(IF(N638&lt;&gt;"",N638,IF(P638&lt;&gt;"",P638,O638)),설정!$A$15:$D$47,2,0),""))</f>
        <v/>
      </c>
      <c r="AK638" s="43" t="str">
        <f aca="false">IF(Q638&lt;&gt;1,"",IF(AJ638="","무등급",IFERROR(VLOOKUP(AJ638,설정!$A$15:$D$47,3,0),"무등급")))</f>
        <v/>
      </c>
      <c r="AL638" s="89" t="n">
        <f aca="false">IF(AJ638="",99,IFERROR(VLOOKUP(AJ638,설정!$A$15:$D$47,4,0),99))</f>
        <v>99</v>
      </c>
      <c r="AM638" s="94" t="n">
        <f aca="false">IF(ISNUMBER(H638),AA638*1000000*H638/10000,0)</f>
        <v>0</v>
      </c>
      <c r="AN638" s="94" t="n">
        <f aca="false">IF(OR(Y638=1,NOT(ISNUMBER(Z638))),0,AA638*1000000*Z638/10000)</f>
        <v>0</v>
      </c>
      <c r="AO638" s="94" t="n">
        <f aca="false">IF(ISNUMBER(G638),AA638*1000000*G638/100,0)</f>
        <v>0</v>
      </c>
      <c r="AP638" s="94" t="n">
        <f aca="false">IF(ISNUMBER(M638),M638*K638,0)</f>
        <v>0</v>
      </c>
      <c r="AQ638" s="95" t="str">
        <f aca="false">IF(AB638="","",INDEX(시장분석!$AK:$AK,AB638))</f>
        <v/>
      </c>
      <c r="AR638" s="43" t="str">
        <f aca="false">IF(AB638="","-",IF(AB638="","",INDEX(시장분석!$AL:$AL,AB638)))</f>
        <v>-</v>
      </c>
      <c r="AS638" s="96" t="str">
        <f aca="false">IF(AB638="","",INDEX(시장분석!$AJ:$AJ,AB638))</f>
        <v/>
      </c>
      <c r="AT638" s="93" t="n">
        <f aca="false">IF(AB638="",0,IF(AB638="","",INDEX(시장분석!$AN:$AN,AB638)))</f>
        <v>0</v>
      </c>
      <c r="AU638" s="94" t="n">
        <f aca="false">IF(ISNUMBER(Z638),AT638/10000*MAX(Z638-1,0)*AA638*1000000,0)</f>
        <v>0</v>
      </c>
      <c r="AV638" s="94" t="n">
        <f aca="false">AO638+AU638</f>
        <v>0</v>
      </c>
      <c r="AW638" s="43" t="str">
        <f aca="false">IF(Q638&lt;&gt;1,"",TRIM(IF(AD638=1,"FRN ","")&amp;IF(AND(AL638&gt;=10,AL638&lt;99),"BBB0미만 ","")&amp;IF(AJ638="","등급없음 ","")&amp;IF(K638&lt;&gt;1,"비USD ","")&amp;IF(AND(AB638="",Y638=0),"시장데이터없음 ","")&amp;IF(AND(ISNUMBER(U638),U638&lt;0),"만기경과 ","")))</f>
        <v/>
      </c>
      <c r="AX638" s="90" t="n">
        <f aca="false">IF(Q638&lt;&gt;1,1,IF(스프레드쇼크!$C$4="Y",INDEX(스프레드쇼크!$B$12:$L$16,IFERROR(MATCH(AH638,스프레드쇼크!$A$12:$A$16,0),MATCH("목록외",스프레드쇼크!$A$12:$A$16,0)),IFERROR(MATCH(AG638,스프레드쇼크!$B$11:$L$11,0),MATCH("목록외",스프레드쇼크!$B$11:$L$11,0))),1))</f>
        <v>1</v>
      </c>
      <c r="AY638" s="90" t="n">
        <f aca="false">IF(스프레드쇼크!$C$5="Y",IF(ISNUMBER(AF638),MIN(스프레드쇼크!$C$7,MAX(스프레드쇼크!$C$6,AF638/스프레드쇼크!$C$8)),1),1)</f>
        <v>1</v>
      </c>
      <c r="AZ638" s="94" t="n">
        <f aca="false">AN638*AX638*AY638</f>
        <v>0</v>
      </c>
      <c r="BA638" s="90" t="n">
        <f aca="false">IF(ISNUMBER(G638),AA638*G638,0)</f>
        <v>0</v>
      </c>
      <c r="BB638" s="90" t="n">
        <f aca="false">IF(ISNUMBER(G638),AA638,0)</f>
        <v>0</v>
      </c>
      <c r="BC638" s="90" t="n">
        <f aca="false">IF(AND(Y638=0,ISNUMBER(AF638)),AA638*AF638,0)</f>
        <v>0</v>
      </c>
      <c r="BD638" s="90" t="n">
        <f aca="false">IF(AND(Y638=0,ISNUMBER(AF638)),AA638,0)</f>
        <v>0</v>
      </c>
      <c r="BE638" s="90" t="n">
        <f aca="false">IF(ISNUMBER(H638),AA638*H638,0)</f>
        <v>0</v>
      </c>
      <c r="BF638" s="90" t="n">
        <f aca="false">IF(ISNUMBER(H638),AA638,0)</f>
        <v>0</v>
      </c>
      <c r="BG638" s="90" t="n">
        <f aca="false">IF(AND(Y638=0,ISNUMBER(AF638),ISNUMBER(Z638)),AA638*Z638,0)</f>
        <v>0</v>
      </c>
      <c r="BH638" s="90" t="n">
        <f aca="false">IF(AND(Y638=0,ISNUMBER(AF638),ISNUMBER(Z638)),AA638*AT638*MAX(Z638-1,0),0)</f>
        <v>0</v>
      </c>
      <c r="BI638" s="90" t="n">
        <f aca="false">IF(Y638=0,AA638,0)</f>
        <v>0</v>
      </c>
    </row>
    <row r="639" customFormat="false" ht="15" hidden="false" customHeight="false" outlineLevel="0" collapsed="false">
      <c r="A639" s="83" t="str">
        <f aca="false">IFERROR(IF(INDEX(원자료_잔고!$A$1:$EZ$1500,설정!$L$5+ROW()-1,설정!$L$8)&amp;""="0","",INDEX(원자료_잔고!$A$1:$EZ$1500,설정!$L$5+ROW()-1,설정!$L$8)&amp;""),"")</f>
        <v/>
      </c>
      <c r="B639" s="83" t="str">
        <f aca="false">IFERROR(IF(INDEX(원자료_잔고!$A$1:$EZ$1500,설정!$L$5+ROW()-1,설정!$L$7)&amp;""="0","",INDEX(원자료_잔고!$A$1:$EZ$1500,설정!$L$5+ROW()-1,설정!$L$7)&amp;""),"")</f>
        <v/>
      </c>
      <c r="C639" s="83" t="str">
        <f aca="false">IFERROR(IF(INDEX(원자료_잔고!$A$1:$EZ$1500,설정!$L$5+ROW()-1,설정!$L$9)&amp;""="0","",INDEX(원자료_잔고!$A$1:$EZ$1500,설정!$L$5+ROW()-1,설정!$L$9)&amp;""),"")</f>
        <v/>
      </c>
      <c r="D639" s="83" t="str">
        <f aca="false">IFERROR(IF(INDEX(원자료_잔고!$A$1:$EZ$1500,설정!$L$5+ROW()-1,설정!$L$10)&amp;""="0","",INDEX(원자료_잔고!$A$1:$EZ$1500,설정!$L$5+ROW()-1,설정!$L$10)&amp;""),"")</f>
        <v/>
      </c>
      <c r="E639" s="84" t="str">
        <f aca="false">IFERROR(IF(ISNUMBER(INDEX(원자료_잔고!$A$1:$EZ$1500,설정!$L$5+ROW()-1,설정!$L$11)),INDEX(원자료_잔고!$A$1:$EZ$1500,설정!$L$5+ROW()-1,설정!$L$11),""),"")</f>
        <v/>
      </c>
      <c r="F639" s="85" t="str">
        <f aca="false">IFERROR(IF(ISNUMBER(INDEX(원자료_잔고!$A$1:$EZ$1500,설정!$L$5+ROW()-1,설정!$L$12)),INDEX(원자료_잔고!$A$1:$EZ$1500,설정!$L$5+ROW()-1,설정!$L$12),""),"")</f>
        <v/>
      </c>
      <c r="G639" s="85" t="str">
        <f aca="false">IFERROR(IF(ISNUMBER(INDEX(원자료_잔고!$A$1:$EZ$1500,설정!$L$5+ROW()-1,설정!$L$13)),INDEX(원자료_잔고!$A$1:$EZ$1500,설정!$L$5+ROW()-1,설정!$L$13),""),"")</f>
        <v/>
      </c>
      <c r="H639" s="85" t="str">
        <f aca="false">IFERROR(IF(ISNUMBER(INDEX(원자료_잔고!$A$1:$EZ$1500,설정!$L$5+ROW()-1,설정!$L$14)),INDEX(원자료_잔고!$A$1:$EZ$1500,설정!$L$5+ROW()-1,설정!$L$14),""),"")</f>
        <v/>
      </c>
      <c r="I639" s="86" t="str">
        <f aca="false">IFERROR(IF(ISNUMBER(INDEX(원자료_잔고!$A$1:$EZ$1500,설정!$L$5+ROW()-1,설정!$L$15)),INDEX(원자료_잔고!$A$1:$EZ$1500,설정!$L$5+ROW()-1,설정!$L$15),""),"")</f>
        <v/>
      </c>
      <c r="J639" s="85" t="str">
        <f aca="false">IFERROR(IF(ISNUMBER(INDEX(원자료_잔고!$A$1:$EZ$1500,설정!$L$5+ROW()-1,설정!$L$16)),INDEX(원자료_잔고!$A$1:$EZ$1500,설정!$L$5+ROW()-1,설정!$L$16),""),"")</f>
        <v/>
      </c>
      <c r="K639" s="87" t="str">
        <f aca="false">IFERROR(IF(ISNUMBER(INDEX(원자료_잔고!$A$1:$EZ$1500,설정!$L$5+ROW()-1,설정!$L$17)),INDEX(원자료_잔고!$A$1:$EZ$1500,설정!$L$5+ROW()-1,설정!$L$17),""),"")</f>
        <v/>
      </c>
      <c r="L639" s="84" t="str">
        <f aca="false">IFERROR(IF(ISNUMBER(INDEX(원자료_잔고!$A$1:$EZ$1500,설정!$L$5+ROW()-1,설정!$L$18)),INDEX(원자료_잔고!$A$1:$EZ$1500,설정!$L$5+ROW()-1,설정!$L$18),""),"")</f>
        <v/>
      </c>
      <c r="M639" s="88" t="str">
        <f aca="false">IFERROR(IF(ISNUMBER(INDEX(원자료_잔고!$A$1:$EZ$1500,설정!$L$5+ROW()-1,설정!$L$19)),INDEX(원자료_잔고!$A$1:$EZ$1500,설정!$L$5+ROW()-1,설정!$L$19),""),"")</f>
        <v/>
      </c>
      <c r="N639" s="83" t="str">
        <f aca="false">IFERROR(IF(INDEX(원자료_잔고!$A$1:$EZ$1500,설정!$L$5+ROW()-1,설정!$L$21)&amp;""="0","",INDEX(원자료_잔고!$A$1:$EZ$1500,설정!$L$5+ROW()-1,설정!$L$21)&amp;""),"")</f>
        <v/>
      </c>
      <c r="O639" s="83" t="str">
        <f aca="false">IFERROR(IF(INDEX(원자료_잔고!$A$1:$EZ$1500,설정!$L$5+ROW()-1,설정!$L$22)&amp;""="0","",INDEX(원자료_잔고!$A$1:$EZ$1500,설정!$L$5+ROW()-1,설정!$L$22)&amp;""),"")</f>
        <v/>
      </c>
      <c r="P639" s="83" t="str">
        <f aca="false">IFERROR(IF(INDEX(원자료_잔고!$A$1:$EZ$1500,설정!$L$5+ROW()-1,설정!$L$23)&amp;""="0","",INDEX(원자료_잔고!$A$1:$EZ$1500,설정!$L$5+ROW()-1,설정!$L$23)&amp;""),"")</f>
        <v/>
      </c>
      <c r="Q639" s="89" t="n">
        <f aca="false">IF(AND($A639&lt;&gt;"",ISNUMBER(E639)),IF(E639&gt;0,1,0),0)</f>
        <v>0</v>
      </c>
      <c r="R639" s="43" t="str">
        <f aca="false">IF(Q639=1,UPPER(LEFT($A639,FIND(" ",$A639&amp;" ")-1)),"")</f>
        <v/>
      </c>
      <c r="S639" s="89" t="n">
        <f aca="false">IF(Q639=1,IF(OR(ISNUMBER(SEARCH("Float",$A639)),ISNUMBER(SEARCH("FRN",$A639))),1,0),0)</f>
        <v>0</v>
      </c>
      <c r="T639" s="43" t="str">
        <f aca="false">IF(AND(Q639=1,ISNUMBER(I639)),TEXT(I639,"yyyymmdd")&amp;"|"&amp;IF(S639=1,"F",TEXT(J639,"0.000")),"")</f>
        <v/>
      </c>
      <c r="U639" s="90" t="str">
        <f aca="false">IF(AND(Q639=1,ISNUMBER(I639)),(I639-설정!$C$4)/365.25,"")</f>
        <v/>
      </c>
      <c r="V639" s="43" t="str">
        <f aca="false">IF(Q639&lt;&gt;1,"",IF(ISNUMBER(U639),IF(U639&lt;=1,"1년 이하",IF(U639&lt;=2,"1-2년",IF(U639&lt;=3,"2-3년",IF(U639&lt;=4,"3-4년",IF(U639&lt;=5,"4-5년",IF(U639&lt;=7,"5-7년",IF(U639&lt;=10,"7-10년",IF(U639&lt;=20,"10-20년","20년 이상")))))))),"미분류"))</f>
        <v/>
      </c>
      <c r="W639" s="43" t="str">
        <f aca="false">IF(Q639&lt;&gt;1,"",IF(AB639&lt;&gt;"",INDEX(시장분석!$C:$C,AB639),IF(K639=1,"USD","비USD")))</f>
        <v/>
      </c>
      <c r="X639" s="91" t="n">
        <f aca="false">IF(Q639=1,E639*K639/1000000,0)</f>
        <v>0</v>
      </c>
      <c r="Y639" s="89" t="n">
        <f aca="false">IF(R639="T",1,0)</f>
        <v>0</v>
      </c>
      <c r="Z639" s="92" t="str">
        <f aca="false">IF(Q639&lt;&gt;1,"",IF(AD639=1,IF(ISNUMBER(U639),MAX(U639,0),H639),H639))</f>
        <v/>
      </c>
      <c r="AA639" s="91" t="n">
        <f aca="false">IF(Q639=1,IF(ISNUMBER(L639),L639,0)*K639/1000000,0)</f>
        <v>0</v>
      </c>
      <c r="AB639" s="89" t="str">
        <f aca="false">IF(Q639&lt;&gt;1,"",IFERROR(MATCH(VLOOKUP(B639,매핑!$H$4:$I$15,2,0),시장분석!$A$2:$A$601,0)+1,IFERROR(MATCH(R639&amp;"|"&amp;T639,시장분석!$V$2:$V$601,0)+1,IF(COUNTIF(시장분석!$U$2:$U$601,T639)=1,MATCH(T639,시장분석!$U$2:$U$601,0)+1,""))))</f>
        <v/>
      </c>
      <c r="AC639" s="89" t="n">
        <f aca="false">IF(Q639&lt;&gt;1,0,IF(OR(설정!$C$5="전체",AND(설정!$C$5="선택펀드",IFERROR(COUNTIFS(설정!$F$16:$F$36,C639,설정!$G$16:$G$36,"Y")+COUNTIFS(설정!$F$16:$F$36,VALUE(C639),설정!$G$16:$G$36,"Y"),0)&gt;0),C639&amp;""=설정!$C$5&amp;""),1,0))</f>
        <v>0</v>
      </c>
      <c r="AD639" s="89" t="n">
        <f aca="false">IF(Q639&lt;&gt;1,0,IF(OR(S639=1,IF(AB639="",FALSE(),INDEX(시장분석!$R:$R,AB639)=1)),1,0))</f>
        <v>0</v>
      </c>
      <c r="AE639" s="43" t="str">
        <f aca="false">IF(AB639="","",INDEX(시장분석!$A:$A,AB639))</f>
        <v/>
      </c>
      <c r="AF639" s="93" t="str">
        <f aca="false">IF(AB639="","",IF(ISNUMBER(IF(AB639="","",INDEX(시장분석!$E:$E,AB639))),IF(AB639="","",INDEX(시장분석!$E:$E,AB639)),""))</f>
        <v/>
      </c>
      <c r="AG639" s="43" t="str">
        <f aca="false">IF(Q639&lt;&gt;1,"",IF(AB639&lt;&gt;"",IF(AB639="","",INDEX(시장분석!$L:$L,AB639)),IFERROR(IF(VLOOKUP(R639,매핑!$A$4:$E$92,5,0)="","미분류",VLOOKUP(R639,매핑!$A$4:$E$92,5,0)),"미분류")))</f>
        <v/>
      </c>
      <c r="AH639" s="43" t="str">
        <f aca="false">IF(Q639&lt;&gt;1,"",IF(AB639&lt;&gt;"",IF(AB639="","",INDEX(시장분석!$N:$N,AB639)),IFERROR(IF(VLOOKUP(R639,매핑!$A$4:$E$92,4,0)="","미분류",VLOOKUP(R639,매핑!$A$4:$E$92,4,0)),"미분류")))</f>
        <v/>
      </c>
      <c r="AI639" s="43" t="str">
        <f aca="false">IF(Q639&lt;&gt;1,"",IFERROR(IF(VLOOKUP(R639,매핑!$A$4:$E$92,3,0)="","미분류",VLOOKUP(R639,매핑!$A$4:$E$92,3,0)),IF(AB639&lt;&gt;"",IF(AB639="","",INDEX(시장분석!$W:$W,AB639)),"미분류")))</f>
        <v/>
      </c>
      <c r="AJ639" s="43" t="str">
        <f aca="false">IF(Q639&lt;&gt;1,"",IFERROR(VLOOKUP(IF(N639&lt;&gt;"",N639,IF(P639&lt;&gt;"",P639,O639)),설정!$A$15:$D$47,2,0),""))</f>
        <v/>
      </c>
      <c r="AK639" s="43" t="str">
        <f aca="false">IF(Q639&lt;&gt;1,"",IF(AJ639="","무등급",IFERROR(VLOOKUP(AJ639,설정!$A$15:$D$47,3,0),"무등급")))</f>
        <v/>
      </c>
      <c r="AL639" s="89" t="n">
        <f aca="false">IF(AJ639="",99,IFERROR(VLOOKUP(AJ639,설정!$A$15:$D$47,4,0),99))</f>
        <v>99</v>
      </c>
      <c r="AM639" s="94" t="n">
        <f aca="false">IF(ISNUMBER(H639),AA639*1000000*H639/10000,0)</f>
        <v>0</v>
      </c>
      <c r="AN639" s="94" t="n">
        <f aca="false">IF(OR(Y639=1,NOT(ISNUMBER(Z639))),0,AA639*1000000*Z639/10000)</f>
        <v>0</v>
      </c>
      <c r="AO639" s="94" t="n">
        <f aca="false">IF(ISNUMBER(G639),AA639*1000000*G639/100,0)</f>
        <v>0</v>
      </c>
      <c r="AP639" s="94" t="n">
        <f aca="false">IF(ISNUMBER(M639),M639*K639,0)</f>
        <v>0</v>
      </c>
      <c r="AQ639" s="95" t="str">
        <f aca="false">IF(AB639="","",INDEX(시장분석!$AK:$AK,AB639))</f>
        <v/>
      </c>
      <c r="AR639" s="43" t="str">
        <f aca="false">IF(AB639="","-",IF(AB639="","",INDEX(시장분석!$AL:$AL,AB639)))</f>
        <v>-</v>
      </c>
      <c r="AS639" s="96" t="str">
        <f aca="false">IF(AB639="","",INDEX(시장분석!$AJ:$AJ,AB639))</f>
        <v/>
      </c>
      <c r="AT639" s="93" t="n">
        <f aca="false">IF(AB639="",0,IF(AB639="","",INDEX(시장분석!$AN:$AN,AB639)))</f>
        <v>0</v>
      </c>
      <c r="AU639" s="94" t="n">
        <f aca="false">IF(ISNUMBER(Z639),AT639/10000*MAX(Z639-1,0)*AA639*1000000,0)</f>
        <v>0</v>
      </c>
      <c r="AV639" s="94" t="n">
        <f aca="false">AO639+AU639</f>
        <v>0</v>
      </c>
      <c r="AW639" s="43" t="str">
        <f aca="false">IF(Q639&lt;&gt;1,"",TRIM(IF(AD639=1,"FRN ","")&amp;IF(AND(AL639&gt;=10,AL639&lt;99),"BBB0미만 ","")&amp;IF(AJ639="","등급없음 ","")&amp;IF(K639&lt;&gt;1,"비USD ","")&amp;IF(AND(AB639="",Y639=0),"시장데이터없음 ","")&amp;IF(AND(ISNUMBER(U639),U639&lt;0),"만기경과 ","")))</f>
        <v/>
      </c>
      <c r="AX639" s="90" t="n">
        <f aca="false">IF(Q639&lt;&gt;1,1,IF(스프레드쇼크!$C$4="Y",INDEX(스프레드쇼크!$B$12:$L$16,IFERROR(MATCH(AH639,스프레드쇼크!$A$12:$A$16,0),MATCH("목록외",스프레드쇼크!$A$12:$A$16,0)),IFERROR(MATCH(AG639,스프레드쇼크!$B$11:$L$11,0),MATCH("목록외",스프레드쇼크!$B$11:$L$11,0))),1))</f>
        <v>1</v>
      </c>
      <c r="AY639" s="90" t="n">
        <f aca="false">IF(스프레드쇼크!$C$5="Y",IF(ISNUMBER(AF639),MIN(스프레드쇼크!$C$7,MAX(스프레드쇼크!$C$6,AF639/스프레드쇼크!$C$8)),1),1)</f>
        <v>1</v>
      </c>
      <c r="AZ639" s="94" t="n">
        <f aca="false">AN639*AX639*AY639</f>
        <v>0</v>
      </c>
      <c r="BA639" s="90" t="n">
        <f aca="false">IF(ISNUMBER(G639),AA639*G639,0)</f>
        <v>0</v>
      </c>
      <c r="BB639" s="90" t="n">
        <f aca="false">IF(ISNUMBER(G639),AA639,0)</f>
        <v>0</v>
      </c>
      <c r="BC639" s="90" t="n">
        <f aca="false">IF(AND(Y639=0,ISNUMBER(AF639)),AA639*AF639,0)</f>
        <v>0</v>
      </c>
      <c r="BD639" s="90" t="n">
        <f aca="false">IF(AND(Y639=0,ISNUMBER(AF639)),AA639,0)</f>
        <v>0</v>
      </c>
      <c r="BE639" s="90" t="n">
        <f aca="false">IF(ISNUMBER(H639),AA639*H639,0)</f>
        <v>0</v>
      </c>
      <c r="BF639" s="90" t="n">
        <f aca="false">IF(ISNUMBER(H639),AA639,0)</f>
        <v>0</v>
      </c>
      <c r="BG639" s="90" t="n">
        <f aca="false">IF(AND(Y639=0,ISNUMBER(AF639),ISNUMBER(Z639)),AA639*Z639,0)</f>
        <v>0</v>
      </c>
      <c r="BH639" s="90" t="n">
        <f aca="false">IF(AND(Y639=0,ISNUMBER(AF639),ISNUMBER(Z639)),AA639*AT639*MAX(Z639-1,0),0)</f>
        <v>0</v>
      </c>
      <c r="BI639" s="90" t="n">
        <f aca="false">IF(Y639=0,AA639,0)</f>
        <v>0</v>
      </c>
    </row>
    <row r="640" customFormat="false" ht="15" hidden="false" customHeight="false" outlineLevel="0" collapsed="false">
      <c r="A640" s="83" t="str">
        <f aca="false">IFERROR(IF(INDEX(원자료_잔고!$A$1:$EZ$1500,설정!$L$5+ROW()-1,설정!$L$8)&amp;""="0","",INDEX(원자료_잔고!$A$1:$EZ$1500,설정!$L$5+ROW()-1,설정!$L$8)&amp;""),"")</f>
        <v/>
      </c>
      <c r="B640" s="83" t="str">
        <f aca="false">IFERROR(IF(INDEX(원자료_잔고!$A$1:$EZ$1500,설정!$L$5+ROW()-1,설정!$L$7)&amp;""="0","",INDEX(원자료_잔고!$A$1:$EZ$1500,설정!$L$5+ROW()-1,설정!$L$7)&amp;""),"")</f>
        <v/>
      </c>
      <c r="C640" s="83" t="str">
        <f aca="false">IFERROR(IF(INDEX(원자료_잔고!$A$1:$EZ$1500,설정!$L$5+ROW()-1,설정!$L$9)&amp;""="0","",INDEX(원자료_잔고!$A$1:$EZ$1500,설정!$L$5+ROW()-1,설정!$L$9)&amp;""),"")</f>
        <v/>
      </c>
      <c r="D640" s="83" t="str">
        <f aca="false">IFERROR(IF(INDEX(원자료_잔고!$A$1:$EZ$1500,설정!$L$5+ROW()-1,설정!$L$10)&amp;""="0","",INDEX(원자료_잔고!$A$1:$EZ$1500,설정!$L$5+ROW()-1,설정!$L$10)&amp;""),"")</f>
        <v/>
      </c>
      <c r="E640" s="84" t="str">
        <f aca="false">IFERROR(IF(ISNUMBER(INDEX(원자료_잔고!$A$1:$EZ$1500,설정!$L$5+ROW()-1,설정!$L$11)),INDEX(원자료_잔고!$A$1:$EZ$1500,설정!$L$5+ROW()-1,설정!$L$11),""),"")</f>
        <v/>
      </c>
      <c r="F640" s="85" t="str">
        <f aca="false">IFERROR(IF(ISNUMBER(INDEX(원자료_잔고!$A$1:$EZ$1500,설정!$L$5+ROW()-1,설정!$L$12)),INDEX(원자료_잔고!$A$1:$EZ$1500,설정!$L$5+ROW()-1,설정!$L$12),""),"")</f>
        <v/>
      </c>
      <c r="G640" s="85" t="str">
        <f aca="false">IFERROR(IF(ISNUMBER(INDEX(원자료_잔고!$A$1:$EZ$1500,설정!$L$5+ROW()-1,설정!$L$13)),INDEX(원자료_잔고!$A$1:$EZ$1500,설정!$L$5+ROW()-1,설정!$L$13),""),"")</f>
        <v/>
      </c>
      <c r="H640" s="85" t="str">
        <f aca="false">IFERROR(IF(ISNUMBER(INDEX(원자료_잔고!$A$1:$EZ$1500,설정!$L$5+ROW()-1,설정!$L$14)),INDEX(원자료_잔고!$A$1:$EZ$1500,설정!$L$5+ROW()-1,설정!$L$14),""),"")</f>
        <v/>
      </c>
      <c r="I640" s="86" t="str">
        <f aca="false">IFERROR(IF(ISNUMBER(INDEX(원자료_잔고!$A$1:$EZ$1500,설정!$L$5+ROW()-1,설정!$L$15)),INDEX(원자료_잔고!$A$1:$EZ$1500,설정!$L$5+ROW()-1,설정!$L$15),""),"")</f>
        <v/>
      </c>
      <c r="J640" s="85" t="str">
        <f aca="false">IFERROR(IF(ISNUMBER(INDEX(원자료_잔고!$A$1:$EZ$1500,설정!$L$5+ROW()-1,설정!$L$16)),INDEX(원자료_잔고!$A$1:$EZ$1500,설정!$L$5+ROW()-1,설정!$L$16),""),"")</f>
        <v/>
      </c>
      <c r="K640" s="87" t="str">
        <f aca="false">IFERROR(IF(ISNUMBER(INDEX(원자료_잔고!$A$1:$EZ$1500,설정!$L$5+ROW()-1,설정!$L$17)),INDEX(원자료_잔고!$A$1:$EZ$1500,설정!$L$5+ROW()-1,설정!$L$17),""),"")</f>
        <v/>
      </c>
      <c r="L640" s="84" t="str">
        <f aca="false">IFERROR(IF(ISNUMBER(INDEX(원자료_잔고!$A$1:$EZ$1500,설정!$L$5+ROW()-1,설정!$L$18)),INDEX(원자료_잔고!$A$1:$EZ$1500,설정!$L$5+ROW()-1,설정!$L$18),""),"")</f>
        <v/>
      </c>
      <c r="M640" s="88" t="str">
        <f aca="false">IFERROR(IF(ISNUMBER(INDEX(원자료_잔고!$A$1:$EZ$1500,설정!$L$5+ROW()-1,설정!$L$19)),INDEX(원자료_잔고!$A$1:$EZ$1500,설정!$L$5+ROW()-1,설정!$L$19),""),"")</f>
        <v/>
      </c>
      <c r="N640" s="83" t="str">
        <f aca="false">IFERROR(IF(INDEX(원자료_잔고!$A$1:$EZ$1500,설정!$L$5+ROW()-1,설정!$L$21)&amp;""="0","",INDEX(원자료_잔고!$A$1:$EZ$1500,설정!$L$5+ROW()-1,설정!$L$21)&amp;""),"")</f>
        <v/>
      </c>
      <c r="O640" s="83" t="str">
        <f aca="false">IFERROR(IF(INDEX(원자료_잔고!$A$1:$EZ$1500,설정!$L$5+ROW()-1,설정!$L$22)&amp;""="0","",INDEX(원자료_잔고!$A$1:$EZ$1500,설정!$L$5+ROW()-1,설정!$L$22)&amp;""),"")</f>
        <v/>
      </c>
      <c r="P640" s="83" t="str">
        <f aca="false">IFERROR(IF(INDEX(원자료_잔고!$A$1:$EZ$1500,설정!$L$5+ROW()-1,설정!$L$23)&amp;""="0","",INDEX(원자료_잔고!$A$1:$EZ$1500,설정!$L$5+ROW()-1,설정!$L$23)&amp;""),"")</f>
        <v/>
      </c>
      <c r="Q640" s="89" t="n">
        <f aca="false">IF(AND($A640&lt;&gt;"",ISNUMBER(E640)),IF(E640&gt;0,1,0),0)</f>
        <v>0</v>
      </c>
      <c r="R640" s="43" t="str">
        <f aca="false">IF(Q640=1,UPPER(LEFT($A640,FIND(" ",$A640&amp;" ")-1)),"")</f>
        <v/>
      </c>
      <c r="S640" s="89" t="n">
        <f aca="false">IF(Q640=1,IF(OR(ISNUMBER(SEARCH("Float",$A640)),ISNUMBER(SEARCH("FRN",$A640))),1,0),0)</f>
        <v>0</v>
      </c>
      <c r="T640" s="43" t="str">
        <f aca="false">IF(AND(Q640=1,ISNUMBER(I640)),TEXT(I640,"yyyymmdd")&amp;"|"&amp;IF(S640=1,"F",TEXT(J640,"0.000")),"")</f>
        <v/>
      </c>
      <c r="U640" s="90" t="str">
        <f aca="false">IF(AND(Q640=1,ISNUMBER(I640)),(I640-설정!$C$4)/365.25,"")</f>
        <v/>
      </c>
      <c r="V640" s="43" t="str">
        <f aca="false">IF(Q640&lt;&gt;1,"",IF(ISNUMBER(U640),IF(U640&lt;=1,"1년 이하",IF(U640&lt;=2,"1-2년",IF(U640&lt;=3,"2-3년",IF(U640&lt;=4,"3-4년",IF(U640&lt;=5,"4-5년",IF(U640&lt;=7,"5-7년",IF(U640&lt;=10,"7-10년",IF(U640&lt;=20,"10-20년","20년 이상")))))))),"미분류"))</f>
        <v/>
      </c>
      <c r="W640" s="43" t="str">
        <f aca="false">IF(Q640&lt;&gt;1,"",IF(AB640&lt;&gt;"",INDEX(시장분석!$C:$C,AB640),IF(K640=1,"USD","비USD")))</f>
        <v/>
      </c>
      <c r="X640" s="91" t="n">
        <f aca="false">IF(Q640=1,E640*K640/1000000,0)</f>
        <v>0</v>
      </c>
      <c r="Y640" s="89" t="n">
        <f aca="false">IF(R640="T",1,0)</f>
        <v>0</v>
      </c>
      <c r="Z640" s="92" t="str">
        <f aca="false">IF(Q640&lt;&gt;1,"",IF(AD640=1,IF(ISNUMBER(U640),MAX(U640,0),H640),H640))</f>
        <v/>
      </c>
      <c r="AA640" s="91" t="n">
        <f aca="false">IF(Q640=1,IF(ISNUMBER(L640),L640,0)*K640/1000000,0)</f>
        <v>0</v>
      </c>
      <c r="AB640" s="89" t="str">
        <f aca="false">IF(Q640&lt;&gt;1,"",IFERROR(MATCH(VLOOKUP(B640,매핑!$H$4:$I$15,2,0),시장분석!$A$2:$A$601,0)+1,IFERROR(MATCH(R640&amp;"|"&amp;T640,시장분석!$V$2:$V$601,0)+1,IF(COUNTIF(시장분석!$U$2:$U$601,T640)=1,MATCH(T640,시장분석!$U$2:$U$601,0)+1,""))))</f>
        <v/>
      </c>
      <c r="AC640" s="89" t="n">
        <f aca="false">IF(Q640&lt;&gt;1,0,IF(OR(설정!$C$5="전체",AND(설정!$C$5="선택펀드",IFERROR(COUNTIFS(설정!$F$16:$F$36,C640,설정!$G$16:$G$36,"Y")+COUNTIFS(설정!$F$16:$F$36,VALUE(C640),설정!$G$16:$G$36,"Y"),0)&gt;0),C640&amp;""=설정!$C$5&amp;""),1,0))</f>
        <v>0</v>
      </c>
      <c r="AD640" s="89" t="n">
        <f aca="false">IF(Q640&lt;&gt;1,0,IF(OR(S640=1,IF(AB640="",FALSE(),INDEX(시장분석!$R:$R,AB640)=1)),1,0))</f>
        <v>0</v>
      </c>
      <c r="AE640" s="43" t="str">
        <f aca="false">IF(AB640="","",INDEX(시장분석!$A:$A,AB640))</f>
        <v/>
      </c>
      <c r="AF640" s="93" t="str">
        <f aca="false">IF(AB640="","",IF(ISNUMBER(IF(AB640="","",INDEX(시장분석!$E:$E,AB640))),IF(AB640="","",INDEX(시장분석!$E:$E,AB640)),""))</f>
        <v/>
      </c>
      <c r="AG640" s="43" t="str">
        <f aca="false">IF(Q640&lt;&gt;1,"",IF(AB640&lt;&gt;"",IF(AB640="","",INDEX(시장분석!$L:$L,AB640)),IFERROR(IF(VLOOKUP(R640,매핑!$A$4:$E$92,5,0)="","미분류",VLOOKUP(R640,매핑!$A$4:$E$92,5,0)),"미분류")))</f>
        <v/>
      </c>
      <c r="AH640" s="43" t="str">
        <f aca="false">IF(Q640&lt;&gt;1,"",IF(AB640&lt;&gt;"",IF(AB640="","",INDEX(시장분석!$N:$N,AB640)),IFERROR(IF(VLOOKUP(R640,매핑!$A$4:$E$92,4,0)="","미분류",VLOOKUP(R640,매핑!$A$4:$E$92,4,0)),"미분류")))</f>
        <v/>
      </c>
      <c r="AI640" s="43" t="str">
        <f aca="false">IF(Q640&lt;&gt;1,"",IFERROR(IF(VLOOKUP(R640,매핑!$A$4:$E$92,3,0)="","미분류",VLOOKUP(R640,매핑!$A$4:$E$92,3,0)),IF(AB640&lt;&gt;"",IF(AB640="","",INDEX(시장분석!$W:$W,AB640)),"미분류")))</f>
        <v/>
      </c>
      <c r="AJ640" s="43" t="str">
        <f aca="false">IF(Q640&lt;&gt;1,"",IFERROR(VLOOKUP(IF(N640&lt;&gt;"",N640,IF(P640&lt;&gt;"",P640,O640)),설정!$A$15:$D$47,2,0),""))</f>
        <v/>
      </c>
      <c r="AK640" s="43" t="str">
        <f aca="false">IF(Q640&lt;&gt;1,"",IF(AJ640="","무등급",IFERROR(VLOOKUP(AJ640,설정!$A$15:$D$47,3,0),"무등급")))</f>
        <v/>
      </c>
      <c r="AL640" s="89" t="n">
        <f aca="false">IF(AJ640="",99,IFERROR(VLOOKUP(AJ640,설정!$A$15:$D$47,4,0),99))</f>
        <v>99</v>
      </c>
      <c r="AM640" s="94" t="n">
        <f aca="false">IF(ISNUMBER(H640),AA640*1000000*H640/10000,0)</f>
        <v>0</v>
      </c>
      <c r="AN640" s="94" t="n">
        <f aca="false">IF(OR(Y640=1,NOT(ISNUMBER(Z640))),0,AA640*1000000*Z640/10000)</f>
        <v>0</v>
      </c>
      <c r="AO640" s="94" t="n">
        <f aca="false">IF(ISNUMBER(G640),AA640*1000000*G640/100,0)</f>
        <v>0</v>
      </c>
      <c r="AP640" s="94" t="n">
        <f aca="false">IF(ISNUMBER(M640),M640*K640,0)</f>
        <v>0</v>
      </c>
      <c r="AQ640" s="95" t="str">
        <f aca="false">IF(AB640="","",INDEX(시장분석!$AK:$AK,AB640))</f>
        <v/>
      </c>
      <c r="AR640" s="43" t="str">
        <f aca="false">IF(AB640="","-",IF(AB640="","",INDEX(시장분석!$AL:$AL,AB640)))</f>
        <v>-</v>
      </c>
      <c r="AS640" s="96" t="str">
        <f aca="false">IF(AB640="","",INDEX(시장분석!$AJ:$AJ,AB640))</f>
        <v/>
      </c>
      <c r="AT640" s="93" t="n">
        <f aca="false">IF(AB640="",0,IF(AB640="","",INDEX(시장분석!$AN:$AN,AB640)))</f>
        <v>0</v>
      </c>
      <c r="AU640" s="94" t="n">
        <f aca="false">IF(ISNUMBER(Z640),AT640/10000*MAX(Z640-1,0)*AA640*1000000,0)</f>
        <v>0</v>
      </c>
      <c r="AV640" s="94" t="n">
        <f aca="false">AO640+AU640</f>
        <v>0</v>
      </c>
      <c r="AW640" s="43" t="str">
        <f aca="false">IF(Q640&lt;&gt;1,"",TRIM(IF(AD640=1,"FRN ","")&amp;IF(AND(AL640&gt;=10,AL640&lt;99),"BBB0미만 ","")&amp;IF(AJ640="","등급없음 ","")&amp;IF(K640&lt;&gt;1,"비USD ","")&amp;IF(AND(AB640="",Y640=0),"시장데이터없음 ","")&amp;IF(AND(ISNUMBER(U640),U640&lt;0),"만기경과 ","")))</f>
        <v/>
      </c>
      <c r="AX640" s="90" t="n">
        <f aca="false">IF(Q640&lt;&gt;1,1,IF(스프레드쇼크!$C$4="Y",INDEX(스프레드쇼크!$B$12:$L$16,IFERROR(MATCH(AH640,스프레드쇼크!$A$12:$A$16,0),MATCH("목록외",스프레드쇼크!$A$12:$A$16,0)),IFERROR(MATCH(AG640,스프레드쇼크!$B$11:$L$11,0),MATCH("목록외",스프레드쇼크!$B$11:$L$11,0))),1))</f>
        <v>1</v>
      </c>
      <c r="AY640" s="90" t="n">
        <f aca="false">IF(스프레드쇼크!$C$5="Y",IF(ISNUMBER(AF640),MIN(스프레드쇼크!$C$7,MAX(스프레드쇼크!$C$6,AF640/스프레드쇼크!$C$8)),1),1)</f>
        <v>1</v>
      </c>
      <c r="AZ640" s="94" t="n">
        <f aca="false">AN640*AX640*AY640</f>
        <v>0</v>
      </c>
      <c r="BA640" s="90" t="n">
        <f aca="false">IF(ISNUMBER(G640),AA640*G640,0)</f>
        <v>0</v>
      </c>
      <c r="BB640" s="90" t="n">
        <f aca="false">IF(ISNUMBER(G640),AA640,0)</f>
        <v>0</v>
      </c>
      <c r="BC640" s="90" t="n">
        <f aca="false">IF(AND(Y640=0,ISNUMBER(AF640)),AA640*AF640,0)</f>
        <v>0</v>
      </c>
      <c r="BD640" s="90" t="n">
        <f aca="false">IF(AND(Y640=0,ISNUMBER(AF640)),AA640,0)</f>
        <v>0</v>
      </c>
      <c r="BE640" s="90" t="n">
        <f aca="false">IF(ISNUMBER(H640),AA640*H640,0)</f>
        <v>0</v>
      </c>
      <c r="BF640" s="90" t="n">
        <f aca="false">IF(ISNUMBER(H640),AA640,0)</f>
        <v>0</v>
      </c>
      <c r="BG640" s="90" t="n">
        <f aca="false">IF(AND(Y640=0,ISNUMBER(AF640),ISNUMBER(Z640)),AA640*Z640,0)</f>
        <v>0</v>
      </c>
      <c r="BH640" s="90" t="n">
        <f aca="false">IF(AND(Y640=0,ISNUMBER(AF640),ISNUMBER(Z640)),AA640*AT640*MAX(Z640-1,0),0)</f>
        <v>0</v>
      </c>
      <c r="BI640" s="90" t="n">
        <f aca="false">IF(Y640=0,AA640,0)</f>
        <v>0</v>
      </c>
    </row>
    <row r="641" customFormat="false" ht="15" hidden="false" customHeight="false" outlineLevel="0" collapsed="false">
      <c r="A641" s="83" t="str">
        <f aca="false">IFERROR(IF(INDEX(원자료_잔고!$A$1:$EZ$1500,설정!$L$5+ROW()-1,설정!$L$8)&amp;""="0","",INDEX(원자료_잔고!$A$1:$EZ$1500,설정!$L$5+ROW()-1,설정!$L$8)&amp;""),"")</f>
        <v/>
      </c>
      <c r="B641" s="83" t="str">
        <f aca="false">IFERROR(IF(INDEX(원자료_잔고!$A$1:$EZ$1500,설정!$L$5+ROW()-1,설정!$L$7)&amp;""="0","",INDEX(원자료_잔고!$A$1:$EZ$1500,설정!$L$5+ROW()-1,설정!$L$7)&amp;""),"")</f>
        <v/>
      </c>
      <c r="C641" s="83" t="str">
        <f aca="false">IFERROR(IF(INDEX(원자료_잔고!$A$1:$EZ$1500,설정!$L$5+ROW()-1,설정!$L$9)&amp;""="0","",INDEX(원자료_잔고!$A$1:$EZ$1500,설정!$L$5+ROW()-1,설정!$L$9)&amp;""),"")</f>
        <v/>
      </c>
      <c r="D641" s="83" t="str">
        <f aca="false">IFERROR(IF(INDEX(원자료_잔고!$A$1:$EZ$1500,설정!$L$5+ROW()-1,설정!$L$10)&amp;""="0","",INDEX(원자료_잔고!$A$1:$EZ$1500,설정!$L$5+ROW()-1,설정!$L$10)&amp;""),"")</f>
        <v/>
      </c>
      <c r="E641" s="84" t="str">
        <f aca="false">IFERROR(IF(ISNUMBER(INDEX(원자료_잔고!$A$1:$EZ$1500,설정!$L$5+ROW()-1,설정!$L$11)),INDEX(원자료_잔고!$A$1:$EZ$1500,설정!$L$5+ROW()-1,설정!$L$11),""),"")</f>
        <v/>
      </c>
      <c r="F641" s="85" t="str">
        <f aca="false">IFERROR(IF(ISNUMBER(INDEX(원자료_잔고!$A$1:$EZ$1500,설정!$L$5+ROW()-1,설정!$L$12)),INDEX(원자료_잔고!$A$1:$EZ$1500,설정!$L$5+ROW()-1,설정!$L$12),""),"")</f>
        <v/>
      </c>
      <c r="G641" s="85" t="str">
        <f aca="false">IFERROR(IF(ISNUMBER(INDEX(원자료_잔고!$A$1:$EZ$1500,설정!$L$5+ROW()-1,설정!$L$13)),INDEX(원자료_잔고!$A$1:$EZ$1500,설정!$L$5+ROW()-1,설정!$L$13),""),"")</f>
        <v/>
      </c>
      <c r="H641" s="85" t="str">
        <f aca="false">IFERROR(IF(ISNUMBER(INDEX(원자료_잔고!$A$1:$EZ$1500,설정!$L$5+ROW()-1,설정!$L$14)),INDEX(원자료_잔고!$A$1:$EZ$1500,설정!$L$5+ROW()-1,설정!$L$14),""),"")</f>
        <v/>
      </c>
      <c r="I641" s="86" t="str">
        <f aca="false">IFERROR(IF(ISNUMBER(INDEX(원자료_잔고!$A$1:$EZ$1500,설정!$L$5+ROW()-1,설정!$L$15)),INDEX(원자료_잔고!$A$1:$EZ$1500,설정!$L$5+ROW()-1,설정!$L$15),""),"")</f>
        <v/>
      </c>
      <c r="J641" s="85" t="str">
        <f aca="false">IFERROR(IF(ISNUMBER(INDEX(원자료_잔고!$A$1:$EZ$1500,설정!$L$5+ROW()-1,설정!$L$16)),INDEX(원자료_잔고!$A$1:$EZ$1500,설정!$L$5+ROW()-1,설정!$L$16),""),"")</f>
        <v/>
      </c>
      <c r="K641" s="87" t="str">
        <f aca="false">IFERROR(IF(ISNUMBER(INDEX(원자료_잔고!$A$1:$EZ$1500,설정!$L$5+ROW()-1,설정!$L$17)),INDEX(원자료_잔고!$A$1:$EZ$1500,설정!$L$5+ROW()-1,설정!$L$17),""),"")</f>
        <v/>
      </c>
      <c r="L641" s="84" t="str">
        <f aca="false">IFERROR(IF(ISNUMBER(INDEX(원자료_잔고!$A$1:$EZ$1500,설정!$L$5+ROW()-1,설정!$L$18)),INDEX(원자료_잔고!$A$1:$EZ$1500,설정!$L$5+ROW()-1,설정!$L$18),""),"")</f>
        <v/>
      </c>
      <c r="M641" s="88" t="str">
        <f aca="false">IFERROR(IF(ISNUMBER(INDEX(원자료_잔고!$A$1:$EZ$1500,설정!$L$5+ROW()-1,설정!$L$19)),INDEX(원자료_잔고!$A$1:$EZ$1500,설정!$L$5+ROW()-1,설정!$L$19),""),"")</f>
        <v/>
      </c>
      <c r="N641" s="83" t="str">
        <f aca="false">IFERROR(IF(INDEX(원자료_잔고!$A$1:$EZ$1500,설정!$L$5+ROW()-1,설정!$L$21)&amp;""="0","",INDEX(원자료_잔고!$A$1:$EZ$1500,설정!$L$5+ROW()-1,설정!$L$21)&amp;""),"")</f>
        <v/>
      </c>
      <c r="O641" s="83" t="str">
        <f aca="false">IFERROR(IF(INDEX(원자료_잔고!$A$1:$EZ$1500,설정!$L$5+ROW()-1,설정!$L$22)&amp;""="0","",INDEX(원자료_잔고!$A$1:$EZ$1500,설정!$L$5+ROW()-1,설정!$L$22)&amp;""),"")</f>
        <v/>
      </c>
      <c r="P641" s="83" t="str">
        <f aca="false">IFERROR(IF(INDEX(원자료_잔고!$A$1:$EZ$1500,설정!$L$5+ROW()-1,설정!$L$23)&amp;""="0","",INDEX(원자료_잔고!$A$1:$EZ$1500,설정!$L$5+ROW()-1,설정!$L$23)&amp;""),"")</f>
        <v/>
      </c>
      <c r="Q641" s="89" t="n">
        <f aca="false">IF(AND($A641&lt;&gt;"",ISNUMBER(E641)),IF(E641&gt;0,1,0),0)</f>
        <v>0</v>
      </c>
      <c r="R641" s="43" t="str">
        <f aca="false">IF(Q641=1,UPPER(LEFT($A641,FIND(" ",$A641&amp;" ")-1)),"")</f>
        <v/>
      </c>
      <c r="S641" s="89" t="n">
        <f aca="false">IF(Q641=1,IF(OR(ISNUMBER(SEARCH("Float",$A641)),ISNUMBER(SEARCH("FRN",$A641))),1,0),0)</f>
        <v>0</v>
      </c>
      <c r="T641" s="43" t="str">
        <f aca="false">IF(AND(Q641=1,ISNUMBER(I641)),TEXT(I641,"yyyymmdd")&amp;"|"&amp;IF(S641=1,"F",TEXT(J641,"0.000")),"")</f>
        <v/>
      </c>
      <c r="U641" s="90" t="str">
        <f aca="false">IF(AND(Q641=1,ISNUMBER(I641)),(I641-설정!$C$4)/365.25,"")</f>
        <v/>
      </c>
      <c r="V641" s="43" t="str">
        <f aca="false">IF(Q641&lt;&gt;1,"",IF(ISNUMBER(U641),IF(U641&lt;=1,"1년 이하",IF(U641&lt;=2,"1-2년",IF(U641&lt;=3,"2-3년",IF(U641&lt;=4,"3-4년",IF(U641&lt;=5,"4-5년",IF(U641&lt;=7,"5-7년",IF(U641&lt;=10,"7-10년",IF(U641&lt;=20,"10-20년","20년 이상")))))))),"미분류"))</f>
        <v/>
      </c>
      <c r="W641" s="43" t="str">
        <f aca="false">IF(Q641&lt;&gt;1,"",IF(AB641&lt;&gt;"",INDEX(시장분석!$C:$C,AB641),IF(K641=1,"USD","비USD")))</f>
        <v/>
      </c>
      <c r="X641" s="91" t="n">
        <f aca="false">IF(Q641=1,E641*K641/1000000,0)</f>
        <v>0</v>
      </c>
      <c r="Y641" s="89" t="n">
        <f aca="false">IF(R641="T",1,0)</f>
        <v>0</v>
      </c>
      <c r="Z641" s="92" t="str">
        <f aca="false">IF(Q641&lt;&gt;1,"",IF(AD641=1,IF(ISNUMBER(U641),MAX(U641,0),H641),H641))</f>
        <v/>
      </c>
      <c r="AA641" s="91" t="n">
        <f aca="false">IF(Q641=1,IF(ISNUMBER(L641),L641,0)*K641/1000000,0)</f>
        <v>0</v>
      </c>
      <c r="AB641" s="89" t="str">
        <f aca="false">IF(Q641&lt;&gt;1,"",IFERROR(MATCH(VLOOKUP(B641,매핑!$H$4:$I$15,2,0),시장분석!$A$2:$A$601,0)+1,IFERROR(MATCH(R641&amp;"|"&amp;T641,시장분석!$V$2:$V$601,0)+1,IF(COUNTIF(시장분석!$U$2:$U$601,T641)=1,MATCH(T641,시장분석!$U$2:$U$601,0)+1,""))))</f>
        <v/>
      </c>
      <c r="AC641" s="89" t="n">
        <f aca="false">IF(Q641&lt;&gt;1,0,IF(OR(설정!$C$5="전체",AND(설정!$C$5="선택펀드",IFERROR(COUNTIFS(설정!$F$16:$F$36,C641,설정!$G$16:$G$36,"Y")+COUNTIFS(설정!$F$16:$F$36,VALUE(C641),설정!$G$16:$G$36,"Y"),0)&gt;0),C641&amp;""=설정!$C$5&amp;""),1,0))</f>
        <v>0</v>
      </c>
      <c r="AD641" s="89" t="n">
        <f aca="false">IF(Q641&lt;&gt;1,0,IF(OR(S641=1,IF(AB641="",FALSE(),INDEX(시장분석!$R:$R,AB641)=1)),1,0))</f>
        <v>0</v>
      </c>
      <c r="AE641" s="43" t="str">
        <f aca="false">IF(AB641="","",INDEX(시장분석!$A:$A,AB641))</f>
        <v/>
      </c>
      <c r="AF641" s="93" t="str">
        <f aca="false">IF(AB641="","",IF(ISNUMBER(IF(AB641="","",INDEX(시장분석!$E:$E,AB641))),IF(AB641="","",INDEX(시장분석!$E:$E,AB641)),""))</f>
        <v/>
      </c>
      <c r="AG641" s="43" t="str">
        <f aca="false">IF(Q641&lt;&gt;1,"",IF(AB641&lt;&gt;"",IF(AB641="","",INDEX(시장분석!$L:$L,AB641)),IFERROR(IF(VLOOKUP(R641,매핑!$A$4:$E$92,5,0)="","미분류",VLOOKUP(R641,매핑!$A$4:$E$92,5,0)),"미분류")))</f>
        <v/>
      </c>
      <c r="AH641" s="43" t="str">
        <f aca="false">IF(Q641&lt;&gt;1,"",IF(AB641&lt;&gt;"",IF(AB641="","",INDEX(시장분석!$N:$N,AB641)),IFERROR(IF(VLOOKUP(R641,매핑!$A$4:$E$92,4,0)="","미분류",VLOOKUP(R641,매핑!$A$4:$E$92,4,0)),"미분류")))</f>
        <v/>
      </c>
      <c r="AI641" s="43" t="str">
        <f aca="false">IF(Q641&lt;&gt;1,"",IFERROR(IF(VLOOKUP(R641,매핑!$A$4:$E$92,3,0)="","미분류",VLOOKUP(R641,매핑!$A$4:$E$92,3,0)),IF(AB641&lt;&gt;"",IF(AB641="","",INDEX(시장분석!$W:$W,AB641)),"미분류")))</f>
        <v/>
      </c>
      <c r="AJ641" s="43" t="str">
        <f aca="false">IF(Q641&lt;&gt;1,"",IFERROR(VLOOKUP(IF(N641&lt;&gt;"",N641,IF(P641&lt;&gt;"",P641,O641)),설정!$A$15:$D$47,2,0),""))</f>
        <v/>
      </c>
      <c r="AK641" s="43" t="str">
        <f aca="false">IF(Q641&lt;&gt;1,"",IF(AJ641="","무등급",IFERROR(VLOOKUP(AJ641,설정!$A$15:$D$47,3,0),"무등급")))</f>
        <v/>
      </c>
      <c r="AL641" s="89" t="n">
        <f aca="false">IF(AJ641="",99,IFERROR(VLOOKUP(AJ641,설정!$A$15:$D$47,4,0),99))</f>
        <v>99</v>
      </c>
      <c r="AM641" s="94" t="n">
        <f aca="false">IF(ISNUMBER(H641),AA641*1000000*H641/10000,0)</f>
        <v>0</v>
      </c>
      <c r="AN641" s="94" t="n">
        <f aca="false">IF(OR(Y641=1,NOT(ISNUMBER(Z641))),0,AA641*1000000*Z641/10000)</f>
        <v>0</v>
      </c>
      <c r="AO641" s="94" t="n">
        <f aca="false">IF(ISNUMBER(G641),AA641*1000000*G641/100,0)</f>
        <v>0</v>
      </c>
      <c r="AP641" s="94" t="n">
        <f aca="false">IF(ISNUMBER(M641),M641*K641,0)</f>
        <v>0</v>
      </c>
      <c r="AQ641" s="95" t="str">
        <f aca="false">IF(AB641="","",INDEX(시장분석!$AK:$AK,AB641))</f>
        <v/>
      </c>
      <c r="AR641" s="43" t="str">
        <f aca="false">IF(AB641="","-",IF(AB641="","",INDEX(시장분석!$AL:$AL,AB641)))</f>
        <v>-</v>
      </c>
      <c r="AS641" s="96" t="str">
        <f aca="false">IF(AB641="","",INDEX(시장분석!$AJ:$AJ,AB641))</f>
        <v/>
      </c>
      <c r="AT641" s="93" t="n">
        <f aca="false">IF(AB641="",0,IF(AB641="","",INDEX(시장분석!$AN:$AN,AB641)))</f>
        <v>0</v>
      </c>
      <c r="AU641" s="94" t="n">
        <f aca="false">IF(ISNUMBER(Z641),AT641/10000*MAX(Z641-1,0)*AA641*1000000,0)</f>
        <v>0</v>
      </c>
      <c r="AV641" s="94" t="n">
        <f aca="false">AO641+AU641</f>
        <v>0</v>
      </c>
      <c r="AW641" s="43" t="str">
        <f aca="false">IF(Q641&lt;&gt;1,"",TRIM(IF(AD641=1,"FRN ","")&amp;IF(AND(AL641&gt;=10,AL641&lt;99),"BBB0미만 ","")&amp;IF(AJ641="","등급없음 ","")&amp;IF(K641&lt;&gt;1,"비USD ","")&amp;IF(AND(AB641="",Y641=0),"시장데이터없음 ","")&amp;IF(AND(ISNUMBER(U641),U641&lt;0),"만기경과 ","")))</f>
        <v/>
      </c>
      <c r="AX641" s="90" t="n">
        <f aca="false">IF(Q641&lt;&gt;1,1,IF(스프레드쇼크!$C$4="Y",INDEX(스프레드쇼크!$B$12:$L$16,IFERROR(MATCH(AH641,스프레드쇼크!$A$12:$A$16,0),MATCH("목록외",스프레드쇼크!$A$12:$A$16,0)),IFERROR(MATCH(AG641,스프레드쇼크!$B$11:$L$11,0),MATCH("목록외",스프레드쇼크!$B$11:$L$11,0))),1))</f>
        <v>1</v>
      </c>
      <c r="AY641" s="90" t="n">
        <f aca="false">IF(스프레드쇼크!$C$5="Y",IF(ISNUMBER(AF641),MIN(스프레드쇼크!$C$7,MAX(스프레드쇼크!$C$6,AF641/스프레드쇼크!$C$8)),1),1)</f>
        <v>1</v>
      </c>
      <c r="AZ641" s="94" t="n">
        <f aca="false">AN641*AX641*AY641</f>
        <v>0</v>
      </c>
      <c r="BA641" s="90" t="n">
        <f aca="false">IF(ISNUMBER(G641),AA641*G641,0)</f>
        <v>0</v>
      </c>
      <c r="BB641" s="90" t="n">
        <f aca="false">IF(ISNUMBER(G641),AA641,0)</f>
        <v>0</v>
      </c>
      <c r="BC641" s="90" t="n">
        <f aca="false">IF(AND(Y641=0,ISNUMBER(AF641)),AA641*AF641,0)</f>
        <v>0</v>
      </c>
      <c r="BD641" s="90" t="n">
        <f aca="false">IF(AND(Y641=0,ISNUMBER(AF641)),AA641,0)</f>
        <v>0</v>
      </c>
      <c r="BE641" s="90" t="n">
        <f aca="false">IF(ISNUMBER(H641),AA641*H641,0)</f>
        <v>0</v>
      </c>
      <c r="BF641" s="90" t="n">
        <f aca="false">IF(ISNUMBER(H641),AA641,0)</f>
        <v>0</v>
      </c>
      <c r="BG641" s="90" t="n">
        <f aca="false">IF(AND(Y641=0,ISNUMBER(AF641),ISNUMBER(Z641)),AA641*Z641,0)</f>
        <v>0</v>
      </c>
      <c r="BH641" s="90" t="n">
        <f aca="false">IF(AND(Y641=0,ISNUMBER(AF641),ISNUMBER(Z641)),AA641*AT641*MAX(Z641-1,0),0)</f>
        <v>0</v>
      </c>
      <c r="BI641" s="90" t="n">
        <f aca="false">IF(Y641=0,AA641,0)</f>
        <v>0</v>
      </c>
    </row>
    <row r="642" customFormat="false" ht="15" hidden="false" customHeight="false" outlineLevel="0" collapsed="false">
      <c r="A642" s="83" t="str">
        <f aca="false">IFERROR(IF(INDEX(원자료_잔고!$A$1:$EZ$1500,설정!$L$5+ROW()-1,설정!$L$8)&amp;""="0","",INDEX(원자료_잔고!$A$1:$EZ$1500,설정!$L$5+ROW()-1,설정!$L$8)&amp;""),"")</f>
        <v/>
      </c>
      <c r="B642" s="83" t="str">
        <f aca="false">IFERROR(IF(INDEX(원자료_잔고!$A$1:$EZ$1500,설정!$L$5+ROW()-1,설정!$L$7)&amp;""="0","",INDEX(원자료_잔고!$A$1:$EZ$1500,설정!$L$5+ROW()-1,설정!$L$7)&amp;""),"")</f>
        <v/>
      </c>
      <c r="C642" s="83" t="str">
        <f aca="false">IFERROR(IF(INDEX(원자료_잔고!$A$1:$EZ$1500,설정!$L$5+ROW()-1,설정!$L$9)&amp;""="0","",INDEX(원자료_잔고!$A$1:$EZ$1500,설정!$L$5+ROW()-1,설정!$L$9)&amp;""),"")</f>
        <v/>
      </c>
      <c r="D642" s="83" t="str">
        <f aca="false">IFERROR(IF(INDEX(원자료_잔고!$A$1:$EZ$1500,설정!$L$5+ROW()-1,설정!$L$10)&amp;""="0","",INDEX(원자료_잔고!$A$1:$EZ$1500,설정!$L$5+ROW()-1,설정!$L$10)&amp;""),"")</f>
        <v/>
      </c>
      <c r="E642" s="84" t="str">
        <f aca="false">IFERROR(IF(ISNUMBER(INDEX(원자료_잔고!$A$1:$EZ$1500,설정!$L$5+ROW()-1,설정!$L$11)),INDEX(원자료_잔고!$A$1:$EZ$1500,설정!$L$5+ROW()-1,설정!$L$11),""),"")</f>
        <v/>
      </c>
      <c r="F642" s="85" t="str">
        <f aca="false">IFERROR(IF(ISNUMBER(INDEX(원자료_잔고!$A$1:$EZ$1500,설정!$L$5+ROW()-1,설정!$L$12)),INDEX(원자료_잔고!$A$1:$EZ$1500,설정!$L$5+ROW()-1,설정!$L$12),""),"")</f>
        <v/>
      </c>
      <c r="G642" s="85" t="str">
        <f aca="false">IFERROR(IF(ISNUMBER(INDEX(원자료_잔고!$A$1:$EZ$1500,설정!$L$5+ROW()-1,설정!$L$13)),INDEX(원자료_잔고!$A$1:$EZ$1500,설정!$L$5+ROW()-1,설정!$L$13),""),"")</f>
        <v/>
      </c>
      <c r="H642" s="85" t="str">
        <f aca="false">IFERROR(IF(ISNUMBER(INDEX(원자료_잔고!$A$1:$EZ$1500,설정!$L$5+ROW()-1,설정!$L$14)),INDEX(원자료_잔고!$A$1:$EZ$1500,설정!$L$5+ROW()-1,설정!$L$14),""),"")</f>
        <v/>
      </c>
      <c r="I642" s="86" t="str">
        <f aca="false">IFERROR(IF(ISNUMBER(INDEX(원자료_잔고!$A$1:$EZ$1500,설정!$L$5+ROW()-1,설정!$L$15)),INDEX(원자료_잔고!$A$1:$EZ$1500,설정!$L$5+ROW()-1,설정!$L$15),""),"")</f>
        <v/>
      </c>
      <c r="J642" s="85" t="str">
        <f aca="false">IFERROR(IF(ISNUMBER(INDEX(원자료_잔고!$A$1:$EZ$1500,설정!$L$5+ROW()-1,설정!$L$16)),INDEX(원자료_잔고!$A$1:$EZ$1500,설정!$L$5+ROW()-1,설정!$L$16),""),"")</f>
        <v/>
      </c>
      <c r="K642" s="87" t="str">
        <f aca="false">IFERROR(IF(ISNUMBER(INDEX(원자료_잔고!$A$1:$EZ$1500,설정!$L$5+ROW()-1,설정!$L$17)),INDEX(원자료_잔고!$A$1:$EZ$1500,설정!$L$5+ROW()-1,설정!$L$17),""),"")</f>
        <v/>
      </c>
      <c r="L642" s="84" t="str">
        <f aca="false">IFERROR(IF(ISNUMBER(INDEX(원자료_잔고!$A$1:$EZ$1500,설정!$L$5+ROW()-1,설정!$L$18)),INDEX(원자료_잔고!$A$1:$EZ$1500,설정!$L$5+ROW()-1,설정!$L$18),""),"")</f>
        <v/>
      </c>
      <c r="M642" s="88" t="str">
        <f aca="false">IFERROR(IF(ISNUMBER(INDEX(원자료_잔고!$A$1:$EZ$1500,설정!$L$5+ROW()-1,설정!$L$19)),INDEX(원자료_잔고!$A$1:$EZ$1500,설정!$L$5+ROW()-1,설정!$L$19),""),"")</f>
        <v/>
      </c>
      <c r="N642" s="83" t="str">
        <f aca="false">IFERROR(IF(INDEX(원자료_잔고!$A$1:$EZ$1500,설정!$L$5+ROW()-1,설정!$L$21)&amp;""="0","",INDEX(원자료_잔고!$A$1:$EZ$1500,설정!$L$5+ROW()-1,설정!$L$21)&amp;""),"")</f>
        <v/>
      </c>
      <c r="O642" s="83" t="str">
        <f aca="false">IFERROR(IF(INDEX(원자료_잔고!$A$1:$EZ$1500,설정!$L$5+ROW()-1,설정!$L$22)&amp;""="0","",INDEX(원자료_잔고!$A$1:$EZ$1500,설정!$L$5+ROW()-1,설정!$L$22)&amp;""),"")</f>
        <v/>
      </c>
      <c r="P642" s="83" t="str">
        <f aca="false">IFERROR(IF(INDEX(원자료_잔고!$A$1:$EZ$1500,설정!$L$5+ROW()-1,설정!$L$23)&amp;""="0","",INDEX(원자료_잔고!$A$1:$EZ$1500,설정!$L$5+ROW()-1,설정!$L$23)&amp;""),"")</f>
        <v/>
      </c>
      <c r="Q642" s="89" t="n">
        <f aca="false">IF(AND($A642&lt;&gt;"",ISNUMBER(E642)),IF(E642&gt;0,1,0),0)</f>
        <v>0</v>
      </c>
      <c r="R642" s="43" t="str">
        <f aca="false">IF(Q642=1,UPPER(LEFT($A642,FIND(" ",$A642&amp;" ")-1)),"")</f>
        <v/>
      </c>
      <c r="S642" s="89" t="n">
        <f aca="false">IF(Q642=1,IF(OR(ISNUMBER(SEARCH("Float",$A642)),ISNUMBER(SEARCH("FRN",$A642))),1,0),0)</f>
        <v>0</v>
      </c>
      <c r="T642" s="43" t="str">
        <f aca="false">IF(AND(Q642=1,ISNUMBER(I642)),TEXT(I642,"yyyymmdd")&amp;"|"&amp;IF(S642=1,"F",TEXT(J642,"0.000")),"")</f>
        <v/>
      </c>
      <c r="U642" s="90" t="str">
        <f aca="false">IF(AND(Q642=1,ISNUMBER(I642)),(I642-설정!$C$4)/365.25,"")</f>
        <v/>
      </c>
      <c r="V642" s="43" t="str">
        <f aca="false">IF(Q642&lt;&gt;1,"",IF(ISNUMBER(U642),IF(U642&lt;=1,"1년 이하",IF(U642&lt;=2,"1-2년",IF(U642&lt;=3,"2-3년",IF(U642&lt;=4,"3-4년",IF(U642&lt;=5,"4-5년",IF(U642&lt;=7,"5-7년",IF(U642&lt;=10,"7-10년",IF(U642&lt;=20,"10-20년","20년 이상")))))))),"미분류"))</f>
        <v/>
      </c>
      <c r="W642" s="43" t="str">
        <f aca="false">IF(Q642&lt;&gt;1,"",IF(AB642&lt;&gt;"",INDEX(시장분석!$C:$C,AB642),IF(K642=1,"USD","비USD")))</f>
        <v/>
      </c>
      <c r="X642" s="91" t="n">
        <f aca="false">IF(Q642=1,E642*K642/1000000,0)</f>
        <v>0</v>
      </c>
      <c r="Y642" s="89" t="n">
        <f aca="false">IF(R642="T",1,0)</f>
        <v>0</v>
      </c>
      <c r="Z642" s="92" t="str">
        <f aca="false">IF(Q642&lt;&gt;1,"",IF(AD642=1,IF(ISNUMBER(U642),MAX(U642,0),H642),H642))</f>
        <v/>
      </c>
      <c r="AA642" s="91" t="n">
        <f aca="false">IF(Q642=1,IF(ISNUMBER(L642),L642,0)*K642/1000000,0)</f>
        <v>0</v>
      </c>
      <c r="AB642" s="89" t="str">
        <f aca="false">IF(Q642&lt;&gt;1,"",IFERROR(MATCH(VLOOKUP(B642,매핑!$H$4:$I$15,2,0),시장분석!$A$2:$A$601,0)+1,IFERROR(MATCH(R642&amp;"|"&amp;T642,시장분석!$V$2:$V$601,0)+1,IF(COUNTIF(시장분석!$U$2:$U$601,T642)=1,MATCH(T642,시장분석!$U$2:$U$601,0)+1,""))))</f>
        <v/>
      </c>
      <c r="AC642" s="89" t="n">
        <f aca="false">IF(Q642&lt;&gt;1,0,IF(OR(설정!$C$5="전체",AND(설정!$C$5="선택펀드",IFERROR(COUNTIFS(설정!$F$16:$F$36,C642,설정!$G$16:$G$36,"Y")+COUNTIFS(설정!$F$16:$F$36,VALUE(C642),설정!$G$16:$G$36,"Y"),0)&gt;0),C642&amp;""=설정!$C$5&amp;""),1,0))</f>
        <v>0</v>
      </c>
      <c r="AD642" s="89" t="n">
        <f aca="false">IF(Q642&lt;&gt;1,0,IF(OR(S642=1,IF(AB642="",FALSE(),INDEX(시장분석!$R:$R,AB642)=1)),1,0))</f>
        <v>0</v>
      </c>
      <c r="AE642" s="43" t="str">
        <f aca="false">IF(AB642="","",INDEX(시장분석!$A:$A,AB642))</f>
        <v/>
      </c>
      <c r="AF642" s="93" t="str">
        <f aca="false">IF(AB642="","",IF(ISNUMBER(IF(AB642="","",INDEX(시장분석!$E:$E,AB642))),IF(AB642="","",INDEX(시장분석!$E:$E,AB642)),""))</f>
        <v/>
      </c>
      <c r="AG642" s="43" t="str">
        <f aca="false">IF(Q642&lt;&gt;1,"",IF(AB642&lt;&gt;"",IF(AB642="","",INDEX(시장분석!$L:$L,AB642)),IFERROR(IF(VLOOKUP(R642,매핑!$A$4:$E$92,5,0)="","미분류",VLOOKUP(R642,매핑!$A$4:$E$92,5,0)),"미분류")))</f>
        <v/>
      </c>
      <c r="AH642" s="43" t="str">
        <f aca="false">IF(Q642&lt;&gt;1,"",IF(AB642&lt;&gt;"",IF(AB642="","",INDEX(시장분석!$N:$N,AB642)),IFERROR(IF(VLOOKUP(R642,매핑!$A$4:$E$92,4,0)="","미분류",VLOOKUP(R642,매핑!$A$4:$E$92,4,0)),"미분류")))</f>
        <v/>
      </c>
      <c r="AI642" s="43" t="str">
        <f aca="false">IF(Q642&lt;&gt;1,"",IFERROR(IF(VLOOKUP(R642,매핑!$A$4:$E$92,3,0)="","미분류",VLOOKUP(R642,매핑!$A$4:$E$92,3,0)),IF(AB642&lt;&gt;"",IF(AB642="","",INDEX(시장분석!$W:$W,AB642)),"미분류")))</f>
        <v/>
      </c>
      <c r="AJ642" s="43" t="str">
        <f aca="false">IF(Q642&lt;&gt;1,"",IFERROR(VLOOKUP(IF(N642&lt;&gt;"",N642,IF(P642&lt;&gt;"",P642,O642)),설정!$A$15:$D$47,2,0),""))</f>
        <v/>
      </c>
      <c r="AK642" s="43" t="str">
        <f aca="false">IF(Q642&lt;&gt;1,"",IF(AJ642="","무등급",IFERROR(VLOOKUP(AJ642,설정!$A$15:$D$47,3,0),"무등급")))</f>
        <v/>
      </c>
      <c r="AL642" s="89" t="n">
        <f aca="false">IF(AJ642="",99,IFERROR(VLOOKUP(AJ642,설정!$A$15:$D$47,4,0),99))</f>
        <v>99</v>
      </c>
      <c r="AM642" s="94" t="n">
        <f aca="false">IF(ISNUMBER(H642),AA642*1000000*H642/10000,0)</f>
        <v>0</v>
      </c>
      <c r="AN642" s="94" t="n">
        <f aca="false">IF(OR(Y642=1,NOT(ISNUMBER(Z642))),0,AA642*1000000*Z642/10000)</f>
        <v>0</v>
      </c>
      <c r="AO642" s="94" t="n">
        <f aca="false">IF(ISNUMBER(G642),AA642*1000000*G642/100,0)</f>
        <v>0</v>
      </c>
      <c r="AP642" s="94" t="n">
        <f aca="false">IF(ISNUMBER(M642),M642*K642,0)</f>
        <v>0</v>
      </c>
      <c r="AQ642" s="95" t="str">
        <f aca="false">IF(AB642="","",INDEX(시장분석!$AK:$AK,AB642))</f>
        <v/>
      </c>
      <c r="AR642" s="43" t="str">
        <f aca="false">IF(AB642="","-",IF(AB642="","",INDEX(시장분석!$AL:$AL,AB642)))</f>
        <v>-</v>
      </c>
      <c r="AS642" s="96" t="str">
        <f aca="false">IF(AB642="","",INDEX(시장분석!$AJ:$AJ,AB642))</f>
        <v/>
      </c>
      <c r="AT642" s="93" t="n">
        <f aca="false">IF(AB642="",0,IF(AB642="","",INDEX(시장분석!$AN:$AN,AB642)))</f>
        <v>0</v>
      </c>
      <c r="AU642" s="94" t="n">
        <f aca="false">IF(ISNUMBER(Z642),AT642/10000*MAX(Z642-1,0)*AA642*1000000,0)</f>
        <v>0</v>
      </c>
      <c r="AV642" s="94" t="n">
        <f aca="false">AO642+AU642</f>
        <v>0</v>
      </c>
      <c r="AW642" s="43" t="str">
        <f aca="false">IF(Q642&lt;&gt;1,"",TRIM(IF(AD642=1,"FRN ","")&amp;IF(AND(AL642&gt;=10,AL642&lt;99),"BBB0미만 ","")&amp;IF(AJ642="","등급없음 ","")&amp;IF(K642&lt;&gt;1,"비USD ","")&amp;IF(AND(AB642="",Y642=0),"시장데이터없음 ","")&amp;IF(AND(ISNUMBER(U642),U642&lt;0),"만기경과 ","")))</f>
        <v/>
      </c>
      <c r="AX642" s="90" t="n">
        <f aca="false">IF(Q642&lt;&gt;1,1,IF(스프레드쇼크!$C$4="Y",INDEX(스프레드쇼크!$B$12:$L$16,IFERROR(MATCH(AH642,스프레드쇼크!$A$12:$A$16,0),MATCH("목록외",스프레드쇼크!$A$12:$A$16,0)),IFERROR(MATCH(AG642,스프레드쇼크!$B$11:$L$11,0),MATCH("목록외",스프레드쇼크!$B$11:$L$11,0))),1))</f>
        <v>1</v>
      </c>
      <c r="AY642" s="90" t="n">
        <f aca="false">IF(스프레드쇼크!$C$5="Y",IF(ISNUMBER(AF642),MIN(스프레드쇼크!$C$7,MAX(스프레드쇼크!$C$6,AF642/스프레드쇼크!$C$8)),1),1)</f>
        <v>1</v>
      </c>
      <c r="AZ642" s="94" t="n">
        <f aca="false">AN642*AX642*AY642</f>
        <v>0</v>
      </c>
      <c r="BA642" s="90" t="n">
        <f aca="false">IF(ISNUMBER(G642),AA642*G642,0)</f>
        <v>0</v>
      </c>
      <c r="BB642" s="90" t="n">
        <f aca="false">IF(ISNUMBER(G642),AA642,0)</f>
        <v>0</v>
      </c>
      <c r="BC642" s="90" t="n">
        <f aca="false">IF(AND(Y642=0,ISNUMBER(AF642)),AA642*AF642,0)</f>
        <v>0</v>
      </c>
      <c r="BD642" s="90" t="n">
        <f aca="false">IF(AND(Y642=0,ISNUMBER(AF642)),AA642,0)</f>
        <v>0</v>
      </c>
      <c r="BE642" s="90" t="n">
        <f aca="false">IF(ISNUMBER(H642),AA642*H642,0)</f>
        <v>0</v>
      </c>
      <c r="BF642" s="90" t="n">
        <f aca="false">IF(ISNUMBER(H642),AA642,0)</f>
        <v>0</v>
      </c>
      <c r="BG642" s="90" t="n">
        <f aca="false">IF(AND(Y642=0,ISNUMBER(AF642),ISNUMBER(Z642)),AA642*Z642,0)</f>
        <v>0</v>
      </c>
      <c r="BH642" s="90" t="n">
        <f aca="false">IF(AND(Y642=0,ISNUMBER(AF642),ISNUMBER(Z642)),AA642*AT642*MAX(Z642-1,0),0)</f>
        <v>0</v>
      </c>
      <c r="BI642" s="90" t="n">
        <f aca="false">IF(Y642=0,AA642,0)</f>
        <v>0</v>
      </c>
    </row>
    <row r="643" customFormat="false" ht="15" hidden="false" customHeight="false" outlineLevel="0" collapsed="false">
      <c r="A643" s="83" t="str">
        <f aca="false">IFERROR(IF(INDEX(원자료_잔고!$A$1:$EZ$1500,설정!$L$5+ROW()-1,설정!$L$8)&amp;""="0","",INDEX(원자료_잔고!$A$1:$EZ$1500,설정!$L$5+ROW()-1,설정!$L$8)&amp;""),"")</f>
        <v/>
      </c>
      <c r="B643" s="83" t="str">
        <f aca="false">IFERROR(IF(INDEX(원자료_잔고!$A$1:$EZ$1500,설정!$L$5+ROW()-1,설정!$L$7)&amp;""="0","",INDEX(원자료_잔고!$A$1:$EZ$1500,설정!$L$5+ROW()-1,설정!$L$7)&amp;""),"")</f>
        <v/>
      </c>
      <c r="C643" s="83" t="str">
        <f aca="false">IFERROR(IF(INDEX(원자료_잔고!$A$1:$EZ$1500,설정!$L$5+ROW()-1,설정!$L$9)&amp;""="0","",INDEX(원자료_잔고!$A$1:$EZ$1500,설정!$L$5+ROW()-1,설정!$L$9)&amp;""),"")</f>
        <v/>
      </c>
      <c r="D643" s="83" t="str">
        <f aca="false">IFERROR(IF(INDEX(원자료_잔고!$A$1:$EZ$1500,설정!$L$5+ROW()-1,설정!$L$10)&amp;""="0","",INDEX(원자료_잔고!$A$1:$EZ$1500,설정!$L$5+ROW()-1,설정!$L$10)&amp;""),"")</f>
        <v/>
      </c>
      <c r="E643" s="84" t="str">
        <f aca="false">IFERROR(IF(ISNUMBER(INDEX(원자료_잔고!$A$1:$EZ$1500,설정!$L$5+ROW()-1,설정!$L$11)),INDEX(원자료_잔고!$A$1:$EZ$1500,설정!$L$5+ROW()-1,설정!$L$11),""),"")</f>
        <v/>
      </c>
      <c r="F643" s="85" t="str">
        <f aca="false">IFERROR(IF(ISNUMBER(INDEX(원자료_잔고!$A$1:$EZ$1500,설정!$L$5+ROW()-1,설정!$L$12)),INDEX(원자료_잔고!$A$1:$EZ$1500,설정!$L$5+ROW()-1,설정!$L$12),""),"")</f>
        <v/>
      </c>
      <c r="G643" s="85" t="str">
        <f aca="false">IFERROR(IF(ISNUMBER(INDEX(원자료_잔고!$A$1:$EZ$1500,설정!$L$5+ROW()-1,설정!$L$13)),INDEX(원자료_잔고!$A$1:$EZ$1500,설정!$L$5+ROW()-1,설정!$L$13),""),"")</f>
        <v/>
      </c>
      <c r="H643" s="85" t="str">
        <f aca="false">IFERROR(IF(ISNUMBER(INDEX(원자료_잔고!$A$1:$EZ$1500,설정!$L$5+ROW()-1,설정!$L$14)),INDEX(원자료_잔고!$A$1:$EZ$1500,설정!$L$5+ROW()-1,설정!$L$14),""),"")</f>
        <v/>
      </c>
      <c r="I643" s="86" t="str">
        <f aca="false">IFERROR(IF(ISNUMBER(INDEX(원자료_잔고!$A$1:$EZ$1500,설정!$L$5+ROW()-1,설정!$L$15)),INDEX(원자료_잔고!$A$1:$EZ$1500,설정!$L$5+ROW()-1,설정!$L$15),""),"")</f>
        <v/>
      </c>
      <c r="J643" s="85" t="str">
        <f aca="false">IFERROR(IF(ISNUMBER(INDEX(원자료_잔고!$A$1:$EZ$1500,설정!$L$5+ROW()-1,설정!$L$16)),INDEX(원자료_잔고!$A$1:$EZ$1500,설정!$L$5+ROW()-1,설정!$L$16),""),"")</f>
        <v/>
      </c>
      <c r="K643" s="87" t="str">
        <f aca="false">IFERROR(IF(ISNUMBER(INDEX(원자료_잔고!$A$1:$EZ$1500,설정!$L$5+ROW()-1,설정!$L$17)),INDEX(원자료_잔고!$A$1:$EZ$1500,설정!$L$5+ROW()-1,설정!$L$17),""),"")</f>
        <v/>
      </c>
      <c r="L643" s="84" t="str">
        <f aca="false">IFERROR(IF(ISNUMBER(INDEX(원자료_잔고!$A$1:$EZ$1500,설정!$L$5+ROW()-1,설정!$L$18)),INDEX(원자료_잔고!$A$1:$EZ$1500,설정!$L$5+ROW()-1,설정!$L$18),""),"")</f>
        <v/>
      </c>
      <c r="M643" s="88" t="str">
        <f aca="false">IFERROR(IF(ISNUMBER(INDEX(원자료_잔고!$A$1:$EZ$1500,설정!$L$5+ROW()-1,설정!$L$19)),INDEX(원자료_잔고!$A$1:$EZ$1500,설정!$L$5+ROW()-1,설정!$L$19),""),"")</f>
        <v/>
      </c>
      <c r="N643" s="83" t="str">
        <f aca="false">IFERROR(IF(INDEX(원자료_잔고!$A$1:$EZ$1500,설정!$L$5+ROW()-1,설정!$L$21)&amp;""="0","",INDEX(원자료_잔고!$A$1:$EZ$1500,설정!$L$5+ROW()-1,설정!$L$21)&amp;""),"")</f>
        <v/>
      </c>
      <c r="O643" s="83" t="str">
        <f aca="false">IFERROR(IF(INDEX(원자료_잔고!$A$1:$EZ$1500,설정!$L$5+ROW()-1,설정!$L$22)&amp;""="0","",INDEX(원자료_잔고!$A$1:$EZ$1500,설정!$L$5+ROW()-1,설정!$L$22)&amp;""),"")</f>
        <v/>
      </c>
      <c r="P643" s="83" t="str">
        <f aca="false">IFERROR(IF(INDEX(원자료_잔고!$A$1:$EZ$1500,설정!$L$5+ROW()-1,설정!$L$23)&amp;""="0","",INDEX(원자료_잔고!$A$1:$EZ$1500,설정!$L$5+ROW()-1,설정!$L$23)&amp;""),"")</f>
        <v/>
      </c>
      <c r="Q643" s="89" t="n">
        <f aca="false">IF(AND($A643&lt;&gt;"",ISNUMBER(E643)),IF(E643&gt;0,1,0),0)</f>
        <v>0</v>
      </c>
      <c r="R643" s="43" t="str">
        <f aca="false">IF(Q643=1,UPPER(LEFT($A643,FIND(" ",$A643&amp;" ")-1)),"")</f>
        <v/>
      </c>
      <c r="S643" s="89" t="n">
        <f aca="false">IF(Q643=1,IF(OR(ISNUMBER(SEARCH("Float",$A643)),ISNUMBER(SEARCH("FRN",$A643))),1,0),0)</f>
        <v>0</v>
      </c>
      <c r="T643" s="43" t="str">
        <f aca="false">IF(AND(Q643=1,ISNUMBER(I643)),TEXT(I643,"yyyymmdd")&amp;"|"&amp;IF(S643=1,"F",TEXT(J643,"0.000")),"")</f>
        <v/>
      </c>
      <c r="U643" s="90" t="str">
        <f aca="false">IF(AND(Q643=1,ISNUMBER(I643)),(I643-설정!$C$4)/365.25,"")</f>
        <v/>
      </c>
      <c r="V643" s="43" t="str">
        <f aca="false">IF(Q643&lt;&gt;1,"",IF(ISNUMBER(U643),IF(U643&lt;=1,"1년 이하",IF(U643&lt;=2,"1-2년",IF(U643&lt;=3,"2-3년",IF(U643&lt;=4,"3-4년",IF(U643&lt;=5,"4-5년",IF(U643&lt;=7,"5-7년",IF(U643&lt;=10,"7-10년",IF(U643&lt;=20,"10-20년","20년 이상")))))))),"미분류"))</f>
        <v/>
      </c>
      <c r="W643" s="43" t="str">
        <f aca="false">IF(Q643&lt;&gt;1,"",IF(AB643&lt;&gt;"",INDEX(시장분석!$C:$C,AB643),IF(K643=1,"USD","비USD")))</f>
        <v/>
      </c>
      <c r="X643" s="91" t="n">
        <f aca="false">IF(Q643=1,E643*K643/1000000,0)</f>
        <v>0</v>
      </c>
      <c r="Y643" s="89" t="n">
        <f aca="false">IF(R643="T",1,0)</f>
        <v>0</v>
      </c>
      <c r="Z643" s="92" t="str">
        <f aca="false">IF(Q643&lt;&gt;1,"",IF(AD643=1,IF(ISNUMBER(U643),MAX(U643,0),H643),H643))</f>
        <v/>
      </c>
      <c r="AA643" s="91" t="n">
        <f aca="false">IF(Q643=1,IF(ISNUMBER(L643),L643,0)*K643/1000000,0)</f>
        <v>0</v>
      </c>
      <c r="AB643" s="89" t="str">
        <f aca="false">IF(Q643&lt;&gt;1,"",IFERROR(MATCH(VLOOKUP(B643,매핑!$H$4:$I$15,2,0),시장분석!$A$2:$A$601,0)+1,IFERROR(MATCH(R643&amp;"|"&amp;T643,시장분석!$V$2:$V$601,0)+1,IF(COUNTIF(시장분석!$U$2:$U$601,T643)=1,MATCH(T643,시장분석!$U$2:$U$601,0)+1,""))))</f>
        <v/>
      </c>
      <c r="AC643" s="89" t="n">
        <f aca="false">IF(Q643&lt;&gt;1,0,IF(OR(설정!$C$5="전체",AND(설정!$C$5="선택펀드",IFERROR(COUNTIFS(설정!$F$16:$F$36,C643,설정!$G$16:$G$36,"Y")+COUNTIFS(설정!$F$16:$F$36,VALUE(C643),설정!$G$16:$G$36,"Y"),0)&gt;0),C643&amp;""=설정!$C$5&amp;""),1,0))</f>
        <v>0</v>
      </c>
      <c r="AD643" s="89" t="n">
        <f aca="false">IF(Q643&lt;&gt;1,0,IF(OR(S643=1,IF(AB643="",FALSE(),INDEX(시장분석!$R:$R,AB643)=1)),1,0))</f>
        <v>0</v>
      </c>
      <c r="AE643" s="43" t="str">
        <f aca="false">IF(AB643="","",INDEX(시장분석!$A:$A,AB643))</f>
        <v/>
      </c>
      <c r="AF643" s="93" t="str">
        <f aca="false">IF(AB643="","",IF(ISNUMBER(IF(AB643="","",INDEX(시장분석!$E:$E,AB643))),IF(AB643="","",INDEX(시장분석!$E:$E,AB643)),""))</f>
        <v/>
      </c>
      <c r="AG643" s="43" t="str">
        <f aca="false">IF(Q643&lt;&gt;1,"",IF(AB643&lt;&gt;"",IF(AB643="","",INDEX(시장분석!$L:$L,AB643)),IFERROR(IF(VLOOKUP(R643,매핑!$A$4:$E$92,5,0)="","미분류",VLOOKUP(R643,매핑!$A$4:$E$92,5,0)),"미분류")))</f>
        <v/>
      </c>
      <c r="AH643" s="43" t="str">
        <f aca="false">IF(Q643&lt;&gt;1,"",IF(AB643&lt;&gt;"",IF(AB643="","",INDEX(시장분석!$N:$N,AB643)),IFERROR(IF(VLOOKUP(R643,매핑!$A$4:$E$92,4,0)="","미분류",VLOOKUP(R643,매핑!$A$4:$E$92,4,0)),"미분류")))</f>
        <v/>
      </c>
      <c r="AI643" s="43" t="str">
        <f aca="false">IF(Q643&lt;&gt;1,"",IFERROR(IF(VLOOKUP(R643,매핑!$A$4:$E$92,3,0)="","미분류",VLOOKUP(R643,매핑!$A$4:$E$92,3,0)),IF(AB643&lt;&gt;"",IF(AB643="","",INDEX(시장분석!$W:$W,AB643)),"미분류")))</f>
        <v/>
      </c>
      <c r="AJ643" s="43" t="str">
        <f aca="false">IF(Q643&lt;&gt;1,"",IFERROR(VLOOKUP(IF(N643&lt;&gt;"",N643,IF(P643&lt;&gt;"",P643,O643)),설정!$A$15:$D$47,2,0),""))</f>
        <v/>
      </c>
      <c r="AK643" s="43" t="str">
        <f aca="false">IF(Q643&lt;&gt;1,"",IF(AJ643="","무등급",IFERROR(VLOOKUP(AJ643,설정!$A$15:$D$47,3,0),"무등급")))</f>
        <v/>
      </c>
      <c r="AL643" s="89" t="n">
        <f aca="false">IF(AJ643="",99,IFERROR(VLOOKUP(AJ643,설정!$A$15:$D$47,4,0),99))</f>
        <v>99</v>
      </c>
      <c r="AM643" s="94" t="n">
        <f aca="false">IF(ISNUMBER(H643),AA643*1000000*H643/10000,0)</f>
        <v>0</v>
      </c>
      <c r="AN643" s="94" t="n">
        <f aca="false">IF(OR(Y643=1,NOT(ISNUMBER(Z643))),0,AA643*1000000*Z643/10000)</f>
        <v>0</v>
      </c>
      <c r="AO643" s="94" t="n">
        <f aca="false">IF(ISNUMBER(G643),AA643*1000000*G643/100,0)</f>
        <v>0</v>
      </c>
      <c r="AP643" s="94" t="n">
        <f aca="false">IF(ISNUMBER(M643),M643*K643,0)</f>
        <v>0</v>
      </c>
      <c r="AQ643" s="95" t="str">
        <f aca="false">IF(AB643="","",INDEX(시장분석!$AK:$AK,AB643))</f>
        <v/>
      </c>
      <c r="AR643" s="43" t="str">
        <f aca="false">IF(AB643="","-",IF(AB643="","",INDEX(시장분석!$AL:$AL,AB643)))</f>
        <v>-</v>
      </c>
      <c r="AS643" s="96" t="str">
        <f aca="false">IF(AB643="","",INDEX(시장분석!$AJ:$AJ,AB643))</f>
        <v/>
      </c>
      <c r="AT643" s="93" t="n">
        <f aca="false">IF(AB643="",0,IF(AB643="","",INDEX(시장분석!$AN:$AN,AB643)))</f>
        <v>0</v>
      </c>
      <c r="AU643" s="94" t="n">
        <f aca="false">IF(ISNUMBER(Z643),AT643/10000*MAX(Z643-1,0)*AA643*1000000,0)</f>
        <v>0</v>
      </c>
      <c r="AV643" s="94" t="n">
        <f aca="false">AO643+AU643</f>
        <v>0</v>
      </c>
      <c r="AW643" s="43" t="str">
        <f aca="false">IF(Q643&lt;&gt;1,"",TRIM(IF(AD643=1,"FRN ","")&amp;IF(AND(AL643&gt;=10,AL643&lt;99),"BBB0미만 ","")&amp;IF(AJ643="","등급없음 ","")&amp;IF(K643&lt;&gt;1,"비USD ","")&amp;IF(AND(AB643="",Y643=0),"시장데이터없음 ","")&amp;IF(AND(ISNUMBER(U643),U643&lt;0),"만기경과 ","")))</f>
        <v/>
      </c>
      <c r="AX643" s="90" t="n">
        <f aca="false">IF(Q643&lt;&gt;1,1,IF(스프레드쇼크!$C$4="Y",INDEX(스프레드쇼크!$B$12:$L$16,IFERROR(MATCH(AH643,스프레드쇼크!$A$12:$A$16,0),MATCH("목록외",스프레드쇼크!$A$12:$A$16,0)),IFERROR(MATCH(AG643,스프레드쇼크!$B$11:$L$11,0),MATCH("목록외",스프레드쇼크!$B$11:$L$11,0))),1))</f>
        <v>1</v>
      </c>
      <c r="AY643" s="90" t="n">
        <f aca="false">IF(스프레드쇼크!$C$5="Y",IF(ISNUMBER(AF643),MIN(스프레드쇼크!$C$7,MAX(스프레드쇼크!$C$6,AF643/스프레드쇼크!$C$8)),1),1)</f>
        <v>1</v>
      </c>
      <c r="AZ643" s="94" t="n">
        <f aca="false">AN643*AX643*AY643</f>
        <v>0</v>
      </c>
      <c r="BA643" s="90" t="n">
        <f aca="false">IF(ISNUMBER(G643),AA643*G643,0)</f>
        <v>0</v>
      </c>
      <c r="BB643" s="90" t="n">
        <f aca="false">IF(ISNUMBER(G643),AA643,0)</f>
        <v>0</v>
      </c>
      <c r="BC643" s="90" t="n">
        <f aca="false">IF(AND(Y643=0,ISNUMBER(AF643)),AA643*AF643,0)</f>
        <v>0</v>
      </c>
      <c r="BD643" s="90" t="n">
        <f aca="false">IF(AND(Y643=0,ISNUMBER(AF643)),AA643,0)</f>
        <v>0</v>
      </c>
      <c r="BE643" s="90" t="n">
        <f aca="false">IF(ISNUMBER(H643),AA643*H643,0)</f>
        <v>0</v>
      </c>
      <c r="BF643" s="90" t="n">
        <f aca="false">IF(ISNUMBER(H643),AA643,0)</f>
        <v>0</v>
      </c>
      <c r="BG643" s="90" t="n">
        <f aca="false">IF(AND(Y643=0,ISNUMBER(AF643),ISNUMBER(Z643)),AA643*Z643,0)</f>
        <v>0</v>
      </c>
      <c r="BH643" s="90" t="n">
        <f aca="false">IF(AND(Y643=0,ISNUMBER(AF643),ISNUMBER(Z643)),AA643*AT643*MAX(Z643-1,0),0)</f>
        <v>0</v>
      </c>
      <c r="BI643" s="90" t="n">
        <f aca="false">IF(Y643=0,AA643,0)</f>
        <v>0</v>
      </c>
    </row>
    <row r="644" customFormat="false" ht="15" hidden="false" customHeight="false" outlineLevel="0" collapsed="false">
      <c r="A644" s="83" t="str">
        <f aca="false">IFERROR(IF(INDEX(원자료_잔고!$A$1:$EZ$1500,설정!$L$5+ROW()-1,설정!$L$8)&amp;""="0","",INDEX(원자료_잔고!$A$1:$EZ$1500,설정!$L$5+ROW()-1,설정!$L$8)&amp;""),"")</f>
        <v/>
      </c>
      <c r="B644" s="83" t="str">
        <f aca="false">IFERROR(IF(INDEX(원자료_잔고!$A$1:$EZ$1500,설정!$L$5+ROW()-1,설정!$L$7)&amp;""="0","",INDEX(원자료_잔고!$A$1:$EZ$1500,설정!$L$5+ROW()-1,설정!$L$7)&amp;""),"")</f>
        <v/>
      </c>
      <c r="C644" s="83" t="str">
        <f aca="false">IFERROR(IF(INDEX(원자료_잔고!$A$1:$EZ$1500,설정!$L$5+ROW()-1,설정!$L$9)&amp;""="0","",INDEX(원자료_잔고!$A$1:$EZ$1500,설정!$L$5+ROW()-1,설정!$L$9)&amp;""),"")</f>
        <v/>
      </c>
      <c r="D644" s="83" t="str">
        <f aca="false">IFERROR(IF(INDEX(원자료_잔고!$A$1:$EZ$1500,설정!$L$5+ROW()-1,설정!$L$10)&amp;""="0","",INDEX(원자료_잔고!$A$1:$EZ$1500,설정!$L$5+ROW()-1,설정!$L$10)&amp;""),"")</f>
        <v/>
      </c>
      <c r="E644" s="84" t="str">
        <f aca="false">IFERROR(IF(ISNUMBER(INDEX(원자료_잔고!$A$1:$EZ$1500,설정!$L$5+ROW()-1,설정!$L$11)),INDEX(원자료_잔고!$A$1:$EZ$1500,설정!$L$5+ROW()-1,설정!$L$11),""),"")</f>
        <v/>
      </c>
      <c r="F644" s="85" t="str">
        <f aca="false">IFERROR(IF(ISNUMBER(INDEX(원자료_잔고!$A$1:$EZ$1500,설정!$L$5+ROW()-1,설정!$L$12)),INDEX(원자료_잔고!$A$1:$EZ$1500,설정!$L$5+ROW()-1,설정!$L$12),""),"")</f>
        <v/>
      </c>
      <c r="G644" s="85" t="str">
        <f aca="false">IFERROR(IF(ISNUMBER(INDEX(원자료_잔고!$A$1:$EZ$1500,설정!$L$5+ROW()-1,설정!$L$13)),INDEX(원자료_잔고!$A$1:$EZ$1500,설정!$L$5+ROW()-1,설정!$L$13),""),"")</f>
        <v/>
      </c>
      <c r="H644" s="85" t="str">
        <f aca="false">IFERROR(IF(ISNUMBER(INDEX(원자료_잔고!$A$1:$EZ$1500,설정!$L$5+ROW()-1,설정!$L$14)),INDEX(원자료_잔고!$A$1:$EZ$1500,설정!$L$5+ROW()-1,설정!$L$14),""),"")</f>
        <v/>
      </c>
      <c r="I644" s="86" t="str">
        <f aca="false">IFERROR(IF(ISNUMBER(INDEX(원자료_잔고!$A$1:$EZ$1500,설정!$L$5+ROW()-1,설정!$L$15)),INDEX(원자료_잔고!$A$1:$EZ$1500,설정!$L$5+ROW()-1,설정!$L$15),""),"")</f>
        <v/>
      </c>
      <c r="J644" s="85" t="str">
        <f aca="false">IFERROR(IF(ISNUMBER(INDEX(원자료_잔고!$A$1:$EZ$1500,설정!$L$5+ROW()-1,설정!$L$16)),INDEX(원자료_잔고!$A$1:$EZ$1500,설정!$L$5+ROW()-1,설정!$L$16),""),"")</f>
        <v/>
      </c>
      <c r="K644" s="87" t="str">
        <f aca="false">IFERROR(IF(ISNUMBER(INDEX(원자료_잔고!$A$1:$EZ$1500,설정!$L$5+ROW()-1,설정!$L$17)),INDEX(원자료_잔고!$A$1:$EZ$1500,설정!$L$5+ROW()-1,설정!$L$17),""),"")</f>
        <v/>
      </c>
      <c r="L644" s="84" t="str">
        <f aca="false">IFERROR(IF(ISNUMBER(INDEX(원자료_잔고!$A$1:$EZ$1500,설정!$L$5+ROW()-1,설정!$L$18)),INDEX(원자료_잔고!$A$1:$EZ$1500,설정!$L$5+ROW()-1,설정!$L$18),""),"")</f>
        <v/>
      </c>
      <c r="M644" s="88" t="str">
        <f aca="false">IFERROR(IF(ISNUMBER(INDEX(원자료_잔고!$A$1:$EZ$1500,설정!$L$5+ROW()-1,설정!$L$19)),INDEX(원자료_잔고!$A$1:$EZ$1500,설정!$L$5+ROW()-1,설정!$L$19),""),"")</f>
        <v/>
      </c>
      <c r="N644" s="83" t="str">
        <f aca="false">IFERROR(IF(INDEX(원자료_잔고!$A$1:$EZ$1500,설정!$L$5+ROW()-1,설정!$L$21)&amp;""="0","",INDEX(원자료_잔고!$A$1:$EZ$1500,설정!$L$5+ROW()-1,설정!$L$21)&amp;""),"")</f>
        <v/>
      </c>
      <c r="O644" s="83" t="str">
        <f aca="false">IFERROR(IF(INDEX(원자료_잔고!$A$1:$EZ$1500,설정!$L$5+ROW()-1,설정!$L$22)&amp;""="0","",INDEX(원자료_잔고!$A$1:$EZ$1500,설정!$L$5+ROW()-1,설정!$L$22)&amp;""),"")</f>
        <v/>
      </c>
      <c r="P644" s="83" t="str">
        <f aca="false">IFERROR(IF(INDEX(원자료_잔고!$A$1:$EZ$1500,설정!$L$5+ROW()-1,설정!$L$23)&amp;""="0","",INDEX(원자료_잔고!$A$1:$EZ$1500,설정!$L$5+ROW()-1,설정!$L$23)&amp;""),"")</f>
        <v/>
      </c>
      <c r="Q644" s="89" t="n">
        <f aca="false">IF(AND($A644&lt;&gt;"",ISNUMBER(E644)),IF(E644&gt;0,1,0),0)</f>
        <v>0</v>
      </c>
      <c r="R644" s="43" t="str">
        <f aca="false">IF(Q644=1,UPPER(LEFT($A644,FIND(" ",$A644&amp;" ")-1)),"")</f>
        <v/>
      </c>
      <c r="S644" s="89" t="n">
        <f aca="false">IF(Q644=1,IF(OR(ISNUMBER(SEARCH("Float",$A644)),ISNUMBER(SEARCH("FRN",$A644))),1,0),0)</f>
        <v>0</v>
      </c>
      <c r="T644" s="43" t="str">
        <f aca="false">IF(AND(Q644=1,ISNUMBER(I644)),TEXT(I644,"yyyymmdd")&amp;"|"&amp;IF(S644=1,"F",TEXT(J644,"0.000")),"")</f>
        <v/>
      </c>
      <c r="U644" s="90" t="str">
        <f aca="false">IF(AND(Q644=1,ISNUMBER(I644)),(I644-설정!$C$4)/365.25,"")</f>
        <v/>
      </c>
      <c r="V644" s="43" t="str">
        <f aca="false">IF(Q644&lt;&gt;1,"",IF(ISNUMBER(U644),IF(U644&lt;=1,"1년 이하",IF(U644&lt;=2,"1-2년",IF(U644&lt;=3,"2-3년",IF(U644&lt;=4,"3-4년",IF(U644&lt;=5,"4-5년",IF(U644&lt;=7,"5-7년",IF(U644&lt;=10,"7-10년",IF(U644&lt;=20,"10-20년","20년 이상")))))))),"미분류"))</f>
        <v/>
      </c>
      <c r="W644" s="43" t="str">
        <f aca="false">IF(Q644&lt;&gt;1,"",IF(AB644&lt;&gt;"",INDEX(시장분석!$C:$C,AB644),IF(K644=1,"USD","비USD")))</f>
        <v/>
      </c>
      <c r="X644" s="91" t="n">
        <f aca="false">IF(Q644=1,E644*K644/1000000,0)</f>
        <v>0</v>
      </c>
      <c r="Y644" s="89" t="n">
        <f aca="false">IF(R644="T",1,0)</f>
        <v>0</v>
      </c>
      <c r="Z644" s="92" t="str">
        <f aca="false">IF(Q644&lt;&gt;1,"",IF(AD644=1,IF(ISNUMBER(U644),MAX(U644,0),H644),H644))</f>
        <v/>
      </c>
      <c r="AA644" s="91" t="n">
        <f aca="false">IF(Q644=1,IF(ISNUMBER(L644),L644,0)*K644/1000000,0)</f>
        <v>0</v>
      </c>
      <c r="AB644" s="89" t="str">
        <f aca="false">IF(Q644&lt;&gt;1,"",IFERROR(MATCH(VLOOKUP(B644,매핑!$H$4:$I$15,2,0),시장분석!$A$2:$A$601,0)+1,IFERROR(MATCH(R644&amp;"|"&amp;T644,시장분석!$V$2:$V$601,0)+1,IF(COUNTIF(시장분석!$U$2:$U$601,T644)=1,MATCH(T644,시장분석!$U$2:$U$601,0)+1,""))))</f>
        <v/>
      </c>
      <c r="AC644" s="89" t="n">
        <f aca="false">IF(Q644&lt;&gt;1,0,IF(OR(설정!$C$5="전체",AND(설정!$C$5="선택펀드",IFERROR(COUNTIFS(설정!$F$16:$F$36,C644,설정!$G$16:$G$36,"Y")+COUNTIFS(설정!$F$16:$F$36,VALUE(C644),설정!$G$16:$G$36,"Y"),0)&gt;0),C644&amp;""=설정!$C$5&amp;""),1,0))</f>
        <v>0</v>
      </c>
      <c r="AD644" s="89" t="n">
        <f aca="false">IF(Q644&lt;&gt;1,0,IF(OR(S644=1,IF(AB644="",FALSE(),INDEX(시장분석!$R:$R,AB644)=1)),1,0))</f>
        <v>0</v>
      </c>
      <c r="AE644" s="43" t="str">
        <f aca="false">IF(AB644="","",INDEX(시장분석!$A:$A,AB644))</f>
        <v/>
      </c>
      <c r="AF644" s="93" t="str">
        <f aca="false">IF(AB644="","",IF(ISNUMBER(IF(AB644="","",INDEX(시장분석!$E:$E,AB644))),IF(AB644="","",INDEX(시장분석!$E:$E,AB644)),""))</f>
        <v/>
      </c>
      <c r="AG644" s="43" t="str">
        <f aca="false">IF(Q644&lt;&gt;1,"",IF(AB644&lt;&gt;"",IF(AB644="","",INDEX(시장분석!$L:$L,AB644)),IFERROR(IF(VLOOKUP(R644,매핑!$A$4:$E$92,5,0)="","미분류",VLOOKUP(R644,매핑!$A$4:$E$92,5,0)),"미분류")))</f>
        <v/>
      </c>
      <c r="AH644" s="43" t="str">
        <f aca="false">IF(Q644&lt;&gt;1,"",IF(AB644&lt;&gt;"",IF(AB644="","",INDEX(시장분석!$N:$N,AB644)),IFERROR(IF(VLOOKUP(R644,매핑!$A$4:$E$92,4,0)="","미분류",VLOOKUP(R644,매핑!$A$4:$E$92,4,0)),"미분류")))</f>
        <v/>
      </c>
      <c r="AI644" s="43" t="str">
        <f aca="false">IF(Q644&lt;&gt;1,"",IFERROR(IF(VLOOKUP(R644,매핑!$A$4:$E$92,3,0)="","미분류",VLOOKUP(R644,매핑!$A$4:$E$92,3,0)),IF(AB644&lt;&gt;"",IF(AB644="","",INDEX(시장분석!$W:$W,AB644)),"미분류")))</f>
        <v/>
      </c>
      <c r="AJ644" s="43" t="str">
        <f aca="false">IF(Q644&lt;&gt;1,"",IFERROR(VLOOKUP(IF(N644&lt;&gt;"",N644,IF(P644&lt;&gt;"",P644,O644)),설정!$A$15:$D$47,2,0),""))</f>
        <v/>
      </c>
      <c r="AK644" s="43" t="str">
        <f aca="false">IF(Q644&lt;&gt;1,"",IF(AJ644="","무등급",IFERROR(VLOOKUP(AJ644,설정!$A$15:$D$47,3,0),"무등급")))</f>
        <v/>
      </c>
      <c r="AL644" s="89" t="n">
        <f aca="false">IF(AJ644="",99,IFERROR(VLOOKUP(AJ644,설정!$A$15:$D$47,4,0),99))</f>
        <v>99</v>
      </c>
      <c r="AM644" s="94" t="n">
        <f aca="false">IF(ISNUMBER(H644),AA644*1000000*H644/10000,0)</f>
        <v>0</v>
      </c>
      <c r="AN644" s="94" t="n">
        <f aca="false">IF(OR(Y644=1,NOT(ISNUMBER(Z644))),0,AA644*1000000*Z644/10000)</f>
        <v>0</v>
      </c>
      <c r="AO644" s="94" t="n">
        <f aca="false">IF(ISNUMBER(G644),AA644*1000000*G644/100,0)</f>
        <v>0</v>
      </c>
      <c r="AP644" s="94" t="n">
        <f aca="false">IF(ISNUMBER(M644),M644*K644,0)</f>
        <v>0</v>
      </c>
      <c r="AQ644" s="95" t="str">
        <f aca="false">IF(AB644="","",INDEX(시장분석!$AK:$AK,AB644))</f>
        <v/>
      </c>
      <c r="AR644" s="43" t="str">
        <f aca="false">IF(AB644="","-",IF(AB644="","",INDEX(시장분석!$AL:$AL,AB644)))</f>
        <v>-</v>
      </c>
      <c r="AS644" s="96" t="str">
        <f aca="false">IF(AB644="","",INDEX(시장분석!$AJ:$AJ,AB644))</f>
        <v/>
      </c>
      <c r="AT644" s="93" t="n">
        <f aca="false">IF(AB644="",0,IF(AB644="","",INDEX(시장분석!$AN:$AN,AB644)))</f>
        <v>0</v>
      </c>
      <c r="AU644" s="94" t="n">
        <f aca="false">IF(ISNUMBER(Z644),AT644/10000*MAX(Z644-1,0)*AA644*1000000,0)</f>
        <v>0</v>
      </c>
      <c r="AV644" s="94" t="n">
        <f aca="false">AO644+AU644</f>
        <v>0</v>
      </c>
      <c r="AW644" s="43" t="str">
        <f aca="false">IF(Q644&lt;&gt;1,"",TRIM(IF(AD644=1,"FRN ","")&amp;IF(AND(AL644&gt;=10,AL644&lt;99),"BBB0미만 ","")&amp;IF(AJ644="","등급없음 ","")&amp;IF(K644&lt;&gt;1,"비USD ","")&amp;IF(AND(AB644="",Y644=0),"시장데이터없음 ","")&amp;IF(AND(ISNUMBER(U644),U644&lt;0),"만기경과 ","")))</f>
        <v/>
      </c>
      <c r="AX644" s="90" t="n">
        <f aca="false">IF(Q644&lt;&gt;1,1,IF(스프레드쇼크!$C$4="Y",INDEX(스프레드쇼크!$B$12:$L$16,IFERROR(MATCH(AH644,스프레드쇼크!$A$12:$A$16,0),MATCH("목록외",스프레드쇼크!$A$12:$A$16,0)),IFERROR(MATCH(AG644,스프레드쇼크!$B$11:$L$11,0),MATCH("목록외",스프레드쇼크!$B$11:$L$11,0))),1))</f>
        <v>1</v>
      </c>
      <c r="AY644" s="90" t="n">
        <f aca="false">IF(스프레드쇼크!$C$5="Y",IF(ISNUMBER(AF644),MIN(스프레드쇼크!$C$7,MAX(스프레드쇼크!$C$6,AF644/스프레드쇼크!$C$8)),1),1)</f>
        <v>1</v>
      </c>
      <c r="AZ644" s="94" t="n">
        <f aca="false">AN644*AX644*AY644</f>
        <v>0</v>
      </c>
      <c r="BA644" s="90" t="n">
        <f aca="false">IF(ISNUMBER(G644),AA644*G644,0)</f>
        <v>0</v>
      </c>
      <c r="BB644" s="90" t="n">
        <f aca="false">IF(ISNUMBER(G644),AA644,0)</f>
        <v>0</v>
      </c>
      <c r="BC644" s="90" t="n">
        <f aca="false">IF(AND(Y644=0,ISNUMBER(AF644)),AA644*AF644,0)</f>
        <v>0</v>
      </c>
      <c r="BD644" s="90" t="n">
        <f aca="false">IF(AND(Y644=0,ISNUMBER(AF644)),AA644,0)</f>
        <v>0</v>
      </c>
      <c r="BE644" s="90" t="n">
        <f aca="false">IF(ISNUMBER(H644),AA644*H644,0)</f>
        <v>0</v>
      </c>
      <c r="BF644" s="90" t="n">
        <f aca="false">IF(ISNUMBER(H644),AA644,0)</f>
        <v>0</v>
      </c>
      <c r="BG644" s="90" t="n">
        <f aca="false">IF(AND(Y644=0,ISNUMBER(AF644),ISNUMBER(Z644)),AA644*Z644,0)</f>
        <v>0</v>
      </c>
      <c r="BH644" s="90" t="n">
        <f aca="false">IF(AND(Y644=0,ISNUMBER(AF644),ISNUMBER(Z644)),AA644*AT644*MAX(Z644-1,0),0)</f>
        <v>0</v>
      </c>
      <c r="BI644" s="90" t="n">
        <f aca="false">IF(Y644=0,AA644,0)</f>
        <v>0</v>
      </c>
    </row>
    <row r="645" customFormat="false" ht="15" hidden="false" customHeight="false" outlineLevel="0" collapsed="false">
      <c r="A645" s="83" t="str">
        <f aca="false">IFERROR(IF(INDEX(원자료_잔고!$A$1:$EZ$1500,설정!$L$5+ROW()-1,설정!$L$8)&amp;""="0","",INDEX(원자료_잔고!$A$1:$EZ$1500,설정!$L$5+ROW()-1,설정!$L$8)&amp;""),"")</f>
        <v/>
      </c>
      <c r="B645" s="83" t="str">
        <f aca="false">IFERROR(IF(INDEX(원자료_잔고!$A$1:$EZ$1500,설정!$L$5+ROW()-1,설정!$L$7)&amp;""="0","",INDEX(원자료_잔고!$A$1:$EZ$1500,설정!$L$5+ROW()-1,설정!$L$7)&amp;""),"")</f>
        <v/>
      </c>
      <c r="C645" s="83" t="str">
        <f aca="false">IFERROR(IF(INDEX(원자료_잔고!$A$1:$EZ$1500,설정!$L$5+ROW()-1,설정!$L$9)&amp;""="0","",INDEX(원자료_잔고!$A$1:$EZ$1500,설정!$L$5+ROW()-1,설정!$L$9)&amp;""),"")</f>
        <v/>
      </c>
      <c r="D645" s="83" t="str">
        <f aca="false">IFERROR(IF(INDEX(원자료_잔고!$A$1:$EZ$1500,설정!$L$5+ROW()-1,설정!$L$10)&amp;""="0","",INDEX(원자료_잔고!$A$1:$EZ$1500,설정!$L$5+ROW()-1,설정!$L$10)&amp;""),"")</f>
        <v/>
      </c>
      <c r="E645" s="84" t="str">
        <f aca="false">IFERROR(IF(ISNUMBER(INDEX(원자료_잔고!$A$1:$EZ$1500,설정!$L$5+ROW()-1,설정!$L$11)),INDEX(원자료_잔고!$A$1:$EZ$1500,설정!$L$5+ROW()-1,설정!$L$11),""),"")</f>
        <v/>
      </c>
      <c r="F645" s="85" t="str">
        <f aca="false">IFERROR(IF(ISNUMBER(INDEX(원자료_잔고!$A$1:$EZ$1500,설정!$L$5+ROW()-1,설정!$L$12)),INDEX(원자료_잔고!$A$1:$EZ$1500,설정!$L$5+ROW()-1,설정!$L$12),""),"")</f>
        <v/>
      </c>
      <c r="G645" s="85" t="str">
        <f aca="false">IFERROR(IF(ISNUMBER(INDEX(원자료_잔고!$A$1:$EZ$1500,설정!$L$5+ROW()-1,설정!$L$13)),INDEX(원자료_잔고!$A$1:$EZ$1500,설정!$L$5+ROW()-1,설정!$L$13),""),"")</f>
        <v/>
      </c>
      <c r="H645" s="85" t="str">
        <f aca="false">IFERROR(IF(ISNUMBER(INDEX(원자료_잔고!$A$1:$EZ$1500,설정!$L$5+ROW()-1,설정!$L$14)),INDEX(원자료_잔고!$A$1:$EZ$1500,설정!$L$5+ROW()-1,설정!$L$14),""),"")</f>
        <v/>
      </c>
      <c r="I645" s="86" t="str">
        <f aca="false">IFERROR(IF(ISNUMBER(INDEX(원자료_잔고!$A$1:$EZ$1500,설정!$L$5+ROW()-1,설정!$L$15)),INDEX(원자료_잔고!$A$1:$EZ$1500,설정!$L$5+ROW()-1,설정!$L$15),""),"")</f>
        <v/>
      </c>
      <c r="J645" s="85" t="str">
        <f aca="false">IFERROR(IF(ISNUMBER(INDEX(원자료_잔고!$A$1:$EZ$1500,설정!$L$5+ROW()-1,설정!$L$16)),INDEX(원자료_잔고!$A$1:$EZ$1500,설정!$L$5+ROW()-1,설정!$L$16),""),"")</f>
        <v/>
      </c>
      <c r="K645" s="87" t="str">
        <f aca="false">IFERROR(IF(ISNUMBER(INDEX(원자료_잔고!$A$1:$EZ$1500,설정!$L$5+ROW()-1,설정!$L$17)),INDEX(원자료_잔고!$A$1:$EZ$1500,설정!$L$5+ROW()-1,설정!$L$17),""),"")</f>
        <v/>
      </c>
      <c r="L645" s="84" t="str">
        <f aca="false">IFERROR(IF(ISNUMBER(INDEX(원자료_잔고!$A$1:$EZ$1500,설정!$L$5+ROW()-1,설정!$L$18)),INDEX(원자료_잔고!$A$1:$EZ$1500,설정!$L$5+ROW()-1,설정!$L$18),""),"")</f>
        <v/>
      </c>
      <c r="M645" s="88" t="str">
        <f aca="false">IFERROR(IF(ISNUMBER(INDEX(원자료_잔고!$A$1:$EZ$1500,설정!$L$5+ROW()-1,설정!$L$19)),INDEX(원자료_잔고!$A$1:$EZ$1500,설정!$L$5+ROW()-1,설정!$L$19),""),"")</f>
        <v/>
      </c>
      <c r="N645" s="83" t="str">
        <f aca="false">IFERROR(IF(INDEX(원자료_잔고!$A$1:$EZ$1500,설정!$L$5+ROW()-1,설정!$L$21)&amp;""="0","",INDEX(원자료_잔고!$A$1:$EZ$1500,설정!$L$5+ROW()-1,설정!$L$21)&amp;""),"")</f>
        <v/>
      </c>
      <c r="O645" s="83" t="str">
        <f aca="false">IFERROR(IF(INDEX(원자료_잔고!$A$1:$EZ$1500,설정!$L$5+ROW()-1,설정!$L$22)&amp;""="0","",INDEX(원자료_잔고!$A$1:$EZ$1500,설정!$L$5+ROW()-1,설정!$L$22)&amp;""),"")</f>
        <v/>
      </c>
      <c r="P645" s="83" t="str">
        <f aca="false">IFERROR(IF(INDEX(원자료_잔고!$A$1:$EZ$1500,설정!$L$5+ROW()-1,설정!$L$23)&amp;""="0","",INDEX(원자료_잔고!$A$1:$EZ$1500,설정!$L$5+ROW()-1,설정!$L$23)&amp;""),"")</f>
        <v/>
      </c>
      <c r="Q645" s="89" t="n">
        <f aca="false">IF(AND($A645&lt;&gt;"",ISNUMBER(E645)),IF(E645&gt;0,1,0),0)</f>
        <v>0</v>
      </c>
      <c r="R645" s="43" t="str">
        <f aca="false">IF(Q645=1,UPPER(LEFT($A645,FIND(" ",$A645&amp;" ")-1)),"")</f>
        <v/>
      </c>
      <c r="S645" s="89" t="n">
        <f aca="false">IF(Q645=1,IF(OR(ISNUMBER(SEARCH("Float",$A645)),ISNUMBER(SEARCH("FRN",$A645))),1,0),0)</f>
        <v>0</v>
      </c>
      <c r="T645" s="43" t="str">
        <f aca="false">IF(AND(Q645=1,ISNUMBER(I645)),TEXT(I645,"yyyymmdd")&amp;"|"&amp;IF(S645=1,"F",TEXT(J645,"0.000")),"")</f>
        <v/>
      </c>
      <c r="U645" s="90" t="str">
        <f aca="false">IF(AND(Q645=1,ISNUMBER(I645)),(I645-설정!$C$4)/365.25,"")</f>
        <v/>
      </c>
      <c r="V645" s="43" t="str">
        <f aca="false">IF(Q645&lt;&gt;1,"",IF(ISNUMBER(U645),IF(U645&lt;=1,"1년 이하",IF(U645&lt;=2,"1-2년",IF(U645&lt;=3,"2-3년",IF(U645&lt;=4,"3-4년",IF(U645&lt;=5,"4-5년",IF(U645&lt;=7,"5-7년",IF(U645&lt;=10,"7-10년",IF(U645&lt;=20,"10-20년","20년 이상")))))))),"미분류"))</f>
        <v/>
      </c>
      <c r="W645" s="43" t="str">
        <f aca="false">IF(Q645&lt;&gt;1,"",IF(AB645&lt;&gt;"",INDEX(시장분석!$C:$C,AB645),IF(K645=1,"USD","비USD")))</f>
        <v/>
      </c>
      <c r="X645" s="91" t="n">
        <f aca="false">IF(Q645=1,E645*K645/1000000,0)</f>
        <v>0</v>
      </c>
      <c r="Y645" s="89" t="n">
        <f aca="false">IF(R645="T",1,0)</f>
        <v>0</v>
      </c>
      <c r="Z645" s="92" t="str">
        <f aca="false">IF(Q645&lt;&gt;1,"",IF(AD645=1,IF(ISNUMBER(U645),MAX(U645,0),H645),H645))</f>
        <v/>
      </c>
      <c r="AA645" s="91" t="n">
        <f aca="false">IF(Q645=1,IF(ISNUMBER(L645),L645,0)*K645/1000000,0)</f>
        <v>0</v>
      </c>
      <c r="AB645" s="89" t="str">
        <f aca="false">IF(Q645&lt;&gt;1,"",IFERROR(MATCH(VLOOKUP(B645,매핑!$H$4:$I$15,2,0),시장분석!$A$2:$A$601,0)+1,IFERROR(MATCH(R645&amp;"|"&amp;T645,시장분석!$V$2:$V$601,0)+1,IF(COUNTIF(시장분석!$U$2:$U$601,T645)=1,MATCH(T645,시장분석!$U$2:$U$601,0)+1,""))))</f>
        <v/>
      </c>
      <c r="AC645" s="89" t="n">
        <f aca="false">IF(Q645&lt;&gt;1,0,IF(OR(설정!$C$5="전체",AND(설정!$C$5="선택펀드",IFERROR(COUNTIFS(설정!$F$16:$F$36,C645,설정!$G$16:$G$36,"Y")+COUNTIFS(설정!$F$16:$F$36,VALUE(C645),설정!$G$16:$G$36,"Y"),0)&gt;0),C645&amp;""=설정!$C$5&amp;""),1,0))</f>
        <v>0</v>
      </c>
      <c r="AD645" s="89" t="n">
        <f aca="false">IF(Q645&lt;&gt;1,0,IF(OR(S645=1,IF(AB645="",FALSE(),INDEX(시장분석!$R:$R,AB645)=1)),1,0))</f>
        <v>0</v>
      </c>
      <c r="AE645" s="43" t="str">
        <f aca="false">IF(AB645="","",INDEX(시장분석!$A:$A,AB645))</f>
        <v/>
      </c>
      <c r="AF645" s="93" t="str">
        <f aca="false">IF(AB645="","",IF(ISNUMBER(IF(AB645="","",INDEX(시장분석!$E:$E,AB645))),IF(AB645="","",INDEX(시장분석!$E:$E,AB645)),""))</f>
        <v/>
      </c>
      <c r="AG645" s="43" t="str">
        <f aca="false">IF(Q645&lt;&gt;1,"",IF(AB645&lt;&gt;"",IF(AB645="","",INDEX(시장분석!$L:$L,AB645)),IFERROR(IF(VLOOKUP(R645,매핑!$A$4:$E$92,5,0)="","미분류",VLOOKUP(R645,매핑!$A$4:$E$92,5,0)),"미분류")))</f>
        <v/>
      </c>
      <c r="AH645" s="43" t="str">
        <f aca="false">IF(Q645&lt;&gt;1,"",IF(AB645&lt;&gt;"",IF(AB645="","",INDEX(시장분석!$N:$N,AB645)),IFERROR(IF(VLOOKUP(R645,매핑!$A$4:$E$92,4,0)="","미분류",VLOOKUP(R645,매핑!$A$4:$E$92,4,0)),"미분류")))</f>
        <v/>
      </c>
      <c r="AI645" s="43" t="str">
        <f aca="false">IF(Q645&lt;&gt;1,"",IFERROR(IF(VLOOKUP(R645,매핑!$A$4:$E$92,3,0)="","미분류",VLOOKUP(R645,매핑!$A$4:$E$92,3,0)),IF(AB645&lt;&gt;"",IF(AB645="","",INDEX(시장분석!$W:$W,AB645)),"미분류")))</f>
        <v/>
      </c>
      <c r="AJ645" s="43" t="str">
        <f aca="false">IF(Q645&lt;&gt;1,"",IFERROR(VLOOKUP(IF(N645&lt;&gt;"",N645,IF(P645&lt;&gt;"",P645,O645)),설정!$A$15:$D$47,2,0),""))</f>
        <v/>
      </c>
      <c r="AK645" s="43" t="str">
        <f aca="false">IF(Q645&lt;&gt;1,"",IF(AJ645="","무등급",IFERROR(VLOOKUP(AJ645,설정!$A$15:$D$47,3,0),"무등급")))</f>
        <v/>
      </c>
      <c r="AL645" s="89" t="n">
        <f aca="false">IF(AJ645="",99,IFERROR(VLOOKUP(AJ645,설정!$A$15:$D$47,4,0),99))</f>
        <v>99</v>
      </c>
      <c r="AM645" s="94" t="n">
        <f aca="false">IF(ISNUMBER(H645),AA645*1000000*H645/10000,0)</f>
        <v>0</v>
      </c>
      <c r="AN645" s="94" t="n">
        <f aca="false">IF(OR(Y645=1,NOT(ISNUMBER(Z645))),0,AA645*1000000*Z645/10000)</f>
        <v>0</v>
      </c>
      <c r="AO645" s="94" t="n">
        <f aca="false">IF(ISNUMBER(G645),AA645*1000000*G645/100,0)</f>
        <v>0</v>
      </c>
      <c r="AP645" s="94" t="n">
        <f aca="false">IF(ISNUMBER(M645),M645*K645,0)</f>
        <v>0</v>
      </c>
      <c r="AQ645" s="95" t="str">
        <f aca="false">IF(AB645="","",INDEX(시장분석!$AK:$AK,AB645))</f>
        <v/>
      </c>
      <c r="AR645" s="43" t="str">
        <f aca="false">IF(AB645="","-",IF(AB645="","",INDEX(시장분석!$AL:$AL,AB645)))</f>
        <v>-</v>
      </c>
      <c r="AS645" s="96" t="str">
        <f aca="false">IF(AB645="","",INDEX(시장분석!$AJ:$AJ,AB645))</f>
        <v/>
      </c>
      <c r="AT645" s="93" t="n">
        <f aca="false">IF(AB645="",0,IF(AB645="","",INDEX(시장분석!$AN:$AN,AB645)))</f>
        <v>0</v>
      </c>
      <c r="AU645" s="94" t="n">
        <f aca="false">IF(ISNUMBER(Z645),AT645/10000*MAX(Z645-1,0)*AA645*1000000,0)</f>
        <v>0</v>
      </c>
      <c r="AV645" s="94" t="n">
        <f aca="false">AO645+AU645</f>
        <v>0</v>
      </c>
      <c r="AW645" s="43" t="str">
        <f aca="false">IF(Q645&lt;&gt;1,"",TRIM(IF(AD645=1,"FRN ","")&amp;IF(AND(AL645&gt;=10,AL645&lt;99),"BBB0미만 ","")&amp;IF(AJ645="","등급없음 ","")&amp;IF(K645&lt;&gt;1,"비USD ","")&amp;IF(AND(AB645="",Y645=0),"시장데이터없음 ","")&amp;IF(AND(ISNUMBER(U645),U645&lt;0),"만기경과 ","")))</f>
        <v/>
      </c>
      <c r="AX645" s="90" t="n">
        <f aca="false">IF(Q645&lt;&gt;1,1,IF(스프레드쇼크!$C$4="Y",INDEX(스프레드쇼크!$B$12:$L$16,IFERROR(MATCH(AH645,스프레드쇼크!$A$12:$A$16,0),MATCH("목록외",스프레드쇼크!$A$12:$A$16,0)),IFERROR(MATCH(AG645,스프레드쇼크!$B$11:$L$11,0),MATCH("목록외",스프레드쇼크!$B$11:$L$11,0))),1))</f>
        <v>1</v>
      </c>
      <c r="AY645" s="90" t="n">
        <f aca="false">IF(스프레드쇼크!$C$5="Y",IF(ISNUMBER(AF645),MIN(스프레드쇼크!$C$7,MAX(스프레드쇼크!$C$6,AF645/스프레드쇼크!$C$8)),1),1)</f>
        <v>1</v>
      </c>
      <c r="AZ645" s="94" t="n">
        <f aca="false">AN645*AX645*AY645</f>
        <v>0</v>
      </c>
      <c r="BA645" s="90" t="n">
        <f aca="false">IF(ISNUMBER(G645),AA645*G645,0)</f>
        <v>0</v>
      </c>
      <c r="BB645" s="90" t="n">
        <f aca="false">IF(ISNUMBER(G645),AA645,0)</f>
        <v>0</v>
      </c>
      <c r="BC645" s="90" t="n">
        <f aca="false">IF(AND(Y645=0,ISNUMBER(AF645)),AA645*AF645,0)</f>
        <v>0</v>
      </c>
      <c r="BD645" s="90" t="n">
        <f aca="false">IF(AND(Y645=0,ISNUMBER(AF645)),AA645,0)</f>
        <v>0</v>
      </c>
      <c r="BE645" s="90" t="n">
        <f aca="false">IF(ISNUMBER(H645),AA645*H645,0)</f>
        <v>0</v>
      </c>
      <c r="BF645" s="90" t="n">
        <f aca="false">IF(ISNUMBER(H645),AA645,0)</f>
        <v>0</v>
      </c>
      <c r="BG645" s="90" t="n">
        <f aca="false">IF(AND(Y645=0,ISNUMBER(AF645),ISNUMBER(Z645)),AA645*Z645,0)</f>
        <v>0</v>
      </c>
      <c r="BH645" s="90" t="n">
        <f aca="false">IF(AND(Y645=0,ISNUMBER(AF645),ISNUMBER(Z645)),AA645*AT645*MAX(Z645-1,0),0)</f>
        <v>0</v>
      </c>
      <c r="BI645" s="90" t="n">
        <f aca="false">IF(Y645=0,AA645,0)</f>
        <v>0</v>
      </c>
    </row>
    <row r="646" customFormat="false" ht="15" hidden="false" customHeight="false" outlineLevel="0" collapsed="false">
      <c r="A646" s="83" t="str">
        <f aca="false">IFERROR(IF(INDEX(원자료_잔고!$A$1:$EZ$1500,설정!$L$5+ROW()-1,설정!$L$8)&amp;""="0","",INDEX(원자료_잔고!$A$1:$EZ$1500,설정!$L$5+ROW()-1,설정!$L$8)&amp;""),"")</f>
        <v/>
      </c>
      <c r="B646" s="83" t="str">
        <f aca="false">IFERROR(IF(INDEX(원자료_잔고!$A$1:$EZ$1500,설정!$L$5+ROW()-1,설정!$L$7)&amp;""="0","",INDEX(원자료_잔고!$A$1:$EZ$1500,설정!$L$5+ROW()-1,설정!$L$7)&amp;""),"")</f>
        <v/>
      </c>
      <c r="C646" s="83" t="str">
        <f aca="false">IFERROR(IF(INDEX(원자료_잔고!$A$1:$EZ$1500,설정!$L$5+ROW()-1,설정!$L$9)&amp;""="0","",INDEX(원자료_잔고!$A$1:$EZ$1500,설정!$L$5+ROW()-1,설정!$L$9)&amp;""),"")</f>
        <v/>
      </c>
      <c r="D646" s="83" t="str">
        <f aca="false">IFERROR(IF(INDEX(원자료_잔고!$A$1:$EZ$1500,설정!$L$5+ROW()-1,설정!$L$10)&amp;""="0","",INDEX(원자료_잔고!$A$1:$EZ$1500,설정!$L$5+ROW()-1,설정!$L$10)&amp;""),"")</f>
        <v/>
      </c>
      <c r="E646" s="84" t="str">
        <f aca="false">IFERROR(IF(ISNUMBER(INDEX(원자료_잔고!$A$1:$EZ$1500,설정!$L$5+ROW()-1,설정!$L$11)),INDEX(원자료_잔고!$A$1:$EZ$1500,설정!$L$5+ROW()-1,설정!$L$11),""),"")</f>
        <v/>
      </c>
      <c r="F646" s="85" t="str">
        <f aca="false">IFERROR(IF(ISNUMBER(INDEX(원자료_잔고!$A$1:$EZ$1500,설정!$L$5+ROW()-1,설정!$L$12)),INDEX(원자료_잔고!$A$1:$EZ$1500,설정!$L$5+ROW()-1,설정!$L$12),""),"")</f>
        <v/>
      </c>
      <c r="G646" s="85" t="str">
        <f aca="false">IFERROR(IF(ISNUMBER(INDEX(원자료_잔고!$A$1:$EZ$1500,설정!$L$5+ROW()-1,설정!$L$13)),INDEX(원자료_잔고!$A$1:$EZ$1500,설정!$L$5+ROW()-1,설정!$L$13),""),"")</f>
        <v/>
      </c>
      <c r="H646" s="85" t="str">
        <f aca="false">IFERROR(IF(ISNUMBER(INDEX(원자료_잔고!$A$1:$EZ$1500,설정!$L$5+ROW()-1,설정!$L$14)),INDEX(원자료_잔고!$A$1:$EZ$1500,설정!$L$5+ROW()-1,설정!$L$14),""),"")</f>
        <v/>
      </c>
      <c r="I646" s="86" t="str">
        <f aca="false">IFERROR(IF(ISNUMBER(INDEX(원자료_잔고!$A$1:$EZ$1500,설정!$L$5+ROW()-1,설정!$L$15)),INDEX(원자료_잔고!$A$1:$EZ$1500,설정!$L$5+ROW()-1,설정!$L$15),""),"")</f>
        <v/>
      </c>
      <c r="J646" s="85" t="str">
        <f aca="false">IFERROR(IF(ISNUMBER(INDEX(원자료_잔고!$A$1:$EZ$1500,설정!$L$5+ROW()-1,설정!$L$16)),INDEX(원자료_잔고!$A$1:$EZ$1500,설정!$L$5+ROW()-1,설정!$L$16),""),"")</f>
        <v/>
      </c>
      <c r="K646" s="87" t="str">
        <f aca="false">IFERROR(IF(ISNUMBER(INDEX(원자료_잔고!$A$1:$EZ$1500,설정!$L$5+ROW()-1,설정!$L$17)),INDEX(원자료_잔고!$A$1:$EZ$1500,설정!$L$5+ROW()-1,설정!$L$17),""),"")</f>
        <v/>
      </c>
      <c r="L646" s="84" t="str">
        <f aca="false">IFERROR(IF(ISNUMBER(INDEX(원자료_잔고!$A$1:$EZ$1500,설정!$L$5+ROW()-1,설정!$L$18)),INDEX(원자료_잔고!$A$1:$EZ$1500,설정!$L$5+ROW()-1,설정!$L$18),""),"")</f>
        <v/>
      </c>
      <c r="M646" s="88" t="str">
        <f aca="false">IFERROR(IF(ISNUMBER(INDEX(원자료_잔고!$A$1:$EZ$1500,설정!$L$5+ROW()-1,설정!$L$19)),INDEX(원자료_잔고!$A$1:$EZ$1500,설정!$L$5+ROW()-1,설정!$L$19),""),"")</f>
        <v/>
      </c>
      <c r="N646" s="83" t="str">
        <f aca="false">IFERROR(IF(INDEX(원자료_잔고!$A$1:$EZ$1500,설정!$L$5+ROW()-1,설정!$L$21)&amp;""="0","",INDEX(원자료_잔고!$A$1:$EZ$1500,설정!$L$5+ROW()-1,설정!$L$21)&amp;""),"")</f>
        <v/>
      </c>
      <c r="O646" s="83" t="str">
        <f aca="false">IFERROR(IF(INDEX(원자료_잔고!$A$1:$EZ$1500,설정!$L$5+ROW()-1,설정!$L$22)&amp;""="0","",INDEX(원자료_잔고!$A$1:$EZ$1500,설정!$L$5+ROW()-1,설정!$L$22)&amp;""),"")</f>
        <v/>
      </c>
      <c r="P646" s="83" t="str">
        <f aca="false">IFERROR(IF(INDEX(원자료_잔고!$A$1:$EZ$1500,설정!$L$5+ROW()-1,설정!$L$23)&amp;""="0","",INDEX(원자료_잔고!$A$1:$EZ$1500,설정!$L$5+ROW()-1,설정!$L$23)&amp;""),"")</f>
        <v/>
      </c>
      <c r="Q646" s="89" t="n">
        <f aca="false">IF(AND($A646&lt;&gt;"",ISNUMBER(E646)),IF(E646&gt;0,1,0),0)</f>
        <v>0</v>
      </c>
      <c r="R646" s="43" t="str">
        <f aca="false">IF(Q646=1,UPPER(LEFT($A646,FIND(" ",$A646&amp;" ")-1)),"")</f>
        <v/>
      </c>
      <c r="S646" s="89" t="n">
        <f aca="false">IF(Q646=1,IF(OR(ISNUMBER(SEARCH("Float",$A646)),ISNUMBER(SEARCH("FRN",$A646))),1,0),0)</f>
        <v>0</v>
      </c>
      <c r="T646" s="43" t="str">
        <f aca="false">IF(AND(Q646=1,ISNUMBER(I646)),TEXT(I646,"yyyymmdd")&amp;"|"&amp;IF(S646=1,"F",TEXT(J646,"0.000")),"")</f>
        <v/>
      </c>
      <c r="U646" s="90" t="str">
        <f aca="false">IF(AND(Q646=1,ISNUMBER(I646)),(I646-설정!$C$4)/365.25,"")</f>
        <v/>
      </c>
      <c r="V646" s="43" t="str">
        <f aca="false">IF(Q646&lt;&gt;1,"",IF(ISNUMBER(U646),IF(U646&lt;=1,"1년 이하",IF(U646&lt;=2,"1-2년",IF(U646&lt;=3,"2-3년",IF(U646&lt;=4,"3-4년",IF(U646&lt;=5,"4-5년",IF(U646&lt;=7,"5-7년",IF(U646&lt;=10,"7-10년",IF(U646&lt;=20,"10-20년","20년 이상")))))))),"미분류"))</f>
        <v/>
      </c>
      <c r="W646" s="43" t="str">
        <f aca="false">IF(Q646&lt;&gt;1,"",IF(AB646&lt;&gt;"",INDEX(시장분석!$C:$C,AB646),IF(K646=1,"USD","비USD")))</f>
        <v/>
      </c>
      <c r="X646" s="91" t="n">
        <f aca="false">IF(Q646=1,E646*K646/1000000,0)</f>
        <v>0</v>
      </c>
      <c r="Y646" s="89" t="n">
        <f aca="false">IF(R646="T",1,0)</f>
        <v>0</v>
      </c>
      <c r="Z646" s="92" t="str">
        <f aca="false">IF(Q646&lt;&gt;1,"",IF(AD646=1,IF(ISNUMBER(U646),MAX(U646,0),H646),H646))</f>
        <v/>
      </c>
      <c r="AA646" s="91" t="n">
        <f aca="false">IF(Q646=1,IF(ISNUMBER(L646),L646,0)*K646/1000000,0)</f>
        <v>0</v>
      </c>
      <c r="AB646" s="89" t="str">
        <f aca="false">IF(Q646&lt;&gt;1,"",IFERROR(MATCH(VLOOKUP(B646,매핑!$H$4:$I$15,2,0),시장분석!$A$2:$A$601,0)+1,IFERROR(MATCH(R646&amp;"|"&amp;T646,시장분석!$V$2:$V$601,0)+1,IF(COUNTIF(시장분석!$U$2:$U$601,T646)=1,MATCH(T646,시장분석!$U$2:$U$601,0)+1,""))))</f>
        <v/>
      </c>
      <c r="AC646" s="89" t="n">
        <f aca="false">IF(Q646&lt;&gt;1,0,IF(OR(설정!$C$5="전체",AND(설정!$C$5="선택펀드",IFERROR(COUNTIFS(설정!$F$16:$F$36,C646,설정!$G$16:$G$36,"Y")+COUNTIFS(설정!$F$16:$F$36,VALUE(C646),설정!$G$16:$G$36,"Y"),0)&gt;0),C646&amp;""=설정!$C$5&amp;""),1,0))</f>
        <v>0</v>
      </c>
      <c r="AD646" s="89" t="n">
        <f aca="false">IF(Q646&lt;&gt;1,0,IF(OR(S646=1,IF(AB646="",FALSE(),INDEX(시장분석!$R:$R,AB646)=1)),1,0))</f>
        <v>0</v>
      </c>
      <c r="AE646" s="43" t="str">
        <f aca="false">IF(AB646="","",INDEX(시장분석!$A:$A,AB646))</f>
        <v/>
      </c>
      <c r="AF646" s="93" t="str">
        <f aca="false">IF(AB646="","",IF(ISNUMBER(IF(AB646="","",INDEX(시장분석!$E:$E,AB646))),IF(AB646="","",INDEX(시장분석!$E:$E,AB646)),""))</f>
        <v/>
      </c>
      <c r="AG646" s="43" t="str">
        <f aca="false">IF(Q646&lt;&gt;1,"",IF(AB646&lt;&gt;"",IF(AB646="","",INDEX(시장분석!$L:$L,AB646)),IFERROR(IF(VLOOKUP(R646,매핑!$A$4:$E$92,5,0)="","미분류",VLOOKUP(R646,매핑!$A$4:$E$92,5,0)),"미분류")))</f>
        <v/>
      </c>
      <c r="AH646" s="43" t="str">
        <f aca="false">IF(Q646&lt;&gt;1,"",IF(AB646&lt;&gt;"",IF(AB646="","",INDEX(시장분석!$N:$N,AB646)),IFERROR(IF(VLOOKUP(R646,매핑!$A$4:$E$92,4,0)="","미분류",VLOOKUP(R646,매핑!$A$4:$E$92,4,0)),"미분류")))</f>
        <v/>
      </c>
      <c r="AI646" s="43" t="str">
        <f aca="false">IF(Q646&lt;&gt;1,"",IFERROR(IF(VLOOKUP(R646,매핑!$A$4:$E$92,3,0)="","미분류",VLOOKUP(R646,매핑!$A$4:$E$92,3,0)),IF(AB646&lt;&gt;"",IF(AB646="","",INDEX(시장분석!$W:$W,AB646)),"미분류")))</f>
        <v/>
      </c>
      <c r="AJ646" s="43" t="str">
        <f aca="false">IF(Q646&lt;&gt;1,"",IFERROR(VLOOKUP(IF(N646&lt;&gt;"",N646,IF(P646&lt;&gt;"",P646,O646)),설정!$A$15:$D$47,2,0),""))</f>
        <v/>
      </c>
      <c r="AK646" s="43" t="str">
        <f aca="false">IF(Q646&lt;&gt;1,"",IF(AJ646="","무등급",IFERROR(VLOOKUP(AJ646,설정!$A$15:$D$47,3,0),"무등급")))</f>
        <v/>
      </c>
      <c r="AL646" s="89" t="n">
        <f aca="false">IF(AJ646="",99,IFERROR(VLOOKUP(AJ646,설정!$A$15:$D$47,4,0),99))</f>
        <v>99</v>
      </c>
      <c r="AM646" s="94" t="n">
        <f aca="false">IF(ISNUMBER(H646),AA646*1000000*H646/10000,0)</f>
        <v>0</v>
      </c>
      <c r="AN646" s="94" t="n">
        <f aca="false">IF(OR(Y646=1,NOT(ISNUMBER(Z646))),0,AA646*1000000*Z646/10000)</f>
        <v>0</v>
      </c>
      <c r="AO646" s="94" t="n">
        <f aca="false">IF(ISNUMBER(G646),AA646*1000000*G646/100,0)</f>
        <v>0</v>
      </c>
      <c r="AP646" s="94" t="n">
        <f aca="false">IF(ISNUMBER(M646),M646*K646,0)</f>
        <v>0</v>
      </c>
      <c r="AQ646" s="95" t="str">
        <f aca="false">IF(AB646="","",INDEX(시장분석!$AK:$AK,AB646))</f>
        <v/>
      </c>
      <c r="AR646" s="43" t="str">
        <f aca="false">IF(AB646="","-",IF(AB646="","",INDEX(시장분석!$AL:$AL,AB646)))</f>
        <v>-</v>
      </c>
      <c r="AS646" s="96" t="str">
        <f aca="false">IF(AB646="","",INDEX(시장분석!$AJ:$AJ,AB646))</f>
        <v/>
      </c>
      <c r="AT646" s="93" t="n">
        <f aca="false">IF(AB646="",0,IF(AB646="","",INDEX(시장분석!$AN:$AN,AB646)))</f>
        <v>0</v>
      </c>
      <c r="AU646" s="94" t="n">
        <f aca="false">IF(ISNUMBER(Z646),AT646/10000*MAX(Z646-1,0)*AA646*1000000,0)</f>
        <v>0</v>
      </c>
      <c r="AV646" s="94" t="n">
        <f aca="false">AO646+AU646</f>
        <v>0</v>
      </c>
      <c r="AW646" s="43" t="str">
        <f aca="false">IF(Q646&lt;&gt;1,"",TRIM(IF(AD646=1,"FRN ","")&amp;IF(AND(AL646&gt;=10,AL646&lt;99),"BBB0미만 ","")&amp;IF(AJ646="","등급없음 ","")&amp;IF(K646&lt;&gt;1,"비USD ","")&amp;IF(AND(AB646="",Y646=0),"시장데이터없음 ","")&amp;IF(AND(ISNUMBER(U646),U646&lt;0),"만기경과 ","")))</f>
        <v/>
      </c>
      <c r="AX646" s="90" t="n">
        <f aca="false">IF(Q646&lt;&gt;1,1,IF(스프레드쇼크!$C$4="Y",INDEX(스프레드쇼크!$B$12:$L$16,IFERROR(MATCH(AH646,스프레드쇼크!$A$12:$A$16,0),MATCH("목록외",스프레드쇼크!$A$12:$A$16,0)),IFERROR(MATCH(AG646,스프레드쇼크!$B$11:$L$11,0),MATCH("목록외",스프레드쇼크!$B$11:$L$11,0))),1))</f>
        <v>1</v>
      </c>
      <c r="AY646" s="90" t="n">
        <f aca="false">IF(스프레드쇼크!$C$5="Y",IF(ISNUMBER(AF646),MIN(스프레드쇼크!$C$7,MAX(스프레드쇼크!$C$6,AF646/스프레드쇼크!$C$8)),1),1)</f>
        <v>1</v>
      </c>
      <c r="AZ646" s="94" t="n">
        <f aca="false">AN646*AX646*AY646</f>
        <v>0</v>
      </c>
      <c r="BA646" s="90" t="n">
        <f aca="false">IF(ISNUMBER(G646),AA646*G646,0)</f>
        <v>0</v>
      </c>
      <c r="BB646" s="90" t="n">
        <f aca="false">IF(ISNUMBER(G646),AA646,0)</f>
        <v>0</v>
      </c>
      <c r="BC646" s="90" t="n">
        <f aca="false">IF(AND(Y646=0,ISNUMBER(AF646)),AA646*AF646,0)</f>
        <v>0</v>
      </c>
      <c r="BD646" s="90" t="n">
        <f aca="false">IF(AND(Y646=0,ISNUMBER(AF646)),AA646,0)</f>
        <v>0</v>
      </c>
      <c r="BE646" s="90" t="n">
        <f aca="false">IF(ISNUMBER(H646),AA646*H646,0)</f>
        <v>0</v>
      </c>
      <c r="BF646" s="90" t="n">
        <f aca="false">IF(ISNUMBER(H646),AA646,0)</f>
        <v>0</v>
      </c>
      <c r="BG646" s="90" t="n">
        <f aca="false">IF(AND(Y646=0,ISNUMBER(AF646),ISNUMBER(Z646)),AA646*Z646,0)</f>
        <v>0</v>
      </c>
      <c r="BH646" s="90" t="n">
        <f aca="false">IF(AND(Y646=0,ISNUMBER(AF646),ISNUMBER(Z646)),AA646*AT646*MAX(Z646-1,0),0)</f>
        <v>0</v>
      </c>
      <c r="BI646" s="90" t="n">
        <f aca="false">IF(Y646=0,AA646,0)</f>
        <v>0</v>
      </c>
    </row>
    <row r="647" customFormat="false" ht="15" hidden="false" customHeight="false" outlineLevel="0" collapsed="false">
      <c r="A647" s="83" t="str">
        <f aca="false">IFERROR(IF(INDEX(원자료_잔고!$A$1:$EZ$1500,설정!$L$5+ROW()-1,설정!$L$8)&amp;""="0","",INDEX(원자료_잔고!$A$1:$EZ$1500,설정!$L$5+ROW()-1,설정!$L$8)&amp;""),"")</f>
        <v/>
      </c>
      <c r="B647" s="83" t="str">
        <f aca="false">IFERROR(IF(INDEX(원자료_잔고!$A$1:$EZ$1500,설정!$L$5+ROW()-1,설정!$L$7)&amp;""="0","",INDEX(원자료_잔고!$A$1:$EZ$1500,설정!$L$5+ROW()-1,설정!$L$7)&amp;""),"")</f>
        <v/>
      </c>
      <c r="C647" s="83" t="str">
        <f aca="false">IFERROR(IF(INDEX(원자료_잔고!$A$1:$EZ$1500,설정!$L$5+ROW()-1,설정!$L$9)&amp;""="0","",INDEX(원자료_잔고!$A$1:$EZ$1500,설정!$L$5+ROW()-1,설정!$L$9)&amp;""),"")</f>
        <v/>
      </c>
      <c r="D647" s="83" t="str">
        <f aca="false">IFERROR(IF(INDEX(원자료_잔고!$A$1:$EZ$1500,설정!$L$5+ROW()-1,설정!$L$10)&amp;""="0","",INDEX(원자료_잔고!$A$1:$EZ$1500,설정!$L$5+ROW()-1,설정!$L$10)&amp;""),"")</f>
        <v/>
      </c>
      <c r="E647" s="84" t="str">
        <f aca="false">IFERROR(IF(ISNUMBER(INDEX(원자료_잔고!$A$1:$EZ$1500,설정!$L$5+ROW()-1,설정!$L$11)),INDEX(원자료_잔고!$A$1:$EZ$1500,설정!$L$5+ROW()-1,설정!$L$11),""),"")</f>
        <v/>
      </c>
      <c r="F647" s="85" t="str">
        <f aca="false">IFERROR(IF(ISNUMBER(INDEX(원자료_잔고!$A$1:$EZ$1500,설정!$L$5+ROW()-1,설정!$L$12)),INDEX(원자료_잔고!$A$1:$EZ$1500,설정!$L$5+ROW()-1,설정!$L$12),""),"")</f>
        <v/>
      </c>
      <c r="G647" s="85" t="str">
        <f aca="false">IFERROR(IF(ISNUMBER(INDEX(원자료_잔고!$A$1:$EZ$1500,설정!$L$5+ROW()-1,설정!$L$13)),INDEX(원자료_잔고!$A$1:$EZ$1500,설정!$L$5+ROW()-1,설정!$L$13),""),"")</f>
        <v/>
      </c>
      <c r="H647" s="85" t="str">
        <f aca="false">IFERROR(IF(ISNUMBER(INDEX(원자료_잔고!$A$1:$EZ$1500,설정!$L$5+ROW()-1,설정!$L$14)),INDEX(원자료_잔고!$A$1:$EZ$1500,설정!$L$5+ROW()-1,설정!$L$14),""),"")</f>
        <v/>
      </c>
      <c r="I647" s="86" t="str">
        <f aca="false">IFERROR(IF(ISNUMBER(INDEX(원자료_잔고!$A$1:$EZ$1500,설정!$L$5+ROW()-1,설정!$L$15)),INDEX(원자료_잔고!$A$1:$EZ$1500,설정!$L$5+ROW()-1,설정!$L$15),""),"")</f>
        <v/>
      </c>
      <c r="J647" s="85" t="str">
        <f aca="false">IFERROR(IF(ISNUMBER(INDEX(원자료_잔고!$A$1:$EZ$1500,설정!$L$5+ROW()-1,설정!$L$16)),INDEX(원자료_잔고!$A$1:$EZ$1500,설정!$L$5+ROW()-1,설정!$L$16),""),"")</f>
        <v/>
      </c>
      <c r="K647" s="87" t="str">
        <f aca="false">IFERROR(IF(ISNUMBER(INDEX(원자료_잔고!$A$1:$EZ$1500,설정!$L$5+ROW()-1,설정!$L$17)),INDEX(원자료_잔고!$A$1:$EZ$1500,설정!$L$5+ROW()-1,설정!$L$17),""),"")</f>
        <v/>
      </c>
      <c r="L647" s="84" t="str">
        <f aca="false">IFERROR(IF(ISNUMBER(INDEX(원자료_잔고!$A$1:$EZ$1500,설정!$L$5+ROW()-1,설정!$L$18)),INDEX(원자료_잔고!$A$1:$EZ$1500,설정!$L$5+ROW()-1,설정!$L$18),""),"")</f>
        <v/>
      </c>
      <c r="M647" s="88" t="str">
        <f aca="false">IFERROR(IF(ISNUMBER(INDEX(원자료_잔고!$A$1:$EZ$1500,설정!$L$5+ROW()-1,설정!$L$19)),INDEX(원자료_잔고!$A$1:$EZ$1500,설정!$L$5+ROW()-1,설정!$L$19),""),"")</f>
        <v/>
      </c>
      <c r="N647" s="83" t="str">
        <f aca="false">IFERROR(IF(INDEX(원자료_잔고!$A$1:$EZ$1500,설정!$L$5+ROW()-1,설정!$L$21)&amp;""="0","",INDEX(원자료_잔고!$A$1:$EZ$1500,설정!$L$5+ROW()-1,설정!$L$21)&amp;""),"")</f>
        <v/>
      </c>
      <c r="O647" s="83" t="str">
        <f aca="false">IFERROR(IF(INDEX(원자료_잔고!$A$1:$EZ$1500,설정!$L$5+ROW()-1,설정!$L$22)&amp;""="0","",INDEX(원자료_잔고!$A$1:$EZ$1500,설정!$L$5+ROW()-1,설정!$L$22)&amp;""),"")</f>
        <v/>
      </c>
      <c r="P647" s="83" t="str">
        <f aca="false">IFERROR(IF(INDEX(원자료_잔고!$A$1:$EZ$1500,설정!$L$5+ROW()-1,설정!$L$23)&amp;""="0","",INDEX(원자료_잔고!$A$1:$EZ$1500,설정!$L$5+ROW()-1,설정!$L$23)&amp;""),"")</f>
        <v/>
      </c>
      <c r="Q647" s="89" t="n">
        <f aca="false">IF(AND($A647&lt;&gt;"",ISNUMBER(E647)),IF(E647&gt;0,1,0),0)</f>
        <v>0</v>
      </c>
      <c r="R647" s="43" t="str">
        <f aca="false">IF(Q647=1,UPPER(LEFT($A647,FIND(" ",$A647&amp;" ")-1)),"")</f>
        <v/>
      </c>
      <c r="S647" s="89" t="n">
        <f aca="false">IF(Q647=1,IF(OR(ISNUMBER(SEARCH("Float",$A647)),ISNUMBER(SEARCH("FRN",$A647))),1,0),0)</f>
        <v>0</v>
      </c>
      <c r="T647" s="43" t="str">
        <f aca="false">IF(AND(Q647=1,ISNUMBER(I647)),TEXT(I647,"yyyymmdd")&amp;"|"&amp;IF(S647=1,"F",TEXT(J647,"0.000")),"")</f>
        <v/>
      </c>
      <c r="U647" s="90" t="str">
        <f aca="false">IF(AND(Q647=1,ISNUMBER(I647)),(I647-설정!$C$4)/365.25,"")</f>
        <v/>
      </c>
      <c r="V647" s="43" t="str">
        <f aca="false">IF(Q647&lt;&gt;1,"",IF(ISNUMBER(U647),IF(U647&lt;=1,"1년 이하",IF(U647&lt;=2,"1-2년",IF(U647&lt;=3,"2-3년",IF(U647&lt;=4,"3-4년",IF(U647&lt;=5,"4-5년",IF(U647&lt;=7,"5-7년",IF(U647&lt;=10,"7-10년",IF(U647&lt;=20,"10-20년","20년 이상")))))))),"미분류"))</f>
        <v/>
      </c>
      <c r="W647" s="43" t="str">
        <f aca="false">IF(Q647&lt;&gt;1,"",IF(AB647&lt;&gt;"",INDEX(시장분석!$C:$C,AB647),IF(K647=1,"USD","비USD")))</f>
        <v/>
      </c>
      <c r="X647" s="91" t="n">
        <f aca="false">IF(Q647=1,E647*K647/1000000,0)</f>
        <v>0</v>
      </c>
      <c r="Y647" s="89" t="n">
        <f aca="false">IF(R647="T",1,0)</f>
        <v>0</v>
      </c>
      <c r="Z647" s="92" t="str">
        <f aca="false">IF(Q647&lt;&gt;1,"",IF(AD647=1,IF(ISNUMBER(U647),MAX(U647,0),H647),H647))</f>
        <v/>
      </c>
      <c r="AA647" s="91" t="n">
        <f aca="false">IF(Q647=1,IF(ISNUMBER(L647),L647,0)*K647/1000000,0)</f>
        <v>0</v>
      </c>
      <c r="AB647" s="89" t="str">
        <f aca="false">IF(Q647&lt;&gt;1,"",IFERROR(MATCH(VLOOKUP(B647,매핑!$H$4:$I$15,2,0),시장분석!$A$2:$A$601,0)+1,IFERROR(MATCH(R647&amp;"|"&amp;T647,시장분석!$V$2:$V$601,0)+1,IF(COUNTIF(시장분석!$U$2:$U$601,T647)=1,MATCH(T647,시장분석!$U$2:$U$601,0)+1,""))))</f>
        <v/>
      </c>
      <c r="AC647" s="89" t="n">
        <f aca="false">IF(Q647&lt;&gt;1,0,IF(OR(설정!$C$5="전체",AND(설정!$C$5="선택펀드",IFERROR(COUNTIFS(설정!$F$16:$F$36,C647,설정!$G$16:$G$36,"Y")+COUNTIFS(설정!$F$16:$F$36,VALUE(C647),설정!$G$16:$G$36,"Y"),0)&gt;0),C647&amp;""=설정!$C$5&amp;""),1,0))</f>
        <v>0</v>
      </c>
      <c r="AD647" s="89" t="n">
        <f aca="false">IF(Q647&lt;&gt;1,0,IF(OR(S647=1,IF(AB647="",FALSE(),INDEX(시장분석!$R:$R,AB647)=1)),1,0))</f>
        <v>0</v>
      </c>
      <c r="AE647" s="43" t="str">
        <f aca="false">IF(AB647="","",INDEX(시장분석!$A:$A,AB647))</f>
        <v/>
      </c>
      <c r="AF647" s="93" t="str">
        <f aca="false">IF(AB647="","",IF(ISNUMBER(IF(AB647="","",INDEX(시장분석!$E:$E,AB647))),IF(AB647="","",INDEX(시장분석!$E:$E,AB647)),""))</f>
        <v/>
      </c>
      <c r="AG647" s="43" t="str">
        <f aca="false">IF(Q647&lt;&gt;1,"",IF(AB647&lt;&gt;"",IF(AB647="","",INDEX(시장분석!$L:$L,AB647)),IFERROR(IF(VLOOKUP(R647,매핑!$A$4:$E$92,5,0)="","미분류",VLOOKUP(R647,매핑!$A$4:$E$92,5,0)),"미분류")))</f>
        <v/>
      </c>
      <c r="AH647" s="43" t="str">
        <f aca="false">IF(Q647&lt;&gt;1,"",IF(AB647&lt;&gt;"",IF(AB647="","",INDEX(시장분석!$N:$N,AB647)),IFERROR(IF(VLOOKUP(R647,매핑!$A$4:$E$92,4,0)="","미분류",VLOOKUP(R647,매핑!$A$4:$E$92,4,0)),"미분류")))</f>
        <v/>
      </c>
      <c r="AI647" s="43" t="str">
        <f aca="false">IF(Q647&lt;&gt;1,"",IFERROR(IF(VLOOKUP(R647,매핑!$A$4:$E$92,3,0)="","미분류",VLOOKUP(R647,매핑!$A$4:$E$92,3,0)),IF(AB647&lt;&gt;"",IF(AB647="","",INDEX(시장분석!$W:$W,AB647)),"미분류")))</f>
        <v/>
      </c>
      <c r="AJ647" s="43" t="str">
        <f aca="false">IF(Q647&lt;&gt;1,"",IFERROR(VLOOKUP(IF(N647&lt;&gt;"",N647,IF(P647&lt;&gt;"",P647,O647)),설정!$A$15:$D$47,2,0),""))</f>
        <v/>
      </c>
      <c r="AK647" s="43" t="str">
        <f aca="false">IF(Q647&lt;&gt;1,"",IF(AJ647="","무등급",IFERROR(VLOOKUP(AJ647,설정!$A$15:$D$47,3,0),"무등급")))</f>
        <v/>
      </c>
      <c r="AL647" s="89" t="n">
        <f aca="false">IF(AJ647="",99,IFERROR(VLOOKUP(AJ647,설정!$A$15:$D$47,4,0),99))</f>
        <v>99</v>
      </c>
      <c r="AM647" s="94" t="n">
        <f aca="false">IF(ISNUMBER(H647),AA647*1000000*H647/10000,0)</f>
        <v>0</v>
      </c>
      <c r="AN647" s="94" t="n">
        <f aca="false">IF(OR(Y647=1,NOT(ISNUMBER(Z647))),0,AA647*1000000*Z647/10000)</f>
        <v>0</v>
      </c>
      <c r="AO647" s="94" t="n">
        <f aca="false">IF(ISNUMBER(G647),AA647*1000000*G647/100,0)</f>
        <v>0</v>
      </c>
      <c r="AP647" s="94" t="n">
        <f aca="false">IF(ISNUMBER(M647),M647*K647,0)</f>
        <v>0</v>
      </c>
      <c r="AQ647" s="95" t="str">
        <f aca="false">IF(AB647="","",INDEX(시장분석!$AK:$AK,AB647))</f>
        <v/>
      </c>
      <c r="AR647" s="43" t="str">
        <f aca="false">IF(AB647="","-",IF(AB647="","",INDEX(시장분석!$AL:$AL,AB647)))</f>
        <v>-</v>
      </c>
      <c r="AS647" s="96" t="str">
        <f aca="false">IF(AB647="","",INDEX(시장분석!$AJ:$AJ,AB647))</f>
        <v/>
      </c>
      <c r="AT647" s="93" t="n">
        <f aca="false">IF(AB647="",0,IF(AB647="","",INDEX(시장분석!$AN:$AN,AB647)))</f>
        <v>0</v>
      </c>
      <c r="AU647" s="94" t="n">
        <f aca="false">IF(ISNUMBER(Z647),AT647/10000*MAX(Z647-1,0)*AA647*1000000,0)</f>
        <v>0</v>
      </c>
      <c r="AV647" s="94" t="n">
        <f aca="false">AO647+AU647</f>
        <v>0</v>
      </c>
      <c r="AW647" s="43" t="str">
        <f aca="false">IF(Q647&lt;&gt;1,"",TRIM(IF(AD647=1,"FRN ","")&amp;IF(AND(AL647&gt;=10,AL647&lt;99),"BBB0미만 ","")&amp;IF(AJ647="","등급없음 ","")&amp;IF(K647&lt;&gt;1,"비USD ","")&amp;IF(AND(AB647="",Y647=0),"시장데이터없음 ","")&amp;IF(AND(ISNUMBER(U647),U647&lt;0),"만기경과 ","")))</f>
        <v/>
      </c>
      <c r="AX647" s="90" t="n">
        <f aca="false">IF(Q647&lt;&gt;1,1,IF(스프레드쇼크!$C$4="Y",INDEX(스프레드쇼크!$B$12:$L$16,IFERROR(MATCH(AH647,스프레드쇼크!$A$12:$A$16,0),MATCH("목록외",스프레드쇼크!$A$12:$A$16,0)),IFERROR(MATCH(AG647,스프레드쇼크!$B$11:$L$11,0),MATCH("목록외",스프레드쇼크!$B$11:$L$11,0))),1))</f>
        <v>1</v>
      </c>
      <c r="AY647" s="90" t="n">
        <f aca="false">IF(스프레드쇼크!$C$5="Y",IF(ISNUMBER(AF647),MIN(스프레드쇼크!$C$7,MAX(스프레드쇼크!$C$6,AF647/스프레드쇼크!$C$8)),1),1)</f>
        <v>1</v>
      </c>
      <c r="AZ647" s="94" t="n">
        <f aca="false">AN647*AX647*AY647</f>
        <v>0</v>
      </c>
      <c r="BA647" s="90" t="n">
        <f aca="false">IF(ISNUMBER(G647),AA647*G647,0)</f>
        <v>0</v>
      </c>
      <c r="BB647" s="90" t="n">
        <f aca="false">IF(ISNUMBER(G647),AA647,0)</f>
        <v>0</v>
      </c>
      <c r="BC647" s="90" t="n">
        <f aca="false">IF(AND(Y647=0,ISNUMBER(AF647)),AA647*AF647,0)</f>
        <v>0</v>
      </c>
      <c r="BD647" s="90" t="n">
        <f aca="false">IF(AND(Y647=0,ISNUMBER(AF647)),AA647,0)</f>
        <v>0</v>
      </c>
      <c r="BE647" s="90" t="n">
        <f aca="false">IF(ISNUMBER(H647),AA647*H647,0)</f>
        <v>0</v>
      </c>
      <c r="BF647" s="90" t="n">
        <f aca="false">IF(ISNUMBER(H647),AA647,0)</f>
        <v>0</v>
      </c>
      <c r="BG647" s="90" t="n">
        <f aca="false">IF(AND(Y647=0,ISNUMBER(AF647),ISNUMBER(Z647)),AA647*Z647,0)</f>
        <v>0</v>
      </c>
      <c r="BH647" s="90" t="n">
        <f aca="false">IF(AND(Y647=0,ISNUMBER(AF647),ISNUMBER(Z647)),AA647*AT647*MAX(Z647-1,0),0)</f>
        <v>0</v>
      </c>
      <c r="BI647" s="90" t="n">
        <f aca="false">IF(Y647=0,AA647,0)</f>
        <v>0</v>
      </c>
    </row>
    <row r="648" customFormat="false" ht="15" hidden="false" customHeight="false" outlineLevel="0" collapsed="false">
      <c r="A648" s="83" t="str">
        <f aca="false">IFERROR(IF(INDEX(원자료_잔고!$A$1:$EZ$1500,설정!$L$5+ROW()-1,설정!$L$8)&amp;""="0","",INDEX(원자료_잔고!$A$1:$EZ$1500,설정!$L$5+ROW()-1,설정!$L$8)&amp;""),"")</f>
        <v/>
      </c>
      <c r="B648" s="83" t="str">
        <f aca="false">IFERROR(IF(INDEX(원자료_잔고!$A$1:$EZ$1500,설정!$L$5+ROW()-1,설정!$L$7)&amp;""="0","",INDEX(원자료_잔고!$A$1:$EZ$1500,설정!$L$5+ROW()-1,설정!$L$7)&amp;""),"")</f>
        <v/>
      </c>
      <c r="C648" s="83" t="str">
        <f aca="false">IFERROR(IF(INDEX(원자료_잔고!$A$1:$EZ$1500,설정!$L$5+ROW()-1,설정!$L$9)&amp;""="0","",INDEX(원자료_잔고!$A$1:$EZ$1500,설정!$L$5+ROW()-1,설정!$L$9)&amp;""),"")</f>
        <v/>
      </c>
      <c r="D648" s="83" t="str">
        <f aca="false">IFERROR(IF(INDEX(원자료_잔고!$A$1:$EZ$1500,설정!$L$5+ROW()-1,설정!$L$10)&amp;""="0","",INDEX(원자료_잔고!$A$1:$EZ$1500,설정!$L$5+ROW()-1,설정!$L$10)&amp;""),"")</f>
        <v/>
      </c>
      <c r="E648" s="84" t="str">
        <f aca="false">IFERROR(IF(ISNUMBER(INDEX(원자료_잔고!$A$1:$EZ$1500,설정!$L$5+ROW()-1,설정!$L$11)),INDEX(원자료_잔고!$A$1:$EZ$1500,설정!$L$5+ROW()-1,설정!$L$11),""),"")</f>
        <v/>
      </c>
      <c r="F648" s="85" t="str">
        <f aca="false">IFERROR(IF(ISNUMBER(INDEX(원자료_잔고!$A$1:$EZ$1500,설정!$L$5+ROW()-1,설정!$L$12)),INDEX(원자료_잔고!$A$1:$EZ$1500,설정!$L$5+ROW()-1,설정!$L$12),""),"")</f>
        <v/>
      </c>
      <c r="G648" s="85" t="str">
        <f aca="false">IFERROR(IF(ISNUMBER(INDEX(원자료_잔고!$A$1:$EZ$1500,설정!$L$5+ROW()-1,설정!$L$13)),INDEX(원자료_잔고!$A$1:$EZ$1500,설정!$L$5+ROW()-1,설정!$L$13),""),"")</f>
        <v/>
      </c>
      <c r="H648" s="85" t="str">
        <f aca="false">IFERROR(IF(ISNUMBER(INDEX(원자료_잔고!$A$1:$EZ$1500,설정!$L$5+ROW()-1,설정!$L$14)),INDEX(원자료_잔고!$A$1:$EZ$1500,설정!$L$5+ROW()-1,설정!$L$14),""),"")</f>
        <v/>
      </c>
      <c r="I648" s="86" t="str">
        <f aca="false">IFERROR(IF(ISNUMBER(INDEX(원자료_잔고!$A$1:$EZ$1500,설정!$L$5+ROW()-1,설정!$L$15)),INDEX(원자료_잔고!$A$1:$EZ$1500,설정!$L$5+ROW()-1,설정!$L$15),""),"")</f>
        <v/>
      </c>
      <c r="J648" s="85" t="str">
        <f aca="false">IFERROR(IF(ISNUMBER(INDEX(원자료_잔고!$A$1:$EZ$1500,설정!$L$5+ROW()-1,설정!$L$16)),INDEX(원자료_잔고!$A$1:$EZ$1500,설정!$L$5+ROW()-1,설정!$L$16),""),"")</f>
        <v/>
      </c>
      <c r="K648" s="87" t="str">
        <f aca="false">IFERROR(IF(ISNUMBER(INDEX(원자료_잔고!$A$1:$EZ$1500,설정!$L$5+ROW()-1,설정!$L$17)),INDEX(원자료_잔고!$A$1:$EZ$1500,설정!$L$5+ROW()-1,설정!$L$17),""),"")</f>
        <v/>
      </c>
      <c r="L648" s="84" t="str">
        <f aca="false">IFERROR(IF(ISNUMBER(INDEX(원자료_잔고!$A$1:$EZ$1500,설정!$L$5+ROW()-1,설정!$L$18)),INDEX(원자료_잔고!$A$1:$EZ$1500,설정!$L$5+ROW()-1,설정!$L$18),""),"")</f>
        <v/>
      </c>
      <c r="M648" s="88" t="str">
        <f aca="false">IFERROR(IF(ISNUMBER(INDEX(원자료_잔고!$A$1:$EZ$1500,설정!$L$5+ROW()-1,설정!$L$19)),INDEX(원자료_잔고!$A$1:$EZ$1500,설정!$L$5+ROW()-1,설정!$L$19),""),"")</f>
        <v/>
      </c>
      <c r="N648" s="83" t="str">
        <f aca="false">IFERROR(IF(INDEX(원자료_잔고!$A$1:$EZ$1500,설정!$L$5+ROW()-1,설정!$L$21)&amp;""="0","",INDEX(원자료_잔고!$A$1:$EZ$1500,설정!$L$5+ROW()-1,설정!$L$21)&amp;""),"")</f>
        <v/>
      </c>
      <c r="O648" s="83" t="str">
        <f aca="false">IFERROR(IF(INDEX(원자료_잔고!$A$1:$EZ$1500,설정!$L$5+ROW()-1,설정!$L$22)&amp;""="0","",INDEX(원자료_잔고!$A$1:$EZ$1500,설정!$L$5+ROW()-1,설정!$L$22)&amp;""),"")</f>
        <v/>
      </c>
      <c r="P648" s="83" t="str">
        <f aca="false">IFERROR(IF(INDEX(원자료_잔고!$A$1:$EZ$1500,설정!$L$5+ROW()-1,설정!$L$23)&amp;""="0","",INDEX(원자료_잔고!$A$1:$EZ$1500,설정!$L$5+ROW()-1,설정!$L$23)&amp;""),"")</f>
        <v/>
      </c>
      <c r="Q648" s="89" t="n">
        <f aca="false">IF(AND($A648&lt;&gt;"",ISNUMBER(E648)),IF(E648&gt;0,1,0),0)</f>
        <v>0</v>
      </c>
      <c r="R648" s="43" t="str">
        <f aca="false">IF(Q648=1,UPPER(LEFT($A648,FIND(" ",$A648&amp;" ")-1)),"")</f>
        <v/>
      </c>
      <c r="S648" s="89" t="n">
        <f aca="false">IF(Q648=1,IF(OR(ISNUMBER(SEARCH("Float",$A648)),ISNUMBER(SEARCH("FRN",$A648))),1,0),0)</f>
        <v>0</v>
      </c>
      <c r="T648" s="43" t="str">
        <f aca="false">IF(AND(Q648=1,ISNUMBER(I648)),TEXT(I648,"yyyymmdd")&amp;"|"&amp;IF(S648=1,"F",TEXT(J648,"0.000")),"")</f>
        <v/>
      </c>
      <c r="U648" s="90" t="str">
        <f aca="false">IF(AND(Q648=1,ISNUMBER(I648)),(I648-설정!$C$4)/365.25,"")</f>
        <v/>
      </c>
      <c r="V648" s="43" t="str">
        <f aca="false">IF(Q648&lt;&gt;1,"",IF(ISNUMBER(U648),IF(U648&lt;=1,"1년 이하",IF(U648&lt;=2,"1-2년",IF(U648&lt;=3,"2-3년",IF(U648&lt;=4,"3-4년",IF(U648&lt;=5,"4-5년",IF(U648&lt;=7,"5-7년",IF(U648&lt;=10,"7-10년",IF(U648&lt;=20,"10-20년","20년 이상")))))))),"미분류"))</f>
        <v/>
      </c>
      <c r="W648" s="43" t="str">
        <f aca="false">IF(Q648&lt;&gt;1,"",IF(AB648&lt;&gt;"",INDEX(시장분석!$C:$C,AB648),IF(K648=1,"USD","비USD")))</f>
        <v/>
      </c>
      <c r="X648" s="91" t="n">
        <f aca="false">IF(Q648=1,E648*K648/1000000,0)</f>
        <v>0</v>
      </c>
      <c r="Y648" s="89" t="n">
        <f aca="false">IF(R648="T",1,0)</f>
        <v>0</v>
      </c>
      <c r="Z648" s="92" t="str">
        <f aca="false">IF(Q648&lt;&gt;1,"",IF(AD648=1,IF(ISNUMBER(U648),MAX(U648,0),H648),H648))</f>
        <v/>
      </c>
      <c r="AA648" s="91" t="n">
        <f aca="false">IF(Q648=1,IF(ISNUMBER(L648),L648,0)*K648/1000000,0)</f>
        <v>0</v>
      </c>
      <c r="AB648" s="89" t="str">
        <f aca="false">IF(Q648&lt;&gt;1,"",IFERROR(MATCH(VLOOKUP(B648,매핑!$H$4:$I$15,2,0),시장분석!$A$2:$A$601,0)+1,IFERROR(MATCH(R648&amp;"|"&amp;T648,시장분석!$V$2:$V$601,0)+1,IF(COUNTIF(시장분석!$U$2:$U$601,T648)=1,MATCH(T648,시장분석!$U$2:$U$601,0)+1,""))))</f>
        <v/>
      </c>
      <c r="AC648" s="89" t="n">
        <f aca="false">IF(Q648&lt;&gt;1,0,IF(OR(설정!$C$5="전체",AND(설정!$C$5="선택펀드",IFERROR(COUNTIFS(설정!$F$16:$F$36,C648,설정!$G$16:$G$36,"Y")+COUNTIFS(설정!$F$16:$F$36,VALUE(C648),설정!$G$16:$G$36,"Y"),0)&gt;0),C648&amp;""=설정!$C$5&amp;""),1,0))</f>
        <v>0</v>
      </c>
      <c r="AD648" s="89" t="n">
        <f aca="false">IF(Q648&lt;&gt;1,0,IF(OR(S648=1,IF(AB648="",FALSE(),INDEX(시장분석!$R:$R,AB648)=1)),1,0))</f>
        <v>0</v>
      </c>
      <c r="AE648" s="43" t="str">
        <f aca="false">IF(AB648="","",INDEX(시장분석!$A:$A,AB648))</f>
        <v/>
      </c>
      <c r="AF648" s="93" t="str">
        <f aca="false">IF(AB648="","",IF(ISNUMBER(IF(AB648="","",INDEX(시장분석!$E:$E,AB648))),IF(AB648="","",INDEX(시장분석!$E:$E,AB648)),""))</f>
        <v/>
      </c>
      <c r="AG648" s="43" t="str">
        <f aca="false">IF(Q648&lt;&gt;1,"",IF(AB648&lt;&gt;"",IF(AB648="","",INDEX(시장분석!$L:$L,AB648)),IFERROR(IF(VLOOKUP(R648,매핑!$A$4:$E$92,5,0)="","미분류",VLOOKUP(R648,매핑!$A$4:$E$92,5,0)),"미분류")))</f>
        <v/>
      </c>
      <c r="AH648" s="43" t="str">
        <f aca="false">IF(Q648&lt;&gt;1,"",IF(AB648&lt;&gt;"",IF(AB648="","",INDEX(시장분석!$N:$N,AB648)),IFERROR(IF(VLOOKUP(R648,매핑!$A$4:$E$92,4,0)="","미분류",VLOOKUP(R648,매핑!$A$4:$E$92,4,0)),"미분류")))</f>
        <v/>
      </c>
      <c r="AI648" s="43" t="str">
        <f aca="false">IF(Q648&lt;&gt;1,"",IFERROR(IF(VLOOKUP(R648,매핑!$A$4:$E$92,3,0)="","미분류",VLOOKUP(R648,매핑!$A$4:$E$92,3,0)),IF(AB648&lt;&gt;"",IF(AB648="","",INDEX(시장분석!$W:$W,AB648)),"미분류")))</f>
        <v/>
      </c>
      <c r="AJ648" s="43" t="str">
        <f aca="false">IF(Q648&lt;&gt;1,"",IFERROR(VLOOKUP(IF(N648&lt;&gt;"",N648,IF(P648&lt;&gt;"",P648,O648)),설정!$A$15:$D$47,2,0),""))</f>
        <v/>
      </c>
      <c r="AK648" s="43" t="str">
        <f aca="false">IF(Q648&lt;&gt;1,"",IF(AJ648="","무등급",IFERROR(VLOOKUP(AJ648,설정!$A$15:$D$47,3,0),"무등급")))</f>
        <v/>
      </c>
      <c r="AL648" s="89" t="n">
        <f aca="false">IF(AJ648="",99,IFERROR(VLOOKUP(AJ648,설정!$A$15:$D$47,4,0),99))</f>
        <v>99</v>
      </c>
      <c r="AM648" s="94" t="n">
        <f aca="false">IF(ISNUMBER(H648),AA648*1000000*H648/10000,0)</f>
        <v>0</v>
      </c>
      <c r="AN648" s="94" t="n">
        <f aca="false">IF(OR(Y648=1,NOT(ISNUMBER(Z648))),0,AA648*1000000*Z648/10000)</f>
        <v>0</v>
      </c>
      <c r="AO648" s="94" t="n">
        <f aca="false">IF(ISNUMBER(G648),AA648*1000000*G648/100,0)</f>
        <v>0</v>
      </c>
      <c r="AP648" s="94" t="n">
        <f aca="false">IF(ISNUMBER(M648),M648*K648,0)</f>
        <v>0</v>
      </c>
      <c r="AQ648" s="95" t="str">
        <f aca="false">IF(AB648="","",INDEX(시장분석!$AK:$AK,AB648))</f>
        <v/>
      </c>
      <c r="AR648" s="43" t="str">
        <f aca="false">IF(AB648="","-",IF(AB648="","",INDEX(시장분석!$AL:$AL,AB648)))</f>
        <v>-</v>
      </c>
      <c r="AS648" s="96" t="str">
        <f aca="false">IF(AB648="","",INDEX(시장분석!$AJ:$AJ,AB648))</f>
        <v/>
      </c>
      <c r="AT648" s="93" t="n">
        <f aca="false">IF(AB648="",0,IF(AB648="","",INDEX(시장분석!$AN:$AN,AB648)))</f>
        <v>0</v>
      </c>
      <c r="AU648" s="94" t="n">
        <f aca="false">IF(ISNUMBER(Z648),AT648/10000*MAX(Z648-1,0)*AA648*1000000,0)</f>
        <v>0</v>
      </c>
      <c r="AV648" s="94" t="n">
        <f aca="false">AO648+AU648</f>
        <v>0</v>
      </c>
      <c r="AW648" s="43" t="str">
        <f aca="false">IF(Q648&lt;&gt;1,"",TRIM(IF(AD648=1,"FRN ","")&amp;IF(AND(AL648&gt;=10,AL648&lt;99),"BBB0미만 ","")&amp;IF(AJ648="","등급없음 ","")&amp;IF(K648&lt;&gt;1,"비USD ","")&amp;IF(AND(AB648="",Y648=0),"시장데이터없음 ","")&amp;IF(AND(ISNUMBER(U648),U648&lt;0),"만기경과 ","")))</f>
        <v/>
      </c>
      <c r="AX648" s="90" t="n">
        <f aca="false">IF(Q648&lt;&gt;1,1,IF(스프레드쇼크!$C$4="Y",INDEX(스프레드쇼크!$B$12:$L$16,IFERROR(MATCH(AH648,스프레드쇼크!$A$12:$A$16,0),MATCH("목록외",스프레드쇼크!$A$12:$A$16,0)),IFERROR(MATCH(AG648,스프레드쇼크!$B$11:$L$11,0),MATCH("목록외",스프레드쇼크!$B$11:$L$11,0))),1))</f>
        <v>1</v>
      </c>
      <c r="AY648" s="90" t="n">
        <f aca="false">IF(스프레드쇼크!$C$5="Y",IF(ISNUMBER(AF648),MIN(스프레드쇼크!$C$7,MAX(스프레드쇼크!$C$6,AF648/스프레드쇼크!$C$8)),1),1)</f>
        <v>1</v>
      </c>
      <c r="AZ648" s="94" t="n">
        <f aca="false">AN648*AX648*AY648</f>
        <v>0</v>
      </c>
      <c r="BA648" s="90" t="n">
        <f aca="false">IF(ISNUMBER(G648),AA648*G648,0)</f>
        <v>0</v>
      </c>
      <c r="BB648" s="90" t="n">
        <f aca="false">IF(ISNUMBER(G648),AA648,0)</f>
        <v>0</v>
      </c>
      <c r="BC648" s="90" t="n">
        <f aca="false">IF(AND(Y648=0,ISNUMBER(AF648)),AA648*AF648,0)</f>
        <v>0</v>
      </c>
      <c r="BD648" s="90" t="n">
        <f aca="false">IF(AND(Y648=0,ISNUMBER(AF648)),AA648,0)</f>
        <v>0</v>
      </c>
      <c r="BE648" s="90" t="n">
        <f aca="false">IF(ISNUMBER(H648),AA648*H648,0)</f>
        <v>0</v>
      </c>
      <c r="BF648" s="90" t="n">
        <f aca="false">IF(ISNUMBER(H648),AA648,0)</f>
        <v>0</v>
      </c>
      <c r="BG648" s="90" t="n">
        <f aca="false">IF(AND(Y648=0,ISNUMBER(AF648),ISNUMBER(Z648)),AA648*Z648,0)</f>
        <v>0</v>
      </c>
      <c r="BH648" s="90" t="n">
        <f aca="false">IF(AND(Y648=0,ISNUMBER(AF648),ISNUMBER(Z648)),AA648*AT648*MAX(Z648-1,0),0)</f>
        <v>0</v>
      </c>
      <c r="BI648" s="90" t="n">
        <f aca="false">IF(Y648=0,AA648,0)</f>
        <v>0</v>
      </c>
    </row>
    <row r="649" customFormat="false" ht="15" hidden="false" customHeight="false" outlineLevel="0" collapsed="false">
      <c r="A649" s="83" t="str">
        <f aca="false">IFERROR(IF(INDEX(원자료_잔고!$A$1:$EZ$1500,설정!$L$5+ROW()-1,설정!$L$8)&amp;""="0","",INDEX(원자료_잔고!$A$1:$EZ$1500,설정!$L$5+ROW()-1,설정!$L$8)&amp;""),"")</f>
        <v/>
      </c>
      <c r="B649" s="83" t="str">
        <f aca="false">IFERROR(IF(INDEX(원자료_잔고!$A$1:$EZ$1500,설정!$L$5+ROW()-1,설정!$L$7)&amp;""="0","",INDEX(원자료_잔고!$A$1:$EZ$1500,설정!$L$5+ROW()-1,설정!$L$7)&amp;""),"")</f>
        <v/>
      </c>
      <c r="C649" s="83" t="str">
        <f aca="false">IFERROR(IF(INDEX(원자료_잔고!$A$1:$EZ$1500,설정!$L$5+ROW()-1,설정!$L$9)&amp;""="0","",INDEX(원자료_잔고!$A$1:$EZ$1500,설정!$L$5+ROW()-1,설정!$L$9)&amp;""),"")</f>
        <v/>
      </c>
      <c r="D649" s="83" t="str">
        <f aca="false">IFERROR(IF(INDEX(원자료_잔고!$A$1:$EZ$1500,설정!$L$5+ROW()-1,설정!$L$10)&amp;""="0","",INDEX(원자료_잔고!$A$1:$EZ$1500,설정!$L$5+ROW()-1,설정!$L$10)&amp;""),"")</f>
        <v/>
      </c>
      <c r="E649" s="84" t="str">
        <f aca="false">IFERROR(IF(ISNUMBER(INDEX(원자료_잔고!$A$1:$EZ$1500,설정!$L$5+ROW()-1,설정!$L$11)),INDEX(원자료_잔고!$A$1:$EZ$1500,설정!$L$5+ROW()-1,설정!$L$11),""),"")</f>
        <v/>
      </c>
      <c r="F649" s="85" t="str">
        <f aca="false">IFERROR(IF(ISNUMBER(INDEX(원자료_잔고!$A$1:$EZ$1500,설정!$L$5+ROW()-1,설정!$L$12)),INDEX(원자료_잔고!$A$1:$EZ$1500,설정!$L$5+ROW()-1,설정!$L$12),""),"")</f>
        <v/>
      </c>
      <c r="G649" s="85" t="str">
        <f aca="false">IFERROR(IF(ISNUMBER(INDEX(원자료_잔고!$A$1:$EZ$1500,설정!$L$5+ROW()-1,설정!$L$13)),INDEX(원자료_잔고!$A$1:$EZ$1500,설정!$L$5+ROW()-1,설정!$L$13),""),"")</f>
        <v/>
      </c>
      <c r="H649" s="85" t="str">
        <f aca="false">IFERROR(IF(ISNUMBER(INDEX(원자료_잔고!$A$1:$EZ$1500,설정!$L$5+ROW()-1,설정!$L$14)),INDEX(원자료_잔고!$A$1:$EZ$1500,설정!$L$5+ROW()-1,설정!$L$14),""),"")</f>
        <v/>
      </c>
      <c r="I649" s="86" t="str">
        <f aca="false">IFERROR(IF(ISNUMBER(INDEX(원자료_잔고!$A$1:$EZ$1500,설정!$L$5+ROW()-1,설정!$L$15)),INDEX(원자료_잔고!$A$1:$EZ$1500,설정!$L$5+ROW()-1,설정!$L$15),""),"")</f>
        <v/>
      </c>
      <c r="J649" s="85" t="str">
        <f aca="false">IFERROR(IF(ISNUMBER(INDEX(원자료_잔고!$A$1:$EZ$1500,설정!$L$5+ROW()-1,설정!$L$16)),INDEX(원자료_잔고!$A$1:$EZ$1500,설정!$L$5+ROW()-1,설정!$L$16),""),"")</f>
        <v/>
      </c>
      <c r="K649" s="87" t="str">
        <f aca="false">IFERROR(IF(ISNUMBER(INDEX(원자료_잔고!$A$1:$EZ$1500,설정!$L$5+ROW()-1,설정!$L$17)),INDEX(원자료_잔고!$A$1:$EZ$1500,설정!$L$5+ROW()-1,설정!$L$17),""),"")</f>
        <v/>
      </c>
      <c r="L649" s="84" t="str">
        <f aca="false">IFERROR(IF(ISNUMBER(INDEX(원자료_잔고!$A$1:$EZ$1500,설정!$L$5+ROW()-1,설정!$L$18)),INDEX(원자료_잔고!$A$1:$EZ$1500,설정!$L$5+ROW()-1,설정!$L$18),""),"")</f>
        <v/>
      </c>
      <c r="M649" s="88" t="str">
        <f aca="false">IFERROR(IF(ISNUMBER(INDEX(원자료_잔고!$A$1:$EZ$1500,설정!$L$5+ROW()-1,설정!$L$19)),INDEX(원자료_잔고!$A$1:$EZ$1500,설정!$L$5+ROW()-1,설정!$L$19),""),"")</f>
        <v/>
      </c>
      <c r="N649" s="83" t="str">
        <f aca="false">IFERROR(IF(INDEX(원자료_잔고!$A$1:$EZ$1500,설정!$L$5+ROW()-1,설정!$L$21)&amp;""="0","",INDEX(원자료_잔고!$A$1:$EZ$1500,설정!$L$5+ROW()-1,설정!$L$21)&amp;""),"")</f>
        <v/>
      </c>
      <c r="O649" s="83" t="str">
        <f aca="false">IFERROR(IF(INDEX(원자료_잔고!$A$1:$EZ$1500,설정!$L$5+ROW()-1,설정!$L$22)&amp;""="0","",INDEX(원자료_잔고!$A$1:$EZ$1500,설정!$L$5+ROW()-1,설정!$L$22)&amp;""),"")</f>
        <v/>
      </c>
      <c r="P649" s="83" t="str">
        <f aca="false">IFERROR(IF(INDEX(원자료_잔고!$A$1:$EZ$1500,설정!$L$5+ROW()-1,설정!$L$23)&amp;""="0","",INDEX(원자료_잔고!$A$1:$EZ$1500,설정!$L$5+ROW()-1,설정!$L$23)&amp;""),"")</f>
        <v/>
      </c>
      <c r="Q649" s="89" t="n">
        <f aca="false">IF(AND($A649&lt;&gt;"",ISNUMBER(E649)),IF(E649&gt;0,1,0),0)</f>
        <v>0</v>
      </c>
      <c r="R649" s="43" t="str">
        <f aca="false">IF(Q649=1,UPPER(LEFT($A649,FIND(" ",$A649&amp;" ")-1)),"")</f>
        <v/>
      </c>
      <c r="S649" s="89" t="n">
        <f aca="false">IF(Q649=1,IF(OR(ISNUMBER(SEARCH("Float",$A649)),ISNUMBER(SEARCH("FRN",$A649))),1,0),0)</f>
        <v>0</v>
      </c>
      <c r="T649" s="43" t="str">
        <f aca="false">IF(AND(Q649=1,ISNUMBER(I649)),TEXT(I649,"yyyymmdd")&amp;"|"&amp;IF(S649=1,"F",TEXT(J649,"0.000")),"")</f>
        <v/>
      </c>
      <c r="U649" s="90" t="str">
        <f aca="false">IF(AND(Q649=1,ISNUMBER(I649)),(I649-설정!$C$4)/365.25,"")</f>
        <v/>
      </c>
      <c r="V649" s="43" t="str">
        <f aca="false">IF(Q649&lt;&gt;1,"",IF(ISNUMBER(U649),IF(U649&lt;=1,"1년 이하",IF(U649&lt;=2,"1-2년",IF(U649&lt;=3,"2-3년",IF(U649&lt;=4,"3-4년",IF(U649&lt;=5,"4-5년",IF(U649&lt;=7,"5-7년",IF(U649&lt;=10,"7-10년",IF(U649&lt;=20,"10-20년","20년 이상")))))))),"미분류"))</f>
        <v/>
      </c>
      <c r="W649" s="43" t="str">
        <f aca="false">IF(Q649&lt;&gt;1,"",IF(AB649&lt;&gt;"",INDEX(시장분석!$C:$C,AB649),IF(K649=1,"USD","비USD")))</f>
        <v/>
      </c>
      <c r="X649" s="91" t="n">
        <f aca="false">IF(Q649=1,E649*K649/1000000,0)</f>
        <v>0</v>
      </c>
      <c r="Y649" s="89" t="n">
        <f aca="false">IF(R649="T",1,0)</f>
        <v>0</v>
      </c>
      <c r="Z649" s="92" t="str">
        <f aca="false">IF(Q649&lt;&gt;1,"",IF(AD649=1,IF(ISNUMBER(U649),MAX(U649,0),H649),H649))</f>
        <v/>
      </c>
      <c r="AA649" s="91" t="n">
        <f aca="false">IF(Q649=1,IF(ISNUMBER(L649),L649,0)*K649/1000000,0)</f>
        <v>0</v>
      </c>
      <c r="AB649" s="89" t="str">
        <f aca="false">IF(Q649&lt;&gt;1,"",IFERROR(MATCH(VLOOKUP(B649,매핑!$H$4:$I$15,2,0),시장분석!$A$2:$A$601,0)+1,IFERROR(MATCH(R649&amp;"|"&amp;T649,시장분석!$V$2:$V$601,0)+1,IF(COUNTIF(시장분석!$U$2:$U$601,T649)=1,MATCH(T649,시장분석!$U$2:$U$601,0)+1,""))))</f>
        <v/>
      </c>
      <c r="AC649" s="89" t="n">
        <f aca="false">IF(Q649&lt;&gt;1,0,IF(OR(설정!$C$5="전체",AND(설정!$C$5="선택펀드",IFERROR(COUNTIFS(설정!$F$16:$F$36,C649,설정!$G$16:$G$36,"Y")+COUNTIFS(설정!$F$16:$F$36,VALUE(C649),설정!$G$16:$G$36,"Y"),0)&gt;0),C649&amp;""=설정!$C$5&amp;""),1,0))</f>
        <v>0</v>
      </c>
      <c r="AD649" s="89" t="n">
        <f aca="false">IF(Q649&lt;&gt;1,0,IF(OR(S649=1,IF(AB649="",FALSE(),INDEX(시장분석!$R:$R,AB649)=1)),1,0))</f>
        <v>0</v>
      </c>
      <c r="AE649" s="43" t="str">
        <f aca="false">IF(AB649="","",INDEX(시장분석!$A:$A,AB649))</f>
        <v/>
      </c>
      <c r="AF649" s="93" t="str">
        <f aca="false">IF(AB649="","",IF(ISNUMBER(IF(AB649="","",INDEX(시장분석!$E:$E,AB649))),IF(AB649="","",INDEX(시장분석!$E:$E,AB649)),""))</f>
        <v/>
      </c>
      <c r="AG649" s="43" t="str">
        <f aca="false">IF(Q649&lt;&gt;1,"",IF(AB649&lt;&gt;"",IF(AB649="","",INDEX(시장분석!$L:$L,AB649)),IFERROR(IF(VLOOKUP(R649,매핑!$A$4:$E$92,5,0)="","미분류",VLOOKUP(R649,매핑!$A$4:$E$92,5,0)),"미분류")))</f>
        <v/>
      </c>
      <c r="AH649" s="43" t="str">
        <f aca="false">IF(Q649&lt;&gt;1,"",IF(AB649&lt;&gt;"",IF(AB649="","",INDEX(시장분석!$N:$N,AB649)),IFERROR(IF(VLOOKUP(R649,매핑!$A$4:$E$92,4,0)="","미분류",VLOOKUP(R649,매핑!$A$4:$E$92,4,0)),"미분류")))</f>
        <v/>
      </c>
      <c r="AI649" s="43" t="str">
        <f aca="false">IF(Q649&lt;&gt;1,"",IFERROR(IF(VLOOKUP(R649,매핑!$A$4:$E$92,3,0)="","미분류",VLOOKUP(R649,매핑!$A$4:$E$92,3,0)),IF(AB649&lt;&gt;"",IF(AB649="","",INDEX(시장분석!$W:$W,AB649)),"미분류")))</f>
        <v/>
      </c>
      <c r="AJ649" s="43" t="str">
        <f aca="false">IF(Q649&lt;&gt;1,"",IFERROR(VLOOKUP(IF(N649&lt;&gt;"",N649,IF(P649&lt;&gt;"",P649,O649)),설정!$A$15:$D$47,2,0),""))</f>
        <v/>
      </c>
      <c r="AK649" s="43" t="str">
        <f aca="false">IF(Q649&lt;&gt;1,"",IF(AJ649="","무등급",IFERROR(VLOOKUP(AJ649,설정!$A$15:$D$47,3,0),"무등급")))</f>
        <v/>
      </c>
      <c r="AL649" s="89" t="n">
        <f aca="false">IF(AJ649="",99,IFERROR(VLOOKUP(AJ649,설정!$A$15:$D$47,4,0),99))</f>
        <v>99</v>
      </c>
      <c r="AM649" s="94" t="n">
        <f aca="false">IF(ISNUMBER(H649),AA649*1000000*H649/10000,0)</f>
        <v>0</v>
      </c>
      <c r="AN649" s="94" t="n">
        <f aca="false">IF(OR(Y649=1,NOT(ISNUMBER(Z649))),0,AA649*1000000*Z649/10000)</f>
        <v>0</v>
      </c>
      <c r="AO649" s="94" t="n">
        <f aca="false">IF(ISNUMBER(G649),AA649*1000000*G649/100,0)</f>
        <v>0</v>
      </c>
      <c r="AP649" s="94" t="n">
        <f aca="false">IF(ISNUMBER(M649),M649*K649,0)</f>
        <v>0</v>
      </c>
      <c r="AQ649" s="95" t="str">
        <f aca="false">IF(AB649="","",INDEX(시장분석!$AK:$AK,AB649))</f>
        <v/>
      </c>
      <c r="AR649" s="43" t="str">
        <f aca="false">IF(AB649="","-",IF(AB649="","",INDEX(시장분석!$AL:$AL,AB649)))</f>
        <v>-</v>
      </c>
      <c r="AS649" s="96" t="str">
        <f aca="false">IF(AB649="","",INDEX(시장분석!$AJ:$AJ,AB649))</f>
        <v/>
      </c>
      <c r="AT649" s="93" t="n">
        <f aca="false">IF(AB649="",0,IF(AB649="","",INDEX(시장분석!$AN:$AN,AB649)))</f>
        <v>0</v>
      </c>
      <c r="AU649" s="94" t="n">
        <f aca="false">IF(ISNUMBER(Z649),AT649/10000*MAX(Z649-1,0)*AA649*1000000,0)</f>
        <v>0</v>
      </c>
      <c r="AV649" s="94" t="n">
        <f aca="false">AO649+AU649</f>
        <v>0</v>
      </c>
      <c r="AW649" s="43" t="str">
        <f aca="false">IF(Q649&lt;&gt;1,"",TRIM(IF(AD649=1,"FRN ","")&amp;IF(AND(AL649&gt;=10,AL649&lt;99),"BBB0미만 ","")&amp;IF(AJ649="","등급없음 ","")&amp;IF(K649&lt;&gt;1,"비USD ","")&amp;IF(AND(AB649="",Y649=0),"시장데이터없음 ","")&amp;IF(AND(ISNUMBER(U649),U649&lt;0),"만기경과 ","")))</f>
        <v/>
      </c>
      <c r="AX649" s="90" t="n">
        <f aca="false">IF(Q649&lt;&gt;1,1,IF(스프레드쇼크!$C$4="Y",INDEX(스프레드쇼크!$B$12:$L$16,IFERROR(MATCH(AH649,스프레드쇼크!$A$12:$A$16,0),MATCH("목록외",스프레드쇼크!$A$12:$A$16,0)),IFERROR(MATCH(AG649,스프레드쇼크!$B$11:$L$11,0),MATCH("목록외",스프레드쇼크!$B$11:$L$11,0))),1))</f>
        <v>1</v>
      </c>
      <c r="AY649" s="90" t="n">
        <f aca="false">IF(스프레드쇼크!$C$5="Y",IF(ISNUMBER(AF649),MIN(스프레드쇼크!$C$7,MAX(스프레드쇼크!$C$6,AF649/스프레드쇼크!$C$8)),1),1)</f>
        <v>1</v>
      </c>
      <c r="AZ649" s="94" t="n">
        <f aca="false">AN649*AX649*AY649</f>
        <v>0</v>
      </c>
      <c r="BA649" s="90" t="n">
        <f aca="false">IF(ISNUMBER(G649),AA649*G649,0)</f>
        <v>0</v>
      </c>
      <c r="BB649" s="90" t="n">
        <f aca="false">IF(ISNUMBER(G649),AA649,0)</f>
        <v>0</v>
      </c>
      <c r="BC649" s="90" t="n">
        <f aca="false">IF(AND(Y649=0,ISNUMBER(AF649)),AA649*AF649,0)</f>
        <v>0</v>
      </c>
      <c r="BD649" s="90" t="n">
        <f aca="false">IF(AND(Y649=0,ISNUMBER(AF649)),AA649,0)</f>
        <v>0</v>
      </c>
      <c r="BE649" s="90" t="n">
        <f aca="false">IF(ISNUMBER(H649),AA649*H649,0)</f>
        <v>0</v>
      </c>
      <c r="BF649" s="90" t="n">
        <f aca="false">IF(ISNUMBER(H649),AA649,0)</f>
        <v>0</v>
      </c>
      <c r="BG649" s="90" t="n">
        <f aca="false">IF(AND(Y649=0,ISNUMBER(AF649),ISNUMBER(Z649)),AA649*Z649,0)</f>
        <v>0</v>
      </c>
      <c r="BH649" s="90" t="n">
        <f aca="false">IF(AND(Y649=0,ISNUMBER(AF649),ISNUMBER(Z649)),AA649*AT649*MAX(Z649-1,0),0)</f>
        <v>0</v>
      </c>
      <c r="BI649" s="90" t="n">
        <f aca="false">IF(Y649=0,AA649,0)</f>
        <v>0</v>
      </c>
    </row>
    <row r="650" customFormat="false" ht="15" hidden="false" customHeight="false" outlineLevel="0" collapsed="false">
      <c r="A650" s="83" t="str">
        <f aca="false">IFERROR(IF(INDEX(원자료_잔고!$A$1:$EZ$1500,설정!$L$5+ROW()-1,설정!$L$8)&amp;""="0","",INDEX(원자료_잔고!$A$1:$EZ$1500,설정!$L$5+ROW()-1,설정!$L$8)&amp;""),"")</f>
        <v/>
      </c>
      <c r="B650" s="83" t="str">
        <f aca="false">IFERROR(IF(INDEX(원자료_잔고!$A$1:$EZ$1500,설정!$L$5+ROW()-1,설정!$L$7)&amp;""="0","",INDEX(원자료_잔고!$A$1:$EZ$1500,설정!$L$5+ROW()-1,설정!$L$7)&amp;""),"")</f>
        <v/>
      </c>
      <c r="C650" s="83" t="str">
        <f aca="false">IFERROR(IF(INDEX(원자료_잔고!$A$1:$EZ$1500,설정!$L$5+ROW()-1,설정!$L$9)&amp;""="0","",INDEX(원자료_잔고!$A$1:$EZ$1500,설정!$L$5+ROW()-1,설정!$L$9)&amp;""),"")</f>
        <v/>
      </c>
      <c r="D650" s="83" t="str">
        <f aca="false">IFERROR(IF(INDEX(원자료_잔고!$A$1:$EZ$1500,설정!$L$5+ROW()-1,설정!$L$10)&amp;""="0","",INDEX(원자료_잔고!$A$1:$EZ$1500,설정!$L$5+ROW()-1,설정!$L$10)&amp;""),"")</f>
        <v/>
      </c>
      <c r="E650" s="84" t="str">
        <f aca="false">IFERROR(IF(ISNUMBER(INDEX(원자료_잔고!$A$1:$EZ$1500,설정!$L$5+ROW()-1,설정!$L$11)),INDEX(원자료_잔고!$A$1:$EZ$1500,설정!$L$5+ROW()-1,설정!$L$11),""),"")</f>
        <v/>
      </c>
      <c r="F650" s="85" t="str">
        <f aca="false">IFERROR(IF(ISNUMBER(INDEX(원자료_잔고!$A$1:$EZ$1500,설정!$L$5+ROW()-1,설정!$L$12)),INDEX(원자료_잔고!$A$1:$EZ$1500,설정!$L$5+ROW()-1,설정!$L$12),""),"")</f>
        <v/>
      </c>
      <c r="G650" s="85" t="str">
        <f aca="false">IFERROR(IF(ISNUMBER(INDEX(원자료_잔고!$A$1:$EZ$1500,설정!$L$5+ROW()-1,설정!$L$13)),INDEX(원자료_잔고!$A$1:$EZ$1500,설정!$L$5+ROW()-1,설정!$L$13),""),"")</f>
        <v/>
      </c>
      <c r="H650" s="85" t="str">
        <f aca="false">IFERROR(IF(ISNUMBER(INDEX(원자료_잔고!$A$1:$EZ$1500,설정!$L$5+ROW()-1,설정!$L$14)),INDEX(원자료_잔고!$A$1:$EZ$1500,설정!$L$5+ROW()-1,설정!$L$14),""),"")</f>
        <v/>
      </c>
      <c r="I650" s="86" t="str">
        <f aca="false">IFERROR(IF(ISNUMBER(INDEX(원자료_잔고!$A$1:$EZ$1500,설정!$L$5+ROW()-1,설정!$L$15)),INDEX(원자료_잔고!$A$1:$EZ$1500,설정!$L$5+ROW()-1,설정!$L$15),""),"")</f>
        <v/>
      </c>
      <c r="J650" s="85" t="str">
        <f aca="false">IFERROR(IF(ISNUMBER(INDEX(원자료_잔고!$A$1:$EZ$1500,설정!$L$5+ROW()-1,설정!$L$16)),INDEX(원자료_잔고!$A$1:$EZ$1500,설정!$L$5+ROW()-1,설정!$L$16),""),"")</f>
        <v/>
      </c>
      <c r="K650" s="87" t="str">
        <f aca="false">IFERROR(IF(ISNUMBER(INDEX(원자료_잔고!$A$1:$EZ$1500,설정!$L$5+ROW()-1,설정!$L$17)),INDEX(원자료_잔고!$A$1:$EZ$1500,설정!$L$5+ROW()-1,설정!$L$17),""),"")</f>
        <v/>
      </c>
      <c r="L650" s="84" t="str">
        <f aca="false">IFERROR(IF(ISNUMBER(INDEX(원자료_잔고!$A$1:$EZ$1500,설정!$L$5+ROW()-1,설정!$L$18)),INDEX(원자료_잔고!$A$1:$EZ$1500,설정!$L$5+ROW()-1,설정!$L$18),""),"")</f>
        <v/>
      </c>
      <c r="M650" s="88" t="str">
        <f aca="false">IFERROR(IF(ISNUMBER(INDEX(원자료_잔고!$A$1:$EZ$1500,설정!$L$5+ROW()-1,설정!$L$19)),INDEX(원자료_잔고!$A$1:$EZ$1500,설정!$L$5+ROW()-1,설정!$L$19),""),"")</f>
        <v/>
      </c>
      <c r="N650" s="83" t="str">
        <f aca="false">IFERROR(IF(INDEX(원자료_잔고!$A$1:$EZ$1500,설정!$L$5+ROW()-1,설정!$L$21)&amp;""="0","",INDEX(원자료_잔고!$A$1:$EZ$1500,설정!$L$5+ROW()-1,설정!$L$21)&amp;""),"")</f>
        <v/>
      </c>
      <c r="O650" s="83" t="str">
        <f aca="false">IFERROR(IF(INDEX(원자료_잔고!$A$1:$EZ$1500,설정!$L$5+ROW()-1,설정!$L$22)&amp;""="0","",INDEX(원자료_잔고!$A$1:$EZ$1500,설정!$L$5+ROW()-1,설정!$L$22)&amp;""),"")</f>
        <v/>
      </c>
      <c r="P650" s="83" t="str">
        <f aca="false">IFERROR(IF(INDEX(원자료_잔고!$A$1:$EZ$1500,설정!$L$5+ROW()-1,설정!$L$23)&amp;""="0","",INDEX(원자료_잔고!$A$1:$EZ$1500,설정!$L$5+ROW()-1,설정!$L$23)&amp;""),"")</f>
        <v/>
      </c>
      <c r="Q650" s="89" t="n">
        <f aca="false">IF(AND($A650&lt;&gt;"",ISNUMBER(E650)),IF(E650&gt;0,1,0),0)</f>
        <v>0</v>
      </c>
      <c r="R650" s="43" t="str">
        <f aca="false">IF(Q650=1,UPPER(LEFT($A650,FIND(" ",$A650&amp;" ")-1)),"")</f>
        <v/>
      </c>
      <c r="S650" s="89" t="n">
        <f aca="false">IF(Q650=1,IF(OR(ISNUMBER(SEARCH("Float",$A650)),ISNUMBER(SEARCH("FRN",$A650))),1,0),0)</f>
        <v>0</v>
      </c>
      <c r="T650" s="43" t="str">
        <f aca="false">IF(AND(Q650=1,ISNUMBER(I650)),TEXT(I650,"yyyymmdd")&amp;"|"&amp;IF(S650=1,"F",TEXT(J650,"0.000")),"")</f>
        <v/>
      </c>
      <c r="U650" s="90" t="str">
        <f aca="false">IF(AND(Q650=1,ISNUMBER(I650)),(I650-설정!$C$4)/365.25,"")</f>
        <v/>
      </c>
      <c r="V650" s="43" t="str">
        <f aca="false">IF(Q650&lt;&gt;1,"",IF(ISNUMBER(U650),IF(U650&lt;=1,"1년 이하",IF(U650&lt;=2,"1-2년",IF(U650&lt;=3,"2-3년",IF(U650&lt;=4,"3-4년",IF(U650&lt;=5,"4-5년",IF(U650&lt;=7,"5-7년",IF(U650&lt;=10,"7-10년",IF(U650&lt;=20,"10-20년","20년 이상")))))))),"미분류"))</f>
        <v/>
      </c>
      <c r="W650" s="43" t="str">
        <f aca="false">IF(Q650&lt;&gt;1,"",IF(AB650&lt;&gt;"",INDEX(시장분석!$C:$C,AB650),IF(K650=1,"USD","비USD")))</f>
        <v/>
      </c>
      <c r="X650" s="91" t="n">
        <f aca="false">IF(Q650=1,E650*K650/1000000,0)</f>
        <v>0</v>
      </c>
      <c r="Y650" s="89" t="n">
        <f aca="false">IF(R650="T",1,0)</f>
        <v>0</v>
      </c>
      <c r="Z650" s="92" t="str">
        <f aca="false">IF(Q650&lt;&gt;1,"",IF(AD650=1,IF(ISNUMBER(U650),MAX(U650,0),H650),H650))</f>
        <v/>
      </c>
      <c r="AA650" s="91" t="n">
        <f aca="false">IF(Q650=1,IF(ISNUMBER(L650),L650,0)*K650/1000000,0)</f>
        <v>0</v>
      </c>
      <c r="AB650" s="89" t="str">
        <f aca="false">IF(Q650&lt;&gt;1,"",IFERROR(MATCH(VLOOKUP(B650,매핑!$H$4:$I$15,2,0),시장분석!$A$2:$A$601,0)+1,IFERROR(MATCH(R650&amp;"|"&amp;T650,시장분석!$V$2:$V$601,0)+1,IF(COUNTIF(시장분석!$U$2:$U$601,T650)=1,MATCH(T650,시장분석!$U$2:$U$601,0)+1,""))))</f>
        <v/>
      </c>
      <c r="AC650" s="89" t="n">
        <f aca="false">IF(Q650&lt;&gt;1,0,IF(OR(설정!$C$5="전체",AND(설정!$C$5="선택펀드",IFERROR(COUNTIFS(설정!$F$16:$F$36,C650,설정!$G$16:$G$36,"Y")+COUNTIFS(설정!$F$16:$F$36,VALUE(C650),설정!$G$16:$G$36,"Y"),0)&gt;0),C650&amp;""=설정!$C$5&amp;""),1,0))</f>
        <v>0</v>
      </c>
      <c r="AD650" s="89" t="n">
        <f aca="false">IF(Q650&lt;&gt;1,0,IF(OR(S650=1,IF(AB650="",FALSE(),INDEX(시장분석!$R:$R,AB650)=1)),1,0))</f>
        <v>0</v>
      </c>
      <c r="AE650" s="43" t="str">
        <f aca="false">IF(AB650="","",INDEX(시장분석!$A:$A,AB650))</f>
        <v/>
      </c>
      <c r="AF650" s="93" t="str">
        <f aca="false">IF(AB650="","",IF(ISNUMBER(IF(AB650="","",INDEX(시장분석!$E:$E,AB650))),IF(AB650="","",INDEX(시장분석!$E:$E,AB650)),""))</f>
        <v/>
      </c>
      <c r="AG650" s="43" t="str">
        <f aca="false">IF(Q650&lt;&gt;1,"",IF(AB650&lt;&gt;"",IF(AB650="","",INDEX(시장분석!$L:$L,AB650)),IFERROR(IF(VLOOKUP(R650,매핑!$A$4:$E$92,5,0)="","미분류",VLOOKUP(R650,매핑!$A$4:$E$92,5,0)),"미분류")))</f>
        <v/>
      </c>
      <c r="AH650" s="43" t="str">
        <f aca="false">IF(Q650&lt;&gt;1,"",IF(AB650&lt;&gt;"",IF(AB650="","",INDEX(시장분석!$N:$N,AB650)),IFERROR(IF(VLOOKUP(R650,매핑!$A$4:$E$92,4,0)="","미분류",VLOOKUP(R650,매핑!$A$4:$E$92,4,0)),"미분류")))</f>
        <v/>
      </c>
      <c r="AI650" s="43" t="str">
        <f aca="false">IF(Q650&lt;&gt;1,"",IFERROR(IF(VLOOKUP(R650,매핑!$A$4:$E$92,3,0)="","미분류",VLOOKUP(R650,매핑!$A$4:$E$92,3,0)),IF(AB650&lt;&gt;"",IF(AB650="","",INDEX(시장분석!$W:$W,AB650)),"미분류")))</f>
        <v/>
      </c>
      <c r="AJ650" s="43" t="str">
        <f aca="false">IF(Q650&lt;&gt;1,"",IFERROR(VLOOKUP(IF(N650&lt;&gt;"",N650,IF(P650&lt;&gt;"",P650,O650)),설정!$A$15:$D$47,2,0),""))</f>
        <v/>
      </c>
      <c r="AK650" s="43" t="str">
        <f aca="false">IF(Q650&lt;&gt;1,"",IF(AJ650="","무등급",IFERROR(VLOOKUP(AJ650,설정!$A$15:$D$47,3,0),"무등급")))</f>
        <v/>
      </c>
      <c r="AL650" s="89" t="n">
        <f aca="false">IF(AJ650="",99,IFERROR(VLOOKUP(AJ650,설정!$A$15:$D$47,4,0),99))</f>
        <v>99</v>
      </c>
      <c r="AM650" s="94" t="n">
        <f aca="false">IF(ISNUMBER(H650),AA650*1000000*H650/10000,0)</f>
        <v>0</v>
      </c>
      <c r="AN650" s="94" t="n">
        <f aca="false">IF(OR(Y650=1,NOT(ISNUMBER(Z650))),0,AA650*1000000*Z650/10000)</f>
        <v>0</v>
      </c>
      <c r="AO650" s="94" t="n">
        <f aca="false">IF(ISNUMBER(G650),AA650*1000000*G650/100,0)</f>
        <v>0</v>
      </c>
      <c r="AP650" s="94" t="n">
        <f aca="false">IF(ISNUMBER(M650),M650*K650,0)</f>
        <v>0</v>
      </c>
      <c r="AQ650" s="95" t="str">
        <f aca="false">IF(AB650="","",INDEX(시장분석!$AK:$AK,AB650))</f>
        <v/>
      </c>
      <c r="AR650" s="43" t="str">
        <f aca="false">IF(AB650="","-",IF(AB650="","",INDEX(시장분석!$AL:$AL,AB650)))</f>
        <v>-</v>
      </c>
      <c r="AS650" s="96" t="str">
        <f aca="false">IF(AB650="","",INDEX(시장분석!$AJ:$AJ,AB650))</f>
        <v/>
      </c>
      <c r="AT650" s="93" t="n">
        <f aca="false">IF(AB650="",0,IF(AB650="","",INDEX(시장분석!$AN:$AN,AB650)))</f>
        <v>0</v>
      </c>
      <c r="AU650" s="94" t="n">
        <f aca="false">IF(ISNUMBER(Z650),AT650/10000*MAX(Z650-1,0)*AA650*1000000,0)</f>
        <v>0</v>
      </c>
      <c r="AV650" s="94" t="n">
        <f aca="false">AO650+AU650</f>
        <v>0</v>
      </c>
      <c r="AW650" s="43" t="str">
        <f aca="false">IF(Q650&lt;&gt;1,"",TRIM(IF(AD650=1,"FRN ","")&amp;IF(AND(AL650&gt;=10,AL650&lt;99),"BBB0미만 ","")&amp;IF(AJ650="","등급없음 ","")&amp;IF(K650&lt;&gt;1,"비USD ","")&amp;IF(AND(AB650="",Y650=0),"시장데이터없음 ","")&amp;IF(AND(ISNUMBER(U650),U650&lt;0),"만기경과 ","")))</f>
        <v/>
      </c>
      <c r="AX650" s="90" t="n">
        <f aca="false">IF(Q650&lt;&gt;1,1,IF(스프레드쇼크!$C$4="Y",INDEX(스프레드쇼크!$B$12:$L$16,IFERROR(MATCH(AH650,스프레드쇼크!$A$12:$A$16,0),MATCH("목록외",스프레드쇼크!$A$12:$A$16,0)),IFERROR(MATCH(AG650,스프레드쇼크!$B$11:$L$11,0),MATCH("목록외",스프레드쇼크!$B$11:$L$11,0))),1))</f>
        <v>1</v>
      </c>
      <c r="AY650" s="90" t="n">
        <f aca="false">IF(스프레드쇼크!$C$5="Y",IF(ISNUMBER(AF650),MIN(스프레드쇼크!$C$7,MAX(스프레드쇼크!$C$6,AF650/스프레드쇼크!$C$8)),1),1)</f>
        <v>1</v>
      </c>
      <c r="AZ650" s="94" t="n">
        <f aca="false">AN650*AX650*AY650</f>
        <v>0</v>
      </c>
      <c r="BA650" s="90" t="n">
        <f aca="false">IF(ISNUMBER(G650),AA650*G650,0)</f>
        <v>0</v>
      </c>
      <c r="BB650" s="90" t="n">
        <f aca="false">IF(ISNUMBER(G650),AA650,0)</f>
        <v>0</v>
      </c>
      <c r="BC650" s="90" t="n">
        <f aca="false">IF(AND(Y650=0,ISNUMBER(AF650)),AA650*AF650,0)</f>
        <v>0</v>
      </c>
      <c r="BD650" s="90" t="n">
        <f aca="false">IF(AND(Y650=0,ISNUMBER(AF650)),AA650,0)</f>
        <v>0</v>
      </c>
      <c r="BE650" s="90" t="n">
        <f aca="false">IF(ISNUMBER(H650),AA650*H650,0)</f>
        <v>0</v>
      </c>
      <c r="BF650" s="90" t="n">
        <f aca="false">IF(ISNUMBER(H650),AA650,0)</f>
        <v>0</v>
      </c>
      <c r="BG650" s="90" t="n">
        <f aca="false">IF(AND(Y650=0,ISNUMBER(AF650),ISNUMBER(Z650)),AA650*Z650,0)</f>
        <v>0</v>
      </c>
      <c r="BH650" s="90" t="n">
        <f aca="false">IF(AND(Y650=0,ISNUMBER(AF650),ISNUMBER(Z650)),AA650*AT650*MAX(Z650-1,0),0)</f>
        <v>0</v>
      </c>
      <c r="BI650" s="90" t="n">
        <f aca="false">IF(Y650=0,AA650,0)</f>
        <v>0</v>
      </c>
    </row>
    <row r="651" customFormat="false" ht="15" hidden="false" customHeight="false" outlineLevel="0" collapsed="false">
      <c r="A651" s="83" t="str">
        <f aca="false">IFERROR(IF(INDEX(원자료_잔고!$A$1:$EZ$1500,설정!$L$5+ROW()-1,설정!$L$8)&amp;""="0","",INDEX(원자료_잔고!$A$1:$EZ$1500,설정!$L$5+ROW()-1,설정!$L$8)&amp;""),"")</f>
        <v/>
      </c>
      <c r="B651" s="83" t="str">
        <f aca="false">IFERROR(IF(INDEX(원자료_잔고!$A$1:$EZ$1500,설정!$L$5+ROW()-1,설정!$L$7)&amp;""="0","",INDEX(원자료_잔고!$A$1:$EZ$1500,설정!$L$5+ROW()-1,설정!$L$7)&amp;""),"")</f>
        <v/>
      </c>
      <c r="C651" s="83" t="str">
        <f aca="false">IFERROR(IF(INDEX(원자료_잔고!$A$1:$EZ$1500,설정!$L$5+ROW()-1,설정!$L$9)&amp;""="0","",INDEX(원자료_잔고!$A$1:$EZ$1500,설정!$L$5+ROW()-1,설정!$L$9)&amp;""),"")</f>
        <v/>
      </c>
      <c r="D651" s="83" t="str">
        <f aca="false">IFERROR(IF(INDEX(원자료_잔고!$A$1:$EZ$1500,설정!$L$5+ROW()-1,설정!$L$10)&amp;""="0","",INDEX(원자료_잔고!$A$1:$EZ$1500,설정!$L$5+ROW()-1,설정!$L$10)&amp;""),"")</f>
        <v/>
      </c>
      <c r="E651" s="84" t="str">
        <f aca="false">IFERROR(IF(ISNUMBER(INDEX(원자료_잔고!$A$1:$EZ$1500,설정!$L$5+ROW()-1,설정!$L$11)),INDEX(원자료_잔고!$A$1:$EZ$1500,설정!$L$5+ROW()-1,설정!$L$11),""),"")</f>
        <v/>
      </c>
      <c r="F651" s="85" t="str">
        <f aca="false">IFERROR(IF(ISNUMBER(INDEX(원자료_잔고!$A$1:$EZ$1500,설정!$L$5+ROW()-1,설정!$L$12)),INDEX(원자료_잔고!$A$1:$EZ$1500,설정!$L$5+ROW()-1,설정!$L$12),""),"")</f>
        <v/>
      </c>
      <c r="G651" s="85" t="str">
        <f aca="false">IFERROR(IF(ISNUMBER(INDEX(원자료_잔고!$A$1:$EZ$1500,설정!$L$5+ROW()-1,설정!$L$13)),INDEX(원자료_잔고!$A$1:$EZ$1500,설정!$L$5+ROW()-1,설정!$L$13),""),"")</f>
        <v/>
      </c>
      <c r="H651" s="85" t="str">
        <f aca="false">IFERROR(IF(ISNUMBER(INDEX(원자료_잔고!$A$1:$EZ$1500,설정!$L$5+ROW()-1,설정!$L$14)),INDEX(원자료_잔고!$A$1:$EZ$1500,설정!$L$5+ROW()-1,설정!$L$14),""),"")</f>
        <v/>
      </c>
      <c r="I651" s="86" t="str">
        <f aca="false">IFERROR(IF(ISNUMBER(INDEX(원자료_잔고!$A$1:$EZ$1500,설정!$L$5+ROW()-1,설정!$L$15)),INDEX(원자료_잔고!$A$1:$EZ$1500,설정!$L$5+ROW()-1,설정!$L$15),""),"")</f>
        <v/>
      </c>
      <c r="J651" s="85" t="str">
        <f aca="false">IFERROR(IF(ISNUMBER(INDEX(원자료_잔고!$A$1:$EZ$1500,설정!$L$5+ROW()-1,설정!$L$16)),INDEX(원자료_잔고!$A$1:$EZ$1500,설정!$L$5+ROW()-1,설정!$L$16),""),"")</f>
        <v/>
      </c>
      <c r="K651" s="87" t="str">
        <f aca="false">IFERROR(IF(ISNUMBER(INDEX(원자료_잔고!$A$1:$EZ$1500,설정!$L$5+ROW()-1,설정!$L$17)),INDEX(원자료_잔고!$A$1:$EZ$1500,설정!$L$5+ROW()-1,설정!$L$17),""),"")</f>
        <v/>
      </c>
      <c r="L651" s="84" t="str">
        <f aca="false">IFERROR(IF(ISNUMBER(INDEX(원자료_잔고!$A$1:$EZ$1500,설정!$L$5+ROW()-1,설정!$L$18)),INDEX(원자료_잔고!$A$1:$EZ$1500,설정!$L$5+ROW()-1,설정!$L$18),""),"")</f>
        <v/>
      </c>
      <c r="M651" s="88" t="str">
        <f aca="false">IFERROR(IF(ISNUMBER(INDEX(원자료_잔고!$A$1:$EZ$1500,설정!$L$5+ROW()-1,설정!$L$19)),INDEX(원자료_잔고!$A$1:$EZ$1500,설정!$L$5+ROW()-1,설정!$L$19),""),"")</f>
        <v/>
      </c>
      <c r="N651" s="83" t="str">
        <f aca="false">IFERROR(IF(INDEX(원자료_잔고!$A$1:$EZ$1500,설정!$L$5+ROW()-1,설정!$L$21)&amp;""="0","",INDEX(원자료_잔고!$A$1:$EZ$1500,설정!$L$5+ROW()-1,설정!$L$21)&amp;""),"")</f>
        <v/>
      </c>
      <c r="O651" s="83" t="str">
        <f aca="false">IFERROR(IF(INDEX(원자료_잔고!$A$1:$EZ$1500,설정!$L$5+ROW()-1,설정!$L$22)&amp;""="0","",INDEX(원자료_잔고!$A$1:$EZ$1500,설정!$L$5+ROW()-1,설정!$L$22)&amp;""),"")</f>
        <v/>
      </c>
      <c r="P651" s="83" t="str">
        <f aca="false">IFERROR(IF(INDEX(원자료_잔고!$A$1:$EZ$1500,설정!$L$5+ROW()-1,설정!$L$23)&amp;""="0","",INDEX(원자료_잔고!$A$1:$EZ$1500,설정!$L$5+ROW()-1,설정!$L$23)&amp;""),"")</f>
        <v/>
      </c>
      <c r="Q651" s="89" t="n">
        <f aca="false">IF(AND($A651&lt;&gt;"",ISNUMBER(E651)),IF(E651&gt;0,1,0),0)</f>
        <v>0</v>
      </c>
      <c r="R651" s="43" t="str">
        <f aca="false">IF(Q651=1,UPPER(LEFT($A651,FIND(" ",$A651&amp;" ")-1)),"")</f>
        <v/>
      </c>
      <c r="S651" s="89" t="n">
        <f aca="false">IF(Q651=1,IF(OR(ISNUMBER(SEARCH("Float",$A651)),ISNUMBER(SEARCH("FRN",$A651))),1,0),0)</f>
        <v>0</v>
      </c>
      <c r="T651" s="43" t="str">
        <f aca="false">IF(AND(Q651=1,ISNUMBER(I651)),TEXT(I651,"yyyymmdd")&amp;"|"&amp;IF(S651=1,"F",TEXT(J651,"0.000")),"")</f>
        <v/>
      </c>
      <c r="U651" s="90" t="str">
        <f aca="false">IF(AND(Q651=1,ISNUMBER(I651)),(I651-설정!$C$4)/365.25,"")</f>
        <v/>
      </c>
      <c r="V651" s="43" t="str">
        <f aca="false">IF(Q651&lt;&gt;1,"",IF(ISNUMBER(U651),IF(U651&lt;=1,"1년 이하",IF(U651&lt;=2,"1-2년",IF(U651&lt;=3,"2-3년",IF(U651&lt;=4,"3-4년",IF(U651&lt;=5,"4-5년",IF(U651&lt;=7,"5-7년",IF(U651&lt;=10,"7-10년",IF(U651&lt;=20,"10-20년","20년 이상")))))))),"미분류"))</f>
        <v/>
      </c>
      <c r="W651" s="43" t="str">
        <f aca="false">IF(Q651&lt;&gt;1,"",IF(AB651&lt;&gt;"",INDEX(시장분석!$C:$C,AB651),IF(K651=1,"USD","비USD")))</f>
        <v/>
      </c>
      <c r="X651" s="91" t="n">
        <f aca="false">IF(Q651=1,E651*K651/1000000,0)</f>
        <v>0</v>
      </c>
      <c r="Y651" s="89" t="n">
        <f aca="false">IF(R651="T",1,0)</f>
        <v>0</v>
      </c>
      <c r="Z651" s="92" t="str">
        <f aca="false">IF(Q651&lt;&gt;1,"",IF(AD651=1,IF(ISNUMBER(U651),MAX(U651,0),H651),H651))</f>
        <v/>
      </c>
      <c r="AA651" s="91" t="n">
        <f aca="false">IF(Q651=1,IF(ISNUMBER(L651),L651,0)*K651/1000000,0)</f>
        <v>0</v>
      </c>
      <c r="AB651" s="89" t="str">
        <f aca="false">IF(Q651&lt;&gt;1,"",IFERROR(MATCH(VLOOKUP(B651,매핑!$H$4:$I$15,2,0),시장분석!$A$2:$A$601,0)+1,IFERROR(MATCH(R651&amp;"|"&amp;T651,시장분석!$V$2:$V$601,0)+1,IF(COUNTIF(시장분석!$U$2:$U$601,T651)=1,MATCH(T651,시장분석!$U$2:$U$601,0)+1,""))))</f>
        <v/>
      </c>
      <c r="AC651" s="89" t="n">
        <f aca="false">IF(Q651&lt;&gt;1,0,IF(OR(설정!$C$5="전체",AND(설정!$C$5="선택펀드",IFERROR(COUNTIFS(설정!$F$16:$F$36,C651,설정!$G$16:$G$36,"Y")+COUNTIFS(설정!$F$16:$F$36,VALUE(C651),설정!$G$16:$G$36,"Y"),0)&gt;0),C651&amp;""=설정!$C$5&amp;""),1,0))</f>
        <v>0</v>
      </c>
      <c r="AD651" s="89" t="n">
        <f aca="false">IF(Q651&lt;&gt;1,0,IF(OR(S651=1,IF(AB651="",FALSE(),INDEX(시장분석!$R:$R,AB651)=1)),1,0))</f>
        <v>0</v>
      </c>
      <c r="AE651" s="43" t="str">
        <f aca="false">IF(AB651="","",INDEX(시장분석!$A:$A,AB651))</f>
        <v/>
      </c>
      <c r="AF651" s="93" t="str">
        <f aca="false">IF(AB651="","",IF(ISNUMBER(IF(AB651="","",INDEX(시장분석!$E:$E,AB651))),IF(AB651="","",INDEX(시장분석!$E:$E,AB651)),""))</f>
        <v/>
      </c>
      <c r="AG651" s="43" t="str">
        <f aca="false">IF(Q651&lt;&gt;1,"",IF(AB651&lt;&gt;"",IF(AB651="","",INDEX(시장분석!$L:$L,AB651)),IFERROR(IF(VLOOKUP(R651,매핑!$A$4:$E$92,5,0)="","미분류",VLOOKUP(R651,매핑!$A$4:$E$92,5,0)),"미분류")))</f>
        <v/>
      </c>
      <c r="AH651" s="43" t="str">
        <f aca="false">IF(Q651&lt;&gt;1,"",IF(AB651&lt;&gt;"",IF(AB651="","",INDEX(시장분석!$N:$N,AB651)),IFERROR(IF(VLOOKUP(R651,매핑!$A$4:$E$92,4,0)="","미분류",VLOOKUP(R651,매핑!$A$4:$E$92,4,0)),"미분류")))</f>
        <v/>
      </c>
      <c r="AI651" s="43" t="str">
        <f aca="false">IF(Q651&lt;&gt;1,"",IFERROR(IF(VLOOKUP(R651,매핑!$A$4:$E$92,3,0)="","미분류",VLOOKUP(R651,매핑!$A$4:$E$92,3,0)),IF(AB651&lt;&gt;"",IF(AB651="","",INDEX(시장분석!$W:$W,AB651)),"미분류")))</f>
        <v/>
      </c>
      <c r="AJ651" s="43" t="str">
        <f aca="false">IF(Q651&lt;&gt;1,"",IFERROR(VLOOKUP(IF(N651&lt;&gt;"",N651,IF(P651&lt;&gt;"",P651,O651)),설정!$A$15:$D$47,2,0),""))</f>
        <v/>
      </c>
      <c r="AK651" s="43" t="str">
        <f aca="false">IF(Q651&lt;&gt;1,"",IF(AJ651="","무등급",IFERROR(VLOOKUP(AJ651,설정!$A$15:$D$47,3,0),"무등급")))</f>
        <v/>
      </c>
      <c r="AL651" s="89" t="n">
        <f aca="false">IF(AJ651="",99,IFERROR(VLOOKUP(AJ651,설정!$A$15:$D$47,4,0),99))</f>
        <v>99</v>
      </c>
      <c r="AM651" s="94" t="n">
        <f aca="false">IF(ISNUMBER(H651),AA651*1000000*H651/10000,0)</f>
        <v>0</v>
      </c>
      <c r="AN651" s="94" t="n">
        <f aca="false">IF(OR(Y651=1,NOT(ISNUMBER(Z651))),0,AA651*1000000*Z651/10000)</f>
        <v>0</v>
      </c>
      <c r="AO651" s="94" t="n">
        <f aca="false">IF(ISNUMBER(G651),AA651*1000000*G651/100,0)</f>
        <v>0</v>
      </c>
      <c r="AP651" s="94" t="n">
        <f aca="false">IF(ISNUMBER(M651),M651*K651,0)</f>
        <v>0</v>
      </c>
      <c r="AQ651" s="95" t="str">
        <f aca="false">IF(AB651="","",INDEX(시장분석!$AK:$AK,AB651))</f>
        <v/>
      </c>
      <c r="AR651" s="43" t="str">
        <f aca="false">IF(AB651="","-",IF(AB651="","",INDEX(시장분석!$AL:$AL,AB651)))</f>
        <v>-</v>
      </c>
      <c r="AS651" s="96" t="str">
        <f aca="false">IF(AB651="","",INDEX(시장분석!$AJ:$AJ,AB651))</f>
        <v/>
      </c>
      <c r="AT651" s="93" t="n">
        <f aca="false">IF(AB651="",0,IF(AB651="","",INDEX(시장분석!$AN:$AN,AB651)))</f>
        <v>0</v>
      </c>
      <c r="AU651" s="94" t="n">
        <f aca="false">IF(ISNUMBER(Z651),AT651/10000*MAX(Z651-1,0)*AA651*1000000,0)</f>
        <v>0</v>
      </c>
      <c r="AV651" s="94" t="n">
        <f aca="false">AO651+AU651</f>
        <v>0</v>
      </c>
      <c r="AW651" s="43" t="str">
        <f aca="false">IF(Q651&lt;&gt;1,"",TRIM(IF(AD651=1,"FRN ","")&amp;IF(AND(AL651&gt;=10,AL651&lt;99),"BBB0미만 ","")&amp;IF(AJ651="","등급없음 ","")&amp;IF(K651&lt;&gt;1,"비USD ","")&amp;IF(AND(AB651="",Y651=0),"시장데이터없음 ","")&amp;IF(AND(ISNUMBER(U651),U651&lt;0),"만기경과 ","")))</f>
        <v/>
      </c>
      <c r="AX651" s="90" t="n">
        <f aca="false">IF(Q651&lt;&gt;1,1,IF(스프레드쇼크!$C$4="Y",INDEX(스프레드쇼크!$B$12:$L$16,IFERROR(MATCH(AH651,스프레드쇼크!$A$12:$A$16,0),MATCH("목록외",스프레드쇼크!$A$12:$A$16,0)),IFERROR(MATCH(AG651,스프레드쇼크!$B$11:$L$11,0),MATCH("목록외",스프레드쇼크!$B$11:$L$11,0))),1))</f>
        <v>1</v>
      </c>
      <c r="AY651" s="90" t="n">
        <f aca="false">IF(스프레드쇼크!$C$5="Y",IF(ISNUMBER(AF651),MIN(스프레드쇼크!$C$7,MAX(스프레드쇼크!$C$6,AF651/스프레드쇼크!$C$8)),1),1)</f>
        <v>1</v>
      </c>
      <c r="AZ651" s="94" t="n">
        <f aca="false">AN651*AX651*AY651</f>
        <v>0</v>
      </c>
      <c r="BA651" s="90" t="n">
        <f aca="false">IF(ISNUMBER(G651),AA651*G651,0)</f>
        <v>0</v>
      </c>
      <c r="BB651" s="90" t="n">
        <f aca="false">IF(ISNUMBER(G651),AA651,0)</f>
        <v>0</v>
      </c>
      <c r="BC651" s="90" t="n">
        <f aca="false">IF(AND(Y651=0,ISNUMBER(AF651)),AA651*AF651,0)</f>
        <v>0</v>
      </c>
      <c r="BD651" s="90" t="n">
        <f aca="false">IF(AND(Y651=0,ISNUMBER(AF651)),AA651,0)</f>
        <v>0</v>
      </c>
      <c r="BE651" s="90" t="n">
        <f aca="false">IF(ISNUMBER(H651),AA651*H651,0)</f>
        <v>0</v>
      </c>
      <c r="BF651" s="90" t="n">
        <f aca="false">IF(ISNUMBER(H651),AA651,0)</f>
        <v>0</v>
      </c>
      <c r="BG651" s="90" t="n">
        <f aca="false">IF(AND(Y651=0,ISNUMBER(AF651),ISNUMBER(Z651)),AA651*Z651,0)</f>
        <v>0</v>
      </c>
      <c r="BH651" s="90" t="n">
        <f aca="false">IF(AND(Y651=0,ISNUMBER(AF651),ISNUMBER(Z651)),AA651*AT651*MAX(Z651-1,0),0)</f>
        <v>0</v>
      </c>
      <c r="BI651" s="90" t="n">
        <f aca="false">IF(Y651=0,AA651,0)</f>
        <v>0</v>
      </c>
    </row>
    <row r="652" customFormat="false" ht="15" hidden="false" customHeight="false" outlineLevel="0" collapsed="false">
      <c r="A652" s="83" t="str">
        <f aca="false">IFERROR(IF(INDEX(원자료_잔고!$A$1:$EZ$1500,설정!$L$5+ROW()-1,설정!$L$8)&amp;""="0","",INDEX(원자료_잔고!$A$1:$EZ$1500,설정!$L$5+ROW()-1,설정!$L$8)&amp;""),"")</f>
        <v/>
      </c>
      <c r="B652" s="83" t="str">
        <f aca="false">IFERROR(IF(INDEX(원자료_잔고!$A$1:$EZ$1500,설정!$L$5+ROW()-1,설정!$L$7)&amp;""="0","",INDEX(원자료_잔고!$A$1:$EZ$1500,설정!$L$5+ROW()-1,설정!$L$7)&amp;""),"")</f>
        <v/>
      </c>
      <c r="C652" s="83" t="str">
        <f aca="false">IFERROR(IF(INDEX(원자료_잔고!$A$1:$EZ$1500,설정!$L$5+ROW()-1,설정!$L$9)&amp;""="0","",INDEX(원자료_잔고!$A$1:$EZ$1500,설정!$L$5+ROW()-1,설정!$L$9)&amp;""),"")</f>
        <v/>
      </c>
      <c r="D652" s="83" t="str">
        <f aca="false">IFERROR(IF(INDEX(원자료_잔고!$A$1:$EZ$1500,설정!$L$5+ROW()-1,설정!$L$10)&amp;""="0","",INDEX(원자료_잔고!$A$1:$EZ$1500,설정!$L$5+ROW()-1,설정!$L$10)&amp;""),"")</f>
        <v/>
      </c>
      <c r="E652" s="84" t="str">
        <f aca="false">IFERROR(IF(ISNUMBER(INDEX(원자료_잔고!$A$1:$EZ$1500,설정!$L$5+ROW()-1,설정!$L$11)),INDEX(원자료_잔고!$A$1:$EZ$1500,설정!$L$5+ROW()-1,설정!$L$11),""),"")</f>
        <v/>
      </c>
      <c r="F652" s="85" t="str">
        <f aca="false">IFERROR(IF(ISNUMBER(INDEX(원자료_잔고!$A$1:$EZ$1500,설정!$L$5+ROW()-1,설정!$L$12)),INDEX(원자료_잔고!$A$1:$EZ$1500,설정!$L$5+ROW()-1,설정!$L$12),""),"")</f>
        <v/>
      </c>
      <c r="G652" s="85" t="str">
        <f aca="false">IFERROR(IF(ISNUMBER(INDEX(원자료_잔고!$A$1:$EZ$1500,설정!$L$5+ROW()-1,설정!$L$13)),INDEX(원자료_잔고!$A$1:$EZ$1500,설정!$L$5+ROW()-1,설정!$L$13),""),"")</f>
        <v/>
      </c>
      <c r="H652" s="85" t="str">
        <f aca="false">IFERROR(IF(ISNUMBER(INDEX(원자료_잔고!$A$1:$EZ$1500,설정!$L$5+ROW()-1,설정!$L$14)),INDEX(원자료_잔고!$A$1:$EZ$1500,설정!$L$5+ROW()-1,설정!$L$14),""),"")</f>
        <v/>
      </c>
      <c r="I652" s="86" t="str">
        <f aca="false">IFERROR(IF(ISNUMBER(INDEX(원자료_잔고!$A$1:$EZ$1500,설정!$L$5+ROW()-1,설정!$L$15)),INDEX(원자료_잔고!$A$1:$EZ$1500,설정!$L$5+ROW()-1,설정!$L$15),""),"")</f>
        <v/>
      </c>
      <c r="J652" s="85" t="str">
        <f aca="false">IFERROR(IF(ISNUMBER(INDEX(원자료_잔고!$A$1:$EZ$1500,설정!$L$5+ROW()-1,설정!$L$16)),INDEX(원자료_잔고!$A$1:$EZ$1500,설정!$L$5+ROW()-1,설정!$L$16),""),"")</f>
        <v/>
      </c>
      <c r="K652" s="87" t="str">
        <f aca="false">IFERROR(IF(ISNUMBER(INDEX(원자료_잔고!$A$1:$EZ$1500,설정!$L$5+ROW()-1,설정!$L$17)),INDEX(원자료_잔고!$A$1:$EZ$1500,설정!$L$5+ROW()-1,설정!$L$17),""),"")</f>
        <v/>
      </c>
      <c r="L652" s="84" t="str">
        <f aca="false">IFERROR(IF(ISNUMBER(INDEX(원자료_잔고!$A$1:$EZ$1500,설정!$L$5+ROW()-1,설정!$L$18)),INDEX(원자료_잔고!$A$1:$EZ$1500,설정!$L$5+ROW()-1,설정!$L$18),""),"")</f>
        <v/>
      </c>
      <c r="M652" s="88" t="str">
        <f aca="false">IFERROR(IF(ISNUMBER(INDEX(원자료_잔고!$A$1:$EZ$1500,설정!$L$5+ROW()-1,설정!$L$19)),INDEX(원자료_잔고!$A$1:$EZ$1500,설정!$L$5+ROW()-1,설정!$L$19),""),"")</f>
        <v/>
      </c>
      <c r="N652" s="83" t="str">
        <f aca="false">IFERROR(IF(INDEX(원자료_잔고!$A$1:$EZ$1500,설정!$L$5+ROW()-1,설정!$L$21)&amp;""="0","",INDEX(원자료_잔고!$A$1:$EZ$1500,설정!$L$5+ROW()-1,설정!$L$21)&amp;""),"")</f>
        <v/>
      </c>
      <c r="O652" s="83" t="str">
        <f aca="false">IFERROR(IF(INDEX(원자료_잔고!$A$1:$EZ$1500,설정!$L$5+ROW()-1,설정!$L$22)&amp;""="0","",INDEX(원자료_잔고!$A$1:$EZ$1500,설정!$L$5+ROW()-1,설정!$L$22)&amp;""),"")</f>
        <v/>
      </c>
      <c r="P652" s="83" t="str">
        <f aca="false">IFERROR(IF(INDEX(원자료_잔고!$A$1:$EZ$1500,설정!$L$5+ROW()-1,설정!$L$23)&amp;""="0","",INDEX(원자료_잔고!$A$1:$EZ$1500,설정!$L$5+ROW()-1,설정!$L$23)&amp;""),"")</f>
        <v/>
      </c>
      <c r="Q652" s="89" t="n">
        <f aca="false">IF(AND($A652&lt;&gt;"",ISNUMBER(E652)),IF(E652&gt;0,1,0),0)</f>
        <v>0</v>
      </c>
      <c r="R652" s="43" t="str">
        <f aca="false">IF(Q652=1,UPPER(LEFT($A652,FIND(" ",$A652&amp;" ")-1)),"")</f>
        <v/>
      </c>
      <c r="S652" s="89" t="n">
        <f aca="false">IF(Q652=1,IF(OR(ISNUMBER(SEARCH("Float",$A652)),ISNUMBER(SEARCH("FRN",$A652))),1,0),0)</f>
        <v>0</v>
      </c>
      <c r="T652" s="43" t="str">
        <f aca="false">IF(AND(Q652=1,ISNUMBER(I652)),TEXT(I652,"yyyymmdd")&amp;"|"&amp;IF(S652=1,"F",TEXT(J652,"0.000")),"")</f>
        <v/>
      </c>
      <c r="U652" s="90" t="str">
        <f aca="false">IF(AND(Q652=1,ISNUMBER(I652)),(I652-설정!$C$4)/365.25,"")</f>
        <v/>
      </c>
      <c r="V652" s="43" t="str">
        <f aca="false">IF(Q652&lt;&gt;1,"",IF(ISNUMBER(U652),IF(U652&lt;=1,"1년 이하",IF(U652&lt;=2,"1-2년",IF(U652&lt;=3,"2-3년",IF(U652&lt;=4,"3-4년",IF(U652&lt;=5,"4-5년",IF(U652&lt;=7,"5-7년",IF(U652&lt;=10,"7-10년",IF(U652&lt;=20,"10-20년","20년 이상")))))))),"미분류"))</f>
        <v/>
      </c>
      <c r="W652" s="43" t="str">
        <f aca="false">IF(Q652&lt;&gt;1,"",IF(AB652&lt;&gt;"",INDEX(시장분석!$C:$C,AB652),IF(K652=1,"USD","비USD")))</f>
        <v/>
      </c>
      <c r="X652" s="91" t="n">
        <f aca="false">IF(Q652=1,E652*K652/1000000,0)</f>
        <v>0</v>
      </c>
      <c r="Y652" s="89" t="n">
        <f aca="false">IF(R652="T",1,0)</f>
        <v>0</v>
      </c>
      <c r="Z652" s="92" t="str">
        <f aca="false">IF(Q652&lt;&gt;1,"",IF(AD652=1,IF(ISNUMBER(U652),MAX(U652,0),H652),H652))</f>
        <v/>
      </c>
      <c r="AA652" s="91" t="n">
        <f aca="false">IF(Q652=1,IF(ISNUMBER(L652),L652,0)*K652/1000000,0)</f>
        <v>0</v>
      </c>
      <c r="AB652" s="89" t="str">
        <f aca="false">IF(Q652&lt;&gt;1,"",IFERROR(MATCH(VLOOKUP(B652,매핑!$H$4:$I$15,2,0),시장분석!$A$2:$A$601,0)+1,IFERROR(MATCH(R652&amp;"|"&amp;T652,시장분석!$V$2:$V$601,0)+1,IF(COUNTIF(시장분석!$U$2:$U$601,T652)=1,MATCH(T652,시장분석!$U$2:$U$601,0)+1,""))))</f>
        <v/>
      </c>
      <c r="AC652" s="89" t="n">
        <f aca="false">IF(Q652&lt;&gt;1,0,IF(OR(설정!$C$5="전체",AND(설정!$C$5="선택펀드",IFERROR(COUNTIFS(설정!$F$16:$F$36,C652,설정!$G$16:$G$36,"Y")+COUNTIFS(설정!$F$16:$F$36,VALUE(C652),설정!$G$16:$G$36,"Y"),0)&gt;0),C652&amp;""=설정!$C$5&amp;""),1,0))</f>
        <v>0</v>
      </c>
      <c r="AD652" s="89" t="n">
        <f aca="false">IF(Q652&lt;&gt;1,0,IF(OR(S652=1,IF(AB652="",FALSE(),INDEX(시장분석!$R:$R,AB652)=1)),1,0))</f>
        <v>0</v>
      </c>
      <c r="AE652" s="43" t="str">
        <f aca="false">IF(AB652="","",INDEX(시장분석!$A:$A,AB652))</f>
        <v/>
      </c>
      <c r="AF652" s="93" t="str">
        <f aca="false">IF(AB652="","",IF(ISNUMBER(IF(AB652="","",INDEX(시장분석!$E:$E,AB652))),IF(AB652="","",INDEX(시장분석!$E:$E,AB652)),""))</f>
        <v/>
      </c>
      <c r="AG652" s="43" t="str">
        <f aca="false">IF(Q652&lt;&gt;1,"",IF(AB652&lt;&gt;"",IF(AB652="","",INDEX(시장분석!$L:$L,AB652)),IFERROR(IF(VLOOKUP(R652,매핑!$A$4:$E$92,5,0)="","미분류",VLOOKUP(R652,매핑!$A$4:$E$92,5,0)),"미분류")))</f>
        <v/>
      </c>
      <c r="AH652" s="43" t="str">
        <f aca="false">IF(Q652&lt;&gt;1,"",IF(AB652&lt;&gt;"",IF(AB652="","",INDEX(시장분석!$N:$N,AB652)),IFERROR(IF(VLOOKUP(R652,매핑!$A$4:$E$92,4,0)="","미분류",VLOOKUP(R652,매핑!$A$4:$E$92,4,0)),"미분류")))</f>
        <v/>
      </c>
      <c r="AI652" s="43" t="str">
        <f aca="false">IF(Q652&lt;&gt;1,"",IFERROR(IF(VLOOKUP(R652,매핑!$A$4:$E$92,3,0)="","미분류",VLOOKUP(R652,매핑!$A$4:$E$92,3,0)),IF(AB652&lt;&gt;"",IF(AB652="","",INDEX(시장분석!$W:$W,AB652)),"미분류")))</f>
        <v/>
      </c>
      <c r="AJ652" s="43" t="str">
        <f aca="false">IF(Q652&lt;&gt;1,"",IFERROR(VLOOKUP(IF(N652&lt;&gt;"",N652,IF(P652&lt;&gt;"",P652,O652)),설정!$A$15:$D$47,2,0),""))</f>
        <v/>
      </c>
      <c r="AK652" s="43" t="str">
        <f aca="false">IF(Q652&lt;&gt;1,"",IF(AJ652="","무등급",IFERROR(VLOOKUP(AJ652,설정!$A$15:$D$47,3,0),"무등급")))</f>
        <v/>
      </c>
      <c r="AL652" s="89" t="n">
        <f aca="false">IF(AJ652="",99,IFERROR(VLOOKUP(AJ652,설정!$A$15:$D$47,4,0),99))</f>
        <v>99</v>
      </c>
      <c r="AM652" s="94" t="n">
        <f aca="false">IF(ISNUMBER(H652),AA652*1000000*H652/10000,0)</f>
        <v>0</v>
      </c>
      <c r="AN652" s="94" t="n">
        <f aca="false">IF(OR(Y652=1,NOT(ISNUMBER(Z652))),0,AA652*1000000*Z652/10000)</f>
        <v>0</v>
      </c>
      <c r="AO652" s="94" t="n">
        <f aca="false">IF(ISNUMBER(G652),AA652*1000000*G652/100,0)</f>
        <v>0</v>
      </c>
      <c r="AP652" s="94" t="n">
        <f aca="false">IF(ISNUMBER(M652),M652*K652,0)</f>
        <v>0</v>
      </c>
      <c r="AQ652" s="95" t="str">
        <f aca="false">IF(AB652="","",INDEX(시장분석!$AK:$AK,AB652))</f>
        <v/>
      </c>
      <c r="AR652" s="43" t="str">
        <f aca="false">IF(AB652="","-",IF(AB652="","",INDEX(시장분석!$AL:$AL,AB652)))</f>
        <v>-</v>
      </c>
      <c r="AS652" s="96" t="str">
        <f aca="false">IF(AB652="","",INDEX(시장분석!$AJ:$AJ,AB652))</f>
        <v/>
      </c>
      <c r="AT652" s="93" t="n">
        <f aca="false">IF(AB652="",0,IF(AB652="","",INDEX(시장분석!$AN:$AN,AB652)))</f>
        <v>0</v>
      </c>
      <c r="AU652" s="94" t="n">
        <f aca="false">IF(ISNUMBER(Z652),AT652/10000*MAX(Z652-1,0)*AA652*1000000,0)</f>
        <v>0</v>
      </c>
      <c r="AV652" s="94" t="n">
        <f aca="false">AO652+AU652</f>
        <v>0</v>
      </c>
      <c r="AW652" s="43" t="str">
        <f aca="false">IF(Q652&lt;&gt;1,"",TRIM(IF(AD652=1,"FRN ","")&amp;IF(AND(AL652&gt;=10,AL652&lt;99),"BBB0미만 ","")&amp;IF(AJ652="","등급없음 ","")&amp;IF(K652&lt;&gt;1,"비USD ","")&amp;IF(AND(AB652="",Y652=0),"시장데이터없음 ","")&amp;IF(AND(ISNUMBER(U652),U652&lt;0),"만기경과 ","")))</f>
        <v/>
      </c>
      <c r="AX652" s="90" t="n">
        <f aca="false">IF(Q652&lt;&gt;1,1,IF(스프레드쇼크!$C$4="Y",INDEX(스프레드쇼크!$B$12:$L$16,IFERROR(MATCH(AH652,스프레드쇼크!$A$12:$A$16,0),MATCH("목록외",스프레드쇼크!$A$12:$A$16,0)),IFERROR(MATCH(AG652,스프레드쇼크!$B$11:$L$11,0),MATCH("목록외",스프레드쇼크!$B$11:$L$11,0))),1))</f>
        <v>1</v>
      </c>
      <c r="AY652" s="90" t="n">
        <f aca="false">IF(스프레드쇼크!$C$5="Y",IF(ISNUMBER(AF652),MIN(스프레드쇼크!$C$7,MAX(스프레드쇼크!$C$6,AF652/스프레드쇼크!$C$8)),1),1)</f>
        <v>1</v>
      </c>
      <c r="AZ652" s="94" t="n">
        <f aca="false">AN652*AX652*AY652</f>
        <v>0</v>
      </c>
      <c r="BA652" s="90" t="n">
        <f aca="false">IF(ISNUMBER(G652),AA652*G652,0)</f>
        <v>0</v>
      </c>
      <c r="BB652" s="90" t="n">
        <f aca="false">IF(ISNUMBER(G652),AA652,0)</f>
        <v>0</v>
      </c>
      <c r="BC652" s="90" t="n">
        <f aca="false">IF(AND(Y652=0,ISNUMBER(AF652)),AA652*AF652,0)</f>
        <v>0</v>
      </c>
      <c r="BD652" s="90" t="n">
        <f aca="false">IF(AND(Y652=0,ISNUMBER(AF652)),AA652,0)</f>
        <v>0</v>
      </c>
      <c r="BE652" s="90" t="n">
        <f aca="false">IF(ISNUMBER(H652),AA652*H652,0)</f>
        <v>0</v>
      </c>
      <c r="BF652" s="90" t="n">
        <f aca="false">IF(ISNUMBER(H652),AA652,0)</f>
        <v>0</v>
      </c>
      <c r="BG652" s="90" t="n">
        <f aca="false">IF(AND(Y652=0,ISNUMBER(AF652),ISNUMBER(Z652)),AA652*Z652,0)</f>
        <v>0</v>
      </c>
      <c r="BH652" s="90" t="n">
        <f aca="false">IF(AND(Y652=0,ISNUMBER(AF652),ISNUMBER(Z652)),AA652*AT652*MAX(Z652-1,0),0)</f>
        <v>0</v>
      </c>
      <c r="BI652" s="90" t="n">
        <f aca="false">IF(Y652=0,AA652,0)</f>
        <v>0</v>
      </c>
    </row>
    <row r="653" customFormat="false" ht="15" hidden="false" customHeight="false" outlineLevel="0" collapsed="false">
      <c r="A653" s="83" t="str">
        <f aca="false">IFERROR(IF(INDEX(원자료_잔고!$A$1:$EZ$1500,설정!$L$5+ROW()-1,설정!$L$8)&amp;""="0","",INDEX(원자료_잔고!$A$1:$EZ$1500,설정!$L$5+ROW()-1,설정!$L$8)&amp;""),"")</f>
        <v/>
      </c>
      <c r="B653" s="83" t="str">
        <f aca="false">IFERROR(IF(INDEX(원자료_잔고!$A$1:$EZ$1500,설정!$L$5+ROW()-1,설정!$L$7)&amp;""="0","",INDEX(원자료_잔고!$A$1:$EZ$1500,설정!$L$5+ROW()-1,설정!$L$7)&amp;""),"")</f>
        <v/>
      </c>
      <c r="C653" s="83" t="str">
        <f aca="false">IFERROR(IF(INDEX(원자료_잔고!$A$1:$EZ$1500,설정!$L$5+ROW()-1,설정!$L$9)&amp;""="0","",INDEX(원자료_잔고!$A$1:$EZ$1500,설정!$L$5+ROW()-1,설정!$L$9)&amp;""),"")</f>
        <v/>
      </c>
      <c r="D653" s="83" t="str">
        <f aca="false">IFERROR(IF(INDEX(원자료_잔고!$A$1:$EZ$1500,설정!$L$5+ROW()-1,설정!$L$10)&amp;""="0","",INDEX(원자료_잔고!$A$1:$EZ$1500,설정!$L$5+ROW()-1,설정!$L$10)&amp;""),"")</f>
        <v/>
      </c>
      <c r="E653" s="84" t="str">
        <f aca="false">IFERROR(IF(ISNUMBER(INDEX(원자료_잔고!$A$1:$EZ$1500,설정!$L$5+ROW()-1,설정!$L$11)),INDEX(원자료_잔고!$A$1:$EZ$1500,설정!$L$5+ROW()-1,설정!$L$11),""),"")</f>
        <v/>
      </c>
      <c r="F653" s="85" t="str">
        <f aca="false">IFERROR(IF(ISNUMBER(INDEX(원자료_잔고!$A$1:$EZ$1500,설정!$L$5+ROW()-1,설정!$L$12)),INDEX(원자료_잔고!$A$1:$EZ$1500,설정!$L$5+ROW()-1,설정!$L$12),""),"")</f>
        <v/>
      </c>
      <c r="G653" s="85" t="str">
        <f aca="false">IFERROR(IF(ISNUMBER(INDEX(원자료_잔고!$A$1:$EZ$1500,설정!$L$5+ROW()-1,설정!$L$13)),INDEX(원자료_잔고!$A$1:$EZ$1500,설정!$L$5+ROW()-1,설정!$L$13),""),"")</f>
        <v/>
      </c>
      <c r="H653" s="85" t="str">
        <f aca="false">IFERROR(IF(ISNUMBER(INDEX(원자료_잔고!$A$1:$EZ$1500,설정!$L$5+ROW()-1,설정!$L$14)),INDEX(원자료_잔고!$A$1:$EZ$1500,설정!$L$5+ROW()-1,설정!$L$14),""),"")</f>
        <v/>
      </c>
      <c r="I653" s="86" t="str">
        <f aca="false">IFERROR(IF(ISNUMBER(INDEX(원자료_잔고!$A$1:$EZ$1500,설정!$L$5+ROW()-1,설정!$L$15)),INDEX(원자료_잔고!$A$1:$EZ$1500,설정!$L$5+ROW()-1,설정!$L$15),""),"")</f>
        <v/>
      </c>
      <c r="J653" s="85" t="str">
        <f aca="false">IFERROR(IF(ISNUMBER(INDEX(원자료_잔고!$A$1:$EZ$1500,설정!$L$5+ROW()-1,설정!$L$16)),INDEX(원자료_잔고!$A$1:$EZ$1500,설정!$L$5+ROW()-1,설정!$L$16),""),"")</f>
        <v/>
      </c>
      <c r="K653" s="87" t="str">
        <f aca="false">IFERROR(IF(ISNUMBER(INDEX(원자료_잔고!$A$1:$EZ$1500,설정!$L$5+ROW()-1,설정!$L$17)),INDEX(원자료_잔고!$A$1:$EZ$1500,설정!$L$5+ROW()-1,설정!$L$17),""),"")</f>
        <v/>
      </c>
      <c r="L653" s="84" t="str">
        <f aca="false">IFERROR(IF(ISNUMBER(INDEX(원자료_잔고!$A$1:$EZ$1500,설정!$L$5+ROW()-1,설정!$L$18)),INDEX(원자료_잔고!$A$1:$EZ$1500,설정!$L$5+ROW()-1,설정!$L$18),""),"")</f>
        <v/>
      </c>
      <c r="M653" s="88" t="str">
        <f aca="false">IFERROR(IF(ISNUMBER(INDEX(원자료_잔고!$A$1:$EZ$1500,설정!$L$5+ROW()-1,설정!$L$19)),INDEX(원자료_잔고!$A$1:$EZ$1500,설정!$L$5+ROW()-1,설정!$L$19),""),"")</f>
        <v/>
      </c>
      <c r="N653" s="83" t="str">
        <f aca="false">IFERROR(IF(INDEX(원자료_잔고!$A$1:$EZ$1500,설정!$L$5+ROW()-1,설정!$L$21)&amp;""="0","",INDEX(원자료_잔고!$A$1:$EZ$1500,설정!$L$5+ROW()-1,설정!$L$21)&amp;""),"")</f>
        <v/>
      </c>
      <c r="O653" s="83" t="str">
        <f aca="false">IFERROR(IF(INDEX(원자료_잔고!$A$1:$EZ$1500,설정!$L$5+ROW()-1,설정!$L$22)&amp;""="0","",INDEX(원자료_잔고!$A$1:$EZ$1500,설정!$L$5+ROW()-1,설정!$L$22)&amp;""),"")</f>
        <v/>
      </c>
      <c r="P653" s="83" t="str">
        <f aca="false">IFERROR(IF(INDEX(원자료_잔고!$A$1:$EZ$1500,설정!$L$5+ROW()-1,설정!$L$23)&amp;""="0","",INDEX(원자료_잔고!$A$1:$EZ$1500,설정!$L$5+ROW()-1,설정!$L$23)&amp;""),"")</f>
        <v/>
      </c>
      <c r="Q653" s="89" t="n">
        <f aca="false">IF(AND($A653&lt;&gt;"",ISNUMBER(E653)),IF(E653&gt;0,1,0),0)</f>
        <v>0</v>
      </c>
      <c r="R653" s="43" t="str">
        <f aca="false">IF(Q653=1,UPPER(LEFT($A653,FIND(" ",$A653&amp;" ")-1)),"")</f>
        <v/>
      </c>
      <c r="S653" s="89" t="n">
        <f aca="false">IF(Q653=1,IF(OR(ISNUMBER(SEARCH("Float",$A653)),ISNUMBER(SEARCH("FRN",$A653))),1,0),0)</f>
        <v>0</v>
      </c>
      <c r="T653" s="43" t="str">
        <f aca="false">IF(AND(Q653=1,ISNUMBER(I653)),TEXT(I653,"yyyymmdd")&amp;"|"&amp;IF(S653=1,"F",TEXT(J653,"0.000")),"")</f>
        <v/>
      </c>
      <c r="U653" s="90" t="str">
        <f aca="false">IF(AND(Q653=1,ISNUMBER(I653)),(I653-설정!$C$4)/365.25,"")</f>
        <v/>
      </c>
      <c r="V653" s="43" t="str">
        <f aca="false">IF(Q653&lt;&gt;1,"",IF(ISNUMBER(U653),IF(U653&lt;=1,"1년 이하",IF(U653&lt;=2,"1-2년",IF(U653&lt;=3,"2-3년",IF(U653&lt;=4,"3-4년",IF(U653&lt;=5,"4-5년",IF(U653&lt;=7,"5-7년",IF(U653&lt;=10,"7-10년",IF(U653&lt;=20,"10-20년","20년 이상")))))))),"미분류"))</f>
        <v/>
      </c>
      <c r="W653" s="43" t="str">
        <f aca="false">IF(Q653&lt;&gt;1,"",IF(AB653&lt;&gt;"",INDEX(시장분석!$C:$C,AB653),IF(K653=1,"USD","비USD")))</f>
        <v/>
      </c>
      <c r="X653" s="91" t="n">
        <f aca="false">IF(Q653=1,E653*K653/1000000,0)</f>
        <v>0</v>
      </c>
      <c r="Y653" s="89" t="n">
        <f aca="false">IF(R653="T",1,0)</f>
        <v>0</v>
      </c>
      <c r="Z653" s="92" t="str">
        <f aca="false">IF(Q653&lt;&gt;1,"",IF(AD653=1,IF(ISNUMBER(U653),MAX(U653,0),H653),H653))</f>
        <v/>
      </c>
      <c r="AA653" s="91" t="n">
        <f aca="false">IF(Q653=1,IF(ISNUMBER(L653),L653,0)*K653/1000000,0)</f>
        <v>0</v>
      </c>
      <c r="AB653" s="89" t="str">
        <f aca="false">IF(Q653&lt;&gt;1,"",IFERROR(MATCH(VLOOKUP(B653,매핑!$H$4:$I$15,2,0),시장분석!$A$2:$A$601,0)+1,IFERROR(MATCH(R653&amp;"|"&amp;T653,시장분석!$V$2:$V$601,0)+1,IF(COUNTIF(시장분석!$U$2:$U$601,T653)=1,MATCH(T653,시장분석!$U$2:$U$601,0)+1,""))))</f>
        <v/>
      </c>
      <c r="AC653" s="89" t="n">
        <f aca="false">IF(Q653&lt;&gt;1,0,IF(OR(설정!$C$5="전체",AND(설정!$C$5="선택펀드",IFERROR(COUNTIFS(설정!$F$16:$F$36,C653,설정!$G$16:$G$36,"Y")+COUNTIFS(설정!$F$16:$F$36,VALUE(C653),설정!$G$16:$G$36,"Y"),0)&gt;0),C653&amp;""=설정!$C$5&amp;""),1,0))</f>
        <v>0</v>
      </c>
      <c r="AD653" s="89" t="n">
        <f aca="false">IF(Q653&lt;&gt;1,0,IF(OR(S653=1,IF(AB653="",FALSE(),INDEX(시장분석!$R:$R,AB653)=1)),1,0))</f>
        <v>0</v>
      </c>
      <c r="AE653" s="43" t="str">
        <f aca="false">IF(AB653="","",INDEX(시장분석!$A:$A,AB653))</f>
        <v/>
      </c>
      <c r="AF653" s="93" t="str">
        <f aca="false">IF(AB653="","",IF(ISNUMBER(IF(AB653="","",INDEX(시장분석!$E:$E,AB653))),IF(AB653="","",INDEX(시장분석!$E:$E,AB653)),""))</f>
        <v/>
      </c>
      <c r="AG653" s="43" t="str">
        <f aca="false">IF(Q653&lt;&gt;1,"",IF(AB653&lt;&gt;"",IF(AB653="","",INDEX(시장분석!$L:$L,AB653)),IFERROR(IF(VLOOKUP(R653,매핑!$A$4:$E$92,5,0)="","미분류",VLOOKUP(R653,매핑!$A$4:$E$92,5,0)),"미분류")))</f>
        <v/>
      </c>
      <c r="AH653" s="43" t="str">
        <f aca="false">IF(Q653&lt;&gt;1,"",IF(AB653&lt;&gt;"",IF(AB653="","",INDEX(시장분석!$N:$N,AB653)),IFERROR(IF(VLOOKUP(R653,매핑!$A$4:$E$92,4,0)="","미분류",VLOOKUP(R653,매핑!$A$4:$E$92,4,0)),"미분류")))</f>
        <v/>
      </c>
      <c r="AI653" s="43" t="str">
        <f aca="false">IF(Q653&lt;&gt;1,"",IFERROR(IF(VLOOKUP(R653,매핑!$A$4:$E$92,3,0)="","미분류",VLOOKUP(R653,매핑!$A$4:$E$92,3,0)),IF(AB653&lt;&gt;"",IF(AB653="","",INDEX(시장분석!$W:$W,AB653)),"미분류")))</f>
        <v/>
      </c>
      <c r="AJ653" s="43" t="str">
        <f aca="false">IF(Q653&lt;&gt;1,"",IFERROR(VLOOKUP(IF(N653&lt;&gt;"",N653,IF(P653&lt;&gt;"",P653,O653)),설정!$A$15:$D$47,2,0),""))</f>
        <v/>
      </c>
      <c r="AK653" s="43" t="str">
        <f aca="false">IF(Q653&lt;&gt;1,"",IF(AJ653="","무등급",IFERROR(VLOOKUP(AJ653,설정!$A$15:$D$47,3,0),"무등급")))</f>
        <v/>
      </c>
      <c r="AL653" s="89" t="n">
        <f aca="false">IF(AJ653="",99,IFERROR(VLOOKUP(AJ653,설정!$A$15:$D$47,4,0),99))</f>
        <v>99</v>
      </c>
      <c r="AM653" s="94" t="n">
        <f aca="false">IF(ISNUMBER(H653),AA653*1000000*H653/10000,0)</f>
        <v>0</v>
      </c>
      <c r="AN653" s="94" t="n">
        <f aca="false">IF(OR(Y653=1,NOT(ISNUMBER(Z653))),0,AA653*1000000*Z653/10000)</f>
        <v>0</v>
      </c>
      <c r="AO653" s="94" t="n">
        <f aca="false">IF(ISNUMBER(G653),AA653*1000000*G653/100,0)</f>
        <v>0</v>
      </c>
      <c r="AP653" s="94" t="n">
        <f aca="false">IF(ISNUMBER(M653),M653*K653,0)</f>
        <v>0</v>
      </c>
      <c r="AQ653" s="95" t="str">
        <f aca="false">IF(AB653="","",INDEX(시장분석!$AK:$AK,AB653))</f>
        <v/>
      </c>
      <c r="AR653" s="43" t="str">
        <f aca="false">IF(AB653="","-",IF(AB653="","",INDEX(시장분석!$AL:$AL,AB653)))</f>
        <v>-</v>
      </c>
      <c r="AS653" s="96" t="str">
        <f aca="false">IF(AB653="","",INDEX(시장분석!$AJ:$AJ,AB653))</f>
        <v/>
      </c>
      <c r="AT653" s="93" t="n">
        <f aca="false">IF(AB653="",0,IF(AB653="","",INDEX(시장분석!$AN:$AN,AB653)))</f>
        <v>0</v>
      </c>
      <c r="AU653" s="94" t="n">
        <f aca="false">IF(ISNUMBER(Z653),AT653/10000*MAX(Z653-1,0)*AA653*1000000,0)</f>
        <v>0</v>
      </c>
      <c r="AV653" s="94" t="n">
        <f aca="false">AO653+AU653</f>
        <v>0</v>
      </c>
      <c r="AW653" s="43" t="str">
        <f aca="false">IF(Q653&lt;&gt;1,"",TRIM(IF(AD653=1,"FRN ","")&amp;IF(AND(AL653&gt;=10,AL653&lt;99),"BBB0미만 ","")&amp;IF(AJ653="","등급없음 ","")&amp;IF(K653&lt;&gt;1,"비USD ","")&amp;IF(AND(AB653="",Y653=0),"시장데이터없음 ","")&amp;IF(AND(ISNUMBER(U653),U653&lt;0),"만기경과 ","")))</f>
        <v/>
      </c>
      <c r="AX653" s="90" t="n">
        <f aca="false">IF(Q653&lt;&gt;1,1,IF(스프레드쇼크!$C$4="Y",INDEX(스프레드쇼크!$B$12:$L$16,IFERROR(MATCH(AH653,스프레드쇼크!$A$12:$A$16,0),MATCH("목록외",스프레드쇼크!$A$12:$A$16,0)),IFERROR(MATCH(AG653,스프레드쇼크!$B$11:$L$11,0),MATCH("목록외",스프레드쇼크!$B$11:$L$11,0))),1))</f>
        <v>1</v>
      </c>
      <c r="AY653" s="90" t="n">
        <f aca="false">IF(스프레드쇼크!$C$5="Y",IF(ISNUMBER(AF653),MIN(스프레드쇼크!$C$7,MAX(스프레드쇼크!$C$6,AF653/스프레드쇼크!$C$8)),1),1)</f>
        <v>1</v>
      </c>
      <c r="AZ653" s="94" t="n">
        <f aca="false">AN653*AX653*AY653</f>
        <v>0</v>
      </c>
      <c r="BA653" s="90" t="n">
        <f aca="false">IF(ISNUMBER(G653),AA653*G653,0)</f>
        <v>0</v>
      </c>
      <c r="BB653" s="90" t="n">
        <f aca="false">IF(ISNUMBER(G653),AA653,0)</f>
        <v>0</v>
      </c>
      <c r="BC653" s="90" t="n">
        <f aca="false">IF(AND(Y653=0,ISNUMBER(AF653)),AA653*AF653,0)</f>
        <v>0</v>
      </c>
      <c r="BD653" s="90" t="n">
        <f aca="false">IF(AND(Y653=0,ISNUMBER(AF653)),AA653,0)</f>
        <v>0</v>
      </c>
      <c r="BE653" s="90" t="n">
        <f aca="false">IF(ISNUMBER(H653),AA653*H653,0)</f>
        <v>0</v>
      </c>
      <c r="BF653" s="90" t="n">
        <f aca="false">IF(ISNUMBER(H653),AA653,0)</f>
        <v>0</v>
      </c>
      <c r="BG653" s="90" t="n">
        <f aca="false">IF(AND(Y653=0,ISNUMBER(AF653),ISNUMBER(Z653)),AA653*Z653,0)</f>
        <v>0</v>
      </c>
      <c r="BH653" s="90" t="n">
        <f aca="false">IF(AND(Y653=0,ISNUMBER(AF653),ISNUMBER(Z653)),AA653*AT653*MAX(Z653-1,0),0)</f>
        <v>0</v>
      </c>
      <c r="BI653" s="90" t="n">
        <f aca="false">IF(Y653=0,AA653,0)</f>
        <v>0</v>
      </c>
    </row>
    <row r="654" customFormat="false" ht="15" hidden="false" customHeight="false" outlineLevel="0" collapsed="false">
      <c r="A654" s="83" t="str">
        <f aca="false">IFERROR(IF(INDEX(원자료_잔고!$A$1:$EZ$1500,설정!$L$5+ROW()-1,설정!$L$8)&amp;""="0","",INDEX(원자료_잔고!$A$1:$EZ$1500,설정!$L$5+ROW()-1,설정!$L$8)&amp;""),"")</f>
        <v/>
      </c>
      <c r="B654" s="83" t="str">
        <f aca="false">IFERROR(IF(INDEX(원자료_잔고!$A$1:$EZ$1500,설정!$L$5+ROW()-1,설정!$L$7)&amp;""="0","",INDEX(원자료_잔고!$A$1:$EZ$1500,설정!$L$5+ROW()-1,설정!$L$7)&amp;""),"")</f>
        <v/>
      </c>
      <c r="C654" s="83" t="str">
        <f aca="false">IFERROR(IF(INDEX(원자료_잔고!$A$1:$EZ$1500,설정!$L$5+ROW()-1,설정!$L$9)&amp;""="0","",INDEX(원자료_잔고!$A$1:$EZ$1500,설정!$L$5+ROW()-1,설정!$L$9)&amp;""),"")</f>
        <v/>
      </c>
      <c r="D654" s="83" t="str">
        <f aca="false">IFERROR(IF(INDEX(원자료_잔고!$A$1:$EZ$1500,설정!$L$5+ROW()-1,설정!$L$10)&amp;""="0","",INDEX(원자료_잔고!$A$1:$EZ$1500,설정!$L$5+ROW()-1,설정!$L$10)&amp;""),"")</f>
        <v/>
      </c>
      <c r="E654" s="84" t="str">
        <f aca="false">IFERROR(IF(ISNUMBER(INDEX(원자료_잔고!$A$1:$EZ$1500,설정!$L$5+ROW()-1,설정!$L$11)),INDEX(원자료_잔고!$A$1:$EZ$1500,설정!$L$5+ROW()-1,설정!$L$11),""),"")</f>
        <v/>
      </c>
      <c r="F654" s="85" t="str">
        <f aca="false">IFERROR(IF(ISNUMBER(INDEX(원자료_잔고!$A$1:$EZ$1500,설정!$L$5+ROW()-1,설정!$L$12)),INDEX(원자료_잔고!$A$1:$EZ$1500,설정!$L$5+ROW()-1,설정!$L$12),""),"")</f>
        <v/>
      </c>
      <c r="G654" s="85" t="str">
        <f aca="false">IFERROR(IF(ISNUMBER(INDEX(원자료_잔고!$A$1:$EZ$1500,설정!$L$5+ROW()-1,설정!$L$13)),INDEX(원자료_잔고!$A$1:$EZ$1500,설정!$L$5+ROW()-1,설정!$L$13),""),"")</f>
        <v/>
      </c>
      <c r="H654" s="85" t="str">
        <f aca="false">IFERROR(IF(ISNUMBER(INDEX(원자료_잔고!$A$1:$EZ$1500,설정!$L$5+ROW()-1,설정!$L$14)),INDEX(원자료_잔고!$A$1:$EZ$1500,설정!$L$5+ROW()-1,설정!$L$14),""),"")</f>
        <v/>
      </c>
      <c r="I654" s="86" t="str">
        <f aca="false">IFERROR(IF(ISNUMBER(INDEX(원자료_잔고!$A$1:$EZ$1500,설정!$L$5+ROW()-1,설정!$L$15)),INDEX(원자료_잔고!$A$1:$EZ$1500,설정!$L$5+ROW()-1,설정!$L$15),""),"")</f>
        <v/>
      </c>
      <c r="J654" s="85" t="str">
        <f aca="false">IFERROR(IF(ISNUMBER(INDEX(원자료_잔고!$A$1:$EZ$1500,설정!$L$5+ROW()-1,설정!$L$16)),INDEX(원자료_잔고!$A$1:$EZ$1500,설정!$L$5+ROW()-1,설정!$L$16),""),"")</f>
        <v/>
      </c>
      <c r="K654" s="87" t="str">
        <f aca="false">IFERROR(IF(ISNUMBER(INDEX(원자료_잔고!$A$1:$EZ$1500,설정!$L$5+ROW()-1,설정!$L$17)),INDEX(원자료_잔고!$A$1:$EZ$1500,설정!$L$5+ROW()-1,설정!$L$17),""),"")</f>
        <v/>
      </c>
      <c r="L654" s="84" t="str">
        <f aca="false">IFERROR(IF(ISNUMBER(INDEX(원자료_잔고!$A$1:$EZ$1500,설정!$L$5+ROW()-1,설정!$L$18)),INDEX(원자료_잔고!$A$1:$EZ$1500,설정!$L$5+ROW()-1,설정!$L$18),""),"")</f>
        <v/>
      </c>
      <c r="M654" s="88" t="str">
        <f aca="false">IFERROR(IF(ISNUMBER(INDEX(원자료_잔고!$A$1:$EZ$1500,설정!$L$5+ROW()-1,설정!$L$19)),INDEX(원자료_잔고!$A$1:$EZ$1500,설정!$L$5+ROW()-1,설정!$L$19),""),"")</f>
        <v/>
      </c>
      <c r="N654" s="83" t="str">
        <f aca="false">IFERROR(IF(INDEX(원자료_잔고!$A$1:$EZ$1500,설정!$L$5+ROW()-1,설정!$L$21)&amp;""="0","",INDEX(원자료_잔고!$A$1:$EZ$1500,설정!$L$5+ROW()-1,설정!$L$21)&amp;""),"")</f>
        <v/>
      </c>
      <c r="O654" s="83" t="str">
        <f aca="false">IFERROR(IF(INDEX(원자료_잔고!$A$1:$EZ$1500,설정!$L$5+ROW()-1,설정!$L$22)&amp;""="0","",INDEX(원자료_잔고!$A$1:$EZ$1500,설정!$L$5+ROW()-1,설정!$L$22)&amp;""),"")</f>
        <v/>
      </c>
      <c r="P654" s="83" t="str">
        <f aca="false">IFERROR(IF(INDEX(원자료_잔고!$A$1:$EZ$1500,설정!$L$5+ROW()-1,설정!$L$23)&amp;""="0","",INDEX(원자료_잔고!$A$1:$EZ$1500,설정!$L$5+ROW()-1,설정!$L$23)&amp;""),"")</f>
        <v/>
      </c>
      <c r="Q654" s="89" t="n">
        <f aca="false">IF(AND($A654&lt;&gt;"",ISNUMBER(E654)),IF(E654&gt;0,1,0),0)</f>
        <v>0</v>
      </c>
      <c r="R654" s="43" t="str">
        <f aca="false">IF(Q654=1,UPPER(LEFT($A654,FIND(" ",$A654&amp;" ")-1)),"")</f>
        <v/>
      </c>
      <c r="S654" s="89" t="n">
        <f aca="false">IF(Q654=1,IF(OR(ISNUMBER(SEARCH("Float",$A654)),ISNUMBER(SEARCH("FRN",$A654))),1,0),0)</f>
        <v>0</v>
      </c>
      <c r="T654" s="43" t="str">
        <f aca="false">IF(AND(Q654=1,ISNUMBER(I654)),TEXT(I654,"yyyymmdd")&amp;"|"&amp;IF(S654=1,"F",TEXT(J654,"0.000")),"")</f>
        <v/>
      </c>
      <c r="U654" s="90" t="str">
        <f aca="false">IF(AND(Q654=1,ISNUMBER(I654)),(I654-설정!$C$4)/365.25,"")</f>
        <v/>
      </c>
      <c r="V654" s="43" t="str">
        <f aca="false">IF(Q654&lt;&gt;1,"",IF(ISNUMBER(U654),IF(U654&lt;=1,"1년 이하",IF(U654&lt;=2,"1-2년",IF(U654&lt;=3,"2-3년",IF(U654&lt;=4,"3-4년",IF(U654&lt;=5,"4-5년",IF(U654&lt;=7,"5-7년",IF(U654&lt;=10,"7-10년",IF(U654&lt;=20,"10-20년","20년 이상")))))))),"미분류"))</f>
        <v/>
      </c>
      <c r="W654" s="43" t="str">
        <f aca="false">IF(Q654&lt;&gt;1,"",IF(AB654&lt;&gt;"",INDEX(시장분석!$C:$C,AB654),IF(K654=1,"USD","비USD")))</f>
        <v/>
      </c>
      <c r="X654" s="91" t="n">
        <f aca="false">IF(Q654=1,E654*K654/1000000,0)</f>
        <v>0</v>
      </c>
      <c r="Y654" s="89" t="n">
        <f aca="false">IF(R654="T",1,0)</f>
        <v>0</v>
      </c>
      <c r="Z654" s="92" t="str">
        <f aca="false">IF(Q654&lt;&gt;1,"",IF(AD654=1,IF(ISNUMBER(U654),MAX(U654,0),H654),H654))</f>
        <v/>
      </c>
      <c r="AA654" s="91" t="n">
        <f aca="false">IF(Q654=1,IF(ISNUMBER(L654),L654,0)*K654/1000000,0)</f>
        <v>0</v>
      </c>
      <c r="AB654" s="89" t="str">
        <f aca="false">IF(Q654&lt;&gt;1,"",IFERROR(MATCH(VLOOKUP(B654,매핑!$H$4:$I$15,2,0),시장분석!$A$2:$A$601,0)+1,IFERROR(MATCH(R654&amp;"|"&amp;T654,시장분석!$V$2:$V$601,0)+1,IF(COUNTIF(시장분석!$U$2:$U$601,T654)=1,MATCH(T654,시장분석!$U$2:$U$601,0)+1,""))))</f>
        <v/>
      </c>
      <c r="AC654" s="89" t="n">
        <f aca="false">IF(Q654&lt;&gt;1,0,IF(OR(설정!$C$5="전체",AND(설정!$C$5="선택펀드",IFERROR(COUNTIFS(설정!$F$16:$F$36,C654,설정!$G$16:$G$36,"Y")+COUNTIFS(설정!$F$16:$F$36,VALUE(C654),설정!$G$16:$G$36,"Y"),0)&gt;0),C654&amp;""=설정!$C$5&amp;""),1,0))</f>
        <v>0</v>
      </c>
      <c r="AD654" s="89" t="n">
        <f aca="false">IF(Q654&lt;&gt;1,0,IF(OR(S654=1,IF(AB654="",FALSE(),INDEX(시장분석!$R:$R,AB654)=1)),1,0))</f>
        <v>0</v>
      </c>
      <c r="AE654" s="43" t="str">
        <f aca="false">IF(AB654="","",INDEX(시장분석!$A:$A,AB654))</f>
        <v/>
      </c>
      <c r="AF654" s="93" t="str">
        <f aca="false">IF(AB654="","",IF(ISNUMBER(IF(AB654="","",INDEX(시장분석!$E:$E,AB654))),IF(AB654="","",INDEX(시장분석!$E:$E,AB654)),""))</f>
        <v/>
      </c>
      <c r="AG654" s="43" t="str">
        <f aca="false">IF(Q654&lt;&gt;1,"",IF(AB654&lt;&gt;"",IF(AB654="","",INDEX(시장분석!$L:$L,AB654)),IFERROR(IF(VLOOKUP(R654,매핑!$A$4:$E$92,5,0)="","미분류",VLOOKUP(R654,매핑!$A$4:$E$92,5,0)),"미분류")))</f>
        <v/>
      </c>
      <c r="AH654" s="43" t="str">
        <f aca="false">IF(Q654&lt;&gt;1,"",IF(AB654&lt;&gt;"",IF(AB654="","",INDEX(시장분석!$N:$N,AB654)),IFERROR(IF(VLOOKUP(R654,매핑!$A$4:$E$92,4,0)="","미분류",VLOOKUP(R654,매핑!$A$4:$E$92,4,0)),"미분류")))</f>
        <v/>
      </c>
      <c r="AI654" s="43" t="str">
        <f aca="false">IF(Q654&lt;&gt;1,"",IFERROR(IF(VLOOKUP(R654,매핑!$A$4:$E$92,3,0)="","미분류",VLOOKUP(R654,매핑!$A$4:$E$92,3,0)),IF(AB654&lt;&gt;"",IF(AB654="","",INDEX(시장분석!$W:$W,AB654)),"미분류")))</f>
        <v/>
      </c>
      <c r="AJ654" s="43" t="str">
        <f aca="false">IF(Q654&lt;&gt;1,"",IFERROR(VLOOKUP(IF(N654&lt;&gt;"",N654,IF(P654&lt;&gt;"",P654,O654)),설정!$A$15:$D$47,2,0),""))</f>
        <v/>
      </c>
      <c r="AK654" s="43" t="str">
        <f aca="false">IF(Q654&lt;&gt;1,"",IF(AJ654="","무등급",IFERROR(VLOOKUP(AJ654,설정!$A$15:$D$47,3,0),"무등급")))</f>
        <v/>
      </c>
      <c r="AL654" s="89" t="n">
        <f aca="false">IF(AJ654="",99,IFERROR(VLOOKUP(AJ654,설정!$A$15:$D$47,4,0),99))</f>
        <v>99</v>
      </c>
      <c r="AM654" s="94" t="n">
        <f aca="false">IF(ISNUMBER(H654),AA654*1000000*H654/10000,0)</f>
        <v>0</v>
      </c>
      <c r="AN654" s="94" t="n">
        <f aca="false">IF(OR(Y654=1,NOT(ISNUMBER(Z654))),0,AA654*1000000*Z654/10000)</f>
        <v>0</v>
      </c>
      <c r="AO654" s="94" t="n">
        <f aca="false">IF(ISNUMBER(G654),AA654*1000000*G654/100,0)</f>
        <v>0</v>
      </c>
      <c r="AP654" s="94" t="n">
        <f aca="false">IF(ISNUMBER(M654),M654*K654,0)</f>
        <v>0</v>
      </c>
      <c r="AQ654" s="95" t="str">
        <f aca="false">IF(AB654="","",INDEX(시장분석!$AK:$AK,AB654))</f>
        <v/>
      </c>
      <c r="AR654" s="43" t="str">
        <f aca="false">IF(AB654="","-",IF(AB654="","",INDEX(시장분석!$AL:$AL,AB654)))</f>
        <v>-</v>
      </c>
      <c r="AS654" s="96" t="str">
        <f aca="false">IF(AB654="","",INDEX(시장분석!$AJ:$AJ,AB654))</f>
        <v/>
      </c>
      <c r="AT654" s="93" t="n">
        <f aca="false">IF(AB654="",0,IF(AB654="","",INDEX(시장분석!$AN:$AN,AB654)))</f>
        <v>0</v>
      </c>
      <c r="AU654" s="94" t="n">
        <f aca="false">IF(ISNUMBER(Z654),AT654/10000*MAX(Z654-1,0)*AA654*1000000,0)</f>
        <v>0</v>
      </c>
      <c r="AV654" s="94" t="n">
        <f aca="false">AO654+AU654</f>
        <v>0</v>
      </c>
      <c r="AW654" s="43" t="str">
        <f aca="false">IF(Q654&lt;&gt;1,"",TRIM(IF(AD654=1,"FRN ","")&amp;IF(AND(AL654&gt;=10,AL654&lt;99),"BBB0미만 ","")&amp;IF(AJ654="","등급없음 ","")&amp;IF(K654&lt;&gt;1,"비USD ","")&amp;IF(AND(AB654="",Y654=0),"시장데이터없음 ","")&amp;IF(AND(ISNUMBER(U654),U654&lt;0),"만기경과 ","")))</f>
        <v/>
      </c>
      <c r="AX654" s="90" t="n">
        <f aca="false">IF(Q654&lt;&gt;1,1,IF(스프레드쇼크!$C$4="Y",INDEX(스프레드쇼크!$B$12:$L$16,IFERROR(MATCH(AH654,스프레드쇼크!$A$12:$A$16,0),MATCH("목록외",스프레드쇼크!$A$12:$A$16,0)),IFERROR(MATCH(AG654,스프레드쇼크!$B$11:$L$11,0),MATCH("목록외",스프레드쇼크!$B$11:$L$11,0))),1))</f>
        <v>1</v>
      </c>
      <c r="AY654" s="90" t="n">
        <f aca="false">IF(스프레드쇼크!$C$5="Y",IF(ISNUMBER(AF654),MIN(스프레드쇼크!$C$7,MAX(스프레드쇼크!$C$6,AF654/스프레드쇼크!$C$8)),1),1)</f>
        <v>1</v>
      </c>
      <c r="AZ654" s="94" t="n">
        <f aca="false">AN654*AX654*AY654</f>
        <v>0</v>
      </c>
      <c r="BA654" s="90" t="n">
        <f aca="false">IF(ISNUMBER(G654),AA654*G654,0)</f>
        <v>0</v>
      </c>
      <c r="BB654" s="90" t="n">
        <f aca="false">IF(ISNUMBER(G654),AA654,0)</f>
        <v>0</v>
      </c>
      <c r="BC654" s="90" t="n">
        <f aca="false">IF(AND(Y654=0,ISNUMBER(AF654)),AA654*AF654,0)</f>
        <v>0</v>
      </c>
      <c r="BD654" s="90" t="n">
        <f aca="false">IF(AND(Y654=0,ISNUMBER(AF654)),AA654,0)</f>
        <v>0</v>
      </c>
      <c r="BE654" s="90" t="n">
        <f aca="false">IF(ISNUMBER(H654),AA654*H654,0)</f>
        <v>0</v>
      </c>
      <c r="BF654" s="90" t="n">
        <f aca="false">IF(ISNUMBER(H654),AA654,0)</f>
        <v>0</v>
      </c>
      <c r="BG654" s="90" t="n">
        <f aca="false">IF(AND(Y654=0,ISNUMBER(AF654),ISNUMBER(Z654)),AA654*Z654,0)</f>
        <v>0</v>
      </c>
      <c r="BH654" s="90" t="n">
        <f aca="false">IF(AND(Y654=0,ISNUMBER(AF654),ISNUMBER(Z654)),AA654*AT654*MAX(Z654-1,0),0)</f>
        <v>0</v>
      </c>
      <c r="BI654" s="90" t="n">
        <f aca="false">IF(Y654=0,AA654,0)</f>
        <v>0</v>
      </c>
    </row>
    <row r="655" customFormat="false" ht="15" hidden="false" customHeight="false" outlineLevel="0" collapsed="false">
      <c r="A655" s="83" t="str">
        <f aca="false">IFERROR(IF(INDEX(원자료_잔고!$A$1:$EZ$1500,설정!$L$5+ROW()-1,설정!$L$8)&amp;""="0","",INDEX(원자료_잔고!$A$1:$EZ$1500,설정!$L$5+ROW()-1,설정!$L$8)&amp;""),"")</f>
        <v/>
      </c>
      <c r="B655" s="83" t="str">
        <f aca="false">IFERROR(IF(INDEX(원자료_잔고!$A$1:$EZ$1500,설정!$L$5+ROW()-1,설정!$L$7)&amp;""="0","",INDEX(원자료_잔고!$A$1:$EZ$1500,설정!$L$5+ROW()-1,설정!$L$7)&amp;""),"")</f>
        <v/>
      </c>
      <c r="C655" s="83" t="str">
        <f aca="false">IFERROR(IF(INDEX(원자료_잔고!$A$1:$EZ$1500,설정!$L$5+ROW()-1,설정!$L$9)&amp;""="0","",INDEX(원자료_잔고!$A$1:$EZ$1500,설정!$L$5+ROW()-1,설정!$L$9)&amp;""),"")</f>
        <v/>
      </c>
      <c r="D655" s="83" t="str">
        <f aca="false">IFERROR(IF(INDEX(원자료_잔고!$A$1:$EZ$1500,설정!$L$5+ROW()-1,설정!$L$10)&amp;""="0","",INDEX(원자료_잔고!$A$1:$EZ$1500,설정!$L$5+ROW()-1,설정!$L$10)&amp;""),"")</f>
        <v/>
      </c>
      <c r="E655" s="84" t="str">
        <f aca="false">IFERROR(IF(ISNUMBER(INDEX(원자료_잔고!$A$1:$EZ$1500,설정!$L$5+ROW()-1,설정!$L$11)),INDEX(원자료_잔고!$A$1:$EZ$1500,설정!$L$5+ROW()-1,설정!$L$11),""),"")</f>
        <v/>
      </c>
      <c r="F655" s="85" t="str">
        <f aca="false">IFERROR(IF(ISNUMBER(INDEX(원자료_잔고!$A$1:$EZ$1500,설정!$L$5+ROW()-1,설정!$L$12)),INDEX(원자료_잔고!$A$1:$EZ$1500,설정!$L$5+ROW()-1,설정!$L$12),""),"")</f>
        <v/>
      </c>
      <c r="G655" s="85" t="str">
        <f aca="false">IFERROR(IF(ISNUMBER(INDEX(원자료_잔고!$A$1:$EZ$1500,설정!$L$5+ROW()-1,설정!$L$13)),INDEX(원자료_잔고!$A$1:$EZ$1500,설정!$L$5+ROW()-1,설정!$L$13),""),"")</f>
        <v/>
      </c>
      <c r="H655" s="85" t="str">
        <f aca="false">IFERROR(IF(ISNUMBER(INDEX(원자료_잔고!$A$1:$EZ$1500,설정!$L$5+ROW()-1,설정!$L$14)),INDEX(원자료_잔고!$A$1:$EZ$1500,설정!$L$5+ROW()-1,설정!$L$14),""),"")</f>
        <v/>
      </c>
      <c r="I655" s="86" t="str">
        <f aca="false">IFERROR(IF(ISNUMBER(INDEX(원자료_잔고!$A$1:$EZ$1500,설정!$L$5+ROW()-1,설정!$L$15)),INDEX(원자료_잔고!$A$1:$EZ$1500,설정!$L$5+ROW()-1,설정!$L$15),""),"")</f>
        <v/>
      </c>
      <c r="J655" s="85" t="str">
        <f aca="false">IFERROR(IF(ISNUMBER(INDEX(원자료_잔고!$A$1:$EZ$1500,설정!$L$5+ROW()-1,설정!$L$16)),INDEX(원자료_잔고!$A$1:$EZ$1500,설정!$L$5+ROW()-1,설정!$L$16),""),"")</f>
        <v/>
      </c>
      <c r="K655" s="87" t="str">
        <f aca="false">IFERROR(IF(ISNUMBER(INDEX(원자료_잔고!$A$1:$EZ$1500,설정!$L$5+ROW()-1,설정!$L$17)),INDEX(원자료_잔고!$A$1:$EZ$1500,설정!$L$5+ROW()-1,설정!$L$17),""),"")</f>
        <v/>
      </c>
      <c r="L655" s="84" t="str">
        <f aca="false">IFERROR(IF(ISNUMBER(INDEX(원자료_잔고!$A$1:$EZ$1500,설정!$L$5+ROW()-1,설정!$L$18)),INDEX(원자료_잔고!$A$1:$EZ$1500,설정!$L$5+ROW()-1,설정!$L$18),""),"")</f>
        <v/>
      </c>
      <c r="M655" s="88" t="str">
        <f aca="false">IFERROR(IF(ISNUMBER(INDEX(원자료_잔고!$A$1:$EZ$1500,설정!$L$5+ROW()-1,설정!$L$19)),INDEX(원자료_잔고!$A$1:$EZ$1500,설정!$L$5+ROW()-1,설정!$L$19),""),"")</f>
        <v/>
      </c>
      <c r="N655" s="83" t="str">
        <f aca="false">IFERROR(IF(INDEX(원자료_잔고!$A$1:$EZ$1500,설정!$L$5+ROW()-1,설정!$L$21)&amp;""="0","",INDEX(원자료_잔고!$A$1:$EZ$1500,설정!$L$5+ROW()-1,설정!$L$21)&amp;""),"")</f>
        <v/>
      </c>
      <c r="O655" s="83" t="str">
        <f aca="false">IFERROR(IF(INDEX(원자료_잔고!$A$1:$EZ$1500,설정!$L$5+ROW()-1,설정!$L$22)&amp;""="0","",INDEX(원자료_잔고!$A$1:$EZ$1500,설정!$L$5+ROW()-1,설정!$L$22)&amp;""),"")</f>
        <v/>
      </c>
      <c r="P655" s="83" t="str">
        <f aca="false">IFERROR(IF(INDEX(원자료_잔고!$A$1:$EZ$1500,설정!$L$5+ROW()-1,설정!$L$23)&amp;""="0","",INDEX(원자료_잔고!$A$1:$EZ$1500,설정!$L$5+ROW()-1,설정!$L$23)&amp;""),"")</f>
        <v/>
      </c>
      <c r="Q655" s="89" t="n">
        <f aca="false">IF(AND($A655&lt;&gt;"",ISNUMBER(E655)),IF(E655&gt;0,1,0),0)</f>
        <v>0</v>
      </c>
      <c r="R655" s="43" t="str">
        <f aca="false">IF(Q655=1,UPPER(LEFT($A655,FIND(" ",$A655&amp;" ")-1)),"")</f>
        <v/>
      </c>
      <c r="S655" s="89" t="n">
        <f aca="false">IF(Q655=1,IF(OR(ISNUMBER(SEARCH("Float",$A655)),ISNUMBER(SEARCH("FRN",$A655))),1,0),0)</f>
        <v>0</v>
      </c>
      <c r="T655" s="43" t="str">
        <f aca="false">IF(AND(Q655=1,ISNUMBER(I655)),TEXT(I655,"yyyymmdd")&amp;"|"&amp;IF(S655=1,"F",TEXT(J655,"0.000")),"")</f>
        <v/>
      </c>
      <c r="U655" s="90" t="str">
        <f aca="false">IF(AND(Q655=1,ISNUMBER(I655)),(I655-설정!$C$4)/365.25,"")</f>
        <v/>
      </c>
      <c r="V655" s="43" t="str">
        <f aca="false">IF(Q655&lt;&gt;1,"",IF(ISNUMBER(U655),IF(U655&lt;=1,"1년 이하",IF(U655&lt;=2,"1-2년",IF(U655&lt;=3,"2-3년",IF(U655&lt;=4,"3-4년",IF(U655&lt;=5,"4-5년",IF(U655&lt;=7,"5-7년",IF(U655&lt;=10,"7-10년",IF(U655&lt;=20,"10-20년","20년 이상")))))))),"미분류"))</f>
        <v/>
      </c>
      <c r="W655" s="43" t="str">
        <f aca="false">IF(Q655&lt;&gt;1,"",IF(AB655&lt;&gt;"",INDEX(시장분석!$C:$C,AB655),IF(K655=1,"USD","비USD")))</f>
        <v/>
      </c>
      <c r="X655" s="91" t="n">
        <f aca="false">IF(Q655=1,E655*K655/1000000,0)</f>
        <v>0</v>
      </c>
      <c r="Y655" s="89" t="n">
        <f aca="false">IF(R655="T",1,0)</f>
        <v>0</v>
      </c>
      <c r="Z655" s="92" t="str">
        <f aca="false">IF(Q655&lt;&gt;1,"",IF(AD655=1,IF(ISNUMBER(U655),MAX(U655,0),H655),H655))</f>
        <v/>
      </c>
      <c r="AA655" s="91" t="n">
        <f aca="false">IF(Q655=1,IF(ISNUMBER(L655),L655,0)*K655/1000000,0)</f>
        <v>0</v>
      </c>
      <c r="AB655" s="89" t="str">
        <f aca="false">IF(Q655&lt;&gt;1,"",IFERROR(MATCH(VLOOKUP(B655,매핑!$H$4:$I$15,2,0),시장분석!$A$2:$A$601,0)+1,IFERROR(MATCH(R655&amp;"|"&amp;T655,시장분석!$V$2:$V$601,0)+1,IF(COUNTIF(시장분석!$U$2:$U$601,T655)=1,MATCH(T655,시장분석!$U$2:$U$601,0)+1,""))))</f>
        <v/>
      </c>
      <c r="AC655" s="89" t="n">
        <f aca="false">IF(Q655&lt;&gt;1,0,IF(OR(설정!$C$5="전체",AND(설정!$C$5="선택펀드",IFERROR(COUNTIFS(설정!$F$16:$F$36,C655,설정!$G$16:$G$36,"Y")+COUNTIFS(설정!$F$16:$F$36,VALUE(C655),설정!$G$16:$G$36,"Y"),0)&gt;0),C655&amp;""=설정!$C$5&amp;""),1,0))</f>
        <v>0</v>
      </c>
      <c r="AD655" s="89" t="n">
        <f aca="false">IF(Q655&lt;&gt;1,0,IF(OR(S655=1,IF(AB655="",FALSE(),INDEX(시장분석!$R:$R,AB655)=1)),1,0))</f>
        <v>0</v>
      </c>
      <c r="AE655" s="43" t="str">
        <f aca="false">IF(AB655="","",INDEX(시장분석!$A:$A,AB655))</f>
        <v/>
      </c>
      <c r="AF655" s="93" t="str">
        <f aca="false">IF(AB655="","",IF(ISNUMBER(IF(AB655="","",INDEX(시장분석!$E:$E,AB655))),IF(AB655="","",INDEX(시장분석!$E:$E,AB655)),""))</f>
        <v/>
      </c>
      <c r="AG655" s="43" t="str">
        <f aca="false">IF(Q655&lt;&gt;1,"",IF(AB655&lt;&gt;"",IF(AB655="","",INDEX(시장분석!$L:$L,AB655)),IFERROR(IF(VLOOKUP(R655,매핑!$A$4:$E$92,5,0)="","미분류",VLOOKUP(R655,매핑!$A$4:$E$92,5,0)),"미분류")))</f>
        <v/>
      </c>
      <c r="AH655" s="43" t="str">
        <f aca="false">IF(Q655&lt;&gt;1,"",IF(AB655&lt;&gt;"",IF(AB655="","",INDEX(시장분석!$N:$N,AB655)),IFERROR(IF(VLOOKUP(R655,매핑!$A$4:$E$92,4,0)="","미분류",VLOOKUP(R655,매핑!$A$4:$E$92,4,0)),"미분류")))</f>
        <v/>
      </c>
      <c r="AI655" s="43" t="str">
        <f aca="false">IF(Q655&lt;&gt;1,"",IFERROR(IF(VLOOKUP(R655,매핑!$A$4:$E$92,3,0)="","미분류",VLOOKUP(R655,매핑!$A$4:$E$92,3,0)),IF(AB655&lt;&gt;"",IF(AB655="","",INDEX(시장분석!$W:$W,AB655)),"미분류")))</f>
        <v/>
      </c>
      <c r="AJ655" s="43" t="str">
        <f aca="false">IF(Q655&lt;&gt;1,"",IFERROR(VLOOKUP(IF(N655&lt;&gt;"",N655,IF(P655&lt;&gt;"",P655,O655)),설정!$A$15:$D$47,2,0),""))</f>
        <v/>
      </c>
      <c r="AK655" s="43" t="str">
        <f aca="false">IF(Q655&lt;&gt;1,"",IF(AJ655="","무등급",IFERROR(VLOOKUP(AJ655,설정!$A$15:$D$47,3,0),"무등급")))</f>
        <v/>
      </c>
      <c r="AL655" s="89" t="n">
        <f aca="false">IF(AJ655="",99,IFERROR(VLOOKUP(AJ655,설정!$A$15:$D$47,4,0),99))</f>
        <v>99</v>
      </c>
      <c r="AM655" s="94" t="n">
        <f aca="false">IF(ISNUMBER(H655),AA655*1000000*H655/10000,0)</f>
        <v>0</v>
      </c>
      <c r="AN655" s="94" t="n">
        <f aca="false">IF(OR(Y655=1,NOT(ISNUMBER(Z655))),0,AA655*1000000*Z655/10000)</f>
        <v>0</v>
      </c>
      <c r="AO655" s="94" t="n">
        <f aca="false">IF(ISNUMBER(G655),AA655*1000000*G655/100,0)</f>
        <v>0</v>
      </c>
      <c r="AP655" s="94" t="n">
        <f aca="false">IF(ISNUMBER(M655),M655*K655,0)</f>
        <v>0</v>
      </c>
      <c r="AQ655" s="95" t="str">
        <f aca="false">IF(AB655="","",INDEX(시장분석!$AK:$AK,AB655))</f>
        <v/>
      </c>
      <c r="AR655" s="43" t="str">
        <f aca="false">IF(AB655="","-",IF(AB655="","",INDEX(시장분석!$AL:$AL,AB655)))</f>
        <v>-</v>
      </c>
      <c r="AS655" s="96" t="str">
        <f aca="false">IF(AB655="","",INDEX(시장분석!$AJ:$AJ,AB655))</f>
        <v/>
      </c>
      <c r="AT655" s="93" t="n">
        <f aca="false">IF(AB655="",0,IF(AB655="","",INDEX(시장분석!$AN:$AN,AB655)))</f>
        <v>0</v>
      </c>
      <c r="AU655" s="94" t="n">
        <f aca="false">IF(ISNUMBER(Z655),AT655/10000*MAX(Z655-1,0)*AA655*1000000,0)</f>
        <v>0</v>
      </c>
      <c r="AV655" s="94" t="n">
        <f aca="false">AO655+AU655</f>
        <v>0</v>
      </c>
      <c r="AW655" s="43" t="str">
        <f aca="false">IF(Q655&lt;&gt;1,"",TRIM(IF(AD655=1,"FRN ","")&amp;IF(AND(AL655&gt;=10,AL655&lt;99),"BBB0미만 ","")&amp;IF(AJ655="","등급없음 ","")&amp;IF(K655&lt;&gt;1,"비USD ","")&amp;IF(AND(AB655="",Y655=0),"시장데이터없음 ","")&amp;IF(AND(ISNUMBER(U655),U655&lt;0),"만기경과 ","")))</f>
        <v/>
      </c>
      <c r="AX655" s="90" t="n">
        <f aca="false">IF(Q655&lt;&gt;1,1,IF(스프레드쇼크!$C$4="Y",INDEX(스프레드쇼크!$B$12:$L$16,IFERROR(MATCH(AH655,스프레드쇼크!$A$12:$A$16,0),MATCH("목록외",스프레드쇼크!$A$12:$A$16,0)),IFERROR(MATCH(AG655,스프레드쇼크!$B$11:$L$11,0),MATCH("목록외",스프레드쇼크!$B$11:$L$11,0))),1))</f>
        <v>1</v>
      </c>
      <c r="AY655" s="90" t="n">
        <f aca="false">IF(스프레드쇼크!$C$5="Y",IF(ISNUMBER(AF655),MIN(스프레드쇼크!$C$7,MAX(스프레드쇼크!$C$6,AF655/스프레드쇼크!$C$8)),1),1)</f>
        <v>1</v>
      </c>
      <c r="AZ655" s="94" t="n">
        <f aca="false">AN655*AX655*AY655</f>
        <v>0</v>
      </c>
      <c r="BA655" s="90" t="n">
        <f aca="false">IF(ISNUMBER(G655),AA655*G655,0)</f>
        <v>0</v>
      </c>
      <c r="BB655" s="90" t="n">
        <f aca="false">IF(ISNUMBER(G655),AA655,0)</f>
        <v>0</v>
      </c>
      <c r="BC655" s="90" t="n">
        <f aca="false">IF(AND(Y655=0,ISNUMBER(AF655)),AA655*AF655,0)</f>
        <v>0</v>
      </c>
      <c r="BD655" s="90" t="n">
        <f aca="false">IF(AND(Y655=0,ISNUMBER(AF655)),AA655,0)</f>
        <v>0</v>
      </c>
      <c r="BE655" s="90" t="n">
        <f aca="false">IF(ISNUMBER(H655),AA655*H655,0)</f>
        <v>0</v>
      </c>
      <c r="BF655" s="90" t="n">
        <f aca="false">IF(ISNUMBER(H655),AA655,0)</f>
        <v>0</v>
      </c>
      <c r="BG655" s="90" t="n">
        <f aca="false">IF(AND(Y655=0,ISNUMBER(AF655),ISNUMBER(Z655)),AA655*Z655,0)</f>
        <v>0</v>
      </c>
      <c r="BH655" s="90" t="n">
        <f aca="false">IF(AND(Y655=0,ISNUMBER(AF655),ISNUMBER(Z655)),AA655*AT655*MAX(Z655-1,0),0)</f>
        <v>0</v>
      </c>
      <c r="BI655" s="90" t="n">
        <f aca="false">IF(Y655=0,AA655,0)</f>
        <v>0</v>
      </c>
    </row>
    <row r="656" customFormat="false" ht="15" hidden="false" customHeight="false" outlineLevel="0" collapsed="false">
      <c r="A656" s="83" t="str">
        <f aca="false">IFERROR(IF(INDEX(원자료_잔고!$A$1:$EZ$1500,설정!$L$5+ROW()-1,설정!$L$8)&amp;""="0","",INDEX(원자료_잔고!$A$1:$EZ$1500,설정!$L$5+ROW()-1,설정!$L$8)&amp;""),"")</f>
        <v/>
      </c>
      <c r="B656" s="83" t="str">
        <f aca="false">IFERROR(IF(INDEX(원자료_잔고!$A$1:$EZ$1500,설정!$L$5+ROW()-1,설정!$L$7)&amp;""="0","",INDEX(원자료_잔고!$A$1:$EZ$1500,설정!$L$5+ROW()-1,설정!$L$7)&amp;""),"")</f>
        <v/>
      </c>
      <c r="C656" s="83" t="str">
        <f aca="false">IFERROR(IF(INDEX(원자료_잔고!$A$1:$EZ$1500,설정!$L$5+ROW()-1,설정!$L$9)&amp;""="0","",INDEX(원자료_잔고!$A$1:$EZ$1500,설정!$L$5+ROW()-1,설정!$L$9)&amp;""),"")</f>
        <v/>
      </c>
      <c r="D656" s="83" t="str">
        <f aca="false">IFERROR(IF(INDEX(원자료_잔고!$A$1:$EZ$1500,설정!$L$5+ROW()-1,설정!$L$10)&amp;""="0","",INDEX(원자료_잔고!$A$1:$EZ$1500,설정!$L$5+ROW()-1,설정!$L$10)&amp;""),"")</f>
        <v/>
      </c>
      <c r="E656" s="84" t="str">
        <f aca="false">IFERROR(IF(ISNUMBER(INDEX(원자료_잔고!$A$1:$EZ$1500,설정!$L$5+ROW()-1,설정!$L$11)),INDEX(원자료_잔고!$A$1:$EZ$1500,설정!$L$5+ROW()-1,설정!$L$11),""),"")</f>
        <v/>
      </c>
      <c r="F656" s="85" t="str">
        <f aca="false">IFERROR(IF(ISNUMBER(INDEX(원자료_잔고!$A$1:$EZ$1500,설정!$L$5+ROW()-1,설정!$L$12)),INDEX(원자료_잔고!$A$1:$EZ$1500,설정!$L$5+ROW()-1,설정!$L$12),""),"")</f>
        <v/>
      </c>
      <c r="G656" s="85" t="str">
        <f aca="false">IFERROR(IF(ISNUMBER(INDEX(원자료_잔고!$A$1:$EZ$1500,설정!$L$5+ROW()-1,설정!$L$13)),INDEX(원자료_잔고!$A$1:$EZ$1500,설정!$L$5+ROW()-1,설정!$L$13),""),"")</f>
        <v/>
      </c>
      <c r="H656" s="85" t="str">
        <f aca="false">IFERROR(IF(ISNUMBER(INDEX(원자료_잔고!$A$1:$EZ$1500,설정!$L$5+ROW()-1,설정!$L$14)),INDEX(원자료_잔고!$A$1:$EZ$1500,설정!$L$5+ROW()-1,설정!$L$14),""),"")</f>
        <v/>
      </c>
      <c r="I656" s="86" t="str">
        <f aca="false">IFERROR(IF(ISNUMBER(INDEX(원자료_잔고!$A$1:$EZ$1500,설정!$L$5+ROW()-1,설정!$L$15)),INDEX(원자료_잔고!$A$1:$EZ$1500,설정!$L$5+ROW()-1,설정!$L$15),""),"")</f>
        <v/>
      </c>
      <c r="J656" s="85" t="str">
        <f aca="false">IFERROR(IF(ISNUMBER(INDEX(원자료_잔고!$A$1:$EZ$1500,설정!$L$5+ROW()-1,설정!$L$16)),INDEX(원자료_잔고!$A$1:$EZ$1500,설정!$L$5+ROW()-1,설정!$L$16),""),"")</f>
        <v/>
      </c>
      <c r="K656" s="87" t="str">
        <f aca="false">IFERROR(IF(ISNUMBER(INDEX(원자료_잔고!$A$1:$EZ$1500,설정!$L$5+ROW()-1,설정!$L$17)),INDEX(원자료_잔고!$A$1:$EZ$1500,설정!$L$5+ROW()-1,설정!$L$17),""),"")</f>
        <v/>
      </c>
      <c r="L656" s="84" t="str">
        <f aca="false">IFERROR(IF(ISNUMBER(INDEX(원자료_잔고!$A$1:$EZ$1500,설정!$L$5+ROW()-1,설정!$L$18)),INDEX(원자료_잔고!$A$1:$EZ$1500,설정!$L$5+ROW()-1,설정!$L$18),""),"")</f>
        <v/>
      </c>
      <c r="M656" s="88" t="str">
        <f aca="false">IFERROR(IF(ISNUMBER(INDEX(원자료_잔고!$A$1:$EZ$1500,설정!$L$5+ROW()-1,설정!$L$19)),INDEX(원자료_잔고!$A$1:$EZ$1500,설정!$L$5+ROW()-1,설정!$L$19),""),"")</f>
        <v/>
      </c>
      <c r="N656" s="83" t="str">
        <f aca="false">IFERROR(IF(INDEX(원자료_잔고!$A$1:$EZ$1500,설정!$L$5+ROW()-1,설정!$L$21)&amp;""="0","",INDEX(원자료_잔고!$A$1:$EZ$1500,설정!$L$5+ROW()-1,설정!$L$21)&amp;""),"")</f>
        <v/>
      </c>
      <c r="O656" s="83" t="str">
        <f aca="false">IFERROR(IF(INDEX(원자료_잔고!$A$1:$EZ$1500,설정!$L$5+ROW()-1,설정!$L$22)&amp;""="0","",INDEX(원자료_잔고!$A$1:$EZ$1500,설정!$L$5+ROW()-1,설정!$L$22)&amp;""),"")</f>
        <v/>
      </c>
      <c r="P656" s="83" t="str">
        <f aca="false">IFERROR(IF(INDEX(원자료_잔고!$A$1:$EZ$1500,설정!$L$5+ROW()-1,설정!$L$23)&amp;""="0","",INDEX(원자료_잔고!$A$1:$EZ$1500,설정!$L$5+ROW()-1,설정!$L$23)&amp;""),"")</f>
        <v/>
      </c>
      <c r="Q656" s="89" t="n">
        <f aca="false">IF(AND($A656&lt;&gt;"",ISNUMBER(E656)),IF(E656&gt;0,1,0),0)</f>
        <v>0</v>
      </c>
      <c r="R656" s="43" t="str">
        <f aca="false">IF(Q656=1,UPPER(LEFT($A656,FIND(" ",$A656&amp;" ")-1)),"")</f>
        <v/>
      </c>
      <c r="S656" s="89" t="n">
        <f aca="false">IF(Q656=1,IF(OR(ISNUMBER(SEARCH("Float",$A656)),ISNUMBER(SEARCH("FRN",$A656))),1,0),0)</f>
        <v>0</v>
      </c>
      <c r="T656" s="43" t="str">
        <f aca="false">IF(AND(Q656=1,ISNUMBER(I656)),TEXT(I656,"yyyymmdd")&amp;"|"&amp;IF(S656=1,"F",TEXT(J656,"0.000")),"")</f>
        <v/>
      </c>
      <c r="U656" s="90" t="str">
        <f aca="false">IF(AND(Q656=1,ISNUMBER(I656)),(I656-설정!$C$4)/365.25,"")</f>
        <v/>
      </c>
      <c r="V656" s="43" t="str">
        <f aca="false">IF(Q656&lt;&gt;1,"",IF(ISNUMBER(U656),IF(U656&lt;=1,"1년 이하",IF(U656&lt;=2,"1-2년",IF(U656&lt;=3,"2-3년",IF(U656&lt;=4,"3-4년",IF(U656&lt;=5,"4-5년",IF(U656&lt;=7,"5-7년",IF(U656&lt;=10,"7-10년",IF(U656&lt;=20,"10-20년","20년 이상")))))))),"미분류"))</f>
        <v/>
      </c>
      <c r="W656" s="43" t="str">
        <f aca="false">IF(Q656&lt;&gt;1,"",IF(AB656&lt;&gt;"",INDEX(시장분석!$C:$C,AB656),IF(K656=1,"USD","비USD")))</f>
        <v/>
      </c>
      <c r="X656" s="91" t="n">
        <f aca="false">IF(Q656=1,E656*K656/1000000,0)</f>
        <v>0</v>
      </c>
      <c r="Y656" s="89" t="n">
        <f aca="false">IF(R656="T",1,0)</f>
        <v>0</v>
      </c>
      <c r="Z656" s="92" t="str">
        <f aca="false">IF(Q656&lt;&gt;1,"",IF(AD656=1,IF(ISNUMBER(U656),MAX(U656,0),H656),H656))</f>
        <v/>
      </c>
      <c r="AA656" s="91" t="n">
        <f aca="false">IF(Q656=1,IF(ISNUMBER(L656),L656,0)*K656/1000000,0)</f>
        <v>0</v>
      </c>
      <c r="AB656" s="89" t="str">
        <f aca="false">IF(Q656&lt;&gt;1,"",IFERROR(MATCH(VLOOKUP(B656,매핑!$H$4:$I$15,2,0),시장분석!$A$2:$A$601,0)+1,IFERROR(MATCH(R656&amp;"|"&amp;T656,시장분석!$V$2:$V$601,0)+1,IF(COUNTIF(시장분석!$U$2:$U$601,T656)=1,MATCH(T656,시장분석!$U$2:$U$601,0)+1,""))))</f>
        <v/>
      </c>
      <c r="AC656" s="89" t="n">
        <f aca="false">IF(Q656&lt;&gt;1,0,IF(OR(설정!$C$5="전체",AND(설정!$C$5="선택펀드",IFERROR(COUNTIFS(설정!$F$16:$F$36,C656,설정!$G$16:$G$36,"Y")+COUNTIFS(설정!$F$16:$F$36,VALUE(C656),설정!$G$16:$G$36,"Y"),0)&gt;0),C656&amp;""=설정!$C$5&amp;""),1,0))</f>
        <v>0</v>
      </c>
      <c r="AD656" s="89" t="n">
        <f aca="false">IF(Q656&lt;&gt;1,0,IF(OR(S656=1,IF(AB656="",FALSE(),INDEX(시장분석!$R:$R,AB656)=1)),1,0))</f>
        <v>0</v>
      </c>
      <c r="AE656" s="43" t="str">
        <f aca="false">IF(AB656="","",INDEX(시장분석!$A:$A,AB656))</f>
        <v/>
      </c>
      <c r="AF656" s="93" t="str">
        <f aca="false">IF(AB656="","",IF(ISNUMBER(IF(AB656="","",INDEX(시장분석!$E:$E,AB656))),IF(AB656="","",INDEX(시장분석!$E:$E,AB656)),""))</f>
        <v/>
      </c>
      <c r="AG656" s="43" t="str">
        <f aca="false">IF(Q656&lt;&gt;1,"",IF(AB656&lt;&gt;"",IF(AB656="","",INDEX(시장분석!$L:$L,AB656)),IFERROR(IF(VLOOKUP(R656,매핑!$A$4:$E$92,5,0)="","미분류",VLOOKUP(R656,매핑!$A$4:$E$92,5,0)),"미분류")))</f>
        <v/>
      </c>
      <c r="AH656" s="43" t="str">
        <f aca="false">IF(Q656&lt;&gt;1,"",IF(AB656&lt;&gt;"",IF(AB656="","",INDEX(시장분석!$N:$N,AB656)),IFERROR(IF(VLOOKUP(R656,매핑!$A$4:$E$92,4,0)="","미분류",VLOOKUP(R656,매핑!$A$4:$E$92,4,0)),"미분류")))</f>
        <v/>
      </c>
      <c r="AI656" s="43" t="str">
        <f aca="false">IF(Q656&lt;&gt;1,"",IFERROR(IF(VLOOKUP(R656,매핑!$A$4:$E$92,3,0)="","미분류",VLOOKUP(R656,매핑!$A$4:$E$92,3,0)),IF(AB656&lt;&gt;"",IF(AB656="","",INDEX(시장분석!$W:$W,AB656)),"미분류")))</f>
        <v/>
      </c>
      <c r="AJ656" s="43" t="str">
        <f aca="false">IF(Q656&lt;&gt;1,"",IFERROR(VLOOKUP(IF(N656&lt;&gt;"",N656,IF(P656&lt;&gt;"",P656,O656)),설정!$A$15:$D$47,2,0),""))</f>
        <v/>
      </c>
      <c r="AK656" s="43" t="str">
        <f aca="false">IF(Q656&lt;&gt;1,"",IF(AJ656="","무등급",IFERROR(VLOOKUP(AJ656,설정!$A$15:$D$47,3,0),"무등급")))</f>
        <v/>
      </c>
      <c r="AL656" s="89" t="n">
        <f aca="false">IF(AJ656="",99,IFERROR(VLOOKUP(AJ656,설정!$A$15:$D$47,4,0),99))</f>
        <v>99</v>
      </c>
      <c r="AM656" s="94" t="n">
        <f aca="false">IF(ISNUMBER(H656),AA656*1000000*H656/10000,0)</f>
        <v>0</v>
      </c>
      <c r="AN656" s="94" t="n">
        <f aca="false">IF(OR(Y656=1,NOT(ISNUMBER(Z656))),0,AA656*1000000*Z656/10000)</f>
        <v>0</v>
      </c>
      <c r="AO656" s="94" t="n">
        <f aca="false">IF(ISNUMBER(G656),AA656*1000000*G656/100,0)</f>
        <v>0</v>
      </c>
      <c r="AP656" s="94" t="n">
        <f aca="false">IF(ISNUMBER(M656),M656*K656,0)</f>
        <v>0</v>
      </c>
      <c r="AQ656" s="95" t="str">
        <f aca="false">IF(AB656="","",INDEX(시장분석!$AK:$AK,AB656))</f>
        <v/>
      </c>
      <c r="AR656" s="43" t="str">
        <f aca="false">IF(AB656="","-",IF(AB656="","",INDEX(시장분석!$AL:$AL,AB656)))</f>
        <v>-</v>
      </c>
      <c r="AS656" s="96" t="str">
        <f aca="false">IF(AB656="","",INDEX(시장분석!$AJ:$AJ,AB656))</f>
        <v/>
      </c>
      <c r="AT656" s="93" t="n">
        <f aca="false">IF(AB656="",0,IF(AB656="","",INDEX(시장분석!$AN:$AN,AB656)))</f>
        <v>0</v>
      </c>
      <c r="AU656" s="94" t="n">
        <f aca="false">IF(ISNUMBER(Z656),AT656/10000*MAX(Z656-1,0)*AA656*1000000,0)</f>
        <v>0</v>
      </c>
      <c r="AV656" s="94" t="n">
        <f aca="false">AO656+AU656</f>
        <v>0</v>
      </c>
      <c r="AW656" s="43" t="str">
        <f aca="false">IF(Q656&lt;&gt;1,"",TRIM(IF(AD656=1,"FRN ","")&amp;IF(AND(AL656&gt;=10,AL656&lt;99),"BBB0미만 ","")&amp;IF(AJ656="","등급없음 ","")&amp;IF(K656&lt;&gt;1,"비USD ","")&amp;IF(AND(AB656="",Y656=0),"시장데이터없음 ","")&amp;IF(AND(ISNUMBER(U656),U656&lt;0),"만기경과 ","")))</f>
        <v/>
      </c>
      <c r="AX656" s="90" t="n">
        <f aca="false">IF(Q656&lt;&gt;1,1,IF(스프레드쇼크!$C$4="Y",INDEX(스프레드쇼크!$B$12:$L$16,IFERROR(MATCH(AH656,스프레드쇼크!$A$12:$A$16,0),MATCH("목록외",스프레드쇼크!$A$12:$A$16,0)),IFERROR(MATCH(AG656,스프레드쇼크!$B$11:$L$11,0),MATCH("목록외",스프레드쇼크!$B$11:$L$11,0))),1))</f>
        <v>1</v>
      </c>
      <c r="AY656" s="90" t="n">
        <f aca="false">IF(스프레드쇼크!$C$5="Y",IF(ISNUMBER(AF656),MIN(스프레드쇼크!$C$7,MAX(스프레드쇼크!$C$6,AF656/스프레드쇼크!$C$8)),1),1)</f>
        <v>1</v>
      </c>
      <c r="AZ656" s="94" t="n">
        <f aca="false">AN656*AX656*AY656</f>
        <v>0</v>
      </c>
      <c r="BA656" s="90" t="n">
        <f aca="false">IF(ISNUMBER(G656),AA656*G656,0)</f>
        <v>0</v>
      </c>
      <c r="BB656" s="90" t="n">
        <f aca="false">IF(ISNUMBER(G656),AA656,0)</f>
        <v>0</v>
      </c>
      <c r="BC656" s="90" t="n">
        <f aca="false">IF(AND(Y656=0,ISNUMBER(AF656)),AA656*AF656,0)</f>
        <v>0</v>
      </c>
      <c r="BD656" s="90" t="n">
        <f aca="false">IF(AND(Y656=0,ISNUMBER(AF656)),AA656,0)</f>
        <v>0</v>
      </c>
      <c r="BE656" s="90" t="n">
        <f aca="false">IF(ISNUMBER(H656),AA656*H656,0)</f>
        <v>0</v>
      </c>
      <c r="BF656" s="90" t="n">
        <f aca="false">IF(ISNUMBER(H656),AA656,0)</f>
        <v>0</v>
      </c>
      <c r="BG656" s="90" t="n">
        <f aca="false">IF(AND(Y656=0,ISNUMBER(AF656),ISNUMBER(Z656)),AA656*Z656,0)</f>
        <v>0</v>
      </c>
      <c r="BH656" s="90" t="n">
        <f aca="false">IF(AND(Y656=0,ISNUMBER(AF656),ISNUMBER(Z656)),AA656*AT656*MAX(Z656-1,0),0)</f>
        <v>0</v>
      </c>
      <c r="BI656" s="90" t="n">
        <f aca="false">IF(Y656=0,AA656,0)</f>
        <v>0</v>
      </c>
    </row>
    <row r="657" customFormat="false" ht="15" hidden="false" customHeight="false" outlineLevel="0" collapsed="false">
      <c r="A657" s="83" t="str">
        <f aca="false">IFERROR(IF(INDEX(원자료_잔고!$A$1:$EZ$1500,설정!$L$5+ROW()-1,설정!$L$8)&amp;""="0","",INDEX(원자료_잔고!$A$1:$EZ$1500,설정!$L$5+ROW()-1,설정!$L$8)&amp;""),"")</f>
        <v/>
      </c>
      <c r="B657" s="83" t="str">
        <f aca="false">IFERROR(IF(INDEX(원자료_잔고!$A$1:$EZ$1500,설정!$L$5+ROW()-1,설정!$L$7)&amp;""="0","",INDEX(원자료_잔고!$A$1:$EZ$1500,설정!$L$5+ROW()-1,설정!$L$7)&amp;""),"")</f>
        <v/>
      </c>
      <c r="C657" s="83" t="str">
        <f aca="false">IFERROR(IF(INDEX(원자료_잔고!$A$1:$EZ$1500,설정!$L$5+ROW()-1,설정!$L$9)&amp;""="0","",INDEX(원자료_잔고!$A$1:$EZ$1500,설정!$L$5+ROW()-1,설정!$L$9)&amp;""),"")</f>
        <v/>
      </c>
      <c r="D657" s="83" t="str">
        <f aca="false">IFERROR(IF(INDEX(원자료_잔고!$A$1:$EZ$1500,설정!$L$5+ROW()-1,설정!$L$10)&amp;""="0","",INDEX(원자료_잔고!$A$1:$EZ$1500,설정!$L$5+ROW()-1,설정!$L$10)&amp;""),"")</f>
        <v/>
      </c>
      <c r="E657" s="84" t="str">
        <f aca="false">IFERROR(IF(ISNUMBER(INDEX(원자료_잔고!$A$1:$EZ$1500,설정!$L$5+ROW()-1,설정!$L$11)),INDEX(원자료_잔고!$A$1:$EZ$1500,설정!$L$5+ROW()-1,설정!$L$11),""),"")</f>
        <v/>
      </c>
      <c r="F657" s="85" t="str">
        <f aca="false">IFERROR(IF(ISNUMBER(INDEX(원자료_잔고!$A$1:$EZ$1500,설정!$L$5+ROW()-1,설정!$L$12)),INDEX(원자료_잔고!$A$1:$EZ$1500,설정!$L$5+ROW()-1,설정!$L$12),""),"")</f>
        <v/>
      </c>
      <c r="G657" s="85" t="str">
        <f aca="false">IFERROR(IF(ISNUMBER(INDEX(원자료_잔고!$A$1:$EZ$1500,설정!$L$5+ROW()-1,설정!$L$13)),INDEX(원자료_잔고!$A$1:$EZ$1500,설정!$L$5+ROW()-1,설정!$L$13),""),"")</f>
        <v/>
      </c>
      <c r="H657" s="85" t="str">
        <f aca="false">IFERROR(IF(ISNUMBER(INDEX(원자료_잔고!$A$1:$EZ$1500,설정!$L$5+ROW()-1,설정!$L$14)),INDEX(원자료_잔고!$A$1:$EZ$1500,설정!$L$5+ROW()-1,설정!$L$14),""),"")</f>
        <v/>
      </c>
      <c r="I657" s="86" t="str">
        <f aca="false">IFERROR(IF(ISNUMBER(INDEX(원자료_잔고!$A$1:$EZ$1500,설정!$L$5+ROW()-1,설정!$L$15)),INDEX(원자료_잔고!$A$1:$EZ$1500,설정!$L$5+ROW()-1,설정!$L$15),""),"")</f>
        <v/>
      </c>
      <c r="J657" s="85" t="str">
        <f aca="false">IFERROR(IF(ISNUMBER(INDEX(원자료_잔고!$A$1:$EZ$1500,설정!$L$5+ROW()-1,설정!$L$16)),INDEX(원자료_잔고!$A$1:$EZ$1500,설정!$L$5+ROW()-1,설정!$L$16),""),"")</f>
        <v/>
      </c>
      <c r="K657" s="87" t="str">
        <f aca="false">IFERROR(IF(ISNUMBER(INDEX(원자료_잔고!$A$1:$EZ$1500,설정!$L$5+ROW()-1,설정!$L$17)),INDEX(원자료_잔고!$A$1:$EZ$1500,설정!$L$5+ROW()-1,설정!$L$17),""),"")</f>
        <v/>
      </c>
      <c r="L657" s="84" t="str">
        <f aca="false">IFERROR(IF(ISNUMBER(INDEX(원자료_잔고!$A$1:$EZ$1500,설정!$L$5+ROW()-1,설정!$L$18)),INDEX(원자료_잔고!$A$1:$EZ$1500,설정!$L$5+ROW()-1,설정!$L$18),""),"")</f>
        <v/>
      </c>
      <c r="M657" s="88" t="str">
        <f aca="false">IFERROR(IF(ISNUMBER(INDEX(원자료_잔고!$A$1:$EZ$1500,설정!$L$5+ROW()-1,설정!$L$19)),INDEX(원자료_잔고!$A$1:$EZ$1500,설정!$L$5+ROW()-1,설정!$L$19),""),"")</f>
        <v/>
      </c>
      <c r="N657" s="83" t="str">
        <f aca="false">IFERROR(IF(INDEX(원자료_잔고!$A$1:$EZ$1500,설정!$L$5+ROW()-1,설정!$L$21)&amp;""="0","",INDEX(원자료_잔고!$A$1:$EZ$1500,설정!$L$5+ROW()-1,설정!$L$21)&amp;""),"")</f>
        <v/>
      </c>
      <c r="O657" s="83" t="str">
        <f aca="false">IFERROR(IF(INDEX(원자료_잔고!$A$1:$EZ$1500,설정!$L$5+ROW()-1,설정!$L$22)&amp;""="0","",INDEX(원자료_잔고!$A$1:$EZ$1500,설정!$L$5+ROW()-1,설정!$L$22)&amp;""),"")</f>
        <v/>
      </c>
      <c r="P657" s="83" t="str">
        <f aca="false">IFERROR(IF(INDEX(원자료_잔고!$A$1:$EZ$1500,설정!$L$5+ROW()-1,설정!$L$23)&amp;""="0","",INDEX(원자료_잔고!$A$1:$EZ$1500,설정!$L$5+ROW()-1,설정!$L$23)&amp;""),"")</f>
        <v/>
      </c>
      <c r="Q657" s="89" t="n">
        <f aca="false">IF(AND($A657&lt;&gt;"",ISNUMBER(E657)),IF(E657&gt;0,1,0),0)</f>
        <v>0</v>
      </c>
      <c r="R657" s="43" t="str">
        <f aca="false">IF(Q657=1,UPPER(LEFT($A657,FIND(" ",$A657&amp;" ")-1)),"")</f>
        <v/>
      </c>
      <c r="S657" s="89" t="n">
        <f aca="false">IF(Q657=1,IF(OR(ISNUMBER(SEARCH("Float",$A657)),ISNUMBER(SEARCH("FRN",$A657))),1,0),0)</f>
        <v>0</v>
      </c>
      <c r="T657" s="43" t="str">
        <f aca="false">IF(AND(Q657=1,ISNUMBER(I657)),TEXT(I657,"yyyymmdd")&amp;"|"&amp;IF(S657=1,"F",TEXT(J657,"0.000")),"")</f>
        <v/>
      </c>
      <c r="U657" s="90" t="str">
        <f aca="false">IF(AND(Q657=1,ISNUMBER(I657)),(I657-설정!$C$4)/365.25,"")</f>
        <v/>
      </c>
      <c r="V657" s="43" t="str">
        <f aca="false">IF(Q657&lt;&gt;1,"",IF(ISNUMBER(U657),IF(U657&lt;=1,"1년 이하",IF(U657&lt;=2,"1-2년",IF(U657&lt;=3,"2-3년",IF(U657&lt;=4,"3-4년",IF(U657&lt;=5,"4-5년",IF(U657&lt;=7,"5-7년",IF(U657&lt;=10,"7-10년",IF(U657&lt;=20,"10-20년","20년 이상")))))))),"미분류"))</f>
        <v/>
      </c>
      <c r="W657" s="43" t="str">
        <f aca="false">IF(Q657&lt;&gt;1,"",IF(AB657&lt;&gt;"",INDEX(시장분석!$C:$C,AB657),IF(K657=1,"USD","비USD")))</f>
        <v/>
      </c>
      <c r="X657" s="91" t="n">
        <f aca="false">IF(Q657=1,E657*K657/1000000,0)</f>
        <v>0</v>
      </c>
      <c r="Y657" s="89" t="n">
        <f aca="false">IF(R657="T",1,0)</f>
        <v>0</v>
      </c>
      <c r="Z657" s="92" t="str">
        <f aca="false">IF(Q657&lt;&gt;1,"",IF(AD657=1,IF(ISNUMBER(U657),MAX(U657,0),H657),H657))</f>
        <v/>
      </c>
      <c r="AA657" s="91" t="n">
        <f aca="false">IF(Q657=1,IF(ISNUMBER(L657),L657,0)*K657/1000000,0)</f>
        <v>0</v>
      </c>
      <c r="AB657" s="89" t="str">
        <f aca="false">IF(Q657&lt;&gt;1,"",IFERROR(MATCH(VLOOKUP(B657,매핑!$H$4:$I$15,2,0),시장분석!$A$2:$A$601,0)+1,IFERROR(MATCH(R657&amp;"|"&amp;T657,시장분석!$V$2:$V$601,0)+1,IF(COUNTIF(시장분석!$U$2:$U$601,T657)=1,MATCH(T657,시장분석!$U$2:$U$601,0)+1,""))))</f>
        <v/>
      </c>
      <c r="AC657" s="89" t="n">
        <f aca="false">IF(Q657&lt;&gt;1,0,IF(OR(설정!$C$5="전체",AND(설정!$C$5="선택펀드",IFERROR(COUNTIFS(설정!$F$16:$F$36,C657,설정!$G$16:$G$36,"Y")+COUNTIFS(설정!$F$16:$F$36,VALUE(C657),설정!$G$16:$G$36,"Y"),0)&gt;0),C657&amp;""=설정!$C$5&amp;""),1,0))</f>
        <v>0</v>
      </c>
      <c r="AD657" s="89" t="n">
        <f aca="false">IF(Q657&lt;&gt;1,0,IF(OR(S657=1,IF(AB657="",FALSE(),INDEX(시장분석!$R:$R,AB657)=1)),1,0))</f>
        <v>0</v>
      </c>
      <c r="AE657" s="43" t="str">
        <f aca="false">IF(AB657="","",INDEX(시장분석!$A:$A,AB657))</f>
        <v/>
      </c>
      <c r="AF657" s="93" t="str">
        <f aca="false">IF(AB657="","",IF(ISNUMBER(IF(AB657="","",INDEX(시장분석!$E:$E,AB657))),IF(AB657="","",INDEX(시장분석!$E:$E,AB657)),""))</f>
        <v/>
      </c>
      <c r="AG657" s="43" t="str">
        <f aca="false">IF(Q657&lt;&gt;1,"",IF(AB657&lt;&gt;"",IF(AB657="","",INDEX(시장분석!$L:$L,AB657)),IFERROR(IF(VLOOKUP(R657,매핑!$A$4:$E$92,5,0)="","미분류",VLOOKUP(R657,매핑!$A$4:$E$92,5,0)),"미분류")))</f>
        <v/>
      </c>
      <c r="AH657" s="43" t="str">
        <f aca="false">IF(Q657&lt;&gt;1,"",IF(AB657&lt;&gt;"",IF(AB657="","",INDEX(시장분석!$N:$N,AB657)),IFERROR(IF(VLOOKUP(R657,매핑!$A$4:$E$92,4,0)="","미분류",VLOOKUP(R657,매핑!$A$4:$E$92,4,0)),"미분류")))</f>
        <v/>
      </c>
      <c r="AI657" s="43" t="str">
        <f aca="false">IF(Q657&lt;&gt;1,"",IFERROR(IF(VLOOKUP(R657,매핑!$A$4:$E$92,3,0)="","미분류",VLOOKUP(R657,매핑!$A$4:$E$92,3,0)),IF(AB657&lt;&gt;"",IF(AB657="","",INDEX(시장분석!$W:$W,AB657)),"미분류")))</f>
        <v/>
      </c>
      <c r="AJ657" s="43" t="str">
        <f aca="false">IF(Q657&lt;&gt;1,"",IFERROR(VLOOKUP(IF(N657&lt;&gt;"",N657,IF(P657&lt;&gt;"",P657,O657)),설정!$A$15:$D$47,2,0),""))</f>
        <v/>
      </c>
      <c r="AK657" s="43" t="str">
        <f aca="false">IF(Q657&lt;&gt;1,"",IF(AJ657="","무등급",IFERROR(VLOOKUP(AJ657,설정!$A$15:$D$47,3,0),"무등급")))</f>
        <v/>
      </c>
      <c r="AL657" s="89" t="n">
        <f aca="false">IF(AJ657="",99,IFERROR(VLOOKUP(AJ657,설정!$A$15:$D$47,4,0),99))</f>
        <v>99</v>
      </c>
      <c r="AM657" s="94" t="n">
        <f aca="false">IF(ISNUMBER(H657),AA657*1000000*H657/10000,0)</f>
        <v>0</v>
      </c>
      <c r="AN657" s="94" t="n">
        <f aca="false">IF(OR(Y657=1,NOT(ISNUMBER(Z657))),0,AA657*1000000*Z657/10000)</f>
        <v>0</v>
      </c>
      <c r="AO657" s="94" t="n">
        <f aca="false">IF(ISNUMBER(G657),AA657*1000000*G657/100,0)</f>
        <v>0</v>
      </c>
      <c r="AP657" s="94" t="n">
        <f aca="false">IF(ISNUMBER(M657),M657*K657,0)</f>
        <v>0</v>
      </c>
      <c r="AQ657" s="95" t="str">
        <f aca="false">IF(AB657="","",INDEX(시장분석!$AK:$AK,AB657))</f>
        <v/>
      </c>
      <c r="AR657" s="43" t="str">
        <f aca="false">IF(AB657="","-",IF(AB657="","",INDEX(시장분석!$AL:$AL,AB657)))</f>
        <v>-</v>
      </c>
      <c r="AS657" s="96" t="str">
        <f aca="false">IF(AB657="","",INDEX(시장분석!$AJ:$AJ,AB657))</f>
        <v/>
      </c>
      <c r="AT657" s="93" t="n">
        <f aca="false">IF(AB657="",0,IF(AB657="","",INDEX(시장분석!$AN:$AN,AB657)))</f>
        <v>0</v>
      </c>
      <c r="AU657" s="94" t="n">
        <f aca="false">IF(ISNUMBER(Z657),AT657/10000*MAX(Z657-1,0)*AA657*1000000,0)</f>
        <v>0</v>
      </c>
      <c r="AV657" s="94" t="n">
        <f aca="false">AO657+AU657</f>
        <v>0</v>
      </c>
      <c r="AW657" s="43" t="str">
        <f aca="false">IF(Q657&lt;&gt;1,"",TRIM(IF(AD657=1,"FRN ","")&amp;IF(AND(AL657&gt;=10,AL657&lt;99),"BBB0미만 ","")&amp;IF(AJ657="","등급없음 ","")&amp;IF(K657&lt;&gt;1,"비USD ","")&amp;IF(AND(AB657="",Y657=0),"시장데이터없음 ","")&amp;IF(AND(ISNUMBER(U657),U657&lt;0),"만기경과 ","")))</f>
        <v/>
      </c>
      <c r="AX657" s="90" t="n">
        <f aca="false">IF(Q657&lt;&gt;1,1,IF(스프레드쇼크!$C$4="Y",INDEX(스프레드쇼크!$B$12:$L$16,IFERROR(MATCH(AH657,스프레드쇼크!$A$12:$A$16,0),MATCH("목록외",스프레드쇼크!$A$12:$A$16,0)),IFERROR(MATCH(AG657,스프레드쇼크!$B$11:$L$11,0),MATCH("목록외",스프레드쇼크!$B$11:$L$11,0))),1))</f>
        <v>1</v>
      </c>
      <c r="AY657" s="90" t="n">
        <f aca="false">IF(스프레드쇼크!$C$5="Y",IF(ISNUMBER(AF657),MIN(스프레드쇼크!$C$7,MAX(스프레드쇼크!$C$6,AF657/스프레드쇼크!$C$8)),1),1)</f>
        <v>1</v>
      </c>
      <c r="AZ657" s="94" t="n">
        <f aca="false">AN657*AX657*AY657</f>
        <v>0</v>
      </c>
      <c r="BA657" s="90" t="n">
        <f aca="false">IF(ISNUMBER(G657),AA657*G657,0)</f>
        <v>0</v>
      </c>
      <c r="BB657" s="90" t="n">
        <f aca="false">IF(ISNUMBER(G657),AA657,0)</f>
        <v>0</v>
      </c>
      <c r="BC657" s="90" t="n">
        <f aca="false">IF(AND(Y657=0,ISNUMBER(AF657)),AA657*AF657,0)</f>
        <v>0</v>
      </c>
      <c r="BD657" s="90" t="n">
        <f aca="false">IF(AND(Y657=0,ISNUMBER(AF657)),AA657,0)</f>
        <v>0</v>
      </c>
      <c r="BE657" s="90" t="n">
        <f aca="false">IF(ISNUMBER(H657),AA657*H657,0)</f>
        <v>0</v>
      </c>
      <c r="BF657" s="90" t="n">
        <f aca="false">IF(ISNUMBER(H657),AA657,0)</f>
        <v>0</v>
      </c>
      <c r="BG657" s="90" t="n">
        <f aca="false">IF(AND(Y657=0,ISNUMBER(AF657),ISNUMBER(Z657)),AA657*Z657,0)</f>
        <v>0</v>
      </c>
      <c r="BH657" s="90" t="n">
        <f aca="false">IF(AND(Y657=0,ISNUMBER(AF657),ISNUMBER(Z657)),AA657*AT657*MAX(Z657-1,0),0)</f>
        <v>0</v>
      </c>
      <c r="BI657" s="90" t="n">
        <f aca="false">IF(Y657=0,AA657,0)</f>
        <v>0</v>
      </c>
    </row>
    <row r="658" customFormat="false" ht="15" hidden="false" customHeight="false" outlineLevel="0" collapsed="false">
      <c r="A658" s="83" t="str">
        <f aca="false">IFERROR(IF(INDEX(원자료_잔고!$A$1:$EZ$1500,설정!$L$5+ROW()-1,설정!$L$8)&amp;""="0","",INDEX(원자료_잔고!$A$1:$EZ$1500,설정!$L$5+ROW()-1,설정!$L$8)&amp;""),"")</f>
        <v/>
      </c>
      <c r="B658" s="83" t="str">
        <f aca="false">IFERROR(IF(INDEX(원자료_잔고!$A$1:$EZ$1500,설정!$L$5+ROW()-1,설정!$L$7)&amp;""="0","",INDEX(원자료_잔고!$A$1:$EZ$1500,설정!$L$5+ROW()-1,설정!$L$7)&amp;""),"")</f>
        <v/>
      </c>
      <c r="C658" s="83" t="str">
        <f aca="false">IFERROR(IF(INDEX(원자료_잔고!$A$1:$EZ$1500,설정!$L$5+ROW()-1,설정!$L$9)&amp;""="0","",INDEX(원자료_잔고!$A$1:$EZ$1500,설정!$L$5+ROW()-1,설정!$L$9)&amp;""),"")</f>
        <v/>
      </c>
      <c r="D658" s="83" t="str">
        <f aca="false">IFERROR(IF(INDEX(원자료_잔고!$A$1:$EZ$1500,설정!$L$5+ROW()-1,설정!$L$10)&amp;""="0","",INDEX(원자료_잔고!$A$1:$EZ$1500,설정!$L$5+ROW()-1,설정!$L$10)&amp;""),"")</f>
        <v/>
      </c>
      <c r="E658" s="84" t="str">
        <f aca="false">IFERROR(IF(ISNUMBER(INDEX(원자료_잔고!$A$1:$EZ$1500,설정!$L$5+ROW()-1,설정!$L$11)),INDEX(원자료_잔고!$A$1:$EZ$1500,설정!$L$5+ROW()-1,설정!$L$11),""),"")</f>
        <v/>
      </c>
      <c r="F658" s="85" t="str">
        <f aca="false">IFERROR(IF(ISNUMBER(INDEX(원자료_잔고!$A$1:$EZ$1500,설정!$L$5+ROW()-1,설정!$L$12)),INDEX(원자료_잔고!$A$1:$EZ$1500,설정!$L$5+ROW()-1,설정!$L$12),""),"")</f>
        <v/>
      </c>
      <c r="G658" s="85" t="str">
        <f aca="false">IFERROR(IF(ISNUMBER(INDEX(원자료_잔고!$A$1:$EZ$1500,설정!$L$5+ROW()-1,설정!$L$13)),INDEX(원자료_잔고!$A$1:$EZ$1500,설정!$L$5+ROW()-1,설정!$L$13),""),"")</f>
        <v/>
      </c>
      <c r="H658" s="85" t="str">
        <f aca="false">IFERROR(IF(ISNUMBER(INDEX(원자료_잔고!$A$1:$EZ$1500,설정!$L$5+ROW()-1,설정!$L$14)),INDEX(원자료_잔고!$A$1:$EZ$1500,설정!$L$5+ROW()-1,설정!$L$14),""),"")</f>
        <v/>
      </c>
      <c r="I658" s="86" t="str">
        <f aca="false">IFERROR(IF(ISNUMBER(INDEX(원자료_잔고!$A$1:$EZ$1500,설정!$L$5+ROW()-1,설정!$L$15)),INDEX(원자료_잔고!$A$1:$EZ$1500,설정!$L$5+ROW()-1,설정!$L$15),""),"")</f>
        <v/>
      </c>
      <c r="J658" s="85" t="str">
        <f aca="false">IFERROR(IF(ISNUMBER(INDEX(원자료_잔고!$A$1:$EZ$1500,설정!$L$5+ROW()-1,설정!$L$16)),INDEX(원자료_잔고!$A$1:$EZ$1500,설정!$L$5+ROW()-1,설정!$L$16),""),"")</f>
        <v/>
      </c>
      <c r="K658" s="87" t="str">
        <f aca="false">IFERROR(IF(ISNUMBER(INDEX(원자료_잔고!$A$1:$EZ$1500,설정!$L$5+ROW()-1,설정!$L$17)),INDEX(원자료_잔고!$A$1:$EZ$1500,설정!$L$5+ROW()-1,설정!$L$17),""),"")</f>
        <v/>
      </c>
      <c r="L658" s="84" t="str">
        <f aca="false">IFERROR(IF(ISNUMBER(INDEX(원자료_잔고!$A$1:$EZ$1500,설정!$L$5+ROW()-1,설정!$L$18)),INDEX(원자료_잔고!$A$1:$EZ$1500,설정!$L$5+ROW()-1,설정!$L$18),""),"")</f>
        <v/>
      </c>
      <c r="M658" s="88" t="str">
        <f aca="false">IFERROR(IF(ISNUMBER(INDEX(원자료_잔고!$A$1:$EZ$1500,설정!$L$5+ROW()-1,설정!$L$19)),INDEX(원자료_잔고!$A$1:$EZ$1500,설정!$L$5+ROW()-1,설정!$L$19),""),"")</f>
        <v/>
      </c>
      <c r="N658" s="83" t="str">
        <f aca="false">IFERROR(IF(INDEX(원자료_잔고!$A$1:$EZ$1500,설정!$L$5+ROW()-1,설정!$L$21)&amp;""="0","",INDEX(원자료_잔고!$A$1:$EZ$1500,설정!$L$5+ROW()-1,설정!$L$21)&amp;""),"")</f>
        <v/>
      </c>
      <c r="O658" s="83" t="str">
        <f aca="false">IFERROR(IF(INDEX(원자료_잔고!$A$1:$EZ$1500,설정!$L$5+ROW()-1,설정!$L$22)&amp;""="0","",INDEX(원자료_잔고!$A$1:$EZ$1500,설정!$L$5+ROW()-1,설정!$L$22)&amp;""),"")</f>
        <v/>
      </c>
      <c r="P658" s="83" t="str">
        <f aca="false">IFERROR(IF(INDEX(원자료_잔고!$A$1:$EZ$1500,설정!$L$5+ROW()-1,설정!$L$23)&amp;""="0","",INDEX(원자료_잔고!$A$1:$EZ$1500,설정!$L$5+ROW()-1,설정!$L$23)&amp;""),"")</f>
        <v/>
      </c>
      <c r="Q658" s="89" t="n">
        <f aca="false">IF(AND($A658&lt;&gt;"",ISNUMBER(E658)),IF(E658&gt;0,1,0),0)</f>
        <v>0</v>
      </c>
      <c r="R658" s="43" t="str">
        <f aca="false">IF(Q658=1,UPPER(LEFT($A658,FIND(" ",$A658&amp;" ")-1)),"")</f>
        <v/>
      </c>
      <c r="S658" s="89" t="n">
        <f aca="false">IF(Q658=1,IF(OR(ISNUMBER(SEARCH("Float",$A658)),ISNUMBER(SEARCH("FRN",$A658))),1,0),0)</f>
        <v>0</v>
      </c>
      <c r="T658" s="43" t="str">
        <f aca="false">IF(AND(Q658=1,ISNUMBER(I658)),TEXT(I658,"yyyymmdd")&amp;"|"&amp;IF(S658=1,"F",TEXT(J658,"0.000")),"")</f>
        <v/>
      </c>
      <c r="U658" s="90" t="str">
        <f aca="false">IF(AND(Q658=1,ISNUMBER(I658)),(I658-설정!$C$4)/365.25,"")</f>
        <v/>
      </c>
      <c r="V658" s="43" t="str">
        <f aca="false">IF(Q658&lt;&gt;1,"",IF(ISNUMBER(U658),IF(U658&lt;=1,"1년 이하",IF(U658&lt;=2,"1-2년",IF(U658&lt;=3,"2-3년",IF(U658&lt;=4,"3-4년",IF(U658&lt;=5,"4-5년",IF(U658&lt;=7,"5-7년",IF(U658&lt;=10,"7-10년",IF(U658&lt;=20,"10-20년","20년 이상")))))))),"미분류"))</f>
        <v/>
      </c>
      <c r="W658" s="43" t="str">
        <f aca="false">IF(Q658&lt;&gt;1,"",IF(AB658&lt;&gt;"",INDEX(시장분석!$C:$C,AB658),IF(K658=1,"USD","비USD")))</f>
        <v/>
      </c>
      <c r="X658" s="91" t="n">
        <f aca="false">IF(Q658=1,E658*K658/1000000,0)</f>
        <v>0</v>
      </c>
      <c r="Y658" s="89" t="n">
        <f aca="false">IF(R658="T",1,0)</f>
        <v>0</v>
      </c>
      <c r="Z658" s="92" t="str">
        <f aca="false">IF(Q658&lt;&gt;1,"",IF(AD658=1,IF(ISNUMBER(U658),MAX(U658,0),H658),H658))</f>
        <v/>
      </c>
      <c r="AA658" s="91" t="n">
        <f aca="false">IF(Q658=1,IF(ISNUMBER(L658),L658,0)*K658/1000000,0)</f>
        <v>0</v>
      </c>
      <c r="AB658" s="89" t="str">
        <f aca="false">IF(Q658&lt;&gt;1,"",IFERROR(MATCH(VLOOKUP(B658,매핑!$H$4:$I$15,2,0),시장분석!$A$2:$A$601,0)+1,IFERROR(MATCH(R658&amp;"|"&amp;T658,시장분석!$V$2:$V$601,0)+1,IF(COUNTIF(시장분석!$U$2:$U$601,T658)=1,MATCH(T658,시장분석!$U$2:$U$601,0)+1,""))))</f>
        <v/>
      </c>
      <c r="AC658" s="89" t="n">
        <f aca="false">IF(Q658&lt;&gt;1,0,IF(OR(설정!$C$5="전체",AND(설정!$C$5="선택펀드",IFERROR(COUNTIFS(설정!$F$16:$F$36,C658,설정!$G$16:$G$36,"Y")+COUNTIFS(설정!$F$16:$F$36,VALUE(C658),설정!$G$16:$G$36,"Y"),0)&gt;0),C658&amp;""=설정!$C$5&amp;""),1,0))</f>
        <v>0</v>
      </c>
      <c r="AD658" s="89" t="n">
        <f aca="false">IF(Q658&lt;&gt;1,0,IF(OR(S658=1,IF(AB658="",FALSE(),INDEX(시장분석!$R:$R,AB658)=1)),1,0))</f>
        <v>0</v>
      </c>
      <c r="AE658" s="43" t="str">
        <f aca="false">IF(AB658="","",INDEX(시장분석!$A:$A,AB658))</f>
        <v/>
      </c>
      <c r="AF658" s="93" t="str">
        <f aca="false">IF(AB658="","",IF(ISNUMBER(IF(AB658="","",INDEX(시장분석!$E:$E,AB658))),IF(AB658="","",INDEX(시장분석!$E:$E,AB658)),""))</f>
        <v/>
      </c>
      <c r="AG658" s="43" t="str">
        <f aca="false">IF(Q658&lt;&gt;1,"",IF(AB658&lt;&gt;"",IF(AB658="","",INDEX(시장분석!$L:$L,AB658)),IFERROR(IF(VLOOKUP(R658,매핑!$A$4:$E$92,5,0)="","미분류",VLOOKUP(R658,매핑!$A$4:$E$92,5,0)),"미분류")))</f>
        <v/>
      </c>
      <c r="AH658" s="43" t="str">
        <f aca="false">IF(Q658&lt;&gt;1,"",IF(AB658&lt;&gt;"",IF(AB658="","",INDEX(시장분석!$N:$N,AB658)),IFERROR(IF(VLOOKUP(R658,매핑!$A$4:$E$92,4,0)="","미분류",VLOOKUP(R658,매핑!$A$4:$E$92,4,0)),"미분류")))</f>
        <v/>
      </c>
      <c r="AI658" s="43" t="str">
        <f aca="false">IF(Q658&lt;&gt;1,"",IFERROR(IF(VLOOKUP(R658,매핑!$A$4:$E$92,3,0)="","미분류",VLOOKUP(R658,매핑!$A$4:$E$92,3,0)),IF(AB658&lt;&gt;"",IF(AB658="","",INDEX(시장분석!$W:$W,AB658)),"미분류")))</f>
        <v/>
      </c>
      <c r="AJ658" s="43" t="str">
        <f aca="false">IF(Q658&lt;&gt;1,"",IFERROR(VLOOKUP(IF(N658&lt;&gt;"",N658,IF(P658&lt;&gt;"",P658,O658)),설정!$A$15:$D$47,2,0),""))</f>
        <v/>
      </c>
      <c r="AK658" s="43" t="str">
        <f aca="false">IF(Q658&lt;&gt;1,"",IF(AJ658="","무등급",IFERROR(VLOOKUP(AJ658,설정!$A$15:$D$47,3,0),"무등급")))</f>
        <v/>
      </c>
      <c r="AL658" s="89" t="n">
        <f aca="false">IF(AJ658="",99,IFERROR(VLOOKUP(AJ658,설정!$A$15:$D$47,4,0),99))</f>
        <v>99</v>
      </c>
      <c r="AM658" s="94" t="n">
        <f aca="false">IF(ISNUMBER(H658),AA658*1000000*H658/10000,0)</f>
        <v>0</v>
      </c>
      <c r="AN658" s="94" t="n">
        <f aca="false">IF(OR(Y658=1,NOT(ISNUMBER(Z658))),0,AA658*1000000*Z658/10000)</f>
        <v>0</v>
      </c>
      <c r="AO658" s="94" t="n">
        <f aca="false">IF(ISNUMBER(G658),AA658*1000000*G658/100,0)</f>
        <v>0</v>
      </c>
      <c r="AP658" s="94" t="n">
        <f aca="false">IF(ISNUMBER(M658),M658*K658,0)</f>
        <v>0</v>
      </c>
      <c r="AQ658" s="95" t="str">
        <f aca="false">IF(AB658="","",INDEX(시장분석!$AK:$AK,AB658))</f>
        <v/>
      </c>
      <c r="AR658" s="43" t="str">
        <f aca="false">IF(AB658="","-",IF(AB658="","",INDEX(시장분석!$AL:$AL,AB658)))</f>
        <v>-</v>
      </c>
      <c r="AS658" s="96" t="str">
        <f aca="false">IF(AB658="","",INDEX(시장분석!$AJ:$AJ,AB658))</f>
        <v/>
      </c>
      <c r="AT658" s="93" t="n">
        <f aca="false">IF(AB658="",0,IF(AB658="","",INDEX(시장분석!$AN:$AN,AB658)))</f>
        <v>0</v>
      </c>
      <c r="AU658" s="94" t="n">
        <f aca="false">IF(ISNUMBER(Z658),AT658/10000*MAX(Z658-1,0)*AA658*1000000,0)</f>
        <v>0</v>
      </c>
      <c r="AV658" s="94" t="n">
        <f aca="false">AO658+AU658</f>
        <v>0</v>
      </c>
      <c r="AW658" s="43" t="str">
        <f aca="false">IF(Q658&lt;&gt;1,"",TRIM(IF(AD658=1,"FRN ","")&amp;IF(AND(AL658&gt;=10,AL658&lt;99),"BBB0미만 ","")&amp;IF(AJ658="","등급없음 ","")&amp;IF(K658&lt;&gt;1,"비USD ","")&amp;IF(AND(AB658="",Y658=0),"시장데이터없음 ","")&amp;IF(AND(ISNUMBER(U658),U658&lt;0),"만기경과 ","")))</f>
        <v/>
      </c>
      <c r="AX658" s="90" t="n">
        <f aca="false">IF(Q658&lt;&gt;1,1,IF(스프레드쇼크!$C$4="Y",INDEX(스프레드쇼크!$B$12:$L$16,IFERROR(MATCH(AH658,스프레드쇼크!$A$12:$A$16,0),MATCH("목록외",스프레드쇼크!$A$12:$A$16,0)),IFERROR(MATCH(AG658,스프레드쇼크!$B$11:$L$11,0),MATCH("목록외",스프레드쇼크!$B$11:$L$11,0))),1))</f>
        <v>1</v>
      </c>
      <c r="AY658" s="90" t="n">
        <f aca="false">IF(스프레드쇼크!$C$5="Y",IF(ISNUMBER(AF658),MIN(스프레드쇼크!$C$7,MAX(스프레드쇼크!$C$6,AF658/스프레드쇼크!$C$8)),1),1)</f>
        <v>1</v>
      </c>
      <c r="AZ658" s="94" t="n">
        <f aca="false">AN658*AX658*AY658</f>
        <v>0</v>
      </c>
      <c r="BA658" s="90" t="n">
        <f aca="false">IF(ISNUMBER(G658),AA658*G658,0)</f>
        <v>0</v>
      </c>
      <c r="BB658" s="90" t="n">
        <f aca="false">IF(ISNUMBER(G658),AA658,0)</f>
        <v>0</v>
      </c>
      <c r="BC658" s="90" t="n">
        <f aca="false">IF(AND(Y658=0,ISNUMBER(AF658)),AA658*AF658,0)</f>
        <v>0</v>
      </c>
      <c r="BD658" s="90" t="n">
        <f aca="false">IF(AND(Y658=0,ISNUMBER(AF658)),AA658,0)</f>
        <v>0</v>
      </c>
      <c r="BE658" s="90" t="n">
        <f aca="false">IF(ISNUMBER(H658),AA658*H658,0)</f>
        <v>0</v>
      </c>
      <c r="BF658" s="90" t="n">
        <f aca="false">IF(ISNUMBER(H658),AA658,0)</f>
        <v>0</v>
      </c>
      <c r="BG658" s="90" t="n">
        <f aca="false">IF(AND(Y658=0,ISNUMBER(AF658),ISNUMBER(Z658)),AA658*Z658,0)</f>
        <v>0</v>
      </c>
      <c r="BH658" s="90" t="n">
        <f aca="false">IF(AND(Y658=0,ISNUMBER(AF658),ISNUMBER(Z658)),AA658*AT658*MAX(Z658-1,0),0)</f>
        <v>0</v>
      </c>
      <c r="BI658" s="90" t="n">
        <f aca="false">IF(Y658=0,AA658,0)</f>
        <v>0</v>
      </c>
    </row>
    <row r="659" customFormat="false" ht="15" hidden="false" customHeight="false" outlineLevel="0" collapsed="false">
      <c r="A659" s="83" t="str">
        <f aca="false">IFERROR(IF(INDEX(원자료_잔고!$A$1:$EZ$1500,설정!$L$5+ROW()-1,설정!$L$8)&amp;""="0","",INDEX(원자료_잔고!$A$1:$EZ$1500,설정!$L$5+ROW()-1,설정!$L$8)&amp;""),"")</f>
        <v/>
      </c>
      <c r="B659" s="83" t="str">
        <f aca="false">IFERROR(IF(INDEX(원자료_잔고!$A$1:$EZ$1500,설정!$L$5+ROW()-1,설정!$L$7)&amp;""="0","",INDEX(원자료_잔고!$A$1:$EZ$1500,설정!$L$5+ROW()-1,설정!$L$7)&amp;""),"")</f>
        <v/>
      </c>
      <c r="C659" s="83" t="str">
        <f aca="false">IFERROR(IF(INDEX(원자료_잔고!$A$1:$EZ$1500,설정!$L$5+ROW()-1,설정!$L$9)&amp;""="0","",INDEX(원자료_잔고!$A$1:$EZ$1500,설정!$L$5+ROW()-1,설정!$L$9)&amp;""),"")</f>
        <v/>
      </c>
      <c r="D659" s="83" t="str">
        <f aca="false">IFERROR(IF(INDEX(원자료_잔고!$A$1:$EZ$1500,설정!$L$5+ROW()-1,설정!$L$10)&amp;""="0","",INDEX(원자료_잔고!$A$1:$EZ$1500,설정!$L$5+ROW()-1,설정!$L$10)&amp;""),"")</f>
        <v/>
      </c>
      <c r="E659" s="84" t="str">
        <f aca="false">IFERROR(IF(ISNUMBER(INDEX(원자료_잔고!$A$1:$EZ$1500,설정!$L$5+ROW()-1,설정!$L$11)),INDEX(원자료_잔고!$A$1:$EZ$1500,설정!$L$5+ROW()-1,설정!$L$11),""),"")</f>
        <v/>
      </c>
      <c r="F659" s="85" t="str">
        <f aca="false">IFERROR(IF(ISNUMBER(INDEX(원자료_잔고!$A$1:$EZ$1500,설정!$L$5+ROW()-1,설정!$L$12)),INDEX(원자료_잔고!$A$1:$EZ$1500,설정!$L$5+ROW()-1,설정!$L$12),""),"")</f>
        <v/>
      </c>
      <c r="G659" s="85" t="str">
        <f aca="false">IFERROR(IF(ISNUMBER(INDEX(원자료_잔고!$A$1:$EZ$1500,설정!$L$5+ROW()-1,설정!$L$13)),INDEX(원자료_잔고!$A$1:$EZ$1500,설정!$L$5+ROW()-1,설정!$L$13),""),"")</f>
        <v/>
      </c>
      <c r="H659" s="85" t="str">
        <f aca="false">IFERROR(IF(ISNUMBER(INDEX(원자료_잔고!$A$1:$EZ$1500,설정!$L$5+ROW()-1,설정!$L$14)),INDEX(원자료_잔고!$A$1:$EZ$1500,설정!$L$5+ROW()-1,설정!$L$14),""),"")</f>
        <v/>
      </c>
      <c r="I659" s="86" t="str">
        <f aca="false">IFERROR(IF(ISNUMBER(INDEX(원자료_잔고!$A$1:$EZ$1500,설정!$L$5+ROW()-1,설정!$L$15)),INDEX(원자료_잔고!$A$1:$EZ$1500,설정!$L$5+ROW()-1,설정!$L$15),""),"")</f>
        <v/>
      </c>
      <c r="J659" s="85" t="str">
        <f aca="false">IFERROR(IF(ISNUMBER(INDEX(원자료_잔고!$A$1:$EZ$1500,설정!$L$5+ROW()-1,설정!$L$16)),INDEX(원자료_잔고!$A$1:$EZ$1500,설정!$L$5+ROW()-1,설정!$L$16),""),"")</f>
        <v/>
      </c>
      <c r="K659" s="87" t="str">
        <f aca="false">IFERROR(IF(ISNUMBER(INDEX(원자료_잔고!$A$1:$EZ$1500,설정!$L$5+ROW()-1,설정!$L$17)),INDEX(원자료_잔고!$A$1:$EZ$1500,설정!$L$5+ROW()-1,설정!$L$17),""),"")</f>
        <v/>
      </c>
      <c r="L659" s="84" t="str">
        <f aca="false">IFERROR(IF(ISNUMBER(INDEX(원자료_잔고!$A$1:$EZ$1500,설정!$L$5+ROW()-1,설정!$L$18)),INDEX(원자료_잔고!$A$1:$EZ$1500,설정!$L$5+ROW()-1,설정!$L$18),""),"")</f>
        <v/>
      </c>
      <c r="M659" s="88" t="str">
        <f aca="false">IFERROR(IF(ISNUMBER(INDEX(원자료_잔고!$A$1:$EZ$1500,설정!$L$5+ROW()-1,설정!$L$19)),INDEX(원자료_잔고!$A$1:$EZ$1500,설정!$L$5+ROW()-1,설정!$L$19),""),"")</f>
        <v/>
      </c>
      <c r="N659" s="83" t="str">
        <f aca="false">IFERROR(IF(INDEX(원자료_잔고!$A$1:$EZ$1500,설정!$L$5+ROW()-1,설정!$L$21)&amp;""="0","",INDEX(원자료_잔고!$A$1:$EZ$1500,설정!$L$5+ROW()-1,설정!$L$21)&amp;""),"")</f>
        <v/>
      </c>
      <c r="O659" s="83" t="str">
        <f aca="false">IFERROR(IF(INDEX(원자료_잔고!$A$1:$EZ$1500,설정!$L$5+ROW()-1,설정!$L$22)&amp;""="0","",INDEX(원자료_잔고!$A$1:$EZ$1500,설정!$L$5+ROW()-1,설정!$L$22)&amp;""),"")</f>
        <v/>
      </c>
      <c r="P659" s="83" t="str">
        <f aca="false">IFERROR(IF(INDEX(원자료_잔고!$A$1:$EZ$1500,설정!$L$5+ROW()-1,설정!$L$23)&amp;""="0","",INDEX(원자료_잔고!$A$1:$EZ$1500,설정!$L$5+ROW()-1,설정!$L$23)&amp;""),"")</f>
        <v/>
      </c>
      <c r="Q659" s="89" t="n">
        <f aca="false">IF(AND($A659&lt;&gt;"",ISNUMBER(E659)),IF(E659&gt;0,1,0),0)</f>
        <v>0</v>
      </c>
      <c r="R659" s="43" t="str">
        <f aca="false">IF(Q659=1,UPPER(LEFT($A659,FIND(" ",$A659&amp;" ")-1)),"")</f>
        <v/>
      </c>
      <c r="S659" s="89" t="n">
        <f aca="false">IF(Q659=1,IF(OR(ISNUMBER(SEARCH("Float",$A659)),ISNUMBER(SEARCH("FRN",$A659))),1,0),0)</f>
        <v>0</v>
      </c>
      <c r="T659" s="43" t="str">
        <f aca="false">IF(AND(Q659=1,ISNUMBER(I659)),TEXT(I659,"yyyymmdd")&amp;"|"&amp;IF(S659=1,"F",TEXT(J659,"0.000")),"")</f>
        <v/>
      </c>
      <c r="U659" s="90" t="str">
        <f aca="false">IF(AND(Q659=1,ISNUMBER(I659)),(I659-설정!$C$4)/365.25,"")</f>
        <v/>
      </c>
      <c r="V659" s="43" t="str">
        <f aca="false">IF(Q659&lt;&gt;1,"",IF(ISNUMBER(U659),IF(U659&lt;=1,"1년 이하",IF(U659&lt;=2,"1-2년",IF(U659&lt;=3,"2-3년",IF(U659&lt;=4,"3-4년",IF(U659&lt;=5,"4-5년",IF(U659&lt;=7,"5-7년",IF(U659&lt;=10,"7-10년",IF(U659&lt;=20,"10-20년","20년 이상")))))))),"미분류"))</f>
        <v/>
      </c>
      <c r="W659" s="43" t="str">
        <f aca="false">IF(Q659&lt;&gt;1,"",IF(AB659&lt;&gt;"",INDEX(시장분석!$C:$C,AB659),IF(K659=1,"USD","비USD")))</f>
        <v/>
      </c>
      <c r="X659" s="91" t="n">
        <f aca="false">IF(Q659=1,E659*K659/1000000,0)</f>
        <v>0</v>
      </c>
      <c r="Y659" s="89" t="n">
        <f aca="false">IF(R659="T",1,0)</f>
        <v>0</v>
      </c>
      <c r="Z659" s="92" t="str">
        <f aca="false">IF(Q659&lt;&gt;1,"",IF(AD659=1,IF(ISNUMBER(U659),MAX(U659,0),H659),H659))</f>
        <v/>
      </c>
      <c r="AA659" s="91" t="n">
        <f aca="false">IF(Q659=1,IF(ISNUMBER(L659),L659,0)*K659/1000000,0)</f>
        <v>0</v>
      </c>
      <c r="AB659" s="89" t="str">
        <f aca="false">IF(Q659&lt;&gt;1,"",IFERROR(MATCH(VLOOKUP(B659,매핑!$H$4:$I$15,2,0),시장분석!$A$2:$A$601,0)+1,IFERROR(MATCH(R659&amp;"|"&amp;T659,시장분석!$V$2:$V$601,0)+1,IF(COUNTIF(시장분석!$U$2:$U$601,T659)=1,MATCH(T659,시장분석!$U$2:$U$601,0)+1,""))))</f>
        <v/>
      </c>
      <c r="AC659" s="89" t="n">
        <f aca="false">IF(Q659&lt;&gt;1,0,IF(OR(설정!$C$5="전체",AND(설정!$C$5="선택펀드",IFERROR(COUNTIFS(설정!$F$16:$F$36,C659,설정!$G$16:$G$36,"Y")+COUNTIFS(설정!$F$16:$F$36,VALUE(C659),설정!$G$16:$G$36,"Y"),0)&gt;0),C659&amp;""=설정!$C$5&amp;""),1,0))</f>
        <v>0</v>
      </c>
      <c r="AD659" s="89" t="n">
        <f aca="false">IF(Q659&lt;&gt;1,0,IF(OR(S659=1,IF(AB659="",FALSE(),INDEX(시장분석!$R:$R,AB659)=1)),1,0))</f>
        <v>0</v>
      </c>
      <c r="AE659" s="43" t="str">
        <f aca="false">IF(AB659="","",INDEX(시장분석!$A:$A,AB659))</f>
        <v/>
      </c>
      <c r="AF659" s="93" t="str">
        <f aca="false">IF(AB659="","",IF(ISNUMBER(IF(AB659="","",INDEX(시장분석!$E:$E,AB659))),IF(AB659="","",INDEX(시장분석!$E:$E,AB659)),""))</f>
        <v/>
      </c>
      <c r="AG659" s="43" t="str">
        <f aca="false">IF(Q659&lt;&gt;1,"",IF(AB659&lt;&gt;"",IF(AB659="","",INDEX(시장분석!$L:$L,AB659)),IFERROR(IF(VLOOKUP(R659,매핑!$A$4:$E$92,5,0)="","미분류",VLOOKUP(R659,매핑!$A$4:$E$92,5,0)),"미분류")))</f>
        <v/>
      </c>
      <c r="AH659" s="43" t="str">
        <f aca="false">IF(Q659&lt;&gt;1,"",IF(AB659&lt;&gt;"",IF(AB659="","",INDEX(시장분석!$N:$N,AB659)),IFERROR(IF(VLOOKUP(R659,매핑!$A$4:$E$92,4,0)="","미분류",VLOOKUP(R659,매핑!$A$4:$E$92,4,0)),"미분류")))</f>
        <v/>
      </c>
      <c r="AI659" s="43" t="str">
        <f aca="false">IF(Q659&lt;&gt;1,"",IFERROR(IF(VLOOKUP(R659,매핑!$A$4:$E$92,3,0)="","미분류",VLOOKUP(R659,매핑!$A$4:$E$92,3,0)),IF(AB659&lt;&gt;"",IF(AB659="","",INDEX(시장분석!$W:$W,AB659)),"미분류")))</f>
        <v/>
      </c>
      <c r="AJ659" s="43" t="str">
        <f aca="false">IF(Q659&lt;&gt;1,"",IFERROR(VLOOKUP(IF(N659&lt;&gt;"",N659,IF(P659&lt;&gt;"",P659,O659)),설정!$A$15:$D$47,2,0),""))</f>
        <v/>
      </c>
      <c r="AK659" s="43" t="str">
        <f aca="false">IF(Q659&lt;&gt;1,"",IF(AJ659="","무등급",IFERROR(VLOOKUP(AJ659,설정!$A$15:$D$47,3,0),"무등급")))</f>
        <v/>
      </c>
      <c r="AL659" s="89" t="n">
        <f aca="false">IF(AJ659="",99,IFERROR(VLOOKUP(AJ659,설정!$A$15:$D$47,4,0),99))</f>
        <v>99</v>
      </c>
      <c r="AM659" s="94" t="n">
        <f aca="false">IF(ISNUMBER(H659),AA659*1000000*H659/10000,0)</f>
        <v>0</v>
      </c>
      <c r="AN659" s="94" t="n">
        <f aca="false">IF(OR(Y659=1,NOT(ISNUMBER(Z659))),0,AA659*1000000*Z659/10000)</f>
        <v>0</v>
      </c>
      <c r="AO659" s="94" t="n">
        <f aca="false">IF(ISNUMBER(G659),AA659*1000000*G659/100,0)</f>
        <v>0</v>
      </c>
      <c r="AP659" s="94" t="n">
        <f aca="false">IF(ISNUMBER(M659),M659*K659,0)</f>
        <v>0</v>
      </c>
      <c r="AQ659" s="95" t="str">
        <f aca="false">IF(AB659="","",INDEX(시장분석!$AK:$AK,AB659))</f>
        <v/>
      </c>
      <c r="AR659" s="43" t="str">
        <f aca="false">IF(AB659="","-",IF(AB659="","",INDEX(시장분석!$AL:$AL,AB659)))</f>
        <v>-</v>
      </c>
      <c r="AS659" s="96" t="str">
        <f aca="false">IF(AB659="","",INDEX(시장분석!$AJ:$AJ,AB659))</f>
        <v/>
      </c>
      <c r="AT659" s="93" t="n">
        <f aca="false">IF(AB659="",0,IF(AB659="","",INDEX(시장분석!$AN:$AN,AB659)))</f>
        <v>0</v>
      </c>
      <c r="AU659" s="94" t="n">
        <f aca="false">IF(ISNUMBER(Z659),AT659/10000*MAX(Z659-1,0)*AA659*1000000,0)</f>
        <v>0</v>
      </c>
      <c r="AV659" s="94" t="n">
        <f aca="false">AO659+AU659</f>
        <v>0</v>
      </c>
      <c r="AW659" s="43" t="str">
        <f aca="false">IF(Q659&lt;&gt;1,"",TRIM(IF(AD659=1,"FRN ","")&amp;IF(AND(AL659&gt;=10,AL659&lt;99),"BBB0미만 ","")&amp;IF(AJ659="","등급없음 ","")&amp;IF(K659&lt;&gt;1,"비USD ","")&amp;IF(AND(AB659="",Y659=0),"시장데이터없음 ","")&amp;IF(AND(ISNUMBER(U659),U659&lt;0),"만기경과 ","")))</f>
        <v/>
      </c>
      <c r="AX659" s="90" t="n">
        <f aca="false">IF(Q659&lt;&gt;1,1,IF(스프레드쇼크!$C$4="Y",INDEX(스프레드쇼크!$B$12:$L$16,IFERROR(MATCH(AH659,스프레드쇼크!$A$12:$A$16,0),MATCH("목록외",스프레드쇼크!$A$12:$A$16,0)),IFERROR(MATCH(AG659,스프레드쇼크!$B$11:$L$11,0),MATCH("목록외",스프레드쇼크!$B$11:$L$11,0))),1))</f>
        <v>1</v>
      </c>
      <c r="AY659" s="90" t="n">
        <f aca="false">IF(스프레드쇼크!$C$5="Y",IF(ISNUMBER(AF659),MIN(스프레드쇼크!$C$7,MAX(스프레드쇼크!$C$6,AF659/스프레드쇼크!$C$8)),1),1)</f>
        <v>1</v>
      </c>
      <c r="AZ659" s="94" t="n">
        <f aca="false">AN659*AX659*AY659</f>
        <v>0</v>
      </c>
      <c r="BA659" s="90" t="n">
        <f aca="false">IF(ISNUMBER(G659),AA659*G659,0)</f>
        <v>0</v>
      </c>
      <c r="BB659" s="90" t="n">
        <f aca="false">IF(ISNUMBER(G659),AA659,0)</f>
        <v>0</v>
      </c>
      <c r="BC659" s="90" t="n">
        <f aca="false">IF(AND(Y659=0,ISNUMBER(AF659)),AA659*AF659,0)</f>
        <v>0</v>
      </c>
      <c r="BD659" s="90" t="n">
        <f aca="false">IF(AND(Y659=0,ISNUMBER(AF659)),AA659,0)</f>
        <v>0</v>
      </c>
      <c r="BE659" s="90" t="n">
        <f aca="false">IF(ISNUMBER(H659),AA659*H659,0)</f>
        <v>0</v>
      </c>
      <c r="BF659" s="90" t="n">
        <f aca="false">IF(ISNUMBER(H659),AA659,0)</f>
        <v>0</v>
      </c>
      <c r="BG659" s="90" t="n">
        <f aca="false">IF(AND(Y659=0,ISNUMBER(AF659),ISNUMBER(Z659)),AA659*Z659,0)</f>
        <v>0</v>
      </c>
      <c r="BH659" s="90" t="n">
        <f aca="false">IF(AND(Y659=0,ISNUMBER(AF659),ISNUMBER(Z659)),AA659*AT659*MAX(Z659-1,0),0)</f>
        <v>0</v>
      </c>
      <c r="BI659" s="90" t="n">
        <f aca="false">IF(Y659=0,AA659,0)</f>
        <v>0</v>
      </c>
    </row>
    <row r="660" customFormat="false" ht="15" hidden="false" customHeight="false" outlineLevel="0" collapsed="false">
      <c r="A660" s="83" t="str">
        <f aca="false">IFERROR(IF(INDEX(원자료_잔고!$A$1:$EZ$1500,설정!$L$5+ROW()-1,설정!$L$8)&amp;""="0","",INDEX(원자료_잔고!$A$1:$EZ$1500,설정!$L$5+ROW()-1,설정!$L$8)&amp;""),"")</f>
        <v/>
      </c>
      <c r="B660" s="83" t="str">
        <f aca="false">IFERROR(IF(INDEX(원자료_잔고!$A$1:$EZ$1500,설정!$L$5+ROW()-1,설정!$L$7)&amp;""="0","",INDEX(원자료_잔고!$A$1:$EZ$1500,설정!$L$5+ROW()-1,설정!$L$7)&amp;""),"")</f>
        <v/>
      </c>
      <c r="C660" s="83" t="str">
        <f aca="false">IFERROR(IF(INDEX(원자료_잔고!$A$1:$EZ$1500,설정!$L$5+ROW()-1,설정!$L$9)&amp;""="0","",INDEX(원자료_잔고!$A$1:$EZ$1500,설정!$L$5+ROW()-1,설정!$L$9)&amp;""),"")</f>
        <v/>
      </c>
      <c r="D660" s="83" t="str">
        <f aca="false">IFERROR(IF(INDEX(원자료_잔고!$A$1:$EZ$1500,설정!$L$5+ROW()-1,설정!$L$10)&amp;""="0","",INDEX(원자료_잔고!$A$1:$EZ$1500,설정!$L$5+ROW()-1,설정!$L$10)&amp;""),"")</f>
        <v/>
      </c>
      <c r="E660" s="84" t="str">
        <f aca="false">IFERROR(IF(ISNUMBER(INDEX(원자료_잔고!$A$1:$EZ$1500,설정!$L$5+ROW()-1,설정!$L$11)),INDEX(원자료_잔고!$A$1:$EZ$1500,설정!$L$5+ROW()-1,설정!$L$11),""),"")</f>
        <v/>
      </c>
      <c r="F660" s="85" t="str">
        <f aca="false">IFERROR(IF(ISNUMBER(INDEX(원자료_잔고!$A$1:$EZ$1500,설정!$L$5+ROW()-1,설정!$L$12)),INDEX(원자료_잔고!$A$1:$EZ$1500,설정!$L$5+ROW()-1,설정!$L$12),""),"")</f>
        <v/>
      </c>
      <c r="G660" s="85" t="str">
        <f aca="false">IFERROR(IF(ISNUMBER(INDEX(원자료_잔고!$A$1:$EZ$1500,설정!$L$5+ROW()-1,설정!$L$13)),INDEX(원자료_잔고!$A$1:$EZ$1500,설정!$L$5+ROW()-1,설정!$L$13),""),"")</f>
        <v/>
      </c>
      <c r="H660" s="85" t="str">
        <f aca="false">IFERROR(IF(ISNUMBER(INDEX(원자료_잔고!$A$1:$EZ$1500,설정!$L$5+ROW()-1,설정!$L$14)),INDEX(원자료_잔고!$A$1:$EZ$1500,설정!$L$5+ROW()-1,설정!$L$14),""),"")</f>
        <v/>
      </c>
      <c r="I660" s="86" t="str">
        <f aca="false">IFERROR(IF(ISNUMBER(INDEX(원자료_잔고!$A$1:$EZ$1500,설정!$L$5+ROW()-1,설정!$L$15)),INDEX(원자료_잔고!$A$1:$EZ$1500,설정!$L$5+ROW()-1,설정!$L$15),""),"")</f>
        <v/>
      </c>
      <c r="J660" s="85" t="str">
        <f aca="false">IFERROR(IF(ISNUMBER(INDEX(원자료_잔고!$A$1:$EZ$1500,설정!$L$5+ROW()-1,설정!$L$16)),INDEX(원자료_잔고!$A$1:$EZ$1500,설정!$L$5+ROW()-1,설정!$L$16),""),"")</f>
        <v/>
      </c>
      <c r="K660" s="87" t="str">
        <f aca="false">IFERROR(IF(ISNUMBER(INDEX(원자료_잔고!$A$1:$EZ$1500,설정!$L$5+ROW()-1,설정!$L$17)),INDEX(원자료_잔고!$A$1:$EZ$1500,설정!$L$5+ROW()-1,설정!$L$17),""),"")</f>
        <v/>
      </c>
      <c r="L660" s="84" t="str">
        <f aca="false">IFERROR(IF(ISNUMBER(INDEX(원자료_잔고!$A$1:$EZ$1500,설정!$L$5+ROW()-1,설정!$L$18)),INDEX(원자료_잔고!$A$1:$EZ$1500,설정!$L$5+ROW()-1,설정!$L$18),""),"")</f>
        <v/>
      </c>
      <c r="M660" s="88" t="str">
        <f aca="false">IFERROR(IF(ISNUMBER(INDEX(원자료_잔고!$A$1:$EZ$1500,설정!$L$5+ROW()-1,설정!$L$19)),INDEX(원자료_잔고!$A$1:$EZ$1500,설정!$L$5+ROW()-1,설정!$L$19),""),"")</f>
        <v/>
      </c>
      <c r="N660" s="83" t="str">
        <f aca="false">IFERROR(IF(INDEX(원자료_잔고!$A$1:$EZ$1500,설정!$L$5+ROW()-1,설정!$L$21)&amp;""="0","",INDEX(원자료_잔고!$A$1:$EZ$1500,설정!$L$5+ROW()-1,설정!$L$21)&amp;""),"")</f>
        <v/>
      </c>
      <c r="O660" s="83" t="str">
        <f aca="false">IFERROR(IF(INDEX(원자료_잔고!$A$1:$EZ$1500,설정!$L$5+ROW()-1,설정!$L$22)&amp;""="0","",INDEX(원자료_잔고!$A$1:$EZ$1500,설정!$L$5+ROW()-1,설정!$L$22)&amp;""),"")</f>
        <v/>
      </c>
      <c r="P660" s="83" t="str">
        <f aca="false">IFERROR(IF(INDEX(원자료_잔고!$A$1:$EZ$1500,설정!$L$5+ROW()-1,설정!$L$23)&amp;""="0","",INDEX(원자료_잔고!$A$1:$EZ$1500,설정!$L$5+ROW()-1,설정!$L$23)&amp;""),"")</f>
        <v/>
      </c>
      <c r="Q660" s="89" t="n">
        <f aca="false">IF(AND($A660&lt;&gt;"",ISNUMBER(E660)),IF(E660&gt;0,1,0),0)</f>
        <v>0</v>
      </c>
      <c r="R660" s="43" t="str">
        <f aca="false">IF(Q660=1,UPPER(LEFT($A660,FIND(" ",$A660&amp;" ")-1)),"")</f>
        <v/>
      </c>
      <c r="S660" s="89" t="n">
        <f aca="false">IF(Q660=1,IF(OR(ISNUMBER(SEARCH("Float",$A660)),ISNUMBER(SEARCH("FRN",$A660))),1,0),0)</f>
        <v>0</v>
      </c>
      <c r="T660" s="43" t="str">
        <f aca="false">IF(AND(Q660=1,ISNUMBER(I660)),TEXT(I660,"yyyymmdd")&amp;"|"&amp;IF(S660=1,"F",TEXT(J660,"0.000")),"")</f>
        <v/>
      </c>
      <c r="U660" s="90" t="str">
        <f aca="false">IF(AND(Q660=1,ISNUMBER(I660)),(I660-설정!$C$4)/365.25,"")</f>
        <v/>
      </c>
      <c r="V660" s="43" t="str">
        <f aca="false">IF(Q660&lt;&gt;1,"",IF(ISNUMBER(U660),IF(U660&lt;=1,"1년 이하",IF(U660&lt;=2,"1-2년",IF(U660&lt;=3,"2-3년",IF(U660&lt;=4,"3-4년",IF(U660&lt;=5,"4-5년",IF(U660&lt;=7,"5-7년",IF(U660&lt;=10,"7-10년",IF(U660&lt;=20,"10-20년","20년 이상")))))))),"미분류"))</f>
        <v/>
      </c>
      <c r="W660" s="43" t="str">
        <f aca="false">IF(Q660&lt;&gt;1,"",IF(AB660&lt;&gt;"",INDEX(시장분석!$C:$C,AB660),IF(K660=1,"USD","비USD")))</f>
        <v/>
      </c>
      <c r="X660" s="91" t="n">
        <f aca="false">IF(Q660=1,E660*K660/1000000,0)</f>
        <v>0</v>
      </c>
      <c r="Y660" s="89" t="n">
        <f aca="false">IF(R660="T",1,0)</f>
        <v>0</v>
      </c>
      <c r="Z660" s="92" t="str">
        <f aca="false">IF(Q660&lt;&gt;1,"",IF(AD660=1,IF(ISNUMBER(U660),MAX(U660,0),H660),H660))</f>
        <v/>
      </c>
      <c r="AA660" s="91" t="n">
        <f aca="false">IF(Q660=1,IF(ISNUMBER(L660),L660,0)*K660/1000000,0)</f>
        <v>0</v>
      </c>
      <c r="AB660" s="89" t="str">
        <f aca="false">IF(Q660&lt;&gt;1,"",IFERROR(MATCH(VLOOKUP(B660,매핑!$H$4:$I$15,2,0),시장분석!$A$2:$A$601,0)+1,IFERROR(MATCH(R660&amp;"|"&amp;T660,시장분석!$V$2:$V$601,0)+1,IF(COUNTIF(시장분석!$U$2:$U$601,T660)=1,MATCH(T660,시장분석!$U$2:$U$601,0)+1,""))))</f>
        <v/>
      </c>
      <c r="AC660" s="89" t="n">
        <f aca="false">IF(Q660&lt;&gt;1,0,IF(OR(설정!$C$5="전체",AND(설정!$C$5="선택펀드",IFERROR(COUNTIFS(설정!$F$16:$F$36,C660,설정!$G$16:$G$36,"Y")+COUNTIFS(설정!$F$16:$F$36,VALUE(C660),설정!$G$16:$G$36,"Y"),0)&gt;0),C660&amp;""=설정!$C$5&amp;""),1,0))</f>
        <v>0</v>
      </c>
      <c r="AD660" s="89" t="n">
        <f aca="false">IF(Q660&lt;&gt;1,0,IF(OR(S660=1,IF(AB660="",FALSE(),INDEX(시장분석!$R:$R,AB660)=1)),1,0))</f>
        <v>0</v>
      </c>
      <c r="AE660" s="43" t="str">
        <f aca="false">IF(AB660="","",INDEX(시장분석!$A:$A,AB660))</f>
        <v/>
      </c>
      <c r="AF660" s="93" t="str">
        <f aca="false">IF(AB660="","",IF(ISNUMBER(IF(AB660="","",INDEX(시장분석!$E:$E,AB660))),IF(AB660="","",INDEX(시장분석!$E:$E,AB660)),""))</f>
        <v/>
      </c>
      <c r="AG660" s="43" t="str">
        <f aca="false">IF(Q660&lt;&gt;1,"",IF(AB660&lt;&gt;"",IF(AB660="","",INDEX(시장분석!$L:$L,AB660)),IFERROR(IF(VLOOKUP(R660,매핑!$A$4:$E$92,5,0)="","미분류",VLOOKUP(R660,매핑!$A$4:$E$92,5,0)),"미분류")))</f>
        <v/>
      </c>
      <c r="AH660" s="43" t="str">
        <f aca="false">IF(Q660&lt;&gt;1,"",IF(AB660&lt;&gt;"",IF(AB660="","",INDEX(시장분석!$N:$N,AB660)),IFERROR(IF(VLOOKUP(R660,매핑!$A$4:$E$92,4,0)="","미분류",VLOOKUP(R660,매핑!$A$4:$E$92,4,0)),"미분류")))</f>
        <v/>
      </c>
      <c r="AI660" s="43" t="str">
        <f aca="false">IF(Q660&lt;&gt;1,"",IFERROR(IF(VLOOKUP(R660,매핑!$A$4:$E$92,3,0)="","미분류",VLOOKUP(R660,매핑!$A$4:$E$92,3,0)),IF(AB660&lt;&gt;"",IF(AB660="","",INDEX(시장분석!$W:$W,AB660)),"미분류")))</f>
        <v/>
      </c>
      <c r="AJ660" s="43" t="str">
        <f aca="false">IF(Q660&lt;&gt;1,"",IFERROR(VLOOKUP(IF(N660&lt;&gt;"",N660,IF(P660&lt;&gt;"",P660,O660)),설정!$A$15:$D$47,2,0),""))</f>
        <v/>
      </c>
      <c r="AK660" s="43" t="str">
        <f aca="false">IF(Q660&lt;&gt;1,"",IF(AJ660="","무등급",IFERROR(VLOOKUP(AJ660,설정!$A$15:$D$47,3,0),"무등급")))</f>
        <v/>
      </c>
      <c r="AL660" s="89" t="n">
        <f aca="false">IF(AJ660="",99,IFERROR(VLOOKUP(AJ660,설정!$A$15:$D$47,4,0),99))</f>
        <v>99</v>
      </c>
      <c r="AM660" s="94" t="n">
        <f aca="false">IF(ISNUMBER(H660),AA660*1000000*H660/10000,0)</f>
        <v>0</v>
      </c>
      <c r="AN660" s="94" t="n">
        <f aca="false">IF(OR(Y660=1,NOT(ISNUMBER(Z660))),0,AA660*1000000*Z660/10000)</f>
        <v>0</v>
      </c>
      <c r="AO660" s="94" t="n">
        <f aca="false">IF(ISNUMBER(G660),AA660*1000000*G660/100,0)</f>
        <v>0</v>
      </c>
      <c r="AP660" s="94" t="n">
        <f aca="false">IF(ISNUMBER(M660),M660*K660,0)</f>
        <v>0</v>
      </c>
      <c r="AQ660" s="95" t="str">
        <f aca="false">IF(AB660="","",INDEX(시장분석!$AK:$AK,AB660))</f>
        <v/>
      </c>
      <c r="AR660" s="43" t="str">
        <f aca="false">IF(AB660="","-",IF(AB660="","",INDEX(시장분석!$AL:$AL,AB660)))</f>
        <v>-</v>
      </c>
      <c r="AS660" s="96" t="str">
        <f aca="false">IF(AB660="","",INDEX(시장분석!$AJ:$AJ,AB660))</f>
        <v/>
      </c>
      <c r="AT660" s="93" t="n">
        <f aca="false">IF(AB660="",0,IF(AB660="","",INDEX(시장분석!$AN:$AN,AB660)))</f>
        <v>0</v>
      </c>
      <c r="AU660" s="94" t="n">
        <f aca="false">IF(ISNUMBER(Z660),AT660/10000*MAX(Z660-1,0)*AA660*1000000,0)</f>
        <v>0</v>
      </c>
      <c r="AV660" s="94" t="n">
        <f aca="false">AO660+AU660</f>
        <v>0</v>
      </c>
      <c r="AW660" s="43" t="str">
        <f aca="false">IF(Q660&lt;&gt;1,"",TRIM(IF(AD660=1,"FRN ","")&amp;IF(AND(AL660&gt;=10,AL660&lt;99),"BBB0미만 ","")&amp;IF(AJ660="","등급없음 ","")&amp;IF(K660&lt;&gt;1,"비USD ","")&amp;IF(AND(AB660="",Y660=0),"시장데이터없음 ","")&amp;IF(AND(ISNUMBER(U660),U660&lt;0),"만기경과 ","")))</f>
        <v/>
      </c>
      <c r="AX660" s="90" t="n">
        <f aca="false">IF(Q660&lt;&gt;1,1,IF(스프레드쇼크!$C$4="Y",INDEX(스프레드쇼크!$B$12:$L$16,IFERROR(MATCH(AH660,스프레드쇼크!$A$12:$A$16,0),MATCH("목록외",스프레드쇼크!$A$12:$A$16,0)),IFERROR(MATCH(AG660,스프레드쇼크!$B$11:$L$11,0),MATCH("목록외",스프레드쇼크!$B$11:$L$11,0))),1))</f>
        <v>1</v>
      </c>
      <c r="AY660" s="90" t="n">
        <f aca="false">IF(스프레드쇼크!$C$5="Y",IF(ISNUMBER(AF660),MIN(스프레드쇼크!$C$7,MAX(스프레드쇼크!$C$6,AF660/스프레드쇼크!$C$8)),1),1)</f>
        <v>1</v>
      </c>
      <c r="AZ660" s="94" t="n">
        <f aca="false">AN660*AX660*AY660</f>
        <v>0</v>
      </c>
      <c r="BA660" s="90" t="n">
        <f aca="false">IF(ISNUMBER(G660),AA660*G660,0)</f>
        <v>0</v>
      </c>
      <c r="BB660" s="90" t="n">
        <f aca="false">IF(ISNUMBER(G660),AA660,0)</f>
        <v>0</v>
      </c>
      <c r="BC660" s="90" t="n">
        <f aca="false">IF(AND(Y660=0,ISNUMBER(AF660)),AA660*AF660,0)</f>
        <v>0</v>
      </c>
      <c r="BD660" s="90" t="n">
        <f aca="false">IF(AND(Y660=0,ISNUMBER(AF660)),AA660,0)</f>
        <v>0</v>
      </c>
      <c r="BE660" s="90" t="n">
        <f aca="false">IF(ISNUMBER(H660),AA660*H660,0)</f>
        <v>0</v>
      </c>
      <c r="BF660" s="90" t="n">
        <f aca="false">IF(ISNUMBER(H660),AA660,0)</f>
        <v>0</v>
      </c>
      <c r="BG660" s="90" t="n">
        <f aca="false">IF(AND(Y660=0,ISNUMBER(AF660),ISNUMBER(Z660)),AA660*Z660,0)</f>
        <v>0</v>
      </c>
      <c r="BH660" s="90" t="n">
        <f aca="false">IF(AND(Y660=0,ISNUMBER(AF660),ISNUMBER(Z660)),AA660*AT660*MAX(Z660-1,0),0)</f>
        <v>0</v>
      </c>
      <c r="BI660" s="90" t="n">
        <f aca="false">IF(Y660=0,AA660,0)</f>
        <v>0</v>
      </c>
    </row>
    <row r="661" customFormat="false" ht="15" hidden="false" customHeight="false" outlineLevel="0" collapsed="false">
      <c r="A661" s="83" t="str">
        <f aca="false">IFERROR(IF(INDEX(원자료_잔고!$A$1:$EZ$1500,설정!$L$5+ROW()-1,설정!$L$8)&amp;""="0","",INDEX(원자료_잔고!$A$1:$EZ$1500,설정!$L$5+ROW()-1,설정!$L$8)&amp;""),"")</f>
        <v/>
      </c>
      <c r="B661" s="83" t="str">
        <f aca="false">IFERROR(IF(INDEX(원자료_잔고!$A$1:$EZ$1500,설정!$L$5+ROW()-1,설정!$L$7)&amp;""="0","",INDEX(원자료_잔고!$A$1:$EZ$1500,설정!$L$5+ROW()-1,설정!$L$7)&amp;""),"")</f>
        <v/>
      </c>
      <c r="C661" s="83" t="str">
        <f aca="false">IFERROR(IF(INDEX(원자료_잔고!$A$1:$EZ$1500,설정!$L$5+ROW()-1,설정!$L$9)&amp;""="0","",INDEX(원자료_잔고!$A$1:$EZ$1500,설정!$L$5+ROW()-1,설정!$L$9)&amp;""),"")</f>
        <v/>
      </c>
      <c r="D661" s="83" t="str">
        <f aca="false">IFERROR(IF(INDEX(원자료_잔고!$A$1:$EZ$1500,설정!$L$5+ROW()-1,설정!$L$10)&amp;""="0","",INDEX(원자료_잔고!$A$1:$EZ$1500,설정!$L$5+ROW()-1,설정!$L$10)&amp;""),"")</f>
        <v/>
      </c>
      <c r="E661" s="84" t="str">
        <f aca="false">IFERROR(IF(ISNUMBER(INDEX(원자료_잔고!$A$1:$EZ$1500,설정!$L$5+ROW()-1,설정!$L$11)),INDEX(원자료_잔고!$A$1:$EZ$1500,설정!$L$5+ROW()-1,설정!$L$11),""),"")</f>
        <v/>
      </c>
      <c r="F661" s="85" t="str">
        <f aca="false">IFERROR(IF(ISNUMBER(INDEX(원자료_잔고!$A$1:$EZ$1500,설정!$L$5+ROW()-1,설정!$L$12)),INDEX(원자료_잔고!$A$1:$EZ$1500,설정!$L$5+ROW()-1,설정!$L$12),""),"")</f>
        <v/>
      </c>
      <c r="G661" s="85" t="str">
        <f aca="false">IFERROR(IF(ISNUMBER(INDEX(원자료_잔고!$A$1:$EZ$1500,설정!$L$5+ROW()-1,설정!$L$13)),INDEX(원자료_잔고!$A$1:$EZ$1500,설정!$L$5+ROW()-1,설정!$L$13),""),"")</f>
        <v/>
      </c>
      <c r="H661" s="85" t="str">
        <f aca="false">IFERROR(IF(ISNUMBER(INDEX(원자료_잔고!$A$1:$EZ$1500,설정!$L$5+ROW()-1,설정!$L$14)),INDEX(원자료_잔고!$A$1:$EZ$1500,설정!$L$5+ROW()-1,설정!$L$14),""),"")</f>
        <v/>
      </c>
      <c r="I661" s="86" t="str">
        <f aca="false">IFERROR(IF(ISNUMBER(INDEX(원자료_잔고!$A$1:$EZ$1500,설정!$L$5+ROW()-1,설정!$L$15)),INDEX(원자료_잔고!$A$1:$EZ$1500,설정!$L$5+ROW()-1,설정!$L$15),""),"")</f>
        <v/>
      </c>
      <c r="J661" s="85" t="str">
        <f aca="false">IFERROR(IF(ISNUMBER(INDEX(원자료_잔고!$A$1:$EZ$1500,설정!$L$5+ROW()-1,설정!$L$16)),INDEX(원자료_잔고!$A$1:$EZ$1500,설정!$L$5+ROW()-1,설정!$L$16),""),"")</f>
        <v/>
      </c>
      <c r="K661" s="87" t="str">
        <f aca="false">IFERROR(IF(ISNUMBER(INDEX(원자료_잔고!$A$1:$EZ$1500,설정!$L$5+ROW()-1,설정!$L$17)),INDEX(원자료_잔고!$A$1:$EZ$1500,설정!$L$5+ROW()-1,설정!$L$17),""),"")</f>
        <v/>
      </c>
      <c r="L661" s="84" t="str">
        <f aca="false">IFERROR(IF(ISNUMBER(INDEX(원자료_잔고!$A$1:$EZ$1500,설정!$L$5+ROW()-1,설정!$L$18)),INDEX(원자료_잔고!$A$1:$EZ$1500,설정!$L$5+ROW()-1,설정!$L$18),""),"")</f>
        <v/>
      </c>
      <c r="M661" s="88" t="str">
        <f aca="false">IFERROR(IF(ISNUMBER(INDEX(원자료_잔고!$A$1:$EZ$1500,설정!$L$5+ROW()-1,설정!$L$19)),INDEX(원자료_잔고!$A$1:$EZ$1500,설정!$L$5+ROW()-1,설정!$L$19),""),"")</f>
        <v/>
      </c>
      <c r="N661" s="83" t="str">
        <f aca="false">IFERROR(IF(INDEX(원자료_잔고!$A$1:$EZ$1500,설정!$L$5+ROW()-1,설정!$L$21)&amp;""="0","",INDEX(원자료_잔고!$A$1:$EZ$1500,설정!$L$5+ROW()-1,설정!$L$21)&amp;""),"")</f>
        <v/>
      </c>
      <c r="O661" s="83" t="str">
        <f aca="false">IFERROR(IF(INDEX(원자료_잔고!$A$1:$EZ$1500,설정!$L$5+ROW()-1,설정!$L$22)&amp;""="0","",INDEX(원자료_잔고!$A$1:$EZ$1500,설정!$L$5+ROW()-1,설정!$L$22)&amp;""),"")</f>
        <v/>
      </c>
      <c r="P661" s="83" t="str">
        <f aca="false">IFERROR(IF(INDEX(원자료_잔고!$A$1:$EZ$1500,설정!$L$5+ROW()-1,설정!$L$23)&amp;""="0","",INDEX(원자료_잔고!$A$1:$EZ$1500,설정!$L$5+ROW()-1,설정!$L$23)&amp;""),"")</f>
        <v/>
      </c>
      <c r="Q661" s="89" t="n">
        <f aca="false">IF(AND($A661&lt;&gt;"",ISNUMBER(E661)),IF(E661&gt;0,1,0),0)</f>
        <v>0</v>
      </c>
      <c r="R661" s="43" t="str">
        <f aca="false">IF(Q661=1,UPPER(LEFT($A661,FIND(" ",$A661&amp;" ")-1)),"")</f>
        <v/>
      </c>
      <c r="S661" s="89" t="n">
        <f aca="false">IF(Q661=1,IF(OR(ISNUMBER(SEARCH("Float",$A661)),ISNUMBER(SEARCH("FRN",$A661))),1,0),0)</f>
        <v>0</v>
      </c>
      <c r="T661" s="43" t="str">
        <f aca="false">IF(AND(Q661=1,ISNUMBER(I661)),TEXT(I661,"yyyymmdd")&amp;"|"&amp;IF(S661=1,"F",TEXT(J661,"0.000")),"")</f>
        <v/>
      </c>
      <c r="U661" s="90" t="str">
        <f aca="false">IF(AND(Q661=1,ISNUMBER(I661)),(I661-설정!$C$4)/365.25,"")</f>
        <v/>
      </c>
      <c r="V661" s="43" t="str">
        <f aca="false">IF(Q661&lt;&gt;1,"",IF(ISNUMBER(U661),IF(U661&lt;=1,"1년 이하",IF(U661&lt;=2,"1-2년",IF(U661&lt;=3,"2-3년",IF(U661&lt;=4,"3-4년",IF(U661&lt;=5,"4-5년",IF(U661&lt;=7,"5-7년",IF(U661&lt;=10,"7-10년",IF(U661&lt;=20,"10-20년","20년 이상")))))))),"미분류"))</f>
        <v/>
      </c>
      <c r="W661" s="43" t="str">
        <f aca="false">IF(Q661&lt;&gt;1,"",IF(AB661&lt;&gt;"",INDEX(시장분석!$C:$C,AB661),IF(K661=1,"USD","비USD")))</f>
        <v/>
      </c>
      <c r="X661" s="91" t="n">
        <f aca="false">IF(Q661=1,E661*K661/1000000,0)</f>
        <v>0</v>
      </c>
      <c r="Y661" s="89" t="n">
        <f aca="false">IF(R661="T",1,0)</f>
        <v>0</v>
      </c>
      <c r="Z661" s="92" t="str">
        <f aca="false">IF(Q661&lt;&gt;1,"",IF(AD661=1,IF(ISNUMBER(U661),MAX(U661,0),H661),H661))</f>
        <v/>
      </c>
      <c r="AA661" s="91" t="n">
        <f aca="false">IF(Q661=1,IF(ISNUMBER(L661),L661,0)*K661/1000000,0)</f>
        <v>0</v>
      </c>
      <c r="AB661" s="89" t="str">
        <f aca="false">IF(Q661&lt;&gt;1,"",IFERROR(MATCH(VLOOKUP(B661,매핑!$H$4:$I$15,2,0),시장분석!$A$2:$A$601,0)+1,IFERROR(MATCH(R661&amp;"|"&amp;T661,시장분석!$V$2:$V$601,0)+1,IF(COUNTIF(시장분석!$U$2:$U$601,T661)=1,MATCH(T661,시장분석!$U$2:$U$601,0)+1,""))))</f>
        <v/>
      </c>
      <c r="AC661" s="89" t="n">
        <f aca="false">IF(Q661&lt;&gt;1,0,IF(OR(설정!$C$5="전체",AND(설정!$C$5="선택펀드",IFERROR(COUNTIFS(설정!$F$16:$F$36,C661,설정!$G$16:$G$36,"Y")+COUNTIFS(설정!$F$16:$F$36,VALUE(C661),설정!$G$16:$G$36,"Y"),0)&gt;0),C661&amp;""=설정!$C$5&amp;""),1,0))</f>
        <v>0</v>
      </c>
      <c r="AD661" s="89" t="n">
        <f aca="false">IF(Q661&lt;&gt;1,0,IF(OR(S661=1,IF(AB661="",FALSE(),INDEX(시장분석!$R:$R,AB661)=1)),1,0))</f>
        <v>0</v>
      </c>
      <c r="AE661" s="43" t="str">
        <f aca="false">IF(AB661="","",INDEX(시장분석!$A:$A,AB661))</f>
        <v/>
      </c>
      <c r="AF661" s="93" t="str">
        <f aca="false">IF(AB661="","",IF(ISNUMBER(IF(AB661="","",INDEX(시장분석!$E:$E,AB661))),IF(AB661="","",INDEX(시장분석!$E:$E,AB661)),""))</f>
        <v/>
      </c>
      <c r="AG661" s="43" t="str">
        <f aca="false">IF(Q661&lt;&gt;1,"",IF(AB661&lt;&gt;"",IF(AB661="","",INDEX(시장분석!$L:$L,AB661)),IFERROR(IF(VLOOKUP(R661,매핑!$A$4:$E$92,5,0)="","미분류",VLOOKUP(R661,매핑!$A$4:$E$92,5,0)),"미분류")))</f>
        <v/>
      </c>
      <c r="AH661" s="43" t="str">
        <f aca="false">IF(Q661&lt;&gt;1,"",IF(AB661&lt;&gt;"",IF(AB661="","",INDEX(시장분석!$N:$N,AB661)),IFERROR(IF(VLOOKUP(R661,매핑!$A$4:$E$92,4,0)="","미분류",VLOOKUP(R661,매핑!$A$4:$E$92,4,0)),"미분류")))</f>
        <v/>
      </c>
      <c r="AI661" s="43" t="str">
        <f aca="false">IF(Q661&lt;&gt;1,"",IFERROR(IF(VLOOKUP(R661,매핑!$A$4:$E$92,3,0)="","미분류",VLOOKUP(R661,매핑!$A$4:$E$92,3,0)),IF(AB661&lt;&gt;"",IF(AB661="","",INDEX(시장분석!$W:$W,AB661)),"미분류")))</f>
        <v/>
      </c>
      <c r="AJ661" s="43" t="str">
        <f aca="false">IF(Q661&lt;&gt;1,"",IFERROR(VLOOKUP(IF(N661&lt;&gt;"",N661,IF(P661&lt;&gt;"",P661,O661)),설정!$A$15:$D$47,2,0),""))</f>
        <v/>
      </c>
      <c r="AK661" s="43" t="str">
        <f aca="false">IF(Q661&lt;&gt;1,"",IF(AJ661="","무등급",IFERROR(VLOOKUP(AJ661,설정!$A$15:$D$47,3,0),"무등급")))</f>
        <v/>
      </c>
      <c r="AL661" s="89" t="n">
        <f aca="false">IF(AJ661="",99,IFERROR(VLOOKUP(AJ661,설정!$A$15:$D$47,4,0),99))</f>
        <v>99</v>
      </c>
      <c r="AM661" s="94" t="n">
        <f aca="false">IF(ISNUMBER(H661),AA661*1000000*H661/10000,0)</f>
        <v>0</v>
      </c>
      <c r="AN661" s="94" t="n">
        <f aca="false">IF(OR(Y661=1,NOT(ISNUMBER(Z661))),0,AA661*1000000*Z661/10000)</f>
        <v>0</v>
      </c>
      <c r="AO661" s="94" t="n">
        <f aca="false">IF(ISNUMBER(G661),AA661*1000000*G661/100,0)</f>
        <v>0</v>
      </c>
      <c r="AP661" s="94" t="n">
        <f aca="false">IF(ISNUMBER(M661),M661*K661,0)</f>
        <v>0</v>
      </c>
      <c r="AQ661" s="95" t="str">
        <f aca="false">IF(AB661="","",INDEX(시장분석!$AK:$AK,AB661))</f>
        <v/>
      </c>
      <c r="AR661" s="43" t="str">
        <f aca="false">IF(AB661="","-",IF(AB661="","",INDEX(시장분석!$AL:$AL,AB661)))</f>
        <v>-</v>
      </c>
      <c r="AS661" s="96" t="str">
        <f aca="false">IF(AB661="","",INDEX(시장분석!$AJ:$AJ,AB661))</f>
        <v/>
      </c>
      <c r="AT661" s="93" t="n">
        <f aca="false">IF(AB661="",0,IF(AB661="","",INDEX(시장분석!$AN:$AN,AB661)))</f>
        <v>0</v>
      </c>
      <c r="AU661" s="94" t="n">
        <f aca="false">IF(ISNUMBER(Z661),AT661/10000*MAX(Z661-1,0)*AA661*1000000,0)</f>
        <v>0</v>
      </c>
      <c r="AV661" s="94" t="n">
        <f aca="false">AO661+AU661</f>
        <v>0</v>
      </c>
      <c r="AW661" s="43" t="str">
        <f aca="false">IF(Q661&lt;&gt;1,"",TRIM(IF(AD661=1,"FRN ","")&amp;IF(AND(AL661&gt;=10,AL661&lt;99),"BBB0미만 ","")&amp;IF(AJ661="","등급없음 ","")&amp;IF(K661&lt;&gt;1,"비USD ","")&amp;IF(AND(AB661="",Y661=0),"시장데이터없음 ","")&amp;IF(AND(ISNUMBER(U661),U661&lt;0),"만기경과 ","")))</f>
        <v/>
      </c>
      <c r="AX661" s="90" t="n">
        <f aca="false">IF(Q661&lt;&gt;1,1,IF(스프레드쇼크!$C$4="Y",INDEX(스프레드쇼크!$B$12:$L$16,IFERROR(MATCH(AH661,스프레드쇼크!$A$12:$A$16,0),MATCH("목록외",스프레드쇼크!$A$12:$A$16,0)),IFERROR(MATCH(AG661,스프레드쇼크!$B$11:$L$11,0),MATCH("목록외",스프레드쇼크!$B$11:$L$11,0))),1))</f>
        <v>1</v>
      </c>
      <c r="AY661" s="90" t="n">
        <f aca="false">IF(스프레드쇼크!$C$5="Y",IF(ISNUMBER(AF661),MIN(스프레드쇼크!$C$7,MAX(스프레드쇼크!$C$6,AF661/스프레드쇼크!$C$8)),1),1)</f>
        <v>1</v>
      </c>
      <c r="AZ661" s="94" t="n">
        <f aca="false">AN661*AX661*AY661</f>
        <v>0</v>
      </c>
      <c r="BA661" s="90" t="n">
        <f aca="false">IF(ISNUMBER(G661),AA661*G661,0)</f>
        <v>0</v>
      </c>
      <c r="BB661" s="90" t="n">
        <f aca="false">IF(ISNUMBER(G661),AA661,0)</f>
        <v>0</v>
      </c>
      <c r="BC661" s="90" t="n">
        <f aca="false">IF(AND(Y661=0,ISNUMBER(AF661)),AA661*AF661,0)</f>
        <v>0</v>
      </c>
      <c r="BD661" s="90" t="n">
        <f aca="false">IF(AND(Y661=0,ISNUMBER(AF661)),AA661,0)</f>
        <v>0</v>
      </c>
      <c r="BE661" s="90" t="n">
        <f aca="false">IF(ISNUMBER(H661),AA661*H661,0)</f>
        <v>0</v>
      </c>
      <c r="BF661" s="90" t="n">
        <f aca="false">IF(ISNUMBER(H661),AA661,0)</f>
        <v>0</v>
      </c>
      <c r="BG661" s="90" t="n">
        <f aca="false">IF(AND(Y661=0,ISNUMBER(AF661),ISNUMBER(Z661)),AA661*Z661,0)</f>
        <v>0</v>
      </c>
      <c r="BH661" s="90" t="n">
        <f aca="false">IF(AND(Y661=0,ISNUMBER(AF661),ISNUMBER(Z661)),AA661*AT661*MAX(Z661-1,0),0)</f>
        <v>0</v>
      </c>
      <c r="BI661" s="90" t="n">
        <f aca="false">IF(Y661=0,AA661,0)</f>
        <v>0</v>
      </c>
    </row>
    <row r="662" customFormat="false" ht="15" hidden="false" customHeight="false" outlineLevel="0" collapsed="false">
      <c r="A662" s="83" t="str">
        <f aca="false">IFERROR(IF(INDEX(원자료_잔고!$A$1:$EZ$1500,설정!$L$5+ROW()-1,설정!$L$8)&amp;""="0","",INDEX(원자료_잔고!$A$1:$EZ$1500,설정!$L$5+ROW()-1,설정!$L$8)&amp;""),"")</f>
        <v/>
      </c>
      <c r="B662" s="83" t="str">
        <f aca="false">IFERROR(IF(INDEX(원자료_잔고!$A$1:$EZ$1500,설정!$L$5+ROW()-1,설정!$L$7)&amp;""="0","",INDEX(원자료_잔고!$A$1:$EZ$1500,설정!$L$5+ROW()-1,설정!$L$7)&amp;""),"")</f>
        <v/>
      </c>
      <c r="C662" s="83" t="str">
        <f aca="false">IFERROR(IF(INDEX(원자료_잔고!$A$1:$EZ$1500,설정!$L$5+ROW()-1,설정!$L$9)&amp;""="0","",INDEX(원자료_잔고!$A$1:$EZ$1500,설정!$L$5+ROW()-1,설정!$L$9)&amp;""),"")</f>
        <v/>
      </c>
      <c r="D662" s="83" t="str">
        <f aca="false">IFERROR(IF(INDEX(원자료_잔고!$A$1:$EZ$1500,설정!$L$5+ROW()-1,설정!$L$10)&amp;""="0","",INDEX(원자료_잔고!$A$1:$EZ$1500,설정!$L$5+ROW()-1,설정!$L$10)&amp;""),"")</f>
        <v/>
      </c>
      <c r="E662" s="84" t="str">
        <f aca="false">IFERROR(IF(ISNUMBER(INDEX(원자료_잔고!$A$1:$EZ$1500,설정!$L$5+ROW()-1,설정!$L$11)),INDEX(원자료_잔고!$A$1:$EZ$1500,설정!$L$5+ROW()-1,설정!$L$11),""),"")</f>
        <v/>
      </c>
      <c r="F662" s="85" t="str">
        <f aca="false">IFERROR(IF(ISNUMBER(INDEX(원자료_잔고!$A$1:$EZ$1500,설정!$L$5+ROW()-1,설정!$L$12)),INDEX(원자료_잔고!$A$1:$EZ$1500,설정!$L$5+ROW()-1,설정!$L$12),""),"")</f>
        <v/>
      </c>
      <c r="G662" s="85" t="str">
        <f aca="false">IFERROR(IF(ISNUMBER(INDEX(원자료_잔고!$A$1:$EZ$1500,설정!$L$5+ROW()-1,설정!$L$13)),INDEX(원자료_잔고!$A$1:$EZ$1500,설정!$L$5+ROW()-1,설정!$L$13),""),"")</f>
        <v/>
      </c>
      <c r="H662" s="85" t="str">
        <f aca="false">IFERROR(IF(ISNUMBER(INDEX(원자료_잔고!$A$1:$EZ$1500,설정!$L$5+ROW()-1,설정!$L$14)),INDEX(원자료_잔고!$A$1:$EZ$1500,설정!$L$5+ROW()-1,설정!$L$14),""),"")</f>
        <v/>
      </c>
      <c r="I662" s="86" t="str">
        <f aca="false">IFERROR(IF(ISNUMBER(INDEX(원자료_잔고!$A$1:$EZ$1500,설정!$L$5+ROW()-1,설정!$L$15)),INDEX(원자료_잔고!$A$1:$EZ$1500,설정!$L$5+ROW()-1,설정!$L$15),""),"")</f>
        <v/>
      </c>
      <c r="J662" s="85" t="str">
        <f aca="false">IFERROR(IF(ISNUMBER(INDEX(원자료_잔고!$A$1:$EZ$1500,설정!$L$5+ROW()-1,설정!$L$16)),INDEX(원자료_잔고!$A$1:$EZ$1500,설정!$L$5+ROW()-1,설정!$L$16),""),"")</f>
        <v/>
      </c>
      <c r="K662" s="87" t="str">
        <f aca="false">IFERROR(IF(ISNUMBER(INDEX(원자료_잔고!$A$1:$EZ$1500,설정!$L$5+ROW()-1,설정!$L$17)),INDEX(원자료_잔고!$A$1:$EZ$1500,설정!$L$5+ROW()-1,설정!$L$17),""),"")</f>
        <v/>
      </c>
      <c r="L662" s="84" t="str">
        <f aca="false">IFERROR(IF(ISNUMBER(INDEX(원자료_잔고!$A$1:$EZ$1500,설정!$L$5+ROW()-1,설정!$L$18)),INDEX(원자료_잔고!$A$1:$EZ$1500,설정!$L$5+ROW()-1,설정!$L$18),""),"")</f>
        <v/>
      </c>
      <c r="M662" s="88" t="str">
        <f aca="false">IFERROR(IF(ISNUMBER(INDEX(원자료_잔고!$A$1:$EZ$1500,설정!$L$5+ROW()-1,설정!$L$19)),INDEX(원자료_잔고!$A$1:$EZ$1500,설정!$L$5+ROW()-1,설정!$L$19),""),"")</f>
        <v/>
      </c>
      <c r="N662" s="83" t="str">
        <f aca="false">IFERROR(IF(INDEX(원자료_잔고!$A$1:$EZ$1500,설정!$L$5+ROW()-1,설정!$L$21)&amp;""="0","",INDEX(원자료_잔고!$A$1:$EZ$1500,설정!$L$5+ROW()-1,설정!$L$21)&amp;""),"")</f>
        <v/>
      </c>
      <c r="O662" s="83" t="str">
        <f aca="false">IFERROR(IF(INDEX(원자료_잔고!$A$1:$EZ$1500,설정!$L$5+ROW()-1,설정!$L$22)&amp;""="0","",INDEX(원자료_잔고!$A$1:$EZ$1500,설정!$L$5+ROW()-1,설정!$L$22)&amp;""),"")</f>
        <v/>
      </c>
      <c r="P662" s="83" t="str">
        <f aca="false">IFERROR(IF(INDEX(원자료_잔고!$A$1:$EZ$1500,설정!$L$5+ROW()-1,설정!$L$23)&amp;""="0","",INDEX(원자료_잔고!$A$1:$EZ$1500,설정!$L$5+ROW()-1,설정!$L$23)&amp;""),"")</f>
        <v/>
      </c>
      <c r="Q662" s="89" t="n">
        <f aca="false">IF(AND($A662&lt;&gt;"",ISNUMBER(E662)),IF(E662&gt;0,1,0),0)</f>
        <v>0</v>
      </c>
      <c r="R662" s="43" t="str">
        <f aca="false">IF(Q662=1,UPPER(LEFT($A662,FIND(" ",$A662&amp;" ")-1)),"")</f>
        <v/>
      </c>
      <c r="S662" s="89" t="n">
        <f aca="false">IF(Q662=1,IF(OR(ISNUMBER(SEARCH("Float",$A662)),ISNUMBER(SEARCH("FRN",$A662))),1,0),0)</f>
        <v>0</v>
      </c>
      <c r="T662" s="43" t="str">
        <f aca="false">IF(AND(Q662=1,ISNUMBER(I662)),TEXT(I662,"yyyymmdd")&amp;"|"&amp;IF(S662=1,"F",TEXT(J662,"0.000")),"")</f>
        <v/>
      </c>
      <c r="U662" s="90" t="str">
        <f aca="false">IF(AND(Q662=1,ISNUMBER(I662)),(I662-설정!$C$4)/365.25,"")</f>
        <v/>
      </c>
      <c r="V662" s="43" t="str">
        <f aca="false">IF(Q662&lt;&gt;1,"",IF(ISNUMBER(U662),IF(U662&lt;=1,"1년 이하",IF(U662&lt;=2,"1-2년",IF(U662&lt;=3,"2-3년",IF(U662&lt;=4,"3-4년",IF(U662&lt;=5,"4-5년",IF(U662&lt;=7,"5-7년",IF(U662&lt;=10,"7-10년",IF(U662&lt;=20,"10-20년","20년 이상")))))))),"미분류"))</f>
        <v/>
      </c>
      <c r="W662" s="43" t="str">
        <f aca="false">IF(Q662&lt;&gt;1,"",IF(AB662&lt;&gt;"",INDEX(시장분석!$C:$C,AB662),IF(K662=1,"USD","비USD")))</f>
        <v/>
      </c>
      <c r="X662" s="91" t="n">
        <f aca="false">IF(Q662=1,E662*K662/1000000,0)</f>
        <v>0</v>
      </c>
      <c r="Y662" s="89" t="n">
        <f aca="false">IF(R662="T",1,0)</f>
        <v>0</v>
      </c>
      <c r="Z662" s="92" t="str">
        <f aca="false">IF(Q662&lt;&gt;1,"",IF(AD662=1,IF(ISNUMBER(U662),MAX(U662,0),H662),H662))</f>
        <v/>
      </c>
      <c r="AA662" s="91" t="n">
        <f aca="false">IF(Q662=1,IF(ISNUMBER(L662),L662,0)*K662/1000000,0)</f>
        <v>0</v>
      </c>
      <c r="AB662" s="89" t="str">
        <f aca="false">IF(Q662&lt;&gt;1,"",IFERROR(MATCH(VLOOKUP(B662,매핑!$H$4:$I$15,2,0),시장분석!$A$2:$A$601,0)+1,IFERROR(MATCH(R662&amp;"|"&amp;T662,시장분석!$V$2:$V$601,0)+1,IF(COUNTIF(시장분석!$U$2:$U$601,T662)=1,MATCH(T662,시장분석!$U$2:$U$601,0)+1,""))))</f>
        <v/>
      </c>
      <c r="AC662" s="89" t="n">
        <f aca="false">IF(Q662&lt;&gt;1,0,IF(OR(설정!$C$5="전체",AND(설정!$C$5="선택펀드",IFERROR(COUNTIFS(설정!$F$16:$F$36,C662,설정!$G$16:$G$36,"Y")+COUNTIFS(설정!$F$16:$F$36,VALUE(C662),설정!$G$16:$G$36,"Y"),0)&gt;0),C662&amp;""=설정!$C$5&amp;""),1,0))</f>
        <v>0</v>
      </c>
      <c r="AD662" s="89" t="n">
        <f aca="false">IF(Q662&lt;&gt;1,0,IF(OR(S662=1,IF(AB662="",FALSE(),INDEX(시장분석!$R:$R,AB662)=1)),1,0))</f>
        <v>0</v>
      </c>
      <c r="AE662" s="43" t="str">
        <f aca="false">IF(AB662="","",INDEX(시장분석!$A:$A,AB662))</f>
        <v/>
      </c>
      <c r="AF662" s="93" t="str">
        <f aca="false">IF(AB662="","",IF(ISNUMBER(IF(AB662="","",INDEX(시장분석!$E:$E,AB662))),IF(AB662="","",INDEX(시장분석!$E:$E,AB662)),""))</f>
        <v/>
      </c>
      <c r="AG662" s="43" t="str">
        <f aca="false">IF(Q662&lt;&gt;1,"",IF(AB662&lt;&gt;"",IF(AB662="","",INDEX(시장분석!$L:$L,AB662)),IFERROR(IF(VLOOKUP(R662,매핑!$A$4:$E$92,5,0)="","미분류",VLOOKUP(R662,매핑!$A$4:$E$92,5,0)),"미분류")))</f>
        <v/>
      </c>
      <c r="AH662" s="43" t="str">
        <f aca="false">IF(Q662&lt;&gt;1,"",IF(AB662&lt;&gt;"",IF(AB662="","",INDEX(시장분석!$N:$N,AB662)),IFERROR(IF(VLOOKUP(R662,매핑!$A$4:$E$92,4,0)="","미분류",VLOOKUP(R662,매핑!$A$4:$E$92,4,0)),"미분류")))</f>
        <v/>
      </c>
      <c r="AI662" s="43" t="str">
        <f aca="false">IF(Q662&lt;&gt;1,"",IFERROR(IF(VLOOKUP(R662,매핑!$A$4:$E$92,3,0)="","미분류",VLOOKUP(R662,매핑!$A$4:$E$92,3,0)),IF(AB662&lt;&gt;"",IF(AB662="","",INDEX(시장분석!$W:$W,AB662)),"미분류")))</f>
        <v/>
      </c>
      <c r="AJ662" s="43" t="str">
        <f aca="false">IF(Q662&lt;&gt;1,"",IFERROR(VLOOKUP(IF(N662&lt;&gt;"",N662,IF(P662&lt;&gt;"",P662,O662)),설정!$A$15:$D$47,2,0),""))</f>
        <v/>
      </c>
      <c r="AK662" s="43" t="str">
        <f aca="false">IF(Q662&lt;&gt;1,"",IF(AJ662="","무등급",IFERROR(VLOOKUP(AJ662,설정!$A$15:$D$47,3,0),"무등급")))</f>
        <v/>
      </c>
      <c r="AL662" s="89" t="n">
        <f aca="false">IF(AJ662="",99,IFERROR(VLOOKUP(AJ662,설정!$A$15:$D$47,4,0),99))</f>
        <v>99</v>
      </c>
      <c r="AM662" s="94" t="n">
        <f aca="false">IF(ISNUMBER(H662),AA662*1000000*H662/10000,0)</f>
        <v>0</v>
      </c>
      <c r="AN662" s="94" t="n">
        <f aca="false">IF(OR(Y662=1,NOT(ISNUMBER(Z662))),0,AA662*1000000*Z662/10000)</f>
        <v>0</v>
      </c>
      <c r="AO662" s="94" t="n">
        <f aca="false">IF(ISNUMBER(G662),AA662*1000000*G662/100,0)</f>
        <v>0</v>
      </c>
      <c r="AP662" s="94" t="n">
        <f aca="false">IF(ISNUMBER(M662),M662*K662,0)</f>
        <v>0</v>
      </c>
      <c r="AQ662" s="95" t="str">
        <f aca="false">IF(AB662="","",INDEX(시장분석!$AK:$AK,AB662))</f>
        <v/>
      </c>
      <c r="AR662" s="43" t="str">
        <f aca="false">IF(AB662="","-",IF(AB662="","",INDEX(시장분석!$AL:$AL,AB662)))</f>
        <v>-</v>
      </c>
      <c r="AS662" s="96" t="str">
        <f aca="false">IF(AB662="","",INDEX(시장분석!$AJ:$AJ,AB662))</f>
        <v/>
      </c>
      <c r="AT662" s="93" t="n">
        <f aca="false">IF(AB662="",0,IF(AB662="","",INDEX(시장분석!$AN:$AN,AB662)))</f>
        <v>0</v>
      </c>
      <c r="AU662" s="94" t="n">
        <f aca="false">IF(ISNUMBER(Z662),AT662/10000*MAX(Z662-1,0)*AA662*1000000,0)</f>
        <v>0</v>
      </c>
      <c r="AV662" s="94" t="n">
        <f aca="false">AO662+AU662</f>
        <v>0</v>
      </c>
      <c r="AW662" s="43" t="str">
        <f aca="false">IF(Q662&lt;&gt;1,"",TRIM(IF(AD662=1,"FRN ","")&amp;IF(AND(AL662&gt;=10,AL662&lt;99),"BBB0미만 ","")&amp;IF(AJ662="","등급없음 ","")&amp;IF(K662&lt;&gt;1,"비USD ","")&amp;IF(AND(AB662="",Y662=0),"시장데이터없음 ","")&amp;IF(AND(ISNUMBER(U662),U662&lt;0),"만기경과 ","")))</f>
        <v/>
      </c>
      <c r="AX662" s="90" t="n">
        <f aca="false">IF(Q662&lt;&gt;1,1,IF(스프레드쇼크!$C$4="Y",INDEX(스프레드쇼크!$B$12:$L$16,IFERROR(MATCH(AH662,스프레드쇼크!$A$12:$A$16,0),MATCH("목록외",스프레드쇼크!$A$12:$A$16,0)),IFERROR(MATCH(AG662,스프레드쇼크!$B$11:$L$11,0),MATCH("목록외",스프레드쇼크!$B$11:$L$11,0))),1))</f>
        <v>1</v>
      </c>
      <c r="AY662" s="90" t="n">
        <f aca="false">IF(스프레드쇼크!$C$5="Y",IF(ISNUMBER(AF662),MIN(스프레드쇼크!$C$7,MAX(스프레드쇼크!$C$6,AF662/스프레드쇼크!$C$8)),1),1)</f>
        <v>1</v>
      </c>
      <c r="AZ662" s="94" t="n">
        <f aca="false">AN662*AX662*AY662</f>
        <v>0</v>
      </c>
      <c r="BA662" s="90" t="n">
        <f aca="false">IF(ISNUMBER(G662),AA662*G662,0)</f>
        <v>0</v>
      </c>
      <c r="BB662" s="90" t="n">
        <f aca="false">IF(ISNUMBER(G662),AA662,0)</f>
        <v>0</v>
      </c>
      <c r="BC662" s="90" t="n">
        <f aca="false">IF(AND(Y662=0,ISNUMBER(AF662)),AA662*AF662,0)</f>
        <v>0</v>
      </c>
      <c r="BD662" s="90" t="n">
        <f aca="false">IF(AND(Y662=0,ISNUMBER(AF662)),AA662,0)</f>
        <v>0</v>
      </c>
      <c r="BE662" s="90" t="n">
        <f aca="false">IF(ISNUMBER(H662),AA662*H662,0)</f>
        <v>0</v>
      </c>
      <c r="BF662" s="90" t="n">
        <f aca="false">IF(ISNUMBER(H662),AA662,0)</f>
        <v>0</v>
      </c>
      <c r="BG662" s="90" t="n">
        <f aca="false">IF(AND(Y662=0,ISNUMBER(AF662),ISNUMBER(Z662)),AA662*Z662,0)</f>
        <v>0</v>
      </c>
      <c r="BH662" s="90" t="n">
        <f aca="false">IF(AND(Y662=0,ISNUMBER(AF662),ISNUMBER(Z662)),AA662*AT662*MAX(Z662-1,0),0)</f>
        <v>0</v>
      </c>
      <c r="BI662" s="90" t="n">
        <f aca="false">IF(Y662=0,AA662,0)</f>
        <v>0</v>
      </c>
    </row>
    <row r="663" customFormat="false" ht="15" hidden="false" customHeight="false" outlineLevel="0" collapsed="false">
      <c r="A663" s="83" t="str">
        <f aca="false">IFERROR(IF(INDEX(원자료_잔고!$A$1:$EZ$1500,설정!$L$5+ROW()-1,설정!$L$8)&amp;""="0","",INDEX(원자료_잔고!$A$1:$EZ$1500,설정!$L$5+ROW()-1,설정!$L$8)&amp;""),"")</f>
        <v/>
      </c>
      <c r="B663" s="83" t="str">
        <f aca="false">IFERROR(IF(INDEX(원자료_잔고!$A$1:$EZ$1500,설정!$L$5+ROW()-1,설정!$L$7)&amp;""="0","",INDEX(원자료_잔고!$A$1:$EZ$1500,설정!$L$5+ROW()-1,설정!$L$7)&amp;""),"")</f>
        <v/>
      </c>
      <c r="C663" s="83" t="str">
        <f aca="false">IFERROR(IF(INDEX(원자료_잔고!$A$1:$EZ$1500,설정!$L$5+ROW()-1,설정!$L$9)&amp;""="0","",INDEX(원자료_잔고!$A$1:$EZ$1500,설정!$L$5+ROW()-1,설정!$L$9)&amp;""),"")</f>
        <v/>
      </c>
      <c r="D663" s="83" t="str">
        <f aca="false">IFERROR(IF(INDEX(원자료_잔고!$A$1:$EZ$1500,설정!$L$5+ROW()-1,설정!$L$10)&amp;""="0","",INDEX(원자료_잔고!$A$1:$EZ$1500,설정!$L$5+ROW()-1,설정!$L$10)&amp;""),"")</f>
        <v/>
      </c>
      <c r="E663" s="84" t="str">
        <f aca="false">IFERROR(IF(ISNUMBER(INDEX(원자료_잔고!$A$1:$EZ$1500,설정!$L$5+ROW()-1,설정!$L$11)),INDEX(원자료_잔고!$A$1:$EZ$1500,설정!$L$5+ROW()-1,설정!$L$11),""),"")</f>
        <v/>
      </c>
      <c r="F663" s="85" t="str">
        <f aca="false">IFERROR(IF(ISNUMBER(INDEX(원자료_잔고!$A$1:$EZ$1500,설정!$L$5+ROW()-1,설정!$L$12)),INDEX(원자료_잔고!$A$1:$EZ$1500,설정!$L$5+ROW()-1,설정!$L$12),""),"")</f>
        <v/>
      </c>
      <c r="G663" s="85" t="str">
        <f aca="false">IFERROR(IF(ISNUMBER(INDEX(원자료_잔고!$A$1:$EZ$1500,설정!$L$5+ROW()-1,설정!$L$13)),INDEX(원자료_잔고!$A$1:$EZ$1500,설정!$L$5+ROW()-1,설정!$L$13),""),"")</f>
        <v/>
      </c>
      <c r="H663" s="85" t="str">
        <f aca="false">IFERROR(IF(ISNUMBER(INDEX(원자료_잔고!$A$1:$EZ$1500,설정!$L$5+ROW()-1,설정!$L$14)),INDEX(원자료_잔고!$A$1:$EZ$1500,설정!$L$5+ROW()-1,설정!$L$14),""),"")</f>
        <v/>
      </c>
      <c r="I663" s="86" t="str">
        <f aca="false">IFERROR(IF(ISNUMBER(INDEX(원자료_잔고!$A$1:$EZ$1500,설정!$L$5+ROW()-1,설정!$L$15)),INDEX(원자료_잔고!$A$1:$EZ$1500,설정!$L$5+ROW()-1,설정!$L$15),""),"")</f>
        <v/>
      </c>
      <c r="J663" s="85" t="str">
        <f aca="false">IFERROR(IF(ISNUMBER(INDEX(원자료_잔고!$A$1:$EZ$1500,설정!$L$5+ROW()-1,설정!$L$16)),INDEX(원자료_잔고!$A$1:$EZ$1500,설정!$L$5+ROW()-1,설정!$L$16),""),"")</f>
        <v/>
      </c>
      <c r="K663" s="87" t="str">
        <f aca="false">IFERROR(IF(ISNUMBER(INDEX(원자료_잔고!$A$1:$EZ$1500,설정!$L$5+ROW()-1,설정!$L$17)),INDEX(원자료_잔고!$A$1:$EZ$1500,설정!$L$5+ROW()-1,설정!$L$17),""),"")</f>
        <v/>
      </c>
      <c r="L663" s="84" t="str">
        <f aca="false">IFERROR(IF(ISNUMBER(INDEX(원자료_잔고!$A$1:$EZ$1500,설정!$L$5+ROW()-1,설정!$L$18)),INDEX(원자료_잔고!$A$1:$EZ$1500,설정!$L$5+ROW()-1,설정!$L$18),""),"")</f>
        <v/>
      </c>
      <c r="M663" s="88" t="str">
        <f aca="false">IFERROR(IF(ISNUMBER(INDEX(원자료_잔고!$A$1:$EZ$1500,설정!$L$5+ROW()-1,설정!$L$19)),INDEX(원자료_잔고!$A$1:$EZ$1500,설정!$L$5+ROW()-1,설정!$L$19),""),"")</f>
        <v/>
      </c>
      <c r="N663" s="83" t="str">
        <f aca="false">IFERROR(IF(INDEX(원자료_잔고!$A$1:$EZ$1500,설정!$L$5+ROW()-1,설정!$L$21)&amp;""="0","",INDEX(원자료_잔고!$A$1:$EZ$1500,설정!$L$5+ROW()-1,설정!$L$21)&amp;""),"")</f>
        <v/>
      </c>
      <c r="O663" s="83" t="str">
        <f aca="false">IFERROR(IF(INDEX(원자료_잔고!$A$1:$EZ$1500,설정!$L$5+ROW()-1,설정!$L$22)&amp;""="0","",INDEX(원자료_잔고!$A$1:$EZ$1500,설정!$L$5+ROW()-1,설정!$L$22)&amp;""),"")</f>
        <v/>
      </c>
      <c r="P663" s="83" t="str">
        <f aca="false">IFERROR(IF(INDEX(원자료_잔고!$A$1:$EZ$1500,설정!$L$5+ROW()-1,설정!$L$23)&amp;""="0","",INDEX(원자료_잔고!$A$1:$EZ$1500,설정!$L$5+ROW()-1,설정!$L$23)&amp;""),"")</f>
        <v/>
      </c>
      <c r="Q663" s="89" t="n">
        <f aca="false">IF(AND($A663&lt;&gt;"",ISNUMBER(E663)),IF(E663&gt;0,1,0),0)</f>
        <v>0</v>
      </c>
      <c r="R663" s="43" t="str">
        <f aca="false">IF(Q663=1,UPPER(LEFT($A663,FIND(" ",$A663&amp;" ")-1)),"")</f>
        <v/>
      </c>
      <c r="S663" s="89" t="n">
        <f aca="false">IF(Q663=1,IF(OR(ISNUMBER(SEARCH("Float",$A663)),ISNUMBER(SEARCH("FRN",$A663))),1,0),0)</f>
        <v>0</v>
      </c>
      <c r="T663" s="43" t="str">
        <f aca="false">IF(AND(Q663=1,ISNUMBER(I663)),TEXT(I663,"yyyymmdd")&amp;"|"&amp;IF(S663=1,"F",TEXT(J663,"0.000")),"")</f>
        <v/>
      </c>
      <c r="U663" s="90" t="str">
        <f aca="false">IF(AND(Q663=1,ISNUMBER(I663)),(I663-설정!$C$4)/365.25,"")</f>
        <v/>
      </c>
      <c r="V663" s="43" t="str">
        <f aca="false">IF(Q663&lt;&gt;1,"",IF(ISNUMBER(U663),IF(U663&lt;=1,"1년 이하",IF(U663&lt;=2,"1-2년",IF(U663&lt;=3,"2-3년",IF(U663&lt;=4,"3-4년",IF(U663&lt;=5,"4-5년",IF(U663&lt;=7,"5-7년",IF(U663&lt;=10,"7-10년",IF(U663&lt;=20,"10-20년","20년 이상")))))))),"미분류"))</f>
        <v/>
      </c>
      <c r="W663" s="43" t="str">
        <f aca="false">IF(Q663&lt;&gt;1,"",IF(AB663&lt;&gt;"",INDEX(시장분석!$C:$C,AB663),IF(K663=1,"USD","비USD")))</f>
        <v/>
      </c>
      <c r="X663" s="91" t="n">
        <f aca="false">IF(Q663=1,E663*K663/1000000,0)</f>
        <v>0</v>
      </c>
      <c r="Y663" s="89" t="n">
        <f aca="false">IF(R663="T",1,0)</f>
        <v>0</v>
      </c>
      <c r="Z663" s="92" t="str">
        <f aca="false">IF(Q663&lt;&gt;1,"",IF(AD663=1,IF(ISNUMBER(U663),MAX(U663,0),H663),H663))</f>
        <v/>
      </c>
      <c r="AA663" s="91" t="n">
        <f aca="false">IF(Q663=1,IF(ISNUMBER(L663),L663,0)*K663/1000000,0)</f>
        <v>0</v>
      </c>
      <c r="AB663" s="89" t="str">
        <f aca="false">IF(Q663&lt;&gt;1,"",IFERROR(MATCH(VLOOKUP(B663,매핑!$H$4:$I$15,2,0),시장분석!$A$2:$A$601,0)+1,IFERROR(MATCH(R663&amp;"|"&amp;T663,시장분석!$V$2:$V$601,0)+1,IF(COUNTIF(시장분석!$U$2:$U$601,T663)=1,MATCH(T663,시장분석!$U$2:$U$601,0)+1,""))))</f>
        <v/>
      </c>
      <c r="AC663" s="89" t="n">
        <f aca="false">IF(Q663&lt;&gt;1,0,IF(OR(설정!$C$5="전체",AND(설정!$C$5="선택펀드",IFERROR(COUNTIFS(설정!$F$16:$F$36,C663,설정!$G$16:$G$36,"Y")+COUNTIFS(설정!$F$16:$F$36,VALUE(C663),설정!$G$16:$G$36,"Y"),0)&gt;0),C663&amp;""=설정!$C$5&amp;""),1,0))</f>
        <v>0</v>
      </c>
      <c r="AD663" s="89" t="n">
        <f aca="false">IF(Q663&lt;&gt;1,0,IF(OR(S663=1,IF(AB663="",FALSE(),INDEX(시장분석!$R:$R,AB663)=1)),1,0))</f>
        <v>0</v>
      </c>
      <c r="AE663" s="43" t="str">
        <f aca="false">IF(AB663="","",INDEX(시장분석!$A:$A,AB663))</f>
        <v/>
      </c>
      <c r="AF663" s="93" t="str">
        <f aca="false">IF(AB663="","",IF(ISNUMBER(IF(AB663="","",INDEX(시장분석!$E:$E,AB663))),IF(AB663="","",INDEX(시장분석!$E:$E,AB663)),""))</f>
        <v/>
      </c>
      <c r="AG663" s="43" t="str">
        <f aca="false">IF(Q663&lt;&gt;1,"",IF(AB663&lt;&gt;"",IF(AB663="","",INDEX(시장분석!$L:$L,AB663)),IFERROR(IF(VLOOKUP(R663,매핑!$A$4:$E$92,5,0)="","미분류",VLOOKUP(R663,매핑!$A$4:$E$92,5,0)),"미분류")))</f>
        <v/>
      </c>
      <c r="AH663" s="43" t="str">
        <f aca="false">IF(Q663&lt;&gt;1,"",IF(AB663&lt;&gt;"",IF(AB663="","",INDEX(시장분석!$N:$N,AB663)),IFERROR(IF(VLOOKUP(R663,매핑!$A$4:$E$92,4,0)="","미분류",VLOOKUP(R663,매핑!$A$4:$E$92,4,0)),"미분류")))</f>
        <v/>
      </c>
      <c r="AI663" s="43" t="str">
        <f aca="false">IF(Q663&lt;&gt;1,"",IFERROR(IF(VLOOKUP(R663,매핑!$A$4:$E$92,3,0)="","미분류",VLOOKUP(R663,매핑!$A$4:$E$92,3,0)),IF(AB663&lt;&gt;"",IF(AB663="","",INDEX(시장분석!$W:$W,AB663)),"미분류")))</f>
        <v/>
      </c>
      <c r="AJ663" s="43" t="str">
        <f aca="false">IF(Q663&lt;&gt;1,"",IFERROR(VLOOKUP(IF(N663&lt;&gt;"",N663,IF(P663&lt;&gt;"",P663,O663)),설정!$A$15:$D$47,2,0),""))</f>
        <v/>
      </c>
      <c r="AK663" s="43" t="str">
        <f aca="false">IF(Q663&lt;&gt;1,"",IF(AJ663="","무등급",IFERROR(VLOOKUP(AJ663,설정!$A$15:$D$47,3,0),"무등급")))</f>
        <v/>
      </c>
      <c r="AL663" s="89" t="n">
        <f aca="false">IF(AJ663="",99,IFERROR(VLOOKUP(AJ663,설정!$A$15:$D$47,4,0),99))</f>
        <v>99</v>
      </c>
      <c r="AM663" s="94" t="n">
        <f aca="false">IF(ISNUMBER(H663),AA663*1000000*H663/10000,0)</f>
        <v>0</v>
      </c>
      <c r="AN663" s="94" t="n">
        <f aca="false">IF(OR(Y663=1,NOT(ISNUMBER(Z663))),0,AA663*1000000*Z663/10000)</f>
        <v>0</v>
      </c>
      <c r="AO663" s="94" t="n">
        <f aca="false">IF(ISNUMBER(G663),AA663*1000000*G663/100,0)</f>
        <v>0</v>
      </c>
      <c r="AP663" s="94" t="n">
        <f aca="false">IF(ISNUMBER(M663),M663*K663,0)</f>
        <v>0</v>
      </c>
      <c r="AQ663" s="95" t="str">
        <f aca="false">IF(AB663="","",INDEX(시장분석!$AK:$AK,AB663))</f>
        <v/>
      </c>
      <c r="AR663" s="43" t="str">
        <f aca="false">IF(AB663="","-",IF(AB663="","",INDEX(시장분석!$AL:$AL,AB663)))</f>
        <v>-</v>
      </c>
      <c r="AS663" s="96" t="str">
        <f aca="false">IF(AB663="","",INDEX(시장분석!$AJ:$AJ,AB663))</f>
        <v/>
      </c>
      <c r="AT663" s="93" t="n">
        <f aca="false">IF(AB663="",0,IF(AB663="","",INDEX(시장분석!$AN:$AN,AB663)))</f>
        <v>0</v>
      </c>
      <c r="AU663" s="94" t="n">
        <f aca="false">IF(ISNUMBER(Z663),AT663/10000*MAX(Z663-1,0)*AA663*1000000,0)</f>
        <v>0</v>
      </c>
      <c r="AV663" s="94" t="n">
        <f aca="false">AO663+AU663</f>
        <v>0</v>
      </c>
      <c r="AW663" s="43" t="str">
        <f aca="false">IF(Q663&lt;&gt;1,"",TRIM(IF(AD663=1,"FRN ","")&amp;IF(AND(AL663&gt;=10,AL663&lt;99),"BBB0미만 ","")&amp;IF(AJ663="","등급없음 ","")&amp;IF(K663&lt;&gt;1,"비USD ","")&amp;IF(AND(AB663="",Y663=0),"시장데이터없음 ","")&amp;IF(AND(ISNUMBER(U663),U663&lt;0),"만기경과 ","")))</f>
        <v/>
      </c>
      <c r="AX663" s="90" t="n">
        <f aca="false">IF(Q663&lt;&gt;1,1,IF(스프레드쇼크!$C$4="Y",INDEX(스프레드쇼크!$B$12:$L$16,IFERROR(MATCH(AH663,스프레드쇼크!$A$12:$A$16,0),MATCH("목록외",스프레드쇼크!$A$12:$A$16,0)),IFERROR(MATCH(AG663,스프레드쇼크!$B$11:$L$11,0),MATCH("목록외",스프레드쇼크!$B$11:$L$11,0))),1))</f>
        <v>1</v>
      </c>
      <c r="AY663" s="90" t="n">
        <f aca="false">IF(스프레드쇼크!$C$5="Y",IF(ISNUMBER(AF663),MIN(스프레드쇼크!$C$7,MAX(스프레드쇼크!$C$6,AF663/스프레드쇼크!$C$8)),1),1)</f>
        <v>1</v>
      </c>
      <c r="AZ663" s="94" t="n">
        <f aca="false">AN663*AX663*AY663</f>
        <v>0</v>
      </c>
      <c r="BA663" s="90" t="n">
        <f aca="false">IF(ISNUMBER(G663),AA663*G663,0)</f>
        <v>0</v>
      </c>
      <c r="BB663" s="90" t="n">
        <f aca="false">IF(ISNUMBER(G663),AA663,0)</f>
        <v>0</v>
      </c>
      <c r="BC663" s="90" t="n">
        <f aca="false">IF(AND(Y663=0,ISNUMBER(AF663)),AA663*AF663,0)</f>
        <v>0</v>
      </c>
      <c r="BD663" s="90" t="n">
        <f aca="false">IF(AND(Y663=0,ISNUMBER(AF663)),AA663,0)</f>
        <v>0</v>
      </c>
      <c r="BE663" s="90" t="n">
        <f aca="false">IF(ISNUMBER(H663),AA663*H663,0)</f>
        <v>0</v>
      </c>
      <c r="BF663" s="90" t="n">
        <f aca="false">IF(ISNUMBER(H663),AA663,0)</f>
        <v>0</v>
      </c>
      <c r="BG663" s="90" t="n">
        <f aca="false">IF(AND(Y663=0,ISNUMBER(AF663),ISNUMBER(Z663)),AA663*Z663,0)</f>
        <v>0</v>
      </c>
      <c r="BH663" s="90" t="n">
        <f aca="false">IF(AND(Y663=0,ISNUMBER(AF663),ISNUMBER(Z663)),AA663*AT663*MAX(Z663-1,0),0)</f>
        <v>0</v>
      </c>
      <c r="BI663" s="90" t="n">
        <f aca="false">IF(Y663=0,AA663,0)</f>
        <v>0</v>
      </c>
    </row>
    <row r="664" customFormat="false" ht="15" hidden="false" customHeight="false" outlineLevel="0" collapsed="false">
      <c r="A664" s="83" t="str">
        <f aca="false">IFERROR(IF(INDEX(원자료_잔고!$A$1:$EZ$1500,설정!$L$5+ROW()-1,설정!$L$8)&amp;""="0","",INDEX(원자료_잔고!$A$1:$EZ$1500,설정!$L$5+ROW()-1,설정!$L$8)&amp;""),"")</f>
        <v/>
      </c>
      <c r="B664" s="83" t="str">
        <f aca="false">IFERROR(IF(INDEX(원자료_잔고!$A$1:$EZ$1500,설정!$L$5+ROW()-1,설정!$L$7)&amp;""="0","",INDEX(원자료_잔고!$A$1:$EZ$1500,설정!$L$5+ROW()-1,설정!$L$7)&amp;""),"")</f>
        <v/>
      </c>
      <c r="C664" s="83" t="str">
        <f aca="false">IFERROR(IF(INDEX(원자료_잔고!$A$1:$EZ$1500,설정!$L$5+ROW()-1,설정!$L$9)&amp;""="0","",INDEX(원자료_잔고!$A$1:$EZ$1500,설정!$L$5+ROW()-1,설정!$L$9)&amp;""),"")</f>
        <v/>
      </c>
      <c r="D664" s="83" t="str">
        <f aca="false">IFERROR(IF(INDEX(원자료_잔고!$A$1:$EZ$1500,설정!$L$5+ROW()-1,설정!$L$10)&amp;""="0","",INDEX(원자료_잔고!$A$1:$EZ$1500,설정!$L$5+ROW()-1,설정!$L$10)&amp;""),"")</f>
        <v/>
      </c>
      <c r="E664" s="84" t="str">
        <f aca="false">IFERROR(IF(ISNUMBER(INDEX(원자료_잔고!$A$1:$EZ$1500,설정!$L$5+ROW()-1,설정!$L$11)),INDEX(원자료_잔고!$A$1:$EZ$1500,설정!$L$5+ROW()-1,설정!$L$11),""),"")</f>
        <v/>
      </c>
      <c r="F664" s="85" t="str">
        <f aca="false">IFERROR(IF(ISNUMBER(INDEX(원자료_잔고!$A$1:$EZ$1500,설정!$L$5+ROW()-1,설정!$L$12)),INDEX(원자료_잔고!$A$1:$EZ$1500,설정!$L$5+ROW()-1,설정!$L$12),""),"")</f>
        <v/>
      </c>
      <c r="G664" s="85" t="str">
        <f aca="false">IFERROR(IF(ISNUMBER(INDEX(원자료_잔고!$A$1:$EZ$1500,설정!$L$5+ROW()-1,설정!$L$13)),INDEX(원자료_잔고!$A$1:$EZ$1500,설정!$L$5+ROW()-1,설정!$L$13),""),"")</f>
        <v/>
      </c>
      <c r="H664" s="85" t="str">
        <f aca="false">IFERROR(IF(ISNUMBER(INDEX(원자료_잔고!$A$1:$EZ$1500,설정!$L$5+ROW()-1,설정!$L$14)),INDEX(원자료_잔고!$A$1:$EZ$1500,설정!$L$5+ROW()-1,설정!$L$14),""),"")</f>
        <v/>
      </c>
      <c r="I664" s="86" t="str">
        <f aca="false">IFERROR(IF(ISNUMBER(INDEX(원자료_잔고!$A$1:$EZ$1500,설정!$L$5+ROW()-1,설정!$L$15)),INDEX(원자료_잔고!$A$1:$EZ$1500,설정!$L$5+ROW()-1,설정!$L$15),""),"")</f>
        <v/>
      </c>
      <c r="J664" s="85" t="str">
        <f aca="false">IFERROR(IF(ISNUMBER(INDEX(원자료_잔고!$A$1:$EZ$1500,설정!$L$5+ROW()-1,설정!$L$16)),INDEX(원자료_잔고!$A$1:$EZ$1500,설정!$L$5+ROW()-1,설정!$L$16),""),"")</f>
        <v/>
      </c>
      <c r="K664" s="87" t="str">
        <f aca="false">IFERROR(IF(ISNUMBER(INDEX(원자료_잔고!$A$1:$EZ$1500,설정!$L$5+ROW()-1,설정!$L$17)),INDEX(원자료_잔고!$A$1:$EZ$1500,설정!$L$5+ROW()-1,설정!$L$17),""),"")</f>
        <v/>
      </c>
      <c r="L664" s="84" t="str">
        <f aca="false">IFERROR(IF(ISNUMBER(INDEX(원자료_잔고!$A$1:$EZ$1500,설정!$L$5+ROW()-1,설정!$L$18)),INDEX(원자료_잔고!$A$1:$EZ$1500,설정!$L$5+ROW()-1,설정!$L$18),""),"")</f>
        <v/>
      </c>
      <c r="M664" s="88" t="str">
        <f aca="false">IFERROR(IF(ISNUMBER(INDEX(원자료_잔고!$A$1:$EZ$1500,설정!$L$5+ROW()-1,설정!$L$19)),INDEX(원자료_잔고!$A$1:$EZ$1500,설정!$L$5+ROW()-1,설정!$L$19),""),"")</f>
        <v/>
      </c>
      <c r="N664" s="83" t="str">
        <f aca="false">IFERROR(IF(INDEX(원자료_잔고!$A$1:$EZ$1500,설정!$L$5+ROW()-1,설정!$L$21)&amp;""="0","",INDEX(원자료_잔고!$A$1:$EZ$1500,설정!$L$5+ROW()-1,설정!$L$21)&amp;""),"")</f>
        <v/>
      </c>
      <c r="O664" s="83" t="str">
        <f aca="false">IFERROR(IF(INDEX(원자료_잔고!$A$1:$EZ$1500,설정!$L$5+ROW()-1,설정!$L$22)&amp;""="0","",INDEX(원자료_잔고!$A$1:$EZ$1500,설정!$L$5+ROW()-1,설정!$L$22)&amp;""),"")</f>
        <v/>
      </c>
      <c r="P664" s="83" t="str">
        <f aca="false">IFERROR(IF(INDEX(원자료_잔고!$A$1:$EZ$1500,설정!$L$5+ROW()-1,설정!$L$23)&amp;""="0","",INDEX(원자료_잔고!$A$1:$EZ$1500,설정!$L$5+ROW()-1,설정!$L$23)&amp;""),"")</f>
        <v/>
      </c>
      <c r="Q664" s="89" t="n">
        <f aca="false">IF(AND($A664&lt;&gt;"",ISNUMBER(E664)),IF(E664&gt;0,1,0),0)</f>
        <v>0</v>
      </c>
      <c r="R664" s="43" t="str">
        <f aca="false">IF(Q664=1,UPPER(LEFT($A664,FIND(" ",$A664&amp;" ")-1)),"")</f>
        <v/>
      </c>
      <c r="S664" s="89" t="n">
        <f aca="false">IF(Q664=1,IF(OR(ISNUMBER(SEARCH("Float",$A664)),ISNUMBER(SEARCH("FRN",$A664))),1,0),0)</f>
        <v>0</v>
      </c>
      <c r="T664" s="43" t="str">
        <f aca="false">IF(AND(Q664=1,ISNUMBER(I664)),TEXT(I664,"yyyymmdd")&amp;"|"&amp;IF(S664=1,"F",TEXT(J664,"0.000")),"")</f>
        <v/>
      </c>
      <c r="U664" s="90" t="str">
        <f aca="false">IF(AND(Q664=1,ISNUMBER(I664)),(I664-설정!$C$4)/365.25,"")</f>
        <v/>
      </c>
      <c r="V664" s="43" t="str">
        <f aca="false">IF(Q664&lt;&gt;1,"",IF(ISNUMBER(U664),IF(U664&lt;=1,"1년 이하",IF(U664&lt;=2,"1-2년",IF(U664&lt;=3,"2-3년",IF(U664&lt;=4,"3-4년",IF(U664&lt;=5,"4-5년",IF(U664&lt;=7,"5-7년",IF(U664&lt;=10,"7-10년",IF(U664&lt;=20,"10-20년","20년 이상")))))))),"미분류"))</f>
        <v/>
      </c>
      <c r="W664" s="43" t="str">
        <f aca="false">IF(Q664&lt;&gt;1,"",IF(AB664&lt;&gt;"",INDEX(시장분석!$C:$C,AB664),IF(K664=1,"USD","비USD")))</f>
        <v/>
      </c>
      <c r="X664" s="91" t="n">
        <f aca="false">IF(Q664=1,E664*K664/1000000,0)</f>
        <v>0</v>
      </c>
      <c r="Y664" s="89" t="n">
        <f aca="false">IF(R664="T",1,0)</f>
        <v>0</v>
      </c>
      <c r="Z664" s="92" t="str">
        <f aca="false">IF(Q664&lt;&gt;1,"",IF(AD664=1,IF(ISNUMBER(U664),MAX(U664,0),H664),H664))</f>
        <v/>
      </c>
      <c r="AA664" s="91" t="n">
        <f aca="false">IF(Q664=1,IF(ISNUMBER(L664),L664,0)*K664/1000000,0)</f>
        <v>0</v>
      </c>
      <c r="AB664" s="89" t="str">
        <f aca="false">IF(Q664&lt;&gt;1,"",IFERROR(MATCH(VLOOKUP(B664,매핑!$H$4:$I$15,2,0),시장분석!$A$2:$A$601,0)+1,IFERROR(MATCH(R664&amp;"|"&amp;T664,시장분석!$V$2:$V$601,0)+1,IF(COUNTIF(시장분석!$U$2:$U$601,T664)=1,MATCH(T664,시장분석!$U$2:$U$601,0)+1,""))))</f>
        <v/>
      </c>
      <c r="AC664" s="89" t="n">
        <f aca="false">IF(Q664&lt;&gt;1,0,IF(OR(설정!$C$5="전체",AND(설정!$C$5="선택펀드",IFERROR(COUNTIFS(설정!$F$16:$F$36,C664,설정!$G$16:$G$36,"Y")+COUNTIFS(설정!$F$16:$F$36,VALUE(C664),설정!$G$16:$G$36,"Y"),0)&gt;0),C664&amp;""=설정!$C$5&amp;""),1,0))</f>
        <v>0</v>
      </c>
      <c r="AD664" s="89" t="n">
        <f aca="false">IF(Q664&lt;&gt;1,0,IF(OR(S664=1,IF(AB664="",FALSE(),INDEX(시장분석!$R:$R,AB664)=1)),1,0))</f>
        <v>0</v>
      </c>
      <c r="AE664" s="43" t="str">
        <f aca="false">IF(AB664="","",INDEX(시장분석!$A:$A,AB664))</f>
        <v/>
      </c>
      <c r="AF664" s="93" t="str">
        <f aca="false">IF(AB664="","",IF(ISNUMBER(IF(AB664="","",INDEX(시장분석!$E:$E,AB664))),IF(AB664="","",INDEX(시장분석!$E:$E,AB664)),""))</f>
        <v/>
      </c>
      <c r="AG664" s="43" t="str">
        <f aca="false">IF(Q664&lt;&gt;1,"",IF(AB664&lt;&gt;"",IF(AB664="","",INDEX(시장분석!$L:$L,AB664)),IFERROR(IF(VLOOKUP(R664,매핑!$A$4:$E$92,5,0)="","미분류",VLOOKUP(R664,매핑!$A$4:$E$92,5,0)),"미분류")))</f>
        <v/>
      </c>
      <c r="AH664" s="43" t="str">
        <f aca="false">IF(Q664&lt;&gt;1,"",IF(AB664&lt;&gt;"",IF(AB664="","",INDEX(시장분석!$N:$N,AB664)),IFERROR(IF(VLOOKUP(R664,매핑!$A$4:$E$92,4,0)="","미분류",VLOOKUP(R664,매핑!$A$4:$E$92,4,0)),"미분류")))</f>
        <v/>
      </c>
      <c r="AI664" s="43" t="str">
        <f aca="false">IF(Q664&lt;&gt;1,"",IFERROR(IF(VLOOKUP(R664,매핑!$A$4:$E$92,3,0)="","미분류",VLOOKUP(R664,매핑!$A$4:$E$92,3,0)),IF(AB664&lt;&gt;"",IF(AB664="","",INDEX(시장분석!$W:$W,AB664)),"미분류")))</f>
        <v/>
      </c>
      <c r="AJ664" s="43" t="str">
        <f aca="false">IF(Q664&lt;&gt;1,"",IFERROR(VLOOKUP(IF(N664&lt;&gt;"",N664,IF(P664&lt;&gt;"",P664,O664)),설정!$A$15:$D$47,2,0),""))</f>
        <v/>
      </c>
      <c r="AK664" s="43" t="str">
        <f aca="false">IF(Q664&lt;&gt;1,"",IF(AJ664="","무등급",IFERROR(VLOOKUP(AJ664,설정!$A$15:$D$47,3,0),"무등급")))</f>
        <v/>
      </c>
      <c r="AL664" s="89" t="n">
        <f aca="false">IF(AJ664="",99,IFERROR(VLOOKUP(AJ664,설정!$A$15:$D$47,4,0),99))</f>
        <v>99</v>
      </c>
      <c r="AM664" s="94" t="n">
        <f aca="false">IF(ISNUMBER(H664),AA664*1000000*H664/10000,0)</f>
        <v>0</v>
      </c>
      <c r="AN664" s="94" t="n">
        <f aca="false">IF(OR(Y664=1,NOT(ISNUMBER(Z664))),0,AA664*1000000*Z664/10000)</f>
        <v>0</v>
      </c>
      <c r="AO664" s="94" t="n">
        <f aca="false">IF(ISNUMBER(G664),AA664*1000000*G664/100,0)</f>
        <v>0</v>
      </c>
      <c r="AP664" s="94" t="n">
        <f aca="false">IF(ISNUMBER(M664),M664*K664,0)</f>
        <v>0</v>
      </c>
      <c r="AQ664" s="95" t="str">
        <f aca="false">IF(AB664="","",INDEX(시장분석!$AK:$AK,AB664))</f>
        <v/>
      </c>
      <c r="AR664" s="43" t="str">
        <f aca="false">IF(AB664="","-",IF(AB664="","",INDEX(시장분석!$AL:$AL,AB664)))</f>
        <v>-</v>
      </c>
      <c r="AS664" s="96" t="str">
        <f aca="false">IF(AB664="","",INDEX(시장분석!$AJ:$AJ,AB664))</f>
        <v/>
      </c>
      <c r="AT664" s="93" t="n">
        <f aca="false">IF(AB664="",0,IF(AB664="","",INDEX(시장분석!$AN:$AN,AB664)))</f>
        <v>0</v>
      </c>
      <c r="AU664" s="94" t="n">
        <f aca="false">IF(ISNUMBER(Z664),AT664/10000*MAX(Z664-1,0)*AA664*1000000,0)</f>
        <v>0</v>
      </c>
      <c r="AV664" s="94" t="n">
        <f aca="false">AO664+AU664</f>
        <v>0</v>
      </c>
      <c r="AW664" s="43" t="str">
        <f aca="false">IF(Q664&lt;&gt;1,"",TRIM(IF(AD664=1,"FRN ","")&amp;IF(AND(AL664&gt;=10,AL664&lt;99),"BBB0미만 ","")&amp;IF(AJ664="","등급없음 ","")&amp;IF(K664&lt;&gt;1,"비USD ","")&amp;IF(AND(AB664="",Y664=0),"시장데이터없음 ","")&amp;IF(AND(ISNUMBER(U664),U664&lt;0),"만기경과 ","")))</f>
        <v/>
      </c>
      <c r="AX664" s="90" t="n">
        <f aca="false">IF(Q664&lt;&gt;1,1,IF(스프레드쇼크!$C$4="Y",INDEX(스프레드쇼크!$B$12:$L$16,IFERROR(MATCH(AH664,스프레드쇼크!$A$12:$A$16,0),MATCH("목록외",스프레드쇼크!$A$12:$A$16,0)),IFERROR(MATCH(AG664,스프레드쇼크!$B$11:$L$11,0),MATCH("목록외",스프레드쇼크!$B$11:$L$11,0))),1))</f>
        <v>1</v>
      </c>
      <c r="AY664" s="90" t="n">
        <f aca="false">IF(스프레드쇼크!$C$5="Y",IF(ISNUMBER(AF664),MIN(스프레드쇼크!$C$7,MAX(스프레드쇼크!$C$6,AF664/스프레드쇼크!$C$8)),1),1)</f>
        <v>1</v>
      </c>
      <c r="AZ664" s="94" t="n">
        <f aca="false">AN664*AX664*AY664</f>
        <v>0</v>
      </c>
      <c r="BA664" s="90" t="n">
        <f aca="false">IF(ISNUMBER(G664),AA664*G664,0)</f>
        <v>0</v>
      </c>
      <c r="BB664" s="90" t="n">
        <f aca="false">IF(ISNUMBER(G664),AA664,0)</f>
        <v>0</v>
      </c>
      <c r="BC664" s="90" t="n">
        <f aca="false">IF(AND(Y664=0,ISNUMBER(AF664)),AA664*AF664,0)</f>
        <v>0</v>
      </c>
      <c r="BD664" s="90" t="n">
        <f aca="false">IF(AND(Y664=0,ISNUMBER(AF664)),AA664,0)</f>
        <v>0</v>
      </c>
      <c r="BE664" s="90" t="n">
        <f aca="false">IF(ISNUMBER(H664),AA664*H664,0)</f>
        <v>0</v>
      </c>
      <c r="BF664" s="90" t="n">
        <f aca="false">IF(ISNUMBER(H664),AA664,0)</f>
        <v>0</v>
      </c>
      <c r="BG664" s="90" t="n">
        <f aca="false">IF(AND(Y664=0,ISNUMBER(AF664),ISNUMBER(Z664)),AA664*Z664,0)</f>
        <v>0</v>
      </c>
      <c r="BH664" s="90" t="n">
        <f aca="false">IF(AND(Y664=0,ISNUMBER(AF664),ISNUMBER(Z664)),AA664*AT664*MAX(Z664-1,0),0)</f>
        <v>0</v>
      </c>
      <c r="BI664" s="90" t="n">
        <f aca="false">IF(Y664=0,AA664,0)</f>
        <v>0</v>
      </c>
    </row>
    <row r="665" customFormat="false" ht="15" hidden="false" customHeight="false" outlineLevel="0" collapsed="false">
      <c r="A665" s="83" t="str">
        <f aca="false">IFERROR(IF(INDEX(원자료_잔고!$A$1:$EZ$1500,설정!$L$5+ROW()-1,설정!$L$8)&amp;""="0","",INDEX(원자료_잔고!$A$1:$EZ$1500,설정!$L$5+ROW()-1,설정!$L$8)&amp;""),"")</f>
        <v/>
      </c>
      <c r="B665" s="83" t="str">
        <f aca="false">IFERROR(IF(INDEX(원자료_잔고!$A$1:$EZ$1500,설정!$L$5+ROW()-1,설정!$L$7)&amp;""="0","",INDEX(원자료_잔고!$A$1:$EZ$1500,설정!$L$5+ROW()-1,설정!$L$7)&amp;""),"")</f>
        <v/>
      </c>
      <c r="C665" s="83" t="str">
        <f aca="false">IFERROR(IF(INDEX(원자료_잔고!$A$1:$EZ$1500,설정!$L$5+ROW()-1,설정!$L$9)&amp;""="0","",INDEX(원자료_잔고!$A$1:$EZ$1500,설정!$L$5+ROW()-1,설정!$L$9)&amp;""),"")</f>
        <v/>
      </c>
      <c r="D665" s="83" t="str">
        <f aca="false">IFERROR(IF(INDEX(원자료_잔고!$A$1:$EZ$1500,설정!$L$5+ROW()-1,설정!$L$10)&amp;""="0","",INDEX(원자료_잔고!$A$1:$EZ$1500,설정!$L$5+ROW()-1,설정!$L$10)&amp;""),"")</f>
        <v/>
      </c>
      <c r="E665" s="84" t="str">
        <f aca="false">IFERROR(IF(ISNUMBER(INDEX(원자료_잔고!$A$1:$EZ$1500,설정!$L$5+ROW()-1,설정!$L$11)),INDEX(원자료_잔고!$A$1:$EZ$1500,설정!$L$5+ROW()-1,설정!$L$11),""),"")</f>
        <v/>
      </c>
      <c r="F665" s="85" t="str">
        <f aca="false">IFERROR(IF(ISNUMBER(INDEX(원자료_잔고!$A$1:$EZ$1500,설정!$L$5+ROW()-1,설정!$L$12)),INDEX(원자료_잔고!$A$1:$EZ$1500,설정!$L$5+ROW()-1,설정!$L$12),""),"")</f>
        <v/>
      </c>
      <c r="G665" s="85" t="str">
        <f aca="false">IFERROR(IF(ISNUMBER(INDEX(원자료_잔고!$A$1:$EZ$1500,설정!$L$5+ROW()-1,설정!$L$13)),INDEX(원자료_잔고!$A$1:$EZ$1500,설정!$L$5+ROW()-1,설정!$L$13),""),"")</f>
        <v/>
      </c>
      <c r="H665" s="85" t="str">
        <f aca="false">IFERROR(IF(ISNUMBER(INDEX(원자료_잔고!$A$1:$EZ$1500,설정!$L$5+ROW()-1,설정!$L$14)),INDEX(원자료_잔고!$A$1:$EZ$1500,설정!$L$5+ROW()-1,설정!$L$14),""),"")</f>
        <v/>
      </c>
      <c r="I665" s="86" t="str">
        <f aca="false">IFERROR(IF(ISNUMBER(INDEX(원자료_잔고!$A$1:$EZ$1500,설정!$L$5+ROW()-1,설정!$L$15)),INDEX(원자료_잔고!$A$1:$EZ$1500,설정!$L$5+ROW()-1,설정!$L$15),""),"")</f>
        <v/>
      </c>
      <c r="J665" s="85" t="str">
        <f aca="false">IFERROR(IF(ISNUMBER(INDEX(원자료_잔고!$A$1:$EZ$1500,설정!$L$5+ROW()-1,설정!$L$16)),INDEX(원자료_잔고!$A$1:$EZ$1500,설정!$L$5+ROW()-1,설정!$L$16),""),"")</f>
        <v/>
      </c>
      <c r="K665" s="87" t="str">
        <f aca="false">IFERROR(IF(ISNUMBER(INDEX(원자료_잔고!$A$1:$EZ$1500,설정!$L$5+ROW()-1,설정!$L$17)),INDEX(원자료_잔고!$A$1:$EZ$1500,설정!$L$5+ROW()-1,설정!$L$17),""),"")</f>
        <v/>
      </c>
      <c r="L665" s="84" t="str">
        <f aca="false">IFERROR(IF(ISNUMBER(INDEX(원자료_잔고!$A$1:$EZ$1500,설정!$L$5+ROW()-1,설정!$L$18)),INDEX(원자료_잔고!$A$1:$EZ$1500,설정!$L$5+ROW()-1,설정!$L$18),""),"")</f>
        <v/>
      </c>
      <c r="M665" s="88" t="str">
        <f aca="false">IFERROR(IF(ISNUMBER(INDEX(원자료_잔고!$A$1:$EZ$1500,설정!$L$5+ROW()-1,설정!$L$19)),INDEX(원자료_잔고!$A$1:$EZ$1500,설정!$L$5+ROW()-1,설정!$L$19),""),"")</f>
        <v/>
      </c>
      <c r="N665" s="83" t="str">
        <f aca="false">IFERROR(IF(INDEX(원자료_잔고!$A$1:$EZ$1500,설정!$L$5+ROW()-1,설정!$L$21)&amp;""="0","",INDEX(원자료_잔고!$A$1:$EZ$1500,설정!$L$5+ROW()-1,설정!$L$21)&amp;""),"")</f>
        <v/>
      </c>
      <c r="O665" s="83" t="str">
        <f aca="false">IFERROR(IF(INDEX(원자료_잔고!$A$1:$EZ$1500,설정!$L$5+ROW()-1,설정!$L$22)&amp;""="0","",INDEX(원자료_잔고!$A$1:$EZ$1500,설정!$L$5+ROW()-1,설정!$L$22)&amp;""),"")</f>
        <v/>
      </c>
      <c r="P665" s="83" t="str">
        <f aca="false">IFERROR(IF(INDEX(원자료_잔고!$A$1:$EZ$1500,설정!$L$5+ROW()-1,설정!$L$23)&amp;""="0","",INDEX(원자료_잔고!$A$1:$EZ$1500,설정!$L$5+ROW()-1,설정!$L$23)&amp;""),"")</f>
        <v/>
      </c>
      <c r="Q665" s="89" t="n">
        <f aca="false">IF(AND($A665&lt;&gt;"",ISNUMBER(E665)),IF(E665&gt;0,1,0),0)</f>
        <v>0</v>
      </c>
      <c r="R665" s="43" t="str">
        <f aca="false">IF(Q665=1,UPPER(LEFT($A665,FIND(" ",$A665&amp;" ")-1)),"")</f>
        <v/>
      </c>
      <c r="S665" s="89" t="n">
        <f aca="false">IF(Q665=1,IF(OR(ISNUMBER(SEARCH("Float",$A665)),ISNUMBER(SEARCH("FRN",$A665))),1,0),0)</f>
        <v>0</v>
      </c>
      <c r="T665" s="43" t="str">
        <f aca="false">IF(AND(Q665=1,ISNUMBER(I665)),TEXT(I665,"yyyymmdd")&amp;"|"&amp;IF(S665=1,"F",TEXT(J665,"0.000")),"")</f>
        <v/>
      </c>
      <c r="U665" s="90" t="str">
        <f aca="false">IF(AND(Q665=1,ISNUMBER(I665)),(I665-설정!$C$4)/365.25,"")</f>
        <v/>
      </c>
      <c r="V665" s="43" t="str">
        <f aca="false">IF(Q665&lt;&gt;1,"",IF(ISNUMBER(U665),IF(U665&lt;=1,"1년 이하",IF(U665&lt;=2,"1-2년",IF(U665&lt;=3,"2-3년",IF(U665&lt;=4,"3-4년",IF(U665&lt;=5,"4-5년",IF(U665&lt;=7,"5-7년",IF(U665&lt;=10,"7-10년",IF(U665&lt;=20,"10-20년","20년 이상")))))))),"미분류"))</f>
        <v/>
      </c>
      <c r="W665" s="43" t="str">
        <f aca="false">IF(Q665&lt;&gt;1,"",IF(AB665&lt;&gt;"",INDEX(시장분석!$C:$C,AB665),IF(K665=1,"USD","비USD")))</f>
        <v/>
      </c>
      <c r="X665" s="91" t="n">
        <f aca="false">IF(Q665=1,E665*K665/1000000,0)</f>
        <v>0</v>
      </c>
      <c r="Y665" s="89" t="n">
        <f aca="false">IF(R665="T",1,0)</f>
        <v>0</v>
      </c>
      <c r="Z665" s="92" t="str">
        <f aca="false">IF(Q665&lt;&gt;1,"",IF(AD665=1,IF(ISNUMBER(U665),MAX(U665,0),H665),H665))</f>
        <v/>
      </c>
      <c r="AA665" s="91" t="n">
        <f aca="false">IF(Q665=1,IF(ISNUMBER(L665),L665,0)*K665/1000000,0)</f>
        <v>0</v>
      </c>
      <c r="AB665" s="89" t="str">
        <f aca="false">IF(Q665&lt;&gt;1,"",IFERROR(MATCH(VLOOKUP(B665,매핑!$H$4:$I$15,2,0),시장분석!$A$2:$A$601,0)+1,IFERROR(MATCH(R665&amp;"|"&amp;T665,시장분석!$V$2:$V$601,0)+1,IF(COUNTIF(시장분석!$U$2:$U$601,T665)=1,MATCH(T665,시장분석!$U$2:$U$601,0)+1,""))))</f>
        <v/>
      </c>
      <c r="AC665" s="89" t="n">
        <f aca="false">IF(Q665&lt;&gt;1,0,IF(OR(설정!$C$5="전체",AND(설정!$C$5="선택펀드",IFERROR(COUNTIFS(설정!$F$16:$F$36,C665,설정!$G$16:$G$36,"Y")+COUNTIFS(설정!$F$16:$F$36,VALUE(C665),설정!$G$16:$G$36,"Y"),0)&gt;0),C665&amp;""=설정!$C$5&amp;""),1,0))</f>
        <v>0</v>
      </c>
      <c r="AD665" s="89" t="n">
        <f aca="false">IF(Q665&lt;&gt;1,0,IF(OR(S665=1,IF(AB665="",FALSE(),INDEX(시장분석!$R:$R,AB665)=1)),1,0))</f>
        <v>0</v>
      </c>
      <c r="AE665" s="43" t="str">
        <f aca="false">IF(AB665="","",INDEX(시장분석!$A:$A,AB665))</f>
        <v/>
      </c>
      <c r="AF665" s="93" t="str">
        <f aca="false">IF(AB665="","",IF(ISNUMBER(IF(AB665="","",INDEX(시장분석!$E:$E,AB665))),IF(AB665="","",INDEX(시장분석!$E:$E,AB665)),""))</f>
        <v/>
      </c>
      <c r="AG665" s="43" t="str">
        <f aca="false">IF(Q665&lt;&gt;1,"",IF(AB665&lt;&gt;"",IF(AB665="","",INDEX(시장분석!$L:$L,AB665)),IFERROR(IF(VLOOKUP(R665,매핑!$A$4:$E$92,5,0)="","미분류",VLOOKUP(R665,매핑!$A$4:$E$92,5,0)),"미분류")))</f>
        <v/>
      </c>
      <c r="AH665" s="43" t="str">
        <f aca="false">IF(Q665&lt;&gt;1,"",IF(AB665&lt;&gt;"",IF(AB665="","",INDEX(시장분석!$N:$N,AB665)),IFERROR(IF(VLOOKUP(R665,매핑!$A$4:$E$92,4,0)="","미분류",VLOOKUP(R665,매핑!$A$4:$E$92,4,0)),"미분류")))</f>
        <v/>
      </c>
      <c r="AI665" s="43" t="str">
        <f aca="false">IF(Q665&lt;&gt;1,"",IFERROR(IF(VLOOKUP(R665,매핑!$A$4:$E$92,3,0)="","미분류",VLOOKUP(R665,매핑!$A$4:$E$92,3,0)),IF(AB665&lt;&gt;"",IF(AB665="","",INDEX(시장분석!$W:$W,AB665)),"미분류")))</f>
        <v/>
      </c>
      <c r="AJ665" s="43" t="str">
        <f aca="false">IF(Q665&lt;&gt;1,"",IFERROR(VLOOKUP(IF(N665&lt;&gt;"",N665,IF(P665&lt;&gt;"",P665,O665)),설정!$A$15:$D$47,2,0),""))</f>
        <v/>
      </c>
      <c r="AK665" s="43" t="str">
        <f aca="false">IF(Q665&lt;&gt;1,"",IF(AJ665="","무등급",IFERROR(VLOOKUP(AJ665,설정!$A$15:$D$47,3,0),"무등급")))</f>
        <v/>
      </c>
      <c r="AL665" s="89" t="n">
        <f aca="false">IF(AJ665="",99,IFERROR(VLOOKUP(AJ665,설정!$A$15:$D$47,4,0),99))</f>
        <v>99</v>
      </c>
      <c r="AM665" s="94" t="n">
        <f aca="false">IF(ISNUMBER(H665),AA665*1000000*H665/10000,0)</f>
        <v>0</v>
      </c>
      <c r="AN665" s="94" t="n">
        <f aca="false">IF(OR(Y665=1,NOT(ISNUMBER(Z665))),0,AA665*1000000*Z665/10000)</f>
        <v>0</v>
      </c>
      <c r="AO665" s="94" t="n">
        <f aca="false">IF(ISNUMBER(G665),AA665*1000000*G665/100,0)</f>
        <v>0</v>
      </c>
      <c r="AP665" s="94" t="n">
        <f aca="false">IF(ISNUMBER(M665),M665*K665,0)</f>
        <v>0</v>
      </c>
      <c r="AQ665" s="95" t="str">
        <f aca="false">IF(AB665="","",INDEX(시장분석!$AK:$AK,AB665))</f>
        <v/>
      </c>
      <c r="AR665" s="43" t="str">
        <f aca="false">IF(AB665="","-",IF(AB665="","",INDEX(시장분석!$AL:$AL,AB665)))</f>
        <v>-</v>
      </c>
      <c r="AS665" s="96" t="str">
        <f aca="false">IF(AB665="","",INDEX(시장분석!$AJ:$AJ,AB665))</f>
        <v/>
      </c>
      <c r="AT665" s="93" t="n">
        <f aca="false">IF(AB665="",0,IF(AB665="","",INDEX(시장분석!$AN:$AN,AB665)))</f>
        <v>0</v>
      </c>
      <c r="AU665" s="94" t="n">
        <f aca="false">IF(ISNUMBER(Z665),AT665/10000*MAX(Z665-1,0)*AA665*1000000,0)</f>
        <v>0</v>
      </c>
      <c r="AV665" s="94" t="n">
        <f aca="false">AO665+AU665</f>
        <v>0</v>
      </c>
      <c r="AW665" s="43" t="str">
        <f aca="false">IF(Q665&lt;&gt;1,"",TRIM(IF(AD665=1,"FRN ","")&amp;IF(AND(AL665&gt;=10,AL665&lt;99),"BBB0미만 ","")&amp;IF(AJ665="","등급없음 ","")&amp;IF(K665&lt;&gt;1,"비USD ","")&amp;IF(AND(AB665="",Y665=0),"시장데이터없음 ","")&amp;IF(AND(ISNUMBER(U665),U665&lt;0),"만기경과 ","")))</f>
        <v/>
      </c>
      <c r="AX665" s="90" t="n">
        <f aca="false">IF(Q665&lt;&gt;1,1,IF(스프레드쇼크!$C$4="Y",INDEX(스프레드쇼크!$B$12:$L$16,IFERROR(MATCH(AH665,스프레드쇼크!$A$12:$A$16,0),MATCH("목록외",스프레드쇼크!$A$12:$A$16,0)),IFERROR(MATCH(AG665,스프레드쇼크!$B$11:$L$11,0),MATCH("목록외",스프레드쇼크!$B$11:$L$11,0))),1))</f>
        <v>1</v>
      </c>
      <c r="AY665" s="90" t="n">
        <f aca="false">IF(스프레드쇼크!$C$5="Y",IF(ISNUMBER(AF665),MIN(스프레드쇼크!$C$7,MAX(스프레드쇼크!$C$6,AF665/스프레드쇼크!$C$8)),1),1)</f>
        <v>1</v>
      </c>
      <c r="AZ665" s="94" t="n">
        <f aca="false">AN665*AX665*AY665</f>
        <v>0</v>
      </c>
      <c r="BA665" s="90" t="n">
        <f aca="false">IF(ISNUMBER(G665),AA665*G665,0)</f>
        <v>0</v>
      </c>
      <c r="BB665" s="90" t="n">
        <f aca="false">IF(ISNUMBER(G665),AA665,0)</f>
        <v>0</v>
      </c>
      <c r="BC665" s="90" t="n">
        <f aca="false">IF(AND(Y665=0,ISNUMBER(AF665)),AA665*AF665,0)</f>
        <v>0</v>
      </c>
      <c r="BD665" s="90" t="n">
        <f aca="false">IF(AND(Y665=0,ISNUMBER(AF665)),AA665,0)</f>
        <v>0</v>
      </c>
      <c r="BE665" s="90" t="n">
        <f aca="false">IF(ISNUMBER(H665),AA665*H665,0)</f>
        <v>0</v>
      </c>
      <c r="BF665" s="90" t="n">
        <f aca="false">IF(ISNUMBER(H665),AA665,0)</f>
        <v>0</v>
      </c>
      <c r="BG665" s="90" t="n">
        <f aca="false">IF(AND(Y665=0,ISNUMBER(AF665),ISNUMBER(Z665)),AA665*Z665,0)</f>
        <v>0</v>
      </c>
      <c r="BH665" s="90" t="n">
        <f aca="false">IF(AND(Y665=0,ISNUMBER(AF665),ISNUMBER(Z665)),AA665*AT665*MAX(Z665-1,0),0)</f>
        <v>0</v>
      </c>
      <c r="BI665" s="90" t="n">
        <f aca="false">IF(Y665=0,AA665,0)</f>
        <v>0</v>
      </c>
    </row>
    <row r="666" customFormat="false" ht="15" hidden="false" customHeight="false" outlineLevel="0" collapsed="false">
      <c r="A666" s="83" t="str">
        <f aca="false">IFERROR(IF(INDEX(원자료_잔고!$A$1:$EZ$1500,설정!$L$5+ROW()-1,설정!$L$8)&amp;""="0","",INDEX(원자료_잔고!$A$1:$EZ$1500,설정!$L$5+ROW()-1,설정!$L$8)&amp;""),"")</f>
        <v/>
      </c>
      <c r="B666" s="83" t="str">
        <f aca="false">IFERROR(IF(INDEX(원자료_잔고!$A$1:$EZ$1500,설정!$L$5+ROW()-1,설정!$L$7)&amp;""="0","",INDEX(원자료_잔고!$A$1:$EZ$1500,설정!$L$5+ROW()-1,설정!$L$7)&amp;""),"")</f>
        <v/>
      </c>
      <c r="C666" s="83" t="str">
        <f aca="false">IFERROR(IF(INDEX(원자료_잔고!$A$1:$EZ$1500,설정!$L$5+ROW()-1,설정!$L$9)&amp;""="0","",INDEX(원자료_잔고!$A$1:$EZ$1500,설정!$L$5+ROW()-1,설정!$L$9)&amp;""),"")</f>
        <v/>
      </c>
      <c r="D666" s="83" t="str">
        <f aca="false">IFERROR(IF(INDEX(원자료_잔고!$A$1:$EZ$1500,설정!$L$5+ROW()-1,설정!$L$10)&amp;""="0","",INDEX(원자료_잔고!$A$1:$EZ$1500,설정!$L$5+ROW()-1,설정!$L$10)&amp;""),"")</f>
        <v/>
      </c>
      <c r="E666" s="84" t="str">
        <f aca="false">IFERROR(IF(ISNUMBER(INDEX(원자료_잔고!$A$1:$EZ$1500,설정!$L$5+ROW()-1,설정!$L$11)),INDEX(원자료_잔고!$A$1:$EZ$1500,설정!$L$5+ROW()-1,설정!$L$11),""),"")</f>
        <v/>
      </c>
      <c r="F666" s="85" t="str">
        <f aca="false">IFERROR(IF(ISNUMBER(INDEX(원자료_잔고!$A$1:$EZ$1500,설정!$L$5+ROW()-1,설정!$L$12)),INDEX(원자료_잔고!$A$1:$EZ$1500,설정!$L$5+ROW()-1,설정!$L$12),""),"")</f>
        <v/>
      </c>
      <c r="G666" s="85" t="str">
        <f aca="false">IFERROR(IF(ISNUMBER(INDEX(원자료_잔고!$A$1:$EZ$1500,설정!$L$5+ROW()-1,설정!$L$13)),INDEX(원자료_잔고!$A$1:$EZ$1500,설정!$L$5+ROW()-1,설정!$L$13),""),"")</f>
        <v/>
      </c>
      <c r="H666" s="85" t="str">
        <f aca="false">IFERROR(IF(ISNUMBER(INDEX(원자료_잔고!$A$1:$EZ$1500,설정!$L$5+ROW()-1,설정!$L$14)),INDEX(원자료_잔고!$A$1:$EZ$1500,설정!$L$5+ROW()-1,설정!$L$14),""),"")</f>
        <v/>
      </c>
      <c r="I666" s="86" t="str">
        <f aca="false">IFERROR(IF(ISNUMBER(INDEX(원자료_잔고!$A$1:$EZ$1500,설정!$L$5+ROW()-1,설정!$L$15)),INDEX(원자료_잔고!$A$1:$EZ$1500,설정!$L$5+ROW()-1,설정!$L$15),""),"")</f>
        <v/>
      </c>
      <c r="J666" s="85" t="str">
        <f aca="false">IFERROR(IF(ISNUMBER(INDEX(원자료_잔고!$A$1:$EZ$1500,설정!$L$5+ROW()-1,설정!$L$16)),INDEX(원자료_잔고!$A$1:$EZ$1500,설정!$L$5+ROW()-1,설정!$L$16),""),"")</f>
        <v/>
      </c>
      <c r="K666" s="87" t="str">
        <f aca="false">IFERROR(IF(ISNUMBER(INDEX(원자료_잔고!$A$1:$EZ$1500,설정!$L$5+ROW()-1,설정!$L$17)),INDEX(원자료_잔고!$A$1:$EZ$1500,설정!$L$5+ROW()-1,설정!$L$17),""),"")</f>
        <v/>
      </c>
      <c r="L666" s="84" t="str">
        <f aca="false">IFERROR(IF(ISNUMBER(INDEX(원자료_잔고!$A$1:$EZ$1500,설정!$L$5+ROW()-1,설정!$L$18)),INDEX(원자료_잔고!$A$1:$EZ$1500,설정!$L$5+ROW()-1,설정!$L$18),""),"")</f>
        <v/>
      </c>
      <c r="M666" s="88" t="str">
        <f aca="false">IFERROR(IF(ISNUMBER(INDEX(원자료_잔고!$A$1:$EZ$1500,설정!$L$5+ROW()-1,설정!$L$19)),INDEX(원자료_잔고!$A$1:$EZ$1500,설정!$L$5+ROW()-1,설정!$L$19),""),"")</f>
        <v/>
      </c>
      <c r="N666" s="83" t="str">
        <f aca="false">IFERROR(IF(INDEX(원자료_잔고!$A$1:$EZ$1500,설정!$L$5+ROW()-1,설정!$L$21)&amp;""="0","",INDEX(원자료_잔고!$A$1:$EZ$1500,설정!$L$5+ROW()-1,설정!$L$21)&amp;""),"")</f>
        <v/>
      </c>
      <c r="O666" s="83" t="str">
        <f aca="false">IFERROR(IF(INDEX(원자료_잔고!$A$1:$EZ$1500,설정!$L$5+ROW()-1,설정!$L$22)&amp;""="0","",INDEX(원자료_잔고!$A$1:$EZ$1500,설정!$L$5+ROW()-1,설정!$L$22)&amp;""),"")</f>
        <v/>
      </c>
      <c r="P666" s="83" t="str">
        <f aca="false">IFERROR(IF(INDEX(원자료_잔고!$A$1:$EZ$1500,설정!$L$5+ROW()-1,설정!$L$23)&amp;""="0","",INDEX(원자료_잔고!$A$1:$EZ$1500,설정!$L$5+ROW()-1,설정!$L$23)&amp;""),"")</f>
        <v/>
      </c>
      <c r="Q666" s="89" t="n">
        <f aca="false">IF(AND($A666&lt;&gt;"",ISNUMBER(E666)),IF(E666&gt;0,1,0),0)</f>
        <v>0</v>
      </c>
      <c r="R666" s="43" t="str">
        <f aca="false">IF(Q666=1,UPPER(LEFT($A666,FIND(" ",$A666&amp;" ")-1)),"")</f>
        <v/>
      </c>
      <c r="S666" s="89" t="n">
        <f aca="false">IF(Q666=1,IF(OR(ISNUMBER(SEARCH("Float",$A666)),ISNUMBER(SEARCH("FRN",$A666))),1,0),0)</f>
        <v>0</v>
      </c>
      <c r="T666" s="43" t="str">
        <f aca="false">IF(AND(Q666=1,ISNUMBER(I666)),TEXT(I666,"yyyymmdd")&amp;"|"&amp;IF(S666=1,"F",TEXT(J666,"0.000")),"")</f>
        <v/>
      </c>
      <c r="U666" s="90" t="str">
        <f aca="false">IF(AND(Q666=1,ISNUMBER(I666)),(I666-설정!$C$4)/365.25,"")</f>
        <v/>
      </c>
      <c r="V666" s="43" t="str">
        <f aca="false">IF(Q666&lt;&gt;1,"",IF(ISNUMBER(U666),IF(U666&lt;=1,"1년 이하",IF(U666&lt;=2,"1-2년",IF(U666&lt;=3,"2-3년",IF(U666&lt;=4,"3-4년",IF(U666&lt;=5,"4-5년",IF(U666&lt;=7,"5-7년",IF(U666&lt;=10,"7-10년",IF(U666&lt;=20,"10-20년","20년 이상")))))))),"미분류"))</f>
        <v/>
      </c>
      <c r="W666" s="43" t="str">
        <f aca="false">IF(Q666&lt;&gt;1,"",IF(AB666&lt;&gt;"",INDEX(시장분석!$C:$C,AB666),IF(K666=1,"USD","비USD")))</f>
        <v/>
      </c>
      <c r="X666" s="91" t="n">
        <f aca="false">IF(Q666=1,E666*K666/1000000,0)</f>
        <v>0</v>
      </c>
      <c r="Y666" s="89" t="n">
        <f aca="false">IF(R666="T",1,0)</f>
        <v>0</v>
      </c>
      <c r="Z666" s="92" t="str">
        <f aca="false">IF(Q666&lt;&gt;1,"",IF(AD666=1,IF(ISNUMBER(U666),MAX(U666,0),H666),H666))</f>
        <v/>
      </c>
      <c r="AA666" s="91" t="n">
        <f aca="false">IF(Q666=1,IF(ISNUMBER(L666),L666,0)*K666/1000000,0)</f>
        <v>0</v>
      </c>
      <c r="AB666" s="89" t="str">
        <f aca="false">IF(Q666&lt;&gt;1,"",IFERROR(MATCH(VLOOKUP(B666,매핑!$H$4:$I$15,2,0),시장분석!$A$2:$A$601,0)+1,IFERROR(MATCH(R666&amp;"|"&amp;T666,시장분석!$V$2:$V$601,0)+1,IF(COUNTIF(시장분석!$U$2:$U$601,T666)=1,MATCH(T666,시장분석!$U$2:$U$601,0)+1,""))))</f>
        <v/>
      </c>
      <c r="AC666" s="89" t="n">
        <f aca="false">IF(Q666&lt;&gt;1,0,IF(OR(설정!$C$5="전체",AND(설정!$C$5="선택펀드",IFERROR(COUNTIFS(설정!$F$16:$F$36,C666,설정!$G$16:$G$36,"Y")+COUNTIFS(설정!$F$16:$F$36,VALUE(C666),설정!$G$16:$G$36,"Y"),0)&gt;0),C666&amp;""=설정!$C$5&amp;""),1,0))</f>
        <v>0</v>
      </c>
      <c r="AD666" s="89" t="n">
        <f aca="false">IF(Q666&lt;&gt;1,0,IF(OR(S666=1,IF(AB666="",FALSE(),INDEX(시장분석!$R:$R,AB666)=1)),1,0))</f>
        <v>0</v>
      </c>
      <c r="AE666" s="43" t="str">
        <f aca="false">IF(AB666="","",INDEX(시장분석!$A:$A,AB666))</f>
        <v/>
      </c>
      <c r="AF666" s="93" t="str">
        <f aca="false">IF(AB666="","",IF(ISNUMBER(IF(AB666="","",INDEX(시장분석!$E:$E,AB666))),IF(AB666="","",INDEX(시장분석!$E:$E,AB666)),""))</f>
        <v/>
      </c>
      <c r="AG666" s="43" t="str">
        <f aca="false">IF(Q666&lt;&gt;1,"",IF(AB666&lt;&gt;"",IF(AB666="","",INDEX(시장분석!$L:$L,AB666)),IFERROR(IF(VLOOKUP(R666,매핑!$A$4:$E$92,5,0)="","미분류",VLOOKUP(R666,매핑!$A$4:$E$92,5,0)),"미분류")))</f>
        <v/>
      </c>
      <c r="AH666" s="43" t="str">
        <f aca="false">IF(Q666&lt;&gt;1,"",IF(AB666&lt;&gt;"",IF(AB666="","",INDEX(시장분석!$N:$N,AB666)),IFERROR(IF(VLOOKUP(R666,매핑!$A$4:$E$92,4,0)="","미분류",VLOOKUP(R666,매핑!$A$4:$E$92,4,0)),"미분류")))</f>
        <v/>
      </c>
      <c r="AI666" s="43" t="str">
        <f aca="false">IF(Q666&lt;&gt;1,"",IFERROR(IF(VLOOKUP(R666,매핑!$A$4:$E$92,3,0)="","미분류",VLOOKUP(R666,매핑!$A$4:$E$92,3,0)),IF(AB666&lt;&gt;"",IF(AB666="","",INDEX(시장분석!$W:$W,AB666)),"미분류")))</f>
        <v/>
      </c>
      <c r="AJ666" s="43" t="str">
        <f aca="false">IF(Q666&lt;&gt;1,"",IFERROR(VLOOKUP(IF(N666&lt;&gt;"",N666,IF(P666&lt;&gt;"",P666,O666)),설정!$A$15:$D$47,2,0),""))</f>
        <v/>
      </c>
      <c r="AK666" s="43" t="str">
        <f aca="false">IF(Q666&lt;&gt;1,"",IF(AJ666="","무등급",IFERROR(VLOOKUP(AJ666,설정!$A$15:$D$47,3,0),"무등급")))</f>
        <v/>
      </c>
      <c r="AL666" s="89" t="n">
        <f aca="false">IF(AJ666="",99,IFERROR(VLOOKUP(AJ666,설정!$A$15:$D$47,4,0),99))</f>
        <v>99</v>
      </c>
      <c r="AM666" s="94" t="n">
        <f aca="false">IF(ISNUMBER(H666),AA666*1000000*H666/10000,0)</f>
        <v>0</v>
      </c>
      <c r="AN666" s="94" t="n">
        <f aca="false">IF(OR(Y666=1,NOT(ISNUMBER(Z666))),0,AA666*1000000*Z666/10000)</f>
        <v>0</v>
      </c>
      <c r="AO666" s="94" t="n">
        <f aca="false">IF(ISNUMBER(G666),AA666*1000000*G666/100,0)</f>
        <v>0</v>
      </c>
      <c r="AP666" s="94" t="n">
        <f aca="false">IF(ISNUMBER(M666),M666*K666,0)</f>
        <v>0</v>
      </c>
      <c r="AQ666" s="95" t="str">
        <f aca="false">IF(AB666="","",INDEX(시장분석!$AK:$AK,AB666))</f>
        <v/>
      </c>
      <c r="AR666" s="43" t="str">
        <f aca="false">IF(AB666="","-",IF(AB666="","",INDEX(시장분석!$AL:$AL,AB666)))</f>
        <v>-</v>
      </c>
      <c r="AS666" s="96" t="str">
        <f aca="false">IF(AB666="","",INDEX(시장분석!$AJ:$AJ,AB666))</f>
        <v/>
      </c>
      <c r="AT666" s="93" t="n">
        <f aca="false">IF(AB666="",0,IF(AB666="","",INDEX(시장분석!$AN:$AN,AB666)))</f>
        <v>0</v>
      </c>
      <c r="AU666" s="94" t="n">
        <f aca="false">IF(ISNUMBER(Z666),AT666/10000*MAX(Z666-1,0)*AA666*1000000,0)</f>
        <v>0</v>
      </c>
      <c r="AV666" s="94" t="n">
        <f aca="false">AO666+AU666</f>
        <v>0</v>
      </c>
      <c r="AW666" s="43" t="str">
        <f aca="false">IF(Q666&lt;&gt;1,"",TRIM(IF(AD666=1,"FRN ","")&amp;IF(AND(AL666&gt;=10,AL666&lt;99),"BBB0미만 ","")&amp;IF(AJ666="","등급없음 ","")&amp;IF(K666&lt;&gt;1,"비USD ","")&amp;IF(AND(AB666="",Y666=0),"시장데이터없음 ","")&amp;IF(AND(ISNUMBER(U666),U666&lt;0),"만기경과 ","")))</f>
        <v/>
      </c>
      <c r="AX666" s="90" t="n">
        <f aca="false">IF(Q666&lt;&gt;1,1,IF(스프레드쇼크!$C$4="Y",INDEX(스프레드쇼크!$B$12:$L$16,IFERROR(MATCH(AH666,스프레드쇼크!$A$12:$A$16,0),MATCH("목록외",스프레드쇼크!$A$12:$A$16,0)),IFERROR(MATCH(AG666,스프레드쇼크!$B$11:$L$11,0),MATCH("목록외",스프레드쇼크!$B$11:$L$11,0))),1))</f>
        <v>1</v>
      </c>
      <c r="AY666" s="90" t="n">
        <f aca="false">IF(스프레드쇼크!$C$5="Y",IF(ISNUMBER(AF666),MIN(스프레드쇼크!$C$7,MAX(스프레드쇼크!$C$6,AF666/스프레드쇼크!$C$8)),1),1)</f>
        <v>1</v>
      </c>
      <c r="AZ666" s="94" t="n">
        <f aca="false">AN666*AX666*AY666</f>
        <v>0</v>
      </c>
      <c r="BA666" s="90" t="n">
        <f aca="false">IF(ISNUMBER(G666),AA666*G666,0)</f>
        <v>0</v>
      </c>
      <c r="BB666" s="90" t="n">
        <f aca="false">IF(ISNUMBER(G666),AA666,0)</f>
        <v>0</v>
      </c>
      <c r="BC666" s="90" t="n">
        <f aca="false">IF(AND(Y666=0,ISNUMBER(AF666)),AA666*AF666,0)</f>
        <v>0</v>
      </c>
      <c r="BD666" s="90" t="n">
        <f aca="false">IF(AND(Y666=0,ISNUMBER(AF666)),AA666,0)</f>
        <v>0</v>
      </c>
      <c r="BE666" s="90" t="n">
        <f aca="false">IF(ISNUMBER(H666),AA666*H666,0)</f>
        <v>0</v>
      </c>
      <c r="BF666" s="90" t="n">
        <f aca="false">IF(ISNUMBER(H666),AA666,0)</f>
        <v>0</v>
      </c>
      <c r="BG666" s="90" t="n">
        <f aca="false">IF(AND(Y666=0,ISNUMBER(AF666),ISNUMBER(Z666)),AA666*Z666,0)</f>
        <v>0</v>
      </c>
      <c r="BH666" s="90" t="n">
        <f aca="false">IF(AND(Y666=0,ISNUMBER(AF666),ISNUMBER(Z666)),AA666*AT666*MAX(Z666-1,0),0)</f>
        <v>0</v>
      </c>
      <c r="BI666" s="90" t="n">
        <f aca="false">IF(Y666=0,AA666,0)</f>
        <v>0</v>
      </c>
    </row>
    <row r="667" customFormat="false" ht="15" hidden="false" customHeight="false" outlineLevel="0" collapsed="false">
      <c r="A667" s="83" t="str">
        <f aca="false">IFERROR(IF(INDEX(원자료_잔고!$A$1:$EZ$1500,설정!$L$5+ROW()-1,설정!$L$8)&amp;""="0","",INDEX(원자료_잔고!$A$1:$EZ$1500,설정!$L$5+ROW()-1,설정!$L$8)&amp;""),"")</f>
        <v/>
      </c>
      <c r="B667" s="83" t="str">
        <f aca="false">IFERROR(IF(INDEX(원자료_잔고!$A$1:$EZ$1500,설정!$L$5+ROW()-1,설정!$L$7)&amp;""="0","",INDEX(원자료_잔고!$A$1:$EZ$1500,설정!$L$5+ROW()-1,설정!$L$7)&amp;""),"")</f>
        <v/>
      </c>
      <c r="C667" s="83" t="str">
        <f aca="false">IFERROR(IF(INDEX(원자료_잔고!$A$1:$EZ$1500,설정!$L$5+ROW()-1,설정!$L$9)&amp;""="0","",INDEX(원자료_잔고!$A$1:$EZ$1500,설정!$L$5+ROW()-1,설정!$L$9)&amp;""),"")</f>
        <v/>
      </c>
      <c r="D667" s="83" t="str">
        <f aca="false">IFERROR(IF(INDEX(원자료_잔고!$A$1:$EZ$1500,설정!$L$5+ROW()-1,설정!$L$10)&amp;""="0","",INDEX(원자료_잔고!$A$1:$EZ$1500,설정!$L$5+ROW()-1,설정!$L$10)&amp;""),"")</f>
        <v/>
      </c>
      <c r="E667" s="84" t="str">
        <f aca="false">IFERROR(IF(ISNUMBER(INDEX(원자료_잔고!$A$1:$EZ$1500,설정!$L$5+ROW()-1,설정!$L$11)),INDEX(원자료_잔고!$A$1:$EZ$1500,설정!$L$5+ROW()-1,설정!$L$11),""),"")</f>
        <v/>
      </c>
      <c r="F667" s="85" t="str">
        <f aca="false">IFERROR(IF(ISNUMBER(INDEX(원자료_잔고!$A$1:$EZ$1500,설정!$L$5+ROW()-1,설정!$L$12)),INDEX(원자료_잔고!$A$1:$EZ$1500,설정!$L$5+ROW()-1,설정!$L$12),""),"")</f>
        <v/>
      </c>
      <c r="G667" s="85" t="str">
        <f aca="false">IFERROR(IF(ISNUMBER(INDEX(원자료_잔고!$A$1:$EZ$1500,설정!$L$5+ROW()-1,설정!$L$13)),INDEX(원자료_잔고!$A$1:$EZ$1500,설정!$L$5+ROW()-1,설정!$L$13),""),"")</f>
        <v/>
      </c>
      <c r="H667" s="85" t="str">
        <f aca="false">IFERROR(IF(ISNUMBER(INDEX(원자료_잔고!$A$1:$EZ$1500,설정!$L$5+ROW()-1,설정!$L$14)),INDEX(원자료_잔고!$A$1:$EZ$1500,설정!$L$5+ROW()-1,설정!$L$14),""),"")</f>
        <v/>
      </c>
      <c r="I667" s="86" t="str">
        <f aca="false">IFERROR(IF(ISNUMBER(INDEX(원자료_잔고!$A$1:$EZ$1500,설정!$L$5+ROW()-1,설정!$L$15)),INDEX(원자료_잔고!$A$1:$EZ$1500,설정!$L$5+ROW()-1,설정!$L$15),""),"")</f>
        <v/>
      </c>
      <c r="J667" s="85" t="str">
        <f aca="false">IFERROR(IF(ISNUMBER(INDEX(원자료_잔고!$A$1:$EZ$1500,설정!$L$5+ROW()-1,설정!$L$16)),INDEX(원자료_잔고!$A$1:$EZ$1500,설정!$L$5+ROW()-1,설정!$L$16),""),"")</f>
        <v/>
      </c>
      <c r="K667" s="87" t="str">
        <f aca="false">IFERROR(IF(ISNUMBER(INDEX(원자료_잔고!$A$1:$EZ$1500,설정!$L$5+ROW()-1,설정!$L$17)),INDEX(원자료_잔고!$A$1:$EZ$1500,설정!$L$5+ROW()-1,설정!$L$17),""),"")</f>
        <v/>
      </c>
      <c r="L667" s="84" t="str">
        <f aca="false">IFERROR(IF(ISNUMBER(INDEX(원자료_잔고!$A$1:$EZ$1500,설정!$L$5+ROW()-1,설정!$L$18)),INDEX(원자료_잔고!$A$1:$EZ$1500,설정!$L$5+ROW()-1,설정!$L$18),""),"")</f>
        <v/>
      </c>
      <c r="M667" s="88" t="str">
        <f aca="false">IFERROR(IF(ISNUMBER(INDEX(원자료_잔고!$A$1:$EZ$1500,설정!$L$5+ROW()-1,설정!$L$19)),INDEX(원자료_잔고!$A$1:$EZ$1500,설정!$L$5+ROW()-1,설정!$L$19),""),"")</f>
        <v/>
      </c>
      <c r="N667" s="83" t="str">
        <f aca="false">IFERROR(IF(INDEX(원자료_잔고!$A$1:$EZ$1500,설정!$L$5+ROW()-1,설정!$L$21)&amp;""="0","",INDEX(원자료_잔고!$A$1:$EZ$1500,설정!$L$5+ROW()-1,설정!$L$21)&amp;""),"")</f>
        <v/>
      </c>
      <c r="O667" s="83" t="str">
        <f aca="false">IFERROR(IF(INDEX(원자료_잔고!$A$1:$EZ$1500,설정!$L$5+ROW()-1,설정!$L$22)&amp;""="0","",INDEX(원자료_잔고!$A$1:$EZ$1500,설정!$L$5+ROW()-1,설정!$L$22)&amp;""),"")</f>
        <v/>
      </c>
      <c r="P667" s="83" t="str">
        <f aca="false">IFERROR(IF(INDEX(원자료_잔고!$A$1:$EZ$1500,설정!$L$5+ROW()-1,설정!$L$23)&amp;""="0","",INDEX(원자료_잔고!$A$1:$EZ$1500,설정!$L$5+ROW()-1,설정!$L$23)&amp;""),"")</f>
        <v/>
      </c>
      <c r="Q667" s="89" t="n">
        <f aca="false">IF(AND($A667&lt;&gt;"",ISNUMBER(E667)),IF(E667&gt;0,1,0),0)</f>
        <v>0</v>
      </c>
      <c r="R667" s="43" t="str">
        <f aca="false">IF(Q667=1,UPPER(LEFT($A667,FIND(" ",$A667&amp;" ")-1)),"")</f>
        <v/>
      </c>
      <c r="S667" s="89" t="n">
        <f aca="false">IF(Q667=1,IF(OR(ISNUMBER(SEARCH("Float",$A667)),ISNUMBER(SEARCH("FRN",$A667))),1,0),0)</f>
        <v>0</v>
      </c>
      <c r="T667" s="43" t="str">
        <f aca="false">IF(AND(Q667=1,ISNUMBER(I667)),TEXT(I667,"yyyymmdd")&amp;"|"&amp;IF(S667=1,"F",TEXT(J667,"0.000")),"")</f>
        <v/>
      </c>
      <c r="U667" s="90" t="str">
        <f aca="false">IF(AND(Q667=1,ISNUMBER(I667)),(I667-설정!$C$4)/365.25,"")</f>
        <v/>
      </c>
      <c r="V667" s="43" t="str">
        <f aca="false">IF(Q667&lt;&gt;1,"",IF(ISNUMBER(U667),IF(U667&lt;=1,"1년 이하",IF(U667&lt;=2,"1-2년",IF(U667&lt;=3,"2-3년",IF(U667&lt;=4,"3-4년",IF(U667&lt;=5,"4-5년",IF(U667&lt;=7,"5-7년",IF(U667&lt;=10,"7-10년",IF(U667&lt;=20,"10-20년","20년 이상")))))))),"미분류"))</f>
        <v/>
      </c>
      <c r="W667" s="43" t="str">
        <f aca="false">IF(Q667&lt;&gt;1,"",IF(AB667&lt;&gt;"",INDEX(시장분석!$C:$C,AB667),IF(K667=1,"USD","비USD")))</f>
        <v/>
      </c>
      <c r="X667" s="91" t="n">
        <f aca="false">IF(Q667=1,E667*K667/1000000,0)</f>
        <v>0</v>
      </c>
      <c r="Y667" s="89" t="n">
        <f aca="false">IF(R667="T",1,0)</f>
        <v>0</v>
      </c>
      <c r="Z667" s="92" t="str">
        <f aca="false">IF(Q667&lt;&gt;1,"",IF(AD667=1,IF(ISNUMBER(U667),MAX(U667,0),H667),H667))</f>
        <v/>
      </c>
      <c r="AA667" s="91" t="n">
        <f aca="false">IF(Q667=1,IF(ISNUMBER(L667),L667,0)*K667/1000000,0)</f>
        <v>0</v>
      </c>
      <c r="AB667" s="89" t="str">
        <f aca="false">IF(Q667&lt;&gt;1,"",IFERROR(MATCH(VLOOKUP(B667,매핑!$H$4:$I$15,2,0),시장분석!$A$2:$A$601,0)+1,IFERROR(MATCH(R667&amp;"|"&amp;T667,시장분석!$V$2:$V$601,0)+1,IF(COUNTIF(시장분석!$U$2:$U$601,T667)=1,MATCH(T667,시장분석!$U$2:$U$601,0)+1,""))))</f>
        <v/>
      </c>
      <c r="AC667" s="89" t="n">
        <f aca="false">IF(Q667&lt;&gt;1,0,IF(OR(설정!$C$5="전체",AND(설정!$C$5="선택펀드",IFERROR(COUNTIFS(설정!$F$16:$F$36,C667,설정!$G$16:$G$36,"Y")+COUNTIFS(설정!$F$16:$F$36,VALUE(C667),설정!$G$16:$G$36,"Y"),0)&gt;0),C667&amp;""=설정!$C$5&amp;""),1,0))</f>
        <v>0</v>
      </c>
      <c r="AD667" s="89" t="n">
        <f aca="false">IF(Q667&lt;&gt;1,0,IF(OR(S667=1,IF(AB667="",FALSE(),INDEX(시장분석!$R:$R,AB667)=1)),1,0))</f>
        <v>0</v>
      </c>
      <c r="AE667" s="43" t="str">
        <f aca="false">IF(AB667="","",INDEX(시장분석!$A:$A,AB667))</f>
        <v/>
      </c>
      <c r="AF667" s="93" t="str">
        <f aca="false">IF(AB667="","",IF(ISNUMBER(IF(AB667="","",INDEX(시장분석!$E:$E,AB667))),IF(AB667="","",INDEX(시장분석!$E:$E,AB667)),""))</f>
        <v/>
      </c>
      <c r="AG667" s="43" t="str">
        <f aca="false">IF(Q667&lt;&gt;1,"",IF(AB667&lt;&gt;"",IF(AB667="","",INDEX(시장분석!$L:$L,AB667)),IFERROR(IF(VLOOKUP(R667,매핑!$A$4:$E$92,5,0)="","미분류",VLOOKUP(R667,매핑!$A$4:$E$92,5,0)),"미분류")))</f>
        <v/>
      </c>
      <c r="AH667" s="43" t="str">
        <f aca="false">IF(Q667&lt;&gt;1,"",IF(AB667&lt;&gt;"",IF(AB667="","",INDEX(시장분석!$N:$N,AB667)),IFERROR(IF(VLOOKUP(R667,매핑!$A$4:$E$92,4,0)="","미분류",VLOOKUP(R667,매핑!$A$4:$E$92,4,0)),"미분류")))</f>
        <v/>
      </c>
      <c r="AI667" s="43" t="str">
        <f aca="false">IF(Q667&lt;&gt;1,"",IFERROR(IF(VLOOKUP(R667,매핑!$A$4:$E$92,3,0)="","미분류",VLOOKUP(R667,매핑!$A$4:$E$92,3,0)),IF(AB667&lt;&gt;"",IF(AB667="","",INDEX(시장분석!$W:$W,AB667)),"미분류")))</f>
        <v/>
      </c>
      <c r="AJ667" s="43" t="str">
        <f aca="false">IF(Q667&lt;&gt;1,"",IFERROR(VLOOKUP(IF(N667&lt;&gt;"",N667,IF(P667&lt;&gt;"",P667,O667)),설정!$A$15:$D$47,2,0),""))</f>
        <v/>
      </c>
      <c r="AK667" s="43" t="str">
        <f aca="false">IF(Q667&lt;&gt;1,"",IF(AJ667="","무등급",IFERROR(VLOOKUP(AJ667,설정!$A$15:$D$47,3,0),"무등급")))</f>
        <v/>
      </c>
      <c r="AL667" s="89" t="n">
        <f aca="false">IF(AJ667="",99,IFERROR(VLOOKUP(AJ667,설정!$A$15:$D$47,4,0),99))</f>
        <v>99</v>
      </c>
      <c r="AM667" s="94" t="n">
        <f aca="false">IF(ISNUMBER(H667),AA667*1000000*H667/10000,0)</f>
        <v>0</v>
      </c>
      <c r="AN667" s="94" t="n">
        <f aca="false">IF(OR(Y667=1,NOT(ISNUMBER(Z667))),0,AA667*1000000*Z667/10000)</f>
        <v>0</v>
      </c>
      <c r="AO667" s="94" t="n">
        <f aca="false">IF(ISNUMBER(G667),AA667*1000000*G667/100,0)</f>
        <v>0</v>
      </c>
      <c r="AP667" s="94" t="n">
        <f aca="false">IF(ISNUMBER(M667),M667*K667,0)</f>
        <v>0</v>
      </c>
      <c r="AQ667" s="95" t="str">
        <f aca="false">IF(AB667="","",INDEX(시장분석!$AK:$AK,AB667))</f>
        <v/>
      </c>
      <c r="AR667" s="43" t="str">
        <f aca="false">IF(AB667="","-",IF(AB667="","",INDEX(시장분석!$AL:$AL,AB667)))</f>
        <v>-</v>
      </c>
      <c r="AS667" s="96" t="str">
        <f aca="false">IF(AB667="","",INDEX(시장분석!$AJ:$AJ,AB667))</f>
        <v/>
      </c>
      <c r="AT667" s="93" t="n">
        <f aca="false">IF(AB667="",0,IF(AB667="","",INDEX(시장분석!$AN:$AN,AB667)))</f>
        <v>0</v>
      </c>
      <c r="AU667" s="94" t="n">
        <f aca="false">IF(ISNUMBER(Z667),AT667/10000*MAX(Z667-1,0)*AA667*1000000,0)</f>
        <v>0</v>
      </c>
      <c r="AV667" s="94" t="n">
        <f aca="false">AO667+AU667</f>
        <v>0</v>
      </c>
      <c r="AW667" s="43" t="str">
        <f aca="false">IF(Q667&lt;&gt;1,"",TRIM(IF(AD667=1,"FRN ","")&amp;IF(AND(AL667&gt;=10,AL667&lt;99),"BBB0미만 ","")&amp;IF(AJ667="","등급없음 ","")&amp;IF(K667&lt;&gt;1,"비USD ","")&amp;IF(AND(AB667="",Y667=0),"시장데이터없음 ","")&amp;IF(AND(ISNUMBER(U667),U667&lt;0),"만기경과 ","")))</f>
        <v/>
      </c>
      <c r="AX667" s="90" t="n">
        <f aca="false">IF(Q667&lt;&gt;1,1,IF(스프레드쇼크!$C$4="Y",INDEX(스프레드쇼크!$B$12:$L$16,IFERROR(MATCH(AH667,스프레드쇼크!$A$12:$A$16,0),MATCH("목록외",스프레드쇼크!$A$12:$A$16,0)),IFERROR(MATCH(AG667,스프레드쇼크!$B$11:$L$11,0),MATCH("목록외",스프레드쇼크!$B$11:$L$11,0))),1))</f>
        <v>1</v>
      </c>
      <c r="AY667" s="90" t="n">
        <f aca="false">IF(스프레드쇼크!$C$5="Y",IF(ISNUMBER(AF667),MIN(스프레드쇼크!$C$7,MAX(스프레드쇼크!$C$6,AF667/스프레드쇼크!$C$8)),1),1)</f>
        <v>1</v>
      </c>
      <c r="AZ667" s="94" t="n">
        <f aca="false">AN667*AX667*AY667</f>
        <v>0</v>
      </c>
      <c r="BA667" s="90" t="n">
        <f aca="false">IF(ISNUMBER(G667),AA667*G667,0)</f>
        <v>0</v>
      </c>
      <c r="BB667" s="90" t="n">
        <f aca="false">IF(ISNUMBER(G667),AA667,0)</f>
        <v>0</v>
      </c>
      <c r="BC667" s="90" t="n">
        <f aca="false">IF(AND(Y667=0,ISNUMBER(AF667)),AA667*AF667,0)</f>
        <v>0</v>
      </c>
      <c r="BD667" s="90" t="n">
        <f aca="false">IF(AND(Y667=0,ISNUMBER(AF667)),AA667,0)</f>
        <v>0</v>
      </c>
      <c r="BE667" s="90" t="n">
        <f aca="false">IF(ISNUMBER(H667),AA667*H667,0)</f>
        <v>0</v>
      </c>
      <c r="BF667" s="90" t="n">
        <f aca="false">IF(ISNUMBER(H667),AA667,0)</f>
        <v>0</v>
      </c>
      <c r="BG667" s="90" t="n">
        <f aca="false">IF(AND(Y667=0,ISNUMBER(AF667),ISNUMBER(Z667)),AA667*Z667,0)</f>
        <v>0</v>
      </c>
      <c r="BH667" s="90" t="n">
        <f aca="false">IF(AND(Y667=0,ISNUMBER(AF667),ISNUMBER(Z667)),AA667*AT667*MAX(Z667-1,0),0)</f>
        <v>0</v>
      </c>
      <c r="BI667" s="90" t="n">
        <f aca="false">IF(Y667=0,AA667,0)</f>
        <v>0</v>
      </c>
    </row>
    <row r="668" customFormat="false" ht="15" hidden="false" customHeight="false" outlineLevel="0" collapsed="false">
      <c r="A668" s="83" t="str">
        <f aca="false">IFERROR(IF(INDEX(원자료_잔고!$A$1:$EZ$1500,설정!$L$5+ROW()-1,설정!$L$8)&amp;""="0","",INDEX(원자료_잔고!$A$1:$EZ$1500,설정!$L$5+ROW()-1,설정!$L$8)&amp;""),"")</f>
        <v/>
      </c>
      <c r="B668" s="83" t="str">
        <f aca="false">IFERROR(IF(INDEX(원자료_잔고!$A$1:$EZ$1500,설정!$L$5+ROW()-1,설정!$L$7)&amp;""="0","",INDEX(원자료_잔고!$A$1:$EZ$1500,설정!$L$5+ROW()-1,설정!$L$7)&amp;""),"")</f>
        <v/>
      </c>
      <c r="C668" s="83" t="str">
        <f aca="false">IFERROR(IF(INDEX(원자료_잔고!$A$1:$EZ$1500,설정!$L$5+ROW()-1,설정!$L$9)&amp;""="0","",INDEX(원자료_잔고!$A$1:$EZ$1500,설정!$L$5+ROW()-1,설정!$L$9)&amp;""),"")</f>
        <v/>
      </c>
      <c r="D668" s="83" t="str">
        <f aca="false">IFERROR(IF(INDEX(원자료_잔고!$A$1:$EZ$1500,설정!$L$5+ROW()-1,설정!$L$10)&amp;""="0","",INDEX(원자료_잔고!$A$1:$EZ$1500,설정!$L$5+ROW()-1,설정!$L$10)&amp;""),"")</f>
        <v/>
      </c>
      <c r="E668" s="84" t="str">
        <f aca="false">IFERROR(IF(ISNUMBER(INDEX(원자료_잔고!$A$1:$EZ$1500,설정!$L$5+ROW()-1,설정!$L$11)),INDEX(원자료_잔고!$A$1:$EZ$1500,설정!$L$5+ROW()-1,설정!$L$11),""),"")</f>
        <v/>
      </c>
      <c r="F668" s="85" t="str">
        <f aca="false">IFERROR(IF(ISNUMBER(INDEX(원자료_잔고!$A$1:$EZ$1500,설정!$L$5+ROW()-1,설정!$L$12)),INDEX(원자료_잔고!$A$1:$EZ$1500,설정!$L$5+ROW()-1,설정!$L$12),""),"")</f>
        <v/>
      </c>
      <c r="G668" s="85" t="str">
        <f aca="false">IFERROR(IF(ISNUMBER(INDEX(원자료_잔고!$A$1:$EZ$1500,설정!$L$5+ROW()-1,설정!$L$13)),INDEX(원자료_잔고!$A$1:$EZ$1500,설정!$L$5+ROW()-1,설정!$L$13),""),"")</f>
        <v/>
      </c>
      <c r="H668" s="85" t="str">
        <f aca="false">IFERROR(IF(ISNUMBER(INDEX(원자료_잔고!$A$1:$EZ$1500,설정!$L$5+ROW()-1,설정!$L$14)),INDEX(원자료_잔고!$A$1:$EZ$1500,설정!$L$5+ROW()-1,설정!$L$14),""),"")</f>
        <v/>
      </c>
      <c r="I668" s="86" t="str">
        <f aca="false">IFERROR(IF(ISNUMBER(INDEX(원자료_잔고!$A$1:$EZ$1500,설정!$L$5+ROW()-1,설정!$L$15)),INDEX(원자료_잔고!$A$1:$EZ$1500,설정!$L$5+ROW()-1,설정!$L$15),""),"")</f>
        <v/>
      </c>
      <c r="J668" s="85" t="str">
        <f aca="false">IFERROR(IF(ISNUMBER(INDEX(원자료_잔고!$A$1:$EZ$1500,설정!$L$5+ROW()-1,설정!$L$16)),INDEX(원자료_잔고!$A$1:$EZ$1500,설정!$L$5+ROW()-1,설정!$L$16),""),"")</f>
        <v/>
      </c>
      <c r="K668" s="87" t="str">
        <f aca="false">IFERROR(IF(ISNUMBER(INDEX(원자료_잔고!$A$1:$EZ$1500,설정!$L$5+ROW()-1,설정!$L$17)),INDEX(원자료_잔고!$A$1:$EZ$1500,설정!$L$5+ROW()-1,설정!$L$17),""),"")</f>
        <v/>
      </c>
      <c r="L668" s="84" t="str">
        <f aca="false">IFERROR(IF(ISNUMBER(INDEX(원자료_잔고!$A$1:$EZ$1500,설정!$L$5+ROW()-1,설정!$L$18)),INDEX(원자료_잔고!$A$1:$EZ$1500,설정!$L$5+ROW()-1,설정!$L$18),""),"")</f>
        <v/>
      </c>
      <c r="M668" s="88" t="str">
        <f aca="false">IFERROR(IF(ISNUMBER(INDEX(원자료_잔고!$A$1:$EZ$1500,설정!$L$5+ROW()-1,설정!$L$19)),INDEX(원자료_잔고!$A$1:$EZ$1500,설정!$L$5+ROW()-1,설정!$L$19),""),"")</f>
        <v/>
      </c>
      <c r="N668" s="83" t="str">
        <f aca="false">IFERROR(IF(INDEX(원자료_잔고!$A$1:$EZ$1500,설정!$L$5+ROW()-1,설정!$L$21)&amp;""="0","",INDEX(원자료_잔고!$A$1:$EZ$1500,설정!$L$5+ROW()-1,설정!$L$21)&amp;""),"")</f>
        <v/>
      </c>
      <c r="O668" s="83" t="str">
        <f aca="false">IFERROR(IF(INDEX(원자료_잔고!$A$1:$EZ$1500,설정!$L$5+ROW()-1,설정!$L$22)&amp;""="0","",INDEX(원자료_잔고!$A$1:$EZ$1500,설정!$L$5+ROW()-1,설정!$L$22)&amp;""),"")</f>
        <v/>
      </c>
      <c r="P668" s="83" t="str">
        <f aca="false">IFERROR(IF(INDEX(원자료_잔고!$A$1:$EZ$1500,설정!$L$5+ROW()-1,설정!$L$23)&amp;""="0","",INDEX(원자료_잔고!$A$1:$EZ$1500,설정!$L$5+ROW()-1,설정!$L$23)&amp;""),"")</f>
        <v/>
      </c>
      <c r="Q668" s="89" t="n">
        <f aca="false">IF(AND($A668&lt;&gt;"",ISNUMBER(E668)),IF(E668&gt;0,1,0),0)</f>
        <v>0</v>
      </c>
      <c r="R668" s="43" t="str">
        <f aca="false">IF(Q668=1,UPPER(LEFT($A668,FIND(" ",$A668&amp;" ")-1)),"")</f>
        <v/>
      </c>
      <c r="S668" s="89" t="n">
        <f aca="false">IF(Q668=1,IF(OR(ISNUMBER(SEARCH("Float",$A668)),ISNUMBER(SEARCH("FRN",$A668))),1,0),0)</f>
        <v>0</v>
      </c>
      <c r="T668" s="43" t="str">
        <f aca="false">IF(AND(Q668=1,ISNUMBER(I668)),TEXT(I668,"yyyymmdd")&amp;"|"&amp;IF(S668=1,"F",TEXT(J668,"0.000")),"")</f>
        <v/>
      </c>
      <c r="U668" s="90" t="str">
        <f aca="false">IF(AND(Q668=1,ISNUMBER(I668)),(I668-설정!$C$4)/365.25,"")</f>
        <v/>
      </c>
      <c r="V668" s="43" t="str">
        <f aca="false">IF(Q668&lt;&gt;1,"",IF(ISNUMBER(U668),IF(U668&lt;=1,"1년 이하",IF(U668&lt;=2,"1-2년",IF(U668&lt;=3,"2-3년",IF(U668&lt;=4,"3-4년",IF(U668&lt;=5,"4-5년",IF(U668&lt;=7,"5-7년",IF(U668&lt;=10,"7-10년",IF(U668&lt;=20,"10-20년","20년 이상")))))))),"미분류"))</f>
        <v/>
      </c>
      <c r="W668" s="43" t="str">
        <f aca="false">IF(Q668&lt;&gt;1,"",IF(AB668&lt;&gt;"",INDEX(시장분석!$C:$C,AB668),IF(K668=1,"USD","비USD")))</f>
        <v/>
      </c>
      <c r="X668" s="91" t="n">
        <f aca="false">IF(Q668=1,E668*K668/1000000,0)</f>
        <v>0</v>
      </c>
      <c r="Y668" s="89" t="n">
        <f aca="false">IF(R668="T",1,0)</f>
        <v>0</v>
      </c>
      <c r="Z668" s="92" t="str">
        <f aca="false">IF(Q668&lt;&gt;1,"",IF(AD668=1,IF(ISNUMBER(U668),MAX(U668,0),H668),H668))</f>
        <v/>
      </c>
      <c r="AA668" s="91" t="n">
        <f aca="false">IF(Q668=1,IF(ISNUMBER(L668),L668,0)*K668/1000000,0)</f>
        <v>0</v>
      </c>
      <c r="AB668" s="89" t="str">
        <f aca="false">IF(Q668&lt;&gt;1,"",IFERROR(MATCH(VLOOKUP(B668,매핑!$H$4:$I$15,2,0),시장분석!$A$2:$A$601,0)+1,IFERROR(MATCH(R668&amp;"|"&amp;T668,시장분석!$V$2:$V$601,0)+1,IF(COUNTIF(시장분석!$U$2:$U$601,T668)=1,MATCH(T668,시장분석!$U$2:$U$601,0)+1,""))))</f>
        <v/>
      </c>
      <c r="AC668" s="89" t="n">
        <f aca="false">IF(Q668&lt;&gt;1,0,IF(OR(설정!$C$5="전체",AND(설정!$C$5="선택펀드",IFERROR(COUNTIFS(설정!$F$16:$F$36,C668,설정!$G$16:$G$36,"Y")+COUNTIFS(설정!$F$16:$F$36,VALUE(C668),설정!$G$16:$G$36,"Y"),0)&gt;0),C668&amp;""=설정!$C$5&amp;""),1,0))</f>
        <v>0</v>
      </c>
      <c r="AD668" s="89" t="n">
        <f aca="false">IF(Q668&lt;&gt;1,0,IF(OR(S668=1,IF(AB668="",FALSE(),INDEX(시장분석!$R:$R,AB668)=1)),1,0))</f>
        <v>0</v>
      </c>
      <c r="AE668" s="43" t="str">
        <f aca="false">IF(AB668="","",INDEX(시장분석!$A:$A,AB668))</f>
        <v/>
      </c>
      <c r="AF668" s="93" t="str">
        <f aca="false">IF(AB668="","",IF(ISNUMBER(IF(AB668="","",INDEX(시장분석!$E:$E,AB668))),IF(AB668="","",INDEX(시장분석!$E:$E,AB668)),""))</f>
        <v/>
      </c>
      <c r="AG668" s="43" t="str">
        <f aca="false">IF(Q668&lt;&gt;1,"",IF(AB668&lt;&gt;"",IF(AB668="","",INDEX(시장분석!$L:$L,AB668)),IFERROR(IF(VLOOKUP(R668,매핑!$A$4:$E$92,5,0)="","미분류",VLOOKUP(R668,매핑!$A$4:$E$92,5,0)),"미분류")))</f>
        <v/>
      </c>
      <c r="AH668" s="43" t="str">
        <f aca="false">IF(Q668&lt;&gt;1,"",IF(AB668&lt;&gt;"",IF(AB668="","",INDEX(시장분석!$N:$N,AB668)),IFERROR(IF(VLOOKUP(R668,매핑!$A$4:$E$92,4,0)="","미분류",VLOOKUP(R668,매핑!$A$4:$E$92,4,0)),"미분류")))</f>
        <v/>
      </c>
      <c r="AI668" s="43" t="str">
        <f aca="false">IF(Q668&lt;&gt;1,"",IFERROR(IF(VLOOKUP(R668,매핑!$A$4:$E$92,3,0)="","미분류",VLOOKUP(R668,매핑!$A$4:$E$92,3,0)),IF(AB668&lt;&gt;"",IF(AB668="","",INDEX(시장분석!$W:$W,AB668)),"미분류")))</f>
        <v/>
      </c>
      <c r="AJ668" s="43" t="str">
        <f aca="false">IF(Q668&lt;&gt;1,"",IFERROR(VLOOKUP(IF(N668&lt;&gt;"",N668,IF(P668&lt;&gt;"",P668,O668)),설정!$A$15:$D$47,2,0),""))</f>
        <v/>
      </c>
      <c r="AK668" s="43" t="str">
        <f aca="false">IF(Q668&lt;&gt;1,"",IF(AJ668="","무등급",IFERROR(VLOOKUP(AJ668,설정!$A$15:$D$47,3,0),"무등급")))</f>
        <v/>
      </c>
      <c r="AL668" s="89" t="n">
        <f aca="false">IF(AJ668="",99,IFERROR(VLOOKUP(AJ668,설정!$A$15:$D$47,4,0),99))</f>
        <v>99</v>
      </c>
      <c r="AM668" s="94" t="n">
        <f aca="false">IF(ISNUMBER(H668),AA668*1000000*H668/10000,0)</f>
        <v>0</v>
      </c>
      <c r="AN668" s="94" t="n">
        <f aca="false">IF(OR(Y668=1,NOT(ISNUMBER(Z668))),0,AA668*1000000*Z668/10000)</f>
        <v>0</v>
      </c>
      <c r="AO668" s="94" t="n">
        <f aca="false">IF(ISNUMBER(G668),AA668*1000000*G668/100,0)</f>
        <v>0</v>
      </c>
      <c r="AP668" s="94" t="n">
        <f aca="false">IF(ISNUMBER(M668),M668*K668,0)</f>
        <v>0</v>
      </c>
      <c r="AQ668" s="95" t="str">
        <f aca="false">IF(AB668="","",INDEX(시장분석!$AK:$AK,AB668))</f>
        <v/>
      </c>
      <c r="AR668" s="43" t="str">
        <f aca="false">IF(AB668="","-",IF(AB668="","",INDEX(시장분석!$AL:$AL,AB668)))</f>
        <v>-</v>
      </c>
      <c r="AS668" s="96" t="str">
        <f aca="false">IF(AB668="","",INDEX(시장분석!$AJ:$AJ,AB668))</f>
        <v/>
      </c>
      <c r="AT668" s="93" t="n">
        <f aca="false">IF(AB668="",0,IF(AB668="","",INDEX(시장분석!$AN:$AN,AB668)))</f>
        <v>0</v>
      </c>
      <c r="AU668" s="94" t="n">
        <f aca="false">IF(ISNUMBER(Z668),AT668/10000*MAX(Z668-1,0)*AA668*1000000,0)</f>
        <v>0</v>
      </c>
      <c r="AV668" s="94" t="n">
        <f aca="false">AO668+AU668</f>
        <v>0</v>
      </c>
      <c r="AW668" s="43" t="str">
        <f aca="false">IF(Q668&lt;&gt;1,"",TRIM(IF(AD668=1,"FRN ","")&amp;IF(AND(AL668&gt;=10,AL668&lt;99),"BBB0미만 ","")&amp;IF(AJ668="","등급없음 ","")&amp;IF(K668&lt;&gt;1,"비USD ","")&amp;IF(AND(AB668="",Y668=0),"시장데이터없음 ","")&amp;IF(AND(ISNUMBER(U668),U668&lt;0),"만기경과 ","")))</f>
        <v/>
      </c>
      <c r="AX668" s="90" t="n">
        <f aca="false">IF(Q668&lt;&gt;1,1,IF(스프레드쇼크!$C$4="Y",INDEX(스프레드쇼크!$B$12:$L$16,IFERROR(MATCH(AH668,스프레드쇼크!$A$12:$A$16,0),MATCH("목록외",스프레드쇼크!$A$12:$A$16,0)),IFERROR(MATCH(AG668,스프레드쇼크!$B$11:$L$11,0),MATCH("목록외",스프레드쇼크!$B$11:$L$11,0))),1))</f>
        <v>1</v>
      </c>
      <c r="AY668" s="90" t="n">
        <f aca="false">IF(스프레드쇼크!$C$5="Y",IF(ISNUMBER(AF668),MIN(스프레드쇼크!$C$7,MAX(스프레드쇼크!$C$6,AF668/스프레드쇼크!$C$8)),1),1)</f>
        <v>1</v>
      </c>
      <c r="AZ668" s="94" t="n">
        <f aca="false">AN668*AX668*AY668</f>
        <v>0</v>
      </c>
      <c r="BA668" s="90" t="n">
        <f aca="false">IF(ISNUMBER(G668),AA668*G668,0)</f>
        <v>0</v>
      </c>
      <c r="BB668" s="90" t="n">
        <f aca="false">IF(ISNUMBER(G668),AA668,0)</f>
        <v>0</v>
      </c>
      <c r="BC668" s="90" t="n">
        <f aca="false">IF(AND(Y668=0,ISNUMBER(AF668)),AA668*AF668,0)</f>
        <v>0</v>
      </c>
      <c r="BD668" s="90" t="n">
        <f aca="false">IF(AND(Y668=0,ISNUMBER(AF668)),AA668,0)</f>
        <v>0</v>
      </c>
      <c r="BE668" s="90" t="n">
        <f aca="false">IF(ISNUMBER(H668),AA668*H668,0)</f>
        <v>0</v>
      </c>
      <c r="BF668" s="90" t="n">
        <f aca="false">IF(ISNUMBER(H668),AA668,0)</f>
        <v>0</v>
      </c>
      <c r="BG668" s="90" t="n">
        <f aca="false">IF(AND(Y668=0,ISNUMBER(AF668),ISNUMBER(Z668)),AA668*Z668,0)</f>
        <v>0</v>
      </c>
      <c r="BH668" s="90" t="n">
        <f aca="false">IF(AND(Y668=0,ISNUMBER(AF668),ISNUMBER(Z668)),AA668*AT668*MAX(Z668-1,0),0)</f>
        <v>0</v>
      </c>
      <c r="BI668" s="90" t="n">
        <f aca="false">IF(Y668=0,AA668,0)</f>
        <v>0</v>
      </c>
    </row>
    <row r="669" customFormat="false" ht="15" hidden="false" customHeight="false" outlineLevel="0" collapsed="false">
      <c r="A669" s="83" t="str">
        <f aca="false">IFERROR(IF(INDEX(원자료_잔고!$A$1:$EZ$1500,설정!$L$5+ROW()-1,설정!$L$8)&amp;""="0","",INDEX(원자료_잔고!$A$1:$EZ$1500,설정!$L$5+ROW()-1,설정!$L$8)&amp;""),"")</f>
        <v/>
      </c>
      <c r="B669" s="83" t="str">
        <f aca="false">IFERROR(IF(INDEX(원자료_잔고!$A$1:$EZ$1500,설정!$L$5+ROW()-1,설정!$L$7)&amp;""="0","",INDEX(원자료_잔고!$A$1:$EZ$1500,설정!$L$5+ROW()-1,설정!$L$7)&amp;""),"")</f>
        <v/>
      </c>
      <c r="C669" s="83" t="str">
        <f aca="false">IFERROR(IF(INDEX(원자료_잔고!$A$1:$EZ$1500,설정!$L$5+ROW()-1,설정!$L$9)&amp;""="0","",INDEX(원자료_잔고!$A$1:$EZ$1500,설정!$L$5+ROW()-1,설정!$L$9)&amp;""),"")</f>
        <v/>
      </c>
      <c r="D669" s="83" t="str">
        <f aca="false">IFERROR(IF(INDEX(원자료_잔고!$A$1:$EZ$1500,설정!$L$5+ROW()-1,설정!$L$10)&amp;""="0","",INDEX(원자료_잔고!$A$1:$EZ$1500,설정!$L$5+ROW()-1,설정!$L$10)&amp;""),"")</f>
        <v/>
      </c>
      <c r="E669" s="84" t="str">
        <f aca="false">IFERROR(IF(ISNUMBER(INDEX(원자료_잔고!$A$1:$EZ$1500,설정!$L$5+ROW()-1,설정!$L$11)),INDEX(원자료_잔고!$A$1:$EZ$1500,설정!$L$5+ROW()-1,설정!$L$11),""),"")</f>
        <v/>
      </c>
      <c r="F669" s="85" t="str">
        <f aca="false">IFERROR(IF(ISNUMBER(INDEX(원자료_잔고!$A$1:$EZ$1500,설정!$L$5+ROW()-1,설정!$L$12)),INDEX(원자료_잔고!$A$1:$EZ$1500,설정!$L$5+ROW()-1,설정!$L$12),""),"")</f>
        <v/>
      </c>
      <c r="G669" s="85" t="str">
        <f aca="false">IFERROR(IF(ISNUMBER(INDEX(원자료_잔고!$A$1:$EZ$1500,설정!$L$5+ROW()-1,설정!$L$13)),INDEX(원자료_잔고!$A$1:$EZ$1500,설정!$L$5+ROW()-1,설정!$L$13),""),"")</f>
        <v/>
      </c>
      <c r="H669" s="85" t="str">
        <f aca="false">IFERROR(IF(ISNUMBER(INDEX(원자료_잔고!$A$1:$EZ$1500,설정!$L$5+ROW()-1,설정!$L$14)),INDEX(원자료_잔고!$A$1:$EZ$1500,설정!$L$5+ROW()-1,설정!$L$14),""),"")</f>
        <v/>
      </c>
      <c r="I669" s="86" t="str">
        <f aca="false">IFERROR(IF(ISNUMBER(INDEX(원자료_잔고!$A$1:$EZ$1500,설정!$L$5+ROW()-1,설정!$L$15)),INDEX(원자료_잔고!$A$1:$EZ$1500,설정!$L$5+ROW()-1,설정!$L$15),""),"")</f>
        <v/>
      </c>
      <c r="J669" s="85" t="str">
        <f aca="false">IFERROR(IF(ISNUMBER(INDEX(원자료_잔고!$A$1:$EZ$1500,설정!$L$5+ROW()-1,설정!$L$16)),INDEX(원자료_잔고!$A$1:$EZ$1500,설정!$L$5+ROW()-1,설정!$L$16),""),"")</f>
        <v/>
      </c>
      <c r="K669" s="87" t="str">
        <f aca="false">IFERROR(IF(ISNUMBER(INDEX(원자료_잔고!$A$1:$EZ$1500,설정!$L$5+ROW()-1,설정!$L$17)),INDEX(원자료_잔고!$A$1:$EZ$1500,설정!$L$5+ROW()-1,설정!$L$17),""),"")</f>
        <v/>
      </c>
      <c r="L669" s="84" t="str">
        <f aca="false">IFERROR(IF(ISNUMBER(INDEX(원자료_잔고!$A$1:$EZ$1500,설정!$L$5+ROW()-1,설정!$L$18)),INDEX(원자료_잔고!$A$1:$EZ$1500,설정!$L$5+ROW()-1,설정!$L$18),""),"")</f>
        <v/>
      </c>
      <c r="M669" s="88" t="str">
        <f aca="false">IFERROR(IF(ISNUMBER(INDEX(원자료_잔고!$A$1:$EZ$1500,설정!$L$5+ROW()-1,설정!$L$19)),INDEX(원자료_잔고!$A$1:$EZ$1500,설정!$L$5+ROW()-1,설정!$L$19),""),"")</f>
        <v/>
      </c>
      <c r="N669" s="83" t="str">
        <f aca="false">IFERROR(IF(INDEX(원자료_잔고!$A$1:$EZ$1500,설정!$L$5+ROW()-1,설정!$L$21)&amp;""="0","",INDEX(원자료_잔고!$A$1:$EZ$1500,설정!$L$5+ROW()-1,설정!$L$21)&amp;""),"")</f>
        <v/>
      </c>
      <c r="O669" s="83" t="str">
        <f aca="false">IFERROR(IF(INDEX(원자료_잔고!$A$1:$EZ$1500,설정!$L$5+ROW()-1,설정!$L$22)&amp;""="0","",INDEX(원자료_잔고!$A$1:$EZ$1500,설정!$L$5+ROW()-1,설정!$L$22)&amp;""),"")</f>
        <v/>
      </c>
      <c r="P669" s="83" t="str">
        <f aca="false">IFERROR(IF(INDEX(원자료_잔고!$A$1:$EZ$1500,설정!$L$5+ROW()-1,설정!$L$23)&amp;""="0","",INDEX(원자료_잔고!$A$1:$EZ$1500,설정!$L$5+ROW()-1,설정!$L$23)&amp;""),"")</f>
        <v/>
      </c>
      <c r="Q669" s="89" t="n">
        <f aca="false">IF(AND($A669&lt;&gt;"",ISNUMBER(E669)),IF(E669&gt;0,1,0),0)</f>
        <v>0</v>
      </c>
      <c r="R669" s="43" t="str">
        <f aca="false">IF(Q669=1,UPPER(LEFT($A669,FIND(" ",$A669&amp;" ")-1)),"")</f>
        <v/>
      </c>
      <c r="S669" s="89" t="n">
        <f aca="false">IF(Q669=1,IF(OR(ISNUMBER(SEARCH("Float",$A669)),ISNUMBER(SEARCH("FRN",$A669))),1,0),0)</f>
        <v>0</v>
      </c>
      <c r="T669" s="43" t="str">
        <f aca="false">IF(AND(Q669=1,ISNUMBER(I669)),TEXT(I669,"yyyymmdd")&amp;"|"&amp;IF(S669=1,"F",TEXT(J669,"0.000")),"")</f>
        <v/>
      </c>
      <c r="U669" s="90" t="str">
        <f aca="false">IF(AND(Q669=1,ISNUMBER(I669)),(I669-설정!$C$4)/365.25,"")</f>
        <v/>
      </c>
      <c r="V669" s="43" t="str">
        <f aca="false">IF(Q669&lt;&gt;1,"",IF(ISNUMBER(U669),IF(U669&lt;=1,"1년 이하",IF(U669&lt;=2,"1-2년",IF(U669&lt;=3,"2-3년",IF(U669&lt;=4,"3-4년",IF(U669&lt;=5,"4-5년",IF(U669&lt;=7,"5-7년",IF(U669&lt;=10,"7-10년",IF(U669&lt;=20,"10-20년","20년 이상")))))))),"미분류"))</f>
        <v/>
      </c>
      <c r="W669" s="43" t="str">
        <f aca="false">IF(Q669&lt;&gt;1,"",IF(AB669&lt;&gt;"",INDEX(시장분석!$C:$C,AB669),IF(K669=1,"USD","비USD")))</f>
        <v/>
      </c>
      <c r="X669" s="91" t="n">
        <f aca="false">IF(Q669=1,E669*K669/1000000,0)</f>
        <v>0</v>
      </c>
      <c r="Y669" s="89" t="n">
        <f aca="false">IF(R669="T",1,0)</f>
        <v>0</v>
      </c>
      <c r="Z669" s="92" t="str">
        <f aca="false">IF(Q669&lt;&gt;1,"",IF(AD669=1,IF(ISNUMBER(U669),MAX(U669,0),H669),H669))</f>
        <v/>
      </c>
      <c r="AA669" s="91" t="n">
        <f aca="false">IF(Q669=1,IF(ISNUMBER(L669),L669,0)*K669/1000000,0)</f>
        <v>0</v>
      </c>
      <c r="AB669" s="89" t="str">
        <f aca="false">IF(Q669&lt;&gt;1,"",IFERROR(MATCH(VLOOKUP(B669,매핑!$H$4:$I$15,2,0),시장분석!$A$2:$A$601,0)+1,IFERROR(MATCH(R669&amp;"|"&amp;T669,시장분석!$V$2:$V$601,0)+1,IF(COUNTIF(시장분석!$U$2:$U$601,T669)=1,MATCH(T669,시장분석!$U$2:$U$601,0)+1,""))))</f>
        <v/>
      </c>
      <c r="AC669" s="89" t="n">
        <f aca="false">IF(Q669&lt;&gt;1,0,IF(OR(설정!$C$5="전체",AND(설정!$C$5="선택펀드",IFERROR(COUNTIFS(설정!$F$16:$F$36,C669,설정!$G$16:$G$36,"Y")+COUNTIFS(설정!$F$16:$F$36,VALUE(C669),설정!$G$16:$G$36,"Y"),0)&gt;0),C669&amp;""=설정!$C$5&amp;""),1,0))</f>
        <v>0</v>
      </c>
      <c r="AD669" s="89" t="n">
        <f aca="false">IF(Q669&lt;&gt;1,0,IF(OR(S669=1,IF(AB669="",FALSE(),INDEX(시장분석!$R:$R,AB669)=1)),1,0))</f>
        <v>0</v>
      </c>
      <c r="AE669" s="43" t="str">
        <f aca="false">IF(AB669="","",INDEX(시장분석!$A:$A,AB669))</f>
        <v/>
      </c>
      <c r="AF669" s="93" t="str">
        <f aca="false">IF(AB669="","",IF(ISNUMBER(IF(AB669="","",INDEX(시장분석!$E:$E,AB669))),IF(AB669="","",INDEX(시장분석!$E:$E,AB669)),""))</f>
        <v/>
      </c>
      <c r="AG669" s="43" t="str">
        <f aca="false">IF(Q669&lt;&gt;1,"",IF(AB669&lt;&gt;"",IF(AB669="","",INDEX(시장분석!$L:$L,AB669)),IFERROR(IF(VLOOKUP(R669,매핑!$A$4:$E$92,5,0)="","미분류",VLOOKUP(R669,매핑!$A$4:$E$92,5,0)),"미분류")))</f>
        <v/>
      </c>
      <c r="AH669" s="43" t="str">
        <f aca="false">IF(Q669&lt;&gt;1,"",IF(AB669&lt;&gt;"",IF(AB669="","",INDEX(시장분석!$N:$N,AB669)),IFERROR(IF(VLOOKUP(R669,매핑!$A$4:$E$92,4,0)="","미분류",VLOOKUP(R669,매핑!$A$4:$E$92,4,0)),"미분류")))</f>
        <v/>
      </c>
      <c r="AI669" s="43" t="str">
        <f aca="false">IF(Q669&lt;&gt;1,"",IFERROR(IF(VLOOKUP(R669,매핑!$A$4:$E$92,3,0)="","미분류",VLOOKUP(R669,매핑!$A$4:$E$92,3,0)),IF(AB669&lt;&gt;"",IF(AB669="","",INDEX(시장분석!$W:$W,AB669)),"미분류")))</f>
        <v/>
      </c>
      <c r="AJ669" s="43" t="str">
        <f aca="false">IF(Q669&lt;&gt;1,"",IFERROR(VLOOKUP(IF(N669&lt;&gt;"",N669,IF(P669&lt;&gt;"",P669,O669)),설정!$A$15:$D$47,2,0),""))</f>
        <v/>
      </c>
      <c r="AK669" s="43" t="str">
        <f aca="false">IF(Q669&lt;&gt;1,"",IF(AJ669="","무등급",IFERROR(VLOOKUP(AJ669,설정!$A$15:$D$47,3,0),"무등급")))</f>
        <v/>
      </c>
      <c r="AL669" s="89" t="n">
        <f aca="false">IF(AJ669="",99,IFERROR(VLOOKUP(AJ669,설정!$A$15:$D$47,4,0),99))</f>
        <v>99</v>
      </c>
      <c r="AM669" s="94" t="n">
        <f aca="false">IF(ISNUMBER(H669),AA669*1000000*H669/10000,0)</f>
        <v>0</v>
      </c>
      <c r="AN669" s="94" t="n">
        <f aca="false">IF(OR(Y669=1,NOT(ISNUMBER(Z669))),0,AA669*1000000*Z669/10000)</f>
        <v>0</v>
      </c>
      <c r="AO669" s="94" t="n">
        <f aca="false">IF(ISNUMBER(G669),AA669*1000000*G669/100,0)</f>
        <v>0</v>
      </c>
      <c r="AP669" s="94" t="n">
        <f aca="false">IF(ISNUMBER(M669),M669*K669,0)</f>
        <v>0</v>
      </c>
      <c r="AQ669" s="95" t="str">
        <f aca="false">IF(AB669="","",INDEX(시장분석!$AK:$AK,AB669))</f>
        <v/>
      </c>
      <c r="AR669" s="43" t="str">
        <f aca="false">IF(AB669="","-",IF(AB669="","",INDEX(시장분석!$AL:$AL,AB669)))</f>
        <v>-</v>
      </c>
      <c r="AS669" s="96" t="str">
        <f aca="false">IF(AB669="","",INDEX(시장분석!$AJ:$AJ,AB669))</f>
        <v/>
      </c>
      <c r="AT669" s="93" t="n">
        <f aca="false">IF(AB669="",0,IF(AB669="","",INDEX(시장분석!$AN:$AN,AB669)))</f>
        <v>0</v>
      </c>
      <c r="AU669" s="94" t="n">
        <f aca="false">IF(ISNUMBER(Z669),AT669/10000*MAX(Z669-1,0)*AA669*1000000,0)</f>
        <v>0</v>
      </c>
      <c r="AV669" s="94" t="n">
        <f aca="false">AO669+AU669</f>
        <v>0</v>
      </c>
      <c r="AW669" s="43" t="str">
        <f aca="false">IF(Q669&lt;&gt;1,"",TRIM(IF(AD669=1,"FRN ","")&amp;IF(AND(AL669&gt;=10,AL669&lt;99),"BBB0미만 ","")&amp;IF(AJ669="","등급없음 ","")&amp;IF(K669&lt;&gt;1,"비USD ","")&amp;IF(AND(AB669="",Y669=0),"시장데이터없음 ","")&amp;IF(AND(ISNUMBER(U669),U669&lt;0),"만기경과 ","")))</f>
        <v/>
      </c>
      <c r="AX669" s="90" t="n">
        <f aca="false">IF(Q669&lt;&gt;1,1,IF(스프레드쇼크!$C$4="Y",INDEX(스프레드쇼크!$B$12:$L$16,IFERROR(MATCH(AH669,스프레드쇼크!$A$12:$A$16,0),MATCH("목록외",스프레드쇼크!$A$12:$A$16,0)),IFERROR(MATCH(AG669,스프레드쇼크!$B$11:$L$11,0),MATCH("목록외",스프레드쇼크!$B$11:$L$11,0))),1))</f>
        <v>1</v>
      </c>
      <c r="AY669" s="90" t="n">
        <f aca="false">IF(스프레드쇼크!$C$5="Y",IF(ISNUMBER(AF669),MIN(스프레드쇼크!$C$7,MAX(스프레드쇼크!$C$6,AF669/스프레드쇼크!$C$8)),1),1)</f>
        <v>1</v>
      </c>
      <c r="AZ669" s="94" t="n">
        <f aca="false">AN669*AX669*AY669</f>
        <v>0</v>
      </c>
      <c r="BA669" s="90" t="n">
        <f aca="false">IF(ISNUMBER(G669),AA669*G669,0)</f>
        <v>0</v>
      </c>
      <c r="BB669" s="90" t="n">
        <f aca="false">IF(ISNUMBER(G669),AA669,0)</f>
        <v>0</v>
      </c>
      <c r="BC669" s="90" t="n">
        <f aca="false">IF(AND(Y669=0,ISNUMBER(AF669)),AA669*AF669,0)</f>
        <v>0</v>
      </c>
      <c r="BD669" s="90" t="n">
        <f aca="false">IF(AND(Y669=0,ISNUMBER(AF669)),AA669,0)</f>
        <v>0</v>
      </c>
      <c r="BE669" s="90" t="n">
        <f aca="false">IF(ISNUMBER(H669),AA669*H669,0)</f>
        <v>0</v>
      </c>
      <c r="BF669" s="90" t="n">
        <f aca="false">IF(ISNUMBER(H669),AA669,0)</f>
        <v>0</v>
      </c>
      <c r="BG669" s="90" t="n">
        <f aca="false">IF(AND(Y669=0,ISNUMBER(AF669),ISNUMBER(Z669)),AA669*Z669,0)</f>
        <v>0</v>
      </c>
      <c r="BH669" s="90" t="n">
        <f aca="false">IF(AND(Y669=0,ISNUMBER(AF669),ISNUMBER(Z669)),AA669*AT669*MAX(Z669-1,0),0)</f>
        <v>0</v>
      </c>
      <c r="BI669" s="90" t="n">
        <f aca="false">IF(Y669=0,AA669,0)</f>
        <v>0</v>
      </c>
    </row>
    <row r="670" customFormat="false" ht="15" hidden="false" customHeight="false" outlineLevel="0" collapsed="false">
      <c r="A670" s="83" t="str">
        <f aca="false">IFERROR(IF(INDEX(원자료_잔고!$A$1:$EZ$1500,설정!$L$5+ROW()-1,설정!$L$8)&amp;""="0","",INDEX(원자료_잔고!$A$1:$EZ$1500,설정!$L$5+ROW()-1,설정!$L$8)&amp;""),"")</f>
        <v/>
      </c>
      <c r="B670" s="83" t="str">
        <f aca="false">IFERROR(IF(INDEX(원자료_잔고!$A$1:$EZ$1500,설정!$L$5+ROW()-1,설정!$L$7)&amp;""="0","",INDEX(원자료_잔고!$A$1:$EZ$1500,설정!$L$5+ROW()-1,설정!$L$7)&amp;""),"")</f>
        <v/>
      </c>
      <c r="C670" s="83" t="str">
        <f aca="false">IFERROR(IF(INDEX(원자료_잔고!$A$1:$EZ$1500,설정!$L$5+ROW()-1,설정!$L$9)&amp;""="0","",INDEX(원자료_잔고!$A$1:$EZ$1500,설정!$L$5+ROW()-1,설정!$L$9)&amp;""),"")</f>
        <v/>
      </c>
      <c r="D670" s="83" t="str">
        <f aca="false">IFERROR(IF(INDEX(원자료_잔고!$A$1:$EZ$1500,설정!$L$5+ROW()-1,설정!$L$10)&amp;""="0","",INDEX(원자료_잔고!$A$1:$EZ$1500,설정!$L$5+ROW()-1,설정!$L$10)&amp;""),"")</f>
        <v/>
      </c>
      <c r="E670" s="84" t="str">
        <f aca="false">IFERROR(IF(ISNUMBER(INDEX(원자료_잔고!$A$1:$EZ$1500,설정!$L$5+ROW()-1,설정!$L$11)),INDEX(원자료_잔고!$A$1:$EZ$1500,설정!$L$5+ROW()-1,설정!$L$11),""),"")</f>
        <v/>
      </c>
      <c r="F670" s="85" t="str">
        <f aca="false">IFERROR(IF(ISNUMBER(INDEX(원자료_잔고!$A$1:$EZ$1500,설정!$L$5+ROW()-1,설정!$L$12)),INDEX(원자료_잔고!$A$1:$EZ$1500,설정!$L$5+ROW()-1,설정!$L$12),""),"")</f>
        <v/>
      </c>
      <c r="G670" s="85" t="str">
        <f aca="false">IFERROR(IF(ISNUMBER(INDEX(원자료_잔고!$A$1:$EZ$1500,설정!$L$5+ROW()-1,설정!$L$13)),INDEX(원자료_잔고!$A$1:$EZ$1500,설정!$L$5+ROW()-1,설정!$L$13),""),"")</f>
        <v/>
      </c>
      <c r="H670" s="85" t="str">
        <f aca="false">IFERROR(IF(ISNUMBER(INDEX(원자료_잔고!$A$1:$EZ$1500,설정!$L$5+ROW()-1,설정!$L$14)),INDEX(원자료_잔고!$A$1:$EZ$1500,설정!$L$5+ROW()-1,설정!$L$14),""),"")</f>
        <v/>
      </c>
      <c r="I670" s="86" t="str">
        <f aca="false">IFERROR(IF(ISNUMBER(INDEX(원자료_잔고!$A$1:$EZ$1500,설정!$L$5+ROW()-1,설정!$L$15)),INDEX(원자료_잔고!$A$1:$EZ$1500,설정!$L$5+ROW()-1,설정!$L$15),""),"")</f>
        <v/>
      </c>
      <c r="J670" s="85" t="str">
        <f aca="false">IFERROR(IF(ISNUMBER(INDEX(원자료_잔고!$A$1:$EZ$1500,설정!$L$5+ROW()-1,설정!$L$16)),INDEX(원자료_잔고!$A$1:$EZ$1500,설정!$L$5+ROW()-1,설정!$L$16),""),"")</f>
        <v/>
      </c>
      <c r="K670" s="87" t="str">
        <f aca="false">IFERROR(IF(ISNUMBER(INDEX(원자료_잔고!$A$1:$EZ$1500,설정!$L$5+ROW()-1,설정!$L$17)),INDEX(원자료_잔고!$A$1:$EZ$1500,설정!$L$5+ROW()-1,설정!$L$17),""),"")</f>
        <v/>
      </c>
      <c r="L670" s="84" t="str">
        <f aca="false">IFERROR(IF(ISNUMBER(INDEX(원자료_잔고!$A$1:$EZ$1500,설정!$L$5+ROW()-1,설정!$L$18)),INDEX(원자료_잔고!$A$1:$EZ$1500,설정!$L$5+ROW()-1,설정!$L$18),""),"")</f>
        <v/>
      </c>
      <c r="M670" s="88" t="str">
        <f aca="false">IFERROR(IF(ISNUMBER(INDEX(원자료_잔고!$A$1:$EZ$1500,설정!$L$5+ROW()-1,설정!$L$19)),INDEX(원자료_잔고!$A$1:$EZ$1500,설정!$L$5+ROW()-1,설정!$L$19),""),"")</f>
        <v/>
      </c>
      <c r="N670" s="83" t="str">
        <f aca="false">IFERROR(IF(INDEX(원자료_잔고!$A$1:$EZ$1500,설정!$L$5+ROW()-1,설정!$L$21)&amp;""="0","",INDEX(원자료_잔고!$A$1:$EZ$1500,설정!$L$5+ROW()-1,설정!$L$21)&amp;""),"")</f>
        <v/>
      </c>
      <c r="O670" s="83" t="str">
        <f aca="false">IFERROR(IF(INDEX(원자료_잔고!$A$1:$EZ$1500,설정!$L$5+ROW()-1,설정!$L$22)&amp;""="0","",INDEX(원자료_잔고!$A$1:$EZ$1500,설정!$L$5+ROW()-1,설정!$L$22)&amp;""),"")</f>
        <v/>
      </c>
      <c r="P670" s="83" t="str">
        <f aca="false">IFERROR(IF(INDEX(원자료_잔고!$A$1:$EZ$1500,설정!$L$5+ROW()-1,설정!$L$23)&amp;""="0","",INDEX(원자료_잔고!$A$1:$EZ$1500,설정!$L$5+ROW()-1,설정!$L$23)&amp;""),"")</f>
        <v/>
      </c>
      <c r="Q670" s="89" t="n">
        <f aca="false">IF(AND($A670&lt;&gt;"",ISNUMBER(E670)),IF(E670&gt;0,1,0),0)</f>
        <v>0</v>
      </c>
      <c r="R670" s="43" t="str">
        <f aca="false">IF(Q670=1,UPPER(LEFT($A670,FIND(" ",$A670&amp;" ")-1)),"")</f>
        <v/>
      </c>
      <c r="S670" s="89" t="n">
        <f aca="false">IF(Q670=1,IF(OR(ISNUMBER(SEARCH("Float",$A670)),ISNUMBER(SEARCH("FRN",$A670))),1,0),0)</f>
        <v>0</v>
      </c>
      <c r="T670" s="43" t="str">
        <f aca="false">IF(AND(Q670=1,ISNUMBER(I670)),TEXT(I670,"yyyymmdd")&amp;"|"&amp;IF(S670=1,"F",TEXT(J670,"0.000")),"")</f>
        <v/>
      </c>
      <c r="U670" s="90" t="str">
        <f aca="false">IF(AND(Q670=1,ISNUMBER(I670)),(I670-설정!$C$4)/365.25,"")</f>
        <v/>
      </c>
      <c r="V670" s="43" t="str">
        <f aca="false">IF(Q670&lt;&gt;1,"",IF(ISNUMBER(U670),IF(U670&lt;=1,"1년 이하",IF(U670&lt;=2,"1-2년",IF(U670&lt;=3,"2-3년",IF(U670&lt;=4,"3-4년",IF(U670&lt;=5,"4-5년",IF(U670&lt;=7,"5-7년",IF(U670&lt;=10,"7-10년",IF(U670&lt;=20,"10-20년","20년 이상")))))))),"미분류"))</f>
        <v/>
      </c>
      <c r="W670" s="43" t="str">
        <f aca="false">IF(Q670&lt;&gt;1,"",IF(AB670&lt;&gt;"",INDEX(시장분석!$C:$C,AB670),IF(K670=1,"USD","비USD")))</f>
        <v/>
      </c>
      <c r="X670" s="91" t="n">
        <f aca="false">IF(Q670=1,E670*K670/1000000,0)</f>
        <v>0</v>
      </c>
      <c r="Y670" s="89" t="n">
        <f aca="false">IF(R670="T",1,0)</f>
        <v>0</v>
      </c>
      <c r="Z670" s="92" t="str">
        <f aca="false">IF(Q670&lt;&gt;1,"",IF(AD670=1,IF(ISNUMBER(U670),MAX(U670,0),H670),H670))</f>
        <v/>
      </c>
      <c r="AA670" s="91" t="n">
        <f aca="false">IF(Q670=1,IF(ISNUMBER(L670),L670,0)*K670/1000000,0)</f>
        <v>0</v>
      </c>
      <c r="AB670" s="89" t="str">
        <f aca="false">IF(Q670&lt;&gt;1,"",IFERROR(MATCH(VLOOKUP(B670,매핑!$H$4:$I$15,2,0),시장분석!$A$2:$A$601,0)+1,IFERROR(MATCH(R670&amp;"|"&amp;T670,시장분석!$V$2:$V$601,0)+1,IF(COUNTIF(시장분석!$U$2:$U$601,T670)=1,MATCH(T670,시장분석!$U$2:$U$601,0)+1,""))))</f>
        <v/>
      </c>
      <c r="AC670" s="89" t="n">
        <f aca="false">IF(Q670&lt;&gt;1,0,IF(OR(설정!$C$5="전체",AND(설정!$C$5="선택펀드",IFERROR(COUNTIFS(설정!$F$16:$F$36,C670,설정!$G$16:$G$36,"Y")+COUNTIFS(설정!$F$16:$F$36,VALUE(C670),설정!$G$16:$G$36,"Y"),0)&gt;0),C670&amp;""=설정!$C$5&amp;""),1,0))</f>
        <v>0</v>
      </c>
      <c r="AD670" s="89" t="n">
        <f aca="false">IF(Q670&lt;&gt;1,0,IF(OR(S670=1,IF(AB670="",FALSE(),INDEX(시장분석!$R:$R,AB670)=1)),1,0))</f>
        <v>0</v>
      </c>
      <c r="AE670" s="43" t="str">
        <f aca="false">IF(AB670="","",INDEX(시장분석!$A:$A,AB670))</f>
        <v/>
      </c>
      <c r="AF670" s="93" t="str">
        <f aca="false">IF(AB670="","",IF(ISNUMBER(IF(AB670="","",INDEX(시장분석!$E:$E,AB670))),IF(AB670="","",INDEX(시장분석!$E:$E,AB670)),""))</f>
        <v/>
      </c>
      <c r="AG670" s="43" t="str">
        <f aca="false">IF(Q670&lt;&gt;1,"",IF(AB670&lt;&gt;"",IF(AB670="","",INDEX(시장분석!$L:$L,AB670)),IFERROR(IF(VLOOKUP(R670,매핑!$A$4:$E$92,5,0)="","미분류",VLOOKUP(R670,매핑!$A$4:$E$92,5,0)),"미분류")))</f>
        <v/>
      </c>
      <c r="AH670" s="43" t="str">
        <f aca="false">IF(Q670&lt;&gt;1,"",IF(AB670&lt;&gt;"",IF(AB670="","",INDEX(시장분석!$N:$N,AB670)),IFERROR(IF(VLOOKUP(R670,매핑!$A$4:$E$92,4,0)="","미분류",VLOOKUP(R670,매핑!$A$4:$E$92,4,0)),"미분류")))</f>
        <v/>
      </c>
      <c r="AI670" s="43" t="str">
        <f aca="false">IF(Q670&lt;&gt;1,"",IFERROR(IF(VLOOKUP(R670,매핑!$A$4:$E$92,3,0)="","미분류",VLOOKUP(R670,매핑!$A$4:$E$92,3,0)),IF(AB670&lt;&gt;"",IF(AB670="","",INDEX(시장분석!$W:$W,AB670)),"미분류")))</f>
        <v/>
      </c>
      <c r="AJ670" s="43" t="str">
        <f aca="false">IF(Q670&lt;&gt;1,"",IFERROR(VLOOKUP(IF(N670&lt;&gt;"",N670,IF(P670&lt;&gt;"",P670,O670)),설정!$A$15:$D$47,2,0),""))</f>
        <v/>
      </c>
      <c r="AK670" s="43" t="str">
        <f aca="false">IF(Q670&lt;&gt;1,"",IF(AJ670="","무등급",IFERROR(VLOOKUP(AJ670,설정!$A$15:$D$47,3,0),"무등급")))</f>
        <v/>
      </c>
      <c r="AL670" s="89" t="n">
        <f aca="false">IF(AJ670="",99,IFERROR(VLOOKUP(AJ670,설정!$A$15:$D$47,4,0),99))</f>
        <v>99</v>
      </c>
      <c r="AM670" s="94" t="n">
        <f aca="false">IF(ISNUMBER(H670),AA670*1000000*H670/10000,0)</f>
        <v>0</v>
      </c>
      <c r="AN670" s="94" t="n">
        <f aca="false">IF(OR(Y670=1,NOT(ISNUMBER(Z670))),0,AA670*1000000*Z670/10000)</f>
        <v>0</v>
      </c>
      <c r="AO670" s="94" t="n">
        <f aca="false">IF(ISNUMBER(G670),AA670*1000000*G670/100,0)</f>
        <v>0</v>
      </c>
      <c r="AP670" s="94" t="n">
        <f aca="false">IF(ISNUMBER(M670),M670*K670,0)</f>
        <v>0</v>
      </c>
      <c r="AQ670" s="95" t="str">
        <f aca="false">IF(AB670="","",INDEX(시장분석!$AK:$AK,AB670))</f>
        <v/>
      </c>
      <c r="AR670" s="43" t="str">
        <f aca="false">IF(AB670="","-",IF(AB670="","",INDEX(시장분석!$AL:$AL,AB670)))</f>
        <v>-</v>
      </c>
      <c r="AS670" s="96" t="str">
        <f aca="false">IF(AB670="","",INDEX(시장분석!$AJ:$AJ,AB670))</f>
        <v/>
      </c>
      <c r="AT670" s="93" t="n">
        <f aca="false">IF(AB670="",0,IF(AB670="","",INDEX(시장분석!$AN:$AN,AB670)))</f>
        <v>0</v>
      </c>
      <c r="AU670" s="94" t="n">
        <f aca="false">IF(ISNUMBER(Z670),AT670/10000*MAX(Z670-1,0)*AA670*1000000,0)</f>
        <v>0</v>
      </c>
      <c r="AV670" s="94" t="n">
        <f aca="false">AO670+AU670</f>
        <v>0</v>
      </c>
      <c r="AW670" s="43" t="str">
        <f aca="false">IF(Q670&lt;&gt;1,"",TRIM(IF(AD670=1,"FRN ","")&amp;IF(AND(AL670&gt;=10,AL670&lt;99),"BBB0미만 ","")&amp;IF(AJ670="","등급없음 ","")&amp;IF(K670&lt;&gt;1,"비USD ","")&amp;IF(AND(AB670="",Y670=0),"시장데이터없음 ","")&amp;IF(AND(ISNUMBER(U670),U670&lt;0),"만기경과 ","")))</f>
        <v/>
      </c>
      <c r="AX670" s="90" t="n">
        <f aca="false">IF(Q670&lt;&gt;1,1,IF(스프레드쇼크!$C$4="Y",INDEX(스프레드쇼크!$B$12:$L$16,IFERROR(MATCH(AH670,스프레드쇼크!$A$12:$A$16,0),MATCH("목록외",스프레드쇼크!$A$12:$A$16,0)),IFERROR(MATCH(AG670,스프레드쇼크!$B$11:$L$11,0),MATCH("목록외",스프레드쇼크!$B$11:$L$11,0))),1))</f>
        <v>1</v>
      </c>
      <c r="AY670" s="90" t="n">
        <f aca="false">IF(스프레드쇼크!$C$5="Y",IF(ISNUMBER(AF670),MIN(스프레드쇼크!$C$7,MAX(스프레드쇼크!$C$6,AF670/스프레드쇼크!$C$8)),1),1)</f>
        <v>1</v>
      </c>
      <c r="AZ670" s="94" t="n">
        <f aca="false">AN670*AX670*AY670</f>
        <v>0</v>
      </c>
      <c r="BA670" s="90" t="n">
        <f aca="false">IF(ISNUMBER(G670),AA670*G670,0)</f>
        <v>0</v>
      </c>
      <c r="BB670" s="90" t="n">
        <f aca="false">IF(ISNUMBER(G670),AA670,0)</f>
        <v>0</v>
      </c>
      <c r="BC670" s="90" t="n">
        <f aca="false">IF(AND(Y670=0,ISNUMBER(AF670)),AA670*AF670,0)</f>
        <v>0</v>
      </c>
      <c r="BD670" s="90" t="n">
        <f aca="false">IF(AND(Y670=0,ISNUMBER(AF670)),AA670,0)</f>
        <v>0</v>
      </c>
      <c r="BE670" s="90" t="n">
        <f aca="false">IF(ISNUMBER(H670),AA670*H670,0)</f>
        <v>0</v>
      </c>
      <c r="BF670" s="90" t="n">
        <f aca="false">IF(ISNUMBER(H670),AA670,0)</f>
        <v>0</v>
      </c>
      <c r="BG670" s="90" t="n">
        <f aca="false">IF(AND(Y670=0,ISNUMBER(AF670),ISNUMBER(Z670)),AA670*Z670,0)</f>
        <v>0</v>
      </c>
      <c r="BH670" s="90" t="n">
        <f aca="false">IF(AND(Y670=0,ISNUMBER(AF670),ISNUMBER(Z670)),AA670*AT670*MAX(Z670-1,0),0)</f>
        <v>0</v>
      </c>
      <c r="BI670" s="90" t="n">
        <f aca="false">IF(Y670=0,AA670,0)</f>
        <v>0</v>
      </c>
    </row>
    <row r="671" customFormat="false" ht="15" hidden="false" customHeight="false" outlineLevel="0" collapsed="false">
      <c r="A671" s="83" t="str">
        <f aca="false">IFERROR(IF(INDEX(원자료_잔고!$A$1:$EZ$1500,설정!$L$5+ROW()-1,설정!$L$8)&amp;""="0","",INDEX(원자료_잔고!$A$1:$EZ$1500,설정!$L$5+ROW()-1,설정!$L$8)&amp;""),"")</f>
        <v/>
      </c>
      <c r="B671" s="83" t="str">
        <f aca="false">IFERROR(IF(INDEX(원자료_잔고!$A$1:$EZ$1500,설정!$L$5+ROW()-1,설정!$L$7)&amp;""="0","",INDEX(원자료_잔고!$A$1:$EZ$1500,설정!$L$5+ROW()-1,설정!$L$7)&amp;""),"")</f>
        <v/>
      </c>
      <c r="C671" s="83" t="str">
        <f aca="false">IFERROR(IF(INDEX(원자료_잔고!$A$1:$EZ$1500,설정!$L$5+ROW()-1,설정!$L$9)&amp;""="0","",INDEX(원자료_잔고!$A$1:$EZ$1500,설정!$L$5+ROW()-1,설정!$L$9)&amp;""),"")</f>
        <v/>
      </c>
      <c r="D671" s="83" t="str">
        <f aca="false">IFERROR(IF(INDEX(원자료_잔고!$A$1:$EZ$1500,설정!$L$5+ROW()-1,설정!$L$10)&amp;""="0","",INDEX(원자료_잔고!$A$1:$EZ$1500,설정!$L$5+ROW()-1,설정!$L$10)&amp;""),"")</f>
        <v/>
      </c>
      <c r="E671" s="84" t="str">
        <f aca="false">IFERROR(IF(ISNUMBER(INDEX(원자료_잔고!$A$1:$EZ$1500,설정!$L$5+ROW()-1,설정!$L$11)),INDEX(원자료_잔고!$A$1:$EZ$1500,설정!$L$5+ROW()-1,설정!$L$11),""),"")</f>
        <v/>
      </c>
      <c r="F671" s="85" t="str">
        <f aca="false">IFERROR(IF(ISNUMBER(INDEX(원자료_잔고!$A$1:$EZ$1500,설정!$L$5+ROW()-1,설정!$L$12)),INDEX(원자료_잔고!$A$1:$EZ$1500,설정!$L$5+ROW()-1,설정!$L$12),""),"")</f>
        <v/>
      </c>
      <c r="G671" s="85" t="str">
        <f aca="false">IFERROR(IF(ISNUMBER(INDEX(원자료_잔고!$A$1:$EZ$1500,설정!$L$5+ROW()-1,설정!$L$13)),INDEX(원자료_잔고!$A$1:$EZ$1500,설정!$L$5+ROW()-1,설정!$L$13),""),"")</f>
        <v/>
      </c>
      <c r="H671" s="85" t="str">
        <f aca="false">IFERROR(IF(ISNUMBER(INDEX(원자료_잔고!$A$1:$EZ$1500,설정!$L$5+ROW()-1,설정!$L$14)),INDEX(원자료_잔고!$A$1:$EZ$1500,설정!$L$5+ROW()-1,설정!$L$14),""),"")</f>
        <v/>
      </c>
      <c r="I671" s="86" t="str">
        <f aca="false">IFERROR(IF(ISNUMBER(INDEX(원자료_잔고!$A$1:$EZ$1500,설정!$L$5+ROW()-1,설정!$L$15)),INDEX(원자료_잔고!$A$1:$EZ$1500,설정!$L$5+ROW()-1,설정!$L$15),""),"")</f>
        <v/>
      </c>
      <c r="J671" s="85" t="str">
        <f aca="false">IFERROR(IF(ISNUMBER(INDEX(원자료_잔고!$A$1:$EZ$1500,설정!$L$5+ROW()-1,설정!$L$16)),INDEX(원자료_잔고!$A$1:$EZ$1500,설정!$L$5+ROW()-1,설정!$L$16),""),"")</f>
        <v/>
      </c>
      <c r="K671" s="87" t="str">
        <f aca="false">IFERROR(IF(ISNUMBER(INDEX(원자료_잔고!$A$1:$EZ$1500,설정!$L$5+ROW()-1,설정!$L$17)),INDEX(원자료_잔고!$A$1:$EZ$1500,설정!$L$5+ROW()-1,설정!$L$17),""),"")</f>
        <v/>
      </c>
      <c r="L671" s="84" t="str">
        <f aca="false">IFERROR(IF(ISNUMBER(INDEX(원자료_잔고!$A$1:$EZ$1500,설정!$L$5+ROW()-1,설정!$L$18)),INDEX(원자료_잔고!$A$1:$EZ$1500,설정!$L$5+ROW()-1,설정!$L$18),""),"")</f>
        <v/>
      </c>
      <c r="M671" s="88" t="str">
        <f aca="false">IFERROR(IF(ISNUMBER(INDEX(원자료_잔고!$A$1:$EZ$1500,설정!$L$5+ROW()-1,설정!$L$19)),INDEX(원자료_잔고!$A$1:$EZ$1500,설정!$L$5+ROW()-1,설정!$L$19),""),"")</f>
        <v/>
      </c>
      <c r="N671" s="83" t="str">
        <f aca="false">IFERROR(IF(INDEX(원자료_잔고!$A$1:$EZ$1500,설정!$L$5+ROW()-1,설정!$L$21)&amp;""="0","",INDEX(원자료_잔고!$A$1:$EZ$1500,설정!$L$5+ROW()-1,설정!$L$21)&amp;""),"")</f>
        <v/>
      </c>
      <c r="O671" s="83" t="str">
        <f aca="false">IFERROR(IF(INDEX(원자료_잔고!$A$1:$EZ$1500,설정!$L$5+ROW()-1,설정!$L$22)&amp;""="0","",INDEX(원자료_잔고!$A$1:$EZ$1500,설정!$L$5+ROW()-1,설정!$L$22)&amp;""),"")</f>
        <v/>
      </c>
      <c r="P671" s="83" t="str">
        <f aca="false">IFERROR(IF(INDEX(원자료_잔고!$A$1:$EZ$1500,설정!$L$5+ROW()-1,설정!$L$23)&amp;""="0","",INDEX(원자료_잔고!$A$1:$EZ$1500,설정!$L$5+ROW()-1,설정!$L$23)&amp;""),"")</f>
        <v/>
      </c>
      <c r="Q671" s="89" t="n">
        <f aca="false">IF(AND($A671&lt;&gt;"",ISNUMBER(E671)),IF(E671&gt;0,1,0),0)</f>
        <v>0</v>
      </c>
      <c r="R671" s="43" t="str">
        <f aca="false">IF(Q671=1,UPPER(LEFT($A671,FIND(" ",$A671&amp;" ")-1)),"")</f>
        <v/>
      </c>
      <c r="S671" s="89" t="n">
        <f aca="false">IF(Q671=1,IF(OR(ISNUMBER(SEARCH("Float",$A671)),ISNUMBER(SEARCH("FRN",$A671))),1,0),0)</f>
        <v>0</v>
      </c>
      <c r="T671" s="43" t="str">
        <f aca="false">IF(AND(Q671=1,ISNUMBER(I671)),TEXT(I671,"yyyymmdd")&amp;"|"&amp;IF(S671=1,"F",TEXT(J671,"0.000")),"")</f>
        <v/>
      </c>
      <c r="U671" s="90" t="str">
        <f aca="false">IF(AND(Q671=1,ISNUMBER(I671)),(I671-설정!$C$4)/365.25,"")</f>
        <v/>
      </c>
      <c r="V671" s="43" t="str">
        <f aca="false">IF(Q671&lt;&gt;1,"",IF(ISNUMBER(U671),IF(U671&lt;=1,"1년 이하",IF(U671&lt;=2,"1-2년",IF(U671&lt;=3,"2-3년",IF(U671&lt;=4,"3-4년",IF(U671&lt;=5,"4-5년",IF(U671&lt;=7,"5-7년",IF(U671&lt;=10,"7-10년",IF(U671&lt;=20,"10-20년","20년 이상")))))))),"미분류"))</f>
        <v/>
      </c>
      <c r="W671" s="43" t="str">
        <f aca="false">IF(Q671&lt;&gt;1,"",IF(AB671&lt;&gt;"",INDEX(시장분석!$C:$C,AB671),IF(K671=1,"USD","비USD")))</f>
        <v/>
      </c>
      <c r="X671" s="91" t="n">
        <f aca="false">IF(Q671=1,E671*K671/1000000,0)</f>
        <v>0</v>
      </c>
      <c r="Y671" s="89" t="n">
        <f aca="false">IF(R671="T",1,0)</f>
        <v>0</v>
      </c>
      <c r="Z671" s="92" t="str">
        <f aca="false">IF(Q671&lt;&gt;1,"",IF(AD671=1,IF(ISNUMBER(U671),MAX(U671,0),H671),H671))</f>
        <v/>
      </c>
      <c r="AA671" s="91" t="n">
        <f aca="false">IF(Q671=1,IF(ISNUMBER(L671),L671,0)*K671/1000000,0)</f>
        <v>0</v>
      </c>
      <c r="AB671" s="89" t="str">
        <f aca="false">IF(Q671&lt;&gt;1,"",IFERROR(MATCH(VLOOKUP(B671,매핑!$H$4:$I$15,2,0),시장분석!$A$2:$A$601,0)+1,IFERROR(MATCH(R671&amp;"|"&amp;T671,시장분석!$V$2:$V$601,0)+1,IF(COUNTIF(시장분석!$U$2:$U$601,T671)=1,MATCH(T671,시장분석!$U$2:$U$601,0)+1,""))))</f>
        <v/>
      </c>
      <c r="AC671" s="89" t="n">
        <f aca="false">IF(Q671&lt;&gt;1,0,IF(OR(설정!$C$5="전체",AND(설정!$C$5="선택펀드",IFERROR(COUNTIFS(설정!$F$16:$F$36,C671,설정!$G$16:$G$36,"Y")+COUNTIFS(설정!$F$16:$F$36,VALUE(C671),설정!$G$16:$G$36,"Y"),0)&gt;0),C671&amp;""=설정!$C$5&amp;""),1,0))</f>
        <v>0</v>
      </c>
      <c r="AD671" s="89" t="n">
        <f aca="false">IF(Q671&lt;&gt;1,0,IF(OR(S671=1,IF(AB671="",FALSE(),INDEX(시장분석!$R:$R,AB671)=1)),1,0))</f>
        <v>0</v>
      </c>
      <c r="AE671" s="43" t="str">
        <f aca="false">IF(AB671="","",INDEX(시장분석!$A:$A,AB671))</f>
        <v/>
      </c>
      <c r="AF671" s="93" t="str">
        <f aca="false">IF(AB671="","",IF(ISNUMBER(IF(AB671="","",INDEX(시장분석!$E:$E,AB671))),IF(AB671="","",INDEX(시장분석!$E:$E,AB671)),""))</f>
        <v/>
      </c>
      <c r="AG671" s="43" t="str">
        <f aca="false">IF(Q671&lt;&gt;1,"",IF(AB671&lt;&gt;"",IF(AB671="","",INDEX(시장분석!$L:$L,AB671)),IFERROR(IF(VLOOKUP(R671,매핑!$A$4:$E$92,5,0)="","미분류",VLOOKUP(R671,매핑!$A$4:$E$92,5,0)),"미분류")))</f>
        <v/>
      </c>
      <c r="AH671" s="43" t="str">
        <f aca="false">IF(Q671&lt;&gt;1,"",IF(AB671&lt;&gt;"",IF(AB671="","",INDEX(시장분석!$N:$N,AB671)),IFERROR(IF(VLOOKUP(R671,매핑!$A$4:$E$92,4,0)="","미분류",VLOOKUP(R671,매핑!$A$4:$E$92,4,0)),"미분류")))</f>
        <v/>
      </c>
      <c r="AI671" s="43" t="str">
        <f aca="false">IF(Q671&lt;&gt;1,"",IFERROR(IF(VLOOKUP(R671,매핑!$A$4:$E$92,3,0)="","미분류",VLOOKUP(R671,매핑!$A$4:$E$92,3,0)),IF(AB671&lt;&gt;"",IF(AB671="","",INDEX(시장분석!$W:$W,AB671)),"미분류")))</f>
        <v/>
      </c>
      <c r="AJ671" s="43" t="str">
        <f aca="false">IF(Q671&lt;&gt;1,"",IFERROR(VLOOKUP(IF(N671&lt;&gt;"",N671,IF(P671&lt;&gt;"",P671,O671)),설정!$A$15:$D$47,2,0),""))</f>
        <v/>
      </c>
      <c r="AK671" s="43" t="str">
        <f aca="false">IF(Q671&lt;&gt;1,"",IF(AJ671="","무등급",IFERROR(VLOOKUP(AJ671,설정!$A$15:$D$47,3,0),"무등급")))</f>
        <v/>
      </c>
      <c r="AL671" s="89" t="n">
        <f aca="false">IF(AJ671="",99,IFERROR(VLOOKUP(AJ671,설정!$A$15:$D$47,4,0),99))</f>
        <v>99</v>
      </c>
      <c r="AM671" s="94" t="n">
        <f aca="false">IF(ISNUMBER(H671),AA671*1000000*H671/10000,0)</f>
        <v>0</v>
      </c>
      <c r="AN671" s="94" t="n">
        <f aca="false">IF(OR(Y671=1,NOT(ISNUMBER(Z671))),0,AA671*1000000*Z671/10000)</f>
        <v>0</v>
      </c>
      <c r="AO671" s="94" t="n">
        <f aca="false">IF(ISNUMBER(G671),AA671*1000000*G671/100,0)</f>
        <v>0</v>
      </c>
      <c r="AP671" s="94" t="n">
        <f aca="false">IF(ISNUMBER(M671),M671*K671,0)</f>
        <v>0</v>
      </c>
      <c r="AQ671" s="95" t="str">
        <f aca="false">IF(AB671="","",INDEX(시장분석!$AK:$AK,AB671))</f>
        <v/>
      </c>
      <c r="AR671" s="43" t="str">
        <f aca="false">IF(AB671="","-",IF(AB671="","",INDEX(시장분석!$AL:$AL,AB671)))</f>
        <v>-</v>
      </c>
      <c r="AS671" s="96" t="str">
        <f aca="false">IF(AB671="","",INDEX(시장분석!$AJ:$AJ,AB671))</f>
        <v/>
      </c>
      <c r="AT671" s="93" t="n">
        <f aca="false">IF(AB671="",0,IF(AB671="","",INDEX(시장분석!$AN:$AN,AB671)))</f>
        <v>0</v>
      </c>
      <c r="AU671" s="94" t="n">
        <f aca="false">IF(ISNUMBER(Z671),AT671/10000*MAX(Z671-1,0)*AA671*1000000,0)</f>
        <v>0</v>
      </c>
      <c r="AV671" s="94" t="n">
        <f aca="false">AO671+AU671</f>
        <v>0</v>
      </c>
      <c r="AW671" s="43" t="str">
        <f aca="false">IF(Q671&lt;&gt;1,"",TRIM(IF(AD671=1,"FRN ","")&amp;IF(AND(AL671&gt;=10,AL671&lt;99),"BBB0미만 ","")&amp;IF(AJ671="","등급없음 ","")&amp;IF(K671&lt;&gt;1,"비USD ","")&amp;IF(AND(AB671="",Y671=0),"시장데이터없음 ","")&amp;IF(AND(ISNUMBER(U671),U671&lt;0),"만기경과 ","")))</f>
        <v/>
      </c>
      <c r="AX671" s="90" t="n">
        <f aca="false">IF(Q671&lt;&gt;1,1,IF(스프레드쇼크!$C$4="Y",INDEX(스프레드쇼크!$B$12:$L$16,IFERROR(MATCH(AH671,스프레드쇼크!$A$12:$A$16,0),MATCH("목록외",스프레드쇼크!$A$12:$A$16,0)),IFERROR(MATCH(AG671,스프레드쇼크!$B$11:$L$11,0),MATCH("목록외",스프레드쇼크!$B$11:$L$11,0))),1))</f>
        <v>1</v>
      </c>
      <c r="AY671" s="90" t="n">
        <f aca="false">IF(스프레드쇼크!$C$5="Y",IF(ISNUMBER(AF671),MIN(스프레드쇼크!$C$7,MAX(스프레드쇼크!$C$6,AF671/스프레드쇼크!$C$8)),1),1)</f>
        <v>1</v>
      </c>
      <c r="AZ671" s="94" t="n">
        <f aca="false">AN671*AX671*AY671</f>
        <v>0</v>
      </c>
      <c r="BA671" s="90" t="n">
        <f aca="false">IF(ISNUMBER(G671),AA671*G671,0)</f>
        <v>0</v>
      </c>
      <c r="BB671" s="90" t="n">
        <f aca="false">IF(ISNUMBER(G671),AA671,0)</f>
        <v>0</v>
      </c>
      <c r="BC671" s="90" t="n">
        <f aca="false">IF(AND(Y671=0,ISNUMBER(AF671)),AA671*AF671,0)</f>
        <v>0</v>
      </c>
      <c r="BD671" s="90" t="n">
        <f aca="false">IF(AND(Y671=0,ISNUMBER(AF671)),AA671,0)</f>
        <v>0</v>
      </c>
      <c r="BE671" s="90" t="n">
        <f aca="false">IF(ISNUMBER(H671),AA671*H671,0)</f>
        <v>0</v>
      </c>
      <c r="BF671" s="90" t="n">
        <f aca="false">IF(ISNUMBER(H671),AA671,0)</f>
        <v>0</v>
      </c>
      <c r="BG671" s="90" t="n">
        <f aca="false">IF(AND(Y671=0,ISNUMBER(AF671),ISNUMBER(Z671)),AA671*Z671,0)</f>
        <v>0</v>
      </c>
      <c r="BH671" s="90" t="n">
        <f aca="false">IF(AND(Y671=0,ISNUMBER(AF671),ISNUMBER(Z671)),AA671*AT671*MAX(Z671-1,0),0)</f>
        <v>0</v>
      </c>
      <c r="BI671" s="90" t="n">
        <f aca="false">IF(Y671=0,AA671,0)</f>
        <v>0</v>
      </c>
    </row>
    <row r="672" customFormat="false" ht="15" hidden="false" customHeight="false" outlineLevel="0" collapsed="false">
      <c r="A672" s="83" t="str">
        <f aca="false">IFERROR(IF(INDEX(원자료_잔고!$A$1:$EZ$1500,설정!$L$5+ROW()-1,설정!$L$8)&amp;""="0","",INDEX(원자료_잔고!$A$1:$EZ$1500,설정!$L$5+ROW()-1,설정!$L$8)&amp;""),"")</f>
        <v/>
      </c>
      <c r="B672" s="83" t="str">
        <f aca="false">IFERROR(IF(INDEX(원자료_잔고!$A$1:$EZ$1500,설정!$L$5+ROW()-1,설정!$L$7)&amp;""="0","",INDEX(원자료_잔고!$A$1:$EZ$1500,설정!$L$5+ROW()-1,설정!$L$7)&amp;""),"")</f>
        <v/>
      </c>
      <c r="C672" s="83" t="str">
        <f aca="false">IFERROR(IF(INDEX(원자료_잔고!$A$1:$EZ$1500,설정!$L$5+ROW()-1,설정!$L$9)&amp;""="0","",INDEX(원자료_잔고!$A$1:$EZ$1500,설정!$L$5+ROW()-1,설정!$L$9)&amp;""),"")</f>
        <v/>
      </c>
      <c r="D672" s="83" t="str">
        <f aca="false">IFERROR(IF(INDEX(원자료_잔고!$A$1:$EZ$1500,설정!$L$5+ROW()-1,설정!$L$10)&amp;""="0","",INDEX(원자료_잔고!$A$1:$EZ$1500,설정!$L$5+ROW()-1,설정!$L$10)&amp;""),"")</f>
        <v/>
      </c>
      <c r="E672" s="84" t="str">
        <f aca="false">IFERROR(IF(ISNUMBER(INDEX(원자료_잔고!$A$1:$EZ$1500,설정!$L$5+ROW()-1,설정!$L$11)),INDEX(원자료_잔고!$A$1:$EZ$1500,설정!$L$5+ROW()-1,설정!$L$11),""),"")</f>
        <v/>
      </c>
      <c r="F672" s="85" t="str">
        <f aca="false">IFERROR(IF(ISNUMBER(INDEX(원자료_잔고!$A$1:$EZ$1500,설정!$L$5+ROW()-1,설정!$L$12)),INDEX(원자료_잔고!$A$1:$EZ$1500,설정!$L$5+ROW()-1,설정!$L$12),""),"")</f>
        <v/>
      </c>
      <c r="G672" s="85" t="str">
        <f aca="false">IFERROR(IF(ISNUMBER(INDEX(원자료_잔고!$A$1:$EZ$1500,설정!$L$5+ROW()-1,설정!$L$13)),INDEX(원자료_잔고!$A$1:$EZ$1500,설정!$L$5+ROW()-1,설정!$L$13),""),"")</f>
        <v/>
      </c>
      <c r="H672" s="85" t="str">
        <f aca="false">IFERROR(IF(ISNUMBER(INDEX(원자료_잔고!$A$1:$EZ$1500,설정!$L$5+ROW()-1,설정!$L$14)),INDEX(원자료_잔고!$A$1:$EZ$1500,설정!$L$5+ROW()-1,설정!$L$14),""),"")</f>
        <v/>
      </c>
      <c r="I672" s="86" t="str">
        <f aca="false">IFERROR(IF(ISNUMBER(INDEX(원자료_잔고!$A$1:$EZ$1500,설정!$L$5+ROW()-1,설정!$L$15)),INDEX(원자료_잔고!$A$1:$EZ$1500,설정!$L$5+ROW()-1,설정!$L$15),""),"")</f>
        <v/>
      </c>
      <c r="J672" s="85" t="str">
        <f aca="false">IFERROR(IF(ISNUMBER(INDEX(원자료_잔고!$A$1:$EZ$1500,설정!$L$5+ROW()-1,설정!$L$16)),INDEX(원자료_잔고!$A$1:$EZ$1500,설정!$L$5+ROW()-1,설정!$L$16),""),"")</f>
        <v/>
      </c>
      <c r="K672" s="87" t="str">
        <f aca="false">IFERROR(IF(ISNUMBER(INDEX(원자료_잔고!$A$1:$EZ$1500,설정!$L$5+ROW()-1,설정!$L$17)),INDEX(원자료_잔고!$A$1:$EZ$1500,설정!$L$5+ROW()-1,설정!$L$17),""),"")</f>
        <v/>
      </c>
      <c r="L672" s="84" t="str">
        <f aca="false">IFERROR(IF(ISNUMBER(INDEX(원자료_잔고!$A$1:$EZ$1500,설정!$L$5+ROW()-1,설정!$L$18)),INDEX(원자료_잔고!$A$1:$EZ$1500,설정!$L$5+ROW()-1,설정!$L$18),""),"")</f>
        <v/>
      </c>
      <c r="M672" s="88" t="str">
        <f aca="false">IFERROR(IF(ISNUMBER(INDEX(원자료_잔고!$A$1:$EZ$1500,설정!$L$5+ROW()-1,설정!$L$19)),INDEX(원자료_잔고!$A$1:$EZ$1500,설정!$L$5+ROW()-1,설정!$L$19),""),"")</f>
        <v/>
      </c>
      <c r="N672" s="83" t="str">
        <f aca="false">IFERROR(IF(INDEX(원자료_잔고!$A$1:$EZ$1500,설정!$L$5+ROW()-1,설정!$L$21)&amp;""="0","",INDEX(원자료_잔고!$A$1:$EZ$1500,설정!$L$5+ROW()-1,설정!$L$21)&amp;""),"")</f>
        <v/>
      </c>
      <c r="O672" s="83" t="str">
        <f aca="false">IFERROR(IF(INDEX(원자료_잔고!$A$1:$EZ$1500,설정!$L$5+ROW()-1,설정!$L$22)&amp;""="0","",INDEX(원자료_잔고!$A$1:$EZ$1500,설정!$L$5+ROW()-1,설정!$L$22)&amp;""),"")</f>
        <v/>
      </c>
      <c r="P672" s="83" t="str">
        <f aca="false">IFERROR(IF(INDEX(원자료_잔고!$A$1:$EZ$1500,설정!$L$5+ROW()-1,설정!$L$23)&amp;""="0","",INDEX(원자료_잔고!$A$1:$EZ$1500,설정!$L$5+ROW()-1,설정!$L$23)&amp;""),"")</f>
        <v/>
      </c>
      <c r="Q672" s="89" t="n">
        <f aca="false">IF(AND($A672&lt;&gt;"",ISNUMBER(E672)),IF(E672&gt;0,1,0),0)</f>
        <v>0</v>
      </c>
      <c r="R672" s="43" t="str">
        <f aca="false">IF(Q672=1,UPPER(LEFT($A672,FIND(" ",$A672&amp;" ")-1)),"")</f>
        <v/>
      </c>
      <c r="S672" s="89" t="n">
        <f aca="false">IF(Q672=1,IF(OR(ISNUMBER(SEARCH("Float",$A672)),ISNUMBER(SEARCH("FRN",$A672))),1,0),0)</f>
        <v>0</v>
      </c>
      <c r="T672" s="43" t="str">
        <f aca="false">IF(AND(Q672=1,ISNUMBER(I672)),TEXT(I672,"yyyymmdd")&amp;"|"&amp;IF(S672=1,"F",TEXT(J672,"0.000")),"")</f>
        <v/>
      </c>
      <c r="U672" s="90" t="str">
        <f aca="false">IF(AND(Q672=1,ISNUMBER(I672)),(I672-설정!$C$4)/365.25,"")</f>
        <v/>
      </c>
      <c r="V672" s="43" t="str">
        <f aca="false">IF(Q672&lt;&gt;1,"",IF(ISNUMBER(U672),IF(U672&lt;=1,"1년 이하",IF(U672&lt;=2,"1-2년",IF(U672&lt;=3,"2-3년",IF(U672&lt;=4,"3-4년",IF(U672&lt;=5,"4-5년",IF(U672&lt;=7,"5-7년",IF(U672&lt;=10,"7-10년",IF(U672&lt;=20,"10-20년","20년 이상")))))))),"미분류"))</f>
        <v/>
      </c>
      <c r="W672" s="43" t="str">
        <f aca="false">IF(Q672&lt;&gt;1,"",IF(AB672&lt;&gt;"",INDEX(시장분석!$C:$C,AB672),IF(K672=1,"USD","비USD")))</f>
        <v/>
      </c>
      <c r="X672" s="91" t="n">
        <f aca="false">IF(Q672=1,E672*K672/1000000,0)</f>
        <v>0</v>
      </c>
      <c r="Y672" s="89" t="n">
        <f aca="false">IF(R672="T",1,0)</f>
        <v>0</v>
      </c>
      <c r="Z672" s="92" t="str">
        <f aca="false">IF(Q672&lt;&gt;1,"",IF(AD672=1,IF(ISNUMBER(U672),MAX(U672,0),H672),H672))</f>
        <v/>
      </c>
      <c r="AA672" s="91" t="n">
        <f aca="false">IF(Q672=1,IF(ISNUMBER(L672),L672,0)*K672/1000000,0)</f>
        <v>0</v>
      </c>
      <c r="AB672" s="89" t="str">
        <f aca="false">IF(Q672&lt;&gt;1,"",IFERROR(MATCH(VLOOKUP(B672,매핑!$H$4:$I$15,2,0),시장분석!$A$2:$A$601,0)+1,IFERROR(MATCH(R672&amp;"|"&amp;T672,시장분석!$V$2:$V$601,0)+1,IF(COUNTIF(시장분석!$U$2:$U$601,T672)=1,MATCH(T672,시장분석!$U$2:$U$601,0)+1,""))))</f>
        <v/>
      </c>
      <c r="AC672" s="89" t="n">
        <f aca="false">IF(Q672&lt;&gt;1,0,IF(OR(설정!$C$5="전체",AND(설정!$C$5="선택펀드",IFERROR(COUNTIFS(설정!$F$16:$F$36,C672,설정!$G$16:$G$36,"Y")+COUNTIFS(설정!$F$16:$F$36,VALUE(C672),설정!$G$16:$G$36,"Y"),0)&gt;0),C672&amp;""=설정!$C$5&amp;""),1,0))</f>
        <v>0</v>
      </c>
      <c r="AD672" s="89" t="n">
        <f aca="false">IF(Q672&lt;&gt;1,0,IF(OR(S672=1,IF(AB672="",FALSE(),INDEX(시장분석!$R:$R,AB672)=1)),1,0))</f>
        <v>0</v>
      </c>
      <c r="AE672" s="43" t="str">
        <f aca="false">IF(AB672="","",INDEX(시장분석!$A:$A,AB672))</f>
        <v/>
      </c>
      <c r="AF672" s="93" t="str">
        <f aca="false">IF(AB672="","",IF(ISNUMBER(IF(AB672="","",INDEX(시장분석!$E:$E,AB672))),IF(AB672="","",INDEX(시장분석!$E:$E,AB672)),""))</f>
        <v/>
      </c>
      <c r="AG672" s="43" t="str">
        <f aca="false">IF(Q672&lt;&gt;1,"",IF(AB672&lt;&gt;"",IF(AB672="","",INDEX(시장분석!$L:$L,AB672)),IFERROR(IF(VLOOKUP(R672,매핑!$A$4:$E$92,5,0)="","미분류",VLOOKUP(R672,매핑!$A$4:$E$92,5,0)),"미분류")))</f>
        <v/>
      </c>
      <c r="AH672" s="43" t="str">
        <f aca="false">IF(Q672&lt;&gt;1,"",IF(AB672&lt;&gt;"",IF(AB672="","",INDEX(시장분석!$N:$N,AB672)),IFERROR(IF(VLOOKUP(R672,매핑!$A$4:$E$92,4,0)="","미분류",VLOOKUP(R672,매핑!$A$4:$E$92,4,0)),"미분류")))</f>
        <v/>
      </c>
      <c r="AI672" s="43" t="str">
        <f aca="false">IF(Q672&lt;&gt;1,"",IFERROR(IF(VLOOKUP(R672,매핑!$A$4:$E$92,3,0)="","미분류",VLOOKUP(R672,매핑!$A$4:$E$92,3,0)),IF(AB672&lt;&gt;"",IF(AB672="","",INDEX(시장분석!$W:$W,AB672)),"미분류")))</f>
        <v/>
      </c>
      <c r="AJ672" s="43" t="str">
        <f aca="false">IF(Q672&lt;&gt;1,"",IFERROR(VLOOKUP(IF(N672&lt;&gt;"",N672,IF(P672&lt;&gt;"",P672,O672)),설정!$A$15:$D$47,2,0),""))</f>
        <v/>
      </c>
      <c r="AK672" s="43" t="str">
        <f aca="false">IF(Q672&lt;&gt;1,"",IF(AJ672="","무등급",IFERROR(VLOOKUP(AJ672,설정!$A$15:$D$47,3,0),"무등급")))</f>
        <v/>
      </c>
      <c r="AL672" s="89" t="n">
        <f aca="false">IF(AJ672="",99,IFERROR(VLOOKUP(AJ672,설정!$A$15:$D$47,4,0),99))</f>
        <v>99</v>
      </c>
      <c r="AM672" s="94" t="n">
        <f aca="false">IF(ISNUMBER(H672),AA672*1000000*H672/10000,0)</f>
        <v>0</v>
      </c>
      <c r="AN672" s="94" t="n">
        <f aca="false">IF(OR(Y672=1,NOT(ISNUMBER(Z672))),0,AA672*1000000*Z672/10000)</f>
        <v>0</v>
      </c>
      <c r="AO672" s="94" t="n">
        <f aca="false">IF(ISNUMBER(G672),AA672*1000000*G672/100,0)</f>
        <v>0</v>
      </c>
      <c r="AP672" s="94" t="n">
        <f aca="false">IF(ISNUMBER(M672),M672*K672,0)</f>
        <v>0</v>
      </c>
      <c r="AQ672" s="95" t="str">
        <f aca="false">IF(AB672="","",INDEX(시장분석!$AK:$AK,AB672))</f>
        <v/>
      </c>
      <c r="AR672" s="43" t="str">
        <f aca="false">IF(AB672="","-",IF(AB672="","",INDEX(시장분석!$AL:$AL,AB672)))</f>
        <v>-</v>
      </c>
      <c r="AS672" s="96" t="str">
        <f aca="false">IF(AB672="","",INDEX(시장분석!$AJ:$AJ,AB672))</f>
        <v/>
      </c>
      <c r="AT672" s="93" t="n">
        <f aca="false">IF(AB672="",0,IF(AB672="","",INDEX(시장분석!$AN:$AN,AB672)))</f>
        <v>0</v>
      </c>
      <c r="AU672" s="94" t="n">
        <f aca="false">IF(ISNUMBER(Z672),AT672/10000*MAX(Z672-1,0)*AA672*1000000,0)</f>
        <v>0</v>
      </c>
      <c r="AV672" s="94" t="n">
        <f aca="false">AO672+AU672</f>
        <v>0</v>
      </c>
      <c r="AW672" s="43" t="str">
        <f aca="false">IF(Q672&lt;&gt;1,"",TRIM(IF(AD672=1,"FRN ","")&amp;IF(AND(AL672&gt;=10,AL672&lt;99),"BBB0미만 ","")&amp;IF(AJ672="","등급없음 ","")&amp;IF(K672&lt;&gt;1,"비USD ","")&amp;IF(AND(AB672="",Y672=0),"시장데이터없음 ","")&amp;IF(AND(ISNUMBER(U672),U672&lt;0),"만기경과 ","")))</f>
        <v/>
      </c>
      <c r="AX672" s="90" t="n">
        <f aca="false">IF(Q672&lt;&gt;1,1,IF(스프레드쇼크!$C$4="Y",INDEX(스프레드쇼크!$B$12:$L$16,IFERROR(MATCH(AH672,스프레드쇼크!$A$12:$A$16,0),MATCH("목록외",스프레드쇼크!$A$12:$A$16,0)),IFERROR(MATCH(AG672,스프레드쇼크!$B$11:$L$11,0),MATCH("목록외",스프레드쇼크!$B$11:$L$11,0))),1))</f>
        <v>1</v>
      </c>
      <c r="AY672" s="90" t="n">
        <f aca="false">IF(스프레드쇼크!$C$5="Y",IF(ISNUMBER(AF672),MIN(스프레드쇼크!$C$7,MAX(스프레드쇼크!$C$6,AF672/스프레드쇼크!$C$8)),1),1)</f>
        <v>1</v>
      </c>
      <c r="AZ672" s="94" t="n">
        <f aca="false">AN672*AX672*AY672</f>
        <v>0</v>
      </c>
      <c r="BA672" s="90" t="n">
        <f aca="false">IF(ISNUMBER(G672),AA672*G672,0)</f>
        <v>0</v>
      </c>
      <c r="BB672" s="90" t="n">
        <f aca="false">IF(ISNUMBER(G672),AA672,0)</f>
        <v>0</v>
      </c>
      <c r="BC672" s="90" t="n">
        <f aca="false">IF(AND(Y672=0,ISNUMBER(AF672)),AA672*AF672,0)</f>
        <v>0</v>
      </c>
      <c r="BD672" s="90" t="n">
        <f aca="false">IF(AND(Y672=0,ISNUMBER(AF672)),AA672,0)</f>
        <v>0</v>
      </c>
      <c r="BE672" s="90" t="n">
        <f aca="false">IF(ISNUMBER(H672),AA672*H672,0)</f>
        <v>0</v>
      </c>
      <c r="BF672" s="90" t="n">
        <f aca="false">IF(ISNUMBER(H672),AA672,0)</f>
        <v>0</v>
      </c>
      <c r="BG672" s="90" t="n">
        <f aca="false">IF(AND(Y672=0,ISNUMBER(AF672),ISNUMBER(Z672)),AA672*Z672,0)</f>
        <v>0</v>
      </c>
      <c r="BH672" s="90" t="n">
        <f aca="false">IF(AND(Y672=0,ISNUMBER(AF672),ISNUMBER(Z672)),AA672*AT672*MAX(Z672-1,0),0)</f>
        <v>0</v>
      </c>
      <c r="BI672" s="90" t="n">
        <f aca="false">IF(Y672=0,AA672,0)</f>
        <v>0</v>
      </c>
    </row>
    <row r="673" customFormat="false" ht="15" hidden="false" customHeight="false" outlineLevel="0" collapsed="false">
      <c r="A673" s="83" t="str">
        <f aca="false">IFERROR(IF(INDEX(원자료_잔고!$A$1:$EZ$1500,설정!$L$5+ROW()-1,설정!$L$8)&amp;""="0","",INDEX(원자료_잔고!$A$1:$EZ$1500,설정!$L$5+ROW()-1,설정!$L$8)&amp;""),"")</f>
        <v/>
      </c>
      <c r="B673" s="83" t="str">
        <f aca="false">IFERROR(IF(INDEX(원자료_잔고!$A$1:$EZ$1500,설정!$L$5+ROW()-1,설정!$L$7)&amp;""="0","",INDEX(원자료_잔고!$A$1:$EZ$1500,설정!$L$5+ROW()-1,설정!$L$7)&amp;""),"")</f>
        <v/>
      </c>
      <c r="C673" s="83" t="str">
        <f aca="false">IFERROR(IF(INDEX(원자료_잔고!$A$1:$EZ$1500,설정!$L$5+ROW()-1,설정!$L$9)&amp;""="0","",INDEX(원자료_잔고!$A$1:$EZ$1500,설정!$L$5+ROW()-1,설정!$L$9)&amp;""),"")</f>
        <v/>
      </c>
      <c r="D673" s="83" t="str">
        <f aca="false">IFERROR(IF(INDEX(원자료_잔고!$A$1:$EZ$1500,설정!$L$5+ROW()-1,설정!$L$10)&amp;""="0","",INDEX(원자료_잔고!$A$1:$EZ$1500,설정!$L$5+ROW()-1,설정!$L$10)&amp;""),"")</f>
        <v/>
      </c>
      <c r="E673" s="84" t="str">
        <f aca="false">IFERROR(IF(ISNUMBER(INDEX(원자료_잔고!$A$1:$EZ$1500,설정!$L$5+ROW()-1,설정!$L$11)),INDEX(원자료_잔고!$A$1:$EZ$1500,설정!$L$5+ROW()-1,설정!$L$11),""),"")</f>
        <v/>
      </c>
      <c r="F673" s="85" t="str">
        <f aca="false">IFERROR(IF(ISNUMBER(INDEX(원자료_잔고!$A$1:$EZ$1500,설정!$L$5+ROW()-1,설정!$L$12)),INDEX(원자료_잔고!$A$1:$EZ$1500,설정!$L$5+ROW()-1,설정!$L$12),""),"")</f>
        <v/>
      </c>
      <c r="G673" s="85" t="str">
        <f aca="false">IFERROR(IF(ISNUMBER(INDEX(원자료_잔고!$A$1:$EZ$1500,설정!$L$5+ROW()-1,설정!$L$13)),INDEX(원자료_잔고!$A$1:$EZ$1500,설정!$L$5+ROW()-1,설정!$L$13),""),"")</f>
        <v/>
      </c>
      <c r="H673" s="85" t="str">
        <f aca="false">IFERROR(IF(ISNUMBER(INDEX(원자료_잔고!$A$1:$EZ$1500,설정!$L$5+ROW()-1,설정!$L$14)),INDEX(원자료_잔고!$A$1:$EZ$1500,설정!$L$5+ROW()-1,설정!$L$14),""),"")</f>
        <v/>
      </c>
      <c r="I673" s="86" t="str">
        <f aca="false">IFERROR(IF(ISNUMBER(INDEX(원자료_잔고!$A$1:$EZ$1500,설정!$L$5+ROW()-1,설정!$L$15)),INDEX(원자료_잔고!$A$1:$EZ$1500,설정!$L$5+ROW()-1,설정!$L$15),""),"")</f>
        <v/>
      </c>
      <c r="J673" s="85" t="str">
        <f aca="false">IFERROR(IF(ISNUMBER(INDEX(원자료_잔고!$A$1:$EZ$1500,설정!$L$5+ROW()-1,설정!$L$16)),INDEX(원자료_잔고!$A$1:$EZ$1500,설정!$L$5+ROW()-1,설정!$L$16),""),"")</f>
        <v/>
      </c>
      <c r="K673" s="87" t="str">
        <f aca="false">IFERROR(IF(ISNUMBER(INDEX(원자료_잔고!$A$1:$EZ$1500,설정!$L$5+ROW()-1,설정!$L$17)),INDEX(원자료_잔고!$A$1:$EZ$1500,설정!$L$5+ROW()-1,설정!$L$17),""),"")</f>
        <v/>
      </c>
      <c r="L673" s="84" t="str">
        <f aca="false">IFERROR(IF(ISNUMBER(INDEX(원자료_잔고!$A$1:$EZ$1500,설정!$L$5+ROW()-1,설정!$L$18)),INDEX(원자료_잔고!$A$1:$EZ$1500,설정!$L$5+ROW()-1,설정!$L$18),""),"")</f>
        <v/>
      </c>
      <c r="M673" s="88" t="str">
        <f aca="false">IFERROR(IF(ISNUMBER(INDEX(원자료_잔고!$A$1:$EZ$1500,설정!$L$5+ROW()-1,설정!$L$19)),INDEX(원자료_잔고!$A$1:$EZ$1500,설정!$L$5+ROW()-1,설정!$L$19),""),"")</f>
        <v/>
      </c>
      <c r="N673" s="83" t="str">
        <f aca="false">IFERROR(IF(INDEX(원자료_잔고!$A$1:$EZ$1500,설정!$L$5+ROW()-1,설정!$L$21)&amp;""="0","",INDEX(원자료_잔고!$A$1:$EZ$1500,설정!$L$5+ROW()-1,설정!$L$21)&amp;""),"")</f>
        <v/>
      </c>
      <c r="O673" s="83" t="str">
        <f aca="false">IFERROR(IF(INDEX(원자료_잔고!$A$1:$EZ$1500,설정!$L$5+ROW()-1,설정!$L$22)&amp;""="0","",INDEX(원자료_잔고!$A$1:$EZ$1500,설정!$L$5+ROW()-1,설정!$L$22)&amp;""),"")</f>
        <v/>
      </c>
      <c r="P673" s="83" t="str">
        <f aca="false">IFERROR(IF(INDEX(원자료_잔고!$A$1:$EZ$1500,설정!$L$5+ROW()-1,설정!$L$23)&amp;""="0","",INDEX(원자료_잔고!$A$1:$EZ$1500,설정!$L$5+ROW()-1,설정!$L$23)&amp;""),"")</f>
        <v/>
      </c>
      <c r="Q673" s="89" t="n">
        <f aca="false">IF(AND($A673&lt;&gt;"",ISNUMBER(E673)),IF(E673&gt;0,1,0),0)</f>
        <v>0</v>
      </c>
      <c r="R673" s="43" t="str">
        <f aca="false">IF(Q673=1,UPPER(LEFT($A673,FIND(" ",$A673&amp;" ")-1)),"")</f>
        <v/>
      </c>
      <c r="S673" s="89" t="n">
        <f aca="false">IF(Q673=1,IF(OR(ISNUMBER(SEARCH("Float",$A673)),ISNUMBER(SEARCH("FRN",$A673))),1,0),0)</f>
        <v>0</v>
      </c>
      <c r="T673" s="43" t="str">
        <f aca="false">IF(AND(Q673=1,ISNUMBER(I673)),TEXT(I673,"yyyymmdd")&amp;"|"&amp;IF(S673=1,"F",TEXT(J673,"0.000")),"")</f>
        <v/>
      </c>
      <c r="U673" s="90" t="str">
        <f aca="false">IF(AND(Q673=1,ISNUMBER(I673)),(I673-설정!$C$4)/365.25,"")</f>
        <v/>
      </c>
      <c r="V673" s="43" t="str">
        <f aca="false">IF(Q673&lt;&gt;1,"",IF(ISNUMBER(U673),IF(U673&lt;=1,"1년 이하",IF(U673&lt;=2,"1-2년",IF(U673&lt;=3,"2-3년",IF(U673&lt;=4,"3-4년",IF(U673&lt;=5,"4-5년",IF(U673&lt;=7,"5-7년",IF(U673&lt;=10,"7-10년",IF(U673&lt;=20,"10-20년","20년 이상")))))))),"미분류"))</f>
        <v/>
      </c>
      <c r="W673" s="43" t="str">
        <f aca="false">IF(Q673&lt;&gt;1,"",IF(AB673&lt;&gt;"",INDEX(시장분석!$C:$C,AB673),IF(K673=1,"USD","비USD")))</f>
        <v/>
      </c>
      <c r="X673" s="91" t="n">
        <f aca="false">IF(Q673=1,E673*K673/1000000,0)</f>
        <v>0</v>
      </c>
      <c r="Y673" s="89" t="n">
        <f aca="false">IF(R673="T",1,0)</f>
        <v>0</v>
      </c>
      <c r="Z673" s="92" t="str">
        <f aca="false">IF(Q673&lt;&gt;1,"",IF(AD673=1,IF(ISNUMBER(U673),MAX(U673,0),H673),H673))</f>
        <v/>
      </c>
      <c r="AA673" s="91" t="n">
        <f aca="false">IF(Q673=1,IF(ISNUMBER(L673),L673,0)*K673/1000000,0)</f>
        <v>0</v>
      </c>
      <c r="AB673" s="89" t="str">
        <f aca="false">IF(Q673&lt;&gt;1,"",IFERROR(MATCH(VLOOKUP(B673,매핑!$H$4:$I$15,2,0),시장분석!$A$2:$A$601,0)+1,IFERROR(MATCH(R673&amp;"|"&amp;T673,시장분석!$V$2:$V$601,0)+1,IF(COUNTIF(시장분석!$U$2:$U$601,T673)=1,MATCH(T673,시장분석!$U$2:$U$601,0)+1,""))))</f>
        <v/>
      </c>
      <c r="AC673" s="89" t="n">
        <f aca="false">IF(Q673&lt;&gt;1,0,IF(OR(설정!$C$5="전체",AND(설정!$C$5="선택펀드",IFERROR(COUNTIFS(설정!$F$16:$F$36,C673,설정!$G$16:$G$36,"Y")+COUNTIFS(설정!$F$16:$F$36,VALUE(C673),설정!$G$16:$G$36,"Y"),0)&gt;0),C673&amp;""=설정!$C$5&amp;""),1,0))</f>
        <v>0</v>
      </c>
      <c r="AD673" s="89" t="n">
        <f aca="false">IF(Q673&lt;&gt;1,0,IF(OR(S673=1,IF(AB673="",FALSE(),INDEX(시장분석!$R:$R,AB673)=1)),1,0))</f>
        <v>0</v>
      </c>
      <c r="AE673" s="43" t="str">
        <f aca="false">IF(AB673="","",INDEX(시장분석!$A:$A,AB673))</f>
        <v/>
      </c>
      <c r="AF673" s="93" t="str">
        <f aca="false">IF(AB673="","",IF(ISNUMBER(IF(AB673="","",INDEX(시장분석!$E:$E,AB673))),IF(AB673="","",INDEX(시장분석!$E:$E,AB673)),""))</f>
        <v/>
      </c>
      <c r="AG673" s="43" t="str">
        <f aca="false">IF(Q673&lt;&gt;1,"",IF(AB673&lt;&gt;"",IF(AB673="","",INDEX(시장분석!$L:$L,AB673)),IFERROR(IF(VLOOKUP(R673,매핑!$A$4:$E$92,5,0)="","미분류",VLOOKUP(R673,매핑!$A$4:$E$92,5,0)),"미분류")))</f>
        <v/>
      </c>
      <c r="AH673" s="43" t="str">
        <f aca="false">IF(Q673&lt;&gt;1,"",IF(AB673&lt;&gt;"",IF(AB673="","",INDEX(시장분석!$N:$N,AB673)),IFERROR(IF(VLOOKUP(R673,매핑!$A$4:$E$92,4,0)="","미분류",VLOOKUP(R673,매핑!$A$4:$E$92,4,0)),"미분류")))</f>
        <v/>
      </c>
      <c r="AI673" s="43" t="str">
        <f aca="false">IF(Q673&lt;&gt;1,"",IFERROR(IF(VLOOKUP(R673,매핑!$A$4:$E$92,3,0)="","미분류",VLOOKUP(R673,매핑!$A$4:$E$92,3,0)),IF(AB673&lt;&gt;"",IF(AB673="","",INDEX(시장분석!$W:$W,AB673)),"미분류")))</f>
        <v/>
      </c>
      <c r="AJ673" s="43" t="str">
        <f aca="false">IF(Q673&lt;&gt;1,"",IFERROR(VLOOKUP(IF(N673&lt;&gt;"",N673,IF(P673&lt;&gt;"",P673,O673)),설정!$A$15:$D$47,2,0),""))</f>
        <v/>
      </c>
      <c r="AK673" s="43" t="str">
        <f aca="false">IF(Q673&lt;&gt;1,"",IF(AJ673="","무등급",IFERROR(VLOOKUP(AJ673,설정!$A$15:$D$47,3,0),"무등급")))</f>
        <v/>
      </c>
      <c r="AL673" s="89" t="n">
        <f aca="false">IF(AJ673="",99,IFERROR(VLOOKUP(AJ673,설정!$A$15:$D$47,4,0),99))</f>
        <v>99</v>
      </c>
      <c r="AM673" s="94" t="n">
        <f aca="false">IF(ISNUMBER(H673),AA673*1000000*H673/10000,0)</f>
        <v>0</v>
      </c>
      <c r="AN673" s="94" t="n">
        <f aca="false">IF(OR(Y673=1,NOT(ISNUMBER(Z673))),0,AA673*1000000*Z673/10000)</f>
        <v>0</v>
      </c>
      <c r="AO673" s="94" t="n">
        <f aca="false">IF(ISNUMBER(G673),AA673*1000000*G673/100,0)</f>
        <v>0</v>
      </c>
      <c r="AP673" s="94" t="n">
        <f aca="false">IF(ISNUMBER(M673),M673*K673,0)</f>
        <v>0</v>
      </c>
      <c r="AQ673" s="95" t="str">
        <f aca="false">IF(AB673="","",INDEX(시장분석!$AK:$AK,AB673))</f>
        <v/>
      </c>
      <c r="AR673" s="43" t="str">
        <f aca="false">IF(AB673="","-",IF(AB673="","",INDEX(시장분석!$AL:$AL,AB673)))</f>
        <v>-</v>
      </c>
      <c r="AS673" s="96" t="str">
        <f aca="false">IF(AB673="","",INDEX(시장분석!$AJ:$AJ,AB673))</f>
        <v/>
      </c>
      <c r="AT673" s="93" t="n">
        <f aca="false">IF(AB673="",0,IF(AB673="","",INDEX(시장분석!$AN:$AN,AB673)))</f>
        <v>0</v>
      </c>
      <c r="AU673" s="94" t="n">
        <f aca="false">IF(ISNUMBER(Z673),AT673/10000*MAX(Z673-1,0)*AA673*1000000,0)</f>
        <v>0</v>
      </c>
      <c r="AV673" s="94" t="n">
        <f aca="false">AO673+AU673</f>
        <v>0</v>
      </c>
      <c r="AW673" s="43" t="str">
        <f aca="false">IF(Q673&lt;&gt;1,"",TRIM(IF(AD673=1,"FRN ","")&amp;IF(AND(AL673&gt;=10,AL673&lt;99),"BBB0미만 ","")&amp;IF(AJ673="","등급없음 ","")&amp;IF(K673&lt;&gt;1,"비USD ","")&amp;IF(AND(AB673="",Y673=0),"시장데이터없음 ","")&amp;IF(AND(ISNUMBER(U673),U673&lt;0),"만기경과 ","")))</f>
        <v/>
      </c>
      <c r="AX673" s="90" t="n">
        <f aca="false">IF(Q673&lt;&gt;1,1,IF(스프레드쇼크!$C$4="Y",INDEX(스프레드쇼크!$B$12:$L$16,IFERROR(MATCH(AH673,스프레드쇼크!$A$12:$A$16,0),MATCH("목록외",스프레드쇼크!$A$12:$A$16,0)),IFERROR(MATCH(AG673,스프레드쇼크!$B$11:$L$11,0),MATCH("목록외",스프레드쇼크!$B$11:$L$11,0))),1))</f>
        <v>1</v>
      </c>
      <c r="AY673" s="90" t="n">
        <f aca="false">IF(스프레드쇼크!$C$5="Y",IF(ISNUMBER(AF673),MIN(스프레드쇼크!$C$7,MAX(스프레드쇼크!$C$6,AF673/스프레드쇼크!$C$8)),1),1)</f>
        <v>1</v>
      </c>
      <c r="AZ673" s="94" t="n">
        <f aca="false">AN673*AX673*AY673</f>
        <v>0</v>
      </c>
      <c r="BA673" s="90" t="n">
        <f aca="false">IF(ISNUMBER(G673),AA673*G673,0)</f>
        <v>0</v>
      </c>
      <c r="BB673" s="90" t="n">
        <f aca="false">IF(ISNUMBER(G673),AA673,0)</f>
        <v>0</v>
      </c>
      <c r="BC673" s="90" t="n">
        <f aca="false">IF(AND(Y673=0,ISNUMBER(AF673)),AA673*AF673,0)</f>
        <v>0</v>
      </c>
      <c r="BD673" s="90" t="n">
        <f aca="false">IF(AND(Y673=0,ISNUMBER(AF673)),AA673,0)</f>
        <v>0</v>
      </c>
      <c r="BE673" s="90" t="n">
        <f aca="false">IF(ISNUMBER(H673),AA673*H673,0)</f>
        <v>0</v>
      </c>
      <c r="BF673" s="90" t="n">
        <f aca="false">IF(ISNUMBER(H673),AA673,0)</f>
        <v>0</v>
      </c>
      <c r="BG673" s="90" t="n">
        <f aca="false">IF(AND(Y673=0,ISNUMBER(AF673),ISNUMBER(Z673)),AA673*Z673,0)</f>
        <v>0</v>
      </c>
      <c r="BH673" s="90" t="n">
        <f aca="false">IF(AND(Y673=0,ISNUMBER(AF673),ISNUMBER(Z673)),AA673*AT673*MAX(Z673-1,0),0)</f>
        <v>0</v>
      </c>
      <c r="BI673" s="90" t="n">
        <f aca="false">IF(Y673=0,AA673,0)</f>
        <v>0</v>
      </c>
    </row>
    <row r="674" customFormat="false" ht="15" hidden="false" customHeight="false" outlineLevel="0" collapsed="false">
      <c r="A674" s="83" t="str">
        <f aca="false">IFERROR(IF(INDEX(원자료_잔고!$A$1:$EZ$1500,설정!$L$5+ROW()-1,설정!$L$8)&amp;""="0","",INDEX(원자료_잔고!$A$1:$EZ$1500,설정!$L$5+ROW()-1,설정!$L$8)&amp;""),"")</f>
        <v/>
      </c>
      <c r="B674" s="83" t="str">
        <f aca="false">IFERROR(IF(INDEX(원자료_잔고!$A$1:$EZ$1500,설정!$L$5+ROW()-1,설정!$L$7)&amp;""="0","",INDEX(원자료_잔고!$A$1:$EZ$1500,설정!$L$5+ROW()-1,설정!$L$7)&amp;""),"")</f>
        <v/>
      </c>
      <c r="C674" s="83" t="str">
        <f aca="false">IFERROR(IF(INDEX(원자료_잔고!$A$1:$EZ$1500,설정!$L$5+ROW()-1,설정!$L$9)&amp;""="0","",INDEX(원자료_잔고!$A$1:$EZ$1500,설정!$L$5+ROW()-1,설정!$L$9)&amp;""),"")</f>
        <v/>
      </c>
      <c r="D674" s="83" t="str">
        <f aca="false">IFERROR(IF(INDEX(원자료_잔고!$A$1:$EZ$1500,설정!$L$5+ROW()-1,설정!$L$10)&amp;""="0","",INDEX(원자료_잔고!$A$1:$EZ$1500,설정!$L$5+ROW()-1,설정!$L$10)&amp;""),"")</f>
        <v/>
      </c>
      <c r="E674" s="84" t="str">
        <f aca="false">IFERROR(IF(ISNUMBER(INDEX(원자료_잔고!$A$1:$EZ$1500,설정!$L$5+ROW()-1,설정!$L$11)),INDEX(원자료_잔고!$A$1:$EZ$1500,설정!$L$5+ROW()-1,설정!$L$11),""),"")</f>
        <v/>
      </c>
      <c r="F674" s="85" t="str">
        <f aca="false">IFERROR(IF(ISNUMBER(INDEX(원자료_잔고!$A$1:$EZ$1500,설정!$L$5+ROW()-1,설정!$L$12)),INDEX(원자료_잔고!$A$1:$EZ$1500,설정!$L$5+ROW()-1,설정!$L$12),""),"")</f>
        <v/>
      </c>
      <c r="G674" s="85" t="str">
        <f aca="false">IFERROR(IF(ISNUMBER(INDEX(원자료_잔고!$A$1:$EZ$1500,설정!$L$5+ROW()-1,설정!$L$13)),INDEX(원자료_잔고!$A$1:$EZ$1500,설정!$L$5+ROW()-1,설정!$L$13),""),"")</f>
        <v/>
      </c>
      <c r="H674" s="85" t="str">
        <f aca="false">IFERROR(IF(ISNUMBER(INDEX(원자료_잔고!$A$1:$EZ$1500,설정!$L$5+ROW()-1,설정!$L$14)),INDEX(원자료_잔고!$A$1:$EZ$1500,설정!$L$5+ROW()-1,설정!$L$14),""),"")</f>
        <v/>
      </c>
      <c r="I674" s="86" t="str">
        <f aca="false">IFERROR(IF(ISNUMBER(INDEX(원자료_잔고!$A$1:$EZ$1500,설정!$L$5+ROW()-1,설정!$L$15)),INDEX(원자료_잔고!$A$1:$EZ$1500,설정!$L$5+ROW()-1,설정!$L$15),""),"")</f>
        <v/>
      </c>
      <c r="J674" s="85" t="str">
        <f aca="false">IFERROR(IF(ISNUMBER(INDEX(원자료_잔고!$A$1:$EZ$1500,설정!$L$5+ROW()-1,설정!$L$16)),INDEX(원자료_잔고!$A$1:$EZ$1500,설정!$L$5+ROW()-1,설정!$L$16),""),"")</f>
        <v/>
      </c>
      <c r="K674" s="87" t="str">
        <f aca="false">IFERROR(IF(ISNUMBER(INDEX(원자료_잔고!$A$1:$EZ$1500,설정!$L$5+ROW()-1,설정!$L$17)),INDEX(원자료_잔고!$A$1:$EZ$1500,설정!$L$5+ROW()-1,설정!$L$17),""),"")</f>
        <v/>
      </c>
      <c r="L674" s="84" t="str">
        <f aca="false">IFERROR(IF(ISNUMBER(INDEX(원자료_잔고!$A$1:$EZ$1500,설정!$L$5+ROW()-1,설정!$L$18)),INDEX(원자료_잔고!$A$1:$EZ$1500,설정!$L$5+ROW()-1,설정!$L$18),""),"")</f>
        <v/>
      </c>
      <c r="M674" s="88" t="str">
        <f aca="false">IFERROR(IF(ISNUMBER(INDEX(원자료_잔고!$A$1:$EZ$1500,설정!$L$5+ROW()-1,설정!$L$19)),INDEX(원자료_잔고!$A$1:$EZ$1500,설정!$L$5+ROW()-1,설정!$L$19),""),"")</f>
        <v/>
      </c>
      <c r="N674" s="83" t="str">
        <f aca="false">IFERROR(IF(INDEX(원자료_잔고!$A$1:$EZ$1500,설정!$L$5+ROW()-1,설정!$L$21)&amp;""="0","",INDEX(원자료_잔고!$A$1:$EZ$1500,설정!$L$5+ROW()-1,설정!$L$21)&amp;""),"")</f>
        <v/>
      </c>
      <c r="O674" s="83" t="str">
        <f aca="false">IFERROR(IF(INDEX(원자료_잔고!$A$1:$EZ$1500,설정!$L$5+ROW()-1,설정!$L$22)&amp;""="0","",INDEX(원자료_잔고!$A$1:$EZ$1500,설정!$L$5+ROW()-1,설정!$L$22)&amp;""),"")</f>
        <v/>
      </c>
      <c r="P674" s="83" t="str">
        <f aca="false">IFERROR(IF(INDEX(원자료_잔고!$A$1:$EZ$1500,설정!$L$5+ROW()-1,설정!$L$23)&amp;""="0","",INDEX(원자료_잔고!$A$1:$EZ$1500,설정!$L$5+ROW()-1,설정!$L$23)&amp;""),"")</f>
        <v/>
      </c>
      <c r="Q674" s="89" t="n">
        <f aca="false">IF(AND($A674&lt;&gt;"",ISNUMBER(E674)),IF(E674&gt;0,1,0),0)</f>
        <v>0</v>
      </c>
      <c r="R674" s="43" t="str">
        <f aca="false">IF(Q674=1,UPPER(LEFT($A674,FIND(" ",$A674&amp;" ")-1)),"")</f>
        <v/>
      </c>
      <c r="S674" s="89" t="n">
        <f aca="false">IF(Q674=1,IF(OR(ISNUMBER(SEARCH("Float",$A674)),ISNUMBER(SEARCH("FRN",$A674))),1,0),0)</f>
        <v>0</v>
      </c>
      <c r="T674" s="43" t="str">
        <f aca="false">IF(AND(Q674=1,ISNUMBER(I674)),TEXT(I674,"yyyymmdd")&amp;"|"&amp;IF(S674=1,"F",TEXT(J674,"0.000")),"")</f>
        <v/>
      </c>
      <c r="U674" s="90" t="str">
        <f aca="false">IF(AND(Q674=1,ISNUMBER(I674)),(I674-설정!$C$4)/365.25,"")</f>
        <v/>
      </c>
      <c r="V674" s="43" t="str">
        <f aca="false">IF(Q674&lt;&gt;1,"",IF(ISNUMBER(U674),IF(U674&lt;=1,"1년 이하",IF(U674&lt;=2,"1-2년",IF(U674&lt;=3,"2-3년",IF(U674&lt;=4,"3-4년",IF(U674&lt;=5,"4-5년",IF(U674&lt;=7,"5-7년",IF(U674&lt;=10,"7-10년",IF(U674&lt;=20,"10-20년","20년 이상")))))))),"미분류"))</f>
        <v/>
      </c>
      <c r="W674" s="43" t="str">
        <f aca="false">IF(Q674&lt;&gt;1,"",IF(AB674&lt;&gt;"",INDEX(시장분석!$C:$C,AB674),IF(K674=1,"USD","비USD")))</f>
        <v/>
      </c>
      <c r="X674" s="91" t="n">
        <f aca="false">IF(Q674=1,E674*K674/1000000,0)</f>
        <v>0</v>
      </c>
      <c r="Y674" s="89" t="n">
        <f aca="false">IF(R674="T",1,0)</f>
        <v>0</v>
      </c>
      <c r="Z674" s="92" t="str">
        <f aca="false">IF(Q674&lt;&gt;1,"",IF(AD674=1,IF(ISNUMBER(U674),MAX(U674,0),H674),H674))</f>
        <v/>
      </c>
      <c r="AA674" s="91" t="n">
        <f aca="false">IF(Q674=1,IF(ISNUMBER(L674),L674,0)*K674/1000000,0)</f>
        <v>0</v>
      </c>
      <c r="AB674" s="89" t="str">
        <f aca="false">IF(Q674&lt;&gt;1,"",IFERROR(MATCH(VLOOKUP(B674,매핑!$H$4:$I$15,2,0),시장분석!$A$2:$A$601,0)+1,IFERROR(MATCH(R674&amp;"|"&amp;T674,시장분석!$V$2:$V$601,0)+1,IF(COUNTIF(시장분석!$U$2:$U$601,T674)=1,MATCH(T674,시장분석!$U$2:$U$601,0)+1,""))))</f>
        <v/>
      </c>
      <c r="AC674" s="89" t="n">
        <f aca="false">IF(Q674&lt;&gt;1,0,IF(OR(설정!$C$5="전체",AND(설정!$C$5="선택펀드",IFERROR(COUNTIFS(설정!$F$16:$F$36,C674,설정!$G$16:$G$36,"Y")+COUNTIFS(설정!$F$16:$F$36,VALUE(C674),설정!$G$16:$G$36,"Y"),0)&gt;0),C674&amp;""=설정!$C$5&amp;""),1,0))</f>
        <v>0</v>
      </c>
      <c r="AD674" s="89" t="n">
        <f aca="false">IF(Q674&lt;&gt;1,0,IF(OR(S674=1,IF(AB674="",FALSE(),INDEX(시장분석!$R:$R,AB674)=1)),1,0))</f>
        <v>0</v>
      </c>
      <c r="AE674" s="43" t="str">
        <f aca="false">IF(AB674="","",INDEX(시장분석!$A:$A,AB674))</f>
        <v/>
      </c>
      <c r="AF674" s="93" t="str">
        <f aca="false">IF(AB674="","",IF(ISNUMBER(IF(AB674="","",INDEX(시장분석!$E:$E,AB674))),IF(AB674="","",INDEX(시장분석!$E:$E,AB674)),""))</f>
        <v/>
      </c>
      <c r="AG674" s="43" t="str">
        <f aca="false">IF(Q674&lt;&gt;1,"",IF(AB674&lt;&gt;"",IF(AB674="","",INDEX(시장분석!$L:$L,AB674)),IFERROR(IF(VLOOKUP(R674,매핑!$A$4:$E$92,5,0)="","미분류",VLOOKUP(R674,매핑!$A$4:$E$92,5,0)),"미분류")))</f>
        <v/>
      </c>
      <c r="AH674" s="43" t="str">
        <f aca="false">IF(Q674&lt;&gt;1,"",IF(AB674&lt;&gt;"",IF(AB674="","",INDEX(시장분석!$N:$N,AB674)),IFERROR(IF(VLOOKUP(R674,매핑!$A$4:$E$92,4,0)="","미분류",VLOOKUP(R674,매핑!$A$4:$E$92,4,0)),"미분류")))</f>
        <v/>
      </c>
      <c r="AI674" s="43" t="str">
        <f aca="false">IF(Q674&lt;&gt;1,"",IFERROR(IF(VLOOKUP(R674,매핑!$A$4:$E$92,3,0)="","미분류",VLOOKUP(R674,매핑!$A$4:$E$92,3,0)),IF(AB674&lt;&gt;"",IF(AB674="","",INDEX(시장분석!$W:$W,AB674)),"미분류")))</f>
        <v/>
      </c>
      <c r="AJ674" s="43" t="str">
        <f aca="false">IF(Q674&lt;&gt;1,"",IFERROR(VLOOKUP(IF(N674&lt;&gt;"",N674,IF(P674&lt;&gt;"",P674,O674)),설정!$A$15:$D$47,2,0),""))</f>
        <v/>
      </c>
      <c r="AK674" s="43" t="str">
        <f aca="false">IF(Q674&lt;&gt;1,"",IF(AJ674="","무등급",IFERROR(VLOOKUP(AJ674,설정!$A$15:$D$47,3,0),"무등급")))</f>
        <v/>
      </c>
      <c r="AL674" s="89" t="n">
        <f aca="false">IF(AJ674="",99,IFERROR(VLOOKUP(AJ674,설정!$A$15:$D$47,4,0),99))</f>
        <v>99</v>
      </c>
      <c r="AM674" s="94" t="n">
        <f aca="false">IF(ISNUMBER(H674),AA674*1000000*H674/10000,0)</f>
        <v>0</v>
      </c>
      <c r="AN674" s="94" t="n">
        <f aca="false">IF(OR(Y674=1,NOT(ISNUMBER(Z674))),0,AA674*1000000*Z674/10000)</f>
        <v>0</v>
      </c>
      <c r="AO674" s="94" t="n">
        <f aca="false">IF(ISNUMBER(G674),AA674*1000000*G674/100,0)</f>
        <v>0</v>
      </c>
      <c r="AP674" s="94" t="n">
        <f aca="false">IF(ISNUMBER(M674),M674*K674,0)</f>
        <v>0</v>
      </c>
      <c r="AQ674" s="95" t="str">
        <f aca="false">IF(AB674="","",INDEX(시장분석!$AK:$AK,AB674))</f>
        <v/>
      </c>
      <c r="AR674" s="43" t="str">
        <f aca="false">IF(AB674="","-",IF(AB674="","",INDEX(시장분석!$AL:$AL,AB674)))</f>
        <v>-</v>
      </c>
      <c r="AS674" s="96" t="str">
        <f aca="false">IF(AB674="","",INDEX(시장분석!$AJ:$AJ,AB674))</f>
        <v/>
      </c>
      <c r="AT674" s="93" t="n">
        <f aca="false">IF(AB674="",0,IF(AB674="","",INDEX(시장분석!$AN:$AN,AB674)))</f>
        <v>0</v>
      </c>
      <c r="AU674" s="94" t="n">
        <f aca="false">IF(ISNUMBER(Z674),AT674/10000*MAX(Z674-1,0)*AA674*1000000,0)</f>
        <v>0</v>
      </c>
      <c r="AV674" s="94" t="n">
        <f aca="false">AO674+AU674</f>
        <v>0</v>
      </c>
      <c r="AW674" s="43" t="str">
        <f aca="false">IF(Q674&lt;&gt;1,"",TRIM(IF(AD674=1,"FRN ","")&amp;IF(AND(AL674&gt;=10,AL674&lt;99),"BBB0미만 ","")&amp;IF(AJ674="","등급없음 ","")&amp;IF(K674&lt;&gt;1,"비USD ","")&amp;IF(AND(AB674="",Y674=0),"시장데이터없음 ","")&amp;IF(AND(ISNUMBER(U674),U674&lt;0),"만기경과 ","")))</f>
        <v/>
      </c>
      <c r="AX674" s="90" t="n">
        <f aca="false">IF(Q674&lt;&gt;1,1,IF(스프레드쇼크!$C$4="Y",INDEX(스프레드쇼크!$B$12:$L$16,IFERROR(MATCH(AH674,스프레드쇼크!$A$12:$A$16,0),MATCH("목록외",스프레드쇼크!$A$12:$A$16,0)),IFERROR(MATCH(AG674,스프레드쇼크!$B$11:$L$11,0),MATCH("목록외",스프레드쇼크!$B$11:$L$11,0))),1))</f>
        <v>1</v>
      </c>
      <c r="AY674" s="90" t="n">
        <f aca="false">IF(스프레드쇼크!$C$5="Y",IF(ISNUMBER(AF674),MIN(스프레드쇼크!$C$7,MAX(스프레드쇼크!$C$6,AF674/스프레드쇼크!$C$8)),1),1)</f>
        <v>1</v>
      </c>
      <c r="AZ674" s="94" t="n">
        <f aca="false">AN674*AX674*AY674</f>
        <v>0</v>
      </c>
      <c r="BA674" s="90" t="n">
        <f aca="false">IF(ISNUMBER(G674),AA674*G674,0)</f>
        <v>0</v>
      </c>
      <c r="BB674" s="90" t="n">
        <f aca="false">IF(ISNUMBER(G674),AA674,0)</f>
        <v>0</v>
      </c>
      <c r="BC674" s="90" t="n">
        <f aca="false">IF(AND(Y674=0,ISNUMBER(AF674)),AA674*AF674,0)</f>
        <v>0</v>
      </c>
      <c r="BD674" s="90" t="n">
        <f aca="false">IF(AND(Y674=0,ISNUMBER(AF674)),AA674,0)</f>
        <v>0</v>
      </c>
      <c r="BE674" s="90" t="n">
        <f aca="false">IF(ISNUMBER(H674),AA674*H674,0)</f>
        <v>0</v>
      </c>
      <c r="BF674" s="90" t="n">
        <f aca="false">IF(ISNUMBER(H674),AA674,0)</f>
        <v>0</v>
      </c>
      <c r="BG674" s="90" t="n">
        <f aca="false">IF(AND(Y674=0,ISNUMBER(AF674),ISNUMBER(Z674)),AA674*Z674,0)</f>
        <v>0</v>
      </c>
      <c r="BH674" s="90" t="n">
        <f aca="false">IF(AND(Y674=0,ISNUMBER(AF674),ISNUMBER(Z674)),AA674*AT674*MAX(Z674-1,0),0)</f>
        <v>0</v>
      </c>
      <c r="BI674" s="90" t="n">
        <f aca="false">IF(Y674=0,AA674,0)</f>
        <v>0</v>
      </c>
    </row>
    <row r="675" customFormat="false" ht="15" hidden="false" customHeight="false" outlineLevel="0" collapsed="false">
      <c r="A675" s="83" t="str">
        <f aca="false">IFERROR(IF(INDEX(원자료_잔고!$A$1:$EZ$1500,설정!$L$5+ROW()-1,설정!$L$8)&amp;""="0","",INDEX(원자료_잔고!$A$1:$EZ$1500,설정!$L$5+ROW()-1,설정!$L$8)&amp;""),"")</f>
        <v/>
      </c>
      <c r="B675" s="83" t="str">
        <f aca="false">IFERROR(IF(INDEX(원자료_잔고!$A$1:$EZ$1500,설정!$L$5+ROW()-1,설정!$L$7)&amp;""="0","",INDEX(원자료_잔고!$A$1:$EZ$1500,설정!$L$5+ROW()-1,설정!$L$7)&amp;""),"")</f>
        <v/>
      </c>
      <c r="C675" s="83" t="str">
        <f aca="false">IFERROR(IF(INDEX(원자료_잔고!$A$1:$EZ$1500,설정!$L$5+ROW()-1,설정!$L$9)&amp;""="0","",INDEX(원자료_잔고!$A$1:$EZ$1500,설정!$L$5+ROW()-1,설정!$L$9)&amp;""),"")</f>
        <v/>
      </c>
      <c r="D675" s="83" t="str">
        <f aca="false">IFERROR(IF(INDEX(원자료_잔고!$A$1:$EZ$1500,설정!$L$5+ROW()-1,설정!$L$10)&amp;""="0","",INDEX(원자료_잔고!$A$1:$EZ$1500,설정!$L$5+ROW()-1,설정!$L$10)&amp;""),"")</f>
        <v/>
      </c>
      <c r="E675" s="84" t="str">
        <f aca="false">IFERROR(IF(ISNUMBER(INDEX(원자료_잔고!$A$1:$EZ$1500,설정!$L$5+ROW()-1,설정!$L$11)),INDEX(원자료_잔고!$A$1:$EZ$1500,설정!$L$5+ROW()-1,설정!$L$11),""),"")</f>
        <v/>
      </c>
      <c r="F675" s="85" t="str">
        <f aca="false">IFERROR(IF(ISNUMBER(INDEX(원자료_잔고!$A$1:$EZ$1500,설정!$L$5+ROW()-1,설정!$L$12)),INDEX(원자료_잔고!$A$1:$EZ$1500,설정!$L$5+ROW()-1,설정!$L$12),""),"")</f>
        <v/>
      </c>
      <c r="G675" s="85" t="str">
        <f aca="false">IFERROR(IF(ISNUMBER(INDEX(원자료_잔고!$A$1:$EZ$1500,설정!$L$5+ROW()-1,설정!$L$13)),INDEX(원자료_잔고!$A$1:$EZ$1500,설정!$L$5+ROW()-1,설정!$L$13),""),"")</f>
        <v/>
      </c>
      <c r="H675" s="85" t="str">
        <f aca="false">IFERROR(IF(ISNUMBER(INDEX(원자료_잔고!$A$1:$EZ$1500,설정!$L$5+ROW()-1,설정!$L$14)),INDEX(원자료_잔고!$A$1:$EZ$1500,설정!$L$5+ROW()-1,설정!$L$14),""),"")</f>
        <v/>
      </c>
      <c r="I675" s="86" t="str">
        <f aca="false">IFERROR(IF(ISNUMBER(INDEX(원자료_잔고!$A$1:$EZ$1500,설정!$L$5+ROW()-1,설정!$L$15)),INDEX(원자료_잔고!$A$1:$EZ$1500,설정!$L$5+ROW()-1,설정!$L$15),""),"")</f>
        <v/>
      </c>
      <c r="J675" s="85" t="str">
        <f aca="false">IFERROR(IF(ISNUMBER(INDEX(원자료_잔고!$A$1:$EZ$1500,설정!$L$5+ROW()-1,설정!$L$16)),INDEX(원자료_잔고!$A$1:$EZ$1500,설정!$L$5+ROW()-1,설정!$L$16),""),"")</f>
        <v/>
      </c>
      <c r="K675" s="87" t="str">
        <f aca="false">IFERROR(IF(ISNUMBER(INDEX(원자료_잔고!$A$1:$EZ$1500,설정!$L$5+ROW()-1,설정!$L$17)),INDEX(원자료_잔고!$A$1:$EZ$1500,설정!$L$5+ROW()-1,설정!$L$17),""),"")</f>
        <v/>
      </c>
      <c r="L675" s="84" t="str">
        <f aca="false">IFERROR(IF(ISNUMBER(INDEX(원자료_잔고!$A$1:$EZ$1500,설정!$L$5+ROW()-1,설정!$L$18)),INDEX(원자료_잔고!$A$1:$EZ$1500,설정!$L$5+ROW()-1,설정!$L$18),""),"")</f>
        <v/>
      </c>
      <c r="M675" s="88" t="str">
        <f aca="false">IFERROR(IF(ISNUMBER(INDEX(원자료_잔고!$A$1:$EZ$1500,설정!$L$5+ROW()-1,설정!$L$19)),INDEX(원자료_잔고!$A$1:$EZ$1500,설정!$L$5+ROW()-1,설정!$L$19),""),"")</f>
        <v/>
      </c>
      <c r="N675" s="83" t="str">
        <f aca="false">IFERROR(IF(INDEX(원자료_잔고!$A$1:$EZ$1500,설정!$L$5+ROW()-1,설정!$L$21)&amp;""="0","",INDEX(원자료_잔고!$A$1:$EZ$1500,설정!$L$5+ROW()-1,설정!$L$21)&amp;""),"")</f>
        <v/>
      </c>
      <c r="O675" s="83" t="str">
        <f aca="false">IFERROR(IF(INDEX(원자료_잔고!$A$1:$EZ$1500,설정!$L$5+ROW()-1,설정!$L$22)&amp;""="0","",INDEX(원자료_잔고!$A$1:$EZ$1500,설정!$L$5+ROW()-1,설정!$L$22)&amp;""),"")</f>
        <v/>
      </c>
      <c r="P675" s="83" t="str">
        <f aca="false">IFERROR(IF(INDEX(원자료_잔고!$A$1:$EZ$1500,설정!$L$5+ROW()-1,설정!$L$23)&amp;""="0","",INDEX(원자료_잔고!$A$1:$EZ$1500,설정!$L$5+ROW()-1,설정!$L$23)&amp;""),"")</f>
        <v/>
      </c>
      <c r="Q675" s="89" t="n">
        <f aca="false">IF(AND($A675&lt;&gt;"",ISNUMBER(E675)),IF(E675&gt;0,1,0),0)</f>
        <v>0</v>
      </c>
      <c r="R675" s="43" t="str">
        <f aca="false">IF(Q675=1,UPPER(LEFT($A675,FIND(" ",$A675&amp;" ")-1)),"")</f>
        <v/>
      </c>
      <c r="S675" s="89" t="n">
        <f aca="false">IF(Q675=1,IF(OR(ISNUMBER(SEARCH("Float",$A675)),ISNUMBER(SEARCH("FRN",$A675))),1,0),0)</f>
        <v>0</v>
      </c>
      <c r="T675" s="43" t="str">
        <f aca="false">IF(AND(Q675=1,ISNUMBER(I675)),TEXT(I675,"yyyymmdd")&amp;"|"&amp;IF(S675=1,"F",TEXT(J675,"0.000")),"")</f>
        <v/>
      </c>
      <c r="U675" s="90" t="str">
        <f aca="false">IF(AND(Q675=1,ISNUMBER(I675)),(I675-설정!$C$4)/365.25,"")</f>
        <v/>
      </c>
      <c r="V675" s="43" t="str">
        <f aca="false">IF(Q675&lt;&gt;1,"",IF(ISNUMBER(U675),IF(U675&lt;=1,"1년 이하",IF(U675&lt;=2,"1-2년",IF(U675&lt;=3,"2-3년",IF(U675&lt;=4,"3-4년",IF(U675&lt;=5,"4-5년",IF(U675&lt;=7,"5-7년",IF(U675&lt;=10,"7-10년",IF(U675&lt;=20,"10-20년","20년 이상")))))))),"미분류"))</f>
        <v/>
      </c>
      <c r="W675" s="43" t="str">
        <f aca="false">IF(Q675&lt;&gt;1,"",IF(AB675&lt;&gt;"",INDEX(시장분석!$C:$C,AB675),IF(K675=1,"USD","비USD")))</f>
        <v/>
      </c>
      <c r="X675" s="91" t="n">
        <f aca="false">IF(Q675=1,E675*K675/1000000,0)</f>
        <v>0</v>
      </c>
      <c r="Y675" s="89" t="n">
        <f aca="false">IF(R675="T",1,0)</f>
        <v>0</v>
      </c>
      <c r="Z675" s="92" t="str">
        <f aca="false">IF(Q675&lt;&gt;1,"",IF(AD675=1,IF(ISNUMBER(U675),MAX(U675,0),H675),H675))</f>
        <v/>
      </c>
      <c r="AA675" s="91" t="n">
        <f aca="false">IF(Q675=1,IF(ISNUMBER(L675),L675,0)*K675/1000000,0)</f>
        <v>0</v>
      </c>
      <c r="AB675" s="89" t="str">
        <f aca="false">IF(Q675&lt;&gt;1,"",IFERROR(MATCH(VLOOKUP(B675,매핑!$H$4:$I$15,2,0),시장분석!$A$2:$A$601,0)+1,IFERROR(MATCH(R675&amp;"|"&amp;T675,시장분석!$V$2:$V$601,0)+1,IF(COUNTIF(시장분석!$U$2:$U$601,T675)=1,MATCH(T675,시장분석!$U$2:$U$601,0)+1,""))))</f>
        <v/>
      </c>
      <c r="AC675" s="89" t="n">
        <f aca="false">IF(Q675&lt;&gt;1,0,IF(OR(설정!$C$5="전체",AND(설정!$C$5="선택펀드",IFERROR(COUNTIFS(설정!$F$16:$F$36,C675,설정!$G$16:$G$36,"Y")+COUNTIFS(설정!$F$16:$F$36,VALUE(C675),설정!$G$16:$G$36,"Y"),0)&gt;0),C675&amp;""=설정!$C$5&amp;""),1,0))</f>
        <v>0</v>
      </c>
      <c r="AD675" s="89" t="n">
        <f aca="false">IF(Q675&lt;&gt;1,0,IF(OR(S675=1,IF(AB675="",FALSE(),INDEX(시장분석!$R:$R,AB675)=1)),1,0))</f>
        <v>0</v>
      </c>
      <c r="AE675" s="43" t="str">
        <f aca="false">IF(AB675="","",INDEX(시장분석!$A:$A,AB675))</f>
        <v/>
      </c>
      <c r="AF675" s="93" t="str">
        <f aca="false">IF(AB675="","",IF(ISNUMBER(IF(AB675="","",INDEX(시장분석!$E:$E,AB675))),IF(AB675="","",INDEX(시장분석!$E:$E,AB675)),""))</f>
        <v/>
      </c>
      <c r="AG675" s="43" t="str">
        <f aca="false">IF(Q675&lt;&gt;1,"",IF(AB675&lt;&gt;"",IF(AB675="","",INDEX(시장분석!$L:$L,AB675)),IFERROR(IF(VLOOKUP(R675,매핑!$A$4:$E$92,5,0)="","미분류",VLOOKUP(R675,매핑!$A$4:$E$92,5,0)),"미분류")))</f>
        <v/>
      </c>
      <c r="AH675" s="43" t="str">
        <f aca="false">IF(Q675&lt;&gt;1,"",IF(AB675&lt;&gt;"",IF(AB675="","",INDEX(시장분석!$N:$N,AB675)),IFERROR(IF(VLOOKUP(R675,매핑!$A$4:$E$92,4,0)="","미분류",VLOOKUP(R675,매핑!$A$4:$E$92,4,0)),"미분류")))</f>
        <v/>
      </c>
      <c r="AI675" s="43" t="str">
        <f aca="false">IF(Q675&lt;&gt;1,"",IFERROR(IF(VLOOKUP(R675,매핑!$A$4:$E$92,3,0)="","미분류",VLOOKUP(R675,매핑!$A$4:$E$92,3,0)),IF(AB675&lt;&gt;"",IF(AB675="","",INDEX(시장분석!$W:$W,AB675)),"미분류")))</f>
        <v/>
      </c>
      <c r="AJ675" s="43" t="str">
        <f aca="false">IF(Q675&lt;&gt;1,"",IFERROR(VLOOKUP(IF(N675&lt;&gt;"",N675,IF(P675&lt;&gt;"",P675,O675)),설정!$A$15:$D$47,2,0),""))</f>
        <v/>
      </c>
      <c r="AK675" s="43" t="str">
        <f aca="false">IF(Q675&lt;&gt;1,"",IF(AJ675="","무등급",IFERROR(VLOOKUP(AJ675,설정!$A$15:$D$47,3,0),"무등급")))</f>
        <v/>
      </c>
      <c r="AL675" s="89" t="n">
        <f aca="false">IF(AJ675="",99,IFERROR(VLOOKUP(AJ675,설정!$A$15:$D$47,4,0),99))</f>
        <v>99</v>
      </c>
      <c r="AM675" s="94" t="n">
        <f aca="false">IF(ISNUMBER(H675),AA675*1000000*H675/10000,0)</f>
        <v>0</v>
      </c>
      <c r="AN675" s="94" t="n">
        <f aca="false">IF(OR(Y675=1,NOT(ISNUMBER(Z675))),0,AA675*1000000*Z675/10000)</f>
        <v>0</v>
      </c>
      <c r="AO675" s="94" t="n">
        <f aca="false">IF(ISNUMBER(G675),AA675*1000000*G675/100,0)</f>
        <v>0</v>
      </c>
      <c r="AP675" s="94" t="n">
        <f aca="false">IF(ISNUMBER(M675),M675*K675,0)</f>
        <v>0</v>
      </c>
      <c r="AQ675" s="95" t="str">
        <f aca="false">IF(AB675="","",INDEX(시장분석!$AK:$AK,AB675))</f>
        <v/>
      </c>
      <c r="AR675" s="43" t="str">
        <f aca="false">IF(AB675="","-",IF(AB675="","",INDEX(시장분석!$AL:$AL,AB675)))</f>
        <v>-</v>
      </c>
      <c r="AS675" s="96" t="str">
        <f aca="false">IF(AB675="","",INDEX(시장분석!$AJ:$AJ,AB675))</f>
        <v/>
      </c>
      <c r="AT675" s="93" t="n">
        <f aca="false">IF(AB675="",0,IF(AB675="","",INDEX(시장분석!$AN:$AN,AB675)))</f>
        <v>0</v>
      </c>
      <c r="AU675" s="94" t="n">
        <f aca="false">IF(ISNUMBER(Z675),AT675/10000*MAX(Z675-1,0)*AA675*1000000,0)</f>
        <v>0</v>
      </c>
      <c r="AV675" s="94" t="n">
        <f aca="false">AO675+AU675</f>
        <v>0</v>
      </c>
      <c r="AW675" s="43" t="str">
        <f aca="false">IF(Q675&lt;&gt;1,"",TRIM(IF(AD675=1,"FRN ","")&amp;IF(AND(AL675&gt;=10,AL675&lt;99),"BBB0미만 ","")&amp;IF(AJ675="","등급없음 ","")&amp;IF(K675&lt;&gt;1,"비USD ","")&amp;IF(AND(AB675="",Y675=0),"시장데이터없음 ","")&amp;IF(AND(ISNUMBER(U675),U675&lt;0),"만기경과 ","")))</f>
        <v/>
      </c>
      <c r="AX675" s="90" t="n">
        <f aca="false">IF(Q675&lt;&gt;1,1,IF(스프레드쇼크!$C$4="Y",INDEX(스프레드쇼크!$B$12:$L$16,IFERROR(MATCH(AH675,스프레드쇼크!$A$12:$A$16,0),MATCH("목록외",스프레드쇼크!$A$12:$A$16,0)),IFERROR(MATCH(AG675,스프레드쇼크!$B$11:$L$11,0),MATCH("목록외",스프레드쇼크!$B$11:$L$11,0))),1))</f>
        <v>1</v>
      </c>
      <c r="AY675" s="90" t="n">
        <f aca="false">IF(스프레드쇼크!$C$5="Y",IF(ISNUMBER(AF675),MIN(스프레드쇼크!$C$7,MAX(스프레드쇼크!$C$6,AF675/스프레드쇼크!$C$8)),1),1)</f>
        <v>1</v>
      </c>
      <c r="AZ675" s="94" t="n">
        <f aca="false">AN675*AX675*AY675</f>
        <v>0</v>
      </c>
      <c r="BA675" s="90" t="n">
        <f aca="false">IF(ISNUMBER(G675),AA675*G675,0)</f>
        <v>0</v>
      </c>
      <c r="BB675" s="90" t="n">
        <f aca="false">IF(ISNUMBER(G675),AA675,0)</f>
        <v>0</v>
      </c>
      <c r="BC675" s="90" t="n">
        <f aca="false">IF(AND(Y675=0,ISNUMBER(AF675)),AA675*AF675,0)</f>
        <v>0</v>
      </c>
      <c r="BD675" s="90" t="n">
        <f aca="false">IF(AND(Y675=0,ISNUMBER(AF675)),AA675,0)</f>
        <v>0</v>
      </c>
      <c r="BE675" s="90" t="n">
        <f aca="false">IF(ISNUMBER(H675),AA675*H675,0)</f>
        <v>0</v>
      </c>
      <c r="BF675" s="90" t="n">
        <f aca="false">IF(ISNUMBER(H675),AA675,0)</f>
        <v>0</v>
      </c>
      <c r="BG675" s="90" t="n">
        <f aca="false">IF(AND(Y675=0,ISNUMBER(AF675),ISNUMBER(Z675)),AA675*Z675,0)</f>
        <v>0</v>
      </c>
      <c r="BH675" s="90" t="n">
        <f aca="false">IF(AND(Y675=0,ISNUMBER(AF675),ISNUMBER(Z675)),AA675*AT675*MAX(Z675-1,0),0)</f>
        <v>0</v>
      </c>
      <c r="BI675" s="90" t="n">
        <f aca="false">IF(Y675=0,AA675,0)</f>
        <v>0</v>
      </c>
    </row>
    <row r="676" customFormat="false" ht="15" hidden="false" customHeight="false" outlineLevel="0" collapsed="false">
      <c r="A676" s="83" t="str">
        <f aca="false">IFERROR(IF(INDEX(원자료_잔고!$A$1:$EZ$1500,설정!$L$5+ROW()-1,설정!$L$8)&amp;""="0","",INDEX(원자료_잔고!$A$1:$EZ$1500,설정!$L$5+ROW()-1,설정!$L$8)&amp;""),"")</f>
        <v/>
      </c>
      <c r="B676" s="83" t="str">
        <f aca="false">IFERROR(IF(INDEX(원자료_잔고!$A$1:$EZ$1500,설정!$L$5+ROW()-1,설정!$L$7)&amp;""="0","",INDEX(원자료_잔고!$A$1:$EZ$1500,설정!$L$5+ROW()-1,설정!$L$7)&amp;""),"")</f>
        <v/>
      </c>
      <c r="C676" s="83" t="str">
        <f aca="false">IFERROR(IF(INDEX(원자료_잔고!$A$1:$EZ$1500,설정!$L$5+ROW()-1,설정!$L$9)&amp;""="0","",INDEX(원자료_잔고!$A$1:$EZ$1500,설정!$L$5+ROW()-1,설정!$L$9)&amp;""),"")</f>
        <v/>
      </c>
      <c r="D676" s="83" t="str">
        <f aca="false">IFERROR(IF(INDEX(원자료_잔고!$A$1:$EZ$1500,설정!$L$5+ROW()-1,설정!$L$10)&amp;""="0","",INDEX(원자료_잔고!$A$1:$EZ$1500,설정!$L$5+ROW()-1,설정!$L$10)&amp;""),"")</f>
        <v/>
      </c>
      <c r="E676" s="84" t="str">
        <f aca="false">IFERROR(IF(ISNUMBER(INDEX(원자료_잔고!$A$1:$EZ$1500,설정!$L$5+ROW()-1,설정!$L$11)),INDEX(원자료_잔고!$A$1:$EZ$1500,설정!$L$5+ROW()-1,설정!$L$11),""),"")</f>
        <v/>
      </c>
      <c r="F676" s="85" t="str">
        <f aca="false">IFERROR(IF(ISNUMBER(INDEX(원자료_잔고!$A$1:$EZ$1500,설정!$L$5+ROW()-1,설정!$L$12)),INDEX(원자료_잔고!$A$1:$EZ$1500,설정!$L$5+ROW()-1,설정!$L$12),""),"")</f>
        <v/>
      </c>
      <c r="G676" s="85" t="str">
        <f aca="false">IFERROR(IF(ISNUMBER(INDEX(원자료_잔고!$A$1:$EZ$1500,설정!$L$5+ROW()-1,설정!$L$13)),INDEX(원자료_잔고!$A$1:$EZ$1500,설정!$L$5+ROW()-1,설정!$L$13),""),"")</f>
        <v/>
      </c>
      <c r="H676" s="85" t="str">
        <f aca="false">IFERROR(IF(ISNUMBER(INDEX(원자료_잔고!$A$1:$EZ$1500,설정!$L$5+ROW()-1,설정!$L$14)),INDEX(원자료_잔고!$A$1:$EZ$1500,설정!$L$5+ROW()-1,설정!$L$14),""),"")</f>
        <v/>
      </c>
      <c r="I676" s="86" t="str">
        <f aca="false">IFERROR(IF(ISNUMBER(INDEX(원자료_잔고!$A$1:$EZ$1500,설정!$L$5+ROW()-1,설정!$L$15)),INDEX(원자료_잔고!$A$1:$EZ$1500,설정!$L$5+ROW()-1,설정!$L$15),""),"")</f>
        <v/>
      </c>
      <c r="J676" s="85" t="str">
        <f aca="false">IFERROR(IF(ISNUMBER(INDEX(원자료_잔고!$A$1:$EZ$1500,설정!$L$5+ROW()-1,설정!$L$16)),INDEX(원자료_잔고!$A$1:$EZ$1500,설정!$L$5+ROW()-1,설정!$L$16),""),"")</f>
        <v/>
      </c>
      <c r="K676" s="87" t="str">
        <f aca="false">IFERROR(IF(ISNUMBER(INDEX(원자료_잔고!$A$1:$EZ$1500,설정!$L$5+ROW()-1,설정!$L$17)),INDEX(원자료_잔고!$A$1:$EZ$1500,설정!$L$5+ROW()-1,설정!$L$17),""),"")</f>
        <v/>
      </c>
      <c r="L676" s="84" t="str">
        <f aca="false">IFERROR(IF(ISNUMBER(INDEX(원자료_잔고!$A$1:$EZ$1500,설정!$L$5+ROW()-1,설정!$L$18)),INDEX(원자료_잔고!$A$1:$EZ$1500,설정!$L$5+ROW()-1,설정!$L$18),""),"")</f>
        <v/>
      </c>
      <c r="M676" s="88" t="str">
        <f aca="false">IFERROR(IF(ISNUMBER(INDEX(원자료_잔고!$A$1:$EZ$1500,설정!$L$5+ROW()-1,설정!$L$19)),INDEX(원자료_잔고!$A$1:$EZ$1500,설정!$L$5+ROW()-1,설정!$L$19),""),"")</f>
        <v/>
      </c>
      <c r="N676" s="83" t="str">
        <f aca="false">IFERROR(IF(INDEX(원자료_잔고!$A$1:$EZ$1500,설정!$L$5+ROW()-1,설정!$L$21)&amp;""="0","",INDEX(원자료_잔고!$A$1:$EZ$1500,설정!$L$5+ROW()-1,설정!$L$21)&amp;""),"")</f>
        <v/>
      </c>
      <c r="O676" s="83" t="str">
        <f aca="false">IFERROR(IF(INDEX(원자료_잔고!$A$1:$EZ$1500,설정!$L$5+ROW()-1,설정!$L$22)&amp;""="0","",INDEX(원자료_잔고!$A$1:$EZ$1500,설정!$L$5+ROW()-1,설정!$L$22)&amp;""),"")</f>
        <v/>
      </c>
      <c r="P676" s="83" t="str">
        <f aca="false">IFERROR(IF(INDEX(원자료_잔고!$A$1:$EZ$1500,설정!$L$5+ROW()-1,설정!$L$23)&amp;""="0","",INDEX(원자료_잔고!$A$1:$EZ$1500,설정!$L$5+ROW()-1,설정!$L$23)&amp;""),"")</f>
        <v/>
      </c>
      <c r="Q676" s="89" t="n">
        <f aca="false">IF(AND($A676&lt;&gt;"",ISNUMBER(E676)),IF(E676&gt;0,1,0),0)</f>
        <v>0</v>
      </c>
      <c r="R676" s="43" t="str">
        <f aca="false">IF(Q676=1,UPPER(LEFT($A676,FIND(" ",$A676&amp;" ")-1)),"")</f>
        <v/>
      </c>
      <c r="S676" s="89" t="n">
        <f aca="false">IF(Q676=1,IF(OR(ISNUMBER(SEARCH("Float",$A676)),ISNUMBER(SEARCH("FRN",$A676))),1,0),0)</f>
        <v>0</v>
      </c>
      <c r="T676" s="43" t="str">
        <f aca="false">IF(AND(Q676=1,ISNUMBER(I676)),TEXT(I676,"yyyymmdd")&amp;"|"&amp;IF(S676=1,"F",TEXT(J676,"0.000")),"")</f>
        <v/>
      </c>
      <c r="U676" s="90" t="str">
        <f aca="false">IF(AND(Q676=1,ISNUMBER(I676)),(I676-설정!$C$4)/365.25,"")</f>
        <v/>
      </c>
      <c r="V676" s="43" t="str">
        <f aca="false">IF(Q676&lt;&gt;1,"",IF(ISNUMBER(U676),IF(U676&lt;=1,"1년 이하",IF(U676&lt;=2,"1-2년",IF(U676&lt;=3,"2-3년",IF(U676&lt;=4,"3-4년",IF(U676&lt;=5,"4-5년",IF(U676&lt;=7,"5-7년",IF(U676&lt;=10,"7-10년",IF(U676&lt;=20,"10-20년","20년 이상")))))))),"미분류"))</f>
        <v/>
      </c>
      <c r="W676" s="43" t="str">
        <f aca="false">IF(Q676&lt;&gt;1,"",IF(AB676&lt;&gt;"",INDEX(시장분석!$C:$C,AB676),IF(K676=1,"USD","비USD")))</f>
        <v/>
      </c>
      <c r="X676" s="91" t="n">
        <f aca="false">IF(Q676=1,E676*K676/1000000,0)</f>
        <v>0</v>
      </c>
      <c r="Y676" s="89" t="n">
        <f aca="false">IF(R676="T",1,0)</f>
        <v>0</v>
      </c>
      <c r="Z676" s="92" t="str">
        <f aca="false">IF(Q676&lt;&gt;1,"",IF(AD676=1,IF(ISNUMBER(U676),MAX(U676,0),H676),H676))</f>
        <v/>
      </c>
      <c r="AA676" s="91" t="n">
        <f aca="false">IF(Q676=1,IF(ISNUMBER(L676),L676,0)*K676/1000000,0)</f>
        <v>0</v>
      </c>
      <c r="AB676" s="89" t="str">
        <f aca="false">IF(Q676&lt;&gt;1,"",IFERROR(MATCH(VLOOKUP(B676,매핑!$H$4:$I$15,2,0),시장분석!$A$2:$A$601,0)+1,IFERROR(MATCH(R676&amp;"|"&amp;T676,시장분석!$V$2:$V$601,0)+1,IF(COUNTIF(시장분석!$U$2:$U$601,T676)=1,MATCH(T676,시장분석!$U$2:$U$601,0)+1,""))))</f>
        <v/>
      </c>
      <c r="AC676" s="89" t="n">
        <f aca="false">IF(Q676&lt;&gt;1,0,IF(OR(설정!$C$5="전체",AND(설정!$C$5="선택펀드",IFERROR(COUNTIFS(설정!$F$16:$F$36,C676,설정!$G$16:$G$36,"Y")+COUNTIFS(설정!$F$16:$F$36,VALUE(C676),설정!$G$16:$G$36,"Y"),0)&gt;0),C676&amp;""=설정!$C$5&amp;""),1,0))</f>
        <v>0</v>
      </c>
      <c r="AD676" s="89" t="n">
        <f aca="false">IF(Q676&lt;&gt;1,0,IF(OR(S676=1,IF(AB676="",FALSE(),INDEX(시장분석!$R:$R,AB676)=1)),1,0))</f>
        <v>0</v>
      </c>
      <c r="AE676" s="43" t="str">
        <f aca="false">IF(AB676="","",INDEX(시장분석!$A:$A,AB676))</f>
        <v/>
      </c>
      <c r="AF676" s="93" t="str">
        <f aca="false">IF(AB676="","",IF(ISNUMBER(IF(AB676="","",INDEX(시장분석!$E:$E,AB676))),IF(AB676="","",INDEX(시장분석!$E:$E,AB676)),""))</f>
        <v/>
      </c>
      <c r="AG676" s="43" t="str">
        <f aca="false">IF(Q676&lt;&gt;1,"",IF(AB676&lt;&gt;"",IF(AB676="","",INDEX(시장분석!$L:$L,AB676)),IFERROR(IF(VLOOKUP(R676,매핑!$A$4:$E$92,5,0)="","미분류",VLOOKUP(R676,매핑!$A$4:$E$92,5,0)),"미분류")))</f>
        <v/>
      </c>
      <c r="AH676" s="43" t="str">
        <f aca="false">IF(Q676&lt;&gt;1,"",IF(AB676&lt;&gt;"",IF(AB676="","",INDEX(시장분석!$N:$N,AB676)),IFERROR(IF(VLOOKUP(R676,매핑!$A$4:$E$92,4,0)="","미분류",VLOOKUP(R676,매핑!$A$4:$E$92,4,0)),"미분류")))</f>
        <v/>
      </c>
      <c r="AI676" s="43" t="str">
        <f aca="false">IF(Q676&lt;&gt;1,"",IFERROR(IF(VLOOKUP(R676,매핑!$A$4:$E$92,3,0)="","미분류",VLOOKUP(R676,매핑!$A$4:$E$92,3,0)),IF(AB676&lt;&gt;"",IF(AB676="","",INDEX(시장분석!$W:$W,AB676)),"미분류")))</f>
        <v/>
      </c>
      <c r="AJ676" s="43" t="str">
        <f aca="false">IF(Q676&lt;&gt;1,"",IFERROR(VLOOKUP(IF(N676&lt;&gt;"",N676,IF(P676&lt;&gt;"",P676,O676)),설정!$A$15:$D$47,2,0),""))</f>
        <v/>
      </c>
      <c r="AK676" s="43" t="str">
        <f aca="false">IF(Q676&lt;&gt;1,"",IF(AJ676="","무등급",IFERROR(VLOOKUP(AJ676,설정!$A$15:$D$47,3,0),"무등급")))</f>
        <v/>
      </c>
      <c r="AL676" s="89" t="n">
        <f aca="false">IF(AJ676="",99,IFERROR(VLOOKUP(AJ676,설정!$A$15:$D$47,4,0),99))</f>
        <v>99</v>
      </c>
      <c r="AM676" s="94" t="n">
        <f aca="false">IF(ISNUMBER(H676),AA676*1000000*H676/10000,0)</f>
        <v>0</v>
      </c>
      <c r="AN676" s="94" t="n">
        <f aca="false">IF(OR(Y676=1,NOT(ISNUMBER(Z676))),0,AA676*1000000*Z676/10000)</f>
        <v>0</v>
      </c>
      <c r="AO676" s="94" t="n">
        <f aca="false">IF(ISNUMBER(G676),AA676*1000000*G676/100,0)</f>
        <v>0</v>
      </c>
      <c r="AP676" s="94" t="n">
        <f aca="false">IF(ISNUMBER(M676),M676*K676,0)</f>
        <v>0</v>
      </c>
      <c r="AQ676" s="95" t="str">
        <f aca="false">IF(AB676="","",INDEX(시장분석!$AK:$AK,AB676))</f>
        <v/>
      </c>
      <c r="AR676" s="43" t="str">
        <f aca="false">IF(AB676="","-",IF(AB676="","",INDEX(시장분석!$AL:$AL,AB676)))</f>
        <v>-</v>
      </c>
      <c r="AS676" s="96" t="str">
        <f aca="false">IF(AB676="","",INDEX(시장분석!$AJ:$AJ,AB676))</f>
        <v/>
      </c>
      <c r="AT676" s="93" t="n">
        <f aca="false">IF(AB676="",0,IF(AB676="","",INDEX(시장분석!$AN:$AN,AB676)))</f>
        <v>0</v>
      </c>
      <c r="AU676" s="94" t="n">
        <f aca="false">IF(ISNUMBER(Z676),AT676/10000*MAX(Z676-1,0)*AA676*1000000,0)</f>
        <v>0</v>
      </c>
      <c r="AV676" s="94" t="n">
        <f aca="false">AO676+AU676</f>
        <v>0</v>
      </c>
      <c r="AW676" s="43" t="str">
        <f aca="false">IF(Q676&lt;&gt;1,"",TRIM(IF(AD676=1,"FRN ","")&amp;IF(AND(AL676&gt;=10,AL676&lt;99),"BBB0미만 ","")&amp;IF(AJ676="","등급없음 ","")&amp;IF(K676&lt;&gt;1,"비USD ","")&amp;IF(AND(AB676="",Y676=0),"시장데이터없음 ","")&amp;IF(AND(ISNUMBER(U676),U676&lt;0),"만기경과 ","")))</f>
        <v/>
      </c>
      <c r="AX676" s="90" t="n">
        <f aca="false">IF(Q676&lt;&gt;1,1,IF(스프레드쇼크!$C$4="Y",INDEX(스프레드쇼크!$B$12:$L$16,IFERROR(MATCH(AH676,스프레드쇼크!$A$12:$A$16,0),MATCH("목록외",스프레드쇼크!$A$12:$A$16,0)),IFERROR(MATCH(AG676,스프레드쇼크!$B$11:$L$11,0),MATCH("목록외",스프레드쇼크!$B$11:$L$11,0))),1))</f>
        <v>1</v>
      </c>
      <c r="AY676" s="90" t="n">
        <f aca="false">IF(스프레드쇼크!$C$5="Y",IF(ISNUMBER(AF676),MIN(스프레드쇼크!$C$7,MAX(스프레드쇼크!$C$6,AF676/스프레드쇼크!$C$8)),1),1)</f>
        <v>1</v>
      </c>
      <c r="AZ676" s="94" t="n">
        <f aca="false">AN676*AX676*AY676</f>
        <v>0</v>
      </c>
      <c r="BA676" s="90" t="n">
        <f aca="false">IF(ISNUMBER(G676),AA676*G676,0)</f>
        <v>0</v>
      </c>
      <c r="BB676" s="90" t="n">
        <f aca="false">IF(ISNUMBER(G676),AA676,0)</f>
        <v>0</v>
      </c>
      <c r="BC676" s="90" t="n">
        <f aca="false">IF(AND(Y676=0,ISNUMBER(AF676)),AA676*AF676,0)</f>
        <v>0</v>
      </c>
      <c r="BD676" s="90" t="n">
        <f aca="false">IF(AND(Y676=0,ISNUMBER(AF676)),AA676,0)</f>
        <v>0</v>
      </c>
      <c r="BE676" s="90" t="n">
        <f aca="false">IF(ISNUMBER(H676),AA676*H676,0)</f>
        <v>0</v>
      </c>
      <c r="BF676" s="90" t="n">
        <f aca="false">IF(ISNUMBER(H676),AA676,0)</f>
        <v>0</v>
      </c>
      <c r="BG676" s="90" t="n">
        <f aca="false">IF(AND(Y676=0,ISNUMBER(AF676),ISNUMBER(Z676)),AA676*Z676,0)</f>
        <v>0</v>
      </c>
      <c r="BH676" s="90" t="n">
        <f aca="false">IF(AND(Y676=0,ISNUMBER(AF676),ISNUMBER(Z676)),AA676*AT676*MAX(Z676-1,0),0)</f>
        <v>0</v>
      </c>
      <c r="BI676" s="90" t="n">
        <f aca="false">IF(Y676=0,AA676,0)</f>
        <v>0</v>
      </c>
    </row>
    <row r="677" customFormat="false" ht="15" hidden="false" customHeight="false" outlineLevel="0" collapsed="false">
      <c r="A677" s="83" t="str">
        <f aca="false">IFERROR(IF(INDEX(원자료_잔고!$A$1:$EZ$1500,설정!$L$5+ROW()-1,설정!$L$8)&amp;""="0","",INDEX(원자료_잔고!$A$1:$EZ$1500,설정!$L$5+ROW()-1,설정!$L$8)&amp;""),"")</f>
        <v/>
      </c>
      <c r="B677" s="83" t="str">
        <f aca="false">IFERROR(IF(INDEX(원자료_잔고!$A$1:$EZ$1500,설정!$L$5+ROW()-1,설정!$L$7)&amp;""="0","",INDEX(원자료_잔고!$A$1:$EZ$1500,설정!$L$5+ROW()-1,설정!$L$7)&amp;""),"")</f>
        <v/>
      </c>
      <c r="C677" s="83" t="str">
        <f aca="false">IFERROR(IF(INDEX(원자료_잔고!$A$1:$EZ$1500,설정!$L$5+ROW()-1,설정!$L$9)&amp;""="0","",INDEX(원자료_잔고!$A$1:$EZ$1500,설정!$L$5+ROW()-1,설정!$L$9)&amp;""),"")</f>
        <v/>
      </c>
      <c r="D677" s="83" t="str">
        <f aca="false">IFERROR(IF(INDEX(원자료_잔고!$A$1:$EZ$1500,설정!$L$5+ROW()-1,설정!$L$10)&amp;""="0","",INDEX(원자료_잔고!$A$1:$EZ$1500,설정!$L$5+ROW()-1,설정!$L$10)&amp;""),"")</f>
        <v/>
      </c>
      <c r="E677" s="84" t="str">
        <f aca="false">IFERROR(IF(ISNUMBER(INDEX(원자료_잔고!$A$1:$EZ$1500,설정!$L$5+ROW()-1,설정!$L$11)),INDEX(원자료_잔고!$A$1:$EZ$1500,설정!$L$5+ROW()-1,설정!$L$11),""),"")</f>
        <v/>
      </c>
      <c r="F677" s="85" t="str">
        <f aca="false">IFERROR(IF(ISNUMBER(INDEX(원자료_잔고!$A$1:$EZ$1500,설정!$L$5+ROW()-1,설정!$L$12)),INDEX(원자료_잔고!$A$1:$EZ$1500,설정!$L$5+ROW()-1,설정!$L$12),""),"")</f>
        <v/>
      </c>
      <c r="G677" s="85" t="str">
        <f aca="false">IFERROR(IF(ISNUMBER(INDEX(원자료_잔고!$A$1:$EZ$1500,설정!$L$5+ROW()-1,설정!$L$13)),INDEX(원자료_잔고!$A$1:$EZ$1500,설정!$L$5+ROW()-1,설정!$L$13),""),"")</f>
        <v/>
      </c>
      <c r="H677" s="85" t="str">
        <f aca="false">IFERROR(IF(ISNUMBER(INDEX(원자료_잔고!$A$1:$EZ$1500,설정!$L$5+ROW()-1,설정!$L$14)),INDEX(원자료_잔고!$A$1:$EZ$1500,설정!$L$5+ROW()-1,설정!$L$14),""),"")</f>
        <v/>
      </c>
      <c r="I677" s="86" t="str">
        <f aca="false">IFERROR(IF(ISNUMBER(INDEX(원자료_잔고!$A$1:$EZ$1500,설정!$L$5+ROW()-1,설정!$L$15)),INDEX(원자료_잔고!$A$1:$EZ$1500,설정!$L$5+ROW()-1,설정!$L$15),""),"")</f>
        <v/>
      </c>
      <c r="J677" s="85" t="str">
        <f aca="false">IFERROR(IF(ISNUMBER(INDEX(원자료_잔고!$A$1:$EZ$1500,설정!$L$5+ROW()-1,설정!$L$16)),INDEX(원자료_잔고!$A$1:$EZ$1500,설정!$L$5+ROW()-1,설정!$L$16),""),"")</f>
        <v/>
      </c>
      <c r="K677" s="87" t="str">
        <f aca="false">IFERROR(IF(ISNUMBER(INDEX(원자료_잔고!$A$1:$EZ$1500,설정!$L$5+ROW()-1,설정!$L$17)),INDEX(원자료_잔고!$A$1:$EZ$1500,설정!$L$5+ROW()-1,설정!$L$17),""),"")</f>
        <v/>
      </c>
      <c r="L677" s="84" t="str">
        <f aca="false">IFERROR(IF(ISNUMBER(INDEX(원자료_잔고!$A$1:$EZ$1500,설정!$L$5+ROW()-1,설정!$L$18)),INDEX(원자료_잔고!$A$1:$EZ$1500,설정!$L$5+ROW()-1,설정!$L$18),""),"")</f>
        <v/>
      </c>
      <c r="M677" s="88" t="str">
        <f aca="false">IFERROR(IF(ISNUMBER(INDEX(원자료_잔고!$A$1:$EZ$1500,설정!$L$5+ROW()-1,설정!$L$19)),INDEX(원자료_잔고!$A$1:$EZ$1500,설정!$L$5+ROW()-1,설정!$L$19),""),"")</f>
        <v/>
      </c>
      <c r="N677" s="83" t="str">
        <f aca="false">IFERROR(IF(INDEX(원자료_잔고!$A$1:$EZ$1500,설정!$L$5+ROW()-1,설정!$L$21)&amp;""="0","",INDEX(원자료_잔고!$A$1:$EZ$1500,설정!$L$5+ROW()-1,설정!$L$21)&amp;""),"")</f>
        <v/>
      </c>
      <c r="O677" s="83" t="str">
        <f aca="false">IFERROR(IF(INDEX(원자료_잔고!$A$1:$EZ$1500,설정!$L$5+ROW()-1,설정!$L$22)&amp;""="0","",INDEX(원자료_잔고!$A$1:$EZ$1500,설정!$L$5+ROW()-1,설정!$L$22)&amp;""),"")</f>
        <v/>
      </c>
      <c r="P677" s="83" t="str">
        <f aca="false">IFERROR(IF(INDEX(원자료_잔고!$A$1:$EZ$1500,설정!$L$5+ROW()-1,설정!$L$23)&amp;""="0","",INDEX(원자료_잔고!$A$1:$EZ$1500,설정!$L$5+ROW()-1,설정!$L$23)&amp;""),"")</f>
        <v/>
      </c>
      <c r="Q677" s="89" t="n">
        <f aca="false">IF(AND($A677&lt;&gt;"",ISNUMBER(E677)),IF(E677&gt;0,1,0),0)</f>
        <v>0</v>
      </c>
      <c r="R677" s="43" t="str">
        <f aca="false">IF(Q677=1,UPPER(LEFT($A677,FIND(" ",$A677&amp;" ")-1)),"")</f>
        <v/>
      </c>
      <c r="S677" s="89" t="n">
        <f aca="false">IF(Q677=1,IF(OR(ISNUMBER(SEARCH("Float",$A677)),ISNUMBER(SEARCH("FRN",$A677))),1,0),0)</f>
        <v>0</v>
      </c>
      <c r="T677" s="43" t="str">
        <f aca="false">IF(AND(Q677=1,ISNUMBER(I677)),TEXT(I677,"yyyymmdd")&amp;"|"&amp;IF(S677=1,"F",TEXT(J677,"0.000")),"")</f>
        <v/>
      </c>
      <c r="U677" s="90" t="str">
        <f aca="false">IF(AND(Q677=1,ISNUMBER(I677)),(I677-설정!$C$4)/365.25,"")</f>
        <v/>
      </c>
      <c r="V677" s="43" t="str">
        <f aca="false">IF(Q677&lt;&gt;1,"",IF(ISNUMBER(U677),IF(U677&lt;=1,"1년 이하",IF(U677&lt;=2,"1-2년",IF(U677&lt;=3,"2-3년",IF(U677&lt;=4,"3-4년",IF(U677&lt;=5,"4-5년",IF(U677&lt;=7,"5-7년",IF(U677&lt;=10,"7-10년",IF(U677&lt;=20,"10-20년","20년 이상")))))))),"미분류"))</f>
        <v/>
      </c>
      <c r="W677" s="43" t="str">
        <f aca="false">IF(Q677&lt;&gt;1,"",IF(AB677&lt;&gt;"",INDEX(시장분석!$C:$C,AB677),IF(K677=1,"USD","비USD")))</f>
        <v/>
      </c>
      <c r="X677" s="91" t="n">
        <f aca="false">IF(Q677=1,E677*K677/1000000,0)</f>
        <v>0</v>
      </c>
      <c r="Y677" s="89" t="n">
        <f aca="false">IF(R677="T",1,0)</f>
        <v>0</v>
      </c>
      <c r="Z677" s="92" t="str">
        <f aca="false">IF(Q677&lt;&gt;1,"",IF(AD677=1,IF(ISNUMBER(U677),MAX(U677,0),H677),H677))</f>
        <v/>
      </c>
      <c r="AA677" s="91" t="n">
        <f aca="false">IF(Q677=1,IF(ISNUMBER(L677),L677,0)*K677/1000000,0)</f>
        <v>0</v>
      </c>
      <c r="AB677" s="89" t="str">
        <f aca="false">IF(Q677&lt;&gt;1,"",IFERROR(MATCH(VLOOKUP(B677,매핑!$H$4:$I$15,2,0),시장분석!$A$2:$A$601,0)+1,IFERROR(MATCH(R677&amp;"|"&amp;T677,시장분석!$V$2:$V$601,0)+1,IF(COUNTIF(시장분석!$U$2:$U$601,T677)=1,MATCH(T677,시장분석!$U$2:$U$601,0)+1,""))))</f>
        <v/>
      </c>
      <c r="AC677" s="89" t="n">
        <f aca="false">IF(Q677&lt;&gt;1,0,IF(OR(설정!$C$5="전체",AND(설정!$C$5="선택펀드",IFERROR(COUNTIFS(설정!$F$16:$F$36,C677,설정!$G$16:$G$36,"Y")+COUNTIFS(설정!$F$16:$F$36,VALUE(C677),설정!$G$16:$G$36,"Y"),0)&gt;0),C677&amp;""=설정!$C$5&amp;""),1,0))</f>
        <v>0</v>
      </c>
      <c r="AD677" s="89" t="n">
        <f aca="false">IF(Q677&lt;&gt;1,0,IF(OR(S677=1,IF(AB677="",FALSE(),INDEX(시장분석!$R:$R,AB677)=1)),1,0))</f>
        <v>0</v>
      </c>
      <c r="AE677" s="43" t="str">
        <f aca="false">IF(AB677="","",INDEX(시장분석!$A:$A,AB677))</f>
        <v/>
      </c>
      <c r="AF677" s="93" t="str">
        <f aca="false">IF(AB677="","",IF(ISNUMBER(IF(AB677="","",INDEX(시장분석!$E:$E,AB677))),IF(AB677="","",INDEX(시장분석!$E:$E,AB677)),""))</f>
        <v/>
      </c>
      <c r="AG677" s="43" t="str">
        <f aca="false">IF(Q677&lt;&gt;1,"",IF(AB677&lt;&gt;"",IF(AB677="","",INDEX(시장분석!$L:$L,AB677)),IFERROR(IF(VLOOKUP(R677,매핑!$A$4:$E$92,5,0)="","미분류",VLOOKUP(R677,매핑!$A$4:$E$92,5,0)),"미분류")))</f>
        <v/>
      </c>
      <c r="AH677" s="43" t="str">
        <f aca="false">IF(Q677&lt;&gt;1,"",IF(AB677&lt;&gt;"",IF(AB677="","",INDEX(시장분석!$N:$N,AB677)),IFERROR(IF(VLOOKUP(R677,매핑!$A$4:$E$92,4,0)="","미분류",VLOOKUP(R677,매핑!$A$4:$E$92,4,0)),"미분류")))</f>
        <v/>
      </c>
      <c r="AI677" s="43" t="str">
        <f aca="false">IF(Q677&lt;&gt;1,"",IFERROR(IF(VLOOKUP(R677,매핑!$A$4:$E$92,3,0)="","미분류",VLOOKUP(R677,매핑!$A$4:$E$92,3,0)),IF(AB677&lt;&gt;"",IF(AB677="","",INDEX(시장분석!$W:$W,AB677)),"미분류")))</f>
        <v/>
      </c>
      <c r="AJ677" s="43" t="str">
        <f aca="false">IF(Q677&lt;&gt;1,"",IFERROR(VLOOKUP(IF(N677&lt;&gt;"",N677,IF(P677&lt;&gt;"",P677,O677)),설정!$A$15:$D$47,2,0),""))</f>
        <v/>
      </c>
      <c r="AK677" s="43" t="str">
        <f aca="false">IF(Q677&lt;&gt;1,"",IF(AJ677="","무등급",IFERROR(VLOOKUP(AJ677,설정!$A$15:$D$47,3,0),"무등급")))</f>
        <v/>
      </c>
      <c r="AL677" s="89" t="n">
        <f aca="false">IF(AJ677="",99,IFERROR(VLOOKUP(AJ677,설정!$A$15:$D$47,4,0),99))</f>
        <v>99</v>
      </c>
      <c r="AM677" s="94" t="n">
        <f aca="false">IF(ISNUMBER(H677),AA677*1000000*H677/10000,0)</f>
        <v>0</v>
      </c>
      <c r="AN677" s="94" t="n">
        <f aca="false">IF(OR(Y677=1,NOT(ISNUMBER(Z677))),0,AA677*1000000*Z677/10000)</f>
        <v>0</v>
      </c>
      <c r="AO677" s="94" t="n">
        <f aca="false">IF(ISNUMBER(G677),AA677*1000000*G677/100,0)</f>
        <v>0</v>
      </c>
      <c r="AP677" s="94" t="n">
        <f aca="false">IF(ISNUMBER(M677),M677*K677,0)</f>
        <v>0</v>
      </c>
      <c r="AQ677" s="95" t="str">
        <f aca="false">IF(AB677="","",INDEX(시장분석!$AK:$AK,AB677))</f>
        <v/>
      </c>
      <c r="AR677" s="43" t="str">
        <f aca="false">IF(AB677="","-",IF(AB677="","",INDEX(시장분석!$AL:$AL,AB677)))</f>
        <v>-</v>
      </c>
      <c r="AS677" s="96" t="str">
        <f aca="false">IF(AB677="","",INDEX(시장분석!$AJ:$AJ,AB677))</f>
        <v/>
      </c>
      <c r="AT677" s="93" t="n">
        <f aca="false">IF(AB677="",0,IF(AB677="","",INDEX(시장분석!$AN:$AN,AB677)))</f>
        <v>0</v>
      </c>
      <c r="AU677" s="94" t="n">
        <f aca="false">IF(ISNUMBER(Z677),AT677/10000*MAX(Z677-1,0)*AA677*1000000,0)</f>
        <v>0</v>
      </c>
      <c r="AV677" s="94" t="n">
        <f aca="false">AO677+AU677</f>
        <v>0</v>
      </c>
      <c r="AW677" s="43" t="str">
        <f aca="false">IF(Q677&lt;&gt;1,"",TRIM(IF(AD677=1,"FRN ","")&amp;IF(AND(AL677&gt;=10,AL677&lt;99),"BBB0미만 ","")&amp;IF(AJ677="","등급없음 ","")&amp;IF(K677&lt;&gt;1,"비USD ","")&amp;IF(AND(AB677="",Y677=0),"시장데이터없음 ","")&amp;IF(AND(ISNUMBER(U677),U677&lt;0),"만기경과 ","")))</f>
        <v/>
      </c>
      <c r="AX677" s="90" t="n">
        <f aca="false">IF(Q677&lt;&gt;1,1,IF(스프레드쇼크!$C$4="Y",INDEX(스프레드쇼크!$B$12:$L$16,IFERROR(MATCH(AH677,스프레드쇼크!$A$12:$A$16,0),MATCH("목록외",스프레드쇼크!$A$12:$A$16,0)),IFERROR(MATCH(AG677,스프레드쇼크!$B$11:$L$11,0),MATCH("목록외",스프레드쇼크!$B$11:$L$11,0))),1))</f>
        <v>1</v>
      </c>
      <c r="AY677" s="90" t="n">
        <f aca="false">IF(스프레드쇼크!$C$5="Y",IF(ISNUMBER(AF677),MIN(스프레드쇼크!$C$7,MAX(스프레드쇼크!$C$6,AF677/스프레드쇼크!$C$8)),1),1)</f>
        <v>1</v>
      </c>
      <c r="AZ677" s="94" t="n">
        <f aca="false">AN677*AX677*AY677</f>
        <v>0</v>
      </c>
      <c r="BA677" s="90" t="n">
        <f aca="false">IF(ISNUMBER(G677),AA677*G677,0)</f>
        <v>0</v>
      </c>
      <c r="BB677" s="90" t="n">
        <f aca="false">IF(ISNUMBER(G677),AA677,0)</f>
        <v>0</v>
      </c>
      <c r="BC677" s="90" t="n">
        <f aca="false">IF(AND(Y677=0,ISNUMBER(AF677)),AA677*AF677,0)</f>
        <v>0</v>
      </c>
      <c r="BD677" s="90" t="n">
        <f aca="false">IF(AND(Y677=0,ISNUMBER(AF677)),AA677,0)</f>
        <v>0</v>
      </c>
      <c r="BE677" s="90" t="n">
        <f aca="false">IF(ISNUMBER(H677),AA677*H677,0)</f>
        <v>0</v>
      </c>
      <c r="BF677" s="90" t="n">
        <f aca="false">IF(ISNUMBER(H677),AA677,0)</f>
        <v>0</v>
      </c>
      <c r="BG677" s="90" t="n">
        <f aca="false">IF(AND(Y677=0,ISNUMBER(AF677),ISNUMBER(Z677)),AA677*Z677,0)</f>
        <v>0</v>
      </c>
      <c r="BH677" s="90" t="n">
        <f aca="false">IF(AND(Y677=0,ISNUMBER(AF677),ISNUMBER(Z677)),AA677*AT677*MAX(Z677-1,0),0)</f>
        <v>0</v>
      </c>
      <c r="BI677" s="90" t="n">
        <f aca="false">IF(Y677=0,AA677,0)</f>
        <v>0</v>
      </c>
    </row>
    <row r="678" customFormat="false" ht="15" hidden="false" customHeight="false" outlineLevel="0" collapsed="false">
      <c r="A678" s="83" t="str">
        <f aca="false">IFERROR(IF(INDEX(원자료_잔고!$A$1:$EZ$1500,설정!$L$5+ROW()-1,설정!$L$8)&amp;""="0","",INDEX(원자료_잔고!$A$1:$EZ$1500,설정!$L$5+ROW()-1,설정!$L$8)&amp;""),"")</f>
        <v/>
      </c>
      <c r="B678" s="83" t="str">
        <f aca="false">IFERROR(IF(INDEX(원자료_잔고!$A$1:$EZ$1500,설정!$L$5+ROW()-1,설정!$L$7)&amp;""="0","",INDEX(원자료_잔고!$A$1:$EZ$1500,설정!$L$5+ROW()-1,설정!$L$7)&amp;""),"")</f>
        <v/>
      </c>
      <c r="C678" s="83" t="str">
        <f aca="false">IFERROR(IF(INDEX(원자료_잔고!$A$1:$EZ$1500,설정!$L$5+ROW()-1,설정!$L$9)&amp;""="0","",INDEX(원자료_잔고!$A$1:$EZ$1500,설정!$L$5+ROW()-1,설정!$L$9)&amp;""),"")</f>
        <v/>
      </c>
      <c r="D678" s="83" t="str">
        <f aca="false">IFERROR(IF(INDEX(원자료_잔고!$A$1:$EZ$1500,설정!$L$5+ROW()-1,설정!$L$10)&amp;""="0","",INDEX(원자료_잔고!$A$1:$EZ$1500,설정!$L$5+ROW()-1,설정!$L$10)&amp;""),"")</f>
        <v/>
      </c>
      <c r="E678" s="84" t="str">
        <f aca="false">IFERROR(IF(ISNUMBER(INDEX(원자료_잔고!$A$1:$EZ$1500,설정!$L$5+ROW()-1,설정!$L$11)),INDEX(원자료_잔고!$A$1:$EZ$1500,설정!$L$5+ROW()-1,설정!$L$11),""),"")</f>
        <v/>
      </c>
      <c r="F678" s="85" t="str">
        <f aca="false">IFERROR(IF(ISNUMBER(INDEX(원자료_잔고!$A$1:$EZ$1500,설정!$L$5+ROW()-1,설정!$L$12)),INDEX(원자료_잔고!$A$1:$EZ$1500,설정!$L$5+ROW()-1,설정!$L$12),""),"")</f>
        <v/>
      </c>
      <c r="G678" s="85" t="str">
        <f aca="false">IFERROR(IF(ISNUMBER(INDEX(원자료_잔고!$A$1:$EZ$1500,설정!$L$5+ROW()-1,설정!$L$13)),INDEX(원자료_잔고!$A$1:$EZ$1500,설정!$L$5+ROW()-1,설정!$L$13),""),"")</f>
        <v/>
      </c>
      <c r="H678" s="85" t="str">
        <f aca="false">IFERROR(IF(ISNUMBER(INDEX(원자료_잔고!$A$1:$EZ$1500,설정!$L$5+ROW()-1,설정!$L$14)),INDEX(원자료_잔고!$A$1:$EZ$1500,설정!$L$5+ROW()-1,설정!$L$14),""),"")</f>
        <v/>
      </c>
      <c r="I678" s="86" t="str">
        <f aca="false">IFERROR(IF(ISNUMBER(INDEX(원자료_잔고!$A$1:$EZ$1500,설정!$L$5+ROW()-1,설정!$L$15)),INDEX(원자료_잔고!$A$1:$EZ$1500,설정!$L$5+ROW()-1,설정!$L$15),""),"")</f>
        <v/>
      </c>
      <c r="J678" s="85" t="str">
        <f aca="false">IFERROR(IF(ISNUMBER(INDEX(원자료_잔고!$A$1:$EZ$1500,설정!$L$5+ROW()-1,설정!$L$16)),INDEX(원자료_잔고!$A$1:$EZ$1500,설정!$L$5+ROW()-1,설정!$L$16),""),"")</f>
        <v/>
      </c>
      <c r="K678" s="87" t="str">
        <f aca="false">IFERROR(IF(ISNUMBER(INDEX(원자료_잔고!$A$1:$EZ$1500,설정!$L$5+ROW()-1,설정!$L$17)),INDEX(원자료_잔고!$A$1:$EZ$1500,설정!$L$5+ROW()-1,설정!$L$17),""),"")</f>
        <v/>
      </c>
      <c r="L678" s="84" t="str">
        <f aca="false">IFERROR(IF(ISNUMBER(INDEX(원자료_잔고!$A$1:$EZ$1500,설정!$L$5+ROW()-1,설정!$L$18)),INDEX(원자료_잔고!$A$1:$EZ$1500,설정!$L$5+ROW()-1,설정!$L$18),""),"")</f>
        <v/>
      </c>
      <c r="M678" s="88" t="str">
        <f aca="false">IFERROR(IF(ISNUMBER(INDEX(원자료_잔고!$A$1:$EZ$1500,설정!$L$5+ROW()-1,설정!$L$19)),INDEX(원자료_잔고!$A$1:$EZ$1500,설정!$L$5+ROW()-1,설정!$L$19),""),"")</f>
        <v/>
      </c>
      <c r="N678" s="83" t="str">
        <f aca="false">IFERROR(IF(INDEX(원자료_잔고!$A$1:$EZ$1500,설정!$L$5+ROW()-1,설정!$L$21)&amp;""="0","",INDEX(원자료_잔고!$A$1:$EZ$1500,설정!$L$5+ROW()-1,설정!$L$21)&amp;""),"")</f>
        <v/>
      </c>
      <c r="O678" s="83" t="str">
        <f aca="false">IFERROR(IF(INDEX(원자료_잔고!$A$1:$EZ$1500,설정!$L$5+ROW()-1,설정!$L$22)&amp;""="0","",INDEX(원자료_잔고!$A$1:$EZ$1500,설정!$L$5+ROW()-1,설정!$L$22)&amp;""),"")</f>
        <v/>
      </c>
      <c r="P678" s="83" t="str">
        <f aca="false">IFERROR(IF(INDEX(원자료_잔고!$A$1:$EZ$1500,설정!$L$5+ROW()-1,설정!$L$23)&amp;""="0","",INDEX(원자료_잔고!$A$1:$EZ$1500,설정!$L$5+ROW()-1,설정!$L$23)&amp;""),"")</f>
        <v/>
      </c>
      <c r="Q678" s="89" t="n">
        <f aca="false">IF(AND($A678&lt;&gt;"",ISNUMBER(E678)),IF(E678&gt;0,1,0),0)</f>
        <v>0</v>
      </c>
      <c r="R678" s="43" t="str">
        <f aca="false">IF(Q678=1,UPPER(LEFT($A678,FIND(" ",$A678&amp;" ")-1)),"")</f>
        <v/>
      </c>
      <c r="S678" s="89" t="n">
        <f aca="false">IF(Q678=1,IF(OR(ISNUMBER(SEARCH("Float",$A678)),ISNUMBER(SEARCH("FRN",$A678))),1,0),0)</f>
        <v>0</v>
      </c>
      <c r="T678" s="43" t="str">
        <f aca="false">IF(AND(Q678=1,ISNUMBER(I678)),TEXT(I678,"yyyymmdd")&amp;"|"&amp;IF(S678=1,"F",TEXT(J678,"0.000")),"")</f>
        <v/>
      </c>
      <c r="U678" s="90" t="str">
        <f aca="false">IF(AND(Q678=1,ISNUMBER(I678)),(I678-설정!$C$4)/365.25,"")</f>
        <v/>
      </c>
      <c r="V678" s="43" t="str">
        <f aca="false">IF(Q678&lt;&gt;1,"",IF(ISNUMBER(U678),IF(U678&lt;=1,"1년 이하",IF(U678&lt;=2,"1-2년",IF(U678&lt;=3,"2-3년",IF(U678&lt;=4,"3-4년",IF(U678&lt;=5,"4-5년",IF(U678&lt;=7,"5-7년",IF(U678&lt;=10,"7-10년",IF(U678&lt;=20,"10-20년","20년 이상")))))))),"미분류"))</f>
        <v/>
      </c>
      <c r="W678" s="43" t="str">
        <f aca="false">IF(Q678&lt;&gt;1,"",IF(AB678&lt;&gt;"",INDEX(시장분석!$C:$C,AB678),IF(K678=1,"USD","비USD")))</f>
        <v/>
      </c>
      <c r="X678" s="91" t="n">
        <f aca="false">IF(Q678=1,E678*K678/1000000,0)</f>
        <v>0</v>
      </c>
      <c r="Y678" s="89" t="n">
        <f aca="false">IF(R678="T",1,0)</f>
        <v>0</v>
      </c>
      <c r="Z678" s="92" t="str">
        <f aca="false">IF(Q678&lt;&gt;1,"",IF(AD678=1,IF(ISNUMBER(U678),MAX(U678,0),H678),H678))</f>
        <v/>
      </c>
      <c r="AA678" s="91" t="n">
        <f aca="false">IF(Q678=1,IF(ISNUMBER(L678),L678,0)*K678/1000000,0)</f>
        <v>0</v>
      </c>
      <c r="AB678" s="89" t="str">
        <f aca="false">IF(Q678&lt;&gt;1,"",IFERROR(MATCH(VLOOKUP(B678,매핑!$H$4:$I$15,2,0),시장분석!$A$2:$A$601,0)+1,IFERROR(MATCH(R678&amp;"|"&amp;T678,시장분석!$V$2:$V$601,0)+1,IF(COUNTIF(시장분석!$U$2:$U$601,T678)=1,MATCH(T678,시장분석!$U$2:$U$601,0)+1,""))))</f>
        <v/>
      </c>
      <c r="AC678" s="89" t="n">
        <f aca="false">IF(Q678&lt;&gt;1,0,IF(OR(설정!$C$5="전체",AND(설정!$C$5="선택펀드",IFERROR(COUNTIFS(설정!$F$16:$F$36,C678,설정!$G$16:$G$36,"Y")+COUNTIFS(설정!$F$16:$F$36,VALUE(C678),설정!$G$16:$G$36,"Y"),0)&gt;0),C678&amp;""=설정!$C$5&amp;""),1,0))</f>
        <v>0</v>
      </c>
      <c r="AD678" s="89" t="n">
        <f aca="false">IF(Q678&lt;&gt;1,0,IF(OR(S678=1,IF(AB678="",FALSE(),INDEX(시장분석!$R:$R,AB678)=1)),1,0))</f>
        <v>0</v>
      </c>
      <c r="AE678" s="43" t="str">
        <f aca="false">IF(AB678="","",INDEX(시장분석!$A:$A,AB678))</f>
        <v/>
      </c>
      <c r="AF678" s="93" t="str">
        <f aca="false">IF(AB678="","",IF(ISNUMBER(IF(AB678="","",INDEX(시장분석!$E:$E,AB678))),IF(AB678="","",INDEX(시장분석!$E:$E,AB678)),""))</f>
        <v/>
      </c>
      <c r="AG678" s="43" t="str">
        <f aca="false">IF(Q678&lt;&gt;1,"",IF(AB678&lt;&gt;"",IF(AB678="","",INDEX(시장분석!$L:$L,AB678)),IFERROR(IF(VLOOKUP(R678,매핑!$A$4:$E$92,5,0)="","미분류",VLOOKUP(R678,매핑!$A$4:$E$92,5,0)),"미분류")))</f>
        <v/>
      </c>
      <c r="AH678" s="43" t="str">
        <f aca="false">IF(Q678&lt;&gt;1,"",IF(AB678&lt;&gt;"",IF(AB678="","",INDEX(시장분석!$N:$N,AB678)),IFERROR(IF(VLOOKUP(R678,매핑!$A$4:$E$92,4,0)="","미분류",VLOOKUP(R678,매핑!$A$4:$E$92,4,0)),"미분류")))</f>
        <v/>
      </c>
      <c r="AI678" s="43" t="str">
        <f aca="false">IF(Q678&lt;&gt;1,"",IFERROR(IF(VLOOKUP(R678,매핑!$A$4:$E$92,3,0)="","미분류",VLOOKUP(R678,매핑!$A$4:$E$92,3,0)),IF(AB678&lt;&gt;"",IF(AB678="","",INDEX(시장분석!$W:$W,AB678)),"미분류")))</f>
        <v/>
      </c>
      <c r="AJ678" s="43" t="str">
        <f aca="false">IF(Q678&lt;&gt;1,"",IFERROR(VLOOKUP(IF(N678&lt;&gt;"",N678,IF(P678&lt;&gt;"",P678,O678)),설정!$A$15:$D$47,2,0),""))</f>
        <v/>
      </c>
      <c r="AK678" s="43" t="str">
        <f aca="false">IF(Q678&lt;&gt;1,"",IF(AJ678="","무등급",IFERROR(VLOOKUP(AJ678,설정!$A$15:$D$47,3,0),"무등급")))</f>
        <v/>
      </c>
      <c r="AL678" s="89" t="n">
        <f aca="false">IF(AJ678="",99,IFERROR(VLOOKUP(AJ678,설정!$A$15:$D$47,4,0),99))</f>
        <v>99</v>
      </c>
      <c r="AM678" s="94" t="n">
        <f aca="false">IF(ISNUMBER(H678),AA678*1000000*H678/10000,0)</f>
        <v>0</v>
      </c>
      <c r="AN678" s="94" t="n">
        <f aca="false">IF(OR(Y678=1,NOT(ISNUMBER(Z678))),0,AA678*1000000*Z678/10000)</f>
        <v>0</v>
      </c>
      <c r="AO678" s="94" t="n">
        <f aca="false">IF(ISNUMBER(G678),AA678*1000000*G678/100,0)</f>
        <v>0</v>
      </c>
      <c r="AP678" s="94" t="n">
        <f aca="false">IF(ISNUMBER(M678),M678*K678,0)</f>
        <v>0</v>
      </c>
      <c r="AQ678" s="95" t="str">
        <f aca="false">IF(AB678="","",INDEX(시장분석!$AK:$AK,AB678))</f>
        <v/>
      </c>
      <c r="AR678" s="43" t="str">
        <f aca="false">IF(AB678="","-",IF(AB678="","",INDEX(시장분석!$AL:$AL,AB678)))</f>
        <v>-</v>
      </c>
      <c r="AS678" s="96" t="str">
        <f aca="false">IF(AB678="","",INDEX(시장분석!$AJ:$AJ,AB678))</f>
        <v/>
      </c>
      <c r="AT678" s="93" t="n">
        <f aca="false">IF(AB678="",0,IF(AB678="","",INDEX(시장분석!$AN:$AN,AB678)))</f>
        <v>0</v>
      </c>
      <c r="AU678" s="94" t="n">
        <f aca="false">IF(ISNUMBER(Z678),AT678/10000*MAX(Z678-1,0)*AA678*1000000,0)</f>
        <v>0</v>
      </c>
      <c r="AV678" s="94" t="n">
        <f aca="false">AO678+AU678</f>
        <v>0</v>
      </c>
      <c r="AW678" s="43" t="str">
        <f aca="false">IF(Q678&lt;&gt;1,"",TRIM(IF(AD678=1,"FRN ","")&amp;IF(AND(AL678&gt;=10,AL678&lt;99),"BBB0미만 ","")&amp;IF(AJ678="","등급없음 ","")&amp;IF(K678&lt;&gt;1,"비USD ","")&amp;IF(AND(AB678="",Y678=0),"시장데이터없음 ","")&amp;IF(AND(ISNUMBER(U678),U678&lt;0),"만기경과 ","")))</f>
        <v/>
      </c>
      <c r="AX678" s="90" t="n">
        <f aca="false">IF(Q678&lt;&gt;1,1,IF(스프레드쇼크!$C$4="Y",INDEX(스프레드쇼크!$B$12:$L$16,IFERROR(MATCH(AH678,스프레드쇼크!$A$12:$A$16,0),MATCH("목록외",스프레드쇼크!$A$12:$A$16,0)),IFERROR(MATCH(AG678,스프레드쇼크!$B$11:$L$11,0),MATCH("목록외",스프레드쇼크!$B$11:$L$11,0))),1))</f>
        <v>1</v>
      </c>
      <c r="AY678" s="90" t="n">
        <f aca="false">IF(스프레드쇼크!$C$5="Y",IF(ISNUMBER(AF678),MIN(스프레드쇼크!$C$7,MAX(스프레드쇼크!$C$6,AF678/스프레드쇼크!$C$8)),1),1)</f>
        <v>1</v>
      </c>
      <c r="AZ678" s="94" t="n">
        <f aca="false">AN678*AX678*AY678</f>
        <v>0</v>
      </c>
      <c r="BA678" s="90" t="n">
        <f aca="false">IF(ISNUMBER(G678),AA678*G678,0)</f>
        <v>0</v>
      </c>
      <c r="BB678" s="90" t="n">
        <f aca="false">IF(ISNUMBER(G678),AA678,0)</f>
        <v>0</v>
      </c>
      <c r="BC678" s="90" t="n">
        <f aca="false">IF(AND(Y678=0,ISNUMBER(AF678)),AA678*AF678,0)</f>
        <v>0</v>
      </c>
      <c r="BD678" s="90" t="n">
        <f aca="false">IF(AND(Y678=0,ISNUMBER(AF678)),AA678,0)</f>
        <v>0</v>
      </c>
      <c r="BE678" s="90" t="n">
        <f aca="false">IF(ISNUMBER(H678),AA678*H678,0)</f>
        <v>0</v>
      </c>
      <c r="BF678" s="90" t="n">
        <f aca="false">IF(ISNUMBER(H678),AA678,0)</f>
        <v>0</v>
      </c>
      <c r="BG678" s="90" t="n">
        <f aca="false">IF(AND(Y678=0,ISNUMBER(AF678),ISNUMBER(Z678)),AA678*Z678,0)</f>
        <v>0</v>
      </c>
      <c r="BH678" s="90" t="n">
        <f aca="false">IF(AND(Y678=0,ISNUMBER(AF678),ISNUMBER(Z678)),AA678*AT678*MAX(Z678-1,0),0)</f>
        <v>0</v>
      </c>
      <c r="BI678" s="90" t="n">
        <f aca="false">IF(Y678=0,AA678,0)</f>
        <v>0</v>
      </c>
    </row>
    <row r="679" customFormat="false" ht="15" hidden="false" customHeight="false" outlineLevel="0" collapsed="false">
      <c r="A679" s="83" t="str">
        <f aca="false">IFERROR(IF(INDEX(원자료_잔고!$A$1:$EZ$1500,설정!$L$5+ROW()-1,설정!$L$8)&amp;""="0","",INDEX(원자료_잔고!$A$1:$EZ$1500,설정!$L$5+ROW()-1,설정!$L$8)&amp;""),"")</f>
        <v/>
      </c>
      <c r="B679" s="83" t="str">
        <f aca="false">IFERROR(IF(INDEX(원자료_잔고!$A$1:$EZ$1500,설정!$L$5+ROW()-1,설정!$L$7)&amp;""="0","",INDEX(원자료_잔고!$A$1:$EZ$1500,설정!$L$5+ROW()-1,설정!$L$7)&amp;""),"")</f>
        <v/>
      </c>
      <c r="C679" s="83" t="str">
        <f aca="false">IFERROR(IF(INDEX(원자료_잔고!$A$1:$EZ$1500,설정!$L$5+ROW()-1,설정!$L$9)&amp;""="0","",INDEX(원자료_잔고!$A$1:$EZ$1500,설정!$L$5+ROW()-1,설정!$L$9)&amp;""),"")</f>
        <v/>
      </c>
      <c r="D679" s="83" t="str">
        <f aca="false">IFERROR(IF(INDEX(원자료_잔고!$A$1:$EZ$1500,설정!$L$5+ROW()-1,설정!$L$10)&amp;""="0","",INDEX(원자료_잔고!$A$1:$EZ$1500,설정!$L$5+ROW()-1,설정!$L$10)&amp;""),"")</f>
        <v/>
      </c>
      <c r="E679" s="84" t="str">
        <f aca="false">IFERROR(IF(ISNUMBER(INDEX(원자료_잔고!$A$1:$EZ$1500,설정!$L$5+ROW()-1,설정!$L$11)),INDEX(원자료_잔고!$A$1:$EZ$1500,설정!$L$5+ROW()-1,설정!$L$11),""),"")</f>
        <v/>
      </c>
      <c r="F679" s="85" t="str">
        <f aca="false">IFERROR(IF(ISNUMBER(INDEX(원자료_잔고!$A$1:$EZ$1500,설정!$L$5+ROW()-1,설정!$L$12)),INDEX(원자료_잔고!$A$1:$EZ$1500,설정!$L$5+ROW()-1,설정!$L$12),""),"")</f>
        <v/>
      </c>
      <c r="G679" s="85" t="str">
        <f aca="false">IFERROR(IF(ISNUMBER(INDEX(원자료_잔고!$A$1:$EZ$1500,설정!$L$5+ROW()-1,설정!$L$13)),INDEX(원자료_잔고!$A$1:$EZ$1500,설정!$L$5+ROW()-1,설정!$L$13),""),"")</f>
        <v/>
      </c>
      <c r="H679" s="85" t="str">
        <f aca="false">IFERROR(IF(ISNUMBER(INDEX(원자료_잔고!$A$1:$EZ$1500,설정!$L$5+ROW()-1,설정!$L$14)),INDEX(원자료_잔고!$A$1:$EZ$1500,설정!$L$5+ROW()-1,설정!$L$14),""),"")</f>
        <v/>
      </c>
      <c r="I679" s="86" t="str">
        <f aca="false">IFERROR(IF(ISNUMBER(INDEX(원자료_잔고!$A$1:$EZ$1500,설정!$L$5+ROW()-1,설정!$L$15)),INDEX(원자료_잔고!$A$1:$EZ$1500,설정!$L$5+ROW()-1,설정!$L$15),""),"")</f>
        <v/>
      </c>
      <c r="J679" s="85" t="str">
        <f aca="false">IFERROR(IF(ISNUMBER(INDEX(원자료_잔고!$A$1:$EZ$1500,설정!$L$5+ROW()-1,설정!$L$16)),INDEX(원자료_잔고!$A$1:$EZ$1500,설정!$L$5+ROW()-1,설정!$L$16),""),"")</f>
        <v/>
      </c>
      <c r="K679" s="87" t="str">
        <f aca="false">IFERROR(IF(ISNUMBER(INDEX(원자료_잔고!$A$1:$EZ$1500,설정!$L$5+ROW()-1,설정!$L$17)),INDEX(원자료_잔고!$A$1:$EZ$1500,설정!$L$5+ROW()-1,설정!$L$17),""),"")</f>
        <v/>
      </c>
      <c r="L679" s="84" t="str">
        <f aca="false">IFERROR(IF(ISNUMBER(INDEX(원자료_잔고!$A$1:$EZ$1500,설정!$L$5+ROW()-1,설정!$L$18)),INDEX(원자료_잔고!$A$1:$EZ$1500,설정!$L$5+ROW()-1,설정!$L$18),""),"")</f>
        <v/>
      </c>
      <c r="M679" s="88" t="str">
        <f aca="false">IFERROR(IF(ISNUMBER(INDEX(원자료_잔고!$A$1:$EZ$1500,설정!$L$5+ROW()-1,설정!$L$19)),INDEX(원자료_잔고!$A$1:$EZ$1500,설정!$L$5+ROW()-1,설정!$L$19),""),"")</f>
        <v/>
      </c>
      <c r="N679" s="83" t="str">
        <f aca="false">IFERROR(IF(INDEX(원자료_잔고!$A$1:$EZ$1500,설정!$L$5+ROW()-1,설정!$L$21)&amp;""="0","",INDEX(원자료_잔고!$A$1:$EZ$1500,설정!$L$5+ROW()-1,설정!$L$21)&amp;""),"")</f>
        <v/>
      </c>
      <c r="O679" s="83" t="str">
        <f aca="false">IFERROR(IF(INDEX(원자료_잔고!$A$1:$EZ$1500,설정!$L$5+ROW()-1,설정!$L$22)&amp;""="0","",INDEX(원자료_잔고!$A$1:$EZ$1500,설정!$L$5+ROW()-1,설정!$L$22)&amp;""),"")</f>
        <v/>
      </c>
      <c r="P679" s="83" t="str">
        <f aca="false">IFERROR(IF(INDEX(원자료_잔고!$A$1:$EZ$1500,설정!$L$5+ROW()-1,설정!$L$23)&amp;""="0","",INDEX(원자료_잔고!$A$1:$EZ$1500,설정!$L$5+ROW()-1,설정!$L$23)&amp;""),"")</f>
        <v/>
      </c>
      <c r="Q679" s="89" t="n">
        <f aca="false">IF(AND($A679&lt;&gt;"",ISNUMBER(E679)),IF(E679&gt;0,1,0),0)</f>
        <v>0</v>
      </c>
      <c r="R679" s="43" t="str">
        <f aca="false">IF(Q679=1,UPPER(LEFT($A679,FIND(" ",$A679&amp;" ")-1)),"")</f>
        <v/>
      </c>
      <c r="S679" s="89" t="n">
        <f aca="false">IF(Q679=1,IF(OR(ISNUMBER(SEARCH("Float",$A679)),ISNUMBER(SEARCH("FRN",$A679))),1,0),0)</f>
        <v>0</v>
      </c>
      <c r="T679" s="43" t="str">
        <f aca="false">IF(AND(Q679=1,ISNUMBER(I679)),TEXT(I679,"yyyymmdd")&amp;"|"&amp;IF(S679=1,"F",TEXT(J679,"0.000")),"")</f>
        <v/>
      </c>
      <c r="U679" s="90" t="str">
        <f aca="false">IF(AND(Q679=1,ISNUMBER(I679)),(I679-설정!$C$4)/365.25,"")</f>
        <v/>
      </c>
      <c r="V679" s="43" t="str">
        <f aca="false">IF(Q679&lt;&gt;1,"",IF(ISNUMBER(U679),IF(U679&lt;=1,"1년 이하",IF(U679&lt;=2,"1-2년",IF(U679&lt;=3,"2-3년",IF(U679&lt;=4,"3-4년",IF(U679&lt;=5,"4-5년",IF(U679&lt;=7,"5-7년",IF(U679&lt;=10,"7-10년",IF(U679&lt;=20,"10-20년","20년 이상")))))))),"미분류"))</f>
        <v/>
      </c>
      <c r="W679" s="43" t="str">
        <f aca="false">IF(Q679&lt;&gt;1,"",IF(AB679&lt;&gt;"",INDEX(시장분석!$C:$C,AB679),IF(K679=1,"USD","비USD")))</f>
        <v/>
      </c>
      <c r="X679" s="91" t="n">
        <f aca="false">IF(Q679=1,E679*K679/1000000,0)</f>
        <v>0</v>
      </c>
      <c r="Y679" s="89" t="n">
        <f aca="false">IF(R679="T",1,0)</f>
        <v>0</v>
      </c>
      <c r="Z679" s="92" t="str">
        <f aca="false">IF(Q679&lt;&gt;1,"",IF(AD679=1,IF(ISNUMBER(U679),MAX(U679,0),H679),H679))</f>
        <v/>
      </c>
      <c r="AA679" s="91" t="n">
        <f aca="false">IF(Q679=1,IF(ISNUMBER(L679),L679,0)*K679/1000000,0)</f>
        <v>0</v>
      </c>
      <c r="AB679" s="89" t="str">
        <f aca="false">IF(Q679&lt;&gt;1,"",IFERROR(MATCH(VLOOKUP(B679,매핑!$H$4:$I$15,2,0),시장분석!$A$2:$A$601,0)+1,IFERROR(MATCH(R679&amp;"|"&amp;T679,시장분석!$V$2:$V$601,0)+1,IF(COUNTIF(시장분석!$U$2:$U$601,T679)=1,MATCH(T679,시장분석!$U$2:$U$601,0)+1,""))))</f>
        <v/>
      </c>
      <c r="AC679" s="89" t="n">
        <f aca="false">IF(Q679&lt;&gt;1,0,IF(OR(설정!$C$5="전체",AND(설정!$C$5="선택펀드",IFERROR(COUNTIFS(설정!$F$16:$F$36,C679,설정!$G$16:$G$36,"Y")+COUNTIFS(설정!$F$16:$F$36,VALUE(C679),설정!$G$16:$G$36,"Y"),0)&gt;0),C679&amp;""=설정!$C$5&amp;""),1,0))</f>
        <v>0</v>
      </c>
      <c r="AD679" s="89" t="n">
        <f aca="false">IF(Q679&lt;&gt;1,0,IF(OR(S679=1,IF(AB679="",FALSE(),INDEX(시장분석!$R:$R,AB679)=1)),1,0))</f>
        <v>0</v>
      </c>
      <c r="AE679" s="43" t="str">
        <f aca="false">IF(AB679="","",INDEX(시장분석!$A:$A,AB679))</f>
        <v/>
      </c>
      <c r="AF679" s="93" t="str">
        <f aca="false">IF(AB679="","",IF(ISNUMBER(IF(AB679="","",INDEX(시장분석!$E:$E,AB679))),IF(AB679="","",INDEX(시장분석!$E:$E,AB679)),""))</f>
        <v/>
      </c>
      <c r="AG679" s="43" t="str">
        <f aca="false">IF(Q679&lt;&gt;1,"",IF(AB679&lt;&gt;"",IF(AB679="","",INDEX(시장분석!$L:$L,AB679)),IFERROR(IF(VLOOKUP(R679,매핑!$A$4:$E$92,5,0)="","미분류",VLOOKUP(R679,매핑!$A$4:$E$92,5,0)),"미분류")))</f>
        <v/>
      </c>
      <c r="AH679" s="43" t="str">
        <f aca="false">IF(Q679&lt;&gt;1,"",IF(AB679&lt;&gt;"",IF(AB679="","",INDEX(시장분석!$N:$N,AB679)),IFERROR(IF(VLOOKUP(R679,매핑!$A$4:$E$92,4,0)="","미분류",VLOOKUP(R679,매핑!$A$4:$E$92,4,0)),"미분류")))</f>
        <v/>
      </c>
      <c r="AI679" s="43" t="str">
        <f aca="false">IF(Q679&lt;&gt;1,"",IFERROR(IF(VLOOKUP(R679,매핑!$A$4:$E$92,3,0)="","미분류",VLOOKUP(R679,매핑!$A$4:$E$92,3,0)),IF(AB679&lt;&gt;"",IF(AB679="","",INDEX(시장분석!$W:$W,AB679)),"미분류")))</f>
        <v/>
      </c>
      <c r="AJ679" s="43" t="str">
        <f aca="false">IF(Q679&lt;&gt;1,"",IFERROR(VLOOKUP(IF(N679&lt;&gt;"",N679,IF(P679&lt;&gt;"",P679,O679)),설정!$A$15:$D$47,2,0),""))</f>
        <v/>
      </c>
      <c r="AK679" s="43" t="str">
        <f aca="false">IF(Q679&lt;&gt;1,"",IF(AJ679="","무등급",IFERROR(VLOOKUP(AJ679,설정!$A$15:$D$47,3,0),"무등급")))</f>
        <v/>
      </c>
      <c r="AL679" s="89" t="n">
        <f aca="false">IF(AJ679="",99,IFERROR(VLOOKUP(AJ679,설정!$A$15:$D$47,4,0),99))</f>
        <v>99</v>
      </c>
      <c r="AM679" s="94" t="n">
        <f aca="false">IF(ISNUMBER(H679),AA679*1000000*H679/10000,0)</f>
        <v>0</v>
      </c>
      <c r="AN679" s="94" t="n">
        <f aca="false">IF(OR(Y679=1,NOT(ISNUMBER(Z679))),0,AA679*1000000*Z679/10000)</f>
        <v>0</v>
      </c>
      <c r="AO679" s="94" t="n">
        <f aca="false">IF(ISNUMBER(G679),AA679*1000000*G679/100,0)</f>
        <v>0</v>
      </c>
      <c r="AP679" s="94" t="n">
        <f aca="false">IF(ISNUMBER(M679),M679*K679,0)</f>
        <v>0</v>
      </c>
      <c r="AQ679" s="95" t="str">
        <f aca="false">IF(AB679="","",INDEX(시장분석!$AK:$AK,AB679))</f>
        <v/>
      </c>
      <c r="AR679" s="43" t="str">
        <f aca="false">IF(AB679="","-",IF(AB679="","",INDEX(시장분석!$AL:$AL,AB679)))</f>
        <v>-</v>
      </c>
      <c r="AS679" s="96" t="str">
        <f aca="false">IF(AB679="","",INDEX(시장분석!$AJ:$AJ,AB679))</f>
        <v/>
      </c>
      <c r="AT679" s="93" t="n">
        <f aca="false">IF(AB679="",0,IF(AB679="","",INDEX(시장분석!$AN:$AN,AB679)))</f>
        <v>0</v>
      </c>
      <c r="AU679" s="94" t="n">
        <f aca="false">IF(ISNUMBER(Z679),AT679/10000*MAX(Z679-1,0)*AA679*1000000,0)</f>
        <v>0</v>
      </c>
      <c r="AV679" s="94" t="n">
        <f aca="false">AO679+AU679</f>
        <v>0</v>
      </c>
      <c r="AW679" s="43" t="str">
        <f aca="false">IF(Q679&lt;&gt;1,"",TRIM(IF(AD679=1,"FRN ","")&amp;IF(AND(AL679&gt;=10,AL679&lt;99),"BBB0미만 ","")&amp;IF(AJ679="","등급없음 ","")&amp;IF(K679&lt;&gt;1,"비USD ","")&amp;IF(AND(AB679="",Y679=0),"시장데이터없음 ","")&amp;IF(AND(ISNUMBER(U679),U679&lt;0),"만기경과 ","")))</f>
        <v/>
      </c>
      <c r="AX679" s="90" t="n">
        <f aca="false">IF(Q679&lt;&gt;1,1,IF(스프레드쇼크!$C$4="Y",INDEX(스프레드쇼크!$B$12:$L$16,IFERROR(MATCH(AH679,스프레드쇼크!$A$12:$A$16,0),MATCH("목록외",스프레드쇼크!$A$12:$A$16,0)),IFERROR(MATCH(AG679,스프레드쇼크!$B$11:$L$11,0),MATCH("목록외",스프레드쇼크!$B$11:$L$11,0))),1))</f>
        <v>1</v>
      </c>
      <c r="AY679" s="90" t="n">
        <f aca="false">IF(스프레드쇼크!$C$5="Y",IF(ISNUMBER(AF679),MIN(스프레드쇼크!$C$7,MAX(스프레드쇼크!$C$6,AF679/스프레드쇼크!$C$8)),1),1)</f>
        <v>1</v>
      </c>
      <c r="AZ679" s="94" t="n">
        <f aca="false">AN679*AX679*AY679</f>
        <v>0</v>
      </c>
      <c r="BA679" s="90" t="n">
        <f aca="false">IF(ISNUMBER(G679),AA679*G679,0)</f>
        <v>0</v>
      </c>
      <c r="BB679" s="90" t="n">
        <f aca="false">IF(ISNUMBER(G679),AA679,0)</f>
        <v>0</v>
      </c>
      <c r="BC679" s="90" t="n">
        <f aca="false">IF(AND(Y679=0,ISNUMBER(AF679)),AA679*AF679,0)</f>
        <v>0</v>
      </c>
      <c r="BD679" s="90" t="n">
        <f aca="false">IF(AND(Y679=0,ISNUMBER(AF679)),AA679,0)</f>
        <v>0</v>
      </c>
      <c r="BE679" s="90" t="n">
        <f aca="false">IF(ISNUMBER(H679),AA679*H679,0)</f>
        <v>0</v>
      </c>
      <c r="BF679" s="90" t="n">
        <f aca="false">IF(ISNUMBER(H679),AA679,0)</f>
        <v>0</v>
      </c>
      <c r="BG679" s="90" t="n">
        <f aca="false">IF(AND(Y679=0,ISNUMBER(AF679),ISNUMBER(Z679)),AA679*Z679,0)</f>
        <v>0</v>
      </c>
      <c r="BH679" s="90" t="n">
        <f aca="false">IF(AND(Y679=0,ISNUMBER(AF679),ISNUMBER(Z679)),AA679*AT679*MAX(Z679-1,0),0)</f>
        <v>0</v>
      </c>
      <c r="BI679" s="90" t="n">
        <f aca="false">IF(Y679=0,AA679,0)</f>
        <v>0</v>
      </c>
    </row>
    <row r="680" customFormat="false" ht="15" hidden="false" customHeight="false" outlineLevel="0" collapsed="false">
      <c r="A680" s="83" t="str">
        <f aca="false">IFERROR(IF(INDEX(원자료_잔고!$A$1:$EZ$1500,설정!$L$5+ROW()-1,설정!$L$8)&amp;""="0","",INDEX(원자료_잔고!$A$1:$EZ$1500,설정!$L$5+ROW()-1,설정!$L$8)&amp;""),"")</f>
        <v/>
      </c>
      <c r="B680" s="83" t="str">
        <f aca="false">IFERROR(IF(INDEX(원자료_잔고!$A$1:$EZ$1500,설정!$L$5+ROW()-1,설정!$L$7)&amp;""="0","",INDEX(원자료_잔고!$A$1:$EZ$1500,설정!$L$5+ROW()-1,설정!$L$7)&amp;""),"")</f>
        <v/>
      </c>
      <c r="C680" s="83" t="str">
        <f aca="false">IFERROR(IF(INDEX(원자료_잔고!$A$1:$EZ$1500,설정!$L$5+ROW()-1,설정!$L$9)&amp;""="0","",INDEX(원자료_잔고!$A$1:$EZ$1500,설정!$L$5+ROW()-1,설정!$L$9)&amp;""),"")</f>
        <v/>
      </c>
      <c r="D680" s="83" t="str">
        <f aca="false">IFERROR(IF(INDEX(원자료_잔고!$A$1:$EZ$1500,설정!$L$5+ROW()-1,설정!$L$10)&amp;""="0","",INDEX(원자료_잔고!$A$1:$EZ$1500,설정!$L$5+ROW()-1,설정!$L$10)&amp;""),"")</f>
        <v/>
      </c>
      <c r="E680" s="84" t="str">
        <f aca="false">IFERROR(IF(ISNUMBER(INDEX(원자료_잔고!$A$1:$EZ$1500,설정!$L$5+ROW()-1,설정!$L$11)),INDEX(원자료_잔고!$A$1:$EZ$1500,설정!$L$5+ROW()-1,설정!$L$11),""),"")</f>
        <v/>
      </c>
      <c r="F680" s="85" t="str">
        <f aca="false">IFERROR(IF(ISNUMBER(INDEX(원자료_잔고!$A$1:$EZ$1500,설정!$L$5+ROW()-1,설정!$L$12)),INDEX(원자료_잔고!$A$1:$EZ$1500,설정!$L$5+ROW()-1,설정!$L$12),""),"")</f>
        <v/>
      </c>
      <c r="G680" s="85" t="str">
        <f aca="false">IFERROR(IF(ISNUMBER(INDEX(원자료_잔고!$A$1:$EZ$1500,설정!$L$5+ROW()-1,설정!$L$13)),INDEX(원자료_잔고!$A$1:$EZ$1500,설정!$L$5+ROW()-1,설정!$L$13),""),"")</f>
        <v/>
      </c>
      <c r="H680" s="85" t="str">
        <f aca="false">IFERROR(IF(ISNUMBER(INDEX(원자료_잔고!$A$1:$EZ$1500,설정!$L$5+ROW()-1,설정!$L$14)),INDEX(원자료_잔고!$A$1:$EZ$1500,설정!$L$5+ROW()-1,설정!$L$14),""),"")</f>
        <v/>
      </c>
      <c r="I680" s="86" t="str">
        <f aca="false">IFERROR(IF(ISNUMBER(INDEX(원자료_잔고!$A$1:$EZ$1500,설정!$L$5+ROW()-1,설정!$L$15)),INDEX(원자료_잔고!$A$1:$EZ$1500,설정!$L$5+ROW()-1,설정!$L$15),""),"")</f>
        <v/>
      </c>
      <c r="J680" s="85" t="str">
        <f aca="false">IFERROR(IF(ISNUMBER(INDEX(원자료_잔고!$A$1:$EZ$1500,설정!$L$5+ROW()-1,설정!$L$16)),INDEX(원자료_잔고!$A$1:$EZ$1500,설정!$L$5+ROW()-1,설정!$L$16),""),"")</f>
        <v/>
      </c>
      <c r="K680" s="87" t="str">
        <f aca="false">IFERROR(IF(ISNUMBER(INDEX(원자료_잔고!$A$1:$EZ$1500,설정!$L$5+ROW()-1,설정!$L$17)),INDEX(원자료_잔고!$A$1:$EZ$1500,설정!$L$5+ROW()-1,설정!$L$17),""),"")</f>
        <v/>
      </c>
      <c r="L680" s="84" t="str">
        <f aca="false">IFERROR(IF(ISNUMBER(INDEX(원자료_잔고!$A$1:$EZ$1500,설정!$L$5+ROW()-1,설정!$L$18)),INDEX(원자료_잔고!$A$1:$EZ$1500,설정!$L$5+ROW()-1,설정!$L$18),""),"")</f>
        <v/>
      </c>
      <c r="M680" s="88" t="str">
        <f aca="false">IFERROR(IF(ISNUMBER(INDEX(원자료_잔고!$A$1:$EZ$1500,설정!$L$5+ROW()-1,설정!$L$19)),INDEX(원자료_잔고!$A$1:$EZ$1500,설정!$L$5+ROW()-1,설정!$L$19),""),"")</f>
        <v/>
      </c>
      <c r="N680" s="83" t="str">
        <f aca="false">IFERROR(IF(INDEX(원자료_잔고!$A$1:$EZ$1500,설정!$L$5+ROW()-1,설정!$L$21)&amp;""="0","",INDEX(원자료_잔고!$A$1:$EZ$1500,설정!$L$5+ROW()-1,설정!$L$21)&amp;""),"")</f>
        <v/>
      </c>
      <c r="O680" s="83" t="str">
        <f aca="false">IFERROR(IF(INDEX(원자료_잔고!$A$1:$EZ$1500,설정!$L$5+ROW()-1,설정!$L$22)&amp;""="0","",INDEX(원자료_잔고!$A$1:$EZ$1500,설정!$L$5+ROW()-1,설정!$L$22)&amp;""),"")</f>
        <v/>
      </c>
      <c r="P680" s="83" t="str">
        <f aca="false">IFERROR(IF(INDEX(원자료_잔고!$A$1:$EZ$1500,설정!$L$5+ROW()-1,설정!$L$23)&amp;""="0","",INDEX(원자료_잔고!$A$1:$EZ$1500,설정!$L$5+ROW()-1,설정!$L$23)&amp;""),"")</f>
        <v/>
      </c>
      <c r="Q680" s="89" t="n">
        <f aca="false">IF(AND($A680&lt;&gt;"",ISNUMBER(E680)),IF(E680&gt;0,1,0),0)</f>
        <v>0</v>
      </c>
      <c r="R680" s="43" t="str">
        <f aca="false">IF(Q680=1,UPPER(LEFT($A680,FIND(" ",$A680&amp;" ")-1)),"")</f>
        <v/>
      </c>
      <c r="S680" s="89" t="n">
        <f aca="false">IF(Q680=1,IF(OR(ISNUMBER(SEARCH("Float",$A680)),ISNUMBER(SEARCH("FRN",$A680))),1,0),0)</f>
        <v>0</v>
      </c>
      <c r="T680" s="43" t="str">
        <f aca="false">IF(AND(Q680=1,ISNUMBER(I680)),TEXT(I680,"yyyymmdd")&amp;"|"&amp;IF(S680=1,"F",TEXT(J680,"0.000")),"")</f>
        <v/>
      </c>
      <c r="U680" s="90" t="str">
        <f aca="false">IF(AND(Q680=1,ISNUMBER(I680)),(I680-설정!$C$4)/365.25,"")</f>
        <v/>
      </c>
      <c r="V680" s="43" t="str">
        <f aca="false">IF(Q680&lt;&gt;1,"",IF(ISNUMBER(U680),IF(U680&lt;=1,"1년 이하",IF(U680&lt;=2,"1-2년",IF(U680&lt;=3,"2-3년",IF(U680&lt;=4,"3-4년",IF(U680&lt;=5,"4-5년",IF(U680&lt;=7,"5-7년",IF(U680&lt;=10,"7-10년",IF(U680&lt;=20,"10-20년","20년 이상")))))))),"미분류"))</f>
        <v/>
      </c>
      <c r="W680" s="43" t="str">
        <f aca="false">IF(Q680&lt;&gt;1,"",IF(AB680&lt;&gt;"",INDEX(시장분석!$C:$C,AB680),IF(K680=1,"USD","비USD")))</f>
        <v/>
      </c>
      <c r="X680" s="91" t="n">
        <f aca="false">IF(Q680=1,E680*K680/1000000,0)</f>
        <v>0</v>
      </c>
      <c r="Y680" s="89" t="n">
        <f aca="false">IF(R680="T",1,0)</f>
        <v>0</v>
      </c>
      <c r="Z680" s="92" t="str">
        <f aca="false">IF(Q680&lt;&gt;1,"",IF(AD680=1,IF(ISNUMBER(U680),MAX(U680,0),H680),H680))</f>
        <v/>
      </c>
      <c r="AA680" s="91" t="n">
        <f aca="false">IF(Q680=1,IF(ISNUMBER(L680),L680,0)*K680/1000000,0)</f>
        <v>0</v>
      </c>
      <c r="AB680" s="89" t="str">
        <f aca="false">IF(Q680&lt;&gt;1,"",IFERROR(MATCH(VLOOKUP(B680,매핑!$H$4:$I$15,2,0),시장분석!$A$2:$A$601,0)+1,IFERROR(MATCH(R680&amp;"|"&amp;T680,시장분석!$V$2:$V$601,0)+1,IF(COUNTIF(시장분석!$U$2:$U$601,T680)=1,MATCH(T680,시장분석!$U$2:$U$601,0)+1,""))))</f>
        <v/>
      </c>
      <c r="AC680" s="89" t="n">
        <f aca="false">IF(Q680&lt;&gt;1,0,IF(OR(설정!$C$5="전체",AND(설정!$C$5="선택펀드",IFERROR(COUNTIFS(설정!$F$16:$F$36,C680,설정!$G$16:$G$36,"Y")+COUNTIFS(설정!$F$16:$F$36,VALUE(C680),설정!$G$16:$G$36,"Y"),0)&gt;0),C680&amp;""=설정!$C$5&amp;""),1,0))</f>
        <v>0</v>
      </c>
      <c r="AD680" s="89" t="n">
        <f aca="false">IF(Q680&lt;&gt;1,0,IF(OR(S680=1,IF(AB680="",FALSE(),INDEX(시장분석!$R:$R,AB680)=1)),1,0))</f>
        <v>0</v>
      </c>
      <c r="AE680" s="43" t="str">
        <f aca="false">IF(AB680="","",INDEX(시장분석!$A:$A,AB680))</f>
        <v/>
      </c>
      <c r="AF680" s="93" t="str">
        <f aca="false">IF(AB680="","",IF(ISNUMBER(IF(AB680="","",INDEX(시장분석!$E:$E,AB680))),IF(AB680="","",INDEX(시장분석!$E:$E,AB680)),""))</f>
        <v/>
      </c>
      <c r="AG680" s="43" t="str">
        <f aca="false">IF(Q680&lt;&gt;1,"",IF(AB680&lt;&gt;"",IF(AB680="","",INDEX(시장분석!$L:$L,AB680)),IFERROR(IF(VLOOKUP(R680,매핑!$A$4:$E$92,5,0)="","미분류",VLOOKUP(R680,매핑!$A$4:$E$92,5,0)),"미분류")))</f>
        <v/>
      </c>
      <c r="AH680" s="43" t="str">
        <f aca="false">IF(Q680&lt;&gt;1,"",IF(AB680&lt;&gt;"",IF(AB680="","",INDEX(시장분석!$N:$N,AB680)),IFERROR(IF(VLOOKUP(R680,매핑!$A$4:$E$92,4,0)="","미분류",VLOOKUP(R680,매핑!$A$4:$E$92,4,0)),"미분류")))</f>
        <v/>
      </c>
      <c r="AI680" s="43" t="str">
        <f aca="false">IF(Q680&lt;&gt;1,"",IFERROR(IF(VLOOKUP(R680,매핑!$A$4:$E$92,3,0)="","미분류",VLOOKUP(R680,매핑!$A$4:$E$92,3,0)),IF(AB680&lt;&gt;"",IF(AB680="","",INDEX(시장분석!$W:$W,AB680)),"미분류")))</f>
        <v/>
      </c>
      <c r="AJ680" s="43" t="str">
        <f aca="false">IF(Q680&lt;&gt;1,"",IFERROR(VLOOKUP(IF(N680&lt;&gt;"",N680,IF(P680&lt;&gt;"",P680,O680)),설정!$A$15:$D$47,2,0),""))</f>
        <v/>
      </c>
      <c r="AK680" s="43" t="str">
        <f aca="false">IF(Q680&lt;&gt;1,"",IF(AJ680="","무등급",IFERROR(VLOOKUP(AJ680,설정!$A$15:$D$47,3,0),"무등급")))</f>
        <v/>
      </c>
      <c r="AL680" s="89" t="n">
        <f aca="false">IF(AJ680="",99,IFERROR(VLOOKUP(AJ680,설정!$A$15:$D$47,4,0),99))</f>
        <v>99</v>
      </c>
      <c r="AM680" s="94" t="n">
        <f aca="false">IF(ISNUMBER(H680),AA680*1000000*H680/10000,0)</f>
        <v>0</v>
      </c>
      <c r="AN680" s="94" t="n">
        <f aca="false">IF(OR(Y680=1,NOT(ISNUMBER(Z680))),0,AA680*1000000*Z680/10000)</f>
        <v>0</v>
      </c>
      <c r="AO680" s="94" t="n">
        <f aca="false">IF(ISNUMBER(G680),AA680*1000000*G680/100,0)</f>
        <v>0</v>
      </c>
      <c r="AP680" s="94" t="n">
        <f aca="false">IF(ISNUMBER(M680),M680*K680,0)</f>
        <v>0</v>
      </c>
      <c r="AQ680" s="95" t="str">
        <f aca="false">IF(AB680="","",INDEX(시장분석!$AK:$AK,AB680))</f>
        <v/>
      </c>
      <c r="AR680" s="43" t="str">
        <f aca="false">IF(AB680="","-",IF(AB680="","",INDEX(시장분석!$AL:$AL,AB680)))</f>
        <v>-</v>
      </c>
      <c r="AS680" s="96" t="str">
        <f aca="false">IF(AB680="","",INDEX(시장분석!$AJ:$AJ,AB680))</f>
        <v/>
      </c>
      <c r="AT680" s="93" t="n">
        <f aca="false">IF(AB680="",0,IF(AB680="","",INDEX(시장분석!$AN:$AN,AB680)))</f>
        <v>0</v>
      </c>
      <c r="AU680" s="94" t="n">
        <f aca="false">IF(ISNUMBER(Z680),AT680/10000*MAX(Z680-1,0)*AA680*1000000,0)</f>
        <v>0</v>
      </c>
      <c r="AV680" s="94" t="n">
        <f aca="false">AO680+AU680</f>
        <v>0</v>
      </c>
      <c r="AW680" s="43" t="str">
        <f aca="false">IF(Q680&lt;&gt;1,"",TRIM(IF(AD680=1,"FRN ","")&amp;IF(AND(AL680&gt;=10,AL680&lt;99),"BBB0미만 ","")&amp;IF(AJ680="","등급없음 ","")&amp;IF(K680&lt;&gt;1,"비USD ","")&amp;IF(AND(AB680="",Y680=0),"시장데이터없음 ","")&amp;IF(AND(ISNUMBER(U680),U680&lt;0),"만기경과 ","")))</f>
        <v/>
      </c>
      <c r="AX680" s="90" t="n">
        <f aca="false">IF(Q680&lt;&gt;1,1,IF(스프레드쇼크!$C$4="Y",INDEX(스프레드쇼크!$B$12:$L$16,IFERROR(MATCH(AH680,스프레드쇼크!$A$12:$A$16,0),MATCH("목록외",스프레드쇼크!$A$12:$A$16,0)),IFERROR(MATCH(AG680,스프레드쇼크!$B$11:$L$11,0),MATCH("목록외",스프레드쇼크!$B$11:$L$11,0))),1))</f>
        <v>1</v>
      </c>
      <c r="AY680" s="90" t="n">
        <f aca="false">IF(스프레드쇼크!$C$5="Y",IF(ISNUMBER(AF680),MIN(스프레드쇼크!$C$7,MAX(스프레드쇼크!$C$6,AF680/스프레드쇼크!$C$8)),1),1)</f>
        <v>1</v>
      </c>
      <c r="AZ680" s="94" t="n">
        <f aca="false">AN680*AX680*AY680</f>
        <v>0</v>
      </c>
      <c r="BA680" s="90" t="n">
        <f aca="false">IF(ISNUMBER(G680),AA680*G680,0)</f>
        <v>0</v>
      </c>
      <c r="BB680" s="90" t="n">
        <f aca="false">IF(ISNUMBER(G680),AA680,0)</f>
        <v>0</v>
      </c>
      <c r="BC680" s="90" t="n">
        <f aca="false">IF(AND(Y680=0,ISNUMBER(AF680)),AA680*AF680,0)</f>
        <v>0</v>
      </c>
      <c r="BD680" s="90" t="n">
        <f aca="false">IF(AND(Y680=0,ISNUMBER(AF680)),AA680,0)</f>
        <v>0</v>
      </c>
      <c r="BE680" s="90" t="n">
        <f aca="false">IF(ISNUMBER(H680),AA680*H680,0)</f>
        <v>0</v>
      </c>
      <c r="BF680" s="90" t="n">
        <f aca="false">IF(ISNUMBER(H680),AA680,0)</f>
        <v>0</v>
      </c>
      <c r="BG680" s="90" t="n">
        <f aca="false">IF(AND(Y680=0,ISNUMBER(AF680),ISNUMBER(Z680)),AA680*Z680,0)</f>
        <v>0</v>
      </c>
      <c r="BH680" s="90" t="n">
        <f aca="false">IF(AND(Y680=0,ISNUMBER(AF680),ISNUMBER(Z680)),AA680*AT680*MAX(Z680-1,0),0)</f>
        <v>0</v>
      </c>
      <c r="BI680" s="90" t="n">
        <f aca="false">IF(Y680=0,AA680,0)</f>
        <v>0</v>
      </c>
    </row>
    <row r="681" customFormat="false" ht="15" hidden="false" customHeight="false" outlineLevel="0" collapsed="false">
      <c r="A681" s="83" t="str">
        <f aca="false">IFERROR(IF(INDEX(원자료_잔고!$A$1:$EZ$1500,설정!$L$5+ROW()-1,설정!$L$8)&amp;""="0","",INDEX(원자료_잔고!$A$1:$EZ$1500,설정!$L$5+ROW()-1,설정!$L$8)&amp;""),"")</f>
        <v/>
      </c>
      <c r="B681" s="83" t="str">
        <f aca="false">IFERROR(IF(INDEX(원자료_잔고!$A$1:$EZ$1500,설정!$L$5+ROW()-1,설정!$L$7)&amp;""="0","",INDEX(원자료_잔고!$A$1:$EZ$1500,설정!$L$5+ROW()-1,설정!$L$7)&amp;""),"")</f>
        <v/>
      </c>
      <c r="C681" s="83" t="str">
        <f aca="false">IFERROR(IF(INDEX(원자료_잔고!$A$1:$EZ$1500,설정!$L$5+ROW()-1,설정!$L$9)&amp;""="0","",INDEX(원자료_잔고!$A$1:$EZ$1500,설정!$L$5+ROW()-1,설정!$L$9)&amp;""),"")</f>
        <v/>
      </c>
      <c r="D681" s="83" t="str">
        <f aca="false">IFERROR(IF(INDEX(원자료_잔고!$A$1:$EZ$1500,설정!$L$5+ROW()-1,설정!$L$10)&amp;""="0","",INDEX(원자료_잔고!$A$1:$EZ$1500,설정!$L$5+ROW()-1,설정!$L$10)&amp;""),"")</f>
        <v/>
      </c>
      <c r="E681" s="84" t="str">
        <f aca="false">IFERROR(IF(ISNUMBER(INDEX(원자료_잔고!$A$1:$EZ$1500,설정!$L$5+ROW()-1,설정!$L$11)),INDEX(원자료_잔고!$A$1:$EZ$1500,설정!$L$5+ROW()-1,설정!$L$11),""),"")</f>
        <v/>
      </c>
      <c r="F681" s="85" t="str">
        <f aca="false">IFERROR(IF(ISNUMBER(INDEX(원자료_잔고!$A$1:$EZ$1500,설정!$L$5+ROW()-1,설정!$L$12)),INDEX(원자료_잔고!$A$1:$EZ$1500,설정!$L$5+ROW()-1,설정!$L$12),""),"")</f>
        <v/>
      </c>
      <c r="G681" s="85" t="str">
        <f aca="false">IFERROR(IF(ISNUMBER(INDEX(원자료_잔고!$A$1:$EZ$1500,설정!$L$5+ROW()-1,설정!$L$13)),INDEX(원자료_잔고!$A$1:$EZ$1500,설정!$L$5+ROW()-1,설정!$L$13),""),"")</f>
        <v/>
      </c>
      <c r="H681" s="85" t="str">
        <f aca="false">IFERROR(IF(ISNUMBER(INDEX(원자료_잔고!$A$1:$EZ$1500,설정!$L$5+ROW()-1,설정!$L$14)),INDEX(원자료_잔고!$A$1:$EZ$1500,설정!$L$5+ROW()-1,설정!$L$14),""),"")</f>
        <v/>
      </c>
      <c r="I681" s="86" t="str">
        <f aca="false">IFERROR(IF(ISNUMBER(INDEX(원자료_잔고!$A$1:$EZ$1500,설정!$L$5+ROW()-1,설정!$L$15)),INDEX(원자료_잔고!$A$1:$EZ$1500,설정!$L$5+ROW()-1,설정!$L$15),""),"")</f>
        <v/>
      </c>
      <c r="J681" s="85" t="str">
        <f aca="false">IFERROR(IF(ISNUMBER(INDEX(원자료_잔고!$A$1:$EZ$1500,설정!$L$5+ROW()-1,설정!$L$16)),INDEX(원자료_잔고!$A$1:$EZ$1500,설정!$L$5+ROW()-1,설정!$L$16),""),"")</f>
        <v/>
      </c>
      <c r="K681" s="87" t="str">
        <f aca="false">IFERROR(IF(ISNUMBER(INDEX(원자료_잔고!$A$1:$EZ$1500,설정!$L$5+ROW()-1,설정!$L$17)),INDEX(원자료_잔고!$A$1:$EZ$1500,설정!$L$5+ROW()-1,설정!$L$17),""),"")</f>
        <v/>
      </c>
      <c r="L681" s="84" t="str">
        <f aca="false">IFERROR(IF(ISNUMBER(INDEX(원자료_잔고!$A$1:$EZ$1500,설정!$L$5+ROW()-1,설정!$L$18)),INDEX(원자료_잔고!$A$1:$EZ$1500,설정!$L$5+ROW()-1,설정!$L$18),""),"")</f>
        <v/>
      </c>
      <c r="M681" s="88" t="str">
        <f aca="false">IFERROR(IF(ISNUMBER(INDEX(원자료_잔고!$A$1:$EZ$1500,설정!$L$5+ROW()-1,설정!$L$19)),INDEX(원자료_잔고!$A$1:$EZ$1500,설정!$L$5+ROW()-1,설정!$L$19),""),"")</f>
        <v/>
      </c>
      <c r="N681" s="83" t="str">
        <f aca="false">IFERROR(IF(INDEX(원자료_잔고!$A$1:$EZ$1500,설정!$L$5+ROW()-1,설정!$L$21)&amp;""="0","",INDEX(원자료_잔고!$A$1:$EZ$1500,설정!$L$5+ROW()-1,설정!$L$21)&amp;""),"")</f>
        <v/>
      </c>
      <c r="O681" s="83" t="str">
        <f aca="false">IFERROR(IF(INDEX(원자료_잔고!$A$1:$EZ$1500,설정!$L$5+ROW()-1,설정!$L$22)&amp;""="0","",INDEX(원자료_잔고!$A$1:$EZ$1500,설정!$L$5+ROW()-1,설정!$L$22)&amp;""),"")</f>
        <v/>
      </c>
      <c r="P681" s="83" t="str">
        <f aca="false">IFERROR(IF(INDEX(원자료_잔고!$A$1:$EZ$1500,설정!$L$5+ROW()-1,설정!$L$23)&amp;""="0","",INDEX(원자료_잔고!$A$1:$EZ$1500,설정!$L$5+ROW()-1,설정!$L$23)&amp;""),"")</f>
        <v/>
      </c>
      <c r="Q681" s="89" t="n">
        <f aca="false">IF(AND($A681&lt;&gt;"",ISNUMBER(E681)),IF(E681&gt;0,1,0),0)</f>
        <v>0</v>
      </c>
      <c r="R681" s="43" t="str">
        <f aca="false">IF(Q681=1,UPPER(LEFT($A681,FIND(" ",$A681&amp;" ")-1)),"")</f>
        <v/>
      </c>
      <c r="S681" s="89" t="n">
        <f aca="false">IF(Q681=1,IF(OR(ISNUMBER(SEARCH("Float",$A681)),ISNUMBER(SEARCH("FRN",$A681))),1,0),0)</f>
        <v>0</v>
      </c>
      <c r="T681" s="43" t="str">
        <f aca="false">IF(AND(Q681=1,ISNUMBER(I681)),TEXT(I681,"yyyymmdd")&amp;"|"&amp;IF(S681=1,"F",TEXT(J681,"0.000")),"")</f>
        <v/>
      </c>
      <c r="U681" s="90" t="str">
        <f aca="false">IF(AND(Q681=1,ISNUMBER(I681)),(I681-설정!$C$4)/365.25,"")</f>
        <v/>
      </c>
      <c r="V681" s="43" t="str">
        <f aca="false">IF(Q681&lt;&gt;1,"",IF(ISNUMBER(U681),IF(U681&lt;=1,"1년 이하",IF(U681&lt;=2,"1-2년",IF(U681&lt;=3,"2-3년",IF(U681&lt;=4,"3-4년",IF(U681&lt;=5,"4-5년",IF(U681&lt;=7,"5-7년",IF(U681&lt;=10,"7-10년",IF(U681&lt;=20,"10-20년","20년 이상")))))))),"미분류"))</f>
        <v/>
      </c>
      <c r="W681" s="43" t="str">
        <f aca="false">IF(Q681&lt;&gt;1,"",IF(AB681&lt;&gt;"",INDEX(시장분석!$C:$C,AB681),IF(K681=1,"USD","비USD")))</f>
        <v/>
      </c>
      <c r="X681" s="91" t="n">
        <f aca="false">IF(Q681=1,E681*K681/1000000,0)</f>
        <v>0</v>
      </c>
      <c r="Y681" s="89" t="n">
        <f aca="false">IF(R681="T",1,0)</f>
        <v>0</v>
      </c>
      <c r="Z681" s="92" t="str">
        <f aca="false">IF(Q681&lt;&gt;1,"",IF(AD681=1,IF(ISNUMBER(U681),MAX(U681,0),H681),H681))</f>
        <v/>
      </c>
      <c r="AA681" s="91" t="n">
        <f aca="false">IF(Q681=1,IF(ISNUMBER(L681),L681,0)*K681/1000000,0)</f>
        <v>0</v>
      </c>
      <c r="AB681" s="89" t="str">
        <f aca="false">IF(Q681&lt;&gt;1,"",IFERROR(MATCH(VLOOKUP(B681,매핑!$H$4:$I$15,2,0),시장분석!$A$2:$A$601,0)+1,IFERROR(MATCH(R681&amp;"|"&amp;T681,시장분석!$V$2:$V$601,0)+1,IF(COUNTIF(시장분석!$U$2:$U$601,T681)=1,MATCH(T681,시장분석!$U$2:$U$601,0)+1,""))))</f>
        <v/>
      </c>
      <c r="AC681" s="89" t="n">
        <f aca="false">IF(Q681&lt;&gt;1,0,IF(OR(설정!$C$5="전체",AND(설정!$C$5="선택펀드",IFERROR(COUNTIFS(설정!$F$16:$F$36,C681,설정!$G$16:$G$36,"Y")+COUNTIFS(설정!$F$16:$F$36,VALUE(C681),설정!$G$16:$G$36,"Y"),0)&gt;0),C681&amp;""=설정!$C$5&amp;""),1,0))</f>
        <v>0</v>
      </c>
      <c r="AD681" s="89" t="n">
        <f aca="false">IF(Q681&lt;&gt;1,0,IF(OR(S681=1,IF(AB681="",FALSE(),INDEX(시장분석!$R:$R,AB681)=1)),1,0))</f>
        <v>0</v>
      </c>
      <c r="AE681" s="43" t="str">
        <f aca="false">IF(AB681="","",INDEX(시장분석!$A:$A,AB681))</f>
        <v/>
      </c>
      <c r="AF681" s="93" t="str">
        <f aca="false">IF(AB681="","",IF(ISNUMBER(IF(AB681="","",INDEX(시장분석!$E:$E,AB681))),IF(AB681="","",INDEX(시장분석!$E:$E,AB681)),""))</f>
        <v/>
      </c>
      <c r="AG681" s="43" t="str">
        <f aca="false">IF(Q681&lt;&gt;1,"",IF(AB681&lt;&gt;"",IF(AB681="","",INDEX(시장분석!$L:$L,AB681)),IFERROR(IF(VLOOKUP(R681,매핑!$A$4:$E$92,5,0)="","미분류",VLOOKUP(R681,매핑!$A$4:$E$92,5,0)),"미분류")))</f>
        <v/>
      </c>
      <c r="AH681" s="43" t="str">
        <f aca="false">IF(Q681&lt;&gt;1,"",IF(AB681&lt;&gt;"",IF(AB681="","",INDEX(시장분석!$N:$N,AB681)),IFERROR(IF(VLOOKUP(R681,매핑!$A$4:$E$92,4,0)="","미분류",VLOOKUP(R681,매핑!$A$4:$E$92,4,0)),"미분류")))</f>
        <v/>
      </c>
      <c r="AI681" s="43" t="str">
        <f aca="false">IF(Q681&lt;&gt;1,"",IFERROR(IF(VLOOKUP(R681,매핑!$A$4:$E$92,3,0)="","미분류",VLOOKUP(R681,매핑!$A$4:$E$92,3,0)),IF(AB681&lt;&gt;"",IF(AB681="","",INDEX(시장분석!$W:$W,AB681)),"미분류")))</f>
        <v/>
      </c>
      <c r="AJ681" s="43" t="str">
        <f aca="false">IF(Q681&lt;&gt;1,"",IFERROR(VLOOKUP(IF(N681&lt;&gt;"",N681,IF(P681&lt;&gt;"",P681,O681)),설정!$A$15:$D$47,2,0),""))</f>
        <v/>
      </c>
      <c r="AK681" s="43" t="str">
        <f aca="false">IF(Q681&lt;&gt;1,"",IF(AJ681="","무등급",IFERROR(VLOOKUP(AJ681,설정!$A$15:$D$47,3,0),"무등급")))</f>
        <v/>
      </c>
      <c r="AL681" s="89" t="n">
        <f aca="false">IF(AJ681="",99,IFERROR(VLOOKUP(AJ681,설정!$A$15:$D$47,4,0),99))</f>
        <v>99</v>
      </c>
      <c r="AM681" s="94" t="n">
        <f aca="false">IF(ISNUMBER(H681),AA681*1000000*H681/10000,0)</f>
        <v>0</v>
      </c>
      <c r="AN681" s="94" t="n">
        <f aca="false">IF(OR(Y681=1,NOT(ISNUMBER(Z681))),0,AA681*1000000*Z681/10000)</f>
        <v>0</v>
      </c>
      <c r="AO681" s="94" t="n">
        <f aca="false">IF(ISNUMBER(G681),AA681*1000000*G681/100,0)</f>
        <v>0</v>
      </c>
      <c r="AP681" s="94" t="n">
        <f aca="false">IF(ISNUMBER(M681),M681*K681,0)</f>
        <v>0</v>
      </c>
      <c r="AQ681" s="95" t="str">
        <f aca="false">IF(AB681="","",INDEX(시장분석!$AK:$AK,AB681))</f>
        <v/>
      </c>
      <c r="AR681" s="43" t="str">
        <f aca="false">IF(AB681="","-",IF(AB681="","",INDEX(시장분석!$AL:$AL,AB681)))</f>
        <v>-</v>
      </c>
      <c r="AS681" s="96" t="str">
        <f aca="false">IF(AB681="","",INDEX(시장분석!$AJ:$AJ,AB681))</f>
        <v/>
      </c>
      <c r="AT681" s="93" t="n">
        <f aca="false">IF(AB681="",0,IF(AB681="","",INDEX(시장분석!$AN:$AN,AB681)))</f>
        <v>0</v>
      </c>
      <c r="AU681" s="94" t="n">
        <f aca="false">IF(ISNUMBER(Z681),AT681/10000*MAX(Z681-1,0)*AA681*1000000,0)</f>
        <v>0</v>
      </c>
      <c r="AV681" s="94" t="n">
        <f aca="false">AO681+AU681</f>
        <v>0</v>
      </c>
      <c r="AW681" s="43" t="str">
        <f aca="false">IF(Q681&lt;&gt;1,"",TRIM(IF(AD681=1,"FRN ","")&amp;IF(AND(AL681&gt;=10,AL681&lt;99),"BBB0미만 ","")&amp;IF(AJ681="","등급없음 ","")&amp;IF(K681&lt;&gt;1,"비USD ","")&amp;IF(AND(AB681="",Y681=0),"시장데이터없음 ","")&amp;IF(AND(ISNUMBER(U681),U681&lt;0),"만기경과 ","")))</f>
        <v/>
      </c>
      <c r="AX681" s="90" t="n">
        <f aca="false">IF(Q681&lt;&gt;1,1,IF(스프레드쇼크!$C$4="Y",INDEX(스프레드쇼크!$B$12:$L$16,IFERROR(MATCH(AH681,스프레드쇼크!$A$12:$A$16,0),MATCH("목록외",스프레드쇼크!$A$12:$A$16,0)),IFERROR(MATCH(AG681,스프레드쇼크!$B$11:$L$11,0),MATCH("목록외",스프레드쇼크!$B$11:$L$11,0))),1))</f>
        <v>1</v>
      </c>
      <c r="AY681" s="90" t="n">
        <f aca="false">IF(스프레드쇼크!$C$5="Y",IF(ISNUMBER(AF681),MIN(스프레드쇼크!$C$7,MAX(스프레드쇼크!$C$6,AF681/스프레드쇼크!$C$8)),1),1)</f>
        <v>1</v>
      </c>
      <c r="AZ681" s="94" t="n">
        <f aca="false">AN681*AX681*AY681</f>
        <v>0</v>
      </c>
      <c r="BA681" s="90" t="n">
        <f aca="false">IF(ISNUMBER(G681),AA681*G681,0)</f>
        <v>0</v>
      </c>
      <c r="BB681" s="90" t="n">
        <f aca="false">IF(ISNUMBER(G681),AA681,0)</f>
        <v>0</v>
      </c>
      <c r="BC681" s="90" t="n">
        <f aca="false">IF(AND(Y681=0,ISNUMBER(AF681)),AA681*AF681,0)</f>
        <v>0</v>
      </c>
      <c r="BD681" s="90" t="n">
        <f aca="false">IF(AND(Y681=0,ISNUMBER(AF681)),AA681,0)</f>
        <v>0</v>
      </c>
      <c r="BE681" s="90" t="n">
        <f aca="false">IF(ISNUMBER(H681),AA681*H681,0)</f>
        <v>0</v>
      </c>
      <c r="BF681" s="90" t="n">
        <f aca="false">IF(ISNUMBER(H681),AA681,0)</f>
        <v>0</v>
      </c>
      <c r="BG681" s="90" t="n">
        <f aca="false">IF(AND(Y681=0,ISNUMBER(AF681),ISNUMBER(Z681)),AA681*Z681,0)</f>
        <v>0</v>
      </c>
      <c r="BH681" s="90" t="n">
        <f aca="false">IF(AND(Y681=0,ISNUMBER(AF681),ISNUMBER(Z681)),AA681*AT681*MAX(Z681-1,0),0)</f>
        <v>0</v>
      </c>
      <c r="BI681" s="90" t="n">
        <f aca="false">IF(Y681=0,AA681,0)</f>
        <v>0</v>
      </c>
    </row>
    <row r="682" customFormat="false" ht="15" hidden="false" customHeight="false" outlineLevel="0" collapsed="false">
      <c r="A682" s="83" t="str">
        <f aca="false">IFERROR(IF(INDEX(원자료_잔고!$A$1:$EZ$1500,설정!$L$5+ROW()-1,설정!$L$8)&amp;""="0","",INDEX(원자료_잔고!$A$1:$EZ$1500,설정!$L$5+ROW()-1,설정!$L$8)&amp;""),"")</f>
        <v/>
      </c>
      <c r="B682" s="83" t="str">
        <f aca="false">IFERROR(IF(INDEX(원자료_잔고!$A$1:$EZ$1500,설정!$L$5+ROW()-1,설정!$L$7)&amp;""="0","",INDEX(원자료_잔고!$A$1:$EZ$1500,설정!$L$5+ROW()-1,설정!$L$7)&amp;""),"")</f>
        <v/>
      </c>
      <c r="C682" s="83" t="str">
        <f aca="false">IFERROR(IF(INDEX(원자료_잔고!$A$1:$EZ$1500,설정!$L$5+ROW()-1,설정!$L$9)&amp;""="0","",INDEX(원자료_잔고!$A$1:$EZ$1500,설정!$L$5+ROW()-1,설정!$L$9)&amp;""),"")</f>
        <v/>
      </c>
      <c r="D682" s="83" t="str">
        <f aca="false">IFERROR(IF(INDEX(원자료_잔고!$A$1:$EZ$1500,설정!$L$5+ROW()-1,설정!$L$10)&amp;""="0","",INDEX(원자료_잔고!$A$1:$EZ$1500,설정!$L$5+ROW()-1,설정!$L$10)&amp;""),"")</f>
        <v/>
      </c>
      <c r="E682" s="84" t="str">
        <f aca="false">IFERROR(IF(ISNUMBER(INDEX(원자료_잔고!$A$1:$EZ$1500,설정!$L$5+ROW()-1,설정!$L$11)),INDEX(원자료_잔고!$A$1:$EZ$1500,설정!$L$5+ROW()-1,설정!$L$11),""),"")</f>
        <v/>
      </c>
      <c r="F682" s="85" t="str">
        <f aca="false">IFERROR(IF(ISNUMBER(INDEX(원자료_잔고!$A$1:$EZ$1500,설정!$L$5+ROW()-1,설정!$L$12)),INDEX(원자료_잔고!$A$1:$EZ$1500,설정!$L$5+ROW()-1,설정!$L$12),""),"")</f>
        <v/>
      </c>
      <c r="G682" s="85" t="str">
        <f aca="false">IFERROR(IF(ISNUMBER(INDEX(원자료_잔고!$A$1:$EZ$1500,설정!$L$5+ROW()-1,설정!$L$13)),INDEX(원자료_잔고!$A$1:$EZ$1500,설정!$L$5+ROW()-1,설정!$L$13),""),"")</f>
        <v/>
      </c>
      <c r="H682" s="85" t="str">
        <f aca="false">IFERROR(IF(ISNUMBER(INDEX(원자료_잔고!$A$1:$EZ$1500,설정!$L$5+ROW()-1,설정!$L$14)),INDEX(원자료_잔고!$A$1:$EZ$1500,설정!$L$5+ROW()-1,설정!$L$14),""),"")</f>
        <v/>
      </c>
      <c r="I682" s="86" t="str">
        <f aca="false">IFERROR(IF(ISNUMBER(INDEX(원자료_잔고!$A$1:$EZ$1500,설정!$L$5+ROW()-1,설정!$L$15)),INDEX(원자료_잔고!$A$1:$EZ$1500,설정!$L$5+ROW()-1,설정!$L$15),""),"")</f>
        <v/>
      </c>
      <c r="J682" s="85" t="str">
        <f aca="false">IFERROR(IF(ISNUMBER(INDEX(원자료_잔고!$A$1:$EZ$1500,설정!$L$5+ROW()-1,설정!$L$16)),INDEX(원자료_잔고!$A$1:$EZ$1500,설정!$L$5+ROW()-1,설정!$L$16),""),"")</f>
        <v/>
      </c>
      <c r="K682" s="87" t="str">
        <f aca="false">IFERROR(IF(ISNUMBER(INDEX(원자료_잔고!$A$1:$EZ$1500,설정!$L$5+ROW()-1,설정!$L$17)),INDEX(원자료_잔고!$A$1:$EZ$1500,설정!$L$5+ROW()-1,설정!$L$17),""),"")</f>
        <v/>
      </c>
      <c r="L682" s="84" t="str">
        <f aca="false">IFERROR(IF(ISNUMBER(INDEX(원자료_잔고!$A$1:$EZ$1500,설정!$L$5+ROW()-1,설정!$L$18)),INDEX(원자료_잔고!$A$1:$EZ$1500,설정!$L$5+ROW()-1,설정!$L$18),""),"")</f>
        <v/>
      </c>
      <c r="M682" s="88" t="str">
        <f aca="false">IFERROR(IF(ISNUMBER(INDEX(원자료_잔고!$A$1:$EZ$1500,설정!$L$5+ROW()-1,설정!$L$19)),INDEX(원자료_잔고!$A$1:$EZ$1500,설정!$L$5+ROW()-1,설정!$L$19),""),"")</f>
        <v/>
      </c>
      <c r="N682" s="83" t="str">
        <f aca="false">IFERROR(IF(INDEX(원자료_잔고!$A$1:$EZ$1500,설정!$L$5+ROW()-1,설정!$L$21)&amp;""="0","",INDEX(원자료_잔고!$A$1:$EZ$1500,설정!$L$5+ROW()-1,설정!$L$21)&amp;""),"")</f>
        <v/>
      </c>
      <c r="O682" s="83" t="str">
        <f aca="false">IFERROR(IF(INDEX(원자료_잔고!$A$1:$EZ$1500,설정!$L$5+ROW()-1,설정!$L$22)&amp;""="0","",INDEX(원자료_잔고!$A$1:$EZ$1500,설정!$L$5+ROW()-1,설정!$L$22)&amp;""),"")</f>
        <v/>
      </c>
      <c r="P682" s="83" t="str">
        <f aca="false">IFERROR(IF(INDEX(원자료_잔고!$A$1:$EZ$1500,설정!$L$5+ROW()-1,설정!$L$23)&amp;""="0","",INDEX(원자료_잔고!$A$1:$EZ$1500,설정!$L$5+ROW()-1,설정!$L$23)&amp;""),"")</f>
        <v/>
      </c>
      <c r="Q682" s="89" t="n">
        <f aca="false">IF(AND($A682&lt;&gt;"",ISNUMBER(E682)),IF(E682&gt;0,1,0),0)</f>
        <v>0</v>
      </c>
      <c r="R682" s="43" t="str">
        <f aca="false">IF(Q682=1,UPPER(LEFT($A682,FIND(" ",$A682&amp;" ")-1)),"")</f>
        <v/>
      </c>
      <c r="S682" s="89" t="n">
        <f aca="false">IF(Q682=1,IF(OR(ISNUMBER(SEARCH("Float",$A682)),ISNUMBER(SEARCH("FRN",$A682))),1,0),0)</f>
        <v>0</v>
      </c>
      <c r="T682" s="43" t="str">
        <f aca="false">IF(AND(Q682=1,ISNUMBER(I682)),TEXT(I682,"yyyymmdd")&amp;"|"&amp;IF(S682=1,"F",TEXT(J682,"0.000")),"")</f>
        <v/>
      </c>
      <c r="U682" s="90" t="str">
        <f aca="false">IF(AND(Q682=1,ISNUMBER(I682)),(I682-설정!$C$4)/365.25,"")</f>
        <v/>
      </c>
      <c r="V682" s="43" t="str">
        <f aca="false">IF(Q682&lt;&gt;1,"",IF(ISNUMBER(U682),IF(U682&lt;=1,"1년 이하",IF(U682&lt;=2,"1-2년",IF(U682&lt;=3,"2-3년",IF(U682&lt;=4,"3-4년",IF(U682&lt;=5,"4-5년",IF(U682&lt;=7,"5-7년",IF(U682&lt;=10,"7-10년",IF(U682&lt;=20,"10-20년","20년 이상")))))))),"미분류"))</f>
        <v/>
      </c>
      <c r="W682" s="43" t="str">
        <f aca="false">IF(Q682&lt;&gt;1,"",IF(AB682&lt;&gt;"",INDEX(시장분석!$C:$C,AB682),IF(K682=1,"USD","비USD")))</f>
        <v/>
      </c>
      <c r="X682" s="91" t="n">
        <f aca="false">IF(Q682=1,E682*K682/1000000,0)</f>
        <v>0</v>
      </c>
      <c r="Y682" s="89" t="n">
        <f aca="false">IF(R682="T",1,0)</f>
        <v>0</v>
      </c>
      <c r="Z682" s="92" t="str">
        <f aca="false">IF(Q682&lt;&gt;1,"",IF(AD682=1,IF(ISNUMBER(U682),MAX(U682,0),H682),H682))</f>
        <v/>
      </c>
      <c r="AA682" s="91" t="n">
        <f aca="false">IF(Q682=1,IF(ISNUMBER(L682),L682,0)*K682/1000000,0)</f>
        <v>0</v>
      </c>
      <c r="AB682" s="89" t="str">
        <f aca="false">IF(Q682&lt;&gt;1,"",IFERROR(MATCH(VLOOKUP(B682,매핑!$H$4:$I$15,2,0),시장분석!$A$2:$A$601,0)+1,IFERROR(MATCH(R682&amp;"|"&amp;T682,시장분석!$V$2:$V$601,0)+1,IF(COUNTIF(시장분석!$U$2:$U$601,T682)=1,MATCH(T682,시장분석!$U$2:$U$601,0)+1,""))))</f>
        <v/>
      </c>
      <c r="AC682" s="89" t="n">
        <f aca="false">IF(Q682&lt;&gt;1,0,IF(OR(설정!$C$5="전체",AND(설정!$C$5="선택펀드",IFERROR(COUNTIFS(설정!$F$16:$F$36,C682,설정!$G$16:$G$36,"Y")+COUNTIFS(설정!$F$16:$F$36,VALUE(C682),설정!$G$16:$G$36,"Y"),0)&gt;0),C682&amp;""=설정!$C$5&amp;""),1,0))</f>
        <v>0</v>
      </c>
      <c r="AD682" s="89" t="n">
        <f aca="false">IF(Q682&lt;&gt;1,0,IF(OR(S682=1,IF(AB682="",FALSE(),INDEX(시장분석!$R:$R,AB682)=1)),1,0))</f>
        <v>0</v>
      </c>
      <c r="AE682" s="43" t="str">
        <f aca="false">IF(AB682="","",INDEX(시장분석!$A:$A,AB682))</f>
        <v/>
      </c>
      <c r="AF682" s="93" t="str">
        <f aca="false">IF(AB682="","",IF(ISNUMBER(IF(AB682="","",INDEX(시장분석!$E:$E,AB682))),IF(AB682="","",INDEX(시장분석!$E:$E,AB682)),""))</f>
        <v/>
      </c>
      <c r="AG682" s="43" t="str">
        <f aca="false">IF(Q682&lt;&gt;1,"",IF(AB682&lt;&gt;"",IF(AB682="","",INDEX(시장분석!$L:$L,AB682)),IFERROR(IF(VLOOKUP(R682,매핑!$A$4:$E$92,5,0)="","미분류",VLOOKUP(R682,매핑!$A$4:$E$92,5,0)),"미분류")))</f>
        <v/>
      </c>
      <c r="AH682" s="43" t="str">
        <f aca="false">IF(Q682&lt;&gt;1,"",IF(AB682&lt;&gt;"",IF(AB682="","",INDEX(시장분석!$N:$N,AB682)),IFERROR(IF(VLOOKUP(R682,매핑!$A$4:$E$92,4,0)="","미분류",VLOOKUP(R682,매핑!$A$4:$E$92,4,0)),"미분류")))</f>
        <v/>
      </c>
      <c r="AI682" s="43" t="str">
        <f aca="false">IF(Q682&lt;&gt;1,"",IFERROR(IF(VLOOKUP(R682,매핑!$A$4:$E$92,3,0)="","미분류",VLOOKUP(R682,매핑!$A$4:$E$92,3,0)),IF(AB682&lt;&gt;"",IF(AB682="","",INDEX(시장분석!$W:$W,AB682)),"미분류")))</f>
        <v/>
      </c>
      <c r="AJ682" s="43" t="str">
        <f aca="false">IF(Q682&lt;&gt;1,"",IFERROR(VLOOKUP(IF(N682&lt;&gt;"",N682,IF(P682&lt;&gt;"",P682,O682)),설정!$A$15:$D$47,2,0),""))</f>
        <v/>
      </c>
      <c r="AK682" s="43" t="str">
        <f aca="false">IF(Q682&lt;&gt;1,"",IF(AJ682="","무등급",IFERROR(VLOOKUP(AJ682,설정!$A$15:$D$47,3,0),"무등급")))</f>
        <v/>
      </c>
      <c r="AL682" s="89" t="n">
        <f aca="false">IF(AJ682="",99,IFERROR(VLOOKUP(AJ682,설정!$A$15:$D$47,4,0),99))</f>
        <v>99</v>
      </c>
      <c r="AM682" s="94" t="n">
        <f aca="false">IF(ISNUMBER(H682),AA682*1000000*H682/10000,0)</f>
        <v>0</v>
      </c>
      <c r="AN682" s="94" t="n">
        <f aca="false">IF(OR(Y682=1,NOT(ISNUMBER(Z682))),0,AA682*1000000*Z682/10000)</f>
        <v>0</v>
      </c>
      <c r="AO682" s="94" t="n">
        <f aca="false">IF(ISNUMBER(G682),AA682*1000000*G682/100,0)</f>
        <v>0</v>
      </c>
      <c r="AP682" s="94" t="n">
        <f aca="false">IF(ISNUMBER(M682),M682*K682,0)</f>
        <v>0</v>
      </c>
      <c r="AQ682" s="95" t="str">
        <f aca="false">IF(AB682="","",INDEX(시장분석!$AK:$AK,AB682))</f>
        <v/>
      </c>
      <c r="AR682" s="43" t="str">
        <f aca="false">IF(AB682="","-",IF(AB682="","",INDEX(시장분석!$AL:$AL,AB682)))</f>
        <v>-</v>
      </c>
      <c r="AS682" s="96" t="str">
        <f aca="false">IF(AB682="","",INDEX(시장분석!$AJ:$AJ,AB682))</f>
        <v/>
      </c>
      <c r="AT682" s="93" t="n">
        <f aca="false">IF(AB682="",0,IF(AB682="","",INDEX(시장분석!$AN:$AN,AB682)))</f>
        <v>0</v>
      </c>
      <c r="AU682" s="94" t="n">
        <f aca="false">IF(ISNUMBER(Z682),AT682/10000*MAX(Z682-1,0)*AA682*1000000,0)</f>
        <v>0</v>
      </c>
      <c r="AV682" s="94" t="n">
        <f aca="false">AO682+AU682</f>
        <v>0</v>
      </c>
      <c r="AW682" s="43" t="str">
        <f aca="false">IF(Q682&lt;&gt;1,"",TRIM(IF(AD682=1,"FRN ","")&amp;IF(AND(AL682&gt;=10,AL682&lt;99),"BBB0미만 ","")&amp;IF(AJ682="","등급없음 ","")&amp;IF(K682&lt;&gt;1,"비USD ","")&amp;IF(AND(AB682="",Y682=0),"시장데이터없음 ","")&amp;IF(AND(ISNUMBER(U682),U682&lt;0),"만기경과 ","")))</f>
        <v/>
      </c>
      <c r="AX682" s="90" t="n">
        <f aca="false">IF(Q682&lt;&gt;1,1,IF(스프레드쇼크!$C$4="Y",INDEX(스프레드쇼크!$B$12:$L$16,IFERROR(MATCH(AH682,스프레드쇼크!$A$12:$A$16,0),MATCH("목록외",스프레드쇼크!$A$12:$A$16,0)),IFERROR(MATCH(AG682,스프레드쇼크!$B$11:$L$11,0),MATCH("목록외",스프레드쇼크!$B$11:$L$11,0))),1))</f>
        <v>1</v>
      </c>
      <c r="AY682" s="90" t="n">
        <f aca="false">IF(스프레드쇼크!$C$5="Y",IF(ISNUMBER(AF682),MIN(스프레드쇼크!$C$7,MAX(스프레드쇼크!$C$6,AF682/스프레드쇼크!$C$8)),1),1)</f>
        <v>1</v>
      </c>
      <c r="AZ682" s="94" t="n">
        <f aca="false">AN682*AX682*AY682</f>
        <v>0</v>
      </c>
      <c r="BA682" s="90" t="n">
        <f aca="false">IF(ISNUMBER(G682),AA682*G682,0)</f>
        <v>0</v>
      </c>
      <c r="BB682" s="90" t="n">
        <f aca="false">IF(ISNUMBER(G682),AA682,0)</f>
        <v>0</v>
      </c>
      <c r="BC682" s="90" t="n">
        <f aca="false">IF(AND(Y682=0,ISNUMBER(AF682)),AA682*AF682,0)</f>
        <v>0</v>
      </c>
      <c r="BD682" s="90" t="n">
        <f aca="false">IF(AND(Y682=0,ISNUMBER(AF682)),AA682,0)</f>
        <v>0</v>
      </c>
      <c r="BE682" s="90" t="n">
        <f aca="false">IF(ISNUMBER(H682),AA682*H682,0)</f>
        <v>0</v>
      </c>
      <c r="BF682" s="90" t="n">
        <f aca="false">IF(ISNUMBER(H682),AA682,0)</f>
        <v>0</v>
      </c>
      <c r="BG682" s="90" t="n">
        <f aca="false">IF(AND(Y682=0,ISNUMBER(AF682),ISNUMBER(Z682)),AA682*Z682,0)</f>
        <v>0</v>
      </c>
      <c r="BH682" s="90" t="n">
        <f aca="false">IF(AND(Y682=0,ISNUMBER(AF682),ISNUMBER(Z682)),AA682*AT682*MAX(Z682-1,0),0)</f>
        <v>0</v>
      </c>
      <c r="BI682" s="90" t="n">
        <f aca="false">IF(Y682=0,AA682,0)</f>
        <v>0</v>
      </c>
    </row>
    <row r="683" customFormat="false" ht="15" hidden="false" customHeight="false" outlineLevel="0" collapsed="false">
      <c r="A683" s="83" t="str">
        <f aca="false">IFERROR(IF(INDEX(원자료_잔고!$A$1:$EZ$1500,설정!$L$5+ROW()-1,설정!$L$8)&amp;""="0","",INDEX(원자료_잔고!$A$1:$EZ$1500,설정!$L$5+ROW()-1,설정!$L$8)&amp;""),"")</f>
        <v/>
      </c>
      <c r="B683" s="83" t="str">
        <f aca="false">IFERROR(IF(INDEX(원자료_잔고!$A$1:$EZ$1500,설정!$L$5+ROW()-1,설정!$L$7)&amp;""="0","",INDEX(원자료_잔고!$A$1:$EZ$1500,설정!$L$5+ROW()-1,설정!$L$7)&amp;""),"")</f>
        <v/>
      </c>
      <c r="C683" s="83" t="str">
        <f aca="false">IFERROR(IF(INDEX(원자료_잔고!$A$1:$EZ$1500,설정!$L$5+ROW()-1,설정!$L$9)&amp;""="0","",INDEX(원자료_잔고!$A$1:$EZ$1500,설정!$L$5+ROW()-1,설정!$L$9)&amp;""),"")</f>
        <v/>
      </c>
      <c r="D683" s="83" t="str">
        <f aca="false">IFERROR(IF(INDEX(원자료_잔고!$A$1:$EZ$1500,설정!$L$5+ROW()-1,설정!$L$10)&amp;""="0","",INDEX(원자료_잔고!$A$1:$EZ$1500,설정!$L$5+ROW()-1,설정!$L$10)&amp;""),"")</f>
        <v/>
      </c>
      <c r="E683" s="84" t="str">
        <f aca="false">IFERROR(IF(ISNUMBER(INDEX(원자료_잔고!$A$1:$EZ$1500,설정!$L$5+ROW()-1,설정!$L$11)),INDEX(원자료_잔고!$A$1:$EZ$1500,설정!$L$5+ROW()-1,설정!$L$11),""),"")</f>
        <v/>
      </c>
      <c r="F683" s="85" t="str">
        <f aca="false">IFERROR(IF(ISNUMBER(INDEX(원자료_잔고!$A$1:$EZ$1500,설정!$L$5+ROW()-1,설정!$L$12)),INDEX(원자료_잔고!$A$1:$EZ$1500,설정!$L$5+ROW()-1,설정!$L$12),""),"")</f>
        <v/>
      </c>
      <c r="G683" s="85" t="str">
        <f aca="false">IFERROR(IF(ISNUMBER(INDEX(원자료_잔고!$A$1:$EZ$1500,설정!$L$5+ROW()-1,설정!$L$13)),INDEX(원자료_잔고!$A$1:$EZ$1500,설정!$L$5+ROW()-1,설정!$L$13),""),"")</f>
        <v/>
      </c>
      <c r="H683" s="85" t="str">
        <f aca="false">IFERROR(IF(ISNUMBER(INDEX(원자료_잔고!$A$1:$EZ$1500,설정!$L$5+ROW()-1,설정!$L$14)),INDEX(원자료_잔고!$A$1:$EZ$1500,설정!$L$5+ROW()-1,설정!$L$14),""),"")</f>
        <v/>
      </c>
      <c r="I683" s="86" t="str">
        <f aca="false">IFERROR(IF(ISNUMBER(INDEX(원자료_잔고!$A$1:$EZ$1500,설정!$L$5+ROW()-1,설정!$L$15)),INDEX(원자료_잔고!$A$1:$EZ$1500,설정!$L$5+ROW()-1,설정!$L$15),""),"")</f>
        <v/>
      </c>
      <c r="J683" s="85" t="str">
        <f aca="false">IFERROR(IF(ISNUMBER(INDEX(원자료_잔고!$A$1:$EZ$1500,설정!$L$5+ROW()-1,설정!$L$16)),INDEX(원자료_잔고!$A$1:$EZ$1500,설정!$L$5+ROW()-1,설정!$L$16),""),"")</f>
        <v/>
      </c>
      <c r="K683" s="87" t="str">
        <f aca="false">IFERROR(IF(ISNUMBER(INDEX(원자료_잔고!$A$1:$EZ$1500,설정!$L$5+ROW()-1,설정!$L$17)),INDEX(원자료_잔고!$A$1:$EZ$1500,설정!$L$5+ROW()-1,설정!$L$17),""),"")</f>
        <v/>
      </c>
      <c r="L683" s="84" t="str">
        <f aca="false">IFERROR(IF(ISNUMBER(INDEX(원자료_잔고!$A$1:$EZ$1500,설정!$L$5+ROW()-1,설정!$L$18)),INDEX(원자료_잔고!$A$1:$EZ$1500,설정!$L$5+ROW()-1,설정!$L$18),""),"")</f>
        <v/>
      </c>
      <c r="M683" s="88" t="str">
        <f aca="false">IFERROR(IF(ISNUMBER(INDEX(원자료_잔고!$A$1:$EZ$1500,설정!$L$5+ROW()-1,설정!$L$19)),INDEX(원자료_잔고!$A$1:$EZ$1500,설정!$L$5+ROW()-1,설정!$L$19),""),"")</f>
        <v/>
      </c>
      <c r="N683" s="83" t="str">
        <f aca="false">IFERROR(IF(INDEX(원자료_잔고!$A$1:$EZ$1500,설정!$L$5+ROW()-1,설정!$L$21)&amp;""="0","",INDEX(원자료_잔고!$A$1:$EZ$1500,설정!$L$5+ROW()-1,설정!$L$21)&amp;""),"")</f>
        <v/>
      </c>
      <c r="O683" s="83" t="str">
        <f aca="false">IFERROR(IF(INDEX(원자료_잔고!$A$1:$EZ$1500,설정!$L$5+ROW()-1,설정!$L$22)&amp;""="0","",INDEX(원자료_잔고!$A$1:$EZ$1500,설정!$L$5+ROW()-1,설정!$L$22)&amp;""),"")</f>
        <v/>
      </c>
      <c r="P683" s="83" t="str">
        <f aca="false">IFERROR(IF(INDEX(원자료_잔고!$A$1:$EZ$1500,설정!$L$5+ROW()-1,설정!$L$23)&amp;""="0","",INDEX(원자료_잔고!$A$1:$EZ$1500,설정!$L$5+ROW()-1,설정!$L$23)&amp;""),"")</f>
        <v/>
      </c>
      <c r="Q683" s="89" t="n">
        <f aca="false">IF(AND($A683&lt;&gt;"",ISNUMBER(E683)),IF(E683&gt;0,1,0),0)</f>
        <v>0</v>
      </c>
      <c r="R683" s="43" t="str">
        <f aca="false">IF(Q683=1,UPPER(LEFT($A683,FIND(" ",$A683&amp;" ")-1)),"")</f>
        <v/>
      </c>
      <c r="S683" s="89" t="n">
        <f aca="false">IF(Q683=1,IF(OR(ISNUMBER(SEARCH("Float",$A683)),ISNUMBER(SEARCH("FRN",$A683))),1,0),0)</f>
        <v>0</v>
      </c>
      <c r="T683" s="43" t="str">
        <f aca="false">IF(AND(Q683=1,ISNUMBER(I683)),TEXT(I683,"yyyymmdd")&amp;"|"&amp;IF(S683=1,"F",TEXT(J683,"0.000")),"")</f>
        <v/>
      </c>
      <c r="U683" s="90" t="str">
        <f aca="false">IF(AND(Q683=1,ISNUMBER(I683)),(I683-설정!$C$4)/365.25,"")</f>
        <v/>
      </c>
      <c r="V683" s="43" t="str">
        <f aca="false">IF(Q683&lt;&gt;1,"",IF(ISNUMBER(U683),IF(U683&lt;=1,"1년 이하",IF(U683&lt;=2,"1-2년",IF(U683&lt;=3,"2-3년",IF(U683&lt;=4,"3-4년",IF(U683&lt;=5,"4-5년",IF(U683&lt;=7,"5-7년",IF(U683&lt;=10,"7-10년",IF(U683&lt;=20,"10-20년","20년 이상")))))))),"미분류"))</f>
        <v/>
      </c>
      <c r="W683" s="43" t="str">
        <f aca="false">IF(Q683&lt;&gt;1,"",IF(AB683&lt;&gt;"",INDEX(시장분석!$C:$C,AB683),IF(K683=1,"USD","비USD")))</f>
        <v/>
      </c>
      <c r="X683" s="91" t="n">
        <f aca="false">IF(Q683=1,E683*K683/1000000,0)</f>
        <v>0</v>
      </c>
      <c r="Y683" s="89" t="n">
        <f aca="false">IF(R683="T",1,0)</f>
        <v>0</v>
      </c>
      <c r="Z683" s="92" t="str">
        <f aca="false">IF(Q683&lt;&gt;1,"",IF(AD683=1,IF(ISNUMBER(U683),MAX(U683,0),H683),H683))</f>
        <v/>
      </c>
      <c r="AA683" s="91" t="n">
        <f aca="false">IF(Q683=1,IF(ISNUMBER(L683),L683,0)*K683/1000000,0)</f>
        <v>0</v>
      </c>
      <c r="AB683" s="89" t="str">
        <f aca="false">IF(Q683&lt;&gt;1,"",IFERROR(MATCH(VLOOKUP(B683,매핑!$H$4:$I$15,2,0),시장분석!$A$2:$A$601,0)+1,IFERROR(MATCH(R683&amp;"|"&amp;T683,시장분석!$V$2:$V$601,0)+1,IF(COUNTIF(시장분석!$U$2:$U$601,T683)=1,MATCH(T683,시장분석!$U$2:$U$601,0)+1,""))))</f>
        <v/>
      </c>
      <c r="AC683" s="89" t="n">
        <f aca="false">IF(Q683&lt;&gt;1,0,IF(OR(설정!$C$5="전체",AND(설정!$C$5="선택펀드",IFERROR(COUNTIFS(설정!$F$16:$F$36,C683,설정!$G$16:$G$36,"Y")+COUNTIFS(설정!$F$16:$F$36,VALUE(C683),설정!$G$16:$G$36,"Y"),0)&gt;0),C683&amp;""=설정!$C$5&amp;""),1,0))</f>
        <v>0</v>
      </c>
      <c r="AD683" s="89" t="n">
        <f aca="false">IF(Q683&lt;&gt;1,0,IF(OR(S683=1,IF(AB683="",FALSE(),INDEX(시장분석!$R:$R,AB683)=1)),1,0))</f>
        <v>0</v>
      </c>
      <c r="AE683" s="43" t="str">
        <f aca="false">IF(AB683="","",INDEX(시장분석!$A:$A,AB683))</f>
        <v/>
      </c>
      <c r="AF683" s="93" t="str">
        <f aca="false">IF(AB683="","",IF(ISNUMBER(IF(AB683="","",INDEX(시장분석!$E:$E,AB683))),IF(AB683="","",INDEX(시장분석!$E:$E,AB683)),""))</f>
        <v/>
      </c>
      <c r="AG683" s="43" t="str">
        <f aca="false">IF(Q683&lt;&gt;1,"",IF(AB683&lt;&gt;"",IF(AB683="","",INDEX(시장분석!$L:$L,AB683)),IFERROR(IF(VLOOKUP(R683,매핑!$A$4:$E$92,5,0)="","미분류",VLOOKUP(R683,매핑!$A$4:$E$92,5,0)),"미분류")))</f>
        <v/>
      </c>
      <c r="AH683" s="43" t="str">
        <f aca="false">IF(Q683&lt;&gt;1,"",IF(AB683&lt;&gt;"",IF(AB683="","",INDEX(시장분석!$N:$N,AB683)),IFERROR(IF(VLOOKUP(R683,매핑!$A$4:$E$92,4,0)="","미분류",VLOOKUP(R683,매핑!$A$4:$E$92,4,0)),"미분류")))</f>
        <v/>
      </c>
      <c r="AI683" s="43" t="str">
        <f aca="false">IF(Q683&lt;&gt;1,"",IFERROR(IF(VLOOKUP(R683,매핑!$A$4:$E$92,3,0)="","미분류",VLOOKUP(R683,매핑!$A$4:$E$92,3,0)),IF(AB683&lt;&gt;"",IF(AB683="","",INDEX(시장분석!$W:$W,AB683)),"미분류")))</f>
        <v/>
      </c>
      <c r="AJ683" s="43" t="str">
        <f aca="false">IF(Q683&lt;&gt;1,"",IFERROR(VLOOKUP(IF(N683&lt;&gt;"",N683,IF(P683&lt;&gt;"",P683,O683)),설정!$A$15:$D$47,2,0),""))</f>
        <v/>
      </c>
      <c r="AK683" s="43" t="str">
        <f aca="false">IF(Q683&lt;&gt;1,"",IF(AJ683="","무등급",IFERROR(VLOOKUP(AJ683,설정!$A$15:$D$47,3,0),"무등급")))</f>
        <v/>
      </c>
      <c r="AL683" s="89" t="n">
        <f aca="false">IF(AJ683="",99,IFERROR(VLOOKUP(AJ683,설정!$A$15:$D$47,4,0),99))</f>
        <v>99</v>
      </c>
      <c r="AM683" s="94" t="n">
        <f aca="false">IF(ISNUMBER(H683),AA683*1000000*H683/10000,0)</f>
        <v>0</v>
      </c>
      <c r="AN683" s="94" t="n">
        <f aca="false">IF(OR(Y683=1,NOT(ISNUMBER(Z683))),0,AA683*1000000*Z683/10000)</f>
        <v>0</v>
      </c>
      <c r="AO683" s="94" t="n">
        <f aca="false">IF(ISNUMBER(G683),AA683*1000000*G683/100,0)</f>
        <v>0</v>
      </c>
      <c r="AP683" s="94" t="n">
        <f aca="false">IF(ISNUMBER(M683),M683*K683,0)</f>
        <v>0</v>
      </c>
      <c r="AQ683" s="95" t="str">
        <f aca="false">IF(AB683="","",INDEX(시장분석!$AK:$AK,AB683))</f>
        <v/>
      </c>
      <c r="AR683" s="43" t="str">
        <f aca="false">IF(AB683="","-",IF(AB683="","",INDEX(시장분석!$AL:$AL,AB683)))</f>
        <v>-</v>
      </c>
      <c r="AS683" s="96" t="str">
        <f aca="false">IF(AB683="","",INDEX(시장분석!$AJ:$AJ,AB683))</f>
        <v/>
      </c>
      <c r="AT683" s="93" t="n">
        <f aca="false">IF(AB683="",0,IF(AB683="","",INDEX(시장분석!$AN:$AN,AB683)))</f>
        <v>0</v>
      </c>
      <c r="AU683" s="94" t="n">
        <f aca="false">IF(ISNUMBER(Z683),AT683/10000*MAX(Z683-1,0)*AA683*1000000,0)</f>
        <v>0</v>
      </c>
      <c r="AV683" s="94" t="n">
        <f aca="false">AO683+AU683</f>
        <v>0</v>
      </c>
      <c r="AW683" s="43" t="str">
        <f aca="false">IF(Q683&lt;&gt;1,"",TRIM(IF(AD683=1,"FRN ","")&amp;IF(AND(AL683&gt;=10,AL683&lt;99),"BBB0미만 ","")&amp;IF(AJ683="","등급없음 ","")&amp;IF(K683&lt;&gt;1,"비USD ","")&amp;IF(AND(AB683="",Y683=0),"시장데이터없음 ","")&amp;IF(AND(ISNUMBER(U683),U683&lt;0),"만기경과 ","")))</f>
        <v/>
      </c>
      <c r="AX683" s="90" t="n">
        <f aca="false">IF(Q683&lt;&gt;1,1,IF(스프레드쇼크!$C$4="Y",INDEX(스프레드쇼크!$B$12:$L$16,IFERROR(MATCH(AH683,스프레드쇼크!$A$12:$A$16,0),MATCH("목록외",스프레드쇼크!$A$12:$A$16,0)),IFERROR(MATCH(AG683,스프레드쇼크!$B$11:$L$11,0),MATCH("목록외",스프레드쇼크!$B$11:$L$11,0))),1))</f>
        <v>1</v>
      </c>
      <c r="AY683" s="90" t="n">
        <f aca="false">IF(스프레드쇼크!$C$5="Y",IF(ISNUMBER(AF683),MIN(스프레드쇼크!$C$7,MAX(스프레드쇼크!$C$6,AF683/스프레드쇼크!$C$8)),1),1)</f>
        <v>1</v>
      </c>
      <c r="AZ683" s="94" t="n">
        <f aca="false">AN683*AX683*AY683</f>
        <v>0</v>
      </c>
      <c r="BA683" s="90" t="n">
        <f aca="false">IF(ISNUMBER(G683),AA683*G683,0)</f>
        <v>0</v>
      </c>
      <c r="BB683" s="90" t="n">
        <f aca="false">IF(ISNUMBER(G683),AA683,0)</f>
        <v>0</v>
      </c>
      <c r="BC683" s="90" t="n">
        <f aca="false">IF(AND(Y683=0,ISNUMBER(AF683)),AA683*AF683,0)</f>
        <v>0</v>
      </c>
      <c r="BD683" s="90" t="n">
        <f aca="false">IF(AND(Y683=0,ISNUMBER(AF683)),AA683,0)</f>
        <v>0</v>
      </c>
      <c r="BE683" s="90" t="n">
        <f aca="false">IF(ISNUMBER(H683),AA683*H683,0)</f>
        <v>0</v>
      </c>
      <c r="BF683" s="90" t="n">
        <f aca="false">IF(ISNUMBER(H683),AA683,0)</f>
        <v>0</v>
      </c>
      <c r="BG683" s="90" t="n">
        <f aca="false">IF(AND(Y683=0,ISNUMBER(AF683),ISNUMBER(Z683)),AA683*Z683,0)</f>
        <v>0</v>
      </c>
      <c r="BH683" s="90" t="n">
        <f aca="false">IF(AND(Y683=0,ISNUMBER(AF683),ISNUMBER(Z683)),AA683*AT683*MAX(Z683-1,0),0)</f>
        <v>0</v>
      </c>
      <c r="BI683" s="90" t="n">
        <f aca="false">IF(Y683=0,AA683,0)</f>
        <v>0</v>
      </c>
    </row>
    <row r="684" customFormat="false" ht="15" hidden="false" customHeight="false" outlineLevel="0" collapsed="false">
      <c r="A684" s="83" t="str">
        <f aca="false">IFERROR(IF(INDEX(원자료_잔고!$A$1:$EZ$1500,설정!$L$5+ROW()-1,설정!$L$8)&amp;""="0","",INDEX(원자료_잔고!$A$1:$EZ$1500,설정!$L$5+ROW()-1,설정!$L$8)&amp;""),"")</f>
        <v/>
      </c>
      <c r="B684" s="83" t="str">
        <f aca="false">IFERROR(IF(INDEX(원자료_잔고!$A$1:$EZ$1500,설정!$L$5+ROW()-1,설정!$L$7)&amp;""="0","",INDEX(원자료_잔고!$A$1:$EZ$1500,설정!$L$5+ROW()-1,설정!$L$7)&amp;""),"")</f>
        <v/>
      </c>
      <c r="C684" s="83" t="str">
        <f aca="false">IFERROR(IF(INDEX(원자료_잔고!$A$1:$EZ$1500,설정!$L$5+ROW()-1,설정!$L$9)&amp;""="0","",INDEX(원자료_잔고!$A$1:$EZ$1500,설정!$L$5+ROW()-1,설정!$L$9)&amp;""),"")</f>
        <v/>
      </c>
      <c r="D684" s="83" t="str">
        <f aca="false">IFERROR(IF(INDEX(원자료_잔고!$A$1:$EZ$1500,설정!$L$5+ROW()-1,설정!$L$10)&amp;""="0","",INDEX(원자료_잔고!$A$1:$EZ$1500,설정!$L$5+ROW()-1,설정!$L$10)&amp;""),"")</f>
        <v/>
      </c>
      <c r="E684" s="84" t="str">
        <f aca="false">IFERROR(IF(ISNUMBER(INDEX(원자료_잔고!$A$1:$EZ$1500,설정!$L$5+ROW()-1,설정!$L$11)),INDEX(원자료_잔고!$A$1:$EZ$1500,설정!$L$5+ROW()-1,설정!$L$11),""),"")</f>
        <v/>
      </c>
      <c r="F684" s="85" t="str">
        <f aca="false">IFERROR(IF(ISNUMBER(INDEX(원자료_잔고!$A$1:$EZ$1500,설정!$L$5+ROW()-1,설정!$L$12)),INDEX(원자료_잔고!$A$1:$EZ$1500,설정!$L$5+ROW()-1,설정!$L$12),""),"")</f>
        <v/>
      </c>
      <c r="G684" s="85" t="str">
        <f aca="false">IFERROR(IF(ISNUMBER(INDEX(원자료_잔고!$A$1:$EZ$1500,설정!$L$5+ROW()-1,설정!$L$13)),INDEX(원자료_잔고!$A$1:$EZ$1500,설정!$L$5+ROW()-1,설정!$L$13),""),"")</f>
        <v/>
      </c>
      <c r="H684" s="85" t="str">
        <f aca="false">IFERROR(IF(ISNUMBER(INDEX(원자료_잔고!$A$1:$EZ$1500,설정!$L$5+ROW()-1,설정!$L$14)),INDEX(원자료_잔고!$A$1:$EZ$1500,설정!$L$5+ROW()-1,설정!$L$14),""),"")</f>
        <v/>
      </c>
      <c r="I684" s="86" t="str">
        <f aca="false">IFERROR(IF(ISNUMBER(INDEX(원자료_잔고!$A$1:$EZ$1500,설정!$L$5+ROW()-1,설정!$L$15)),INDEX(원자료_잔고!$A$1:$EZ$1500,설정!$L$5+ROW()-1,설정!$L$15),""),"")</f>
        <v/>
      </c>
      <c r="J684" s="85" t="str">
        <f aca="false">IFERROR(IF(ISNUMBER(INDEX(원자료_잔고!$A$1:$EZ$1500,설정!$L$5+ROW()-1,설정!$L$16)),INDEX(원자료_잔고!$A$1:$EZ$1500,설정!$L$5+ROW()-1,설정!$L$16),""),"")</f>
        <v/>
      </c>
      <c r="K684" s="87" t="str">
        <f aca="false">IFERROR(IF(ISNUMBER(INDEX(원자료_잔고!$A$1:$EZ$1500,설정!$L$5+ROW()-1,설정!$L$17)),INDEX(원자료_잔고!$A$1:$EZ$1500,설정!$L$5+ROW()-1,설정!$L$17),""),"")</f>
        <v/>
      </c>
      <c r="L684" s="84" t="str">
        <f aca="false">IFERROR(IF(ISNUMBER(INDEX(원자료_잔고!$A$1:$EZ$1500,설정!$L$5+ROW()-1,설정!$L$18)),INDEX(원자료_잔고!$A$1:$EZ$1500,설정!$L$5+ROW()-1,설정!$L$18),""),"")</f>
        <v/>
      </c>
      <c r="M684" s="88" t="str">
        <f aca="false">IFERROR(IF(ISNUMBER(INDEX(원자료_잔고!$A$1:$EZ$1500,설정!$L$5+ROW()-1,설정!$L$19)),INDEX(원자료_잔고!$A$1:$EZ$1500,설정!$L$5+ROW()-1,설정!$L$19),""),"")</f>
        <v/>
      </c>
      <c r="N684" s="83" t="str">
        <f aca="false">IFERROR(IF(INDEX(원자료_잔고!$A$1:$EZ$1500,설정!$L$5+ROW()-1,설정!$L$21)&amp;""="0","",INDEX(원자료_잔고!$A$1:$EZ$1500,설정!$L$5+ROW()-1,설정!$L$21)&amp;""),"")</f>
        <v/>
      </c>
      <c r="O684" s="83" t="str">
        <f aca="false">IFERROR(IF(INDEX(원자료_잔고!$A$1:$EZ$1500,설정!$L$5+ROW()-1,설정!$L$22)&amp;""="0","",INDEX(원자료_잔고!$A$1:$EZ$1500,설정!$L$5+ROW()-1,설정!$L$22)&amp;""),"")</f>
        <v/>
      </c>
      <c r="P684" s="83" t="str">
        <f aca="false">IFERROR(IF(INDEX(원자료_잔고!$A$1:$EZ$1500,설정!$L$5+ROW()-1,설정!$L$23)&amp;""="0","",INDEX(원자료_잔고!$A$1:$EZ$1500,설정!$L$5+ROW()-1,설정!$L$23)&amp;""),"")</f>
        <v/>
      </c>
      <c r="Q684" s="89" t="n">
        <f aca="false">IF(AND($A684&lt;&gt;"",ISNUMBER(E684)),IF(E684&gt;0,1,0),0)</f>
        <v>0</v>
      </c>
      <c r="R684" s="43" t="str">
        <f aca="false">IF(Q684=1,UPPER(LEFT($A684,FIND(" ",$A684&amp;" ")-1)),"")</f>
        <v/>
      </c>
      <c r="S684" s="89" t="n">
        <f aca="false">IF(Q684=1,IF(OR(ISNUMBER(SEARCH("Float",$A684)),ISNUMBER(SEARCH("FRN",$A684))),1,0),0)</f>
        <v>0</v>
      </c>
      <c r="T684" s="43" t="str">
        <f aca="false">IF(AND(Q684=1,ISNUMBER(I684)),TEXT(I684,"yyyymmdd")&amp;"|"&amp;IF(S684=1,"F",TEXT(J684,"0.000")),"")</f>
        <v/>
      </c>
      <c r="U684" s="90" t="str">
        <f aca="false">IF(AND(Q684=1,ISNUMBER(I684)),(I684-설정!$C$4)/365.25,"")</f>
        <v/>
      </c>
      <c r="V684" s="43" t="str">
        <f aca="false">IF(Q684&lt;&gt;1,"",IF(ISNUMBER(U684),IF(U684&lt;=1,"1년 이하",IF(U684&lt;=2,"1-2년",IF(U684&lt;=3,"2-3년",IF(U684&lt;=4,"3-4년",IF(U684&lt;=5,"4-5년",IF(U684&lt;=7,"5-7년",IF(U684&lt;=10,"7-10년",IF(U684&lt;=20,"10-20년","20년 이상")))))))),"미분류"))</f>
        <v/>
      </c>
      <c r="W684" s="43" t="str">
        <f aca="false">IF(Q684&lt;&gt;1,"",IF(AB684&lt;&gt;"",INDEX(시장분석!$C:$C,AB684),IF(K684=1,"USD","비USD")))</f>
        <v/>
      </c>
      <c r="X684" s="91" t="n">
        <f aca="false">IF(Q684=1,E684*K684/1000000,0)</f>
        <v>0</v>
      </c>
      <c r="Y684" s="89" t="n">
        <f aca="false">IF(R684="T",1,0)</f>
        <v>0</v>
      </c>
      <c r="Z684" s="92" t="str">
        <f aca="false">IF(Q684&lt;&gt;1,"",IF(AD684=1,IF(ISNUMBER(U684),MAX(U684,0),H684),H684))</f>
        <v/>
      </c>
      <c r="AA684" s="91" t="n">
        <f aca="false">IF(Q684=1,IF(ISNUMBER(L684),L684,0)*K684/1000000,0)</f>
        <v>0</v>
      </c>
      <c r="AB684" s="89" t="str">
        <f aca="false">IF(Q684&lt;&gt;1,"",IFERROR(MATCH(VLOOKUP(B684,매핑!$H$4:$I$15,2,0),시장분석!$A$2:$A$601,0)+1,IFERROR(MATCH(R684&amp;"|"&amp;T684,시장분석!$V$2:$V$601,0)+1,IF(COUNTIF(시장분석!$U$2:$U$601,T684)=1,MATCH(T684,시장분석!$U$2:$U$601,0)+1,""))))</f>
        <v/>
      </c>
      <c r="AC684" s="89" t="n">
        <f aca="false">IF(Q684&lt;&gt;1,0,IF(OR(설정!$C$5="전체",AND(설정!$C$5="선택펀드",IFERROR(COUNTIFS(설정!$F$16:$F$36,C684,설정!$G$16:$G$36,"Y")+COUNTIFS(설정!$F$16:$F$36,VALUE(C684),설정!$G$16:$G$36,"Y"),0)&gt;0),C684&amp;""=설정!$C$5&amp;""),1,0))</f>
        <v>0</v>
      </c>
      <c r="AD684" s="89" t="n">
        <f aca="false">IF(Q684&lt;&gt;1,0,IF(OR(S684=1,IF(AB684="",FALSE(),INDEX(시장분석!$R:$R,AB684)=1)),1,0))</f>
        <v>0</v>
      </c>
      <c r="AE684" s="43" t="str">
        <f aca="false">IF(AB684="","",INDEX(시장분석!$A:$A,AB684))</f>
        <v/>
      </c>
      <c r="AF684" s="93" t="str">
        <f aca="false">IF(AB684="","",IF(ISNUMBER(IF(AB684="","",INDEX(시장분석!$E:$E,AB684))),IF(AB684="","",INDEX(시장분석!$E:$E,AB684)),""))</f>
        <v/>
      </c>
      <c r="AG684" s="43" t="str">
        <f aca="false">IF(Q684&lt;&gt;1,"",IF(AB684&lt;&gt;"",IF(AB684="","",INDEX(시장분석!$L:$L,AB684)),IFERROR(IF(VLOOKUP(R684,매핑!$A$4:$E$92,5,0)="","미분류",VLOOKUP(R684,매핑!$A$4:$E$92,5,0)),"미분류")))</f>
        <v/>
      </c>
      <c r="AH684" s="43" t="str">
        <f aca="false">IF(Q684&lt;&gt;1,"",IF(AB684&lt;&gt;"",IF(AB684="","",INDEX(시장분석!$N:$N,AB684)),IFERROR(IF(VLOOKUP(R684,매핑!$A$4:$E$92,4,0)="","미분류",VLOOKUP(R684,매핑!$A$4:$E$92,4,0)),"미분류")))</f>
        <v/>
      </c>
      <c r="AI684" s="43" t="str">
        <f aca="false">IF(Q684&lt;&gt;1,"",IFERROR(IF(VLOOKUP(R684,매핑!$A$4:$E$92,3,0)="","미분류",VLOOKUP(R684,매핑!$A$4:$E$92,3,0)),IF(AB684&lt;&gt;"",IF(AB684="","",INDEX(시장분석!$W:$W,AB684)),"미분류")))</f>
        <v/>
      </c>
      <c r="AJ684" s="43" t="str">
        <f aca="false">IF(Q684&lt;&gt;1,"",IFERROR(VLOOKUP(IF(N684&lt;&gt;"",N684,IF(P684&lt;&gt;"",P684,O684)),설정!$A$15:$D$47,2,0),""))</f>
        <v/>
      </c>
      <c r="AK684" s="43" t="str">
        <f aca="false">IF(Q684&lt;&gt;1,"",IF(AJ684="","무등급",IFERROR(VLOOKUP(AJ684,설정!$A$15:$D$47,3,0),"무등급")))</f>
        <v/>
      </c>
      <c r="AL684" s="89" t="n">
        <f aca="false">IF(AJ684="",99,IFERROR(VLOOKUP(AJ684,설정!$A$15:$D$47,4,0),99))</f>
        <v>99</v>
      </c>
      <c r="AM684" s="94" t="n">
        <f aca="false">IF(ISNUMBER(H684),AA684*1000000*H684/10000,0)</f>
        <v>0</v>
      </c>
      <c r="AN684" s="94" t="n">
        <f aca="false">IF(OR(Y684=1,NOT(ISNUMBER(Z684))),0,AA684*1000000*Z684/10000)</f>
        <v>0</v>
      </c>
      <c r="AO684" s="94" t="n">
        <f aca="false">IF(ISNUMBER(G684),AA684*1000000*G684/100,0)</f>
        <v>0</v>
      </c>
      <c r="AP684" s="94" t="n">
        <f aca="false">IF(ISNUMBER(M684),M684*K684,0)</f>
        <v>0</v>
      </c>
      <c r="AQ684" s="95" t="str">
        <f aca="false">IF(AB684="","",INDEX(시장분석!$AK:$AK,AB684))</f>
        <v/>
      </c>
      <c r="AR684" s="43" t="str">
        <f aca="false">IF(AB684="","-",IF(AB684="","",INDEX(시장분석!$AL:$AL,AB684)))</f>
        <v>-</v>
      </c>
      <c r="AS684" s="96" t="str">
        <f aca="false">IF(AB684="","",INDEX(시장분석!$AJ:$AJ,AB684))</f>
        <v/>
      </c>
      <c r="AT684" s="93" t="n">
        <f aca="false">IF(AB684="",0,IF(AB684="","",INDEX(시장분석!$AN:$AN,AB684)))</f>
        <v>0</v>
      </c>
      <c r="AU684" s="94" t="n">
        <f aca="false">IF(ISNUMBER(Z684),AT684/10000*MAX(Z684-1,0)*AA684*1000000,0)</f>
        <v>0</v>
      </c>
      <c r="AV684" s="94" t="n">
        <f aca="false">AO684+AU684</f>
        <v>0</v>
      </c>
      <c r="AW684" s="43" t="str">
        <f aca="false">IF(Q684&lt;&gt;1,"",TRIM(IF(AD684=1,"FRN ","")&amp;IF(AND(AL684&gt;=10,AL684&lt;99),"BBB0미만 ","")&amp;IF(AJ684="","등급없음 ","")&amp;IF(K684&lt;&gt;1,"비USD ","")&amp;IF(AND(AB684="",Y684=0),"시장데이터없음 ","")&amp;IF(AND(ISNUMBER(U684),U684&lt;0),"만기경과 ","")))</f>
        <v/>
      </c>
      <c r="AX684" s="90" t="n">
        <f aca="false">IF(Q684&lt;&gt;1,1,IF(스프레드쇼크!$C$4="Y",INDEX(스프레드쇼크!$B$12:$L$16,IFERROR(MATCH(AH684,스프레드쇼크!$A$12:$A$16,0),MATCH("목록외",스프레드쇼크!$A$12:$A$16,0)),IFERROR(MATCH(AG684,스프레드쇼크!$B$11:$L$11,0),MATCH("목록외",스프레드쇼크!$B$11:$L$11,0))),1))</f>
        <v>1</v>
      </c>
      <c r="AY684" s="90" t="n">
        <f aca="false">IF(스프레드쇼크!$C$5="Y",IF(ISNUMBER(AF684),MIN(스프레드쇼크!$C$7,MAX(스프레드쇼크!$C$6,AF684/스프레드쇼크!$C$8)),1),1)</f>
        <v>1</v>
      </c>
      <c r="AZ684" s="94" t="n">
        <f aca="false">AN684*AX684*AY684</f>
        <v>0</v>
      </c>
      <c r="BA684" s="90" t="n">
        <f aca="false">IF(ISNUMBER(G684),AA684*G684,0)</f>
        <v>0</v>
      </c>
      <c r="BB684" s="90" t="n">
        <f aca="false">IF(ISNUMBER(G684),AA684,0)</f>
        <v>0</v>
      </c>
      <c r="BC684" s="90" t="n">
        <f aca="false">IF(AND(Y684=0,ISNUMBER(AF684)),AA684*AF684,0)</f>
        <v>0</v>
      </c>
      <c r="BD684" s="90" t="n">
        <f aca="false">IF(AND(Y684=0,ISNUMBER(AF684)),AA684,0)</f>
        <v>0</v>
      </c>
      <c r="BE684" s="90" t="n">
        <f aca="false">IF(ISNUMBER(H684),AA684*H684,0)</f>
        <v>0</v>
      </c>
      <c r="BF684" s="90" t="n">
        <f aca="false">IF(ISNUMBER(H684),AA684,0)</f>
        <v>0</v>
      </c>
      <c r="BG684" s="90" t="n">
        <f aca="false">IF(AND(Y684=0,ISNUMBER(AF684),ISNUMBER(Z684)),AA684*Z684,0)</f>
        <v>0</v>
      </c>
      <c r="BH684" s="90" t="n">
        <f aca="false">IF(AND(Y684=0,ISNUMBER(AF684),ISNUMBER(Z684)),AA684*AT684*MAX(Z684-1,0),0)</f>
        <v>0</v>
      </c>
      <c r="BI684" s="90" t="n">
        <f aca="false">IF(Y684=0,AA684,0)</f>
        <v>0</v>
      </c>
    </row>
    <row r="685" customFormat="false" ht="15" hidden="false" customHeight="false" outlineLevel="0" collapsed="false">
      <c r="A685" s="83" t="str">
        <f aca="false">IFERROR(IF(INDEX(원자료_잔고!$A$1:$EZ$1500,설정!$L$5+ROW()-1,설정!$L$8)&amp;""="0","",INDEX(원자료_잔고!$A$1:$EZ$1500,설정!$L$5+ROW()-1,설정!$L$8)&amp;""),"")</f>
        <v/>
      </c>
      <c r="B685" s="83" t="str">
        <f aca="false">IFERROR(IF(INDEX(원자료_잔고!$A$1:$EZ$1500,설정!$L$5+ROW()-1,설정!$L$7)&amp;""="0","",INDEX(원자료_잔고!$A$1:$EZ$1500,설정!$L$5+ROW()-1,설정!$L$7)&amp;""),"")</f>
        <v/>
      </c>
      <c r="C685" s="83" t="str">
        <f aca="false">IFERROR(IF(INDEX(원자료_잔고!$A$1:$EZ$1500,설정!$L$5+ROW()-1,설정!$L$9)&amp;""="0","",INDEX(원자료_잔고!$A$1:$EZ$1500,설정!$L$5+ROW()-1,설정!$L$9)&amp;""),"")</f>
        <v/>
      </c>
      <c r="D685" s="83" t="str">
        <f aca="false">IFERROR(IF(INDEX(원자료_잔고!$A$1:$EZ$1500,설정!$L$5+ROW()-1,설정!$L$10)&amp;""="0","",INDEX(원자료_잔고!$A$1:$EZ$1500,설정!$L$5+ROW()-1,설정!$L$10)&amp;""),"")</f>
        <v/>
      </c>
      <c r="E685" s="84" t="str">
        <f aca="false">IFERROR(IF(ISNUMBER(INDEX(원자료_잔고!$A$1:$EZ$1500,설정!$L$5+ROW()-1,설정!$L$11)),INDEX(원자료_잔고!$A$1:$EZ$1500,설정!$L$5+ROW()-1,설정!$L$11),""),"")</f>
        <v/>
      </c>
      <c r="F685" s="85" t="str">
        <f aca="false">IFERROR(IF(ISNUMBER(INDEX(원자료_잔고!$A$1:$EZ$1500,설정!$L$5+ROW()-1,설정!$L$12)),INDEX(원자료_잔고!$A$1:$EZ$1500,설정!$L$5+ROW()-1,설정!$L$12),""),"")</f>
        <v/>
      </c>
      <c r="G685" s="85" t="str">
        <f aca="false">IFERROR(IF(ISNUMBER(INDEX(원자료_잔고!$A$1:$EZ$1500,설정!$L$5+ROW()-1,설정!$L$13)),INDEX(원자료_잔고!$A$1:$EZ$1500,설정!$L$5+ROW()-1,설정!$L$13),""),"")</f>
        <v/>
      </c>
      <c r="H685" s="85" t="str">
        <f aca="false">IFERROR(IF(ISNUMBER(INDEX(원자료_잔고!$A$1:$EZ$1500,설정!$L$5+ROW()-1,설정!$L$14)),INDEX(원자료_잔고!$A$1:$EZ$1500,설정!$L$5+ROW()-1,설정!$L$14),""),"")</f>
        <v/>
      </c>
      <c r="I685" s="86" t="str">
        <f aca="false">IFERROR(IF(ISNUMBER(INDEX(원자료_잔고!$A$1:$EZ$1500,설정!$L$5+ROW()-1,설정!$L$15)),INDEX(원자료_잔고!$A$1:$EZ$1500,설정!$L$5+ROW()-1,설정!$L$15),""),"")</f>
        <v/>
      </c>
      <c r="J685" s="85" t="str">
        <f aca="false">IFERROR(IF(ISNUMBER(INDEX(원자료_잔고!$A$1:$EZ$1500,설정!$L$5+ROW()-1,설정!$L$16)),INDEX(원자료_잔고!$A$1:$EZ$1500,설정!$L$5+ROW()-1,설정!$L$16),""),"")</f>
        <v/>
      </c>
      <c r="K685" s="87" t="str">
        <f aca="false">IFERROR(IF(ISNUMBER(INDEX(원자료_잔고!$A$1:$EZ$1500,설정!$L$5+ROW()-1,설정!$L$17)),INDEX(원자료_잔고!$A$1:$EZ$1500,설정!$L$5+ROW()-1,설정!$L$17),""),"")</f>
        <v/>
      </c>
      <c r="L685" s="84" t="str">
        <f aca="false">IFERROR(IF(ISNUMBER(INDEX(원자료_잔고!$A$1:$EZ$1500,설정!$L$5+ROW()-1,설정!$L$18)),INDEX(원자료_잔고!$A$1:$EZ$1500,설정!$L$5+ROW()-1,설정!$L$18),""),"")</f>
        <v/>
      </c>
      <c r="M685" s="88" t="str">
        <f aca="false">IFERROR(IF(ISNUMBER(INDEX(원자료_잔고!$A$1:$EZ$1500,설정!$L$5+ROW()-1,설정!$L$19)),INDEX(원자료_잔고!$A$1:$EZ$1500,설정!$L$5+ROW()-1,설정!$L$19),""),"")</f>
        <v/>
      </c>
      <c r="N685" s="83" t="str">
        <f aca="false">IFERROR(IF(INDEX(원자료_잔고!$A$1:$EZ$1500,설정!$L$5+ROW()-1,설정!$L$21)&amp;""="0","",INDEX(원자료_잔고!$A$1:$EZ$1500,설정!$L$5+ROW()-1,설정!$L$21)&amp;""),"")</f>
        <v/>
      </c>
      <c r="O685" s="83" t="str">
        <f aca="false">IFERROR(IF(INDEX(원자료_잔고!$A$1:$EZ$1500,설정!$L$5+ROW()-1,설정!$L$22)&amp;""="0","",INDEX(원자료_잔고!$A$1:$EZ$1500,설정!$L$5+ROW()-1,설정!$L$22)&amp;""),"")</f>
        <v/>
      </c>
      <c r="P685" s="83" t="str">
        <f aca="false">IFERROR(IF(INDEX(원자료_잔고!$A$1:$EZ$1500,설정!$L$5+ROW()-1,설정!$L$23)&amp;""="0","",INDEX(원자료_잔고!$A$1:$EZ$1500,설정!$L$5+ROW()-1,설정!$L$23)&amp;""),"")</f>
        <v/>
      </c>
      <c r="Q685" s="89" t="n">
        <f aca="false">IF(AND($A685&lt;&gt;"",ISNUMBER(E685)),IF(E685&gt;0,1,0),0)</f>
        <v>0</v>
      </c>
      <c r="R685" s="43" t="str">
        <f aca="false">IF(Q685=1,UPPER(LEFT($A685,FIND(" ",$A685&amp;" ")-1)),"")</f>
        <v/>
      </c>
      <c r="S685" s="89" t="n">
        <f aca="false">IF(Q685=1,IF(OR(ISNUMBER(SEARCH("Float",$A685)),ISNUMBER(SEARCH("FRN",$A685))),1,0),0)</f>
        <v>0</v>
      </c>
      <c r="T685" s="43" t="str">
        <f aca="false">IF(AND(Q685=1,ISNUMBER(I685)),TEXT(I685,"yyyymmdd")&amp;"|"&amp;IF(S685=1,"F",TEXT(J685,"0.000")),"")</f>
        <v/>
      </c>
      <c r="U685" s="90" t="str">
        <f aca="false">IF(AND(Q685=1,ISNUMBER(I685)),(I685-설정!$C$4)/365.25,"")</f>
        <v/>
      </c>
      <c r="V685" s="43" t="str">
        <f aca="false">IF(Q685&lt;&gt;1,"",IF(ISNUMBER(U685),IF(U685&lt;=1,"1년 이하",IF(U685&lt;=2,"1-2년",IF(U685&lt;=3,"2-3년",IF(U685&lt;=4,"3-4년",IF(U685&lt;=5,"4-5년",IF(U685&lt;=7,"5-7년",IF(U685&lt;=10,"7-10년",IF(U685&lt;=20,"10-20년","20년 이상")))))))),"미분류"))</f>
        <v/>
      </c>
      <c r="W685" s="43" t="str">
        <f aca="false">IF(Q685&lt;&gt;1,"",IF(AB685&lt;&gt;"",INDEX(시장분석!$C:$C,AB685),IF(K685=1,"USD","비USD")))</f>
        <v/>
      </c>
      <c r="X685" s="91" t="n">
        <f aca="false">IF(Q685=1,E685*K685/1000000,0)</f>
        <v>0</v>
      </c>
      <c r="Y685" s="89" t="n">
        <f aca="false">IF(R685="T",1,0)</f>
        <v>0</v>
      </c>
      <c r="Z685" s="92" t="str">
        <f aca="false">IF(Q685&lt;&gt;1,"",IF(AD685=1,IF(ISNUMBER(U685),MAX(U685,0),H685),H685))</f>
        <v/>
      </c>
      <c r="AA685" s="91" t="n">
        <f aca="false">IF(Q685=1,IF(ISNUMBER(L685),L685,0)*K685/1000000,0)</f>
        <v>0</v>
      </c>
      <c r="AB685" s="89" t="str">
        <f aca="false">IF(Q685&lt;&gt;1,"",IFERROR(MATCH(VLOOKUP(B685,매핑!$H$4:$I$15,2,0),시장분석!$A$2:$A$601,0)+1,IFERROR(MATCH(R685&amp;"|"&amp;T685,시장분석!$V$2:$V$601,0)+1,IF(COUNTIF(시장분석!$U$2:$U$601,T685)=1,MATCH(T685,시장분석!$U$2:$U$601,0)+1,""))))</f>
        <v/>
      </c>
      <c r="AC685" s="89" t="n">
        <f aca="false">IF(Q685&lt;&gt;1,0,IF(OR(설정!$C$5="전체",AND(설정!$C$5="선택펀드",IFERROR(COUNTIFS(설정!$F$16:$F$36,C685,설정!$G$16:$G$36,"Y")+COUNTIFS(설정!$F$16:$F$36,VALUE(C685),설정!$G$16:$G$36,"Y"),0)&gt;0),C685&amp;""=설정!$C$5&amp;""),1,0))</f>
        <v>0</v>
      </c>
      <c r="AD685" s="89" t="n">
        <f aca="false">IF(Q685&lt;&gt;1,0,IF(OR(S685=1,IF(AB685="",FALSE(),INDEX(시장분석!$R:$R,AB685)=1)),1,0))</f>
        <v>0</v>
      </c>
      <c r="AE685" s="43" t="str">
        <f aca="false">IF(AB685="","",INDEX(시장분석!$A:$A,AB685))</f>
        <v/>
      </c>
      <c r="AF685" s="93" t="str">
        <f aca="false">IF(AB685="","",IF(ISNUMBER(IF(AB685="","",INDEX(시장분석!$E:$E,AB685))),IF(AB685="","",INDEX(시장분석!$E:$E,AB685)),""))</f>
        <v/>
      </c>
      <c r="AG685" s="43" t="str">
        <f aca="false">IF(Q685&lt;&gt;1,"",IF(AB685&lt;&gt;"",IF(AB685="","",INDEX(시장분석!$L:$L,AB685)),IFERROR(IF(VLOOKUP(R685,매핑!$A$4:$E$92,5,0)="","미분류",VLOOKUP(R685,매핑!$A$4:$E$92,5,0)),"미분류")))</f>
        <v/>
      </c>
      <c r="AH685" s="43" t="str">
        <f aca="false">IF(Q685&lt;&gt;1,"",IF(AB685&lt;&gt;"",IF(AB685="","",INDEX(시장분석!$N:$N,AB685)),IFERROR(IF(VLOOKUP(R685,매핑!$A$4:$E$92,4,0)="","미분류",VLOOKUP(R685,매핑!$A$4:$E$92,4,0)),"미분류")))</f>
        <v/>
      </c>
      <c r="AI685" s="43" t="str">
        <f aca="false">IF(Q685&lt;&gt;1,"",IFERROR(IF(VLOOKUP(R685,매핑!$A$4:$E$92,3,0)="","미분류",VLOOKUP(R685,매핑!$A$4:$E$92,3,0)),IF(AB685&lt;&gt;"",IF(AB685="","",INDEX(시장분석!$W:$W,AB685)),"미분류")))</f>
        <v/>
      </c>
      <c r="AJ685" s="43" t="str">
        <f aca="false">IF(Q685&lt;&gt;1,"",IFERROR(VLOOKUP(IF(N685&lt;&gt;"",N685,IF(P685&lt;&gt;"",P685,O685)),설정!$A$15:$D$47,2,0),""))</f>
        <v/>
      </c>
      <c r="AK685" s="43" t="str">
        <f aca="false">IF(Q685&lt;&gt;1,"",IF(AJ685="","무등급",IFERROR(VLOOKUP(AJ685,설정!$A$15:$D$47,3,0),"무등급")))</f>
        <v/>
      </c>
      <c r="AL685" s="89" t="n">
        <f aca="false">IF(AJ685="",99,IFERROR(VLOOKUP(AJ685,설정!$A$15:$D$47,4,0),99))</f>
        <v>99</v>
      </c>
      <c r="AM685" s="94" t="n">
        <f aca="false">IF(ISNUMBER(H685),AA685*1000000*H685/10000,0)</f>
        <v>0</v>
      </c>
      <c r="AN685" s="94" t="n">
        <f aca="false">IF(OR(Y685=1,NOT(ISNUMBER(Z685))),0,AA685*1000000*Z685/10000)</f>
        <v>0</v>
      </c>
      <c r="AO685" s="94" t="n">
        <f aca="false">IF(ISNUMBER(G685),AA685*1000000*G685/100,0)</f>
        <v>0</v>
      </c>
      <c r="AP685" s="94" t="n">
        <f aca="false">IF(ISNUMBER(M685),M685*K685,0)</f>
        <v>0</v>
      </c>
      <c r="AQ685" s="95" t="str">
        <f aca="false">IF(AB685="","",INDEX(시장분석!$AK:$AK,AB685))</f>
        <v/>
      </c>
      <c r="AR685" s="43" t="str">
        <f aca="false">IF(AB685="","-",IF(AB685="","",INDEX(시장분석!$AL:$AL,AB685)))</f>
        <v>-</v>
      </c>
      <c r="AS685" s="96" t="str">
        <f aca="false">IF(AB685="","",INDEX(시장분석!$AJ:$AJ,AB685))</f>
        <v/>
      </c>
      <c r="AT685" s="93" t="n">
        <f aca="false">IF(AB685="",0,IF(AB685="","",INDEX(시장분석!$AN:$AN,AB685)))</f>
        <v>0</v>
      </c>
      <c r="AU685" s="94" t="n">
        <f aca="false">IF(ISNUMBER(Z685),AT685/10000*MAX(Z685-1,0)*AA685*1000000,0)</f>
        <v>0</v>
      </c>
      <c r="AV685" s="94" t="n">
        <f aca="false">AO685+AU685</f>
        <v>0</v>
      </c>
      <c r="AW685" s="43" t="str">
        <f aca="false">IF(Q685&lt;&gt;1,"",TRIM(IF(AD685=1,"FRN ","")&amp;IF(AND(AL685&gt;=10,AL685&lt;99),"BBB0미만 ","")&amp;IF(AJ685="","등급없음 ","")&amp;IF(K685&lt;&gt;1,"비USD ","")&amp;IF(AND(AB685="",Y685=0),"시장데이터없음 ","")&amp;IF(AND(ISNUMBER(U685),U685&lt;0),"만기경과 ","")))</f>
        <v/>
      </c>
      <c r="AX685" s="90" t="n">
        <f aca="false">IF(Q685&lt;&gt;1,1,IF(스프레드쇼크!$C$4="Y",INDEX(스프레드쇼크!$B$12:$L$16,IFERROR(MATCH(AH685,스프레드쇼크!$A$12:$A$16,0),MATCH("목록외",스프레드쇼크!$A$12:$A$16,0)),IFERROR(MATCH(AG685,스프레드쇼크!$B$11:$L$11,0),MATCH("목록외",스프레드쇼크!$B$11:$L$11,0))),1))</f>
        <v>1</v>
      </c>
      <c r="AY685" s="90" t="n">
        <f aca="false">IF(스프레드쇼크!$C$5="Y",IF(ISNUMBER(AF685),MIN(스프레드쇼크!$C$7,MAX(스프레드쇼크!$C$6,AF685/스프레드쇼크!$C$8)),1),1)</f>
        <v>1</v>
      </c>
      <c r="AZ685" s="94" t="n">
        <f aca="false">AN685*AX685*AY685</f>
        <v>0</v>
      </c>
      <c r="BA685" s="90" t="n">
        <f aca="false">IF(ISNUMBER(G685),AA685*G685,0)</f>
        <v>0</v>
      </c>
      <c r="BB685" s="90" t="n">
        <f aca="false">IF(ISNUMBER(G685),AA685,0)</f>
        <v>0</v>
      </c>
      <c r="BC685" s="90" t="n">
        <f aca="false">IF(AND(Y685=0,ISNUMBER(AF685)),AA685*AF685,0)</f>
        <v>0</v>
      </c>
      <c r="BD685" s="90" t="n">
        <f aca="false">IF(AND(Y685=0,ISNUMBER(AF685)),AA685,0)</f>
        <v>0</v>
      </c>
      <c r="BE685" s="90" t="n">
        <f aca="false">IF(ISNUMBER(H685),AA685*H685,0)</f>
        <v>0</v>
      </c>
      <c r="BF685" s="90" t="n">
        <f aca="false">IF(ISNUMBER(H685),AA685,0)</f>
        <v>0</v>
      </c>
      <c r="BG685" s="90" t="n">
        <f aca="false">IF(AND(Y685=0,ISNUMBER(AF685),ISNUMBER(Z685)),AA685*Z685,0)</f>
        <v>0</v>
      </c>
      <c r="BH685" s="90" t="n">
        <f aca="false">IF(AND(Y685=0,ISNUMBER(AF685),ISNUMBER(Z685)),AA685*AT685*MAX(Z685-1,0),0)</f>
        <v>0</v>
      </c>
      <c r="BI685" s="90" t="n">
        <f aca="false">IF(Y685=0,AA685,0)</f>
        <v>0</v>
      </c>
    </row>
    <row r="686" customFormat="false" ht="15" hidden="false" customHeight="false" outlineLevel="0" collapsed="false">
      <c r="A686" s="83" t="str">
        <f aca="false">IFERROR(IF(INDEX(원자료_잔고!$A$1:$EZ$1500,설정!$L$5+ROW()-1,설정!$L$8)&amp;""="0","",INDEX(원자료_잔고!$A$1:$EZ$1500,설정!$L$5+ROW()-1,설정!$L$8)&amp;""),"")</f>
        <v/>
      </c>
      <c r="B686" s="83" t="str">
        <f aca="false">IFERROR(IF(INDEX(원자료_잔고!$A$1:$EZ$1500,설정!$L$5+ROW()-1,설정!$L$7)&amp;""="0","",INDEX(원자료_잔고!$A$1:$EZ$1500,설정!$L$5+ROW()-1,설정!$L$7)&amp;""),"")</f>
        <v/>
      </c>
      <c r="C686" s="83" t="str">
        <f aca="false">IFERROR(IF(INDEX(원자료_잔고!$A$1:$EZ$1500,설정!$L$5+ROW()-1,설정!$L$9)&amp;""="0","",INDEX(원자료_잔고!$A$1:$EZ$1500,설정!$L$5+ROW()-1,설정!$L$9)&amp;""),"")</f>
        <v/>
      </c>
      <c r="D686" s="83" t="str">
        <f aca="false">IFERROR(IF(INDEX(원자료_잔고!$A$1:$EZ$1500,설정!$L$5+ROW()-1,설정!$L$10)&amp;""="0","",INDEX(원자료_잔고!$A$1:$EZ$1500,설정!$L$5+ROW()-1,설정!$L$10)&amp;""),"")</f>
        <v/>
      </c>
      <c r="E686" s="84" t="str">
        <f aca="false">IFERROR(IF(ISNUMBER(INDEX(원자료_잔고!$A$1:$EZ$1500,설정!$L$5+ROW()-1,설정!$L$11)),INDEX(원자료_잔고!$A$1:$EZ$1500,설정!$L$5+ROW()-1,설정!$L$11),""),"")</f>
        <v/>
      </c>
      <c r="F686" s="85" t="str">
        <f aca="false">IFERROR(IF(ISNUMBER(INDEX(원자료_잔고!$A$1:$EZ$1500,설정!$L$5+ROW()-1,설정!$L$12)),INDEX(원자료_잔고!$A$1:$EZ$1500,설정!$L$5+ROW()-1,설정!$L$12),""),"")</f>
        <v/>
      </c>
      <c r="G686" s="85" t="str">
        <f aca="false">IFERROR(IF(ISNUMBER(INDEX(원자료_잔고!$A$1:$EZ$1500,설정!$L$5+ROW()-1,설정!$L$13)),INDEX(원자료_잔고!$A$1:$EZ$1500,설정!$L$5+ROW()-1,설정!$L$13),""),"")</f>
        <v/>
      </c>
      <c r="H686" s="85" t="str">
        <f aca="false">IFERROR(IF(ISNUMBER(INDEX(원자료_잔고!$A$1:$EZ$1500,설정!$L$5+ROW()-1,설정!$L$14)),INDEX(원자료_잔고!$A$1:$EZ$1500,설정!$L$5+ROW()-1,설정!$L$14),""),"")</f>
        <v/>
      </c>
      <c r="I686" s="86" t="str">
        <f aca="false">IFERROR(IF(ISNUMBER(INDEX(원자료_잔고!$A$1:$EZ$1500,설정!$L$5+ROW()-1,설정!$L$15)),INDEX(원자료_잔고!$A$1:$EZ$1500,설정!$L$5+ROW()-1,설정!$L$15),""),"")</f>
        <v/>
      </c>
      <c r="J686" s="85" t="str">
        <f aca="false">IFERROR(IF(ISNUMBER(INDEX(원자료_잔고!$A$1:$EZ$1500,설정!$L$5+ROW()-1,설정!$L$16)),INDEX(원자료_잔고!$A$1:$EZ$1500,설정!$L$5+ROW()-1,설정!$L$16),""),"")</f>
        <v/>
      </c>
      <c r="K686" s="87" t="str">
        <f aca="false">IFERROR(IF(ISNUMBER(INDEX(원자료_잔고!$A$1:$EZ$1500,설정!$L$5+ROW()-1,설정!$L$17)),INDEX(원자료_잔고!$A$1:$EZ$1500,설정!$L$5+ROW()-1,설정!$L$17),""),"")</f>
        <v/>
      </c>
      <c r="L686" s="84" t="str">
        <f aca="false">IFERROR(IF(ISNUMBER(INDEX(원자료_잔고!$A$1:$EZ$1500,설정!$L$5+ROW()-1,설정!$L$18)),INDEX(원자료_잔고!$A$1:$EZ$1500,설정!$L$5+ROW()-1,설정!$L$18),""),"")</f>
        <v/>
      </c>
      <c r="M686" s="88" t="str">
        <f aca="false">IFERROR(IF(ISNUMBER(INDEX(원자료_잔고!$A$1:$EZ$1500,설정!$L$5+ROW()-1,설정!$L$19)),INDEX(원자료_잔고!$A$1:$EZ$1500,설정!$L$5+ROW()-1,설정!$L$19),""),"")</f>
        <v/>
      </c>
      <c r="N686" s="83" t="str">
        <f aca="false">IFERROR(IF(INDEX(원자료_잔고!$A$1:$EZ$1500,설정!$L$5+ROW()-1,설정!$L$21)&amp;""="0","",INDEX(원자료_잔고!$A$1:$EZ$1500,설정!$L$5+ROW()-1,설정!$L$21)&amp;""),"")</f>
        <v/>
      </c>
      <c r="O686" s="83" t="str">
        <f aca="false">IFERROR(IF(INDEX(원자료_잔고!$A$1:$EZ$1500,설정!$L$5+ROW()-1,설정!$L$22)&amp;""="0","",INDEX(원자료_잔고!$A$1:$EZ$1500,설정!$L$5+ROW()-1,설정!$L$22)&amp;""),"")</f>
        <v/>
      </c>
      <c r="P686" s="83" t="str">
        <f aca="false">IFERROR(IF(INDEX(원자료_잔고!$A$1:$EZ$1500,설정!$L$5+ROW()-1,설정!$L$23)&amp;""="0","",INDEX(원자료_잔고!$A$1:$EZ$1500,설정!$L$5+ROW()-1,설정!$L$23)&amp;""),"")</f>
        <v/>
      </c>
      <c r="Q686" s="89" t="n">
        <f aca="false">IF(AND($A686&lt;&gt;"",ISNUMBER(E686)),IF(E686&gt;0,1,0),0)</f>
        <v>0</v>
      </c>
      <c r="R686" s="43" t="str">
        <f aca="false">IF(Q686=1,UPPER(LEFT($A686,FIND(" ",$A686&amp;" ")-1)),"")</f>
        <v/>
      </c>
      <c r="S686" s="89" t="n">
        <f aca="false">IF(Q686=1,IF(OR(ISNUMBER(SEARCH("Float",$A686)),ISNUMBER(SEARCH("FRN",$A686))),1,0),0)</f>
        <v>0</v>
      </c>
      <c r="T686" s="43" t="str">
        <f aca="false">IF(AND(Q686=1,ISNUMBER(I686)),TEXT(I686,"yyyymmdd")&amp;"|"&amp;IF(S686=1,"F",TEXT(J686,"0.000")),"")</f>
        <v/>
      </c>
      <c r="U686" s="90" t="str">
        <f aca="false">IF(AND(Q686=1,ISNUMBER(I686)),(I686-설정!$C$4)/365.25,"")</f>
        <v/>
      </c>
      <c r="V686" s="43" t="str">
        <f aca="false">IF(Q686&lt;&gt;1,"",IF(ISNUMBER(U686),IF(U686&lt;=1,"1년 이하",IF(U686&lt;=2,"1-2년",IF(U686&lt;=3,"2-3년",IF(U686&lt;=4,"3-4년",IF(U686&lt;=5,"4-5년",IF(U686&lt;=7,"5-7년",IF(U686&lt;=10,"7-10년",IF(U686&lt;=20,"10-20년","20년 이상")))))))),"미분류"))</f>
        <v/>
      </c>
      <c r="W686" s="43" t="str">
        <f aca="false">IF(Q686&lt;&gt;1,"",IF(AB686&lt;&gt;"",INDEX(시장분석!$C:$C,AB686),IF(K686=1,"USD","비USD")))</f>
        <v/>
      </c>
      <c r="X686" s="91" t="n">
        <f aca="false">IF(Q686=1,E686*K686/1000000,0)</f>
        <v>0</v>
      </c>
      <c r="Y686" s="89" t="n">
        <f aca="false">IF(R686="T",1,0)</f>
        <v>0</v>
      </c>
      <c r="Z686" s="92" t="str">
        <f aca="false">IF(Q686&lt;&gt;1,"",IF(AD686=1,IF(ISNUMBER(U686),MAX(U686,0),H686),H686))</f>
        <v/>
      </c>
      <c r="AA686" s="91" t="n">
        <f aca="false">IF(Q686=1,IF(ISNUMBER(L686),L686,0)*K686/1000000,0)</f>
        <v>0</v>
      </c>
      <c r="AB686" s="89" t="str">
        <f aca="false">IF(Q686&lt;&gt;1,"",IFERROR(MATCH(VLOOKUP(B686,매핑!$H$4:$I$15,2,0),시장분석!$A$2:$A$601,0)+1,IFERROR(MATCH(R686&amp;"|"&amp;T686,시장분석!$V$2:$V$601,0)+1,IF(COUNTIF(시장분석!$U$2:$U$601,T686)=1,MATCH(T686,시장분석!$U$2:$U$601,0)+1,""))))</f>
        <v/>
      </c>
      <c r="AC686" s="89" t="n">
        <f aca="false">IF(Q686&lt;&gt;1,0,IF(OR(설정!$C$5="전체",AND(설정!$C$5="선택펀드",IFERROR(COUNTIFS(설정!$F$16:$F$36,C686,설정!$G$16:$G$36,"Y")+COUNTIFS(설정!$F$16:$F$36,VALUE(C686),설정!$G$16:$G$36,"Y"),0)&gt;0),C686&amp;""=설정!$C$5&amp;""),1,0))</f>
        <v>0</v>
      </c>
      <c r="AD686" s="89" t="n">
        <f aca="false">IF(Q686&lt;&gt;1,0,IF(OR(S686=1,IF(AB686="",FALSE(),INDEX(시장분석!$R:$R,AB686)=1)),1,0))</f>
        <v>0</v>
      </c>
      <c r="AE686" s="43" t="str">
        <f aca="false">IF(AB686="","",INDEX(시장분석!$A:$A,AB686))</f>
        <v/>
      </c>
      <c r="AF686" s="93" t="str">
        <f aca="false">IF(AB686="","",IF(ISNUMBER(IF(AB686="","",INDEX(시장분석!$E:$E,AB686))),IF(AB686="","",INDEX(시장분석!$E:$E,AB686)),""))</f>
        <v/>
      </c>
      <c r="AG686" s="43" t="str">
        <f aca="false">IF(Q686&lt;&gt;1,"",IF(AB686&lt;&gt;"",IF(AB686="","",INDEX(시장분석!$L:$L,AB686)),IFERROR(IF(VLOOKUP(R686,매핑!$A$4:$E$92,5,0)="","미분류",VLOOKUP(R686,매핑!$A$4:$E$92,5,0)),"미분류")))</f>
        <v/>
      </c>
      <c r="AH686" s="43" t="str">
        <f aca="false">IF(Q686&lt;&gt;1,"",IF(AB686&lt;&gt;"",IF(AB686="","",INDEX(시장분석!$N:$N,AB686)),IFERROR(IF(VLOOKUP(R686,매핑!$A$4:$E$92,4,0)="","미분류",VLOOKUP(R686,매핑!$A$4:$E$92,4,0)),"미분류")))</f>
        <v/>
      </c>
      <c r="AI686" s="43" t="str">
        <f aca="false">IF(Q686&lt;&gt;1,"",IFERROR(IF(VLOOKUP(R686,매핑!$A$4:$E$92,3,0)="","미분류",VLOOKUP(R686,매핑!$A$4:$E$92,3,0)),IF(AB686&lt;&gt;"",IF(AB686="","",INDEX(시장분석!$W:$W,AB686)),"미분류")))</f>
        <v/>
      </c>
      <c r="AJ686" s="43" t="str">
        <f aca="false">IF(Q686&lt;&gt;1,"",IFERROR(VLOOKUP(IF(N686&lt;&gt;"",N686,IF(P686&lt;&gt;"",P686,O686)),설정!$A$15:$D$47,2,0),""))</f>
        <v/>
      </c>
      <c r="AK686" s="43" t="str">
        <f aca="false">IF(Q686&lt;&gt;1,"",IF(AJ686="","무등급",IFERROR(VLOOKUP(AJ686,설정!$A$15:$D$47,3,0),"무등급")))</f>
        <v/>
      </c>
      <c r="AL686" s="89" t="n">
        <f aca="false">IF(AJ686="",99,IFERROR(VLOOKUP(AJ686,설정!$A$15:$D$47,4,0),99))</f>
        <v>99</v>
      </c>
      <c r="AM686" s="94" t="n">
        <f aca="false">IF(ISNUMBER(H686),AA686*1000000*H686/10000,0)</f>
        <v>0</v>
      </c>
      <c r="AN686" s="94" t="n">
        <f aca="false">IF(OR(Y686=1,NOT(ISNUMBER(Z686))),0,AA686*1000000*Z686/10000)</f>
        <v>0</v>
      </c>
      <c r="AO686" s="94" t="n">
        <f aca="false">IF(ISNUMBER(G686),AA686*1000000*G686/100,0)</f>
        <v>0</v>
      </c>
      <c r="AP686" s="94" t="n">
        <f aca="false">IF(ISNUMBER(M686),M686*K686,0)</f>
        <v>0</v>
      </c>
      <c r="AQ686" s="95" t="str">
        <f aca="false">IF(AB686="","",INDEX(시장분석!$AK:$AK,AB686))</f>
        <v/>
      </c>
      <c r="AR686" s="43" t="str">
        <f aca="false">IF(AB686="","-",IF(AB686="","",INDEX(시장분석!$AL:$AL,AB686)))</f>
        <v>-</v>
      </c>
      <c r="AS686" s="96" t="str">
        <f aca="false">IF(AB686="","",INDEX(시장분석!$AJ:$AJ,AB686))</f>
        <v/>
      </c>
      <c r="AT686" s="93" t="n">
        <f aca="false">IF(AB686="",0,IF(AB686="","",INDEX(시장분석!$AN:$AN,AB686)))</f>
        <v>0</v>
      </c>
      <c r="AU686" s="94" t="n">
        <f aca="false">IF(ISNUMBER(Z686),AT686/10000*MAX(Z686-1,0)*AA686*1000000,0)</f>
        <v>0</v>
      </c>
      <c r="AV686" s="94" t="n">
        <f aca="false">AO686+AU686</f>
        <v>0</v>
      </c>
      <c r="AW686" s="43" t="str">
        <f aca="false">IF(Q686&lt;&gt;1,"",TRIM(IF(AD686=1,"FRN ","")&amp;IF(AND(AL686&gt;=10,AL686&lt;99),"BBB0미만 ","")&amp;IF(AJ686="","등급없음 ","")&amp;IF(K686&lt;&gt;1,"비USD ","")&amp;IF(AND(AB686="",Y686=0),"시장데이터없음 ","")&amp;IF(AND(ISNUMBER(U686),U686&lt;0),"만기경과 ","")))</f>
        <v/>
      </c>
      <c r="AX686" s="90" t="n">
        <f aca="false">IF(Q686&lt;&gt;1,1,IF(스프레드쇼크!$C$4="Y",INDEX(스프레드쇼크!$B$12:$L$16,IFERROR(MATCH(AH686,스프레드쇼크!$A$12:$A$16,0),MATCH("목록외",스프레드쇼크!$A$12:$A$16,0)),IFERROR(MATCH(AG686,스프레드쇼크!$B$11:$L$11,0),MATCH("목록외",스프레드쇼크!$B$11:$L$11,0))),1))</f>
        <v>1</v>
      </c>
      <c r="AY686" s="90" t="n">
        <f aca="false">IF(스프레드쇼크!$C$5="Y",IF(ISNUMBER(AF686),MIN(스프레드쇼크!$C$7,MAX(스프레드쇼크!$C$6,AF686/스프레드쇼크!$C$8)),1),1)</f>
        <v>1</v>
      </c>
      <c r="AZ686" s="94" t="n">
        <f aca="false">AN686*AX686*AY686</f>
        <v>0</v>
      </c>
      <c r="BA686" s="90" t="n">
        <f aca="false">IF(ISNUMBER(G686),AA686*G686,0)</f>
        <v>0</v>
      </c>
      <c r="BB686" s="90" t="n">
        <f aca="false">IF(ISNUMBER(G686),AA686,0)</f>
        <v>0</v>
      </c>
      <c r="BC686" s="90" t="n">
        <f aca="false">IF(AND(Y686=0,ISNUMBER(AF686)),AA686*AF686,0)</f>
        <v>0</v>
      </c>
      <c r="BD686" s="90" t="n">
        <f aca="false">IF(AND(Y686=0,ISNUMBER(AF686)),AA686,0)</f>
        <v>0</v>
      </c>
      <c r="BE686" s="90" t="n">
        <f aca="false">IF(ISNUMBER(H686),AA686*H686,0)</f>
        <v>0</v>
      </c>
      <c r="BF686" s="90" t="n">
        <f aca="false">IF(ISNUMBER(H686),AA686,0)</f>
        <v>0</v>
      </c>
      <c r="BG686" s="90" t="n">
        <f aca="false">IF(AND(Y686=0,ISNUMBER(AF686),ISNUMBER(Z686)),AA686*Z686,0)</f>
        <v>0</v>
      </c>
      <c r="BH686" s="90" t="n">
        <f aca="false">IF(AND(Y686=0,ISNUMBER(AF686),ISNUMBER(Z686)),AA686*AT686*MAX(Z686-1,0),0)</f>
        <v>0</v>
      </c>
      <c r="BI686" s="90" t="n">
        <f aca="false">IF(Y686=0,AA686,0)</f>
        <v>0</v>
      </c>
    </row>
    <row r="687" customFormat="false" ht="15" hidden="false" customHeight="false" outlineLevel="0" collapsed="false">
      <c r="A687" s="83" t="str">
        <f aca="false">IFERROR(IF(INDEX(원자료_잔고!$A$1:$EZ$1500,설정!$L$5+ROW()-1,설정!$L$8)&amp;""="0","",INDEX(원자료_잔고!$A$1:$EZ$1500,설정!$L$5+ROW()-1,설정!$L$8)&amp;""),"")</f>
        <v/>
      </c>
      <c r="B687" s="83" t="str">
        <f aca="false">IFERROR(IF(INDEX(원자료_잔고!$A$1:$EZ$1500,설정!$L$5+ROW()-1,설정!$L$7)&amp;""="0","",INDEX(원자료_잔고!$A$1:$EZ$1500,설정!$L$5+ROW()-1,설정!$L$7)&amp;""),"")</f>
        <v/>
      </c>
      <c r="C687" s="83" t="str">
        <f aca="false">IFERROR(IF(INDEX(원자료_잔고!$A$1:$EZ$1500,설정!$L$5+ROW()-1,설정!$L$9)&amp;""="0","",INDEX(원자료_잔고!$A$1:$EZ$1500,설정!$L$5+ROW()-1,설정!$L$9)&amp;""),"")</f>
        <v/>
      </c>
      <c r="D687" s="83" t="str">
        <f aca="false">IFERROR(IF(INDEX(원자료_잔고!$A$1:$EZ$1500,설정!$L$5+ROW()-1,설정!$L$10)&amp;""="0","",INDEX(원자료_잔고!$A$1:$EZ$1500,설정!$L$5+ROW()-1,설정!$L$10)&amp;""),"")</f>
        <v/>
      </c>
      <c r="E687" s="84" t="str">
        <f aca="false">IFERROR(IF(ISNUMBER(INDEX(원자료_잔고!$A$1:$EZ$1500,설정!$L$5+ROW()-1,설정!$L$11)),INDEX(원자료_잔고!$A$1:$EZ$1500,설정!$L$5+ROW()-1,설정!$L$11),""),"")</f>
        <v/>
      </c>
      <c r="F687" s="85" t="str">
        <f aca="false">IFERROR(IF(ISNUMBER(INDEX(원자료_잔고!$A$1:$EZ$1500,설정!$L$5+ROW()-1,설정!$L$12)),INDEX(원자료_잔고!$A$1:$EZ$1500,설정!$L$5+ROW()-1,설정!$L$12),""),"")</f>
        <v/>
      </c>
      <c r="G687" s="85" t="str">
        <f aca="false">IFERROR(IF(ISNUMBER(INDEX(원자료_잔고!$A$1:$EZ$1500,설정!$L$5+ROW()-1,설정!$L$13)),INDEX(원자료_잔고!$A$1:$EZ$1500,설정!$L$5+ROW()-1,설정!$L$13),""),"")</f>
        <v/>
      </c>
      <c r="H687" s="85" t="str">
        <f aca="false">IFERROR(IF(ISNUMBER(INDEX(원자료_잔고!$A$1:$EZ$1500,설정!$L$5+ROW()-1,설정!$L$14)),INDEX(원자료_잔고!$A$1:$EZ$1500,설정!$L$5+ROW()-1,설정!$L$14),""),"")</f>
        <v/>
      </c>
      <c r="I687" s="86" t="str">
        <f aca="false">IFERROR(IF(ISNUMBER(INDEX(원자료_잔고!$A$1:$EZ$1500,설정!$L$5+ROW()-1,설정!$L$15)),INDEX(원자료_잔고!$A$1:$EZ$1500,설정!$L$5+ROW()-1,설정!$L$15),""),"")</f>
        <v/>
      </c>
      <c r="J687" s="85" t="str">
        <f aca="false">IFERROR(IF(ISNUMBER(INDEX(원자료_잔고!$A$1:$EZ$1500,설정!$L$5+ROW()-1,설정!$L$16)),INDEX(원자료_잔고!$A$1:$EZ$1500,설정!$L$5+ROW()-1,설정!$L$16),""),"")</f>
        <v/>
      </c>
      <c r="K687" s="87" t="str">
        <f aca="false">IFERROR(IF(ISNUMBER(INDEX(원자료_잔고!$A$1:$EZ$1500,설정!$L$5+ROW()-1,설정!$L$17)),INDEX(원자료_잔고!$A$1:$EZ$1500,설정!$L$5+ROW()-1,설정!$L$17),""),"")</f>
        <v/>
      </c>
      <c r="L687" s="84" t="str">
        <f aca="false">IFERROR(IF(ISNUMBER(INDEX(원자료_잔고!$A$1:$EZ$1500,설정!$L$5+ROW()-1,설정!$L$18)),INDEX(원자료_잔고!$A$1:$EZ$1500,설정!$L$5+ROW()-1,설정!$L$18),""),"")</f>
        <v/>
      </c>
      <c r="M687" s="88" t="str">
        <f aca="false">IFERROR(IF(ISNUMBER(INDEX(원자료_잔고!$A$1:$EZ$1500,설정!$L$5+ROW()-1,설정!$L$19)),INDEX(원자료_잔고!$A$1:$EZ$1500,설정!$L$5+ROW()-1,설정!$L$19),""),"")</f>
        <v/>
      </c>
      <c r="N687" s="83" t="str">
        <f aca="false">IFERROR(IF(INDEX(원자료_잔고!$A$1:$EZ$1500,설정!$L$5+ROW()-1,설정!$L$21)&amp;""="0","",INDEX(원자료_잔고!$A$1:$EZ$1500,설정!$L$5+ROW()-1,설정!$L$21)&amp;""),"")</f>
        <v/>
      </c>
      <c r="O687" s="83" t="str">
        <f aca="false">IFERROR(IF(INDEX(원자료_잔고!$A$1:$EZ$1500,설정!$L$5+ROW()-1,설정!$L$22)&amp;""="0","",INDEX(원자료_잔고!$A$1:$EZ$1500,설정!$L$5+ROW()-1,설정!$L$22)&amp;""),"")</f>
        <v/>
      </c>
      <c r="P687" s="83" t="str">
        <f aca="false">IFERROR(IF(INDEX(원자료_잔고!$A$1:$EZ$1500,설정!$L$5+ROW()-1,설정!$L$23)&amp;""="0","",INDEX(원자료_잔고!$A$1:$EZ$1500,설정!$L$5+ROW()-1,설정!$L$23)&amp;""),"")</f>
        <v/>
      </c>
      <c r="Q687" s="89" t="n">
        <f aca="false">IF(AND($A687&lt;&gt;"",ISNUMBER(E687)),IF(E687&gt;0,1,0),0)</f>
        <v>0</v>
      </c>
      <c r="R687" s="43" t="str">
        <f aca="false">IF(Q687=1,UPPER(LEFT($A687,FIND(" ",$A687&amp;" ")-1)),"")</f>
        <v/>
      </c>
      <c r="S687" s="89" t="n">
        <f aca="false">IF(Q687=1,IF(OR(ISNUMBER(SEARCH("Float",$A687)),ISNUMBER(SEARCH("FRN",$A687))),1,0),0)</f>
        <v>0</v>
      </c>
      <c r="T687" s="43" t="str">
        <f aca="false">IF(AND(Q687=1,ISNUMBER(I687)),TEXT(I687,"yyyymmdd")&amp;"|"&amp;IF(S687=1,"F",TEXT(J687,"0.000")),"")</f>
        <v/>
      </c>
      <c r="U687" s="90" t="str">
        <f aca="false">IF(AND(Q687=1,ISNUMBER(I687)),(I687-설정!$C$4)/365.25,"")</f>
        <v/>
      </c>
      <c r="V687" s="43" t="str">
        <f aca="false">IF(Q687&lt;&gt;1,"",IF(ISNUMBER(U687),IF(U687&lt;=1,"1년 이하",IF(U687&lt;=2,"1-2년",IF(U687&lt;=3,"2-3년",IF(U687&lt;=4,"3-4년",IF(U687&lt;=5,"4-5년",IF(U687&lt;=7,"5-7년",IF(U687&lt;=10,"7-10년",IF(U687&lt;=20,"10-20년","20년 이상")))))))),"미분류"))</f>
        <v/>
      </c>
      <c r="W687" s="43" t="str">
        <f aca="false">IF(Q687&lt;&gt;1,"",IF(AB687&lt;&gt;"",INDEX(시장분석!$C:$C,AB687),IF(K687=1,"USD","비USD")))</f>
        <v/>
      </c>
      <c r="X687" s="91" t="n">
        <f aca="false">IF(Q687=1,E687*K687/1000000,0)</f>
        <v>0</v>
      </c>
      <c r="Y687" s="89" t="n">
        <f aca="false">IF(R687="T",1,0)</f>
        <v>0</v>
      </c>
      <c r="Z687" s="92" t="str">
        <f aca="false">IF(Q687&lt;&gt;1,"",IF(AD687=1,IF(ISNUMBER(U687),MAX(U687,0),H687),H687))</f>
        <v/>
      </c>
      <c r="AA687" s="91" t="n">
        <f aca="false">IF(Q687=1,IF(ISNUMBER(L687),L687,0)*K687/1000000,0)</f>
        <v>0</v>
      </c>
      <c r="AB687" s="89" t="str">
        <f aca="false">IF(Q687&lt;&gt;1,"",IFERROR(MATCH(VLOOKUP(B687,매핑!$H$4:$I$15,2,0),시장분석!$A$2:$A$601,0)+1,IFERROR(MATCH(R687&amp;"|"&amp;T687,시장분석!$V$2:$V$601,0)+1,IF(COUNTIF(시장분석!$U$2:$U$601,T687)=1,MATCH(T687,시장분석!$U$2:$U$601,0)+1,""))))</f>
        <v/>
      </c>
      <c r="AC687" s="89" t="n">
        <f aca="false">IF(Q687&lt;&gt;1,0,IF(OR(설정!$C$5="전체",AND(설정!$C$5="선택펀드",IFERROR(COUNTIFS(설정!$F$16:$F$36,C687,설정!$G$16:$G$36,"Y")+COUNTIFS(설정!$F$16:$F$36,VALUE(C687),설정!$G$16:$G$36,"Y"),0)&gt;0),C687&amp;""=설정!$C$5&amp;""),1,0))</f>
        <v>0</v>
      </c>
      <c r="AD687" s="89" t="n">
        <f aca="false">IF(Q687&lt;&gt;1,0,IF(OR(S687=1,IF(AB687="",FALSE(),INDEX(시장분석!$R:$R,AB687)=1)),1,0))</f>
        <v>0</v>
      </c>
      <c r="AE687" s="43" t="str">
        <f aca="false">IF(AB687="","",INDEX(시장분석!$A:$A,AB687))</f>
        <v/>
      </c>
      <c r="AF687" s="93" t="str">
        <f aca="false">IF(AB687="","",IF(ISNUMBER(IF(AB687="","",INDEX(시장분석!$E:$E,AB687))),IF(AB687="","",INDEX(시장분석!$E:$E,AB687)),""))</f>
        <v/>
      </c>
      <c r="AG687" s="43" t="str">
        <f aca="false">IF(Q687&lt;&gt;1,"",IF(AB687&lt;&gt;"",IF(AB687="","",INDEX(시장분석!$L:$L,AB687)),IFERROR(IF(VLOOKUP(R687,매핑!$A$4:$E$92,5,0)="","미분류",VLOOKUP(R687,매핑!$A$4:$E$92,5,0)),"미분류")))</f>
        <v/>
      </c>
      <c r="AH687" s="43" t="str">
        <f aca="false">IF(Q687&lt;&gt;1,"",IF(AB687&lt;&gt;"",IF(AB687="","",INDEX(시장분석!$N:$N,AB687)),IFERROR(IF(VLOOKUP(R687,매핑!$A$4:$E$92,4,0)="","미분류",VLOOKUP(R687,매핑!$A$4:$E$92,4,0)),"미분류")))</f>
        <v/>
      </c>
      <c r="AI687" s="43" t="str">
        <f aca="false">IF(Q687&lt;&gt;1,"",IFERROR(IF(VLOOKUP(R687,매핑!$A$4:$E$92,3,0)="","미분류",VLOOKUP(R687,매핑!$A$4:$E$92,3,0)),IF(AB687&lt;&gt;"",IF(AB687="","",INDEX(시장분석!$W:$W,AB687)),"미분류")))</f>
        <v/>
      </c>
      <c r="AJ687" s="43" t="str">
        <f aca="false">IF(Q687&lt;&gt;1,"",IFERROR(VLOOKUP(IF(N687&lt;&gt;"",N687,IF(P687&lt;&gt;"",P687,O687)),설정!$A$15:$D$47,2,0),""))</f>
        <v/>
      </c>
      <c r="AK687" s="43" t="str">
        <f aca="false">IF(Q687&lt;&gt;1,"",IF(AJ687="","무등급",IFERROR(VLOOKUP(AJ687,설정!$A$15:$D$47,3,0),"무등급")))</f>
        <v/>
      </c>
      <c r="AL687" s="89" t="n">
        <f aca="false">IF(AJ687="",99,IFERROR(VLOOKUP(AJ687,설정!$A$15:$D$47,4,0),99))</f>
        <v>99</v>
      </c>
      <c r="AM687" s="94" t="n">
        <f aca="false">IF(ISNUMBER(H687),AA687*1000000*H687/10000,0)</f>
        <v>0</v>
      </c>
      <c r="AN687" s="94" t="n">
        <f aca="false">IF(OR(Y687=1,NOT(ISNUMBER(Z687))),0,AA687*1000000*Z687/10000)</f>
        <v>0</v>
      </c>
      <c r="AO687" s="94" t="n">
        <f aca="false">IF(ISNUMBER(G687),AA687*1000000*G687/100,0)</f>
        <v>0</v>
      </c>
      <c r="AP687" s="94" t="n">
        <f aca="false">IF(ISNUMBER(M687),M687*K687,0)</f>
        <v>0</v>
      </c>
      <c r="AQ687" s="95" t="str">
        <f aca="false">IF(AB687="","",INDEX(시장분석!$AK:$AK,AB687))</f>
        <v/>
      </c>
      <c r="AR687" s="43" t="str">
        <f aca="false">IF(AB687="","-",IF(AB687="","",INDEX(시장분석!$AL:$AL,AB687)))</f>
        <v>-</v>
      </c>
      <c r="AS687" s="96" t="str">
        <f aca="false">IF(AB687="","",INDEX(시장분석!$AJ:$AJ,AB687))</f>
        <v/>
      </c>
      <c r="AT687" s="93" t="n">
        <f aca="false">IF(AB687="",0,IF(AB687="","",INDEX(시장분석!$AN:$AN,AB687)))</f>
        <v>0</v>
      </c>
      <c r="AU687" s="94" t="n">
        <f aca="false">IF(ISNUMBER(Z687),AT687/10000*MAX(Z687-1,0)*AA687*1000000,0)</f>
        <v>0</v>
      </c>
      <c r="AV687" s="94" t="n">
        <f aca="false">AO687+AU687</f>
        <v>0</v>
      </c>
      <c r="AW687" s="43" t="str">
        <f aca="false">IF(Q687&lt;&gt;1,"",TRIM(IF(AD687=1,"FRN ","")&amp;IF(AND(AL687&gt;=10,AL687&lt;99),"BBB0미만 ","")&amp;IF(AJ687="","등급없음 ","")&amp;IF(K687&lt;&gt;1,"비USD ","")&amp;IF(AND(AB687="",Y687=0),"시장데이터없음 ","")&amp;IF(AND(ISNUMBER(U687),U687&lt;0),"만기경과 ","")))</f>
        <v/>
      </c>
      <c r="AX687" s="90" t="n">
        <f aca="false">IF(Q687&lt;&gt;1,1,IF(스프레드쇼크!$C$4="Y",INDEX(스프레드쇼크!$B$12:$L$16,IFERROR(MATCH(AH687,스프레드쇼크!$A$12:$A$16,0),MATCH("목록외",스프레드쇼크!$A$12:$A$16,0)),IFERROR(MATCH(AG687,스프레드쇼크!$B$11:$L$11,0),MATCH("목록외",스프레드쇼크!$B$11:$L$11,0))),1))</f>
        <v>1</v>
      </c>
      <c r="AY687" s="90" t="n">
        <f aca="false">IF(스프레드쇼크!$C$5="Y",IF(ISNUMBER(AF687),MIN(스프레드쇼크!$C$7,MAX(스프레드쇼크!$C$6,AF687/스프레드쇼크!$C$8)),1),1)</f>
        <v>1</v>
      </c>
      <c r="AZ687" s="94" t="n">
        <f aca="false">AN687*AX687*AY687</f>
        <v>0</v>
      </c>
      <c r="BA687" s="90" t="n">
        <f aca="false">IF(ISNUMBER(G687),AA687*G687,0)</f>
        <v>0</v>
      </c>
      <c r="BB687" s="90" t="n">
        <f aca="false">IF(ISNUMBER(G687),AA687,0)</f>
        <v>0</v>
      </c>
      <c r="BC687" s="90" t="n">
        <f aca="false">IF(AND(Y687=0,ISNUMBER(AF687)),AA687*AF687,0)</f>
        <v>0</v>
      </c>
      <c r="BD687" s="90" t="n">
        <f aca="false">IF(AND(Y687=0,ISNUMBER(AF687)),AA687,0)</f>
        <v>0</v>
      </c>
      <c r="BE687" s="90" t="n">
        <f aca="false">IF(ISNUMBER(H687),AA687*H687,0)</f>
        <v>0</v>
      </c>
      <c r="BF687" s="90" t="n">
        <f aca="false">IF(ISNUMBER(H687),AA687,0)</f>
        <v>0</v>
      </c>
      <c r="BG687" s="90" t="n">
        <f aca="false">IF(AND(Y687=0,ISNUMBER(AF687),ISNUMBER(Z687)),AA687*Z687,0)</f>
        <v>0</v>
      </c>
      <c r="BH687" s="90" t="n">
        <f aca="false">IF(AND(Y687=0,ISNUMBER(AF687),ISNUMBER(Z687)),AA687*AT687*MAX(Z687-1,0),0)</f>
        <v>0</v>
      </c>
      <c r="BI687" s="90" t="n">
        <f aca="false">IF(Y687=0,AA687,0)</f>
        <v>0</v>
      </c>
    </row>
    <row r="688" customFormat="false" ht="15" hidden="false" customHeight="false" outlineLevel="0" collapsed="false">
      <c r="A688" s="83" t="str">
        <f aca="false">IFERROR(IF(INDEX(원자료_잔고!$A$1:$EZ$1500,설정!$L$5+ROW()-1,설정!$L$8)&amp;""="0","",INDEX(원자료_잔고!$A$1:$EZ$1500,설정!$L$5+ROW()-1,설정!$L$8)&amp;""),"")</f>
        <v/>
      </c>
      <c r="B688" s="83" t="str">
        <f aca="false">IFERROR(IF(INDEX(원자료_잔고!$A$1:$EZ$1500,설정!$L$5+ROW()-1,설정!$L$7)&amp;""="0","",INDEX(원자료_잔고!$A$1:$EZ$1500,설정!$L$5+ROW()-1,설정!$L$7)&amp;""),"")</f>
        <v/>
      </c>
      <c r="C688" s="83" t="str">
        <f aca="false">IFERROR(IF(INDEX(원자료_잔고!$A$1:$EZ$1500,설정!$L$5+ROW()-1,설정!$L$9)&amp;""="0","",INDEX(원자료_잔고!$A$1:$EZ$1500,설정!$L$5+ROW()-1,설정!$L$9)&amp;""),"")</f>
        <v/>
      </c>
      <c r="D688" s="83" t="str">
        <f aca="false">IFERROR(IF(INDEX(원자료_잔고!$A$1:$EZ$1500,설정!$L$5+ROW()-1,설정!$L$10)&amp;""="0","",INDEX(원자료_잔고!$A$1:$EZ$1500,설정!$L$5+ROW()-1,설정!$L$10)&amp;""),"")</f>
        <v/>
      </c>
      <c r="E688" s="84" t="str">
        <f aca="false">IFERROR(IF(ISNUMBER(INDEX(원자료_잔고!$A$1:$EZ$1500,설정!$L$5+ROW()-1,설정!$L$11)),INDEX(원자료_잔고!$A$1:$EZ$1500,설정!$L$5+ROW()-1,설정!$L$11),""),"")</f>
        <v/>
      </c>
      <c r="F688" s="85" t="str">
        <f aca="false">IFERROR(IF(ISNUMBER(INDEX(원자료_잔고!$A$1:$EZ$1500,설정!$L$5+ROW()-1,설정!$L$12)),INDEX(원자료_잔고!$A$1:$EZ$1500,설정!$L$5+ROW()-1,설정!$L$12),""),"")</f>
        <v/>
      </c>
      <c r="G688" s="85" t="str">
        <f aca="false">IFERROR(IF(ISNUMBER(INDEX(원자료_잔고!$A$1:$EZ$1500,설정!$L$5+ROW()-1,설정!$L$13)),INDEX(원자료_잔고!$A$1:$EZ$1500,설정!$L$5+ROW()-1,설정!$L$13),""),"")</f>
        <v/>
      </c>
      <c r="H688" s="85" t="str">
        <f aca="false">IFERROR(IF(ISNUMBER(INDEX(원자료_잔고!$A$1:$EZ$1500,설정!$L$5+ROW()-1,설정!$L$14)),INDEX(원자료_잔고!$A$1:$EZ$1500,설정!$L$5+ROW()-1,설정!$L$14),""),"")</f>
        <v/>
      </c>
      <c r="I688" s="86" t="str">
        <f aca="false">IFERROR(IF(ISNUMBER(INDEX(원자료_잔고!$A$1:$EZ$1500,설정!$L$5+ROW()-1,설정!$L$15)),INDEX(원자료_잔고!$A$1:$EZ$1500,설정!$L$5+ROW()-1,설정!$L$15),""),"")</f>
        <v/>
      </c>
      <c r="J688" s="85" t="str">
        <f aca="false">IFERROR(IF(ISNUMBER(INDEX(원자료_잔고!$A$1:$EZ$1500,설정!$L$5+ROW()-1,설정!$L$16)),INDEX(원자료_잔고!$A$1:$EZ$1500,설정!$L$5+ROW()-1,설정!$L$16),""),"")</f>
        <v/>
      </c>
      <c r="K688" s="87" t="str">
        <f aca="false">IFERROR(IF(ISNUMBER(INDEX(원자료_잔고!$A$1:$EZ$1500,설정!$L$5+ROW()-1,설정!$L$17)),INDEX(원자료_잔고!$A$1:$EZ$1500,설정!$L$5+ROW()-1,설정!$L$17),""),"")</f>
        <v/>
      </c>
      <c r="L688" s="84" t="str">
        <f aca="false">IFERROR(IF(ISNUMBER(INDEX(원자료_잔고!$A$1:$EZ$1500,설정!$L$5+ROW()-1,설정!$L$18)),INDEX(원자료_잔고!$A$1:$EZ$1500,설정!$L$5+ROW()-1,설정!$L$18),""),"")</f>
        <v/>
      </c>
      <c r="M688" s="88" t="str">
        <f aca="false">IFERROR(IF(ISNUMBER(INDEX(원자료_잔고!$A$1:$EZ$1500,설정!$L$5+ROW()-1,설정!$L$19)),INDEX(원자료_잔고!$A$1:$EZ$1500,설정!$L$5+ROW()-1,설정!$L$19),""),"")</f>
        <v/>
      </c>
      <c r="N688" s="83" t="str">
        <f aca="false">IFERROR(IF(INDEX(원자료_잔고!$A$1:$EZ$1500,설정!$L$5+ROW()-1,설정!$L$21)&amp;""="0","",INDEX(원자료_잔고!$A$1:$EZ$1500,설정!$L$5+ROW()-1,설정!$L$21)&amp;""),"")</f>
        <v/>
      </c>
      <c r="O688" s="83" t="str">
        <f aca="false">IFERROR(IF(INDEX(원자료_잔고!$A$1:$EZ$1500,설정!$L$5+ROW()-1,설정!$L$22)&amp;""="0","",INDEX(원자료_잔고!$A$1:$EZ$1500,설정!$L$5+ROW()-1,설정!$L$22)&amp;""),"")</f>
        <v/>
      </c>
      <c r="P688" s="83" t="str">
        <f aca="false">IFERROR(IF(INDEX(원자료_잔고!$A$1:$EZ$1500,설정!$L$5+ROW()-1,설정!$L$23)&amp;""="0","",INDEX(원자료_잔고!$A$1:$EZ$1500,설정!$L$5+ROW()-1,설정!$L$23)&amp;""),"")</f>
        <v/>
      </c>
      <c r="Q688" s="89" t="n">
        <f aca="false">IF(AND($A688&lt;&gt;"",ISNUMBER(E688)),IF(E688&gt;0,1,0),0)</f>
        <v>0</v>
      </c>
      <c r="R688" s="43" t="str">
        <f aca="false">IF(Q688=1,UPPER(LEFT($A688,FIND(" ",$A688&amp;" ")-1)),"")</f>
        <v/>
      </c>
      <c r="S688" s="89" t="n">
        <f aca="false">IF(Q688=1,IF(OR(ISNUMBER(SEARCH("Float",$A688)),ISNUMBER(SEARCH("FRN",$A688))),1,0),0)</f>
        <v>0</v>
      </c>
      <c r="T688" s="43" t="str">
        <f aca="false">IF(AND(Q688=1,ISNUMBER(I688)),TEXT(I688,"yyyymmdd")&amp;"|"&amp;IF(S688=1,"F",TEXT(J688,"0.000")),"")</f>
        <v/>
      </c>
      <c r="U688" s="90" t="str">
        <f aca="false">IF(AND(Q688=1,ISNUMBER(I688)),(I688-설정!$C$4)/365.25,"")</f>
        <v/>
      </c>
      <c r="V688" s="43" t="str">
        <f aca="false">IF(Q688&lt;&gt;1,"",IF(ISNUMBER(U688),IF(U688&lt;=1,"1년 이하",IF(U688&lt;=2,"1-2년",IF(U688&lt;=3,"2-3년",IF(U688&lt;=4,"3-4년",IF(U688&lt;=5,"4-5년",IF(U688&lt;=7,"5-7년",IF(U688&lt;=10,"7-10년",IF(U688&lt;=20,"10-20년","20년 이상")))))))),"미분류"))</f>
        <v/>
      </c>
      <c r="W688" s="43" t="str">
        <f aca="false">IF(Q688&lt;&gt;1,"",IF(AB688&lt;&gt;"",INDEX(시장분석!$C:$C,AB688),IF(K688=1,"USD","비USD")))</f>
        <v/>
      </c>
      <c r="X688" s="91" t="n">
        <f aca="false">IF(Q688=1,E688*K688/1000000,0)</f>
        <v>0</v>
      </c>
      <c r="Y688" s="89" t="n">
        <f aca="false">IF(R688="T",1,0)</f>
        <v>0</v>
      </c>
      <c r="Z688" s="92" t="str">
        <f aca="false">IF(Q688&lt;&gt;1,"",IF(AD688=1,IF(ISNUMBER(U688),MAX(U688,0),H688),H688))</f>
        <v/>
      </c>
      <c r="AA688" s="91" t="n">
        <f aca="false">IF(Q688=1,IF(ISNUMBER(L688),L688,0)*K688/1000000,0)</f>
        <v>0</v>
      </c>
      <c r="AB688" s="89" t="str">
        <f aca="false">IF(Q688&lt;&gt;1,"",IFERROR(MATCH(VLOOKUP(B688,매핑!$H$4:$I$15,2,0),시장분석!$A$2:$A$601,0)+1,IFERROR(MATCH(R688&amp;"|"&amp;T688,시장분석!$V$2:$V$601,0)+1,IF(COUNTIF(시장분석!$U$2:$U$601,T688)=1,MATCH(T688,시장분석!$U$2:$U$601,0)+1,""))))</f>
        <v/>
      </c>
      <c r="AC688" s="89" t="n">
        <f aca="false">IF(Q688&lt;&gt;1,0,IF(OR(설정!$C$5="전체",AND(설정!$C$5="선택펀드",IFERROR(COUNTIFS(설정!$F$16:$F$36,C688,설정!$G$16:$G$36,"Y")+COUNTIFS(설정!$F$16:$F$36,VALUE(C688),설정!$G$16:$G$36,"Y"),0)&gt;0),C688&amp;""=설정!$C$5&amp;""),1,0))</f>
        <v>0</v>
      </c>
      <c r="AD688" s="89" t="n">
        <f aca="false">IF(Q688&lt;&gt;1,0,IF(OR(S688=1,IF(AB688="",FALSE(),INDEX(시장분석!$R:$R,AB688)=1)),1,0))</f>
        <v>0</v>
      </c>
      <c r="AE688" s="43" t="str">
        <f aca="false">IF(AB688="","",INDEX(시장분석!$A:$A,AB688))</f>
        <v/>
      </c>
      <c r="AF688" s="93" t="str">
        <f aca="false">IF(AB688="","",IF(ISNUMBER(IF(AB688="","",INDEX(시장분석!$E:$E,AB688))),IF(AB688="","",INDEX(시장분석!$E:$E,AB688)),""))</f>
        <v/>
      </c>
      <c r="AG688" s="43" t="str">
        <f aca="false">IF(Q688&lt;&gt;1,"",IF(AB688&lt;&gt;"",IF(AB688="","",INDEX(시장분석!$L:$L,AB688)),IFERROR(IF(VLOOKUP(R688,매핑!$A$4:$E$92,5,0)="","미분류",VLOOKUP(R688,매핑!$A$4:$E$92,5,0)),"미분류")))</f>
        <v/>
      </c>
      <c r="AH688" s="43" t="str">
        <f aca="false">IF(Q688&lt;&gt;1,"",IF(AB688&lt;&gt;"",IF(AB688="","",INDEX(시장분석!$N:$N,AB688)),IFERROR(IF(VLOOKUP(R688,매핑!$A$4:$E$92,4,0)="","미분류",VLOOKUP(R688,매핑!$A$4:$E$92,4,0)),"미분류")))</f>
        <v/>
      </c>
      <c r="AI688" s="43" t="str">
        <f aca="false">IF(Q688&lt;&gt;1,"",IFERROR(IF(VLOOKUP(R688,매핑!$A$4:$E$92,3,0)="","미분류",VLOOKUP(R688,매핑!$A$4:$E$92,3,0)),IF(AB688&lt;&gt;"",IF(AB688="","",INDEX(시장분석!$W:$W,AB688)),"미분류")))</f>
        <v/>
      </c>
      <c r="AJ688" s="43" t="str">
        <f aca="false">IF(Q688&lt;&gt;1,"",IFERROR(VLOOKUP(IF(N688&lt;&gt;"",N688,IF(P688&lt;&gt;"",P688,O688)),설정!$A$15:$D$47,2,0),""))</f>
        <v/>
      </c>
      <c r="AK688" s="43" t="str">
        <f aca="false">IF(Q688&lt;&gt;1,"",IF(AJ688="","무등급",IFERROR(VLOOKUP(AJ688,설정!$A$15:$D$47,3,0),"무등급")))</f>
        <v/>
      </c>
      <c r="AL688" s="89" t="n">
        <f aca="false">IF(AJ688="",99,IFERROR(VLOOKUP(AJ688,설정!$A$15:$D$47,4,0),99))</f>
        <v>99</v>
      </c>
      <c r="AM688" s="94" t="n">
        <f aca="false">IF(ISNUMBER(H688),AA688*1000000*H688/10000,0)</f>
        <v>0</v>
      </c>
      <c r="AN688" s="94" t="n">
        <f aca="false">IF(OR(Y688=1,NOT(ISNUMBER(Z688))),0,AA688*1000000*Z688/10000)</f>
        <v>0</v>
      </c>
      <c r="AO688" s="94" t="n">
        <f aca="false">IF(ISNUMBER(G688),AA688*1000000*G688/100,0)</f>
        <v>0</v>
      </c>
      <c r="AP688" s="94" t="n">
        <f aca="false">IF(ISNUMBER(M688),M688*K688,0)</f>
        <v>0</v>
      </c>
      <c r="AQ688" s="95" t="str">
        <f aca="false">IF(AB688="","",INDEX(시장분석!$AK:$AK,AB688))</f>
        <v/>
      </c>
      <c r="AR688" s="43" t="str">
        <f aca="false">IF(AB688="","-",IF(AB688="","",INDEX(시장분석!$AL:$AL,AB688)))</f>
        <v>-</v>
      </c>
      <c r="AS688" s="96" t="str">
        <f aca="false">IF(AB688="","",INDEX(시장분석!$AJ:$AJ,AB688))</f>
        <v/>
      </c>
      <c r="AT688" s="93" t="n">
        <f aca="false">IF(AB688="",0,IF(AB688="","",INDEX(시장분석!$AN:$AN,AB688)))</f>
        <v>0</v>
      </c>
      <c r="AU688" s="94" t="n">
        <f aca="false">IF(ISNUMBER(Z688),AT688/10000*MAX(Z688-1,0)*AA688*1000000,0)</f>
        <v>0</v>
      </c>
      <c r="AV688" s="94" t="n">
        <f aca="false">AO688+AU688</f>
        <v>0</v>
      </c>
      <c r="AW688" s="43" t="str">
        <f aca="false">IF(Q688&lt;&gt;1,"",TRIM(IF(AD688=1,"FRN ","")&amp;IF(AND(AL688&gt;=10,AL688&lt;99),"BBB0미만 ","")&amp;IF(AJ688="","등급없음 ","")&amp;IF(K688&lt;&gt;1,"비USD ","")&amp;IF(AND(AB688="",Y688=0),"시장데이터없음 ","")&amp;IF(AND(ISNUMBER(U688),U688&lt;0),"만기경과 ","")))</f>
        <v/>
      </c>
      <c r="AX688" s="90" t="n">
        <f aca="false">IF(Q688&lt;&gt;1,1,IF(스프레드쇼크!$C$4="Y",INDEX(스프레드쇼크!$B$12:$L$16,IFERROR(MATCH(AH688,스프레드쇼크!$A$12:$A$16,0),MATCH("목록외",스프레드쇼크!$A$12:$A$16,0)),IFERROR(MATCH(AG688,스프레드쇼크!$B$11:$L$11,0),MATCH("목록외",스프레드쇼크!$B$11:$L$11,0))),1))</f>
        <v>1</v>
      </c>
      <c r="AY688" s="90" t="n">
        <f aca="false">IF(스프레드쇼크!$C$5="Y",IF(ISNUMBER(AF688),MIN(스프레드쇼크!$C$7,MAX(스프레드쇼크!$C$6,AF688/스프레드쇼크!$C$8)),1),1)</f>
        <v>1</v>
      </c>
      <c r="AZ688" s="94" t="n">
        <f aca="false">AN688*AX688*AY688</f>
        <v>0</v>
      </c>
      <c r="BA688" s="90" t="n">
        <f aca="false">IF(ISNUMBER(G688),AA688*G688,0)</f>
        <v>0</v>
      </c>
      <c r="BB688" s="90" t="n">
        <f aca="false">IF(ISNUMBER(G688),AA688,0)</f>
        <v>0</v>
      </c>
      <c r="BC688" s="90" t="n">
        <f aca="false">IF(AND(Y688=0,ISNUMBER(AF688)),AA688*AF688,0)</f>
        <v>0</v>
      </c>
      <c r="BD688" s="90" t="n">
        <f aca="false">IF(AND(Y688=0,ISNUMBER(AF688)),AA688,0)</f>
        <v>0</v>
      </c>
      <c r="BE688" s="90" t="n">
        <f aca="false">IF(ISNUMBER(H688),AA688*H688,0)</f>
        <v>0</v>
      </c>
      <c r="BF688" s="90" t="n">
        <f aca="false">IF(ISNUMBER(H688),AA688,0)</f>
        <v>0</v>
      </c>
      <c r="BG688" s="90" t="n">
        <f aca="false">IF(AND(Y688=0,ISNUMBER(AF688),ISNUMBER(Z688)),AA688*Z688,0)</f>
        <v>0</v>
      </c>
      <c r="BH688" s="90" t="n">
        <f aca="false">IF(AND(Y688=0,ISNUMBER(AF688),ISNUMBER(Z688)),AA688*AT688*MAX(Z688-1,0),0)</f>
        <v>0</v>
      </c>
      <c r="BI688" s="90" t="n">
        <f aca="false">IF(Y688=0,AA688,0)</f>
        <v>0</v>
      </c>
    </row>
    <row r="689" customFormat="false" ht="15" hidden="false" customHeight="false" outlineLevel="0" collapsed="false">
      <c r="A689" s="83" t="str">
        <f aca="false">IFERROR(IF(INDEX(원자료_잔고!$A$1:$EZ$1500,설정!$L$5+ROW()-1,설정!$L$8)&amp;""="0","",INDEX(원자료_잔고!$A$1:$EZ$1500,설정!$L$5+ROW()-1,설정!$L$8)&amp;""),"")</f>
        <v/>
      </c>
      <c r="B689" s="83" t="str">
        <f aca="false">IFERROR(IF(INDEX(원자료_잔고!$A$1:$EZ$1500,설정!$L$5+ROW()-1,설정!$L$7)&amp;""="0","",INDEX(원자료_잔고!$A$1:$EZ$1500,설정!$L$5+ROW()-1,설정!$L$7)&amp;""),"")</f>
        <v/>
      </c>
      <c r="C689" s="83" t="str">
        <f aca="false">IFERROR(IF(INDEX(원자료_잔고!$A$1:$EZ$1500,설정!$L$5+ROW()-1,설정!$L$9)&amp;""="0","",INDEX(원자료_잔고!$A$1:$EZ$1500,설정!$L$5+ROW()-1,설정!$L$9)&amp;""),"")</f>
        <v/>
      </c>
      <c r="D689" s="83" t="str">
        <f aca="false">IFERROR(IF(INDEX(원자료_잔고!$A$1:$EZ$1500,설정!$L$5+ROW()-1,설정!$L$10)&amp;""="0","",INDEX(원자료_잔고!$A$1:$EZ$1500,설정!$L$5+ROW()-1,설정!$L$10)&amp;""),"")</f>
        <v/>
      </c>
      <c r="E689" s="84" t="str">
        <f aca="false">IFERROR(IF(ISNUMBER(INDEX(원자료_잔고!$A$1:$EZ$1500,설정!$L$5+ROW()-1,설정!$L$11)),INDEX(원자료_잔고!$A$1:$EZ$1500,설정!$L$5+ROW()-1,설정!$L$11),""),"")</f>
        <v/>
      </c>
      <c r="F689" s="85" t="str">
        <f aca="false">IFERROR(IF(ISNUMBER(INDEX(원자료_잔고!$A$1:$EZ$1500,설정!$L$5+ROW()-1,설정!$L$12)),INDEX(원자료_잔고!$A$1:$EZ$1500,설정!$L$5+ROW()-1,설정!$L$12),""),"")</f>
        <v/>
      </c>
      <c r="G689" s="85" t="str">
        <f aca="false">IFERROR(IF(ISNUMBER(INDEX(원자료_잔고!$A$1:$EZ$1500,설정!$L$5+ROW()-1,설정!$L$13)),INDEX(원자료_잔고!$A$1:$EZ$1500,설정!$L$5+ROW()-1,설정!$L$13),""),"")</f>
        <v/>
      </c>
      <c r="H689" s="85" t="str">
        <f aca="false">IFERROR(IF(ISNUMBER(INDEX(원자료_잔고!$A$1:$EZ$1500,설정!$L$5+ROW()-1,설정!$L$14)),INDEX(원자료_잔고!$A$1:$EZ$1500,설정!$L$5+ROW()-1,설정!$L$14),""),"")</f>
        <v/>
      </c>
      <c r="I689" s="86" t="str">
        <f aca="false">IFERROR(IF(ISNUMBER(INDEX(원자료_잔고!$A$1:$EZ$1500,설정!$L$5+ROW()-1,설정!$L$15)),INDEX(원자료_잔고!$A$1:$EZ$1500,설정!$L$5+ROW()-1,설정!$L$15),""),"")</f>
        <v/>
      </c>
      <c r="J689" s="85" t="str">
        <f aca="false">IFERROR(IF(ISNUMBER(INDEX(원자료_잔고!$A$1:$EZ$1500,설정!$L$5+ROW()-1,설정!$L$16)),INDEX(원자료_잔고!$A$1:$EZ$1500,설정!$L$5+ROW()-1,설정!$L$16),""),"")</f>
        <v/>
      </c>
      <c r="K689" s="87" t="str">
        <f aca="false">IFERROR(IF(ISNUMBER(INDEX(원자료_잔고!$A$1:$EZ$1500,설정!$L$5+ROW()-1,설정!$L$17)),INDEX(원자료_잔고!$A$1:$EZ$1500,설정!$L$5+ROW()-1,설정!$L$17),""),"")</f>
        <v/>
      </c>
      <c r="L689" s="84" t="str">
        <f aca="false">IFERROR(IF(ISNUMBER(INDEX(원자료_잔고!$A$1:$EZ$1500,설정!$L$5+ROW()-1,설정!$L$18)),INDEX(원자료_잔고!$A$1:$EZ$1500,설정!$L$5+ROW()-1,설정!$L$18),""),"")</f>
        <v/>
      </c>
      <c r="M689" s="88" t="str">
        <f aca="false">IFERROR(IF(ISNUMBER(INDEX(원자료_잔고!$A$1:$EZ$1500,설정!$L$5+ROW()-1,설정!$L$19)),INDEX(원자료_잔고!$A$1:$EZ$1500,설정!$L$5+ROW()-1,설정!$L$19),""),"")</f>
        <v/>
      </c>
      <c r="N689" s="83" t="str">
        <f aca="false">IFERROR(IF(INDEX(원자료_잔고!$A$1:$EZ$1500,설정!$L$5+ROW()-1,설정!$L$21)&amp;""="0","",INDEX(원자료_잔고!$A$1:$EZ$1500,설정!$L$5+ROW()-1,설정!$L$21)&amp;""),"")</f>
        <v/>
      </c>
      <c r="O689" s="83" t="str">
        <f aca="false">IFERROR(IF(INDEX(원자료_잔고!$A$1:$EZ$1500,설정!$L$5+ROW()-1,설정!$L$22)&amp;""="0","",INDEX(원자료_잔고!$A$1:$EZ$1500,설정!$L$5+ROW()-1,설정!$L$22)&amp;""),"")</f>
        <v/>
      </c>
      <c r="P689" s="83" t="str">
        <f aca="false">IFERROR(IF(INDEX(원자료_잔고!$A$1:$EZ$1500,설정!$L$5+ROW()-1,설정!$L$23)&amp;""="0","",INDEX(원자료_잔고!$A$1:$EZ$1500,설정!$L$5+ROW()-1,설정!$L$23)&amp;""),"")</f>
        <v/>
      </c>
      <c r="Q689" s="89" t="n">
        <f aca="false">IF(AND($A689&lt;&gt;"",ISNUMBER(E689)),IF(E689&gt;0,1,0),0)</f>
        <v>0</v>
      </c>
      <c r="R689" s="43" t="str">
        <f aca="false">IF(Q689=1,UPPER(LEFT($A689,FIND(" ",$A689&amp;" ")-1)),"")</f>
        <v/>
      </c>
      <c r="S689" s="89" t="n">
        <f aca="false">IF(Q689=1,IF(OR(ISNUMBER(SEARCH("Float",$A689)),ISNUMBER(SEARCH("FRN",$A689))),1,0),0)</f>
        <v>0</v>
      </c>
      <c r="T689" s="43" t="str">
        <f aca="false">IF(AND(Q689=1,ISNUMBER(I689)),TEXT(I689,"yyyymmdd")&amp;"|"&amp;IF(S689=1,"F",TEXT(J689,"0.000")),"")</f>
        <v/>
      </c>
      <c r="U689" s="90" t="str">
        <f aca="false">IF(AND(Q689=1,ISNUMBER(I689)),(I689-설정!$C$4)/365.25,"")</f>
        <v/>
      </c>
      <c r="V689" s="43" t="str">
        <f aca="false">IF(Q689&lt;&gt;1,"",IF(ISNUMBER(U689),IF(U689&lt;=1,"1년 이하",IF(U689&lt;=2,"1-2년",IF(U689&lt;=3,"2-3년",IF(U689&lt;=4,"3-4년",IF(U689&lt;=5,"4-5년",IF(U689&lt;=7,"5-7년",IF(U689&lt;=10,"7-10년",IF(U689&lt;=20,"10-20년","20년 이상")))))))),"미분류"))</f>
        <v/>
      </c>
      <c r="W689" s="43" t="str">
        <f aca="false">IF(Q689&lt;&gt;1,"",IF(AB689&lt;&gt;"",INDEX(시장분석!$C:$C,AB689),IF(K689=1,"USD","비USD")))</f>
        <v/>
      </c>
      <c r="X689" s="91" t="n">
        <f aca="false">IF(Q689=1,E689*K689/1000000,0)</f>
        <v>0</v>
      </c>
      <c r="Y689" s="89" t="n">
        <f aca="false">IF(R689="T",1,0)</f>
        <v>0</v>
      </c>
      <c r="Z689" s="92" t="str">
        <f aca="false">IF(Q689&lt;&gt;1,"",IF(AD689=1,IF(ISNUMBER(U689),MAX(U689,0),H689),H689))</f>
        <v/>
      </c>
      <c r="AA689" s="91" t="n">
        <f aca="false">IF(Q689=1,IF(ISNUMBER(L689),L689,0)*K689/1000000,0)</f>
        <v>0</v>
      </c>
      <c r="AB689" s="89" t="str">
        <f aca="false">IF(Q689&lt;&gt;1,"",IFERROR(MATCH(VLOOKUP(B689,매핑!$H$4:$I$15,2,0),시장분석!$A$2:$A$601,0)+1,IFERROR(MATCH(R689&amp;"|"&amp;T689,시장분석!$V$2:$V$601,0)+1,IF(COUNTIF(시장분석!$U$2:$U$601,T689)=1,MATCH(T689,시장분석!$U$2:$U$601,0)+1,""))))</f>
        <v/>
      </c>
      <c r="AC689" s="89" t="n">
        <f aca="false">IF(Q689&lt;&gt;1,0,IF(OR(설정!$C$5="전체",AND(설정!$C$5="선택펀드",IFERROR(COUNTIFS(설정!$F$16:$F$36,C689,설정!$G$16:$G$36,"Y")+COUNTIFS(설정!$F$16:$F$36,VALUE(C689),설정!$G$16:$G$36,"Y"),0)&gt;0),C689&amp;""=설정!$C$5&amp;""),1,0))</f>
        <v>0</v>
      </c>
      <c r="AD689" s="89" t="n">
        <f aca="false">IF(Q689&lt;&gt;1,0,IF(OR(S689=1,IF(AB689="",FALSE(),INDEX(시장분석!$R:$R,AB689)=1)),1,0))</f>
        <v>0</v>
      </c>
      <c r="AE689" s="43" t="str">
        <f aca="false">IF(AB689="","",INDEX(시장분석!$A:$A,AB689))</f>
        <v/>
      </c>
      <c r="AF689" s="93" t="str">
        <f aca="false">IF(AB689="","",IF(ISNUMBER(IF(AB689="","",INDEX(시장분석!$E:$E,AB689))),IF(AB689="","",INDEX(시장분석!$E:$E,AB689)),""))</f>
        <v/>
      </c>
      <c r="AG689" s="43" t="str">
        <f aca="false">IF(Q689&lt;&gt;1,"",IF(AB689&lt;&gt;"",IF(AB689="","",INDEX(시장분석!$L:$L,AB689)),IFERROR(IF(VLOOKUP(R689,매핑!$A$4:$E$92,5,0)="","미분류",VLOOKUP(R689,매핑!$A$4:$E$92,5,0)),"미분류")))</f>
        <v/>
      </c>
      <c r="AH689" s="43" t="str">
        <f aca="false">IF(Q689&lt;&gt;1,"",IF(AB689&lt;&gt;"",IF(AB689="","",INDEX(시장분석!$N:$N,AB689)),IFERROR(IF(VLOOKUP(R689,매핑!$A$4:$E$92,4,0)="","미분류",VLOOKUP(R689,매핑!$A$4:$E$92,4,0)),"미분류")))</f>
        <v/>
      </c>
      <c r="AI689" s="43" t="str">
        <f aca="false">IF(Q689&lt;&gt;1,"",IFERROR(IF(VLOOKUP(R689,매핑!$A$4:$E$92,3,0)="","미분류",VLOOKUP(R689,매핑!$A$4:$E$92,3,0)),IF(AB689&lt;&gt;"",IF(AB689="","",INDEX(시장분석!$W:$W,AB689)),"미분류")))</f>
        <v/>
      </c>
      <c r="AJ689" s="43" t="str">
        <f aca="false">IF(Q689&lt;&gt;1,"",IFERROR(VLOOKUP(IF(N689&lt;&gt;"",N689,IF(P689&lt;&gt;"",P689,O689)),설정!$A$15:$D$47,2,0),""))</f>
        <v/>
      </c>
      <c r="AK689" s="43" t="str">
        <f aca="false">IF(Q689&lt;&gt;1,"",IF(AJ689="","무등급",IFERROR(VLOOKUP(AJ689,설정!$A$15:$D$47,3,0),"무등급")))</f>
        <v/>
      </c>
      <c r="AL689" s="89" t="n">
        <f aca="false">IF(AJ689="",99,IFERROR(VLOOKUP(AJ689,설정!$A$15:$D$47,4,0),99))</f>
        <v>99</v>
      </c>
      <c r="AM689" s="94" t="n">
        <f aca="false">IF(ISNUMBER(H689),AA689*1000000*H689/10000,0)</f>
        <v>0</v>
      </c>
      <c r="AN689" s="94" t="n">
        <f aca="false">IF(OR(Y689=1,NOT(ISNUMBER(Z689))),0,AA689*1000000*Z689/10000)</f>
        <v>0</v>
      </c>
      <c r="AO689" s="94" t="n">
        <f aca="false">IF(ISNUMBER(G689),AA689*1000000*G689/100,0)</f>
        <v>0</v>
      </c>
      <c r="AP689" s="94" t="n">
        <f aca="false">IF(ISNUMBER(M689),M689*K689,0)</f>
        <v>0</v>
      </c>
      <c r="AQ689" s="95" t="str">
        <f aca="false">IF(AB689="","",INDEX(시장분석!$AK:$AK,AB689))</f>
        <v/>
      </c>
      <c r="AR689" s="43" t="str">
        <f aca="false">IF(AB689="","-",IF(AB689="","",INDEX(시장분석!$AL:$AL,AB689)))</f>
        <v>-</v>
      </c>
      <c r="AS689" s="96" t="str">
        <f aca="false">IF(AB689="","",INDEX(시장분석!$AJ:$AJ,AB689))</f>
        <v/>
      </c>
      <c r="AT689" s="93" t="n">
        <f aca="false">IF(AB689="",0,IF(AB689="","",INDEX(시장분석!$AN:$AN,AB689)))</f>
        <v>0</v>
      </c>
      <c r="AU689" s="94" t="n">
        <f aca="false">IF(ISNUMBER(Z689),AT689/10000*MAX(Z689-1,0)*AA689*1000000,0)</f>
        <v>0</v>
      </c>
      <c r="AV689" s="94" t="n">
        <f aca="false">AO689+AU689</f>
        <v>0</v>
      </c>
      <c r="AW689" s="43" t="str">
        <f aca="false">IF(Q689&lt;&gt;1,"",TRIM(IF(AD689=1,"FRN ","")&amp;IF(AND(AL689&gt;=10,AL689&lt;99),"BBB0미만 ","")&amp;IF(AJ689="","등급없음 ","")&amp;IF(K689&lt;&gt;1,"비USD ","")&amp;IF(AND(AB689="",Y689=0),"시장데이터없음 ","")&amp;IF(AND(ISNUMBER(U689),U689&lt;0),"만기경과 ","")))</f>
        <v/>
      </c>
      <c r="AX689" s="90" t="n">
        <f aca="false">IF(Q689&lt;&gt;1,1,IF(스프레드쇼크!$C$4="Y",INDEX(스프레드쇼크!$B$12:$L$16,IFERROR(MATCH(AH689,스프레드쇼크!$A$12:$A$16,0),MATCH("목록외",스프레드쇼크!$A$12:$A$16,0)),IFERROR(MATCH(AG689,스프레드쇼크!$B$11:$L$11,0),MATCH("목록외",스프레드쇼크!$B$11:$L$11,0))),1))</f>
        <v>1</v>
      </c>
      <c r="AY689" s="90" t="n">
        <f aca="false">IF(스프레드쇼크!$C$5="Y",IF(ISNUMBER(AF689),MIN(스프레드쇼크!$C$7,MAX(스프레드쇼크!$C$6,AF689/스프레드쇼크!$C$8)),1),1)</f>
        <v>1</v>
      </c>
      <c r="AZ689" s="94" t="n">
        <f aca="false">AN689*AX689*AY689</f>
        <v>0</v>
      </c>
      <c r="BA689" s="90" t="n">
        <f aca="false">IF(ISNUMBER(G689),AA689*G689,0)</f>
        <v>0</v>
      </c>
      <c r="BB689" s="90" t="n">
        <f aca="false">IF(ISNUMBER(G689),AA689,0)</f>
        <v>0</v>
      </c>
      <c r="BC689" s="90" t="n">
        <f aca="false">IF(AND(Y689=0,ISNUMBER(AF689)),AA689*AF689,0)</f>
        <v>0</v>
      </c>
      <c r="BD689" s="90" t="n">
        <f aca="false">IF(AND(Y689=0,ISNUMBER(AF689)),AA689,0)</f>
        <v>0</v>
      </c>
      <c r="BE689" s="90" t="n">
        <f aca="false">IF(ISNUMBER(H689),AA689*H689,0)</f>
        <v>0</v>
      </c>
      <c r="BF689" s="90" t="n">
        <f aca="false">IF(ISNUMBER(H689),AA689,0)</f>
        <v>0</v>
      </c>
      <c r="BG689" s="90" t="n">
        <f aca="false">IF(AND(Y689=0,ISNUMBER(AF689),ISNUMBER(Z689)),AA689*Z689,0)</f>
        <v>0</v>
      </c>
      <c r="BH689" s="90" t="n">
        <f aca="false">IF(AND(Y689=0,ISNUMBER(AF689),ISNUMBER(Z689)),AA689*AT689*MAX(Z689-1,0),0)</f>
        <v>0</v>
      </c>
      <c r="BI689" s="90" t="n">
        <f aca="false">IF(Y689=0,AA689,0)</f>
        <v>0</v>
      </c>
    </row>
    <row r="690" customFormat="false" ht="15" hidden="false" customHeight="false" outlineLevel="0" collapsed="false">
      <c r="A690" s="83" t="str">
        <f aca="false">IFERROR(IF(INDEX(원자료_잔고!$A$1:$EZ$1500,설정!$L$5+ROW()-1,설정!$L$8)&amp;""="0","",INDEX(원자료_잔고!$A$1:$EZ$1500,설정!$L$5+ROW()-1,설정!$L$8)&amp;""),"")</f>
        <v/>
      </c>
      <c r="B690" s="83" t="str">
        <f aca="false">IFERROR(IF(INDEX(원자료_잔고!$A$1:$EZ$1500,설정!$L$5+ROW()-1,설정!$L$7)&amp;""="0","",INDEX(원자료_잔고!$A$1:$EZ$1500,설정!$L$5+ROW()-1,설정!$L$7)&amp;""),"")</f>
        <v/>
      </c>
      <c r="C690" s="83" t="str">
        <f aca="false">IFERROR(IF(INDEX(원자료_잔고!$A$1:$EZ$1500,설정!$L$5+ROW()-1,설정!$L$9)&amp;""="0","",INDEX(원자료_잔고!$A$1:$EZ$1500,설정!$L$5+ROW()-1,설정!$L$9)&amp;""),"")</f>
        <v/>
      </c>
      <c r="D690" s="83" t="str">
        <f aca="false">IFERROR(IF(INDEX(원자료_잔고!$A$1:$EZ$1500,설정!$L$5+ROW()-1,설정!$L$10)&amp;""="0","",INDEX(원자료_잔고!$A$1:$EZ$1500,설정!$L$5+ROW()-1,설정!$L$10)&amp;""),"")</f>
        <v/>
      </c>
      <c r="E690" s="84" t="str">
        <f aca="false">IFERROR(IF(ISNUMBER(INDEX(원자료_잔고!$A$1:$EZ$1500,설정!$L$5+ROW()-1,설정!$L$11)),INDEX(원자료_잔고!$A$1:$EZ$1500,설정!$L$5+ROW()-1,설정!$L$11),""),"")</f>
        <v/>
      </c>
      <c r="F690" s="85" t="str">
        <f aca="false">IFERROR(IF(ISNUMBER(INDEX(원자료_잔고!$A$1:$EZ$1500,설정!$L$5+ROW()-1,설정!$L$12)),INDEX(원자료_잔고!$A$1:$EZ$1500,설정!$L$5+ROW()-1,설정!$L$12),""),"")</f>
        <v/>
      </c>
      <c r="G690" s="85" t="str">
        <f aca="false">IFERROR(IF(ISNUMBER(INDEX(원자료_잔고!$A$1:$EZ$1500,설정!$L$5+ROW()-1,설정!$L$13)),INDEX(원자료_잔고!$A$1:$EZ$1500,설정!$L$5+ROW()-1,설정!$L$13),""),"")</f>
        <v/>
      </c>
      <c r="H690" s="85" t="str">
        <f aca="false">IFERROR(IF(ISNUMBER(INDEX(원자료_잔고!$A$1:$EZ$1500,설정!$L$5+ROW()-1,설정!$L$14)),INDEX(원자료_잔고!$A$1:$EZ$1500,설정!$L$5+ROW()-1,설정!$L$14),""),"")</f>
        <v/>
      </c>
      <c r="I690" s="86" t="str">
        <f aca="false">IFERROR(IF(ISNUMBER(INDEX(원자료_잔고!$A$1:$EZ$1500,설정!$L$5+ROW()-1,설정!$L$15)),INDEX(원자료_잔고!$A$1:$EZ$1500,설정!$L$5+ROW()-1,설정!$L$15),""),"")</f>
        <v/>
      </c>
      <c r="J690" s="85" t="str">
        <f aca="false">IFERROR(IF(ISNUMBER(INDEX(원자료_잔고!$A$1:$EZ$1500,설정!$L$5+ROW()-1,설정!$L$16)),INDEX(원자료_잔고!$A$1:$EZ$1500,설정!$L$5+ROW()-1,설정!$L$16),""),"")</f>
        <v/>
      </c>
      <c r="K690" s="87" t="str">
        <f aca="false">IFERROR(IF(ISNUMBER(INDEX(원자료_잔고!$A$1:$EZ$1500,설정!$L$5+ROW()-1,설정!$L$17)),INDEX(원자료_잔고!$A$1:$EZ$1500,설정!$L$5+ROW()-1,설정!$L$17),""),"")</f>
        <v/>
      </c>
      <c r="L690" s="84" t="str">
        <f aca="false">IFERROR(IF(ISNUMBER(INDEX(원자료_잔고!$A$1:$EZ$1500,설정!$L$5+ROW()-1,설정!$L$18)),INDEX(원자료_잔고!$A$1:$EZ$1500,설정!$L$5+ROW()-1,설정!$L$18),""),"")</f>
        <v/>
      </c>
      <c r="M690" s="88" t="str">
        <f aca="false">IFERROR(IF(ISNUMBER(INDEX(원자료_잔고!$A$1:$EZ$1500,설정!$L$5+ROW()-1,설정!$L$19)),INDEX(원자료_잔고!$A$1:$EZ$1500,설정!$L$5+ROW()-1,설정!$L$19),""),"")</f>
        <v/>
      </c>
      <c r="N690" s="83" t="str">
        <f aca="false">IFERROR(IF(INDEX(원자료_잔고!$A$1:$EZ$1500,설정!$L$5+ROW()-1,설정!$L$21)&amp;""="0","",INDEX(원자료_잔고!$A$1:$EZ$1500,설정!$L$5+ROW()-1,설정!$L$21)&amp;""),"")</f>
        <v/>
      </c>
      <c r="O690" s="83" t="str">
        <f aca="false">IFERROR(IF(INDEX(원자료_잔고!$A$1:$EZ$1500,설정!$L$5+ROW()-1,설정!$L$22)&amp;""="0","",INDEX(원자료_잔고!$A$1:$EZ$1500,설정!$L$5+ROW()-1,설정!$L$22)&amp;""),"")</f>
        <v/>
      </c>
      <c r="P690" s="83" t="str">
        <f aca="false">IFERROR(IF(INDEX(원자료_잔고!$A$1:$EZ$1500,설정!$L$5+ROW()-1,설정!$L$23)&amp;""="0","",INDEX(원자료_잔고!$A$1:$EZ$1500,설정!$L$5+ROW()-1,설정!$L$23)&amp;""),"")</f>
        <v/>
      </c>
      <c r="Q690" s="89" t="n">
        <f aca="false">IF(AND($A690&lt;&gt;"",ISNUMBER(E690)),IF(E690&gt;0,1,0),0)</f>
        <v>0</v>
      </c>
      <c r="R690" s="43" t="str">
        <f aca="false">IF(Q690=1,UPPER(LEFT($A690,FIND(" ",$A690&amp;" ")-1)),"")</f>
        <v/>
      </c>
      <c r="S690" s="89" t="n">
        <f aca="false">IF(Q690=1,IF(OR(ISNUMBER(SEARCH("Float",$A690)),ISNUMBER(SEARCH("FRN",$A690))),1,0),0)</f>
        <v>0</v>
      </c>
      <c r="T690" s="43" t="str">
        <f aca="false">IF(AND(Q690=1,ISNUMBER(I690)),TEXT(I690,"yyyymmdd")&amp;"|"&amp;IF(S690=1,"F",TEXT(J690,"0.000")),"")</f>
        <v/>
      </c>
      <c r="U690" s="90" t="str">
        <f aca="false">IF(AND(Q690=1,ISNUMBER(I690)),(I690-설정!$C$4)/365.25,"")</f>
        <v/>
      </c>
      <c r="V690" s="43" t="str">
        <f aca="false">IF(Q690&lt;&gt;1,"",IF(ISNUMBER(U690),IF(U690&lt;=1,"1년 이하",IF(U690&lt;=2,"1-2년",IF(U690&lt;=3,"2-3년",IF(U690&lt;=4,"3-4년",IF(U690&lt;=5,"4-5년",IF(U690&lt;=7,"5-7년",IF(U690&lt;=10,"7-10년",IF(U690&lt;=20,"10-20년","20년 이상")))))))),"미분류"))</f>
        <v/>
      </c>
      <c r="W690" s="43" t="str">
        <f aca="false">IF(Q690&lt;&gt;1,"",IF(AB690&lt;&gt;"",INDEX(시장분석!$C:$C,AB690),IF(K690=1,"USD","비USD")))</f>
        <v/>
      </c>
      <c r="X690" s="91" t="n">
        <f aca="false">IF(Q690=1,E690*K690/1000000,0)</f>
        <v>0</v>
      </c>
      <c r="Y690" s="89" t="n">
        <f aca="false">IF(R690="T",1,0)</f>
        <v>0</v>
      </c>
      <c r="Z690" s="92" t="str">
        <f aca="false">IF(Q690&lt;&gt;1,"",IF(AD690=1,IF(ISNUMBER(U690),MAX(U690,0),H690),H690))</f>
        <v/>
      </c>
      <c r="AA690" s="91" t="n">
        <f aca="false">IF(Q690=1,IF(ISNUMBER(L690),L690,0)*K690/1000000,0)</f>
        <v>0</v>
      </c>
      <c r="AB690" s="89" t="str">
        <f aca="false">IF(Q690&lt;&gt;1,"",IFERROR(MATCH(VLOOKUP(B690,매핑!$H$4:$I$15,2,0),시장분석!$A$2:$A$601,0)+1,IFERROR(MATCH(R690&amp;"|"&amp;T690,시장분석!$V$2:$V$601,0)+1,IF(COUNTIF(시장분석!$U$2:$U$601,T690)=1,MATCH(T690,시장분석!$U$2:$U$601,0)+1,""))))</f>
        <v/>
      </c>
      <c r="AC690" s="89" t="n">
        <f aca="false">IF(Q690&lt;&gt;1,0,IF(OR(설정!$C$5="전체",AND(설정!$C$5="선택펀드",IFERROR(COUNTIFS(설정!$F$16:$F$36,C690,설정!$G$16:$G$36,"Y")+COUNTIFS(설정!$F$16:$F$36,VALUE(C690),설정!$G$16:$G$36,"Y"),0)&gt;0),C690&amp;""=설정!$C$5&amp;""),1,0))</f>
        <v>0</v>
      </c>
      <c r="AD690" s="89" t="n">
        <f aca="false">IF(Q690&lt;&gt;1,0,IF(OR(S690=1,IF(AB690="",FALSE(),INDEX(시장분석!$R:$R,AB690)=1)),1,0))</f>
        <v>0</v>
      </c>
      <c r="AE690" s="43" t="str">
        <f aca="false">IF(AB690="","",INDEX(시장분석!$A:$A,AB690))</f>
        <v/>
      </c>
      <c r="AF690" s="93" t="str">
        <f aca="false">IF(AB690="","",IF(ISNUMBER(IF(AB690="","",INDEX(시장분석!$E:$E,AB690))),IF(AB690="","",INDEX(시장분석!$E:$E,AB690)),""))</f>
        <v/>
      </c>
      <c r="AG690" s="43" t="str">
        <f aca="false">IF(Q690&lt;&gt;1,"",IF(AB690&lt;&gt;"",IF(AB690="","",INDEX(시장분석!$L:$L,AB690)),IFERROR(IF(VLOOKUP(R690,매핑!$A$4:$E$92,5,0)="","미분류",VLOOKUP(R690,매핑!$A$4:$E$92,5,0)),"미분류")))</f>
        <v/>
      </c>
      <c r="AH690" s="43" t="str">
        <f aca="false">IF(Q690&lt;&gt;1,"",IF(AB690&lt;&gt;"",IF(AB690="","",INDEX(시장분석!$N:$N,AB690)),IFERROR(IF(VLOOKUP(R690,매핑!$A$4:$E$92,4,0)="","미분류",VLOOKUP(R690,매핑!$A$4:$E$92,4,0)),"미분류")))</f>
        <v/>
      </c>
      <c r="AI690" s="43" t="str">
        <f aca="false">IF(Q690&lt;&gt;1,"",IFERROR(IF(VLOOKUP(R690,매핑!$A$4:$E$92,3,0)="","미분류",VLOOKUP(R690,매핑!$A$4:$E$92,3,0)),IF(AB690&lt;&gt;"",IF(AB690="","",INDEX(시장분석!$W:$W,AB690)),"미분류")))</f>
        <v/>
      </c>
      <c r="AJ690" s="43" t="str">
        <f aca="false">IF(Q690&lt;&gt;1,"",IFERROR(VLOOKUP(IF(N690&lt;&gt;"",N690,IF(P690&lt;&gt;"",P690,O690)),설정!$A$15:$D$47,2,0),""))</f>
        <v/>
      </c>
      <c r="AK690" s="43" t="str">
        <f aca="false">IF(Q690&lt;&gt;1,"",IF(AJ690="","무등급",IFERROR(VLOOKUP(AJ690,설정!$A$15:$D$47,3,0),"무등급")))</f>
        <v/>
      </c>
      <c r="AL690" s="89" t="n">
        <f aca="false">IF(AJ690="",99,IFERROR(VLOOKUP(AJ690,설정!$A$15:$D$47,4,0),99))</f>
        <v>99</v>
      </c>
      <c r="AM690" s="94" t="n">
        <f aca="false">IF(ISNUMBER(H690),AA690*1000000*H690/10000,0)</f>
        <v>0</v>
      </c>
      <c r="AN690" s="94" t="n">
        <f aca="false">IF(OR(Y690=1,NOT(ISNUMBER(Z690))),0,AA690*1000000*Z690/10000)</f>
        <v>0</v>
      </c>
      <c r="AO690" s="94" t="n">
        <f aca="false">IF(ISNUMBER(G690),AA690*1000000*G690/100,0)</f>
        <v>0</v>
      </c>
      <c r="AP690" s="94" t="n">
        <f aca="false">IF(ISNUMBER(M690),M690*K690,0)</f>
        <v>0</v>
      </c>
      <c r="AQ690" s="95" t="str">
        <f aca="false">IF(AB690="","",INDEX(시장분석!$AK:$AK,AB690))</f>
        <v/>
      </c>
      <c r="AR690" s="43" t="str">
        <f aca="false">IF(AB690="","-",IF(AB690="","",INDEX(시장분석!$AL:$AL,AB690)))</f>
        <v>-</v>
      </c>
      <c r="AS690" s="96" t="str">
        <f aca="false">IF(AB690="","",INDEX(시장분석!$AJ:$AJ,AB690))</f>
        <v/>
      </c>
      <c r="AT690" s="93" t="n">
        <f aca="false">IF(AB690="",0,IF(AB690="","",INDEX(시장분석!$AN:$AN,AB690)))</f>
        <v>0</v>
      </c>
      <c r="AU690" s="94" t="n">
        <f aca="false">IF(ISNUMBER(Z690),AT690/10000*MAX(Z690-1,0)*AA690*1000000,0)</f>
        <v>0</v>
      </c>
      <c r="AV690" s="94" t="n">
        <f aca="false">AO690+AU690</f>
        <v>0</v>
      </c>
      <c r="AW690" s="43" t="str">
        <f aca="false">IF(Q690&lt;&gt;1,"",TRIM(IF(AD690=1,"FRN ","")&amp;IF(AND(AL690&gt;=10,AL690&lt;99),"BBB0미만 ","")&amp;IF(AJ690="","등급없음 ","")&amp;IF(K690&lt;&gt;1,"비USD ","")&amp;IF(AND(AB690="",Y690=0),"시장데이터없음 ","")&amp;IF(AND(ISNUMBER(U690),U690&lt;0),"만기경과 ","")))</f>
        <v/>
      </c>
      <c r="AX690" s="90" t="n">
        <f aca="false">IF(Q690&lt;&gt;1,1,IF(스프레드쇼크!$C$4="Y",INDEX(스프레드쇼크!$B$12:$L$16,IFERROR(MATCH(AH690,스프레드쇼크!$A$12:$A$16,0),MATCH("목록외",스프레드쇼크!$A$12:$A$16,0)),IFERROR(MATCH(AG690,스프레드쇼크!$B$11:$L$11,0),MATCH("목록외",스프레드쇼크!$B$11:$L$11,0))),1))</f>
        <v>1</v>
      </c>
      <c r="AY690" s="90" t="n">
        <f aca="false">IF(스프레드쇼크!$C$5="Y",IF(ISNUMBER(AF690),MIN(스프레드쇼크!$C$7,MAX(스프레드쇼크!$C$6,AF690/스프레드쇼크!$C$8)),1),1)</f>
        <v>1</v>
      </c>
      <c r="AZ690" s="94" t="n">
        <f aca="false">AN690*AX690*AY690</f>
        <v>0</v>
      </c>
      <c r="BA690" s="90" t="n">
        <f aca="false">IF(ISNUMBER(G690),AA690*G690,0)</f>
        <v>0</v>
      </c>
      <c r="BB690" s="90" t="n">
        <f aca="false">IF(ISNUMBER(G690),AA690,0)</f>
        <v>0</v>
      </c>
      <c r="BC690" s="90" t="n">
        <f aca="false">IF(AND(Y690=0,ISNUMBER(AF690)),AA690*AF690,0)</f>
        <v>0</v>
      </c>
      <c r="BD690" s="90" t="n">
        <f aca="false">IF(AND(Y690=0,ISNUMBER(AF690)),AA690,0)</f>
        <v>0</v>
      </c>
      <c r="BE690" s="90" t="n">
        <f aca="false">IF(ISNUMBER(H690),AA690*H690,0)</f>
        <v>0</v>
      </c>
      <c r="BF690" s="90" t="n">
        <f aca="false">IF(ISNUMBER(H690),AA690,0)</f>
        <v>0</v>
      </c>
      <c r="BG690" s="90" t="n">
        <f aca="false">IF(AND(Y690=0,ISNUMBER(AF690),ISNUMBER(Z690)),AA690*Z690,0)</f>
        <v>0</v>
      </c>
      <c r="BH690" s="90" t="n">
        <f aca="false">IF(AND(Y690=0,ISNUMBER(AF690),ISNUMBER(Z690)),AA690*AT690*MAX(Z690-1,0),0)</f>
        <v>0</v>
      </c>
      <c r="BI690" s="90" t="n">
        <f aca="false">IF(Y690=0,AA690,0)</f>
        <v>0</v>
      </c>
    </row>
    <row r="691" customFormat="false" ht="15" hidden="false" customHeight="false" outlineLevel="0" collapsed="false">
      <c r="A691" s="83" t="str">
        <f aca="false">IFERROR(IF(INDEX(원자료_잔고!$A$1:$EZ$1500,설정!$L$5+ROW()-1,설정!$L$8)&amp;""="0","",INDEX(원자료_잔고!$A$1:$EZ$1500,설정!$L$5+ROW()-1,설정!$L$8)&amp;""),"")</f>
        <v/>
      </c>
      <c r="B691" s="83" t="str">
        <f aca="false">IFERROR(IF(INDEX(원자료_잔고!$A$1:$EZ$1500,설정!$L$5+ROW()-1,설정!$L$7)&amp;""="0","",INDEX(원자료_잔고!$A$1:$EZ$1500,설정!$L$5+ROW()-1,설정!$L$7)&amp;""),"")</f>
        <v/>
      </c>
      <c r="C691" s="83" t="str">
        <f aca="false">IFERROR(IF(INDEX(원자료_잔고!$A$1:$EZ$1500,설정!$L$5+ROW()-1,설정!$L$9)&amp;""="0","",INDEX(원자료_잔고!$A$1:$EZ$1500,설정!$L$5+ROW()-1,설정!$L$9)&amp;""),"")</f>
        <v/>
      </c>
      <c r="D691" s="83" t="str">
        <f aca="false">IFERROR(IF(INDEX(원자료_잔고!$A$1:$EZ$1500,설정!$L$5+ROW()-1,설정!$L$10)&amp;""="0","",INDEX(원자료_잔고!$A$1:$EZ$1500,설정!$L$5+ROW()-1,설정!$L$10)&amp;""),"")</f>
        <v/>
      </c>
      <c r="E691" s="84" t="str">
        <f aca="false">IFERROR(IF(ISNUMBER(INDEX(원자료_잔고!$A$1:$EZ$1500,설정!$L$5+ROW()-1,설정!$L$11)),INDEX(원자료_잔고!$A$1:$EZ$1500,설정!$L$5+ROW()-1,설정!$L$11),""),"")</f>
        <v/>
      </c>
      <c r="F691" s="85" t="str">
        <f aca="false">IFERROR(IF(ISNUMBER(INDEX(원자료_잔고!$A$1:$EZ$1500,설정!$L$5+ROW()-1,설정!$L$12)),INDEX(원자료_잔고!$A$1:$EZ$1500,설정!$L$5+ROW()-1,설정!$L$12),""),"")</f>
        <v/>
      </c>
      <c r="G691" s="85" t="str">
        <f aca="false">IFERROR(IF(ISNUMBER(INDEX(원자료_잔고!$A$1:$EZ$1500,설정!$L$5+ROW()-1,설정!$L$13)),INDEX(원자료_잔고!$A$1:$EZ$1500,설정!$L$5+ROW()-1,설정!$L$13),""),"")</f>
        <v/>
      </c>
      <c r="H691" s="85" t="str">
        <f aca="false">IFERROR(IF(ISNUMBER(INDEX(원자료_잔고!$A$1:$EZ$1500,설정!$L$5+ROW()-1,설정!$L$14)),INDEX(원자료_잔고!$A$1:$EZ$1500,설정!$L$5+ROW()-1,설정!$L$14),""),"")</f>
        <v/>
      </c>
      <c r="I691" s="86" t="str">
        <f aca="false">IFERROR(IF(ISNUMBER(INDEX(원자료_잔고!$A$1:$EZ$1500,설정!$L$5+ROW()-1,설정!$L$15)),INDEX(원자료_잔고!$A$1:$EZ$1500,설정!$L$5+ROW()-1,설정!$L$15),""),"")</f>
        <v/>
      </c>
      <c r="J691" s="85" t="str">
        <f aca="false">IFERROR(IF(ISNUMBER(INDEX(원자료_잔고!$A$1:$EZ$1500,설정!$L$5+ROW()-1,설정!$L$16)),INDEX(원자료_잔고!$A$1:$EZ$1500,설정!$L$5+ROW()-1,설정!$L$16),""),"")</f>
        <v/>
      </c>
      <c r="K691" s="87" t="str">
        <f aca="false">IFERROR(IF(ISNUMBER(INDEX(원자료_잔고!$A$1:$EZ$1500,설정!$L$5+ROW()-1,설정!$L$17)),INDEX(원자료_잔고!$A$1:$EZ$1500,설정!$L$5+ROW()-1,설정!$L$17),""),"")</f>
        <v/>
      </c>
      <c r="L691" s="84" t="str">
        <f aca="false">IFERROR(IF(ISNUMBER(INDEX(원자료_잔고!$A$1:$EZ$1500,설정!$L$5+ROW()-1,설정!$L$18)),INDEX(원자료_잔고!$A$1:$EZ$1500,설정!$L$5+ROW()-1,설정!$L$18),""),"")</f>
        <v/>
      </c>
      <c r="M691" s="88" t="str">
        <f aca="false">IFERROR(IF(ISNUMBER(INDEX(원자료_잔고!$A$1:$EZ$1500,설정!$L$5+ROW()-1,설정!$L$19)),INDEX(원자료_잔고!$A$1:$EZ$1500,설정!$L$5+ROW()-1,설정!$L$19),""),"")</f>
        <v/>
      </c>
      <c r="N691" s="83" t="str">
        <f aca="false">IFERROR(IF(INDEX(원자료_잔고!$A$1:$EZ$1500,설정!$L$5+ROW()-1,설정!$L$21)&amp;""="0","",INDEX(원자료_잔고!$A$1:$EZ$1500,설정!$L$5+ROW()-1,설정!$L$21)&amp;""),"")</f>
        <v/>
      </c>
      <c r="O691" s="83" t="str">
        <f aca="false">IFERROR(IF(INDEX(원자료_잔고!$A$1:$EZ$1500,설정!$L$5+ROW()-1,설정!$L$22)&amp;""="0","",INDEX(원자료_잔고!$A$1:$EZ$1500,설정!$L$5+ROW()-1,설정!$L$22)&amp;""),"")</f>
        <v/>
      </c>
      <c r="P691" s="83" t="str">
        <f aca="false">IFERROR(IF(INDEX(원자료_잔고!$A$1:$EZ$1500,설정!$L$5+ROW()-1,설정!$L$23)&amp;""="0","",INDEX(원자료_잔고!$A$1:$EZ$1500,설정!$L$5+ROW()-1,설정!$L$23)&amp;""),"")</f>
        <v/>
      </c>
      <c r="Q691" s="89" t="n">
        <f aca="false">IF(AND($A691&lt;&gt;"",ISNUMBER(E691)),IF(E691&gt;0,1,0),0)</f>
        <v>0</v>
      </c>
      <c r="R691" s="43" t="str">
        <f aca="false">IF(Q691=1,UPPER(LEFT($A691,FIND(" ",$A691&amp;" ")-1)),"")</f>
        <v/>
      </c>
      <c r="S691" s="89" t="n">
        <f aca="false">IF(Q691=1,IF(OR(ISNUMBER(SEARCH("Float",$A691)),ISNUMBER(SEARCH("FRN",$A691))),1,0),0)</f>
        <v>0</v>
      </c>
      <c r="T691" s="43" t="str">
        <f aca="false">IF(AND(Q691=1,ISNUMBER(I691)),TEXT(I691,"yyyymmdd")&amp;"|"&amp;IF(S691=1,"F",TEXT(J691,"0.000")),"")</f>
        <v/>
      </c>
      <c r="U691" s="90" t="str">
        <f aca="false">IF(AND(Q691=1,ISNUMBER(I691)),(I691-설정!$C$4)/365.25,"")</f>
        <v/>
      </c>
      <c r="V691" s="43" t="str">
        <f aca="false">IF(Q691&lt;&gt;1,"",IF(ISNUMBER(U691),IF(U691&lt;=1,"1년 이하",IF(U691&lt;=2,"1-2년",IF(U691&lt;=3,"2-3년",IF(U691&lt;=4,"3-4년",IF(U691&lt;=5,"4-5년",IF(U691&lt;=7,"5-7년",IF(U691&lt;=10,"7-10년",IF(U691&lt;=20,"10-20년","20년 이상")))))))),"미분류"))</f>
        <v/>
      </c>
      <c r="W691" s="43" t="str">
        <f aca="false">IF(Q691&lt;&gt;1,"",IF(AB691&lt;&gt;"",INDEX(시장분석!$C:$C,AB691),IF(K691=1,"USD","비USD")))</f>
        <v/>
      </c>
      <c r="X691" s="91" t="n">
        <f aca="false">IF(Q691=1,E691*K691/1000000,0)</f>
        <v>0</v>
      </c>
      <c r="Y691" s="89" t="n">
        <f aca="false">IF(R691="T",1,0)</f>
        <v>0</v>
      </c>
      <c r="Z691" s="92" t="str">
        <f aca="false">IF(Q691&lt;&gt;1,"",IF(AD691=1,IF(ISNUMBER(U691),MAX(U691,0),H691),H691))</f>
        <v/>
      </c>
      <c r="AA691" s="91" t="n">
        <f aca="false">IF(Q691=1,IF(ISNUMBER(L691),L691,0)*K691/1000000,0)</f>
        <v>0</v>
      </c>
      <c r="AB691" s="89" t="str">
        <f aca="false">IF(Q691&lt;&gt;1,"",IFERROR(MATCH(VLOOKUP(B691,매핑!$H$4:$I$15,2,0),시장분석!$A$2:$A$601,0)+1,IFERROR(MATCH(R691&amp;"|"&amp;T691,시장분석!$V$2:$V$601,0)+1,IF(COUNTIF(시장분석!$U$2:$U$601,T691)=1,MATCH(T691,시장분석!$U$2:$U$601,0)+1,""))))</f>
        <v/>
      </c>
      <c r="AC691" s="89" t="n">
        <f aca="false">IF(Q691&lt;&gt;1,0,IF(OR(설정!$C$5="전체",AND(설정!$C$5="선택펀드",IFERROR(COUNTIFS(설정!$F$16:$F$36,C691,설정!$G$16:$G$36,"Y")+COUNTIFS(설정!$F$16:$F$36,VALUE(C691),설정!$G$16:$G$36,"Y"),0)&gt;0),C691&amp;""=설정!$C$5&amp;""),1,0))</f>
        <v>0</v>
      </c>
      <c r="AD691" s="89" t="n">
        <f aca="false">IF(Q691&lt;&gt;1,0,IF(OR(S691=1,IF(AB691="",FALSE(),INDEX(시장분석!$R:$R,AB691)=1)),1,0))</f>
        <v>0</v>
      </c>
      <c r="AE691" s="43" t="str">
        <f aca="false">IF(AB691="","",INDEX(시장분석!$A:$A,AB691))</f>
        <v/>
      </c>
      <c r="AF691" s="93" t="str">
        <f aca="false">IF(AB691="","",IF(ISNUMBER(IF(AB691="","",INDEX(시장분석!$E:$E,AB691))),IF(AB691="","",INDEX(시장분석!$E:$E,AB691)),""))</f>
        <v/>
      </c>
      <c r="AG691" s="43" t="str">
        <f aca="false">IF(Q691&lt;&gt;1,"",IF(AB691&lt;&gt;"",IF(AB691="","",INDEX(시장분석!$L:$L,AB691)),IFERROR(IF(VLOOKUP(R691,매핑!$A$4:$E$92,5,0)="","미분류",VLOOKUP(R691,매핑!$A$4:$E$92,5,0)),"미분류")))</f>
        <v/>
      </c>
      <c r="AH691" s="43" t="str">
        <f aca="false">IF(Q691&lt;&gt;1,"",IF(AB691&lt;&gt;"",IF(AB691="","",INDEX(시장분석!$N:$N,AB691)),IFERROR(IF(VLOOKUP(R691,매핑!$A$4:$E$92,4,0)="","미분류",VLOOKUP(R691,매핑!$A$4:$E$92,4,0)),"미분류")))</f>
        <v/>
      </c>
      <c r="AI691" s="43" t="str">
        <f aca="false">IF(Q691&lt;&gt;1,"",IFERROR(IF(VLOOKUP(R691,매핑!$A$4:$E$92,3,0)="","미분류",VLOOKUP(R691,매핑!$A$4:$E$92,3,0)),IF(AB691&lt;&gt;"",IF(AB691="","",INDEX(시장분석!$W:$W,AB691)),"미분류")))</f>
        <v/>
      </c>
      <c r="AJ691" s="43" t="str">
        <f aca="false">IF(Q691&lt;&gt;1,"",IFERROR(VLOOKUP(IF(N691&lt;&gt;"",N691,IF(P691&lt;&gt;"",P691,O691)),설정!$A$15:$D$47,2,0),""))</f>
        <v/>
      </c>
      <c r="AK691" s="43" t="str">
        <f aca="false">IF(Q691&lt;&gt;1,"",IF(AJ691="","무등급",IFERROR(VLOOKUP(AJ691,설정!$A$15:$D$47,3,0),"무등급")))</f>
        <v/>
      </c>
      <c r="AL691" s="89" t="n">
        <f aca="false">IF(AJ691="",99,IFERROR(VLOOKUP(AJ691,설정!$A$15:$D$47,4,0),99))</f>
        <v>99</v>
      </c>
      <c r="AM691" s="94" t="n">
        <f aca="false">IF(ISNUMBER(H691),AA691*1000000*H691/10000,0)</f>
        <v>0</v>
      </c>
      <c r="AN691" s="94" t="n">
        <f aca="false">IF(OR(Y691=1,NOT(ISNUMBER(Z691))),0,AA691*1000000*Z691/10000)</f>
        <v>0</v>
      </c>
      <c r="AO691" s="94" t="n">
        <f aca="false">IF(ISNUMBER(G691),AA691*1000000*G691/100,0)</f>
        <v>0</v>
      </c>
      <c r="AP691" s="94" t="n">
        <f aca="false">IF(ISNUMBER(M691),M691*K691,0)</f>
        <v>0</v>
      </c>
      <c r="AQ691" s="95" t="str">
        <f aca="false">IF(AB691="","",INDEX(시장분석!$AK:$AK,AB691))</f>
        <v/>
      </c>
      <c r="AR691" s="43" t="str">
        <f aca="false">IF(AB691="","-",IF(AB691="","",INDEX(시장분석!$AL:$AL,AB691)))</f>
        <v>-</v>
      </c>
      <c r="AS691" s="96" t="str">
        <f aca="false">IF(AB691="","",INDEX(시장분석!$AJ:$AJ,AB691))</f>
        <v/>
      </c>
      <c r="AT691" s="93" t="n">
        <f aca="false">IF(AB691="",0,IF(AB691="","",INDEX(시장분석!$AN:$AN,AB691)))</f>
        <v>0</v>
      </c>
      <c r="AU691" s="94" t="n">
        <f aca="false">IF(ISNUMBER(Z691),AT691/10000*MAX(Z691-1,0)*AA691*1000000,0)</f>
        <v>0</v>
      </c>
      <c r="AV691" s="94" t="n">
        <f aca="false">AO691+AU691</f>
        <v>0</v>
      </c>
      <c r="AW691" s="43" t="str">
        <f aca="false">IF(Q691&lt;&gt;1,"",TRIM(IF(AD691=1,"FRN ","")&amp;IF(AND(AL691&gt;=10,AL691&lt;99),"BBB0미만 ","")&amp;IF(AJ691="","등급없음 ","")&amp;IF(K691&lt;&gt;1,"비USD ","")&amp;IF(AND(AB691="",Y691=0),"시장데이터없음 ","")&amp;IF(AND(ISNUMBER(U691),U691&lt;0),"만기경과 ","")))</f>
        <v/>
      </c>
      <c r="AX691" s="90" t="n">
        <f aca="false">IF(Q691&lt;&gt;1,1,IF(스프레드쇼크!$C$4="Y",INDEX(스프레드쇼크!$B$12:$L$16,IFERROR(MATCH(AH691,스프레드쇼크!$A$12:$A$16,0),MATCH("목록외",스프레드쇼크!$A$12:$A$16,0)),IFERROR(MATCH(AG691,스프레드쇼크!$B$11:$L$11,0),MATCH("목록외",스프레드쇼크!$B$11:$L$11,0))),1))</f>
        <v>1</v>
      </c>
      <c r="AY691" s="90" t="n">
        <f aca="false">IF(스프레드쇼크!$C$5="Y",IF(ISNUMBER(AF691),MIN(스프레드쇼크!$C$7,MAX(스프레드쇼크!$C$6,AF691/스프레드쇼크!$C$8)),1),1)</f>
        <v>1</v>
      </c>
      <c r="AZ691" s="94" t="n">
        <f aca="false">AN691*AX691*AY691</f>
        <v>0</v>
      </c>
      <c r="BA691" s="90" t="n">
        <f aca="false">IF(ISNUMBER(G691),AA691*G691,0)</f>
        <v>0</v>
      </c>
      <c r="BB691" s="90" t="n">
        <f aca="false">IF(ISNUMBER(G691),AA691,0)</f>
        <v>0</v>
      </c>
      <c r="BC691" s="90" t="n">
        <f aca="false">IF(AND(Y691=0,ISNUMBER(AF691)),AA691*AF691,0)</f>
        <v>0</v>
      </c>
      <c r="BD691" s="90" t="n">
        <f aca="false">IF(AND(Y691=0,ISNUMBER(AF691)),AA691,0)</f>
        <v>0</v>
      </c>
      <c r="BE691" s="90" t="n">
        <f aca="false">IF(ISNUMBER(H691),AA691*H691,0)</f>
        <v>0</v>
      </c>
      <c r="BF691" s="90" t="n">
        <f aca="false">IF(ISNUMBER(H691),AA691,0)</f>
        <v>0</v>
      </c>
      <c r="BG691" s="90" t="n">
        <f aca="false">IF(AND(Y691=0,ISNUMBER(AF691),ISNUMBER(Z691)),AA691*Z691,0)</f>
        <v>0</v>
      </c>
      <c r="BH691" s="90" t="n">
        <f aca="false">IF(AND(Y691=0,ISNUMBER(AF691),ISNUMBER(Z691)),AA691*AT691*MAX(Z691-1,0),0)</f>
        <v>0</v>
      </c>
      <c r="BI691" s="90" t="n">
        <f aca="false">IF(Y691=0,AA691,0)</f>
        <v>0</v>
      </c>
    </row>
    <row r="692" customFormat="false" ht="15" hidden="false" customHeight="false" outlineLevel="0" collapsed="false">
      <c r="A692" s="83" t="str">
        <f aca="false">IFERROR(IF(INDEX(원자료_잔고!$A$1:$EZ$1500,설정!$L$5+ROW()-1,설정!$L$8)&amp;""="0","",INDEX(원자료_잔고!$A$1:$EZ$1500,설정!$L$5+ROW()-1,설정!$L$8)&amp;""),"")</f>
        <v/>
      </c>
      <c r="B692" s="83" t="str">
        <f aca="false">IFERROR(IF(INDEX(원자료_잔고!$A$1:$EZ$1500,설정!$L$5+ROW()-1,설정!$L$7)&amp;""="0","",INDEX(원자료_잔고!$A$1:$EZ$1500,설정!$L$5+ROW()-1,설정!$L$7)&amp;""),"")</f>
        <v/>
      </c>
      <c r="C692" s="83" t="str">
        <f aca="false">IFERROR(IF(INDEX(원자료_잔고!$A$1:$EZ$1500,설정!$L$5+ROW()-1,설정!$L$9)&amp;""="0","",INDEX(원자료_잔고!$A$1:$EZ$1500,설정!$L$5+ROW()-1,설정!$L$9)&amp;""),"")</f>
        <v/>
      </c>
      <c r="D692" s="83" t="str">
        <f aca="false">IFERROR(IF(INDEX(원자료_잔고!$A$1:$EZ$1500,설정!$L$5+ROW()-1,설정!$L$10)&amp;""="0","",INDEX(원자료_잔고!$A$1:$EZ$1500,설정!$L$5+ROW()-1,설정!$L$10)&amp;""),"")</f>
        <v/>
      </c>
      <c r="E692" s="84" t="str">
        <f aca="false">IFERROR(IF(ISNUMBER(INDEX(원자료_잔고!$A$1:$EZ$1500,설정!$L$5+ROW()-1,설정!$L$11)),INDEX(원자료_잔고!$A$1:$EZ$1500,설정!$L$5+ROW()-1,설정!$L$11),""),"")</f>
        <v/>
      </c>
      <c r="F692" s="85" t="str">
        <f aca="false">IFERROR(IF(ISNUMBER(INDEX(원자료_잔고!$A$1:$EZ$1500,설정!$L$5+ROW()-1,설정!$L$12)),INDEX(원자료_잔고!$A$1:$EZ$1500,설정!$L$5+ROW()-1,설정!$L$12),""),"")</f>
        <v/>
      </c>
      <c r="G692" s="85" t="str">
        <f aca="false">IFERROR(IF(ISNUMBER(INDEX(원자료_잔고!$A$1:$EZ$1500,설정!$L$5+ROW()-1,설정!$L$13)),INDEX(원자료_잔고!$A$1:$EZ$1500,설정!$L$5+ROW()-1,설정!$L$13),""),"")</f>
        <v/>
      </c>
      <c r="H692" s="85" t="str">
        <f aca="false">IFERROR(IF(ISNUMBER(INDEX(원자료_잔고!$A$1:$EZ$1500,설정!$L$5+ROW()-1,설정!$L$14)),INDEX(원자료_잔고!$A$1:$EZ$1500,설정!$L$5+ROW()-1,설정!$L$14),""),"")</f>
        <v/>
      </c>
      <c r="I692" s="86" t="str">
        <f aca="false">IFERROR(IF(ISNUMBER(INDEX(원자료_잔고!$A$1:$EZ$1500,설정!$L$5+ROW()-1,설정!$L$15)),INDEX(원자료_잔고!$A$1:$EZ$1500,설정!$L$5+ROW()-1,설정!$L$15),""),"")</f>
        <v/>
      </c>
      <c r="J692" s="85" t="str">
        <f aca="false">IFERROR(IF(ISNUMBER(INDEX(원자료_잔고!$A$1:$EZ$1500,설정!$L$5+ROW()-1,설정!$L$16)),INDEX(원자료_잔고!$A$1:$EZ$1500,설정!$L$5+ROW()-1,설정!$L$16),""),"")</f>
        <v/>
      </c>
      <c r="K692" s="87" t="str">
        <f aca="false">IFERROR(IF(ISNUMBER(INDEX(원자료_잔고!$A$1:$EZ$1500,설정!$L$5+ROW()-1,설정!$L$17)),INDEX(원자료_잔고!$A$1:$EZ$1500,설정!$L$5+ROW()-1,설정!$L$17),""),"")</f>
        <v/>
      </c>
      <c r="L692" s="84" t="str">
        <f aca="false">IFERROR(IF(ISNUMBER(INDEX(원자료_잔고!$A$1:$EZ$1500,설정!$L$5+ROW()-1,설정!$L$18)),INDEX(원자료_잔고!$A$1:$EZ$1500,설정!$L$5+ROW()-1,설정!$L$18),""),"")</f>
        <v/>
      </c>
      <c r="M692" s="88" t="str">
        <f aca="false">IFERROR(IF(ISNUMBER(INDEX(원자료_잔고!$A$1:$EZ$1500,설정!$L$5+ROW()-1,설정!$L$19)),INDEX(원자료_잔고!$A$1:$EZ$1500,설정!$L$5+ROW()-1,설정!$L$19),""),"")</f>
        <v/>
      </c>
      <c r="N692" s="83" t="str">
        <f aca="false">IFERROR(IF(INDEX(원자료_잔고!$A$1:$EZ$1500,설정!$L$5+ROW()-1,설정!$L$21)&amp;""="0","",INDEX(원자료_잔고!$A$1:$EZ$1500,설정!$L$5+ROW()-1,설정!$L$21)&amp;""),"")</f>
        <v/>
      </c>
      <c r="O692" s="83" t="str">
        <f aca="false">IFERROR(IF(INDEX(원자료_잔고!$A$1:$EZ$1500,설정!$L$5+ROW()-1,설정!$L$22)&amp;""="0","",INDEX(원자료_잔고!$A$1:$EZ$1500,설정!$L$5+ROW()-1,설정!$L$22)&amp;""),"")</f>
        <v/>
      </c>
      <c r="P692" s="83" t="str">
        <f aca="false">IFERROR(IF(INDEX(원자료_잔고!$A$1:$EZ$1500,설정!$L$5+ROW()-1,설정!$L$23)&amp;""="0","",INDEX(원자료_잔고!$A$1:$EZ$1500,설정!$L$5+ROW()-1,설정!$L$23)&amp;""),"")</f>
        <v/>
      </c>
      <c r="Q692" s="89" t="n">
        <f aca="false">IF(AND($A692&lt;&gt;"",ISNUMBER(E692)),IF(E692&gt;0,1,0),0)</f>
        <v>0</v>
      </c>
      <c r="R692" s="43" t="str">
        <f aca="false">IF(Q692=1,UPPER(LEFT($A692,FIND(" ",$A692&amp;" ")-1)),"")</f>
        <v/>
      </c>
      <c r="S692" s="89" t="n">
        <f aca="false">IF(Q692=1,IF(OR(ISNUMBER(SEARCH("Float",$A692)),ISNUMBER(SEARCH("FRN",$A692))),1,0),0)</f>
        <v>0</v>
      </c>
      <c r="T692" s="43" t="str">
        <f aca="false">IF(AND(Q692=1,ISNUMBER(I692)),TEXT(I692,"yyyymmdd")&amp;"|"&amp;IF(S692=1,"F",TEXT(J692,"0.000")),"")</f>
        <v/>
      </c>
      <c r="U692" s="90" t="str">
        <f aca="false">IF(AND(Q692=1,ISNUMBER(I692)),(I692-설정!$C$4)/365.25,"")</f>
        <v/>
      </c>
      <c r="V692" s="43" t="str">
        <f aca="false">IF(Q692&lt;&gt;1,"",IF(ISNUMBER(U692),IF(U692&lt;=1,"1년 이하",IF(U692&lt;=2,"1-2년",IF(U692&lt;=3,"2-3년",IF(U692&lt;=4,"3-4년",IF(U692&lt;=5,"4-5년",IF(U692&lt;=7,"5-7년",IF(U692&lt;=10,"7-10년",IF(U692&lt;=20,"10-20년","20년 이상")))))))),"미분류"))</f>
        <v/>
      </c>
      <c r="W692" s="43" t="str">
        <f aca="false">IF(Q692&lt;&gt;1,"",IF(AB692&lt;&gt;"",INDEX(시장분석!$C:$C,AB692),IF(K692=1,"USD","비USD")))</f>
        <v/>
      </c>
      <c r="X692" s="91" t="n">
        <f aca="false">IF(Q692=1,E692*K692/1000000,0)</f>
        <v>0</v>
      </c>
      <c r="Y692" s="89" t="n">
        <f aca="false">IF(R692="T",1,0)</f>
        <v>0</v>
      </c>
      <c r="Z692" s="92" t="str">
        <f aca="false">IF(Q692&lt;&gt;1,"",IF(AD692=1,IF(ISNUMBER(U692),MAX(U692,0),H692),H692))</f>
        <v/>
      </c>
      <c r="AA692" s="91" t="n">
        <f aca="false">IF(Q692=1,IF(ISNUMBER(L692),L692,0)*K692/1000000,0)</f>
        <v>0</v>
      </c>
      <c r="AB692" s="89" t="str">
        <f aca="false">IF(Q692&lt;&gt;1,"",IFERROR(MATCH(VLOOKUP(B692,매핑!$H$4:$I$15,2,0),시장분석!$A$2:$A$601,0)+1,IFERROR(MATCH(R692&amp;"|"&amp;T692,시장분석!$V$2:$V$601,0)+1,IF(COUNTIF(시장분석!$U$2:$U$601,T692)=1,MATCH(T692,시장분석!$U$2:$U$601,0)+1,""))))</f>
        <v/>
      </c>
      <c r="AC692" s="89" t="n">
        <f aca="false">IF(Q692&lt;&gt;1,0,IF(OR(설정!$C$5="전체",AND(설정!$C$5="선택펀드",IFERROR(COUNTIFS(설정!$F$16:$F$36,C692,설정!$G$16:$G$36,"Y")+COUNTIFS(설정!$F$16:$F$36,VALUE(C692),설정!$G$16:$G$36,"Y"),0)&gt;0),C692&amp;""=설정!$C$5&amp;""),1,0))</f>
        <v>0</v>
      </c>
      <c r="AD692" s="89" t="n">
        <f aca="false">IF(Q692&lt;&gt;1,0,IF(OR(S692=1,IF(AB692="",FALSE(),INDEX(시장분석!$R:$R,AB692)=1)),1,0))</f>
        <v>0</v>
      </c>
      <c r="AE692" s="43" t="str">
        <f aca="false">IF(AB692="","",INDEX(시장분석!$A:$A,AB692))</f>
        <v/>
      </c>
      <c r="AF692" s="93" t="str">
        <f aca="false">IF(AB692="","",IF(ISNUMBER(IF(AB692="","",INDEX(시장분석!$E:$E,AB692))),IF(AB692="","",INDEX(시장분석!$E:$E,AB692)),""))</f>
        <v/>
      </c>
      <c r="AG692" s="43" t="str">
        <f aca="false">IF(Q692&lt;&gt;1,"",IF(AB692&lt;&gt;"",IF(AB692="","",INDEX(시장분석!$L:$L,AB692)),IFERROR(IF(VLOOKUP(R692,매핑!$A$4:$E$92,5,0)="","미분류",VLOOKUP(R692,매핑!$A$4:$E$92,5,0)),"미분류")))</f>
        <v/>
      </c>
      <c r="AH692" s="43" t="str">
        <f aca="false">IF(Q692&lt;&gt;1,"",IF(AB692&lt;&gt;"",IF(AB692="","",INDEX(시장분석!$N:$N,AB692)),IFERROR(IF(VLOOKUP(R692,매핑!$A$4:$E$92,4,0)="","미분류",VLOOKUP(R692,매핑!$A$4:$E$92,4,0)),"미분류")))</f>
        <v/>
      </c>
      <c r="AI692" s="43" t="str">
        <f aca="false">IF(Q692&lt;&gt;1,"",IFERROR(IF(VLOOKUP(R692,매핑!$A$4:$E$92,3,0)="","미분류",VLOOKUP(R692,매핑!$A$4:$E$92,3,0)),IF(AB692&lt;&gt;"",IF(AB692="","",INDEX(시장분석!$W:$W,AB692)),"미분류")))</f>
        <v/>
      </c>
      <c r="AJ692" s="43" t="str">
        <f aca="false">IF(Q692&lt;&gt;1,"",IFERROR(VLOOKUP(IF(N692&lt;&gt;"",N692,IF(P692&lt;&gt;"",P692,O692)),설정!$A$15:$D$47,2,0),""))</f>
        <v/>
      </c>
      <c r="AK692" s="43" t="str">
        <f aca="false">IF(Q692&lt;&gt;1,"",IF(AJ692="","무등급",IFERROR(VLOOKUP(AJ692,설정!$A$15:$D$47,3,0),"무등급")))</f>
        <v/>
      </c>
      <c r="AL692" s="89" t="n">
        <f aca="false">IF(AJ692="",99,IFERROR(VLOOKUP(AJ692,설정!$A$15:$D$47,4,0),99))</f>
        <v>99</v>
      </c>
      <c r="AM692" s="94" t="n">
        <f aca="false">IF(ISNUMBER(H692),AA692*1000000*H692/10000,0)</f>
        <v>0</v>
      </c>
      <c r="AN692" s="94" t="n">
        <f aca="false">IF(OR(Y692=1,NOT(ISNUMBER(Z692))),0,AA692*1000000*Z692/10000)</f>
        <v>0</v>
      </c>
      <c r="AO692" s="94" t="n">
        <f aca="false">IF(ISNUMBER(G692),AA692*1000000*G692/100,0)</f>
        <v>0</v>
      </c>
      <c r="AP692" s="94" t="n">
        <f aca="false">IF(ISNUMBER(M692),M692*K692,0)</f>
        <v>0</v>
      </c>
      <c r="AQ692" s="95" t="str">
        <f aca="false">IF(AB692="","",INDEX(시장분석!$AK:$AK,AB692))</f>
        <v/>
      </c>
      <c r="AR692" s="43" t="str">
        <f aca="false">IF(AB692="","-",IF(AB692="","",INDEX(시장분석!$AL:$AL,AB692)))</f>
        <v>-</v>
      </c>
      <c r="AS692" s="96" t="str">
        <f aca="false">IF(AB692="","",INDEX(시장분석!$AJ:$AJ,AB692))</f>
        <v/>
      </c>
      <c r="AT692" s="93" t="n">
        <f aca="false">IF(AB692="",0,IF(AB692="","",INDEX(시장분석!$AN:$AN,AB692)))</f>
        <v>0</v>
      </c>
      <c r="AU692" s="94" t="n">
        <f aca="false">IF(ISNUMBER(Z692),AT692/10000*MAX(Z692-1,0)*AA692*1000000,0)</f>
        <v>0</v>
      </c>
      <c r="AV692" s="94" t="n">
        <f aca="false">AO692+AU692</f>
        <v>0</v>
      </c>
      <c r="AW692" s="43" t="str">
        <f aca="false">IF(Q692&lt;&gt;1,"",TRIM(IF(AD692=1,"FRN ","")&amp;IF(AND(AL692&gt;=10,AL692&lt;99),"BBB0미만 ","")&amp;IF(AJ692="","등급없음 ","")&amp;IF(K692&lt;&gt;1,"비USD ","")&amp;IF(AND(AB692="",Y692=0),"시장데이터없음 ","")&amp;IF(AND(ISNUMBER(U692),U692&lt;0),"만기경과 ","")))</f>
        <v/>
      </c>
      <c r="AX692" s="90" t="n">
        <f aca="false">IF(Q692&lt;&gt;1,1,IF(스프레드쇼크!$C$4="Y",INDEX(스프레드쇼크!$B$12:$L$16,IFERROR(MATCH(AH692,스프레드쇼크!$A$12:$A$16,0),MATCH("목록외",스프레드쇼크!$A$12:$A$16,0)),IFERROR(MATCH(AG692,스프레드쇼크!$B$11:$L$11,0),MATCH("목록외",스프레드쇼크!$B$11:$L$11,0))),1))</f>
        <v>1</v>
      </c>
      <c r="AY692" s="90" t="n">
        <f aca="false">IF(스프레드쇼크!$C$5="Y",IF(ISNUMBER(AF692),MIN(스프레드쇼크!$C$7,MAX(스프레드쇼크!$C$6,AF692/스프레드쇼크!$C$8)),1),1)</f>
        <v>1</v>
      </c>
      <c r="AZ692" s="94" t="n">
        <f aca="false">AN692*AX692*AY692</f>
        <v>0</v>
      </c>
      <c r="BA692" s="90" t="n">
        <f aca="false">IF(ISNUMBER(G692),AA692*G692,0)</f>
        <v>0</v>
      </c>
      <c r="BB692" s="90" t="n">
        <f aca="false">IF(ISNUMBER(G692),AA692,0)</f>
        <v>0</v>
      </c>
      <c r="BC692" s="90" t="n">
        <f aca="false">IF(AND(Y692=0,ISNUMBER(AF692)),AA692*AF692,0)</f>
        <v>0</v>
      </c>
      <c r="BD692" s="90" t="n">
        <f aca="false">IF(AND(Y692=0,ISNUMBER(AF692)),AA692,0)</f>
        <v>0</v>
      </c>
      <c r="BE692" s="90" t="n">
        <f aca="false">IF(ISNUMBER(H692),AA692*H692,0)</f>
        <v>0</v>
      </c>
      <c r="BF692" s="90" t="n">
        <f aca="false">IF(ISNUMBER(H692),AA692,0)</f>
        <v>0</v>
      </c>
      <c r="BG692" s="90" t="n">
        <f aca="false">IF(AND(Y692=0,ISNUMBER(AF692),ISNUMBER(Z692)),AA692*Z692,0)</f>
        <v>0</v>
      </c>
      <c r="BH692" s="90" t="n">
        <f aca="false">IF(AND(Y692=0,ISNUMBER(AF692),ISNUMBER(Z692)),AA692*AT692*MAX(Z692-1,0),0)</f>
        <v>0</v>
      </c>
      <c r="BI692" s="90" t="n">
        <f aca="false">IF(Y692=0,AA692,0)</f>
        <v>0</v>
      </c>
    </row>
    <row r="693" customFormat="false" ht="15" hidden="false" customHeight="false" outlineLevel="0" collapsed="false">
      <c r="A693" s="83" t="str">
        <f aca="false">IFERROR(IF(INDEX(원자료_잔고!$A$1:$EZ$1500,설정!$L$5+ROW()-1,설정!$L$8)&amp;""="0","",INDEX(원자료_잔고!$A$1:$EZ$1500,설정!$L$5+ROW()-1,설정!$L$8)&amp;""),"")</f>
        <v/>
      </c>
      <c r="B693" s="83" t="str">
        <f aca="false">IFERROR(IF(INDEX(원자료_잔고!$A$1:$EZ$1500,설정!$L$5+ROW()-1,설정!$L$7)&amp;""="0","",INDEX(원자료_잔고!$A$1:$EZ$1500,설정!$L$5+ROW()-1,설정!$L$7)&amp;""),"")</f>
        <v/>
      </c>
      <c r="C693" s="83" t="str">
        <f aca="false">IFERROR(IF(INDEX(원자료_잔고!$A$1:$EZ$1500,설정!$L$5+ROW()-1,설정!$L$9)&amp;""="0","",INDEX(원자료_잔고!$A$1:$EZ$1500,설정!$L$5+ROW()-1,설정!$L$9)&amp;""),"")</f>
        <v/>
      </c>
      <c r="D693" s="83" t="str">
        <f aca="false">IFERROR(IF(INDEX(원자료_잔고!$A$1:$EZ$1500,설정!$L$5+ROW()-1,설정!$L$10)&amp;""="0","",INDEX(원자료_잔고!$A$1:$EZ$1500,설정!$L$5+ROW()-1,설정!$L$10)&amp;""),"")</f>
        <v/>
      </c>
      <c r="E693" s="84" t="str">
        <f aca="false">IFERROR(IF(ISNUMBER(INDEX(원자료_잔고!$A$1:$EZ$1500,설정!$L$5+ROW()-1,설정!$L$11)),INDEX(원자료_잔고!$A$1:$EZ$1500,설정!$L$5+ROW()-1,설정!$L$11),""),"")</f>
        <v/>
      </c>
      <c r="F693" s="85" t="str">
        <f aca="false">IFERROR(IF(ISNUMBER(INDEX(원자료_잔고!$A$1:$EZ$1500,설정!$L$5+ROW()-1,설정!$L$12)),INDEX(원자료_잔고!$A$1:$EZ$1500,설정!$L$5+ROW()-1,설정!$L$12),""),"")</f>
        <v/>
      </c>
      <c r="G693" s="85" t="str">
        <f aca="false">IFERROR(IF(ISNUMBER(INDEX(원자료_잔고!$A$1:$EZ$1500,설정!$L$5+ROW()-1,설정!$L$13)),INDEX(원자료_잔고!$A$1:$EZ$1500,설정!$L$5+ROW()-1,설정!$L$13),""),"")</f>
        <v/>
      </c>
      <c r="H693" s="85" t="str">
        <f aca="false">IFERROR(IF(ISNUMBER(INDEX(원자료_잔고!$A$1:$EZ$1500,설정!$L$5+ROW()-1,설정!$L$14)),INDEX(원자료_잔고!$A$1:$EZ$1500,설정!$L$5+ROW()-1,설정!$L$14),""),"")</f>
        <v/>
      </c>
      <c r="I693" s="86" t="str">
        <f aca="false">IFERROR(IF(ISNUMBER(INDEX(원자료_잔고!$A$1:$EZ$1500,설정!$L$5+ROW()-1,설정!$L$15)),INDEX(원자료_잔고!$A$1:$EZ$1500,설정!$L$5+ROW()-1,설정!$L$15),""),"")</f>
        <v/>
      </c>
      <c r="J693" s="85" t="str">
        <f aca="false">IFERROR(IF(ISNUMBER(INDEX(원자료_잔고!$A$1:$EZ$1500,설정!$L$5+ROW()-1,설정!$L$16)),INDEX(원자료_잔고!$A$1:$EZ$1500,설정!$L$5+ROW()-1,설정!$L$16),""),"")</f>
        <v/>
      </c>
      <c r="K693" s="87" t="str">
        <f aca="false">IFERROR(IF(ISNUMBER(INDEX(원자료_잔고!$A$1:$EZ$1500,설정!$L$5+ROW()-1,설정!$L$17)),INDEX(원자료_잔고!$A$1:$EZ$1500,설정!$L$5+ROW()-1,설정!$L$17),""),"")</f>
        <v/>
      </c>
      <c r="L693" s="84" t="str">
        <f aca="false">IFERROR(IF(ISNUMBER(INDEX(원자료_잔고!$A$1:$EZ$1500,설정!$L$5+ROW()-1,설정!$L$18)),INDEX(원자료_잔고!$A$1:$EZ$1500,설정!$L$5+ROW()-1,설정!$L$18),""),"")</f>
        <v/>
      </c>
      <c r="M693" s="88" t="str">
        <f aca="false">IFERROR(IF(ISNUMBER(INDEX(원자료_잔고!$A$1:$EZ$1500,설정!$L$5+ROW()-1,설정!$L$19)),INDEX(원자료_잔고!$A$1:$EZ$1500,설정!$L$5+ROW()-1,설정!$L$19),""),"")</f>
        <v/>
      </c>
      <c r="N693" s="83" t="str">
        <f aca="false">IFERROR(IF(INDEX(원자료_잔고!$A$1:$EZ$1500,설정!$L$5+ROW()-1,설정!$L$21)&amp;""="0","",INDEX(원자료_잔고!$A$1:$EZ$1500,설정!$L$5+ROW()-1,설정!$L$21)&amp;""),"")</f>
        <v/>
      </c>
      <c r="O693" s="83" t="str">
        <f aca="false">IFERROR(IF(INDEX(원자료_잔고!$A$1:$EZ$1500,설정!$L$5+ROW()-1,설정!$L$22)&amp;""="0","",INDEX(원자료_잔고!$A$1:$EZ$1500,설정!$L$5+ROW()-1,설정!$L$22)&amp;""),"")</f>
        <v/>
      </c>
      <c r="P693" s="83" t="str">
        <f aca="false">IFERROR(IF(INDEX(원자료_잔고!$A$1:$EZ$1500,설정!$L$5+ROW()-1,설정!$L$23)&amp;""="0","",INDEX(원자료_잔고!$A$1:$EZ$1500,설정!$L$5+ROW()-1,설정!$L$23)&amp;""),"")</f>
        <v/>
      </c>
      <c r="Q693" s="89" t="n">
        <f aca="false">IF(AND($A693&lt;&gt;"",ISNUMBER(E693)),IF(E693&gt;0,1,0),0)</f>
        <v>0</v>
      </c>
      <c r="R693" s="43" t="str">
        <f aca="false">IF(Q693=1,UPPER(LEFT($A693,FIND(" ",$A693&amp;" ")-1)),"")</f>
        <v/>
      </c>
      <c r="S693" s="89" t="n">
        <f aca="false">IF(Q693=1,IF(OR(ISNUMBER(SEARCH("Float",$A693)),ISNUMBER(SEARCH("FRN",$A693))),1,0),0)</f>
        <v>0</v>
      </c>
      <c r="T693" s="43" t="str">
        <f aca="false">IF(AND(Q693=1,ISNUMBER(I693)),TEXT(I693,"yyyymmdd")&amp;"|"&amp;IF(S693=1,"F",TEXT(J693,"0.000")),"")</f>
        <v/>
      </c>
      <c r="U693" s="90" t="str">
        <f aca="false">IF(AND(Q693=1,ISNUMBER(I693)),(I693-설정!$C$4)/365.25,"")</f>
        <v/>
      </c>
      <c r="V693" s="43" t="str">
        <f aca="false">IF(Q693&lt;&gt;1,"",IF(ISNUMBER(U693),IF(U693&lt;=1,"1년 이하",IF(U693&lt;=2,"1-2년",IF(U693&lt;=3,"2-3년",IF(U693&lt;=4,"3-4년",IF(U693&lt;=5,"4-5년",IF(U693&lt;=7,"5-7년",IF(U693&lt;=10,"7-10년",IF(U693&lt;=20,"10-20년","20년 이상")))))))),"미분류"))</f>
        <v/>
      </c>
      <c r="W693" s="43" t="str">
        <f aca="false">IF(Q693&lt;&gt;1,"",IF(AB693&lt;&gt;"",INDEX(시장분석!$C:$C,AB693),IF(K693=1,"USD","비USD")))</f>
        <v/>
      </c>
      <c r="X693" s="91" t="n">
        <f aca="false">IF(Q693=1,E693*K693/1000000,0)</f>
        <v>0</v>
      </c>
      <c r="Y693" s="89" t="n">
        <f aca="false">IF(R693="T",1,0)</f>
        <v>0</v>
      </c>
      <c r="Z693" s="92" t="str">
        <f aca="false">IF(Q693&lt;&gt;1,"",IF(AD693=1,IF(ISNUMBER(U693),MAX(U693,0),H693),H693))</f>
        <v/>
      </c>
      <c r="AA693" s="91" t="n">
        <f aca="false">IF(Q693=1,IF(ISNUMBER(L693),L693,0)*K693/1000000,0)</f>
        <v>0</v>
      </c>
      <c r="AB693" s="89" t="str">
        <f aca="false">IF(Q693&lt;&gt;1,"",IFERROR(MATCH(VLOOKUP(B693,매핑!$H$4:$I$15,2,0),시장분석!$A$2:$A$601,0)+1,IFERROR(MATCH(R693&amp;"|"&amp;T693,시장분석!$V$2:$V$601,0)+1,IF(COUNTIF(시장분석!$U$2:$U$601,T693)=1,MATCH(T693,시장분석!$U$2:$U$601,0)+1,""))))</f>
        <v/>
      </c>
      <c r="AC693" s="89" t="n">
        <f aca="false">IF(Q693&lt;&gt;1,0,IF(OR(설정!$C$5="전체",AND(설정!$C$5="선택펀드",IFERROR(COUNTIFS(설정!$F$16:$F$36,C693,설정!$G$16:$G$36,"Y")+COUNTIFS(설정!$F$16:$F$36,VALUE(C693),설정!$G$16:$G$36,"Y"),0)&gt;0),C693&amp;""=설정!$C$5&amp;""),1,0))</f>
        <v>0</v>
      </c>
      <c r="AD693" s="89" t="n">
        <f aca="false">IF(Q693&lt;&gt;1,0,IF(OR(S693=1,IF(AB693="",FALSE(),INDEX(시장분석!$R:$R,AB693)=1)),1,0))</f>
        <v>0</v>
      </c>
      <c r="AE693" s="43" t="str">
        <f aca="false">IF(AB693="","",INDEX(시장분석!$A:$A,AB693))</f>
        <v/>
      </c>
      <c r="AF693" s="93" t="str">
        <f aca="false">IF(AB693="","",IF(ISNUMBER(IF(AB693="","",INDEX(시장분석!$E:$E,AB693))),IF(AB693="","",INDEX(시장분석!$E:$E,AB693)),""))</f>
        <v/>
      </c>
      <c r="AG693" s="43" t="str">
        <f aca="false">IF(Q693&lt;&gt;1,"",IF(AB693&lt;&gt;"",IF(AB693="","",INDEX(시장분석!$L:$L,AB693)),IFERROR(IF(VLOOKUP(R693,매핑!$A$4:$E$92,5,0)="","미분류",VLOOKUP(R693,매핑!$A$4:$E$92,5,0)),"미분류")))</f>
        <v/>
      </c>
      <c r="AH693" s="43" t="str">
        <f aca="false">IF(Q693&lt;&gt;1,"",IF(AB693&lt;&gt;"",IF(AB693="","",INDEX(시장분석!$N:$N,AB693)),IFERROR(IF(VLOOKUP(R693,매핑!$A$4:$E$92,4,0)="","미분류",VLOOKUP(R693,매핑!$A$4:$E$92,4,0)),"미분류")))</f>
        <v/>
      </c>
      <c r="AI693" s="43" t="str">
        <f aca="false">IF(Q693&lt;&gt;1,"",IFERROR(IF(VLOOKUP(R693,매핑!$A$4:$E$92,3,0)="","미분류",VLOOKUP(R693,매핑!$A$4:$E$92,3,0)),IF(AB693&lt;&gt;"",IF(AB693="","",INDEX(시장분석!$W:$W,AB693)),"미분류")))</f>
        <v/>
      </c>
      <c r="AJ693" s="43" t="str">
        <f aca="false">IF(Q693&lt;&gt;1,"",IFERROR(VLOOKUP(IF(N693&lt;&gt;"",N693,IF(P693&lt;&gt;"",P693,O693)),설정!$A$15:$D$47,2,0),""))</f>
        <v/>
      </c>
      <c r="AK693" s="43" t="str">
        <f aca="false">IF(Q693&lt;&gt;1,"",IF(AJ693="","무등급",IFERROR(VLOOKUP(AJ693,설정!$A$15:$D$47,3,0),"무등급")))</f>
        <v/>
      </c>
      <c r="AL693" s="89" t="n">
        <f aca="false">IF(AJ693="",99,IFERROR(VLOOKUP(AJ693,설정!$A$15:$D$47,4,0),99))</f>
        <v>99</v>
      </c>
      <c r="AM693" s="94" t="n">
        <f aca="false">IF(ISNUMBER(H693),AA693*1000000*H693/10000,0)</f>
        <v>0</v>
      </c>
      <c r="AN693" s="94" t="n">
        <f aca="false">IF(OR(Y693=1,NOT(ISNUMBER(Z693))),0,AA693*1000000*Z693/10000)</f>
        <v>0</v>
      </c>
      <c r="AO693" s="94" t="n">
        <f aca="false">IF(ISNUMBER(G693),AA693*1000000*G693/100,0)</f>
        <v>0</v>
      </c>
      <c r="AP693" s="94" t="n">
        <f aca="false">IF(ISNUMBER(M693),M693*K693,0)</f>
        <v>0</v>
      </c>
      <c r="AQ693" s="95" t="str">
        <f aca="false">IF(AB693="","",INDEX(시장분석!$AK:$AK,AB693))</f>
        <v/>
      </c>
      <c r="AR693" s="43" t="str">
        <f aca="false">IF(AB693="","-",IF(AB693="","",INDEX(시장분석!$AL:$AL,AB693)))</f>
        <v>-</v>
      </c>
      <c r="AS693" s="96" t="str">
        <f aca="false">IF(AB693="","",INDEX(시장분석!$AJ:$AJ,AB693))</f>
        <v/>
      </c>
      <c r="AT693" s="93" t="n">
        <f aca="false">IF(AB693="",0,IF(AB693="","",INDEX(시장분석!$AN:$AN,AB693)))</f>
        <v>0</v>
      </c>
      <c r="AU693" s="94" t="n">
        <f aca="false">IF(ISNUMBER(Z693),AT693/10000*MAX(Z693-1,0)*AA693*1000000,0)</f>
        <v>0</v>
      </c>
      <c r="AV693" s="94" t="n">
        <f aca="false">AO693+AU693</f>
        <v>0</v>
      </c>
      <c r="AW693" s="43" t="str">
        <f aca="false">IF(Q693&lt;&gt;1,"",TRIM(IF(AD693=1,"FRN ","")&amp;IF(AND(AL693&gt;=10,AL693&lt;99),"BBB0미만 ","")&amp;IF(AJ693="","등급없음 ","")&amp;IF(K693&lt;&gt;1,"비USD ","")&amp;IF(AND(AB693="",Y693=0),"시장데이터없음 ","")&amp;IF(AND(ISNUMBER(U693),U693&lt;0),"만기경과 ","")))</f>
        <v/>
      </c>
      <c r="AX693" s="90" t="n">
        <f aca="false">IF(Q693&lt;&gt;1,1,IF(스프레드쇼크!$C$4="Y",INDEX(스프레드쇼크!$B$12:$L$16,IFERROR(MATCH(AH693,스프레드쇼크!$A$12:$A$16,0),MATCH("목록외",스프레드쇼크!$A$12:$A$16,0)),IFERROR(MATCH(AG693,스프레드쇼크!$B$11:$L$11,0),MATCH("목록외",스프레드쇼크!$B$11:$L$11,0))),1))</f>
        <v>1</v>
      </c>
      <c r="AY693" s="90" t="n">
        <f aca="false">IF(스프레드쇼크!$C$5="Y",IF(ISNUMBER(AF693),MIN(스프레드쇼크!$C$7,MAX(스프레드쇼크!$C$6,AF693/스프레드쇼크!$C$8)),1),1)</f>
        <v>1</v>
      </c>
      <c r="AZ693" s="94" t="n">
        <f aca="false">AN693*AX693*AY693</f>
        <v>0</v>
      </c>
      <c r="BA693" s="90" t="n">
        <f aca="false">IF(ISNUMBER(G693),AA693*G693,0)</f>
        <v>0</v>
      </c>
      <c r="BB693" s="90" t="n">
        <f aca="false">IF(ISNUMBER(G693),AA693,0)</f>
        <v>0</v>
      </c>
      <c r="BC693" s="90" t="n">
        <f aca="false">IF(AND(Y693=0,ISNUMBER(AF693)),AA693*AF693,0)</f>
        <v>0</v>
      </c>
      <c r="BD693" s="90" t="n">
        <f aca="false">IF(AND(Y693=0,ISNUMBER(AF693)),AA693,0)</f>
        <v>0</v>
      </c>
      <c r="BE693" s="90" t="n">
        <f aca="false">IF(ISNUMBER(H693),AA693*H693,0)</f>
        <v>0</v>
      </c>
      <c r="BF693" s="90" t="n">
        <f aca="false">IF(ISNUMBER(H693),AA693,0)</f>
        <v>0</v>
      </c>
      <c r="BG693" s="90" t="n">
        <f aca="false">IF(AND(Y693=0,ISNUMBER(AF693),ISNUMBER(Z693)),AA693*Z693,0)</f>
        <v>0</v>
      </c>
      <c r="BH693" s="90" t="n">
        <f aca="false">IF(AND(Y693=0,ISNUMBER(AF693),ISNUMBER(Z693)),AA693*AT693*MAX(Z693-1,0),0)</f>
        <v>0</v>
      </c>
      <c r="BI693" s="90" t="n">
        <f aca="false">IF(Y693=0,AA693,0)</f>
        <v>0</v>
      </c>
    </row>
    <row r="694" customFormat="false" ht="15" hidden="false" customHeight="false" outlineLevel="0" collapsed="false">
      <c r="A694" s="83" t="str">
        <f aca="false">IFERROR(IF(INDEX(원자료_잔고!$A$1:$EZ$1500,설정!$L$5+ROW()-1,설정!$L$8)&amp;""="0","",INDEX(원자료_잔고!$A$1:$EZ$1500,설정!$L$5+ROW()-1,설정!$L$8)&amp;""),"")</f>
        <v/>
      </c>
      <c r="B694" s="83" t="str">
        <f aca="false">IFERROR(IF(INDEX(원자료_잔고!$A$1:$EZ$1500,설정!$L$5+ROW()-1,설정!$L$7)&amp;""="0","",INDEX(원자료_잔고!$A$1:$EZ$1500,설정!$L$5+ROW()-1,설정!$L$7)&amp;""),"")</f>
        <v/>
      </c>
      <c r="C694" s="83" t="str">
        <f aca="false">IFERROR(IF(INDEX(원자료_잔고!$A$1:$EZ$1500,설정!$L$5+ROW()-1,설정!$L$9)&amp;""="0","",INDEX(원자료_잔고!$A$1:$EZ$1500,설정!$L$5+ROW()-1,설정!$L$9)&amp;""),"")</f>
        <v/>
      </c>
      <c r="D694" s="83" t="str">
        <f aca="false">IFERROR(IF(INDEX(원자료_잔고!$A$1:$EZ$1500,설정!$L$5+ROW()-1,설정!$L$10)&amp;""="0","",INDEX(원자료_잔고!$A$1:$EZ$1500,설정!$L$5+ROW()-1,설정!$L$10)&amp;""),"")</f>
        <v/>
      </c>
      <c r="E694" s="84" t="str">
        <f aca="false">IFERROR(IF(ISNUMBER(INDEX(원자료_잔고!$A$1:$EZ$1500,설정!$L$5+ROW()-1,설정!$L$11)),INDEX(원자료_잔고!$A$1:$EZ$1500,설정!$L$5+ROW()-1,설정!$L$11),""),"")</f>
        <v/>
      </c>
      <c r="F694" s="85" t="str">
        <f aca="false">IFERROR(IF(ISNUMBER(INDEX(원자료_잔고!$A$1:$EZ$1500,설정!$L$5+ROW()-1,설정!$L$12)),INDEX(원자료_잔고!$A$1:$EZ$1500,설정!$L$5+ROW()-1,설정!$L$12),""),"")</f>
        <v/>
      </c>
      <c r="G694" s="85" t="str">
        <f aca="false">IFERROR(IF(ISNUMBER(INDEX(원자료_잔고!$A$1:$EZ$1500,설정!$L$5+ROW()-1,설정!$L$13)),INDEX(원자료_잔고!$A$1:$EZ$1500,설정!$L$5+ROW()-1,설정!$L$13),""),"")</f>
        <v/>
      </c>
      <c r="H694" s="85" t="str">
        <f aca="false">IFERROR(IF(ISNUMBER(INDEX(원자료_잔고!$A$1:$EZ$1500,설정!$L$5+ROW()-1,설정!$L$14)),INDEX(원자료_잔고!$A$1:$EZ$1500,설정!$L$5+ROW()-1,설정!$L$14),""),"")</f>
        <v/>
      </c>
      <c r="I694" s="86" t="str">
        <f aca="false">IFERROR(IF(ISNUMBER(INDEX(원자료_잔고!$A$1:$EZ$1500,설정!$L$5+ROW()-1,설정!$L$15)),INDEX(원자료_잔고!$A$1:$EZ$1500,설정!$L$5+ROW()-1,설정!$L$15),""),"")</f>
        <v/>
      </c>
      <c r="J694" s="85" t="str">
        <f aca="false">IFERROR(IF(ISNUMBER(INDEX(원자료_잔고!$A$1:$EZ$1500,설정!$L$5+ROW()-1,설정!$L$16)),INDEX(원자료_잔고!$A$1:$EZ$1500,설정!$L$5+ROW()-1,설정!$L$16),""),"")</f>
        <v/>
      </c>
      <c r="K694" s="87" t="str">
        <f aca="false">IFERROR(IF(ISNUMBER(INDEX(원자료_잔고!$A$1:$EZ$1500,설정!$L$5+ROW()-1,설정!$L$17)),INDEX(원자료_잔고!$A$1:$EZ$1500,설정!$L$5+ROW()-1,설정!$L$17),""),"")</f>
        <v/>
      </c>
      <c r="L694" s="84" t="str">
        <f aca="false">IFERROR(IF(ISNUMBER(INDEX(원자료_잔고!$A$1:$EZ$1500,설정!$L$5+ROW()-1,설정!$L$18)),INDEX(원자료_잔고!$A$1:$EZ$1500,설정!$L$5+ROW()-1,설정!$L$18),""),"")</f>
        <v/>
      </c>
      <c r="M694" s="88" t="str">
        <f aca="false">IFERROR(IF(ISNUMBER(INDEX(원자료_잔고!$A$1:$EZ$1500,설정!$L$5+ROW()-1,설정!$L$19)),INDEX(원자료_잔고!$A$1:$EZ$1500,설정!$L$5+ROW()-1,설정!$L$19),""),"")</f>
        <v/>
      </c>
      <c r="N694" s="83" t="str">
        <f aca="false">IFERROR(IF(INDEX(원자료_잔고!$A$1:$EZ$1500,설정!$L$5+ROW()-1,설정!$L$21)&amp;""="0","",INDEX(원자료_잔고!$A$1:$EZ$1500,설정!$L$5+ROW()-1,설정!$L$21)&amp;""),"")</f>
        <v/>
      </c>
      <c r="O694" s="83" t="str">
        <f aca="false">IFERROR(IF(INDEX(원자료_잔고!$A$1:$EZ$1500,설정!$L$5+ROW()-1,설정!$L$22)&amp;""="0","",INDEX(원자료_잔고!$A$1:$EZ$1500,설정!$L$5+ROW()-1,설정!$L$22)&amp;""),"")</f>
        <v/>
      </c>
      <c r="P694" s="83" t="str">
        <f aca="false">IFERROR(IF(INDEX(원자료_잔고!$A$1:$EZ$1500,설정!$L$5+ROW()-1,설정!$L$23)&amp;""="0","",INDEX(원자료_잔고!$A$1:$EZ$1500,설정!$L$5+ROW()-1,설정!$L$23)&amp;""),"")</f>
        <v/>
      </c>
      <c r="Q694" s="89" t="n">
        <f aca="false">IF(AND($A694&lt;&gt;"",ISNUMBER(E694)),IF(E694&gt;0,1,0),0)</f>
        <v>0</v>
      </c>
      <c r="R694" s="43" t="str">
        <f aca="false">IF(Q694=1,UPPER(LEFT($A694,FIND(" ",$A694&amp;" ")-1)),"")</f>
        <v/>
      </c>
      <c r="S694" s="89" t="n">
        <f aca="false">IF(Q694=1,IF(OR(ISNUMBER(SEARCH("Float",$A694)),ISNUMBER(SEARCH("FRN",$A694))),1,0),0)</f>
        <v>0</v>
      </c>
      <c r="T694" s="43" t="str">
        <f aca="false">IF(AND(Q694=1,ISNUMBER(I694)),TEXT(I694,"yyyymmdd")&amp;"|"&amp;IF(S694=1,"F",TEXT(J694,"0.000")),"")</f>
        <v/>
      </c>
      <c r="U694" s="90" t="str">
        <f aca="false">IF(AND(Q694=1,ISNUMBER(I694)),(I694-설정!$C$4)/365.25,"")</f>
        <v/>
      </c>
      <c r="V694" s="43" t="str">
        <f aca="false">IF(Q694&lt;&gt;1,"",IF(ISNUMBER(U694),IF(U694&lt;=1,"1년 이하",IF(U694&lt;=2,"1-2년",IF(U694&lt;=3,"2-3년",IF(U694&lt;=4,"3-4년",IF(U694&lt;=5,"4-5년",IF(U694&lt;=7,"5-7년",IF(U694&lt;=10,"7-10년",IF(U694&lt;=20,"10-20년","20년 이상")))))))),"미분류"))</f>
        <v/>
      </c>
      <c r="W694" s="43" t="str">
        <f aca="false">IF(Q694&lt;&gt;1,"",IF(AB694&lt;&gt;"",INDEX(시장분석!$C:$C,AB694),IF(K694=1,"USD","비USD")))</f>
        <v/>
      </c>
      <c r="X694" s="91" t="n">
        <f aca="false">IF(Q694=1,E694*K694/1000000,0)</f>
        <v>0</v>
      </c>
      <c r="Y694" s="89" t="n">
        <f aca="false">IF(R694="T",1,0)</f>
        <v>0</v>
      </c>
      <c r="Z694" s="92" t="str">
        <f aca="false">IF(Q694&lt;&gt;1,"",IF(AD694=1,IF(ISNUMBER(U694),MAX(U694,0),H694),H694))</f>
        <v/>
      </c>
      <c r="AA694" s="91" t="n">
        <f aca="false">IF(Q694=1,IF(ISNUMBER(L694),L694,0)*K694/1000000,0)</f>
        <v>0</v>
      </c>
      <c r="AB694" s="89" t="str">
        <f aca="false">IF(Q694&lt;&gt;1,"",IFERROR(MATCH(VLOOKUP(B694,매핑!$H$4:$I$15,2,0),시장분석!$A$2:$A$601,0)+1,IFERROR(MATCH(R694&amp;"|"&amp;T694,시장분석!$V$2:$V$601,0)+1,IF(COUNTIF(시장분석!$U$2:$U$601,T694)=1,MATCH(T694,시장분석!$U$2:$U$601,0)+1,""))))</f>
        <v/>
      </c>
      <c r="AC694" s="89" t="n">
        <f aca="false">IF(Q694&lt;&gt;1,0,IF(OR(설정!$C$5="전체",AND(설정!$C$5="선택펀드",IFERROR(COUNTIFS(설정!$F$16:$F$36,C694,설정!$G$16:$G$36,"Y")+COUNTIFS(설정!$F$16:$F$36,VALUE(C694),설정!$G$16:$G$36,"Y"),0)&gt;0),C694&amp;""=설정!$C$5&amp;""),1,0))</f>
        <v>0</v>
      </c>
      <c r="AD694" s="89" t="n">
        <f aca="false">IF(Q694&lt;&gt;1,0,IF(OR(S694=1,IF(AB694="",FALSE(),INDEX(시장분석!$R:$R,AB694)=1)),1,0))</f>
        <v>0</v>
      </c>
      <c r="AE694" s="43" t="str">
        <f aca="false">IF(AB694="","",INDEX(시장분석!$A:$A,AB694))</f>
        <v/>
      </c>
      <c r="AF694" s="93" t="str">
        <f aca="false">IF(AB694="","",IF(ISNUMBER(IF(AB694="","",INDEX(시장분석!$E:$E,AB694))),IF(AB694="","",INDEX(시장분석!$E:$E,AB694)),""))</f>
        <v/>
      </c>
      <c r="AG694" s="43" t="str">
        <f aca="false">IF(Q694&lt;&gt;1,"",IF(AB694&lt;&gt;"",IF(AB694="","",INDEX(시장분석!$L:$L,AB694)),IFERROR(IF(VLOOKUP(R694,매핑!$A$4:$E$92,5,0)="","미분류",VLOOKUP(R694,매핑!$A$4:$E$92,5,0)),"미분류")))</f>
        <v/>
      </c>
      <c r="AH694" s="43" t="str">
        <f aca="false">IF(Q694&lt;&gt;1,"",IF(AB694&lt;&gt;"",IF(AB694="","",INDEX(시장분석!$N:$N,AB694)),IFERROR(IF(VLOOKUP(R694,매핑!$A$4:$E$92,4,0)="","미분류",VLOOKUP(R694,매핑!$A$4:$E$92,4,0)),"미분류")))</f>
        <v/>
      </c>
      <c r="AI694" s="43" t="str">
        <f aca="false">IF(Q694&lt;&gt;1,"",IFERROR(IF(VLOOKUP(R694,매핑!$A$4:$E$92,3,0)="","미분류",VLOOKUP(R694,매핑!$A$4:$E$92,3,0)),IF(AB694&lt;&gt;"",IF(AB694="","",INDEX(시장분석!$W:$W,AB694)),"미분류")))</f>
        <v/>
      </c>
      <c r="AJ694" s="43" t="str">
        <f aca="false">IF(Q694&lt;&gt;1,"",IFERROR(VLOOKUP(IF(N694&lt;&gt;"",N694,IF(P694&lt;&gt;"",P694,O694)),설정!$A$15:$D$47,2,0),""))</f>
        <v/>
      </c>
      <c r="AK694" s="43" t="str">
        <f aca="false">IF(Q694&lt;&gt;1,"",IF(AJ694="","무등급",IFERROR(VLOOKUP(AJ694,설정!$A$15:$D$47,3,0),"무등급")))</f>
        <v/>
      </c>
      <c r="AL694" s="89" t="n">
        <f aca="false">IF(AJ694="",99,IFERROR(VLOOKUP(AJ694,설정!$A$15:$D$47,4,0),99))</f>
        <v>99</v>
      </c>
      <c r="AM694" s="94" t="n">
        <f aca="false">IF(ISNUMBER(H694),AA694*1000000*H694/10000,0)</f>
        <v>0</v>
      </c>
      <c r="AN694" s="94" t="n">
        <f aca="false">IF(OR(Y694=1,NOT(ISNUMBER(Z694))),0,AA694*1000000*Z694/10000)</f>
        <v>0</v>
      </c>
      <c r="AO694" s="94" t="n">
        <f aca="false">IF(ISNUMBER(G694),AA694*1000000*G694/100,0)</f>
        <v>0</v>
      </c>
      <c r="AP694" s="94" t="n">
        <f aca="false">IF(ISNUMBER(M694),M694*K694,0)</f>
        <v>0</v>
      </c>
      <c r="AQ694" s="95" t="str">
        <f aca="false">IF(AB694="","",INDEX(시장분석!$AK:$AK,AB694))</f>
        <v/>
      </c>
      <c r="AR694" s="43" t="str">
        <f aca="false">IF(AB694="","-",IF(AB694="","",INDEX(시장분석!$AL:$AL,AB694)))</f>
        <v>-</v>
      </c>
      <c r="AS694" s="96" t="str">
        <f aca="false">IF(AB694="","",INDEX(시장분석!$AJ:$AJ,AB694))</f>
        <v/>
      </c>
      <c r="AT694" s="93" t="n">
        <f aca="false">IF(AB694="",0,IF(AB694="","",INDEX(시장분석!$AN:$AN,AB694)))</f>
        <v>0</v>
      </c>
      <c r="AU694" s="94" t="n">
        <f aca="false">IF(ISNUMBER(Z694),AT694/10000*MAX(Z694-1,0)*AA694*1000000,0)</f>
        <v>0</v>
      </c>
      <c r="AV694" s="94" t="n">
        <f aca="false">AO694+AU694</f>
        <v>0</v>
      </c>
      <c r="AW694" s="43" t="str">
        <f aca="false">IF(Q694&lt;&gt;1,"",TRIM(IF(AD694=1,"FRN ","")&amp;IF(AND(AL694&gt;=10,AL694&lt;99),"BBB0미만 ","")&amp;IF(AJ694="","등급없음 ","")&amp;IF(K694&lt;&gt;1,"비USD ","")&amp;IF(AND(AB694="",Y694=0),"시장데이터없음 ","")&amp;IF(AND(ISNUMBER(U694),U694&lt;0),"만기경과 ","")))</f>
        <v/>
      </c>
      <c r="AX694" s="90" t="n">
        <f aca="false">IF(Q694&lt;&gt;1,1,IF(스프레드쇼크!$C$4="Y",INDEX(스프레드쇼크!$B$12:$L$16,IFERROR(MATCH(AH694,스프레드쇼크!$A$12:$A$16,0),MATCH("목록외",스프레드쇼크!$A$12:$A$16,0)),IFERROR(MATCH(AG694,스프레드쇼크!$B$11:$L$11,0),MATCH("목록외",스프레드쇼크!$B$11:$L$11,0))),1))</f>
        <v>1</v>
      </c>
      <c r="AY694" s="90" t="n">
        <f aca="false">IF(스프레드쇼크!$C$5="Y",IF(ISNUMBER(AF694),MIN(스프레드쇼크!$C$7,MAX(스프레드쇼크!$C$6,AF694/스프레드쇼크!$C$8)),1),1)</f>
        <v>1</v>
      </c>
      <c r="AZ694" s="94" t="n">
        <f aca="false">AN694*AX694*AY694</f>
        <v>0</v>
      </c>
      <c r="BA694" s="90" t="n">
        <f aca="false">IF(ISNUMBER(G694),AA694*G694,0)</f>
        <v>0</v>
      </c>
      <c r="BB694" s="90" t="n">
        <f aca="false">IF(ISNUMBER(G694),AA694,0)</f>
        <v>0</v>
      </c>
      <c r="BC694" s="90" t="n">
        <f aca="false">IF(AND(Y694=0,ISNUMBER(AF694)),AA694*AF694,0)</f>
        <v>0</v>
      </c>
      <c r="BD694" s="90" t="n">
        <f aca="false">IF(AND(Y694=0,ISNUMBER(AF694)),AA694,0)</f>
        <v>0</v>
      </c>
      <c r="BE694" s="90" t="n">
        <f aca="false">IF(ISNUMBER(H694),AA694*H694,0)</f>
        <v>0</v>
      </c>
      <c r="BF694" s="90" t="n">
        <f aca="false">IF(ISNUMBER(H694),AA694,0)</f>
        <v>0</v>
      </c>
      <c r="BG694" s="90" t="n">
        <f aca="false">IF(AND(Y694=0,ISNUMBER(AF694),ISNUMBER(Z694)),AA694*Z694,0)</f>
        <v>0</v>
      </c>
      <c r="BH694" s="90" t="n">
        <f aca="false">IF(AND(Y694=0,ISNUMBER(AF694),ISNUMBER(Z694)),AA694*AT694*MAX(Z694-1,0),0)</f>
        <v>0</v>
      </c>
      <c r="BI694" s="90" t="n">
        <f aca="false">IF(Y694=0,AA694,0)</f>
        <v>0</v>
      </c>
    </row>
    <row r="695" customFormat="false" ht="15" hidden="false" customHeight="false" outlineLevel="0" collapsed="false">
      <c r="A695" s="83" t="str">
        <f aca="false">IFERROR(IF(INDEX(원자료_잔고!$A$1:$EZ$1500,설정!$L$5+ROW()-1,설정!$L$8)&amp;""="0","",INDEX(원자료_잔고!$A$1:$EZ$1500,설정!$L$5+ROW()-1,설정!$L$8)&amp;""),"")</f>
        <v/>
      </c>
      <c r="B695" s="83" t="str">
        <f aca="false">IFERROR(IF(INDEX(원자료_잔고!$A$1:$EZ$1500,설정!$L$5+ROW()-1,설정!$L$7)&amp;""="0","",INDEX(원자료_잔고!$A$1:$EZ$1500,설정!$L$5+ROW()-1,설정!$L$7)&amp;""),"")</f>
        <v/>
      </c>
      <c r="C695" s="83" t="str">
        <f aca="false">IFERROR(IF(INDEX(원자료_잔고!$A$1:$EZ$1500,설정!$L$5+ROW()-1,설정!$L$9)&amp;""="0","",INDEX(원자료_잔고!$A$1:$EZ$1500,설정!$L$5+ROW()-1,설정!$L$9)&amp;""),"")</f>
        <v/>
      </c>
      <c r="D695" s="83" t="str">
        <f aca="false">IFERROR(IF(INDEX(원자료_잔고!$A$1:$EZ$1500,설정!$L$5+ROW()-1,설정!$L$10)&amp;""="0","",INDEX(원자료_잔고!$A$1:$EZ$1500,설정!$L$5+ROW()-1,설정!$L$10)&amp;""),"")</f>
        <v/>
      </c>
      <c r="E695" s="84" t="str">
        <f aca="false">IFERROR(IF(ISNUMBER(INDEX(원자료_잔고!$A$1:$EZ$1500,설정!$L$5+ROW()-1,설정!$L$11)),INDEX(원자료_잔고!$A$1:$EZ$1500,설정!$L$5+ROW()-1,설정!$L$11),""),"")</f>
        <v/>
      </c>
      <c r="F695" s="85" t="str">
        <f aca="false">IFERROR(IF(ISNUMBER(INDEX(원자료_잔고!$A$1:$EZ$1500,설정!$L$5+ROW()-1,설정!$L$12)),INDEX(원자료_잔고!$A$1:$EZ$1500,설정!$L$5+ROW()-1,설정!$L$12),""),"")</f>
        <v/>
      </c>
      <c r="G695" s="85" t="str">
        <f aca="false">IFERROR(IF(ISNUMBER(INDEX(원자료_잔고!$A$1:$EZ$1500,설정!$L$5+ROW()-1,설정!$L$13)),INDEX(원자료_잔고!$A$1:$EZ$1500,설정!$L$5+ROW()-1,설정!$L$13),""),"")</f>
        <v/>
      </c>
      <c r="H695" s="85" t="str">
        <f aca="false">IFERROR(IF(ISNUMBER(INDEX(원자료_잔고!$A$1:$EZ$1500,설정!$L$5+ROW()-1,설정!$L$14)),INDEX(원자료_잔고!$A$1:$EZ$1500,설정!$L$5+ROW()-1,설정!$L$14),""),"")</f>
        <v/>
      </c>
      <c r="I695" s="86" t="str">
        <f aca="false">IFERROR(IF(ISNUMBER(INDEX(원자료_잔고!$A$1:$EZ$1500,설정!$L$5+ROW()-1,설정!$L$15)),INDEX(원자료_잔고!$A$1:$EZ$1500,설정!$L$5+ROW()-1,설정!$L$15),""),"")</f>
        <v/>
      </c>
      <c r="J695" s="85" t="str">
        <f aca="false">IFERROR(IF(ISNUMBER(INDEX(원자료_잔고!$A$1:$EZ$1500,설정!$L$5+ROW()-1,설정!$L$16)),INDEX(원자료_잔고!$A$1:$EZ$1500,설정!$L$5+ROW()-1,설정!$L$16),""),"")</f>
        <v/>
      </c>
      <c r="K695" s="87" t="str">
        <f aca="false">IFERROR(IF(ISNUMBER(INDEX(원자료_잔고!$A$1:$EZ$1500,설정!$L$5+ROW()-1,설정!$L$17)),INDEX(원자료_잔고!$A$1:$EZ$1500,설정!$L$5+ROW()-1,설정!$L$17),""),"")</f>
        <v/>
      </c>
      <c r="L695" s="84" t="str">
        <f aca="false">IFERROR(IF(ISNUMBER(INDEX(원자료_잔고!$A$1:$EZ$1500,설정!$L$5+ROW()-1,설정!$L$18)),INDEX(원자료_잔고!$A$1:$EZ$1500,설정!$L$5+ROW()-1,설정!$L$18),""),"")</f>
        <v/>
      </c>
      <c r="M695" s="88" t="str">
        <f aca="false">IFERROR(IF(ISNUMBER(INDEX(원자료_잔고!$A$1:$EZ$1500,설정!$L$5+ROW()-1,설정!$L$19)),INDEX(원자료_잔고!$A$1:$EZ$1500,설정!$L$5+ROW()-1,설정!$L$19),""),"")</f>
        <v/>
      </c>
      <c r="N695" s="83" t="str">
        <f aca="false">IFERROR(IF(INDEX(원자료_잔고!$A$1:$EZ$1500,설정!$L$5+ROW()-1,설정!$L$21)&amp;""="0","",INDEX(원자료_잔고!$A$1:$EZ$1500,설정!$L$5+ROW()-1,설정!$L$21)&amp;""),"")</f>
        <v/>
      </c>
      <c r="O695" s="83" t="str">
        <f aca="false">IFERROR(IF(INDEX(원자료_잔고!$A$1:$EZ$1500,설정!$L$5+ROW()-1,설정!$L$22)&amp;""="0","",INDEX(원자료_잔고!$A$1:$EZ$1500,설정!$L$5+ROW()-1,설정!$L$22)&amp;""),"")</f>
        <v/>
      </c>
      <c r="P695" s="83" t="str">
        <f aca="false">IFERROR(IF(INDEX(원자료_잔고!$A$1:$EZ$1500,설정!$L$5+ROW()-1,설정!$L$23)&amp;""="0","",INDEX(원자료_잔고!$A$1:$EZ$1500,설정!$L$5+ROW()-1,설정!$L$23)&amp;""),"")</f>
        <v/>
      </c>
      <c r="Q695" s="89" t="n">
        <f aca="false">IF(AND($A695&lt;&gt;"",ISNUMBER(E695)),IF(E695&gt;0,1,0),0)</f>
        <v>0</v>
      </c>
      <c r="R695" s="43" t="str">
        <f aca="false">IF(Q695=1,UPPER(LEFT($A695,FIND(" ",$A695&amp;" ")-1)),"")</f>
        <v/>
      </c>
      <c r="S695" s="89" t="n">
        <f aca="false">IF(Q695=1,IF(OR(ISNUMBER(SEARCH("Float",$A695)),ISNUMBER(SEARCH("FRN",$A695))),1,0),0)</f>
        <v>0</v>
      </c>
      <c r="T695" s="43" t="str">
        <f aca="false">IF(AND(Q695=1,ISNUMBER(I695)),TEXT(I695,"yyyymmdd")&amp;"|"&amp;IF(S695=1,"F",TEXT(J695,"0.000")),"")</f>
        <v/>
      </c>
      <c r="U695" s="90" t="str">
        <f aca="false">IF(AND(Q695=1,ISNUMBER(I695)),(I695-설정!$C$4)/365.25,"")</f>
        <v/>
      </c>
      <c r="V695" s="43" t="str">
        <f aca="false">IF(Q695&lt;&gt;1,"",IF(ISNUMBER(U695),IF(U695&lt;=1,"1년 이하",IF(U695&lt;=2,"1-2년",IF(U695&lt;=3,"2-3년",IF(U695&lt;=4,"3-4년",IF(U695&lt;=5,"4-5년",IF(U695&lt;=7,"5-7년",IF(U695&lt;=10,"7-10년",IF(U695&lt;=20,"10-20년","20년 이상")))))))),"미분류"))</f>
        <v/>
      </c>
      <c r="W695" s="43" t="str">
        <f aca="false">IF(Q695&lt;&gt;1,"",IF(AB695&lt;&gt;"",INDEX(시장분석!$C:$C,AB695),IF(K695=1,"USD","비USD")))</f>
        <v/>
      </c>
      <c r="X695" s="91" t="n">
        <f aca="false">IF(Q695=1,E695*K695/1000000,0)</f>
        <v>0</v>
      </c>
      <c r="Y695" s="89" t="n">
        <f aca="false">IF(R695="T",1,0)</f>
        <v>0</v>
      </c>
      <c r="Z695" s="92" t="str">
        <f aca="false">IF(Q695&lt;&gt;1,"",IF(AD695=1,IF(ISNUMBER(U695),MAX(U695,0),H695),H695))</f>
        <v/>
      </c>
      <c r="AA695" s="91" t="n">
        <f aca="false">IF(Q695=1,IF(ISNUMBER(L695),L695,0)*K695/1000000,0)</f>
        <v>0</v>
      </c>
      <c r="AB695" s="89" t="str">
        <f aca="false">IF(Q695&lt;&gt;1,"",IFERROR(MATCH(VLOOKUP(B695,매핑!$H$4:$I$15,2,0),시장분석!$A$2:$A$601,0)+1,IFERROR(MATCH(R695&amp;"|"&amp;T695,시장분석!$V$2:$V$601,0)+1,IF(COUNTIF(시장분석!$U$2:$U$601,T695)=1,MATCH(T695,시장분석!$U$2:$U$601,0)+1,""))))</f>
        <v/>
      </c>
      <c r="AC695" s="89" t="n">
        <f aca="false">IF(Q695&lt;&gt;1,0,IF(OR(설정!$C$5="전체",AND(설정!$C$5="선택펀드",IFERROR(COUNTIFS(설정!$F$16:$F$36,C695,설정!$G$16:$G$36,"Y")+COUNTIFS(설정!$F$16:$F$36,VALUE(C695),설정!$G$16:$G$36,"Y"),0)&gt;0),C695&amp;""=설정!$C$5&amp;""),1,0))</f>
        <v>0</v>
      </c>
      <c r="AD695" s="89" t="n">
        <f aca="false">IF(Q695&lt;&gt;1,0,IF(OR(S695=1,IF(AB695="",FALSE(),INDEX(시장분석!$R:$R,AB695)=1)),1,0))</f>
        <v>0</v>
      </c>
      <c r="AE695" s="43" t="str">
        <f aca="false">IF(AB695="","",INDEX(시장분석!$A:$A,AB695))</f>
        <v/>
      </c>
      <c r="AF695" s="93" t="str">
        <f aca="false">IF(AB695="","",IF(ISNUMBER(IF(AB695="","",INDEX(시장분석!$E:$E,AB695))),IF(AB695="","",INDEX(시장분석!$E:$E,AB695)),""))</f>
        <v/>
      </c>
      <c r="AG695" s="43" t="str">
        <f aca="false">IF(Q695&lt;&gt;1,"",IF(AB695&lt;&gt;"",IF(AB695="","",INDEX(시장분석!$L:$L,AB695)),IFERROR(IF(VLOOKUP(R695,매핑!$A$4:$E$92,5,0)="","미분류",VLOOKUP(R695,매핑!$A$4:$E$92,5,0)),"미분류")))</f>
        <v/>
      </c>
      <c r="AH695" s="43" t="str">
        <f aca="false">IF(Q695&lt;&gt;1,"",IF(AB695&lt;&gt;"",IF(AB695="","",INDEX(시장분석!$N:$N,AB695)),IFERROR(IF(VLOOKUP(R695,매핑!$A$4:$E$92,4,0)="","미분류",VLOOKUP(R695,매핑!$A$4:$E$92,4,0)),"미분류")))</f>
        <v/>
      </c>
      <c r="AI695" s="43" t="str">
        <f aca="false">IF(Q695&lt;&gt;1,"",IFERROR(IF(VLOOKUP(R695,매핑!$A$4:$E$92,3,0)="","미분류",VLOOKUP(R695,매핑!$A$4:$E$92,3,0)),IF(AB695&lt;&gt;"",IF(AB695="","",INDEX(시장분석!$W:$W,AB695)),"미분류")))</f>
        <v/>
      </c>
      <c r="AJ695" s="43" t="str">
        <f aca="false">IF(Q695&lt;&gt;1,"",IFERROR(VLOOKUP(IF(N695&lt;&gt;"",N695,IF(P695&lt;&gt;"",P695,O695)),설정!$A$15:$D$47,2,0),""))</f>
        <v/>
      </c>
      <c r="AK695" s="43" t="str">
        <f aca="false">IF(Q695&lt;&gt;1,"",IF(AJ695="","무등급",IFERROR(VLOOKUP(AJ695,설정!$A$15:$D$47,3,0),"무등급")))</f>
        <v/>
      </c>
      <c r="AL695" s="89" t="n">
        <f aca="false">IF(AJ695="",99,IFERROR(VLOOKUP(AJ695,설정!$A$15:$D$47,4,0),99))</f>
        <v>99</v>
      </c>
      <c r="AM695" s="94" t="n">
        <f aca="false">IF(ISNUMBER(H695),AA695*1000000*H695/10000,0)</f>
        <v>0</v>
      </c>
      <c r="AN695" s="94" t="n">
        <f aca="false">IF(OR(Y695=1,NOT(ISNUMBER(Z695))),0,AA695*1000000*Z695/10000)</f>
        <v>0</v>
      </c>
      <c r="AO695" s="94" t="n">
        <f aca="false">IF(ISNUMBER(G695),AA695*1000000*G695/100,0)</f>
        <v>0</v>
      </c>
      <c r="AP695" s="94" t="n">
        <f aca="false">IF(ISNUMBER(M695),M695*K695,0)</f>
        <v>0</v>
      </c>
      <c r="AQ695" s="95" t="str">
        <f aca="false">IF(AB695="","",INDEX(시장분석!$AK:$AK,AB695))</f>
        <v/>
      </c>
      <c r="AR695" s="43" t="str">
        <f aca="false">IF(AB695="","-",IF(AB695="","",INDEX(시장분석!$AL:$AL,AB695)))</f>
        <v>-</v>
      </c>
      <c r="AS695" s="96" t="str">
        <f aca="false">IF(AB695="","",INDEX(시장분석!$AJ:$AJ,AB695))</f>
        <v/>
      </c>
      <c r="AT695" s="93" t="n">
        <f aca="false">IF(AB695="",0,IF(AB695="","",INDEX(시장분석!$AN:$AN,AB695)))</f>
        <v>0</v>
      </c>
      <c r="AU695" s="94" t="n">
        <f aca="false">IF(ISNUMBER(Z695),AT695/10000*MAX(Z695-1,0)*AA695*1000000,0)</f>
        <v>0</v>
      </c>
      <c r="AV695" s="94" t="n">
        <f aca="false">AO695+AU695</f>
        <v>0</v>
      </c>
      <c r="AW695" s="43" t="str">
        <f aca="false">IF(Q695&lt;&gt;1,"",TRIM(IF(AD695=1,"FRN ","")&amp;IF(AND(AL695&gt;=10,AL695&lt;99),"BBB0미만 ","")&amp;IF(AJ695="","등급없음 ","")&amp;IF(K695&lt;&gt;1,"비USD ","")&amp;IF(AND(AB695="",Y695=0),"시장데이터없음 ","")&amp;IF(AND(ISNUMBER(U695),U695&lt;0),"만기경과 ","")))</f>
        <v/>
      </c>
      <c r="AX695" s="90" t="n">
        <f aca="false">IF(Q695&lt;&gt;1,1,IF(스프레드쇼크!$C$4="Y",INDEX(스프레드쇼크!$B$12:$L$16,IFERROR(MATCH(AH695,스프레드쇼크!$A$12:$A$16,0),MATCH("목록외",스프레드쇼크!$A$12:$A$16,0)),IFERROR(MATCH(AG695,스프레드쇼크!$B$11:$L$11,0),MATCH("목록외",스프레드쇼크!$B$11:$L$11,0))),1))</f>
        <v>1</v>
      </c>
      <c r="AY695" s="90" t="n">
        <f aca="false">IF(스프레드쇼크!$C$5="Y",IF(ISNUMBER(AF695),MIN(스프레드쇼크!$C$7,MAX(스프레드쇼크!$C$6,AF695/스프레드쇼크!$C$8)),1),1)</f>
        <v>1</v>
      </c>
      <c r="AZ695" s="94" t="n">
        <f aca="false">AN695*AX695*AY695</f>
        <v>0</v>
      </c>
      <c r="BA695" s="90" t="n">
        <f aca="false">IF(ISNUMBER(G695),AA695*G695,0)</f>
        <v>0</v>
      </c>
      <c r="BB695" s="90" t="n">
        <f aca="false">IF(ISNUMBER(G695),AA695,0)</f>
        <v>0</v>
      </c>
      <c r="BC695" s="90" t="n">
        <f aca="false">IF(AND(Y695=0,ISNUMBER(AF695)),AA695*AF695,0)</f>
        <v>0</v>
      </c>
      <c r="BD695" s="90" t="n">
        <f aca="false">IF(AND(Y695=0,ISNUMBER(AF695)),AA695,0)</f>
        <v>0</v>
      </c>
      <c r="BE695" s="90" t="n">
        <f aca="false">IF(ISNUMBER(H695),AA695*H695,0)</f>
        <v>0</v>
      </c>
      <c r="BF695" s="90" t="n">
        <f aca="false">IF(ISNUMBER(H695),AA695,0)</f>
        <v>0</v>
      </c>
      <c r="BG695" s="90" t="n">
        <f aca="false">IF(AND(Y695=0,ISNUMBER(AF695),ISNUMBER(Z695)),AA695*Z695,0)</f>
        <v>0</v>
      </c>
      <c r="BH695" s="90" t="n">
        <f aca="false">IF(AND(Y695=0,ISNUMBER(AF695),ISNUMBER(Z695)),AA695*AT695*MAX(Z695-1,0),0)</f>
        <v>0</v>
      </c>
      <c r="BI695" s="90" t="n">
        <f aca="false">IF(Y695=0,AA695,0)</f>
        <v>0</v>
      </c>
    </row>
    <row r="696" customFormat="false" ht="15" hidden="false" customHeight="false" outlineLevel="0" collapsed="false">
      <c r="A696" s="83" t="str">
        <f aca="false">IFERROR(IF(INDEX(원자료_잔고!$A$1:$EZ$1500,설정!$L$5+ROW()-1,설정!$L$8)&amp;""="0","",INDEX(원자료_잔고!$A$1:$EZ$1500,설정!$L$5+ROW()-1,설정!$L$8)&amp;""),"")</f>
        <v/>
      </c>
      <c r="B696" s="83" t="str">
        <f aca="false">IFERROR(IF(INDEX(원자료_잔고!$A$1:$EZ$1500,설정!$L$5+ROW()-1,설정!$L$7)&amp;""="0","",INDEX(원자료_잔고!$A$1:$EZ$1500,설정!$L$5+ROW()-1,설정!$L$7)&amp;""),"")</f>
        <v/>
      </c>
      <c r="C696" s="83" t="str">
        <f aca="false">IFERROR(IF(INDEX(원자료_잔고!$A$1:$EZ$1500,설정!$L$5+ROW()-1,설정!$L$9)&amp;""="0","",INDEX(원자료_잔고!$A$1:$EZ$1500,설정!$L$5+ROW()-1,설정!$L$9)&amp;""),"")</f>
        <v/>
      </c>
      <c r="D696" s="83" t="str">
        <f aca="false">IFERROR(IF(INDEX(원자료_잔고!$A$1:$EZ$1500,설정!$L$5+ROW()-1,설정!$L$10)&amp;""="0","",INDEX(원자료_잔고!$A$1:$EZ$1500,설정!$L$5+ROW()-1,설정!$L$10)&amp;""),"")</f>
        <v/>
      </c>
      <c r="E696" s="84" t="str">
        <f aca="false">IFERROR(IF(ISNUMBER(INDEX(원자료_잔고!$A$1:$EZ$1500,설정!$L$5+ROW()-1,설정!$L$11)),INDEX(원자료_잔고!$A$1:$EZ$1500,설정!$L$5+ROW()-1,설정!$L$11),""),"")</f>
        <v/>
      </c>
      <c r="F696" s="85" t="str">
        <f aca="false">IFERROR(IF(ISNUMBER(INDEX(원자료_잔고!$A$1:$EZ$1500,설정!$L$5+ROW()-1,설정!$L$12)),INDEX(원자료_잔고!$A$1:$EZ$1500,설정!$L$5+ROW()-1,설정!$L$12),""),"")</f>
        <v/>
      </c>
      <c r="G696" s="85" t="str">
        <f aca="false">IFERROR(IF(ISNUMBER(INDEX(원자료_잔고!$A$1:$EZ$1500,설정!$L$5+ROW()-1,설정!$L$13)),INDEX(원자료_잔고!$A$1:$EZ$1500,설정!$L$5+ROW()-1,설정!$L$13),""),"")</f>
        <v/>
      </c>
      <c r="H696" s="85" t="str">
        <f aca="false">IFERROR(IF(ISNUMBER(INDEX(원자료_잔고!$A$1:$EZ$1500,설정!$L$5+ROW()-1,설정!$L$14)),INDEX(원자료_잔고!$A$1:$EZ$1500,설정!$L$5+ROW()-1,설정!$L$14),""),"")</f>
        <v/>
      </c>
      <c r="I696" s="86" t="str">
        <f aca="false">IFERROR(IF(ISNUMBER(INDEX(원자료_잔고!$A$1:$EZ$1500,설정!$L$5+ROW()-1,설정!$L$15)),INDEX(원자료_잔고!$A$1:$EZ$1500,설정!$L$5+ROW()-1,설정!$L$15),""),"")</f>
        <v/>
      </c>
      <c r="J696" s="85" t="str">
        <f aca="false">IFERROR(IF(ISNUMBER(INDEX(원자료_잔고!$A$1:$EZ$1500,설정!$L$5+ROW()-1,설정!$L$16)),INDEX(원자료_잔고!$A$1:$EZ$1500,설정!$L$5+ROW()-1,설정!$L$16),""),"")</f>
        <v/>
      </c>
      <c r="K696" s="87" t="str">
        <f aca="false">IFERROR(IF(ISNUMBER(INDEX(원자료_잔고!$A$1:$EZ$1500,설정!$L$5+ROW()-1,설정!$L$17)),INDEX(원자료_잔고!$A$1:$EZ$1500,설정!$L$5+ROW()-1,설정!$L$17),""),"")</f>
        <v/>
      </c>
      <c r="L696" s="84" t="str">
        <f aca="false">IFERROR(IF(ISNUMBER(INDEX(원자료_잔고!$A$1:$EZ$1500,설정!$L$5+ROW()-1,설정!$L$18)),INDEX(원자료_잔고!$A$1:$EZ$1500,설정!$L$5+ROW()-1,설정!$L$18),""),"")</f>
        <v/>
      </c>
      <c r="M696" s="88" t="str">
        <f aca="false">IFERROR(IF(ISNUMBER(INDEX(원자료_잔고!$A$1:$EZ$1500,설정!$L$5+ROW()-1,설정!$L$19)),INDEX(원자료_잔고!$A$1:$EZ$1500,설정!$L$5+ROW()-1,설정!$L$19),""),"")</f>
        <v/>
      </c>
      <c r="N696" s="83" t="str">
        <f aca="false">IFERROR(IF(INDEX(원자료_잔고!$A$1:$EZ$1500,설정!$L$5+ROW()-1,설정!$L$21)&amp;""="0","",INDEX(원자료_잔고!$A$1:$EZ$1500,설정!$L$5+ROW()-1,설정!$L$21)&amp;""),"")</f>
        <v/>
      </c>
      <c r="O696" s="83" t="str">
        <f aca="false">IFERROR(IF(INDEX(원자료_잔고!$A$1:$EZ$1500,설정!$L$5+ROW()-1,설정!$L$22)&amp;""="0","",INDEX(원자료_잔고!$A$1:$EZ$1500,설정!$L$5+ROW()-1,설정!$L$22)&amp;""),"")</f>
        <v/>
      </c>
      <c r="P696" s="83" t="str">
        <f aca="false">IFERROR(IF(INDEX(원자료_잔고!$A$1:$EZ$1500,설정!$L$5+ROW()-1,설정!$L$23)&amp;""="0","",INDEX(원자료_잔고!$A$1:$EZ$1500,설정!$L$5+ROW()-1,설정!$L$23)&amp;""),"")</f>
        <v/>
      </c>
      <c r="Q696" s="89" t="n">
        <f aca="false">IF(AND($A696&lt;&gt;"",ISNUMBER(E696)),IF(E696&gt;0,1,0),0)</f>
        <v>0</v>
      </c>
      <c r="R696" s="43" t="str">
        <f aca="false">IF(Q696=1,UPPER(LEFT($A696,FIND(" ",$A696&amp;" ")-1)),"")</f>
        <v/>
      </c>
      <c r="S696" s="89" t="n">
        <f aca="false">IF(Q696=1,IF(OR(ISNUMBER(SEARCH("Float",$A696)),ISNUMBER(SEARCH("FRN",$A696))),1,0),0)</f>
        <v>0</v>
      </c>
      <c r="T696" s="43" t="str">
        <f aca="false">IF(AND(Q696=1,ISNUMBER(I696)),TEXT(I696,"yyyymmdd")&amp;"|"&amp;IF(S696=1,"F",TEXT(J696,"0.000")),"")</f>
        <v/>
      </c>
      <c r="U696" s="90" t="str">
        <f aca="false">IF(AND(Q696=1,ISNUMBER(I696)),(I696-설정!$C$4)/365.25,"")</f>
        <v/>
      </c>
      <c r="V696" s="43" t="str">
        <f aca="false">IF(Q696&lt;&gt;1,"",IF(ISNUMBER(U696),IF(U696&lt;=1,"1년 이하",IF(U696&lt;=2,"1-2년",IF(U696&lt;=3,"2-3년",IF(U696&lt;=4,"3-4년",IF(U696&lt;=5,"4-5년",IF(U696&lt;=7,"5-7년",IF(U696&lt;=10,"7-10년",IF(U696&lt;=20,"10-20년","20년 이상")))))))),"미분류"))</f>
        <v/>
      </c>
      <c r="W696" s="43" t="str">
        <f aca="false">IF(Q696&lt;&gt;1,"",IF(AB696&lt;&gt;"",INDEX(시장분석!$C:$C,AB696),IF(K696=1,"USD","비USD")))</f>
        <v/>
      </c>
      <c r="X696" s="91" t="n">
        <f aca="false">IF(Q696=1,E696*K696/1000000,0)</f>
        <v>0</v>
      </c>
      <c r="Y696" s="89" t="n">
        <f aca="false">IF(R696="T",1,0)</f>
        <v>0</v>
      </c>
      <c r="Z696" s="92" t="str">
        <f aca="false">IF(Q696&lt;&gt;1,"",IF(AD696=1,IF(ISNUMBER(U696),MAX(U696,0),H696),H696))</f>
        <v/>
      </c>
      <c r="AA696" s="91" t="n">
        <f aca="false">IF(Q696=1,IF(ISNUMBER(L696),L696,0)*K696/1000000,0)</f>
        <v>0</v>
      </c>
      <c r="AB696" s="89" t="str">
        <f aca="false">IF(Q696&lt;&gt;1,"",IFERROR(MATCH(VLOOKUP(B696,매핑!$H$4:$I$15,2,0),시장분석!$A$2:$A$601,0)+1,IFERROR(MATCH(R696&amp;"|"&amp;T696,시장분석!$V$2:$V$601,0)+1,IF(COUNTIF(시장분석!$U$2:$U$601,T696)=1,MATCH(T696,시장분석!$U$2:$U$601,0)+1,""))))</f>
        <v/>
      </c>
      <c r="AC696" s="89" t="n">
        <f aca="false">IF(Q696&lt;&gt;1,0,IF(OR(설정!$C$5="전체",AND(설정!$C$5="선택펀드",IFERROR(COUNTIFS(설정!$F$16:$F$36,C696,설정!$G$16:$G$36,"Y")+COUNTIFS(설정!$F$16:$F$36,VALUE(C696),설정!$G$16:$G$36,"Y"),0)&gt;0),C696&amp;""=설정!$C$5&amp;""),1,0))</f>
        <v>0</v>
      </c>
      <c r="AD696" s="89" t="n">
        <f aca="false">IF(Q696&lt;&gt;1,0,IF(OR(S696=1,IF(AB696="",FALSE(),INDEX(시장분석!$R:$R,AB696)=1)),1,0))</f>
        <v>0</v>
      </c>
      <c r="AE696" s="43" t="str">
        <f aca="false">IF(AB696="","",INDEX(시장분석!$A:$A,AB696))</f>
        <v/>
      </c>
      <c r="AF696" s="93" t="str">
        <f aca="false">IF(AB696="","",IF(ISNUMBER(IF(AB696="","",INDEX(시장분석!$E:$E,AB696))),IF(AB696="","",INDEX(시장분석!$E:$E,AB696)),""))</f>
        <v/>
      </c>
      <c r="AG696" s="43" t="str">
        <f aca="false">IF(Q696&lt;&gt;1,"",IF(AB696&lt;&gt;"",IF(AB696="","",INDEX(시장분석!$L:$L,AB696)),IFERROR(IF(VLOOKUP(R696,매핑!$A$4:$E$92,5,0)="","미분류",VLOOKUP(R696,매핑!$A$4:$E$92,5,0)),"미분류")))</f>
        <v/>
      </c>
      <c r="AH696" s="43" t="str">
        <f aca="false">IF(Q696&lt;&gt;1,"",IF(AB696&lt;&gt;"",IF(AB696="","",INDEX(시장분석!$N:$N,AB696)),IFERROR(IF(VLOOKUP(R696,매핑!$A$4:$E$92,4,0)="","미분류",VLOOKUP(R696,매핑!$A$4:$E$92,4,0)),"미분류")))</f>
        <v/>
      </c>
      <c r="AI696" s="43" t="str">
        <f aca="false">IF(Q696&lt;&gt;1,"",IFERROR(IF(VLOOKUP(R696,매핑!$A$4:$E$92,3,0)="","미분류",VLOOKUP(R696,매핑!$A$4:$E$92,3,0)),IF(AB696&lt;&gt;"",IF(AB696="","",INDEX(시장분석!$W:$W,AB696)),"미분류")))</f>
        <v/>
      </c>
      <c r="AJ696" s="43" t="str">
        <f aca="false">IF(Q696&lt;&gt;1,"",IFERROR(VLOOKUP(IF(N696&lt;&gt;"",N696,IF(P696&lt;&gt;"",P696,O696)),설정!$A$15:$D$47,2,0),""))</f>
        <v/>
      </c>
      <c r="AK696" s="43" t="str">
        <f aca="false">IF(Q696&lt;&gt;1,"",IF(AJ696="","무등급",IFERROR(VLOOKUP(AJ696,설정!$A$15:$D$47,3,0),"무등급")))</f>
        <v/>
      </c>
      <c r="AL696" s="89" t="n">
        <f aca="false">IF(AJ696="",99,IFERROR(VLOOKUP(AJ696,설정!$A$15:$D$47,4,0),99))</f>
        <v>99</v>
      </c>
      <c r="AM696" s="94" t="n">
        <f aca="false">IF(ISNUMBER(H696),AA696*1000000*H696/10000,0)</f>
        <v>0</v>
      </c>
      <c r="AN696" s="94" t="n">
        <f aca="false">IF(OR(Y696=1,NOT(ISNUMBER(Z696))),0,AA696*1000000*Z696/10000)</f>
        <v>0</v>
      </c>
      <c r="AO696" s="94" t="n">
        <f aca="false">IF(ISNUMBER(G696),AA696*1000000*G696/100,0)</f>
        <v>0</v>
      </c>
      <c r="AP696" s="94" t="n">
        <f aca="false">IF(ISNUMBER(M696),M696*K696,0)</f>
        <v>0</v>
      </c>
      <c r="AQ696" s="95" t="str">
        <f aca="false">IF(AB696="","",INDEX(시장분석!$AK:$AK,AB696))</f>
        <v/>
      </c>
      <c r="AR696" s="43" t="str">
        <f aca="false">IF(AB696="","-",IF(AB696="","",INDEX(시장분석!$AL:$AL,AB696)))</f>
        <v>-</v>
      </c>
      <c r="AS696" s="96" t="str">
        <f aca="false">IF(AB696="","",INDEX(시장분석!$AJ:$AJ,AB696))</f>
        <v/>
      </c>
      <c r="AT696" s="93" t="n">
        <f aca="false">IF(AB696="",0,IF(AB696="","",INDEX(시장분석!$AN:$AN,AB696)))</f>
        <v>0</v>
      </c>
      <c r="AU696" s="94" t="n">
        <f aca="false">IF(ISNUMBER(Z696),AT696/10000*MAX(Z696-1,0)*AA696*1000000,0)</f>
        <v>0</v>
      </c>
      <c r="AV696" s="94" t="n">
        <f aca="false">AO696+AU696</f>
        <v>0</v>
      </c>
      <c r="AW696" s="43" t="str">
        <f aca="false">IF(Q696&lt;&gt;1,"",TRIM(IF(AD696=1,"FRN ","")&amp;IF(AND(AL696&gt;=10,AL696&lt;99),"BBB0미만 ","")&amp;IF(AJ696="","등급없음 ","")&amp;IF(K696&lt;&gt;1,"비USD ","")&amp;IF(AND(AB696="",Y696=0),"시장데이터없음 ","")&amp;IF(AND(ISNUMBER(U696),U696&lt;0),"만기경과 ","")))</f>
        <v/>
      </c>
      <c r="AX696" s="90" t="n">
        <f aca="false">IF(Q696&lt;&gt;1,1,IF(스프레드쇼크!$C$4="Y",INDEX(스프레드쇼크!$B$12:$L$16,IFERROR(MATCH(AH696,스프레드쇼크!$A$12:$A$16,0),MATCH("목록외",스프레드쇼크!$A$12:$A$16,0)),IFERROR(MATCH(AG696,스프레드쇼크!$B$11:$L$11,0),MATCH("목록외",스프레드쇼크!$B$11:$L$11,0))),1))</f>
        <v>1</v>
      </c>
      <c r="AY696" s="90" t="n">
        <f aca="false">IF(스프레드쇼크!$C$5="Y",IF(ISNUMBER(AF696),MIN(스프레드쇼크!$C$7,MAX(스프레드쇼크!$C$6,AF696/스프레드쇼크!$C$8)),1),1)</f>
        <v>1</v>
      </c>
      <c r="AZ696" s="94" t="n">
        <f aca="false">AN696*AX696*AY696</f>
        <v>0</v>
      </c>
      <c r="BA696" s="90" t="n">
        <f aca="false">IF(ISNUMBER(G696),AA696*G696,0)</f>
        <v>0</v>
      </c>
      <c r="BB696" s="90" t="n">
        <f aca="false">IF(ISNUMBER(G696),AA696,0)</f>
        <v>0</v>
      </c>
      <c r="BC696" s="90" t="n">
        <f aca="false">IF(AND(Y696=0,ISNUMBER(AF696)),AA696*AF696,0)</f>
        <v>0</v>
      </c>
      <c r="BD696" s="90" t="n">
        <f aca="false">IF(AND(Y696=0,ISNUMBER(AF696)),AA696,0)</f>
        <v>0</v>
      </c>
      <c r="BE696" s="90" t="n">
        <f aca="false">IF(ISNUMBER(H696),AA696*H696,0)</f>
        <v>0</v>
      </c>
      <c r="BF696" s="90" t="n">
        <f aca="false">IF(ISNUMBER(H696),AA696,0)</f>
        <v>0</v>
      </c>
      <c r="BG696" s="90" t="n">
        <f aca="false">IF(AND(Y696=0,ISNUMBER(AF696),ISNUMBER(Z696)),AA696*Z696,0)</f>
        <v>0</v>
      </c>
      <c r="BH696" s="90" t="n">
        <f aca="false">IF(AND(Y696=0,ISNUMBER(AF696),ISNUMBER(Z696)),AA696*AT696*MAX(Z696-1,0),0)</f>
        <v>0</v>
      </c>
      <c r="BI696" s="90" t="n">
        <f aca="false">IF(Y696=0,AA696,0)</f>
        <v>0</v>
      </c>
    </row>
    <row r="697" customFormat="false" ht="15" hidden="false" customHeight="false" outlineLevel="0" collapsed="false">
      <c r="A697" s="83" t="str">
        <f aca="false">IFERROR(IF(INDEX(원자료_잔고!$A$1:$EZ$1500,설정!$L$5+ROW()-1,설정!$L$8)&amp;""="0","",INDEX(원자료_잔고!$A$1:$EZ$1500,설정!$L$5+ROW()-1,설정!$L$8)&amp;""),"")</f>
        <v/>
      </c>
      <c r="B697" s="83" t="str">
        <f aca="false">IFERROR(IF(INDEX(원자료_잔고!$A$1:$EZ$1500,설정!$L$5+ROW()-1,설정!$L$7)&amp;""="0","",INDEX(원자료_잔고!$A$1:$EZ$1500,설정!$L$5+ROW()-1,설정!$L$7)&amp;""),"")</f>
        <v/>
      </c>
      <c r="C697" s="83" t="str">
        <f aca="false">IFERROR(IF(INDEX(원자료_잔고!$A$1:$EZ$1500,설정!$L$5+ROW()-1,설정!$L$9)&amp;""="0","",INDEX(원자료_잔고!$A$1:$EZ$1500,설정!$L$5+ROW()-1,설정!$L$9)&amp;""),"")</f>
        <v/>
      </c>
      <c r="D697" s="83" t="str">
        <f aca="false">IFERROR(IF(INDEX(원자료_잔고!$A$1:$EZ$1500,설정!$L$5+ROW()-1,설정!$L$10)&amp;""="0","",INDEX(원자료_잔고!$A$1:$EZ$1500,설정!$L$5+ROW()-1,설정!$L$10)&amp;""),"")</f>
        <v/>
      </c>
      <c r="E697" s="84" t="str">
        <f aca="false">IFERROR(IF(ISNUMBER(INDEX(원자료_잔고!$A$1:$EZ$1500,설정!$L$5+ROW()-1,설정!$L$11)),INDEX(원자료_잔고!$A$1:$EZ$1500,설정!$L$5+ROW()-1,설정!$L$11),""),"")</f>
        <v/>
      </c>
      <c r="F697" s="85" t="str">
        <f aca="false">IFERROR(IF(ISNUMBER(INDEX(원자료_잔고!$A$1:$EZ$1500,설정!$L$5+ROW()-1,설정!$L$12)),INDEX(원자료_잔고!$A$1:$EZ$1500,설정!$L$5+ROW()-1,설정!$L$12),""),"")</f>
        <v/>
      </c>
      <c r="G697" s="85" t="str">
        <f aca="false">IFERROR(IF(ISNUMBER(INDEX(원자료_잔고!$A$1:$EZ$1500,설정!$L$5+ROW()-1,설정!$L$13)),INDEX(원자료_잔고!$A$1:$EZ$1500,설정!$L$5+ROW()-1,설정!$L$13),""),"")</f>
        <v/>
      </c>
      <c r="H697" s="85" t="str">
        <f aca="false">IFERROR(IF(ISNUMBER(INDEX(원자료_잔고!$A$1:$EZ$1500,설정!$L$5+ROW()-1,설정!$L$14)),INDEX(원자료_잔고!$A$1:$EZ$1500,설정!$L$5+ROW()-1,설정!$L$14),""),"")</f>
        <v/>
      </c>
      <c r="I697" s="86" t="str">
        <f aca="false">IFERROR(IF(ISNUMBER(INDEX(원자료_잔고!$A$1:$EZ$1500,설정!$L$5+ROW()-1,설정!$L$15)),INDEX(원자료_잔고!$A$1:$EZ$1500,설정!$L$5+ROW()-1,설정!$L$15),""),"")</f>
        <v/>
      </c>
      <c r="J697" s="85" t="str">
        <f aca="false">IFERROR(IF(ISNUMBER(INDEX(원자료_잔고!$A$1:$EZ$1500,설정!$L$5+ROW()-1,설정!$L$16)),INDEX(원자료_잔고!$A$1:$EZ$1500,설정!$L$5+ROW()-1,설정!$L$16),""),"")</f>
        <v/>
      </c>
      <c r="K697" s="87" t="str">
        <f aca="false">IFERROR(IF(ISNUMBER(INDEX(원자료_잔고!$A$1:$EZ$1500,설정!$L$5+ROW()-1,설정!$L$17)),INDEX(원자료_잔고!$A$1:$EZ$1500,설정!$L$5+ROW()-1,설정!$L$17),""),"")</f>
        <v/>
      </c>
      <c r="L697" s="84" t="str">
        <f aca="false">IFERROR(IF(ISNUMBER(INDEX(원자료_잔고!$A$1:$EZ$1500,설정!$L$5+ROW()-1,설정!$L$18)),INDEX(원자료_잔고!$A$1:$EZ$1500,설정!$L$5+ROW()-1,설정!$L$18),""),"")</f>
        <v/>
      </c>
      <c r="M697" s="88" t="str">
        <f aca="false">IFERROR(IF(ISNUMBER(INDEX(원자료_잔고!$A$1:$EZ$1500,설정!$L$5+ROW()-1,설정!$L$19)),INDEX(원자료_잔고!$A$1:$EZ$1500,설정!$L$5+ROW()-1,설정!$L$19),""),"")</f>
        <v/>
      </c>
      <c r="N697" s="83" t="str">
        <f aca="false">IFERROR(IF(INDEX(원자료_잔고!$A$1:$EZ$1500,설정!$L$5+ROW()-1,설정!$L$21)&amp;""="0","",INDEX(원자료_잔고!$A$1:$EZ$1500,설정!$L$5+ROW()-1,설정!$L$21)&amp;""),"")</f>
        <v/>
      </c>
      <c r="O697" s="83" t="str">
        <f aca="false">IFERROR(IF(INDEX(원자료_잔고!$A$1:$EZ$1500,설정!$L$5+ROW()-1,설정!$L$22)&amp;""="0","",INDEX(원자료_잔고!$A$1:$EZ$1500,설정!$L$5+ROW()-1,설정!$L$22)&amp;""),"")</f>
        <v/>
      </c>
      <c r="P697" s="83" t="str">
        <f aca="false">IFERROR(IF(INDEX(원자료_잔고!$A$1:$EZ$1500,설정!$L$5+ROW()-1,설정!$L$23)&amp;""="0","",INDEX(원자료_잔고!$A$1:$EZ$1500,설정!$L$5+ROW()-1,설정!$L$23)&amp;""),"")</f>
        <v/>
      </c>
      <c r="Q697" s="89" t="n">
        <f aca="false">IF(AND($A697&lt;&gt;"",ISNUMBER(E697)),IF(E697&gt;0,1,0),0)</f>
        <v>0</v>
      </c>
      <c r="R697" s="43" t="str">
        <f aca="false">IF(Q697=1,UPPER(LEFT($A697,FIND(" ",$A697&amp;" ")-1)),"")</f>
        <v/>
      </c>
      <c r="S697" s="89" t="n">
        <f aca="false">IF(Q697=1,IF(OR(ISNUMBER(SEARCH("Float",$A697)),ISNUMBER(SEARCH("FRN",$A697))),1,0),0)</f>
        <v>0</v>
      </c>
      <c r="T697" s="43" t="str">
        <f aca="false">IF(AND(Q697=1,ISNUMBER(I697)),TEXT(I697,"yyyymmdd")&amp;"|"&amp;IF(S697=1,"F",TEXT(J697,"0.000")),"")</f>
        <v/>
      </c>
      <c r="U697" s="90" t="str">
        <f aca="false">IF(AND(Q697=1,ISNUMBER(I697)),(I697-설정!$C$4)/365.25,"")</f>
        <v/>
      </c>
      <c r="V697" s="43" t="str">
        <f aca="false">IF(Q697&lt;&gt;1,"",IF(ISNUMBER(U697),IF(U697&lt;=1,"1년 이하",IF(U697&lt;=2,"1-2년",IF(U697&lt;=3,"2-3년",IF(U697&lt;=4,"3-4년",IF(U697&lt;=5,"4-5년",IF(U697&lt;=7,"5-7년",IF(U697&lt;=10,"7-10년",IF(U697&lt;=20,"10-20년","20년 이상")))))))),"미분류"))</f>
        <v/>
      </c>
      <c r="W697" s="43" t="str">
        <f aca="false">IF(Q697&lt;&gt;1,"",IF(AB697&lt;&gt;"",INDEX(시장분석!$C:$C,AB697),IF(K697=1,"USD","비USD")))</f>
        <v/>
      </c>
      <c r="X697" s="91" t="n">
        <f aca="false">IF(Q697=1,E697*K697/1000000,0)</f>
        <v>0</v>
      </c>
      <c r="Y697" s="89" t="n">
        <f aca="false">IF(R697="T",1,0)</f>
        <v>0</v>
      </c>
      <c r="Z697" s="92" t="str">
        <f aca="false">IF(Q697&lt;&gt;1,"",IF(AD697=1,IF(ISNUMBER(U697),MAX(U697,0),H697),H697))</f>
        <v/>
      </c>
      <c r="AA697" s="91" t="n">
        <f aca="false">IF(Q697=1,IF(ISNUMBER(L697),L697,0)*K697/1000000,0)</f>
        <v>0</v>
      </c>
      <c r="AB697" s="89" t="str">
        <f aca="false">IF(Q697&lt;&gt;1,"",IFERROR(MATCH(VLOOKUP(B697,매핑!$H$4:$I$15,2,0),시장분석!$A$2:$A$601,0)+1,IFERROR(MATCH(R697&amp;"|"&amp;T697,시장분석!$V$2:$V$601,0)+1,IF(COUNTIF(시장분석!$U$2:$U$601,T697)=1,MATCH(T697,시장분석!$U$2:$U$601,0)+1,""))))</f>
        <v/>
      </c>
      <c r="AC697" s="89" t="n">
        <f aca="false">IF(Q697&lt;&gt;1,0,IF(OR(설정!$C$5="전체",AND(설정!$C$5="선택펀드",IFERROR(COUNTIFS(설정!$F$16:$F$36,C697,설정!$G$16:$G$36,"Y")+COUNTIFS(설정!$F$16:$F$36,VALUE(C697),설정!$G$16:$G$36,"Y"),0)&gt;0),C697&amp;""=설정!$C$5&amp;""),1,0))</f>
        <v>0</v>
      </c>
      <c r="AD697" s="89" t="n">
        <f aca="false">IF(Q697&lt;&gt;1,0,IF(OR(S697=1,IF(AB697="",FALSE(),INDEX(시장분석!$R:$R,AB697)=1)),1,0))</f>
        <v>0</v>
      </c>
      <c r="AE697" s="43" t="str">
        <f aca="false">IF(AB697="","",INDEX(시장분석!$A:$A,AB697))</f>
        <v/>
      </c>
      <c r="AF697" s="93" t="str">
        <f aca="false">IF(AB697="","",IF(ISNUMBER(IF(AB697="","",INDEX(시장분석!$E:$E,AB697))),IF(AB697="","",INDEX(시장분석!$E:$E,AB697)),""))</f>
        <v/>
      </c>
      <c r="AG697" s="43" t="str">
        <f aca="false">IF(Q697&lt;&gt;1,"",IF(AB697&lt;&gt;"",IF(AB697="","",INDEX(시장분석!$L:$L,AB697)),IFERROR(IF(VLOOKUP(R697,매핑!$A$4:$E$92,5,0)="","미분류",VLOOKUP(R697,매핑!$A$4:$E$92,5,0)),"미분류")))</f>
        <v/>
      </c>
      <c r="AH697" s="43" t="str">
        <f aca="false">IF(Q697&lt;&gt;1,"",IF(AB697&lt;&gt;"",IF(AB697="","",INDEX(시장분석!$N:$N,AB697)),IFERROR(IF(VLOOKUP(R697,매핑!$A$4:$E$92,4,0)="","미분류",VLOOKUP(R697,매핑!$A$4:$E$92,4,0)),"미분류")))</f>
        <v/>
      </c>
      <c r="AI697" s="43" t="str">
        <f aca="false">IF(Q697&lt;&gt;1,"",IFERROR(IF(VLOOKUP(R697,매핑!$A$4:$E$92,3,0)="","미분류",VLOOKUP(R697,매핑!$A$4:$E$92,3,0)),IF(AB697&lt;&gt;"",IF(AB697="","",INDEX(시장분석!$W:$W,AB697)),"미분류")))</f>
        <v/>
      </c>
      <c r="AJ697" s="43" t="str">
        <f aca="false">IF(Q697&lt;&gt;1,"",IFERROR(VLOOKUP(IF(N697&lt;&gt;"",N697,IF(P697&lt;&gt;"",P697,O697)),설정!$A$15:$D$47,2,0),""))</f>
        <v/>
      </c>
      <c r="AK697" s="43" t="str">
        <f aca="false">IF(Q697&lt;&gt;1,"",IF(AJ697="","무등급",IFERROR(VLOOKUP(AJ697,설정!$A$15:$D$47,3,0),"무등급")))</f>
        <v/>
      </c>
      <c r="AL697" s="89" t="n">
        <f aca="false">IF(AJ697="",99,IFERROR(VLOOKUP(AJ697,설정!$A$15:$D$47,4,0),99))</f>
        <v>99</v>
      </c>
      <c r="AM697" s="94" t="n">
        <f aca="false">IF(ISNUMBER(H697),AA697*1000000*H697/10000,0)</f>
        <v>0</v>
      </c>
      <c r="AN697" s="94" t="n">
        <f aca="false">IF(OR(Y697=1,NOT(ISNUMBER(Z697))),0,AA697*1000000*Z697/10000)</f>
        <v>0</v>
      </c>
      <c r="AO697" s="94" t="n">
        <f aca="false">IF(ISNUMBER(G697),AA697*1000000*G697/100,0)</f>
        <v>0</v>
      </c>
      <c r="AP697" s="94" t="n">
        <f aca="false">IF(ISNUMBER(M697),M697*K697,0)</f>
        <v>0</v>
      </c>
      <c r="AQ697" s="95" t="str">
        <f aca="false">IF(AB697="","",INDEX(시장분석!$AK:$AK,AB697))</f>
        <v/>
      </c>
      <c r="AR697" s="43" t="str">
        <f aca="false">IF(AB697="","-",IF(AB697="","",INDEX(시장분석!$AL:$AL,AB697)))</f>
        <v>-</v>
      </c>
      <c r="AS697" s="96" t="str">
        <f aca="false">IF(AB697="","",INDEX(시장분석!$AJ:$AJ,AB697))</f>
        <v/>
      </c>
      <c r="AT697" s="93" t="n">
        <f aca="false">IF(AB697="",0,IF(AB697="","",INDEX(시장분석!$AN:$AN,AB697)))</f>
        <v>0</v>
      </c>
      <c r="AU697" s="94" t="n">
        <f aca="false">IF(ISNUMBER(Z697),AT697/10000*MAX(Z697-1,0)*AA697*1000000,0)</f>
        <v>0</v>
      </c>
      <c r="AV697" s="94" t="n">
        <f aca="false">AO697+AU697</f>
        <v>0</v>
      </c>
      <c r="AW697" s="43" t="str">
        <f aca="false">IF(Q697&lt;&gt;1,"",TRIM(IF(AD697=1,"FRN ","")&amp;IF(AND(AL697&gt;=10,AL697&lt;99),"BBB0미만 ","")&amp;IF(AJ697="","등급없음 ","")&amp;IF(K697&lt;&gt;1,"비USD ","")&amp;IF(AND(AB697="",Y697=0),"시장데이터없음 ","")&amp;IF(AND(ISNUMBER(U697),U697&lt;0),"만기경과 ","")))</f>
        <v/>
      </c>
      <c r="AX697" s="90" t="n">
        <f aca="false">IF(Q697&lt;&gt;1,1,IF(스프레드쇼크!$C$4="Y",INDEX(스프레드쇼크!$B$12:$L$16,IFERROR(MATCH(AH697,스프레드쇼크!$A$12:$A$16,0),MATCH("목록외",스프레드쇼크!$A$12:$A$16,0)),IFERROR(MATCH(AG697,스프레드쇼크!$B$11:$L$11,0),MATCH("목록외",스프레드쇼크!$B$11:$L$11,0))),1))</f>
        <v>1</v>
      </c>
      <c r="AY697" s="90" t="n">
        <f aca="false">IF(스프레드쇼크!$C$5="Y",IF(ISNUMBER(AF697),MIN(스프레드쇼크!$C$7,MAX(스프레드쇼크!$C$6,AF697/스프레드쇼크!$C$8)),1),1)</f>
        <v>1</v>
      </c>
      <c r="AZ697" s="94" t="n">
        <f aca="false">AN697*AX697*AY697</f>
        <v>0</v>
      </c>
      <c r="BA697" s="90" t="n">
        <f aca="false">IF(ISNUMBER(G697),AA697*G697,0)</f>
        <v>0</v>
      </c>
      <c r="BB697" s="90" t="n">
        <f aca="false">IF(ISNUMBER(G697),AA697,0)</f>
        <v>0</v>
      </c>
      <c r="BC697" s="90" t="n">
        <f aca="false">IF(AND(Y697=0,ISNUMBER(AF697)),AA697*AF697,0)</f>
        <v>0</v>
      </c>
      <c r="BD697" s="90" t="n">
        <f aca="false">IF(AND(Y697=0,ISNUMBER(AF697)),AA697,0)</f>
        <v>0</v>
      </c>
      <c r="BE697" s="90" t="n">
        <f aca="false">IF(ISNUMBER(H697),AA697*H697,0)</f>
        <v>0</v>
      </c>
      <c r="BF697" s="90" t="n">
        <f aca="false">IF(ISNUMBER(H697),AA697,0)</f>
        <v>0</v>
      </c>
      <c r="BG697" s="90" t="n">
        <f aca="false">IF(AND(Y697=0,ISNUMBER(AF697),ISNUMBER(Z697)),AA697*Z697,0)</f>
        <v>0</v>
      </c>
      <c r="BH697" s="90" t="n">
        <f aca="false">IF(AND(Y697=0,ISNUMBER(AF697),ISNUMBER(Z697)),AA697*AT697*MAX(Z697-1,0),0)</f>
        <v>0</v>
      </c>
      <c r="BI697" s="90" t="n">
        <f aca="false">IF(Y697=0,AA697,0)</f>
        <v>0</v>
      </c>
    </row>
    <row r="698" customFormat="false" ht="15" hidden="false" customHeight="false" outlineLevel="0" collapsed="false">
      <c r="A698" s="83" t="str">
        <f aca="false">IFERROR(IF(INDEX(원자료_잔고!$A$1:$EZ$1500,설정!$L$5+ROW()-1,설정!$L$8)&amp;""="0","",INDEX(원자료_잔고!$A$1:$EZ$1500,설정!$L$5+ROW()-1,설정!$L$8)&amp;""),"")</f>
        <v/>
      </c>
      <c r="B698" s="83" t="str">
        <f aca="false">IFERROR(IF(INDEX(원자료_잔고!$A$1:$EZ$1500,설정!$L$5+ROW()-1,설정!$L$7)&amp;""="0","",INDEX(원자료_잔고!$A$1:$EZ$1500,설정!$L$5+ROW()-1,설정!$L$7)&amp;""),"")</f>
        <v/>
      </c>
      <c r="C698" s="83" t="str">
        <f aca="false">IFERROR(IF(INDEX(원자료_잔고!$A$1:$EZ$1500,설정!$L$5+ROW()-1,설정!$L$9)&amp;""="0","",INDEX(원자료_잔고!$A$1:$EZ$1500,설정!$L$5+ROW()-1,설정!$L$9)&amp;""),"")</f>
        <v/>
      </c>
      <c r="D698" s="83" t="str">
        <f aca="false">IFERROR(IF(INDEX(원자료_잔고!$A$1:$EZ$1500,설정!$L$5+ROW()-1,설정!$L$10)&amp;""="0","",INDEX(원자료_잔고!$A$1:$EZ$1500,설정!$L$5+ROW()-1,설정!$L$10)&amp;""),"")</f>
        <v/>
      </c>
      <c r="E698" s="84" t="str">
        <f aca="false">IFERROR(IF(ISNUMBER(INDEX(원자료_잔고!$A$1:$EZ$1500,설정!$L$5+ROW()-1,설정!$L$11)),INDEX(원자료_잔고!$A$1:$EZ$1500,설정!$L$5+ROW()-1,설정!$L$11),""),"")</f>
        <v/>
      </c>
      <c r="F698" s="85" t="str">
        <f aca="false">IFERROR(IF(ISNUMBER(INDEX(원자료_잔고!$A$1:$EZ$1500,설정!$L$5+ROW()-1,설정!$L$12)),INDEX(원자료_잔고!$A$1:$EZ$1500,설정!$L$5+ROW()-1,설정!$L$12),""),"")</f>
        <v/>
      </c>
      <c r="G698" s="85" t="str">
        <f aca="false">IFERROR(IF(ISNUMBER(INDEX(원자료_잔고!$A$1:$EZ$1500,설정!$L$5+ROW()-1,설정!$L$13)),INDEX(원자료_잔고!$A$1:$EZ$1500,설정!$L$5+ROW()-1,설정!$L$13),""),"")</f>
        <v/>
      </c>
      <c r="H698" s="85" t="str">
        <f aca="false">IFERROR(IF(ISNUMBER(INDEX(원자료_잔고!$A$1:$EZ$1500,설정!$L$5+ROW()-1,설정!$L$14)),INDEX(원자료_잔고!$A$1:$EZ$1500,설정!$L$5+ROW()-1,설정!$L$14),""),"")</f>
        <v/>
      </c>
      <c r="I698" s="86" t="str">
        <f aca="false">IFERROR(IF(ISNUMBER(INDEX(원자료_잔고!$A$1:$EZ$1500,설정!$L$5+ROW()-1,설정!$L$15)),INDEX(원자료_잔고!$A$1:$EZ$1500,설정!$L$5+ROW()-1,설정!$L$15),""),"")</f>
        <v/>
      </c>
      <c r="J698" s="85" t="str">
        <f aca="false">IFERROR(IF(ISNUMBER(INDEX(원자료_잔고!$A$1:$EZ$1500,설정!$L$5+ROW()-1,설정!$L$16)),INDEX(원자료_잔고!$A$1:$EZ$1500,설정!$L$5+ROW()-1,설정!$L$16),""),"")</f>
        <v/>
      </c>
      <c r="K698" s="87" t="str">
        <f aca="false">IFERROR(IF(ISNUMBER(INDEX(원자료_잔고!$A$1:$EZ$1500,설정!$L$5+ROW()-1,설정!$L$17)),INDEX(원자료_잔고!$A$1:$EZ$1500,설정!$L$5+ROW()-1,설정!$L$17),""),"")</f>
        <v/>
      </c>
      <c r="L698" s="84" t="str">
        <f aca="false">IFERROR(IF(ISNUMBER(INDEX(원자료_잔고!$A$1:$EZ$1500,설정!$L$5+ROW()-1,설정!$L$18)),INDEX(원자료_잔고!$A$1:$EZ$1500,설정!$L$5+ROW()-1,설정!$L$18),""),"")</f>
        <v/>
      </c>
      <c r="M698" s="88" t="str">
        <f aca="false">IFERROR(IF(ISNUMBER(INDEX(원자료_잔고!$A$1:$EZ$1500,설정!$L$5+ROW()-1,설정!$L$19)),INDEX(원자료_잔고!$A$1:$EZ$1500,설정!$L$5+ROW()-1,설정!$L$19),""),"")</f>
        <v/>
      </c>
      <c r="N698" s="83" t="str">
        <f aca="false">IFERROR(IF(INDEX(원자료_잔고!$A$1:$EZ$1500,설정!$L$5+ROW()-1,설정!$L$21)&amp;""="0","",INDEX(원자료_잔고!$A$1:$EZ$1500,설정!$L$5+ROW()-1,설정!$L$21)&amp;""),"")</f>
        <v/>
      </c>
      <c r="O698" s="83" t="str">
        <f aca="false">IFERROR(IF(INDEX(원자료_잔고!$A$1:$EZ$1500,설정!$L$5+ROW()-1,설정!$L$22)&amp;""="0","",INDEX(원자료_잔고!$A$1:$EZ$1500,설정!$L$5+ROW()-1,설정!$L$22)&amp;""),"")</f>
        <v/>
      </c>
      <c r="P698" s="83" t="str">
        <f aca="false">IFERROR(IF(INDEX(원자료_잔고!$A$1:$EZ$1500,설정!$L$5+ROW()-1,설정!$L$23)&amp;""="0","",INDEX(원자료_잔고!$A$1:$EZ$1500,설정!$L$5+ROW()-1,설정!$L$23)&amp;""),"")</f>
        <v/>
      </c>
      <c r="Q698" s="89" t="n">
        <f aca="false">IF(AND($A698&lt;&gt;"",ISNUMBER(E698)),IF(E698&gt;0,1,0),0)</f>
        <v>0</v>
      </c>
      <c r="R698" s="43" t="str">
        <f aca="false">IF(Q698=1,UPPER(LEFT($A698,FIND(" ",$A698&amp;" ")-1)),"")</f>
        <v/>
      </c>
      <c r="S698" s="89" t="n">
        <f aca="false">IF(Q698=1,IF(OR(ISNUMBER(SEARCH("Float",$A698)),ISNUMBER(SEARCH("FRN",$A698))),1,0),0)</f>
        <v>0</v>
      </c>
      <c r="T698" s="43" t="str">
        <f aca="false">IF(AND(Q698=1,ISNUMBER(I698)),TEXT(I698,"yyyymmdd")&amp;"|"&amp;IF(S698=1,"F",TEXT(J698,"0.000")),"")</f>
        <v/>
      </c>
      <c r="U698" s="90" t="str">
        <f aca="false">IF(AND(Q698=1,ISNUMBER(I698)),(I698-설정!$C$4)/365.25,"")</f>
        <v/>
      </c>
      <c r="V698" s="43" t="str">
        <f aca="false">IF(Q698&lt;&gt;1,"",IF(ISNUMBER(U698),IF(U698&lt;=1,"1년 이하",IF(U698&lt;=2,"1-2년",IF(U698&lt;=3,"2-3년",IF(U698&lt;=4,"3-4년",IF(U698&lt;=5,"4-5년",IF(U698&lt;=7,"5-7년",IF(U698&lt;=10,"7-10년",IF(U698&lt;=20,"10-20년","20년 이상")))))))),"미분류"))</f>
        <v/>
      </c>
      <c r="W698" s="43" t="str">
        <f aca="false">IF(Q698&lt;&gt;1,"",IF(AB698&lt;&gt;"",INDEX(시장분석!$C:$C,AB698),IF(K698=1,"USD","비USD")))</f>
        <v/>
      </c>
      <c r="X698" s="91" t="n">
        <f aca="false">IF(Q698=1,E698*K698/1000000,0)</f>
        <v>0</v>
      </c>
      <c r="Y698" s="89" t="n">
        <f aca="false">IF(R698="T",1,0)</f>
        <v>0</v>
      </c>
      <c r="Z698" s="92" t="str">
        <f aca="false">IF(Q698&lt;&gt;1,"",IF(AD698=1,IF(ISNUMBER(U698),MAX(U698,0),H698),H698))</f>
        <v/>
      </c>
      <c r="AA698" s="91" t="n">
        <f aca="false">IF(Q698=1,IF(ISNUMBER(L698),L698,0)*K698/1000000,0)</f>
        <v>0</v>
      </c>
      <c r="AB698" s="89" t="str">
        <f aca="false">IF(Q698&lt;&gt;1,"",IFERROR(MATCH(VLOOKUP(B698,매핑!$H$4:$I$15,2,0),시장분석!$A$2:$A$601,0)+1,IFERROR(MATCH(R698&amp;"|"&amp;T698,시장분석!$V$2:$V$601,0)+1,IF(COUNTIF(시장분석!$U$2:$U$601,T698)=1,MATCH(T698,시장분석!$U$2:$U$601,0)+1,""))))</f>
        <v/>
      </c>
      <c r="AC698" s="89" t="n">
        <f aca="false">IF(Q698&lt;&gt;1,0,IF(OR(설정!$C$5="전체",AND(설정!$C$5="선택펀드",IFERROR(COUNTIFS(설정!$F$16:$F$36,C698,설정!$G$16:$G$36,"Y")+COUNTIFS(설정!$F$16:$F$36,VALUE(C698),설정!$G$16:$G$36,"Y"),0)&gt;0),C698&amp;""=설정!$C$5&amp;""),1,0))</f>
        <v>0</v>
      </c>
      <c r="AD698" s="89" t="n">
        <f aca="false">IF(Q698&lt;&gt;1,0,IF(OR(S698=1,IF(AB698="",FALSE(),INDEX(시장분석!$R:$R,AB698)=1)),1,0))</f>
        <v>0</v>
      </c>
      <c r="AE698" s="43" t="str">
        <f aca="false">IF(AB698="","",INDEX(시장분석!$A:$A,AB698))</f>
        <v/>
      </c>
      <c r="AF698" s="93" t="str">
        <f aca="false">IF(AB698="","",IF(ISNUMBER(IF(AB698="","",INDEX(시장분석!$E:$E,AB698))),IF(AB698="","",INDEX(시장분석!$E:$E,AB698)),""))</f>
        <v/>
      </c>
      <c r="AG698" s="43" t="str">
        <f aca="false">IF(Q698&lt;&gt;1,"",IF(AB698&lt;&gt;"",IF(AB698="","",INDEX(시장분석!$L:$L,AB698)),IFERROR(IF(VLOOKUP(R698,매핑!$A$4:$E$92,5,0)="","미분류",VLOOKUP(R698,매핑!$A$4:$E$92,5,0)),"미분류")))</f>
        <v/>
      </c>
      <c r="AH698" s="43" t="str">
        <f aca="false">IF(Q698&lt;&gt;1,"",IF(AB698&lt;&gt;"",IF(AB698="","",INDEX(시장분석!$N:$N,AB698)),IFERROR(IF(VLOOKUP(R698,매핑!$A$4:$E$92,4,0)="","미분류",VLOOKUP(R698,매핑!$A$4:$E$92,4,0)),"미분류")))</f>
        <v/>
      </c>
      <c r="AI698" s="43" t="str">
        <f aca="false">IF(Q698&lt;&gt;1,"",IFERROR(IF(VLOOKUP(R698,매핑!$A$4:$E$92,3,0)="","미분류",VLOOKUP(R698,매핑!$A$4:$E$92,3,0)),IF(AB698&lt;&gt;"",IF(AB698="","",INDEX(시장분석!$W:$W,AB698)),"미분류")))</f>
        <v/>
      </c>
      <c r="AJ698" s="43" t="str">
        <f aca="false">IF(Q698&lt;&gt;1,"",IFERROR(VLOOKUP(IF(N698&lt;&gt;"",N698,IF(P698&lt;&gt;"",P698,O698)),설정!$A$15:$D$47,2,0),""))</f>
        <v/>
      </c>
      <c r="AK698" s="43" t="str">
        <f aca="false">IF(Q698&lt;&gt;1,"",IF(AJ698="","무등급",IFERROR(VLOOKUP(AJ698,설정!$A$15:$D$47,3,0),"무등급")))</f>
        <v/>
      </c>
      <c r="AL698" s="89" t="n">
        <f aca="false">IF(AJ698="",99,IFERROR(VLOOKUP(AJ698,설정!$A$15:$D$47,4,0),99))</f>
        <v>99</v>
      </c>
      <c r="AM698" s="94" t="n">
        <f aca="false">IF(ISNUMBER(H698),AA698*1000000*H698/10000,0)</f>
        <v>0</v>
      </c>
      <c r="AN698" s="94" t="n">
        <f aca="false">IF(OR(Y698=1,NOT(ISNUMBER(Z698))),0,AA698*1000000*Z698/10000)</f>
        <v>0</v>
      </c>
      <c r="AO698" s="94" t="n">
        <f aca="false">IF(ISNUMBER(G698),AA698*1000000*G698/100,0)</f>
        <v>0</v>
      </c>
      <c r="AP698" s="94" t="n">
        <f aca="false">IF(ISNUMBER(M698),M698*K698,0)</f>
        <v>0</v>
      </c>
      <c r="AQ698" s="95" t="str">
        <f aca="false">IF(AB698="","",INDEX(시장분석!$AK:$AK,AB698))</f>
        <v/>
      </c>
      <c r="AR698" s="43" t="str">
        <f aca="false">IF(AB698="","-",IF(AB698="","",INDEX(시장분석!$AL:$AL,AB698)))</f>
        <v>-</v>
      </c>
      <c r="AS698" s="96" t="str">
        <f aca="false">IF(AB698="","",INDEX(시장분석!$AJ:$AJ,AB698))</f>
        <v/>
      </c>
      <c r="AT698" s="93" t="n">
        <f aca="false">IF(AB698="",0,IF(AB698="","",INDEX(시장분석!$AN:$AN,AB698)))</f>
        <v>0</v>
      </c>
      <c r="AU698" s="94" t="n">
        <f aca="false">IF(ISNUMBER(Z698),AT698/10000*MAX(Z698-1,0)*AA698*1000000,0)</f>
        <v>0</v>
      </c>
      <c r="AV698" s="94" t="n">
        <f aca="false">AO698+AU698</f>
        <v>0</v>
      </c>
      <c r="AW698" s="43" t="str">
        <f aca="false">IF(Q698&lt;&gt;1,"",TRIM(IF(AD698=1,"FRN ","")&amp;IF(AND(AL698&gt;=10,AL698&lt;99),"BBB0미만 ","")&amp;IF(AJ698="","등급없음 ","")&amp;IF(K698&lt;&gt;1,"비USD ","")&amp;IF(AND(AB698="",Y698=0),"시장데이터없음 ","")&amp;IF(AND(ISNUMBER(U698),U698&lt;0),"만기경과 ","")))</f>
        <v/>
      </c>
      <c r="AX698" s="90" t="n">
        <f aca="false">IF(Q698&lt;&gt;1,1,IF(스프레드쇼크!$C$4="Y",INDEX(스프레드쇼크!$B$12:$L$16,IFERROR(MATCH(AH698,스프레드쇼크!$A$12:$A$16,0),MATCH("목록외",스프레드쇼크!$A$12:$A$16,0)),IFERROR(MATCH(AG698,스프레드쇼크!$B$11:$L$11,0),MATCH("목록외",스프레드쇼크!$B$11:$L$11,0))),1))</f>
        <v>1</v>
      </c>
      <c r="AY698" s="90" t="n">
        <f aca="false">IF(스프레드쇼크!$C$5="Y",IF(ISNUMBER(AF698),MIN(스프레드쇼크!$C$7,MAX(스프레드쇼크!$C$6,AF698/스프레드쇼크!$C$8)),1),1)</f>
        <v>1</v>
      </c>
      <c r="AZ698" s="94" t="n">
        <f aca="false">AN698*AX698*AY698</f>
        <v>0</v>
      </c>
      <c r="BA698" s="90" t="n">
        <f aca="false">IF(ISNUMBER(G698),AA698*G698,0)</f>
        <v>0</v>
      </c>
      <c r="BB698" s="90" t="n">
        <f aca="false">IF(ISNUMBER(G698),AA698,0)</f>
        <v>0</v>
      </c>
      <c r="BC698" s="90" t="n">
        <f aca="false">IF(AND(Y698=0,ISNUMBER(AF698)),AA698*AF698,0)</f>
        <v>0</v>
      </c>
      <c r="BD698" s="90" t="n">
        <f aca="false">IF(AND(Y698=0,ISNUMBER(AF698)),AA698,0)</f>
        <v>0</v>
      </c>
      <c r="BE698" s="90" t="n">
        <f aca="false">IF(ISNUMBER(H698),AA698*H698,0)</f>
        <v>0</v>
      </c>
      <c r="BF698" s="90" t="n">
        <f aca="false">IF(ISNUMBER(H698),AA698,0)</f>
        <v>0</v>
      </c>
      <c r="BG698" s="90" t="n">
        <f aca="false">IF(AND(Y698=0,ISNUMBER(AF698),ISNUMBER(Z698)),AA698*Z698,0)</f>
        <v>0</v>
      </c>
      <c r="BH698" s="90" t="n">
        <f aca="false">IF(AND(Y698=0,ISNUMBER(AF698),ISNUMBER(Z698)),AA698*AT698*MAX(Z698-1,0),0)</f>
        <v>0</v>
      </c>
      <c r="BI698" s="90" t="n">
        <f aca="false">IF(Y698=0,AA698,0)</f>
        <v>0</v>
      </c>
    </row>
    <row r="699" customFormat="false" ht="15" hidden="false" customHeight="false" outlineLevel="0" collapsed="false">
      <c r="A699" s="83" t="str">
        <f aca="false">IFERROR(IF(INDEX(원자료_잔고!$A$1:$EZ$1500,설정!$L$5+ROW()-1,설정!$L$8)&amp;""="0","",INDEX(원자료_잔고!$A$1:$EZ$1500,설정!$L$5+ROW()-1,설정!$L$8)&amp;""),"")</f>
        <v/>
      </c>
      <c r="B699" s="83" t="str">
        <f aca="false">IFERROR(IF(INDEX(원자료_잔고!$A$1:$EZ$1500,설정!$L$5+ROW()-1,설정!$L$7)&amp;""="0","",INDEX(원자료_잔고!$A$1:$EZ$1500,설정!$L$5+ROW()-1,설정!$L$7)&amp;""),"")</f>
        <v/>
      </c>
      <c r="C699" s="83" t="str">
        <f aca="false">IFERROR(IF(INDEX(원자료_잔고!$A$1:$EZ$1500,설정!$L$5+ROW()-1,설정!$L$9)&amp;""="0","",INDEX(원자료_잔고!$A$1:$EZ$1500,설정!$L$5+ROW()-1,설정!$L$9)&amp;""),"")</f>
        <v/>
      </c>
      <c r="D699" s="83" t="str">
        <f aca="false">IFERROR(IF(INDEX(원자료_잔고!$A$1:$EZ$1500,설정!$L$5+ROW()-1,설정!$L$10)&amp;""="0","",INDEX(원자료_잔고!$A$1:$EZ$1500,설정!$L$5+ROW()-1,설정!$L$10)&amp;""),"")</f>
        <v/>
      </c>
      <c r="E699" s="84" t="str">
        <f aca="false">IFERROR(IF(ISNUMBER(INDEX(원자료_잔고!$A$1:$EZ$1500,설정!$L$5+ROW()-1,설정!$L$11)),INDEX(원자료_잔고!$A$1:$EZ$1500,설정!$L$5+ROW()-1,설정!$L$11),""),"")</f>
        <v/>
      </c>
      <c r="F699" s="85" t="str">
        <f aca="false">IFERROR(IF(ISNUMBER(INDEX(원자료_잔고!$A$1:$EZ$1500,설정!$L$5+ROW()-1,설정!$L$12)),INDEX(원자료_잔고!$A$1:$EZ$1500,설정!$L$5+ROW()-1,설정!$L$12),""),"")</f>
        <v/>
      </c>
      <c r="G699" s="85" t="str">
        <f aca="false">IFERROR(IF(ISNUMBER(INDEX(원자료_잔고!$A$1:$EZ$1500,설정!$L$5+ROW()-1,설정!$L$13)),INDEX(원자료_잔고!$A$1:$EZ$1500,설정!$L$5+ROW()-1,설정!$L$13),""),"")</f>
        <v/>
      </c>
      <c r="H699" s="85" t="str">
        <f aca="false">IFERROR(IF(ISNUMBER(INDEX(원자료_잔고!$A$1:$EZ$1500,설정!$L$5+ROW()-1,설정!$L$14)),INDEX(원자료_잔고!$A$1:$EZ$1500,설정!$L$5+ROW()-1,설정!$L$14),""),"")</f>
        <v/>
      </c>
      <c r="I699" s="86" t="str">
        <f aca="false">IFERROR(IF(ISNUMBER(INDEX(원자료_잔고!$A$1:$EZ$1500,설정!$L$5+ROW()-1,설정!$L$15)),INDEX(원자료_잔고!$A$1:$EZ$1500,설정!$L$5+ROW()-1,설정!$L$15),""),"")</f>
        <v/>
      </c>
      <c r="J699" s="85" t="str">
        <f aca="false">IFERROR(IF(ISNUMBER(INDEX(원자료_잔고!$A$1:$EZ$1500,설정!$L$5+ROW()-1,설정!$L$16)),INDEX(원자료_잔고!$A$1:$EZ$1500,설정!$L$5+ROW()-1,설정!$L$16),""),"")</f>
        <v/>
      </c>
      <c r="K699" s="87" t="str">
        <f aca="false">IFERROR(IF(ISNUMBER(INDEX(원자료_잔고!$A$1:$EZ$1500,설정!$L$5+ROW()-1,설정!$L$17)),INDEX(원자료_잔고!$A$1:$EZ$1500,설정!$L$5+ROW()-1,설정!$L$17),""),"")</f>
        <v/>
      </c>
      <c r="L699" s="84" t="str">
        <f aca="false">IFERROR(IF(ISNUMBER(INDEX(원자료_잔고!$A$1:$EZ$1500,설정!$L$5+ROW()-1,설정!$L$18)),INDEX(원자료_잔고!$A$1:$EZ$1500,설정!$L$5+ROW()-1,설정!$L$18),""),"")</f>
        <v/>
      </c>
      <c r="M699" s="88" t="str">
        <f aca="false">IFERROR(IF(ISNUMBER(INDEX(원자료_잔고!$A$1:$EZ$1500,설정!$L$5+ROW()-1,설정!$L$19)),INDEX(원자료_잔고!$A$1:$EZ$1500,설정!$L$5+ROW()-1,설정!$L$19),""),"")</f>
        <v/>
      </c>
      <c r="N699" s="83" t="str">
        <f aca="false">IFERROR(IF(INDEX(원자료_잔고!$A$1:$EZ$1500,설정!$L$5+ROW()-1,설정!$L$21)&amp;""="0","",INDEX(원자료_잔고!$A$1:$EZ$1500,설정!$L$5+ROW()-1,설정!$L$21)&amp;""),"")</f>
        <v/>
      </c>
      <c r="O699" s="83" t="str">
        <f aca="false">IFERROR(IF(INDEX(원자료_잔고!$A$1:$EZ$1500,설정!$L$5+ROW()-1,설정!$L$22)&amp;""="0","",INDEX(원자료_잔고!$A$1:$EZ$1500,설정!$L$5+ROW()-1,설정!$L$22)&amp;""),"")</f>
        <v/>
      </c>
      <c r="P699" s="83" t="str">
        <f aca="false">IFERROR(IF(INDEX(원자료_잔고!$A$1:$EZ$1500,설정!$L$5+ROW()-1,설정!$L$23)&amp;""="0","",INDEX(원자료_잔고!$A$1:$EZ$1500,설정!$L$5+ROW()-1,설정!$L$23)&amp;""),"")</f>
        <v/>
      </c>
      <c r="Q699" s="89" t="n">
        <f aca="false">IF(AND($A699&lt;&gt;"",ISNUMBER(E699)),IF(E699&gt;0,1,0),0)</f>
        <v>0</v>
      </c>
      <c r="R699" s="43" t="str">
        <f aca="false">IF(Q699=1,UPPER(LEFT($A699,FIND(" ",$A699&amp;" ")-1)),"")</f>
        <v/>
      </c>
      <c r="S699" s="89" t="n">
        <f aca="false">IF(Q699=1,IF(OR(ISNUMBER(SEARCH("Float",$A699)),ISNUMBER(SEARCH("FRN",$A699))),1,0),0)</f>
        <v>0</v>
      </c>
      <c r="T699" s="43" t="str">
        <f aca="false">IF(AND(Q699=1,ISNUMBER(I699)),TEXT(I699,"yyyymmdd")&amp;"|"&amp;IF(S699=1,"F",TEXT(J699,"0.000")),"")</f>
        <v/>
      </c>
      <c r="U699" s="90" t="str">
        <f aca="false">IF(AND(Q699=1,ISNUMBER(I699)),(I699-설정!$C$4)/365.25,"")</f>
        <v/>
      </c>
      <c r="V699" s="43" t="str">
        <f aca="false">IF(Q699&lt;&gt;1,"",IF(ISNUMBER(U699),IF(U699&lt;=1,"1년 이하",IF(U699&lt;=2,"1-2년",IF(U699&lt;=3,"2-3년",IF(U699&lt;=4,"3-4년",IF(U699&lt;=5,"4-5년",IF(U699&lt;=7,"5-7년",IF(U699&lt;=10,"7-10년",IF(U699&lt;=20,"10-20년","20년 이상")))))))),"미분류"))</f>
        <v/>
      </c>
      <c r="W699" s="43" t="str">
        <f aca="false">IF(Q699&lt;&gt;1,"",IF(AB699&lt;&gt;"",INDEX(시장분석!$C:$C,AB699),IF(K699=1,"USD","비USD")))</f>
        <v/>
      </c>
      <c r="X699" s="91" t="n">
        <f aca="false">IF(Q699=1,E699*K699/1000000,0)</f>
        <v>0</v>
      </c>
      <c r="Y699" s="89" t="n">
        <f aca="false">IF(R699="T",1,0)</f>
        <v>0</v>
      </c>
      <c r="Z699" s="92" t="str">
        <f aca="false">IF(Q699&lt;&gt;1,"",IF(AD699=1,IF(ISNUMBER(U699),MAX(U699,0),H699),H699))</f>
        <v/>
      </c>
      <c r="AA699" s="91" t="n">
        <f aca="false">IF(Q699=1,IF(ISNUMBER(L699),L699,0)*K699/1000000,0)</f>
        <v>0</v>
      </c>
      <c r="AB699" s="89" t="str">
        <f aca="false">IF(Q699&lt;&gt;1,"",IFERROR(MATCH(VLOOKUP(B699,매핑!$H$4:$I$15,2,0),시장분석!$A$2:$A$601,0)+1,IFERROR(MATCH(R699&amp;"|"&amp;T699,시장분석!$V$2:$V$601,0)+1,IF(COUNTIF(시장분석!$U$2:$U$601,T699)=1,MATCH(T699,시장분석!$U$2:$U$601,0)+1,""))))</f>
        <v/>
      </c>
      <c r="AC699" s="89" t="n">
        <f aca="false">IF(Q699&lt;&gt;1,0,IF(OR(설정!$C$5="전체",AND(설정!$C$5="선택펀드",IFERROR(COUNTIFS(설정!$F$16:$F$36,C699,설정!$G$16:$G$36,"Y")+COUNTIFS(설정!$F$16:$F$36,VALUE(C699),설정!$G$16:$G$36,"Y"),0)&gt;0),C699&amp;""=설정!$C$5&amp;""),1,0))</f>
        <v>0</v>
      </c>
      <c r="AD699" s="89" t="n">
        <f aca="false">IF(Q699&lt;&gt;1,0,IF(OR(S699=1,IF(AB699="",FALSE(),INDEX(시장분석!$R:$R,AB699)=1)),1,0))</f>
        <v>0</v>
      </c>
      <c r="AE699" s="43" t="str">
        <f aca="false">IF(AB699="","",INDEX(시장분석!$A:$A,AB699))</f>
        <v/>
      </c>
      <c r="AF699" s="93" t="str">
        <f aca="false">IF(AB699="","",IF(ISNUMBER(IF(AB699="","",INDEX(시장분석!$E:$E,AB699))),IF(AB699="","",INDEX(시장분석!$E:$E,AB699)),""))</f>
        <v/>
      </c>
      <c r="AG699" s="43" t="str">
        <f aca="false">IF(Q699&lt;&gt;1,"",IF(AB699&lt;&gt;"",IF(AB699="","",INDEX(시장분석!$L:$L,AB699)),IFERROR(IF(VLOOKUP(R699,매핑!$A$4:$E$92,5,0)="","미분류",VLOOKUP(R699,매핑!$A$4:$E$92,5,0)),"미분류")))</f>
        <v/>
      </c>
      <c r="AH699" s="43" t="str">
        <f aca="false">IF(Q699&lt;&gt;1,"",IF(AB699&lt;&gt;"",IF(AB699="","",INDEX(시장분석!$N:$N,AB699)),IFERROR(IF(VLOOKUP(R699,매핑!$A$4:$E$92,4,0)="","미분류",VLOOKUP(R699,매핑!$A$4:$E$92,4,0)),"미분류")))</f>
        <v/>
      </c>
      <c r="AI699" s="43" t="str">
        <f aca="false">IF(Q699&lt;&gt;1,"",IFERROR(IF(VLOOKUP(R699,매핑!$A$4:$E$92,3,0)="","미분류",VLOOKUP(R699,매핑!$A$4:$E$92,3,0)),IF(AB699&lt;&gt;"",IF(AB699="","",INDEX(시장분석!$W:$W,AB699)),"미분류")))</f>
        <v/>
      </c>
      <c r="AJ699" s="43" t="str">
        <f aca="false">IF(Q699&lt;&gt;1,"",IFERROR(VLOOKUP(IF(N699&lt;&gt;"",N699,IF(P699&lt;&gt;"",P699,O699)),설정!$A$15:$D$47,2,0),""))</f>
        <v/>
      </c>
      <c r="AK699" s="43" t="str">
        <f aca="false">IF(Q699&lt;&gt;1,"",IF(AJ699="","무등급",IFERROR(VLOOKUP(AJ699,설정!$A$15:$D$47,3,0),"무등급")))</f>
        <v/>
      </c>
      <c r="AL699" s="89" t="n">
        <f aca="false">IF(AJ699="",99,IFERROR(VLOOKUP(AJ699,설정!$A$15:$D$47,4,0),99))</f>
        <v>99</v>
      </c>
      <c r="AM699" s="94" t="n">
        <f aca="false">IF(ISNUMBER(H699),AA699*1000000*H699/10000,0)</f>
        <v>0</v>
      </c>
      <c r="AN699" s="94" t="n">
        <f aca="false">IF(OR(Y699=1,NOT(ISNUMBER(Z699))),0,AA699*1000000*Z699/10000)</f>
        <v>0</v>
      </c>
      <c r="AO699" s="94" t="n">
        <f aca="false">IF(ISNUMBER(G699),AA699*1000000*G699/100,0)</f>
        <v>0</v>
      </c>
      <c r="AP699" s="94" t="n">
        <f aca="false">IF(ISNUMBER(M699),M699*K699,0)</f>
        <v>0</v>
      </c>
      <c r="AQ699" s="95" t="str">
        <f aca="false">IF(AB699="","",INDEX(시장분석!$AK:$AK,AB699))</f>
        <v/>
      </c>
      <c r="AR699" s="43" t="str">
        <f aca="false">IF(AB699="","-",IF(AB699="","",INDEX(시장분석!$AL:$AL,AB699)))</f>
        <v>-</v>
      </c>
      <c r="AS699" s="96" t="str">
        <f aca="false">IF(AB699="","",INDEX(시장분석!$AJ:$AJ,AB699))</f>
        <v/>
      </c>
      <c r="AT699" s="93" t="n">
        <f aca="false">IF(AB699="",0,IF(AB699="","",INDEX(시장분석!$AN:$AN,AB699)))</f>
        <v>0</v>
      </c>
      <c r="AU699" s="94" t="n">
        <f aca="false">IF(ISNUMBER(Z699),AT699/10000*MAX(Z699-1,0)*AA699*1000000,0)</f>
        <v>0</v>
      </c>
      <c r="AV699" s="94" t="n">
        <f aca="false">AO699+AU699</f>
        <v>0</v>
      </c>
      <c r="AW699" s="43" t="str">
        <f aca="false">IF(Q699&lt;&gt;1,"",TRIM(IF(AD699=1,"FRN ","")&amp;IF(AND(AL699&gt;=10,AL699&lt;99),"BBB0미만 ","")&amp;IF(AJ699="","등급없음 ","")&amp;IF(K699&lt;&gt;1,"비USD ","")&amp;IF(AND(AB699="",Y699=0),"시장데이터없음 ","")&amp;IF(AND(ISNUMBER(U699),U699&lt;0),"만기경과 ","")))</f>
        <v/>
      </c>
      <c r="AX699" s="90" t="n">
        <f aca="false">IF(Q699&lt;&gt;1,1,IF(스프레드쇼크!$C$4="Y",INDEX(스프레드쇼크!$B$12:$L$16,IFERROR(MATCH(AH699,스프레드쇼크!$A$12:$A$16,0),MATCH("목록외",스프레드쇼크!$A$12:$A$16,0)),IFERROR(MATCH(AG699,스프레드쇼크!$B$11:$L$11,0),MATCH("목록외",스프레드쇼크!$B$11:$L$11,0))),1))</f>
        <v>1</v>
      </c>
      <c r="AY699" s="90" t="n">
        <f aca="false">IF(스프레드쇼크!$C$5="Y",IF(ISNUMBER(AF699),MIN(스프레드쇼크!$C$7,MAX(스프레드쇼크!$C$6,AF699/스프레드쇼크!$C$8)),1),1)</f>
        <v>1</v>
      </c>
      <c r="AZ699" s="94" t="n">
        <f aca="false">AN699*AX699*AY699</f>
        <v>0</v>
      </c>
      <c r="BA699" s="90" t="n">
        <f aca="false">IF(ISNUMBER(G699),AA699*G699,0)</f>
        <v>0</v>
      </c>
      <c r="BB699" s="90" t="n">
        <f aca="false">IF(ISNUMBER(G699),AA699,0)</f>
        <v>0</v>
      </c>
      <c r="BC699" s="90" t="n">
        <f aca="false">IF(AND(Y699=0,ISNUMBER(AF699)),AA699*AF699,0)</f>
        <v>0</v>
      </c>
      <c r="BD699" s="90" t="n">
        <f aca="false">IF(AND(Y699=0,ISNUMBER(AF699)),AA699,0)</f>
        <v>0</v>
      </c>
      <c r="BE699" s="90" t="n">
        <f aca="false">IF(ISNUMBER(H699),AA699*H699,0)</f>
        <v>0</v>
      </c>
      <c r="BF699" s="90" t="n">
        <f aca="false">IF(ISNUMBER(H699),AA699,0)</f>
        <v>0</v>
      </c>
      <c r="BG699" s="90" t="n">
        <f aca="false">IF(AND(Y699=0,ISNUMBER(AF699),ISNUMBER(Z699)),AA699*Z699,0)</f>
        <v>0</v>
      </c>
      <c r="BH699" s="90" t="n">
        <f aca="false">IF(AND(Y699=0,ISNUMBER(AF699),ISNUMBER(Z699)),AA699*AT699*MAX(Z699-1,0),0)</f>
        <v>0</v>
      </c>
      <c r="BI699" s="90" t="n">
        <f aca="false">IF(Y699=0,AA699,0)</f>
        <v>0</v>
      </c>
    </row>
    <row r="700" customFormat="false" ht="15" hidden="false" customHeight="false" outlineLevel="0" collapsed="false">
      <c r="A700" s="83" t="str">
        <f aca="false">IFERROR(IF(INDEX(원자료_잔고!$A$1:$EZ$1500,설정!$L$5+ROW()-1,설정!$L$8)&amp;""="0","",INDEX(원자료_잔고!$A$1:$EZ$1500,설정!$L$5+ROW()-1,설정!$L$8)&amp;""),"")</f>
        <v/>
      </c>
      <c r="B700" s="83" t="str">
        <f aca="false">IFERROR(IF(INDEX(원자료_잔고!$A$1:$EZ$1500,설정!$L$5+ROW()-1,설정!$L$7)&amp;""="0","",INDEX(원자료_잔고!$A$1:$EZ$1500,설정!$L$5+ROW()-1,설정!$L$7)&amp;""),"")</f>
        <v/>
      </c>
      <c r="C700" s="83" t="str">
        <f aca="false">IFERROR(IF(INDEX(원자료_잔고!$A$1:$EZ$1500,설정!$L$5+ROW()-1,설정!$L$9)&amp;""="0","",INDEX(원자료_잔고!$A$1:$EZ$1500,설정!$L$5+ROW()-1,설정!$L$9)&amp;""),"")</f>
        <v/>
      </c>
      <c r="D700" s="83" t="str">
        <f aca="false">IFERROR(IF(INDEX(원자료_잔고!$A$1:$EZ$1500,설정!$L$5+ROW()-1,설정!$L$10)&amp;""="0","",INDEX(원자료_잔고!$A$1:$EZ$1500,설정!$L$5+ROW()-1,설정!$L$10)&amp;""),"")</f>
        <v/>
      </c>
      <c r="E700" s="84" t="str">
        <f aca="false">IFERROR(IF(ISNUMBER(INDEX(원자료_잔고!$A$1:$EZ$1500,설정!$L$5+ROW()-1,설정!$L$11)),INDEX(원자료_잔고!$A$1:$EZ$1500,설정!$L$5+ROW()-1,설정!$L$11),""),"")</f>
        <v/>
      </c>
      <c r="F700" s="85" t="str">
        <f aca="false">IFERROR(IF(ISNUMBER(INDEX(원자료_잔고!$A$1:$EZ$1500,설정!$L$5+ROW()-1,설정!$L$12)),INDEX(원자료_잔고!$A$1:$EZ$1500,설정!$L$5+ROW()-1,설정!$L$12),""),"")</f>
        <v/>
      </c>
      <c r="G700" s="85" t="str">
        <f aca="false">IFERROR(IF(ISNUMBER(INDEX(원자료_잔고!$A$1:$EZ$1500,설정!$L$5+ROW()-1,설정!$L$13)),INDEX(원자료_잔고!$A$1:$EZ$1500,설정!$L$5+ROW()-1,설정!$L$13),""),"")</f>
        <v/>
      </c>
      <c r="H700" s="85" t="str">
        <f aca="false">IFERROR(IF(ISNUMBER(INDEX(원자료_잔고!$A$1:$EZ$1500,설정!$L$5+ROW()-1,설정!$L$14)),INDEX(원자료_잔고!$A$1:$EZ$1500,설정!$L$5+ROW()-1,설정!$L$14),""),"")</f>
        <v/>
      </c>
      <c r="I700" s="86" t="str">
        <f aca="false">IFERROR(IF(ISNUMBER(INDEX(원자료_잔고!$A$1:$EZ$1500,설정!$L$5+ROW()-1,설정!$L$15)),INDEX(원자료_잔고!$A$1:$EZ$1500,설정!$L$5+ROW()-1,설정!$L$15),""),"")</f>
        <v/>
      </c>
      <c r="J700" s="85" t="str">
        <f aca="false">IFERROR(IF(ISNUMBER(INDEX(원자료_잔고!$A$1:$EZ$1500,설정!$L$5+ROW()-1,설정!$L$16)),INDEX(원자료_잔고!$A$1:$EZ$1500,설정!$L$5+ROW()-1,설정!$L$16),""),"")</f>
        <v/>
      </c>
      <c r="K700" s="87" t="str">
        <f aca="false">IFERROR(IF(ISNUMBER(INDEX(원자료_잔고!$A$1:$EZ$1500,설정!$L$5+ROW()-1,설정!$L$17)),INDEX(원자료_잔고!$A$1:$EZ$1500,설정!$L$5+ROW()-1,설정!$L$17),""),"")</f>
        <v/>
      </c>
      <c r="L700" s="84" t="str">
        <f aca="false">IFERROR(IF(ISNUMBER(INDEX(원자료_잔고!$A$1:$EZ$1500,설정!$L$5+ROW()-1,설정!$L$18)),INDEX(원자료_잔고!$A$1:$EZ$1500,설정!$L$5+ROW()-1,설정!$L$18),""),"")</f>
        <v/>
      </c>
      <c r="M700" s="88" t="str">
        <f aca="false">IFERROR(IF(ISNUMBER(INDEX(원자료_잔고!$A$1:$EZ$1500,설정!$L$5+ROW()-1,설정!$L$19)),INDEX(원자료_잔고!$A$1:$EZ$1500,설정!$L$5+ROW()-1,설정!$L$19),""),"")</f>
        <v/>
      </c>
      <c r="N700" s="83" t="str">
        <f aca="false">IFERROR(IF(INDEX(원자료_잔고!$A$1:$EZ$1500,설정!$L$5+ROW()-1,설정!$L$21)&amp;""="0","",INDEX(원자료_잔고!$A$1:$EZ$1500,설정!$L$5+ROW()-1,설정!$L$21)&amp;""),"")</f>
        <v/>
      </c>
      <c r="O700" s="83" t="str">
        <f aca="false">IFERROR(IF(INDEX(원자료_잔고!$A$1:$EZ$1500,설정!$L$5+ROW()-1,설정!$L$22)&amp;""="0","",INDEX(원자료_잔고!$A$1:$EZ$1500,설정!$L$5+ROW()-1,설정!$L$22)&amp;""),"")</f>
        <v/>
      </c>
      <c r="P700" s="83" t="str">
        <f aca="false">IFERROR(IF(INDEX(원자료_잔고!$A$1:$EZ$1500,설정!$L$5+ROW()-1,설정!$L$23)&amp;""="0","",INDEX(원자료_잔고!$A$1:$EZ$1500,설정!$L$5+ROW()-1,설정!$L$23)&amp;""),"")</f>
        <v/>
      </c>
      <c r="Q700" s="89" t="n">
        <f aca="false">IF(AND($A700&lt;&gt;"",ISNUMBER(E700)),IF(E700&gt;0,1,0),0)</f>
        <v>0</v>
      </c>
      <c r="R700" s="43" t="str">
        <f aca="false">IF(Q700=1,UPPER(LEFT($A700,FIND(" ",$A700&amp;" ")-1)),"")</f>
        <v/>
      </c>
      <c r="S700" s="89" t="n">
        <f aca="false">IF(Q700=1,IF(OR(ISNUMBER(SEARCH("Float",$A700)),ISNUMBER(SEARCH("FRN",$A700))),1,0),0)</f>
        <v>0</v>
      </c>
      <c r="T700" s="43" t="str">
        <f aca="false">IF(AND(Q700=1,ISNUMBER(I700)),TEXT(I700,"yyyymmdd")&amp;"|"&amp;IF(S700=1,"F",TEXT(J700,"0.000")),"")</f>
        <v/>
      </c>
      <c r="U700" s="90" t="str">
        <f aca="false">IF(AND(Q700=1,ISNUMBER(I700)),(I700-설정!$C$4)/365.25,"")</f>
        <v/>
      </c>
      <c r="V700" s="43" t="str">
        <f aca="false">IF(Q700&lt;&gt;1,"",IF(ISNUMBER(U700),IF(U700&lt;=1,"1년 이하",IF(U700&lt;=2,"1-2년",IF(U700&lt;=3,"2-3년",IF(U700&lt;=4,"3-4년",IF(U700&lt;=5,"4-5년",IF(U700&lt;=7,"5-7년",IF(U700&lt;=10,"7-10년",IF(U700&lt;=20,"10-20년","20년 이상")))))))),"미분류"))</f>
        <v/>
      </c>
      <c r="W700" s="43" t="str">
        <f aca="false">IF(Q700&lt;&gt;1,"",IF(AB700&lt;&gt;"",INDEX(시장분석!$C:$C,AB700),IF(K700=1,"USD","비USD")))</f>
        <v/>
      </c>
      <c r="X700" s="91" t="n">
        <f aca="false">IF(Q700=1,E700*K700/1000000,0)</f>
        <v>0</v>
      </c>
      <c r="Y700" s="89" t="n">
        <f aca="false">IF(R700="T",1,0)</f>
        <v>0</v>
      </c>
      <c r="Z700" s="92" t="str">
        <f aca="false">IF(Q700&lt;&gt;1,"",IF(AD700=1,IF(ISNUMBER(U700),MAX(U700,0),H700),H700))</f>
        <v/>
      </c>
      <c r="AA700" s="91" t="n">
        <f aca="false">IF(Q700=1,IF(ISNUMBER(L700),L700,0)*K700/1000000,0)</f>
        <v>0</v>
      </c>
      <c r="AB700" s="89" t="str">
        <f aca="false">IF(Q700&lt;&gt;1,"",IFERROR(MATCH(VLOOKUP(B700,매핑!$H$4:$I$15,2,0),시장분석!$A$2:$A$601,0)+1,IFERROR(MATCH(R700&amp;"|"&amp;T700,시장분석!$V$2:$V$601,0)+1,IF(COUNTIF(시장분석!$U$2:$U$601,T700)=1,MATCH(T700,시장분석!$U$2:$U$601,0)+1,""))))</f>
        <v/>
      </c>
      <c r="AC700" s="89" t="n">
        <f aca="false">IF(Q700&lt;&gt;1,0,IF(OR(설정!$C$5="전체",AND(설정!$C$5="선택펀드",IFERROR(COUNTIFS(설정!$F$16:$F$36,C700,설정!$G$16:$G$36,"Y")+COUNTIFS(설정!$F$16:$F$36,VALUE(C700),설정!$G$16:$G$36,"Y"),0)&gt;0),C700&amp;""=설정!$C$5&amp;""),1,0))</f>
        <v>0</v>
      </c>
      <c r="AD700" s="89" t="n">
        <f aca="false">IF(Q700&lt;&gt;1,0,IF(OR(S700=1,IF(AB700="",FALSE(),INDEX(시장분석!$R:$R,AB700)=1)),1,0))</f>
        <v>0</v>
      </c>
      <c r="AE700" s="43" t="str">
        <f aca="false">IF(AB700="","",INDEX(시장분석!$A:$A,AB700))</f>
        <v/>
      </c>
      <c r="AF700" s="93" t="str">
        <f aca="false">IF(AB700="","",IF(ISNUMBER(IF(AB700="","",INDEX(시장분석!$E:$E,AB700))),IF(AB700="","",INDEX(시장분석!$E:$E,AB700)),""))</f>
        <v/>
      </c>
      <c r="AG700" s="43" t="str">
        <f aca="false">IF(Q700&lt;&gt;1,"",IF(AB700&lt;&gt;"",IF(AB700="","",INDEX(시장분석!$L:$L,AB700)),IFERROR(IF(VLOOKUP(R700,매핑!$A$4:$E$92,5,0)="","미분류",VLOOKUP(R700,매핑!$A$4:$E$92,5,0)),"미분류")))</f>
        <v/>
      </c>
      <c r="AH700" s="43" t="str">
        <f aca="false">IF(Q700&lt;&gt;1,"",IF(AB700&lt;&gt;"",IF(AB700="","",INDEX(시장분석!$N:$N,AB700)),IFERROR(IF(VLOOKUP(R700,매핑!$A$4:$E$92,4,0)="","미분류",VLOOKUP(R700,매핑!$A$4:$E$92,4,0)),"미분류")))</f>
        <v/>
      </c>
      <c r="AI700" s="43" t="str">
        <f aca="false">IF(Q700&lt;&gt;1,"",IFERROR(IF(VLOOKUP(R700,매핑!$A$4:$E$92,3,0)="","미분류",VLOOKUP(R700,매핑!$A$4:$E$92,3,0)),IF(AB700&lt;&gt;"",IF(AB700="","",INDEX(시장분석!$W:$W,AB700)),"미분류")))</f>
        <v/>
      </c>
      <c r="AJ700" s="43" t="str">
        <f aca="false">IF(Q700&lt;&gt;1,"",IFERROR(VLOOKUP(IF(N700&lt;&gt;"",N700,IF(P700&lt;&gt;"",P700,O700)),설정!$A$15:$D$47,2,0),""))</f>
        <v/>
      </c>
      <c r="AK700" s="43" t="str">
        <f aca="false">IF(Q700&lt;&gt;1,"",IF(AJ700="","무등급",IFERROR(VLOOKUP(AJ700,설정!$A$15:$D$47,3,0),"무등급")))</f>
        <v/>
      </c>
      <c r="AL700" s="89" t="n">
        <f aca="false">IF(AJ700="",99,IFERROR(VLOOKUP(AJ700,설정!$A$15:$D$47,4,0),99))</f>
        <v>99</v>
      </c>
      <c r="AM700" s="94" t="n">
        <f aca="false">IF(ISNUMBER(H700),AA700*1000000*H700/10000,0)</f>
        <v>0</v>
      </c>
      <c r="AN700" s="94" t="n">
        <f aca="false">IF(OR(Y700=1,NOT(ISNUMBER(Z700))),0,AA700*1000000*Z700/10000)</f>
        <v>0</v>
      </c>
      <c r="AO700" s="94" t="n">
        <f aca="false">IF(ISNUMBER(G700),AA700*1000000*G700/100,0)</f>
        <v>0</v>
      </c>
      <c r="AP700" s="94" t="n">
        <f aca="false">IF(ISNUMBER(M700),M700*K700,0)</f>
        <v>0</v>
      </c>
      <c r="AQ700" s="95" t="str">
        <f aca="false">IF(AB700="","",INDEX(시장분석!$AK:$AK,AB700))</f>
        <v/>
      </c>
      <c r="AR700" s="43" t="str">
        <f aca="false">IF(AB700="","-",IF(AB700="","",INDEX(시장분석!$AL:$AL,AB700)))</f>
        <v>-</v>
      </c>
      <c r="AS700" s="96" t="str">
        <f aca="false">IF(AB700="","",INDEX(시장분석!$AJ:$AJ,AB700))</f>
        <v/>
      </c>
      <c r="AT700" s="93" t="n">
        <f aca="false">IF(AB700="",0,IF(AB700="","",INDEX(시장분석!$AN:$AN,AB700)))</f>
        <v>0</v>
      </c>
      <c r="AU700" s="94" t="n">
        <f aca="false">IF(ISNUMBER(Z700),AT700/10000*MAX(Z700-1,0)*AA700*1000000,0)</f>
        <v>0</v>
      </c>
      <c r="AV700" s="94" t="n">
        <f aca="false">AO700+AU700</f>
        <v>0</v>
      </c>
      <c r="AW700" s="43" t="str">
        <f aca="false">IF(Q700&lt;&gt;1,"",TRIM(IF(AD700=1,"FRN ","")&amp;IF(AND(AL700&gt;=10,AL700&lt;99),"BBB0미만 ","")&amp;IF(AJ700="","등급없음 ","")&amp;IF(K700&lt;&gt;1,"비USD ","")&amp;IF(AND(AB700="",Y700=0),"시장데이터없음 ","")&amp;IF(AND(ISNUMBER(U700),U700&lt;0),"만기경과 ","")))</f>
        <v/>
      </c>
      <c r="AX700" s="90" t="n">
        <f aca="false">IF(Q700&lt;&gt;1,1,IF(스프레드쇼크!$C$4="Y",INDEX(스프레드쇼크!$B$12:$L$16,IFERROR(MATCH(AH700,스프레드쇼크!$A$12:$A$16,0),MATCH("목록외",스프레드쇼크!$A$12:$A$16,0)),IFERROR(MATCH(AG700,스프레드쇼크!$B$11:$L$11,0),MATCH("목록외",스프레드쇼크!$B$11:$L$11,0))),1))</f>
        <v>1</v>
      </c>
      <c r="AY700" s="90" t="n">
        <f aca="false">IF(스프레드쇼크!$C$5="Y",IF(ISNUMBER(AF700),MIN(스프레드쇼크!$C$7,MAX(스프레드쇼크!$C$6,AF700/스프레드쇼크!$C$8)),1),1)</f>
        <v>1</v>
      </c>
      <c r="AZ700" s="94" t="n">
        <f aca="false">AN700*AX700*AY700</f>
        <v>0</v>
      </c>
      <c r="BA700" s="90" t="n">
        <f aca="false">IF(ISNUMBER(G700),AA700*G700,0)</f>
        <v>0</v>
      </c>
      <c r="BB700" s="90" t="n">
        <f aca="false">IF(ISNUMBER(G700),AA700,0)</f>
        <v>0</v>
      </c>
      <c r="BC700" s="90" t="n">
        <f aca="false">IF(AND(Y700=0,ISNUMBER(AF700)),AA700*AF700,0)</f>
        <v>0</v>
      </c>
      <c r="BD700" s="90" t="n">
        <f aca="false">IF(AND(Y700=0,ISNUMBER(AF700)),AA700,0)</f>
        <v>0</v>
      </c>
      <c r="BE700" s="90" t="n">
        <f aca="false">IF(ISNUMBER(H700),AA700*H700,0)</f>
        <v>0</v>
      </c>
      <c r="BF700" s="90" t="n">
        <f aca="false">IF(ISNUMBER(H700),AA700,0)</f>
        <v>0</v>
      </c>
      <c r="BG700" s="90" t="n">
        <f aca="false">IF(AND(Y700=0,ISNUMBER(AF700),ISNUMBER(Z700)),AA700*Z700,0)</f>
        <v>0</v>
      </c>
      <c r="BH700" s="90" t="n">
        <f aca="false">IF(AND(Y700=0,ISNUMBER(AF700),ISNUMBER(Z700)),AA700*AT700*MAX(Z700-1,0),0)</f>
        <v>0</v>
      </c>
      <c r="BI700" s="90" t="n">
        <f aca="false">IF(Y700=0,AA700,0)</f>
        <v>0</v>
      </c>
    </row>
    <row r="701" customFormat="false" ht="15" hidden="false" customHeight="false" outlineLevel="0" collapsed="false">
      <c r="A701" s="83" t="str">
        <f aca="false">IFERROR(IF(INDEX(원자료_잔고!$A$1:$EZ$1500,설정!$L$5+ROW()-1,설정!$L$8)&amp;""="0","",INDEX(원자료_잔고!$A$1:$EZ$1500,설정!$L$5+ROW()-1,설정!$L$8)&amp;""),"")</f>
        <v/>
      </c>
      <c r="B701" s="83" t="str">
        <f aca="false">IFERROR(IF(INDEX(원자료_잔고!$A$1:$EZ$1500,설정!$L$5+ROW()-1,설정!$L$7)&amp;""="0","",INDEX(원자료_잔고!$A$1:$EZ$1500,설정!$L$5+ROW()-1,설정!$L$7)&amp;""),"")</f>
        <v/>
      </c>
      <c r="C701" s="83" t="str">
        <f aca="false">IFERROR(IF(INDEX(원자료_잔고!$A$1:$EZ$1500,설정!$L$5+ROW()-1,설정!$L$9)&amp;""="0","",INDEX(원자료_잔고!$A$1:$EZ$1500,설정!$L$5+ROW()-1,설정!$L$9)&amp;""),"")</f>
        <v/>
      </c>
      <c r="D701" s="83" t="str">
        <f aca="false">IFERROR(IF(INDEX(원자료_잔고!$A$1:$EZ$1500,설정!$L$5+ROW()-1,설정!$L$10)&amp;""="0","",INDEX(원자료_잔고!$A$1:$EZ$1500,설정!$L$5+ROW()-1,설정!$L$10)&amp;""),"")</f>
        <v/>
      </c>
      <c r="E701" s="84" t="str">
        <f aca="false">IFERROR(IF(ISNUMBER(INDEX(원자료_잔고!$A$1:$EZ$1500,설정!$L$5+ROW()-1,설정!$L$11)),INDEX(원자료_잔고!$A$1:$EZ$1500,설정!$L$5+ROW()-1,설정!$L$11),""),"")</f>
        <v/>
      </c>
      <c r="F701" s="85" t="str">
        <f aca="false">IFERROR(IF(ISNUMBER(INDEX(원자료_잔고!$A$1:$EZ$1500,설정!$L$5+ROW()-1,설정!$L$12)),INDEX(원자료_잔고!$A$1:$EZ$1500,설정!$L$5+ROW()-1,설정!$L$12),""),"")</f>
        <v/>
      </c>
      <c r="G701" s="85" t="str">
        <f aca="false">IFERROR(IF(ISNUMBER(INDEX(원자료_잔고!$A$1:$EZ$1500,설정!$L$5+ROW()-1,설정!$L$13)),INDEX(원자료_잔고!$A$1:$EZ$1500,설정!$L$5+ROW()-1,설정!$L$13),""),"")</f>
        <v/>
      </c>
      <c r="H701" s="85" t="str">
        <f aca="false">IFERROR(IF(ISNUMBER(INDEX(원자료_잔고!$A$1:$EZ$1500,설정!$L$5+ROW()-1,설정!$L$14)),INDEX(원자료_잔고!$A$1:$EZ$1500,설정!$L$5+ROW()-1,설정!$L$14),""),"")</f>
        <v/>
      </c>
      <c r="I701" s="86" t="str">
        <f aca="false">IFERROR(IF(ISNUMBER(INDEX(원자료_잔고!$A$1:$EZ$1500,설정!$L$5+ROW()-1,설정!$L$15)),INDEX(원자료_잔고!$A$1:$EZ$1500,설정!$L$5+ROW()-1,설정!$L$15),""),"")</f>
        <v/>
      </c>
      <c r="J701" s="85" t="str">
        <f aca="false">IFERROR(IF(ISNUMBER(INDEX(원자료_잔고!$A$1:$EZ$1500,설정!$L$5+ROW()-1,설정!$L$16)),INDEX(원자료_잔고!$A$1:$EZ$1500,설정!$L$5+ROW()-1,설정!$L$16),""),"")</f>
        <v/>
      </c>
      <c r="K701" s="87" t="str">
        <f aca="false">IFERROR(IF(ISNUMBER(INDEX(원자료_잔고!$A$1:$EZ$1500,설정!$L$5+ROW()-1,설정!$L$17)),INDEX(원자료_잔고!$A$1:$EZ$1500,설정!$L$5+ROW()-1,설정!$L$17),""),"")</f>
        <v/>
      </c>
      <c r="L701" s="84" t="str">
        <f aca="false">IFERROR(IF(ISNUMBER(INDEX(원자료_잔고!$A$1:$EZ$1500,설정!$L$5+ROW()-1,설정!$L$18)),INDEX(원자료_잔고!$A$1:$EZ$1500,설정!$L$5+ROW()-1,설정!$L$18),""),"")</f>
        <v/>
      </c>
      <c r="M701" s="88" t="str">
        <f aca="false">IFERROR(IF(ISNUMBER(INDEX(원자료_잔고!$A$1:$EZ$1500,설정!$L$5+ROW()-1,설정!$L$19)),INDEX(원자료_잔고!$A$1:$EZ$1500,설정!$L$5+ROW()-1,설정!$L$19),""),"")</f>
        <v/>
      </c>
      <c r="N701" s="83" t="str">
        <f aca="false">IFERROR(IF(INDEX(원자료_잔고!$A$1:$EZ$1500,설정!$L$5+ROW()-1,설정!$L$21)&amp;""="0","",INDEX(원자료_잔고!$A$1:$EZ$1500,설정!$L$5+ROW()-1,설정!$L$21)&amp;""),"")</f>
        <v/>
      </c>
      <c r="O701" s="83" t="str">
        <f aca="false">IFERROR(IF(INDEX(원자료_잔고!$A$1:$EZ$1500,설정!$L$5+ROW()-1,설정!$L$22)&amp;""="0","",INDEX(원자료_잔고!$A$1:$EZ$1500,설정!$L$5+ROW()-1,설정!$L$22)&amp;""),"")</f>
        <v/>
      </c>
      <c r="P701" s="83" t="str">
        <f aca="false">IFERROR(IF(INDEX(원자료_잔고!$A$1:$EZ$1500,설정!$L$5+ROW()-1,설정!$L$23)&amp;""="0","",INDEX(원자료_잔고!$A$1:$EZ$1500,설정!$L$5+ROW()-1,설정!$L$23)&amp;""),"")</f>
        <v/>
      </c>
      <c r="Q701" s="89" t="n">
        <f aca="false">IF(AND($A701&lt;&gt;"",ISNUMBER(E701)),IF(E701&gt;0,1,0),0)</f>
        <v>0</v>
      </c>
      <c r="R701" s="43" t="str">
        <f aca="false">IF(Q701=1,UPPER(LEFT($A701,FIND(" ",$A701&amp;" ")-1)),"")</f>
        <v/>
      </c>
      <c r="S701" s="89" t="n">
        <f aca="false">IF(Q701=1,IF(OR(ISNUMBER(SEARCH("Float",$A701)),ISNUMBER(SEARCH("FRN",$A701))),1,0),0)</f>
        <v>0</v>
      </c>
      <c r="T701" s="43" t="str">
        <f aca="false">IF(AND(Q701=1,ISNUMBER(I701)),TEXT(I701,"yyyymmdd")&amp;"|"&amp;IF(S701=1,"F",TEXT(J701,"0.000")),"")</f>
        <v/>
      </c>
      <c r="U701" s="90" t="str">
        <f aca="false">IF(AND(Q701=1,ISNUMBER(I701)),(I701-설정!$C$4)/365.25,"")</f>
        <v/>
      </c>
      <c r="V701" s="43" t="str">
        <f aca="false">IF(Q701&lt;&gt;1,"",IF(ISNUMBER(U701),IF(U701&lt;=1,"1년 이하",IF(U701&lt;=2,"1-2년",IF(U701&lt;=3,"2-3년",IF(U701&lt;=4,"3-4년",IF(U701&lt;=5,"4-5년",IF(U701&lt;=7,"5-7년",IF(U701&lt;=10,"7-10년",IF(U701&lt;=20,"10-20년","20년 이상")))))))),"미분류"))</f>
        <v/>
      </c>
      <c r="W701" s="43" t="str">
        <f aca="false">IF(Q701&lt;&gt;1,"",IF(AB701&lt;&gt;"",INDEX(시장분석!$C:$C,AB701),IF(K701=1,"USD","비USD")))</f>
        <v/>
      </c>
      <c r="X701" s="91" t="n">
        <f aca="false">IF(Q701=1,E701*K701/1000000,0)</f>
        <v>0</v>
      </c>
      <c r="Y701" s="89" t="n">
        <f aca="false">IF(R701="T",1,0)</f>
        <v>0</v>
      </c>
      <c r="Z701" s="92" t="str">
        <f aca="false">IF(Q701&lt;&gt;1,"",IF(AD701=1,IF(ISNUMBER(U701),MAX(U701,0),H701),H701))</f>
        <v/>
      </c>
      <c r="AA701" s="91" t="n">
        <f aca="false">IF(Q701=1,IF(ISNUMBER(L701),L701,0)*K701/1000000,0)</f>
        <v>0</v>
      </c>
      <c r="AB701" s="89" t="str">
        <f aca="false">IF(Q701&lt;&gt;1,"",IFERROR(MATCH(VLOOKUP(B701,매핑!$H$4:$I$15,2,0),시장분석!$A$2:$A$601,0)+1,IFERROR(MATCH(R701&amp;"|"&amp;T701,시장분석!$V$2:$V$601,0)+1,IF(COUNTIF(시장분석!$U$2:$U$601,T701)=1,MATCH(T701,시장분석!$U$2:$U$601,0)+1,""))))</f>
        <v/>
      </c>
      <c r="AC701" s="89" t="n">
        <f aca="false">IF(Q701&lt;&gt;1,0,IF(OR(설정!$C$5="전체",AND(설정!$C$5="선택펀드",IFERROR(COUNTIFS(설정!$F$16:$F$36,C701,설정!$G$16:$G$36,"Y")+COUNTIFS(설정!$F$16:$F$36,VALUE(C701),설정!$G$16:$G$36,"Y"),0)&gt;0),C701&amp;""=설정!$C$5&amp;""),1,0))</f>
        <v>0</v>
      </c>
      <c r="AD701" s="89" t="n">
        <f aca="false">IF(Q701&lt;&gt;1,0,IF(OR(S701=1,IF(AB701="",FALSE(),INDEX(시장분석!$R:$R,AB701)=1)),1,0))</f>
        <v>0</v>
      </c>
      <c r="AE701" s="43" t="str">
        <f aca="false">IF(AB701="","",INDEX(시장분석!$A:$A,AB701))</f>
        <v/>
      </c>
      <c r="AF701" s="93" t="str">
        <f aca="false">IF(AB701="","",IF(ISNUMBER(IF(AB701="","",INDEX(시장분석!$E:$E,AB701))),IF(AB701="","",INDEX(시장분석!$E:$E,AB701)),""))</f>
        <v/>
      </c>
      <c r="AG701" s="43" t="str">
        <f aca="false">IF(Q701&lt;&gt;1,"",IF(AB701&lt;&gt;"",IF(AB701="","",INDEX(시장분석!$L:$L,AB701)),IFERROR(IF(VLOOKUP(R701,매핑!$A$4:$E$92,5,0)="","미분류",VLOOKUP(R701,매핑!$A$4:$E$92,5,0)),"미분류")))</f>
        <v/>
      </c>
      <c r="AH701" s="43" t="str">
        <f aca="false">IF(Q701&lt;&gt;1,"",IF(AB701&lt;&gt;"",IF(AB701="","",INDEX(시장분석!$N:$N,AB701)),IFERROR(IF(VLOOKUP(R701,매핑!$A$4:$E$92,4,0)="","미분류",VLOOKUP(R701,매핑!$A$4:$E$92,4,0)),"미분류")))</f>
        <v/>
      </c>
      <c r="AI701" s="43" t="str">
        <f aca="false">IF(Q701&lt;&gt;1,"",IFERROR(IF(VLOOKUP(R701,매핑!$A$4:$E$92,3,0)="","미분류",VLOOKUP(R701,매핑!$A$4:$E$92,3,0)),IF(AB701&lt;&gt;"",IF(AB701="","",INDEX(시장분석!$W:$W,AB701)),"미분류")))</f>
        <v/>
      </c>
      <c r="AJ701" s="43" t="str">
        <f aca="false">IF(Q701&lt;&gt;1,"",IFERROR(VLOOKUP(IF(N701&lt;&gt;"",N701,IF(P701&lt;&gt;"",P701,O701)),설정!$A$15:$D$47,2,0),""))</f>
        <v/>
      </c>
      <c r="AK701" s="43" t="str">
        <f aca="false">IF(Q701&lt;&gt;1,"",IF(AJ701="","무등급",IFERROR(VLOOKUP(AJ701,설정!$A$15:$D$47,3,0),"무등급")))</f>
        <v/>
      </c>
      <c r="AL701" s="89" t="n">
        <f aca="false">IF(AJ701="",99,IFERROR(VLOOKUP(AJ701,설정!$A$15:$D$47,4,0),99))</f>
        <v>99</v>
      </c>
      <c r="AM701" s="94" t="n">
        <f aca="false">IF(ISNUMBER(H701),AA701*1000000*H701/10000,0)</f>
        <v>0</v>
      </c>
      <c r="AN701" s="94" t="n">
        <f aca="false">IF(OR(Y701=1,NOT(ISNUMBER(Z701))),0,AA701*1000000*Z701/10000)</f>
        <v>0</v>
      </c>
      <c r="AO701" s="94" t="n">
        <f aca="false">IF(ISNUMBER(G701),AA701*1000000*G701/100,0)</f>
        <v>0</v>
      </c>
      <c r="AP701" s="94" t="n">
        <f aca="false">IF(ISNUMBER(M701),M701*K701,0)</f>
        <v>0</v>
      </c>
      <c r="AQ701" s="95" t="str">
        <f aca="false">IF(AB701="","",INDEX(시장분석!$AK:$AK,AB701))</f>
        <v/>
      </c>
      <c r="AR701" s="43" t="str">
        <f aca="false">IF(AB701="","-",IF(AB701="","",INDEX(시장분석!$AL:$AL,AB701)))</f>
        <v>-</v>
      </c>
      <c r="AS701" s="96" t="str">
        <f aca="false">IF(AB701="","",INDEX(시장분석!$AJ:$AJ,AB701))</f>
        <v/>
      </c>
      <c r="AT701" s="93" t="n">
        <f aca="false">IF(AB701="",0,IF(AB701="","",INDEX(시장분석!$AN:$AN,AB701)))</f>
        <v>0</v>
      </c>
      <c r="AU701" s="94" t="n">
        <f aca="false">IF(ISNUMBER(Z701),AT701/10000*MAX(Z701-1,0)*AA701*1000000,0)</f>
        <v>0</v>
      </c>
      <c r="AV701" s="94" t="n">
        <f aca="false">AO701+AU701</f>
        <v>0</v>
      </c>
      <c r="AW701" s="43" t="str">
        <f aca="false">IF(Q701&lt;&gt;1,"",TRIM(IF(AD701=1,"FRN ","")&amp;IF(AND(AL701&gt;=10,AL701&lt;99),"BBB0미만 ","")&amp;IF(AJ701="","등급없음 ","")&amp;IF(K701&lt;&gt;1,"비USD ","")&amp;IF(AND(AB701="",Y701=0),"시장데이터없음 ","")&amp;IF(AND(ISNUMBER(U701),U701&lt;0),"만기경과 ","")))</f>
        <v/>
      </c>
      <c r="AX701" s="90" t="n">
        <f aca="false">IF(Q701&lt;&gt;1,1,IF(스프레드쇼크!$C$4="Y",INDEX(스프레드쇼크!$B$12:$L$16,IFERROR(MATCH(AH701,스프레드쇼크!$A$12:$A$16,0),MATCH("목록외",스프레드쇼크!$A$12:$A$16,0)),IFERROR(MATCH(AG701,스프레드쇼크!$B$11:$L$11,0),MATCH("목록외",스프레드쇼크!$B$11:$L$11,0))),1))</f>
        <v>1</v>
      </c>
      <c r="AY701" s="90" t="n">
        <f aca="false">IF(스프레드쇼크!$C$5="Y",IF(ISNUMBER(AF701),MIN(스프레드쇼크!$C$7,MAX(스프레드쇼크!$C$6,AF701/스프레드쇼크!$C$8)),1),1)</f>
        <v>1</v>
      </c>
      <c r="AZ701" s="94" t="n">
        <f aca="false">AN701*AX701*AY701</f>
        <v>0</v>
      </c>
      <c r="BA701" s="90" t="n">
        <f aca="false">IF(ISNUMBER(G701),AA701*G701,0)</f>
        <v>0</v>
      </c>
      <c r="BB701" s="90" t="n">
        <f aca="false">IF(ISNUMBER(G701),AA701,0)</f>
        <v>0</v>
      </c>
      <c r="BC701" s="90" t="n">
        <f aca="false">IF(AND(Y701=0,ISNUMBER(AF701)),AA701*AF701,0)</f>
        <v>0</v>
      </c>
      <c r="BD701" s="90" t="n">
        <f aca="false">IF(AND(Y701=0,ISNUMBER(AF701)),AA701,0)</f>
        <v>0</v>
      </c>
      <c r="BE701" s="90" t="n">
        <f aca="false">IF(ISNUMBER(H701),AA701*H701,0)</f>
        <v>0</v>
      </c>
      <c r="BF701" s="90" t="n">
        <f aca="false">IF(ISNUMBER(H701),AA701,0)</f>
        <v>0</v>
      </c>
      <c r="BG701" s="90" t="n">
        <f aca="false">IF(AND(Y701=0,ISNUMBER(AF701),ISNUMBER(Z701)),AA701*Z701,0)</f>
        <v>0</v>
      </c>
      <c r="BH701" s="90" t="n">
        <f aca="false">IF(AND(Y701=0,ISNUMBER(AF701),ISNUMBER(Z701)),AA701*AT701*MAX(Z701-1,0),0)</f>
        <v>0</v>
      </c>
      <c r="BI701" s="90" t="n">
        <f aca="false">IF(Y701=0,AA701,0)</f>
        <v>0</v>
      </c>
    </row>
    <row r="702" customFormat="false" ht="15" hidden="false" customHeight="false" outlineLevel="0" collapsed="false">
      <c r="A702" s="83" t="str">
        <f aca="false">IFERROR(IF(INDEX(원자료_잔고!$A$1:$EZ$1500,설정!$L$5+ROW()-1,설정!$L$8)&amp;""="0","",INDEX(원자료_잔고!$A$1:$EZ$1500,설정!$L$5+ROW()-1,설정!$L$8)&amp;""),"")</f>
        <v/>
      </c>
      <c r="B702" s="83" t="str">
        <f aca="false">IFERROR(IF(INDEX(원자료_잔고!$A$1:$EZ$1500,설정!$L$5+ROW()-1,설정!$L$7)&amp;""="0","",INDEX(원자료_잔고!$A$1:$EZ$1500,설정!$L$5+ROW()-1,설정!$L$7)&amp;""),"")</f>
        <v/>
      </c>
      <c r="C702" s="83" t="str">
        <f aca="false">IFERROR(IF(INDEX(원자료_잔고!$A$1:$EZ$1500,설정!$L$5+ROW()-1,설정!$L$9)&amp;""="0","",INDEX(원자료_잔고!$A$1:$EZ$1500,설정!$L$5+ROW()-1,설정!$L$9)&amp;""),"")</f>
        <v/>
      </c>
      <c r="D702" s="83" t="str">
        <f aca="false">IFERROR(IF(INDEX(원자료_잔고!$A$1:$EZ$1500,설정!$L$5+ROW()-1,설정!$L$10)&amp;""="0","",INDEX(원자료_잔고!$A$1:$EZ$1500,설정!$L$5+ROW()-1,설정!$L$10)&amp;""),"")</f>
        <v/>
      </c>
      <c r="E702" s="84" t="str">
        <f aca="false">IFERROR(IF(ISNUMBER(INDEX(원자료_잔고!$A$1:$EZ$1500,설정!$L$5+ROW()-1,설정!$L$11)),INDEX(원자료_잔고!$A$1:$EZ$1500,설정!$L$5+ROW()-1,설정!$L$11),""),"")</f>
        <v/>
      </c>
      <c r="F702" s="85" t="str">
        <f aca="false">IFERROR(IF(ISNUMBER(INDEX(원자료_잔고!$A$1:$EZ$1500,설정!$L$5+ROW()-1,설정!$L$12)),INDEX(원자료_잔고!$A$1:$EZ$1500,설정!$L$5+ROW()-1,설정!$L$12),""),"")</f>
        <v/>
      </c>
      <c r="G702" s="85" t="str">
        <f aca="false">IFERROR(IF(ISNUMBER(INDEX(원자료_잔고!$A$1:$EZ$1500,설정!$L$5+ROW()-1,설정!$L$13)),INDEX(원자료_잔고!$A$1:$EZ$1500,설정!$L$5+ROW()-1,설정!$L$13),""),"")</f>
        <v/>
      </c>
      <c r="H702" s="85" t="str">
        <f aca="false">IFERROR(IF(ISNUMBER(INDEX(원자료_잔고!$A$1:$EZ$1500,설정!$L$5+ROW()-1,설정!$L$14)),INDEX(원자료_잔고!$A$1:$EZ$1500,설정!$L$5+ROW()-1,설정!$L$14),""),"")</f>
        <v/>
      </c>
      <c r="I702" s="86" t="str">
        <f aca="false">IFERROR(IF(ISNUMBER(INDEX(원자료_잔고!$A$1:$EZ$1500,설정!$L$5+ROW()-1,설정!$L$15)),INDEX(원자료_잔고!$A$1:$EZ$1500,설정!$L$5+ROW()-1,설정!$L$15),""),"")</f>
        <v/>
      </c>
      <c r="J702" s="85" t="str">
        <f aca="false">IFERROR(IF(ISNUMBER(INDEX(원자료_잔고!$A$1:$EZ$1500,설정!$L$5+ROW()-1,설정!$L$16)),INDEX(원자료_잔고!$A$1:$EZ$1500,설정!$L$5+ROW()-1,설정!$L$16),""),"")</f>
        <v/>
      </c>
      <c r="K702" s="87" t="str">
        <f aca="false">IFERROR(IF(ISNUMBER(INDEX(원자료_잔고!$A$1:$EZ$1500,설정!$L$5+ROW()-1,설정!$L$17)),INDEX(원자료_잔고!$A$1:$EZ$1500,설정!$L$5+ROW()-1,설정!$L$17),""),"")</f>
        <v/>
      </c>
      <c r="L702" s="84" t="str">
        <f aca="false">IFERROR(IF(ISNUMBER(INDEX(원자료_잔고!$A$1:$EZ$1500,설정!$L$5+ROW()-1,설정!$L$18)),INDEX(원자료_잔고!$A$1:$EZ$1500,설정!$L$5+ROW()-1,설정!$L$18),""),"")</f>
        <v/>
      </c>
      <c r="M702" s="88" t="str">
        <f aca="false">IFERROR(IF(ISNUMBER(INDEX(원자료_잔고!$A$1:$EZ$1500,설정!$L$5+ROW()-1,설정!$L$19)),INDEX(원자료_잔고!$A$1:$EZ$1500,설정!$L$5+ROW()-1,설정!$L$19),""),"")</f>
        <v/>
      </c>
      <c r="N702" s="83" t="str">
        <f aca="false">IFERROR(IF(INDEX(원자료_잔고!$A$1:$EZ$1500,설정!$L$5+ROW()-1,설정!$L$21)&amp;""="0","",INDEX(원자료_잔고!$A$1:$EZ$1500,설정!$L$5+ROW()-1,설정!$L$21)&amp;""),"")</f>
        <v/>
      </c>
      <c r="O702" s="83" t="str">
        <f aca="false">IFERROR(IF(INDEX(원자료_잔고!$A$1:$EZ$1500,설정!$L$5+ROW()-1,설정!$L$22)&amp;""="0","",INDEX(원자료_잔고!$A$1:$EZ$1500,설정!$L$5+ROW()-1,설정!$L$22)&amp;""),"")</f>
        <v/>
      </c>
      <c r="P702" s="83" t="str">
        <f aca="false">IFERROR(IF(INDEX(원자료_잔고!$A$1:$EZ$1500,설정!$L$5+ROW()-1,설정!$L$23)&amp;""="0","",INDEX(원자료_잔고!$A$1:$EZ$1500,설정!$L$5+ROW()-1,설정!$L$23)&amp;""),"")</f>
        <v/>
      </c>
      <c r="Q702" s="89" t="n">
        <f aca="false">IF(AND($A702&lt;&gt;"",ISNUMBER(E702)),IF(E702&gt;0,1,0),0)</f>
        <v>0</v>
      </c>
      <c r="R702" s="43" t="str">
        <f aca="false">IF(Q702=1,UPPER(LEFT($A702,FIND(" ",$A702&amp;" ")-1)),"")</f>
        <v/>
      </c>
      <c r="S702" s="89" t="n">
        <f aca="false">IF(Q702=1,IF(OR(ISNUMBER(SEARCH("Float",$A702)),ISNUMBER(SEARCH("FRN",$A702))),1,0),0)</f>
        <v>0</v>
      </c>
      <c r="T702" s="43" t="str">
        <f aca="false">IF(AND(Q702=1,ISNUMBER(I702)),TEXT(I702,"yyyymmdd")&amp;"|"&amp;IF(S702=1,"F",TEXT(J702,"0.000")),"")</f>
        <v/>
      </c>
      <c r="U702" s="90" t="str">
        <f aca="false">IF(AND(Q702=1,ISNUMBER(I702)),(I702-설정!$C$4)/365.25,"")</f>
        <v/>
      </c>
      <c r="V702" s="43" t="str">
        <f aca="false">IF(Q702&lt;&gt;1,"",IF(ISNUMBER(U702),IF(U702&lt;=1,"1년 이하",IF(U702&lt;=2,"1-2년",IF(U702&lt;=3,"2-3년",IF(U702&lt;=4,"3-4년",IF(U702&lt;=5,"4-5년",IF(U702&lt;=7,"5-7년",IF(U702&lt;=10,"7-10년",IF(U702&lt;=20,"10-20년","20년 이상")))))))),"미분류"))</f>
        <v/>
      </c>
      <c r="W702" s="43" t="str">
        <f aca="false">IF(Q702&lt;&gt;1,"",IF(AB702&lt;&gt;"",INDEX(시장분석!$C:$C,AB702),IF(K702=1,"USD","비USD")))</f>
        <v/>
      </c>
      <c r="X702" s="91" t="n">
        <f aca="false">IF(Q702=1,E702*K702/1000000,0)</f>
        <v>0</v>
      </c>
      <c r="Y702" s="89" t="n">
        <f aca="false">IF(R702="T",1,0)</f>
        <v>0</v>
      </c>
      <c r="Z702" s="92" t="str">
        <f aca="false">IF(Q702&lt;&gt;1,"",IF(AD702=1,IF(ISNUMBER(U702),MAX(U702,0),H702),H702))</f>
        <v/>
      </c>
      <c r="AA702" s="91" t="n">
        <f aca="false">IF(Q702=1,IF(ISNUMBER(L702),L702,0)*K702/1000000,0)</f>
        <v>0</v>
      </c>
      <c r="AB702" s="89" t="str">
        <f aca="false">IF(Q702&lt;&gt;1,"",IFERROR(MATCH(VLOOKUP(B702,매핑!$H$4:$I$15,2,0),시장분석!$A$2:$A$601,0)+1,IFERROR(MATCH(R702&amp;"|"&amp;T702,시장분석!$V$2:$V$601,0)+1,IF(COUNTIF(시장분석!$U$2:$U$601,T702)=1,MATCH(T702,시장분석!$U$2:$U$601,0)+1,""))))</f>
        <v/>
      </c>
      <c r="AC702" s="89" t="n">
        <f aca="false">IF(Q702&lt;&gt;1,0,IF(OR(설정!$C$5="전체",AND(설정!$C$5="선택펀드",IFERROR(COUNTIFS(설정!$F$16:$F$36,C702,설정!$G$16:$G$36,"Y")+COUNTIFS(설정!$F$16:$F$36,VALUE(C702),설정!$G$16:$G$36,"Y"),0)&gt;0),C702&amp;""=설정!$C$5&amp;""),1,0))</f>
        <v>0</v>
      </c>
      <c r="AD702" s="89" t="n">
        <f aca="false">IF(Q702&lt;&gt;1,0,IF(OR(S702=1,IF(AB702="",FALSE(),INDEX(시장분석!$R:$R,AB702)=1)),1,0))</f>
        <v>0</v>
      </c>
      <c r="AE702" s="43" t="str">
        <f aca="false">IF(AB702="","",INDEX(시장분석!$A:$A,AB702))</f>
        <v/>
      </c>
      <c r="AF702" s="93" t="str">
        <f aca="false">IF(AB702="","",IF(ISNUMBER(IF(AB702="","",INDEX(시장분석!$E:$E,AB702))),IF(AB702="","",INDEX(시장분석!$E:$E,AB702)),""))</f>
        <v/>
      </c>
      <c r="AG702" s="43" t="str">
        <f aca="false">IF(Q702&lt;&gt;1,"",IF(AB702&lt;&gt;"",IF(AB702="","",INDEX(시장분석!$L:$L,AB702)),IFERROR(IF(VLOOKUP(R702,매핑!$A$4:$E$92,5,0)="","미분류",VLOOKUP(R702,매핑!$A$4:$E$92,5,0)),"미분류")))</f>
        <v/>
      </c>
      <c r="AH702" s="43" t="str">
        <f aca="false">IF(Q702&lt;&gt;1,"",IF(AB702&lt;&gt;"",IF(AB702="","",INDEX(시장분석!$N:$N,AB702)),IFERROR(IF(VLOOKUP(R702,매핑!$A$4:$E$92,4,0)="","미분류",VLOOKUP(R702,매핑!$A$4:$E$92,4,0)),"미분류")))</f>
        <v/>
      </c>
      <c r="AI702" s="43" t="str">
        <f aca="false">IF(Q702&lt;&gt;1,"",IFERROR(IF(VLOOKUP(R702,매핑!$A$4:$E$92,3,0)="","미분류",VLOOKUP(R702,매핑!$A$4:$E$92,3,0)),IF(AB702&lt;&gt;"",IF(AB702="","",INDEX(시장분석!$W:$W,AB702)),"미분류")))</f>
        <v/>
      </c>
      <c r="AJ702" s="43" t="str">
        <f aca="false">IF(Q702&lt;&gt;1,"",IFERROR(VLOOKUP(IF(N702&lt;&gt;"",N702,IF(P702&lt;&gt;"",P702,O702)),설정!$A$15:$D$47,2,0),""))</f>
        <v/>
      </c>
      <c r="AK702" s="43" t="str">
        <f aca="false">IF(Q702&lt;&gt;1,"",IF(AJ702="","무등급",IFERROR(VLOOKUP(AJ702,설정!$A$15:$D$47,3,0),"무등급")))</f>
        <v/>
      </c>
      <c r="AL702" s="89" t="n">
        <f aca="false">IF(AJ702="",99,IFERROR(VLOOKUP(AJ702,설정!$A$15:$D$47,4,0),99))</f>
        <v>99</v>
      </c>
      <c r="AM702" s="94" t="n">
        <f aca="false">IF(ISNUMBER(H702),AA702*1000000*H702/10000,0)</f>
        <v>0</v>
      </c>
      <c r="AN702" s="94" t="n">
        <f aca="false">IF(OR(Y702=1,NOT(ISNUMBER(Z702))),0,AA702*1000000*Z702/10000)</f>
        <v>0</v>
      </c>
      <c r="AO702" s="94" t="n">
        <f aca="false">IF(ISNUMBER(G702),AA702*1000000*G702/100,0)</f>
        <v>0</v>
      </c>
      <c r="AP702" s="94" t="n">
        <f aca="false">IF(ISNUMBER(M702),M702*K702,0)</f>
        <v>0</v>
      </c>
      <c r="AQ702" s="95" t="str">
        <f aca="false">IF(AB702="","",INDEX(시장분석!$AK:$AK,AB702))</f>
        <v/>
      </c>
      <c r="AR702" s="43" t="str">
        <f aca="false">IF(AB702="","-",IF(AB702="","",INDEX(시장분석!$AL:$AL,AB702)))</f>
        <v>-</v>
      </c>
      <c r="AS702" s="96" t="str">
        <f aca="false">IF(AB702="","",INDEX(시장분석!$AJ:$AJ,AB702))</f>
        <v/>
      </c>
      <c r="AT702" s="93" t="n">
        <f aca="false">IF(AB702="",0,IF(AB702="","",INDEX(시장분석!$AN:$AN,AB702)))</f>
        <v>0</v>
      </c>
      <c r="AU702" s="94" t="n">
        <f aca="false">IF(ISNUMBER(Z702),AT702/10000*MAX(Z702-1,0)*AA702*1000000,0)</f>
        <v>0</v>
      </c>
      <c r="AV702" s="94" t="n">
        <f aca="false">AO702+AU702</f>
        <v>0</v>
      </c>
      <c r="AW702" s="43" t="str">
        <f aca="false">IF(Q702&lt;&gt;1,"",TRIM(IF(AD702=1,"FRN ","")&amp;IF(AND(AL702&gt;=10,AL702&lt;99),"BBB0미만 ","")&amp;IF(AJ702="","등급없음 ","")&amp;IF(K702&lt;&gt;1,"비USD ","")&amp;IF(AND(AB702="",Y702=0),"시장데이터없음 ","")&amp;IF(AND(ISNUMBER(U702),U702&lt;0),"만기경과 ","")))</f>
        <v/>
      </c>
      <c r="AX702" s="90" t="n">
        <f aca="false">IF(Q702&lt;&gt;1,1,IF(스프레드쇼크!$C$4="Y",INDEX(스프레드쇼크!$B$12:$L$16,IFERROR(MATCH(AH702,스프레드쇼크!$A$12:$A$16,0),MATCH("목록외",스프레드쇼크!$A$12:$A$16,0)),IFERROR(MATCH(AG702,스프레드쇼크!$B$11:$L$11,0),MATCH("목록외",스프레드쇼크!$B$11:$L$11,0))),1))</f>
        <v>1</v>
      </c>
      <c r="AY702" s="90" t="n">
        <f aca="false">IF(스프레드쇼크!$C$5="Y",IF(ISNUMBER(AF702),MIN(스프레드쇼크!$C$7,MAX(스프레드쇼크!$C$6,AF702/스프레드쇼크!$C$8)),1),1)</f>
        <v>1</v>
      </c>
      <c r="AZ702" s="94" t="n">
        <f aca="false">AN702*AX702*AY702</f>
        <v>0</v>
      </c>
      <c r="BA702" s="90" t="n">
        <f aca="false">IF(ISNUMBER(G702),AA702*G702,0)</f>
        <v>0</v>
      </c>
      <c r="BB702" s="90" t="n">
        <f aca="false">IF(ISNUMBER(G702),AA702,0)</f>
        <v>0</v>
      </c>
      <c r="BC702" s="90" t="n">
        <f aca="false">IF(AND(Y702=0,ISNUMBER(AF702)),AA702*AF702,0)</f>
        <v>0</v>
      </c>
      <c r="BD702" s="90" t="n">
        <f aca="false">IF(AND(Y702=0,ISNUMBER(AF702)),AA702,0)</f>
        <v>0</v>
      </c>
      <c r="BE702" s="90" t="n">
        <f aca="false">IF(ISNUMBER(H702),AA702*H702,0)</f>
        <v>0</v>
      </c>
      <c r="BF702" s="90" t="n">
        <f aca="false">IF(ISNUMBER(H702),AA702,0)</f>
        <v>0</v>
      </c>
      <c r="BG702" s="90" t="n">
        <f aca="false">IF(AND(Y702=0,ISNUMBER(AF702),ISNUMBER(Z702)),AA702*Z702,0)</f>
        <v>0</v>
      </c>
      <c r="BH702" s="90" t="n">
        <f aca="false">IF(AND(Y702=0,ISNUMBER(AF702),ISNUMBER(Z702)),AA702*AT702*MAX(Z702-1,0),0)</f>
        <v>0</v>
      </c>
      <c r="BI702" s="90" t="n">
        <f aca="false">IF(Y702=0,AA702,0)</f>
        <v>0</v>
      </c>
    </row>
    <row r="703" customFormat="false" ht="15" hidden="false" customHeight="false" outlineLevel="0" collapsed="false">
      <c r="A703" s="83" t="str">
        <f aca="false">IFERROR(IF(INDEX(원자료_잔고!$A$1:$EZ$1500,설정!$L$5+ROW()-1,설정!$L$8)&amp;""="0","",INDEX(원자료_잔고!$A$1:$EZ$1500,설정!$L$5+ROW()-1,설정!$L$8)&amp;""),"")</f>
        <v/>
      </c>
      <c r="B703" s="83" t="str">
        <f aca="false">IFERROR(IF(INDEX(원자료_잔고!$A$1:$EZ$1500,설정!$L$5+ROW()-1,설정!$L$7)&amp;""="0","",INDEX(원자료_잔고!$A$1:$EZ$1500,설정!$L$5+ROW()-1,설정!$L$7)&amp;""),"")</f>
        <v/>
      </c>
      <c r="C703" s="83" t="str">
        <f aca="false">IFERROR(IF(INDEX(원자료_잔고!$A$1:$EZ$1500,설정!$L$5+ROW()-1,설정!$L$9)&amp;""="0","",INDEX(원자료_잔고!$A$1:$EZ$1500,설정!$L$5+ROW()-1,설정!$L$9)&amp;""),"")</f>
        <v/>
      </c>
      <c r="D703" s="83" t="str">
        <f aca="false">IFERROR(IF(INDEX(원자료_잔고!$A$1:$EZ$1500,설정!$L$5+ROW()-1,설정!$L$10)&amp;""="0","",INDEX(원자료_잔고!$A$1:$EZ$1500,설정!$L$5+ROW()-1,설정!$L$10)&amp;""),"")</f>
        <v/>
      </c>
      <c r="E703" s="84" t="str">
        <f aca="false">IFERROR(IF(ISNUMBER(INDEX(원자료_잔고!$A$1:$EZ$1500,설정!$L$5+ROW()-1,설정!$L$11)),INDEX(원자료_잔고!$A$1:$EZ$1500,설정!$L$5+ROW()-1,설정!$L$11),""),"")</f>
        <v/>
      </c>
      <c r="F703" s="85" t="str">
        <f aca="false">IFERROR(IF(ISNUMBER(INDEX(원자료_잔고!$A$1:$EZ$1500,설정!$L$5+ROW()-1,설정!$L$12)),INDEX(원자료_잔고!$A$1:$EZ$1500,설정!$L$5+ROW()-1,설정!$L$12),""),"")</f>
        <v/>
      </c>
      <c r="G703" s="85" t="str">
        <f aca="false">IFERROR(IF(ISNUMBER(INDEX(원자료_잔고!$A$1:$EZ$1500,설정!$L$5+ROW()-1,설정!$L$13)),INDEX(원자료_잔고!$A$1:$EZ$1500,설정!$L$5+ROW()-1,설정!$L$13),""),"")</f>
        <v/>
      </c>
      <c r="H703" s="85" t="str">
        <f aca="false">IFERROR(IF(ISNUMBER(INDEX(원자료_잔고!$A$1:$EZ$1500,설정!$L$5+ROW()-1,설정!$L$14)),INDEX(원자료_잔고!$A$1:$EZ$1500,설정!$L$5+ROW()-1,설정!$L$14),""),"")</f>
        <v/>
      </c>
      <c r="I703" s="86" t="str">
        <f aca="false">IFERROR(IF(ISNUMBER(INDEX(원자료_잔고!$A$1:$EZ$1500,설정!$L$5+ROW()-1,설정!$L$15)),INDEX(원자료_잔고!$A$1:$EZ$1500,설정!$L$5+ROW()-1,설정!$L$15),""),"")</f>
        <v/>
      </c>
      <c r="J703" s="85" t="str">
        <f aca="false">IFERROR(IF(ISNUMBER(INDEX(원자료_잔고!$A$1:$EZ$1500,설정!$L$5+ROW()-1,설정!$L$16)),INDEX(원자료_잔고!$A$1:$EZ$1500,설정!$L$5+ROW()-1,설정!$L$16),""),"")</f>
        <v/>
      </c>
      <c r="K703" s="87" t="str">
        <f aca="false">IFERROR(IF(ISNUMBER(INDEX(원자료_잔고!$A$1:$EZ$1500,설정!$L$5+ROW()-1,설정!$L$17)),INDEX(원자료_잔고!$A$1:$EZ$1500,설정!$L$5+ROW()-1,설정!$L$17),""),"")</f>
        <v/>
      </c>
      <c r="L703" s="84" t="str">
        <f aca="false">IFERROR(IF(ISNUMBER(INDEX(원자료_잔고!$A$1:$EZ$1500,설정!$L$5+ROW()-1,설정!$L$18)),INDEX(원자료_잔고!$A$1:$EZ$1500,설정!$L$5+ROW()-1,설정!$L$18),""),"")</f>
        <v/>
      </c>
      <c r="M703" s="88" t="str">
        <f aca="false">IFERROR(IF(ISNUMBER(INDEX(원자료_잔고!$A$1:$EZ$1500,설정!$L$5+ROW()-1,설정!$L$19)),INDEX(원자료_잔고!$A$1:$EZ$1500,설정!$L$5+ROW()-1,설정!$L$19),""),"")</f>
        <v/>
      </c>
      <c r="N703" s="83" t="str">
        <f aca="false">IFERROR(IF(INDEX(원자료_잔고!$A$1:$EZ$1500,설정!$L$5+ROW()-1,설정!$L$21)&amp;""="0","",INDEX(원자료_잔고!$A$1:$EZ$1500,설정!$L$5+ROW()-1,설정!$L$21)&amp;""),"")</f>
        <v/>
      </c>
      <c r="O703" s="83" t="str">
        <f aca="false">IFERROR(IF(INDEX(원자료_잔고!$A$1:$EZ$1500,설정!$L$5+ROW()-1,설정!$L$22)&amp;""="0","",INDEX(원자료_잔고!$A$1:$EZ$1500,설정!$L$5+ROW()-1,설정!$L$22)&amp;""),"")</f>
        <v/>
      </c>
      <c r="P703" s="83" t="str">
        <f aca="false">IFERROR(IF(INDEX(원자료_잔고!$A$1:$EZ$1500,설정!$L$5+ROW()-1,설정!$L$23)&amp;""="0","",INDEX(원자료_잔고!$A$1:$EZ$1500,설정!$L$5+ROW()-1,설정!$L$23)&amp;""),"")</f>
        <v/>
      </c>
      <c r="Q703" s="89" t="n">
        <f aca="false">IF(AND($A703&lt;&gt;"",ISNUMBER(E703)),IF(E703&gt;0,1,0),0)</f>
        <v>0</v>
      </c>
      <c r="R703" s="43" t="str">
        <f aca="false">IF(Q703=1,UPPER(LEFT($A703,FIND(" ",$A703&amp;" ")-1)),"")</f>
        <v/>
      </c>
      <c r="S703" s="89" t="n">
        <f aca="false">IF(Q703=1,IF(OR(ISNUMBER(SEARCH("Float",$A703)),ISNUMBER(SEARCH("FRN",$A703))),1,0),0)</f>
        <v>0</v>
      </c>
      <c r="T703" s="43" t="str">
        <f aca="false">IF(AND(Q703=1,ISNUMBER(I703)),TEXT(I703,"yyyymmdd")&amp;"|"&amp;IF(S703=1,"F",TEXT(J703,"0.000")),"")</f>
        <v/>
      </c>
      <c r="U703" s="90" t="str">
        <f aca="false">IF(AND(Q703=1,ISNUMBER(I703)),(I703-설정!$C$4)/365.25,"")</f>
        <v/>
      </c>
      <c r="V703" s="43" t="str">
        <f aca="false">IF(Q703&lt;&gt;1,"",IF(ISNUMBER(U703),IF(U703&lt;=1,"1년 이하",IF(U703&lt;=2,"1-2년",IF(U703&lt;=3,"2-3년",IF(U703&lt;=4,"3-4년",IF(U703&lt;=5,"4-5년",IF(U703&lt;=7,"5-7년",IF(U703&lt;=10,"7-10년",IF(U703&lt;=20,"10-20년","20년 이상")))))))),"미분류"))</f>
        <v/>
      </c>
      <c r="W703" s="43" t="str">
        <f aca="false">IF(Q703&lt;&gt;1,"",IF(AB703&lt;&gt;"",INDEX(시장분석!$C:$C,AB703),IF(K703=1,"USD","비USD")))</f>
        <v/>
      </c>
      <c r="X703" s="91" t="n">
        <f aca="false">IF(Q703=1,E703*K703/1000000,0)</f>
        <v>0</v>
      </c>
      <c r="Y703" s="89" t="n">
        <f aca="false">IF(R703="T",1,0)</f>
        <v>0</v>
      </c>
      <c r="Z703" s="92" t="str">
        <f aca="false">IF(Q703&lt;&gt;1,"",IF(AD703=1,IF(ISNUMBER(U703),MAX(U703,0),H703),H703))</f>
        <v/>
      </c>
      <c r="AA703" s="91" t="n">
        <f aca="false">IF(Q703=1,IF(ISNUMBER(L703),L703,0)*K703/1000000,0)</f>
        <v>0</v>
      </c>
      <c r="AB703" s="89" t="str">
        <f aca="false">IF(Q703&lt;&gt;1,"",IFERROR(MATCH(VLOOKUP(B703,매핑!$H$4:$I$15,2,0),시장분석!$A$2:$A$601,0)+1,IFERROR(MATCH(R703&amp;"|"&amp;T703,시장분석!$V$2:$V$601,0)+1,IF(COUNTIF(시장분석!$U$2:$U$601,T703)=1,MATCH(T703,시장분석!$U$2:$U$601,0)+1,""))))</f>
        <v/>
      </c>
      <c r="AC703" s="89" t="n">
        <f aca="false">IF(Q703&lt;&gt;1,0,IF(OR(설정!$C$5="전체",AND(설정!$C$5="선택펀드",IFERROR(COUNTIFS(설정!$F$16:$F$36,C703,설정!$G$16:$G$36,"Y")+COUNTIFS(설정!$F$16:$F$36,VALUE(C703),설정!$G$16:$G$36,"Y"),0)&gt;0),C703&amp;""=설정!$C$5&amp;""),1,0))</f>
        <v>0</v>
      </c>
      <c r="AD703" s="89" t="n">
        <f aca="false">IF(Q703&lt;&gt;1,0,IF(OR(S703=1,IF(AB703="",FALSE(),INDEX(시장분석!$R:$R,AB703)=1)),1,0))</f>
        <v>0</v>
      </c>
      <c r="AE703" s="43" t="str">
        <f aca="false">IF(AB703="","",INDEX(시장분석!$A:$A,AB703))</f>
        <v/>
      </c>
      <c r="AF703" s="93" t="str">
        <f aca="false">IF(AB703="","",IF(ISNUMBER(IF(AB703="","",INDEX(시장분석!$E:$E,AB703))),IF(AB703="","",INDEX(시장분석!$E:$E,AB703)),""))</f>
        <v/>
      </c>
      <c r="AG703" s="43" t="str">
        <f aca="false">IF(Q703&lt;&gt;1,"",IF(AB703&lt;&gt;"",IF(AB703="","",INDEX(시장분석!$L:$L,AB703)),IFERROR(IF(VLOOKUP(R703,매핑!$A$4:$E$92,5,0)="","미분류",VLOOKUP(R703,매핑!$A$4:$E$92,5,0)),"미분류")))</f>
        <v/>
      </c>
      <c r="AH703" s="43" t="str">
        <f aca="false">IF(Q703&lt;&gt;1,"",IF(AB703&lt;&gt;"",IF(AB703="","",INDEX(시장분석!$N:$N,AB703)),IFERROR(IF(VLOOKUP(R703,매핑!$A$4:$E$92,4,0)="","미분류",VLOOKUP(R703,매핑!$A$4:$E$92,4,0)),"미분류")))</f>
        <v/>
      </c>
      <c r="AI703" s="43" t="str">
        <f aca="false">IF(Q703&lt;&gt;1,"",IFERROR(IF(VLOOKUP(R703,매핑!$A$4:$E$92,3,0)="","미분류",VLOOKUP(R703,매핑!$A$4:$E$92,3,0)),IF(AB703&lt;&gt;"",IF(AB703="","",INDEX(시장분석!$W:$W,AB703)),"미분류")))</f>
        <v/>
      </c>
      <c r="AJ703" s="43" t="str">
        <f aca="false">IF(Q703&lt;&gt;1,"",IFERROR(VLOOKUP(IF(N703&lt;&gt;"",N703,IF(P703&lt;&gt;"",P703,O703)),설정!$A$15:$D$47,2,0),""))</f>
        <v/>
      </c>
      <c r="AK703" s="43" t="str">
        <f aca="false">IF(Q703&lt;&gt;1,"",IF(AJ703="","무등급",IFERROR(VLOOKUP(AJ703,설정!$A$15:$D$47,3,0),"무등급")))</f>
        <v/>
      </c>
      <c r="AL703" s="89" t="n">
        <f aca="false">IF(AJ703="",99,IFERROR(VLOOKUP(AJ703,설정!$A$15:$D$47,4,0),99))</f>
        <v>99</v>
      </c>
      <c r="AM703" s="94" t="n">
        <f aca="false">IF(ISNUMBER(H703),AA703*1000000*H703/10000,0)</f>
        <v>0</v>
      </c>
      <c r="AN703" s="94" t="n">
        <f aca="false">IF(OR(Y703=1,NOT(ISNUMBER(Z703))),0,AA703*1000000*Z703/10000)</f>
        <v>0</v>
      </c>
      <c r="AO703" s="94" t="n">
        <f aca="false">IF(ISNUMBER(G703),AA703*1000000*G703/100,0)</f>
        <v>0</v>
      </c>
      <c r="AP703" s="94" t="n">
        <f aca="false">IF(ISNUMBER(M703),M703*K703,0)</f>
        <v>0</v>
      </c>
      <c r="AQ703" s="95" t="str">
        <f aca="false">IF(AB703="","",INDEX(시장분석!$AK:$AK,AB703))</f>
        <v/>
      </c>
      <c r="AR703" s="43" t="str">
        <f aca="false">IF(AB703="","-",IF(AB703="","",INDEX(시장분석!$AL:$AL,AB703)))</f>
        <v>-</v>
      </c>
      <c r="AS703" s="96" t="str">
        <f aca="false">IF(AB703="","",INDEX(시장분석!$AJ:$AJ,AB703))</f>
        <v/>
      </c>
      <c r="AT703" s="93" t="n">
        <f aca="false">IF(AB703="",0,IF(AB703="","",INDEX(시장분석!$AN:$AN,AB703)))</f>
        <v>0</v>
      </c>
      <c r="AU703" s="94" t="n">
        <f aca="false">IF(ISNUMBER(Z703),AT703/10000*MAX(Z703-1,0)*AA703*1000000,0)</f>
        <v>0</v>
      </c>
      <c r="AV703" s="94" t="n">
        <f aca="false">AO703+AU703</f>
        <v>0</v>
      </c>
      <c r="AW703" s="43" t="str">
        <f aca="false">IF(Q703&lt;&gt;1,"",TRIM(IF(AD703=1,"FRN ","")&amp;IF(AND(AL703&gt;=10,AL703&lt;99),"BBB0미만 ","")&amp;IF(AJ703="","등급없음 ","")&amp;IF(K703&lt;&gt;1,"비USD ","")&amp;IF(AND(AB703="",Y703=0),"시장데이터없음 ","")&amp;IF(AND(ISNUMBER(U703),U703&lt;0),"만기경과 ","")))</f>
        <v/>
      </c>
      <c r="AX703" s="90" t="n">
        <f aca="false">IF(Q703&lt;&gt;1,1,IF(스프레드쇼크!$C$4="Y",INDEX(스프레드쇼크!$B$12:$L$16,IFERROR(MATCH(AH703,스프레드쇼크!$A$12:$A$16,0),MATCH("목록외",스프레드쇼크!$A$12:$A$16,0)),IFERROR(MATCH(AG703,스프레드쇼크!$B$11:$L$11,0),MATCH("목록외",스프레드쇼크!$B$11:$L$11,0))),1))</f>
        <v>1</v>
      </c>
      <c r="AY703" s="90" t="n">
        <f aca="false">IF(스프레드쇼크!$C$5="Y",IF(ISNUMBER(AF703),MIN(스프레드쇼크!$C$7,MAX(스프레드쇼크!$C$6,AF703/스프레드쇼크!$C$8)),1),1)</f>
        <v>1</v>
      </c>
      <c r="AZ703" s="94" t="n">
        <f aca="false">AN703*AX703*AY703</f>
        <v>0</v>
      </c>
      <c r="BA703" s="90" t="n">
        <f aca="false">IF(ISNUMBER(G703),AA703*G703,0)</f>
        <v>0</v>
      </c>
      <c r="BB703" s="90" t="n">
        <f aca="false">IF(ISNUMBER(G703),AA703,0)</f>
        <v>0</v>
      </c>
      <c r="BC703" s="90" t="n">
        <f aca="false">IF(AND(Y703=0,ISNUMBER(AF703)),AA703*AF703,0)</f>
        <v>0</v>
      </c>
      <c r="BD703" s="90" t="n">
        <f aca="false">IF(AND(Y703=0,ISNUMBER(AF703)),AA703,0)</f>
        <v>0</v>
      </c>
      <c r="BE703" s="90" t="n">
        <f aca="false">IF(ISNUMBER(H703),AA703*H703,0)</f>
        <v>0</v>
      </c>
      <c r="BF703" s="90" t="n">
        <f aca="false">IF(ISNUMBER(H703),AA703,0)</f>
        <v>0</v>
      </c>
      <c r="BG703" s="90" t="n">
        <f aca="false">IF(AND(Y703=0,ISNUMBER(AF703),ISNUMBER(Z703)),AA703*Z703,0)</f>
        <v>0</v>
      </c>
      <c r="BH703" s="90" t="n">
        <f aca="false">IF(AND(Y703=0,ISNUMBER(AF703),ISNUMBER(Z703)),AA703*AT703*MAX(Z703-1,0),0)</f>
        <v>0</v>
      </c>
      <c r="BI703" s="90" t="n">
        <f aca="false">IF(Y703=0,AA703,0)</f>
        <v>0</v>
      </c>
    </row>
    <row r="704" customFormat="false" ht="15" hidden="false" customHeight="false" outlineLevel="0" collapsed="false">
      <c r="A704" s="83" t="str">
        <f aca="false">IFERROR(IF(INDEX(원자료_잔고!$A$1:$EZ$1500,설정!$L$5+ROW()-1,설정!$L$8)&amp;""="0","",INDEX(원자료_잔고!$A$1:$EZ$1500,설정!$L$5+ROW()-1,설정!$L$8)&amp;""),"")</f>
        <v/>
      </c>
      <c r="B704" s="83" t="str">
        <f aca="false">IFERROR(IF(INDEX(원자료_잔고!$A$1:$EZ$1500,설정!$L$5+ROW()-1,설정!$L$7)&amp;""="0","",INDEX(원자료_잔고!$A$1:$EZ$1500,설정!$L$5+ROW()-1,설정!$L$7)&amp;""),"")</f>
        <v/>
      </c>
      <c r="C704" s="83" t="str">
        <f aca="false">IFERROR(IF(INDEX(원자료_잔고!$A$1:$EZ$1500,설정!$L$5+ROW()-1,설정!$L$9)&amp;""="0","",INDEX(원자료_잔고!$A$1:$EZ$1500,설정!$L$5+ROW()-1,설정!$L$9)&amp;""),"")</f>
        <v/>
      </c>
      <c r="D704" s="83" t="str">
        <f aca="false">IFERROR(IF(INDEX(원자료_잔고!$A$1:$EZ$1500,설정!$L$5+ROW()-1,설정!$L$10)&amp;""="0","",INDEX(원자료_잔고!$A$1:$EZ$1500,설정!$L$5+ROW()-1,설정!$L$10)&amp;""),"")</f>
        <v/>
      </c>
      <c r="E704" s="84" t="str">
        <f aca="false">IFERROR(IF(ISNUMBER(INDEX(원자료_잔고!$A$1:$EZ$1500,설정!$L$5+ROW()-1,설정!$L$11)),INDEX(원자료_잔고!$A$1:$EZ$1500,설정!$L$5+ROW()-1,설정!$L$11),""),"")</f>
        <v/>
      </c>
      <c r="F704" s="85" t="str">
        <f aca="false">IFERROR(IF(ISNUMBER(INDEX(원자료_잔고!$A$1:$EZ$1500,설정!$L$5+ROW()-1,설정!$L$12)),INDEX(원자료_잔고!$A$1:$EZ$1500,설정!$L$5+ROW()-1,설정!$L$12),""),"")</f>
        <v/>
      </c>
      <c r="G704" s="85" t="str">
        <f aca="false">IFERROR(IF(ISNUMBER(INDEX(원자료_잔고!$A$1:$EZ$1500,설정!$L$5+ROW()-1,설정!$L$13)),INDEX(원자료_잔고!$A$1:$EZ$1500,설정!$L$5+ROW()-1,설정!$L$13),""),"")</f>
        <v/>
      </c>
      <c r="H704" s="85" t="str">
        <f aca="false">IFERROR(IF(ISNUMBER(INDEX(원자료_잔고!$A$1:$EZ$1500,설정!$L$5+ROW()-1,설정!$L$14)),INDEX(원자료_잔고!$A$1:$EZ$1500,설정!$L$5+ROW()-1,설정!$L$14),""),"")</f>
        <v/>
      </c>
      <c r="I704" s="86" t="str">
        <f aca="false">IFERROR(IF(ISNUMBER(INDEX(원자료_잔고!$A$1:$EZ$1500,설정!$L$5+ROW()-1,설정!$L$15)),INDEX(원자료_잔고!$A$1:$EZ$1500,설정!$L$5+ROW()-1,설정!$L$15),""),"")</f>
        <v/>
      </c>
      <c r="J704" s="85" t="str">
        <f aca="false">IFERROR(IF(ISNUMBER(INDEX(원자료_잔고!$A$1:$EZ$1500,설정!$L$5+ROW()-1,설정!$L$16)),INDEX(원자료_잔고!$A$1:$EZ$1500,설정!$L$5+ROW()-1,설정!$L$16),""),"")</f>
        <v/>
      </c>
      <c r="K704" s="87" t="str">
        <f aca="false">IFERROR(IF(ISNUMBER(INDEX(원자료_잔고!$A$1:$EZ$1500,설정!$L$5+ROW()-1,설정!$L$17)),INDEX(원자료_잔고!$A$1:$EZ$1500,설정!$L$5+ROW()-1,설정!$L$17),""),"")</f>
        <v/>
      </c>
      <c r="L704" s="84" t="str">
        <f aca="false">IFERROR(IF(ISNUMBER(INDEX(원자료_잔고!$A$1:$EZ$1500,설정!$L$5+ROW()-1,설정!$L$18)),INDEX(원자료_잔고!$A$1:$EZ$1500,설정!$L$5+ROW()-1,설정!$L$18),""),"")</f>
        <v/>
      </c>
      <c r="M704" s="88" t="str">
        <f aca="false">IFERROR(IF(ISNUMBER(INDEX(원자료_잔고!$A$1:$EZ$1500,설정!$L$5+ROW()-1,설정!$L$19)),INDEX(원자료_잔고!$A$1:$EZ$1500,설정!$L$5+ROW()-1,설정!$L$19),""),"")</f>
        <v/>
      </c>
      <c r="N704" s="83" t="str">
        <f aca="false">IFERROR(IF(INDEX(원자료_잔고!$A$1:$EZ$1500,설정!$L$5+ROW()-1,설정!$L$21)&amp;""="0","",INDEX(원자료_잔고!$A$1:$EZ$1500,설정!$L$5+ROW()-1,설정!$L$21)&amp;""),"")</f>
        <v/>
      </c>
      <c r="O704" s="83" t="str">
        <f aca="false">IFERROR(IF(INDEX(원자료_잔고!$A$1:$EZ$1500,설정!$L$5+ROW()-1,설정!$L$22)&amp;""="0","",INDEX(원자료_잔고!$A$1:$EZ$1500,설정!$L$5+ROW()-1,설정!$L$22)&amp;""),"")</f>
        <v/>
      </c>
      <c r="P704" s="83" t="str">
        <f aca="false">IFERROR(IF(INDEX(원자료_잔고!$A$1:$EZ$1500,설정!$L$5+ROW()-1,설정!$L$23)&amp;""="0","",INDEX(원자료_잔고!$A$1:$EZ$1500,설정!$L$5+ROW()-1,설정!$L$23)&amp;""),"")</f>
        <v/>
      </c>
      <c r="Q704" s="89" t="n">
        <f aca="false">IF(AND($A704&lt;&gt;"",ISNUMBER(E704)),IF(E704&gt;0,1,0),0)</f>
        <v>0</v>
      </c>
      <c r="R704" s="43" t="str">
        <f aca="false">IF(Q704=1,UPPER(LEFT($A704,FIND(" ",$A704&amp;" ")-1)),"")</f>
        <v/>
      </c>
      <c r="S704" s="89" t="n">
        <f aca="false">IF(Q704=1,IF(OR(ISNUMBER(SEARCH("Float",$A704)),ISNUMBER(SEARCH("FRN",$A704))),1,0),0)</f>
        <v>0</v>
      </c>
      <c r="T704" s="43" t="str">
        <f aca="false">IF(AND(Q704=1,ISNUMBER(I704)),TEXT(I704,"yyyymmdd")&amp;"|"&amp;IF(S704=1,"F",TEXT(J704,"0.000")),"")</f>
        <v/>
      </c>
      <c r="U704" s="90" t="str">
        <f aca="false">IF(AND(Q704=1,ISNUMBER(I704)),(I704-설정!$C$4)/365.25,"")</f>
        <v/>
      </c>
      <c r="V704" s="43" t="str">
        <f aca="false">IF(Q704&lt;&gt;1,"",IF(ISNUMBER(U704),IF(U704&lt;=1,"1년 이하",IF(U704&lt;=2,"1-2년",IF(U704&lt;=3,"2-3년",IF(U704&lt;=4,"3-4년",IF(U704&lt;=5,"4-5년",IF(U704&lt;=7,"5-7년",IF(U704&lt;=10,"7-10년",IF(U704&lt;=20,"10-20년","20년 이상")))))))),"미분류"))</f>
        <v/>
      </c>
      <c r="W704" s="43" t="str">
        <f aca="false">IF(Q704&lt;&gt;1,"",IF(AB704&lt;&gt;"",INDEX(시장분석!$C:$C,AB704),IF(K704=1,"USD","비USD")))</f>
        <v/>
      </c>
      <c r="X704" s="91" t="n">
        <f aca="false">IF(Q704=1,E704*K704/1000000,0)</f>
        <v>0</v>
      </c>
      <c r="Y704" s="89" t="n">
        <f aca="false">IF(R704="T",1,0)</f>
        <v>0</v>
      </c>
      <c r="Z704" s="92" t="str">
        <f aca="false">IF(Q704&lt;&gt;1,"",IF(AD704=1,IF(ISNUMBER(U704),MAX(U704,0),H704),H704))</f>
        <v/>
      </c>
      <c r="AA704" s="91" t="n">
        <f aca="false">IF(Q704=1,IF(ISNUMBER(L704),L704,0)*K704/1000000,0)</f>
        <v>0</v>
      </c>
      <c r="AB704" s="89" t="str">
        <f aca="false">IF(Q704&lt;&gt;1,"",IFERROR(MATCH(VLOOKUP(B704,매핑!$H$4:$I$15,2,0),시장분석!$A$2:$A$601,0)+1,IFERROR(MATCH(R704&amp;"|"&amp;T704,시장분석!$V$2:$V$601,0)+1,IF(COUNTIF(시장분석!$U$2:$U$601,T704)=1,MATCH(T704,시장분석!$U$2:$U$601,0)+1,""))))</f>
        <v/>
      </c>
      <c r="AC704" s="89" t="n">
        <f aca="false">IF(Q704&lt;&gt;1,0,IF(OR(설정!$C$5="전체",AND(설정!$C$5="선택펀드",IFERROR(COUNTIFS(설정!$F$16:$F$36,C704,설정!$G$16:$G$36,"Y")+COUNTIFS(설정!$F$16:$F$36,VALUE(C704),설정!$G$16:$G$36,"Y"),0)&gt;0),C704&amp;""=설정!$C$5&amp;""),1,0))</f>
        <v>0</v>
      </c>
      <c r="AD704" s="89" t="n">
        <f aca="false">IF(Q704&lt;&gt;1,0,IF(OR(S704=1,IF(AB704="",FALSE(),INDEX(시장분석!$R:$R,AB704)=1)),1,0))</f>
        <v>0</v>
      </c>
      <c r="AE704" s="43" t="str">
        <f aca="false">IF(AB704="","",INDEX(시장분석!$A:$A,AB704))</f>
        <v/>
      </c>
      <c r="AF704" s="93" t="str">
        <f aca="false">IF(AB704="","",IF(ISNUMBER(IF(AB704="","",INDEX(시장분석!$E:$E,AB704))),IF(AB704="","",INDEX(시장분석!$E:$E,AB704)),""))</f>
        <v/>
      </c>
      <c r="AG704" s="43" t="str">
        <f aca="false">IF(Q704&lt;&gt;1,"",IF(AB704&lt;&gt;"",IF(AB704="","",INDEX(시장분석!$L:$L,AB704)),IFERROR(IF(VLOOKUP(R704,매핑!$A$4:$E$92,5,0)="","미분류",VLOOKUP(R704,매핑!$A$4:$E$92,5,0)),"미분류")))</f>
        <v/>
      </c>
      <c r="AH704" s="43" t="str">
        <f aca="false">IF(Q704&lt;&gt;1,"",IF(AB704&lt;&gt;"",IF(AB704="","",INDEX(시장분석!$N:$N,AB704)),IFERROR(IF(VLOOKUP(R704,매핑!$A$4:$E$92,4,0)="","미분류",VLOOKUP(R704,매핑!$A$4:$E$92,4,0)),"미분류")))</f>
        <v/>
      </c>
      <c r="AI704" s="43" t="str">
        <f aca="false">IF(Q704&lt;&gt;1,"",IFERROR(IF(VLOOKUP(R704,매핑!$A$4:$E$92,3,0)="","미분류",VLOOKUP(R704,매핑!$A$4:$E$92,3,0)),IF(AB704&lt;&gt;"",IF(AB704="","",INDEX(시장분석!$W:$W,AB704)),"미분류")))</f>
        <v/>
      </c>
      <c r="AJ704" s="43" t="str">
        <f aca="false">IF(Q704&lt;&gt;1,"",IFERROR(VLOOKUP(IF(N704&lt;&gt;"",N704,IF(P704&lt;&gt;"",P704,O704)),설정!$A$15:$D$47,2,0),""))</f>
        <v/>
      </c>
      <c r="AK704" s="43" t="str">
        <f aca="false">IF(Q704&lt;&gt;1,"",IF(AJ704="","무등급",IFERROR(VLOOKUP(AJ704,설정!$A$15:$D$47,3,0),"무등급")))</f>
        <v/>
      </c>
      <c r="AL704" s="89" t="n">
        <f aca="false">IF(AJ704="",99,IFERROR(VLOOKUP(AJ704,설정!$A$15:$D$47,4,0),99))</f>
        <v>99</v>
      </c>
      <c r="AM704" s="94" t="n">
        <f aca="false">IF(ISNUMBER(H704),AA704*1000000*H704/10000,0)</f>
        <v>0</v>
      </c>
      <c r="AN704" s="94" t="n">
        <f aca="false">IF(OR(Y704=1,NOT(ISNUMBER(Z704))),0,AA704*1000000*Z704/10000)</f>
        <v>0</v>
      </c>
      <c r="AO704" s="94" t="n">
        <f aca="false">IF(ISNUMBER(G704),AA704*1000000*G704/100,0)</f>
        <v>0</v>
      </c>
      <c r="AP704" s="94" t="n">
        <f aca="false">IF(ISNUMBER(M704),M704*K704,0)</f>
        <v>0</v>
      </c>
      <c r="AQ704" s="95" t="str">
        <f aca="false">IF(AB704="","",INDEX(시장분석!$AK:$AK,AB704))</f>
        <v/>
      </c>
      <c r="AR704" s="43" t="str">
        <f aca="false">IF(AB704="","-",IF(AB704="","",INDEX(시장분석!$AL:$AL,AB704)))</f>
        <v>-</v>
      </c>
      <c r="AS704" s="96" t="str">
        <f aca="false">IF(AB704="","",INDEX(시장분석!$AJ:$AJ,AB704))</f>
        <v/>
      </c>
      <c r="AT704" s="93" t="n">
        <f aca="false">IF(AB704="",0,IF(AB704="","",INDEX(시장분석!$AN:$AN,AB704)))</f>
        <v>0</v>
      </c>
      <c r="AU704" s="94" t="n">
        <f aca="false">IF(ISNUMBER(Z704),AT704/10000*MAX(Z704-1,0)*AA704*1000000,0)</f>
        <v>0</v>
      </c>
      <c r="AV704" s="94" t="n">
        <f aca="false">AO704+AU704</f>
        <v>0</v>
      </c>
      <c r="AW704" s="43" t="str">
        <f aca="false">IF(Q704&lt;&gt;1,"",TRIM(IF(AD704=1,"FRN ","")&amp;IF(AND(AL704&gt;=10,AL704&lt;99),"BBB0미만 ","")&amp;IF(AJ704="","등급없음 ","")&amp;IF(K704&lt;&gt;1,"비USD ","")&amp;IF(AND(AB704="",Y704=0),"시장데이터없음 ","")&amp;IF(AND(ISNUMBER(U704),U704&lt;0),"만기경과 ","")))</f>
        <v/>
      </c>
      <c r="AX704" s="90" t="n">
        <f aca="false">IF(Q704&lt;&gt;1,1,IF(스프레드쇼크!$C$4="Y",INDEX(스프레드쇼크!$B$12:$L$16,IFERROR(MATCH(AH704,스프레드쇼크!$A$12:$A$16,0),MATCH("목록외",스프레드쇼크!$A$12:$A$16,0)),IFERROR(MATCH(AG704,스프레드쇼크!$B$11:$L$11,0),MATCH("목록외",스프레드쇼크!$B$11:$L$11,0))),1))</f>
        <v>1</v>
      </c>
      <c r="AY704" s="90" t="n">
        <f aca="false">IF(스프레드쇼크!$C$5="Y",IF(ISNUMBER(AF704),MIN(스프레드쇼크!$C$7,MAX(스프레드쇼크!$C$6,AF704/스프레드쇼크!$C$8)),1),1)</f>
        <v>1</v>
      </c>
      <c r="AZ704" s="94" t="n">
        <f aca="false">AN704*AX704*AY704</f>
        <v>0</v>
      </c>
      <c r="BA704" s="90" t="n">
        <f aca="false">IF(ISNUMBER(G704),AA704*G704,0)</f>
        <v>0</v>
      </c>
      <c r="BB704" s="90" t="n">
        <f aca="false">IF(ISNUMBER(G704),AA704,0)</f>
        <v>0</v>
      </c>
      <c r="BC704" s="90" t="n">
        <f aca="false">IF(AND(Y704=0,ISNUMBER(AF704)),AA704*AF704,0)</f>
        <v>0</v>
      </c>
      <c r="BD704" s="90" t="n">
        <f aca="false">IF(AND(Y704=0,ISNUMBER(AF704)),AA704,0)</f>
        <v>0</v>
      </c>
      <c r="BE704" s="90" t="n">
        <f aca="false">IF(ISNUMBER(H704),AA704*H704,0)</f>
        <v>0</v>
      </c>
      <c r="BF704" s="90" t="n">
        <f aca="false">IF(ISNUMBER(H704),AA704,0)</f>
        <v>0</v>
      </c>
      <c r="BG704" s="90" t="n">
        <f aca="false">IF(AND(Y704=0,ISNUMBER(AF704),ISNUMBER(Z704)),AA704*Z704,0)</f>
        <v>0</v>
      </c>
      <c r="BH704" s="90" t="n">
        <f aca="false">IF(AND(Y704=0,ISNUMBER(AF704),ISNUMBER(Z704)),AA704*AT704*MAX(Z704-1,0),0)</f>
        <v>0</v>
      </c>
      <c r="BI704" s="90" t="n">
        <f aca="false">IF(Y704=0,AA704,0)</f>
        <v>0</v>
      </c>
    </row>
    <row r="705" customFormat="false" ht="15" hidden="false" customHeight="false" outlineLevel="0" collapsed="false">
      <c r="A705" s="83" t="str">
        <f aca="false">IFERROR(IF(INDEX(원자료_잔고!$A$1:$EZ$1500,설정!$L$5+ROW()-1,설정!$L$8)&amp;""="0","",INDEX(원자료_잔고!$A$1:$EZ$1500,설정!$L$5+ROW()-1,설정!$L$8)&amp;""),"")</f>
        <v/>
      </c>
      <c r="B705" s="83" t="str">
        <f aca="false">IFERROR(IF(INDEX(원자료_잔고!$A$1:$EZ$1500,설정!$L$5+ROW()-1,설정!$L$7)&amp;""="0","",INDEX(원자료_잔고!$A$1:$EZ$1500,설정!$L$5+ROW()-1,설정!$L$7)&amp;""),"")</f>
        <v/>
      </c>
      <c r="C705" s="83" t="str">
        <f aca="false">IFERROR(IF(INDEX(원자료_잔고!$A$1:$EZ$1500,설정!$L$5+ROW()-1,설정!$L$9)&amp;""="0","",INDEX(원자료_잔고!$A$1:$EZ$1500,설정!$L$5+ROW()-1,설정!$L$9)&amp;""),"")</f>
        <v/>
      </c>
      <c r="D705" s="83" t="str">
        <f aca="false">IFERROR(IF(INDEX(원자료_잔고!$A$1:$EZ$1500,설정!$L$5+ROW()-1,설정!$L$10)&amp;""="0","",INDEX(원자료_잔고!$A$1:$EZ$1500,설정!$L$5+ROW()-1,설정!$L$10)&amp;""),"")</f>
        <v/>
      </c>
      <c r="E705" s="84" t="str">
        <f aca="false">IFERROR(IF(ISNUMBER(INDEX(원자료_잔고!$A$1:$EZ$1500,설정!$L$5+ROW()-1,설정!$L$11)),INDEX(원자료_잔고!$A$1:$EZ$1500,설정!$L$5+ROW()-1,설정!$L$11),""),"")</f>
        <v/>
      </c>
      <c r="F705" s="85" t="str">
        <f aca="false">IFERROR(IF(ISNUMBER(INDEX(원자료_잔고!$A$1:$EZ$1500,설정!$L$5+ROW()-1,설정!$L$12)),INDEX(원자료_잔고!$A$1:$EZ$1500,설정!$L$5+ROW()-1,설정!$L$12),""),"")</f>
        <v/>
      </c>
      <c r="G705" s="85" t="str">
        <f aca="false">IFERROR(IF(ISNUMBER(INDEX(원자료_잔고!$A$1:$EZ$1500,설정!$L$5+ROW()-1,설정!$L$13)),INDEX(원자료_잔고!$A$1:$EZ$1500,설정!$L$5+ROW()-1,설정!$L$13),""),"")</f>
        <v/>
      </c>
      <c r="H705" s="85" t="str">
        <f aca="false">IFERROR(IF(ISNUMBER(INDEX(원자료_잔고!$A$1:$EZ$1500,설정!$L$5+ROW()-1,설정!$L$14)),INDEX(원자료_잔고!$A$1:$EZ$1500,설정!$L$5+ROW()-1,설정!$L$14),""),"")</f>
        <v/>
      </c>
      <c r="I705" s="86" t="str">
        <f aca="false">IFERROR(IF(ISNUMBER(INDEX(원자료_잔고!$A$1:$EZ$1500,설정!$L$5+ROW()-1,설정!$L$15)),INDEX(원자료_잔고!$A$1:$EZ$1500,설정!$L$5+ROW()-1,설정!$L$15),""),"")</f>
        <v/>
      </c>
      <c r="J705" s="85" t="str">
        <f aca="false">IFERROR(IF(ISNUMBER(INDEX(원자료_잔고!$A$1:$EZ$1500,설정!$L$5+ROW()-1,설정!$L$16)),INDEX(원자료_잔고!$A$1:$EZ$1500,설정!$L$5+ROW()-1,설정!$L$16),""),"")</f>
        <v/>
      </c>
      <c r="K705" s="87" t="str">
        <f aca="false">IFERROR(IF(ISNUMBER(INDEX(원자료_잔고!$A$1:$EZ$1500,설정!$L$5+ROW()-1,설정!$L$17)),INDEX(원자료_잔고!$A$1:$EZ$1500,설정!$L$5+ROW()-1,설정!$L$17),""),"")</f>
        <v/>
      </c>
      <c r="L705" s="84" t="str">
        <f aca="false">IFERROR(IF(ISNUMBER(INDEX(원자료_잔고!$A$1:$EZ$1500,설정!$L$5+ROW()-1,설정!$L$18)),INDEX(원자료_잔고!$A$1:$EZ$1500,설정!$L$5+ROW()-1,설정!$L$18),""),"")</f>
        <v/>
      </c>
      <c r="M705" s="88" t="str">
        <f aca="false">IFERROR(IF(ISNUMBER(INDEX(원자료_잔고!$A$1:$EZ$1500,설정!$L$5+ROW()-1,설정!$L$19)),INDEX(원자료_잔고!$A$1:$EZ$1500,설정!$L$5+ROW()-1,설정!$L$19),""),"")</f>
        <v/>
      </c>
      <c r="N705" s="83" t="str">
        <f aca="false">IFERROR(IF(INDEX(원자료_잔고!$A$1:$EZ$1500,설정!$L$5+ROW()-1,설정!$L$21)&amp;""="0","",INDEX(원자료_잔고!$A$1:$EZ$1500,설정!$L$5+ROW()-1,설정!$L$21)&amp;""),"")</f>
        <v/>
      </c>
      <c r="O705" s="83" t="str">
        <f aca="false">IFERROR(IF(INDEX(원자료_잔고!$A$1:$EZ$1500,설정!$L$5+ROW()-1,설정!$L$22)&amp;""="0","",INDEX(원자료_잔고!$A$1:$EZ$1500,설정!$L$5+ROW()-1,설정!$L$22)&amp;""),"")</f>
        <v/>
      </c>
      <c r="P705" s="83" t="str">
        <f aca="false">IFERROR(IF(INDEX(원자료_잔고!$A$1:$EZ$1500,설정!$L$5+ROW()-1,설정!$L$23)&amp;""="0","",INDEX(원자료_잔고!$A$1:$EZ$1500,설정!$L$5+ROW()-1,설정!$L$23)&amp;""),"")</f>
        <v/>
      </c>
      <c r="Q705" s="89" t="n">
        <f aca="false">IF(AND($A705&lt;&gt;"",ISNUMBER(E705)),IF(E705&gt;0,1,0),0)</f>
        <v>0</v>
      </c>
      <c r="R705" s="43" t="str">
        <f aca="false">IF(Q705=1,UPPER(LEFT($A705,FIND(" ",$A705&amp;" ")-1)),"")</f>
        <v/>
      </c>
      <c r="S705" s="89" t="n">
        <f aca="false">IF(Q705=1,IF(OR(ISNUMBER(SEARCH("Float",$A705)),ISNUMBER(SEARCH("FRN",$A705))),1,0),0)</f>
        <v>0</v>
      </c>
      <c r="T705" s="43" t="str">
        <f aca="false">IF(AND(Q705=1,ISNUMBER(I705)),TEXT(I705,"yyyymmdd")&amp;"|"&amp;IF(S705=1,"F",TEXT(J705,"0.000")),"")</f>
        <v/>
      </c>
      <c r="U705" s="90" t="str">
        <f aca="false">IF(AND(Q705=1,ISNUMBER(I705)),(I705-설정!$C$4)/365.25,"")</f>
        <v/>
      </c>
      <c r="V705" s="43" t="str">
        <f aca="false">IF(Q705&lt;&gt;1,"",IF(ISNUMBER(U705),IF(U705&lt;=1,"1년 이하",IF(U705&lt;=2,"1-2년",IF(U705&lt;=3,"2-3년",IF(U705&lt;=4,"3-4년",IF(U705&lt;=5,"4-5년",IF(U705&lt;=7,"5-7년",IF(U705&lt;=10,"7-10년",IF(U705&lt;=20,"10-20년","20년 이상")))))))),"미분류"))</f>
        <v/>
      </c>
      <c r="W705" s="43" t="str">
        <f aca="false">IF(Q705&lt;&gt;1,"",IF(AB705&lt;&gt;"",INDEX(시장분석!$C:$C,AB705),IF(K705=1,"USD","비USD")))</f>
        <v/>
      </c>
      <c r="X705" s="91" t="n">
        <f aca="false">IF(Q705=1,E705*K705/1000000,0)</f>
        <v>0</v>
      </c>
      <c r="Y705" s="89" t="n">
        <f aca="false">IF(R705="T",1,0)</f>
        <v>0</v>
      </c>
      <c r="Z705" s="92" t="str">
        <f aca="false">IF(Q705&lt;&gt;1,"",IF(AD705=1,IF(ISNUMBER(U705),MAX(U705,0),H705),H705))</f>
        <v/>
      </c>
      <c r="AA705" s="91" t="n">
        <f aca="false">IF(Q705=1,IF(ISNUMBER(L705),L705,0)*K705/1000000,0)</f>
        <v>0</v>
      </c>
      <c r="AB705" s="89" t="str">
        <f aca="false">IF(Q705&lt;&gt;1,"",IFERROR(MATCH(VLOOKUP(B705,매핑!$H$4:$I$15,2,0),시장분석!$A$2:$A$601,0)+1,IFERROR(MATCH(R705&amp;"|"&amp;T705,시장분석!$V$2:$V$601,0)+1,IF(COUNTIF(시장분석!$U$2:$U$601,T705)=1,MATCH(T705,시장분석!$U$2:$U$601,0)+1,""))))</f>
        <v/>
      </c>
      <c r="AC705" s="89" t="n">
        <f aca="false">IF(Q705&lt;&gt;1,0,IF(OR(설정!$C$5="전체",AND(설정!$C$5="선택펀드",IFERROR(COUNTIFS(설정!$F$16:$F$36,C705,설정!$G$16:$G$36,"Y")+COUNTIFS(설정!$F$16:$F$36,VALUE(C705),설정!$G$16:$G$36,"Y"),0)&gt;0),C705&amp;""=설정!$C$5&amp;""),1,0))</f>
        <v>0</v>
      </c>
      <c r="AD705" s="89" t="n">
        <f aca="false">IF(Q705&lt;&gt;1,0,IF(OR(S705=1,IF(AB705="",FALSE(),INDEX(시장분석!$R:$R,AB705)=1)),1,0))</f>
        <v>0</v>
      </c>
      <c r="AE705" s="43" t="str">
        <f aca="false">IF(AB705="","",INDEX(시장분석!$A:$A,AB705))</f>
        <v/>
      </c>
      <c r="AF705" s="93" t="str">
        <f aca="false">IF(AB705="","",IF(ISNUMBER(IF(AB705="","",INDEX(시장분석!$E:$E,AB705))),IF(AB705="","",INDEX(시장분석!$E:$E,AB705)),""))</f>
        <v/>
      </c>
      <c r="AG705" s="43" t="str">
        <f aca="false">IF(Q705&lt;&gt;1,"",IF(AB705&lt;&gt;"",IF(AB705="","",INDEX(시장분석!$L:$L,AB705)),IFERROR(IF(VLOOKUP(R705,매핑!$A$4:$E$92,5,0)="","미분류",VLOOKUP(R705,매핑!$A$4:$E$92,5,0)),"미분류")))</f>
        <v/>
      </c>
      <c r="AH705" s="43" t="str">
        <f aca="false">IF(Q705&lt;&gt;1,"",IF(AB705&lt;&gt;"",IF(AB705="","",INDEX(시장분석!$N:$N,AB705)),IFERROR(IF(VLOOKUP(R705,매핑!$A$4:$E$92,4,0)="","미분류",VLOOKUP(R705,매핑!$A$4:$E$92,4,0)),"미분류")))</f>
        <v/>
      </c>
      <c r="AI705" s="43" t="str">
        <f aca="false">IF(Q705&lt;&gt;1,"",IFERROR(IF(VLOOKUP(R705,매핑!$A$4:$E$92,3,0)="","미분류",VLOOKUP(R705,매핑!$A$4:$E$92,3,0)),IF(AB705&lt;&gt;"",IF(AB705="","",INDEX(시장분석!$W:$W,AB705)),"미분류")))</f>
        <v/>
      </c>
      <c r="AJ705" s="43" t="str">
        <f aca="false">IF(Q705&lt;&gt;1,"",IFERROR(VLOOKUP(IF(N705&lt;&gt;"",N705,IF(P705&lt;&gt;"",P705,O705)),설정!$A$15:$D$47,2,0),""))</f>
        <v/>
      </c>
      <c r="AK705" s="43" t="str">
        <f aca="false">IF(Q705&lt;&gt;1,"",IF(AJ705="","무등급",IFERROR(VLOOKUP(AJ705,설정!$A$15:$D$47,3,0),"무등급")))</f>
        <v/>
      </c>
      <c r="AL705" s="89" t="n">
        <f aca="false">IF(AJ705="",99,IFERROR(VLOOKUP(AJ705,설정!$A$15:$D$47,4,0),99))</f>
        <v>99</v>
      </c>
      <c r="AM705" s="94" t="n">
        <f aca="false">IF(ISNUMBER(H705),AA705*1000000*H705/10000,0)</f>
        <v>0</v>
      </c>
      <c r="AN705" s="94" t="n">
        <f aca="false">IF(OR(Y705=1,NOT(ISNUMBER(Z705))),0,AA705*1000000*Z705/10000)</f>
        <v>0</v>
      </c>
      <c r="AO705" s="94" t="n">
        <f aca="false">IF(ISNUMBER(G705),AA705*1000000*G705/100,0)</f>
        <v>0</v>
      </c>
      <c r="AP705" s="94" t="n">
        <f aca="false">IF(ISNUMBER(M705),M705*K705,0)</f>
        <v>0</v>
      </c>
      <c r="AQ705" s="95" t="str">
        <f aca="false">IF(AB705="","",INDEX(시장분석!$AK:$AK,AB705))</f>
        <v/>
      </c>
      <c r="AR705" s="43" t="str">
        <f aca="false">IF(AB705="","-",IF(AB705="","",INDEX(시장분석!$AL:$AL,AB705)))</f>
        <v>-</v>
      </c>
      <c r="AS705" s="96" t="str">
        <f aca="false">IF(AB705="","",INDEX(시장분석!$AJ:$AJ,AB705))</f>
        <v/>
      </c>
      <c r="AT705" s="93" t="n">
        <f aca="false">IF(AB705="",0,IF(AB705="","",INDEX(시장분석!$AN:$AN,AB705)))</f>
        <v>0</v>
      </c>
      <c r="AU705" s="94" t="n">
        <f aca="false">IF(ISNUMBER(Z705),AT705/10000*MAX(Z705-1,0)*AA705*1000000,0)</f>
        <v>0</v>
      </c>
      <c r="AV705" s="94" t="n">
        <f aca="false">AO705+AU705</f>
        <v>0</v>
      </c>
      <c r="AW705" s="43" t="str">
        <f aca="false">IF(Q705&lt;&gt;1,"",TRIM(IF(AD705=1,"FRN ","")&amp;IF(AND(AL705&gt;=10,AL705&lt;99),"BBB0미만 ","")&amp;IF(AJ705="","등급없음 ","")&amp;IF(K705&lt;&gt;1,"비USD ","")&amp;IF(AND(AB705="",Y705=0),"시장데이터없음 ","")&amp;IF(AND(ISNUMBER(U705),U705&lt;0),"만기경과 ","")))</f>
        <v/>
      </c>
      <c r="AX705" s="90" t="n">
        <f aca="false">IF(Q705&lt;&gt;1,1,IF(스프레드쇼크!$C$4="Y",INDEX(스프레드쇼크!$B$12:$L$16,IFERROR(MATCH(AH705,스프레드쇼크!$A$12:$A$16,0),MATCH("목록외",스프레드쇼크!$A$12:$A$16,0)),IFERROR(MATCH(AG705,스프레드쇼크!$B$11:$L$11,0),MATCH("목록외",스프레드쇼크!$B$11:$L$11,0))),1))</f>
        <v>1</v>
      </c>
      <c r="AY705" s="90" t="n">
        <f aca="false">IF(스프레드쇼크!$C$5="Y",IF(ISNUMBER(AF705),MIN(스프레드쇼크!$C$7,MAX(스프레드쇼크!$C$6,AF705/스프레드쇼크!$C$8)),1),1)</f>
        <v>1</v>
      </c>
      <c r="AZ705" s="94" t="n">
        <f aca="false">AN705*AX705*AY705</f>
        <v>0</v>
      </c>
      <c r="BA705" s="90" t="n">
        <f aca="false">IF(ISNUMBER(G705),AA705*G705,0)</f>
        <v>0</v>
      </c>
      <c r="BB705" s="90" t="n">
        <f aca="false">IF(ISNUMBER(G705),AA705,0)</f>
        <v>0</v>
      </c>
      <c r="BC705" s="90" t="n">
        <f aca="false">IF(AND(Y705=0,ISNUMBER(AF705)),AA705*AF705,0)</f>
        <v>0</v>
      </c>
      <c r="BD705" s="90" t="n">
        <f aca="false">IF(AND(Y705=0,ISNUMBER(AF705)),AA705,0)</f>
        <v>0</v>
      </c>
      <c r="BE705" s="90" t="n">
        <f aca="false">IF(ISNUMBER(H705),AA705*H705,0)</f>
        <v>0</v>
      </c>
      <c r="BF705" s="90" t="n">
        <f aca="false">IF(ISNUMBER(H705),AA705,0)</f>
        <v>0</v>
      </c>
      <c r="BG705" s="90" t="n">
        <f aca="false">IF(AND(Y705=0,ISNUMBER(AF705),ISNUMBER(Z705)),AA705*Z705,0)</f>
        <v>0</v>
      </c>
      <c r="BH705" s="90" t="n">
        <f aca="false">IF(AND(Y705=0,ISNUMBER(AF705),ISNUMBER(Z705)),AA705*AT705*MAX(Z705-1,0),0)</f>
        <v>0</v>
      </c>
      <c r="BI705" s="90" t="n">
        <f aca="false">IF(Y705=0,AA705,0)</f>
        <v>0</v>
      </c>
    </row>
    <row r="706" customFormat="false" ht="15" hidden="false" customHeight="false" outlineLevel="0" collapsed="false">
      <c r="A706" s="83" t="str">
        <f aca="false">IFERROR(IF(INDEX(원자료_잔고!$A$1:$EZ$1500,설정!$L$5+ROW()-1,설정!$L$8)&amp;""="0","",INDEX(원자료_잔고!$A$1:$EZ$1500,설정!$L$5+ROW()-1,설정!$L$8)&amp;""),"")</f>
        <v/>
      </c>
      <c r="B706" s="83" t="str">
        <f aca="false">IFERROR(IF(INDEX(원자료_잔고!$A$1:$EZ$1500,설정!$L$5+ROW()-1,설정!$L$7)&amp;""="0","",INDEX(원자료_잔고!$A$1:$EZ$1500,설정!$L$5+ROW()-1,설정!$L$7)&amp;""),"")</f>
        <v/>
      </c>
      <c r="C706" s="83" t="str">
        <f aca="false">IFERROR(IF(INDEX(원자료_잔고!$A$1:$EZ$1500,설정!$L$5+ROW()-1,설정!$L$9)&amp;""="0","",INDEX(원자료_잔고!$A$1:$EZ$1500,설정!$L$5+ROW()-1,설정!$L$9)&amp;""),"")</f>
        <v/>
      </c>
      <c r="D706" s="83" t="str">
        <f aca="false">IFERROR(IF(INDEX(원자료_잔고!$A$1:$EZ$1500,설정!$L$5+ROW()-1,설정!$L$10)&amp;""="0","",INDEX(원자료_잔고!$A$1:$EZ$1500,설정!$L$5+ROW()-1,설정!$L$10)&amp;""),"")</f>
        <v/>
      </c>
      <c r="E706" s="84" t="str">
        <f aca="false">IFERROR(IF(ISNUMBER(INDEX(원자료_잔고!$A$1:$EZ$1500,설정!$L$5+ROW()-1,설정!$L$11)),INDEX(원자료_잔고!$A$1:$EZ$1500,설정!$L$5+ROW()-1,설정!$L$11),""),"")</f>
        <v/>
      </c>
      <c r="F706" s="85" t="str">
        <f aca="false">IFERROR(IF(ISNUMBER(INDEX(원자료_잔고!$A$1:$EZ$1500,설정!$L$5+ROW()-1,설정!$L$12)),INDEX(원자료_잔고!$A$1:$EZ$1500,설정!$L$5+ROW()-1,설정!$L$12),""),"")</f>
        <v/>
      </c>
      <c r="G706" s="85" t="str">
        <f aca="false">IFERROR(IF(ISNUMBER(INDEX(원자료_잔고!$A$1:$EZ$1500,설정!$L$5+ROW()-1,설정!$L$13)),INDEX(원자료_잔고!$A$1:$EZ$1500,설정!$L$5+ROW()-1,설정!$L$13),""),"")</f>
        <v/>
      </c>
      <c r="H706" s="85" t="str">
        <f aca="false">IFERROR(IF(ISNUMBER(INDEX(원자료_잔고!$A$1:$EZ$1500,설정!$L$5+ROW()-1,설정!$L$14)),INDEX(원자료_잔고!$A$1:$EZ$1500,설정!$L$5+ROW()-1,설정!$L$14),""),"")</f>
        <v/>
      </c>
      <c r="I706" s="86" t="str">
        <f aca="false">IFERROR(IF(ISNUMBER(INDEX(원자료_잔고!$A$1:$EZ$1500,설정!$L$5+ROW()-1,설정!$L$15)),INDEX(원자료_잔고!$A$1:$EZ$1500,설정!$L$5+ROW()-1,설정!$L$15),""),"")</f>
        <v/>
      </c>
      <c r="J706" s="85" t="str">
        <f aca="false">IFERROR(IF(ISNUMBER(INDEX(원자료_잔고!$A$1:$EZ$1500,설정!$L$5+ROW()-1,설정!$L$16)),INDEX(원자료_잔고!$A$1:$EZ$1500,설정!$L$5+ROW()-1,설정!$L$16),""),"")</f>
        <v/>
      </c>
      <c r="K706" s="87" t="str">
        <f aca="false">IFERROR(IF(ISNUMBER(INDEX(원자료_잔고!$A$1:$EZ$1500,설정!$L$5+ROW()-1,설정!$L$17)),INDEX(원자료_잔고!$A$1:$EZ$1500,설정!$L$5+ROW()-1,설정!$L$17),""),"")</f>
        <v/>
      </c>
      <c r="L706" s="84" t="str">
        <f aca="false">IFERROR(IF(ISNUMBER(INDEX(원자료_잔고!$A$1:$EZ$1500,설정!$L$5+ROW()-1,설정!$L$18)),INDEX(원자료_잔고!$A$1:$EZ$1500,설정!$L$5+ROW()-1,설정!$L$18),""),"")</f>
        <v/>
      </c>
      <c r="M706" s="88" t="str">
        <f aca="false">IFERROR(IF(ISNUMBER(INDEX(원자료_잔고!$A$1:$EZ$1500,설정!$L$5+ROW()-1,설정!$L$19)),INDEX(원자료_잔고!$A$1:$EZ$1500,설정!$L$5+ROW()-1,설정!$L$19),""),"")</f>
        <v/>
      </c>
      <c r="N706" s="83" t="str">
        <f aca="false">IFERROR(IF(INDEX(원자료_잔고!$A$1:$EZ$1500,설정!$L$5+ROW()-1,설정!$L$21)&amp;""="0","",INDEX(원자료_잔고!$A$1:$EZ$1500,설정!$L$5+ROW()-1,설정!$L$21)&amp;""),"")</f>
        <v/>
      </c>
      <c r="O706" s="83" t="str">
        <f aca="false">IFERROR(IF(INDEX(원자료_잔고!$A$1:$EZ$1500,설정!$L$5+ROW()-1,설정!$L$22)&amp;""="0","",INDEX(원자료_잔고!$A$1:$EZ$1500,설정!$L$5+ROW()-1,설정!$L$22)&amp;""),"")</f>
        <v/>
      </c>
      <c r="P706" s="83" t="str">
        <f aca="false">IFERROR(IF(INDEX(원자료_잔고!$A$1:$EZ$1500,설정!$L$5+ROW()-1,설정!$L$23)&amp;""="0","",INDEX(원자료_잔고!$A$1:$EZ$1500,설정!$L$5+ROW()-1,설정!$L$23)&amp;""),"")</f>
        <v/>
      </c>
      <c r="Q706" s="89" t="n">
        <f aca="false">IF(AND($A706&lt;&gt;"",ISNUMBER(E706)),IF(E706&gt;0,1,0),0)</f>
        <v>0</v>
      </c>
      <c r="R706" s="43" t="str">
        <f aca="false">IF(Q706=1,UPPER(LEFT($A706,FIND(" ",$A706&amp;" ")-1)),"")</f>
        <v/>
      </c>
      <c r="S706" s="89" t="n">
        <f aca="false">IF(Q706=1,IF(OR(ISNUMBER(SEARCH("Float",$A706)),ISNUMBER(SEARCH("FRN",$A706))),1,0),0)</f>
        <v>0</v>
      </c>
      <c r="T706" s="43" t="str">
        <f aca="false">IF(AND(Q706=1,ISNUMBER(I706)),TEXT(I706,"yyyymmdd")&amp;"|"&amp;IF(S706=1,"F",TEXT(J706,"0.000")),"")</f>
        <v/>
      </c>
      <c r="U706" s="90" t="str">
        <f aca="false">IF(AND(Q706=1,ISNUMBER(I706)),(I706-설정!$C$4)/365.25,"")</f>
        <v/>
      </c>
      <c r="V706" s="43" t="str">
        <f aca="false">IF(Q706&lt;&gt;1,"",IF(ISNUMBER(U706),IF(U706&lt;=1,"1년 이하",IF(U706&lt;=2,"1-2년",IF(U706&lt;=3,"2-3년",IF(U706&lt;=4,"3-4년",IF(U706&lt;=5,"4-5년",IF(U706&lt;=7,"5-7년",IF(U706&lt;=10,"7-10년",IF(U706&lt;=20,"10-20년","20년 이상")))))))),"미분류"))</f>
        <v/>
      </c>
      <c r="W706" s="43" t="str">
        <f aca="false">IF(Q706&lt;&gt;1,"",IF(AB706&lt;&gt;"",INDEX(시장분석!$C:$C,AB706),IF(K706=1,"USD","비USD")))</f>
        <v/>
      </c>
      <c r="X706" s="91" t="n">
        <f aca="false">IF(Q706=1,E706*K706/1000000,0)</f>
        <v>0</v>
      </c>
      <c r="Y706" s="89" t="n">
        <f aca="false">IF(R706="T",1,0)</f>
        <v>0</v>
      </c>
      <c r="Z706" s="92" t="str">
        <f aca="false">IF(Q706&lt;&gt;1,"",IF(AD706=1,IF(ISNUMBER(U706),MAX(U706,0),H706),H706))</f>
        <v/>
      </c>
      <c r="AA706" s="91" t="n">
        <f aca="false">IF(Q706=1,IF(ISNUMBER(L706),L706,0)*K706/1000000,0)</f>
        <v>0</v>
      </c>
      <c r="AB706" s="89" t="str">
        <f aca="false">IF(Q706&lt;&gt;1,"",IFERROR(MATCH(VLOOKUP(B706,매핑!$H$4:$I$15,2,0),시장분석!$A$2:$A$601,0)+1,IFERROR(MATCH(R706&amp;"|"&amp;T706,시장분석!$V$2:$V$601,0)+1,IF(COUNTIF(시장분석!$U$2:$U$601,T706)=1,MATCH(T706,시장분석!$U$2:$U$601,0)+1,""))))</f>
        <v/>
      </c>
      <c r="AC706" s="89" t="n">
        <f aca="false">IF(Q706&lt;&gt;1,0,IF(OR(설정!$C$5="전체",AND(설정!$C$5="선택펀드",IFERROR(COUNTIFS(설정!$F$16:$F$36,C706,설정!$G$16:$G$36,"Y")+COUNTIFS(설정!$F$16:$F$36,VALUE(C706),설정!$G$16:$G$36,"Y"),0)&gt;0),C706&amp;""=설정!$C$5&amp;""),1,0))</f>
        <v>0</v>
      </c>
      <c r="AD706" s="89" t="n">
        <f aca="false">IF(Q706&lt;&gt;1,0,IF(OR(S706=1,IF(AB706="",FALSE(),INDEX(시장분석!$R:$R,AB706)=1)),1,0))</f>
        <v>0</v>
      </c>
      <c r="AE706" s="43" t="str">
        <f aca="false">IF(AB706="","",INDEX(시장분석!$A:$A,AB706))</f>
        <v/>
      </c>
      <c r="AF706" s="93" t="str">
        <f aca="false">IF(AB706="","",IF(ISNUMBER(IF(AB706="","",INDEX(시장분석!$E:$E,AB706))),IF(AB706="","",INDEX(시장분석!$E:$E,AB706)),""))</f>
        <v/>
      </c>
      <c r="AG706" s="43" t="str">
        <f aca="false">IF(Q706&lt;&gt;1,"",IF(AB706&lt;&gt;"",IF(AB706="","",INDEX(시장분석!$L:$L,AB706)),IFERROR(IF(VLOOKUP(R706,매핑!$A$4:$E$92,5,0)="","미분류",VLOOKUP(R706,매핑!$A$4:$E$92,5,0)),"미분류")))</f>
        <v/>
      </c>
      <c r="AH706" s="43" t="str">
        <f aca="false">IF(Q706&lt;&gt;1,"",IF(AB706&lt;&gt;"",IF(AB706="","",INDEX(시장분석!$N:$N,AB706)),IFERROR(IF(VLOOKUP(R706,매핑!$A$4:$E$92,4,0)="","미분류",VLOOKUP(R706,매핑!$A$4:$E$92,4,0)),"미분류")))</f>
        <v/>
      </c>
      <c r="AI706" s="43" t="str">
        <f aca="false">IF(Q706&lt;&gt;1,"",IFERROR(IF(VLOOKUP(R706,매핑!$A$4:$E$92,3,0)="","미분류",VLOOKUP(R706,매핑!$A$4:$E$92,3,0)),IF(AB706&lt;&gt;"",IF(AB706="","",INDEX(시장분석!$W:$W,AB706)),"미분류")))</f>
        <v/>
      </c>
      <c r="AJ706" s="43" t="str">
        <f aca="false">IF(Q706&lt;&gt;1,"",IFERROR(VLOOKUP(IF(N706&lt;&gt;"",N706,IF(P706&lt;&gt;"",P706,O706)),설정!$A$15:$D$47,2,0),""))</f>
        <v/>
      </c>
      <c r="AK706" s="43" t="str">
        <f aca="false">IF(Q706&lt;&gt;1,"",IF(AJ706="","무등급",IFERROR(VLOOKUP(AJ706,설정!$A$15:$D$47,3,0),"무등급")))</f>
        <v/>
      </c>
      <c r="AL706" s="89" t="n">
        <f aca="false">IF(AJ706="",99,IFERROR(VLOOKUP(AJ706,설정!$A$15:$D$47,4,0),99))</f>
        <v>99</v>
      </c>
      <c r="AM706" s="94" t="n">
        <f aca="false">IF(ISNUMBER(H706),AA706*1000000*H706/10000,0)</f>
        <v>0</v>
      </c>
      <c r="AN706" s="94" t="n">
        <f aca="false">IF(OR(Y706=1,NOT(ISNUMBER(Z706))),0,AA706*1000000*Z706/10000)</f>
        <v>0</v>
      </c>
      <c r="AO706" s="94" t="n">
        <f aca="false">IF(ISNUMBER(G706),AA706*1000000*G706/100,0)</f>
        <v>0</v>
      </c>
      <c r="AP706" s="94" t="n">
        <f aca="false">IF(ISNUMBER(M706),M706*K706,0)</f>
        <v>0</v>
      </c>
      <c r="AQ706" s="95" t="str">
        <f aca="false">IF(AB706="","",INDEX(시장분석!$AK:$AK,AB706))</f>
        <v/>
      </c>
      <c r="AR706" s="43" t="str">
        <f aca="false">IF(AB706="","-",IF(AB706="","",INDEX(시장분석!$AL:$AL,AB706)))</f>
        <v>-</v>
      </c>
      <c r="AS706" s="96" t="str">
        <f aca="false">IF(AB706="","",INDEX(시장분석!$AJ:$AJ,AB706))</f>
        <v/>
      </c>
      <c r="AT706" s="93" t="n">
        <f aca="false">IF(AB706="",0,IF(AB706="","",INDEX(시장분석!$AN:$AN,AB706)))</f>
        <v>0</v>
      </c>
      <c r="AU706" s="94" t="n">
        <f aca="false">IF(ISNUMBER(Z706),AT706/10000*MAX(Z706-1,0)*AA706*1000000,0)</f>
        <v>0</v>
      </c>
      <c r="AV706" s="94" t="n">
        <f aca="false">AO706+AU706</f>
        <v>0</v>
      </c>
      <c r="AW706" s="43" t="str">
        <f aca="false">IF(Q706&lt;&gt;1,"",TRIM(IF(AD706=1,"FRN ","")&amp;IF(AND(AL706&gt;=10,AL706&lt;99),"BBB0미만 ","")&amp;IF(AJ706="","등급없음 ","")&amp;IF(K706&lt;&gt;1,"비USD ","")&amp;IF(AND(AB706="",Y706=0),"시장데이터없음 ","")&amp;IF(AND(ISNUMBER(U706),U706&lt;0),"만기경과 ","")))</f>
        <v/>
      </c>
      <c r="AX706" s="90" t="n">
        <f aca="false">IF(Q706&lt;&gt;1,1,IF(스프레드쇼크!$C$4="Y",INDEX(스프레드쇼크!$B$12:$L$16,IFERROR(MATCH(AH706,스프레드쇼크!$A$12:$A$16,0),MATCH("목록외",스프레드쇼크!$A$12:$A$16,0)),IFERROR(MATCH(AG706,스프레드쇼크!$B$11:$L$11,0),MATCH("목록외",스프레드쇼크!$B$11:$L$11,0))),1))</f>
        <v>1</v>
      </c>
      <c r="AY706" s="90" t="n">
        <f aca="false">IF(스프레드쇼크!$C$5="Y",IF(ISNUMBER(AF706),MIN(스프레드쇼크!$C$7,MAX(스프레드쇼크!$C$6,AF706/스프레드쇼크!$C$8)),1),1)</f>
        <v>1</v>
      </c>
      <c r="AZ706" s="94" t="n">
        <f aca="false">AN706*AX706*AY706</f>
        <v>0</v>
      </c>
      <c r="BA706" s="90" t="n">
        <f aca="false">IF(ISNUMBER(G706),AA706*G706,0)</f>
        <v>0</v>
      </c>
      <c r="BB706" s="90" t="n">
        <f aca="false">IF(ISNUMBER(G706),AA706,0)</f>
        <v>0</v>
      </c>
      <c r="BC706" s="90" t="n">
        <f aca="false">IF(AND(Y706=0,ISNUMBER(AF706)),AA706*AF706,0)</f>
        <v>0</v>
      </c>
      <c r="BD706" s="90" t="n">
        <f aca="false">IF(AND(Y706=0,ISNUMBER(AF706)),AA706,0)</f>
        <v>0</v>
      </c>
      <c r="BE706" s="90" t="n">
        <f aca="false">IF(ISNUMBER(H706),AA706*H706,0)</f>
        <v>0</v>
      </c>
      <c r="BF706" s="90" t="n">
        <f aca="false">IF(ISNUMBER(H706),AA706,0)</f>
        <v>0</v>
      </c>
      <c r="BG706" s="90" t="n">
        <f aca="false">IF(AND(Y706=0,ISNUMBER(AF706),ISNUMBER(Z706)),AA706*Z706,0)</f>
        <v>0</v>
      </c>
      <c r="BH706" s="90" t="n">
        <f aca="false">IF(AND(Y706=0,ISNUMBER(AF706),ISNUMBER(Z706)),AA706*AT706*MAX(Z706-1,0),0)</f>
        <v>0</v>
      </c>
      <c r="BI706" s="90" t="n">
        <f aca="false">IF(Y706=0,AA706,0)</f>
        <v>0</v>
      </c>
    </row>
    <row r="707" customFormat="false" ht="15" hidden="false" customHeight="false" outlineLevel="0" collapsed="false">
      <c r="A707" s="83" t="str">
        <f aca="false">IFERROR(IF(INDEX(원자료_잔고!$A$1:$EZ$1500,설정!$L$5+ROW()-1,설정!$L$8)&amp;""="0","",INDEX(원자료_잔고!$A$1:$EZ$1500,설정!$L$5+ROW()-1,설정!$L$8)&amp;""),"")</f>
        <v/>
      </c>
      <c r="B707" s="83" t="str">
        <f aca="false">IFERROR(IF(INDEX(원자료_잔고!$A$1:$EZ$1500,설정!$L$5+ROW()-1,설정!$L$7)&amp;""="0","",INDEX(원자료_잔고!$A$1:$EZ$1500,설정!$L$5+ROW()-1,설정!$L$7)&amp;""),"")</f>
        <v/>
      </c>
      <c r="C707" s="83" t="str">
        <f aca="false">IFERROR(IF(INDEX(원자료_잔고!$A$1:$EZ$1500,설정!$L$5+ROW()-1,설정!$L$9)&amp;""="0","",INDEX(원자료_잔고!$A$1:$EZ$1500,설정!$L$5+ROW()-1,설정!$L$9)&amp;""),"")</f>
        <v/>
      </c>
      <c r="D707" s="83" t="str">
        <f aca="false">IFERROR(IF(INDEX(원자료_잔고!$A$1:$EZ$1500,설정!$L$5+ROW()-1,설정!$L$10)&amp;""="0","",INDEX(원자료_잔고!$A$1:$EZ$1500,설정!$L$5+ROW()-1,설정!$L$10)&amp;""),"")</f>
        <v/>
      </c>
      <c r="E707" s="84" t="str">
        <f aca="false">IFERROR(IF(ISNUMBER(INDEX(원자료_잔고!$A$1:$EZ$1500,설정!$L$5+ROW()-1,설정!$L$11)),INDEX(원자료_잔고!$A$1:$EZ$1500,설정!$L$5+ROW()-1,설정!$L$11),""),"")</f>
        <v/>
      </c>
      <c r="F707" s="85" t="str">
        <f aca="false">IFERROR(IF(ISNUMBER(INDEX(원자료_잔고!$A$1:$EZ$1500,설정!$L$5+ROW()-1,설정!$L$12)),INDEX(원자료_잔고!$A$1:$EZ$1500,설정!$L$5+ROW()-1,설정!$L$12),""),"")</f>
        <v/>
      </c>
      <c r="G707" s="85" t="str">
        <f aca="false">IFERROR(IF(ISNUMBER(INDEX(원자료_잔고!$A$1:$EZ$1500,설정!$L$5+ROW()-1,설정!$L$13)),INDEX(원자료_잔고!$A$1:$EZ$1500,설정!$L$5+ROW()-1,설정!$L$13),""),"")</f>
        <v/>
      </c>
      <c r="H707" s="85" t="str">
        <f aca="false">IFERROR(IF(ISNUMBER(INDEX(원자료_잔고!$A$1:$EZ$1500,설정!$L$5+ROW()-1,설정!$L$14)),INDEX(원자료_잔고!$A$1:$EZ$1500,설정!$L$5+ROW()-1,설정!$L$14),""),"")</f>
        <v/>
      </c>
      <c r="I707" s="86" t="str">
        <f aca="false">IFERROR(IF(ISNUMBER(INDEX(원자료_잔고!$A$1:$EZ$1500,설정!$L$5+ROW()-1,설정!$L$15)),INDEX(원자료_잔고!$A$1:$EZ$1500,설정!$L$5+ROW()-1,설정!$L$15),""),"")</f>
        <v/>
      </c>
      <c r="J707" s="85" t="str">
        <f aca="false">IFERROR(IF(ISNUMBER(INDEX(원자료_잔고!$A$1:$EZ$1500,설정!$L$5+ROW()-1,설정!$L$16)),INDEX(원자료_잔고!$A$1:$EZ$1500,설정!$L$5+ROW()-1,설정!$L$16),""),"")</f>
        <v/>
      </c>
      <c r="K707" s="87" t="str">
        <f aca="false">IFERROR(IF(ISNUMBER(INDEX(원자료_잔고!$A$1:$EZ$1500,설정!$L$5+ROW()-1,설정!$L$17)),INDEX(원자료_잔고!$A$1:$EZ$1500,설정!$L$5+ROW()-1,설정!$L$17),""),"")</f>
        <v/>
      </c>
      <c r="L707" s="84" t="str">
        <f aca="false">IFERROR(IF(ISNUMBER(INDEX(원자료_잔고!$A$1:$EZ$1500,설정!$L$5+ROW()-1,설정!$L$18)),INDEX(원자료_잔고!$A$1:$EZ$1500,설정!$L$5+ROW()-1,설정!$L$18),""),"")</f>
        <v/>
      </c>
      <c r="M707" s="88" t="str">
        <f aca="false">IFERROR(IF(ISNUMBER(INDEX(원자료_잔고!$A$1:$EZ$1500,설정!$L$5+ROW()-1,설정!$L$19)),INDEX(원자료_잔고!$A$1:$EZ$1500,설정!$L$5+ROW()-1,설정!$L$19),""),"")</f>
        <v/>
      </c>
      <c r="N707" s="83" t="str">
        <f aca="false">IFERROR(IF(INDEX(원자료_잔고!$A$1:$EZ$1500,설정!$L$5+ROW()-1,설정!$L$21)&amp;""="0","",INDEX(원자료_잔고!$A$1:$EZ$1500,설정!$L$5+ROW()-1,설정!$L$21)&amp;""),"")</f>
        <v/>
      </c>
      <c r="O707" s="83" t="str">
        <f aca="false">IFERROR(IF(INDEX(원자료_잔고!$A$1:$EZ$1500,설정!$L$5+ROW()-1,설정!$L$22)&amp;""="0","",INDEX(원자료_잔고!$A$1:$EZ$1500,설정!$L$5+ROW()-1,설정!$L$22)&amp;""),"")</f>
        <v/>
      </c>
      <c r="P707" s="83" t="str">
        <f aca="false">IFERROR(IF(INDEX(원자료_잔고!$A$1:$EZ$1500,설정!$L$5+ROW()-1,설정!$L$23)&amp;""="0","",INDEX(원자료_잔고!$A$1:$EZ$1500,설정!$L$5+ROW()-1,설정!$L$23)&amp;""),"")</f>
        <v/>
      </c>
      <c r="Q707" s="89" t="n">
        <f aca="false">IF(AND($A707&lt;&gt;"",ISNUMBER(E707)),IF(E707&gt;0,1,0),0)</f>
        <v>0</v>
      </c>
      <c r="R707" s="43" t="str">
        <f aca="false">IF(Q707=1,UPPER(LEFT($A707,FIND(" ",$A707&amp;" ")-1)),"")</f>
        <v/>
      </c>
      <c r="S707" s="89" t="n">
        <f aca="false">IF(Q707=1,IF(OR(ISNUMBER(SEARCH("Float",$A707)),ISNUMBER(SEARCH("FRN",$A707))),1,0),0)</f>
        <v>0</v>
      </c>
      <c r="T707" s="43" t="str">
        <f aca="false">IF(AND(Q707=1,ISNUMBER(I707)),TEXT(I707,"yyyymmdd")&amp;"|"&amp;IF(S707=1,"F",TEXT(J707,"0.000")),"")</f>
        <v/>
      </c>
      <c r="U707" s="90" t="str">
        <f aca="false">IF(AND(Q707=1,ISNUMBER(I707)),(I707-설정!$C$4)/365.25,"")</f>
        <v/>
      </c>
      <c r="V707" s="43" t="str">
        <f aca="false">IF(Q707&lt;&gt;1,"",IF(ISNUMBER(U707),IF(U707&lt;=1,"1년 이하",IF(U707&lt;=2,"1-2년",IF(U707&lt;=3,"2-3년",IF(U707&lt;=4,"3-4년",IF(U707&lt;=5,"4-5년",IF(U707&lt;=7,"5-7년",IF(U707&lt;=10,"7-10년",IF(U707&lt;=20,"10-20년","20년 이상")))))))),"미분류"))</f>
        <v/>
      </c>
      <c r="W707" s="43" t="str">
        <f aca="false">IF(Q707&lt;&gt;1,"",IF(AB707&lt;&gt;"",INDEX(시장분석!$C:$C,AB707),IF(K707=1,"USD","비USD")))</f>
        <v/>
      </c>
      <c r="X707" s="91" t="n">
        <f aca="false">IF(Q707=1,E707*K707/1000000,0)</f>
        <v>0</v>
      </c>
      <c r="Y707" s="89" t="n">
        <f aca="false">IF(R707="T",1,0)</f>
        <v>0</v>
      </c>
      <c r="Z707" s="92" t="str">
        <f aca="false">IF(Q707&lt;&gt;1,"",IF(AD707=1,IF(ISNUMBER(U707),MAX(U707,0),H707),H707))</f>
        <v/>
      </c>
      <c r="AA707" s="91" t="n">
        <f aca="false">IF(Q707=1,IF(ISNUMBER(L707),L707,0)*K707/1000000,0)</f>
        <v>0</v>
      </c>
      <c r="AB707" s="89" t="str">
        <f aca="false">IF(Q707&lt;&gt;1,"",IFERROR(MATCH(VLOOKUP(B707,매핑!$H$4:$I$15,2,0),시장분석!$A$2:$A$601,0)+1,IFERROR(MATCH(R707&amp;"|"&amp;T707,시장분석!$V$2:$V$601,0)+1,IF(COUNTIF(시장분석!$U$2:$U$601,T707)=1,MATCH(T707,시장분석!$U$2:$U$601,0)+1,""))))</f>
        <v/>
      </c>
      <c r="AC707" s="89" t="n">
        <f aca="false">IF(Q707&lt;&gt;1,0,IF(OR(설정!$C$5="전체",AND(설정!$C$5="선택펀드",IFERROR(COUNTIFS(설정!$F$16:$F$36,C707,설정!$G$16:$G$36,"Y")+COUNTIFS(설정!$F$16:$F$36,VALUE(C707),설정!$G$16:$G$36,"Y"),0)&gt;0),C707&amp;""=설정!$C$5&amp;""),1,0))</f>
        <v>0</v>
      </c>
      <c r="AD707" s="89" t="n">
        <f aca="false">IF(Q707&lt;&gt;1,0,IF(OR(S707=1,IF(AB707="",FALSE(),INDEX(시장분석!$R:$R,AB707)=1)),1,0))</f>
        <v>0</v>
      </c>
      <c r="AE707" s="43" t="str">
        <f aca="false">IF(AB707="","",INDEX(시장분석!$A:$A,AB707))</f>
        <v/>
      </c>
      <c r="AF707" s="93" t="str">
        <f aca="false">IF(AB707="","",IF(ISNUMBER(IF(AB707="","",INDEX(시장분석!$E:$E,AB707))),IF(AB707="","",INDEX(시장분석!$E:$E,AB707)),""))</f>
        <v/>
      </c>
      <c r="AG707" s="43" t="str">
        <f aca="false">IF(Q707&lt;&gt;1,"",IF(AB707&lt;&gt;"",IF(AB707="","",INDEX(시장분석!$L:$L,AB707)),IFERROR(IF(VLOOKUP(R707,매핑!$A$4:$E$92,5,0)="","미분류",VLOOKUP(R707,매핑!$A$4:$E$92,5,0)),"미분류")))</f>
        <v/>
      </c>
      <c r="AH707" s="43" t="str">
        <f aca="false">IF(Q707&lt;&gt;1,"",IF(AB707&lt;&gt;"",IF(AB707="","",INDEX(시장분석!$N:$N,AB707)),IFERROR(IF(VLOOKUP(R707,매핑!$A$4:$E$92,4,0)="","미분류",VLOOKUP(R707,매핑!$A$4:$E$92,4,0)),"미분류")))</f>
        <v/>
      </c>
      <c r="AI707" s="43" t="str">
        <f aca="false">IF(Q707&lt;&gt;1,"",IFERROR(IF(VLOOKUP(R707,매핑!$A$4:$E$92,3,0)="","미분류",VLOOKUP(R707,매핑!$A$4:$E$92,3,0)),IF(AB707&lt;&gt;"",IF(AB707="","",INDEX(시장분석!$W:$W,AB707)),"미분류")))</f>
        <v/>
      </c>
      <c r="AJ707" s="43" t="str">
        <f aca="false">IF(Q707&lt;&gt;1,"",IFERROR(VLOOKUP(IF(N707&lt;&gt;"",N707,IF(P707&lt;&gt;"",P707,O707)),설정!$A$15:$D$47,2,0),""))</f>
        <v/>
      </c>
      <c r="AK707" s="43" t="str">
        <f aca="false">IF(Q707&lt;&gt;1,"",IF(AJ707="","무등급",IFERROR(VLOOKUP(AJ707,설정!$A$15:$D$47,3,0),"무등급")))</f>
        <v/>
      </c>
      <c r="AL707" s="89" t="n">
        <f aca="false">IF(AJ707="",99,IFERROR(VLOOKUP(AJ707,설정!$A$15:$D$47,4,0),99))</f>
        <v>99</v>
      </c>
      <c r="AM707" s="94" t="n">
        <f aca="false">IF(ISNUMBER(H707),AA707*1000000*H707/10000,0)</f>
        <v>0</v>
      </c>
      <c r="AN707" s="94" t="n">
        <f aca="false">IF(OR(Y707=1,NOT(ISNUMBER(Z707))),0,AA707*1000000*Z707/10000)</f>
        <v>0</v>
      </c>
      <c r="AO707" s="94" t="n">
        <f aca="false">IF(ISNUMBER(G707),AA707*1000000*G707/100,0)</f>
        <v>0</v>
      </c>
      <c r="AP707" s="94" t="n">
        <f aca="false">IF(ISNUMBER(M707),M707*K707,0)</f>
        <v>0</v>
      </c>
      <c r="AQ707" s="95" t="str">
        <f aca="false">IF(AB707="","",INDEX(시장분석!$AK:$AK,AB707))</f>
        <v/>
      </c>
      <c r="AR707" s="43" t="str">
        <f aca="false">IF(AB707="","-",IF(AB707="","",INDEX(시장분석!$AL:$AL,AB707)))</f>
        <v>-</v>
      </c>
      <c r="AS707" s="96" t="str">
        <f aca="false">IF(AB707="","",INDEX(시장분석!$AJ:$AJ,AB707))</f>
        <v/>
      </c>
      <c r="AT707" s="93" t="n">
        <f aca="false">IF(AB707="",0,IF(AB707="","",INDEX(시장분석!$AN:$AN,AB707)))</f>
        <v>0</v>
      </c>
      <c r="AU707" s="94" t="n">
        <f aca="false">IF(ISNUMBER(Z707),AT707/10000*MAX(Z707-1,0)*AA707*1000000,0)</f>
        <v>0</v>
      </c>
      <c r="AV707" s="94" t="n">
        <f aca="false">AO707+AU707</f>
        <v>0</v>
      </c>
      <c r="AW707" s="43" t="str">
        <f aca="false">IF(Q707&lt;&gt;1,"",TRIM(IF(AD707=1,"FRN ","")&amp;IF(AND(AL707&gt;=10,AL707&lt;99),"BBB0미만 ","")&amp;IF(AJ707="","등급없음 ","")&amp;IF(K707&lt;&gt;1,"비USD ","")&amp;IF(AND(AB707="",Y707=0),"시장데이터없음 ","")&amp;IF(AND(ISNUMBER(U707),U707&lt;0),"만기경과 ","")))</f>
        <v/>
      </c>
      <c r="AX707" s="90" t="n">
        <f aca="false">IF(Q707&lt;&gt;1,1,IF(스프레드쇼크!$C$4="Y",INDEX(스프레드쇼크!$B$12:$L$16,IFERROR(MATCH(AH707,스프레드쇼크!$A$12:$A$16,0),MATCH("목록외",스프레드쇼크!$A$12:$A$16,0)),IFERROR(MATCH(AG707,스프레드쇼크!$B$11:$L$11,0),MATCH("목록외",스프레드쇼크!$B$11:$L$11,0))),1))</f>
        <v>1</v>
      </c>
      <c r="AY707" s="90" t="n">
        <f aca="false">IF(스프레드쇼크!$C$5="Y",IF(ISNUMBER(AF707),MIN(스프레드쇼크!$C$7,MAX(스프레드쇼크!$C$6,AF707/스프레드쇼크!$C$8)),1),1)</f>
        <v>1</v>
      </c>
      <c r="AZ707" s="94" t="n">
        <f aca="false">AN707*AX707*AY707</f>
        <v>0</v>
      </c>
      <c r="BA707" s="90" t="n">
        <f aca="false">IF(ISNUMBER(G707),AA707*G707,0)</f>
        <v>0</v>
      </c>
      <c r="BB707" s="90" t="n">
        <f aca="false">IF(ISNUMBER(G707),AA707,0)</f>
        <v>0</v>
      </c>
      <c r="BC707" s="90" t="n">
        <f aca="false">IF(AND(Y707=0,ISNUMBER(AF707)),AA707*AF707,0)</f>
        <v>0</v>
      </c>
      <c r="BD707" s="90" t="n">
        <f aca="false">IF(AND(Y707=0,ISNUMBER(AF707)),AA707,0)</f>
        <v>0</v>
      </c>
      <c r="BE707" s="90" t="n">
        <f aca="false">IF(ISNUMBER(H707),AA707*H707,0)</f>
        <v>0</v>
      </c>
      <c r="BF707" s="90" t="n">
        <f aca="false">IF(ISNUMBER(H707),AA707,0)</f>
        <v>0</v>
      </c>
      <c r="BG707" s="90" t="n">
        <f aca="false">IF(AND(Y707=0,ISNUMBER(AF707),ISNUMBER(Z707)),AA707*Z707,0)</f>
        <v>0</v>
      </c>
      <c r="BH707" s="90" t="n">
        <f aca="false">IF(AND(Y707=0,ISNUMBER(AF707),ISNUMBER(Z707)),AA707*AT707*MAX(Z707-1,0),0)</f>
        <v>0</v>
      </c>
      <c r="BI707" s="90" t="n">
        <f aca="false">IF(Y707=0,AA707,0)</f>
        <v>0</v>
      </c>
    </row>
    <row r="708" customFormat="false" ht="15" hidden="false" customHeight="false" outlineLevel="0" collapsed="false">
      <c r="A708" s="83" t="str">
        <f aca="false">IFERROR(IF(INDEX(원자료_잔고!$A$1:$EZ$1500,설정!$L$5+ROW()-1,설정!$L$8)&amp;""="0","",INDEX(원자료_잔고!$A$1:$EZ$1500,설정!$L$5+ROW()-1,설정!$L$8)&amp;""),"")</f>
        <v/>
      </c>
      <c r="B708" s="83" t="str">
        <f aca="false">IFERROR(IF(INDEX(원자료_잔고!$A$1:$EZ$1500,설정!$L$5+ROW()-1,설정!$L$7)&amp;""="0","",INDEX(원자료_잔고!$A$1:$EZ$1500,설정!$L$5+ROW()-1,설정!$L$7)&amp;""),"")</f>
        <v/>
      </c>
      <c r="C708" s="83" t="str">
        <f aca="false">IFERROR(IF(INDEX(원자료_잔고!$A$1:$EZ$1500,설정!$L$5+ROW()-1,설정!$L$9)&amp;""="0","",INDEX(원자료_잔고!$A$1:$EZ$1500,설정!$L$5+ROW()-1,설정!$L$9)&amp;""),"")</f>
        <v/>
      </c>
      <c r="D708" s="83" t="str">
        <f aca="false">IFERROR(IF(INDEX(원자료_잔고!$A$1:$EZ$1500,설정!$L$5+ROW()-1,설정!$L$10)&amp;""="0","",INDEX(원자료_잔고!$A$1:$EZ$1500,설정!$L$5+ROW()-1,설정!$L$10)&amp;""),"")</f>
        <v/>
      </c>
      <c r="E708" s="84" t="str">
        <f aca="false">IFERROR(IF(ISNUMBER(INDEX(원자료_잔고!$A$1:$EZ$1500,설정!$L$5+ROW()-1,설정!$L$11)),INDEX(원자료_잔고!$A$1:$EZ$1500,설정!$L$5+ROW()-1,설정!$L$11),""),"")</f>
        <v/>
      </c>
      <c r="F708" s="85" t="str">
        <f aca="false">IFERROR(IF(ISNUMBER(INDEX(원자료_잔고!$A$1:$EZ$1500,설정!$L$5+ROW()-1,설정!$L$12)),INDEX(원자료_잔고!$A$1:$EZ$1500,설정!$L$5+ROW()-1,설정!$L$12),""),"")</f>
        <v/>
      </c>
      <c r="G708" s="85" t="str">
        <f aca="false">IFERROR(IF(ISNUMBER(INDEX(원자료_잔고!$A$1:$EZ$1500,설정!$L$5+ROW()-1,설정!$L$13)),INDEX(원자료_잔고!$A$1:$EZ$1500,설정!$L$5+ROW()-1,설정!$L$13),""),"")</f>
        <v/>
      </c>
      <c r="H708" s="85" t="str">
        <f aca="false">IFERROR(IF(ISNUMBER(INDEX(원자료_잔고!$A$1:$EZ$1500,설정!$L$5+ROW()-1,설정!$L$14)),INDEX(원자료_잔고!$A$1:$EZ$1500,설정!$L$5+ROW()-1,설정!$L$14),""),"")</f>
        <v/>
      </c>
      <c r="I708" s="86" t="str">
        <f aca="false">IFERROR(IF(ISNUMBER(INDEX(원자료_잔고!$A$1:$EZ$1500,설정!$L$5+ROW()-1,설정!$L$15)),INDEX(원자료_잔고!$A$1:$EZ$1500,설정!$L$5+ROW()-1,설정!$L$15),""),"")</f>
        <v/>
      </c>
      <c r="J708" s="85" t="str">
        <f aca="false">IFERROR(IF(ISNUMBER(INDEX(원자료_잔고!$A$1:$EZ$1500,설정!$L$5+ROW()-1,설정!$L$16)),INDEX(원자료_잔고!$A$1:$EZ$1500,설정!$L$5+ROW()-1,설정!$L$16),""),"")</f>
        <v/>
      </c>
      <c r="K708" s="87" t="str">
        <f aca="false">IFERROR(IF(ISNUMBER(INDEX(원자료_잔고!$A$1:$EZ$1500,설정!$L$5+ROW()-1,설정!$L$17)),INDEX(원자료_잔고!$A$1:$EZ$1500,설정!$L$5+ROW()-1,설정!$L$17),""),"")</f>
        <v/>
      </c>
      <c r="L708" s="84" t="str">
        <f aca="false">IFERROR(IF(ISNUMBER(INDEX(원자료_잔고!$A$1:$EZ$1500,설정!$L$5+ROW()-1,설정!$L$18)),INDEX(원자료_잔고!$A$1:$EZ$1500,설정!$L$5+ROW()-1,설정!$L$18),""),"")</f>
        <v/>
      </c>
      <c r="M708" s="88" t="str">
        <f aca="false">IFERROR(IF(ISNUMBER(INDEX(원자료_잔고!$A$1:$EZ$1500,설정!$L$5+ROW()-1,설정!$L$19)),INDEX(원자료_잔고!$A$1:$EZ$1500,설정!$L$5+ROW()-1,설정!$L$19),""),"")</f>
        <v/>
      </c>
      <c r="N708" s="83" t="str">
        <f aca="false">IFERROR(IF(INDEX(원자료_잔고!$A$1:$EZ$1500,설정!$L$5+ROW()-1,설정!$L$21)&amp;""="0","",INDEX(원자료_잔고!$A$1:$EZ$1500,설정!$L$5+ROW()-1,설정!$L$21)&amp;""),"")</f>
        <v/>
      </c>
      <c r="O708" s="83" t="str">
        <f aca="false">IFERROR(IF(INDEX(원자료_잔고!$A$1:$EZ$1500,설정!$L$5+ROW()-1,설정!$L$22)&amp;""="0","",INDEX(원자료_잔고!$A$1:$EZ$1500,설정!$L$5+ROW()-1,설정!$L$22)&amp;""),"")</f>
        <v/>
      </c>
      <c r="P708" s="83" t="str">
        <f aca="false">IFERROR(IF(INDEX(원자료_잔고!$A$1:$EZ$1500,설정!$L$5+ROW()-1,설정!$L$23)&amp;""="0","",INDEX(원자료_잔고!$A$1:$EZ$1500,설정!$L$5+ROW()-1,설정!$L$23)&amp;""),"")</f>
        <v/>
      </c>
      <c r="Q708" s="89" t="n">
        <f aca="false">IF(AND($A708&lt;&gt;"",ISNUMBER(E708)),IF(E708&gt;0,1,0),0)</f>
        <v>0</v>
      </c>
      <c r="R708" s="43" t="str">
        <f aca="false">IF(Q708=1,UPPER(LEFT($A708,FIND(" ",$A708&amp;" ")-1)),"")</f>
        <v/>
      </c>
      <c r="S708" s="89" t="n">
        <f aca="false">IF(Q708=1,IF(OR(ISNUMBER(SEARCH("Float",$A708)),ISNUMBER(SEARCH("FRN",$A708))),1,0),0)</f>
        <v>0</v>
      </c>
      <c r="T708" s="43" t="str">
        <f aca="false">IF(AND(Q708=1,ISNUMBER(I708)),TEXT(I708,"yyyymmdd")&amp;"|"&amp;IF(S708=1,"F",TEXT(J708,"0.000")),"")</f>
        <v/>
      </c>
      <c r="U708" s="90" t="str">
        <f aca="false">IF(AND(Q708=1,ISNUMBER(I708)),(I708-설정!$C$4)/365.25,"")</f>
        <v/>
      </c>
      <c r="V708" s="43" t="str">
        <f aca="false">IF(Q708&lt;&gt;1,"",IF(ISNUMBER(U708),IF(U708&lt;=1,"1년 이하",IF(U708&lt;=2,"1-2년",IF(U708&lt;=3,"2-3년",IF(U708&lt;=4,"3-4년",IF(U708&lt;=5,"4-5년",IF(U708&lt;=7,"5-7년",IF(U708&lt;=10,"7-10년",IF(U708&lt;=20,"10-20년","20년 이상")))))))),"미분류"))</f>
        <v/>
      </c>
      <c r="W708" s="43" t="str">
        <f aca="false">IF(Q708&lt;&gt;1,"",IF(AB708&lt;&gt;"",INDEX(시장분석!$C:$C,AB708),IF(K708=1,"USD","비USD")))</f>
        <v/>
      </c>
      <c r="X708" s="91" t="n">
        <f aca="false">IF(Q708=1,E708*K708/1000000,0)</f>
        <v>0</v>
      </c>
      <c r="Y708" s="89" t="n">
        <f aca="false">IF(R708="T",1,0)</f>
        <v>0</v>
      </c>
      <c r="Z708" s="92" t="str">
        <f aca="false">IF(Q708&lt;&gt;1,"",IF(AD708=1,IF(ISNUMBER(U708),MAX(U708,0),H708),H708))</f>
        <v/>
      </c>
      <c r="AA708" s="91" t="n">
        <f aca="false">IF(Q708=1,IF(ISNUMBER(L708),L708,0)*K708/1000000,0)</f>
        <v>0</v>
      </c>
      <c r="AB708" s="89" t="str">
        <f aca="false">IF(Q708&lt;&gt;1,"",IFERROR(MATCH(VLOOKUP(B708,매핑!$H$4:$I$15,2,0),시장분석!$A$2:$A$601,0)+1,IFERROR(MATCH(R708&amp;"|"&amp;T708,시장분석!$V$2:$V$601,0)+1,IF(COUNTIF(시장분석!$U$2:$U$601,T708)=1,MATCH(T708,시장분석!$U$2:$U$601,0)+1,""))))</f>
        <v/>
      </c>
      <c r="AC708" s="89" t="n">
        <f aca="false">IF(Q708&lt;&gt;1,0,IF(OR(설정!$C$5="전체",AND(설정!$C$5="선택펀드",IFERROR(COUNTIFS(설정!$F$16:$F$36,C708,설정!$G$16:$G$36,"Y")+COUNTIFS(설정!$F$16:$F$36,VALUE(C708),설정!$G$16:$G$36,"Y"),0)&gt;0),C708&amp;""=설정!$C$5&amp;""),1,0))</f>
        <v>0</v>
      </c>
      <c r="AD708" s="89" t="n">
        <f aca="false">IF(Q708&lt;&gt;1,0,IF(OR(S708=1,IF(AB708="",FALSE(),INDEX(시장분석!$R:$R,AB708)=1)),1,0))</f>
        <v>0</v>
      </c>
      <c r="AE708" s="43" t="str">
        <f aca="false">IF(AB708="","",INDEX(시장분석!$A:$A,AB708))</f>
        <v/>
      </c>
      <c r="AF708" s="93" t="str">
        <f aca="false">IF(AB708="","",IF(ISNUMBER(IF(AB708="","",INDEX(시장분석!$E:$E,AB708))),IF(AB708="","",INDEX(시장분석!$E:$E,AB708)),""))</f>
        <v/>
      </c>
      <c r="AG708" s="43" t="str">
        <f aca="false">IF(Q708&lt;&gt;1,"",IF(AB708&lt;&gt;"",IF(AB708="","",INDEX(시장분석!$L:$L,AB708)),IFERROR(IF(VLOOKUP(R708,매핑!$A$4:$E$92,5,0)="","미분류",VLOOKUP(R708,매핑!$A$4:$E$92,5,0)),"미분류")))</f>
        <v/>
      </c>
      <c r="AH708" s="43" t="str">
        <f aca="false">IF(Q708&lt;&gt;1,"",IF(AB708&lt;&gt;"",IF(AB708="","",INDEX(시장분석!$N:$N,AB708)),IFERROR(IF(VLOOKUP(R708,매핑!$A$4:$E$92,4,0)="","미분류",VLOOKUP(R708,매핑!$A$4:$E$92,4,0)),"미분류")))</f>
        <v/>
      </c>
      <c r="AI708" s="43" t="str">
        <f aca="false">IF(Q708&lt;&gt;1,"",IFERROR(IF(VLOOKUP(R708,매핑!$A$4:$E$92,3,0)="","미분류",VLOOKUP(R708,매핑!$A$4:$E$92,3,0)),IF(AB708&lt;&gt;"",IF(AB708="","",INDEX(시장분석!$W:$W,AB708)),"미분류")))</f>
        <v/>
      </c>
      <c r="AJ708" s="43" t="str">
        <f aca="false">IF(Q708&lt;&gt;1,"",IFERROR(VLOOKUP(IF(N708&lt;&gt;"",N708,IF(P708&lt;&gt;"",P708,O708)),설정!$A$15:$D$47,2,0),""))</f>
        <v/>
      </c>
      <c r="AK708" s="43" t="str">
        <f aca="false">IF(Q708&lt;&gt;1,"",IF(AJ708="","무등급",IFERROR(VLOOKUP(AJ708,설정!$A$15:$D$47,3,0),"무등급")))</f>
        <v/>
      </c>
      <c r="AL708" s="89" t="n">
        <f aca="false">IF(AJ708="",99,IFERROR(VLOOKUP(AJ708,설정!$A$15:$D$47,4,0),99))</f>
        <v>99</v>
      </c>
      <c r="AM708" s="94" t="n">
        <f aca="false">IF(ISNUMBER(H708),AA708*1000000*H708/10000,0)</f>
        <v>0</v>
      </c>
      <c r="AN708" s="94" t="n">
        <f aca="false">IF(OR(Y708=1,NOT(ISNUMBER(Z708))),0,AA708*1000000*Z708/10000)</f>
        <v>0</v>
      </c>
      <c r="AO708" s="94" t="n">
        <f aca="false">IF(ISNUMBER(G708),AA708*1000000*G708/100,0)</f>
        <v>0</v>
      </c>
      <c r="AP708" s="94" t="n">
        <f aca="false">IF(ISNUMBER(M708),M708*K708,0)</f>
        <v>0</v>
      </c>
      <c r="AQ708" s="95" t="str">
        <f aca="false">IF(AB708="","",INDEX(시장분석!$AK:$AK,AB708))</f>
        <v/>
      </c>
      <c r="AR708" s="43" t="str">
        <f aca="false">IF(AB708="","-",IF(AB708="","",INDEX(시장분석!$AL:$AL,AB708)))</f>
        <v>-</v>
      </c>
      <c r="AS708" s="96" t="str">
        <f aca="false">IF(AB708="","",INDEX(시장분석!$AJ:$AJ,AB708))</f>
        <v/>
      </c>
      <c r="AT708" s="93" t="n">
        <f aca="false">IF(AB708="",0,IF(AB708="","",INDEX(시장분석!$AN:$AN,AB708)))</f>
        <v>0</v>
      </c>
      <c r="AU708" s="94" t="n">
        <f aca="false">IF(ISNUMBER(Z708),AT708/10000*MAX(Z708-1,0)*AA708*1000000,0)</f>
        <v>0</v>
      </c>
      <c r="AV708" s="94" t="n">
        <f aca="false">AO708+AU708</f>
        <v>0</v>
      </c>
      <c r="AW708" s="43" t="str">
        <f aca="false">IF(Q708&lt;&gt;1,"",TRIM(IF(AD708=1,"FRN ","")&amp;IF(AND(AL708&gt;=10,AL708&lt;99),"BBB0미만 ","")&amp;IF(AJ708="","등급없음 ","")&amp;IF(K708&lt;&gt;1,"비USD ","")&amp;IF(AND(AB708="",Y708=0),"시장데이터없음 ","")&amp;IF(AND(ISNUMBER(U708),U708&lt;0),"만기경과 ","")))</f>
        <v/>
      </c>
      <c r="AX708" s="90" t="n">
        <f aca="false">IF(Q708&lt;&gt;1,1,IF(스프레드쇼크!$C$4="Y",INDEX(스프레드쇼크!$B$12:$L$16,IFERROR(MATCH(AH708,스프레드쇼크!$A$12:$A$16,0),MATCH("목록외",스프레드쇼크!$A$12:$A$16,0)),IFERROR(MATCH(AG708,스프레드쇼크!$B$11:$L$11,0),MATCH("목록외",스프레드쇼크!$B$11:$L$11,0))),1))</f>
        <v>1</v>
      </c>
      <c r="AY708" s="90" t="n">
        <f aca="false">IF(스프레드쇼크!$C$5="Y",IF(ISNUMBER(AF708),MIN(스프레드쇼크!$C$7,MAX(스프레드쇼크!$C$6,AF708/스프레드쇼크!$C$8)),1),1)</f>
        <v>1</v>
      </c>
      <c r="AZ708" s="94" t="n">
        <f aca="false">AN708*AX708*AY708</f>
        <v>0</v>
      </c>
      <c r="BA708" s="90" t="n">
        <f aca="false">IF(ISNUMBER(G708),AA708*G708,0)</f>
        <v>0</v>
      </c>
      <c r="BB708" s="90" t="n">
        <f aca="false">IF(ISNUMBER(G708),AA708,0)</f>
        <v>0</v>
      </c>
      <c r="BC708" s="90" t="n">
        <f aca="false">IF(AND(Y708=0,ISNUMBER(AF708)),AA708*AF708,0)</f>
        <v>0</v>
      </c>
      <c r="BD708" s="90" t="n">
        <f aca="false">IF(AND(Y708=0,ISNUMBER(AF708)),AA708,0)</f>
        <v>0</v>
      </c>
      <c r="BE708" s="90" t="n">
        <f aca="false">IF(ISNUMBER(H708),AA708*H708,0)</f>
        <v>0</v>
      </c>
      <c r="BF708" s="90" t="n">
        <f aca="false">IF(ISNUMBER(H708),AA708,0)</f>
        <v>0</v>
      </c>
      <c r="BG708" s="90" t="n">
        <f aca="false">IF(AND(Y708=0,ISNUMBER(AF708),ISNUMBER(Z708)),AA708*Z708,0)</f>
        <v>0</v>
      </c>
      <c r="BH708" s="90" t="n">
        <f aca="false">IF(AND(Y708=0,ISNUMBER(AF708),ISNUMBER(Z708)),AA708*AT708*MAX(Z708-1,0),0)</f>
        <v>0</v>
      </c>
      <c r="BI708" s="90" t="n">
        <f aca="false">IF(Y708=0,AA708,0)</f>
        <v>0</v>
      </c>
    </row>
    <row r="709" customFormat="false" ht="15" hidden="false" customHeight="false" outlineLevel="0" collapsed="false">
      <c r="A709" s="83" t="str">
        <f aca="false">IFERROR(IF(INDEX(원자료_잔고!$A$1:$EZ$1500,설정!$L$5+ROW()-1,설정!$L$8)&amp;""="0","",INDEX(원자료_잔고!$A$1:$EZ$1500,설정!$L$5+ROW()-1,설정!$L$8)&amp;""),"")</f>
        <v/>
      </c>
      <c r="B709" s="83" t="str">
        <f aca="false">IFERROR(IF(INDEX(원자료_잔고!$A$1:$EZ$1500,설정!$L$5+ROW()-1,설정!$L$7)&amp;""="0","",INDEX(원자료_잔고!$A$1:$EZ$1500,설정!$L$5+ROW()-1,설정!$L$7)&amp;""),"")</f>
        <v/>
      </c>
      <c r="C709" s="83" t="str">
        <f aca="false">IFERROR(IF(INDEX(원자료_잔고!$A$1:$EZ$1500,설정!$L$5+ROW()-1,설정!$L$9)&amp;""="0","",INDEX(원자료_잔고!$A$1:$EZ$1500,설정!$L$5+ROW()-1,설정!$L$9)&amp;""),"")</f>
        <v/>
      </c>
      <c r="D709" s="83" t="str">
        <f aca="false">IFERROR(IF(INDEX(원자료_잔고!$A$1:$EZ$1500,설정!$L$5+ROW()-1,설정!$L$10)&amp;""="0","",INDEX(원자료_잔고!$A$1:$EZ$1500,설정!$L$5+ROW()-1,설정!$L$10)&amp;""),"")</f>
        <v/>
      </c>
      <c r="E709" s="84" t="str">
        <f aca="false">IFERROR(IF(ISNUMBER(INDEX(원자료_잔고!$A$1:$EZ$1500,설정!$L$5+ROW()-1,설정!$L$11)),INDEX(원자료_잔고!$A$1:$EZ$1500,설정!$L$5+ROW()-1,설정!$L$11),""),"")</f>
        <v/>
      </c>
      <c r="F709" s="85" t="str">
        <f aca="false">IFERROR(IF(ISNUMBER(INDEX(원자료_잔고!$A$1:$EZ$1500,설정!$L$5+ROW()-1,설정!$L$12)),INDEX(원자료_잔고!$A$1:$EZ$1500,설정!$L$5+ROW()-1,설정!$L$12),""),"")</f>
        <v/>
      </c>
      <c r="G709" s="85" t="str">
        <f aca="false">IFERROR(IF(ISNUMBER(INDEX(원자료_잔고!$A$1:$EZ$1500,설정!$L$5+ROW()-1,설정!$L$13)),INDEX(원자료_잔고!$A$1:$EZ$1500,설정!$L$5+ROW()-1,설정!$L$13),""),"")</f>
        <v/>
      </c>
      <c r="H709" s="85" t="str">
        <f aca="false">IFERROR(IF(ISNUMBER(INDEX(원자료_잔고!$A$1:$EZ$1500,설정!$L$5+ROW()-1,설정!$L$14)),INDEX(원자료_잔고!$A$1:$EZ$1500,설정!$L$5+ROW()-1,설정!$L$14),""),"")</f>
        <v/>
      </c>
      <c r="I709" s="86" t="str">
        <f aca="false">IFERROR(IF(ISNUMBER(INDEX(원자료_잔고!$A$1:$EZ$1500,설정!$L$5+ROW()-1,설정!$L$15)),INDEX(원자료_잔고!$A$1:$EZ$1500,설정!$L$5+ROW()-1,설정!$L$15),""),"")</f>
        <v/>
      </c>
      <c r="J709" s="85" t="str">
        <f aca="false">IFERROR(IF(ISNUMBER(INDEX(원자료_잔고!$A$1:$EZ$1500,설정!$L$5+ROW()-1,설정!$L$16)),INDEX(원자료_잔고!$A$1:$EZ$1500,설정!$L$5+ROW()-1,설정!$L$16),""),"")</f>
        <v/>
      </c>
      <c r="K709" s="87" t="str">
        <f aca="false">IFERROR(IF(ISNUMBER(INDEX(원자료_잔고!$A$1:$EZ$1500,설정!$L$5+ROW()-1,설정!$L$17)),INDEX(원자료_잔고!$A$1:$EZ$1500,설정!$L$5+ROW()-1,설정!$L$17),""),"")</f>
        <v/>
      </c>
      <c r="L709" s="84" t="str">
        <f aca="false">IFERROR(IF(ISNUMBER(INDEX(원자료_잔고!$A$1:$EZ$1500,설정!$L$5+ROW()-1,설정!$L$18)),INDEX(원자료_잔고!$A$1:$EZ$1500,설정!$L$5+ROW()-1,설정!$L$18),""),"")</f>
        <v/>
      </c>
      <c r="M709" s="88" t="str">
        <f aca="false">IFERROR(IF(ISNUMBER(INDEX(원자료_잔고!$A$1:$EZ$1500,설정!$L$5+ROW()-1,설정!$L$19)),INDEX(원자료_잔고!$A$1:$EZ$1500,설정!$L$5+ROW()-1,설정!$L$19),""),"")</f>
        <v/>
      </c>
      <c r="N709" s="83" t="str">
        <f aca="false">IFERROR(IF(INDEX(원자료_잔고!$A$1:$EZ$1500,설정!$L$5+ROW()-1,설정!$L$21)&amp;""="0","",INDEX(원자료_잔고!$A$1:$EZ$1500,설정!$L$5+ROW()-1,설정!$L$21)&amp;""),"")</f>
        <v/>
      </c>
      <c r="O709" s="83" t="str">
        <f aca="false">IFERROR(IF(INDEX(원자료_잔고!$A$1:$EZ$1500,설정!$L$5+ROW()-1,설정!$L$22)&amp;""="0","",INDEX(원자료_잔고!$A$1:$EZ$1500,설정!$L$5+ROW()-1,설정!$L$22)&amp;""),"")</f>
        <v/>
      </c>
      <c r="P709" s="83" t="str">
        <f aca="false">IFERROR(IF(INDEX(원자료_잔고!$A$1:$EZ$1500,설정!$L$5+ROW()-1,설정!$L$23)&amp;""="0","",INDEX(원자료_잔고!$A$1:$EZ$1500,설정!$L$5+ROW()-1,설정!$L$23)&amp;""),"")</f>
        <v/>
      </c>
      <c r="Q709" s="89" t="n">
        <f aca="false">IF(AND($A709&lt;&gt;"",ISNUMBER(E709)),IF(E709&gt;0,1,0),0)</f>
        <v>0</v>
      </c>
      <c r="R709" s="43" t="str">
        <f aca="false">IF(Q709=1,UPPER(LEFT($A709,FIND(" ",$A709&amp;" ")-1)),"")</f>
        <v/>
      </c>
      <c r="S709" s="89" t="n">
        <f aca="false">IF(Q709=1,IF(OR(ISNUMBER(SEARCH("Float",$A709)),ISNUMBER(SEARCH("FRN",$A709))),1,0),0)</f>
        <v>0</v>
      </c>
      <c r="T709" s="43" t="str">
        <f aca="false">IF(AND(Q709=1,ISNUMBER(I709)),TEXT(I709,"yyyymmdd")&amp;"|"&amp;IF(S709=1,"F",TEXT(J709,"0.000")),"")</f>
        <v/>
      </c>
      <c r="U709" s="90" t="str">
        <f aca="false">IF(AND(Q709=1,ISNUMBER(I709)),(I709-설정!$C$4)/365.25,"")</f>
        <v/>
      </c>
      <c r="V709" s="43" t="str">
        <f aca="false">IF(Q709&lt;&gt;1,"",IF(ISNUMBER(U709),IF(U709&lt;=1,"1년 이하",IF(U709&lt;=2,"1-2년",IF(U709&lt;=3,"2-3년",IF(U709&lt;=4,"3-4년",IF(U709&lt;=5,"4-5년",IF(U709&lt;=7,"5-7년",IF(U709&lt;=10,"7-10년",IF(U709&lt;=20,"10-20년","20년 이상")))))))),"미분류"))</f>
        <v/>
      </c>
      <c r="W709" s="43" t="str">
        <f aca="false">IF(Q709&lt;&gt;1,"",IF(AB709&lt;&gt;"",INDEX(시장분석!$C:$C,AB709),IF(K709=1,"USD","비USD")))</f>
        <v/>
      </c>
      <c r="X709" s="91" t="n">
        <f aca="false">IF(Q709=1,E709*K709/1000000,0)</f>
        <v>0</v>
      </c>
      <c r="Y709" s="89" t="n">
        <f aca="false">IF(R709="T",1,0)</f>
        <v>0</v>
      </c>
      <c r="Z709" s="92" t="str">
        <f aca="false">IF(Q709&lt;&gt;1,"",IF(AD709=1,IF(ISNUMBER(U709),MAX(U709,0),H709),H709))</f>
        <v/>
      </c>
      <c r="AA709" s="91" t="n">
        <f aca="false">IF(Q709=1,IF(ISNUMBER(L709),L709,0)*K709/1000000,0)</f>
        <v>0</v>
      </c>
      <c r="AB709" s="89" t="str">
        <f aca="false">IF(Q709&lt;&gt;1,"",IFERROR(MATCH(VLOOKUP(B709,매핑!$H$4:$I$15,2,0),시장분석!$A$2:$A$601,0)+1,IFERROR(MATCH(R709&amp;"|"&amp;T709,시장분석!$V$2:$V$601,0)+1,IF(COUNTIF(시장분석!$U$2:$U$601,T709)=1,MATCH(T709,시장분석!$U$2:$U$601,0)+1,""))))</f>
        <v/>
      </c>
      <c r="AC709" s="89" t="n">
        <f aca="false">IF(Q709&lt;&gt;1,0,IF(OR(설정!$C$5="전체",AND(설정!$C$5="선택펀드",IFERROR(COUNTIFS(설정!$F$16:$F$36,C709,설정!$G$16:$G$36,"Y")+COUNTIFS(설정!$F$16:$F$36,VALUE(C709),설정!$G$16:$G$36,"Y"),0)&gt;0),C709&amp;""=설정!$C$5&amp;""),1,0))</f>
        <v>0</v>
      </c>
      <c r="AD709" s="89" t="n">
        <f aca="false">IF(Q709&lt;&gt;1,0,IF(OR(S709=1,IF(AB709="",FALSE(),INDEX(시장분석!$R:$R,AB709)=1)),1,0))</f>
        <v>0</v>
      </c>
      <c r="AE709" s="43" t="str">
        <f aca="false">IF(AB709="","",INDEX(시장분석!$A:$A,AB709))</f>
        <v/>
      </c>
      <c r="AF709" s="93" t="str">
        <f aca="false">IF(AB709="","",IF(ISNUMBER(IF(AB709="","",INDEX(시장분석!$E:$E,AB709))),IF(AB709="","",INDEX(시장분석!$E:$E,AB709)),""))</f>
        <v/>
      </c>
      <c r="AG709" s="43" t="str">
        <f aca="false">IF(Q709&lt;&gt;1,"",IF(AB709&lt;&gt;"",IF(AB709="","",INDEX(시장분석!$L:$L,AB709)),IFERROR(IF(VLOOKUP(R709,매핑!$A$4:$E$92,5,0)="","미분류",VLOOKUP(R709,매핑!$A$4:$E$92,5,0)),"미분류")))</f>
        <v/>
      </c>
      <c r="AH709" s="43" t="str">
        <f aca="false">IF(Q709&lt;&gt;1,"",IF(AB709&lt;&gt;"",IF(AB709="","",INDEX(시장분석!$N:$N,AB709)),IFERROR(IF(VLOOKUP(R709,매핑!$A$4:$E$92,4,0)="","미분류",VLOOKUP(R709,매핑!$A$4:$E$92,4,0)),"미분류")))</f>
        <v/>
      </c>
      <c r="AI709" s="43" t="str">
        <f aca="false">IF(Q709&lt;&gt;1,"",IFERROR(IF(VLOOKUP(R709,매핑!$A$4:$E$92,3,0)="","미분류",VLOOKUP(R709,매핑!$A$4:$E$92,3,0)),IF(AB709&lt;&gt;"",IF(AB709="","",INDEX(시장분석!$W:$W,AB709)),"미분류")))</f>
        <v/>
      </c>
      <c r="AJ709" s="43" t="str">
        <f aca="false">IF(Q709&lt;&gt;1,"",IFERROR(VLOOKUP(IF(N709&lt;&gt;"",N709,IF(P709&lt;&gt;"",P709,O709)),설정!$A$15:$D$47,2,0),""))</f>
        <v/>
      </c>
      <c r="AK709" s="43" t="str">
        <f aca="false">IF(Q709&lt;&gt;1,"",IF(AJ709="","무등급",IFERROR(VLOOKUP(AJ709,설정!$A$15:$D$47,3,0),"무등급")))</f>
        <v/>
      </c>
      <c r="AL709" s="89" t="n">
        <f aca="false">IF(AJ709="",99,IFERROR(VLOOKUP(AJ709,설정!$A$15:$D$47,4,0),99))</f>
        <v>99</v>
      </c>
      <c r="AM709" s="94" t="n">
        <f aca="false">IF(ISNUMBER(H709),AA709*1000000*H709/10000,0)</f>
        <v>0</v>
      </c>
      <c r="AN709" s="94" t="n">
        <f aca="false">IF(OR(Y709=1,NOT(ISNUMBER(Z709))),0,AA709*1000000*Z709/10000)</f>
        <v>0</v>
      </c>
      <c r="AO709" s="94" t="n">
        <f aca="false">IF(ISNUMBER(G709),AA709*1000000*G709/100,0)</f>
        <v>0</v>
      </c>
      <c r="AP709" s="94" t="n">
        <f aca="false">IF(ISNUMBER(M709),M709*K709,0)</f>
        <v>0</v>
      </c>
      <c r="AQ709" s="95" t="str">
        <f aca="false">IF(AB709="","",INDEX(시장분석!$AK:$AK,AB709))</f>
        <v/>
      </c>
      <c r="AR709" s="43" t="str">
        <f aca="false">IF(AB709="","-",IF(AB709="","",INDEX(시장분석!$AL:$AL,AB709)))</f>
        <v>-</v>
      </c>
      <c r="AS709" s="96" t="str">
        <f aca="false">IF(AB709="","",INDEX(시장분석!$AJ:$AJ,AB709))</f>
        <v/>
      </c>
      <c r="AT709" s="93" t="n">
        <f aca="false">IF(AB709="",0,IF(AB709="","",INDEX(시장분석!$AN:$AN,AB709)))</f>
        <v>0</v>
      </c>
      <c r="AU709" s="94" t="n">
        <f aca="false">IF(ISNUMBER(Z709),AT709/10000*MAX(Z709-1,0)*AA709*1000000,0)</f>
        <v>0</v>
      </c>
      <c r="AV709" s="94" t="n">
        <f aca="false">AO709+AU709</f>
        <v>0</v>
      </c>
      <c r="AW709" s="43" t="str">
        <f aca="false">IF(Q709&lt;&gt;1,"",TRIM(IF(AD709=1,"FRN ","")&amp;IF(AND(AL709&gt;=10,AL709&lt;99),"BBB0미만 ","")&amp;IF(AJ709="","등급없음 ","")&amp;IF(K709&lt;&gt;1,"비USD ","")&amp;IF(AND(AB709="",Y709=0),"시장데이터없음 ","")&amp;IF(AND(ISNUMBER(U709),U709&lt;0),"만기경과 ","")))</f>
        <v/>
      </c>
      <c r="AX709" s="90" t="n">
        <f aca="false">IF(Q709&lt;&gt;1,1,IF(스프레드쇼크!$C$4="Y",INDEX(스프레드쇼크!$B$12:$L$16,IFERROR(MATCH(AH709,스프레드쇼크!$A$12:$A$16,0),MATCH("목록외",스프레드쇼크!$A$12:$A$16,0)),IFERROR(MATCH(AG709,스프레드쇼크!$B$11:$L$11,0),MATCH("목록외",스프레드쇼크!$B$11:$L$11,0))),1))</f>
        <v>1</v>
      </c>
      <c r="AY709" s="90" t="n">
        <f aca="false">IF(스프레드쇼크!$C$5="Y",IF(ISNUMBER(AF709),MIN(스프레드쇼크!$C$7,MAX(스프레드쇼크!$C$6,AF709/스프레드쇼크!$C$8)),1),1)</f>
        <v>1</v>
      </c>
      <c r="AZ709" s="94" t="n">
        <f aca="false">AN709*AX709*AY709</f>
        <v>0</v>
      </c>
      <c r="BA709" s="90" t="n">
        <f aca="false">IF(ISNUMBER(G709),AA709*G709,0)</f>
        <v>0</v>
      </c>
      <c r="BB709" s="90" t="n">
        <f aca="false">IF(ISNUMBER(G709),AA709,0)</f>
        <v>0</v>
      </c>
      <c r="BC709" s="90" t="n">
        <f aca="false">IF(AND(Y709=0,ISNUMBER(AF709)),AA709*AF709,0)</f>
        <v>0</v>
      </c>
      <c r="BD709" s="90" t="n">
        <f aca="false">IF(AND(Y709=0,ISNUMBER(AF709)),AA709,0)</f>
        <v>0</v>
      </c>
      <c r="BE709" s="90" t="n">
        <f aca="false">IF(ISNUMBER(H709),AA709*H709,0)</f>
        <v>0</v>
      </c>
      <c r="BF709" s="90" t="n">
        <f aca="false">IF(ISNUMBER(H709),AA709,0)</f>
        <v>0</v>
      </c>
      <c r="BG709" s="90" t="n">
        <f aca="false">IF(AND(Y709=0,ISNUMBER(AF709),ISNUMBER(Z709)),AA709*Z709,0)</f>
        <v>0</v>
      </c>
      <c r="BH709" s="90" t="n">
        <f aca="false">IF(AND(Y709=0,ISNUMBER(AF709),ISNUMBER(Z709)),AA709*AT709*MAX(Z709-1,0),0)</f>
        <v>0</v>
      </c>
      <c r="BI709" s="90" t="n">
        <f aca="false">IF(Y709=0,AA709,0)</f>
        <v>0</v>
      </c>
    </row>
    <row r="710" customFormat="false" ht="15" hidden="false" customHeight="false" outlineLevel="0" collapsed="false">
      <c r="A710" s="83" t="str">
        <f aca="false">IFERROR(IF(INDEX(원자료_잔고!$A$1:$EZ$1500,설정!$L$5+ROW()-1,설정!$L$8)&amp;""="0","",INDEX(원자료_잔고!$A$1:$EZ$1500,설정!$L$5+ROW()-1,설정!$L$8)&amp;""),"")</f>
        <v/>
      </c>
      <c r="B710" s="83" t="str">
        <f aca="false">IFERROR(IF(INDEX(원자료_잔고!$A$1:$EZ$1500,설정!$L$5+ROW()-1,설정!$L$7)&amp;""="0","",INDEX(원자료_잔고!$A$1:$EZ$1500,설정!$L$5+ROW()-1,설정!$L$7)&amp;""),"")</f>
        <v/>
      </c>
      <c r="C710" s="83" t="str">
        <f aca="false">IFERROR(IF(INDEX(원자료_잔고!$A$1:$EZ$1500,설정!$L$5+ROW()-1,설정!$L$9)&amp;""="0","",INDEX(원자료_잔고!$A$1:$EZ$1500,설정!$L$5+ROW()-1,설정!$L$9)&amp;""),"")</f>
        <v/>
      </c>
      <c r="D710" s="83" t="str">
        <f aca="false">IFERROR(IF(INDEX(원자료_잔고!$A$1:$EZ$1500,설정!$L$5+ROW()-1,설정!$L$10)&amp;""="0","",INDEX(원자료_잔고!$A$1:$EZ$1500,설정!$L$5+ROW()-1,설정!$L$10)&amp;""),"")</f>
        <v/>
      </c>
      <c r="E710" s="84" t="str">
        <f aca="false">IFERROR(IF(ISNUMBER(INDEX(원자료_잔고!$A$1:$EZ$1500,설정!$L$5+ROW()-1,설정!$L$11)),INDEX(원자료_잔고!$A$1:$EZ$1500,설정!$L$5+ROW()-1,설정!$L$11),""),"")</f>
        <v/>
      </c>
      <c r="F710" s="85" t="str">
        <f aca="false">IFERROR(IF(ISNUMBER(INDEX(원자료_잔고!$A$1:$EZ$1500,설정!$L$5+ROW()-1,설정!$L$12)),INDEX(원자료_잔고!$A$1:$EZ$1500,설정!$L$5+ROW()-1,설정!$L$12),""),"")</f>
        <v/>
      </c>
      <c r="G710" s="85" t="str">
        <f aca="false">IFERROR(IF(ISNUMBER(INDEX(원자료_잔고!$A$1:$EZ$1500,설정!$L$5+ROW()-1,설정!$L$13)),INDEX(원자료_잔고!$A$1:$EZ$1500,설정!$L$5+ROW()-1,설정!$L$13),""),"")</f>
        <v/>
      </c>
      <c r="H710" s="85" t="str">
        <f aca="false">IFERROR(IF(ISNUMBER(INDEX(원자료_잔고!$A$1:$EZ$1500,설정!$L$5+ROW()-1,설정!$L$14)),INDEX(원자료_잔고!$A$1:$EZ$1500,설정!$L$5+ROW()-1,설정!$L$14),""),"")</f>
        <v/>
      </c>
      <c r="I710" s="86" t="str">
        <f aca="false">IFERROR(IF(ISNUMBER(INDEX(원자료_잔고!$A$1:$EZ$1500,설정!$L$5+ROW()-1,설정!$L$15)),INDEX(원자료_잔고!$A$1:$EZ$1500,설정!$L$5+ROW()-1,설정!$L$15),""),"")</f>
        <v/>
      </c>
      <c r="J710" s="85" t="str">
        <f aca="false">IFERROR(IF(ISNUMBER(INDEX(원자료_잔고!$A$1:$EZ$1500,설정!$L$5+ROW()-1,설정!$L$16)),INDEX(원자료_잔고!$A$1:$EZ$1500,설정!$L$5+ROW()-1,설정!$L$16),""),"")</f>
        <v/>
      </c>
      <c r="K710" s="87" t="str">
        <f aca="false">IFERROR(IF(ISNUMBER(INDEX(원자료_잔고!$A$1:$EZ$1500,설정!$L$5+ROW()-1,설정!$L$17)),INDEX(원자료_잔고!$A$1:$EZ$1500,설정!$L$5+ROW()-1,설정!$L$17),""),"")</f>
        <v/>
      </c>
      <c r="L710" s="84" t="str">
        <f aca="false">IFERROR(IF(ISNUMBER(INDEX(원자료_잔고!$A$1:$EZ$1500,설정!$L$5+ROW()-1,설정!$L$18)),INDEX(원자료_잔고!$A$1:$EZ$1500,설정!$L$5+ROW()-1,설정!$L$18),""),"")</f>
        <v/>
      </c>
      <c r="M710" s="88" t="str">
        <f aca="false">IFERROR(IF(ISNUMBER(INDEX(원자료_잔고!$A$1:$EZ$1500,설정!$L$5+ROW()-1,설정!$L$19)),INDEX(원자료_잔고!$A$1:$EZ$1500,설정!$L$5+ROW()-1,설정!$L$19),""),"")</f>
        <v/>
      </c>
      <c r="N710" s="83" t="str">
        <f aca="false">IFERROR(IF(INDEX(원자료_잔고!$A$1:$EZ$1500,설정!$L$5+ROW()-1,설정!$L$21)&amp;""="0","",INDEX(원자료_잔고!$A$1:$EZ$1500,설정!$L$5+ROW()-1,설정!$L$21)&amp;""),"")</f>
        <v/>
      </c>
      <c r="O710" s="83" t="str">
        <f aca="false">IFERROR(IF(INDEX(원자료_잔고!$A$1:$EZ$1500,설정!$L$5+ROW()-1,설정!$L$22)&amp;""="0","",INDEX(원자료_잔고!$A$1:$EZ$1500,설정!$L$5+ROW()-1,설정!$L$22)&amp;""),"")</f>
        <v/>
      </c>
      <c r="P710" s="83" t="str">
        <f aca="false">IFERROR(IF(INDEX(원자료_잔고!$A$1:$EZ$1500,설정!$L$5+ROW()-1,설정!$L$23)&amp;""="0","",INDEX(원자료_잔고!$A$1:$EZ$1500,설정!$L$5+ROW()-1,설정!$L$23)&amp;""),"")</f>
        <v/>
      </c>
      <c r="Q710" s="89" t="n">
        <f aca="false">IF(AND($A710&lt;&gt;"",ISNUMBER(E710)),IF(E710&gt;0,1,0),0)</f>
        <v>0</v>
      </c>
      <c r="R710" s="43" t="str">
        <f aca="false">IF(Q710=1,UPPER(LEFT($A710,FIND(" ",$A710&amp;" ")-1)),"")</f>
        <v/>
      </c>
      <c r="S710" s="89" t="n">
        <f aca="false">IF(Q710=1,IF(OR(ISNUMBER(SEARCH("Float",$A710)),ISNUMBER(SEARCH("FRN",$A710))),1,0),0)</f>
        <v>0</v>
      </c>
      <c r="T710" s="43" t="str">
        <f aca="false">IF(AND(Q710=1,ISNUMBER(I710)),TEXT(I710,"yyyymmdd")&amp;"|"&amp;IF(S710=1,"F",TEXT(J710,"0.000")),"")</f>
        <v/>
      </c>
      <c r="U710" s="90" t="str">
        <f aca="false">IF(AND(Q710=1,ISNUMBER(I710)),(I710-설정!$C$4)/365.25,"")</f>
        <v/>
      </c>
      <c r="V710" s="43" t="str">
        <f aca="false">IF(Q710&lt;&gt;1,"",IF(ISNUMBER(U710),IF(U710&lt;=1,"1년 이하",IF(U710&lt;=2,"1-2년",IF(U710&lt;=3,"2-3년",IF(U710&lt;=4,"3-4년",IF(U710&lt;=5,"4-5년",IF(U710&lt;=7,"5-7년",IF(U710&lt;=10,"7-10년",IF(U710&lt;=20,"10-20년","20년 이상")))))))),"미분류"))</f>
        <v/>
      </c>
      <c r="W710" s="43" t="str">
        <f aca="false">IF(Q710&lt;&gt;1,"",IF(AB710&lt;&gt;"",INDEX(시장분석!$C:$C,AB710),IF(K710=1,"USD","비USD")))</f>
        <v/>
      </c>
      <c r="X710" s="91" t="n">
        <f aca="false">IF(Q710=1,E710*K710/1000000,0)</f>
        <v>0</v>
      </c>
      <c r="Y710" s="89" t="n">
        <f aca="false">IF(R710="T",1,0)</f>
        <v>0</v>
      </c>
      <c r="Z710" s="92" t="str">
        <f aca="false">IF(Q710&lt;&gt;1,"",IF(AD710=1,IF(ISNUMBER(U710),MAX(U710,0),H710),H710))</f>
        <v/>
      </c>
      <c r="AA710" s="91" t="n">
        <f aca="false">IF(Q710=1,IF(ISNUMBER(L710),L710,0)*K710/1000000,0)</f>
        <v>0</v>
      </c>
      <c r="AB710" s="89" t="str">
        <f aca="false">IF(Q710&lt;&gt;1,"",IFERROR(MATCH(VLOOKUP(B710,매핑!$H$4:$I$15,2,0),시장분석!$A$2:$A$601,0)+1,IFERROR(MATCH(R710&amp;"|"&amp;T710,시장분석!$V$2:$V$601,0)+1,IF(COUNTIF(시장분석!$U$2:$U$601,T710)=1,MATCH(T710,시장분석!$U$2:$U$601,0)+1,""))))</f>
        <v/>
      </c>
      <c r="AC710" s="89" t="n">
        <f aca="false">IF(Q710&lt;&gt;1,0,IF(OR(설정!$C$5="전체",AND(설정!$C$5="선택펀드",IFERROR(COUNTIFS(설정!$F$16:$F$36,C710,설정!$G$16:$G$36,"Y")+COUNTIFS(설정!$F$16:$F$36,VALUE(C710),설정!$G$16:$G$36,"Y"),0)&gt;0),C710&amp;""=설정!$C$5&amp;""),1,0))</f>
        <v>0</v>
      </c>
      <c r="AD710" s="89" t="n">
        <f aca="false">IF(Q710&lt;&gt;1,0,IF(OR(S710=1,IF(AB710="",FALSE(),INDEX(시장분석!$R:$R,AB710)=1)),1,0))</f>
        <v>0</v>
      </c>
      <c r="AE710" s="43" t="str">
        <f aca="false">IF(AB710="","",INDEX(시장분석!$A:$A,AB710))</f>
        <v/>
      </c>
      <c r="AF710" s="93" t="str">
        <f aca="false">IF(AB710="","",IF(ISNUMBER(IF(AB710="","",INDEX(시장분석!$E:$E,AB710))),IF(AB710="","",INDEX(시장분석!$E:$E,AB710)),""))</f>
        <v/>
      </c>
      <c r="AG710" s="43" t="str">
        <f aca="false">IF(Q710&lt;&gt;1,"",IF(AB710&lt;&gt;"",IF(AB710="","",INDEX(시장분석!$L:$L,AB710)),IFERROR(IF(VLOOKUP(R710,매핑!$A$4:$E$92,5,0)="","미분류",VLOOKUP(R710,매핑!$A$4:$E$92,5,0)),"미분류")))</f>
        <v/>
      </c>
      <c r="AH710" s="43" t="str">
        <f aca="false">IF(Q710&lt;&gt;1,"",IF(AB710&lt;&gt;"",IF(AB710="","",INDEX(시장분석!$N:$N,AB710)),IFERROR(IF(VLOOKUP(R710,매핑!$A$4:$E$92,4,0)="","미분류",VLOOKUP(R710,매핑!$A$4:$E$92,4,0)),"미분류")))</f>
        <v/>
      </c>
      <c r="AI710" s="43" t="str">
        <f aca="false">IF(Q710&lt;&gt;1,"",IFERROR(IF(VLOOKUP(R710,매핑!$A$4:$E$92,3,0)="","미분류",VLOOKUP(R710,매핑!$A$4:$E$92,3,0)),IF(AB710&lt;&gt;"",IF(AB710="","",INDEX(시장분석!$W:$W,AB710)),"미분류")))</f>
        <v/>
      </c>
      <c r="AJ710" s="43" t="str">
        <f aca="false">IF(Q710&lt;&gt;1,"",IFERROR(VLOOKUP(IF(N710&lt;&gt;"",N710,IF(P710&lt;&gt;"",P710,O710)),설정!$A$15:$D$47,2,0),""))</f>
        <v/>
      </c>
      <c r="AK710" s="43" t="str">
        <f aca="false">IF(Q710&lt;&gt;1,"",IF(AJ710="","무등급",IFERROR(VLOOKUP(AJ710,설정!$A$15:$D$47,3,0),"무등급")))</f>
        <v/>
      </c>
      <c r="AL710" s="89" t="n">
        <f aca="false">IF(AJ710="",99,IFERROR(VLOOKUP(AJ710,설정!$A$15:$D$47,4,0),99))</f>
        <v>99</v>
      </c>
      <c r="AM710" s="94" t="n">
        <f aca="false">IF(ISNUMBER(H710),AA710*1000000*H710/10000,0)</f>
        <v>0</v>
      </c>
      <c r="AN710" s="94" t="n">
        <f aca="false">IF(OR(Y710=1,NOT(ISNUMBER(Z710))),0,AA710*1000000*Z710/10000)</f>
        <v>0</v>
      </c>
      <c r="AO710" s="94" t="n">
        <f aca="false">IF(ISNUMBER(G710),AA710*1000000*G710/100,0)</f>
        <v>0</v>
      </c>
      <c r="AP710" s="94" t="n">
        <f aca="false">IF(ISNUMBER(M710),M710*K710,0)</f>
        <v>0</v>
      </c>
      <c r="AQ710" s="95" t="str">
        <f aca="false">IF(AB710="","",INDEX(시장분석!$AK:$AK,AB710))</f>
        <v/>
      </c>
      <c r="AR710" s="43" t="str">
        <f aca="false">IF(AB710="","-",IF(AB710="","",INDEX(시장분석!$AL:$AL,AB710)))</f>
        <v>-</v>
      </c>
      <c r="AS710" s="96" t="str">
        <f aca="false">IF(AB710="","",INDEX(시장분석!$AJ:$AJ,AB710))</f>
        <v/>
      </c>
      <c r="AT710" s="93" t="n">
        <f aca="false">IF(AB710="",0,IF(AB710="","",INDEX(시장분석!$AN:$AN,AB710)))</f>
        <v>0</v>
      </c>
      <c r="AU710" s="94" t="n">
        <f aca="false">IF(ISNUMBER(Z710),AT710/10000*MAX(Z710-1,0)*AA710*1000000,0)</f>
        <v>0</v>
      </c>
      <c r="AV710" s="94" t="n">
        <f aca="false">AO710+AU710</f>
        <v>0</v>
      </c>
      <c r="AW710" s="43" t="str">
        <f aca="false">IF(Q710&lt;&gt;1,"",TRIM(IF(AD710=1,"FRN ","")&amp;IF(AND(AL710&gt;=10,AL710&lt;99),"BBB0미만 ","")&amp;IF(AJ710="","등급없음 ","")&amp;IF(K710&lt;&gt;1,"비USD ","")&amp;IF(AND(AB710="",Y710=0),"시장데이터없음 ","")&amp;IF(AND(ISNUMBER(U710),U710&lt;0),"만기경과 ","")))</f>
        <v/>
      </c>
      <c r="AX710" s="90" t="n">
        <f aca="false">IF(Q710&lt;&gt;1,1,IF(스프레드쇼크!$C$4="Y",INDEX(스프레드쇼크!$B$12:$L$16,IFERROR(MATCH(AH710,스프레드쇼크!$A$12:$A$16,0),MATCH("목록외",스프레드쇼크!$A$12:$A$16,0)),IFERROR(MATCH(AG710,스프레드쇼크!$B$11:$L$11,0),MATCH("목록외",스프레드쇼크!$B$11:$L$11,0))),1))</f>
        <v>1</v>
      </c>
      <c r="AY710" s="90" t="n">
        <f aca="false">IF(스프레드쇼크!$C$5="Y",IF(ISNUMBER(AF710),MIN(스프레드쇼크!$C$7,MAX(스프레드쇼크!$C$6,AF710/스프레드쇼크!$C$8)),1),1)</f>
        <v>1</v>
      </c>
      <c r="AZ710" s="94" t="n">
        <f aca="false">AN710*AX710*AY710</f>
        <v>0</v>
      </c>
      <c r="BA710" s="90" t="n">
        <f aca="false">IF(ISNUMBER(G710),AA710*G710,0)</f>
        <v>0</v>
      </c>
      <c r="BB710" s="90" t="n">
        <f aca="false">IF(ISNUMBER(G710),AA710,0)</f>
        <v>0</v>
      </c>
      <c r="BC710" s="90" t="n">
        <f aca="false">IF(AND(Y710=0,ISNUMBER(AF710)),AA710*AF710,0)</f>
        <v>0</v>
      </c>
      <c r="BD710" s="90" t="n">
        <f aca="false">IF(AND(Y710=0,ISNUMBER(AF710)),AA710,0)</f>
        <v>0</v>
      </c>
      <c r="BE710" s="90" t="n">
        <f aca="false">IF(ISNUMBER(H710),AA710*H710,0)</f>
        <v>0</v>
      </c>
      <c r="BF710" s="90" t="n">
        <f aca="false">IF(ISNUMBER(H710),AA710,0)</f>
        <v>0</v>
      </c>
      <c r="BG710" s="90" t="n">
        <f aca="false">IF(AND(Y710=0,ISNUMBER(AF710),ISNUMBER(Z710)),AA710*Z710,0)</f>
        <v>0</v>
      </c>
      <c r="BH710" s="90" t="n">
        <f aca="false">IF(AND(Y710=0,ISNUMBER(AF710),ISNUMBER(Z710)),AA710*AT710*MAX(Z710-1,0),0)</f>
        <v>0</v>
      </c>
      <c r="BI710" s="90" t="n">
        <f aca="false">IF(Y710=0,AA710,0)</f>
        <v>0</v>
      </c>
    </row>
    <row r="711" customFormat="false" ht="15" hidden="false" customHeight="false" outlineLevel="0" collapsed="false">
      <c r="A711" s="83" t="str">
        <f aca="false">IFERROR(IF(INDEX(원자료_잔고!$A$1:$EZ$1500,설정!$L$5+ROW()-1,설정!$L$8)&amp;""="0","",INDEX(원자료_잔고!$A$1:$EZ$1500,설정!$L$5+ROW()-1,설정!$L$8)&amp;""),"")</f>
        <v/>
      </c>
      <c r="B711" s="83" t="str">
        <f aca="false">IFERROR(IF(INDEX(원자료_잔고!$A$1:$EZ$1500,설정!$L$5+ROW()-1,설정!$L$7)&amp;""="0","",INDEX(원자료_잔고!$A$1:$EZ$1500,설정!$L$5+ROW()-1,설정!$L$7)&amp;""),"")</f>
        <v/>
      </c>
      <c r="C711" s="83" t="str">
        <f aca="false">IFERROR(IF(INDEX(원자료_잔고!$A$1:$EZ$1500,설정!$L$5+ROW()-1,설정!$L$9)&amp;""="0","",INDEX(원자료_잔고!$A$1:$EZ$1500,설정!$L$5+ROW()-1,설정!$L$9)&amp;""),"")</f>
        <v/>
      </c>
      <c r="D711" s="83" t="str">
        <f aca="false">IFERROR(IF(INDEX(원자료_잔고!$A$1:$EZ$1500,설정!$L$5+ROW()-1,설정!$L$10)&amp;""="0","",INDEX(원자료_잔고!$A$1:$EZ$1500,설정!$L$5+ROW()-1,설정!$L$10)&amp;""),"")</f>
        <v/>
      </c>
      <c r="E711" s="84" t="str">
        <f aca="false">IFERROR(IF(ISNUMBER(INDEX(원자료_잔고!$A$1:$EZ$1500,설정!$L$5+ROW()-1,설정!$L$11)),INDEX(원자료_잔고!$A$1:$EZ$1500,설정!$L$5+ROW()-1,설정!$L$11),""),"")</f>
        <v/>
      </c>
      <c r="F711" s="85" t="str">
        <f aca="false">IFERROR(IF(ISNUMBER(INDEX(원자료_잔고!$A$1:$EZ$1500,설정!$L$5+ROW()-1,설정!$L$12)),INDEX(원자료_잔고!$A$1:$EZ$1500,설정!$L$5+ROW()-1,설정!$L$12),""),"")</f>
        <v/>
      </c>
      <c r="G711" s="85" t="str">
        <f aca="false">IFERROR(IF(ISNUMBER(INDEX(원자료_잔고!$A$1:$EZ$1500,설정!$L$5+ROW()-1,설정!$L$13)),INDEX(원자료_잔고!$A$1:$EZ$1500,설정!$L$5+ROW()-1,설정!$L$13),""),"")</f>
        <v/>
      </c>
      <c r="H711" s="85" t="str">
        <f aca="false">IFERROR(IF(ISNUMBER(INDEX(원자료_잔고!$A$1:$EZ$1500,설정!$L$5+ROW()-1,설정!$L$14)),INDEX(원자료_잔고!$A$1:$EZ$1500,설정!$L$5+ROW()-1,설정!$L$14),""),"")</f>
        <v/>
      </c>
      <c r="I711" s="86" t="str">
        <f aca="false">IFERROR(IF(ISNUMBER(INDEX(원자료_잔고!$A$1:$EZ$1500,설정!$L$5+ROW()-1,설정!$L$15)),INDEX(원자료_잔고!$A$1:$EZ$1500,설정!$L$5+ROW()-1,설정!$L$15),""),"")</f>
        <v/>
      </c>
      <c r="J711" s="85" t="str">
        <f aca="false">IFERROR(IF(ISNUMBER(INDEX(원자료_잔고!$A$1:$EZ$1500,설정!$L$5+ROW()-1,설정!$L$16)),INDEX(원자료_잔고!$A$1:$EZ$1500,설정!$L$5+ROW()-1,설정!$L$16),""),"")</f>
        <v/>
      </c>
      <c r="K711" s="87" t="str">
        <f aca="false">IFERROR(IF(ISNUMBER(INDEX(원자료_잔고!$A$1:$EZ$1500,설정!$L$5+ROW()-1,설정!$L$17)),INDEX(원자료_잔고!$A$1:$EZ$1500,설정!$L$5+ROW()-1,설정!$L$17),""),"")</f>
        <v/>
      </c>
      <c r="L711" s="84" t="str">
        <f aca="false">IFERROR(IF(ISNUMBER(INDEX(원자료_잔고!$A$1:$EZ$1500,설정!$L$5+ROW()-1,설정!$L$18)),INDEX(원자료_잔고!$A$1:$EZ$1500,설정!$L$5+ROW()-1,설정!$L$18),""),"")</f>
        <v/>
      </c>
      <c r="M711" s="88" t="str">
        <f aca="false">IFERROR(IF(ISNUMBER(INDEX(원자료_잔고!$A$1:$EZ$1500,설정!$L$5+ROW()-1,설정!$L$19)),INDEX(원자료_잔고!$A$1:$EZ$1500,설정!$L$5+ROW()-1,설정!$L$19),""),"")</f>
        <v/>
      </c>
      <c r="N711" s="83" t="str">
        <f aca="false">IFERROR(IF(INDEX(원자료_잔고!$A$1:$EZ$1500,설정!$L$5+ROW()-1,설정!$L$21)&amp;""="0","",INDEX(원자료_잔고!$A$1:$EZ$1500,설정!$L$5+ROW()-1,설정!$L$21)&amp;""),"")</f>
        <v/>
      </c>
      <c r="O711" s="83" t="str">
        <f aca="false">IFERROR(IF(INDEX(원자료_잔고!$A$1:$EZ$1500,설정!$L$5+ROW()-1,설정!$L$22)&amp;""="0","",INDEX(원자료_잔고!$A$1:$EZ$1500,설정!$L$5+ROW()-1,설정!$L$22)&amp;""),"")</f>
        <v/>
      </c>
      <c r="P711" s="83" t="str">
        <f aca="false">IFERROR(IF(INDEX(원자료_잔고!$A$1:$EZ$1500,설정!$L$5+ROW()-1,설정!$L$23)&amp;""="0","",INDEX(원자료_잔고!$A$1:$EZ$1500,설정!$L$5+ROW()-1,설정!$L$23)&amp;""),"")</f>
        <v/>
      </c>
      <c r="Q711" s="89" t="n">
        <f aca="false">IF(AND($A711&lt;&gt;"",ISNUMBER(E711)),IF(E711&gt;0,1,0),0)</f>
        <v>0</v>
      </c>
      <c r="R711" s="43" t="str">
        <f aca="false">IF(Q711=1,UPPER(LEFT($A711,FIND(" ",$A711&amp;" ")-1)),"")</f>
        <v/>
      </c>
      <c r="S711" s="89" t="n">
        <f aca="false">IF(Q711=1,IF(OR(ISNUMBER(SEARCH("Float",$A711)),ISNUMBER(SEARCH("FRN",$A711))),1,0),0)</f>
        <v>0</v>
      </c>
      <c r="T711" s="43" t="str">
        <f aca="false">IF(AND(Q711=1,ISNUMBER(I711)),TEXT(I711,"yyyymmdd")&amp;"|"&amp;IF(S711=1,"F",TEXT(J711,"0.000")),"")</f>
        <v/>
      </c>
      <c r="U711" s="90" t="str">
        <f aca="false">IF(AND(Q711=1,ISNUMBER(I711)),(I711-설정!$C$4)/365.25,"")</f>
        <v/>
      </c>
      <c r="V711" s="43" t="str">
        <f aca="false">IF(Q711&lt;&gt;1,"",IF(ISNUMBER(U711),IF(U711&lt;=1,"1년 이하",IF(U711&lt;=2,"1-2년",IF(U711&lt;=3,"2-3년",IF(U711&lt;=4,"3-4년",IF(U711&lt;=5,"4-5년",IF(U711&lt;=7,"5-7년",IF(U711&lt;=10,"7-10년",IF(U711&lt;=20,"10-20년","20년 이상")))))))),"미분류"))</f>
        <v/>
      </c>
      <c r="W711" s="43" t="str">
        <f aca="false">IF(Q711&lt;&gt;1,"",IF(AB711&lt;&gt;"",INDEX(시장분석!$C:$C,AB711),IF(K711=1,"USD","비USD")))</f>
        <v/>
      </c>
      <c r="X711" s="91" t="n">
        <f aca="false">IF(Q711=1,E711*K711/1000000,0)</f>
        <v>0</v>
      </c>
      <c r="Y711" s="89" t="n">
        <f aca="false">IF(R711="T",1,0)</f>
        <v>0</v>
      </c>
      <c r="Z711" s="92" t="str">
        <f aca="false">IF(Q711&lt;&gt;1,"",IF(AD711=1,IF(ISNUMBER(U711),MAX(U711,0),H711),H711))</f>
        <v/>
      </c>
      <c r="AA711" s="91" t="n">
        <f aca="false">IF(Q711=1,IF(ISNUMBER(L711),L711,0)*K711/1000000,0)</f>
        <v>0</v>
      </c>
      <c r="AB711" s="89" t="str">
        <f aca="false">IF(Q711&lt;&gt;1,"",IFERROR(MATCH(VLOOKUP(B711,매핑!$H$4:$I$15,2,0),시장분석!$A$2:$A$601,0)+1,IFERROR(MATCH(R711&amp;"|"&amp;T711,시장분석!$V$2:$V$601,0)+1,IF(COUNTIF(시장분석!$U$2:$U$601,T711)=1,MATCH(T711,시장분석!$U$2:$U$601,0)+1,""))))</f>
        <v/>
      </c>
      <c r="AC711" s="89" t="n">
        <f aca="false">IF(Q711&lt;&gt;1,0,IF(OR(설정!$C$5="전체",AND(설정!$C$5="선택펀드",IFERROR(COUNTIFS(설정!$F$16:$F$36,C711,설정!$G$16:$G$36,"Y")+COUNTIFS(설정!$F$16:$F$36,VALUE(C711),설정!$G$16:$G$36,"Y"),0)&gt;0),C711&amp;""=설정!$C$5&amp;""),1,0))</f>
        <v>0</v>
      </c>
      <c r="AD711" s="89" t="n">
        <f aca="false">IF(Q711&lt;&gt;1,0,IF(OR(S711=1,IF(AB711="",FALSE(),INDEX(시장분석!$R:$R,AB711)=1)),1,0))</f>
        <v>0</v>
      </c>
      <c r="AE711" s="43" t="str">
        <f aca="false">IF(AB711="","",INDEX(시장분석!$A:$A,AB711))</f>
        <v/>
      </c>
      <c r="AF711" s="93" t="str">
        <f aca="false">IF(AB711="","",IF(ISNUMBER(IF(AB711="","",INDEX(시장분석!$E:$E,AB711))),IF(AB711="","",INDEX(시장분석!$E:$E,AB711)),""))</f>
        <v/>
      </c>
      <c r="AG711" s="43" t="str">
        <f aca="false">IF(Q711&lt;&gt;1,"",IF(AB711&lt;&gt;"",IF(AB711="","",INDEX(시장분석!$L:$L,AB711)),IFERROR(IF(VLOOKUP(R711,매핑!$A$4:$E$92,5,0)="","미분류",VLOOKUP(R711,매핑!$A$4:$E$92,5,0)),"미분류")))</f>
        <v/>
      </c>
      <c r="AH711" s="43" t="str">
        <f aca="false">IF(Q711&lt;&gt;1,"",IF(AB711&lt;&gt;"",IF(AB711="","",INDEX(시장분석!$N:$N,AB711)),IFERROR(IF(VLOOKUP(R711,매핑!$A$4:$E$92,4,0)="","미분류",VLOOKUP(R711,매핑!$A$4:$E$92,4,0)),"미분류")))</f>
        <v/>
      </c>
      <c r="AI711" s="43" t="str">
        <f aca="false">IF(Q711&lt;&gt;1,"",IFERROR(IF(VLOOKUP(R711,매핑!$A$4:$E$92,3,0)="","미분류",VLOOKUP(R711,매핑!$A$4:$E$92,3,0)),IF(AB711&lt;&gt;"",IF(AB711="","",INDEX(시장분석!$W:$W,AB711)),"미분류")))</f>
        <v/>
      </c>
      <c r="AJ711" s="43" t="str">
        <f aca="false">IF(Q711&lt;&gt;1,"",IFERROR(VLOOKUP(IF(N711&lt;&gt;"",N711,IF(P711&lt;&gt;"",P711,O711)),설정!$A$15:$D$47,2,0),""))</f>
        <v/>
      </c>
      <c r="AK711" s="43" t="str">
        <f aca="false">IF(Q711&lt;&gt;1,"",IF(AJ711="","무등급",IFERROR(VLOOKUP(AJ711,설정!$A$15:$D$47,3,0),"무등급")))</f>
        <v/>
      </c>
      <c r="AL711" s="89" t="n">
        <f aca="false">IF(AJ711="",99,IFERROR(VLOOKUP(AJ711,설정!$A$15:$D$47,4,0),99))</f>
        <v>99</v>
      </c>
      <c r="AM711" s="94" t="n">
        <f aca="false">IF(ISNUMBER(H711),AA711*1000000*H711/10000,0)</f>
        <v>0</v>
      </c>
      <c r="AN711" s="94" t="n">
        <f aca="false">IF(OR(Y711=1,NOT(ISNUMBER(Z711))),0,AA711*1000000*Z711/10000)</f>
        <v>0</v>
      </c>
      <c r="AO711" s="94" t="n">
        <f aca="false">IF(ISNUMBER(G711),AA711*1000000*G711/100,0)</f>
        <v>0</v>
      </c>
      <c r="AP711" s="94" t="n">
        <f aca="false">IF(ISNUMBER(M711),M711*K711,0)</f>
        <v>0</v>
      </c>
      <c r="AQ711" s="95" t="str">
        <f aca="false">IF(AB711="","",INDEX(시장분석!$AK:$AK,AB711))</f>
        <v/>
      </c>
      <c r="AR711" s="43" t="str">
        <f aca="false">IF(AB711="","-",IF(AB711="","",INDEX(시장분석!$AL:$AL,AB711)))</f>
        <v>-</v>
      </c>
      <c r="AS711" s="96" t="str">
        <f aca="false">IF(AB711="","",INDEX(시장분석!$AJ:$AJ,AB711))</f>
        <v/>
      </c>
      <c r="AT711" s="93" t="n">
        <f aca="false">IF(AB711="",0,IF(AB711="","",INDEX(시장분석!$AN:$AN,AB711)))</f>
        <v>0</v>
      </c>
      <c r="AU711" s="94" t="n">
        <f aca="false">IF(ISNUMBER(Z711),AT711/10000*MAX(Z711-1,0)*AA711*1000000,0)</f>
        <v>0</v>
      </c>
      <c r="AV711" s="94" t="n">
        <f aca="false">AO711+AU711</f>
        <v>0</v>
      </c>
      <c r="AW711" s="43" t="str">
        <f aca="false">IF(Q711&lt;&gt;1,"",TRIM(IF(AD711=1,"FRN ","")&amp;IF(AND(AL711&gt;=10,AL711&lt;99),"BBB0미만 ","")&amp;IF(AJ711="","등급없음 ","")&amp;IF(K711&lt;&gt;1,"비USD ","")&amp;IF(AND(AB711="",Y711=0),"시장데이터없음 ","")&amp;IF(AND(ISNUMBER(U711),U711&lt;0),"만기경과 ","")))</f>
        <v/>
      </c>
      <c r="AX711" s="90" t="n">
        <f aca="false">IF(Q711&lt;&gt;1,1,IF(스프레드쇼크!$C$4="Y",INDEX(스프레드쇼크!$B$12:$L$16,IFERROR(MATCH(AH711,스프레드쇼크!$A$12:$A$16,0),MATCH("목록외",스프레드쇼크!$A$12:$A$16,0)),IFERROR(MATCH(AG711,스프레드쇼크!$B$11:$L$11,0),MATCH("목록외",스프레드쇼크!$B$11:$L$11,0))),1))</f>
        <v>1</v>
      </c>
      <c r="AY711" s="90" t="n">
        <f aca="false">IF(스프레드쇼크!$C$5="Y",IF(ISNUMBER(AF711),MIN(스프레드쇼크!$C$7,MAX(스프레드쇼크!$C$6,AF711/스프레드쇼크!$C$8)),1),1)</f>
        <v>1</v>
      </c>
      <c r="AZ711" s="94" t="n">
        <f aca="false">AN711*AX711*AY711</f>
        <v>0</v>
      </c>
      <c r="BA711" s="90" t="n">
        <f aca="false">IF(ISNUMBER(G711),AA711*G711,0)</f>
        <v>0</v>
      </c>
      <c r="BB711" s="90" t="n">
        <f aca="false">IF(ISNUMBER(G711),AA711,0)</f>
        <v>0</v>
      </c>
      <c r="BC711" s="90" t="n">
        <f aca="false">IF(AND(Y711=0,ISNUMBER(AF711)),AA711*AF711,0)</f>
        <v>0</v>
      </c>
      <c r="BD711" s="90" t="n">
        <f aca="false">IF(AND(Y711=0,ISNUMBER(AF711)),AA711,0)</f>
        <v>0</v>
      </c>
      <c r="BE711" s="90" t="n">
        <f aca="false">IF(ISNUMBER(H711),AA711*H711,0)</f>
        <v>0</v>
      </c>
      <c r="BF711" s="90" t="n">
        <f aca="false">IF(ISNUMBER(H711),AA711,0)</f>
        <v>0</v>
      </c>
      <c r="BG711" s="90" t="n">
        <f aca="false">IF(AND(Y711=0,ISNUMBER(AF711),ISNUMBER(Z711)),AA711*Z711,0)</f>
        <v>0</v>
      </c>
      <c r="BH711" s="90" t="n">
        <f aca="false">IF(AND(Y711=0,ISNUMBER(AF711),ISNUMBER(Z711)),AA711*AT711*MAX(Z711-1,0),0)</f>
        <v>0</v>
      </c>
      <c r="BI711" s="90" t="n">
        <f aca="false">IF(Y711=0,AA711,0)</f>
        <v>0</v>
      </c>
    </row>
    <row r="712" customFormat="false" ht="15" hidden="false" customHeight="false" outlineLevel="0" collapsed="false">
      <c r="A712" s="83" t="str">
        <f aca="false">IFERROR(IF(INDEX(원자료_잔고!$A$1:$EZ$1500,설정!$L$5+ROW()-1,설정!$L$8)&amp;""="0","",INDEX(원자료_잔고!$A$1:$EZ$1500,설정!$L$5+ROW()-1,설정!$L$8)&amp;""),"")</f>
        <v/>
      </c>
      <c r="B712" s="83" t="str">
        <f aca="false">IFERROR(IF(INDEX(원자료_잔고!$A$1:$EZ$1500,설정!$L$5+ROW()-1,설정!$L$7)&amp;""="0","",INDEX(원자료_잔고!$A$1:$EZ$1500,설정!$L$5+ROW()-1,설정!$L$7)&amp;""),"")</f>
        <v/>
      </c>
      <c r="C712" s="83" t="str">
        <f aca="false">IFERROR(IF(INDEX(원자료_잔고!$A$1:$EZ$1500,설정!$L$5+ROW()-1,설정!$L$9)&amp;""="0","",INDEX(원자료_잔고!$A$1:$EZ$1500,설정!$L$5+ROW()-1,설정!$L$9)&amp;""),"")</f>
        <v/>
      </c>
      <c r="D712" s="83" t="str">
        <f aca="false">IFERROR(IF(INDEX(원자료_잔고!$A$1:$EZ$1500,설정!$L$5+ROW()-1,설정!$L$10)&amp;""="0","",INDEX(원자료_잔고!$A$1:$EZ$1500,설정!$L$5+ROW()-1,설정!$L$10)&amp;""),"")</f>
        <v/>
      </c>
      <c r="E712" s="84" t="str">
        <f aca="false">IFERROR(IF(ISNUMBER(INDEX(원자료_잔고!$A$1:$EZ$1500,설정!$L$5+ROW()-1,설정!$L$11)),INDEX(원자료_잔고!$A$1:$EZ$1500,설정!$L$5+ROW()-1,설정!$L$11),""),"")</f>
        <v/>
      </c>
      <c r="F712" s="85" t="str">
        <f aca="false">IFERROR(IF(ISNUMBER(INDEX(원자료_잔고!$A$1:$EZ$1500,설정!$L$5+ROW()-1,설정!$L$12)),INDEX(원자료_잔고!$A$1:$EZ$1500,설정!$L$5+ROW()-1,설정!$L$12),""),"")</f>
        <v/>
      </c>
      <c r="G712" s="85" t="str">
        <f aca="false">IFERROR(IF(ISNUMBER(INDEX(원자료_잔고!$A$1:$EZ$1500,설정!$L$5+ROW()-1,설정!$L$13)),INDEX(원자료_잔고!$A$1:$EZ$1500,설정!$L$5+ROW()-1,설정!$L$13),""),"")</f>
        <v/>
      </c>
      <c r="H712" s="85" t="str">
        <f aca="false">IFERROR(IF(ISNUMBER(INDEX(원자료_잔고!$A$1:$EZ$1500,설정!$L$5+ROW()-1,설정!$L$14)),INDEX(원자료_잔고!$A$1:$EZ$1500,설정!$L$5+ROW()-1,설정!$L$14),""),"")</f>
        <v/>
      </c>
      <c r="I712" s="86" t="str">
        <f aca="false">IFERROR(IF(ISNUMBER(INDEX(원자료_잔고!$A$1:$EZ$1500,설정!$L$5+ROW()-1,설정!$L$15)),INDEX(원자료_잔고!$A$1:$EZ$1500,설정!$L$5+ROW()-1,설정!$L$15),""),"")</f>
        <v/>
      </c>
      <c r="J712" s="85" t="str">
        <f aca="false">IFERROR(IF(ISNUMBER(INDEX(원자료_잔고!$A$1:$EZ$1500,설정!$L$5+ROW()-1,설정!$L$16)),INDEX(원자료_잔고!$A$1:$EZ$1500,설정!$L$5+ROW()-1,설정!$L$16),""),"")</f>
        <v/>
      </c>
      <c r="K712" s="87" t="str">
        <f aca="false">IFERROR(IF(ISNUMBER(INDEX(원자료_잔고!$A$1:$EZ$1500,설정!$L$5+ROW()-1,설정!$L$17)),INDEX(원자료_잔고!$A$1:$EZ$1500,설정!$L$5+ROW()-1,설정!$L$17),""),"")</f>
        <v/>
      </c>
      <c r="L712" s="84" t="str">
        <f aca="false">IFERROR(IF(ISNUMBER(INDEX(원자료_잔고!$A$1:$EZ$1500,설정!$L$5+ROW()-1,설정!$L$18)),INDEX(원자료_잔고!$A$1:$EZ$1500,설정!$L$5+ROW()-1,설정!$L$18),""),"")</f>
        <v/>
      </c>
      <c r="M712" s="88" t="str">
        <f aca="false">IFERROR(IF(ISNUMBER(INDEX(원자료_잔고!$A$1:$EZ$1500,설정!$L$5+ROW()-1,설정!$L$19)),INDEX(원자료_잔고!$A$1:$EZ$1500,설정!$L$5+ROW()-1,설정!$L$19),""),"")</f>
        <v/>
      </c>
      <c r="N712" s="83" t="str">
        <f aca="false">IFERROR(IF(INDEX(원자료_잔고!$A$1:$EZ$1500,설정!$L$5+ROW()-1,설정!$L$21)&amp;""="0","",INDEX(원자료_잔고!$A$1:$EZ$1500,설정!$L$5+ROW()-1,설정!$L$21)&amp;""),"")</f>
        <v/>
      </c>
      <c r="O712" s="83" t="str">
        <f aca="false">IFERROR(IF(INDEX(원자료_잔고!$A$1:$EZ$1500,설정!$L$5+ROW()-1,설정!$L$22)&amp;""="0","",INDEX(원자료_잔고!$A$1:$EZ$1500,설정!$L$5+ROW()-1,설정!$L$22)&amp;""),"")</f>
        <v/>
      </c>
      <c r="P712" s="83" t="str">
        <f aca="false">IFERROR(IF(INDEX(원자료_잔고!$A$1:$EZ$1500,설정!$L$5+ROW()-1,설정!$L$23)&amp;""="0","",INDEX(원자료_잔고!$A$1:$EZ$1500,설정!$L$5+ROW()-1,설정!$L$23)&amp;""),"")</f>
        <v/>
      </c>
      <c r="Q712" s="89" t="n">
        <f aca="false">IF(AND($A712&lt;&gt;"",ISNUMBER(E712)),IF(E712&gt;0,1,0),0)</f>
        <v>0</v>
      </c>
      <c r="R712" s="43" t="str">
        <f aca="false">IF(Q712=1,UPPER(LEFT($A712,FIND(" ",$A712&amp;" ")-1)),"")</f>
        <v/>
      </c>
      <c r="S712" s="89" t="n">
        <f aca="false">IF(Q712=1,IF(OR(ISNUMBER(SEARCH("Float",$A712)),ISNUMBER(SEARCH("FRN",$A712))),1,0),0)</f>
        <v>0</v>
      </c>
      <c r="T712" s="43" t="str">
        <f aca="false">IF(AND(Q712=1,ISNUMBER(I712)),TEXT(I712,"yyyymmdd")&amp;"|"&amp;IF(S712=1,"F",TEXT(J712,"0.000")),"")</f>
        <v/>
      </c>
      <c r="U712" s="90" t="str">
        <f aca="false">IF(AND(Q712=1,ISNUMBER(I712)),(I712-설정!$C$4)/365.25,"")</f>
        <v/>
      </c>
      <c r="V712" s="43" t="str">
        <f aca="false">IF(Q712&lt;&gt;1,"",IF(ISNUMBER(U712),IF(U712&lt;=1,"1년 이하",IF(U712&lt;=2,"1-2년",IF(U712&lt;=3,"2-3년",IF(U712&lt;=4,"3-4년",IF(U712&lt;=5,"4-5년",IF(U712&lt;=7,"5-7년",IF(U712&lt;=10,"7-10년",IF(U712&lt;=20,"10-20년","20년 이상")))))))),"미분류"))</f>
        <v/>
      </c>
      <c r="W712" s="43" t="str">
        <f aca="false">IF(Q712&lt;&gt;1,"",IF(AB712&lt;&gt;"",INDEX(시장분석!$C:$C,AB712),IF(K712=1,"USD","비USD")))</f>
        <v/>
      </c>
      <c r="X712" s="91" t="n">
        <f aca="false">IF(Q712=1,E712*K712/1000000,0)</f>
        <v>0</v>
      </c>
      <c r="Y712" s="89" t="n">
        <f aca="false">IF(R712="T",1,0)</f>
        <v>0</v>
      </c>
      <c r="Z712" s="92" t="str">
        <f aca="false">IF(Q712&lt;&gt;1,"",IF(AD712=1,IF(ISNUMBER(U712),MAX(U712,0),H712),H712))</f>
        <v/>
      </c>
      <c r="AA712" s="91" t="n">
        <f aca="false">IF(Q712=1,IF(ISNUMBER(L712),L712,0)*K712/1000000,0)</f>
        <v>0</v>
      </c>
      <c r="AB712" s="89" t="str">
        <f aca="false">IF(Q712&lt;&gt;1,"",IFERROR(MATCH(VLOOKUP(B712,매핑!$H$4:$I$15,2,0),시장분석!$A$2:$A$601,0)+1,IFERROR(MATCH(R712&amp;"|"&amp;T712,시장분석!$V$2:$V$601,0)+1,IF(COUNTIF(시장분석!$U$2:$U$601,T712)=1,MATCH(T712,시장분석!$U$2:$U$601,0)+1,""))))</f>
        <v/>
      </c>
      <c r="AC712" s="89" t="n">
        <f aca="false">IF(Q712&lt;&gt;1,0,IF(OR(설정!$C$5="전체",AND(설정!$C$5="선택펀드",IFERROR(COUNTIFS(설정!$F$16:$F$36,C712,설정!$G$16:$G$36,"Y")+COUNTIFS(설정!$F$16:$F$36,VALUE(C712),설정!$G$16:$G$36,"Y"),0)&gt;0),C712&amp;""=설정!$C$5&amp;""),1,0))</f>
        <v>0</v>
      </c>
      <c r="AD712" s="89" t="n">
        <f aca="false">IF(Q712&lt;&gt;1,0,IF(OR(S712=1,IF(AB712="",FALSE(),INDEX(시장분석!$R:$R,AB712)=1)),1,0))</f>
        <v>0</v>
      </c>
      <c r="AE712" s="43" t="str">
        <f aca="false">IF(AB712="","",INDEX(시장분석!$A:$A,AB712))</f>
        <v/>
      </c>
      <c r="AF712" s="93" t="str">
        <f aca="false">IF(AB712="","",IF(ISNUMBER(IF(AB712="","",INDEX(시장분석!$E:$E,AB712))),IF(AB712="","",INDEX(시장분석!$E:$E,AB712)),""))</f>
        <v/>
      </c>
      <c r="AG712" s="43" t="str">
        <f aca="false">IF(Q712&lt;&gt;1,"",IF(AB712&lt;&gt;"",IF(AB712="","",INDEX(시장분석!$L:$L,AB712)),IFERROR(IF(VLOOKUP(R712,매핑!$A$4:$E$92,5,0)="","미분류",VLOOKUP(R712,매핑!$A$4:$E$92,5,0)),"미분류")))</f>
        <v/>
      </c>
      <c r="AH712" s="43" t="str">
        <f aca="false">IF(Q712&lt;&gt;1,"",IF(AB712&lt;&gt;"",IF(AB712="","",INDEX(시장분석!$N:$N,AB712)),IFERROR(IF(VLOOKUP(R712,매핑!$A$4:$E$92,4,0)="","미분류",VLOOKUP(R712,매핑!$A$4:$E$92,4,0)),"미분류")))</f>
        <v/>
      </c>
      <c r="AI712" s="43" t="str">
        <f aca="false">IF(Q712&lt;&gt;1,"",IFERROR(IF(VLOOKUP(R712,매핑!$A$4:$E$92,3,0)="","미분류",VLOOKUP(R712,매핑!$A$4:$E$92,3,0)),IF(AB712&lt;&gt;"",IF(AB712="","",INDEX(시장분석!$W:$W,AB712)),"미분류")))</f>
        <v/>
      </c>
      <c r="AJ712" s="43" t="str">
        <f aca="false">IF(Q712&lt;&gt;1,"",IFERROR(VLOOKUP(IF(N712&lt;&gt;"",N712,IF(P712&lt;&gt;"",P712,O712)),설정!$A$15:$D$47,2,0),""))</f>
        <v/>
      </c>
      <c r="AK712" s="43" t="str">
        <f aca="false">IF(Q712&lt;&gt;1,"",IF(AJ712="","무등급",IFERROR(VLOOKUP(AJ712,설정!$A$15:$D$47,3,0),"무등급")))</f>
        <v/>
      </c>
      <c r="AL712" s="89" t="n">
        <f aca="false">IF(AJ712="",99,IFERROR(VLOOKUP(AJ712,설정!$A$15:$D$47,4,0),99))</f>
        <v>99</v>
      </c>
      <c r="AM712" s="94" t="n">
        <f aca="false">IF(ISNUMBER(H712),AA712*1000000*H712/10000,0)</f>
        <v>0</v>
      </c>
      <c r="AN712" s="94" t="n">
        <f aca="false">IF(OR(Y712=1,NOT(ISNUMBER(Z712))),0,AA712*1000000*Z712/10000)</f>
        <v>0</v>
      </c>
      <c r="AO712" s="94" t="n">
        <f aca="false">IF(ISNUMBER(G712),AA712*1000000*G712/100,0)</f>
        <v>0</v>
      </c>
      <c r="AP712" s="94" t="n">
        <f aca="false">IF(ISNUMBER(M712),M712*K712,0)</f>
        <v>0</v>
      </c>
      <c r="AQ712" s="95" t="str">
        <f aca="false">IF(AB712="","",INDEX(시장분석!$AK:$AK,AB712))</f>
        <v/>
      </c>
      <c r="AR712" s="43" t="str">
        <f aca="false">IF(AB712="","-",IF(AB712="","",INDEX(시장분석!$AL:$AL,AB712)))</f>
        <v>-</v>
      </c>
      <c r="AS712" s="96" t="str">
        <f aca="false">IF(AB712="","",INDEX(시장분석!$AJ:$AJ,AB712))</f>
        <v/>
      </c>
      <c r="AT712" s="93" t="n">
        <f aca="false">IF(AB712="",0,IF(AB712="","",INDEX(시장분석!$AN:$AN,AB712)))</f>
        <v>0</v>
      </c>
      <c r="AU712" s="94" t="n">
        <f aca="false">IF(ISNUMBER(Z712),AT712/10000*MAX(Z712-1,0)*AA712*1000000,0)</f>
        <v>0</v>
      </c>
      <c r="AV712" s="94" t="n">
        <f aca="false">AO712+AU712</f>
        <v>0</v>
      </c>
      <c r="AW712" s="43" t="str">
        <f aca="false">IF(Q712&lt;&gt;1,"",TRIM(IF(AD712=1,"FRN ","")&amp;IF(AND(AL712&gt;=10,AL712&lt;99),"BBB0미만 ","")&amp;IF(AJ712="","등급없음 ","")&amp;IF(K712&lt;&gt;1,"비USD ","")&amp;IF(AND(AB712="",Y712=0),"시장데이터없음 ","")&amp;IF(AND(ISNUMBER(U712),U712&lt;0),"만기경과 ","")))</f>
        <v/>
      </c>
      <c r="AX712" s="90" t="n">
        <f aca="false">IF(Q712&lt;&gt;1,1,IF(스프레드쇼크!$C$4="Y",INDEX(스프레드쇼크!$B$12:$L$16,IFERROR(MATCH(AH712,스프레드쇼크!$A$12:$A$16,0),MATCH("목록외",스프레드쇼크!$A$12:$A$16,0)),IFERROR(MATCH(AG712,스프레드쇼크!$B$11:$L$11,0),MATCH("목록외",스프레드쇼크!$B$11:$L$11,0))),1))</f>
        <v>1</v>
      </c>
      <c r="AY712" s="90" t="n">
        <f aca="false">IF(스프레드쇼크!$C$5="Y",IF(ISNUMBER(AF712),MIN(스프레드쇼크!$C$7,MAX(스프레드쇼크!$C$6,AF712/스프레드쇼크!$C$8)),1),1)</f>
        <v>1</v>
      </c>
      <c r="AZ712" s="94" t="n">
        <f aca="false">AN712*AX712*AY712</f>
        <v>0</v>
      </c>
      <c r="BA712" s="90" t="n">
        <f aca="false">IF(ISNUMBER(G712),AA712*G712,0)</f>
        <v>0</v>
      </c>
      <c r="BB712" s="90" t="n">
        <f aca="false">IF(ISNUMBER(G712),AA712,0)</f>
        <v>0</v>
      </c>
      <c r="BC712" s="90" t="n">
        <f aca="false">IF(AND(Y712=0,ISNUMBER(AF712)),AA712*AF712,0)</f>
        <v>0</v>
      </c>
      <c r="BD712" s="90" t="n">
        <f aca="false">IF(AND(Y712=0,ISNUMBER(AF712)),AA712,0)</f>
        <v>0</v>
      </c>
      <c r="BE712" s="90" t="n">
        <f aca="false">IF(ISNUMBER(H712),AA712*H712,0)</f>
        <v>0</v>
      </c>
      <c r="BF712" s="90" t="n">
        <f aca="false">IF(ISNUMBER(H712),AA712,0)</f>
        <v>0</v>
      </c>
      <c r="BG712" s="90" t="n">
        <f aca="false">IF(AND(Y712=0,ISNUMBER(AF712),ISNUMBER(Z712)),AA712*Z712,0)</f>
        <v>0</v>
      </c>
      <c r="BH712" s="90" t="n">
        <f aca="false">IF(AND(Y712=0,ISNUMBER(AF712),ISNUMBER(Z712)),AA712*AT712*MAX(Z712-1,0),0)</f>
        <v>0</v>
      </c>
      <c r="BI712" s="90" t="n">
        <f aca="false">IF(Y712=0,AA712,0)</f>
        <v>0</v>
      </c>
    </row>
    <row r="713" customFormat="false" ht="15" hidden="false" customHeight="false" outlineLevel="0" collapsed="false">
      <c r="A713" s="83" t="str">
        <f aca="false">IFERROR(IF(INDEX(원자료_잔고!$A$1:$EZ$1500,설정!$L$5+ROW()-1,설정!$L$8)&amp;""="0","",INDEX(원자료_잔고!$A$1:$EZ$1500,설정!$L$5+ROW()-1,설정!$L$8)&amp;""),"")</f>
        <v/>
      </c>
      <c r="B713" s="83" t="str">
        <f aca="false">IFERROR(IF(INDEX(원자료_잔고!$A$1:$EZ$1500,설정!$L$5+ROW()-1,설정!$L$7)&amp;""="0","",INDEX(원자료_잔고!$A$1:$EZ$1500,설정!$L$5+ROW()-1,설정!$L$7)&amp;""),"")</f>
        <v/>
      </c>
      <c r="C713" s="83" t="str">
        <f aca="false">IFERROR(IF(INDEX(원자료_잔고!$A$1:$EZ$1500,설정!$L$5+ROW()-1,설정!$L$9)&amp;""="0","",INDEX(원자료_잔고!$A$1:$EZ$1500,설정!$L$5+ROW()-1,설정!$L$9)&amp;""),"")</f>
        <v/>
      </c>
      <c r="D713" s="83" t="str">
        <f aca="false">IFERROR(IF(INDEX(원자료_잔고!$A$1:$EZ$1500,설정!$L$5+ROW()-1,설정!$L$10)&amp;""="0","",INDEX(원자료_잔고!$A$1:$EZ$1500,설정!$L$5+ROW()-1,설정!$L$10)&amp;""),"")</f>
        <v/>
      </c>
      <c r="E713" s="84" t="str">
        <f aca="false">IFERROR(IF(ISNUMBER(INDEX(원자료_잔고!$A$1:$EZ$1500,설정!$L$5+ROW()-1,설정!$L$11)),INDEX(원자료_잔고!$A$1:$EZ$1500,설정!$L$5+ROW()-1,설정!$L$11),""),"")</f>
        <v/>
      </c>
      <c r="F713" s="85" t="str">
        <f aca="false">IFERROR(IF(ISNUMBER(INDEX(원자료_잔고!$A$1:$EZ$1500,설정!$L$5+ROW()-1,설정!$L$12)),INDEX(원자료_잔고!$A$1:$EZ$1500,설정!$L$5+ROW()-1,설정!$L$12),""),"")</f>
        <v/>
      </c>
      <c r="G713" s="85" t="str">
        <f aca="false">IFERROR(IF(ISNUMBER(INDEX(원자료_잔고!$A$1:$EZ$1500,설정!$L$5+ROW()-1,설정!$L$13)),INDEX(원자료_잔고!$A$1:$EZ$1500,설정!$L$5+ROW()-1,설정!$L$13),""),"")</f>
        <v/>
      </c>
      <c r="H713" s="85" t="str">
        <f aca="false">IFERROR(IF(ISNUMBER(INDEX(원자료_잔고!$A$1:$EZ$1500,설정!$L$5+ROW()-1,설정!$L$14)),INDEX(원자료_잔고!$A$1:$EZ$1500,설정!$L$5+ROW()-1,설정!$L$14),""),"")</f>
        <v/>
      </c>
      <c r="I713" s="86" t="str">
        <f aca="false">IFERROR(IF(ISNUMBER(INDEX(원자료_잔고!$A$1:$EZ$1500,설정!$L$5+ROW()-1,설정!$L$15)),INDEX(원자료_잔고!$A$1:$EZ$1500,설정!$L$5+ROW()-1,설정!$L$15),""),"")</f>
        <v/>
      </c>
      <c r="J713" s="85" t="str">
        <f aca="false">IFERROR(IF(ISNUMBER(INDEX(원자료_잔고!$A$1:$EZ$1500,설정!$L$5+ROW()-1,설정!$L$16)),INDEX(원자료_잔고!$A$1:$EZ$1500,설정!$L$5+ROW()-1,설정!$L$16),""),"")</f>
        <v/>
      </c>
      <c r="K713" s="87" t="str">
        <f aca="false">IFERROR(IF(ISNUMBER(INDEX(원자료_잔고!$A$1:$EZ$1500,설정!$L$5+ROW()-1,설정!$L$17)),INDEX(원자료_잔고!$A$1:$EZ$1500,설정!$L$5+ROW()-1,설정!$L$17),""),"")</f>
        <v/>
      </c>
      <c r="L713" s="84" t="str">
        <f aca="false">IFERROR(IF(ISNUMBER(INDEX(원자료_잔고!$A$1:$EZ$1500,설정!$L$5+ROW()-1,설정!$L$18)),INDEX(원자료_잔고!$A$1:$EZ$1500,설정!$L$5+ROW()-1,설정!$L$18),""),"")</f>
        <v/>
      </c>
      <c r="M713" s="88" t="str">
        <f aca="false">IFERROR(IF(ISNUMBER(INDEX(원자료_잔고!$A$1:$EZ$1500,설정!$L$5+ROW()-1,설정!$L$19)),INDEX(원자료_잔고!$A$1:$EZ$1500,설정!$L$5+ROW()-1,설정!$L$19),""),"")</f>
        <v/>
      </c>
      <c r="N713" s="83" t="str">
        <f aca="false">IFERROR(IF(INDEX(원자료_잔고!$A$1:$EZ$1500,설정!$L$5+ROW()-1,설정!$L$21)&amp;""="0","",INDEX(원자료_잔고!$A$1:$EZ$1500,설정!$L$5+ROW()-1,설정!$L$21)&amp;""),"")</f>
        <v/>
      </c>
      <c r="O713" s="83" t="str">
        <f aca="false">IFERROR(IF(INDEX(원자료_잔고!$A$1:$EZ$1500,설정!$L$5+ROW()-1,설정!$L$22)&amp;""="0","",INDEX(원자료_잔고!$A$1:$EZ$1500,설정!$L$5+ROW()-1,설정!$L$22)&amp;""),"")</f>
        <v/>
      </c>
      <c r="P713" s="83" t="str">
        <f aca="false">IFERROR(IF(INDEX(원자료_잔고!$A$1:$EZ$1500,설정!$L$5+ROW()-1,설정!$L$23)&amp;""="0","",INDEX(원자료_잔고!$A$1:$EZ$1500,설정!$L$5+ROW()-1,설정!$L$23)&amp;""),"")</f>
        <v/>
      </c>
      <c r="Q713" s="89" t="n">
        <f aca="false">IF(AND($A713&lt;&gt;"",ISNUMBER(E713)),IF(E713&gt;0,1,0),0)</f>
        <v>0</v>
      </c>
      <c r="R713" s="43" t="str">
        <f aca="false">IF(Q713=1,UPPER(LEFT($A713,FIND(" ",$A713&amp;" ")-1)),"")</f>
        <v/>
      </c>
      <c r="S713" s="89" t="n">
        <f aca="false">IF(Q713=1,IF(OR(ISNUMBER(SEARCH("Float",$A713)),ISNUMBER(SEARCH("FRN",$A713))),1,0),0)</f>
        <v>0</v>
      </c>
      <c r="T713" s="43" t="str">
        <f aca="false">IF(AND(Q713=1,ISNUMBER(I713)),TEXT(I713,"yyyymmdd")&amp;"|"&amp;IF(S713=1,"F",TEXT(J713,"0.000")),"")</f>
        <v/>
      </c>
      <c r="U713" s="90" t="str">
        <f aca="false">IF(AND(Q713=1,ISNUMBER(I713)),(I713-설정!$C$4)/365.25,"")</f>
        <v/>
      </c>
      <c r="V713" s="43" t="str">
        <f aca="false">IF(Q713&lt;&gt;1,"",IF(ISNUMBER(U713),IF(U713&lt;=1,"1년 이하",IF(U713&lt;=2,"1-2년",IF(U713&lt;=3,"2-3년",IF(U713&lt;=4,"3-4년",IF(U713&lt;=5,"4-5년",IF(U713&lt;=7,"5-7년",IF(U713&lt;=10,"7-10년",IF(U713&lt;=20,"10-20년","20년 이상")))))))),"미분류"))</f>
        <v/>
      </c>
      <c r="W713" s="43" t="str">
        <f aca="false">IF(Q713&lt;&gt;1,"",IF(AB713&lt;&gt;"",INDEX(시장분석!$C:$C,AB713),IF(K713=1,"USD","비USD")))</f>
        <v/>
      </c>
      <c r="X713" s="91" t="n">
        <f aca="false">IF(Q713=1,E713*K713/1000000,0)</f>
        <v>0</v>
      </c>
      <c r="Y713" s="89" t="n">
        <f aca="false">IF(R713="T",1,0)</f>
        <v>0</v>
      </c>
      <c r="Z713" s="92" t="str">
        <f aca="false">IF(Q713&lt;&gt;1,"",IF(AD713=1,IF(ISNUMBER(U713),MAX(U713,0),H713),H713))</f>
        <v/>
      </c>
      <c r="AA713" s="91" t="n">
        <f aca="false">IF(Q713=1,IF(ISNUMBER(L713),L713,0)*K713/1000000,0)</f>
        <v>0</v>
      </c>
      <c r="AB713" s="89" t="str">
        <f aca="false">IF(Q713&lt;&gt;1,"",IFERROR(MATCH(VLOOKUP(B713,매핑!$H$4:$I$15,2,0),시장분석!$A$2:$A$601,0)+1,IFERROR(MATCH(R713&amp;"|"&amp;T713,시장분석!$V$2:$V$601,0)+1,IF(COUNTIF(시장분석!$U$2:$U$601,T713)=1,MATCH(T713,시장분석!$U$2:$U$601,0)+1,""))))</f>
        <v/>
      </c>
      <c r="AC713" s="89" t="n">
        <f aca="false">IF(Q713&lt;&gt;1,0,IF(OR(설정!$C$5="전체",AND(설정!$C$5="선택펀드",IFERROR(COUNTIFS(설정!$F$16:$F$36,C713,설정!$G$16:$G$36,"Y")+COUNTIFS(설정!$F$16:$F$36,VALUE(C713),설정!$G$16:$G$36,"Y"),0)&gt;0),C713&amp;""=설정!$C$5&amp;""),1,0))</f>
        <v>0</v>
      </c>
      <c r="AD713" s="89" t="n">
        <f aca="false">IF(Q713&lt;&gt;1,0,IF(OR(S713=1,IF(AB713="",FALSE(),INDEX(시장분석!$R:$R,AB713)=1)),1,0))</f>
        <v>0</v>
      </c>
      <c r="AE713" s="43" t="str">
        <f aca="false">IF(AB713="","",INDEX(시장분석!$A:$A,AB713))</f>
        <v/>
      </c>
      <c r="AF713" s="93" t="str">
        <f aca="false">IF(AB713="","",IF(ISNUMBER(IF(AB713="","",INDEX(시장분석!$E:$E,AB713))),IF(AB713="","",INDEX(시장분석!$E:$E,AB713)),""))</f>
        <v/>
      </c>
      <c r="AG713" s="43" t="str">
        <f aca="false">IF(Q713&lt;&gt;1,"",IF(AB713&lt;&gt;"",IF(AB713="","",INDEX(시장분석!$L:$L,AB713)),IFERROR(IF(VLOOKUP(R713,매핑!$A$4:$E$92,5,0)="","미분류",VLOOKUP(R713,매핑!$A$4:$E$92,5,0)),"미분류")))</f>
        <v/>
      </c>
      <c r="AH713" s="43" t="str">
        <f aca="false">IF(Q713&lt;&gt;1,"",IF(AB713&lt;&gt;"",IF(AB713="","",INDEX(시장분석!$N:$N,AB713)),IFERROR(IF(VLOOKUP(R713,매핑!$A$4:$E$92,4,0)="","미분류",VLOOKUP(R713,매핑!$A$4:$E$92,4,0)),"미분류")))</f>
        <v/>
      </c>
      <c r="AI713" s="43" t="str">
        <f aca="false">IF(Q713&lt;&gt;1,"",IFERROR(IF(VLOOKUP(R713,매핑!$A$4:$E$92,3,0)="","미분류",VLOOKUP(R713,매핑!$A$4:$E$92,3,0)),IF(AB713&lt;&gt;"",IF(AB713="","",INDEX(시장분석!$W:$W,AB713)),"미분류")))</f>
        <v/>
      </c>
      <c r="AJ713" s="43" t="str">
        <f aca="false">IF(Q713&lt;&gt;1,"",IFERROR(VLOOKUP(IF(N713&lt;&gt;"",N713,IF(P713&lt;&gt;"",P713,O713)),설정!$A$15:$D$47,2,0),""))</f>
        <v/>
      </c>
      <c r="AK713" s="43" t="str">
        <f aca="false">IF(Q713&lt;&gt;1,"",IF(AJ713="","무등급",IFERROR(VLOOKUP(AJ713,설정!$A$15:$D$47,3,0),"무등급")))</f>
        <v/>
      </c>
      <c r="AL713" s="89" t="n">
        <f aca="false">IF(AJ713="",99,IFERROR(VLOOKUP(AJ713,설정!$A$15:$D$47,4,0),99))</f>
        <v>99</v>
      </c>
      <c r="AM713" s="94" t="n">
        <f aca="false">IF(ISNUMBER(H713),AA713*1000000*H713/10000,0)</f>
        <v>0</v>
      </c>
      <c r="AN713" s="94" t="n">
        <f aca="false">IF(OR(Y713=1,NOT(ISNUMBER(Z713))),0,AA713*1000000*Z713/10000)</f>
        <v>0</v>
      </c>
      <c r="AO713" s="94" t="n">
        <f aca="false">IF(ISNUMBER(G713),AA713*1000000*G713/100,0)</f>
        <v>0</v>
      </c>
      <c r="AP713" s="94" t="n">
        <f aca="false">IF(ISNUMBER(M713),M713*K713,0)</f>
        <v>0</v>
      </c>
      <c r="AQ713" s="95" t="str">
        <f aca="false">IF(AB713="","",INDEX(시장분석!$AK:$AK,AB713))</f>
        <v/>
      </c>
      <c r="AR713" s="43" t="str">
        <f aca="false">IF(AB713="","-",IF(AB713="","",INDEX(시장분석!$AL:$AL,AB713)))</f>
        <v>-</v>
      </c>
      <c r="AS713" s="96" t="str">
        <f aca="false">IF(AB713="","",INDEX(시장분석!$AJ:$AJ,AB713))</f>
        <v/>
      </c>
      <c r="AT713" s="93" t="n">
        <f aca="false">IF(AB713="",0,IF(AB713="","",INDEX(시장분석!$AN:$AN,AB713)))</f>
        <v>0</v>
      </c>
      <c r="AU713" s="94" t="n">
        <f aca="false">IF(ISNUMBER(Z713),AT713/10000*MAX(Z713-1,0)*AA713*1000000,0)</f>
        <v>0</v>
      </c>
      <c r="AV713" s="94" t="n">
        <f aca="false">AO713+AU713</f>
        <v>0</v>
      </c>
      <c r="AW713" s="43" t="str">
        <f aca="false">IF(Q713&lt;&gt;1,"",TRIM(IF(AD713=1,"FRN ","")&amp;IF(AND(AL713&gt;=10,AL713&lt;99),"BBB0미만 ","")&amp;IF(AJ713="","등급없음 ","")&amp;IF(K713&lt;&gt;1,"비USD ","")&amp;IF(AND(AB713="",Y713=0),"시장데이터없음 ","")&amp;IF(AND(ISNUMBER(U713),U713&lt;0),"만기경과 ","")))</f>
        <v/>
      </c>
      <c r="AX713" s="90" t="n">
        <f aca="false">IF(Q713&lt;&gt;1,1,IF(스프레드쇼크!$C$4="Y",INDEX(스프레드쇼크!$B$12:$L$16,IFERROR(MATCH(AH713,스프레드쇼크!$A$12:$A$16,0),MATCH("목록외",스프레드쇼크!$A$12:$A$16,0)),IFERROR(MATCH(AG713,스프레드쇼크!$B$11:$L$11,0),MATCH("목록외",스프레드쇼크!$B$11:$L$11,0))),1))</f>
        <v>1</v>
      </c>
      <c r="AY713" s="90" t="n">
        <f aca="false">IF(스프레드쇼크!$C$5="Y",IF(ISNUMBER(AF713),MIN(스프레드쇼크!$C$7,MAX(스프레드쇼크!$C$6,AF713/스프레드쇼크!$C$8)),1),1)</f>
        <v>1</v>
      </c>
      <c r="AZ713" s="94" t="n">
        <f aca="false">AN713*AX713*AY713</f>
        <v>0</v>
      </c>
      <c r="BA713" s="90" t="n">
        <f aca="false">IF(ISNUMBER(G713),AA713*G713,0)</f>
        <v>0</v>
      </c>
      <c r="BB713" s="90" t="n">
        <f aca="false">IF(ISNUMBER(G713),AA713,0)</f>
        <v>0</v>
      </c>
      <c r="BC713" s="90" t="n">
        <f aca="false">IF(AND(Y713=0,ISNUMBER(AF713)),AA713*AF713,0)</f>
        <v>0</v>
      </c>
      <c r="BD713" s="90" t="n">
        <f aca="false">IF(AND(Y713=0,ISNUMBER(AF713)),AA713,0)</f>
        <v>0</v>
      </c>
      <c r="BE713" s="90" t="n">
        <f aca="false">IF(ISNUMBER(H713),AA713*H713,0)</f>
        <v>0</v>
      </c>
      <c r="BF713" s="90" t="n">
        <f aca="false">IF(ISNUMBER(H713),AA713,0)</f>
        <v>0</v>
      </c>
      <c r="BG713" s="90" t="n">
        <f aca="false">IF(AND(Y713=0,ISNUMBER(AF713),ISNUMBER(Z713)),AA713*Z713,0)</f>
        <v>0</v>
      </c>
      <c r="BH713" s="90" t="n">
        <f aca="false">IF(AND(Y713=0,ISNUMBER(AF713),ISNUMBER(Z713)),AA713*AT713*MAX(Z713-1,0),0)</f>
        <v>0</v>
      </c>
      <c r="BI713" s="90" t="n">
        <f aca="false">IF(Y713=0,AA713,0)</f>
        <v>0</v>
      </c>
    </row>
    <row r="714" customFormat="false" ht="15" hidden="false" customHeight="false" outlineLevel="0" collapsed="false">
      <c r="A714" s="83" t="str">
        <f aca="false">IFERROR(IF(INDEX(원자료_잔고!$A$1:$EZ$1500,설정!$L$5+ROW()-1,설정!$L$8)&amp;""="0","",INDEX(원자료_잔고!$A$1:$EZ$1500,설정!$L$5+ROW()-1,설정!$L$8)&amp;""),"")</f>
        <v/>
      </c>
      <c r="B714" s="83" t="str">
        <f aca="false">IFERROR(IF(INDEX(원자료_잔고!$A$1:$EZ$1500,설정!$L$5+ROW()-1,설정!$L$7)&amp;""="0","",INDEX(원자료_잔고!$A$1:$EZ$1500,설정!$L$5+ROW()-1,설정!$L$7)&amp;""),"")</f>
        <v/>
      </c>
      <c r="C714" s="83" t="str">
        <f aca="false">IFERROR(IF(INDEX(원자료_잔고!$A$1:$EZ$1500,설정!$L$5+ROW()-1,설정!$L$9)&amp;""="0","",INDEX(원자료_잔고!$A$1:$EZ$1500,설정!$L$5+ROW()-1,설정!$L$9)&amp;""),"")</f>
        <v/>
      </c>
      <c r="D714" s="83" t="str">
        <f aca="false">IFERROR(IF(INDEX(원자료_잔고!$A$1:$EZ$1500,설정!$L$5+ROW()-1,설정!$L$10)&amp;""="0","",INDEX(원자료_잔고!$A$1:$EZ$1500,설정!$L$5+ROW()-1,설정!$L$10)&amp;""),"")</f>
        <v/>
      </c>
      <c r="E714" s="84" t="str">
        <f aca="false">IFERROR(IF(ISNUMBER(INDEX(원자료_잔고!$A$1:$EZ$1500,설정!$L$5+ROW()-1,설정!$L$11)),INDEX(원자료_잔고!$A$1:$EZ$1500,설정!$L$5+ROW()-1,설정!$L$11),""),"")</f>
        <v/>
      </c>
      <c r="F714" s="85" t="str">
        <f aca="false">IFERROR(IF(ISNUMBER(INDEX(원자료_잔고!$A$1:$EZ$1500,설정!$L$5+ROW()-1,설정!$L$12)),INDEX(원자료_잔고!$A$1:$EZ$1500,설정!$L$5+ROW()-1,설정!$L$12),""),"")</f>
        <v/>
      </c>
      <c r="G714" s="85" t="str">
        <f aca="false">IFERROR(IF(ISNUMBER(INDEX(원자료_잔고!$A$1:$EZ$1500,설정!$L$5+ROW()-1,설정!$L$13)),INDEX(원자료_잔고!$A$1:$EZ$1500,설정!$L$5+ROW()-1,설정!$L$13),""),"")</f>
        <v/>
      </c>
      <c r="H714" s="85" t="str">
        <f aca="false">IFERROR(IF(ISNUMBER(INDEX(원자료_잔고!$A$1:$EZ$1500,설정!$L$5+ROW()-1,설정!$L$14)),INDEX(원자료_잔고!$A$1:$EZ$1500,설정!$L$5+ROW()-1,설정!$L$14),""),"")</f>
        <v/>
      </c>
      <c r="I714" s="86" t="str">
        <f aca="false">IFERROR(IF(ISNUMBER(INDEX(원자료_잔고!$A$1:$EZ$1500,설정!$L$5+ROW()-1,설정!$L$15)),INDEX(원자료_잔고!$A$1:$EZ$1500,설정!$L$5+ROW()-1,설정!$L$15),""),"")</f>
        <v/>
      </c>
      <c r="J714" s="85" t="str">
        <f aca="false">IFERROR(IF(ISNUMBER(INDEX(원자료_잔고!$A$1:$EZ$1500,설정!$L$5+ROW()-1,설정!$L$16)),INDEX(원자료_잔고!$A$1:$EZ$1500,설정!$L$5+ROW()-1,설정!$L$16),""),"")</f>
        <v/>
      </c>
      <c r="K714" s="87" t="str">
        <f aca="false">IFERROR(IF(ISNUMBER(INDEX(원자료_잔고!$A$1:$EZ$1500,설정!$L$5+ROW()-1,설정!$L$17)),INDEX(원자료_잔고!$A$1:$EZ$1500,설정!$L$5+ROW()-1,설정!$L$17),""),"")</f>
        <v/>
      </c>
      <c r="L714" s="84" t="str">
        <f aca="false">IFERROR(IF(ISNUMBER(INDEX(원자료_잔고!$A$1:$EZ$1500,설정!$L$5+ROW()-1,설정!$L$18)),INDEX(원자료_잔고!$A$1:$EZ$1500,설정!$L$5+ROW()-1,설정!$L$18),""),"")</f>
        <v/>
      </c>
      <c r="M714" s="88" t="str">
        <f aca="false">IFERROR(IF(ISNUMBER(INDEX(원자료_잔고!$A$1:$EZ$1500,설정!$L$5+ROW()-1,설정!$L$19)),INDEX(원자료_잔고!$A$1:$EZ$1500,설정!$L$5+ROW()-1,설정!$L$19),""),"")</f>
        <v/>
      </c>
      <c r="N714" s="83" t="str">
        <f aca="false">IFERROR(IF(INDEX(원자료_잔고!$A$1:$EZ$1500,설정!$L$5+ROW()-1,설정!$L$21)&amp;""="0","",INDEX(원자료_잔고!$A$1:$EZ$1500,설정!$L$5+ROW()-1,설정!$L$21)&amp;""),"")</f>
        <v/>
      </c>
      <c r="O714" s="83" t="str">
        <f aca="false">IFERROR(IF(INDEX(원자료_잔고!$A$1:$EZ$1500,설정!$L$5+ROW()-1,설정!$L$22)&amp;""="0","",INDEX(원자료_잔고!$A$1:$EZ$1500,설정!$L$5+ROW()-1,설정!$L$22)&amp;""),"")</f>
        <v/>
      </c>
      <c r="P714" s="83" t="str">
        <f aca="false">IFERROR(IF(INDEX(원자료_잔고!$A$1:$EZ$1500,설정!$L$5+ROW()-1,설정!$L$23)&amp;""="0","",INDEX(원자료_잔고!$A$1:$EZ$1500,설정!$L$5+ROW()-1,설정!$L$23)&amp;""),"")</f>
        <v/>
      </c>
      <c r="Q714" s="89" t="n">
        <f aca="false">IF(AND($A714&lt;&gt;"",ISNUMBER(E714)),IF(E714&gt;0,1,0),0)</f>
        <v>0</v>
      </c>
      <c r="R714" s="43" t="str">
        <f aca="false">IF(Q714=1,UPPER(LEFT($A714,FIND(" ",$A714&amp;" ")-1)),"")</f>
        <v/>
      </c>
      <c r="S714" s="89" t="n">
        <f aca="false">IF(Q714=1,IF(OR(ISNUMBER(SEARCH("Float",$A714)),ISNUMBER(SEARCH("FRN",$A714))),1,0),0)</f>
        <v>0</v>
      </c>
      <c r="T714" s="43" t="str">
        <f aca="false">IF(AND(Q714=1,ISNUMBER(I714)),TEXT(I714,"yyyymmdd")&amp;"|"&amp;IF(S714=1,"F",TEXT(J714,"0.000")),"")</f>
        <v/>
      </c>
      <c r="U714" s="90" t="str">
        <f aca="false">IF(AND(Q714=1,ISNUMBER(I714)),(I714-설정!$C$4)/365.25,"")</f>
        <v/>
      </c>
      <c r="V714" s="43" t="str">
        <f aca="false">IF(Q714&lt;&gt;1,"",IF(ISNUMBER(U714),IF(U714&lt;=1,"1년 이하",IF(U714&lt;=2,"1-2년",IF(U714&lt;=3,"2-3년",IF(U714&lt;=4,"3-4년",IF(U714&lt;=5,"4-5년",IF(U714&lt;=7,"5-7년",IF(U714&lt;=10,"7-10년",IF(U714&lt;=20,"10-20년","20년 이상")))))))),"미분류"))</f>
        <v/>
      </c>
      <c r="W714" s="43" t="str">
        <f aca="false">IF(Q714&lt;&gt;1,"",IF(AB714&lt;&gt;"",INDEX(시장분석!$C:$C,AB714),IF(K714=1,"USD","비USD")))</f>
        <v/>
      </c>
      <c r="X714" s="91" t="n">
        <f aca="false">IF(Q714=1,E714*K714/1000000,0)</f>
        <v>0</v>
      </c>
      <c r="Y714" s="89" t="n">
        <f aca="false">IF(R714="T",1,0)</f>
        <v>0</v>
      </c>
      <c r="Z714" s="92" t="str">
        <f aca="false">IF(Q714&lt;&gt;1,"",IF(AD714=1,IF(ISNUMBER(U714),MAX(U714,0),H714),H714))</f>
        <v/>
      </c>
      <c r="AA714" s="91" t="n">
        <f aca="false">IF(Q714=1,IF(ISNUMBER(L714),L714,0)*K714/1000000,0)</f>
        <v>0</v>
      </c>
      <c r="AB714" s="89" t="str">
        <f aca="false">IF(Q714&lt;&gt;1,"",IFERROR(MATCH(VLOOKUP(B714,매핑!$H$4:$I$15,2,0),시장분석!$A$2:$A$601,0)+1,IFERROR(MATCH(R714&amp;"|"&amp;T714,시장분석!$V$2:$V$601,0)+1,IF(COUNTIF(시장분석!$U$2:$U$601,T714)=1,MATCH(T714,시장분석!$U$2:$U$601,0)+1,""))))</f>
        <v/>
      </c>
      <c r="AC714" s="89" t="n">
        <f aca="false">IF(Q714&lt;&gt;1,0,IF(OR(설정!$C$5="전체",AND(설정!$C$5="선택펀드",IFERROR(COUNTIFS(설정!$F$16:$F$36,C714,설정!$G$16:$G$36,"Y")+COUNTIFS(설정!$F$16:$F$36,VALUE(C714),설정!$G$16:$G$36,"Y"),0)&gt;0),C714&amp;""=설정!$C$5&amp;""),1,0))</f>
        <v>0</v>
      </c>
      <c r="AD714" s="89" t="n">
        <f aca="false">IF(Q714&lt;&gt;1,0,IF(OR(S714=1,IF(AB714="",FALSE(),INDEX(시장분석!$R:$R,AB714)=1)),1,0))</f>
        <v>0</v>
      </c>
      <c r="AE714" s="43" t="str">
        <f aca="false">IF(AB714="","",INDEX(시장분석!$A:$A,AB714))</f>
        <v/>
      </c>
      <c r="AF714" s="93" t="str">
        <f aca="false">IF(AB714="","",IF(ISNUMBER(IF(AB714="","",INDEX(시장분석!$E:$E,AB714))),IF(AB714="","",INDEX(시장분석!$E:$E,AB714)),""))</f>
        <v/>
      </c>
      <c r="AG714" s="43" t="str">
        <f aca="false">IF(Q714&lt;&gt;1,"",IF(AB714&lt;&gt;"",IF(AB714="","",INDEX(시장분석!$L:$L,AB714)),IFERROR(IF(VLOOKUP(R714,매핑!$A$4:$E$92,5,0)="","미분류",VLOOKUP(R714,매핑!$A$4:$E$92,5,0)),"미분류")))</f>
        <v/>
      </c>
      <c r="AH714" s="43" t="str">
        <f aca="false">IF(Q714&lt;&gt;1,"",IF(AB714&lt;&gt;"",IF(AB714="","",INDEX(시장분석!$N:$N,AB714)),IFERROR(IF(VLOOKUP(R714,매핑!$A$4:$E$92,4,0)="","미분류",VLOOKUP(R714,매핑!$A$4:$E$92,4,0)),"미분류")))</f>
        <v/>
      </c>
      <c r="AI714" s="43" t="str">
        <f aca="false">IF(Q714&lt;&gt;1,"",IFERROR(IF(VLOOKUP(R714,매핑!$A$4:$E$92,3,0)="","미분류",VLOOKUP(R714,매핑!$A$4:$E$92,3,0)),IF(AB714&lt;&gt;"",IF(AB714="","",INDEX(시장분석!$W:$W,AB714)),"미분류")))</f>
        <v/>
      </c>
      <c r="AJ714" s="43" t="str">
        <f aca="false">IF(Q714&lt;&gt;1,"",IFERROR(VLOOKUP(IF(N714&lt;&gt;"",N714,IF(P714&lt;&gt;"",P714,O714)),설정!$A$15:$D$47,2,0),""))</f>
        <v/>
      </c>
      <c r="AK714" s="43" t="str">
        <f aca="false">IF(Q714&lt;&gt;1,"",IF(AJ714="","무등급",IFERROR(VLOOKUP(AJ714,설정!$A$15:$D$47,3,0),"무등급")))</f>
        <v/>
      </c>
      <c r="AL714" s="89" t="n">
        <f aca="false">IF(AJ714="",99,IFERROR(VLOOKUP(AJ714,설정!$A$15:$D$47,4,0),99))</f>
        <v>99</v>
      </c>
      <c r="AM714" s="94" t="n">
        <f aca="false">IF(ISNUMBER(H714),AA714*1000000*H714/10000,0)</f>
        <v>0</v>
      </c>
      <c r="AN714" s="94" t="n">
        <f aca="false">IF(OR(Y714=1,NOT(ISNUMBER(Z714))),0,AA714*1000000*Z714/10000)</f>
        <v>0</v>
      </c>
      <c r="AO714" s="94" t="n">
        <f aca="false">IF(ISNUMBER(G714),AA714*1000000*G714/100,0)</f>
        <v>0</v>
      </c>
      <c r="AP714" s="94" t="n">
        <f aca="false">IF(ISNUMBER(M714),M714*K714,0)</f>
        <v>0</v>
      </c>
      <c r="AQ714" s="95" t="str">
        <f aca="false">IF(AB714="","",INDEX(시장분석!$AK:$AK,AB714))</f>
        <v/>
      </c>
      <c r="AR714" s="43" t="str">
        <f aca="false">IF(AB714="","-",IF(AB714="","",INDEX(시장분석!$AL:$AL,AB714)))</f>
        <v>-</v>
      </c>
      <c r="AS714" s="96" t="str">
        <f aca="false">IF(AB714="","",INDEX(시장분석!$AJ:$AJ,AB714))</f>
        <v/>
      </c>
      <c r="AT714" s="93" t="n">
        <f aca="false">IF(AB714="",0,IF(AB714="","",INDEX(시장분석!$AN:$AN,AB714)))</f>
        <v>0</v>
      </c>
      <c r="AU714" s="94" t="n">
        <f aca="false">IF(ISNUMBER(Z714),AT714/10000*MAX(Z714-1,0)*AA714*1000000,0)</f>
        <v>0</v>
      </c>
      <c r="AV714" s="94" t="n">
        <f aca="false">AO714+AU714</f>
        <v>0</v>
      </c>
      <c r="AW714" s="43" t="str">
        <f aca="false">IF(Q714&lt;&gt;1,"",TRIM(IF(AD714=1,"FRN ","")&amp;IF(AND(AL714&gt;=10,AL714&lt;99),"BBB0미만 ","")&amp;IF(AJ714="","등급없음 ","")&amp;IF(K714&lt;&gt;1,"비USD ","")&amp;IF(AND(AB714="",Y714=0),"시장데이터없음 ","")&amp;IF(AND(ISNUMBER(U714),U714&lt;0),"만기경과 ","")))</f>
        <v/>
      </c>
      <c r="AX714" s="90" t="n">
        <f aca="false">IF(Q714&lt;&gt;1,1,IF(스프레드쇼크!$C$4="Y",INDEX(스프레드쇼크!$B$12:$L$16,IFERROR(MATCH(AH714,스프레드쇼크!$A$12:$A$16,0),MATCH("목록외",스프레드쇼크!$A$12:$A$16,0)),IFERROR(MATCH(AG714,스프레드쇼크!$B$11:$L$11,0),MATCH("목록외",스프레드쇼크!$B$11:$L$11,0))),1))</f>
        <v>1</v>
      </c>
      <c r="AY714" s="90" t="n">
        <f aca="false">IF(스프레드쇼크!$C$5="Y",IF(ISNUMBER(AF714),MIN(스프레드쇼크!$C$7,MAX(스프레드쇼크!$C$6,AF714/스프레드쇼크!$C$8)),1),1)</f>
        <v>1</v>
      </c>
      <c r="AZ714" s="94" t="n">
        <f aca="false">AN714*AX714*AY714</f>
        <v>0</v>
      </c>
      <c r="BA714" s="90" t="n">
        <f aca="false">IF(ISNUMBER(G714),AA714*G714,0)</f>
        <v>0</v>
      </c>
      <c r="BB714" s="90" t="n">
        <f aca="false">IF(ISNUMBER(G714),AA714,0)</f>
        <v>0</v>
      </c>
      <c r="BC714" s="90" t="n">
        <f aca="false">IF(AND(Y714=0,ISNUMBER(AF714)),AA714*AF714,0)</f>
        <v>0</v>
      </c>
      <c r="BD714" s="90" t="n">
        <f aca="false">IF(AND(Y714=0,ISNUMBER(AF714)),AA714,0)</f>
        <v>0</v>
      </c>
      <c r="BE714" s="90" t="n">
        <f aca="false">IF(ISNUMBER(H714),AA714*H714,0)</f>
        <v>0</v>
      </c>
      <c r="BF714" s="90" t="n">
        <f aca="false">IF(ISNUMBER(H714),AA714,0)</f>
        <v>0</v>
      </c>
      <c r="BG714" s="90" t="n">
        <f aca="false">IF(AND(Y714=0,ISNUMBER(AF714),ISNUMBER(Z714)),AA714*Z714,0)</f>
        <v>0</v>
      </c>
      <c r="BH714" s="90" t="n">
        <f aca="false">IF(AND(Y714=0,ISNUMBER(AF714),ISNUMBER(Z714)),AA714*AT714*MAX(Z714-1,0),0)</f>
        <v>0</v>
      </c>
      <c r="BI714" s="90" t="n">
        <f aca="false">IF(Y714=0,AA714,0)</f>
        <v>0</v>
      </c>
    </row>
    <row r="715" customFormat="false" ht="15" hidden="false" customHeight="false" outlineLevel="0" collapsed="false">
      <c r="A715" s="83" t="str">
        <f aca="false">IFERROR(IF(INDEX(원자료_잔고!$A$1:$EZ$1500,설정!$L$5+ROW()-1,설정!$L$8)&amp;""="0","",INDEX(원자료_잔고!$A$1:$EZ$1500,설정!$L$5+ROW()-1,설정!$L$8)&amp;""),"")</f>
        <v/>
      </c>
      <c r="B715" s="83" t="str">
        <f aca="false">IFERROR(IF(INDEX(원자료_잔고!$A$1:$EZ$1500,설정!$L$5+ROW()-1,설정!$L$7)&amp;""="0","",INDEX(원자료_잔고!$A$1:$EZ$1500,설정!$L$5+ROW()-1,설정!$L$7)&amp;""),"")</f>
        <v/>
      </c>
      <c r="C715" s="83" t="str">
        <f aca="false">IFERROR(IF(INDEX(원자료_잔고!$A$1:$EZ$1500,설정!$L$5+ROW()-1,설정!$L$9)&amp;""="0","",INDEX(원자료_잔고!$A$1:$EZ$1500,설정!$L$5+ROW()-1,설정!$L$9)&amp;""),"")</f>
        <v/>
      </c>
      <c r="D715" s="83" t="str">
        <f aca="false">IFERROR(IF(INDEX(원자료_잔고!$A$1:$EZ$1500,설정!$L$5+ROW()-1,설정!$L$10)&amp;""="0","",INDEX(원자료_잔고!$A$1:$EZ$1500,설정!$L$5+ROW()-1,설정!$L$10)&amp;""),"")</f>
        <v/>
      </c>
      <c r="E715" s="84" t="str">
        <f aca="false">IFERROR(IF(ISNUMBER(INDEX(원자료_잔고!$A$1:$EZ$1500,설정!$L$5+ROW()-1,설정!$L$11)),INDEX(원자료_잔고!$A$1:$EZ$1500,설정!$L$5+ROW()-1,설정!$L$11),""),"")</f>
        <v/>
      </c>
      <c r="F715" s="85" t="str">
        <f aca="false">IFERROR(IF(ISNUMBER(INDEX(원자료_잔고!$A$1:$EZ$1500,설정!$L$5+ROW()-1,설정!$L$12)),INDEX(원자료_잔고!$A$1:$EZ$1500,설정!$L$5+ROW()-1,설정!$L$12),""),"")</f>
        <v/>
      </c>
      <c r="G715" s="85" t="str">
        <f aca="false">IFERROR(IF(ISNUMBER(INDEX(원자료_잔고!$A$1:$EZ$1500,설정!$L$5+ROW()-1,설정!$L$13)),INDEX(원자료_잔고!$A$1:$EZ$1500,설정!$L$5+ROW()-1,설정!$L$13),""),"")</f>
        <v/>
      </c>
      <c r="H715" s="85" t="str">
        <f aca="false">IFERROR(IF(ISNUMBER(INDEX(원자료_잔고!$A$1:$EZ$1500,설정!$L$5+ROW()-1,설정!$L$14)),INDEX(원자료_잔고!$A$1:$EZ$1500,설정!$L$5+ROW()-1,설정!$L$14),""),"")</f>
        <v/>
      </c>
      <c r="I715" s="86" t="str">
        <f aca="false">IFERROR(IF(ISNUMBER(INDEX(원자료_잔고!$A$1:$EZ$1500,설정!$L$5+ROW()-1,설정!$L$15)),INDEX(원자료_잔고!$A$1:$EZ$1500,설정!$L$5+ROW()-1,설정!$L$15),""),"")</f>
        <v/>
      </c>
      <c r="J715" s="85" t="str">
        <f aca="false">IFERROR(IF(ISNUMBER(INDEX(원자료_잔고!$A$1:$EZ$1500,설정!$L$5+ROW()-1,설정!$L$16)),INDEX(원자료_잔고!$A$1:$EZ$1500,설정!$L$5+ROW()-1,설정!$L$16),""),"")</f>
        <v/>
      </c>
      <c r="K715" s="87" t="str">
        <f aca="false">IFERROR(IF(ISNUMBER(INDEX(원자료_잔고!$A$1:$EZ$1500,설정!$L$5+ROW()-1,설정!$L$17)),INDEX(원자료_잔고!$A$1:$EZ$1500,설정!$L$5+ROW()-1,설정!$L$17),""),"")</f>
        <v/>
      </c>
      <c r="L715" s="84" t="str">
        <f aca="false">IFERROR(IF(ISNUMBER(INDEX(원자료_잔고!$A$1:$EZ$1500,설정!$L$5+ROW()-1,설정!$L$18)),INDEX(원자료_잔고!$A$1:$EZ$1500,설정!$L$5+ROW()-1,설정!$L$18),""),"")</f>
        <v/>
      </c>
      <c r="M715" s="88" t="str">
        <f aca="false">IFERROR(IF(ISNUMBER(INDEX(원자료_잔고!$A$1:$EZ$1500,설정!$L$5+ROW()-1,설정!$L$19)),INDEX(원자료_잔고!$A$1:$EZ$1500,설정!$L$5+ROW()-1,설정!$L$19),""),"")</f>
        <v/>
      </c>
      <c r="N715" s="83" t="str">
        <f aca="false">IFERROR(IF(INDEX(원자료_잔고!$A$1:$EZ$1500,설정!$L$5+ROW()-1,설정!$L$21)&amp;""="0","",INDEX(원자료_잔고!$A$1:$EZ$1500,설정!$L$5+ROW()-1,설정!$L$21)&amp;""),"")</f>
        <v/>
      </c>
      <c r="O715" s="83" t="str">
        <f aca="false">IFERROR(IF(INDEX(원자료_잔고!$A$1:$EZ$1500,설정!$L$5+ROW()-1,설정!$L$22)&amp;""="0","",INDEX(원자료_잔고!$A$1:$EZ$1500,설정!$L$5+ROW()-1,설정!$L$22)&amp;""),"")</f>
        <v/>
      </c>
      <c r="P715" s="83" t="str">
        <f aca="false">IFERROR(IF(INDEX(원자료_잔고!$A$1:$EZ$1500,설정!$L$5+ROW()-1,설정!$L$23)&amp;""="0","",INDEX(원자료_잔고!$A$1:$EZ$1500,설정!$L$5+ROW()-1,설정!$L$23)&amp;""),"")</f>
        <v/>
      </c>
      <c r="Q715" s="89" t="n">
        <f aca="false">IF(AND($A715&lt;&gt;"",ISNUMBER(E715)),IF(E715&gt;0,1,0),0)</f>
        <v>0</v>
      </c>
      <c r="R715" s="43" t="str">
        <f aca="false">IF(Q715=1,UPPER(LEFT($A715,FIND(" ",$A715&amp;" ")-1)),"")</f>
        <v/>
      </c>
      <c r="S715" s="89" t="n">
        <f aca="false">IF(Q715=1,IF(OR(ISNUMBER(SEARCH("Float",$A715)),ISNUMBER(SEARCH("FRN",$A715))),1,0),0)</f>
        <v>0</v>
      </c>
      <c r="T715" s="43" t="str">
        <f aca="false">IF(AND(Q715=1,ISNUMBER(I715)),TEXT(I715,"yyyymmdd")&amp;"|"&amp;IF(S715=1,"F",TEXT(J715,"0.000")),"")</f>
        <v/>
      </c>
      <c r="U715" s="90" t="str">
        <f aca="false">IF(AND(Q715=1,ISNUMBER(I715)),(I715-설정!$C$4)/365.25,"")</f>
        <v/>
      </c>
      <c r="V715" s="43" t="str">
        <f aca="false">IF(Q715&lt;&gt;1,"",IF(ISNUMBER(U715),IF(U715&lt;=1,"1년 이하",IF(U715&lt;=2,"1-2년",IF(U715&lt;=3,"2-3년",IF(U715&lt;=4,"3-4년",IF(U715&lt;=5,"4-5년",IF(U715&lt;=7,"5-7년",IF(U715&lt;=10,"7-10년",IF(U715&lt;=20,"10-20년","20년 이상")))))))),"미분류"))</f>
        <v/>
      </c>
      <c r="W715" s="43" t="str">
        <f aca="false">IF(Q715&lt;&gt;1,"",IF(AB715&lt;&gt;"",INDEX(시장분석!$C:$C,AB715),IF(K715=1,"USD","비USD")))</f>
        <v/>
      </c>
      <c r="X715" s="91" t="n">
        <f aca="false">IF(Q715=1,E715*K715/1000000,0)</f>
        <v>0</v>
      </c>
      <c r="Y715" s="89" t="n">
        <f aca="false">IF(R715="T",1,0)</f>
        <v>0</v>
      </c>
      <c r="Z715" s="92" t="str">
        <f aca="false">IF(Q715&lt;&gt;1,"",IF(AD715=1,IF(ISNUMBER(U715),MAX(U715,0),H715),H715))</f>
        <v/>
      </c>
      <c r="AA715" s="91" t="n">
        <f aca="false">IF(Q715=1,IF(ISNUMBER(L715),L715,0)*K715/1000000,0)</f>
        <v>0</v>
      </c>
      <c r="AB715" s="89" t="str">
        <f aca="false">IF(Q715&lt;&gt;1,"",IFERROR(MATCH(VLOOKUP(B715,매핑!$H$4:$I$15,2,0),시장분석!$A$2:$A$601,0)+1,IFERROR(MATCH(R715&amp;"|"&amp;T715,시장분석!$V$2:$V$601,0)+1,IF(COUNTIF(시장분석!$U$2:$U$601,T715)=1,MATCH(T715,시장분석!$U$2:$U$601,0)+1,""))))</f>
        <v/>
      </c>
      <c r="AC715" s="89" t="n">
        <f aca="false">IF(Q715&lt;&gt;1,0,IF(OR(설정!$C$5="전체",AND(설정!$C$5="선택펀드",IFERROR(COUNTIFS(설정!$F$16:$F$36,C715,설정!$G$16:$G$36,"Y")+COUNTIFS(설정!$F$16:$F$36,VALUE(C715),설정!$G$16:$G$36,"Y"),0)&gt;0),C715&amp;""=설정!$C$5&amp;""),1,0))</f>
        <v>0</v>
      </c>
      <c r="AD715" s="89" t="n">
        <f aca="false">IF(Q715&lt;&gt;1,0,IF(OR(S715=1,IF(AB715="",FALSE(),INDEX(시장분석!$R:$R,AB715)=1)),1,0))</f>
        <v>0</v>
      </c>
      <c r="AE715" s="43" t="str">
        <f aca="false">IF(AB715="","",INDEX(시장분석!$A:$A,AB715))</f>
        <v/>
      </c>
      <c r="AF715" s="93" t="str">
        <f aca="false">IF(AB715="","",IF(ISNUMBER(IF(AB715="","",INDEX(시장분석!$E:$E,AB715))),IF(AB715="","",INDEX(시장분석!$E:$E,AB715)),""))</f>
        <v/>
      </c>
      <c r="AG715" s="43" t="str">
        <f aca="false">IF(Q715&lt;&gt;1,"",IF(AB715&lt;&gt;"",IF(AB715="","",INDEX(시장분석!$L:$L,AB715)),IFERROR(IF(VLOOKUP(R715,매핑!$A$4:$E$92,5,0)="","미분류",VLOOKUP(R715,매핑!$A$4:$E$92,5,0)),"미분류")))</f>
        <v/>
      </c>
      <c r="AH715" s="43" t="str">
        <f aca="false">IF(Q715&lt;&gt;1,"",IF(AB715&lt;&gt;"",IF(AB715="","",INDEX(시장분석!$N:$N,AB715)),IFERROR(IF(VLOOKUP(R715,매핑!$A$4:$E$92,4,0)="","미분류",VLOOKUP(R715,매핑!$A$4:$E$92,4,0)),"미분류")))</f>
        <v/>
      </c>
      <c r="AI715" s="43" t="str">
        <f aca="false">IF(Q715&lt;&gt;1,"",IFERROR(IF(VLOOKUP(R715,매핑!$A$4:$E$92,3,0)="","미분류",VLOOKUP(R715,매핑!$A$4:$E$92,3,0)),IF(AB715&lt;&gt;"",IF(AB715="","",INDEX(시장분석!$W:$W,AB715)),"미분류")))</f>
        <v/>
      </c>
      <c r="AJ715" s="43" t="str">
        <f aca="false">IF(Q715&lt;&gt;1,"",IFERROR(VLOOKUP(IF(N715&lt;&gt;"",N715,IF(P715&lt;&gt;"",P715,O715)),설정!$A$15:$D$47,2,0),""))</f>
        <v/>
      </c>
      <c r="AK715" s="43" t="str">
        <f aca="false">IF(Q715&lt;&gt;1,"",IF(AJ715="","무등급",IFERROR(VLOOKUP(AJ715,설정!$A$15:$D$47,3,0),"무등급")))</f>
        <v/>
      </c>
      <c r="AL715" s="89" t="n">
        <f aca="false">IF(AJ715="",99,IFERROR(VLOOKUP(AJ715,설정!$A$15:$D$47,4,0),99))</f>
        <v>99</v>
      </c>
      <c r="AM715" s="94" t="n">
        <f aca="false">IF(ISNUMBER(H715),AA715*1000000*H715/10000,0)</f>
        <v>0</v>
      </c>
      <c r="AN715" s="94" t="n">
        <f aca="false">IF(OR(Y715=1,NOT(ISNUMBER(Z715))),0,AA715*1000000*Z715/10000)</f>
        <v>0</v>
      </c>
      <c r="AO715" s="94" t="n">
        <f aca="false">IF(ISNUMBER(G715),AA715*1000000*G715/100,0)</f>
        <v>0</v>
      </c>
      <c r="AP715" s="94" t="n">
        <f aca="false">IF(ISNUMBER(M715),M715*K715,0)</f>
        <v>0</v>
      </c>
      <c r="AQ715" s="95" t="str">
        <f aca="false">IF(AB715="","",INDEX(시장분석!$AK:$AK,AB715))</f>
        <v/>
      </c>
      <c r="AR715" s="43" t="str">
        <f aca="false">IF(AB715="","-",IF(AB715="","",INDEX(시장분석!$AL:$AL,AB715)))</f>
        <v>-</v>
      </c>
      <c r="AS715" s="96" t="str">
        <f aca="false">IF(AB715="","",INDEX(시장분석!$AJ:$AJ,AB715))</f>
        <v/>
      </c>
      <c r="AT715" s="93" t="n">
        <f aca="false">IF(AB715="",0,IF(AB715="","",INDEX(시장분석!$AN:$AN,AB715)))</f>
        <v>0</v>
      </c>
      <c r="AU715" s="94" t="n">
        <f aca="false">IF(ISNUMBER(Z715),AT715/10000*MAX(Z715-1,0)*AA715*1000000,0)</f>
        <v>0</v>
      </c>
      <c r="AV715" s="94" t="n">
        <f aca="false">AO715+AU715</f>
        <v>0</v>
      </c>
      <c r="AW715" s="43" t="str">
        <f aca="false">IF(Q715&lt;&gt;1,"",TRIM(IF(AD715=1,"FRN ","")&amp;IF(AND(AL715&gt;=10,AL715&lt;99),"BBB0미만 ","")&amp;IF(AJ715="","등급없음 ","")&amp;IF(K715&lt;&gt;1,"비USD ","")&amp;IF(AND(AB715="",Y715=0),"시장데이터없음 ","")&amp;IF(AND(ISNUMBER(U715),U715&lt;0),"만기경과 ","")))</f>
        <v/>
      </c>
      <c r="AX715" s="90" t="n">
        <f aca="false">IF(Q715&lt;&gt;1,1,IF(스프레드쇼크!$C$4="Y",INDEX(스프레드쇼크!$B$12:$L$16,IFERROR(MATCH(AH715,스프레드쇼크!$A$12:$A$16,0),MATCH("목록외",스프레드쇼크!$A$12:$A$16,0)),IFERROR(MATCH(AG715,스프레드쇼크!$B$11:$L$11,0),MATCH("목록외",스프레드쇼크!$B$11:$L$11,0))),1))</f>
        <v>1</v>
      </c>
      <c r="AY715" s="90" t="n">
        <f aca="false">IF(스프레드쇼크!$C$5="Y",IF(ISNUMBER(AF715),MIN(스프레드쇼크!$C$7,MAX(스프레드쇼크!$C$6,AF715/스프레드쇼크!$C$8)),1),1)</f>
        <v>1</v>
      </c>
      <c r="AZ715" s="94" t="n">
        <f aca="false">AN715*AX715*AY715</f>
        <v>0</v>
      </c>
      <c r="BA715" s="90" t="n">
        <f aca="false">IF(ISNUMBER(G715),AA715*G715,0)</f>
        <v>0</v>
      </c>
      <c r="BB715" s="90" t="n">
        <f aca="false">IF(ISNUMBER(G715),AA715,0)</f>
        <v>0</v>
      </c>
      <c r="BC715" s="90" t="n">
        <f aca="false">IF(AND(Y715=0,ISNUMBER(AF715)),AA715*AF715,0)</f>
        <v>0</v>
      </c>
      <c r="BD715" s="90" t="n">
        <f aca="false">IF(AND(Y715=0,ISNUMBER(AF715)),AA715,0)</f>
        <v>0</v>
      </c>
      <c r="BE715" s="90" t="n">
        <f aca="false">IF(ISNUMBER(H715),AA715*H715,0)</f>
        <v>0</v>
      </c>
      <c r="BF715" s="90" t="n">
        <f aca="false">IF(ISNUMBER(H715),AA715,0)</f>
        <v>0</v>
      </c>
      <c r="BG715" s="90" t="n">
        <f aca="false">IF(AND(Y715=0,ISNUMBER(AF715),ISNUMBER(Z715)),AA715*Z715,0)</f>
        <v>0</v>
      </c>
      <c r="BH715" s="90" t="n">
        <f aca="false">IF(AND(Y715=0,ISNUMBER(AF715),ISNUMBER(Z715)),AA715*AT715*MAX(Z715-1,0),0)</f>
        <v>0</v>
      </c>
      <c r="BI715" s="90" t="n">
        <f aca="false">IF(Y715=0,AA715,0)</f>
        <v>0</v>
      </c>
    </row>
    <row r="716" customFormat="false" ht="15" hidden="false" customHeight="false" outlineLevel="0" collapsed="false">
      <c r="A716" s="83" t="str">
        <f aca="false">IFERROR(IF(INDEX(원자료_잔고!$A$1:$EZ$1500,설정!$L$5+ROW()-1,설정!$L$8)&amp;""="0","",INDEX(원자료_잔고!$A$1:$EZ$1500,설정!$L$5+ROW()-1,설정!$L$8)&amp;""),"")</f>
        <v/>
      </c>
      <c r="B716" s="83" t="str">
        <f aca="false">IFERROR(IF(INDEX(원자료_잔고!$A$1:$EZ$1500,설정!$L$5+ROW()-1,설정!$L$7)&amp;""="0","",INDEX(원자료_잔고!$A$1:$EZ$1500,설정!$L$5+ROW()-1,설정!$L$7)&amp;""),"")</f>
        <v/>
      </c>
      <c r="C716" s="83" t="str">
        <f aca="false">IFERROR(IF(INDEX(원자료_잔고!$A$1:$EZ$1500,설정!$L$5+ROW()-1,설정!$L$9)&amp;""="0","",INDEX(원자료_잔고!$A$1:$EZ$1500,설정!$L$5+ROW()-1,설정!$L$9)&amp;""),"")</f>
        <v/>
      </c>
      <c r="D716" s="83" t="str">
        <f aca="false">IFERROR(IF(INDEX(원자료_잔고!$A$1:$EZ$1500,설정!$L$5+ROW()-1,설정!$L$10)&amp;""="0","",INDEX(원자료_잔고!$A$1:$EZ$1500,설정!$L$5+ROW()-1,설정!$L$10)&amp;""),"")</f>
        <v/>
      </c>
      <c r="E716" s="84" t="str">
        <f aca="false">IFERROR(IF(ISNUMBER(INDEX(원자료_잔고!$A$1:$EZ$1500,설정!$L$5+ROW()-1,설정!$L$11)),INDEX(원자료_잔고!$A$1:$EZ$1500,설정!$L$5+ROW()-1,설정!$L$11),""),"")</f>
        <v/>
      </c>
      <c r="F716" s="85" t="str">
        <f aca="false">IFERROR(IF(ISNUMBER(INDEX(원자료_잔고!$A$1:$EZ$1500,설정!$L$5+ROW()-1,설정!$L$12)),INDEX(원자료_잔고!$A$1:$EZ$1500,설정!$L$5+ROW()-1,설정!$L$12),""),"")</f>
        <v/>
      </c>
      <c r="G716" s="85" t="str">
        <f aca="false">IFERROR(IF(ISNUMBER(INDEX(원자료_잔고!$A$1:$EZ$1500,설정!$L$5+ROW()-1,설정!$L$13)),INDEX(원자료_잔고!$A$1:$EZ$1500,설정!$L$5+ROW()-1,설정!$L$13),""),"")</f>
        <v/>
      </c>
      <c r="H716" s="85" t="str">
        <f aca="false">IFERROR(IF(ISNUMBER(INDEX(원자료_잔고!$A$1:$EZ$1500,설정!$L$5+ROW()-1,설정!$L$14)),INDEX(원자료_잔고!$A$1:$EZ$1500,설정!$L$5+ROW()-1,설정!$L$14),""),"")</f>
        <v/>
      </c>
      <c r="I716" s="86" t="str">
        <f aca="false">IFERROR(IF(ISNUMBER(INDEX(원자료_잔고!$A$1:$EZ$1500,설정!$L$5+ROW()-1,설정!$L$15)),INDEX(원자료_잔고!$A$1:$EZ$1500,설정!$L$5+ROW()-1,설정!$L$15),""),"")</f>
        <v/>
      </c>
      <c r="J716" s="85" t="str">
        <f aca="false">IFERROR(IF(ISNUMBER(INDEX(원자료_잔고!$A$1:$EZ$1500,설정!$L$5+ROW()-1,설정!$L$16)),INDEX(원자료_잔고!$A$1:$EZ$1500,설정!$L$5+ROW()-1,설정!$L$16),""),"")</f>
        <v/>
      </c>
      <c r="K716" s="87" t="str">
        <f aca="false">IFERROR(IF(ISNUMBER(INDEX(원자료_잔고!$A$1:$EZ$1500,설정!$L$5+ROW()-1,설정!$L$17)),INDEX(원자료_잔고!$A$1:$EZ$1500,설정!$L$5+ROW()-1,설정!$L$17),""),"")</f>
        <v/>
      </c>
      <c r="L716" s="84" t="str">
        <f aca="false">IFERROR(IF(ISNUMBER(INDEX(원자료_잔고!$A$1:$EZ$1500,설정!$L$5+ROW()-1,설정!$L$18)),INDEX(원자료_잔고!$A$1:$EZ$1500,설정!$L$5+ROW()-1,설정!$L$18),""),"")</f>
        <v/>
      </c>
      <c r="M716" s="88" t="str">
        <f aca="false">IFERROR(IF(ISNUMBER(INDEX(원자료_잔고!$A$1:$EZ$1500,설정!$L$5+ROW()-1,설정!$L$19)),INDEX(원자료_잔고!$A$1:$EZ$1500,설정!$L$5+ROW()-1,설정!$L$19),""),"")</f>
        <v/>
      </c>
      <c r="N716" s="83" t="str">
        <f aca="false">IFERROR(IF(INDEX(원자료_잔고!$A$1:$EZ$1500,설정!$L$5+ROW()-1,설정!$L$21)&amp;""="0","",INDEX(원자료_잔고!$A$1:$EZ$1500,설정!$L$5+ROW()-1,설정!$L$21)&amp;""),"")</f>
        <v/>
      </c>
      <c r="O716" s="83" t="str">
        <f aca="false">IFERROR(IF(INDEX(원자료_잔고!$A$1:$EZ$1500,설정!$L$5+ROW()-1,설정!$L$22)&amp;""="0","",INDEX(원자료_잔고!$A$1:$EZ$1500,설정!$L$5+ROW()-1,설정!$L$22)&amp;""),"")</f>
        <v/>
      </c>
      <c r="P716" s="83" t="str">
        <f aca="false">IFERROR(IF(INDEX(원자료_잔고!$A$1:$EZ$1500,설정!$L$5+ROW()-1,설정!$L$23)&amp;""="0","",INDEX(원자료_잔고!$A$1:$EZ$1500,설정!$L$5+ROW()-1,설정!$L$23)&amp;""),"")</f>
        <v/>
      </c>
      <c r="Q716" s="89" t="n">
        <f aca="false">IF(AND($A716&lt;&gt;"",ISNUMBER(E716)),IF(E716&gt;0,1,0),0)</f>
        <v>0</v>
      </c>
      <c r="R716" s="43" t="str">
        <f aca="false">IF(Q716=1,UPPER(LEFT($A716,FIND(" ",$A716&amp;" ")-1)),"")</f>
        <v/>
      </c>
      <c r="S716" s="89" t="n">
        <f aca="false">IF(Q716=1,IF(OR(ISNUMBER(SEARCH("Float",$A716)),ISNUMBER(SEARCH("FRN",$A716))),1,0),0)</f>
        <v>0</v>
      </c>
      <c r="T716" s="43" t="str">
        <f aca="false">IF(AND(Q716=1,ISNUMBER(I716)),TEXT(I716,"yyyymmdd")&amp;"|"&amp;IF(S716=1,"F",TEXT(J716,"0.000")),"")</f>
        <v/>
      </c>
      <c r="U716" s="90" t="str">
        <f aca="false">IF(AND(Q716=1,ISNUMBER(I716)),(I716-설정!$C$4)/365.25,"")</f>
        <v/>
      </c>
      <c r="V716" s="43" t="str">
        <f aca="false">IF(Q716&lt;&gt;1,"",IF(ISNUMBER(U716),IF(U716&lt;=1,"1년 이하",IF(U716&lt;=2,"1-2년",IF(U716&lt;=3,"2-3년",IF(U716&lt;=4,"3-4년",IF(U716&lt;=5,"4-5년",IF(U716&lt;=7,"5-7년",IF(U716&lt;=10,"7-10년",IF(U716&lt;=20,"10-20년","20년 이상")))))))),"미분류"))</f>
        <v/>
      </c>
      <c r="W716" s="43" t="str">
        <f aca="false">IF(Q716&lt;&gt;1,"",IF(AB716&lt;&gt;"",INDEX(시장분석!$C:$C,AB716),IF(K716=1,"USD","비USD")))</f>
        <v/>
      </c>
      <c r="X716" s="91" t="n">
        <f aca="false">IF(Q716=1,E716*K716/1000000,0)</f>
        <v>0</v>
      </c>
      <c r="Y716" s="89" t="n">
        <f aca="false">IF(R716="T",1,0)</f>
        <v>0</v>
      </c>
      <c r="Z716" s="92" t="str">
        <f aca="false">IF(Q716&lt;&gt;1,"",IF(AD716=1,IF(ISNUMBER(U716),MAX(U716,0),H716),H716))</f>
        <v/>
      </c>
      <c r="AA716" s="91" t="n">
        <f aca="false">IF(Q716=1,IF(ISNUMBER(L716),L716,0)*K716/1000000,0)</f>
        <v>0</v>
      </c>
      <c r="AB716" s="89" t="str">
        <f aca="false">IF(Q716&lt;&gt;1,"",IFERROR(MATCH(VLOOKUP(B716,매핑!$H$4:$I$15,2,0),시장분석!$A$2:$A$601,0)+1,IFERROR(MATCH(R716&amp;"|"&amp;T716,시장분석!$V$2:$V$601,0)+1,IF(COUNTIF(시장분석!$U$2:$U$601,T716)=1,MATCH(T716,시장분석!$U$2:$U$601,0)+1,""))))</f>
        <v/>
      </c>
      <c r="AC716" s="89" t="n">
        <f aca="false">IF(Q716&lt;&gt;1,0,IF(OR(설정!$C$5="전체",AND(설정!$C$5="선택펀드",IFERROR(COUNTIFS(설정!$F$16:$F$36,C716,설정!$G$16:$G$36,"Y")+COUNTIFS(설정!$F$16:$F$36,VALUE(C716),설정!$G$16:$G$36,"Y"),0)&gt;0),C716&amp;""=설정!$C$5&amp;""),1,0))</f>
        <v>0</v>
      </c>
      <c r="AD716" s="89" t="n">
        <f aca="false">IF(Q716&lt;&gt;1,0,IF(OR(S716=1,IF(AB716="",FALSE(),INDEX(시장분석!$R:$R,AB716)=1)),1,0))</f>
        <v>0</v>
      </c>
      <c r="AE716" s="43" t="str">
        <f aca="false">IF(AB716="","",INDEX(시장분석!$A:$A,AB716))</f>
        <v/>
      </c>
      <c r="AF716" s="93" t="str">
        <f aca="false">IF(AB716="","",IF(ISNUMBER(IF(AB716="","",INDEX(시장분석!$E:$E,AB716))),IF(AB716="","",INDEX(시장분석!$E:$E,AB716)),""))</f>
        <v/>
      </c>
      <c r="AG716" s="43" t="str">
        <f aca="false">IF(Q716&lt;&gt;1,"",IF(AB716&lt;&gt;"",IF(AB716="","",INDEX(시장분석!$L:$L,AB716)),IFERROR(IF(VLOOKUP(R716,매핑!$A$4:$E$92,5,0)="","미분류",VLOOKUP(R716,매핑!$A$4:$E$92,5,0)),"미분류")))</f>
        <v/>
      </c>
      <c r="AH716" s="43" t="str">
        <f aca="false">IF(Q716&lt;&gt;1,"",IF(AB716&lt;&gt;"",IF(AB716="","",INDEX(시장분석!$N:$N,AB716)),IFERROR(IF(VLOOKUP(R716,매핑!$A$4:$E$92,4,0)="","미분류",VLOOKUP(R716,매핑!$A$4:$E$92,4,0)),"미분류")))</f>
        <v/>
      </c>
      <c r="AI716" s="43" t="str">
        <f aca="false">IF(Q716&lt;&gt;1,"",IFERROR(IF(VLOOKUP(R716,매핑!$A$4:$E$92,3,0)="","미분류",VLOOKUP(R716,매핑!$A$4:$E$92,3,0)),IF(AB716&lt;&gt;"",IF(AB716="","",INDEX(시장분석!$W:$W,AB716)),"미분류")))</f>
        <v/>
      </c>
      <c r="AJ716" s="43" t="str">
        <f aca="false">IF(Q716&lt;&gt;1,"",IFERROR(VLOOKUP(IF(N716&lt;&gt;"",N716,IF(P716&lt;&gt;"",P716,O716)),설정!$A$15:$D$47,2,0),""))</f>
        <v/>
      </c>
      <c r="AK716" s="43" t="str">
        <f aca="false">IF(Q716&lt;&gt;1,"",IF(AJ716="","무등급",IFERROR(VLOOKUP(AJ716,설정!$A$15:$D$47,3,0),"무등급")))</f>
        <v/>
      </c>
      <c r="AL716" s="89" t="n">
        <f aca="false">IF(AJ716="",99,IFERROR(VLOOKUP(AJ716,설정!$A$15:$D$47,4,0),99))</f>
        <v>99</v>
      </c>
      <c r="AM716" s="94" t="n">
        <f aca="false">IF(ISNUMBER(H716),AA716*1000000*H716/10000,0)</f>
        <v>0</v>
      </c>
      <c r="AN716" s="94" t="n">
        <f aca="false">IF(OR(Y716=1,NOT(ISNUMBER(Z716))),0,AA716*1000000*Z716/10000)</f>
        <v>0</v>
      </c>
      <c r="AO716" s="94" t="n">
        <f aca="false">IF(ISNUMBER(G716),AA716*1000000*G716/100,0)</f>
        <v>0</v>
      </c>
      <c r="AP716" s="94" t="n">
        <f aca="false">IF(ISNUMBER(M716),M716*K716,0)</f>
        <v>0</v>
      </c>
      <c r="AQ716" s="95" t="str">
        <f aca="false">IF(AB716="","",INDEX(시장분석!$AK:$AK,AB716))</f>
        <v/>
      </c>
      <c r="AR716" s="43" t="str">
        <f aca="false">IF(AB716="","-",IF(AB716="","",INDEX(시장분석!$AL:$AL,AB716)))</f>
        <v>-</v>
      </c>
      <c r="AS716" s="96" t="str">
        <f aca="false">IF(AB716="","",INDEX(시장분석!$AJ:$AJ,AB716))</f>
        <v/>
      </c>
      <c r="AT716" s="93" t="n">
        <f aca="false">IF(AB716="",0,IF(AB716="","",INDEX(시장분석!$AN:$AN,AB716)))</f>
        <v>0</v>
      </c>
      <c r="AU716" s="94" t="n">
        <f aca="false">IF(ISNUMBER(Z716),AT716/10000*MAX(Z716-1,0)*AA716*1000000,0)</f>
        <v>0</v>
      </c>
      <c r="AV716" s="94" t="n">
        <f aca="false">AO716+AU716</f>
        <v>0</v>
      </c>
      <c r="AW716" s="43" t="str">
        <f aca="false">IF(Q716&lt;&gt;1,"",TRIM(IF(AD716=1,"FRN ","")&amp;IF(AND(AL716&gt;=10,AL716&lt;99),"BBB0미만 ","")&amp;IF(AJ716="","등급없음 ","")&amp;IF(K716&lt;&gt;1,"비USD ","")&amp;IF(AND(AB716="",Y716=0),"시장데이터없음 ","")&amp;IF(AND(ISNUMBER(U716),U716&lt;0),"만기경과 ","")))</f>
        <v/>
      </c>
      <c r="AX716" s="90" t="n">
        <f aca="false">IF(Q716&lt;&gt;1,1,IF(스프레드쇼크!$C$4="Y",INDEX(스프레드쇼크!$B$12:$L$16,IFERROR(MATCH(AH716,스프레드쇼크!$A$12:$A$16,0),MATCH("목록외",스프레드쇼크!$A$12:$A$16,0)),IFERROR(MATCH(AG716,스프레드쇼크!$B$11:$L$11,0),MATCH("목록외",스프레드쇼크!$B$11:$L$11,0))),1))</f>
        <v>1</v>
      </c>
      <c r="AY716" s="90" t="n">
        <f aca="false">IF(스프레드쇼크!$C$5="Y",IF(ISNUMBER(AF716),MIN(스프레드쇼크!$C$7,MAX(스프레드쇼크!$C$6,AF716/스프레드쇼크!$C$8)),1),1)</f>
        <v>1</v>
      </c>
      <c r="AZ716" s="94" t="n">
        <f aca="false">AN716*AX716*AY716</f>
        <v>0</v>
      </c>
      <c r="BA716" s="90" t="n">
        <f aca="false">IF(ISNUMBER(G716),AA716*G716,0)</f>
        <v>0</v>
      </c>
      <c r="BB716" s="90" t="n">
        <f aca="false">IF(ISNUMBER(G716),AA716,0)</f>
        <v>0</v>
      </c>
      <c r="BC716" s="90" t="n">
        <f aca="false">IF(AND(Y716=0,ISNUMBER(AF716)),AA716*AF716,0)</f>
        <v>0</v>
      </c>
      <c r="BD716" s="90" t="n">
        <f aca="false">IF(AND(Y716=0,ISNUMBER(AF716)),AA716,0)</f>
        <v>0</v>
      </c>
      <c r="BE716" s="90" t="n">
        <f aca="false">IF(ISNUMBER(H716),AA716*H716,0)</f>
        <v>0</v>
      </c>
      <c r="BF716" s="90" t="n">
        <f aca="false">IF(ISNUMBER(H716),AA716,0)</f>
        <v>0</v>
      </c>
      <c r="BG716" s="90" t="n">
        <f aca="false">IF(AND(Y716=0,ISNUMBER(AF716),ISNUMBER(Z716)),AA716*Z716,0)</f>
        <v>0</v>
      </c>
      <c r="BH716" s="90" t="n">
        <f aca="false">IF(AND(Y716=0,ISNUMBER(AF716),ISNUMBER(Z716)),AA716*AT716*MAX(Z716-1,0),0)</f>
        <v>0</v>
      </c>
      <c r="BI716" s="90" t="n">
        <f aca="false">IF(Y716=0,AA716,0)</f>
        <v>0</v>
      </c>
    </row>
    <row r="717" customFormat="false" ht="15" hidden="false" customHeight="false" outlineLevel="0" collapsed="false">
      <c r="A717" s="83" t="str">
        <f aca="false">IFERROR(IF(INDEX(원자료_잔고!$A$1:$EZ$1500,설정!$L$5+ROW()-1,설정!$L$8)&amp;""="0","",INDEX(원자료_잔고!$A$1:$EZ$1500,설정!$L$5+ROW()-1,설정!$L$8)&amp;""),"")</f>
        <v/>
      </c>
      <c r="B717" s="83" t="str">
        <f aca="false">IFERROR(IF(INDEX(원자료_잔고!$A$1:$EZ$1500,설정!$L$5+ROW()-1,설정!$L$7)&amp;""="0","",INDEX(원자료_잔고!$A$1:$EZ$1500,설정!$L$5+ROW()-1,설정!$L$7)&amp;""),"")</f>
        <v/>
      </c>
      <c r="C717" s="83" t="str">
        <f aca="false">IFERROR(IF(INDEX(원자료_잔고!$A$1:$EZ$1500,설정!$L$5+ROW()-1,설정!$L$9)&amp;""="0","",INDEX(원자료_잔고!$A$1:$EZ$1500,설정!$L$5+ROW()-1,설정!$L$9)&amp;""),"")</f>
        <v/>
      </c>
      <c r="D717" s="83" t="str">
        <f aca="false">IFERROR(IF(INDEX(원자료_잔고!$A$1:$EZ$1500,설정!$L$5+ROW()-1,설정!$L$10)&amp;""="0","",INDEX(원자료_잔고!$A$1:$EZ$1500,설정!$L$5+ROW()-1,설정!$L$10)&amp;""),"")</f>
        <v/>
      </c>
      <c r="E717" s="84" t="str">
        <f aca="false">IFERROR(IF(ISNUMBER(INDEX(원자료_잔고!$A$1:$EZ$1500,설정!$L$5+ROW()-1,설정!$L$11)),INDEX(원자료_잔고!$A$1:$EZ$1500,설정!$L$5+ROW()-1,설정!$L$11),""),"")</f>
        <v/>
      </c>
      <c r="F717" s="85" t="str">
        <f aca="false">IFERROR(IF(ISNUMBER(INDEX(원자료_잔고!$A$1:$EZ$1500,설정!$L$5+ROW()-1,설정!$L$12)),INDEX(원자료_잔고!$A$1:$EZ$1500,설정!$L$5+ROW()-1,설정!$L$12),""),"")</f>
        <v/>
      </c>
      <c r="G717" s="85" t="str">
        <f aca="false">IFERROR(IF(ISNUMBER(INDEX(원자료_잔고!$A$1:$EZ$1500,설정!$L$5+ROW()-1,설정!$L$13)),INDEX(원자료_잔고!$A$1:$EZ$1500,설정!$L$5+ROW()-1,설정!$L$13),""),"")</f>
        <v/>
      </c>
      <c r="H717" s="85" t="str">
        <f aca="false">IFERROR(IF(ISNUMBER(INDEX(원자료_잔고!$A$1:$EZ$1500,설정!$L$5+ROW()-1,설정!$L$14)),INDEX(원자료_잔고!$A$1:$EZ$1500,설정!$L$5+ROW()-1,설정!$L$14),""),"")</f>
        <v/>
      </c>
      <c r="I717" s="86" t="str">
        <f aca="false">IFERROR(IF(ISNUMBER(INDEX(원자료_잔고!$A$1:$EZ$1500,설정!$L$5+ROW()-1,설정!$L$15)),INDEX(원자료_잔고!$A$1:$EZ$1500,설정!$L$5+ROW()-1,설정!$L$15),""),"")</f>
        <v/>
      </c>
      <c r="J717" s="85" t="str">
        <f aca="false">IFERROR(IF(ISNUMBER(INDEX(원자료_잔고!$A$1:$EZ$1500,설정!$L$5+ROW()-1,설정!$L$16)),INDEX(원자료_잔고!$A$1:$EZ$1500,설정!$L$5+ROW()-1,설정!$L$16),""),"")</f>
        <v/>
      </c>
      <c r="K717" s="87" t="str">
        <f aca="false">IFERROR(IF(ISNUMBER(INDEX(원자료_잔고!$A$1:$EZ$1500,설정!$L$5+ROW()-1,설정!$L$17)),INDEX(원자료_잔고!$A$1:$EZ$1500,설정!$L$5+ROW()-1,설정!$L$17),""),"")</f>
        <v/>
      </c>
      <c r="L717" s="84" t="str">
        <f aca="false">IFERROR(IF(ISNUMBER(INDEX(원자료_잔고!$A$1:$EZ$1500,설정!$L$5+ROW()-1,설정!$L$18)),INDEX(원자료_잔고!$A$1:$EZ$1500,설정!$L$5+ROW()-1,설정!$L$18),""),"")</f>
        <v/>
      </c>
      <c r="M717" s="88" t="str">
        <f aca="false">IFERROR(IF(ISNUMBER(INDEX(원자료_잔고!$A$1:$EZ$1500,설정!$L$5+ROW()-1,설정!$L$19)),INDEX(원자료_잔고!$A$1:$EZ$1500,설정!$L$5+ROW()-1,설정!$L$19),""),"")</f>
        <v/>
      </c>
      <c r="N717" s="83" t="str">
        <f aca="false">IFERROR(IF(INDEX(원자료_잔고!$A$1:$EZ$1500,설정!$L$5+ROW()-1,설정!$L$21)&amp;""="0","",INDEX(원자료_잔고!$A$1:$EZ$1500,설정!$L$5+ROW()-1,설정!$L$21)&amp;""),"")</f>
        <v/>
      </c>
      <c r="O717" s="83" t="str">
        <f aca="false">IFERROR(IF(INDEX(원자료_잔고!$A$1:$EZ$1500,설정!$L$5+ROW()-1,설정!$L$22)&amp;""="0","",INDEX(원자료_잔고!$A$1:$EZ$1500,설정!$L$5+ROW()-1,설정!$L$22)&amp;""),"")</f>
        <v/>
      </c>
      <c r="P717" s="83" t="str">
        <f aca="false">IFERROR(IF(INDEX(원자료_잔고!$A$1:$EZ$1500,설정!$L$5+ROW()-1,설정!$L$23)&amp;""="0","",INDEX(원자료_잔고!$A$1:$EZ$1500,설정!$L$5+ROW()-1,설정!$L$23)&amp;""),"")</f>
        <v/>
      </c>
      <c r="Q717" s="89" t="n">
        <f aca="false">IF(AND($A717&lt;&gt;"",ISNUMBER(E717)),IF(E717&gt;0,1,0),0)</f>
        <v>0</v>
      </c>
      <c r="R717" s="43" t="str">
        <f aca="false">IF(Q717=1,UPPER(LEFT($A717,FIND(" ",$A717&amp;" ")-1)),"")</f>
        <v/>
      </c>
      <c r="S717" s="89" t="n">
        <f aca="false">IF(Q717=1,IF(OR(ISNUMBER(SEARCH("Float",$A717)),ISNUMBER(SEARCH("FRN",$A717))),1,0),0)</f>
        <v>0</v>
      </c>
      <c r="T717" s="43" t="str">
        <f aca="false">IF(AND(Q717=1,ISNUMBER(I717)),TEXT(I717,"yyyymmdd")&amp;"|"&amp;IF(S717=1,"F",TEXT(J717,"0.000")),"")</f>
        <v/>
      </c>
      <c r="U717" s="90" t="str">
        <f aca="false">IF(AND(Q717=1,ISNUMBER(I717)),(I717-설정!$C$4)/365.25,"")</f>
        <v/>
      </c>
      <c r="V717" s="43" t="str">
        <f aca="false">IF(Q717&lt;&gt;1,"",IF(ISNUMBER(U717),IF(U717&lt;=1,"1년 이하",IF(U717&lt;=2,"1-2년",IF(U717&lt;=3,"2-3년",IF(U717&lt;=4,"3-4년",IF(U717&lt;=5,"4-5년",IF(U717&lt;=7,"5-7년",IF(U717&lt;=10,"7-10년",IF(U717&lt;=20,"10-20년","20년 이상")))))))),"미분류"))</f>
        <v/>
      </c>
      <c r="W717" s="43" t="str">
        <f aca="false">IF(Q717&lt;&gt;1,"",IF(AB717&lt;&gt;"",INDEX(시장분석!$C:$C,AB717),IF(K717=1,"USD","비USD")))</f>
        <v/>
      </c>
      <c r="X717" s="91" t="n">
        <f aca="false">IF(Q717=1,E717*K717/1000000,0)</f>
        <v>0</v>
      </c>
      <c r="Y717" s="89" t="n">
        <f aca="false">IF(R717="T",1,0)</f>
        <v>0</v>
      </c>
      <c r="Z717" s="92" t="str">
        <f aca="false">IF(Q717&lt;&gt;1,"",IF(AD717=1,IF(ISNUMBER(U717),MAX(U717,0),H717),H717))</f>
        <v/>
      </c>
      <c r="AA717" s="91" t="n">
        <f aca="false">IF(Q717=1,IF(ISNUMBER(L717),L717,0)*K717/1000000,0)</f>
        <v>0</v>
      </c>
      <c r="AB717" s="89" t="str">
        <f aca="false">IF(Q717&lt;&gt;1,"",IFERROR(MATCH(VLOOKUP(B717,매핑!$H$4:$I$15,2,0),시장분석!$A$2:$A$601,0)+1,IFERROR(MATCH(R717&amp;"|"&amp;T717,시장분석!$V$2:$V$601,0)+1,IF(COUNTIF(시장분석!$U$2:$U$601,T717)=1,MATCH(T717,시장분석!$U$2:$U$601,0)+1,""))))</f>
        <v/>
      </c>
      <c r="AC717" s="89" t="n">
        <f aca="false">IF(Q717&lt;&gt;1,0,IF(OR(설정!$C$5="전체",AND(설정!$C$5="선택펀드",IFERROR(COUNTIFS(설정!$F$16:$F$36,C717,설정!$G$16:$G$36,"Y")+COUNTIFS(설정!$F$16:$F$36,VALUE(C717),설정!$G$16:$G$36,"Y"),0)&gt;0),C717&amp;""=설정!$C$5&amp;""),1,0))</f>
        <v>0</v>
      </c>
      <c r="AD717" s="89" t="n">
        <f aca="false">IF(Q717&lt;&gt;1,0,IF(OR(S717=1,IF(AB717="",FALSE(),INDEX(시장분석!$R:$R,AB717)=1)),1,0))</f>
        <v>0</v>
      </c>
      <c r="AE717" s="43" t="str">
        <f aca="false">IF(AB717="","",INDEX(시장분석!$A:$A,AB717))</f>
        <v/>
      </c>
      <c r="AF717" s="93" t="str">
        <f aca="false">IF(AB717="","",IF(ISNUMBER(IF(AB717="","",INDEX(시장분석!$E:$E,AB717))),IF(AB717="","",INDEX(시장분석!$E:$E,AB717)),""))</f>
        <v/>
      </c>
      <c r="AG717" s="43" t="str">
        <f aca="false">IF(Q717&lt;&gt;1,"",IF(AB717&lt;&gt;"",IF(AB717="","",INDEX(시장분석!$L:$L,AB717)),IFERROR(IF(VLOOKUP(R717,매핑!$A$4:$E$92,5,0)="","미분류",VLOOKUP(R717,매핑!$A$4:$E$92,5,0)),"미분류")))</f>
        <v/>
      </c>
      <c r="AH717" s="43" t="str">
        <f aca="false">IF(Q717&lt;&gt;1,"",IF(AB717&lt;&gt;"",IF(AB717="","",INDEX(시장분석!$N:$N,AB717)),IFERROR(IF(VLOOKUP(R717,매핑!$A$4:$E$92,4,0)="","미분류",VLOOKUP(R717,매핑!$A$4:$E$92,4,0)),"미분류")))</f>
        <v/>
      </c>
      <c r="AI717" s="43" t="str">
        <f aca="false">IF(Q717&lt;&gt;1,"",IFERROR(IF(VLOOKUP(R717,매핑!$A$4:$E$92,3,0)="","미분류",VLOOKUP(R717,매핑!$A$4:$E$92,3,0)),IF(AB717&lt;&gt;"",IF(AB717="","",INDEX(시장분석!$W:$W,AB717)),"미분류")))</f>
        <v/>
      </c>
      <c r="AJ717" s="43" t="str">
        <f aca="false">IF(Q717&lt;&gt;1,"",IFERROR(VLOOKUP(IF(N717&lt;&gt;"",N717,IF(P717&lt;&gt;"",P717,O717)),설정!$A$15:$D$47,2,0),""))</f>
        <v/>
      </c>
      <c r="AK717" s="43" t="str">
        <f aca="false">IF(Q717&lt;&gt;1,"",IF(AJ717="","무등급",IFERROR(VLOOKUP(AJ717,설정!$A$15:$D$47,3,0),"무등급")))</f>
        <v/>
      </c>
      <c r="AL717" s="89" t="n">
        <f aca="false">IF(AJ717="",99,IFERROR(VLOOKUP(AJ717,설정!$A$15:$D$47,4,0),99))</f>
        <v>99</v>
      </c>
      <c r="AM717" s="94" t="n">
        <f aca="false">IF(ISNUMBER(H717),AA717*1000000*H717/10000,0)</f>
        <v>0</v>
      </c>
      <c r="AN717" s="94" t="n">
        <f aca="false">IF(OR(Y717=1,NOT(ISNUMBER(Z717))),0,AA717*1000000*Z717/10000)</f>
        <v>0</v>
      </c>
      <c r="AO717" s="94" t="n">
        <f aca="false">IF(ISNUMBER(G717),AA717*1000000*G717/100,0)</f>
        <v>0</v>
      </c>
      <c r="AP717" s="94" t="n">
        <f aca="false">IF(ISNUMBER(M717),M717*K717,0)</f>
        <v>0</v>
      </c>
      <c r="AQ717" s="95" t="str">
        <f aca="false">IF(AB717="","",INDEX(시장분석!$AK:$AK,AB717))</f>
        <v/>
      </c>
      <c r="AR717" s="43" t="str">
        <f aca="false">IF(AB717="","-",IF(AB717="","",INDEX(시장분석!$AL:$AL,AB717)))</f>
        <v>-</v>
      </c>
      <c r="AS717" s="96" t="str">
        <f aca="false">IF(AB717="","",INDEX(시장분석!$AJ:$AJ,AB717))</f>
        <v/>
      </c>
      <c r="AT717" s="93" t="n">
        <f aca="false">IF(AB717="",0,IF(AB717="","",INDEX(시장분석!$AN:$AN,AB717)))</f>
        <v>0</v>
      </c>
      <c r="AU717" s="94" t="n">
        <f aca="false">IF(ISNUMBER(Z717),AT717/10000*MAX(Z717-1,0)*AA717*1000000,0)</f>
        <v>0</v>
      </c>
      <c r="AV717" s="94" t="n">
        <f aca="false">AO717+AU717</f>
        <v>0</v>
      </c>
      <c r="AW717" s="43" t="str">
        <f aca="false">IF(Q717&lt;&gt;1,"",TRIM(IF(AD717=1,"FRN ","")&amp;IF(AND(AL717&gt;=10,AL717&lt;99),"BBB0미만 ","")&amp;IF(AJ717="","등급없음 ","")&amp;IF(K717&lt;&gt;1,"비USD ","")&amp;IF(AND(AB717="",Y717=0),"시장데이터없음 ","")&amp;IF(AND(ISNUMBER(U717),U717&lt;0),"만기경과 ","")))</f>
        <v/>
      </c>
      <c r="AX717" s="90" t="n">
        <f aca="false">IF(Q717&lt;&gt;1,1,IF(스프레드쇼크!$C$4="Y",INDEX(스프레드쇼크!$B$12:$L$16,IFERROR(MATCH(AH717,스프레드쇼크!$A$12:$A$16,0),MATCH("목록외",스프레드쇼크!$A$12:$A$16,0)),IFERROR(MATCH(AG717,스프레드쇼크!$B$11:$L$11,0),MATCH("목록외",스프레드쇼크!$B$11:$L$11,0))),1))</f>
        <v>1</v>
      </c>
      <c r="AY717" s="90" t="n">
        <f aca="false">IF(스프레드쇼크!$C$5="Y",IF(ISNUMBER(AF717),MIN(스프레드쇼크!$C$7,MAX(스프레드쇼크!$C$6,AF717/스프레드쇼크!$C$8)),1),1)</f>
        <v>1</v>
      </c>
      <c r="AZ717" s="94" t="n">
        <f aca="false">AN717*AX717*AY717</f>
        <v>0</v>
      </c>
      <c r="BA717" s="90" t="n">
        <f aca="false">IF(ISNUMBER(G717),AA717*G717,0)</f>
        <v>0</v>
      </c>
      <c r="BB717" s="90" t="n">
        <f aca="false">IF(ISNUMBER(G717),AA717,0)</f>
        <v>0</v>
      </c>
      <c r="BC717" s="90" t="n">
        <f aca="false">IF(AND(Y717=0,ISNUMBER(AF717)),AA717*AF717,0)</f>
        <v>0</v>
      </c>
      <c r="BD717" s="90" t="n">
        <f aca="false">IF(AND(Y717=0,ISNUMBER(AF717)),AA717,0)</f>
        <v>0</v>
      </c>
      <c r="BE717" s="90" t="n">
        <f aca="false">IF(ISNUMBER(H717),AA717*H717,0)</f>
        <v>0</v>
      </c>
      <c r="BF717" s="90" t="n">
        <f aca="false">IF(ISNUMBER(H717),AA717,0)</f>
        <v>0</v>
      </c>
      <c r="BG717" s="90" t="n">
        <f aca="false">IF(AND(Y717=0,ISNUMBER(AF717),ISNUMBER(Z717)),AA717*Z717,0)</f>
        <v>0</v>
      </c>
      <c r="BH717" s="90" t="n">
        <f aca="false">IF(AND(Y717=0,ISNUMBER(AF717),ISNUMBER(Z717)),AA717*AT717*MAX(Z717-1,0),0)</f>
        <v>0</v>
      </c>
      <c r="BI717" s="90" t="n">
        <f aca="false">IF(Y717=0,AA717,0)</f>
        <v>0</v>
      </c>
    </row>
    <row r="718" customFormat="false" ht="15" hidden="false" customHeight="false" outlineLevel="0" collapsed="false">
      <c r="A718" s="83" t="str">
        <f aca="false">IFERROR(IF(INDEX(원자료_잔고!$A$1:$EZ$1500,설정!$L$5+ROW()-1,설정!$L$8)&amp;""="0","",INDEX(원자료_잔고!$A$1:$EZ$1500,설정!$L$5+ROW()-1,설정!$L$8)&amp;""),"")</f>
        <v/>
      </c>
      <c r="B718" s="83" t="str">
        <f aca="false">IFERROR(IF(INDEX(원자료_잔고!$A$1:$EZ$1500,설정!$L$5+ROW()-1,설정!$L$7)&amp;""="0","",INDEX(원자료_잔고!$A$1:$EZ$1500,설정!$L$5+ROW()-1,설정!$L$7)&amp;""),"")</f>
        <v/>
      </c>
      <c r="C718" s="83" t="str">
        <f aca="false">IFERROR(IF(INDEX(원자료_잔고!$A$1:$EZ$1500,설정!$L$5+ROW()-1,설정!$L$9)&amp;""="0","",INDEX(원자료_잔고!$A$1:$EZ$1500,설정!$L$5+ROW()-1,설정!$L$9)&amp;""),"")</f>
        <v/>
      </c>
      <c r="D718" s="83" t="str">
        <f aca="false">IFERROR(IF(INDEX(원자료_잔고!$A$1:$EZ$1500,설정!$L$5+ROW()-1,설정!$L$10)&amp;""="0","",INDEX(원자료_잔고!$A$1:$EZ$1500,설정!$L$5+ROW()-1,설정!$L$10)&amp;""),"")</f>
        <v/>
      </c>
      <c r="E718" s="84" t="str">
        <f aca="false">IFERROR(IF(ISNUMBER(INDEX(원자료_잔고!$A$1:$EZ$1500,설정!$L$5+ROW()-1,설정!$L$11)),INDEX(원자료_잔고!$A$1:$EZ$1500,설정!$L$5+ROW()-1,설정!$L$11),""),"")</f>
        <v/>
      </c>
      <c r="F718" s="85" t="str">
        <f aca="false">IFERROR(IF(ISNUMBER(INDEX(원자료_잔고!$A$1:$EZ$1500,설정!$L$5+ROW()-1,설정!$L$12)),INDEX(원자료_잔고!$A$1:$EZ$1500,설정!$L$5+ROW()-1,설정!$L$12),""),"")</f>
        <v/>
      </c>
      <c r="G718" s="85" t="str">
        <f aca="false">IFERROR(IF(ISNUMBER(INDEX(원자료_잔고!$A$1:$EZ$1500,설정!$L$5+ROW()-1,설정!$L$13)),INDEX(원자료_잔고!$A$1:$EZ$1500,설정!$L$5+ROW()-1,설정!$L$13),""),"")</f>
        <v/>
      </c>
      <c r="H718" s="85" t="str">
        <f aca="false">IFERROR(IF(ISNUMBER(INDEX(원자료_잔고!$A$1:$EZ$1500,설정!$L$5+ROW()-1,설정!$L$14)),INDEX(원자료_잔고!$A$1:$EZ$1500,설정!$L$5+ROW()-1,설정!$L$14),""),"")</f>
        <v/>
      </c>
      <c r="I718" s="86" t="str">
        <f aca="false">IFERROR(IF(ISNUMBER(INDEX(원자료_잔고!$A$1:$EZ$1500,설정!$L$5+ROW()-1,설정!$L$15)),INDEX(원자료_잔고!$A$1:$EZ$1500,설정!$L$5+ROW()-1,설정!$L$15),""),"")</f>
        <v/>
      </c>
      <c r="J718" s="85" t="str">
        <f aca="false">IFERROR(IF(ISNUMBER(INDEX(원자료_잔고!$A$1:$EZ$1500,설정!$L$5+ROW()-1,설정!$L$16)),INDEX(원자료_잔고!$A$1:$EZ$1500,설정!$L$5+ROW()-1,설정!$L$16),""),"")</f>
        <v/>
      </c>
      <c r="K718" s="87" t="str">
        <f aca="false">IFERROR(IF(ISNUMBER(INDEX(원자료_잔고!$A$1:$EZ$1500,설정!$L$5+ROW()-1,설정!$L$17)),INDEX(원자료_잔고!$A$1:$EZ$1500,설정!$L$5+ROW()-1,설정!$L$17),""),"")</f>
        <v/>
      </c>
      <c r="L718" s="84" t="str">
        <f aca="false">IFERROR(IF(ISNUMBER(INDEX(원자료_잔고!$A$1:$EZ$1500,설정!$L$5+ROW()-1,설정!$L$18)),INDEX(원자료_잔고!$A$1:$EZ$1500,설정!$L$5+ROW()-1,설정!$L$18),""),"")</f>
        <v/>
      </c>
      <c r="M718" s="88" t="str">
        <f aca="false">IFERROR(IF(ISNUMBER(INDEX(원자료_잔고!$A$1:$EZ$1500,설정!$L$5+ROW()-1,설정!$L$19)),INDEX(원자료_잔고!$A$1:$EZ$1500,설정!$L$5+ROW()-1,설정!$L$19),""),"")</f>
        <v/>
      </c>
      <c r="N718" s="83" t="str">
        <f aca="false">IFERROR(IF(INDEX(원자료_잔고!$A$1:$EZ$1500,설정!$L$5+ROW()-1,설정!$L$21)&amp;""="0","",INDEX(원자료_잔고!$A$1:$EZ$1500,설정!$L$5+ROW()-1,설정!$L$21)&amp;""),"")</f>
        <v/>
      </c>
      <c r="O718" s="83" t="str">
        <f aca="false">IFERROR(IF(INDEX(원자료_잔고!$A$1:$EZ$1500,설정!$L$5+ROW()-1,설정!$L$22)&amp;""="0","",INDEX(원자료_잔고!$A$1:$EZ$1500,설정!$L$5+ROW()-1,설정!$L$22)&amp;""),"")</f>
        <v/>
      </c>
      <c r="P718" s="83" t="str">
        <f aca="false">IFERROR(IF(INDEX(원자료_잔고!$A$1:$EZ$1500,설정!$L$5+ROW()-1,설정!$L$23)&amp;""="0","",INDEX(원자료_잔고!$A$1:$EZ$1500,설정!$L$5+ROW()-1,설정!$L$23)&amp;""),"")</f>
        <v/>
      </c>
      <c r="Q718" s="89" t="n">
        <f aca="false">IF(AND($A718&lt;&gt;"",ISNUMBER(E718)),IF(E718&gt;0,1,0),0)</f>
        <v>0</v>
      </c>
      <c r="R718" s="43" t="str">
        <f aca="false">IF(Q718=1,UPPER(LEFT($A718,FIND(" ",$A718&amp;" ")-1)),"")</f>
        <v/>
      </c>
      <c r="S718" s="89" t="n">
        <f aca="false">IF(Q718=1,IF(OR(ISNUMBER(SEARCH("Float",$A718)),ISNUMBER(SEARCH("FRN",$A718))),1,0),0)</f>
        <v>0</v>
      </c>
      <c r="T718" s="43" t="str">
        <f aca="false">IF(AND(Q718=1,ISNUMBER(I718)),TEXT(I718,"yyyymmdd")&amp;"|"&amp;IF(S718=1,"F",TEXT(J718,"0.000")),"")</f>
        <v/>
      </c>
      <c r="U718" s="90" t="str">
        <f aca="false">IF(AND(Q718=1,ISNUMBER(I718)),(I718-설정!$C$4)/365.25,"")</f>
        <v/>
      </c>
      <c r="V718" s="43" t="str">
        <f aca="false">IF(Q718&lt;&gt;1,"",IF(ISNUMBER(U718),IF(U718&lt;=1,"1년 이하",IF(U718&lt;=2,"1-2년",IF(U718&lt;=3,"2-3년",IF(U718&lt;=4,"3-4년",IF(U718&lt;=5,"4-5년",IF(U718&lt;=7,"5-7년",IF(U718&lt;=10,"7-10년",IF(U718&lt;=20,"10-20년","20년 이상")))))))),"미분류"))</f>
        <v/>
      </c>
      <c r="W718" s="43" t="str">
        <f aca="false">IF(Q718&lt;&gt;1,"",IF(AB718&lt;&gt;"",INDEX(시장분석!$C:$C,AB718),IF(K718=1,"USD","비USD")))</f>
        <v/>
      </c>
      <c r="X718" s="91" t="n">
        <f aca="false">IF(Q718=1,E718*K718/1000000,0)</f>
        <v>0</v>
      </c>
      <c r="Y718" s="89" t="n">
        <f aca="false">IF(R718="T",1,0)</f>
        <v>0</v>
      </c>
      <c r="Z718" s="92" t="str">
        <f aca="false">IF(Q718&lt;&gt;1,"",IF(AD718=1,IF(ISNUMBER(U718),MAX(U718,0),H718),H718))</f>
        <v/>
      </c>
      <c r="AA718" s="91" t="n">
        <f aca="false">IF(Q718=1,IF(ISNUMBER(L718),L718,0)*K718/1000000,0)</f>
        <v>0</v>
      </c>
      <c r="AB718" s="89" t="str">
        <f aca="false">IF(Q718&lt;&gt;1,"",IFERROR(MATCH(VLOOKUP(B718,매핑!$H$4:$I$15,2,0),시장분석!$A$2:$A$601,0)+1,IFERROR(MATCH(R718&amp;"|"&amp;T718,시장분석!$V$2:$V$601,0)+1,IF(COUNTIF(시장분석!$U$2:$U$601,T718)=1,MATCH(T718,시장분석!$U$2:$U$601,0)+1,""))))</f>
        <v/>
      </c>
      <c r="AC718" s="89" t="n">
        <f aca="false">IF(Q718&lt;&gt;1,0,IF(OR(설정!$C$5="전체",AND(설정!$C$5="선택펀드",IFERROR(COUNTIFS(설정!$F$16:$F$36,C718,설정!$G$16:$G$36,"Y")+COUNTIFS(설정!$F$16:$F$36,VALUE(C718),설정!$G$16:$G$36,"Y"),0)&gt;0),C718&amp;""=설정!$C$5&amp;""),1,0))</f>
        <v>0</v>
      </c>
      <c r="AD718" s="89" t="n">
        <f aca="false">IF(Q718&lt;&gt;1,0,IF(OR(S718=1,IF(AB718="",FALSE(),INDEX(시장분석!$R:$R,AB718)=1)),1,0))</f>
        <v>0</v>
      </c>
      <c r="AE718" s="43" t="str">
        <f aca="false">IF(AB718="","",INDEX(시장분석!$A:$A,AB718))</f>
        <v/>
      </c>
      <c r="AF718" s="93" t="str">
        <f aca="false">IF(AB718="","",IF(ISNUMBER(IF(AB718="","",INDEX(시장분석!$E:$E,AB718))),IF(AB718="","",INDEX(시장분석!$E:$E,AB718)),""))</f>
        <v/>
      </c>
      <c r="AG718" s="43" t="str">
        <f aca="false">IF(Q718&lt;&gt;1,"",IF(AB718&lt;&gt;"",IF(AB718="","",INDEX(시장분석!$L:$L,AB718)),IFERROR(IF(VLOOKUP(R718,매핑!$A$4:$E$92,5,0)="","미분류",VLOOKUP(R718,매핑!$A$4:$E$92,5,0)),"미분류")))</f>
        <v/>
      </c>
      <c r="AH718" s="43" t="str">
        <f aca="false">IF(Q718&lt;&gt;1,"",IF(AB718&lt;&gt;"",IF(AB718="","",INDEX(시장분석!$N:$N,AB718)),IFERROR(IF(VLOOKUP(R718,매핑!$A$4:$E$92,4,0)="","미분류",VLOOKUP(R718,매핑!$A$4:$E$92,4,0)),"미분류")))</f>
        <v/>
      </c>
      <c r="AI718" s="43" t="str">
        <f aca="false">IF(Q718&lt;&gt;1,"",IFERROR(IF(VLOOKUP(R718,매핑!$A$4:$E$92,3,0)="","미분류",VLOOKUP(R718,매핑!$A$4:$E$92,3,0)),IF(AB718&lt;&gt;"",IF(AB718="","",INDEX(시장분석!$W:$W,AB718)),"미분류")))</f>
        <v/>
      </c>
      <c r="AJ718" s="43" t="str">
        <f aca="false">IF(Q718&lt;&gt;1,"",IFERROR(VLOOKUP(IF(N718&lt;&gt;"",N718,IF(P718&lt;&gt;"",P718,O718)),설정!$A$15:$D$47,2,0),""))</f>
        <v/>
      </c>
      <c r="AK718" s="43" t="str">
        <f aca="false">IF(Q718&lt;&gt;1,"",IF(AJ718="","무등급",IFERROR(VLOOKUP(AJ718,설정!$A$15:$D$47,3,0),"무등급")))</f>
        <v/>
      </c>
      <c r="AL718" s="89" t="n">
        <f aca="false">IF(AJ718="",99,IFERROR(VLOOKUP(AJ718,설정!$A$15:$D$47,4,0),99))</f>
        <v>99</v>
      </c>
      <c r="AM718" s="94" t="n">
        <f aca="false">IF(ISNUMBER(H718),AA718*1000000*H718/10000,0)</f>
        <v>0</v>
      </c>
      <c r="AN718" s="94" t="n">
        <f aca="false">IF(OR(Y718=1,NOT(ISNUMBER(Z718))),0,AA718*1000000*Z718/10000)</f>
        <v>0</v>
      </c>
      <c r="AO718" s="94" t="n">
        <f aca="false">IF(ISNUMBER(G718),AA718*1000000*G718/100,0)</f>
        <v>0</v>
      </c>
      <c r="AP718" s="94" t="n">
        <f aca="false">IF(ISNUMBER(M718),M718*K718,0)</f>
        <v>0</v>
      </c>
      <c r="AQ718" s="95" t="str">
        <f aca="false">IF(AB718="","",INDEX(시장분석!$AK:$AK,AB718))</f>
        <v/>
      </c>
      <c r="AR718" s="43" t="str">
        <f aca="false">IF(AB718="","-",IF(AB718="","",INDEX(시장분석!$AL:$AL,AB718)))</f>
        <v>-</v>
      </c>
      <c r="AS718" s="96" t="str">
        <f aca="false">IF(AB718="","",INDEX(시장분석!$AJ:$AJ,AB718))</f>
        <v/>
      </c>
      <c r="AT718" s="93" t="n">
        <f aca="false">IF(AB718="",0,IF(AB718="","",INDEX(시장분석!$AN:$AN,AB718)))</f>
        <v>0</v>
      </c>
      <c r="AU718" s="94" t="n">
        <f aca="false">IF(ISNUMBER(Z718),AT718/10000*MAX(Z718-1,0)*AA718*1000000,0)</f>
        <v>0</v>
      </c>
      <c r="AV718" s="94" t="n">
        <f aca="false">AO718+AU718</f>
        <v>0</v>
      </c>
      <c r="AW718" s="43" t="str">
        <f aca="false">IF(Q718&lt;&gt;1,"",TRIM(IF(AD718=1,"FRN ","")&amp;IF(AND(AL718&gt;=10,AL718&lt;99),"BBB0미만 ","")&amp;IF(AJ718="","등급없음 ","")&amp;IF(K718&lt;&gt;1,"비USD ","")&amp;IF(AND(AB718="",Y718=0),"시장데이터없음 ","")&amp;IF(AND(ISNUMBER(U718),U718&lt;0),"만기경과 ","")))</f>
        <v/>
      </c>
      <c r="AX718" s="90" t="n">
        <f aca="false">IF(Q718&lt;&gt;1,1,IF(스프레드쇼크!$C$4="Y",INDEX(스프레드쇼크!$B$12:$L$16,IFERROR(MATCH(AH718,스프레드쇼크!$A$12:$A$16,0),MATCH("목록외",스프레드쇼크!$A$12:$A$16,0)),IFERROR(MATCH(AG718,스프레드쇼크!$B$11:$L$11,0),MATCH("목록외",스프레드쇼크!$B$11:$L$11,0))),1))</f>
        <v>1</v>
      </c>
      <c r="AY718" s="90" t="n">
        <f aca="false">IF(스프레드쇼크!$C$5="Y",IF(ISNUMBER(AF718),MIN(스프레드쇼크!$C$7,MAX(스프레드쇼크!$C$6,AF718/스프레드쇼크!$C$8)),1),1)</f>
        <v>1</v>
      </c>
      <c r="AZ718" s="94" t="n">
        <f aca="false">AN718*AX718*AY718</f>
        <v>0</v>
      </c>
      <c r="BA718" s="90" t="n">
        <f aca="false">IF(ISNUMBER(G718),AA718*G718,0)</f>
        <v>0</v>
      </c>
      <c r="BB718" s="90" t="n">
        <f aca="false">IF(ISNUMBER(G718),AA718,0)</f>
        <v>0</v>
      </c>
      <c r="BC718" s="90" t="n">
        <f aca="false">IF(AND(Y718=0,ISNUMBER(AF718)),AA718*AF718,0)</f>
        <v>0</v>
      </c>
      <c r="BD718" s="90" t="n">
        <f aca="false">IF(AND(Y718=0,ISNUMBER(AF718)),AA718,0)</f>
        <v>0</v>
      </c>
      <c r="BE718" s="90" t="n">
        <f aca="false">IF(ISNUMBER(H718),AA718*H718,0)</f>
        <v>0</v>
      </c>
      <c r="BF718" s="90" t="n">
        <f aca="false">IF(ISNUMBER(H718),AA718,0)</f>
        <v>0</v>
      </c>
      <c r="BG718" s="90" t="n">
        <f aca="false">IF(AND(Y718=0,ISNUMBER(AF718),ISNUMBER(Z718)),AA718*Z718,0)</f>
        <v>0</v>
      </c>
      <c r="BH718" s="90" t="n">
        <f aca="false">IF(AND(Y718=0,ISNUMBER(AF718),ISNUMBER(Z718)),AA718*AT718*MAX(Z718-1,0),0)</f>
        <v>0</v>
      </c>
      <c r="BI718" s="90" t="n">
        <f aca="false">IF(Y718=0,AA718,0)</f>
        <v>0</v>
      </c>
    </row>
    <row r="719" customFormat="false" ht="15" hidden="false" customHeight="false" outlineLevel="0" collapsed="false">
      <c r="A719" s="83" t="str">
        <f aca="false">IFERROR(IF(INDEX(원자료_잔고!$A$1:$EZ$1500,설정!$L$5+ROW()-1,설정!$L$8)&amp;""="0","",INDEX(원자료_잔고!$A$1:$EZ$1500,설정!$L$5+ROW()-1,설정!$L$8)&amp;""),"")</f>
        <v/>
      </c>
      <c r="B719" s="83" t="str">
        <f aca="false">IFERROR(IF(INDEX(원자료_잔고!$A$1:$EZ$1500,설정!$L$5+ROW()-1,설정!$L$7)&amp;""="0","",INDEX(원자료_잔고!$A$1:$EZ$1500,설정!$L$5+ROW()-1,설정!$L$7)&amp;""),"")</f>
        <v/>
      </c>
      <c r="C719" s="83" t="str">
        <f aca="false">IFERROR(IF(INDEX(원자료_잔고!$A$1:$EZ$1500,설정!$L$5+ROW()-1,설정!$L$9)&amp;""="0","",INDEX(원자료_잔고!$A$1:$EZ$1500,설정!$L$5+ROW()-1,설정!$L$9)&amp;""),"")</f>
        <v/>
      </c>
      <c r="D719" s="83" t="str">
        <f aca="false">IFERROR(IF(INDEX(원자료_잔고!$A$1:$EZ$1500,설정!$L$5+ROW()-1,설정!$L$10)&amp;""="0","",INDEX(원자료_잔고!$A$1:$EZ$1500,설정!$L$5+ROW()-1,설정!$L$10)&amp;""),"")</f>
        <v/>
      </c>
      <c r="E719" s="84" t="str">
        <f aca="false">IFERROR(IF(ISNUMBER(INDEX(원자료_잔고!$A$1:$EZ$1500,설정!$L$5+ROW()-1,설정!$L$11)),INDEX(원자료_잔고!$A$1:$EZ$1500,설정!$L$5+ROW()-1,설정!$L$11),""),"")</f>
        <v/>
      </c>
      <c r="F719" s="85" t="str">
        <f aca="false">IFERROR(IF(ISNUMBER(INDEX(원자료_잔고!$A$1:$EZ$1500,설정!$L$5+ROW()-1,설정!$L$12)),INDEX(원자료_잔고!$A$1:$EZ$1500,설정!$L$5+ROW()-1,설정!$L$12),""),"")</f>
        <v/>
      </c>
      <c r="G719" s="85" t="str">
        <f aca="false">IFERROR(IF(ISNUMBER(INDEX(원자료_잔고!$A$1:$EZ$1500,설정!$L$5+ROW()-1,설정!$L$13)),INDEX(원자료_잔고!$A$1:$EZ$1500,설정!$L$5+ROW()-1,설정!$L$13),""),"")</f>
        <v/>
      </c>
      <c r="H719" s="85" t="str">
        <f aca="false">IFERROR(IF(ISNUMBER(INDEX(원자료_잔고!$A$1:$EZ$1500,설정!$L$5+ROW()-1,설정!$L$14)),INDEX(원자료_잔고!$A$1:$EZ$1500,설정!$L$5+ROW()-1,설정!$L$14),""),"")</f>
        <v/>
      </c>
      <c r="I719" s="86" t="str">
        <f aca="false">IFERROR(IF(ISNUMBER(INDEX(원자료_잔고!$A$1:$EZ$1500,설정!$L$5+ROW()-1,설정!$L$15)),INDEX(원자료_잔고!$A$1:$EZ$1500,설정!$L$5+ROW()-1,설정!$L$15),""),"")</f>
        <v/>
      </c>
      <c r="J719" s="85" t="str">
        <f aca="false">IFERROR(IF(ISNUMBER(INDEX(원자료_잔고!$A$1:$EZ$1500,설정!$L$5+ROW()-1,설정!$L$16)),INDEX(원자료_잔고!$A$1:$EZ$1500,설정!$L$5+ROW()-1,설정!$L$16),""),"")</f>
        <v/>
      </c>
      <c r="K719" s="87" t="str">
        <f aca="false">IFERROR(IF(ISNUMBER(INDEX(원자료_잔고!$A$1:$EZ$1500,설정!$L$5+ROW()-1,설정!$L$17)),INDEX(원자료_잔고!$A$1:$EZ$1500,설정!$L$5+ROW()-1,설정!$L$17),""),"")</f>
        <v/>
      </c>
      <c r="L719" s="84" t="str">
        <f aca="false">IFERROR(IF(ISNUMBER(INDEX(원자료_잔고!$A$1:$EZ$1500,설정!$L$5+ROW()-1,설정!$L$18)),INDEX(원자료_잔고!$A$1:$EZ$1500,설정!$L$5+ROW()-1,설정!$L$18),""),"")</f>
        <v/>
      </c>
      <c r="M719" s="88" t="str">
        <f aca="false">IFERROR(IF(ISNUMBER(INDEX(원자료_잔고!$A$1:$EZ$1500,설정!$L$5+ROW()-1,설정!$L$19)),INDEX(원자료_잔고!$A$1:$EZ$1500,설정!$L$5+ROW()-1,설정!$L$19),""),"")</f>
        <v/>
      </c>
      <c r="N719" s="83" t="str">
        <f aca="false">IFERROR(IF(INDEX(원자료_잔고!$A$1:$EZ$1500,설정!$L$5+ROW()-1,설정!$L$21)&amp;""="0","",INDEX(원자료_잔고!$A$1:$EZ$1500,설정!$L$5+ROW()-1,설정!$L$21)&amp;""),"")</f>
        <v/>
      </c>
      <c r="O719" s="83" t="str">
        <f aca="false">IFERROR(IF(INDEX(원자료_잔고!$A$1:$EZ$1500,설정!$L$5+ROW()-1,설정!$L$22)&amp;""="0","",INDEX(원자료_잔고!$A$1:$EZ$1500,설정!$L$5+ROW()-1,설정!$L$22)&amp;""),"")</f>
        <v/>
      </c>
      <c r="P719" s="83" t="str">
        <f aca="false">IFERROR(IF(INDEX(원자료_잔고!$A$1:$EZ$1500,설정!$L$5+ROW()-1,설정!$L$23)&amp;""="0","",INDEX(원자료_잔고!$A$1:$EZ$1500,설정!$L$5+ROW()-1,설정!$L$23)&amp;""),"")</f>
        <v/>
      </c>
      <c r="Q719" s="89" t="n">
        <f aca="false">IF(AND($A719&lt;&gt;"",ISNUMBER(E719)),IF(E719&gt;0,1,0),0)</f>
        <v>0</v>
      </c>
      <c r="R719" s="43" t="str">
        <f aca="false">IF(Q719=1,UPPER(LEFT($A719,FIND(" ",$A719&amp;" ")-1)),"")</f>
        <v/>
      </c>
      <c r="S719" s="89" t="n">
        <f aca="false">IF(Q719=1,IF(OR(ISNUMBER(SEARCH("Float",$A719)),ISNUMBER(SEARCH("FRN",$A719))),1,0),0)</f>
        <v>0</v>
      </c>
      <c r="T719" s="43" t="str">
        <f aca="false">IF(AND(Q719=1,ISNUMBER(I719)),TEXT(I719,"yyyymmdd")&amp;"|"&amp;IF(S719=1,"F",TEXT(J719,"0.000")),"")</f>
        <v/>
      </c>
      <c r="U719" s="90" t="str">
        <f aca="false">IF(AND(Q719=1,ISNUMBER(I719)),(I719-설정!$C$4)/365.25,"")</f>
        <v/>
      </c>
      <c r="V719" s="43" t="str">
        <f aca="false">IF(Q719&lt;&gt;1,"",IF(ISNUMBER(U719),IF(U719&lt;=1,"1년 이하",IF(U719&lt;=2,"1-2년",IF(U719&lt;=3,"2-3년",IF(U719&lt;=4,"3-4년",IF(U719&lt;=5,"4-5년",IF(U719&lt;=7,"5-7년",IF(U719&lt;=10,"7-10년",IF(U719&lt;=20,"10-20년","20년 이상")))))))),"미분류"))</f>
        <v/>
      </c>
      <c r="W719" s="43" t="str">
        <f aca="false">IF(Q719&lt;&gt;1,"",IF(AB719&lt;&gt;"",INDEX(시장분석!$C:$C,AB719),IF(K719=1,"USD","비USD")))</f>
        <v/>
      </c>
      <c r="X719" s="91" t="n">
        <f aca="false">IF(Q719=1,E719*K719/1000000,0)</f>
        <v>0</v>
      </c>
      <c r="Y719" s="89" t="n">
        <f aca="false">IF(R719="T",1,0)</f>
        <v>0</v>
      </c>
      <c r="Z719" s="92" t="str">
        <f aca="false">IF(Q719&lt;&gt;1,"",IF(AD719=1,IF(ISNUMBER(U719),MAX(U719,0),H719),H719))</f>
        <v/>
      </c>
      <c r="AA719" s="91" t="n">
        <f aca="false">IF(Q719=1,IF(ISNUMBER(L719),L719,0)*K719/1000000,0)</f>
        <v>0</v>
      </c>
      <c r="AB719" s="89" t="str">
        <f aca="false">IF(Q719&lt;&gt;1,"",IFERROR(MATCH(VLOOKUP(B719,매핑!$H$4:$I$15,2,0),시장분석!$A$2:$A$601,0)+1,IFERROR(MATCH(R719&amp;"|"&amp;T719,시장분석!$V$2:$V$601,0)+1,IF(COUNTIF(시장분석!$U$2:$U$601,T719)=1,MATCH(T719,시장분석!$U$2:$U$601,0)+1,""))))</f>
        <v/>
      </c>
      <c r="AC719" s="89" t="n">
        <f aca="false">IF(Q719&lt;&gt;1,0,IF(OR(설정!$C$5="전체",AND(설정!$C$5="선택펀드",IFERROR(COUNTIFS(설정!$F$16:$F$36,C719,설정!$G$16:$G$36,"Y")+COUNTIFS(설정!$F$16:$F$36,VALUE(C719),설정!$G$16:$G$36,"Y"),0)&gt;0),C719&amp;""=설정!$C$5&amp;""),1,0))</f>
        <v>0</v>
      </c>
      <c r="AD719" s="89" t="n">
        <f aca="false">IF(Q719&lt;&gt;1,0,IF(OR(S719=1,IF(AB719="",FALSE(),INDEX(시장분석!$R:$R,AB719)=1)),1,0))</f>
        <v>0</v>
      </c>
      <c r="AE719" s="43" t="str">
        <f aca="false">IF(AB719="","",INDEX(시장분석!$A:$A,AB719))</f>
        <v/>
      </c>
      <c r="AF719" s="93" t="str">
        <f aca="false">IF(AB719="","",IF(ISNUMBER(IF(AB719="","",INDEX(시장분석!$E:$E,AB719))),IF(AB719="","",INDEX(시장분석!$E:$E,AB719)),""))</f>
        <v/>
      </c>
      <c r="AG719" s="43" t="str">
        <f aca="false">IF(Q719&lt;&gt;1,"",IF(AB719&lt;&gt;"",IF(AB719="","",INDEX(시장분석!$L:$L,AB719)),IFERROR(IF(VLOOKUP(R719,매핑!$A$4:$E$92,5,0)="","미분류",VLOOKUP(R719,매핑!$A$4:$E$92,5,0)),"미분류")))</f>
        <v/>
      </c>
      <c r="AH719" s="43" t="str">
        <f aca="false">IF(Q719&lt;&gt;1,"",IF(AB719&lt;&gt;"",IF(AB719="","",INDEX(시장분석!$N:$N,AB719)),IFERROR(IF(VLOOKUP(R719,매핑!$A$4:$E$92,4,0)="","미분류",VLOOKUP(R719,매핑!$A$4:$E$92,4,0)),"미분류")))</f>
        <v/>
      </c>
      <c r="AI719" s="43" t="str">
        <f aca="false">IF(Q719&lt;&gt;1,"",IFERROR(IF(VLOOKUP(R719,매핑!$A$4:$E$92,3,0)="","미분류",VLOOKUP(R719,매핑!$A$4:$E$92,3,0)),IF(AB719&lt;&gt;"",IF(AB719="","",INDEX(시장분석!$W:$W,AB719)),"미분류")))</f>
        <v/>
      </c>
      <c r="AJ719" s="43" t="str">
        <f aca="false">IF(Q719&lt;&gt;1,"",IFERROR(VLOOKUP(IF(N719&lt;&gt;"",N719,IF(P719&lt;&gt;"",P719,O719)),설정!$A$15:$D$47,2,0),""))</f>
        <v/>
      </c>
      <c r="AK719" s="43" t="str">
        <f aca="false">IF(Q719&lt;&gt;1,"",IF(AJ719="","무등급",IFERROR(VLOOKUP(AJ719,설정!$A$15:$D$47,3,0),"무등급")))</f>
        <v/>
      </c>
      <c r="AL719" s="89" t="n">
        <f aca="false">IF(AJ719="",99,IFERROR(VLOOKUP(AJ719,설정!$A$15:$D$47,4,0),99))</f>
        <v>99</v>
      </c>
      <c r="AM719" s="94" t="n">
        <f aca="false">IF(ISNUMBER(H719),AA719*1000000*H719/10000,0)</f>
        <v>0</v>
      </c>
      <c r="AN719" s="94" t="n">
        <f aca="false">IF(OR(Y719=1,NOT(ISNUMBER(Z719))),0,AA719*1000000*Z719/10000)</f>
        <v>0</v>
      </c>
      <c r="AO719" s="94" t="n">
        <f aca="false">IF(ISNUMBER(G719),AA719*1000000*G719/100,0)</f>
        <v>0</v>
      </c>
      <c r="AP719" s="94" t="n">
        <f aca="false">IF(ISNUMBER(M719),M719*K719,0)</f>
        <v>0</v>
      </c>
      <c r="AQ719" s="95" t="str">
        <f aca="false">IF(AB719="","",INDEX(시장분석!$AK:$AK,AB719))</f>
        <v/>
      </c>
      <c r="AR719" s="43" t="str">
        <f aca="false">IF(AB719="","-",IF(AB719="","",INDEX(시장분석!$AL:$AL,AB719)))</f>
        <v>-</v>
      </c>
      <c r="AS719" s="96" t="str">
        <f aca="false">IF(AB719="","",INDEX(시장분석!$AJ:$AJ,AB719))</f>
        <v/>
      </c>
      <c r="AT719" s="93" t="n">
        <f aca="false">IF(AB719="",0,IF(AB719="","",INDEX(시장분석!$AN:$AN,AB719)))</f>
        <v>0</v>
      </c>
      <c r="AU719" s="94" t="n">
        <f aca="false">IF(ISNUMBER(Z719),AT719/10000*MAX(Z719-1,0)*AA719*1000000,0)</f>
        <v>0</v>
      </c>
      <c r="AV719" s="94" t="n">
        <f aca="false">AO719+AU719</f>
        <v>0</v>
      </c>
      <c r="AW719" s="43" t="str">
        <f aca="false">IF(Q719&lt;&gt;1,"",TRIM(IF(AD719=1,"FRN ","")&amp;IF(AND(AL719&gt;=10,AL719&lt;99),"BBB0미만 ","")&amp;IF(AJ719="","등급없음 ","")&amp;IF(K719&lt;&gt;1,"비USD ","")&amp;IF(AND(AB719="",Y719=0),"시장데이터없음 ","")&amp;IF(AND(ISNUMBER(U719),U719&lt;0),"만기경과 ","")))</f>
        <v/>
      </c>
      <c r="AX719" s="90" t="n">
        <f aca="false">IF(Q719&lt;&gt;1,1,IF(스프레드쇼크!$C$4="Y",INDEX(스프레드쇼크!$B$12:$L$16,IFERROR(MATCH(AH719,스프레드쇼크!$A$12:$A$16,0),MATCH("목록외",스프레드쇼크!$A$12:$A$16,0)),IFERROR(MATCH(AG719,스프레드쇼크!$B$11:$L$11,0),MATCH("목록외",스프레드쇼크!$B$11:$L$11,0))),1))</f>
        <v>1</v>
      </c>
      <c r="AY719" s="90" t="n">
        <f aca="false">IF(스프레드쇼크!$C$5="Y",IF(ISNUMBER(AF719),MIN(스프레드쇼크!$C$7,MAX(스프레드쇼크!$C$6,AF719/스프레드쇼크!$C$8)),1),1)</f>
        <v>1</v>
      </c>
      <c r="AZ719" s="94" t="n">
        <f aca="false">AN719*AX719*AY719</f>
        <v>0</v>
      </c>
      <c r="BA719" s="90" t="n">
        <f aca="false">IF(ISNUMBER(G719),AA719*G719,0)</f>
        <v>0</v>
      </c>
      <c r="BB719" s="90" t="n">
        <f aca="false">IF(ISNUMBER(G719),AA719,0)</f>
        <v>0</v>
      </c>
      <c r="BC719" s="90" t="n">
        <f aca="false">IF(AND(Y719=0,ISNUMBER(AF719)),AA719*AF719,0)</f>
        <v>0</v>
      </c>
      <c r="BD719" s="90" t="n">
        <f aca="false">IF(AND(Y719=0,ISNUMBER(AF719)),AA719,0)</f>
        <v>0</v>
      </c>
      <c r="BE719" s="90" t="n">
        <f aca="false">IF(ISNUMBER(H719),AA719*H719,0)</f>
        <v>0</v>
      </c>
      <c r="BF719" s="90" t="n">
        <f aca="false">IF(ISNUMBER(H719),AA719,0)</f>
        <v>0</v>
      </c>
      <c r="BG719" s="90" t="n">
        <f aca="false">IF(AND(Y719=0,ISNUMBER(AF719),ISNUMBER(Z719)),AA719*Z719,0)</f>
        <v>0</v>
      </c>
      <c r="BH719" s="90" t="n">
        <f aca="false">IF(AND(Y719=0,ISNUMBER(AF719),ISNUMBER(Z719)),AA719*AT719*MAX(Z719-1,0),0)</f>
        <v>0</v>
      </c>
      <c r="BI719" s="90" t="n">
        <f aca="false">IF(Y719=0,AA719,0)</f>
        <v>0</v>
      </c>
    </row>
    <row r="720" customFormat="false" ht="15" hidden="false" customHeight="false" outlineLevel="0" collapsed="false">
      <c r="A720" s="83" t="str">
        <f aca="false">IFERROR(IF(INDEX(원자료_잔고!$A$1:$EZ$1500,설정!$L$5+ROW()-1,설정!$L$8)&amp;""="0","",INDEX(원자료_잔고!$A$1:$EZ$1500,설정!$L$5+ROW()-1,설정!$L$8)&amp;""),"")</f>
        <v/>
      </c>
      <c r="B720" s="83" t="str">
        <f aca="false">IFERROR(IF(INDEX(원자료_잔고!$A$1:$EZ$1500,설정!$L$5+ROW()-1,설정!$L$7)&amp;""="0","",INDEX(원자료_잔고!$A$1:$EZ$1500,설정!$L$5+ROW()-1,설정!$L$7)&amp;""),"")</f>
        <v/>
      </c>
      <c r="C720" s="83" t="str">
        <f aca="false">IFERROR(IF(INDEX(원자료_잔고!$A$1:$EZ$1500,설정!$L$5+ROW()-1,설정!$L$9)&amp;""="0","",INDEX(원자료_잔고!$A$1:$EZ$1500,설정!$L$5+ROW()-1,설정!$L$9)&amp;""),"")</f>
        <v/>
      </c>
      <c r="D720" s="83" t="str">
        <f aca="false">IFERROR(IF(INDEX(원자료_잔고!$A$1:$EZ$1500,설정!$L$5+ROW()-1,설정!$L$10)&amp;""="0","",INDEX(원자료_잔고!$A$1:$EZ$1500,설정!$L$5+ROW()-1,설정!$L$10)&amp;""),"")</f>
        <v/>
      </c>
      <c r="E720" s="84" t="str">
        <f aca="false">IFERROR(IF(ISNUMBER(INDEX(원자료_잔고!$A$1:$EZ$1500,설정!$L$5+ROW()-1,설정!$L$11)),INDEX(원자료_잔고!$A$1:$EZ$1500,설정!$L$5+ROW()-1,설정!$L$11),""),"")</f>
        <v/>
      </c>
      <c r="F720" s="85" t="str">
        <f aca="false">IFERROR(IF(ISNUMBER(INDEX(원자료_잔고!$A$1:$EZ$1500,설정!$L$5+ROW()-1,설정!$L$12)),INDEX(원자료_잔고!$A$1:$EZ$1500,설정!$L$5+ROW()-1,설정!$L$12),""),"")</f>
        <v/>
      </c>
      <c r="G720" s="85" t="str">
        <f aca="false">IFERROR(IF(ISNUMBER(INDEX(원자료_잔고!$A$1:$EZ$1500,설정!$L$5+ROW()-1,설정!$L$13)),INDEX(원자료_잔고!$A$1:$EZ$1500,설정!$L$5+ROW()-1,설정!$L$13),""),"")</f>
        <v/>
      </c>
      <c r="H720" s="85" t="str">
        <f aca="false">IFERROR(IF(ISNUMBER(INDEX(원자료_잔고!$A$1:$EZ$1500,설정!$L$5+ROW()-1,설정!$L$14)),INDEX(원자료_잔고!$A$1:$EZ$1500,설정!$L$5+ROW()-1,설정!$L$14),""),"")</f>
        <v/>
      </c>
      <c r="I720" s="86" t="str">
        <f aca="false">IFERROR(IF(ISNUMBER(INDEX(원자료_잔고!$A$1:$EZ$1500,설정!$L$5+ROW()-1,설정!$L$15)),INDEX(원자료_잔고!$A$1:$EZ$1500,설정!$L$5+ROW()-1,설정!$L$15),""),"")</f>
        <v/>
      </c>
      <c r="J720" s="85" t="str">
        <f aca="false">IFERROR(IF(ISNUMBER(INDEX(원자료_잔고!$A$1:$EZ$1500,설정!$L$5+ROW()-1,설정!$L$16)),INDEX(원자료_잔고!$A$1:$EZ$1500,설정!$L$5+ROW()-1,설정!$L$16),""),"")</f>
        <v/>
      </c>
      <c r="K720" s="87" t="str">
        <f aca="false">IFERROR(IF(ISNUMBER(INDEX(원자료_잔고!$A$1:$EZ$1500,설정!$L$5+ROW()-1,설정!$L$17)),INDEX(원자료_잔고!$A$1:$EZ$1500,설정!$L$5+ROW()-1,설정!$L$17),""),"")</f>
        <v/>
      </c>
      <c r="L720" s="84" t="str">
        <f aca="false">IFERROR(IF(ISNUMBER(INDEX(원자료_잔고!$A$1:$EZ$1500,설정!$L$5+ROW()-1,설정!$L$18)),INDEX(원자료_잔고!$A$1:$EZ$1500,설정!$L$5+ROW()-1,설정!$L$18),""),"")</f>
        <v/>
      </c>
      <c r="M720" s="88" t="str">
        <f aca="false">IFERROR(IF(ISNUMBER(INDEX(원자료_잔고!$A$1:$EZ$1500,설정!$L$5+ROW()-1,설정!$L$19)),INDEX(원자료_잔고!$A$1:$EZ$1500,설정!$L$5+ROW()-1,설정!$L$19),""),"")</f>
        <v/>
      </c>
      <c r="N720" s="83" t="str">
        <f aca="false">IFERROR(IF(INDEX(원자료_잔고!$A$1:$EZ$1500,설정!$L$5+ROW()-1,설정!$L$21)&amp;""="0","",INDEX(원자료_잔고!$A$1:$EZ$1500,설정!$L$5+ROW()-1,설정!$L$21)&amp;""),"")</f>
        <v/>
      </c>
      <c r="O720" s="83" t="str">
        <f aca="false">IFERROR(IF(INDEX(원자료_잔고!$A$1:$EZ$1500,설정!$L$5+ROW()-1,설정!$L$22)&amp;""="0","",INDEX(원자료_잔고!$A$1:$EZ$1500,설정!$L$5+ROW()-1,설정!$L$22)&amp;""),"")</f>
        <v/>
      </c>
      <c r="P720" s="83" t="str">
        <f aca="false">IFERROR(IF(INDEX(원자료_잔고!$A$1:$EZ$1500,설정!$L$5+ROW()-1,설정!$L$23)&amp;""="0","",INDEX(원자료_잔고!$A$1:$EZ$1500,설정!$L$5+ROW()-1,설정!$L$23)&amp;""),"")</f>
        <v/>
      </c>
      <c r="Q720" s="89" t="n">
        <f aca="false">IF(AND($A720&lt;&gt;"",ISNUMBER(E720)),IF(E720&gt;0,1,0),0)</f>
        <v>0</v>
      </c>
      <c r="R720" s="43" t="str">
        <f aca="false">IF(Q720=1,UPPER(LEFT($A720,FIND(" ",$A720&amp;" ")-1)),"")</f>
        <v/>
      </c>
      <c r="S720" s="89" t="n">
        <f aca="false">IF(Q720=1,IF(OR(ISNUMBER(SEARCH("Float",$A720)),ISNUMBER(SEARCH("FRN",$A720))),1,0),0)</f>
        <v>0</v>
      </c>
      <c r="T720" s="43" t="str">
        <f aca="false">IF(AND(Q720=1,ISNUMBER(I720)),TEXT(I720,"yyyymmdd")&amp;"|"&amp;IF(S720=1,"F",TEXT(J720,"0.000")),"")</f>
        <v/>
      </c>
      <c r="U720" s="90" t="str">
        <f aca="false">IF(AND(Q720=1,ISNUMBER(I720)),(I720-설정!$C$4)/365.25,"")</f>
        <v/>
      </c>
      <c r="V720" s="43" t="str">
        <f aca="false">IF(Q720&lt;&gt;1,"",IF(ISNUMBER(U720),IF(U720&lt;=1,"1년 이하",IF(U720&lt;=2,"1-2년",IF(U720&lt;=3,"2-3년",IF(U720&lt;=4,"3-4년",IF(U720&lt;=5,"4-5년",IF(U720&lt;=7,"5-7년",IF(U720&lt;=10,"7-10년",IF(U720&lt;=20,"10-20년","20년 이상")))))))),"미분류"))</f>
        <v/>
      </c>
      <c r="W720" s="43" t="str">
        <f aca="false">IF(Q720&lt;&gt;1,"",IF(AB720&lt;&gt;"",INDEX(시장분석!$C:$C,AB720),IF(K720=1,"USD","비USD")))</f>
        <v/>
      </c>
      <c r="X720" s="91" t="n">
        <f aca="false">IF(Q720=1,E720*K720/1000000,0)</f>
        <v>0</v>
      </c>
      <c r="Y720" s="89" t="n">
        <f aca="false">IF(R720="T",1,0)</f>
        <v>0</v>
      </c>
      <c r="Z720" s="92" t="str">
        <f aca="false">IF(Q720&lt;&gt;1,"",IF(AD720=1,IF(ISNUMBER(U720),MAX(U720,0),H720),H720))</f>
        <v/>
      </c>
      <c r="AA720" s="91" t="n">
        <f aca="false">IF(Q720=1,IF(ISNUMBER(L720),L720,0)*K720/1000000,0)</f>
        <v>0</v>
      </c>
      <c r="AB720" s="89" t="str">
        <f aca="false">IF(Q720&lt;&gt;1,"",IFERROR(MATCH(VLOOKUP(B720,매핑!$H$4:$I$15,2,0),시장분석!$A$2:$A$601,0)+1,IFERROR(MATCH(R720&amp;"|"&amp;T720,시장분석!$V$2:$V$601,0)+1,IF(COUNTIF(시장분석!$U$2:$U$601,T720)=1,MATCH(T720,시장분석!$U$2:$U$601,0)+1,""))))</f>
        <v/>
      </c>
      <c r="AC720" s="89" t="n">
        <f aca="false">IF(Q720&lt;&gt;1,0,IF(OR(설정!$C$5="전체",AND(설정!$C$5="선택펀드",IFERROR(COUNTIFS(설정!$F$16:$F$36,C720,설정!$G$16:$G$36,"Y")+COUNTIFS(설정!$F$16:$F$36,VALUE(C720),설정!$G$16:$G$36,"Y"),0)&gt;0),C720&amp;""=설정!$C$5&amp;""),1,0))</f>
        <v>0</v>
      </c>
      <c r="AD720" s="89" t="n">
        <f aca="false">IF(Q720&lt;&gt;1,0,IF(OR(S720=1,IF(AB720="",FALSE(),INDEX(시장분석!$R:$R,AB720)=1)),1,0))</f>
        <v>0</v>
      </c>
      <c r="AE720" s="43" t="str">
        <f aca="false">IF(AB720="","",INDEX(시장분석!$A:$A,AB720))</f>
        <v/>
      </c>
      <c r="AF720" s="93" t="str">
        <f aca="false">IF(AB720="","",IF(ISNUMBER(IF(AB720="","",INDEX(시장분석!$E:$E,AB720))),IF(AB720="","",INDEX(시장분석!$E:$E,AB720)),""))</f>
        <v/>
      </c>
      <c r="AG720" s="43" t="str">
        <f aca="false">IF(Q720&lt;&gt;1,"",IF(AB720&lt;&gt;"",IF(AB720="","",INDEX(시장분석!$L:$L,AB720)),IFERROR(IF(VLOOKUP(R720,매핑!$A$4:$E$92,5,0)="","미분류",VLOOKUP(R720,매핑!$A$4:$E$92,5,0)),"미분류")))</f>
        <v/>
      </c>
      <c r="AH720" s="43" t="str">
        <f aca="false">IF(Q720&lt;&gt;1,"",IF(AB720&lt;&gt;"",IF(AB720="","",INDEX(시장분석!$N:$N,AB720)),IFERROR(IF(VLOOKUP(R720,매핑!$A$4:$E$92,4,0)="","미분류",VLOOKUP(R720,매핑!$A$4:$E$92,4,0)),"미분류")))</f>
        <v/>
      </c>
      <c r="AI720" s="43" t="str">
        <f aca="false">IF(Q720&lt;&gt;1,"",IFERROR(IF(VLOOKUP(R720,매핑!$A$4:$E$92,3,0)="","미분류",VLOOKUP(R720,매핑!$A$4:$E$92,3,0)),IF(AB720&lt;&gt;"",IF(AB720="","",INDEX(시장분석!$W:$W,AB720)),"미분류")))</f>
        <v/>
      </c>
      <c r="AJ720" s="43" t="str">
        <f aca="false">IF(Q720&lt;&gt;1,"",IFERROR(VLOOKUP(IF(N720&lt;&gt;"",N720,IF(P720&lt;&gt;"",P720,O720)),설정!$A$15:$D$47,2,0),""))</f>
        <v/>
      </c>
      <c r="AK720" s="43" t="str">
        <f aca="false">IF(Q720&lt;&gt;1,"",IF(AJ720="","무등급",IFERROR(VLOOKUP(AJ720,설정!$A$15:$D$47,3,0),"무등급")))</f>
        <v/>
      </c>
      <c r="AL720" s="89" t="n">
        <f aca="false">IF(AJ720="",99,IFERROR(VLOOKUP(AJ720,설정!$A$15:$D$47,4,0),99))</f>
        <v>99</v>
      </c>
      <c r="AM720" s="94" t="n">
        <f aca="false">IF(ISNUMBER(H720),AA720*1000000*H720/10000,0)</f>
        <v>0</v>
      </c>
      <c r="AN720" s="94" t="n">
        <f aca="false">IF(OR(Y720=1,NOT(ISNUMBER(Z720))),0,AA720*1000000*Z720/10000)</f>
        <v>0</v>
      </c>
      <c r="AO720" s="94" t="n">
        <f aca="false">IF(ISNUMBER(G720),AA720*1000000*G720/100,0)</f>
        <v>0</v>
      </c>
      <c r="AP720" s="94" t="n">
        <f aca="false">IF(ISNUMBER(M720),M720*K720,0)</f>
        <v>0</v>
      </c>
      <c r="AQ720" s="95" t="str">
        <f aca="false">IF(AB720="","",INDEX(시장분석!$AK:$AK,AB720))</f>
        <v/>
      </c>
      <c r="AR720" s="43" t="str">
        <f aca="false">IF(AB720="","-",IF(AB720="","",INDEX(시장분석!$AL:$AL,AB720)))</f>
        <v>-</v>
      </c>
      <c r="AS720" s="96" t="str">
        <f aca="false">IF(AB720="","",INDEX(시장분석!$AJ:$AJ,AB720))</f>
        <v/>
      </c>
      <c r="AT720" s="93" t="n">
        <f aca="false">IF(AB720="",0,IF(AB720="","",INDEX(시장분석!$AN:$AN,AB720)))</f>
        <v>0</v>
      </c>
      <c r="AU720" s="94" t="n">
        <f aca="false">IF(ISNUMBER(Z720),AT720/10000*MAX(Z720-1,0)*AA720*1000000,0)</f>
        <v>0</v>
      </c>
      <c r="AV720" s="94" t="n">
        <f aca="false">AO720+AU720</f>
        <v>0</v>
      </c>
      <c r="AW720" s="43" t="str">
        <f aca="false">IF(Q720&lt;&gt;1,"",TRIM(IF(AD720=1,"FRN ","")&amp;IF(AND(AL720&gt;=10,AL720&lt;99),"BBB0미만 ","")&amp;IF(AJ720="","등급없음 ","")&amp;IF(K720&lt;&gt;1,"비USD ","")&amp;IF(AND(AB720="",Y720=0),"시장데이터없음 ","")&amp;IF(AND(ISNUMBER(U720),U720&lt;0),"만기경과 ","")))</f>
        <v/>
      </c>
      <c r="AX720" s="90" t="n">
        <f aca="false">IF(Q720&lt;&gt;1,1,IF(스프레드쇼크!$C$4="Y",INDEX(스프레드쇼크!$B$12:$L$16,IFERROR(MATCH(AH720,스프레드쇼크!$A$12:$A$16,0),MATCH("목록외",스프레드쇼크!$A$12:$A$16,0)),IFERROR(MATCH(AG720,스프레드쇼크!$B$11:$L$11,0),MATCH("목록외",스프레드쇼크!$B$11:$L$11,0))),1))</f>
        <v>1</v>
      </c>
      <c r="AY720" s="90" t="n">
        <f aca="false">IF(스프레드쇼크!$C$5="Y",IF(ISNUMBER(AF720),MIN(스프레드쇼크!$C$7,MAX(스프레드쇼크!$C$6,AF720/스프레드쇼크!$C$8)),1),1)</f>
        <v>1</v>
      </c>
      <c r="AZ720" s="94" t="n">
        <f aca="false">AN720*AX720*AY720</f>
        <v>0</v>
      </c>
      <c r="BA720" s="90" t="n">
        <f aca="false">IF(ISNUMBER(G720),AA720*G720,0)</f>
        <v>0</v>
      </c>
      <c r="BB720" s="90" t="n">
        <f aca="false">IF(ISNUMBER(G720),AA720,0)</f>
        <v>0</v>
      </c>
      <c r="BC720" s="90" t="n">
        <f aca="false">IF(AND(Y720=0,ISNUMBER(AF720)),AA720*AF720,0)</f>
        <v>0</v>
      </c>
      <c r="BD720" s="90" t="n">
        <f aca="false">IF(AND(Y720=0,ISNUMBER(AF720)),AA720,0)</f>
        <v>0</v>
      </c>
      <c r="BE720" s="90" t="n">
        <f aca="false">IF(ISNUMBER(H720),AA720*H720,0)</f>
        <v>0</v>
      </c>
      <c r="BF720" s="90" t="n">
        <f aca="false">IF(ISNUMBER(H720),AA720,0)</f>
        <v>0</v>
      </c>
      <c r="BG720" s="90" t="n">
        <f aca="false">IF(AND(Y720=0,ISNUMBER(AF720),ISNUMBER(Z720)),AA720*Z720,0)</f>
        <v>0</v>
      </c>
      <c r="BH720" s="90" t="n">
        <f aca="false">IF(AND(Y720=0,ISNUMBER(AF720),ISNUMBER(Z720)),AA720*AT720*MAX(Z720-1,0),0)</f>
        <v>0</v>
      </c>
      <c r="BI720" s="90" t="n">
        <f aca="false">IF(Y720=0,AA720,0)</f>
        <v>0</v>
      </c>
    </row>
    <row r="721" customFormat="false" ht="15" hidden="false" customHeight="false" outlineLevel="0" collapsed="false">
      <c r="A721" s="83" t="str">
        <f aca="false">IFERROR(IF(INDEX(원자료_잔고!$A$1:$EZ$1500,설정!$L$5+ROW()-1,설정!$L$8)&amp;""="0","",INDEX(원자료_잔고!$A$1:$EZ$1500,설정!$L$5+ROW()-1,설정!$L$8)&amp;""),"")</f>
        <v/>
      </c>
      <c r="B721" s="83" t="str">
        <f aca="false">IFERROR(IF(INDEX(원자료_잔고!$A$1:$EZ$1500,설정!$L$5+ROW()-1,설정!$L$7)&amp;""="0","",INDEX(원자료_잔고!$A$1:$EZ$1500,설정!$L$5+ROW()-1,설정!$L$7)&amp;""),"")</f>
        <v/>
      </c>
      <c r="C721" s="83" t="str">
        <f aca="false">IFERROR(IF(INDEX(원자료_잔고!$A$1:$EZ$1500,설정!$L$5+ROW()-1,설정!$L$9)&amp;""="0","",INDEX(원자료_잔고!$A$1:$EZ$1500,설정!$L$5+ROW()-1,설정!$L$9)&amp;""),"")</f>
        <v/>
      </c>
      <c r="D721" s="83" t="str">
        <f aca="false">IFERROR(IF(INDEX(원자료_잔고!$A$1:$EZ$1500,설정!$L$5+ROW()-1,설정!$L$10)&amp;""="0","",INDEX(원자료_잔고!$A$1:$EZ$1500,설정!$L$5+ROW()-1,설정!$L$10)&amp;""),"")</f>
        <v/>
      </c>
      <c r="E721" s="84" t="str">
        <f aca="false">IFERROR(IF(ISNUMBER(INDEX(원자료_잔고!$A$1:$EZ$1500,설정!$L$5+ROW()-1,설정!$L$11)),INDEX(원자료_잔고!$A$1:$EZ$1500,설정!$L$5+ROW()-1,설정!$L$11),""),"")</f>
        <v/>
      </c>
      <c r="F721" s="85" t="str">
        <f aca="false">IFERROR(IF(ISNUMBER(INDEX(원자료_잔고!$A$1:$EZ$1500,설정!$L$5+ROW()-1,설정!$L$12)),INDEX(원자료_잔고!$A$1:$EZ$1500,설정!$L$5+ROW()-1,설정!$L$12),""),"")</f>
        <v/>
      </c>
      <c r="G721" s="85" t="str">
        <f aca="false">IFERROR(IF(ISNUMBER(INDEX(원자료_잔고!$A$1:$EZ$1500,설정!$L$5+ROW()-1,설정!$L$13)),INDEX(원자료_잔고!$A$1:$EZ$1500,설정!$L$5+ROW()-1,설정!$L$13),""),"")</f>
        <v/>
      </c>
      <c r="H721" s="85" t="str">
        <f aca="false">IFERROR(IF(ISNUMBER(INDEX(원자료_잔고!$A$1:$EZ$1500,설정!$L$5+ROW()-1,설정!$L$14)),INDEX(원자료_잔고!$A$1:$EZ$1500,설정!$L$5+ROW()-1,설정!$L$14),""),"")</f>
        <v/>
      </c>
      <c r="I721" s="86" t="str">
        <f aca="false">IFERROR(IF(ISNUMBER(INDEX(원자료_잔고!$A$1:$EZ$1500,설정!$L$5+ROW()-1,설정!$L$15)),INDEX(원자료_잔고!$A$1:$EZ$1500,설정!$L$5+ROW()-1,설정!$L$15),""),"")</f>
        <v/>
      </c>
      <c r="J721" s="85" t="str">
        <f aca="false">IFERROR(IF(ISNUMBER(INDEX(원자료_잔고!$A$1:$EZ$1500,설정!$L$5+ROW()-1,설정!$L$16)),INDEX(원자료_잔고!$A$1:$EZ$1500,설정!$L$5+ROW()-1,설정!$L$16),""),"")</f>
        <v/>
      </c>
      <c r="K721" s="87" t="str">
        <f aca="false">IFERROR(IF(ISNUMBER(INDEX(원자료_잔고!$A$1:$EZ$1500,설정!$L$5+ROW()-1,설정!$L$17)),INDEX(원자료_잔고!$A$1:$EZ$1500,설정!$L$5+ROW()-1,설정!$L$17),""),"")</f>
        <v/>
      </c>
      <c r="L721" s="84" t="str">
        <f aca="false">IFERROR(IF(ISNUMBER(INDEX(원자료_잔고!$A$1:$EZ$1500,설정!$L$5+ROW()-1,설정!$L$18)),INDEX(원자료_잔고!$A$1:$EZ$1500,설정!$L$5+ROW()-1,설정!$L$18),""),"")</f>
        <v/>
      </c>
      <c r="M721" s="88" t="str">
        <f aca="false">IFERROR(IF(ISNUMBER(INDEX(원자료_잔고!$A$1:$EZ$1500,설정!$L$5+ROW()-1,설정!$L$19)),INDEX(원자료_잔고!$A$1:$EZ$1500,설정!$L$5+ROW()-1,설정!$L$19),""),"")</f>
        <v/>
      </c>
      <c r="N721" s="83" t="str">
        <f aca="false">IFERROR(IF(INDEX(원자료_잔고!$A$1:$EZ$1500,설정!$L$5+ROW()-1,설정!$L$21)&amp;""="0","",INDEX(원자료_잔고!$A$1:$EZ$1500,설정!$L$5+ROW()-1,설정!$L$21)&amp;""),"")</f>
        <v/>
      </c>
      <c r="O721" s="83" t="str">
        <f aca="false">IFERROR(IF(INDEX(원자료_잔고!$A$1:$EZ$1500,설정!$L$5+ROW()-1,설정!$L$22)&amp;""="0","",INDEX(원자료_잔고!$A$1:$EZ$1500,설정!$L$5+ROW()-1,설정!$L$22)&amp;""),"")</f>
        <v/>
      </c>
      <c r="P721" s="83" t="str">
        <f aca="false">IFERROR(IF(INDEX(원자료_잔고!$A$1:$EZ$1500,설정!$L$5+ROW()-1,설정!$L$23)&amp;""="0","",INDEX(원자료_잔고!$A$1:$EZ$1500,설정!$L$5+ROW()-1,설정!$L$23)&amp;""),"")</f>
        <v/>
      </c>
      <c r="Q721" s="89" t="n">
        <f aca="false">IF(AND($A721&lt;&gt;"",ISNUMBER(E721)),IF(E721&gt;0,1,0),0)</f>
        <v>0</v>
      </c>
      <c r="R721" s="43" t="str">
        <f aca="false">IF(Q721=1,UPPER(LEFT($A721,FIND(" ",$A721&amp;" ")-1)),"")</f>
        <v/>
      </c>
      <c r="S721" s="89" t="n">
        <f aca="false">IF(Q721=1,IF(OR(ISNUMBER(SEARCH("Float",$A721)),ISNUMBER(SEARCH("FRN",$A721))),1,0),0)</f>
        <v>0</v>
      </c>
      <c r="T721" s="43" t="str">
        <f aca="false">IF(AND(Q721=1,ISNUMBER(I721)),TEXT(I721,"yyyymmdd")&amp;"|"&amp;IF(S721=1,"F",TEXT(J721,"0.000")),"")</f>
        <v/>
      </c>
      <c r="U721" s="90" t="str">
        <f aca="false">IF(AND(Q721=1,ISNUMBER(I721)),(I721-설정!$C$4)/365.25,"")</f>
        <v/>
      </c>
      <c r="V721" s="43" t="str">
        <f aca="false">IF(Q721&lt;&gt;1,"",IF(ISNUMBER(U721),IF(U721&lt;=1,"1년 이하",IF(U721&lt;=2,"1-2년",IF(U721&lt;=3,"2-3년",IF(U721&lt;=4,"3-4년",IF(U721&lt;=5,"4-5년",IF(U721&lt;=7,"5-7년",IF(U721&lt;=10,"7-10년",IF(U721&lt;=20,"10-20년","20년 이상")))))))),"미분류"))</f>
        <v/>
      </c>
      <c r="W721" s="43" t="str">
        <f aca="false">IF(Q721&lt;&gt;1,"",IF(AB721&lt;&gt;"",INDEX(시장분석!$C:$C,AB721),IF(K721=1,"USD","비USD")))</f>
        <v/>
      </c>
      <c r="X721" s="91" t="n">
        <f aca="false">IF(Q721=1,E721*K721/1000000,0)</f>
        <v>0</v>
      </c>
      <c r="Y721" s="89" t="n">
        <f aca="false">IF(R721="T",1,0)</f>
        <v>0</v>
      </c>
      <c r="Z721" s="92" t="str">
        <f aca="false">IF(Q721&lt;&gt;1,"",IF(AD721=1,IF(ISNUMBER(U721),MAX(U721,0),H721),H721))</f>
        <v/>
      </c>
      <c r="AA721" s="91" t="n">
        <f aca="false">IF(Q721=1,IF(ISNUMBER(L721),L721,0)*K721/1000000,0)</f>
        <v>0</v>
      </c>
      <c r="AB721" s="89" t="str">
        <f aca="false">IF(Q721&lt;&gt;1,"",IFERROR(MATCH(VLOOKUP(B721,매핑!$H$4:$I$15,2,0),시장분석!$A$2:$A$601,0)+1,IFERROR(MATCH(R721&amp;"|"&amp;T721,시장분석!$V$2:$V$601,0)+1,IF(COUNTIF(시장분석!$U$2:$U$601,T721)=1,MATCH(T721,시장분석!$U$2:$U$601,0)+1,""))))</f>
        <v/>
      </c>
      <c r="AC721" s="89" t="n">
        <f aca="false">IF(Q721&lt;&gt;1,0,IF(OR(설정!$C$5="전체",AND(설정!$C$5="선택펀드",IFERROR(COUNTIFS(설정!$F$16:$F$36,C721,설정!$G$16:$G$36,"Y")+COUNTIFS(설정!$F$16:$F$36,VALUE(C721),설정!$G$16:$G$36,"Y"),0)&gt;0),C721&amp;""=설정!$C$5&amp;""),1,0))</f>
        <v>0</v>
      </c>
      <c r="AD721" s="89" t="n">
        <f aca="false">IF(Q721&lt;&gt;1,0,IF(OR(S721=1,IF(AB721="",FALSE(),INDEX(시장분석!$R:$R,AB721)=1)),1,0))</f>
        <v>0</v>
      </c>
      <c r="AE721" s="43" t="str">
        <f aca="false">IF(AB721="","",INDEX(시장분석!$A:$A,AB721))</f>
        <v/>
      </c>
      <c r="AF721" s="93" t="str">
        <f aca="false">IF(AB721="","",IF(ISNUMBER(IF(AB721="","",INDEX(시장분석!$E:$E,AB721))),IF(AB721="","",INDEX(시장분석!$E:$E,AB721)),""))</f>
        <v/>
      </c>
      <c r="AG721" s="43" t="str">
        <f aca="false">IF(Q721&lt;&gt;1,"",IF(AB721&lt;&gt;"",IF(AB721="","",INDEX(시장분석!$L:$L,AB721)),IFERROR(IF(VLOOKUP(R721,매핑!$A$4:$E$92,5,0)="","미분류",VLOOKUP(R721,매핑!$A$4:$E$92,5,0)),"미분류")))</f>
        <v/>
      </c>
      <c r="AH721" s="43" t="str">
        <f aca="false">IF(Q721&lt;&gt;1,"",IF(AB721&lt;&gt;"",IF(AB721="","",INDEX(시장분석!$N:$N,AB721)),IFERROR(IF(VLOOKUP(R721,매핑!$A$4:$E$92,4,0)="","미분류",VLOOKUP(R721,매핑!$A$4:$E$92,4,0)),"미분류")))</f>
        <v/>
      </c>
      <c r="AI721" s="43" t="str">
        <f aca="false">IF(Q721&lt;&gt;1,"",IFERROR(IF(VLOOKUP(R721,매핑!$A$4:$E$92,3,0)="","미분류",VLOOKUP(R721,매핑!$A$4:$E$92,3,0)),IF(AB721&lt;&gt;"",IF(AB721="","",INDEX(시장분석!$W:$W,AB721)),"미분류")))</f>
        <v/>
      </c>
      <c r="AJ721" s="43" t="str">
        <f aca="false">IF(Q721&lt;&gt;1,"",IFERROR(VLOOKUP(IF(N721&lt;&gt;"",N721,IF(P721&lt;&gt;"",P721,O721)),설정!$A$15:$D$47,2,0),""))</f>
        <v/>
      </c>
      <c r="AK721" s="43" t="str">
        <f aca="false">IF(Q721&lt;&gt;1,"",IF(AJ721="","무등급",IFERROR(VLOOKUP(AJ721,설정!$A$15:$D$47,3,0),"무등급")))</f>
        <v/>
      </c>
      <c r="AL721" s="89" t="n">
        <f aca="false">IF(AJ721="",99,IFERROR(VLOOKUP(AJ721,설정!$A$15:$D$47,4,0),99))</f>
        <v>99</v>
      </c>
      <c r="AM721" s="94" t="n">
        <f aca="false">IF(ISNUMBER(H721),AA721*1000000*H721/10000,0)</f>
        <v>0</v>
      </c>
      <c r="AN721" s="94" t="n">
        <f aca="false">IF(OR(Y721=1,NOT(ISNUMBER(Z721))),0,AA721*1000000*Z721/10000)</f>
        <v>0</v>
      </c>
      <c r="AO721" s="94" t="n">
        <f aca="false">IF(ISNUMBER(G721),AA721*1000000*G721/100,0)</f>
        <v>0</v>
      </c>
      <c r="AP721" s="94" t="n">
        <f aca="false">IF(ISNUMBER(M721),M721*K721,0)</f>
        <v>0</v>
      </c>
      <c r="AQ721" s="95" t="str">
        <f aca="false">IF(AB721="","",INDEX(시장분석!$AK:$AK,AB721))</f>
        <v/>
      </c>
      <c r="AR721" s="43" t="str">
        <f aca="false">IF(AB721="","-",IF(AB721="","",INDEX(시장분석!$AL:$AL,AB721)))</f>
        <v>-</v>
      </c>
      <c r="AS721" s="96" t="str">
        <f aca="false">IF(AB721="","",INDEX(시장분석!$AJ:$AJ,AB721))</f>
        <v/>
      </c>
      <c r="AT721" s="93" t="n">
        <f aca="false">IF(AB721="",0,IF(AB721="","",INDEX(시장분석!$AN:$AN,AB721)))</f>
        <v>0</v>
      </c>
      <c r="AU721" s="94" t="n">
        <f aca="false">IF(ISNUMBER(Z721),AT721/10000*MAX(Z721-1,0)*AA721*1000000,0)</f>
        <v>0</v>
      </c>
      <c r="AV721" s="94" t="n">
        <f aca="false">AO721+AU721</f>
        <v>0</v>
      </c>
      <c r="AW721" s="43" t="str">
        <f aca="false">IF(Q721&lt;&gt;1,"",TRIM(IF(AD721=1,"FRN ","")&amp;IF(AND(AL721&gt;=10,AL721&lt;99),"BBB0미만 ","")&amp;IF(AJ721="","등급없음 ","")&amp;IF(K721&lt;&gt;1,"비USD ","")&amp;IF(AND(AB721="",Y721=0),"시장데이터없음 ","")&amp;IF(AND(ISNUMBER(U721),U721&lt;0),"만기경과 ","")))</f>
        <v/>
      </c>
      <c r="AX721" s="90" t="n">
        <f aca="false">IF(Q721&lt;&gt;1,1,IF(스프레드쇼크!$C$4="Y",INDEX(스프레드쇼크!$B$12:$L$16,IFERROR(MATCH(AH721,스프레드쇼크!$A$12:$A$16,0),MATCH("목록외",스프레드쇼크!$A$12:$A$16,0)),IFERROR(MATCH(AG721,스프레드쇼크!$B$11:$L$11,0),MATCH("목록외",스프레드쇼크!$B$11:$L$11,0))),1))</f>
        <v>1</v>
      </c>
      <c r="AY721" s="90" t="n">
        <f aca="false">IF(스프레드쇼크!$C$5="Y",IF(ISNUMBER(AF721),MIN(스프레드쇼크!$C$7,MAX(스프레드쇼크!$C$6,AF721/스프레드쇼크!$C$8)),1),1)</f>
        <v>1</v>
      </c>
      <c r="AZ721" s="94" t="n">
        <f aca="false">AN721*AX721*AY721</f>
        <v>0</v>
      </c>
      <c r="BA721" s="90" t="n">
        <f aca="false">IF(ISNUMBER(G721),AA721*G721,0)</f>
        <v>0</v>
      </c>
      <c r="BB721" s="90" t="n">
        <f aca="false">IF(ISNUMBER(G721),AA721,0)</f>
        <v>0</v>
      </c>
      <c r="BC721" s="90" t="n">
        <f aca="false">IF(AND(Y721=0,ISNUMBER(AF721)),AA721*AF721,0)</f>
        <v>0</v>
      </c>
      <c r="BD721" s="90" t="n">
        <f aca="false">IF(AND(Y721=0,ISNUMBER(AF721)),AA721,0)</f>
        <v>0</v>
      </c>
      <c r="BE721" s="90" t="n">
        <f aca="false">IF(ISNUMBER(H721),AA721*H721,0)</f>
        <v>0</v>
      </c>
      <c r="BF721" s="90" t="n">
        <f aca="false">IF(ISNUMBER(H721),AA721,0)</f>
        <v>0</v>
      </c>
      <c r="BG721" s="90" t="n">
        <f aca="false">IF(AND(Y721=0,ISNUMBER(AF721),ISNUMBER(Z721)),AA721*Z721,0)</f>
        <v>0</v>
      </c>
      <c r="BH721" s="90" t="n">
        <f aca="false">IF(AND(Y721=0,ISNUMBER(AF721),ISNUMBER(Z721)),AA721*AT721*MAX(Z721-1,0),0)</f>
        <v>0</v>
      </c>
      <c r="BI721" s="90" t="n">
        <f aca="false">IF(Y721=0,AA721,0)</f>
        <v>0</v>
      </c>
    </row>
    <row r="722" customFormat="false" ht="15" hidden="false" customHeight="false" outlineLevel="0" collapsed="false">
      <c r="A722" s="83" t="str">
        <f aca="false">IFERROR(IF(INDEX(원자료_잔고!$A$1:$EZ$1500,설정!$L$5+ROW()-1,설정!$L$8)&amp;""="0","",INDEX(원자료_잔고!$A$1:$EZ$1500,설정!$L$5+ROW()-1,설정!$L$8)&amp;""),"")</f>
        <v/>
      </c>
      <c r="B722" s="83" t="str">
        <f aca="false">IFERROR(IF(INDEX(원자료_잔고!$A$1:$EZ$1500,설정!$L$5+ROW()-1,설정!$L$7)&amp;""="0","",INDEX(원자료_잔고!$A$1:$EZ$1500,설정!$L$5+ROW()-1,설정!$L$7)&amp;""),"")</f>
        <v/>
      </c>
      <c r="C722" s="83" t="str">
        <f aca="false">IFERROR(IF(INDEX(원자료_잔고!$A$1:$EZ$1500,설정!$L$5+ROW()-1,설정!$L$9)&amp;""="0","",INDEX(원자료_잔고!$A$1:$EZ$1500,설정!$L$5+ROW()-1,설정!$L$9)&amp;""),"")</f>
        <v/>
      </c>
      <c r="D722" s="83" t="str">
        <f aca="false">IFERROR(IF(INDEX(원자료_잔고!$A$1:$EZ$1500,설정!$L$5+ROW()-1,설정!$L$10)&amp;""="0","",INDEX(원자료_잔고!$A$1:$EZ$1500,설정!$L$5+ROW()-1,설정!$L$10)&amp;""),"")</f>
        <v/>
      </c>
      <c r="E722" s="84" t="str">
        <f aca="false">IFERROR(IF(ISNUMBER(INDEX(원자료_잔고!$A$1:$EZ$1500,설정!$L$5+ROW()-1,설정!$L$11)),INDEX(원자료_잔고!$A$1:$EZ$1500,설정!$L$5+ROW()-1,설정!$L$11),""),"")</f>
        <v/>
      </c>
      <c r="F722" s="85" t="str">
        <f aca="false">IFERROR(IF(ISNUMBER(INDEX(원자료_잔고!$A$1:$EZ$1500,설정!$L$5+ROW()-1,설정!$L$12)),INDEX(원자료_잔고!$A$1:$EZ$1500,설정!$L$5+ROW()-1,설정!$L$12),""),"")</f>
        <v/>
      </c>
      <c r="G722" s="85" t="str">
        <f aca="false">IFERROR(IF(ISNUMBER(INDEX(원자료_잔고!$A$1:$EZ$1500,설정!$L$5+ROW()-1,설정!$L$13)),INDEX(원자료_잔고!$A$1:$EZ$1500,설정!$L$5+ROW()-1,설정!$L$13),""),"")</f>
        <v/>
      </c>
      <c r="H722" s="85" t="str">
        <f aca="false">IFERROR(IF(ISNUMBER(INDEX(원자료_잔고!$A$1:$EZ$1500,설정!$L$5+ROW()-1,설정!$L$14)),INDEX(원자료_잔고!$A$1:$EZ$1500,설정!$L$5+ROW()-1,설정!$L$14),""),"")</f>
        <v/>
      </c>
      <c r="I722" s="86" t="str">
        <f aca="false">IFERROR(IF(ISNUMBER(INDEX(원자료_잔고!$A$1:$EZ$1500,설정!$L$5+ROW()-1,설정!$L$15)),INDEX(원자료_잔고!$A$1:$EZ$1500,설정!$L$5+ROW()-1,설정!$L$15),""),"")</f>
        <v/>
      </c>
      <c r="J722" s="85" t="str">
        <f aca="false">IFERROR(IF(ISNUMBER(INDEX(원자료_잔고!$A$1:$EZ$1500,설정!$L$5+ROW()-1,설정!$L$16)),INDEX(원자료_잔고!$A$1:$EZ$1500,설정!$L$5+ROW()-1,설정!$L$16),""),"")</f>
        <v/>
      </c>
      <c r="K722" s="87" t="str">
        <f aca="false">IFERROR(IF(ISNUMBER(INDEX(원자료_잔고!$A$1:$EZ$1500,설정!$L$5+ROW()-1,설정!$L$17)),INDEX(원자료_잔고!$A$1:$EZ$1500,설정!$L$5+ROW()-1,설정!$L$17),""),"")</f>
        <v/>
      </c>
      <c r="L722" s="84" t="str">
        <f aca="false">IFERROR(IF(ISNUMBER(INDEX(원자료_잔고!$A$1:$EZ$1500,설정!$L$5+ROW()-1,설정!$L$18)),INDEX(원자료_잔고!$A$1:$EZ$1500,설정!$L$5+ROW()-1,설정!$L$18),""),"")</f>
        <v/>
      </c>
      <c r="M722" s="88" t="str">
        <f aca="false">IFERROR(IF(ISNUMBER(INDEX(원자료_잔고!$A$1:$EZ$1500,설정!$L$5+ROW()-1,설정!$L$19)),INDEX(원자료_잔고!$A$1:$EZ$1500,설정!$L$5+ROW()-1,설정!$L$19),""),"")</f>
        <v/>
      </c>
      <c r="N722" s="83" t="str">
        <f aca="false">IFERROR(IF(INDEX(원자료_잔고!$A$1:$EZ$1500,설정!$L$5+ROW()-1,설정!$L$21)&amp;""="0","",INDEX(원자료_잔고!$A$1:$EZ$1500,설정!$L$5+ROW()-1,설정!$L$21)&amp;""),"")</f>
        <v/>
      </c>
      <c r="O722" s="83" t="str">
        <f aca="false">IFERROR(IF(INDEX(원자료_잔고!$A$1:$EZ$1500,설정!$L$5+ROW()-1,설정!$L$22)&amp;""="0","",INDEX(원자료_잔고!$A$1:$EZ$1500,설정!$L$5+ROW()-1,설정!$L$22)&amp;""),"")</f>
        <v/>
      </c>
      <c r="P722" s="83" t="str">
        <f aca="false">IFERROR(IF(INDEX(원자료_잔고!$A$1:$EZ$1500,설정!$L$5+ROW()-1,설정!$L$23)&amp;""="0","",INDEX(원자료_잔고!$A$1:$EZ$1500,설정!$L$5+ROW()-1,설정!$L$23)&amp;""),"")</f>
        <v/>
      </c>
      <c r="Q722" s="89" t="n">
        <f aca="false">IF(AND($A722&lt;&gt;"",ISNUMBER(E722)),IF(E722&gt;0,1,0),0)</f>
        <v>0</v>
      </c>
      <c r="R722" s="43" t="str">
        <f aca="false">IF(Q722=1,UPPER(LEFT($A722,FIND(" ",$A722&amp;" ")-1)),"")</f>
        <v/>
      </c>
      <c r="S722" s="89" t="n">
        <f aca="false">IF(Q722=1,IF(OR(ISNUMBER(SEARCH("Float",$A722)),ISNUMBER(SEARCH("FRN",$A722))),1,0),0)</f>
        <v>0</v>
      </c>
      <c r="T722" s="43" t="str">
        <f aca="false">IF(AND(Q722=1,ISNUMBER(I722)),TEXT(I722,"yyyymmdd")&amp;"|"&amp;IF(S722=1,"F",TEXT(J722,"0.000")),"")</f>
        <v/>
      </c>
      <c r="U722" s="90" t="str">
        <f aca="false">IF(AND(Q722=1,ISNUMBER(I722)),(I722-설정!$C$4)/365.25,"")</f>
        <v/>
      </c>
      <c r="V722" s="43" t="str">
        <f aca="false">IF(Q722&lt;&gt;1,"",IF(ISNUMBER(U722),IF(U722&lt;=1,"1년 이하",IF(U722&lt;=2,"1-2년",IF(U722&lt;=3,"2-3년",IF(U722&lt;=4,"3-4년",IF(U722&lt;=5,"4-5년",IF(U722&lt;=7,"5-7년",IF(U722&lt;=10,"7-10년",IF(U722&lt;=20,"10-20년","20년 이상")))))))),"미분류"))</f>
        <v/>
      </c>
      <c r="W722" s="43" t="str">
        <f aca="false">IF(Q722&lt;&gt;1,"",IF(AB722&lt;&gt;"",INDEX(시장분석!$C:$C,AB722),IF(K722=1,"USD","비USD")))</f>
        <v/>
      </c>
      <c r="X722" s="91" t="n">
        <f aca="false">IF(Q722=1,E722*K722/1000000,0)</f>
        <v>0</v>
      </c>
      <c r="Y722" s="89" t="n">
        <f aca="false">IF(R722="T",1,0)</f>
        <v>0</v>
      </c>
      <c r="Z722" s="92" t="str">
        <f aca="false">IF(Q722&lt;&gt;1,"",IF(AD722=1,IF(ISNUMBER(U722),MAX(U722,0),H722),H722))</f>
        <v/>
      </c>
      <c r="AA722" s="91" t="n">
        <f aca="false">IF(Q722=1,IF(ISNUMBER(L722),L722,0)*K722/1000000,0)</f>
        <v>0</v>
      </c>
      <c r="AB722" s="89" t="str">
        <f aca="false">IF(Q722&lt;&gt;1,"",IFERROR(MATCH(VLOOKUP(B722,매핑!$H$4:$I$15,2,0),시장분석!$A$2:$A$601,0)+1,IFERROR(MATCH(R722&amp;"|"&amp;T722,시장분석!$V$2:$V$601,0)+1,IF(COUNTIF(시장분석!$U$2:$U$601,T722)=1,MATCH(T722,시장분석!$U$2:$U$601,0)+1,""))))</f>
        <v/>
      </c>
      <c r="AC722" s="89" t="n">
        <f aca="false">IF(Q722&lt;&gt;1,0,IF(OR(설정!$C$5="전체",AND(설정!$C$5="선택펀드",IFERROR(COUNTIFS(설정!$F$16:$F$36,C722,설정!$G$16:$G$36,"Y")+COUNTIFS(설정!$F$16:$F$36,VALUE(C722),설정!$G$16:$G$36,"Y"),0)&gt;0),C722&amp;""=설정!$C$5&amp;""),1,0))</f>
        <v>0</v>
      </c>
      <c r="AD722" s="89" t="n">
        <f aca="false">IF(Q722&lt;&gt;1,0,IF(OR(S722=1,IF(AB722="",FALSE(),INDEX(시장분석!$R:$R,AB722)=1)),1,0))</f>
        <v>0</v>
      </c>
      <c r="AE722" s="43" t="str">
        <f aca="false">IF(AB722="","",INDEX(시장분석!$A:$A,AB722))</f>
        <v/>
      </c>
      <c r="AF722" s="93" t="str">
        <f aca="false">IF(AB722="","",IF(ISNUMBER(IF(AB722="","",INDEX(시장분석!$E:$E,AB722))),IF(AB722="","",INDEX(시장분석!$E:$E,AB722)),""))</f>
        <v/>
      </c>
      <c r="AG722" s="43" t="str">
        <f aca="false">IF(Q722&lt;&gt;1,"",IF(AB722&lt;&gt;"",IF(AB722="","",INDEX(시장분석!$L:$L,AB722)),IFERROR(IF(VLOOKUP(R722,매핑!$A$4:$E$92,5,0)="","미분류",VLOOKUP(R722,매핑!$A$4:$E$92,5,0)),"미분류")))</f>
        <v/>
      </c>
      <c r="AH722" s="43" t="str">
        <f aca="false">IF(Q722&lt;&gt;1,"",IF(AB722&lt;&gt;"",IF(AB722="","",INDEX(시장분석!$N:$N,AB722)),IFERROR(IF(VLOOKUP(R722,매핑!$A$4:$E$92,4,0)="","미분류",VLOOKUP(R722,매핑!$A$4:$E$92,4,0)),"미분류")))</f>
        <v/>
      </c>
      <c r="AI722" s="43" t="str">
        <f aca="false">IF(Q722&lt;&gt;1,"",IFERROR(IF(VLOOKUP(R722,매핑!$A$4:$E$92,3,0)="","미분류",VLOOKUP(R722,매핑!$A$4:$E$92,3,0)),IF(AB722&lt;&gt;"",IF(AB722="","",INDEX(시장분석!$W:$W,AB722)),"미분류")))</f>
        <v/>
      </c>
      <c r="AJ722" s="43" t="str">
        <f aca="false">IF(Q722&lt;&gt;1,"",IFERROR(VLOOKUP(IF(N722&lt;&gt;"",N722,IF(P722&lt;&gt;"",P722,O722)),설정!$A$15:$D$47,2,0),""))</f>
        <v/>
      </c>
      <c r="AK722" s="43" t="str">
        <f aca="false">IF(Q722&lt;&gt;1,"",IF(AJ722="","무등급",IFERROR(VLOOKUP(AJ722,설정!$A$15:$D$47,3,0),"무등급")))</f>
        <v/>
      </c>
      <c r="AL722" s="89" t="n">
        <f aca="false">IF(AJ722="",99,IFERROR(VLOOKUP(AJ722,설정!$A$15:$D$47,4,0),99))</f>
        <v>99</v>
      </c>
      <c r="AM722" s="94" t="n">
        <f aca="false">IF(ISNUMBER(H722),AA722*1000000*H722/10000,0)</f>
        <v>0</v>
      </c>
      <c r="AN722" s="94" t="n">
        <f aca="false">IF(OR(Y722=1,NOT(ISNUMBER(Z722))),0,AA722*1000000*Z722/10000)</f>
        <v>0</v>
      </c>
      <c r="AO722" s="94" t="n">
        <f aca="false">IF(ISNUMBER(G722),AA722*1000000*G722/100,0)</f>
        <v>0</v>
      </c>
      <c r="AP722" s="94" t="n">
        <f aca="false">IF(ISNUMBER(M722),M722*K722,0)</f>
        <v>0</v>
      </c>
      <c r="AQ722" s="95" t="str">
        <f aca="false">IF(AB722="","",INDEX(시장분석!$AK:$AK,AB722))</f>
        <v/>
      </c>
      <c r="AR722" s="43" t="str">
        <f aca="false">IF(AB722="","-",IF(AB722="","",INDEX(시장분석!$AL:$AL,AB722)))</f>
        <v>-</v>
      </c>
      <c r="AS722" s="96" t="str">
        <f aca="false">IF(AB722="","",INDEX(시장분석!$AJ:$AJ,AB722))</f>
        <v/>
      </c>
      <c r="AT722" s="93" t="n">
        <f aca="false">IF(AB722="",0,IF(AB722="","",INDEX(시장분석!$AN:$AN,AB722)))</f>
        <v>0</v>
      </c>
      <c r="AU722" s="94" t="n">
        <f aca="false">IF(ISNUMBER(Z722),AT722/10000*MAX(Z722-1,0)*AA722*1000000,0)</f>
        <v>0</v>
      </c>
      <c r="AV722" s="94" t="n">
        <f aca="false">AO722+AU722</f>
        <v>0</v>
      </c>
      <c r="AW722" s="43" t="str">
        <f aca="false">IF(Q722&lt;&gt;1,"",TRIM(IF(AD722=1,"FRN ","")&amp;IF(AND(AL722&gt;=10,AL722&lt;99),"BBB0미만 ","")&amp;IF(AJ722="","등급없음 ","")&amp;IF(K722&lt;&gt;1,"비USD ","")&amp;IF(AND(AB722="",Y722=0),"시장데이터없음 ","")&amp;IF(AND(ISNUMBER(U722),U722&lt;0),"만기경과 ","")))</f>
        <v/>
      </c>
      <c r="AX722" s="90" t="n">
        <f aca="false">IF(Q722&lt;&gt;1,1,IF(스프레드쇼크!$C$4="Y",INDEX(스프레드쇼크!$B$12:$L$16,IFERROR(MATCH(AH722,스프레드쇼크!$A$12:$A$16,0),MATCH("목록외",스프레드쇼크!$A$12:$A$16,0)),IFERROR(MATCH(AG722,스프레드쇼크!$B$11:$L$11,0),MATCH("목록외",스프레드쇼크!$B$11:$L$11,0))),1))</f>
        <v>1</v>
      </c>
      <c r="AY722" s="90" t="n">
        <f aca="false">IF(스프레드쇼크!$C$5="Y",IF(ISNUMBER(AF722),MIN(스프레드쇼크!$C$7,MAX(스프레드쇼크!$C$6,AF722/스프레드쇼크!$C$8)),1),1)</f>
        <v>1</v>
      </c>
      <c r="AZ722" s="94" t="n">
        <f aca="false">AN722*AX722*AY722</f>
        <v>0</v>
      </c>
      <c r="BA722" s="90" t="n">
        <f aca="false">IF(ISNUMBER(G722),AA722*G722,0)</f>
        <v>0</v>
      </c>
      <c r="BB722" s="90" t="n">
        <f aca="false">IF(ISNUMBER(G722),AA722,0)</f>
        <v>0</v>
      </c>
      <c r="BC722" s="90" t="n">
        <f aca="false">IF(AND(Y722=0,ISNUMBER(AF722)),AA722*AF722,0)</f>
        <v>0</v>
      </c>
      <c r="BD722" s="90" t="n">
        <f aca="false">IF(AND(Y722=0,ISNUMBER(AF722)),AA722,0)</f>
        <v>0</v>
      </c>
      <c r="BE722" s="90" t="n">
        <f aca="false">IF(ISNUMBER(H722),AA722*H722,0)</f>
        <v>0</v>
      </c>
      <c r="BF722" s="90" t="n">
        <f aca="false">IF(ISNUMBER(H722),AA722,0)</f>
        <v>0</v>
      </c>
      <c r="BG722" s="90" t="n">
        <f aca="false">IF(AND(Y722=0,ISNUMBER(AF722),ISNUMBER(Z722)),AA722*Z722,0)</f>
        <v>0</v>
      </c>
      <c r="BH722" s="90" t="n">
        <f aca="false">IF(AND(Y722=0,ISNUMBER(AF722),ISNUMBER(Z722)),AA722*AT722*MAX(Z722-1,0),0)</f>
        <v>0</v>
      </c>
      <c r="BI722" s="90" t="n">
        <f aca="false">IF(Y722=0,AA722,0)</f>
        <v>0</v>
      </c>
    </row>
    <row r="723" customFormat="false" ht="15" hidden="false" customHeight="false" outlineLevel="0" collapsed="false">
      <c r="A723" s="83" t="str">
        <f aca="false">IFERROR(IF(INDEX(원자료_잔고!$A$1:$EZ$1500,설정!$L$5+ROW()-1,설정!$L$8)&amp;""="0","",INDEX(원자료_잔고!$A$1:$EZ$1500,설정!$L$5+ROW()-1,설정!$L$8)&amp;""),"")</f>
        <v/>
      </c>
      <c r="B723" s="83" t="str">
        <f aca="false">IFERROR(IF(INDEX(원자료_잔고!$A$1:$EZ$1500,설정!$L$5+ROW()-1,설정!$L$7)&amp;""="0","",INDEX(원자료_잔고!$A$1:$EZ$1500,설정!$L$5+ROW()-1,설정!$L$7)&amp;""),"")</f>
        <v/>
      </c>
      <c r="C723" s="83" t="str">
        <f aca="false">IFERROR(IF(INDEX(원자료_잔고!$A$1:$EZ$1500,설정!$L$5+ROW()-1,설정!$L$9)&amp;""="0","",INDEX(원자료_잔고!$A$1:$EZ$1500,설정!$L$5+ROW()-1,설정!$L$9)&amp;""),"")</f>
        <v/>
      </c>
      <c r="D723" s="83" t="str">
        <f aca="false">IFERROR(IF(INDEX(원자료_잔고!$A$1:$EZ$1500,설정!$L$5+ROW()-1,설정!$L$10)&amp;""="0","",INDEX(원자료_잔고!$A$1:$EZ$1500,설정!$L$5+ROW()-1,설정!$L$10)&amp;""),"")</f>
        <v/>
      </c>
      <c r="E723" s="84" t="str">
        <f aca="false">IFERROR(IF(ISNUMBER(INDEX(원자료_잔고!$A$1:$EZ$1500,설정!$L$5+ROW()-1,설정!$L$11)),INDEX(원자료_잔고!$A$1:$EZ$1500,설정!$L$5+ROW()-1,설정!$L$11),""),"")</f>
        <v/>
      </c>
      <c r="F723" s="85" t="str">
        <f aca="false">IFERROR(IF(ISNUMBER(INDEX(원자료_잔고!$A$1:$EZ$1500,설정!$L$5+ROW()-1,설정!$L$12)),INDEX(원자료_잔고!$A$1:$EZ$1500,설정!$L$5+ROW()-1,설정!$L$12),""),"")</f>
        <v/>
      </c>
      <c r="G723" s="85" t="str">
        <f aca="false">IFERROR(IF(ISNUMBER(INDEX(원자료_잔고!$A$1:$EZ$1500,설정!$L$5+ROW()-1,설정!$L$13)),INDEX(원자료_잔고!$A$1:$EZ$1500,설정!$L$5+ROW()-1,설정!$L$13),""),"")</f>
        <v/>
      </c>
      <c r="H723" s="85" t="str">
        <f aca="false">IFERROR(IF(ISNUMBER(INDEX(원자료_잔고!$A$1:$EZ$1500,설정!$L$5+ROW()-1,설정!$L$14)),INDEX(원자료_잔고!$A$1:$EZ$1500,설정!$L$5+ROW()-1,설정!$L$14),""),"")</f>
        <v/>
      </c>
      <c r="I723" s="86" t="str">
        <f aca="false">IFERROR(IF(ISNUMBER(INDEX(원자료_잔고!$A$1:$EZ$1500,설정!$L$5+ROW()-1,설정!$L$15)),INDEX(원자료_잔고!$A$1:$EZ$1500,설정!$L$5+ROW()-1,설정!$L$15),""),"")</f>
        <v/>
      </c>
      <c r="J723" s="85" t="str">
        <f aca="false">IFERROR(IF(ISNUMBER(INDEX(원자료_잔고!$A$1:$EZ$1500,설정!$L$5+ROW()-1,설정!$L$16)),INDEX(원자료_잔고!$A$1:$EZ$1500,설정!$L$5+ROW()-1,설정!$L$16),""),"")</f>
        <v/>
      </c>
      <c r="K723" s="87" t="str">
        <f aca="false">IFERROR(IF(ISNUMBER(INDEX(원자료_잔고!$A$1:$EZ$1500,설정!$L$5+ROW()-1,설정!$L$17)),INDEX(원자료_잔고!$A$1:$EZ$1500,설정!$L$5+ROW()-1,설정!$L$17),""),"")</f>
        <v/>
      </c>
      <c r="L723" s="84" t="str">
        <f aca="false">IFERROR(IF(ISNUMBER(INDEX(원자료_잔고!$A$1:$EZ$1500,설정!$L$5+ROW()-1,설정!$L$18)),INDEX(원자료_잔고!$A$1:$EZ$1500,설정!$L$5+ROW()-1,설정!$L$18),""),"")</f>
        <v/>
      </c>
      <c r="M723" s="88" t="str">
        <f aca="false">IFERROR(IF(ISNUMBER(INDEX(원자료_잔고!$A$1:$EZ$1500,설정!$L$5+ROW()-1,설정!$L$19)),INDEX(원자료_잔고!$A$1:$EZ$1500,설정!$L$5+ROW()-1,설정!$L$19),""),"")</f>
        <v/>
      </c>
      <c r="N723" s="83" t="str">
        <f aca="false">IFERROR(IF(INDEX(원자료_잔고!$A$1:$EZ$1500,설정!$L$5+ROW()-1,설정!$L$21)&amp;""="0","",INDEX(원자료_잔고!$A$1:$EZ$1500,설정!$L$5+ROW()-1,설정!$L$21)&amp;""),"")</f>
        <v/>
      </c>
      <c r="O723" s="83" t="str">
        <f aca="false">IFERROR(IF(INDEX(원자료_잔고!$A$1:$EZ$1500,설정!$L$5+ROW()-1,설정!$L$22)&amp;""="0","",INDEX(원자료_잔고!$A$1:$EZ$1500,설정!$L$5+ROW()-1,설정!$L$22)&amp;""),"")</f>
        <v/>
      </c>
      <c r="P723" s="83" t="str">
        <f aca="false">IFERROR(IF(INDEX(원자료_잔고!$A$1:$EZ$1500,설정!$L$5+ROW()-1,설정!$L$23)&amp;""="0","",INDEX(원자료_잔고!$A$1:$EZ$1500,설정!$L$5+ROW()-1,설정!$L$23)&amp;""),"")</f>
        <v/>
      </c>
      <c r="Q723" s="89" t="n">
        <f aca="false">IF(AND($A723&lt;&gt;"",ISNUMBER(E723)),IF(E723&gt;0,1,0),0)</f>
        <v>0</v>
      </c>
      <c r="R723" s="43" t="str">
        <f aca="false">IF(Q723=1,UPPER(LEFT($A723,FIND(" ",$A723&amp;" ")-1)),"")</f>
        <v/>
      </c>
      <c r="S723" s="89" t="n">
        <f aca="false">IF(Q723=1,IF(OR(ISNUMBER(SEARCH("Float",$A723)),ISNUMBER(SEARCH("FRN",$A723))),1,0),0)</f>
        <v>0</v>
      </c>
      <c r="T723" s="43" t="str">
        <f aca="false">IF(AND(Q723=1,ISNUMBER(I723)),TEXT(I723,"yyyymmdd")&amp;"|"&amp;IF(S723=1,"F",TEXT(J723,"0.000")),"")</f>
        <v/>
      </c>
      <c r="U723" s="90" t="str">
        <f aca="false">IF(AND(Q723=1,ISNUMBER(I723)),(I723-설정!$C$4)/365.25,"")</f>
        <v/>
      </c>
      <c r="V723" s="43" t="str">
        <f aca="false">IF(Q723&lt;&gt;1,"",IF(ISNUMBER(U723),IF(U723&lt;=1,"1년 이하",IF(U723&lt;=2,"1-2년",IF(U723&lt;=3,"2-3년",IF(U723&lt;=4,"3-4년",IF(U723&lt;=5,"4-5년",IF(U723&lt;=7,"5-7년",IF(U723&lt;=10,"7-10년",IF(U723&lt;=20,"10-20년","20년 이상")))))))),"미분류"))</f>
        <v/>
      </c>
      <c r="W723" s="43" t="str">
        <f aca="false">IF(Q723&lt;&gt;1,"",IF(AB723&lt;&gt;"",INDEX(시장분석!$C:$C,AB723),IF(K723=1,"USD","비USD")))</f>
        <v/>
      </c>
      <c r="X723" s="91" t="n">
        <f aca="false">IF(Q723=1,E723*K723/1000000,0)</f>
        <v>0</v>
      </c>
      <c r="Y723" s="89" t="n">
        <f aca="false">IF(R723="T",1,0)</f>
        <v>0</v>
      </c>
      <c r="Z723" s="92" t="str">
        <f aca="false">IF(Q723&lt;&gt;1,"",IF(AD723=1,IF(ISNUMBER(U723),MAX(U723,0),H723),H723))</f>
        <v/>
      </c>
      <c r="AA723" s="91" t="n">
        <f aca="false">IF(Q723=1,IF(ISNUMBER(L723),L723,0)*K723/1000000,0)</f>
        <v>0</v>
      </c>
      <c r="AB723" s="89" t="str">
        <f aca="false">IF(Q723&lt;&gt;1,"",IFERROR(MATCH(VLOOKUP(B723,매핑!$H$4:$I$15,2,0),시장분석!$A$2:$A$601,0)+1,IFERROR(MATCH(R723&amp;"|"&amp;T723,시장분석!$V$2:$V$601,0)+1,IF(COUNTIF(시장분석!$U$2:$U$601,T723)=1,MATCH(T723,시장분석!$U$2:$U$601,0)+1,""))))</f>
        <v/>
      </c>
      <c r="AC723" s="89" t="n">
        <f aca="false">IF(Q723&lt;&gt;1,0,IF(OR(설정!$C$5="전체",AND(설정!$C$5="선택펀드",IFERROR(COUNTIFS(설정!$F$16:$F$36,C723,설정!$G$16:$G$36,"Y")+COUNTIFS(설정!$F$16:$F$36,VALUE(C723),설정!$G$16:$G$36,"Y"),0)&gt;0),C723&amp;""=설정!$C$5&amp;""),1,0))</f>
        <v>0</v>
      </c>
      <c r="AD723" s="89" t="n">
        <f aca="false">IF(Q723&lt;&gt;1,0,IF(OR(S723=1,IF(AB723="",FALSE(),INDEX(시장분석!$R:$R,AB723)=1)),1,0))</f>
        <v>0</v>
      </c>
      <c r="AE723" s="43" t="str">
        <f aca="false">IF(AB723="","",INDEX(시장분석!$A:$A,AB723))</f>
        <v/>
      </c>
      <c r="AF723" s="93" t="str">
        <f aca="false">IF(AB723="","",IF(ISNUMBER(IF(AB723="","",INDEX(시장분석!$E:$E,AB723))),IF(AB723="","",INDEX(시장분석!$E:$E,AB723)),""))</f>
        <v/>
      </c>
      <c r="AG723" s="43" t="str">
        <f aca="false">IF(Q723&lt;&gt;1,"",IF(AB723&lt;&gt;"",IF(AB723="","",INDEX(시장분석!$L:$L,AB723)),IFERROR(IF(VLOOKUP(R723,매핑!$A$4:$E$92,5,0)="","미분류",VLOOKUP(R723,매핑!$A$4:$E$92,5,0)),"미분류")))</f>
        <v/>
      </c>
      <c r="AH723" s="43" t="str">
        <f aca="false">IF(Q723&lt;&gt;1,"",IF(AB723&lt;&gt;"",IF(AB723="","",INDEX(시장분석!$N:$N,AB723)),IFERROR(IF(VLOOKUP(R723,매핑!$A$4:$E$92,4,0)="","미분류",VLOOKUP(R723,매핑!$A$4:$E$92,4,0)),"미분류")))</f>
        <v/>
      </c>
      <c r="AI723" s="43" t="str">
        <f aca="false">IF(Q723&lt;&gt;1,"",IFERROR(IF(VLOOKUP(R723,매핑!$A$4:$E$92,3,0)="","미분류",VLOOKUP(R723,매핑!$A$4:$E$92,3,0)),IF(AB723&lt;&gt;"",IF(AB723="","",INDEX(시장분석!$W:$W,AB723)),"미분류")))</f>
        <v/>
      </c>
      <c r="AJ723" s="43" t="str">
        <f aca="false">IF(Q723&lt;&gt;1,"",IFERROR(VLOOKUP(IF(N723&lt;&gt;"",N723,IF(P723&lt;&gt;"",P723,O723)),설정!$A$15:$D$47,2,0),""))</f>
        <v/>
      </c>
      <c r="AK723" s="43" t="str">
        <f aca="false">IF(Q723&lt;&gt;1,"",IF(AJ723="","무등급",IFERROR(VLOOKUP(AJ723,설정!$A$15:$D$47,3,0),"무등급")))</f>
        <v/>
      </c>
      <c r="AL723" s="89" t="n">
        <f aca="false">IF(AJ723="",99,IFERROR(VLOOKUP(AJ723,설정!$A$15:$D$47,4,0),99))</f>
        <v>99</v>
      </c>
      <c r="AM723" s="94" t="n">
        <f aca="false">IF(ISNUMBER(H723),AA723*1000000*H723/10000,0)</f>
        <v>0</v>
      </c>
      <c r="AN723" s="94" t="n">
        <f aca="false">IF(OR(Y723=1,NOT(ISNUMBER(Z723))),0,AA723*1000000*Z723/10000)</f>
        <v>0</v>
      </c>
      <c r="AO723" s="94" t="n">
        <f aca="false">IF(ISNUMBER(G723),AA723*1000000*G723/100,0)</f>
        <v>0</v>
      </c>
      <c r="AP723" s="94" t="n">
        <f aca="false">IF(ISNUMBER(M723),M723*K723,0)</f>
        <v>0</v>
      </c>
      <c r="AQ723" s="95" t="str">
        <f aca="false">IF(AB723="","",INDEX(시장분석!$AK:$AK,AB723))</f>
        <v/>
      </c>
      <c r="AR723" s="43" t="str">
        <f aca="false">IF(AB723="","-",IF(AB723="","",INDEX(시장분석!$AL:$AL,AB723)))</f>
        <v>-</v>
      </c>
      <c r="AS723" s="96" t="str">
        <f aca="false">IF(AB723="","",INDEX(시장분석!$AJ:$AJ,AB723))</f>
        <v/>
      </c>
      <c r="AT723" s="93" t="n">
        <f aca="false">IF(AB723="",0,IF(AB723="","",INDEX(시장분석!$AN:$AN,AB723)))</f>
        <v>0</v>
      </c>
      <c r="AU723" s="94" t="n">
        <f aca="false">IF(ISNUMBER(Z723),AT723/10000*MAX(Z723-1,0)*AA723*1000000,0)</f>
        <v>0</v>
      </c>
      <c r="AV723" s="94" t="n">
        <f aca="false">AO723+AU723</f>
        <v>0</v>
      </c>
      <c r="AW723" s="43" t="str">
        <f aca="false">IF(Q723&lt;&gt;1,"",TRIM(IF(AD723=1,"FRN ","")&amp;IF(AND(AL723&gt;=10,AL723&lt;99),"BBB0미만 ","")&amp;IF(AJ723="","등급없음 ","")&amp;IF(K723&lt;&gt;1,"비USD ","")&amp;IF(AND(AB723="",Y723=0),"시장데이터없음 ","")&amp;IF(AND(ISNUMBER(U723),U723&lt;0),"만기경과 ","")))</f>
        <v/>
      </c>
      <c r="AX723" s="90" t="n">
        <f aca="false">IF(Q723&lt;&gt;1,1,IF(스프레드쇼크!$C$4="Y",INDEX(스프레드쇼크!$B$12:$L$16,IFERROR(MATCH(AH723,스프레드쇼크!$A$12:$A$16,0),MATCH("목록외",스프레드쇼크!$A$12:$A$16,0)),IFERROR(MATCH(AG723,스프레드쇼크!$B$11:$L$11,0),MATCH("목록외",스프레드쇼크!$B$11:$L$11,0))),1))</f>
        <v>1</v>
      </c>
      <c r="AY723" s="90" t="n">
        <f aca="false">IF(스프레드쇼크!$C$5="Y",IF(ISNUMBER(AF723),MIN(스프레드쇼크!$C$7,MAX(스프레드쇼크!$C$6,AF723/스프레드쇼크!$C$8)),1),1)</f>
        <v>1</v>
      </c>
      <c r="AZ723" s="94" t="n">
        <f aca="false">AN723*AX723*AY723</f>
        <v>0</v>
      </c>
      <c r="BA723" s="90" t="n">
        <f aca="false">IF(ISNUMBER(G723),AA723*G723,0)</f>
        <v>0</v>
      </c>
      <c r="BB723" s="90" t="n">
        <f aca="false">IF(ISNUMBER(G723),AA723,0)</f>
        <v>0</v>
      </c>
      <c r="BC723" s="90" t="n">
        <f aca="false">IF(AND(Y723=0,ISNUMBER(AF723)),AA723*AF723,0)</f>
        <v>0</v>
      </c>
      <c r="BD723" s="90" t="n">
        <f aca="false">IF(AND(Y723=0,ISNUMBER(AF723)),AA723,0)</f>
        <v>0</v>
      </c>
      <c r="BE723" s="90" t="n">
        <f aca="false">IF(ISNUMBER(H723),AA723*H723,0)</f>
        <v>0</v>
      </c>
      <c r="BF723" s="90" t="n">
        <f aca="false">IF(ISNUMBER(H723),AA723,0)</f>
        <v>0</v>
      </c>
      <c r="BG723" s="90" t="n">
        <f aca="false">IF(AND(Y723=0,ISNUMBER(AF723),ISNUMBER(Z723)),AA723*Z723,0)</f>
        <v>0</v>
      </c>
      <c r="BH723" s="90" t="n">
        <f aca="false">IF(AND(Y723=0,ISNUMBER(AF723),ISNUMBER(Z723)),AA723*AT723*MAX(Z723-1,0),0)</f>
        <v>0</v>
      </c>
      <c r="BI723" s="90" t="n">
        <f aca="false">IF(Y723=0,AA723,0)</f>
        <v>0</v>
      </c>
    </row>
    <row r="724" customFormat="false" ht="15" hidden="false" customHeight="false" outlineLevel="0" collapsed="false">
      <c r="A724" s="83" t="str">
        <f aca="false">IFERROR(IF(INDEX(원자료_잔고!$A$1:$EZ$1500,설정!$L$5+ROW()-1,설정!$L$8)&amp;""="0","",INDEX(원자료_잔고!$A$1:$EZ$1500,설정!$L$5+ROW()-1,설정!$L$8)&amp;""),"")</f>
        <v/>
      </c>
      <c r="B724" s="83" t="str">
        <f aca="false">IFERROR(IF(INDEX(원자료_잔고!$A$1:$EZ$1500,설정!$L$5+ROW()-1,설정!$L$7)&amp;""="0","",INDEX(원자료_잔고!$A$1:$EZ$1500,설정!$L$5+ROW()-1,설정!$L$7)&amp;""),"")</f>
        <v/>
      </c>
      <c r="C724" s="83" t="str">
        <f aca="false">IFERROR(IF(INDEX(원자료_잔고!$A$1:$EZ$1500,설정!$L$5+ROW()-1,설정!$L$9)&amp;""="0","",INDEX(원자료_잔고!$A$1:$EZ$1500,설정!$L$5+ROW()-1,설정!$L$9)&amp;""),"")</f>
        <v/>
      </c>
      <c r="D724" s="83" t="str">
        <f aca="false">IFERROR(IF(INDEX(원자료_잔고!$A$1:$EZ$1500,설정!$L$5+ROW()-1,설정!$L$10)&amp;""="0","",INDEX(원자료_잔고!$A$1:$EZ$1500,설정!$L$5+ROW()-1,설정!$L$10)&amp;""),"")</f>
        <v/>
      </c>
      <c r="E724" s="84" t="str">
        <f aca="false">IFERROR(IF(ISNUMBER(INDEX(원자료_잔고!$A$1:$EZ$1500,설정!$L$5+ROW()-1,설정!$L$11)),INDEX(원자료_잔고!$A$1:$EZ$1500,설정!$L$5+ROW()-1,설정!$L$11),""),"")</f>
        <v/>
      </c>
      <c r="F724" s="85" t="str">
        <f aca="false">IFERROR(IF(ISNUMBER(INDEX(원자료_잔고!$A$1:$EZ$1500,설정!$L$5+ROW()-1,설정!$L$12)),INDEX(원자료_잔고!$A$1:$EZ$1500,설정!$L$5+ROW()-1,설정!$L$12),""),"")</f>
        <v/>
      </c>
      <c r="G724" s="85" t="str">
        <f aca="false">IFERROR(IF(ISNUMBER(INDEX(원자료_잔고!$A$1:$EZ$1500,설정!$L$5+ROW()-1,설정!$L$13)),INDEX(원자료_잔고!$A$1:$EZ$1500,설정!$L$5+ROW()-1,설정!$L$13),""),"")</f>
        <v/>
      </c>
      <c r="H724" s="85" t="str">
        <f aca="false">IFERROR(IF(ISNUMBER(INDEX(원자료_잔고!$A$1:$EZ$1500,설정!$L$5+ROW()-1,설정!$L$14)),INDEX(원자료_잔고!$A$1:$EZ$1500,설정!$L$5+ROW()-1,설정!$L$14),""),"")</f>
        <v/>
      </c>
      <c r="I724" s="86" t="str">
        <f aca="false">IFERROR(IF(ISNUMBER(INDEX(원자료_잔고!$A$1:$EZ$1500,설정!$L$5+ROW()-1,설정!$L$15)),INDEX(원자료_잔고!$A$1:$EZ$1500,설정!$L$5+ROW()-1,설정!$L$15),""),"")</f>
        <v/>
      </c>
      <c r="J724" s="85" t="str">
        <f aca="false">IFERROR(IF(ISNUMBER(INDEX(원자료_잔고!$A$1:$EZ$1500,설정!$L$5+ROW()-1,설정!$L$16)),INDEX(원자료_잔고!$A$1:$EZ$1500,설정!$L$5+ROW()-1,설정!$L$16),""),"")</f>
        <v/>
      </c>
      <c r="K724" s="87" t="str">
        <f aca="false">IFERROR(IF(ISNUMBER(INDEX(원자료_잔고!$A$1:$EZ$1500,설정!$L$5+ROW()-1,설정!$L$17)),INDEX(원자료_잔고!$A$1:$EZ$1500,설정!$L$5+ROW()-1,설정!$L$17),""),"")</f>
        <v/>
      </c>
      <c r="L724" s="84" t="str">
        <f aca="false">IFERROR(IF(ISNUMBER(INDEX(원자료_잔고!$A$1:$EZ$1500,설정!$L$5+ROW()-1,설정!$L$18)),INDEX(원자료_잔고!$A$1:$EZ$1500,설정!$L$5+ROW()-1,설정!$L$18),""),"")</f>
        <v/>
      </c>
      <c r="M724" s="88" t="str">
        <f aca="false">IFERROR(IF(ISNUMBER(INDEX(원자료_잔고!$A$1:$EZ$1500,설정!$L$5+ROW()-1,설정!$L$19)),INDEX(원자료_잔고!$A$1:$EZ$1500,설정!$L$5+ROW()-1,설정!$L$19),""),"")</f>
        <v/>
      </c>
      <c r="N724" s="83" t="str">
        <f aca="false">IFERROR(IF(INDEX(원자료_잔고!$A$1:$EZ$1500,설정!$L$5+ROW()-1,설정!$L$21)&amp;""="0","",INDEX(원자료_잔고!$A$1:$EZ$1500,설정!$L$5+ROW()-1,설정!$L$21)&amp;""),"")</f>
        <v/>
      </c>
      <c r="O724" s="83" t="str">
        <f aca="false">IFERROR(IF(INDEX(원자료_잔고!$A$1:$EZ$1500,설정!$L$5+ROW()-1,설정!$L$22)&amp;""="0","",INDEX(원자료_잔고!$A$1:$EZ$1500,설정!$L$5+ROW()-1,설정!$L$22)&amp;""),"")</f>
        <v/>
      </c>
      <c r="P724" s="83" t="str">
        <f aca="false">IFERROR(IF(INDEX(원자료_잔고!$A$1:$EZ$1500,설정!$L$5+ROW()-1,설정!$L$23)&amp;""="0","",INDEX(원자료_잔고!$A$1:$EZ$1500,설정!$L$5+ROW()-1,설정!$L$23)&amp;""),"")</f>
        <v/>
      </c>
      <c r="Q724" s="89" t="n">
        <f aca="false">IF(AND($A724&lt;&gt;"",ISNUMBER(E724)),IF(E724&gt;0,1,0),0)</f>
        <v>0</v>
      </c>
      <c r="R724" s="43" t="str">
        <f aca="false">IF(Q724=1,UPPER(LEFT($A724,FIND(" ",$A724&amp;" ")-1)),"")</f>
        <v/>
      </c>
      <c r="S724" s="89" t="n">
        <f aca="false">IF(Q724=1,IF(OR(ISNUMBER(SEARCH("Float",$A724)),ISNUMBER(SEARCH("FRN",$A724))),1,0),0)</f>
        <v>0</v>
      </c>
      <c r="T724" s="43" t="str">
        <f aca="false">IF(AND(Q724=1,ISNUMBER(I724)),TEXT(I724,"yyyymmdd")&amp;"|"&amp;IF(S724=1,"F",TEXT(J724,"0.000")),"")</f>
        <v/>
      </c>
      <c r="U724" s="90" t="str">
        <f aca="false">IF(AND(Q724=1,ISNUMBER(I724)),(I724-설정!$C$4)/365.25,"")</f>
        <v/>
      </c>
      <c r="V724" s="43" t="str">
        <f aca="false">IF(Q724&lt;&gt;1,"",IF(ISNUMBER(U724),IF(U724&lt;=1,"1년 이하",IF(U724&lt;=2,"1-2년",IF(U724&lt;=3,"2-3년",IF(U724&lt;=4,"3-4년",IF(U724&lt;=5,"4-5년",IF(U724&lt;=7,"5-7년",IF(U724&lt;=10,"7-10년",IF(U724&lt;=20,"10-20년","20년 이상")))))))),"미분류"))</f>
        <v/>
      </c>
      <c r="W724" s="43" t="str">
        <f aca="false">IF(Q724&lt;&gt;1,"",IF(AB724&lt;&gt;"",INDEX(시장분석!$C:$C,AB724),IF(K724=1,"USD","비USD")))</f>
        <v/>
      </c>
      <c r="X724" s="91" t="n">
        <f aca="false">IF(Q724=1,E724*K724/1000000,0)</f>
        <v>0</v>
      </c>
      <c r="Y724" s="89" t="n">
        <f aca="false">IF(R724="T",1,0)</f>
        <v>0</v>
      </c>
      <c r="Z724" s="92" t="str">
        <f aca="false">IF(Q724&lt;&gt;1,"",IF(AD724=1,IF(ISNUMBER(U724),MAX(U724,0),H724),H724))</f>
        <v/>
      </c>
      <c r="AA724" s="91" t="n">
        <f aca="false">IF(Q724=1,IF(ISNUMBER(L724),L724,0)*K724/1000000,0)</f>
        <v>0</v>
      </c>
      <c r="AB724" s="89" t="str">
        <f aca="false">IF(Q724&lt;&gt;1,"",IFERROR(MATCH(VLOOKUP(B724,매핑!$H$4:$I$15,2,0),시장분석!$A$2:$A$601,0)+1,IFERROR(MATCH(R724&amp;"|"&amp;T724,시장분석!$V$2:$V$601,0)+1,IF(COUNTIF(시장분석!$U$2:$U$601,T724)=1,MATCH(T724,시장분석!$U$2:$U$601,0)+1,""))))</f>
        <v/>
      </c>
      <c r="AC724" s="89" t="n">
        <f aca="false">IF(Q724&lt;&gt;1,0,IF(OR(설정!$C$5="전체",AND(설정!$C$5="선택펀드",IFERROR(COUNTIFS(설정!$F$16:$F$36,C724,설정!$G$16:$G$36,"Y")+COUNTIFS(설정!$F$16:$F$36,VALUE(C724),설정!$G$16:$G$36,"Y"),0)&gt;0),C724&amp;""=설정!$C$5&amp;""),1,0))</f>
        <v>0</v>
      </c>
      <c r="AD724" s="89" t="n">
        <f aca="false">IF(Q724&lt;&gt;1,0,IF(OR(S724=1,IF(AB724="",FALSE(),INDEX(시장분석!$R:$R,AB724)=1)),1,0))</f>
        <v>0</v>
      </c>
      <c r="AE724" s="43" t="str">
        <f aca="false">IF(AB724="","",INDEX(시장분석!$A:$A,AB724))</f>
        <v/>
      </c>
      <c r="AF724" s="93" t="str">
        <f aca="false">IF(AB724="","",IF(ISNUMBER(IF(AB724="","",INDEX(시장분석!$E:$E,AB724))),IF(AB724="","",INDEX(시장분석!$E:$E,AB724)),""))</f>
        <v/>
      </c>
      <c r="AG724" s="43" t="str">
        <f aca="false">IF(Q724&lt;&gt;1,"",IF(AB724&lt;&gt;"",IF(AB724="","",INDEX(시장분석!$L:$L,AB724)),IFERROR(IF(VLOOKUP(R724,매핑!$A$4:$E$92,5,0)="","미분류",VLOOKUP(R724,매핑!$A$4:$E$92,5,0)),"미분류")))</f>
        <v/>
      </c>
      <c r="AH724" s="43" t="str">
        <f aca="false">IF(Q724&lt;&gt;1,"",IF(AB724&lt;&gt;"",IF(AB724="","",INDEX(시장분석!$N:$N,AB724)),IFERROR(IF(VLOOKUP(R724,매핑!$A$4:$E$92,4,0)="","미분류",VLOOKUP(R724,매핑!$A$4:$E$92,4,0)),"미분류")))</f>
        <v/>
      </c>
      <c r="AI724" s="43" t="str">
        <f aca="false">IF(Q724&lt;&gt;1,"",IFERROR(IF(VLOOKUP(R724,매핑!$A$4:$E$92,3,0)="","미분류",VLOOKUP(R724,매핑!$A$4:$E$92,3,0)),IF(AB724&lt;&gt;"",IF(AB724="","",INDEX(시장분석!$W:$W,AB724)),"미분류")))</f>
        <v/>
      </c>
      <c r="AJ724" s="43" t="str">
        <f aca="false">IF(Q724&lt;&gt;1,"",IFERROR(VLOOKUP(IF(N724&lt;&gt;"",N724,IF(P724&lt;&gt;"",P724,O724)),설정!$A$15:$D$47,2,0),""))</f>
        <v/>
      </c>
      <c r="AK724" s="43" t="str">
        <f aca="false">IF(Q724&lt;&gt;1,"",IF(AJ724="","무등급",IFERROR(VLOOKUP(AJ724,설정!$A$15:$D$47,3,0),"무등급")))</f>
        <v/>
      </c>
      <c r="AL724" s="89" t="n">
        <f aca="false">IF(AJ724="",99,IFERROR(VLOOKUP(AJ724,설정!$A$15:$D$47,4,0),99))</f>
        <v>99</v>
      </c>
      <c r="AM724" s="94" t="n">
        <f aca="false">IF(ISNUMBER(H724),AA724*1000000*H724/10000,0)</f>
        <v>0</v>
      </c>
      <c r="AN724" s="94" t="n">
        <f aca="false">IF(OR(Y724=1,NOT(ISNUMBER(Z724))),0,AA724*1000000*Z724/10000)</f>
        <v>0</v>
      </c>
      <c r="AO724" s="94" t="n">
        <f aca="false">IF(ISNUMBER(G724),AA724*1000000*G724/100,0)</f>
        <v>0</v>
      </c>
      <c r="AP724" s="94" t="n">
        <f aca="false">IF(ISNUMBER(M724),M724*K724,0)</f>
        <v>0</v>
      </c>
      <c r="AQ724" s="95" t="str">
        <f aca="false">IF(AB724="","",INDEX(시장분석!$AK:$AK,AB724))</f>
        <v/>
      </c>
      <c r="AR724" s="43" t="str">
        <f aca="false">IF(AB724="","-",IF(AB724="","",INDEX(시장분석!$AL:$AL,AB724)))</f>
        <v>-</v>
      </c>
      <c r="AS724" s="96" t="str">
        <f aca="false">IF(AB724="","",INDEX(시장분석!$AJ:$AJ,AB724))</f>
        <v/>
      </c>
      <c r="AT724" s="93" t="n">
        <f aca="false">IF(AB724="",0,IF(AB724="","",INDEX(시장분석!$AN:$AN,AB724)))</f>
        <v>0</v>
      </c>
      <c r="AU724" s="94" t="n">
        <f aca="false">IF(ISNUMBER(Z724),AT724/10000*MAX(Z724-1,0)*AA724*1000000,0)</f>
        <v>0</v>
      </c>
      <c r="AV724" s="94" t="n">
        <f aca="false">AO724+AU724</f>
        <v>0</v>
      </c>
      <c r="AW724" s="43" t="str">
        <f aca="false">IF(Q724&lt;&gt;1,"",TRIM(IF(AD724=1,"FRN ","")&amp;IF(AND(AL724&gt;=10,AL724&lt;99),"BBB0미만 ","")&amp;IF(AJ724="","등급없음 ","")&amp;IF(K724&lt;&gt;1,"비USD ","")&amp;IF(AND(AB724="",Y724=0),"시장데이터없음 ","")&amp;IF(AND(ISNUMBER(U724),U724&lt;0),"만기경과 ","")))</f>
        <v/>
      </c>
      <c r="AX724" s="90" t="n">
        <f aca="false">IF(Q724&lt;&gt;1,1,IF(스프레드쇼크!$C$4="Y",INDEX(스프레드쇼크!$B$12:$L$16,IFERROR(MATCH(AH724,스프레드쇼크!$A$12:$A$16,0),MATCH("목록외",스프레드쇼크!$A$12:$A$16,0)),IFERROR(MATCH(AG724,스프레드쇼크!$B$11:$L$11,0),MATCH("목록외",스프레드쇼크!$B$11:$L$11,0))),1))</f>
        <v>1</v>
      </c>
      <c r="AY724" s="90" t="n">
        <f aca="false">IF(스프레드쇼크!$C$5="Y",IF(ISNUMBER(AF724),MIN(스프레드쇼크!$C$7,MAX(스프레드쇼크!$C$6,AF724/스프레드쇼크!$C$8)),1),1)</f>
        <v>1</v>
      </c>
      <c r="AZ724" s="94" t="n">
        <f aca="false">AN724*AX724*AY724</f>
        <v>0</v>
      </c>
      <c r="BA724" s="90" t="n">
        <f aca="false">IF(ISNUMBER(G724),AA724*G724,0)</f>
        <v>0</v>
      </c>
      <c r="BB724" s="90" t="n">
        <f aca="false">IF(ISNUMBER(G724),AA724,0)</f>
        <v>0</v>
      </c>
      <c r="BC724" s="90" t="n">
        <f aca="false">IF(AND(Y724=0,ISNUMBER(AF724)),AA724*AF724,0)</f>
        <v>0</v>
      </c>
      <c r="BD724" s="90" t="n">
        <f aca="false">IF(AND(Y724=0,ISNUMBER(AF724)),AA724,0)</f>
        <v>0</v>
      </c>
      <c r="BE724" s="90" t="n">
        <f aca="false">IF(ISNUMBER(H724),AA724*H724,0)</f>
        <v>0</v>
      </c>
      <c r="BF724" s="90" t="n">
        <f aca="false">IF(ISNUMBER(H724),AA724,0)</f>
        <v>0</v>
      </c>
      <c r="BG724" s="90" t="n">
        <f aca="false">IF(AND(Y724=0,ISNUMBER(AF724),ISNUMBER(Z724)),AA724*Z724,0)</f>
        <v>0</v>
      </c>
      <c r="BH724" s="90" t="n">
        <f aca="false">IF(AND(Y724=0,ISNUMBER(AF724),ISNUMBER(Z724)),AA724*AT724*MAX(Z724-1,0),0)</f>
        <v>0</v>
      </c>
      <c r="BI724" s="90" t="n">
        <f aca="false">IF(Y724=0,AA724,0)</f>
        <v>0</v>
      </c>
    </row>
    <row r="725" customFormat="false" ht="15" hidden="false" customHeight="false" outlineLevel="0" collapsed="false">
      <c r="A725" s="83" t="str">
        <f aca="false">IFERROR(IF(INDEX(원자료_잔고!$A$1:$EZ$1500,설정!$L$5+ROW()-1,설정!$L$8)&amp;""="0","",INDEX(원자료_잔고!$A$1:$EZ$1500,설정!$L$5+ROW()-1,설정!$L$8)&amp;""),"")</f>
        <v/>
      </c>
      <c r="B725" s="83" t="str">
        <f aca="false">IFERROR(IF(INDEX(원자료_잔고!$A$1:$EZ$1500,설정!$L$5+ROW()-1,설정!$L$7)&amp;""="0","",INDEX(원자료_잔고!$A$1:$EZ$1500,설정!$L$5+ROW()-1,설정!$L$7)&amp;""),"")</f>
        <v/>
      </c>
      <c r="C725" s="83" t="str">
        <f aca="false">IFERROR(IF(INDEX(원자료_잔고!$A$1:$EZ$1500,설정!$L$5+ROW()-1,설정!$L$9)&amp;""="0","",INDEX(원자료_잔고!$A$1:$EZ$1500,설정!$L$5+ROW()-1,설정!$L$9)&amp;""),"")</f>
        <v/>
      </c>
      <c r="D725" s="83" t="str">
        <f aca="false">IFERROR(IF(INDEX(원자료_잔고!$A$1:$EZ$1500,설정!$L$5+ROW()-1,설정!$L$10)&amp;""="0","",INDEX(원자료_잔고!$A$1:$EZ$1500,설정!$L$5+ROW()-1,설정!$L$10)&amp;""),"")</f>
        <v/>
      </c>
      <c r="E725" s="84" t="str">
        <f aca="false">IFERROR(IF(ISNUMBER(INDEX(원자료_잔고!$A$1:$EZ$1500,설정!$L$5+ROW()-1,설정!$L$11)),INDEX(원자료_잔고!$A$1:$EZ$1500,설정!$L$5+ROW()-1,설정!$L$11),""),"")</f>
        <v/>
      </c>
      <c r="F725" s="85" t="str">
        <f aca="false">IFERROR(IF(ISNUMBER(INDEX(원자료_잔고!$A$1:$EZ$1500,설정!$L$5+ROW()-1,설정!$L$12)),INDEX(원자료_잔고!$A$1:$EZ$1500,설정!$L$5+ROW()-1,설정!$L$12),""),"")</f>
        <v/>
      </c>
      <c r="G725" s="85" t="str">
        <f aca="false">IFERROR(IF(ISNUMBER(INDEX(원자료_잔고!$A$1:$EZ$1500,설정!$L$5+ROW()-1,설정!$L$13)),INDEX(원자료_잔고!$A$1:$EZ$1500,설정!$L$5+ROW()-1,설정!$L$13),""),"")</f>
        <v/>
      </c>
      <c r="H725" s="85" t="str">
        <f aca="false">IFERROR(IF(ISNUMBER(INDEX(원자료_잔고!$A$1:$EZ$1500,설정!$L$5+ROW()-1,설정!$L$14)),INDEX(원자료_잔고!$A$1:$EZ$1500,설정!$L$5+ROW()-1,설정!$L$14),""),"")</f>
        <v/>
      </c>
      <c r="I725" s="86" t="str">
        <f aca="false">IFERROR(IF(ISNUMBER(INDEX(원자료_잔고!$A$1:$EZ$1500,설정!$L$5+ROW()-1,설정!$L$15)),INDEX(원자료_잔고!$A$1:$EZ$1500,설정!$L$5+ROW()-1,설정!$L$15),""),"")</f>
        <v/>
      </c>
      <c r="J725" s="85" t="str">
        <f aca="false">IFERROR(IF(ISNUMBER(INDEX(원자료_잔고!$A$1:$EZ$1500,설정!$L$5+ROW()-1,설정!$L$16)),INDEX(원자료_잔고!$A$1:$EZ$1500,설정!$L$5+ROW()-1,설정!$L$16),""),"")</f>
        <v/>
      </c>
      <c r="K725" s="87" t="str">
        <f aca="false">IFERROR(IF(ISNUMBER(INDEX(원자료_잔고!$A$1:$EZ$1500,설정!$L$5+ROW()-1,설정!$L$17)),INDEX(원자료_잔고!$A$1:$EZ$1500,설정!$L$5+ROW()-1,설정!$L$17),""),"")</f>
        <v/>
      </c>
      <c r="L725" s="84" t="str">
        <f aca="false">IFERROR(IF(ISNUMBER(INDEX(원자료_잔고!$A$1:$EZ$1500,설정!$L$5+ROW()-1,설정!$L$18)),INDEX(원자료_잔고!$A$1:$EZ$1500,설정!$L$5+ROW()-1,설정!$L$18),""),"")</f>
        <v/>
      </c>
      <c r="M725" s="88" t="str">
        <f aca="false">IFERROR(IF(ISNUMBER(INDEX(원자료_잔고!$A$1:$EZ$1500,설정!$L$5+ROW()-1,설정!$L$19)),INDEX(원자료_잔고!$A$1:$EZ$1500,설정!$L$5+ROW()-1,설정!$L$19),""),"")</f>
        <v/>
      </c>
      <c r="N725" s="83" t="str">
        <f aca="false">IFERROR(IF(INDEX(원자료_잔고!$A$1:$EZ$1500,설정!$L$5+ROW()-1,설정!$L$21)&amp;""="0","",INDEX(원자료_잔고!$A$1:$EZ$1500,설정!$L$5+ROW()-1,설정!$L$21)&amp;""),"")</f>
        <v/>
      </c>
      <c r="O725" s="83" t="str">
        <f aca="false">IFERROR(IF(INDEX(원자료_잔고!$A$1:$EZ$1500,설정!$L$5+ROW()-1,설정!$L$22)&amp;""="0","",INDEX(원자료_잔고!$A$1:$EZ$1500,설정!$L$5+ROW()-1,설정!$L$22)&amp;""),"")</f>
        <v/>
      </c>
      <c r="P725" s="83" t="str">
        <f aca="false">IFERROR(IF(INDEX(원자료_잔고!$A$1:$EZ$1500,설정!$L$5+ROW()-1,설정!$L$23)&amp;""="0","",INDEX(원자료_잔고!$A$1:$EZ$1500,설정!$L$5+ROW()-1,설정!$L$23)&amp;""),"")</f>
        <v/>
      </c>
      <c r="Q725" s="89" t="n">
        <f aca="false">IF(AND($A725&lt;&gt;"",ISNUMBER(E725)),IF(E725&gt;0,1,0),0)</f>
        <v>0</v>
      </c>
      <c r="R725" s="43" t="str">
        <f aca="false">IF(Q725=1,UPPER(LEFT($A725,FIND(" ",$A725&amp;" ")-1)),"")</f>
        <v/>
      </c>
      <c r="S725" s="89" t="n">
        <f aca="false">IF(Q725=1,IF(OR(ISNUMBER(SEARCH("Float",$A725)),ISNUMBER(SEARCH("FRN",$A725))),1,0),0)</f>
        <v>0</v>
      </c>
      <c r="T725" s="43" t="str">
        <f aca="false">IF(AND(Q725=1,ISNUMBER(I725)),TEXT(I725,"yyyymmdd")&amp;"|"&amp;IF(S725=1,"F",TEXT(J725,"0.000")),"")</f>
        <v/>
      </c>
      <c r="U725" s="90" t="str">
        <f aca="false">IF(AND(Q725=1,ISNUMBER(I725)),(I725-설정!$C$4)/365.25,"")</f>
        <v/>
      </c>
      <c r="V725" s="43" t="str">
        <f aca="false">IF(Q725&lt;&gt;1,"",IF(ISNUMBER(U725),IF(U725&lt;=1,"1년 이하",IF(U725&lt;=2,"1-2년",IF(U725&lt;=3,"2-3년",IF(U725&lt;=4,"3-4년",IF(U725&lt;=5,"4-5년",IF(U725&lt;=7,"5-7년",IF(U725&lt;=10,"7-10년",IF(U725&lt;=20,"10-20년","20년 이상")))))))),"미분류"))</f>
        <v/>
      </c>
      <c r="W725" s="43" t="str">
        <f aca="false">IF(Q725&lt;&gt;1,"",IF(AB725&lt;&gt;"",INDEX(시장분석!$C:$C,AB725),IF(K725=1,"USD","비USD")))</f>
        <v/>
      </c>
      <c r="X725" s="91" t="n">
        <f aca="false">IF(Q725=1,E725*K725/1000000,0)</f>
        <v>0</v>
      </c>
      <c r="Y725" s="89" t="n">
        <f aca="false">IF(R725="T",1,0)</f>
        <v>0</v>
      </c>
      <c r="Z725" s="92" t="str">
        <f aca="false">IF(Q725&lt;&gt;1,"",IF(AD725=1,IF(ISNUMBER(U725),MAX(U725,0),H725),H725))</f>
        <v/>
      </c>
      <c r="AA725" s="91" t="n">
        <f aca="false">IF(Q725=1,IF(ISNUMBER(L725),L725,0)*K725/1000000,0)</f>
        <v>0</v>
      </c>
      <c r="AB725" s="89" t="str">
        <f aca="false">IF(Q725&lt;&gt;1,"",IFERROR(MATCH(VLOOKUP(B725,매핑!$H$4:$I$15,2,0),시장분석!$A$2:$A$601,0)+1,IFERROR(MATCH(R725&amp;"|"&amp;T725,시장분석!$V$2:$V$601,0)+1,IF(COUNTIF(시장분석!$U$2:$U$601,T725)=1,MATCH(T725,시장분석!$U$2:$U$601,0)+1,""))))</f>
        <v/>
      </c>
      <c r="AC725" s="89" t="n">
        <f aca="false">IF(Q725&lt;&gt;1,0,IF(OR(설정!$C$5="전체",AND(설정!$C$5="선택펀드",IFERROR(COUNTIFS(설정!$F$16:$F$36,C725,설정!$G$16:$G$36,"Y")+COUNTIFS(설정!$F$16:$F$36,VALUE(C725),설정!$G$16:$G$36,"Y"),0)&gt;0),C725&amp;""=설정!$C$5&amp;""),1,0))</f>
        <v>0</v>
      </c>
      <c r="AD725" s="89" t="n">
        <f aca="false">IF(Q725&lt;&gt;1,0,IF(OR(S725=1,IF(AB725="",FALSE(),INDEX(시장분석!$R:$R,AB725)=1)),1,0))</f>
        <v>0</v>
      </c>
      <c r="AE725" s="43" t="str">
        <f aca="false">IF(AB725="","",INDEX(시장분석!$A:$A,AB725))</f>
        <v/>
      </c>
      <c r="AF725" s="93" t="str">
        <f aca="false">IF(AB725="","",IF(ISNUMBER(IF(AB725="","",INDEX(시장분석!$E:$E,AB725))),IF(AB725="","",INDEX(시장분석!$E:$E,AB725)),""))</f>
        <v/>
      </c>
      <c r="AG725" s="43" t="str">
        <f aca="false">IF(Q725&lt;&gt;1,"",IF(AB725&lt;&gt;"",IF(AB725="","",INDEX(시장분석!$L:$L,AB725)),IFERROR(IF(VLOOKUP(R725,매핑!$A$4:$E$92,5,0)="","미분류",VLOOKUP(R725,매핑!$A$4:$E$92,5,0)),"미분류")))</f>
        <v/>
      </c>
      <c r="AH725" s="43" t="str">
        <f aca="false">IF(Q725&lt;&gt;1,"",IF(AB725&lt;&gt;"",IF(AB725="","",INDEX(시장분석!$N:$N,AB725)),IFERROR(IF(VLOOKUP(R725,매핑!$A$4:$E$92,4,0)="","미분류",VLOOKUP(R725,매핑!$A$4:$E$92,4,0)),"미분류")))</f>
        <v/>
      </c>
      <c r="AI725" s="43" t="str">
        <f aca="false">IF(Q725&lt;&gt;1,"",IFERROR(IF(VLOOKUP(R725,매핑!$A$4:$E$92,3,0)="","미분류",VLOOKUP(R725,매핑!$A$4:$E$92,3,0)),IF(AB725&lt;&gt;"",IF(AB725="","",INDEX(시장분석!$W:$W,AB725)),"미분류")))</f>
        <v/>
      </c>
      <c r="AJ725" s="43" t="str">
        <f aca="false">IF(Q725&lt;&gt;1,"",IFERROR(VLOOKUP(IF(N725&lt;&gt;"",N725,IF(P725&lt;&gt;"",P725,O725)),설정!$A$15:$D$47,2,0),""))</f>
        <v/>
      </c>
      <c r="AK725" s="43" t="str">
        <f aca="false">IF(Q725&lt;&gt;1,"",IF(AJ725="","무등급",IFERROR(VLOOKUP(AJ725,설정!$A$15:$D$47,3,0),"무등급")))</f>
        <v/>
      </c>
      <c r="AL725" s="89" t="n">
        <f aca="false">IF(AJ725="",99,IFERROR(VLOOKUP(AJ725,설정!$A$15:$D$47,4,0),99))</f>
        <v>99</v>
      </c>
      <c r="AM725" s="94" t="n">
        <f aca="false">IF(ISNUMBER(H725),AA725*1000000*H725/10000,0)</f>
        <v>0</v>
      </c>
      <c r="AN725" s="94" t="n">
        <f aca="false">IF(OR(Y725=1,NOT(ISNUMBER(Z725))),0,AA725*1000000*Z725/10000)</f>
        <v>0</v>
      </c>
      <c r="AO725" s="94" t="n">
        <f aca="false">IF(ISNUMBER(G725),AA725*1000000*G725/100,0)</f>
        <v>0</v>
      </c>
      <c r="AP725" s="94" t="n">
        <f aca="false">IF(ISNUMBER(M725),M725*K725,0)</f>
        <v>0</v>
      </c>
      <c r="AQ725" s="95" t="str">
        <f aca="false">IF(AB725="","",INDEX(시장분석!$AK:$AK,AB725))</f>
        <v/>
      </c>
      <c r="AR725" s="43" t="str">
        <f aca="false">IF(AB725="","-",IF(AB725="","",INDEX(시장분석!$AL:$AL,AB725)))</f>
        <v>-</v>
      </c>
      <c r="AS725" s="96" t="str">
        <f aca="false">IF(AB725="","",INDEX(시장분석!$AJ:$AJ,AB725))</f>
        <v/>
      </c>
      <c r="AT725" s="93" t="n">
        <f aca="false">IF(AB725="",0,IF(AB725="","",INDEX(시장분석!$AN:$AN,AB725)))</f>
        <v>0</v>
      </c>
      <c r="AU725" s="94" t="n">
        <f aca="false">IF(ISNUMBER(Z725),AT725/10000*MAX(Z725-1,0)*AA725*1000000,0)</f>
        <v>0</v>
      </c>
      <c r="AV725" s="94" t="n">
        <f aca="false">AO725+AU725</f>
        <v>0</v>
      </c>
      <c r="AW725" s="43" t="str">
        <f aca="false">IF(Q725&lt;&gt;1,"",TRIM(IF(AD725=1,"FRN ","")&amp;IF(AND(AL725&gt;=10,AL725&lt;99),"BBB0미만 ","")&amp;IF(AJ725="","등급없음 ","")&amp;IF(K725&lt;&gt;1,"비USD ","")&amp;IF(AND(AB725="",Y725=0),"시장데이터없음 ","")&amp;IF(AND(ISNUMBER(U725),U725&lt;0),"만기경과 ","")))</f>
        <v/>
      </c>
      <c r="AX725" s="90" t="n">
        <f aca="false">IF(Q725&lt;&gt;1,1,IF(스프레드쇼크!$C$4="Y",INDEX(스프레드쇼크!$B$12:$L$16,IFERROR(MATCH(AH725,스프레드쇼크!$A$12:$A$16,0),MATCH("목록외",스프레드쇼크!$A$12:$A$16,0)),IFERROR(MATCH(AG725,스프레드쇼크!$B$11:$L$11,0),MATCH("목록외",스프레드쇼크!$B$11:$L$11,0))),1))</f>
        <v>1</v>
      </c>
      <c r="AY725" s="90" t="n">
        <f aca="false">IF(스프레드쇼크!$C$5="Y",IF(ISNUMBER(AF725),MIN(스프레드쇼크!$C$7,MAX(스프레드쇼크!$C$6,AF725/스프레드쇼크!$C$8)),1),1)</f>
        <v>1</v>
      </c>
      <c r="AZ725" s="94" t="n">
        <f aca="false">AN725*AX725*AY725</f>
        <v>0</v>
      </c>
      <c r="BA725" s="90" t="n">
        <f aca="false">IF(ISNUMBER(G725),AA725*G725,0)</f>
        <v>0</v>
      </c>
      <c r="BB725" s="90" t="n">
        <f aca="false">IF(ISNUMBER(G725),AA725,0)</f>
        <v>0</v>
      </c>
      <c r="BC725" s="90" t="n">
        <f aca="false">IF(AND(Y725=0,ISNUMBER(AF725)),AA725*AF725,0)</f>
        <v>0</v>
      </c>
      <c r="BD725" s="90" t="n">
        <f aca="false">IF(AND(Y725=0,ISNUMBER(AF725)),AA725,0)</f>
        <v>0</v>
      </c>
      <c r="BE725" s="90" t="n">
        <f aca="false">IF(ISNUMBER(H725),AA725*H725,0)</f>
        <v>0</v>
      </c>
      <c r="BF725" s="90" t="n">
        <f aca="false">IF(ISNUMBER(H725),AA725,0)</f>
        <v>0</v>
      </c>
      <c r="BG725" s="90" t="n">
        <f aca="false">IF(AND(Y725=0,ISNUMBER(AF725),ISNUMBER(Z725)),AA725*Z725,0)</f>
        <v>0</v>
      </c>
      <c r="BH725" s="90" t="n">
        <f aca="false">IF(AND(Y725=0,ISNUMBER(AF725),ISNUMBER(Z725)),AA725*AT725*MAX(Z725-1,0),0)</f>
        <v>0</v>
      </c>
      <c r="BI725" s="90" t="n">
        <f aca="false">IF(Y725=0,AA725,0)</f>
        <v>0</v>
      </c>
    </row>
    <row r="726" customFormat="false" ht="15" hidden="false" customHeight="false" outlineLevel="0" collapsed="false">
      <c r="A726" s="83" t="str">
        <f aca="false">IFERROR(IF(INDEX(원자료_잔고!$A$1:$EZ$1500,설정!$L$5+ROW()-1,설정!$L$8)&amp;""="0","",INDEX(원자료_잔고!$A$1:$EZ$1500,설정!$L$5+ROW()-1,설정!$L$8)&amp;""),"")</f>
        <v/>
      </c>
      <c r="B726" s="83" t="str">
        <f aca="false">IFERROR(IF(INDEX(원자료_잔고!$A$1:$EZ$1500,설정!$L$5+ROW()-1,설정!$L$7)&amp;""="0","",INDEX(원자료_잔고!$A$1:$EZ$1500,설정!$L$5+ROW()-1,설정!$L$7)&amp;""),"")</f>
        <v/>
      </c>
      <c r="C726" s="83" t="str">
        <f aca="false">IFERROR(IF(INDEX(원자료_잔고!$A$1:$EZ$1500,설정!$L$5+ROW()-1,설정!$L$9)&amp;""="0","",INDEX(원자료_잔고!$A$1:$EZ$1500,설정!$L$5+ROW()-1,설정!$L$9)&amp;""),"")</f>
        <v/>
      </c>
      <c r="D726" s="83" t="str">
        <f aca="false">IFERROR(IF(INDEX(원자료_잔고!$A$1:$EZ$1500,설정!$L$5+ROW()-1,설정!$L$10)&amp;""="0","",INDEX(원자료_잔고!$A$1:$EZ$1500,설정!$L$5+ROW()-1,설정!$L$10)&amp;""),"")</f>
        <v/>
      </c>
      <c r="E726" s="84" t="str">
        <f aca="false">IFERROR(IF(ISNUMBER(INDEX(원자료_잔고!$A$1:$EZ$1500,설정!$L$5+ROW()-1,설정!$L$11)),INDEX(원자료_잔고!$A$1:$EZ$1500,설정!$L$5+ROW()-1,설정!$L$11),""),"")</f>
        <v/>
      </c>
      <c r="F726" s="85" t="str">
        <f aca="false">IFERROR(IF(ISNUMBER(INDEX(원자료_잔고!$A$1:$EZ$1500,설정!$L$5+ROW()-1,설정!$L$12)),INDEX(원자료_잔고!$A$1:$EZ$1500,설정!$L$5+ROW()-1,설정!$L$12),""),"")</f>
        <v/>
      </c>
      <c r="G726" s="85" t="str">
        <f aca="false">IFERROR(IF(ISNUMBER(INDEX(원자료_잔고!$A$1:$EZ$1500,설정!$L$5+ROW()-1,설정!$L$13)),INDEX(원자료_잔고!$A$1:$EZ$1500,설정!$L$5+ROW()-1,설정!$L$13),""),"")</f>
        <v/>
      </c>
      <c r="H726" s="85" t="str">
        <f aca="false">IFERROR(IF(ISNUMBER(INDEX(원자료_잔고!$A$1:$EZ$1500,설정!$L$5+ROW()-1,설정!$L$14)),INDEX(원자료_잔고!$A$1:$EZ$1500,설정!$L$5+ROW()-1,설정!$L$14),""),"")</f>
        <v/>
      </c>
      <c r="I726" s="86" t="str">
        <f aca="false">IFERROR(IF(ISNUMBER(INDEX(원자료_잔고!$A$1:$EZ$1500,설정!$L$5+ROW()-1,설정!$L$15)),INDEX(원자료_잔고!$A$1:$EZ$1500,설정!$L$5+ROW()-1,설정!$L$15),""),"")</f>
        <v/>
      </c>
      <c r="J726" s="85" t="str">
        <f aca="false">IFERROR(IF(ISNUMBER(INDEX(원자료_잔고!$A$1:$EZ$1500,설정!$L$5+ROW()-1,설정!$L$16)),INDEX(원자료_잔고!$A$1:$EZ$1500,설정!$L$5+ROW()-1,설정!$L$16),""),"")</f>
        <v/>
      </c>
      <c r="K726" s="87" t="str">
        <f aca="false">IFERROR(IF(ISNUMBER(INDEX(원자료_잔고!$A$1:$EZ$1500,설정!$L$5+ROW()-1,설정!$L$17)),INDEX(원자료_잔고!$A$1:$EZ$1500,설정!$L$5+ROW()-1,설정!$L$17),""),"")</f>
        <v/>
      </c>
      <c r="L726" s="84" t="str">
        <f aca="false">IFERROR(IF(ISNUMBER(INDEX(원자료_잔고!$A$1:$EZ$1500,설정!$L$5+ROW()-1,설정!$L$18)),INDEX(원자료_잔고!$A$1:$EZ$1500,설정!$L$5+ROW()-1,설정!$L$18),""),"")</f>
        <v/>
      </c>
      <c r="M726" s="88" t="str">
        <f aca="false">IFERROR(IF(ISNUMBER(INDEX(원자료_잔고!$A$1:$EZ$1500,설정!$L$5+ROW()-1,설정!$L$19)),INDEX(원자료_잔고!$A$1:$EZ$1500,설정!$L$5+ROW()-1,설정!$L$19),""),"")</f>
        <v/>
      </c>
      <c r="N726" s="83" t="str">
        <f aca="false">IFERROR(IF(INDEX(원자료_잔고!$A$1:$EZ$1500,설정!$L$5+ROW()-1,설정!$L$21)&amp;""="0","",INDEX(원자료_잔고!$A$1:$EZ$1500,설정!$L$5+ROW()-1,설정!$L$21)&amp;""),"")</f>
        <v/>
      </c>
      <c r="O726" s="83" t="str">
        <f aca="false">IFERROR(IF(INDEX(원자료_잔고!$A$1:$EZ$1500,설정!$L$5+ROW()-1,설정!$L$22)&amp;""="0","",INDEX(원자료_잔고!$A$1:$EZ$1500,설정!$L$5+ROW()-1,설정!$L$22)&amp;""),"")</f>
        <v/>
      </c>
      <c r="P726" s="83" t="str">
        <f aca="false">IFERROR(IF(INDEX(원자료_잔고!$A$1:$EZ$1500,설정!$L$5+ROW()-1,설정!$L$23)&amp;""="0","",INDEX(원자료_잔고!$A$1:$EZ$1500,설정!$L$5+ROW()-1,설정!$L$23)&amp;""),"")</f>
        <v/>
      </c>
      <c r="Q726" s="89" t="n">
        <f aca="false">IF(AND($A726&lt;&gt;"",ISNUMBER(E726)),IF(E726&gt;0,1,0),0)</f>
        <v>0</v>
      </c>
      <c r="R726" s="43" t="str">
        <f aca="false">IF(Q726=1,UPPER(LEFT($A726,FIND(" ",$A726&amp;" ")-1)),"")</f>
        <v/>
      </c>
      <c r="S726" s="89" t="n">
        <f aca="false">IF(Q726=1,IF(OR(ISNUMBER(SEARCH("Float",$A726)),ISNUMBER(SEARCH("FRN",$A726))),1,0),0)</f>
        <v>0</v>
      </c>
      <c r="T726" s="43" t="str">
        <f aca="false">IF(AND(Q726=1,ISNUMBER(I726)),TEXT(I726,"yyyymmdd")&amp;"|"&amp;IF(S726=1,"F",TEXT(J726,"0.000")),"")</f>
        <v/>
      </c>
      <c r="U726" s="90" t="str">
        <f aca="false">IF(AND(Q726=1,ISNUMBER(I726)),(I726-설정!$C$4)/365.25,"")</f>
        <v/>
      </c>
      <c r="V726" s="43" t="str">
        <f aca="false">IF(Q726&lt;&gt;1,"",IF(ISNUMBER(U726),IF(U726&lt;=1,"1년 이하",IF(U726&lt;=2,"1-2년",IF(U726&lt;=3,"2-3년",IF(U726&lt;=4,"3-4년",IF(U726&lt;=5,"4-5년",IF(U726&lt;=7,"5-7년",IF(U726&lt;=10,"7-10년",IF(U726&lt;=20,"10-20년","20년 이상")))))))),"미분류"))</f>
        <v/>
      </c>
      <c r="W726" s="43" t="str">
        <f aca="false">IF(Q726&lt;&gt;1,"",IF(AB726&lt;&gt;"",INDEX(시장분석!$C:$C,AB726),IF(K726=1,"USD","비USD")))</f>
        <v/>
      </c>
      <c r="X726" s="91" t="n">
        <f aca="false">IF(Q726=1,E726*K726/1000000,0)</f>
        <v>0</v>
      </c>
      <c r="Y726" s="89" t="n">
        <f aca="false">IF(R726="T",1,0)</f>
        <v>0</v>
      </c>
      <c r="Z726" s="92" t="str">
        <f aca="false">IF(Q726&lt;&gt;1,"",IF(AD726=1,IF(ISNUMBER(U726),MAX(U726,0),H726),H726))</f>
        <v/>
      </c>
      <c r="AA726" s="91" t="n">
        <f aca="false">IF(Q726=1,IF(ISNUMBER(L726),L726,0)*K726/1000000,0)</f>
        <v>0</v>
      </c>
      <c r="AB726" s="89" t="str">
        <f aca="false">IF(Q726&lt;&gt;1,"",IFERROR(MATCH(VLOOKUP(B726,매핑!$H$4:$I$15,2,0),시장분석!$A$2:$A$601,0)+1,IFERROR(MATCH(R726&amp;"|"&amp;T726,시장분석!$V$2:$V$601,0)+1,IF(COUNTIF(시장분석!$U$2:$U$601,T726)=1,MATCH(T726,시장분석!$U$2:$U$601,0)+1,""))))</f>
        <v/>
      </c>
      <c r="AC726" s="89" t="n">
        <f aca="false">IF(Q726&lt;&gt;1,0,IF(OR(설정!$C$5="전체",AND(설정!$C$5="선택펀드",IFERROR(COUNTIFS(설정!$F$16:$F$36,C726,설정!$G$16:$G$36,"Y")+COUNTIFS(설정!$F$16:$F$36,VALUE(C726),설정!$G$16:$G$36,"Y"),0)&gt;0),C726&amp;""=설정!$C$5&amp;""),1,0))</f>
        <v>0</v>
      </c>
      <c r="AD726" s="89" t="n">
        <f aca="false">IF(Q726&lt;&gt;1,0,IF(OR(S726=1,IF(AB726="",FALSE(),INDEX(시장분석!$R:$R,AB726)=1)),1,0))</f>
        <v>0</v>
      </c>
      <c r="AE726" s="43" t="str">
        <f aca="false">IF(AB726="","",INDEX(시장분석!$A:$A,AB726))</f>
        <v/>
      </c>
      <c r="AF726" s="93" t="str">
        <f aca="false">IF(AB726="","",IF(ISNUMBER(IF(AB726="","",INDEX(시장분석!$E:$E,AB726))),IF(AB726="","",INDEX(시장분석!$E:$E,AB726)),""))</f>
        <v/>
      </c>
      <c r="AG726" s="43" t="str">
        <f aca="false">IF(Q726&lt;&gt;1,"",IF(AB726&lt;&gt;"",IF(AB726="","",INDEX(시장분석!$L:$L,AB726)),IFERROR(IF(VLOOKUP(R726,매핑!$A$4:$E$92,5,0)="","미분류",VLOOKUP(R726,매핑!$A$4:$E$92,5,0)),"미분류")))</f>
        <v/>
      </c>
      <c r="AH726" s="43" t="str">
        <f aca="false">IF(Q726&lt;&gt;1,"",IF(AB726&lt;&gt;"",IF(AB726="","",INDEX(시장분석!$N:$N,AB726)),IFERROR(IF(VLOOKUP(R726,매핑!$A$4:$E$92,4,0)="","미분류",VLOOKUP(R726,매핑!$A$4:$E$92,4,0)),"미분류")))</f>
        <v/>
      </c>
      <c r="AI726" s="43" t="str">
        <f aca="false">IF(Q726&lt;&gt;1,"",IFERROR(IF(VLOOKUP(R726,매핑!$A$4:$E$92,3,0)="","미분류",VLOOKUP(R726,매핑!$A$4:$E$92,3,0)),IF(AB726&lt;&gt;"",IF(AB726="","",INDEX(시장분석!$W:$W,AB726)),"미분류")))</f>
        <v/>
      </c>
      <c r="AJ726" s="43" t="str">
        <f aca="false">IF(Q726&lt;&gt;1,"",IFERROR(VLOOKUP(IF(N726&lt;&gt;"",N726,IF(P726&lt;&gt;"",P726,O726)),설정!$A$15:$D$47,2,0),""))</f>
        <v/>
      </c>
      <c r="AK726" s="43" t="str">
        <f aca="false">IF(Q726&lt;&gt;1,"",IF(AJ726="","무등급",IFERROR(VLOOKUP(AJ726,설정!$A$15:$D$47,3,0),"무등급")))</f>
        <v/>
      </c>
      <c r="AL726" s="89" t="n">
        <f aca="false">IF(AJ726="",99,IFERROR(VLOOKUP(AJ726,설정!$A$15:$D$47,4,0),99))</f>
        <v>99</v>
      </c>
      <c r="AM726" s="94" t="n">
        <f aca="false">IF(ISNUMBER(H726),AA726*1000000*H726/10000,0)</f>
        <v>0</v>
      </c>
      <c r="AN726" s="94" t="n">
        <f aca="false">IF(OR(Y726=1,NOT(ISNUMBER(Z726))),0,AA726*1000000*Z726/10000)</f>
        <v>0</v>
      </c>
      <c r="AO726" s="94" t="n">
        <f aca="false">IF(ISNUMBER(G726),AA726*1000000*G726/100,0)</f>
        <v>0</v>
      </c>
      <c r="AP726" s="94" t="n">
        <f aca="false">IF(ISNUMBER(M726),M726*K726,0)</f>
        <v>0</v>
      </c>
      <c r="AQ726" s="95" t="str">
        <f aca="false">IF(AB726="","",INDEX(시장분석!$AK:$AK,AB726))</f>
        <v/>
      </c>
      <c r="AR726" s="43" t="str">
        <f aca="false">IF(AB726="","-",IF(AB726="","",INDEX(시장분석!$AL:$AL,AB726)))</f>
        <v>-</v>
      </c>
      <c r="AS726" s="96" t="str">
        <f aca="false">IF(AB726="","",INDEX(시장분석!$AJ:$AJ,AB726))</f>
        <v/>
      </c>
      <c r="AT726" s="93" t="n">
        <f aca="false">IF(AB726="",0,IF(AB726="","",INDEX(시장분석!$AN:$AN,AB726)))</f>
        <v>0</v>
      </c>
      <c r="AU726" s="94" t="n">
        <f aca="false">IF(ISNUMBER(Z726),AT726/10000*MAX(Z726-1,0)*AA726*1000000,0)</f>
        <v>0</v>
      </c>
      <c r="AV726" s="94" t="n">
        <f aca="false">AO726+AU726</f>
        <v>0</v>
      </c>
      <c r="AW726" s="43" t="str">
        <f aca="false">IF(Q726&lt;&gt;1,"",TRIM(IF(AD726=1,"FRN ","")&amp;IF(AND(AL726&gt;=10,AL726&lt;99),"BBB0미만 ","")&amp;IF(AJ726="","등급없음 ","")&amp;IF(K726&lt;&gt;1,"비USD ","")&amp;IF(AND(AB726="",Y726=0),"시장데이터없음 ","")&amp;IF(AND(ISNUMBER(U726),U726&lt;0),"만기경과 ","")))</f>
        <v/>
      </c>
      <c r="AX726" s="90" t="n">
        <f aca="false">IF(Q726&lt;&gt;1,1,IF(스프레드쇼크!$C$4="Y",INDEX(스프레드쇼크!$B$12:$L$16,IFERROR(MATCH(AH726,스프레드쇼크!$A$12:$A$16,0),MATCH("목록외",스프레드쇼크!$A$12:$A$16,0)),IFERROR(MATCH(AG726,스프레드쇼크!$B$11:$L$11,0),MATCH("목록외",스프레드쇼크!$B$11:$L$11,0))),1))</f>
        <v>1</v>
      </c>
      <c r="AY726" s="90" t="n">
        <f aca="false">IF(스프레드쇼크!$C$5="Y",IF(ISNUMBER(AF726),MIN(스프레드쇼크!$C$7,MAX(스프레드쇼크!$C$6,AF726/스프레드쇼크!$C$8)),1),1)</f>
        <v>1</v>
      </c>
      <c r="AZ726" s="94" t="n">
        <f aca="false">AN726*AX726*AY726</f>
        <v>0</v>
      </c>
      <c r="BA726" s="90" t="n">
        <f aca="false">IF(ISNUMBER(G726),AA726*G726,0)</f>
        <v>0</v>
      </c>
      <c r="BB726" s="90" t="n">
        <f aca="false">IF(ISNUMBER(G726),AA726,0)</f>
        <v>0</v>
      </c>
      <c r="BC726" s="90" t="n">
        <f aca="false">IF(AND(Y726=0,ISNUMBER(AF726)),AA726*AF726,0)</f>
        <v>0</v>
      </c>
      <c r="BD726" s="90" t="n">
        <f aca="false">IF(AND(Y726=0,ISNUMBER(AF726)),AA726,0)</f>
        <v>0</v>
      </c>
      <c r="BE726" s="90" t="n">
        <f aca="false">IF(ISNUMBER(H726),AA726*H726,0)</f>
        <v>0</v>
      </c>
      <c r="BF726" s="90" t="n">
        <f aca="false">IF(ISNUMBER(H726),AA726,0)</f>
        <v>0</v>
      </c>
      <c r="BG726" s="90" t="n">
        <f aca="false">IF(AND(Y726=0,ISNUMBER(AF726),ISNUMBER(Z726)),AA726*Z726,0)</f>
        <v>0</v>
      </c>
      <c r="BH726" s="90" t="n">
        <f aca="false">IF(AND(Y726=0,ISNUMBER(AF726),ISNUMBER(Z726)),AA726*AT726*MAX(Z726-1,0),0)</f>
        <v>0</v>
      </c>
      <c r="BI726" s="90" t="n">
        <f aca="false">IF(Y726=0,AA726,0)</f>
        <v>0</v>
      </c>
    </row>
    <row r="727" customFormat="false" ht="15" hidden="false" customHeight="false" outlineLevel="0" collapsed="false">
      <c r="A727" s="83" t="str">
        <f aca="false">IFERROR(IF(INDEX(원자료_잔고!$A$1:$EZ$1500,설정!$L$5+ROW()-1,설정!$L$8)&amp;""="0","",INDEX(원자료_잔고!$A$1:$EZ$1500,설정!$L$5+ROW()-1,설정!$L$8)&amp;""),"")</f>
        <v/>
      </c>
      <c r="B727" s="83" t="str">
        <f aca="false">IFERROR(IF(INDEX(원자료_잔고!$A$1:$EZ$1500,설정!$L$5+ROW()-1,설정!$L$7)&amp;""="0","",INDEX(원자료_잔고!$A$1:$EZ$1500,설정!$L$5+ROW()-1,설정!$L$7)&amp;""),"")</f>
        <v/>
      </c>
      <c r="C727" s="83" t="str">
        <f aca="false">IFERROR(IF(INDEX(원자료_잔고!$A$1:$EZ$1500,설정!$L$5+ROW()-1,설정!$L$9)&amp;""="0","",INDEX(원자료_잔고!$A$1:$EZ$1500,설정!$L$5+ROW()-1,설정!$L$9)&amp;""),"")</f>
        <v/>
      </c>
      <c r="D727" s="83" t="str">
        <f aca="false">IFERROR(IF(INDEX(원자료_잔고!$A$1:$EZ$1500,설정!$L$5+ROW()-1,설정!$L$10)&amp;""="0","",INDEX(원자료_잔고!$A$1:$EZ$1500,설정!$L$5+ROW()-1,설정!$L$10)&amp;""),"")</f>
        <v/>
      </c>
      <c r="E727" s="84" t="str">
        <f aca="false">IFERROR(IF(ISNUMBER(INDEX(원자료_잔고!$A$1:$EZ$1500,설정!$L$5+ROW()-1,설정!$L$11)),INDEX(원자료_잔고!$A$1:$EZ$1500,설정!$L$5+ROW()-1,설정!$L$11),""),"")</f>
        <v/>
      </c>
      <c r="F727" s="85" t="str">
        <f aca="false">IFERROR(IF(ISNUMBER(INDEX(원자료_잔고!$A$1:$EZ$1500,설정!$L$5+ROW()-1,설정!$L$12)),INDEX(원자료_잔고!$A$1:$EZ$1500,설정!$L$5+ROW()-1,설정!$L$12),""),"")</f>
        <v/>
      </c>
      <c r="G727" s="85" t="str">
        <f aca="false">IFERROR(IF(ISNUMBER(INDEX(원자료_잔고!$A$1:$EZ$1500,설정!$L$5+ROW()-1,설정!$L$13)),INDEX(원자료_잔고!$A$1:$EZ$1500,설정!$L$5+ROW()-1,설정!$L$13),""),"")</f>
        <v/>
      </c>
      <c r="H727" s="85" t="str">
        <f aca="false">IFERROR(IF(ISNUMBER(INDEX(원자료_잔고!$A$1:$EZ$1500,설정!$L$5+ROW()-1,설정!$L$14)),INDEX(원자료_잔고!$A$1:$EZ$1500,설정!$L$5+ROW()-1,설정!$L$14),""),"")</f>
        <v/>
      </c>
      <c r="I727" s="86" t="str">
        <f aca="false">IFERROR(IF(ISNUMBER(INDEX(원자료_잔고!$A$1:$EZ$1500,설정!$L$5+ROW()-1,설정!$L$15)),INDEX(원자료_잔고!$A$1:$EZ$1500,설정!$L$5+ROW()-1,설정!$L$15),""),"")</f>
        <v/>
      </c>
      <c r="J727" s="85" t="str">
        <f aca="false">IFERROR(IF(ISNUMBER(INDEX(원자료_잔고!$A$1:$EZ$1500,설정!$L$5+ROW()-1,설정!$L$16)),INDEX(원자료_잔고!$A$1:$EZ$1500,설정!$L$5+ROW()-1,설정!$L$16),""),"")</f>
        <v/>
      </c>
      <c r="K727" s="87" t="str">
        <f aca="false">IFERROR(IF(ISNUMBER(INDEX(원자료_잔고!$A$1:$EZ$1500,설정!$L$5+ROW()-1,설정!$L$17)),INDEX(원자료_잔고!$A$1:$EZ$1500,설정!$L$5+ROW()-1,설정!$L$17),""),"")</f>
        <v/>
      </c>
      <c r="L727" s="84" t="str">
        <f aca="false">IFERROR(IF(ISNUMBER(INDEX(원자료_잔고!$A$1:$EZ$1500,설정!$L$5+ROW()-1,설정!$L$18)),INDEX(원자료_잔고!$A$1:$EZ$1500,설정!$L$5+ROW()-1,설정!$L$18),""),"")</f>
        <v/>
      </c>
      <c r="M727" s="88" t="str">
        <f aca="false">IFERROR(IF(ISNUMBER(INDEX(원자료_잔고!$A$1:$EZ$1500,설정!$L$5+ROW()-1,설정!$L$19)),INDEX(원자료_잔고!$A$1:$EZ$1500,설정!$L$5+ROW()-1,설정!$L$19),""),"")</f>
        <v/>
      </c>
      <c r="N727" s="83" t="str">
        <f aca="false">IFERROR(IF(INDEX(원자료_잔고!$A$1:$EZ$1500,설정!$L$5+ROW()-1,설정!$L$21)&amp;""="0","",INDEX(원자료_잔고!$A$1:$EZ$1500,설정!$L$5+ROW()-1,설정!$L$21)&amp;""),"")</f>
        <v/>
      </c>
      <c r="O727" s="83" t="str">
        <f aca="false">IFERROR(IF(INDEX(원자료_잔고!$A$1:$EZ$1500,설정!$L$5+ROW()-1,설정!$L$22)&amp;""="0","",INDEX(원자료_잔고!$A$1:$EZ$1500,설정!$L$5+ROW()-1,설정!$L$22)&amp;""),"")</f>
        <v/>
      </c>
      <c r="P727" s="83" t="str">
        <f aca="false">IFERROR(IF(INDEX(원자료_잔고!$A$1:$EZ$1500,설정!$L$5+ROW()-1,설정!$L$23)&amp;""="0","",INDEX(원자료_잔고!$A$1:$EZ$1500,설정!$L$5+ROW()-1,설정!$L$23)&amp;""),"")</f>
        <v/>
      </c>
      <c r="Q727" s="89" t="n">
        <f aca="false">IF(AND($A727&lt;&gt;"",ISNUMBER(E727)),IF(E727&gt;0,1,0),0)</f>
        <v>0</v>
      </c>
      <c r="R727" s="43" t="str">
        <f aca="false">IF(Q727=1,UPPER(LEFT($A727,FIND(" ",$A727&amp;" ")-1)),"")</f>
        <v/>
      </c>
      <c r="S727" s="89" t="n">
        <f aca="false">IF(Q727=1,IF(OR(ISNUMBER(SEARCH("Float",$A727)),ISNUMBER(SEARCH("FRN",$A727))),1,0),0)</f>
        <v>0</v>
      </c>
      <c r="T727" s="43" t="str">
        <f aca="false">IF(AND(Q727=1,ISNUMBER(I727)),TEXT(I727,"yyyymmdd")&amp;"|"&amp;IF(S727=1,"F",TEXT(J727,"0.000")),"")</f>
        <v/>
      </c>
      <c r="U727" s="90" t="str">
        <f aca="false">IF(AND(Q727=1,ISNUMBER(I727)),(I727-설정!$C$4)/365.25,"")</f>
        <v/>
      </c>
      <c r="V727" s="43" t="str">
        <f aca="false">IF(Q727&lt;&gt;1,"",IF(ISNUMBER(U727),IF(U727&lt;=1,"1년 이하",IF(U727&lt;=2,"1-2년",IF(U727&lt;=3,"2-3년",IF(U727&lt;=4,"3-4년",IF(U727&lt;=5,"4-5년",IF(U727&lt;=7,"5-7년",IF(U727&lt;=10,"7-10년",IF(U727&lt;=20,"10-20년","20년 이상")))))))),"미분류"))</f>
        <v/>
      </c>
      <c r="W727" s="43" t="str">
        <f aca="false">IF(Q727&lt;&gt;1,"",IF(AB727&lt;&gt;"",INDEX(시장분석!$C:$C,AB727),IF(K727=1,"USD","비USD")))</f>
        <v/>
      </c>
      <c r="X727" s="91" t="n">
        <f aca="false">IF(Q727=1,E727*K727/1000000,0)</f>
        <v>0</v>
      </c>
      <c r="Y727" s="89" t="n">
        <f aca="false">IF(R727="T",1,0)</f>
        <v>0</v>
      </c>
      <c r="Z727" s="92" t="str">
        <f aca="false">IF(Q727&lt;&gt;1,"",IF(AD727=1,IF(ISNUMBER(U727),MAX(U727,0),H727),H727))</f>
        <v/>
      </c>
      <c r="AA727" s="91" t="n">
        <f aca="false">IF(Q727=1,IF(ISNUMBER(L727),L727,0)*K727/1000000,0)</f>
        <v>0</v>
      </c>
      <c r="AB727" s="89" t="str">
        <f aca="false">IF(Q727&lt;&gt;1,"",IFERROR(MATCH(VLOOKUP(B727,매핑!$H$4:$I$15,2,0),시장분석!$A$2:$A$601,0)+1,IFERROR(MATCH(R727&amp;"|"&amp;T727,시장분석!$V$2:$V$601,0)+1,IF(COUNTIF(시장분석!$U$2:$U$601,T727)=1,MATCH(T727,시장분석!$U$2:$U$601,0)+1,""))))</f>
        <v/>
      </c>
      <c r="AC727" s="89" t="n">
        <f aca="false">IF(Q727&lt;&gt;1,0,IF(OR(설정!$C$5="전체",AND(설정!$C$5="선택펀드",IFERROR(COUNTIFS(설정!$F$16:$F$36,C727,설정!$G$16:$G$36,"Y")+COUNTIFS(설정!$F$16:$F$36,VALUE(C727),설정!$G$16:$G$36,"Y"),0)&gt;0),C727&amp;""=설정!$C$5&amp;""),1,0))</f>
        <v>0</v>
      </c>
      <c r="AD727" s="89" t="n">
        <f aca="false">IF(Q727&lt;&gt;1,0,IF(OR(S727=1,IF(AB727="",FALSE(),INDEX(시장분석!$R:$R,AB727)=1)),1,0))</f>
        <v>0</v>
      </c>
      <c r="AE727" s="43" t="str">
        <f aca="false">IF(AB727="","",INDEX(시장분석!$A:$A,AB727))</f>
        <v/>
      </c>
      <c r="AF727" s="93" t="str">
        <f aca="false">IF(AB727="","",IF(ISNUMBER(IF(AB727="","",INDEX(시장분석!$E:$E,AB727))),IF(AB727="","",INDEX(시장분석!$E:$E,AB727)),""))</f>
        <v/>
      </c>
      <c r="AG727" s="43" t="str">
        <f aca="false">IF(Q727&lt;&gt;1,"",IF(AB727&lt;&gt;"",IF(AB727="","",INDEX(시장분석!$L:$L,AB727)),IFERROR(IF(VLOOKUP(R727,매핑!$A$4:$E$92,5,0)="","미분류",VLOOKUP(R727,매핑!$A$4:$E$92,5,0)),"미분류")))</f>
        <v/>
      </c>
      <c r="AH727" s="43" t="str">
        <f aca="false">IF(Q727&lt;&gt;1,"",IF(AB727&lt;&gt;"",IF(AB727="","",INDEX(시장분석!$N:$N,AB727)),IFERROR(IF(VLOOKUP(R727,매핑!$A$4:$E$92,4,0)="","미분류",VLOOKUP(R727,매핑!$A$4:$E$92,4,0)),"미분류")))</f>
        <v/>
      </c>
      <c r="AI727" s="43" t="str">
        <f aca="false">IF(Q727&lt;&gt;1,"",IFERROR(IF(VLOOKUP(R727,매핑!$A$4:$E$92,3,0)="","미분류",VLOOKUP(R727,매핑!$A$4:$E$92,3,0)),IF(AB727&lt;&gt;"",IF(AB727="","",INDEX(시장분석!$W:$W,AB727)),"미분류")))</f>
        <v/>
      </c>
      <c r="AJ727" s="43" t="str">
        <f aca="false">IF(Q727&lt;&gt;1,"",IFERROR(VLOOKUP(IF(N727&lt;&gt;"",N727,IF(P727&lt;&gt;"",P727,O727)),설정!$A$15:$D$47,2,0),""))</f>
        <v/>
      </c>
      <c r="AK727" s="43" t="str">
        <f aca="false">IF(Q727&lt;&gt;1,"",IF(AJ727="","무등급",IFERROR(VLOOKUP(AJ727,설정!$A$15:$D$47,3,0),"무등급")))</f>
        <v/>
      </c>
      <c r="AL727" s="89" t="n">
        <f aca="false">IF(AJ727="",99,IFERROR(VLOOKUP(AJ727,설정!$A$15:$D$47,4,0),99))</f>
        <v>99</v>
      </c>
      <c r="AM727" s="94" t="n">
        <f aca="false">IF(ISNUMBER(H727),AA727*1000000*H727/10000,0)</f>
        <v>0</v>
      </c>
      <c r="AN727" s="94" t="n">
        <f aca="false">IF(OR(Y727=1,NOT(ISNUMBER(Z727))),0,AA727*1000000*Z727/10000)</f>
        <v>0</v>
      </c>
      <c r="AO727" s="94" t="n">
        <f aca="false">IF(ISNUMBER(G727),AA727*1000000*G727/100,0)</f>
        <v>0</v>
      </c>
      <c r="AP727" s="94" t="n">
        <f aca="false">IF(ISNUMBER(M727),M727*K727,0)</f>
        <v>0</v>
      </c>
      <c r="AQ727" s="95" t="str">
        <f aca="false">IF(AB727="","",INDEX(시장분석!$AK:$AK,AB727))</f>
        <v/>
      </c>
      <c r="AR727" s="43" t="str">
        <f aca="false">IF(AB727="","-",IF(AB727="","",INDEX(시장분석!$AL:$AL,AB727)))</f>
        <v>-</v>
      </c>
      <c r="AS727" s="96" t="str">
        <f aca="false">IF(AB727="","",INDEX(시장분석!$AJ:$AJ,AB727))</f>
        <v/>
      </c>
      <c r="AT727" s="93" t="n">
        <f aca="false">IF(AB727="",0,IF(AB727="","",INDEX(시장분석!$AN:$AN,AB727)))</f>
        <v>0</v>
      </c>
      <c r="AU727" s="94" t="n">
        <f aca="false">IF(ISNUMBER(Z727),AT727/10000*MAX(Z727-1,0)*AA727*1000000,0)</f>
        <v>0</v>
      </c>
      <c r="AV727" s="94" t="n">
        <f aca="false">AO727+AU727</f>
        <v>0</v>
      </c>
      <c r="AW727" s="43" t="str">
        <f aca="false">IF(Q727&lt;&gt;1,"",TRIM(IF(AD727=1,"FRN ","")&amp;IF(AND(AL727&gt;=10,AL727&lt;99),"BBB0미만 ","")&amp;IF(AJ727="","등급없음 ","")&amp;IF(K727&lt;&gt;1,"비USD ","")&amp;IF(AND(AB727="",Y727=0),"시장데이터없음 ","")&amp;IF(AND(ISNUMBER(U727),U727&lt;0),"만기경과 ","")))</f>
        <v/>
      </c>
      <c r="AX727" s="90" t="n">
        <f aca="false">IF(Q727&lt;&gt;1,1,IF(스프레드쇼크!$C$4="Y",INDEX(스프레드쇼크!$B$12:$L$16,IFERROR(MATCH(AH727,스프레드쇼크!$A$12:$A$16,0),MATCH("목록외",스프레드쇼크!$A$12:$A$16,0)),IFERROR(MATCH(AG727,스프레드쇼크!$B$11:$L$11,0),MATCH("목록외",스프레드쇼크!$B$11:$L$11,0))),1))</f>
        <v>1</v>
      </c>
      <c r="AY727" s="90" t="n">
        <f aca="false">IF(스프레드쇼크!$C$5="Y",IF(ISNUMBER(AF727),MIN(스프레드쇼크!$C$7,MAX(스프레드쇼크!$C$6,AF727/스프레드쇼크!$C$8)),1),1)</f>
        <v>1</v>
      </c>
      <c r="AZ727" s="94" t="n">
        <f aca="false">AN727*AX727*AY727</f>
        <v>0</v>
      </c>
      <c r="BA727" s="90" t="n">
        <f aca="false">IF(ISNUMBER(G727),AA727*G727,0)</f>
        <v>0</v>
      </c>
      <c r="BB727" s="90" t="n">
        <f aca="false">IF(ISNUMBER(G727),AA727,0)</f>
        <v>0</v>
      </c>
      <c r="BC727" s="90" t="n">
        <f aca="false">IF(AND(Y727=0,ISNUMBER(AF727)),AA727*AF727,0)</f>
        <v>0</v>
      </c>
      <c r="BD727" s="90" t="n">
        <f aca="false">IF(AND(Y727=0,ISNUMBER(AF727)),AA727,0)</f>
        <v>0</v>
      </c>
      <c r="BE727" s="90" t="n">
        <f aca="false">IF(ISNUMBER(H727),AA727*H727,0)</f>
        <v>0</v>
      </c>
      <c r="BF727" s="90" t="n">
        <f aca="false">IF(ISNUMBER(H727),AA727,0)</f>
        <v>0</v>
      </c>
      <c r="BG727" s="90" t="n">
        <f aca="false">IF(AND(Y727=0,ISNUMBER(AF727),ISNUMBER(Z727)),AA727*Z727,0)</f>
        <v>0</v>
      </c>
      <c r="BH727" s="90" t="n">
        <f aca="false">IF(AND(Y727=0,ISNUMBER(AF727),ISNUMBER(Z727)),AA727*AT727*MAX(Z727-1,0),0)</f>
        <v>0</v>
      </c>
      <c r="BI727" s="90" t="n">
        <f aca="false">IF(Y727=0,AA727,0)</f>
        <v>0</v>
      </c>
    </row>
    <row r="728" customFormat="false" ht="15" hidden="false" customHeight="false" outlineLevel="0" collapsed="false">
      <c r="A728" s="83" t="str">
        <f aca="false">IFERROR(IF(INDEX(원자료_잔고!$A$1:$EZ$1500,설정!$L$5+ROW()-1,설정!$L$8)&amp;""="0","",INDEX(원자료_잔고!$A$1:$EZ$1500,설정!$L$5+ROW()-1,설정!$L$8)&amp;""),"")</f>
        <v/>
      </c>
      <c r="B728" s="83" t="str">
        <f aca="false">IFERROR(IF(INDEX(원자료_잔고!$A$1:$EZ$1500,설정!$L$5+ROW()-1,설정!$L$7)&amp;""="0","",INDEX(원자료_잔고!$A$1:$EZ$1500,설정!$L$5+ROW()-1,설정!$L$7)&amp;""),"")</f>
        <v/>
      </c>
      <c r="C728" s="83" t="str">
        <f aca="false">IFERROR(IF(INDEX(원자료_잔고!$A$1:$EZ$1500,설정!$L$5+ROW()-1,설정!$L$9)&amp;""="0","",INDEX(원자료_잔고!$A$1:$EZ$1500,설정!$L$5+ROW()-1,설정!$L$9)&amp;""),"")</f>
        <v/>
      </c>
      <c r="D728" s="83" t="str">
        <f aca="false">IFERROR(IF(INDEX(원자료_잔고!$A$1:$EZ$1500,설정!$L$5+ROW()-1,설정!$L$10)&amp;""="0","",INDEX(원자료_잔고!$A$1:$EZ$1500,설정!$L$5+ROW()-1,설정!$L$10)&amp;""),"")</f>
        <v/>
      </c>
      <c r="E728" s="84" t="str">
        <f aca="false">IFERROR(IF(ISNUMBER(INDEX(원자료_잔고!$A$1:$EZ$1500,설정!$L$5+ROW()-1,설정!$L$11)),INDEX(원자료_잔고!$A$1:$EZ$1500,설정!$L$5+ROW()-1,설정!$L$11),""),"")</f>
        <v/>
      </c>
      <c r="F728" s="85" t="str">
        <f aca="false">IFERROR(IF(ISNUMBER(INDEX(원자료_잔고!$A$1:$EZ$1500,설정!$L$5+ROW()-1,설정!$L$12)),INDEX(원자료_잔고!$A$1:$EZ$1500,설정!$L$5+ROW()-1,설정!$L$12),""),"")</f>
        <v/>
      </c>
      <c r="G728" s="85" t="str">
        <f aca="false">IFERROR(IF(ISNUMBER(INDEX(원자료_잔고!$A$1:$EZ$1500,설정!$L$5+ROW()-1,설정!$L$13)),INDEX(원자료_잔고!$A$1:$EZ$1500,설정!$L$5+ROW()-1,설정!$L$13),""),"")</f>
        <v/>
      </c>
      <c r="H728" s="85" t="str">
        <f aca="false">IFERROR(IF(ISNUMBER(INDEX(원자료_잔고!$A$1:$EZ$1500,설정!$L$5+ROW()-1,설정!$L$14)),INDEX(원자료_잔고!$A$1:$EZ$1500,설정!$L$5+ROW()-1,설정!$L$14),""),"")</f>
        <v/>
      </c>
      <c r="I728" s="86" t="str">
        <f aca="false">IFERROR(IF(ISNUMBER(INDEX(원자료_잔고!$A$1:$EZ$1500,설정!$L$5+ROW()-1,설정!$L$15)),INDEX(원자료_잔고!$A$1:$EZ$1500,설정!$L$5+ROW()-1,설정!$L$15),""),"")</f>
        <v/>
      </c>
      <c r="J728" s="85" t="str">
        <f aca="false">IFERROR(IF(ISNUMBER(INDEX(원자료_잔고!$A$1:$EZ$1500,설정!$L$5+ROW()-1,설정!$L$16)),INDEX(원자료_잔고!$A$1:$EZ$1500,설정!$L$5+ROW()-1,설정!$L$16),""),"")</f>
        <v/>
      </c>
      <c r="K728" s="87" t="str">
        <f aca="false">IFERROR(IF(ISNUMBER(INDEX(원자료_잔고!$A$1:$EZ$1500,설정!$L$5+ROW()-1,설정!$L$17)),INDEX(원자료_잔고!$A$1:$EZ$1500,설정!$L$5+ROW()-1,설정!$L$17),""),"")</f>
        <v/>
      </c>
      <c r="L728" s="84" t="str">
        <f aca="false">IFERROR(IF(ISNUMBER(INDEX(원자료_잔고!$A$1:$EZ$1500,설정!$L$5+ROW()-1,설정!$L$18)),INDEX(원자료_잔고!$A$1:$EZ$1500,설정!$L$5+ROW()-1,설정!$L$18),""),"")</f>
        <v/>
      </c>
      <c r="M728" s="88" t="str">
        <f aca="false">IFERROR(IF(ISNUMBER(INDEX(원자료_잔고!$A$1:$EZ$1500,설정!$L$5+ROW()-1,설정!$L$19)),INDEX(원자료_잔고!$A$1:$EZ$1500,설정!$L$5+ROW()-1,설정!$L$19),""),"")</f>
        <v/>
      </c>
      <c r="N728" s="83" t="str">
        <f aca="false">IFERROR(IF(INDEX(원자료_잔고!$A$1:$EZ$1500,설정!$L$5+ROW()-1,설정!$L$21)&amp;""="0","",INDEX(원자료_잔고!$A$1:$EZ$1500,설정!$L$5+ROW()-1,설정!$L$21)&amp;""),"")</f>
        <v/>
      </c>
      <c r="O728" s="83" t="str">
        <f aca="false">IFERROR(IF(INDEX(원자료_잔고!$A$1:$EZ$1500,설정!$L$5+ROW()-1,설정!$L$22)&amp;""="0","",INDEX(원자료_잔고!$A$1:$EZ$1500,설정!$L$5+ROW()-1,설정!$L$22)&amp;""),"")</f>
        <v/>
      </c>
      <c r="P728" s="83" t="str">
        <f aca="false">IFERROR(IF(INDEX(원자료_잔고!$A$1:$EZ$1500,설정!$L$5+ROW()-1,설정!$L$23)&amp;""="0","",INDEX(원자료_잔고!$A$1:$EZ$1500,설정!$L$5+ROW()-1,설정!$L$23)&amp;""),"")</f>
        <v/>
      </c>
      <c r="Q728" s="89" t="n">
        <f aca="false">IF(AND($A728&lt;&gt;"",ISNUMBER(E728)),IF(E728&gt;0,1,0),0)</f>
        <v>0</v>
      </c>
      <c r="R728" s="43" t="str">
        <f aca="false">IF(Q728=1,UPPER(LEFT($A728,FIND(" ",$A728&amp;" ")-1)),"")</f>
        <v/>
      </c>
      <c r="S728" s="89" t="n">
        <f aca="false">IF(Q728=1,IF(OR(ISNUMBER(SEARCH("Float",$A728)),ISNUMBER(SEARCH("FRN",$A728))),1,0),0)</f>
        <v>0</v>
      </c>
      <c r="T728" s="43" t="str">
        <f aca="false">IF(AND(Q728=1,ISNUMBER(I728)),TEXT(I728,"yyyymmdd")&amp;"|"&amp;IF(S728=1,"F",TEXT(J728,"0.000")),"")</f>
        <v/>
      </c>
      <c r="U728" s="90" t="str">
        <f aca="false">IF(AND(Q728=1,ISNUMBER(I728)),(I728-설정!$C$4)/365.25,"")</f>
        <v/>
      </c>
      <c r="V728" s="43" t="str">
        <f aca="false">IF(Q728&lt;&gt;1,"",IF(ISNUMBER(U728),IF(U728&lt;=1,"1년 이하",IF(U728&lt;=2,"1-2년",IF(U728&lt;=3,"2-3년",IF(U728&lt;=4,"3-4년",IF(U728&lt;=5,"4-5년",IF(U728&lt;=7,"5-7년",IF(U728&lt;=10,"7-10년",IF(U728&lt;=20,"10-20년","20년 이상")))))))),"미분류"))</f>
        <v/>
      </c>
      <c r="W728" s="43" t="str">
        <f aca="false">IF(Q728&lt;&gt;1,"",IF(AB728&lt;&gt;"",INDEX(시장분석!$C:$C,AB728),IF(K728=1,"USD","비USD")))</f>
        <v/>
      </c>
      <c r="X728" s="91" t="n">
        <f aca="false">IF(Q728=1,E728*K728/1000000,0)</f>
        <v>0</v>
      </c>
      <c r="Y728" s="89" t="n">
        <f aca="false">IF(R728="T",1,0)</f>
        <v>0</v>
      </c>
      <c r="Z728" s="92" t="str">
        <f aca="false">IF(Q728&lt;&gt;1,"",IF(AD728=1,IF(ISNUMBER(U728),MAX(U728,0),H728),H728))</f>
        <v/>
      </c>
      <c r="AA728" s="91" t="n">
        <f aca="false">IF(Q728=1,IF(ISNUMBER(L728),L728,0)*K728/1000000,0)</f>
        <v>0</v>
      </c>
      <c r="AB728" s="89" t="str">
        <f aca="false">IF(Q728&lt;&gt;1,"",IFERROR(MATCH(VLOOKUP(B728,매핑!$H$4:$I$15,2,0),시장분석!$A$2:$A$601,0)+1,IFERROR(MATCH(R728&amp;"|"&amp;T728,시장분석!$V$2:$V$601,0)+1,IF(COUNTIF(시장분석!$U$2:$U$601,T728)=1,MATCH(T728,시장분석!$U$2:$U$601,0)+1,""))))</f>
        <v/>
      </c>
      <c r="AC728" s="89" t="n">
        <f aca="false">IF(Q728&lt;&gt;1,0,IF(OR(설정!$C$5="전체",AND(설정!$C$5="선택펀드",IFERROR(COUNTIFS(설정!$F$16:$F$36,C728,설정!$G$16:$G$36,"Y")+COUNTIFS(설정!$F$16:$F$36,VALUE(C728),설정!$G$16:$G$36,"Y"),0)&gt;0),C728&amp;""=설정!$C$5&amp;""),1,0))</f>
        <v>0</v>
      </c>
      <c r="AD728" s="89" t="n">
        <f aca="false">IF(Q728&lt;&gt;1,0,IF(OR(S728=1,IF(AB728="",FALSE(),INDEX(시장분석!$R:$R,AB728)=1)),1,0))</f>
        <v>0</v>
      </c>
      <c r="AE728" s="43" t="str">
        <f aca="false">IF(AB728="","",INDEX(시장분석!$A:$A,AB728))</f>
        <v/>
      </c>
      <c r="AF728" s="93" t="str">
        <f aca="false">IF(AB728="","",IF(ISNUMBER(IF(AB728="","",INDEX(시장분석!$E:$E,AB728))),IF(AB728="","",INDEX(시장분석!$E:$E,AB728)),""))</f>
        <v/>
      </c>
      <c r="AG728" s="43" t="str">
        <f aca="false">IF(Q728&lt;&gt;1,"",IF(AB728&lt;&gt;"",IF(AB728="","",INDEX(시장분석!$L:$L,AB728)),IFERROR(IF(VLOOKUP(R728,매핑!$A$4:$E$92,5,0)="","미분류",VLOOKUP(R728,매핑!$A$4:$E$92,5,0)),"미분류")))</f>
        <v/>
      </c>
      <c r="AH728" s="43" t="str">
        <f aca="false">IF(Q728&lt;&gt;1,"",IF(AB728&lt;&gt;"",IF(AB728="","",INDEX(시장분석!$N:$N,AB728)),IFERROR(IF(VLOOKUP(R728,매핑!$A$4:$E$92,4,0)="","미분류",VLOOKUP(R728,매핑!$A$4:$E$92,4,0)),"미분류")))</f>
        <v/>
      </c>
      <c r="AI728" s="43" t="str">
        <f aca="false">IF(Q728&lt;&gt;1,"",IFERROR(IF(VLOOKUP(R728,매핑!$A$4:$E$92,3,0)="","미분류",VLOOKUP(R728,매핑!$A$4:$E$92,3,0)),IF(AB728&lt;&gt;"",IF(AB728="","",INDEX(시장분석!$W:$W,AB728)),"미분류")))</f>
        <v/>
      </c>
      <c r="AJ728" s="43" t="str">
        <f aca="false">IF(Q728&lt;&gt;1,"",IFERROR(VLOOKUP(IF(N728&lt;&gt;"",N728,IF(P728&lt;&gt;"",P728,O728)),설정!$A$15:$D$47,2,0),""))</f>
        <v/>
      </c>
      <c r="AK728" s="43" t="str">
        <f aca="false">IF(Q728&lt;&gt;1,"",IF(AJ728="","무등급",IFERROR(VLOOKUP(AJ728,설정!$A$15:$D$47,3,0),"무등급")))</f>
        <v/>
      </c>
      <c r="AL728" s="89" t="n">
        <f aca="false">IF(AJ728="",99,IFERROR(VLOOKUP(AJ728,설정!$A$15:$D$47,4,0),99))</f>
        <v>99</v>
      </c>
      <c r="AM728" s="94" t="n">
        <f aca="false">IF(ISNUMBER(H728),AA728*1000000*H728/10000,0)</f>
        <v>0</v>
      </c>
      <c r="AN728" s="94" t="n">
        <f aca="false">IF(OR(Y728=1,NOT(ISNUMBER(Z728))),0,AA728*1000000*Z728/10000)</f>
        <v>0</v>
      </c>
      <c r="AO728" s="94" t="n">
        <f aca="false">IF(ISNUMBER(G728),AA728*1000000*G728/100,0)</f>
        <v>0</v>
      </c>
      <c r="AP728" s="94" t="n">
        <f aca="false">IF(ISNUMBER(M728),M728*K728,0)</f>
        <v>0</v>
      </c>
      <c r="AQ728" s="95" t="str">
        <f aca="false">IF(AB728="","",INDEX(시장분석!$AK:$AK,AB728))</f>
        <v/>
      </c>
      <c r="AR728" s="43" t="str">
        <f aca="false">IF(AB728="","-",IF(AB728="","",INDEX(시장분석!$AL:$AL,AB728)))</f>
        <v>-</v>
      </c>
      <c r="AS728" s="96" t="str">
        <f aca="false">IF(AB728="","",INDEX(시장분석!$AJ:$AJ,AB728))</f>
        <v/>
      </c>
      <c r="AT728" s="93" t="n">
        <f aca="false">IF(AB728="",0,IF(AB728="","",INDEX(시장분석!$AN:$AN,AB728)))</f>
        <v>0</v>
      </c>
      <c r="AU728" s="94" t="n">
        <f aca="false">IF(ISNUMBER(Z728),AT728/10000*MAX(Z728-1,0)*AA728*1000000,0)</f>
        <v>0</v>
      </c>
      <c r="AV728" s="94" t="n">
        <f aca="false">AO728+AU728</f>
        <v>0</v>
      </c>
      <c r="AW728" s="43" t="str">
        <f aca="false">IF(Q728&lt;&gt;1,"",TRIM(IF(AD728=1,"FRN ","")&amp;IF(AND(AL728&gt;=10,AL728&lt;99),"BBB0미만 ","")&amp;IF(AJ728="","등급없음 ","")&amp;IF(K728&lt;&gt;1,"비USD ","")&amp;IF(AND(AB728="",Y728=0),"시장데이터없음 ","")&amp;IF(AND(ISNUMBER(U728),U728&lt;0),"만기경과 ","")))</f>
        <v/>
      </c>
      <c r="AX728" s="90" t="n">
        <f aca="false">IF(Q728&lt;&gt;1,1,IF(스프레드쇼크!$C$4="Y",INDEX(스프레드쇼크!$B$12:$L$16,IFERROR(MATCH(AH728,스프레드쇼크!$A$12:$A$16,0),MATCH("목록외",스프레드쇼크!$A$12:$A$16,0)),IFERROR(MATCH(AG728,스프레드쇼크!$B$11:$L$11,0),MATCH("목록외",스프레드쇼크!$B$11:$L$11,0))),1))</f>
        <v>1</v>
      </c>
      <c r="AY728" s="90" t="n">
        <f aca="false">IF(스프레드쇼크!$C$5="Y",IF(ISNUMBER(AF728),MIN(스프레드쇼크!$C$7,MAX(스프레드쇼크!$C$6,AF728/스프레드쇼크!$C$8)),1),1)</f>
        <v>1</v>
      </c>
      <c r="AZ728" s="94" t="n">
        <f aca="false">AN728*AX728*AY728</f>
        <v>0</v>
      </c>
      <c r="BA728" s="90" t="n">
        <f aca="false">IF(ISNUMBER(G728),AA728*G728,0)</f>
        <v>0</v>
      </c>
      <c r="BB728" s="90" t="n">
        <f aca="false">IF(ISNUMBER(G728),AA728,0)</f>
        <v>0</v>
      </c>
      <c r="BC728" s="90" t="n">
        <f aca="false">IF(AND(Y728=0,ISNUMBER(AF728)),AA728*AF728,0)</f>
        <v>0</v>
      </c>
      <c r="BD728" s="90" t="n">
        <f aca="false">IF(AND(Y728=0,ISNUMBER(AF728)),AA728,0)</f>
        <v>0</v>
      </c>
      <c r="BE728" s="90" t="n">
        <f aca="false">IF(ISNUMBER(H728),AA728*H728,0)</f>
        <v>0</v>
      </c>
      <c r="BF728" s="90" t="n">
        <f aca="false">IF(ISNUMBER(H728),AA728,0)</f>
        <v>0</v>
      </c>
      <c r="BG728" s="90" t="n">
        <f aca="false">IF(AND(Y728=0,ISNUMBER(AF728),ISNUMBER(Z728)),AA728*Z728,0)</f>
        <v>0</v>
      </c>
      <c r="BH728" s="90" t="n">
        <f aca="false">IF(AND(Y728=0,ISNUMBER(AF728),ISNUMBER(Z728)),AA728*AT728*MAX(Z728-1,0),0)</f>
        <v>0</v>
      </c>
      <c r="BI728" s="90" t="n">
        <f aca="false">IF(Y728=0,AA728,0)</f>
        <v>0</v>
      </c>
    </row>
    <row r="729" customFormat="false" ht="15" hidden="false" customHeight="false" outlineLevel="0" collapsed="false">
      <c r="A729" s="83" t="str">
        <f aca="false">IFERROR(IF(INDEX(원자료_잔고!$A$1:$EZ$1500,설정!$L$5+ROW()-1,설정!$L$8)&amp;""="0","",INDEX(원자료_잔고!$A$1:$EZ$1500,설정!$L$5+ROW()-1,설정!$L$8)&amp;""),"")</f>
        <v/>
      </c>
      <c r="B729" s="83" t="str">
        <f aca="false">IFERROR(IF(INDEX(원자료_잔고!$A$1:$EZ$1500,설정!$L$5+ROW()-1,설정!$L$7)&amp;""="0","",INDEX(원자료_잔고!$A$1:$EZ$1500,설정!$L$5+ROW()-1,설정!$L$7)&amp;""),"")</f>
        <v/>
      </c>
      <c r="C729" s="83" t="str">
        <f aca="false">IFERROR(IF(INDEX(원자료_잔고!$A$1:$EZ$1500,설정!$L$5+ROW()-1,설정!$L$9)&amp;""="0","",INDEX(원자료_잔고!$A$1:$EZ$1500,설정!$L$5+ROW()-1,설정!$L$9)&amp;""),"")</f>
        <v/>
      </c>
      <c r="D729" s="83" t="str">
        <f aca="false">IFERROR(IF(INDEX(원자료_잔고!$A$1:$EZ$1500,설정!$L$5+ROW()-1,설정!$L$10)&amp;""="0","",INDEX(원자료_잔고!$A$1:$EZ$1500,설정!$L$5+ROW()-1,설정!$L$10)&amp;""),"")</f>
        <v/>
      </c>
      <c r="E729" s="84" t="str">
        <f aca="false">IFERROR(IF(ISNUMBER(INDEX(원자료_잔고!$A$1:$EZ$1500,설정!$L$5+ROW()-1,설정!$L$11)),INDEX(원자료_잔고!$A$1:$EZ$1500,설정!$L$5+ROW()-1,설정!$L$11),""),"")</f>
        <v/>
      </c>
      <c r="F729" s="85" t="str">
        <f aca="false">IFERROR(IF(ISNUMBER(INDEX(원자료_잔고!$A$1:$EZ$1500,설정!$L$5+ROW()-1,설정!$L$12)),INDEX(원자료_잔고!$A$1:$EZ$1500,설정!$L$5+ROW()-1,설정!$L$12),""),"")</f>
        <v/>
      </c>
      <c r="G729" s="85" t="str">
        <f aca="false">IFERROR(IF(ISNUMBER(INDEX(원자료_잔고!$A$1:$EZ$1500,설정!$L$5+ROW()-1,설정!$L$13)),INDEX(원자료_잔고!$A$1:$EZ$1500,설정!$L$5+ROW()-1,설정!$L$13),""),"")</f>
        <v/>
      </c>
      <c r="H729" s="85" t="str">
        <f aca="false">IFERROR(IF(ISNUMBER(INDEX(원자료_잔고!$A$1:$EZ$1500,설정!$L$5+ROW()-1,설정!$L$14)),INDEX(원자료_잔고!$A$1:$EZ$1500,설정!$L$5+ROW()-1,설정!$L$14),""),"")</f>
        <v/>
      </c>
      <c r="I729" s="86" t="str">
        <f aca="false">IFERROR(IF(ISNUMBER(INDEX(원자료_잔고!$A$1:$EZ$1500,설정!$L$5+ROW()-1,설정!$L$15)),INDEX(원자료_잔고!$A$1:$EZ$1500,설정!$L$5+ROW()-1,설정!$L$15),""),"")</f>
        <v/>
      </c>
      <c r="J729" s="85" t="str">
        <f aca="false">IFERROR(IF(ISNUMBER(INDEX(원자료_잔고!$A$1:$EZ$1500,설정!$L$5+ROW()-1,설정!$L$16)),INDEX(원자료_잔고!$A$1:$EZ$1500,설정!$L$5+ROW()-1,설정!$L$16),""),"")</f>
        <v/>
      </c>
      <c r="K729" s="87" t="str">
        <f aca="false">IFERROR(IF(ISNUMBER(INDEX(원자료_잔고!$A$1:$EZ$1500,설정!$L$5+ROW()-1,설정!$L$17)),INDEX(원자료_잔고!$A$1:$EZ$1500,설정!$L$5+ROW()-1,설정!$L$17),""),"")</f>
        <v/>
      </c>
      <c r="L729" s="84" t="str">
        <f aca="false">IFERROR(IF(ISNUMBER(INDEX(원자료_잔고!$A$1:$EZ$1500,설정!$L$5+ROW()-1,설정!$L$18)),INDEX(원자료_잔고!$A$1:$EZ$1500,설정!$L$5+ROW()-1,설정!$L$18),""),"")</f>
        <v/>
      </c>
      <c r="M729" s="88" t="str">
        <f aca="false">IFERROR(IF(ISNUMBER(INDEX(원자료_잔고!$A$1:$EZ$1500,설정!$L$5+ROW()-1,설정!$L$19)),INDEX(원자료_잔고!$A$1:$EZ$1500,설정!$L$5+ROW()-1,설정!$L$19),""),"")</f>
        <v/>
      </c>
      <c r="N729" s="83" t="str">
        <f aca="false">IFERROR(IF(INDEX(원자료_잔고!$A$1:$EZ$1500,설정!$L$5+ROW()-1,설정!$L$21)&amp;""="0","",INDEX(원자료_잔고!$A$1:$EZ$1500,설정!$L$5+ROW()-1,설정!$L$21)&amp;""),"")</f>
        <v/>
      </c>
      <c r="O729" s="83" t="str">
        <f aca="false">IFERROR(IF(INDEX(원자료_잔고!$A$1:$EZ$1500,설정!$L$5+ROW()-1,설정!$L$22)&amp;""="0","",INDEX(원자료_잔고!$A$1:$EZ$1500,설정!$L$5+ROW()-1,설정!$L$22)&amp;""),"")</f>
        <v/>
      </c>
      <c r="P729" s="83" t="str">
        <f aca="false">IFERROR(IF(INDEX(원자료_잔고!$A$1:$EZ$1500,설정!$L$5+ROW()-1,설정!$L$23)&amp;""="0","",INDEX(원자료_잔고!$A$1:$EZ$1500,설정!$L$5+ROW()-1,설정!$L$23)&amp;""),"")</f>
        <v/>
      </c>
      <c r="Q729" s="89" t="n">
        <f aca="false">IF(AND($A729&lt;&gt;"",ISNUMBER(E729)),IF(E729&gt;0,1,0),0)</f>
        <v>0</v>
      </c>
      <c r="R729" s="43" t="str">
        <f aca="false">IF(Q729=1,UPPER(LEFT($A729,FIND(" ",$A729&amp;" ")-1)),"")</f>
        <v/>
      </c>
      <c r="S729" s="89" t="n">
        <f aca="false">IF(Q729=1,IF(OR(ISNUMBER(SEARCH("Float",$A729)),ISNUMBER(SEARCH("FRN",$A729))),1,0),0)</f>
        <v>0</v>
      </c>
      <c r="T729" s="43" t="str">
        <f aca="false">IF(AND(Q729=1,ISNUMBER(I729)),TEXT(I729,"yyyymmdd")&amp;"|"&amp;IF(S729=1,"F",TEXT(J729,"0.000")),"")</f>
        <v/>
      </c>
      <c r="U729" s="90" t="str">
        <f aca="false">IF(AND(Q729=1,ISNUMBER(I729)),(I729-설정!$C$4)/365.25,"")</f>
        <v/>
      </c>
      <c r="V729" s="43" t="str">
        <f aca="false">IF(Q729&lt;&gt;1,"",IF(ISNUMBER(U729),IF(U729&lt;=1,"1년 이하",IF(U729&lt;=2,"1-2년",IF(U729&lt;=3,"2-3년",IF(U729&lt;=4,"3-4년",IF(U729&lt;=5,"4-5년",IF(U729&lt;=7,"5-7년",IF(U729&lt;=10,"7-10년",IF(U729&lt;=20,"10-20년","20년 이상")))))))),"미분류"))</f>
        <v/>
      </c>
      <c r="W729" s="43" t="str">
        <f aca="false">IF(Q729&lt;&gt;1,"",IF(AB729&lt;&gt;"",INDEX(시장분석!$C:$C,AB729),IF(K729=1,"USD","비USD")))</f>
        <v/>
      </c>
      <c r="X729" s="91" t="n">
        <f aca="false">IF(Q729=1,E729*K729/1000000,0)</f>
        <v>0</v>
      </c>
      <c r="Y729" s="89" t="n">
        <f aca="false">IF(R729="T",1,0)</f>
        <v>0</v>
      </c>
      <c r="Z729" s="92" t="str">
        <f aca="false">IF(Q729&lt;&gt;1,"",IF(AD729=1,IF(ISNUMBER(U729),MAX(U729,0),H729),H729))</f>
        <v/>
      </c>
      <c r="AA729" s="91" t="n">
        <f aca="false">IF(Q729=1,IF(ISNUMBER(L729),L729,0)*K729/1000000,0)</f>
        <v>0</v>
      </c>
      <c r="AB729" s="89" t="str">
        <f aca="false">IF(Q729&lt;&gt;1,"",IFERROR(MATCH(VLOOKUP(B729,매핑!$H$4:$I$15,2,0),시장분석!$A$2:$A$601,0)+1,IFERROR(MATCH(R729&amp;"|"&amp;T729,시장분석!$V$2:$V$601,0)+1,IF(COUNTIF(시장분석!$U$2:$U$601,T729)=1,MATCH(T729,시장분석!$U$2:$U$601,0)+1,""))))</f>
        <v/>
      </c>
      <c r="AC729" s="89" t="n">
        <f aca="false">IF(Q729&lt;&gt;1,0,IF(OR(설정!$C$5="전체",AND(설정!$C$5="선택펀드",IFERROR(COUNTIFS(설정!$F$16:$F$36,C729,설정!$G$16:$G$36,"Y")+COUNTIFS(설정!$F$16:$F$36,VALUE(C729),설정!$G$16:$G$36,"Y"),0)&gt;0),C729&amp;""=설정!$C$5&amp;""),1,0))</f>
        <v>0</v>
      </c>
      <c r="AD729" s="89" t="n">
        <f aca="false">IF(Q729&lt;&gt;1,0,IF(OR(S729=1,IF(AB729="",FALSE(),INDEX(시장분석!$R:$R,AB729)=1)),1,0))</f>
        <v>0</v>
      </c>
      <c r="AE729" s="43" t="str">
        <f aca="false">IF(AB729="","",INDEX(시장분석!$A:$A,AB729))</f>
        <v/>
      </c>
      <c r="AF729" s="93" t="str">
        <f aca="false">IF(AB729="","",IF(ISNUMBER(IF(AB729="","",INDEX(시장분석!$E:$E,AB729))),IF(AB729="","",INDEX(시장분석!$E:$E,AB729)),""))</f>
        <v/>
      </c>
      <c r="AG729" s="43" t="str">
        <f aca="false">IF(Q729&lt;&gt;1,"",IF(AB729&lt;&gt;"",IF(AB729="","",INDEX(시장분석!$L:$L,AB729)),IFERROR(IF(VLOOKUP(R729,매핑!$A$4:$E$92,5,0)="","미분류",VLOOKUP(R729,매핑!$A$4:$E$92,5,0)),"미분류")))</f>
        <v/>
      </c>
      <c r="AH729" s="43" t="str">
        <f aca="false">IF(Q729&lt;&gt;1,"",IF(AB729&lt;&gt;"",IF(AB729="","",INDEX(시장분석!$N:$N,AB729)),IFERROR(IF(VLOOKUP(R729,매핑!$A$4:$E$92,4,0)="","미분류",VLOOKUP(R729,매핑!$A$4:$E$92,4,0)),"미분류")))</f>
        <v/>
      </c>
      <c r="AI729" s="43" t="str">
        <f aca="false">IF(Q729&lt;&gt;1,"",IFERROR(IF(VLOOKUP(R729,매핑!$A$4:$E$92,3,0)="","미분류",VLOOKUP(R729,매핑!$A$4:$E$92,3,0)),IF(AB729&lt;&gt;"",IF(AB729="","",INDEX(시장분석!$W:$W,AB729)),"미분류")))</f>
        <v/>
      </c>
      <c r="AJ729" s="43" t="str">
        <f aca="false">IF(Q729&lt;&gt;1,"",IFERROR(VLOOKUP(IF(N729&lt;&gt;"",N729,IF(P729&lt;&gt;"",P729,O729)),설정!$A$15:$D$47,2,0),""))</f>
        <v/>
      </c>
      <c r="AK729" s="43" t="str">
        <f aca="false">IF(Q729&lt;&gt;1,"",IF(AJ729="","무등급",IFERROR(VLOOKUP(AJ729,설정!$A$15:$D$47,3,0),"무등급")))</f>
        <v/>
      </c>
      <c r="AL729" s="89" t="n">
        <f aca="false">IF(AJ729="",99,IFERROR(VLOOKUP(AJ729,설정!$A$15:$D$47,4,0),99))</f>
        <v>99</v>
      </c>
      <c r="AM729" s="94" t="n">
        <f aca="false">IF(ISNUMBER(H729),AA729*1000000*H729/10000,0)</f>
        <v>0</v>
      </c>
      <c r="AN729" s="94" t="n">
        <f aca="false">IF(OR(Y729=1,NOT(ISNUMBER(Z729))),0,AA729*1000000*Z729/10000)</f>
        <v>0</v>
      </c>
      <c r="AO729" s="94" t="n">
        <f aca="false">IF(ISNUMBER(G729),AA729*1000000*G729/100,0)</f>
        <v>0</v>
      </c>
      <c r="AP729" s="94" t="n">
        <f aca="false">IF(ISNUMBER(M729),M729*K729,0)</f>
        <v>0</v>
      </c>
      <c r="AQ729" s="95" t="str">
        <f aca="false">IF(AB729="","",INDEX(시장분석!$AK:$AK,AB729))</f>
        <v/>
      </c>
      <c r="AR729" s="43" t="str">
        <f aca="false">IF(AB729="","-",IF(AB729="","",INDEX(시장분석!$AL:$AL,AB729)))</f>
        <v>-</v>
      </c>
      <c r="AS729" s="96" t="str">
        <f aca="false">IF(AB729="","",INDEX(시장분석!$AJ:$AJ,AB729))</f>
        <v/>
      </c>
      <c r="AT729" s="93" t="n">
        <f aca="false">IF(AB729="",0,IF(AB729="","",INDEX(시장분석!$AN:$AN,AB729)))</f>
        <v>0</v>
      </c>
      <c r="AU729" s="94" t="n">
        <f aca="false">IF(ISNUMBER(Z729),AT729/10000*MAX(Z729-1,0)*AA729*1000000,0)</f>
        <v>0</v>
      </c>
      <c r="AV729" s="94" t="n">
        <f aca="false">AO729+AU729</f>
        <v>0</v>
      </c>
      <c r="AW729" s="43" t="str">
        <f aca="false">IF(Q729&lt;&gt;1,"",TRIM(IF(AD729=1,"FRN ","")&amp;IF(AND(AL729&gt;=10,AL729&lt;99),"BBB0미만 ","")&amp;IF(AJ729="","등급없음 ","")&amp;IF(K729&lt;&gt;1,"비USD ","")&amp;IF(AND(AB729="",Y729=0),"시장데이터없음 ","")&amp;IF(AND(ISNUMBER(U729),U729&lt;0),"만기경과 ","")))</f>
        <v/>
      </c>
      <c r="AX729" s="90" t="n">
        <f aca="false">IF(Q729&lt;&gt;1,1,IF(스프레드쇼크!$C$4="Y",INDEX(스프레드쇼크!$B$12:$L$16,IFERROR(MATCH(AH729,스프레드쇼크!$A$12:$A$16,0),MATCH("목록외",스프레드쇼크!$A$12:$A$16,0)),IFERROR(MATCH(AG729,스프레드쇼크!$B$11:$L$11,0),MATCH("목록외",스프레드쇼크!$B$11:$L$11,0))),1))</f>
        <v>1</v>
      </c>
      <c r="AY729" s="90" t="n">
        <f aca="false">IF(스프레드쇼크!$C$5="Y",IF(ISNUMBER(AF729),MIN(스프레드쇼크!$C$7,MAX(스프레드쇼크!$C$6,AF729/스프레드쇼크!$C$8)),1),1)</f>
        <v>1</v>
      </c>
      <c r="AZ729" s="94" t="n">
        <f aca="false">AN729*AX729*AY729</f>
        <v>0</v>
      </c>
      <c r="BA729" s="90" t="n">
        <f aca="false">IF(ISNUMBER(G729),AA729*G729,0)</f>
        <v>0</v>
      </c>
      <c r="BB729" s="90" t="n">
        <f aca="false">IF(ISNUMBER(G729),AA729,0)</f>
        <v>0</v>
      </c>
      <c r="BC729" s="90" t="n">
        <f aca="false">IF(AND(Y729=0,ISNUMBER(AF729)),AA729*AF729,0)</f>
        <v>0</v>
      </c>
      <c r="BD729" s="90" t="n">
        <f aca="false">IF(AND(Y729=0,ISNUMBER(AF729)),AA729,0)</f>
        <v>0</v>
      </c>
      <c r="BE729" s="90" t="n">
        <f aca="false">IF(ISNUMBER(H729),AA729*H729,0)</f>
        <v>0</v>
      </c>
      <c r="BF729" s="90" t="n">
        <f aca="false">IF(ISNUMBER(H729),AA729,0)</f>
        <v>0</v>
      </c>
      <c r="BG729" s="90" t="n">
        <f aca="false">IF(AND(Y729=0,ISNUMBER(AF729),ISNUMBER(Z729)),AA729*Z729,0)</f>
        <v>0</v>
      </c>
      <c r="BH729" s="90" t="n">
        <f aca="false">IF(AND(Y729=0,ISNUMBER(AF729),ISNUMBER(Z729)),AA729*AT729*MAX(Z729-1,0),0)</f>
        <v>0</v>
      </c>
      <c r="BI729" s="90" t="n">
        <f aca="false">IF(Y729=0,AA729,0)</f>
        <v>0</v>
      </c>
    </row>
    <row r="730" customFormat="false" ht="15" hidden="false" customHeight="false" outlineLevel="0" collapsed="false">
      <c r="A730" s="83" t="str">
        <f aca="false">IFERROR(IF(INDEX(원자료_잔고!$A$1:$EZ$1500,설정!$L$5+ROW()-1,설정!$L$8)&amp;""="0","",INDEX(원자료_잔고!$A$1:$EZ$1500,설정!$L$5+ROW()-1,설정!$L$8)&amp;""),"")</f>
        <v/>
      </c>
      <c r="B730" s="83" t="str">
        <f aca="false">IFERROR(IF(INDEX(원자료_잔고!$A$1:$EZ$1500,설정!$L$5+ROW()-1,설정!$L$7)&amp;""="0","",INDEX(원자료_잔고!$A$1:$EZ$1500,설정!$L$5+ROW()-1,설정!$L$7)&amp;""),"")</f>
        <v/>
      </c>
      <c r="C730" s="83" t="str">
        <f aca="false">IFERROR(IF(INDEX(원자료_잔고!$A$1:$EZ$1500,설정!$L$5+ROW()-1,설정!$L$9)&amp;""="0","",INDEX(원자료_잔고!$A$1:$EZ$1500,설정!$L$5+ROW()-1,설정!$L$9)&amp;""),"")</f>
        <v/>
      </c>
      <c r="D730" s="83" t="str">
        <f aca="false">IFERROR(IF(INDEX(원자료_잔고!$A$1:$EZ$1500,설정!$L$5+ROW()-1,설정!$L$10)&amp;""="0","",INDEX(원자료_잔고!$A$1:$EZ$1500,설정!$L$5+ROW()-1,설정!$L$10)&amp;""),"")</f>
        <v/>
      </c>
      <c r="E730" s="84" t="str">
        <f aca="false">IFERROR(IF(ISNUMBER(INDEX(원자료_잔고!$A$1:$EZ$1500,설정!$L$5+ROW()-1,설정!$L$11)),INDEX(원자료_잔고!$A$1:$EZ$1500,설정!$L$5+ROW()-1,설정!$L$11),""),"")</f>
        <v/>
      </c>
      <c r="F730" s="85" t="str">
        <f aca="false">IFERROR(IF(ISNUMBER(INDEX(원자료_잔고!$A$1:$EZ$1500,설정!$L$5+ROW()-1,설정!$L$12)),INDEX(원자료_잔고!$A$1:$EZ$1500,설정!$L$5+ROW()-1,설정!$L$12),""),"")</f>
        <v/>
      </c>
      <c r="G730" s="85" t="str">
        <f aca="false">IFERROR(IF(ISNUMBER(INDEX(원자료_잔고!$A$1:$EZ$1500,설정!$L$5+ROW()-1,설정!$L$13)),INDEX(원자료_잔고!$A$1:$EZ$1500,설정!$L$5+ROW()-1,설정!$L$13),""),"")</f>
        <v/>
      </c>
      <c r="H730" s="85" t="str">
        <f aca="false">IFERROR(IF(ISNUMBER(INDEX(원자료_잔고!$A$1:$EZ$1500,설정!$L$5+ROW()-1,설정!$L$14)),INDEX(원자료_잔고!$A$1:$EZ$1500,설정!$L$5+ROW()-1,설정!$L$14),""),"")</f>
        <v/>
      </c>
      <c r="I730" s="86" t="str">
        <f aca="false">IFERROR(IF(ISNUMBER(INDEX(원자료_잔고!$A$1:$EZ$1500,설정!$L$5+ROW()-1,설정!$L$15)),INDEX(원자료_잔고!$A$1:$EZ$1500,설정!$L$5+ROW()-1,설정!$L$15),""),"")</f>
        <v/>
      </c>
      <c r="J730" s="85" t="str">
        <f aca="false">IFERROR(IF(ISNUMBER(INDEX(원자료_잔고!$A$1:$EZ$1500,설정!$L$5+ROW()-1,설정!$L$16)),INDEX(원자료_잔고!$A$1:$EZ$1500,설정!$L$5+ROW()-1,설정!$L$16),""),"")</f>
        <v/>
      </c>
      <c r="K730" s="87" t="str">
        <f aca="false">IFERROR(IF(ISNUMBER(INDEX(원자료_잔고!$A$1:$EZ$1500,설정!$L$5+ROW()-1,설정!$L$17)),INDEX(원자료_잔고!$A$1:$EZ$1500,설정!$L$5+ROW()-1,설정!$L$17),""),"")</f>
        <v/>
      </c>
      <c r="L730" s="84" t="str">
        <f aca="false">IFERROR(IF(ISNUMBER(INDEX(원자료_잔고!$A$1:$EZ$1500,설정!$L$5+ROW()-1,설정!$L$18)),INDEX(원자료_잔고!$A$1:$EZ$1500,설정!$L$5+ROW()-1,설정!$L$18),""),"")</f>
        <v/>
      </c>
      <c r="M730" s="88" t="str">
        <f aca="false">IFERROR(IF(ISNUMBER(INDEX(원자료_잔고!$A$1:$EZ$1500,설정!$L$5+ROW()-1,설정!$L$19)),INDEX(원자료_잔고!$A$1:$EZ$1500,설정!$L$5+ROW()-1,설정!$L$19),""),"")</f>
        <v/>
      </c>
      <c r="N730" s="83" t="str">
        <f aca="false">IFERROR(IF(INDEX(원자료_잔고!$A$1:$EZ$1500,설정!$L$5+ROW()-1,설정!$L$21)&amp;""="0","",INDEX(원자료_잔고!$A$1:$EZ$1500,설정!$L$5+ROW()-1,설정!$L$21)&amp;""),"")</f>
        <v/>
      </c>
      <c r="O730" s="83" t="str">
        <f aca="false">IFERROR(IF(INDEX(원자료_잔고!$A$1:$EZ$1500,설정!$L$5+ROW()-1,설정!$L$22)&amp;""="0","",INDEX(원자료_잔고!$A$1:$EZ$1500,설정!$L$5+ROW()-1,설정!$L$22)&amp;""),"")</f>
        <v/>
      </c>
      <c r="P730" s="83" t="str">
        <f aca="false">IFERROR(IF(INDEX(원자료_잔고!$A$1:$EZ$1500,설정!$L$5+ROW()-1,설정!$L$23)&amp;""="0","",INDEX(원자료_잔고!$A$1:$EZ$1500,설정!$L$5+ROW()-1,설정!$L$23)&amp;""),"")</f>
        <v/>
      </c>
      <c r="Q730" s="89" t="n">
        <f aca="false">IF(AND($A730&lt;&gt;"",ISNUMBER(E730)),IF(E730&gt;0,1,0),0)</f>
        <v>0</v>
      </c>
      <c r="R730" s="43" t="str">
        <f aca="false">IF(Q730=1,UPPER(LEFT($A730,FIND(" ",$A730&amp;" ")-1)),"")</f>
        <v/>
      </c>
      <c r="S730" s="89" t="n">
        <f aca="false">IF(Q730=1,IF(OR(ISNUMBER(SEARCH("Float",$A730)),ISNUMBER(SEARCH("FRN",$A730))),1,0),0)</f>
        <v>0</v>
      </c>
      <c r="T730" s="43" t="str">
        <f aca="false">IF(AND(Q730=1,ISNUMBER(I730)),TEXT(I730,"yyyymmdd")&amp;"|"&amp;IF(S730=1,"F",TEXT(J730,"0.000")),"")</f>
        <v/>
      </c>
      <c r="U730" s="90" t="str">
        <f aca="false">IF(AND(Q730=1,ISNUMBER(I730)),(I730-설정!$C$4)/365.25,"")</f>
        <v/>
      </c>
      <c r="V730" s="43" t="str">
        <f aca="false">IF(Q730&lt;&gt;1,"",IF(ISNUMBER(U730),IF(U730&lt;=1,"1년 이하",IF(U730&lt;=2,"1-2년",IF(U730&lt;=3,"2-3년",IF(U730&lt;=4,"3-4년",IF(U730&lt;=5,"4-5년",IF(U730&lt;=7,"5-7년",IF(U730&lt;=10,"7-10년",IF(U730&lt;=20,"10-20년","20년 이상")))))))),"미분류"))</f>
        <v/>
      </c>
      <c r="W730" s="43" t="str">
        <f aca="false">IF(Q730&lt;&gt;1,"",IF(AB730&lt;&gt;"",INDEX(시장분석!$C:$C,AB730),IF(K730=1,"USD","비USD")))</f>
        <v/>
      </c>
      <c r="X730" s="91" t="n">
        <f aca="false">IF(Q730=1,E730*K730/1000000,0)</f>
        <v>0</v>
      </c>
      <c r="Y730" s="89" t="n">
        <f aca="false">IF(R730="T",1,0)</f>
        <v>0</v>
      </c>
      <c r="Z730" s="92" t="str">
        <f aca="false">IF(Q730&lt;&gt;1,"",IF(AD730=1,IF(ISNUMBER(U730),MAX(U730,0),H730),H730))</f>
        <v/>
      </c>
      <c r="AA730" s="91" t="n">
        <f aca="false">IF(Q730=1,IF(ISNUMBER(L730),L730,0)*K730/1000000,0)</f>
        <v>0</v>
      </c>
      <c r="AB730" s="89" t="str">
        <f aca="false">IF(Q730&lt;&gt;1,"",IFERROR(MATCH(VLOOKUP(B730,매핑!$H$4:$I$15,2,0),시장분석!$A$2:$A$601,0)+1,IFERROR(MATCH(R730&amp;"|"&amp;T730,시장분석!$V$2:$V$601,0)+1,IF(COUNTIF(시장분석!$U$2:$U$601,T730)=1,MATCH(T730,시장분석!$U$2:$U$601,0)+1,""))))</f>
        <v/>
      </c>
      <c r="AC730" s="89" t="n">
        <f aca="false">IF(Q730&lt;&gt;1,0,IF(OR(설정!$C$5="전체",AND(설정!$C$5="선택펀드",IFERROR(COUNTIFS(설정!$F$16:$F$36,C730,설정!$G$16:$G$36,"Y")+COUNTIFS(설정!$F$16:$F$36,VALUE(C730),설정!$G$16:$G$36,"Y"),0)&gt;0),C730&amp;""=설정!$C$5&amp;""),1,0))</f>
        <v>0</v>
      </c>
      <c r="AD730" s="89" t="n">
        <f aca="false">IF(Q730&lt;&gt;1,0,IF(OR(S730=1,IF(AB730="",FALSE(),INDEX(시장분석!$R:$R,AB730)=1)),1,0))</f>
        <v>0</v>
      </c>
      <c r="AE730" s="43" t="str">
        <f aca="false">IF(AB730="","",INDEX(시장분석!$A:$A,AB730))</f>
        <v/>
      </c>
      <c r="AF730" s="93" t="str">
        <f aca="false">IF(AB730="","",IF(ISNUMBER(IF(AB730="","",INDEX(시장분석!$E:$E,AB730))),IF(AB730="","",INDEX(시장분석!$E:$E,AB730)),""))</f>
        <v/>
      </c>
      <c r="AG730" s="43" t="str">
        <f aca="false">IF(Q730&lt;&gt;1,"",IF(AB730&lt;&gt;"",IF(AB730="","",INDEX(시장분석!$L:$L,AB730)),IFERROR(IF(VLOOKUP(R730,매핑!$A$4:$E$92,5,0)="","미분류",VLOOKUP(R730,매핑!$A$4:$E$92,5,0)),"미분류")))</f>
        <v/>
      </c>
      <c r="AH730" s="43" t="str">
        <f aca="false">IF(Q730&lt;&gt;1,"",IF(AB730&lt;&gt;"",IF(AB730="","",INDEX(시장분석!$N:$N,AB730)),IFERROR(IF(VLOOKUP(R730,매핑!$A$4:$E$92,4,0)="","미분류",VLOOKUP(R730,매핑!$A$4:$E$92,4,0)),"미분류")))</f>
        <v/>
      </c>
      <c r="AI730" s="43" t="str">
        <f aca="false">IF(Q730&lt;&gt;1,"",IFERROR(IF(VLOOKUP(R730,매핑!$A$4:$E$92,3,0)="","미분류",VLOOKUP(R730,매핑!$A$4:$E$92,3,0)),IF(AB730&lt;&gt;"",IF(AB730="","",INDEX(시장분석!$W:$W,AB730)),"미분류")))</f>
        <v/>
      </c>
      <c r="AJ730" s="43" t="str">
        <f aca="false">IF(Q730&lt;&gt;1,"",IFERROR(VLOOKUP(IF(N730&lt;&gt;"",N730,IF(P730&lt;&gt;"",P730,O730)),설정!$A$15:$D$47,2,0),""))</f>
        <v/>
      </c>
      <c r="AK730" s="43" t="str">
        <f aca="false">IF(Q730&lt;&gt;1,"",IF(AJ730="","무등급",IFERROR(VLOOKUP(AJ730,설정!$A$15:$D$47,3,0),"무등급")))</f>
        <v/>
      </c>
      <c r="AL730" s="89" t="n">
        <f aca="false">IF(AJ730="",99,IFERROR(VLOOKUP(AJ730,설정!$A$15:$D$47,4,0),99))</f>
        <v>99</v>
      </c>
      <c r="AM730" s="94" t="n">
        <f aca="false">IF(ISNUMBER(H730),AA730*1000000*H730/10000,0)</f>
        <v>0</v>
      </c>
      <c r="AN730" s="94" t="n">
        <f aca="false">IF(OR(Y730=1,NOT(ISNUMBER(Z730))),0,AA730*1000000*Z730/10000)</f>
        <v>0</v>
      </c>
      <c r="AO730" s="94" t="n">
        <f aca="false">IF(ISNUMBER(G730),AA730*1000000*G730/100,0)</f>
        <v>0</v>
      </c>
      <c r="AP730" s="94" t="n">
        <f aca="false">IF(ISNUMBER(M730),M730*K730,0)</f>
        <v>0</v>
      </c>
      <c r="AQ730" s="95" t="str">
        <f aca="false">IF(AB730="","",INDEX(시장분석!$AK:$AK,AB730))</f>
        <v/>
      </c>
      <c r="AR730" s="43" t="str">
        <f aca="false">IF(AB730="","-",IF(AB730="","",INDEX(시장분석!$AL:$AL,AB730)))</f>
        <v>-</v>
      </c>
      <c r="AS730" s="96" t="str">
        <f aca="false">IF(AB730="","",INDEX(시장분석!$AJ:$AJ,AB730))</f>
        <v/>
      </c>
      <c r="AT730" s="93" t="n">
        <f aca="false">IF(AB730="",0,IF(AB730="","",INDEX(시장분석!$AN:$AN,AB730)))</f>
        <v>0</v>
      </c>
      <c r="AU730" s="94" t="n">
        <f aca="false">IF(ISNUMBER(Z730),AT730/10000*MAX(Z730-1,0)*AA730*1000000,0)</f>
        <v>0</v>
      </c>
      <c r="AV730" s="94" t="n">
        <f aca="false">AO730+AU730</f>
        <v>0</v>
      </c>
      <c r="AW730" s="43" t="str">
        <f aca="false">IF(Q730&lt;&gt;1,"",TRIM(IF(AD730=1,"FRN ","")&amp;IF(AND(AL730&gt;=10,AL730&lt;99),"BBB0미만 ","")&amp;IF(AJ730="","등급없음 ","")&amp;IF(K730&lt;&gt;1,"비USD ","")&amp;IF(AND(AB730="",Y730=0),"시장데이터없음 ","")&amp;IF(AND(ISNUMBER(U730),U730&lt;0),"만기경과 ","")))</f>
        <v/>
      </c>
      <c r="AX730" s="90" t="n">
        <f aca="false">IF(Q730&lt;&gt;1,1,IF(스프레드쇼크!$C$4="Y",INDEX(스프레드쇼크!$B$12:$L$16,IFERROR(MATCH(AH730,스프레드쇼크!$A$12:$A$16,0),MATCH("목록외",스프레드쇼크!$A$12:$A$16,0)),IFERROR(MATCH(AG730,스프레드쇼크!$B$11:$L$11,0),MATCH("목록외",스프레드쇼크!$B$11:$L$11,0))),1))</f>
        <v>1</v>
      </c>
      <c r="AY730" s="90" t="n">
        <f aca="false">IF(스프레드쇼크!$C$5="Y",IF(ISNUMBER(AF730),MIN(스프레드쇼크!$C$7,MAX(스프레드쇼크!$C$6,AF730/스프레드쇼크!$C$8)),1),1)</f>
        <v>1</v>
      </c>
      <c r="AZ730" s="94" t="n">
        <f aca="false">AN730*AX730*AY730</f>
        <v>0</v>
      </c>
      <c r="BA730" s="90" t="n">
        <f aca="false">IF(ISNUMBER(G730),AA730*G730,0)</f>
        <v>0</v>
      </c>
      <c r="BB730" s="90" t="n">
        <f aca="false">IF(ISNUMBER(G730),AA730,0)</f>
        <v>0</v>
      </c>
      <c r="BC730" s="90" t="n">
        <f aca="false">IF(AND(Y730=0,ISNUMBER(AF730)),AA730*AF730,0)</f>
        <v>0</v>
      </c>
      <c r="BD730" s="90" t="n">
        <f aca="false">IF(AND(Y730=0,ISNUMBER(AF730)),AA730,0)</f>
        <v>0</v>
      </c>
      <c r="BE730" s="90" t="n">
        <f aca="false">IF(ISNUMBER(H730),AA730*H730,0)</f>
        <v>0</v>
      </c>
      <c r="BF730" s="90" t="n">
        <f aca="false">IF(ISNUMBER(H730),AA730,0)</f>
        <v>0</v>
      </c>
      <c r="BG730" s="90" t="n">
        <f aca="false">IF(AND(Y730=0,ISNUMBER(AF730),ISNUMBER(Z730)),AA730*Z730,0)</f>
        <v>0</v>
      </c>
      <c r="BH730" s="90" t="n">
        <f aca="false">IF(AND(Y730=0,ISNUMBER(AF730),ISNUMBER(Z730)),AA730*AT730*MAX(Z730-1,0),0)</f>
        <v>0</v>
      </c>
      <c r="BI730" s="90" t="n">
        <f aca="false">IF(Y730=0,AA730,0)</f>
        <v>0</v>
      </c>
    </row>
    <row r="731" customFormat="false" ht="15" hidden="false" customHeight="false" outlineLevel="0" collapsed="false">
      <c r="A731" s="83" t="str">
        <f aca="false">IFERROR(IF(INDEX(원자료_잔고!$A$1:$EZ$1500,설정!$L$5+ROW()-1,설정!$L$8)&amp;""="0","",INDEX(원자료_잔고!$A$1:$EZ$1500,설정!$L$5+ROW()-1,설정!$L$8)&amp;""),"")</f>
        <v/>
      </c>
      <c r="B731" s="83" t="str">
        <f aca="false">IFERROR(IF(INDEX(원자료_잔고!$A$1:$EZ$1500,설정!$L$5+ROW()-1,설정!$L$7)&amp;""="0","",INDEX(원자료_잔고!$A$1:$EZ$1500,설정!$L$5+ROW()-1,설정!$L$7)&amp;""),"")</f>
        <v/>
      </c>
      <c r="C731" s="83" t="str">
        <f aca="false">IFERROR(IF(INDEX(원자료_잔고!$A$1:$EZ$1500,설정!$L$5+ROW()-1,설정!$L$9)&amp;""="0","",INDEX(원자료_잔고!$A$1:$EZ$1500,설정!$L$5+ROW()-1,설정!$L$9)&amp;""),"")</f>
        <v/>
      </c>
      <c r="D731" s="83" t="str">
        <f aca="false">IFERROR(IF(INDEX(원자료_잔고!$A$1:$EZ$1500,설정!$L$5+ROW()-1,설정!$L$10)&amp;""="0","",INDEX(원자료_잔고!$A$1:$EZ$1500,설정!$L$5+ROW()-1,설정!$L$10)&amp;""),"")</f>
        <v/>
      </c>
      <c r="E731" s="84" t="str">
        <f aca="false">IFERROR(IF(ISNUMBER(INDEX(원자료_잔고!$A$1:$EZ$1500,설정!$L$5+ROW()-1,설정!$L$11)),INDEX(원자료_잔고!$A$1:$EZ$1500,설정!$L$5+ROW()-1,설정!$L$11),""),"")</f>
        <v/>
      </c>
      <c r="F731" s="85" t="str">
        <f aca="false">IFERROR(IF(ISNUMBER(INDEX(원자료_잔고!$A$1:$EZ$1500,설정!$L$5+ROW()-1,설정!$L$12)),INDEX(원자료_잔고!$A$1:$EZ$1500,설정!$L$5+ROW()-1,설정!$L$12),""),"")</f>
        <v/>
      </c>
      <c r="G731" s="85" t="str">
        <f aca="false">IFERROR(IF(ISNUMBER(INDEX(원자료_잔고!$A$1:$EZ$1500,설정!$L$5+ROW()-1,설정!$L$13)),INDEX(원자료_잔고!$A$1:$EZ$1500,설정!$L$5+ROW()-1,설정!$L$13),""),"")</f>
        <v/>
      </c>
      <c r="H731" s="85" t="str">
        <f aca="false">IFERROR(IF(ISNUMBER(INDEX(원자료_잔고!$A$1:$EZ$1500,설정!$L$5+ROW()-1,설정!$L$14)),INDEX(원자료_잔고!$A$1:$EZ$1500,설정!$L$5+ROW()-1,설정!$L$14),""),"")</f>
        <v/>
      </c>
      <c r="I731" s="86" t="str">
        <f aca="false">IFERROR(IF(ISNUMBER(INDEX(원자료_잔고!$A$1:$EZ$1500,설정!$L$5+ROW()-1,설정!$L$15)),INDEX(원자료_잔고!$A$1:$EZ$1500,설정!$L$5+ROW()-1,설정!$L$15),""),"")</f>
        <v/>
      </c>
      <c r="J731" s="85" t="str">
        <f aca="false">IFERROR(IF(ISNUMBER(INDEX(원자료_잔고!$A$1:$EZ$1500,설정!$L$5+ROW()-1,설정!$L$16)),INDEX(원자료_잔고!$A$1:$EZ$1500,설정!$L$5+ROW()-1,설정!$L$16),""),"")</f>
        <v/>
      </c>
      <c r="K731" s="87" t="str">
        <f aca="false">IFERROR(IF(ISNUMBER(INDEX(원자료_잔고!$A$1:$EZ$1500,설정!$L$5+ROW()-1,설정!$L$17)),INDEX(원자료_잔고!$A$1:$EZ$1500,설정!$L$5+ROW()-1,설정!$L$17),""),"")</f>
        <v/>
      </c>
      <c r="L731" s="84" t="str">
        <f aca="false">IFERROR(IF(ISNUMBER(INDEX(원자료_잔고!$A$1:$EZ$1500,설정!$L$5+ROW()-1,설정!$L$18)),INDEX(원자료_잔고!$A$1:$EZ$1500,설정!$L$5+ROW()-1,설정!$L$18),""),"")</f>
        <v/>
      </c>
      <c r="M731" s="88" t="str">
        <f aca="false">IFERROR(IF(ISNUMBER(INDEX(원자료_잔고!$A$1:$EZ$1500,설정!$L$5+ROW()-1,설정!$L$19)),INDEX(원자료_잔고!$A$1:$EZ$1500,설정!$L$5+ROW()-1,설정!$L$19),""),"")</f>
        <v/>
      </c>
      <c r="N731" s="83" t="str">
        <f aca="false">IFERROR(IF(INDEX(원자료_잔고!$A$1:$EZ$1500,설정!$L$5+ROW()-1,설정!$L$21)&amp;""="0","",INDEX(원자료_잔고!$A$1:$EZ$1500,설정!$L$5+ROW()-1,설정!$L$21)&amp;""),"")</f>
        <v/>
      </c>
      <c r="O731" s="83" t="str">
        <f aca="false">IFERROR(IF(INDEX(원자료_잔고!$A$1:$EZ$1500,설정!$L$5+ROW()-1,설정!$L$22)&amp;""="0","",INDEX(원자료_잔고!$A$1:$EZ$1500,설정!$L$5+ROW()-1,설정!$L$22)&amp;""),"")</f>
        <v/>
      </c>
      <c r="P731" s="83" t="str">
        <f aca="false">IFERROR(IF(INDEX(원자료_잔고!$A$1:$EZ$1500,설정!$L$5+ROW()-1,설정!$L$23)&amp;""="0","",INDEX(원자료_잔고!$A$1:$EZ$1500,설정!$L$5+ROW()-1,설정!$L$23)&amp;""),"")</f>
        <v/>
      </c>
      <c r="Q731" s="89" t="n">
        <f aca="false">IF(AND($A731&lt;&gt;"",ISNUMBER(E731)),IF(E731&gt;0,1,0),0)</f>
        <v>0</v>
      </c>
      <c r="R731" s="43" t="str">
        <f aca="false">IF(Q731=1,UPPER(LEFT($A731,FIND(" ",$A731&amp;" ")-1)),"")</f>
        <v/>
      </c>
      <c r="S731" s="89" t="n">
        <f aca="false">IF(Q731=1,IF(OR(ISNUMBER(SEARCH("Float",$A731)),ISNUMBER(SEARCH("FRN",$A731))),1,0),0)</f>
        <v>0</v>
      </c>
      <c r="T731" s="43" t="str">
        <f aca="false">IF(AND(Q731=1,ISNUMBER(I731)),TEXT(I731,"yyyymmdd")&amp;"|"&amp;IF(S731=1,"F",TEXT(J731,"0.000")),"")</f>
        <v/>
      </c>
      <c r="U731" s="90" t="str">
        <f aca="false">IF(AND(Q731=1,ISNUMBER(I731)),(I731-설정!$C$4)/365.25,"")</f>
        <v/>
      </c>
      <c r="V731" s="43" t="str">
        <f aca="false">IF(Q731&lt;&gt;1,"",IF(ISNUMBER(U731),IF(U731&lt;=1,"1년 이하",IF(U731&lt;=2,"1-2년",IF(U731&lt;=3,"2-3년",IF(U731&lt;=4,"3-4년",IF(U731&lt;=5,"4-5년",IF(U731&lt;=7,"5-7년",IF(U731&lt;=10,"7-10년",IF(U731&lt;=20,"10-20년","20년 이상")))))))),"미분류"))</f>
        <v/>
      </c>
      <c r="W731" s="43" t="str">
        <f aca="false">IF(Q731&lt;&gt;1,"",IF(AB731&lt;&gt;"",INDEX(시장분석!$C:$C,AB731),IF(K731=1,"USD","비USD")))</f>
        <v/>
      </c>
      <c r="X731" s="91" t="n">
        <f aca="false">IF(Q731=1,E731*K731/1000000,0)</f>
        <v>0</v>
      </c>
      <c r="Y731" s="89" t="n">
        <f aca="false">IF(R731="T",1,0)</f>
        <v>0</v>
      </c>
      <c r="Z731" s="92" t="str">
        <f aca="false">IF(Q731&lt;&gt;1,"",IF(AD731=1,IF(ISNUMBER(U731),MAX(U731,0),H731),H731))</f>
        <v/>
      </c>
      <c r="AA731" s="91" t="n">
        <f aca="false">IF(Q731=1,IF(ISNUMBER(L731),L731,0)*K731/1000000,0)</f>
        <v>0</v>
      </c>
      <c r="AB731" s="89" t="str">
        <f aca="false">IF(Q731&lt;&gt;1,"",IFERROR(MATCH(VLOOKUP(B731,매핑!$H$4:$I$15,2,0),시장분석!$A$2:$A$601,0)+1,IFERROR(MATCH(R731&amp;"|"&amp;T731,시장분석!$V$2:$V$601,0)+1,IF(COUNTIF(시장분석!$U$2:$U$601,T731)=1,MATCH(T731,시장분석!$U$2:$U$601,0)+1,""))))</f>
        <v/>
      </c>
      <c r="AC731" s="89" t="n">
        <f aca="false">IF(Q731&lt;&gt;1,0,IF(OR(설정!$C$5="전체",AND(설정!$C$5="선택펀드",IFERROR(COUNTIFS(설정!$F$16:$F$36,C731,설정!$G$16:$G$36,"Y")+COUNTIFS(설정!$F$16:$F$36,VALUE(C731),설정!$G$16:$G$36,"Y"),0)&gt;0),C731&amp;""=설정!$C$5&amp;""),1,0))</f>
        <v>0</v>
      </c>
      <c r="AD731" s="89" t="n">
        <f aca="false">IF(Q731&lt;&gt;1,0,IF(OR(S731=1,IF(AB731="",FALSE(),INDEX(시장분석!$R:$R,AB731)=1)),1,0))</f>
        <v>0</v>
      </c>
      <c r="AE731" s="43" t="str">
        <f aca="false">IF(AB731="","",INDEX(시장분석!$A:$A,AB731))</f>
        <v/>
      </c>
      <c r="AF731" s="93" t="str">
        <f aca="false">IF(AB731="","",IF(ISNUMBER(IF(AB731="","",INDEX(시장분석!$E:$E,AB731))),IF(AB731="","",INDEX(시장분석!$E:$E,AB731)),""))</f>
        <v/>
      </c>
      <c r="AG731" s="43" t="str">
        <f aca="false">IF(Q731&lt;&gt;1,"",IF(AB731&lt;&gt;"",IF(AB731="","",INDEX(시장분석!$L:$L,AB731)),IFERROR(IF(VLOOKUP(R731,매핑!$A$4:$E$92,5,0)="","미분류",VLOOKUP(R731,매핑!$A$4:$E$92,5,0)),"미분류")))</f>
        <v/>
      </c>
      <c r="AH731" s="43" t="str">
        <f aca="false">IF(Q731&lt;&gt;1,"",IF(AB731&lt;&gt;"",IF(AB731="","",INDEX(시장분석!$N:$N,AB731)),IFERROR(IF(VLOOKUP(R731,매핑!$A$4:$E$92,4,0)="","미분류",VLOOKUP(R731,매핑!$A$4:$E$92,4,0)),"미분류")))</f>
        <v/>
      </c>
      <c r="AI731" s="43" t="str">
        <f aca="false">IF(Q731&lt;&gt;1,"",IFERROR(IF(VLOOKUP(R731,매핑!$A$4:$E$92,3,0)="","미분류",VLOOKUP(R731,매핑!$A$4:$E$92,3,0)),IF(AB731&lt;&gt;"",IF(AB731="","",INDEX(시장분석!$W:$W,AB731)),"미분류")))</f>
        <v/>
      </c>
      <c r="AJ731" s="43" t="str">
        <f aca="false">IF(Q731&lt;&gt;1,"",IFERROR(VLOOKUP(IF(N731&lt;&gt;"",N731,IF(P731&lt;&gt;"",P731,O731)),설정!$A$15:$D$47,2,0),""))</f>
        <v/>
      </c>
      <c r="AK731" s="43" t="str">
        <f aca="false">IF(Q731&lt;&gt;1,"",IF(AJ731="","무등급",IFERROR(VLOOKUP(AJ731,설정!$A$15:$D$47,3,0),"무등급")))</f>
        <v/>
      </c>
      <c r="AL731" s="89" t="n">
        <f aca="false">IF(AJ731="",99,IFERROR(VLOOKUP(AJ731,설정!$A$15:$D$47,4,0),99))</f>
        <v>99</v>
      </c>
      <c r="AM731" s="94" t="n">
        <f aca="false">IF(ISNUMBER(H731),AA731*1000000*H731/10000,0)</f>
        <v>0</v>
      </c>
      <c r="AN731" s="94" t="n">
        <f aca="false">IF(OR(Y731=1,NOT(ISNUMBER(Z731))),0,AA731*1000000*Z731/10000)</f>
        <v>0</v>
      </c>
      <c r="AO731" s="94" t="n">
        <f aca="false">IF(ISNUMBER(G731),AA731*1000000*G731/100,0)</f>
        <v>0</v>
      </c>
      <c r="AP731" s="94" t="n">
        <f aca="false">IF(ISNUMBER(M731),M731*K731,0)</f>
        <v>0</v>
      </c>
      <c r="AQ731" s="95" t="str">
        <f aca="false">IF(AB731="","",INDEX(시장분석!$AK:$AK,AB731))</f>
        <v/>
      </c>
      <c r="AR731" s="43" t="str">
        <f aca="false">IF(AB731="","-",IF(AB731="","",INDEX(시장분석!$AL:$AL,AB731)))</f>
        <v>-</v>
      </c>
      <c r="AS731" s="96" t="str">
        <f aca="false">IF(AB731="","",INDEX(시장분석!$AJ:$AJ,AB731))</f>
        <v/>
      </c>
      <c r="AT731" s="93" t="n">
        <f aca="false">IF(AB731="",0,IF(AB731="","",INDEX(시장분석!$AN:$AN,AB731)))</f>
        <v>0</v>
      </c>
      <c r="AU731" s="94" t="n">
        <f aca="false">IF(ISNUMBER(Z731),AT731/10000*MAX(Z731-1,0)*AA731*1000000,0)</f>
        <v>0</v>
      </c>
      <c r="AV731" s="94" t="n">
        <f aca="false">AO731+AU731</f>
        <v>0</v>
      </c>
      <c r="AW731" s="43" t="str">
        <f aca="false">IF(Q731&lt;&gt;1,"",TRIM(IF(AD731=1,"FRN ","")&amp;IF(AND(AL731&gt;=10,AL731&lt;99),"BBB0미만 ","")&amp;IF(AJ731="","등급없음 ","")&amp;IF(K731&lt;&gt;1,"비USD ","")&amp;IF(AND(AB731="",Y731=0),"시장데이터없음 ","")&amp;IF(AND(ISNUMBER(U731),U731&lt;0),"만기경과 ","")))</f>
        <v/>
      </c>
      <c r="AX731" s="90" t="n">
        <f aca="false">IF(Q731&lt;&gt;1,1,IF(스프레드쇼크!$C$4="Y",INDEX(스프레드쇼크!$B$12:$L$16,IFERROR(MATCH(AH731,스프레드쇼크!$A$12:$A$16,0),MATCH("목록외",스프레드쇼크!$A$12:$A$16,0)),IFERROR(MATCH(AG731,스프레드쇼크!$B$11:$L$11,0),MATCH("목록외",스프레드쇼크!$B$11:$L$11,0))),1))</f>
        <v>1</v>
      </c>
      <c r="AY731" s="90" t="n">
        <f aca="false">IF(스프레드쇼크!$C$5="Y",IF(ISNUMBER(AF731),MIN(스프레드쇼크!$C$7,MAX(스프레드쇼크!$C$6,AF731/스프레드쇼크!$C$8)),1),1)</f>
        <v>1</v>
      </c>
      <c r="AZ731" s="94" t="n">
        <f aca="false">AN731*AX731*AY731</f>
        <v>0</v>
      </c>
      <c r="BA731" s="90" t="n">
        <f aca="false">IF(ISNUMBER(G731),AA731*G731,0)</f>
        <v>0</v>
      </c>
      <c r="BB731" s="90" t="n">
        <f aca="false">IF(ISNUMBER(G731),AA731,0)</f>
        <v>0</v>
      </c>
      <c r="BC731" s="90" t="n">
        <f aca="false">IF(AND(Y731=0,ISNUMBER(AF731)),AA731*AF731,0)</f>
        <v>0</v>
      </c>
      <c r="BD731" s="90" t="n">
        <f aca="false">IF(AND(Y731=0,ISNUMBER(AF731)),AA731,0)</f>
        <v>0</v>
      </c>
      <c r="BE731" s="90" t="n">
        <f aca="false">IF(ISNUMBER(H731),AA731*H731,0)</f>
        <v>0</v>
      </c>
      <c r="BF731" s="90" t="n">
        <f aca="false">IF(ISNUMBER(H731),AA731,0)</f>
        <v>0</v>
      </c>
      <c r="BG731" s="90" t="n">
        <f aca="false">IF(AND(Y731=0,ISNUMBER(AF731),ISNUMBER(Z731)),AA731*Z731,0)</f>
        <v>0</v>
      </c>
      <c r="BH731" s="90" t="n">
        <f aca="false">IF(AND(Y731=0,ISNUMBER(AF731),ISNUMBER(Z731)),AA731*AT731*MAX(Z731-1,0),0)</f>
        <v>0</v>
      </c>
      <c r="BI731" s="90" t="n">
        <f aca="false">IF(Y731=0,AA731,0)</f>
        <v>0</v>
      </c>
    </row>
    <row r="732" customFormat="false" ht="15" hidden="false" customHeight="false" outlineLevel="0" collapsed="false">
      <c r="A732" s="83" t="str">
        <f aca="false">IFERROR(IF(INDEX(원자료_잔고!$A$1:$EZ$1500,설정!$L$5+ROW()-1,설정!$L$8)&amp;""="0","",INDEX(원자료_잔고!$A$1:$EZ$1500,설정!$L$5+ROW()-1,설정!$L$8)&amp;""),"")</f>
        <v/>
      </c>
      <c r="B732" s="83" t="str">
        <f aca="false">IFERROR(IF(INDEX(원자료_잔고!$A$1:$EZ$1500,설정!$L$5+ROW()-1,설정!$L$7)&amp;""="0","",INDEX(원자료_잔고!$A$1:$EZ$1500,설정!$L$5+ROW()-1,설정!$L$7)&amp;""),"")</f>
        <v/>
      </c>
      <c r="C732" s="83" t="str">
        <f aca="false">IFERROR(IF(INDEX(원자료_잔고!$A$1:$EZ$1500,설정!$L$5+ROW()-1,설정!$L$9)&amp;""="0","",INDEX(원자료_잔고!$A$1:$EZ$1500,설정!$L$5+ROW()-1,설정!$L$9)&amp;""),"")</f>
        <v/>
      </c>
      <c r="D732" s="83" t="str">
        <f aca="false">IFERROR(IF(INDEX(원자료_잔고!$A$1:$EZ$1500,설정!$L$5+ROW()-1,설정!$L$10)&amp;""="0","",INDEX(원자료_잔고!$A$1:$EZ$1500,설정!$L$5+ROW()-1,설정!$L$10)&amp;""),"")</f>
        <v/>
      </c>
      <c r="E732" s="84" t="str">
        <f aca="false">IFERROR(IF(ISNUMBER(INDEX(원자료_잔고!$A$1:$EZ$1500,설정!$L$5+ROW()-1,설정!$L$11)),INDEX(원자료_잔고!$A$1:$EZ$1500,설정!$L$5+ROW()-1,설정!$L$11),""),"")</f>
        <v/>
      </c>
      <c r="F732" s="85" t="str">
        <f aca="false">IFERROR(IF(ISNUMBER(INDEX(원자료_잔고!$A$1:$EZ$1500,설정!$L$5+ROW()-1,설정!$L$12)),INDEX(원자료_잔고!$A$1:$EZ$1500,설정!$L$5+ROW()-1,설정!$L$12),""),"")</f>
        <v/>
      </c>
      <c r="G732" s="85" t="str">
        <f aca="false">IFERROR(IF(ISNUMBER(INDEX(원자료_잔고!$A$1:$EZ$1500,설정!$L$5+ROW()-1,설정!$L$13)),INDEX(원자료_잔고!$A$1:$EZ$1500,설정!$L$5+ROW()-1,설정!$L$13),""),"")</f>
        <v/>
      </c>
      <c r="H732" s="85" t="str">
        <f aca="false">IFERROR(IF(ISNUMBER(INDEX(원자료_잔고!$A$1:$EZ$1500,설정!$L$5+ROW()-1,설정!$L$14)),INDEX(원자료_잔고!$A$1:$EZ$1500,설정!$L$5+ROW()-1,설정!$L$14),""),"")</f>
        <v/>
      </c>
      <c r="I732" s="86" t="str">
        <f aca="false">IFERROR(IF(ISNUMBER(INDEX(원자료_잔고!$A$1:$EZ$1500,설정!$L$5+ROW()-1,설정!$L$15)),INDEX(원자료_잔고!$A$1:$EZ$1500,설정!$L$5+ROW()-1,설정!$L$15),""),"")</f>
        <v/>
      </c>
      <c r="J732" s="85" t="str">
        <f aca="false">IFERROR(IF(ISNUMBER(INDEX(원자료_잔고!$A$1:$EZ$1500,설정!$L$5+ROW()-1,설정!$L$16)),INDEX(원자료_잔고!$A$1:$EZ$1500,설정!$L$5+ROW()-1,설정!$L$16),""),"")</f>
        <v/>
      </c>
      <c r="K732" s="87" t="str">
        <f aca="false">IFERROR(IF(ISNUMBER(INDEX(원자료_잔고!$A$1:$EZ$1500,설정!$L$5+ROW()-1,설정!$L$17)),INDEX(원자료_잔고!$A$1:$EZ$1500,설정!$L$5+ROW()-1,설정!$L$17),""),"")</f>
        <v/>
      </c>
      <c r="L732" s="84" t="str">
        <f aca="false">IFERROR(IF(ISNUMBER(INDEX(원자료_잔고!$A$1:$EZ$1500,설정!$L$5+ROW()-1,설정!$L$18)),INDEX(원자료_잔고!$A$1:$EZ$1500,설정!$L$5+ROW()-1,설정!$L$18),""),"")</f>
        <v/>
      </c>
      <c r="M732" s="88" t="str">
        <f aca="false">IFERROR(IF(ISNUMBER(INDEX(원자료_잔고!$A$1:$EZ$1500,설정!$L$5+ROW()-1,설정!$L$19)),INDEX(원자료_잔고!$A$1:$EZ$1500,설정!$L$5+ROW()-1,설정!$L$19),""),"")</f>
        <v/>
      </c>
      <c r="N732" s="83" t="str">
        <f aca="false">IFERROR(IF(INDEX(원자료_잔고!$A$1:$EZ$1500,설정!$L$5+ROW()-1,설정!$L$21)&amp;""="0","",INDEX(원자료_잔고!$A$1:$EZ$1500,설정!$L$5+ROW()-1,설정!$L$21)&amp;""),"")</f>
        <v/>
      </c>
      <c r="O732" s="83" t="str">
        <f aca="false">IFERROR(IF(INDEX(원자료_잔고!$A$1:$EZ$1500,설정!$L$5+ROW()-1,설정!$L$22)&amp;""="0","",INDEX(원자료_잔고!$A$1:$EZ$1500,설정!$L$5+ROW()-1,설정!$L$22)&amp;""),"")</f>
        <v/>
      </c>
      <c r="P732" s="83" t="str">
        <f aca="false">IFERROR(IF(INDEX(원자료_잔고!$A$1:$EZ$1500,설정!$L$5+ROW()-1,설정!$L$23)&amp;""="0","",INDEX(원자료_잔고!$A$1:$EZ$1500,설정!$L$5+ROW()-1,설정!$L$23)&amp;""),"")</f>
        <v/>
      </c>
      <c r="Q732" s="89" t="n">
        <f aca="false">IF(AND($A732&lt;&gt;"",ISNUMBER(E732)),IF(E732&gt;0,1,0),0)</f>
        <v>0</v>
      </c>
      <c r="R732" s="43" t="str">
        <f aca="false">IF(Q732=1,UPPER(LEFT($A732,FIND(" ",$A732&amp;" ")-1)),"")</f>
        <v/>
      </c>
      <c r="S732" s="89" t="n">
        <f aca="false">IF(Q732=1,IF(OR(ISNUMBER(SEARCH("Float",$A732)),ISNUMBER(SEARCH("FRN",$A732))),1,0),0)</f>
        <v>0</v>
      </c>
      <c r="T732" s="43" t="str">
        <f aca="false">IF(AND(Q732=1,ISNUMBER(I732)),TEXT(I732,"yyyymmdd")&amp;"|"&amp;IF(S732=1,"F",TEXT(J732,"0.000")),"")</f>
        <v/>
      </c>
      <c r="U732" s="90" t="str">
        <f aca="false">IF(AND(Q732=1,ISNUMBER(I732)),(I732-설정!$C$4)/365.25,"")</f>
        <v/>
      </c>
      <c r="V732" s="43" t="str">
        <f aca="false">IF(Q732&lt;&gt;1,"",IF(ISNUMBER(U732),IF(U732&lt;=1,"1년 이하",IF(U732&lt;=2,"1-2년",IF(U732&lt;=3,"2-3년",IF(U732&lt;=4,"3-4년",IF(U732&lt;=5,"4-5년",IF(U732&lt;=7,"5-7년",IF(U732&lt;=10,"7-10년",IF(U732&lt;=20,"10-20년","20년 이상")))))))),"미분류"))</f>
        <v/>
      </c>
      <c r="W732" s="43" t="str">
        <f aca="false">IF(Q732&lt;&gt;1,"",IF(AB732&lt;&gt;"",INDEX(시장분석!$C:$C,AB732),IF(K732=1,"USD","비USD")))</f>
        <v/>
      </c>
      <c r="X732" s="91" t="n">
        <f aca="false">IF(Q732=1,E732*K732/1000000,0)</f>
        <v>0</v>
      </c>
      <c r="Y732" s="89" t="n">
        <f aca="false">IF(R732="T",1,0)</f>
        <v>0</v>
      </c>
      <c r="Z732" s="92" t="str">
        <f aca="false">IF(Q732&lt;&gt;1,"",IF(AD732=1,IF(ISNUMBER(U732),MAX(U732,0),H732),H732))</f>
        <v/>
      </c>
      <c r="AA732" s="91" t="n">
        <f aca="false">IF(Q732=1,IF(ISNUMBER(L732),L732,0)*K732/1000000,0)</f>
        <v>0</v>
      </c>
      <c r="AB732" s="89" t="str">
        <f aca="false">IF(Q732&lt;&gt;1,"",IFERROR(MATCH(VLOOKUP(B732,매핑!$H$4:$I$15,2,0),시장분석!$A$2:$A$601,0)+1,IFERROR(MATCH(R732&amp;"|"&amp;T732,시장분석!$V$2:$V$601,0)+1,IF(COUNTIF(시장분석!$U$2:$U$601,T732)=1,MATCH(T732,시장분석!$U$2:$U$601,0)+1,""))))</f>
        <v/>
      </c>
      <c r="AC732" s="89" t="n">
        <f aca="false">IF(Q732&lt;&gt;1,0,IF(OR(설정!$C$5="전체",AND(설정!$C$5="선택펀드",IFERROR(COUNTIFS(설정!$F$16:$F$36,C732,설정!$G$16:$G$36,"Y")+COUNTIFS(설정!$F$16:$F$36,VALUE(C732),설정!$G$16:$G$36,"Y"),0)&gt;0),C732&amp;""=설정!$C$5&amp;""),1,0))</f>
        <v>0</v>
      </c>
      <c r="AD732" s="89" t="n">
        <f aca="false">IF(Q732&lt;&gt;1,0,IF(OR(S732=1,IF(AB732="",FALSE(),INDEX(시장분석!$R:$R,AB732)=1)),1,0))</f>
        <v>0</v>
      </c>
      <c r="AE732" s="43" t="str">
        <f aca="false">IF(AB732="","",INDEX(시장분석!$A:$A,AB732))</f>
        <v/>
      </c>
      <c r="AF732" s="93" t="str">
        <f aca="false">IF(AB732="","",IF(ISNUMBER(IF(AB732="","",INDEX(시장분석!$E:$E,AB732))),IF(AB732="","",INDEX(시장분석!$E:$E,AB732)),""))</f>
        <v/>
      </c>
      <c r="AG732" s="43" t="str">
        <f aca="false">IF(Q732&lt;&gt;1,"",IF(AB732&lt;&gt;"",IF(AB732="","",INDEX(시장분석!$L:$L,AB732)),IFERROR(IF(VLOOKUP(R732,매핑!$A$4:$E$92,5,0)="","미분류",VLOOKUP(R732,매핑!$A$4:$E$92,5,0)),"미분류")))</f>
        <v/>
      </c>
      <c r="AH732" s="43" t="str">
        <f aca="false">IF(Q732&lt;&gt;1,"",IF(AB732&lt;&gt;"",IF(AB732="","",INDEX(시장분석!$N:$N,AB732)),IFERROR(IF(VLOOKUP(R732,매핑!$A$4:$E$92,4,0)="","미분류",VLOOKUP(R732,매핑!$A$4:$E$92,4,0)),"미분류")))</f>
        <v/>
      </c>
      <c r="AI732" s="43" t="str">
        <f aca="false">IF(Q732&lt;&gt;1,"",IFERROR(IF(VLOOKUP(R732,매핑!$A$4:$E$92,3,0)="","미분류",VLOOKUP(R732,매핑!$A$4:$E$92,3,0)),IF(AB732&lt;&gt;"",IF(AB732="","",INDEX(시장분석!$W:$W,AB732)),"미분류")))</f>
        <v/>
      </c>
      <c r="AJ732" s="43" t="str">
        <f aca="false">IF(Q732&lt;&gt;1,"",IFERROR(VLOOKUP(IF(N732&lt;&gt;"",N732,IF(P732&lt;&gt;"",P732,O732)),설정!$A$15:$D$47,2,0),""))</f>
        <v/>
      </c>
      <c r="AK732" s="43" t="str">
        <f aca="false">IF(Q732&lt;&gt;1,"",IF(AJ732="","무등급",IFERROR(VLOOKUP(AJ732,설정!$A$15:$D$47,3,0),"무등급")))</f>
        <v/>
      </c>
      <c r="AL732" s="89" t="n">
        <f aca="false">IF(AJ732="",99,IFERROR(VLOOKUP(AJ732,설정!$A$15:$D$47,4,0),99))</f>
        <v>99</v>
      </c>
      <c r="AM732" s="94" t="n">
        <f aca="false">IF(ISNUMBER(H732),AA732*1000000*H732/10000,0)</f>
        <v>0</v>
      </c>
      <c r="AN732" s="94" t="n">
        <f aca="false">IF(OR(Y732=1,NOT(ISNUMBER(Z732))),0,AA732*1000000*Z732/10000)</f>
        <v>0</v>
      </c>
      <c r="AO732" s="94" t="n">
        <f aca="false">IF(ISNUMBER(G732),AA732*1000000*G732/100,0)</f>
        <v>0</v>
      </c>
      <c r="AP732" s="94" t="n">
        <f aca="false">IF(ISNUMBER(M732),M732*K732,0)</f>
        <v>0</v>
      </c>
      <c r="AQ732" s="95" t="str">
        <f aca="false">IF(AB732="","",INDEX(시장분석!$AK:$AK,AB732))</f>
        <v/>
      </c>
      <c r="AR732" s="43" t="str">
        <f aca="false">IF(AB732="","-",IF(AB732="","",INDEX(시장분석!$AL:$AL,AB732)))</f>
        <v>-</v>
      </c>
      <c r="AS732" s="96" t="str">
        <f aca="false">IF(AB732="","",INDEX(시장분석!$AJ:$AJ,AB732))</f>
        <v/>
      </c>
      <c r="AT732" s="93" t="n">
        <f aca="false">IF(AB732="",0,IF(AB732="","",INDEX(시장분석!$AN:$AN,AB732)))</f>
        <v>0</v>
      </c>
      <c r="AU732" s="94" t="n">
        <f aca="false">IF(ISNUMBER(Z732),AT732/10000*MAX(Z732-1,0)*AA732*1000000,0)</f>
        <v>0</v>
      </c>
      <c r="AV732" s="94" t="n">
        <f aca="false">AO732+AU732</f>
        <v>0</v>
      </c>
      <c r="AW732" s="43" t="str">
        <f aca="false">IF(Q732&lt;&gt;1,"",TRIM(IF(AD732=1,"FRN ","")&amp;IF(AND(AL732&gt;=10,AL732&lt;99),"BBB0미만 ","")&amp;IF(AJ732="","등급없음 ","")&amp;IF(K732&lt;&gt;1,"비USD ","")&amp;IF(AND(AB732="",Y732=0),"시장데이터없음 ","")&amp;IF(AND(ISNUMBER(U732),U732&lt;0),"만기경과 ","")))</f>
        <v/>
      </c>
      <c r="AX732" s="90" t="n">
        <f aca="false">IF(Q732&lt;&gt;1,1,IF(스프레드쇼크!$C$4="Y",INDEX(스프레드쇼크!$B$12:$L$16,IFERROR(MATCH(AH732,스프레드쇼크!$A$12:$A$16,0),MATCH("목록외",스프레드쇼크!$A$12:$A$16,0)),IFERROR(MATCH(AG732,스프레드쇼크!$B$11:$L$11,0),MATCH("목록외",스프레드쇼크!$B$11:$L$11,0))),1))</f>
        <v>1</v>
      </c>
      <c r="AY732" s="90" t="n">
        <f aca="false">IF(스프레드쇼크!$C$5="Y",IF(ISNUMBER(AF732),MIN(스프레드쇼크!$C$7,MAX(스프레드쇼크!$C$6,AF732/스프레드쇼크!$C$8)),1),1)</f>
        <v>1</v>
      </c>
      <c r="AZ732" s="94" t="n">
        <f aca="false">AN732*AX732*AY732</f>
        <v>0</v>
      </c>
      <c r="BA732" s="90" t="n">
        <f aca="false">IF(ISNUMBER(G732),AA732*G732,0)</f>
        <v>0</v>
      </c>
      <c r="BB732" s="90" t="n">
        <f aca="false">IF(ISNUMBER(G732),AA732,0)</f>
        <v>0</v>
      </c>
      <c r="BC732" s="90" t="n">
        <f aca="false">IF(AND(Y732=0,ISNUMBER(AF732)),AA732*AF732,0)</f>
        <v>0</v>
      </c>
      <c r="BD732" s="90" t="n">
        <f aca="false">IF(AND(Y732=0,ISNUMBER(AF732)),AA732,0)</f>
        <v>0</v>
      </c>
      <c r="BE732" s="90" t="n">
        <f aca="false">IF(ISNUMBER(H732),AA732*H732,0)</f>
        <v>0</v>
      </c>
      <c r="BF732" s="90" t="n">
        <f aca="false">IF(ISNUMBER(H732),AA732,0)</f>
        <v>0</v>
      </c>
      <c r="BG732" s="90" t="n">
        <f aca="false">IF(AND(Y732=0,ISNUMBER(AF732),ISNUMBER(Z732)),AA732*Z732,0)</f>
        <v>0</v>
      </c>
      <c r="BH732" s="90" t="n">
        <f aca="false">IF(AND(Y732=0,ISNUMBER(AF732),ISNUMBER(Z732)),AA732*AT732*MAX(Z732-1,0),0)</f>
        <v>0</v>
      </c>
      <c r="BI732" s="90" t="n">
        <f aca="false">IF(Y732=0,AA732,0)</f>
        <v>0</v>
      </c>
    </row>
    <row r="733" customFormat="false" ht="15" hidden="false" customHeight="false" outlineLevel="0" collapsed="false">
      <c r="A733" s="83" t="str">
        <f aca="false">IFERROR(IF(INDEX(원자료_잔고!$A$1:$EZ$1500,설정!$L$5+ROW()-1,설정!$L$8)&amp;""="0","",INDEX(원자료_잔고!$A$1:$EZ$1500,설정!$L$5+ROW()-1,설정!$L$8)&amp;""),"")</f>
        <v/>
      </c>
      <c r="B733" s="83" t="str">
        <f aca="false">IFERROR(IF(INDEX(원자료_잔고!$A$1:$EZ$1500,설정!$L$5+ROW()-1,설정!$L$7)&amp;""="0","",INDEX(원자료_잔고!$A$1:$EZ$1500,설정!$L$5+ROW()-1,설정!$L$7)&amp;""),"")</f>
        <v/>
      </c>
      <c r="C733" s="83" t="str">
        <f aca="false">IFERROR(IF(INDEX(원자료_잔고!$A$1:$EZ$1500,설정!$L$5+ROW()-1,설정!$L$9)&amp;""="0","",INDEX(원자료_잔고!$A$1:$EZ$1500,설정!$L$5+ROW()-1,설정!$L$9)&amp;""),"")</f>
        <v/>
      </c>
      <c r="D733" s="83" t="str">
        <f aca="false">IFERROR(IF(INDEX(원자료_잔고!$A$1:$EZ$1500,설정!$L$5+ROW()-1,설정!$L$10)&amp;""="0","",INDEX(원자료_잔고!$A$1:$EZ$1500,설정!$L$5+ROW()-1,설정!$L$10)&amp;""),"")</f>
        <v/>
      </c>
      <c r="E733" s="84" t="str">
        <f aca="false">IFERROR(IF(ISNUMBER(INDEX(원자료_잔고!$A$1:$EZ$1500,설정!$L$5+ROW()-1,설정!$L$11)),INDEX(원자료_잔고!$A$1:$EZ$1500,설정!$L$5+ROW()-1,설정!$L$11),""),"")</f>
        <v/>
      </c>
      <c r="F733" s="85" t="str">
        <f aca="false">IFERROR(IF(ISNUMBER(INDEX(원자료_잔고!$A$1:$EZ$1500,설정!$L$5+ROW()-1,설정!$L$12)),INDEX(원자료_잔고!$A$1:$EZ$1500,설정!$L$5+ROW()-1,설정!$L$12),""),"")</f>
        <v/>
      </c>
      <c r="G733" s="85" t="str">
        <f aca="false">IFERROR(IF(ISNUMBER(INDEX(원자료_잔고!$A$1:$EZ$1500,설정!$L$5+ROW()-1,설정!$L$13)),INDEX(원자료_잔고!$A$1:$EZ$1500,설정!$L$5+ROW()-1,설정!$L$13),""),"")</f>
        <v/>
      </c>
      <c r="H733" s="85" t="str">
        <f aca="false">IFERROR(IF(ISNUMBER(INDEX(원자료_잔고!$A$1:$EZ$1500,설정!$L$5+ROW()-1,설정!$L$14)),INDEX(원자료_잔고!$A$1:$EZ$1500,설정!$L$5+ROW()-1,설정!$L$14),""),"")</f>
        <v/>
      </c>
      <c r="I733" s="86" t="str">
        <f aca="false">IFERROR(IF(ISNUMBER(INDEX(원자료_잔고!$A$1:$EZ$1500,설정!$L$5+ROW()-1,설정!$L$15)),INDEX(원자료_잔고!$A$1:$EZ$1500,설정!$L$5+ROW()-1,설정!$L$15),""),"")</f>
        <v/>
      </c>
      <c r="J733" s="85" t="str">
        <f aca="false">IFERROR(IF(ISNUMBER(INDEX(원자료_잔고!$A$1:$EZ$1500,설정!$L$5+ROW()-1,설정!$L$16)),INDEX(원자료_잔고!$A$1:$EZ$1500,설정!$L$5+ROW()-1,설정!$L$16),""),"")</f>
        <v/>
      </c>
      <c r="K733" s="87" t="str">
        <f aca="false">IFERROR(IF(ISNUMBER(INDEX(원자료_잔고!$A$1:$EZ$1500,설정!$L$5+ROW()-1,설정!$L$17)),INDEX(원자료_잔고!$A$1:$EZ$1500,설정!$L$5+ROW()-1,설정!$L$17),""),"")</f>
        <v/>
      </c>
      <c r="L733" s="84" t="str">
        <f aca="false">IFERROR(IF(ISNUMBER(INDEX(원자료_잔고!$A$1:$EZ$1500,설정!$L$5+ROW()-1,설정!$L$18)),INDEX(원자료_잔고!$A$1:$EZ$1500,설정!$L$5+ROW()-1,설정!$L$18),""),"")</f>
        <v/>
      </c>
      <c r="M733" s="88" t="str">
        <f aca="false">IFERROR(IF(ISNUMBER(INDEX(원자료_잔고!$A$1:$EZ$1500,설정!$L$5+ROW()-1,설정!$L$19)),INDEX(원자료_잔고!$A$1:$EZ$1500,설정!$L$5+ROW()-1,설정!$L$19),""),"")</f>
        <v/>
      </c>
      <c r="N733" s="83" t="str">
        <f aca="false">IFERROR(IF(INDEX(원자료_잔고!$A$1:$EZ$1500,설정!$L$5+ROW()-1,설정!$L$21)&amp;""="0","",INDEX(원자료_잔고!$A$1:$EZ$1500,설정!$L$5+ROW()-1,설정!$L$21)&amp;""),"")</f>
        <v/>
      </c>
      <c r="O733" s="83" t="str">
        <f aca="false">IFERROR(IF(INDEX(원자료_잔고!$A$1:$EZ$1500,설정!$L$5+ROW()-1,설정!$L$22)&amp;""="0","",INDEX(원자료_잔고!$A$1:$EZ$1500,설정!$L$5+ROW()-1,설정!$L$22)&amp;""),"")</f>
        <v/>
      </c>
      <c r="P733" s="83" t="str">
        <f aca="false">IFERROR(IF(INDEX(원자료_잔고!$A$1:$EZ$1500,설정!$L$5+ROW()-1,설정!$L$23)&amp;""="0","",INDEX(원자료_잔고!$A$1:$EZ$1500,설정!$L$5+ROW()-1,설정!$L$23)&amp;""),"")</f>
        <v/>
      </c>
      <c r="Q733" s="89" t="n">
        <f aca="false">IF(AND($A733&lt;&gt;"",ISNUMBER(E733)),IF(E733&gt;0,1,0),0)</f>
        <v>0</v>
      </c>
      <c r="R733" s="43" t="str">
        <f aca="false">IF(Q733=1,UPPER(LEFT($A733,FIND(" ",$A733&amp;" ")-1)),"")</f>
        <v/>
      </c>
      <c r="S733" s="89" t="n">
        <f aca="false">IF(Q733=1,IF(OR(ISNUMBER(SEARCH("Float",$A733)),ISNUMBER(SEARCH("FRN",$A733))),1,0),0)</f>
        <v>0</v>
      </c>
      <c r="T733" s="43" t="str">
        <f aca="false">IF(AND(Q733=1,ISNUMBER(I733)),TEXT(I733,"yyyymmdd")&amp;"|"&amp;IF(S733=1,"F",TEXT(J733,"0.000")),"")</f>
        <v/>
      </c>
      <c r="U733" s="90" t="str">
        <f aca="false">IF(AND(Q733=1,ISNUMBER(I733)),(I733-설정!$C$4)/365.25,"")</f>
        <v/>
      </c>
      <c r="V733" s="43" t="str">
        <f aca="false">IF(Q733&lt;&gt;1,"",IF(ISNUMBER(U733),IF(U733&lt;=1,"1년 이하",IF(U733&lt;=2,"1-2년",IF(U733&lt;=3,"2-3년",IF(U733&lt;=4,"3-4년",IF(U733&lt;=5,"4-5년",IF(U733&lt;=7,"5-7년",IF(U733&lt;=10,"7-10년",IF(U733&lt;=20,"10-20년","20년 이상")))))))),"미분류"))</f>
        <v/>
      </c>
      <c r="W733" s="43" t="str">
        <f aca="false">IF(Q733&lt;&gt;1,"",IF(AB733&lt;&gt;"",INDEX(시장분석!$C:$C,AB733),IF(K733=1,"USD","비USD")))</f>
        <v/>
      </c>
      <c r="X733" s="91" t="n">
        <f aca="false">IF(Q733=1,E733*K733/1000000,0)</f>
        <v>0</v>
      </c>
      <c r="Y733" s="89" t="n">
        <f aca="false">IF(R733="T",1,0)</f>
        <v>0</v>
      </c>
      <c r="Z733" s="92" t="str">
        <f aca="false">IF(Q733&lt;&gt;1,"",IF(AD733=1,IF(ISNUMBER(U733),MAX(U733,0),H733),H733))</f>
        <v/>
      </c>
      <c r="AA733" s="91" t="n">
        <f aca="false">IF(Q733=1,IF(ISNUMBER(L733),L733,0)*K733/1000000,0)</f>
        <v>0</v>
      </c>
      <c r="AB733" s="89" t="str">
        <f aca="false">IF(Q733&lt;&gt;1,"",IFERROR(MATCH(VLOOKUP(B733,매핑!$H$4:$I$15,2,0),시장분석!$A$2:$A$601,0)+1,IFERROR(MATCH(R733&amp;"|"&amp;T733,시장분석!$V$2:$V$601,0)+1,IF(COUNTIF(시장분석!$U$2:$U$601,T733)=1,MATCH(T733,시장분석!$U$2:$U$601,0)+1,""))))</f>
        <v/>
      </c>
      <c r="AC733" s="89" t="n">
        <f aca="false">IF(Q733&lt;&gt;1,0,IF(OR(설정!$C$5="전체",AND(설정!$C$5="선택펀드",IFERROR(COUNTIFS(설정!$F$16:$F$36,C733,설정!$G$16:$G$36,"Y")+COUNTIFS(설정!$F$16:$F$36,VALUE(C733),설정!$G$16:$G$36,"Y"),0)&gt;0),C733&amp;""=설정!$C$5&amp;""),1,0))</f>
        <v>0</v>
      </c>
      <c r="AD733" s="89" t="n">
        <f aca="false">IF(Q733&lt;&gt;1,0,IF(OR(S733=1,IF(AB733="",FALSE(),INDEX(시장분석!$R:$R,AB733)=1)),1,0))</f>
        <v>0</v>
      </c>
      <c r="AE733" s="43" t="str">
        <f aca="false">IF(AB733="","",INDEX(시장분석!$A:$A,AB733))</f>
        <v/>
      </c>
      <c r="AF733" s="93" t="str">
        <f aca="false">IF(AB733="","",IF(ISNUMBER(IF(AB733="","",INDEX(시장분석!$E:$E,AB733))),IF(AB733="","",INDEX(시장분석!$E:$E,AB733)),""))</f>
        <v/>
      </c>
      <c r="AG733" s="43" t="str">
        <f aca="false">IF(Q733&lt;&gt;1,"",IF(AB733&lt;&gt;"",IF(AB733="","",INDEX(시장분석!$L:$L,AB733)),IFERROR(IF(VLOOKUP(R733,매핑!$A$4:$E$92,5,0)="","미분류",VLOOKUP(R733,매핑!$A$4:$E$92,5,0)),"미분류")))</f>
        <v/>
      </c>
      <c r="AH733" s="43" t="str">
        <f aca="false">IF(Q733&lt;&gt;1,"",IF(AB733&lt;&gt;"",IF(AB733="","",INDEX(시장분석!$N:$N,AB733)),IFERROR(IF(VLOOKUP(R733,매핑!$A$4:$E$92,4,0)="","미분류",VLOOKUP(R733,매핑!$A$4:$E$92,4,0)),"미분류")))</f>
        <v/>
      </c>
      <c r="AI733" s="43" t="str">
        <f aca="false">IF(Q733&lt;&gt;1,"",IFERROR(IF(VLOOKUP(R733,매핑!$A$4:$E$92,3,0)="","미분류",VLOOKUP(R733,매핑!$A$4:$E$92,3,0)),IF(AB733&lt;&gt;"",IF(AB733="","",INDEX(시장분석!$W:$W,AB733)),"미분류")))</f>
        <v/>
      </c>
      <c r="AJ733" s="43" t="str">
        <f aca="false">IF(Q733&lt;&gt;1,"",IFERROR(VLOOKUP(IF(N733&lt;&gt;"",N733,IF(P733&lt;&gt;"",P733,O733)),설정!$A$15:$D$47,2,0),""))</f>
        <v/>
      </c>
      <c r="AK733" s="43" t="str">
        <f aca="false">IF(Q733&lt;&gt;1,"",IF(AJ733="","무등급",IFERROR(VLOOKUP(AJ733,설정!$A$15:$D$47,3,0),"무등급")))</f>
        <v/>
      </c>
      <c r="AL733" s="89" t="n">
        <f aca="false">IF(AJ733="",99,IFERROR(VLOOKUP(AJ733,설정!$A$15:$D$47,4,0),99))</f>
        <v>99</v>
      </c>
      <c r="AM733" s="94" t="n">
        <f aca="false">IF(ISNUMBER(H733),AA733*1000000*H733/10000,0)</f>
        <v>0</v>
      </c>
      <c r="AN733" s="94" t="n">
        <f aca="false">IF(OR(Y733=1,NOT(ISNUMBER(Z733))),0,AA733*1000000*Z733/10000)</f>
        <v>0</v>
      </c>
      <c r="AO733" s="94" t="n">
        <f aca="false">IF(ISNUMBER(G733),AA733*1000000*G733/100,0)</f>
        <v>0</v>
      </c>
      <c r="AP733" s="94" t="n">
        <f aca="false">IF(ISNUMBER(M733),M733*K733,0)</f>
        <v>0</v>
      </c>
      <c r="AQ733" s="95" t="str">
        <f aca="false">IF(AB733="","",INDEX(시장분석!$AK:$AK,AB733))</f>
        <v/>
      </c>
      <c r="AR733" s="43" t="str">
        <f aca="false">IF(AB733="","-",IF(AB733="","",INDEX(시장분석!$AL:$AL,AB733)))</f>
        <v>-</v>
      </c>
      <c r="AS733" s="96" t="str">
        <f aca="false">IF(AB733="","",INDEX(시장분석!$AJ:$AJ,AB733))</f>
        <v/>
      </c>
      <c r="AT733" s="93" t="n">
        <f aca="false">IF(AB733="",0,IF(AB733="","",INDEX(시장분석!$AN:$AN,AB733)))</f>
        <v>0</v>
      </c>
      <c r="AU733" s="94" t="n">
        <f aca="false">IF(ISNUMBER(Z733),AT733/10000*MAX(Z733-1,0)*AA733*1000000,0)</f>
        <v>0</v>
      </c>
      <c r="AV733" s="94" t="n">
        <f aca="false">AO733+AU733</f>
        <v>0</v>
      </c>
      <c r="AW733" s="43" t="str">
        <f aca="false">IF(Q733&lt;&gt;1,"",TRIM(IF(AD733=1,"FRN ","")&amp;IF(AND(AL733&gt;=10,AL733&lt;99),"BBB0미만 ","")&amp;IF(AJ733="","등급없음 ","")&amp;IF(K733&lt;&gt;1,"비USD ","")&amp;IF(AND(AB733="",Y733=0),"시장데이터없음 ","")&amp;IF(AND(ISNUMBER(U733),U733&lt;0),"만기경과 ","")))</f>
        <v/>
      </c>
      <c r="AX733" s="90" t="n">
        <f aca="false">IF(Q733&lt;&gt;1,1,IF(스프레드쇼크!$C$4="Y",INDEX(스프레드쇼크!$B$12:$L$16,IFERROR(MATCH(AH733,스프레드쇼크!$A$12:$A$16,0),MATCH("목록외",스프레드쇼크!$A$12:$A$16,0)),IFERROR(MATCH(AG733,스프레드쇼크!$B$11:$L$11,0),MATCH("목록외",스프레드쇼크!$B$11:$L$11,0))),1))</f>
        <v>1</v>
      </c>
      <c r="AY733" s="90" t="n">
        <f aca="false">IF(스프레드쇼크!$C$5="Y",IF(ISNUMBER(AF733),MIN(스프레드쇼크!$C$7,MAX(스프레드쇼크!$C$6,AF733/스프레드쇼크!$C$8)),1),1)</f>
        <v>1</v>
      </c>
      <c r="AZ733" s="94" t="n">
        <f aca="false">AN733*AX733*AY733</f>
        <v>0</v>
      </c>
      <c r="BA733" s="90" t="n">
        <f aca="false">IF(ISNUMBER(G733),AA733*G733,0)</f>
        <v>0</v>
      </c>
      <c r="BB733" s="90" t="n">
        <f aca="false">IF(ISNUMBER(G733),AA733,0)</f>
        <v>0</v>
      </c>
      <c r="BC733" s="90" t="n">
        <f aca="false">IF(AND(Y733=0,ISNUMBER(AF733)),AA733*AF733,0)</f>
        <v>0</v>
      </c>
      <c r="BD733" s="90" t="n">
        <f aca="false">IF(AND(Y733=0,ISNUMBER(AF733)),AA733,0)</f>
        <v>0</v>
      </c>
      <c r="BE733" s="90" t="n">
        <f aca="false">IF(ISNUMBER(H733),AA733*H733,0)</f>
        <v>0</v>
      </c>
      <c r="BF733" s="90" t="n">
        <f aca="false">IF(ISNUMBER(H733),AA733,0)</f>
        <v>0</v>
      </c>
      <c r="BG733" s="90" t="n">
        <f aca="false">IF(AND(Y733=0,ISNUMBER(AF733),ISNUMBER(Z733)),AA733*Z733,0)</f>
        <v>0</v>
      </c>
      <c r="BH733" s="90" t="n">
        <f aca="false">IF(AND(Y733=0,ISNUMBER(AF733),ISNUMBER(Z733)),AA733*AT733*MAX(Z733-1,0),0)</f>
        <v>0</v>
      </c>
      <c r="BI733" s="90" t="n">
        <f aca="false">IF(Y733=0,AA733,0)</f>
        <v>0</v>
      </c>
    </row>
    <row r="734" customFormat="false" ht="15" hidden="false" customHeight="false" outlineLevel="0" collapsed="false">
      <c r="A734" s="83" t="str">
        <f aca="false">IFERROR(IF(INDEX(원자료_잔고!$A$1:$EZ$1500,설정!$L$5+ROW()-1,설정!$L$8)&amp;""="0","",INDEX(원자료_잔고!$A$1:$EZ$1500,설정!$L$5+ROW()-1,설정!$L$8)&amp;""),"")</f>
        <v/>
      </c>
      <c r="B734" s="83" t="str">
        <f aca="false">IFERROR(IF(INDEX(원자료_잔고!$A$1:$EZ$1500,설정!$L$5+ROW()-1,설정!$L$7)&amp;""="0","",INDEX(원자료_잔고!$A$1:$EZ$1500,설정!$L$5+ROW()-1,설정!$L$7)&amp;""),"")</f>
        <v/>
      </c>
      <c r="C734" s="83" t="str">
        <f aca="false">IFERROR(IF(INDEX(원자료_잔고!$A$1:$EZ$1500,설정!$L$5+ROW()-1,설정!$L$9)&amp;""="0","",INDEX(원자료_잔고!$A$1:$EZ$1500,설정!$L$5+ROW()-1,설정!$L$9)&amp;""),"")</f>
        <v/>
      </c>
      <c r="D734" s="83" t="str">
        <f aca="false">IFERROR(IF(INDEX(원자료_잔고!$A$1:$EZ$1500,설정!$L$5+ROW()-1,설정!$L$10)&amp;""="0","",INDEX(원자료_잔고!$A$1:$EZ$1500,설정!$L$5+ROW()-1,설정!$L$10)&amp;""),"")</f>
        <v/>
      </c>
      <c r="E734" s="84" t="str">
        <f aca="false">IFERROR(IF(ISNUMBER(INDEX(원자료_잔고!$A$1:$EZ$1500,설정!$L$5+ROW()-1,설정!$L$11)),INDEX(원자료_잔고!$A$1:$EZ$1500,설정!$L$5+ROW()-1,설정!$L$11),""),"")</f>
        <v/>
      </c>
      <c r="F734" s="85" t="str">
        <f aca="false">IFERROR(IF(ISNUMBER(INDEX(원자료_잔고!$A$1:$EZ$1500,설정!$L$5+ROW()-1,설정!$L$12)),INDEX(원자료_잔고!$A$1:$EZ$1500,설정!$L$5+ROW()-1,설정!$L$12),""),"")</f>
        <v/>
      </c>
      <c r="G734" s="85" t="str">
        <f aca="false">IFERROR(IF(ISNUMBER(INDEX(원자료_잔고!$A$1:$EZ$1500,설정!$L$5+ROW()-1,설정!$L$13)),INDEX(원자료_잔고!$A$1:$EZ$1500,설정!$L$5+ROW()-1,설정!$L$13),""),"")</f>
        <v/>
      </c>
      <c r="H734" s="85" t="str">
        <f aca="false">IFERROR(IF(ISNUMBER(INDEX(원자료_잔고!$A$1:$EZ$1500,설정!$L$5+ROW()-1,설정!$L$14)),INDEX(원자료_잔고!$A$1:$EZ$1500,설정!$L$5+ROW()-1,설정!$L$14),""),"")</f>
        <v/>
      </c>
      <c r="I734" s="86" t="str">
        <f aca="false">IFERROR(IF(ISNUMBER(INDEX(원자료_잔고!$A$1:$EZ$1500,설정!$L$5+ROW()-1,설정!$L$15)),INDEX(원자료_잔고!$A$1:$EZ$1500,설정!$L$5+ROW()-1,설정!$L$15),""),"")</f>
        <v/>
      </c>
      <c r="J734" s="85" t="str">
        <f aca="false">IFERROR(IF(ISNUMBER(INDEX(원자료_잔고!$A$1:$EZ$1500,설정!$L$5+ROW()-1,설정!$L$16)),INDEX(원자료_잔고!$A$1:$EZ$1500,설정!$L$5+ROW()-1,설정!$L$16),""),"")</f>
        <v/>
      </c>
      <c r="K734" s="87" t="str">
        <f aca="false">IFERROR(IF(ISNUMBER(INDEX(원자료_잔고!$A$1:$EZ$1500,설정!$L$5+ROW()-1,설정!$L$17)),INDEX(원자료_잔고!$A$1:$EZ$1500,설정!$L$5+ROW()-1,설정!$L$17),""),"")</f>
        <v/>
      </c>
      <c r="L734" s="84" t="str">
        <f aca="false">IFERROR(IF(ISNUMBER(INDEX(원자료_잔고!$A$1:$EZ$1500,설정!$L$5+ROW()-1,설정!$L$18)),INDEX(원자료_잔고!$A$1:$EZ$1500,설정!$L$5+ROW()-1,설정!$L$18),""),"")</f>
        <v/>
      </c>
      <c r="M734" s="88" t="str">
        <f aca="false">IFERROR(IF(ISNUMBER(INDEX(원자료_잔고!$A$1:$EZ$1500,설정!$L$5+ROW()-1,설정!$L$19)),INDEX(원자료_잔고!$A$1:$EZ$1500,설정!$L$5+ROW()-1,설정!$L$19),""),"")</f>
        <v/>
      </c>
      <c r="N734" s="83" t="str">
        <f aca="false">IFERROR(IF(INDEX(원자료_잔고!$A$1:$EZ$1500,설정!$L$5+ROW()-1,설정!$L$21)&amp;""="0","",INDEX(원자료_잔고!$A$1:$EZ$1500,설정!$L$5+ROW()-1,설정!$L$21)&amp;""),"")</f>
        <v/>
      </c>
      <c r="O734" s="83" t="str">
        <f aca="false">IFERROR(IF(INDEX(원자료_잔고!$A$1:$EZ$1500,설정!$L$5+ROW()-1,설정!$L$22)&amp;""="0","",INDEX(원자료_잔고!$A$1:$EZ$1500,설정!$L$5+ROW()-1,설정!$L$22)&amp;""),"")</f>
        <v/>
      </c>
      <c r="P734" s="83" t="str">
        <f aca="false">IFERROR(IF(INDEX(원자료_잔고!$A$1:$EZ$1500,설정!$L$5+ROW()-1,설정!$L$23)&amp;""="0","",INDEX(원자료_잔고!$A$1:$EZ$1500,설정!$L$5+ROW()-1,설정!$L$23)&amp;""),"")</f>
        <v/>
      </c>
      <c r="Q734" s="89" t="n">
        <f aca="false">IF(AND($A734&lt;&gt;"",ISNUMBER(E734)),IF(E734&gt;0,1,0),0)</f>
        <v>0</v>
      </c>
      <c r="R734" s="43" t="str">
        <f aca="false">IF(Q734=1,UPPER(LEFT($A734,FIND(" ",$A734&amp;" ")-1)),"")</f>
        <v/>
      </c>
      <c r="S734" s="89" t="n">
        <f aca="false">IF(Q734=1,IF(OR(ISNUMBER(SEARCH("Float",$A734)),ISNUMBER(SEARCH("FRN",$A734))),1,0),0)</f>
        <v>0</v>
      </c>
      <c r="T734" s="43" t="str">
        <f aca="false">IF(AND(Q734=1,ISNUMBER(I734)),TEXT(I734,"yyyymmdd")&amp;"|"&amp;IF(S734=1,"F",TEXT(J734,"0.000")),"")</f>
        <v/>
      </c>
      <c r="U734" s="90" t="str">
        <f aca="false">IF(AND(Q734=1,ISNUMBER(I734)),(I734-설정!$C$4)/365.25,"")</f>
        <v/>
      </c>
      <c r="V734" s="43" t="str">
        <f aca="false">IF(Q734&lt;&gt;1,"",IF(ISNUMBER(U734),IF(U734&lt;=1,"1년 이하",IF(U734&lt;=2,"1-2년",IF(U734&lt;=3,"2-3년",IF(U734&lt;=4,"3-4년",IF(U734&lt;=5,"4-5년",IF(U734&lt;=7,"5-7년",IF(U734&lt;=10,"7-10년",IF(U734&lt;=20,"10-20년","20년 이상")))))))),"미분류"))</f>
        <v/>
      </c>
      <c r="W734" s="43" t="str">
        <f aca="false">IF(Q734&lt;&gt;1,"",IF(AB734&lt;&gt;"",INDEX(시장분석!$C:$C,AB734),IF(K734=1,"USD","비USD")))</f>
        <v/>
      </c>
      <c r="X734" s="91" t="n">
        <f aca="false">IF(Q734=1,E734*K734/1000000,0)</f>
        <v>0</v>
      </c>
      <c r="Y734" s="89" t="n">
        <f aca="false">IF(R734="T",1,0)</f>
        <v>0</v>
      </c>
      <c r="Z734" s="92" t="str">
        <f aca="false">IF(Q734&lt;&gt;1,"",IF(AD734=1,IF(ISNUMBER(U734),MAX(U734,0),H734),H734))</f>
        <v/>
      </c>
      <c r="AA734" s="91" t="n">
        <f aca="false">IF(Q734=1,IF(ISNUMBER(L734),L734,0)*K734/1000000,0)</f>
        <v>0</v>
      </c>
      <c r="AB734" s="89" t="str">
        <f aca="false">IF(Q734&lt;&gt;1,"",IFERROR(MATCH(VLOOKUP(B734,매핑!$H$4:$I$15,2,0),시장분석!$A$2:$A$601,0)+1,IFERROR(MATCH(R734&amp;"|"&amp;T734,시장분석!$V$2:$V$601,0)+1,IF(COUNTIF(시장분석!$U$2:$U$601,T734)=1,MATCH(T734,시장분석!$U$2:$U$601,0)+1,""))))</f>
        <v/>
      </c>
      <c r="AC734" s="89" t="n">
        <f aca="false">IF(Q734&lt;&gt;1,0,IF(OR(설정!$C$5="전체",AND(설정!$C$5="선택펀드",IFERROR(COUNTIFS(설정!$F$16:$F$36,C734,설정!$G$16:$G$36,"Y")+COUNTIFS(설정!$F$16:$F$36,VALUE(C734),설정!$G$16:$G$36,"Y"),0)&gt;0),C734&amp;""=설정!$C$5&amp;""),1,0))</f>
        <v>0</v>
      </c>
      <c r="AD734" s="89" t="n">
        <f aca="false">IF(Q734&lt;&gt;1,0,IF(OR(S734=1,IF(AB734="",FALSE(),INDEX(시장분석!$R:$R,AB734)=1)),1,0))</f>
        <v>0</v>
      </c>
      <c r="AE734" s="43" t="str">
        <f aca="false">IF(AB734="","",INDEX(시장분석!$A:$A,AB734))</f>
        <v/>
      </c>
      <c r="AF734" s="93" t="str">
        <f aca="false">IF(AB734="","",IF(ISNUMBER(IF(AB734="","",INDEX(시장분석!$E:$E,AB734))),IF(AB734="","",INDEX(시장분석!$E:$E,AB734)),""))</f>
        <v/>
      </c>
      <c r="AG734" s="43" t="str">
        <f aca="false">IF(Q734&lt;&gt;1,"",IF(AB734&lt;&gt;"",IF(AB734="","",INDEX(시장분석!$L:$L,AB734)),IFERROR(IF(VLOOKUP(R734,매핑!$A$4:$E$92,5,0)="","미분류",VLOOKUP(R734,매핑!$A$4:$E$92,5,0)),"미분류")))</f>
        <v/>
      </c>
      <c r="AH734" s="43" t="str">
        <f aca="false">IF(Q734&lt;&gt;1,"",IF(AB734&lt;&gt;"",IF(AB734="","",INDEX(시장분석!$N:$N,AB734)),IFERROR(IF(VLOOKUP(R734,매핑!$A$4:$E$92,4,0)="","미분류",VLOOKUP(R734,매핑!$A$4:$E$92,4,0)),"미분류")))</f>
        <v/>
      </c>
      <c r="AI734" s="43" t="str">
        <f aca="false">IF(Q734&lt;&gt;1,"",IFERROR(IF(VLOOKUP(R734,매핑!$A$4:$E$92,3,0)="","미분류",VLOOKUP(R734,매핑!$A$4:$E$92,3,0)),IF(AB734&lt;&gt;"",IF(AB734="","",INDEX(시장분석!$W:$W,AB734)),"미분류")))</f>
        <v/>
      </c>
      <c r="AJ734" s="43" t="str">
        <f aca="false">IF(Q734&lt;&gt;1,"",IFERROR(VLOOKUP(IF(N734&lt;&gt;"",N734,IF(P734&lt;&gt;"",P734,O734)),설정!$A$15:$D$47,2,0),""))</f>
        <v/>
      </c>
      <c r="AK734" s="43" t="str">
        <f aca="false">IF(Q734&lt;&gt;1,"",IF(AJ734="","무등급",IFERROR(VLOOKUP(AJ734,설정!$A$15:$D$47,3,0),"무등급")))</f>
        <v/>
      </c>
      <c r="AL734" s="89" t="n">
        <f aca="false">IF(AJ734="",99,IFERROR(VLOOKUP(AJ734,설정!$A$15:$D$47,4,0),99))</f>
        <v>99</v>
      </c>
      <c r="AM734" s="94" t="n">
        <f aca="false">IF(ISNUMBER(H734),AA734*1000000*H734/10000,0)</f>
        <v>0</v>
      </c>
      <c r="AN734" s="94" t="n">
        <f aca="false">IF(OR(Y734=1,NOT(ISNUMBER(Z734))),0,AA734*1000000*Z734/10000)</f>
        <v>0</v>
      </c>
      <c r="AO734" s="94" t="n">
        <f aca="false">IF(ISNUMBER(G734),AA734*1000000*G734/100,0)</f>
        <v>0</v>
      </c>
      <c r="AP734" s="94" t="n">
        <f aca="false">IF(ISNUMBER(M734),M734*K734,0)</f>
        <v>0</v>
      </c>
      <c r="AQ734" s="95" t="str">
        <f aca="false">IF(AB734="","",INDEX(시장분석!$AK:$AK,AB734))</f>
        <v/>
      </c>
      <c r="AR734" s="43" t="str">
        <f aca="false">IF(AB734="","-",IF(AB734="","",INDEX(시장분석!$AL:$AL,AB734)))</f>
        <v>-</v>
      </c>
      <c r="AS734" s="96" t="str">
        <f aca="false">IF(AB734="","",INDEX(시장분석!$AJ:$AJ,AB734))</f>
        <v/>
      </c>
      <c r="AT734" s="93" t="n">
        <f aca="false">IF(AB734="",0,IF(AB734="","",INDEX(시장분석!$AN:$AN,AB734)))</f>
        <v>0</v>
      </c>
      <c r="AU734" s="94" t="n">
        <f aca="false">IF(ISNUMBER(Z734),AT734/10000*MAX(Z734-1,0)*AA734*1000000,0)</f>
        <v>0</v>
      </c>
      <c r="AV734" s="94" t="n">
        <f aca="false">AO734+AU734</f>
        <v>0</v>
      </c>
      <c r="AW734" s="43" t="str">
        <f aca="false">IF(Q734&lt;&gt;1,"",TRIM(IF(AD734=1,"FRN ","")&amp;IF(AND(AL734&gt;=10,AL734&lt;99),"BBB0미만 ","")&amp;IF(AJ734="","등급없음 ","")&amp;IF(K734&lt;&gt;1,"비USD ","")&amp;IF(AND(AB734="",Y734=0),"시장데이터없음 ","")&amp;IF(AND(ISNUMBER(U734),U734&lt;0),"만기경과 ","")))</f>
        <v/>
      </c>
      <c r="AX734" s="90" t="n">
        <f aca="false">IF(Q734&lt;&gt;1,1,IF(스프레드쇼크!$C$4="Y",INDEX(스프레드쇼크!$B$12:$L$16,IFERROR(MATCH(AH734,스프레드쇼크!$A$12:$A$16,0),MATCH("목록외",스프레드쇼크!$A$12:$A$16,0)),IFERROR(MATCH(AG734,스프레드쇼크!$B$11:$L$11,0),MATCH("목록외",스프레드쇼크!$B$11:$L$11,0))),1))</f>
        <v>1</v>
      </c>
      <c r="AY734" s="90" t="n">
        <f aca="false">IF(스프레드쇼크!$C$5="Y",IF(ISNUMBER(AF734),MIN(스프레드쇼크!$C$7,MAX(스프레드쇼크!$C$6,AF734/스프레드쇼크!$C$8)),1),1)</f>
        <v>1</v>
      </c>
      <c r="AZ734" s="94" t="n">
        <f aca="false">AN734*AX734*AY734</f>
        <v>0</v>
      </c>
      <c r="BA734" s="90" t="n">
        <f aca="false">IF(ISNUMBER(G734),AA734*G734,0)</f>
        <v>0</v>
      </c>
      <c r="BB734" s="90" t="n">
        <f aca="false">IF(ISNUMBER(G734),AA734,0)</f>
        <v>0</v>
      </c>
      <c r="BC734" s="90" t="n">
        <f aca="false">IF(AND(Y734=0,ISNUMBER(AF734)),AA734*AF734,0)</f>
        <v>0</v>
      </c>
      <c r="BD734" s="90" t="n">
        <f aca="false">IF(AND(Y734=0,ISNUMBER(AF734)),AA734,0)</f>
        <v>0</v>
      </c>
      <c r="BE734" s="90" t="n">
        <f aca="false">IF(ISNUMBER(H734),AA734*H734,0)</f>
        <v>0</v>
      </c>
      <c r="BF734" s="90" t="n">
        <f aca="false">IF(ISNUMBER(H734),AA734,0)</f>
        <v>0</v>
      </c>
      <c r="BG734" s="90" t="n">
        <f aca="false">IF(AND(Y734=0,ISNUMBER(AF734),ISNUMBER(Z734)),AA734*Z734,0)</f>
        <v>0</v>
      </c>
      <c r="BH734" s="90" t="n">
        <f aca="false">IF(AND(Y734=0,ISNUMBER(AF734),ISNUMBER(Z734)),AA734*AT734*MAX(Z734-1,0),0)</f>
        <v>0</v>
      </c>
      <c r="BI734" s="90" t="n">
        <f aca="false">IF(Y734=0,AA734,0)</f>
        <v>0</v>
      </c>
    </row>
    <row r="735" customFormat="false" ht="15" hidden="false" customHeight="false" outlineLevel="0" collapsed="false">
      <c r="A735" s="83" t="str">
        <f aca="false">IFERROR(IF(INDEX(원자료_잔고!$A$1:$EZ$1500,설정!$L$5+ROW()-1,설정!$L$8)&amp;""="0","",INDEX(원자료_잔고!$A$1:$EZ$1500,설정!$L$5+ROW()-1,설정!$L$8)&amp;""),"")</f>
        <v/>
      </c>
      <c r="B735" s="83" t="str">
        <f aca="false">IFERROR(IF(INDEX(원자료_잔고!$A$1:$EZ$1500,설정!$L$5+ROW()-1,설정!$L$7)&amp;""="0","",INDEX(원자료_잔고!$A$1:$EZ$1500,설정!$L$5+ROW()-1,설정!$L$7)&amp;""),"")</f>
        <v/>
      </c>
      <c r="C735" s="83" t="str">
        <f aca="false">IFERROR(IF(INDEX(원자료_잔고!$A$1:$EZ$1500,설정!$L$5+ROW()-1,설정!$L$9)&amp;""="0","",INDEX(원자료_잔고!$A$1:$EZ$1500,설정!$L$5+ROW()-1,설정!$L$9)&amp;""),"")</f>
        <v/>
      </c>
      <c r="D735" s="83" t="str">
        <f aca="false">IFERROR(IF(INDEX(원자료_잔고!$A$1:$EZ$1500,설정!$L$5+ROW()-1,설정!$L$10)&amp;""="0","",INDEX(원자료_잔고!$A$1:$EZ$1500,설정!$L$5+ROW()-1,설정!$L$10)&amp;""),"")</f>
        <v/>
      </c>
      <c r="E735" s="84" t="str">
        <f aca="false">IFERROR(IF(ISNUMBER(INDEX(원자료_잔고!$A$1:$EZ$1500,설정!$L$5+ROW()-1,설정!$L$11)),INDEX(원자료_잔고!$A$1:$EZ$1500,설정!$L$5+ROW()-1,설정!$L$11),""),"")</f>
        <v/>
      </c>
      <c r="F735" s="85" t="str">
        <f aca="false">IFERROR(IF(ISNUMBER(INDEX(원자료_잔고!$A$1:$EZ$1500,설정!$L$5+ROW()-1,설정!$L$12)),INDEX(원자료_잔고!$A$1:$EZ$1500,설정!$L$5+ROW()-1,설정!$L$12),""),"")</f>
        <v/>
      </c>
      <c r="G735" s="85" t="str">
        <f aca="false">IFERROR(IF(ISNUMBER(INDEX(원자료_잔고!$A$1:$EZ$1500,설정!$L$5+ROW()-1,설정!$L$13)),INDEX(원자료_잔고!$A$1:$EZ$1500,설정!$L$5+ROW()-1,설정!$L$13),""),"")</f>
        <v/>
      </c>
      <c r="H735" s="85" t="str">
        <f aca="false">IFERROR(IF(ISNUMBER(INDEX(원자료_잔고!$A$1:$EZ$1500,설정!$L$5+ROW()-1,설정!$L$14)),INDEX(원자료_잔고!$A$1:$EZ$1500,설정!$L$5+ROW()-1,설정!$L$14),""),"")</f>
        <v/>
      </c>
      <c r="I735" s="86" t="str">
        <f aca="false">IFERROR(IF(ISNUMBER(INDEX(원자료_잔고!$A$1:$EZ$1500,설정!$L$5+ROW()-1,설정!$L$15)),INDEX(원자료_잔고!$A$1:$EZ$1500,설정!$L$5+ROW()-1,설정!$L$15),""),"")</f>
        <v/>
      </c>
      <c r="J735" s="85" t="str">
        <f aca="false">IFERROR(IF(ISNUMBER(INDEX(원자료_잔고!$A$1:$EZ$1500,설정!$L$5+ROW()-1,설정!$L$16)),INDEX(원자료_잔고!$A$1:$EZ$1500,설정!$L$5+ROW()-1,설정!$L$16),""),"")</f>
        <v/>
      </c>
      <c r="K735" s="87" t="str">
        <f aca="false">IFERROR(IF(ISNUMBER(INDEX(원자료_잔고!$A$1:$EZ$1500,설정!$L$5+ROW()-1,설정!$L$17)),INDEX(원자료_잔고!$A$1:$EZ$1500,설정!$L$5+ROW()-1,설정!$L$17),""),"")</f>
        <v/>
      </c>
      <c r="L735" s="84" t="str">
        <f aca="false">IFERROR(IF(ISNUMBER(INDEX(원자료_잔고!$A$1:$EZ$1500,설정!$L$5+ROW()-1,설정!$L$18)),INDEX(원자료_잔고!$A$1:$EZ$1500,설정!$L$5+ROW()-1,설정!$L$18),""),"")</f>
        <v/>
      </c>
      <c r="M735" s="88" t="str">
        <f aca="false">IFERROR(IF(ISNUMBER(INDEX(원자료_잔고!$A$1:$EZ$1500,설정!$L$5+ROW()-1,설정!$L$19)),INDEX(원자료_잔고!$A$1:$EZ$1500,설정!$L$5+ROW()-1,설정!$L$19),""),"")</f>
        <v/>
      </c>
      <c r="N735" s="83" t="str">
        <f aca="false">IFERROR(IF(INDEX(원자료_잔고!$A$1:$EZ$1500,설정!$L$5+ROW()-1,설정!$L$21)&amp;""="0","",INDEX(원자료_잔고!$A$1:$EZ$1500,설정!$L$5+ROW()-1,설정!$L$21)&amp;""),"")</f>
        <v/>
      </c>
      <c r="O735" s="83" t="str">
        <f aca="false">IFERROR(IF(INDEX(원자료_잔고!$A$1:$EZ$1500,설정!$L$5+ROW()-1,설정!$L$22)&amp;""="0","",INDEX(원자료_잔고!$A$1:$EZ$1500,설정!$L$5+ROW()-1,설정!$L$22)&amp;""),"")</f>
        <v/>
      </c>
      <c r="P735" s="83" t="str">
        <f aca="false">IFERROR(IF(INDEX(원자료_잔고!$A$1:$EZ$1500,설정!$L$5+ROW()-1,설정!$L$23)&amp;""="0","",INDEX(원자료_잔고!$A$1:$EZ$1500,설정!$L$5+ROW()-1,설정!$L$23)&amp;""),"")</f>
        <v/>
      </c>
      <c r="Q735" s="89" t="n">
        <f aca="false">IF(AND($A735&lt;&gt;"",ISNUMBER(E735)),IF(E735&gt;0,1,0),0)</f>
        <v>0</v>
      </c>
      <c r="R735" s="43" t="str">
        <f aca="false">IF(Q735=1,UPPER(LEFT($A735,FIND(" ",$A735&amp;" ")-1)),"")</f>
        <v/>
      </c>
      <c r="S735" s="89" t="n">
        <f aca="false">IF(Q735=1,IF(OR(ISNUMBER(SEARCH("Float",$A735)),ISNUMBER(SEARCH("FRN",$A735))),1,0),0)</f>
        <v>0</v>
      </c>
      <c r="T735" s="43" t="str">
        <f aca="false">IF(AND(Q735=1,ISNUMBER(I735)),TEXT(I735,"yyyymmdd")&amp;"|"&amp;IF(S735=1,"F",TEXT(J735,"0.000")),"")</f>
        <v/>
      </c>
      <c r="U735" s="90" t="str">
        <f aca="false">IF(AND(Q735=1,ISNUMBER(I735)),(I735-설정!$C$4)/365.25,"")</f>
        <v/>
      </c>
      <c r="V735" s="43" t="str">
        <f aca="false">IF(Q735&lt;&gt;1,"",IF(ISNUMBER(U735),IF(U735&lt;=1,"1년 이하",IF(U735&lt;=2,"1-2년",IF(U735&lt;=3,"2-3년",IF(U735&lt;=4,"3-4년",IF(U735&lt;=5,"4-5년",IF(U735&lt;=7,"5-7년",IF(U735&lt;=10,"7-10년",IF(U735&lt;=20,"10-20년","20년 이상")))))))),"미분류"))</f>
        <v/>
      </c>
      <c r="W735" s="43" t="str">
        <f aca="false">IF(Q735&lt;&gt;1,"",IF(AB735&lt;&gt;"",INDEX(시장분석!$C:$C,AB735),IF(K735=1,"USD","비USD")))</f>
        <v/>
      </c>
      <c r="X735" s="91" t="n">
        <f aca="false">IF(Q735=1,E735*K735/1000000,0)</f>
        <v>0</v>
      </c>
      <c r="Y735" s="89" t="n">
        <f aca="false">IF(R735="T",1,0)</f>
        <v>0</v>
      </c>
      <c r="Z735" s="92" t="str">
        <f aca="false">IF(Q735&lt;&gt;1,"",IF(AD735=1,IF(ISNUMBER(U735),MAX(U735,0),H735),H735))</f>
        <v/>
      </c>
      <c r="AA735" s="91" t="n">
        <f aca="false">IF(Q735=1,IF(ISNUMBER(L735),L735,0)*K735/1000000,0)</f>
        <v>0</v>
      </c>
      <c r="AB735" s="89" t="str">
        <f aca="false">IF(Q735&lt;&gt;1,"",IFERROR(MATCH(VLOOKUP(B735,매핑!$H$4:$I$15,2,0),시장분석!$A$2:$A$601,0)+1,IFERROR(MATCH(R735&amp;"|"&amp;T735,시장분석!$V$2:$V$601,0)+1,IF(COUNTIF(시장분석!$U$2:$U$601,T735)=1,MATCH(T735,시장분석!$U$2:$U$601,0)+1,""))))</f>
        <v/>
      </c>
      <c r="AC735" s="89" t="n">
        <f aca="false">IF(Q735&lt;&gt;1,0,IF(OR(설정!$C$5="전체",AND(설정!$C$5="선택펀드",IFERROR(COUNTIFS(설정!$F$16:$F$36,C735,설정!$G$16:$G$36,"Y")+COUNTIFS(설정!$F$16:$F$36,VALUE(C735),설정!$G$16:$G$36,"Y"),0)&gt;0),C735&amp;""=설정!$C$5&amp;""),1,0))</f>
        <v>0</v>
      </c>
      <c r="AD735" s="89" t="n">
        <f aca="false">IF(Q735&lt;&gt;1,0,IF(OR(S735=1,IF(AB735="",FALSE(),INDEX(시장분석!$R:$R,AB735)=1)),1,0))</f>
        <v>0</v>
      </c>
      <c r="AE735" s="43" t="str">
        <f aca="false">IF(AB735="","",INDEX(시장분석!$A:$A,AB735))</f>
        <v/>
      </c>
      <c r="AF735" s="93" t="str">
        <f aca="false">IF(AB735="","",IF(ISNUMBER(IF(AB735="","",INDEX(시장분석!$E:$E,AB735))),IF(AB735="","",INDEX(시장분석!$E:$E,AB735)),""))</f>
        <v/>
      </c>
      <c r="AG735" s="43" t="str">
        <f aca="false">IF(Q735&lt;&gt;1,"",IF(AB735&lt;&gt;"",IF(AB735="","",INDEX(시장분석!$L:$L,AB735)),IFERROR(IF(VLOOKUP(R735,매핑!$A$4:$E$92,5,0)="","미분류",VLOOKUP(R735,매핑!$A$4:$E$92,5,0)),"미분류")))</f>
        <v/>
      </c>
      <c r="AH735" s="43" t="str">
        <f aca="false">IF(Q735&lt;&gt;1,"",IF(AB735&lt;&gt;"",IF(AB735="","",INDEX(시장분석!$N:$N,AB735)),IFERROR(IF(VLOOKUP(R735,매핑!$A$4:$E$92,4,0)="","미분류",VLOOKUP(R735,매핑!$A$4:$E$92,4,0)),"미분류")))</f>
        <v/>
      </c>
      <c r="AI735" s="43" t="str">
        <f aca="false">IF(Q735&lt;&gt;1,"",IFERROR(IF(VLOOKUP(R735,매핑!$A$4:$E$92,3,0)="","미분류",VLOOKUP(R735,매핑!$A$4:$E$92,3,0)),IF(AB735&lt;&gt;"",IF(AB735="","",INDEX(시장분석!$W:$W,AB735)),"미분류")))</f>
        <v/>
      </c>
      <c r="AJ735" s="43" t="str">
        <f aca="false">IF(Q735&lt;&gt;1,"",IFERROR(VLOOKUP(IF(N735&lt;&gt;"",N735,IF(P735&lt;&gt;"",P735,O735)),설정!$A$15:$D$47,2,0),""))</f>
        <v/>
      </c>
      <c r="AK735" s="43" t="str">
        <f aca="false">IF(Q735&lt;&gt;1,"",IF(AJ735="","무등급",IFERROR(VLOOKUP(AJ735,설정!$A$15:$D$47,3,0),"무등급")))</f>
        <v/>
      </c>
      <c r="AL735" s="89" t="n">
        <f aca="false">IF(AJ735="",99,IFERROR(VLOOKUP(AJ735,설정!$A$15:$D$47,4,0),99))</f>
        <v>99</v>
      </c>
      <c r="AM735" s="94" t="n">
        <f aca="false">IF(ISNUMBER(H735),AA735*1000000*H735/10000,0)</f>
        <v>0</v>
      </c>
      <c r="AN735" s="94" t="n">
        <f aca="false">IF(OR(Y735=1,NOT(ISNUMBER(Z735))),0,AA735*1000000*Z735/10000)</f>
        <v>0</v>
      </c>
      <c r="AO735" s="94" t="n">
        <f aca="false">IF(ISNUMBER(G735),AA735*1000000*G735/100,0)</f>
        <v>0</v>
      </c>
      <c r="AP735" s="94" t="n">
        <f aca="false">IF(ISNUMBER(M735),M735*K735,0)</f>
        <v>0</v>
      </c>
      <c r="AQ735" s="95" t="str">
        <f aca="false">IF(AB735="","",INDEX(시장분석!$AK:$AK,AB735))</f>
        <v/>
      </c>
      <c r="AR735" s="43" t="str">
        <f aca="false">IF(AB735="","-",IF(AB735="","",INDEX(시장분석!$AL:$AL,AB735)))</f>
        <v>-</v>
      </c>
      <c r="AS735" s="96" t="str">
        <f aca="false">IF(AB735="","",INDEX(시장분석!$AJ:$AJ,AB735))</f>
        <v/>
      </c>
      <c r="AT735" s="93" t="n">
        <f aca="false">IF(AB735="",0,IF(AB735="","",INDEX(시장분석!$AN:$AN,AB735)))</f>
        <v>0</v>
      </c>
      <c r="AU735" s="94" t="n">
        <f aca="false">IF(ISNUMBER(Z735),AT735/10000*MAX(Z735-1,0)*AA735*1000000,0)</f>
        <v>0</v>
      </c>
      <c r="AV735" s="94" t="n">
        <f aca="false">AO735+AU735</f>
        <v>0</v>
      </c>
      <c r="AW735" s="43" t="str">
        <f aca="false">IF(Q735&lt;&gt;1,"",TRIM(IF(AD735=1,"FRN ","")&amp;IF(AND(AL735&gt;=10,AL735&lt;99),"BBB0미만 ","")&amp;IF(AJ735="","등급없음 ","")&amp;IF(K735&lt;&gt;1,"비USD ","")&amp;IF(AND(AB735="",Y735=0),"시장데이터없음 ","")&amp;IF(AND(ISNUMBER(U735),U735&lt;0),"만기경과 ","")))</f>
        <v/>
      </c>
      <c r="AX735" s="90" t="n">
        <f aca="false">IF(Q735&lt;&gt;1,1,IF(스프레드쇼크!$C$4="Y",INDEX(스프레드쇼크!$B$12:$L$16,IFERROR(MATCH(AH735,스프레드쇼크!$A$12:$A$16,0),MATCH("목록외",스프레드쇼크!$A$12:$A$16,0)),IFERROR(MATCH(AG735,스프레드쇼크!$B$11:$L$11,0),MATCH("목록외",스프레드쇼크!$B$11:$L$11,0))),1))</f>
        <v>1</v>
      </c>
      <c r="AY735" s="90" t="n">
        <f aca="false">IF(스프레드쇼크!$C$5="Y",IF(ISNUMBER(AF735),MIN(스프레드쇼크!$C$7,MAX(스프레드쇼크!$C$6,AF735/스프레드쇼크!$C$8)),1),1)</f>
        <v>1</v>
      </c>
      <c r="AZ735" s="94" t="n">
        <f aca="false">AN735*AX735*AY735</f>
        <v>0</v>
      </c>
      <c r="BA735" s="90" t="n">
        <f aca="false">IF(ISNUMBER(G735),AA735*G735,0)</f>
        <v>0</v>
      </c>
      <c r="BB735" s="90" t="n">
        <f aca="false">IF(ISNUMBER(G735),AA735,0)</f>
        <v>0</v>
      </c>
      <c r="BC735" s="90" t="n">
        <f aca="false">IF(AND(Y735=0,ISNUMBER(AF735)),AA735*AF735,0)</f>
        <v>0</v>
      </c>
      <c r="BD735" s="90" t="n">
        <f aca="false">IF(AND(Y735=0,ISNUMBER(AF735)),AA735,0)</f>
        <v>0</v>
      </c>
      <c r="BE735" s="90" t="n">
        <f aca="false">IF(ISNUMBER(H735),AA735*H735,0)</f>
        <v>0</v>
      </c>
      <c r="BF735" s="90" t="n">
        <f aca="false">IF(ISNUMBER(H735),AA735,0)</f>
        <v>0</v>
      </c>
      <c r="BG735" s="90" t="n">
        <f aca="false">IF(AND(Y735=0,ISNUMBER(AF735),ISNUMBER(Z735)),AA735*Z735,0)</f>
        <v>0</v>
      </c>
      <c r="BH735" s="90" t="n">
        <f aca="false">IF(AND(Y735=0,ISNUMBER(AF735),ISNUMBER(Z735)),AA735*AT735*MAX(Z735-1,0),0)</f>
        <v>0</v>
      </c>
      <c r="BI735" s="90" t="n">
        <f aca="false">IF(Y735=0,AA735,0)</f>
        <v>0</v>
      </c>
    </row>
    <row r="736" customFormat="false" ht="15" hidden="false" customHeight="false" outlineLevel="0" collapsed="false">
      <c r="A736" s="83" t="str">
        <f aca="false">IFERROR(IF(INDEX(원자료_잔고!$A$1:$EZ$1500,설정!$L$5+ROW()-1,설정!$L$8)&amp;""="0","",INDEX(원자료_잔고!$A$1:$EZ$1500,설정!$L$5+ROW()-1,설정!$L$8)&amp;""),"")</f>
        <v/>
      </c>
      <c r="B736" s="83" t="str">
        <f aca="false">IFERROR(IF(INDEX(원자료_잔고!$A$1:$EZ$1500,설정!$L$5+ROW()-1,설정!$L$7)&amp;""="0","",INDEX(원자료_잔고!$A$1:$EZ$1500,설정!$L$5+ROW()-1,설정!$L$7)&amp;""),"")</f>
        <v/>
      </c>
      <c r="C736" s="83" t="str">
        <f aca="false">IFERROR(IF(INDEX(원자료_잔고!$A$1:$EZ$1500,설정!$L$5+ROW()-1,설정!$L$9)&amp;""="0","",INDEX(원자료_잔고!$A$1:$EZ$1500,설정!$L$5+ROW()-1,설정!$L$9)&amp;""),"")</f>
        <v/>
      </c>
      <c r="D736" s="83" t="str">
        <f aca="false">IFERROR(IF(INDEX(원자료_잔고!$A$1:$EZ$1500,설정!$L$5+ROW()-1,설정!$L$10)&amp;""="0","",INDEX(원자료_잔고!$A$1:$EZ$1500,설정!$L$5+ROW()-1,설정!$L$10)&amp;""),"")</f>
        <v/>
      </c>
      <c r="E736" s="84" t="str">
        <f aca="false">IFERROR(IF(ISNUMBER(INDEX(원자료_잔고!$A$1:$EZ$1500,설정!$L$5+ROW()-1,설정!$L$11)),INDEX(원자료_잔고!$A$1:$EZ$1500,설정!$L$5+ROW()-1,설정!$L$11),""),"")</f>
        <v/>
      </c>
      <c r="F736" s="85" t="str">
        <f aca="false">IFERROR(IF(ISNUMBER(INDEX(원자료_잔고!$A$1:$EZ$1500,설정!$L$5+ROW()-1,설정!$L$12)),INDEX(원자료_잔고!$A$1:$EZ$1500,설정!$L$5+ROW()-1,설정!$L$12),""),"")</f>
        <v/>
      </c>
      <c r="G736" s="85" t="str">
        <f aca="false">IFERROR(IF(ISNUMBER(INDEX(원자료_잔고!$A$1:$EZ$1500,설정!$L$5+ROW()-1,설정!$L$13)),INDEX(원자료_잔고!$A$1:$EZ$1500,설정!$L$5+ROW()-1,설정!$L$13),""),"")</f>
        <v/>
      </c>
      <c r="H736" s="85" t="str">
        <f aca="false">IFERROR(IF(ISNUMBER(INDEX(원자료_잔고!$A$1:$EZ$1500,설정!$L$5+ROW()-1,설정!$L$14)),INDEX(원자료_잔고!$A$1:$EZ$1500,설정!$L$5+ROW()-1,설정!$L$14),""),"")</f>
        <v/>
      </c>
      <c r="I736" s="86" t="str">
        <f aca="false">IFERROR(IF(ISNUMBER(INDEX(원자료_잔고!$A$1:$EZ$1500,설정!$L$5+ROW()-1,설정!$L$15)),INDEX(원자료_잔고!$A$1:$EZ$1500,설정!$L$5+ROW()-1,설정!$L$15),""),"")</f>
        <v/>
      </c>
      <c r="J736" s="85" t="str">
        <f aca="false">IFERROR(IF(ISNUMBER(INDEX(원자료_잔고!$A$1:$EZ$1500,설정!$L$5+ROW()-1,설정!$L$16)),INDEX(원자료_잔고!$A$1:$EZ$1500,설정!$L$5+ROW()-1,설정!$L$16),""),"")</f>
        <v/>
      </c>
      <c r="K736" s="87" t="str">
        <f aca="false">IFERROR(IF(ISNUMBER(INDEX(원자료_잔고!$A$1:$EZ$1500,설정!$L$5+ROW()-1,설정!$L$17)),INDEX(원자료_잔고!$A$1:$EZ$1500,설정!$L$5+ROW()-1,설정!$L$17),""),"")</f>
        <v/>
      </c>
      <c r="L736" s="84" t="str">
        <f aca="false">IFERROR(IF(ISNUMBER(INDEX(원자료_잔고!$A$1:$EZ$1500,설정!$L$5+ROW()-1,설정!$L$18)),INDEX(원자료_잔고!$A$1:$EZ$1500,설정!$L$5+ROW()-1,설정!$L$18),""),"")</f>
        <v/>
      </c>
      <c r="M736" s="88" t="str">
        <f aca="false">IFERROR(IF(ISNUMBER(INDEX(원자료_잔고!$A$1:$EZ$1500,설정!$L$5+ROW()-1,설정!$L$19)),INDEX(원자료_잔고!$A$1:$EZ$1500,설정!$L$5+ROW()-1,설정!$L$19),""),"")</f>
        <v/>
      </c>
      <c r="N736" s="83" t="str">
        <f aca="false">IFERROR(IF(INDEX(원자료_잔고!$A$1:$EZ$1500,설정!$L$5+ROW()-1,설정!$L$21)&amp;""="0","",INDEX(원자료_잔고!$A$1:$EZ$1500,설정!$L$5+ROW()-1,설정!$L$21)&amp;""),"")</f>
        <v/>
      </c>
      <c r="O736" s="83" t="str">
        <f aca="false">IFERROR(IF(INDEX(원자료_잔고!$A$1:$EZ$1500,설정!$L$5+ROW()-1,설정!$L$22)&amp;""="0","",INDEX(원자료_잔고!$A$1:$EZ$1500,설정!$L$5+ROW()-1,설정!$L$22)&amp;""),"")</f>
        <v/>
      </c>
      <c r="P736" s="83" t="str">
        <f aca="false">IFERROR(IF(INDEX(원자료_잔고!$A$1:$EZ$1500,설정!$L$5+ROW()-1,설정!$L$23)&amp;""="0","",INDEX(원자료_잔고!$A$1:$EZ$1500,설정!$L$5+ROW()-1,설정!$L$23)&amp;""),"")</f>
        <v/>
      </c>
      <c r="Q736" s="89" t="n">
        <f aca="false">IF(AND($A736&lt;&gt;"",ISNUMBER(E736)),IF(E736&gt;0,1,0),0)</f>
        <v>0</v>
      </c>
      <c r="R736" s="43" t="str">
        <f aca="false">IF(Q736=1,UPPER(LEFT($A736,FIND(" ",$A736&amp;" ")-1)),"")</f>
        <v/>
      </c>
      <c r="S736" s="89" t="n">
        <f aca="false">IF(Q736=1,IF(OR(ISNUMBER(SEARCH("Float",$A736)),ISNUMBER(SEARCH("FRN",$A736))),1,0),0)</f>
        <v>0</v>
      </c>
      <c r="T736" s="43" t="str">
        <f aca="false">IF(AND(Q736=1,ISNUMBER(I736)),TEXT(I736,"yyyymmdd")&amp;"|"&amp;IF(S736=1,"F",TEXT(J736,"0.000")),"")</f>
        <v/>
      </c>
      <c r="U736" s="90" t="str">
        <f aca="false">IF(AND(Q736=1,ISNUMBER(I736)),(I736-설정!$C$4)/365.25,"")</f>
        <v/>
      </c>
      <c r="V736" s="43" t="str">
        <f aca="false">IF(Q736&lt;&gt;1,"",IF(ISNUMBER(U736),IF(U736&lt;=1,"1년 이하",IF(U736&lt;=2,"1-2년",IF(U736&lt;=3,"2-3년",IF(U736&lt;=4,"3-4년",IF(U736&lt;=5,"4-5년",IF(U736&lt;=7,"5-7년",IF(U736&lt;=10,"7-10년",IF(U736&lt;=20,"10-20년","20년 이상")))))))),"미분류"))</f>
        <v/>
      </c>
      <c r="W736" s="43" t="str">
        <f aca="false">IF(Q736&lt;&gt;1,"",IF(AB736&lt;&gt;"",INDEX(시장분석!$C:$C,AB736),IF(K736=1,"USD","비USD")))</f>
        <v/>
      </c>
      <c r="X736" s="91" t="n">
        <f aca="false">IF(Q736=1,E736*K736/1000000,0)</f>
        <v>0</v>
      </c>
      <c r="Y736" s="89" t="n">
        <f aca="false">IF(R736="T",1,0)</f>
        <v>0</v>
      </c>
      <c r="Z736" s="92" t="str">
        <f aca="false">IF(Q736&lt;&gt;1,"",IF(AD736=1,IF(ISNUMBER(U736),MAX(U736,0),H736),H736))</f>
        <v/>
      </c>
      <c r="AA736" s="91" t="n">
        <f aca="false">IF(Q736=1,IF(ISNUMBER(L736),L736,0)*K736/1000000,0)</f>
        <v>0</v>
      </c>
      <c r="AB736" s="89" t="str">
        <f aca="false">IF(Q736&lt;&gt;1,"",IFERROR(MATCH(VLOOKUP(B736,매핑!$H$4:$I$15,2,0),시장분석!$A$2:$A$601,0)+1,IFERROR(MATCH(R736&amp;"|"&amp;T736,시장분석!$V$2:$V$601,0)+1,IF(COUNTIF(시장분석!$U$2:$U$601,T736)=1,MATCH(T736,시장분석!$U$2:$U$601,0)+1,""))))</f>
        <v/>
      </c>
      <c r="AC736" s="89" t="n">
        <f aca="false">IF(Q736&lt;&gt;1,0,IF(OR(설정!$C$5="전체",AND(설정!$C$5="선택펀드",IFERROR(COUNTIFS(설정!$F$16:$F$36,C736,설정!$G$16:$G$36,"Y")+COUNTIFS(설정!$F$16:$F$36,VALUE(C736),설정!$G$16:$G$36,"Y"),0)&gt;0),C736&amp;""=설정!$C$5&amp;""),1,0))</f>
        <v>0</v>
      </c>
      <c r="AD736" s="89" t="n">
        <f aca="false">IF(Q736&lt;&gt;1,0,IF(OR(S736=1,IF(AB736="",FALSE(),INDEX(시장분석!$R:$R,AB736)=1)),1,0))</f>
        <v>0</v>
      </c>
      <c r="AE736" s="43" t="str">
        <f aca="false">IF(AB736="","",INDEX(시장분석!$A:$A,AB736))</f>
        <v/>
      </c>
      <c r="AF736" s="93" t="str">
        <f aca="false">IF(AB736="","",IF(ISNUMBER(IF(AB736="","",INDEX(시장분석!$E:$E,AB736))),IF(AB736="","",INDEX(시장분석!$E:$E,AB736)),""))</f>
        <v/>
      </c>
      <c r="AG736" s="43" t="str">
        <f aca="false">IF(Q736&lt;&gt;1,"",IF(AB736&lt;&gt;"",IF(AB736="","",INDEX(시장분석!$L:$L,AB736)),IFERROR(IF(VLOOKUP(R736,매핑!$A$4:$E$92,5,0)="","미분류",VLOOKUP(R736,매핑!$A$4:$E$92,5,0)),"미분류")))</f>
        <v/>
      </c>
      <c r="AH736" s="43" t="str">
        <f aca="false">IF(Q736&lt;&gt;1,"",IF(AB736&lt;&gt;"",IF(AB736="","",INDEX(시장분석!$N:$N,AB736)),IFERROR(IF(VLOOKUP(R736,매핑!$A$4:$E$92,4,0)="","미분류",VLOOKUP(R736,매핑!$A$4:$E$92,4,0)),"미분류")))</f>
        <v/>
      </c>
      <c r="AI736" s="43" t="str">
        <f aca="false">IF(Q736&lt;&gt;1,"",IFERROR(IF(VLOOKUP(R736,매핑!$A$4:$E$92,3,0)="","미분류",VLOOKUP(R736,매핑!$A$4:$E$92,3,0)),IF(AB736&lt;&gt;"",IF(AB736="","",INDEX(시장분석!$W:$W,AB736)),"미분류")))</f>
        <v/>
      </c>
      <c r="AJ736" s="43" t="str">
        <f aca="false">IF(Q736&lt;&gt;1,"",IFERROR(VLOOKUP(IF(N736&lt;&gt;"",N736,IF(P736&lt;&gt;"",P736,O736)),설정!$A$15:$D$47,2,0),""))</f>
        <v/>
      </c>
      <c r="AK736" s="43" t="str">
        <f aca="false">IF(Q736&lt;&gt;1,"",IF(AJ736="","무등급",IFERROR(VLOOKUP(AJ736,설정!$A$15:$D$47,3,0),"무등급")))</f>
        <v/>
      </c>
      <c r="AL736" s="89" t="n">
        <f aca="false">IF(AJ736="",99,IFERROR(VLOOKUP(AJ736,설정!$A$15:$D$47,4,0),99))</f>
        <v>99</v>
      </c>
      <c r="AM736" s="94" t="n">
        <f aca="false">IF(ISNUMBER(H736),AA736*1000000*H736/10000,0)</f>
        <v>0</v>
      </c>
      <c r="AN736" s="94" t="n">
        <f aca="false">IF(OR(Y736=1,NOT(ISNUMBER(Z736))),0,AA736*1000000*Z736/10000)</f>
        <v>0</v>
      </c>
      <c r="AO736" s="94" t="n">
        <f aca="false">IF(ISNUMBER(G736),AA736*1000000*G736/100,0)</f>
        <v>0</v>
      </c>
      <c r="AP736" s="94" t="n">
        <f aca="false">IF(ISNUMBER(M736),M736*K736,0)</f>
        <v>0</v>
      </c>
      <c r="AQ736" s="95" t="str">
        <f aca="false">IF(AB736="","",INDEX(시장분석!$AK:$AK,AB736))</f>
        <v/>
      </c>
      <c r="AR736" s="43" t="str">
        <f aca="false">IF(AB736="","-",IF(AB736="","",INDEX(시장분석!$AL:$AL,AB736)))</f>
        <v>-</v>
      </c>
      <c r="AS736" s="96" t="str">
        <f aca="false">IF(AB736="","",INDEX(시장분석!$AJ:$AJ,AB736))</f>
        <v/>
      </c>
      <c r="AT736" s="93" t="n">
        <f aca="false">IF(AB736="",0,IF(AB736="","",INDEX(시장분석!$AN:$AN,AB736)))</f>
        <v>0</v>
      </c>
      <c r="AU736" s="94" t="n">
        <f aca="false">IF(ISNUMBER(Z736),AT736/10000*MAX(Z736-1,0)*AA736*1000000,0)</f>
        <v>0</v>
      </c>
      <c r="AV736" s="94" t="n">
        <f aca="false">AO736+AU736</f>
        <v>0</v>
      </c>
      <c r="AW736" s="43" t="str">
        <f aca="false">IF(Q736&lt;&gt;1,"",TRIM(IF(AD736=1,"FRN ","")&amp;IF(AND(AL736&gt;=10,AL736&lt;99),"BBB0미만 ","")&amp;IF(AJ736="","등급없음 ","")&amp;IF(K736&lt;&gt;1,"비USD ","")&amp;IF(AND(AB736="",Y736=0),"시장데이터없음 ","")&amp;IF(AND(ISNUMBER(U736),U736&lt;0),"만기경과 ","")))</f>
        <v/>
      </c>
      <c r="AX736" s="90" t="n">
        <f aca="false">IF(Q736&lt;&gt;1,1,IF(스프레드쇼크!$C$4="Y",INDEX(스프레드쇼크!$B$12:$L$16,IFERROR(MATCH(AH736,스프레드쇼크!$A$12:$A$16,0),MATCH("목록외",스프레드쇼크!$A$12:$A$16,0)),IFERROR(MATCH(AG736,스프레드쇼크!$B$11:$L$11,0),MATCH("목록외",스프레드쇼크!$B$11:$L$11,0))),1))</f>
        <v>1</v>
      </c>
      <c r="AY736" s="90" t="n">
        <f aca="false">IF(스프레드쇼크!$C$5="Y",IF(ISNUMBER(AF736),MIN(스프레드쇼크!$C$7,MAX(스프레드쇼크!$C$6,AF736/스프레드쇼크!$C$8)),1),1)</f>
        <v>1</v>
      </c>
      <c r="AZ736" s="94" t="n">
        <f aca="false">AN736*AX736*AY736</f>
        <v>0</v>
      </c>
      <c r="BA736" s="90" t="n">
        <f aca="false">IF(ISNUMBER(G736),AA736*G736,0)</f>
        <v>0</v>
      </c>
      <c r="BB736" s="90" t="n">
        <f aca="false">IF(ISNUMBER(G736),AA736,0)</f>
        <v>0</v>
      </c>
      <c r="BC736" s="90" t="n">
        <f aca="false">IF(AND(Y736=0,ISNUMBER(AF736)),AA736*AF736,0)</f>
        <v>0</v>
      </c>
      <c r="BD736" s="90" t="n">
        <f aca="false">IF(AND(Y736=0,ISNUMBER(AF736)),AA736,0)</f>
        <v>0</v>
      </c>
      <c r="BE736" s="90" t="n">
        <f aca="false">IF(ISNUMBER(H736),AA736*H736,0)</f>
        <v>0</v>
      </c>
      <c r="BF736" s="90" t="n">
        <f aca="false">IF(ISNUMBER(H736),AA736,0)</f>
        <v>0</v>
      </c>
      <c r="BG736" s="90" t="n">
        <f aca="false">IF(AND(Y736=0,ISNUMBER(AF736),ISNUMBER(Z736)),AA736*Z736,0)</f>
        <v>0</v>
      </c>
      <c r="BH736" s="90" t="n">
        <f aca="false">IF(AND(Y736=0,ISNUMBER(AF736),ISNUMBER(Z736)),AA736*AT736*MAX(Z736-1,0),0)</f>
        <v>0</v>
      </c>
      <c r="BI736" s="90" t="n">
        <f aca="false">IF(Y736=0,AA736,0)</f>
        <v>0</v>
      </c>
    </row>
    <row r="737" customFormat="false" ht="15" hidden="false" customHeight="false" outlineLevel="0" collapsed="false">
      <c r="A737" s="83" t="str">
        <f aca="false">IFERROR(IF(INDEX(원자료_잔고!$A$1:$EZ$1500,설정!$L$5+ROW()-1,설정!$L$8)&amp;""="0","",INDEX(원자료_잔고!$A$1:$EZ$1500,설정!$L$5+ROW()-1,설정!$L$8)&amp;""),"")</f>
        <v/>
      </c>
      <c r="B737" s="83" t="str">
        <f aca="false">IFERROR(IF(INDEX(원자료_잔고!$A$1:$EZ$1500,설정!$L$5+ROW()-1,설정!$L$7)&amp;""="0","",INDEX(원자료_잔고!$A$1:$EZ$1500,설정!$L$5+ROW()-1,설정!$L$7)&amp;""),"")</f>
        <v/>
      </c>
      <c r="C737" s="83" t="str">
        <f aca="false">IFERROR(IF(INDEX(원자료_잔고!$A$1:$EZ$1500,설정!$L$5+ROW()-1,설정!$L$9)&amp;""="0","",INDEX(원자료_잔고!$A$1:$EZ$1500,설정!$L$5+ROW()-1,설정!$L$9)&amp;""),"")</f>
        <v/>
      </c>
      <c r="D737" s="83" t="str">
        <f aca="false">IFERROR(IF(INDEX(원자료_잔고!$A$1:$EZ$1500,설정!$L$5+ROW()-1,설정!$L$10)&amp;""="0","",INDEX(원자료_잔고!$A$1:$EZ$1500,설정!$L$5+ROW()-1,설정!$L$10)&amp;""),"")</f>
        <v/>
      </c>
      <c r="E737" s="84" t="str">
        <f aca="false">IFERROR(IF(ISNUMBER(INDEX(원자료_잔고!$A$1:$EZ$1500,설정!$L$5+ROW()-1,설정!$L$11)),INDEX(원자료_잔고!$A$1:$EZ$1500,설정!$L$5+ROW()-1,설정!$L$11),""),"")</f>
        <v/>
      </c>
      <c r="F737" s="85" t="str">
        <f aca="false">IFERROR(IF(ISNUMBER(INDEX(원자료_잔고!$A$1:$EZ$1500,설정!$L$5+ROW()-1,설정!$L$12)),INDEX(원자료_잔고!$A$1:$EZ$1500,설정!$L$5+ROW()-1,설정!$L$12),""),"")</f>
        <v/>
      </c>
      <c r="G737" s="85" t="str">
        <f aca="false">IFERROR(IF(ISNUMBER(INDEX(원자료_잔고!$A$1:$EZ$1500,설정!$L$5+ROW()-1,설정!$L$13)),INDEX(원자료_잔고!$A$1:$EZ$1500,설정!$L$5+ROW()-1,설정!$L$13),""),"")</f>
        <v/>
      </c>
      <c r="H737" s="85" t="str">
        <f aca="false">IFERROR(IF(ISNUMBER(INDEX(원자료_잔고!$A$1:$EZ$1500,설정!$L$5+ROW()-1,설정!$L$14)),INDEX(원자료_잔고!$A$1:$EZ$1500,설정!$L$5+ROW()-1,설정!$L$14),""),"")</f>
        <v/>
      </c>
      <c r="I737" s="86" t="str">
        <f aca="false">IFERROR(IF(ISNUMBER(INDEX(원자료_잔고!$A$1:$EZ$1500,설정!$L$5+ROW()-1,설정!$L$15)),INDEX(원자료_잔고!$A$1:$EZ$1500,설정!$L$5+ROW()-1,설정!$L$15),""),"")</f>
        <v/>
      </c>
      <c r="J737" s="85" t="str">
        <f aca="false">IFERROR(IF(ISNUMBER(INDEX(원자료_잔고!$A$1:$EZ$1500,설정!$L$5+ROW()-1,설정!$L$16)),INDEX(원자료_잔고!$A$1:$EZ$1500,설정!$L$5+ROW()-1,설정!$L$16),""),"")</f>
        <v/>
      </c>
      <c r="K737" s="87" t="str">
        <f aca="false">IFERROR(IF(ISNUMBER(INDEX(원자료_잔고!$A$1:$EZ$1500,설정!$L$5+ROW()-1,설정!$L$17)),INDEX(원자료_잔고!$A$1:$EZ$1500,설정!$L$5+ROW()-1,설정!$L$17),""),"")</f>
        <v/>
      </c>
      <c r="L737" s="84" t="str">
        <f aca="false">IFERROR(IF(ISNUMBER(INDEX(원자료_잔고!$A$1:$EZ$1500,설정!$L$5+ROW()-1,설정!$L$18)),INDEX(원자료_잔고!$A$1:$EZ$1500,설정!$L$5+ROW()-1,설정!$L$18),""),"")</f>
        <v/>
      </c>
      <c r="M737" s="88" t="str">
        <f aca="false">IFERROR(IF(ISNUMBER(INDEX(원자료_잔고!$A$1:$EZ$1500,설정!$L$5+ROW()-1,설정!$L$19)),INDEX(원자료_잔고!$A$1:$EZ$1500,설정!$L$5+ROW()-1,설정!$L$19),""),"")</f>
        <v/>
      </c>
      <c r="N737" s="83" t="str">
        <f aca="false">IFERROR(IF(INDEX(원자료_잔고!$A$1:$EZ$1500,설정!$L$5+ROW()-1,설정!$L$21)&amp;""="0","",INDEX(원자료_잔고!$A$1:$EZ$1500,설정!$L$5+ROW()-1,설정!$L$21)&amp;""),"")</f>
        <v/>
      </c>
      <c r="O737" s="83" t="str">
        <f aca="false">IFERROR(IF(INDEX(원자료_잔고!$A$1:$EZ$1500,설정!$L$5+ROW()-1,설정!$L$22)&amp;""="0","",INDEX(원자료_잔고!$A$1:$EZ$1500,설정!$L$5+ROW()-1,설정!$L$22)&amp;""),"")</f>
        <v/>
      </c>
      <c r="P737" s="83" t="str">
        <f aca="false">IFERROR(IF(INDEX(원자료_잔고!$A$1:$EZ$1500,설정!$L$5+ROW()-1,설정!$L$23)&amp;""="0","",INDEX(원자료_잔고!$A$1:$EZ$1500,설정!$L$5+ROW()-1,설정!$L$23)&amp;""),"")</f>
        <v/>
      </c>
      <c r="Q737" s="89" t="n">
        <f aca="false">IF(AND($A737&lt;&gt;"",ISNUMBER(E737)),IF(E737&gt;0,1,0),0)</f>
        <v>0</v>
      </c>
      <c r="R737" s="43" t="str">
        <f aca="false">IF(Q737=1,UPPER(LEFT($A737,FIND(" ",$A737&amp;" ")-1)),"")</f>
        <v/>
      </c>
      <c r="S737" s="89" t="n">
        <f aca="false">IF(Q737=1,IF(OR(ISNUMBER(SEARCH("Float",$A737)),ISNUMBER(SEARCH("FRN",$A737))),1,0),0)</f>
        <v>0</v>
      </c>
      <c r="T737" s="43" t="str">
        <f aca="false">IF(AND(Q737=1,ISNUMBER(I737)),TEXT(I737,"yyyymmdd")&amp;"|"&amp;IF(S737=1,"F",TEXT(J737,"0.000")),"")</f>
        <v/>
      </c>
      <c r="U737" s="90" t="str">
        <f aca="false">IF(AND(Q737=1,ISNUMBER(I737)),(I737-설정!$C$4)/365.25,"")</f>
        <v/>
      </c>
      <c r="V737" s="43" t="str">
        <f aca="false">IF(Q737&lt;&gt;1,"",IF(ISNUMBER(U737),IF(U737&lt;=1,"1년 이하",IF(U737&lt;=2,"1-2년",IF(U737&lt;=3,"2-3년",IF(U737&lt;=4,"3-4년",IF(U737&lt;=5,"4-5년",IF(U737&lt;=7,"5-7년",IF(U737&lt;=10,"7-10년",IF(U737&lt;=20,"10-20년","20년 이상")))))))),"미분류"))</f>
        <v/>
      </c>
      <c r="W737" s="43" t="str">
        <f aca="false">IF(Q737&lt;&gt;1,"",IF(AB737&lt;&gt;"",INDEX(시장분석!$C:$C,AB737),IF(K737=1,"USD","비USD")))</f>
        <v/>
      </c>
      <c r="X737" s="91" t="n">
        <f aca="false">IF(Q737=1,E737*K737/1000000,0)</f>
        <v>0</v>
      </c>
      <c r="Y737" s="89" t="n">
        <f aca="false">IF(R737="T",1,0)</f>
        <v>0</v>
      </c>
      <c r="Z737" s="92" t="str">
        <f aca="false">IF(Q737&lt;&gt;1,"",IF(AD737=1,IF(ISNUMBER(U737),MAX(U737,0),H737),H737))</f>
        <v/>
      </c>
      <c r="AA737" s="91" t="n">
        <f aca="false">IF(Q737=1,IF(ISNUMBER(L737),L737,0)*K737/1000000,0)</f>
        <v>0</v>
      </c>
      <c r="AB737" s="89" t="str">
        <f aca="false">IF(Q737&lt;&gt;1,"",IFERROR(MATCH(VLOOKUP(B737,매핑!$H$4:$I$15,2,0),시장분석!$A$2:$A$601,0)+1,IFERROR(MATCH(R737&amp;"|"&amp;T737,시장분석!$V$2:$V$601,0)+1,IF(COUNTIF(시장분석!$U$2:$U$601,T737)=1,MATCH(T737,시장분석!$U$2:$U$601,0)+1,""))))</f>
        <v/>
      </c>
      <c r="AC737" s="89" t="n">
        <f aca="false">IF(Q737&lt;&gt;1,0,IF(OR(설정!$C$5="전체",AND(설정!$C$5="선택펀드",IFERROR(COUNTIFS(설정!$F$16:$F$36,C737,설정!$G$16:$G$36,"Y")+COUNTIFS(설정!$F$16:$F$36,VALUE(C737),설정!$G$16:$G$36,"Y"),0)&gt;0),C737&amp;""=설정!$C$5&amp;""),1,0))</f>
        <v>0</v>
      </c>
      <c r="AD737" s="89" t="n">
        <f aca="false">IF(Q737&lt;&gt;1,0,IF(OR(S737=1,IF(AB737="",FALSE(),INDEX(시장분석!$R:$R,AB737)=1)),1,0))</f>
        <v>0</v>
      </c>
      <c r="AE737" s="43" t="str">
        <f aca="false">IF(AB737="","",INDEX(시장분석!$A:$A,AB737))</f>
        <v/>
      </c>
      <c r="AF737" s="93" t="str">
        <f aca="false">IF(AB737="","",IF(ISNUMBER(IF(AB737="","",INDEX(시장분석!$E:$E,AB737))),IF(AB737="","",INDEX(시장분석!$E:$E,AB737)),""))</f>
        <v/>
      </c>
      <c r="AG737" s="43" t="str">
        <f aca="false">IF(Q737&lt;&gt;1,"",IF(AB737&lt;&gt;"",IF(AB737="","",INDEX(시장분석!$L:$L,AB737)),IFERROR(IF(VLOOKUP(R737,매핑!$A$4:$E$92,5,0)="","미분류",VLOOKUP(R737,매핑!$A$4:$E$92,5,0)),"미분류")))</f>
        <v/>
      </c>
      <c r="AH737" s="43" t="str">
        <f aca="false">IF(Q737&lt;&gt;1,"",IF(AB737&lt;&gt;"",IF(AB737="","",INDEX(시장분석!$N:$N,AB737)),IFERROR(IF(VLOOKUP(R737,매핑!$A$4:$E$92,4,0)="","미분류",VLOOKUP(R737,매핑!$A$4:$E$92,4,0)),"미분류")))</f>
        <v/>
      </c>
      <c r="AI737" s="43" t="str">
        <f aca="false">IF(Q737&lt;&gt;1,"",IFERROR(IF(VLOOKUP(R737,매핑!$A$4:$E$92,3,0)="","미분류",VLOOKUP(R737,매핑!$A$4:$E$92,3,0)),IF(AB737&lt;&gt;"",IF(AB737="","",INDEX(시장분석!$W:$W,AB737)),"미분류")))</f>
        <v/>
      </c>
      <c r="AJ737" s="43" t="str">
        <f aca="false">IF(Q737&lt;&gt;1,"",IFERROR(VLOOKUP(IF(N737&lt;&gt;"",N737,IF(P737&lt;&gt;"",P737,O737)),설정!$A$15:$D$47,2,0),""))</f>
        <v/>
      </c>
      <c r="AK737" s="43" t="str">
        <f aca="false">IF(Q737&lt;&gt;1,"",IF(AJ737="","무등급",IFERROR(VLOOKUP(AJ737,설정!$A$15:$D$47,3,0),"무등급")))</f>
        <v/>
      </c>
      <c r="AL737" s="89" t="n">
        <f aca="false">IF(AJ737="",99,IFERROR(VLOOKUP(AJ737,설정!$A$15:$D$47,4,0),99))</f>
        <v>99</v>
      </c>
      <c r="AM737" s="94" t="n">
        <f aca="false">IF(ISNUMBER(H737),AA737*1000000*H737/10000,0)</f>
        <v>0</v>
      </c>
      <c r="AN737" s="94" t="n">
        <f aca="false">IF(OR(Y737=1,NOT(ISNUMBER(Z737))),0,AA737*1000000*Z737/10000)</f>
        <v>0</v>
      </c>
      <c r="AO737" s="94" t="n">
        <f aca="false">IF(ISNUMBER(G737),AA737*1000000*G737/100,0)</f>
        <v>0</v>
      </c>
      <c r="AP737" s="94" t="n">
        <f aca="false">IF(ISNUMBER(M737),M737*K737,0)</f>
        <v>0</v>
      </c>
      <c r="AQ737" s="95" t="str">
        <f aca="false">IF(AB737="","",INDEX(시장분석!$AK:$AK,AB737))</f>
        <v/>
      </c>
      <c r="AR737" s="43" t="str">
        <f aca="false">IF(AB737="","-",IF(AB737="","",INDEX(시장분석!$AL:$AL,AB737)))</f>
        <v>-</v>
      </c>
      <c r="AS737" s="96" t="str">
        <f aca="false">IF(AB737="","",INDEX(시장분석!$AJ:$AJ,AB737))</f>
        <v/>
      </c>
      <c r="AT737" s="93" t="n">
        <f aca="false">IF(AB737="",0,IF(AB737="","",INDEX(시장분석!$AN:$AN,AB737)))</f>
        <v>0</v>
      </c>
      <c r="AU737" s="94" t="n">
        <f aca="false">IF(ISNUMBER(Z737),AT737/10000*MAX(Z737-1,0)*AA737*1000000,0)</f>
        <v>0</v>
      </c>
      <c r="AV737" s="94" t="n">
        <f aca="false">AO737+AU737</f>
        <v>0</v>
      </c>
      <c r="AW737" s="43" t="str">
        <f aca="false">IF(Q737&lt;&gt;1,"",TRIM(IF(AD737=1,"FRN ","")&amp;IF(AND(AL737&gt;=10,AL737&lt;99),"BBB0미만 ","")&amp;IF(AJ737="","등급없음 ","")&amp;IF(K737&lt;&gt;1,"비USD ","")&amp;IF(AND(AB737="",Y737=0),"시장데이터없음 ","")&amp;IF(AND(ISNUMBER(U737),U737&lt;0),"만기경과 ","")))</f>
        <v/>
      </c>
      <c r="AX737" s="90" t="n">
        <f aca="false">IF(Q737&lt;&gt;1,1,IF(스프레드쇼크!$C$4="Y",INDEX(스프레드쇼크!$B$12:$L$16,IFERROR(MATCH(AH737,스프레드쇼크!$A$12:$A$16,0),MATCH("목록외",스프레드쇼크!$A$12:$A$16,0)),IFERROR(MATCH(AG737,스프레드쇼크!$B$11:$L$11,0),MATCH("목록외",스프레드쇼크!$B$11:$L$11,0))),1))</f>
        <v>1</v>
      </c>
      <c r="AY737" s="90" t="n">
        <f aca="false">IF(스프레드쇼크!$C$5="Y",IF(ISNUMBER(AF737),MIN(스프레드쇼크!$C$7,MAX(스프레드쇼크!$C$6,AF737/스프레드쇼크!$C$8)),1),1)</f>
        <v>1</v>
      </c>
      <c r="AZ737" s="94" t="n">
        <f aca="false">AN737*AX737*AY737</f>
        <v>0</v>
      </c>
      <c r="BA737" s="90" t="n">
        <f aca="false">IF(ISNUMBER(G737),AA737*G737,0)</f>
        <v>0</v>
      </c>
      <c r="BB737" s="90" t="n">
        <f aca="false">IF(ISNUMBER(G737),AA737,0)</f>
        <v>0</v>
      </c>
      <c r="BC737" s="90" t="n">
        <f aca="false">IF(AND(Y737=0,ISNUMBER(AF737)),AA737*AF737,0)</f>
        <v>0</v>
      </c>
      <c r="BD737" s="90" t="n">
        <f aca="false">IF(AND(Y737=0,ISNUMBER(AF737)),AA737,0)</f>
        <v>0</v>
      </c>
      <c r="BE737" s="90" t="n">
        <f aca="false">IF(ISNUMBER(H737),AA737*H737,0)</f>
        <v>0</v>
      </c>
      <c r="BF737" s="90" t="n">
        <f aca="false">IF(ISNUMBER(H737),AA737,0)</f>
        <v>0</v>
      </c>
      <c r="BG737" s="90" t="n">
        <f aca="false">IF(AND(Y737=0,ISNUMBER(AF737),ISNUMBER(Z737)),AA737*Z737,0)</f>
        <v>0</v>
      </c>
      <c r="BH737" s="90" t="n">
        <f aca="false">IF(AND(Y737=0,ISNUMBER(AF737),ISNUMBER(Z737)),AA737*AT737*MAX(Z737-1,0),0)</f>
        <v>0</v>
      </c>
      <c r="BI737" s="90" t="n">
        <f aca="false">IF(Y737=0,AA737,0)</f>
        <v>0</v>
      </c>
    </row>
    <row r="738" customFormat="false" ht="15" hidden="false" customHeight="false" outlineLevel="0" collapsed="false">
      <c r="A738" s="83" t="str">
        <f aca="false">IFERROR(IF(INDEX(원자료_잔고!$A$1:$EZ$1500,설정!$L$5+ROW()-1,설정!$L$8)&amp;""="0","",INDEX(원자료_잔고!$A$1:$EZ$1500,설정!$L$5+ROW()-1,설정!$L$8)&amp;""),"")</f>
        <v/>
      </c>
      <c r="B738" s="83" t="str">
        <f aca="false">IFERROR(IF(INDEX(원자료_잔고!$A$1:$EZ$1500,설정!$L$5+ROW()-1,설정!$L$7)&amp;""="0","",INDEX(원자료_잔고!$A$1:$EZ$1500,설정!$L$5+ROW()-1,설정!$L$7)&amp;""),"")</f>
        <v/>
      </c>
      <c r="C738" s="83" t="str">
        <f aca="false">IFERROR(IF(INDEX(원자료_잔고!$A$1:$EZ$1500,설정!$L$5+ROW()-1,설정!$L$9)&amp;""="0","",INDEX(원자료_잔고!$A$1:$EZ$1500,설정!$L$5+ROW()-1,설정!$L$9)&amp;""),"")</f>
        <v/>
      </c>
      <c r="D738" s="83" t="str">
        <f aca="false">IFERROR(IF(INDEX(원자료_잔고!$A$1:$EZ$1500,설정!$L$5+ROW()-1,설정!$L$10)&amp;""="0","",INDEX(원자료_잔고!$A$1:$EZ$1500,설정!$L$5+ROW()-1,설정!$L$10)&amp;""),"")</f>
        <v/>
      </c>
      <c r="E738" s="84" t="str">
        <f aca="false">IFERROR(IF(ISNUMBER(INDEX(원자료_잔고!$A$1:$EZ$1500,설정!$L$5+ROW()-1,설정!$L$11)),INDEX(원자료_잔고!$A$1:$EZ$1500,설정!$L$5+ROW()-1,설정!$L$11),""),"")</f>
        <v/>
      </c>
      <c r="F738" s="85" t="str">
        <f aca="false">IFERROR(IF(ISNUMBER(INDEX(원자료_잔고!$A$1:$EZ$1500,설정!$L$5+ROW()-1,설정!$L$12)),INDEX(원자료_잔고!$A$1:$EZ$1500,설정!$L$5+ROW()-1,설정!$L$12),""),"")</f>
        <v/>
      </c>
      <c r="G738" s="85" t="str">
        <f aca="false">IFERROR(IF(ISNUMBER(INDEX(원자료_잔고!$A$1:$EZ$1500,설정!$L$5+ROW()-1,설정!$L$13)),INDEX(원자료_잔고!$A$1:$EZ$1500,설정!$L$5+ROW()-1,설정!$L$13),""),"")</f>
        <v/>
      </c>
      <c r="H738" s="85" t="str">
        <f aca="false">IFERROR(IF(ISNUMBER(INDEX(원자료_잔고!$A$1:$EZ$1500,설정!$L$5+ROW()-1,설정!$L$14)),INDEX(원자료_잔고!$A$1:$EZ$1500,설정!$L$5+ROW()-1,설정!$L$14),""),"")</f>
        <v/>
      </c>
      <c r="I738" s="86" t="str">
        <f aca="false">IFERROR(IF(ISNUMBER(INDEX(원자료_잔고!$A$1:$EZ$1500,설정!$L$5+ROW()-1,설정!$L$15)),INDEX(원자료_잔고!$A$1:$EZ$1500,설정!$L$5+ROW()-1,설정!$L$15),""),"")</f>
        <v/>
      </c>
      <c r="J738" s="85" t="str">
        <f aca="false">IFERROR(IF(ISNUMBER(INDEX(원자료_잔고!$A$1:$EZ$1500,설정!$L$5+ROW()-1,설정!$L$16)),INDEX(원자료_잔고!$A$1:$EZ$1500,설정!$L$5+ROW()-1,설정!$L$16),""),"")</f>
        <v/>
      </c>
      <c r="K738" s="87" t="str">
        <f aca="false">IFERROR(IF(ISNUMBER(INDEX(원자료_잔고!$A$1:$EZ$1500,설정!$L$5+ROW()-1,설정!$L$17)),INDEX(원자료_잔고!$A$1:$EZ$1500,설정!$L$5+ROW()-1,설정!$L$17),""),"")</f>
        <v/>
      </c>
      <c r="L738" s="84" t="str">
        <f aca="false">IFERROR(IF(ISNUMBER(INDEX(원자료_잔고!$A$1:$EZ$1500,설정!$L$5+ROW()-1,설정!$L$18)),INDEX(원자료_잔고!$A$1:$EZ$1500,설정!$L$5+ROW()-1,설정!$L$18),""),"")</f>
        <v/>
      </c>
      <c r="M738" s="88" t="str">
        <f aca="false">IFERROR(IF(ISNUMBER(INDEX(원자료_잔고!$A$1:$EZ$1500,설정!$L$5+ROW()-1,설정!$L$19)),INDEX(원자료_잔고!$A$1:$EZ$1500,설정!$L$5+ROW()-1,설정!$L$19),""),"")</f>
        <v/>
      </c>
      <c r="N738" s="83" t="str">
        <f aca="false">IFERROR(IF(INDEX(원자료_잔고!$A$1:$EZ$1500,설정!$L$5+ROW()-1,설정!$L$21)&amp;""="0","",INDEX(원자료_잔고!$A$1:$EZ$1500,설정!$L$5+ROW()-1,설정!$L$21)&amp;""),"")</f>
        <v/>
      </c>
      <c r="O738" s="83" t="str">
        <f aca="false">IFERROR(IF(INDEX(원자료_잔고!$A$1:$EZ$1500,설정!$L$5+ROW()-1,설정!$L$22)&amp;""="0","",INDEX(원자료_잔고!$A$1:$EZ$1500,설정!$L$5+ROW()-1,설정!$L$22)&amp;""),"")</f>
        <v/>
      </c>
      <c r="P738" s="83" t="str">
        <f aca="false">IFERROR(IF(INDEX(원자료_잔고!$A$1:$EZ$1500,설정!$L$5+ROW()-1,설정!$L$23)&amp;""="0","",INDEX(원자료_잔고!$A$1:$EZ$1500,설정!$L$5+ROW()-1,설정!$L$23)&amp;""),"")</f>
        <v/>
      </c>
      <c r="Q738" s="89" t="n">
        <f aca="false">IF(AND($A738&lt;&gt;"",ISNUMBER(E738)),IF(E738&gt;0,1,0),0)</f>
        <v>0</v>
      </c>
      <c r="R738" s="43" t="str">
        <f aca="false">IF(Q738=1,UPPER(LEFT($A738,FIND(" ",$A738&amp;" ")-1)),"")</f>
        <v/>
      </c>
      <c r="S738" s="89" t="n">
        <f aca="false">IF(Q738=1,IF(OR(ISNUMBER(SEARCH("Float",$A738)),ISNUMBER(SEARCH("FRN",$A738))),1,0),0)</f>
        <v>0</v>
      </c>
      <c r="T738" s="43" t="str">
        <f aca="false">IF(AND(Q738=1,ISNUMBER(I738)),TEXT(I738,"yyyymmdd")&amp;"|"&amp;IF(S738=1,"F",TEXT(J738,"0.000")),"")</f>
        <v/>
      </c>
      <c r="U738" s="90" t="str">
        <f aca="false">IF(AND(Q738=1,ISNUMBER(I738)),(I738-설정!$C$4)/365.25,"")</f>
        <v/>
      </c>
      <c r="V738" s="43" t="str">
        <f aca="false">IF(Q738&lt;&gt;1,"",IF(ISNUMBER(U738),IF(U738&lt;=1,"1년 이하",IF(U738&lt;=2,"1-2년",IF(U738&lt;=3,"2-3년",IF(U738&lt;=4,"3-4년",IF(U738&lt;=5,"4-5년",IF(U738&lt;=7,"5-7년",IF(U738&lt;=10,"7-10년",IF(U738&lt;=20,"10-20년","20년 이상")))))))),"미분류"))</f>
        <v/>
      </c>
      <c r="W738" s="43" t="str">
        <f aca="false">IF(Q738&lt;&gt;1,"",IF(AB738&lt;&gt;"",INDEX(시장분석!$C:$C,AB738),IF(K738=1,"USD","비USD")))</f>
        <v/>
      </c>
      <c r="X738" s="91" t="n">
        <f aca="false">IF(Q738=1,E738*K738/1000000,0)</f>
        <v>0</v>
      </c>
      <c r="Y738" s="89" t="n">
        <f aca="false">IF(R738="T",1,0)</f>
        <v>0</v>
      </c>
      <c r="Z738" s="92" t="str">
        <f aca="false">IF(Q738&lt;&gt;1,"",IF(AD738=1,IF(ISNUMBER(U738),MAX(U738,0),H738),H738))</f>
        <v/>
      </c>
      <c r="AA738" s="91" t="n">
        <f aca="false">IF(Q738=1,IF(ISNUMBER(L738),L738,0)*K738/1000000,0)</f>
        <v>0</v>
      </c>
      <c r="AB738" s="89" t="str">
        <f aca="false">IF(Q738&lt;&gt;1,"",IFERROR(MATCH(VLOOKUP(B738,매핑!$H$4:$I$15,2,0),시장분석!$A$2:$A$601,0)+1,IFERROR(MATCH(R738&amp;"|"&amp;T738,시장분석!$V$2:$V$601,0)+1,IF(COUNTIF(시장분석!$U$2:$U$601,T738)=1,MATCH(T738,시장분석!$U$2:$U$601,0)+1,""))))</f>
        <v/>
      </c>
      <c r="AC738" s="89" t="n">
        <f aca="false">IF(Q738&lt;&gt;1,0,IF(OR(설정!$C$5="전체",AND(설정!$C$5="선택펀드",IFERROR(COUNTIFS(설정!$F$16:$F$36,C738,설정!$G$16:$G$36,"Y")+COUNTIFS(설정!$F$16:$F$36,VALUE(C738),설정!$G$16:$G$36,"Y"),0)&gt;0),C738&amp;""=설정!$C$5&amp;""),1,0))</f>
        <v>0</v>
      </c>
      <c r="AD738" s="89" t="n">
        <f aca="false">IF(Q738&lt;&gt;1,0,IF(OR(S738=1,IF(AB738="",FALSE(),INDEX(시장분석!$R:$R,AB738)=1)),1,0))</f>
        <v>0</v>
      </c>
      <c r="AE738" s="43" t="str">
        <f aca="false">IF(AB738="","",INDEX(시장분석!$A:$A,AB738))</f>
        <v/>
      </c>
      <c r="AF738" s="93" t="str">
        <f aca="false">IF(AB738="","",IF(ISNUMBER(IF(AB738="","",INDEX(시장분석!$E:$E,AB738))),IF(AB738="","",INDEX(시장분석!$E:$E,AB738)),""))</f>
        <v/>
      </c>
      <c r="AG738" s="43" t="str">
        <f aca="false">IF(Q738&lt;&gt;1,"",IF(AB738&lt;&gt;"",IF(AB738="","",INDEX(시장분석!$L:$L,AB738)),IFERROR(IF(VLOOKUP(R738,매핑!$A$4:$E$92,5,0)="","미분류",VLOOKUP(R738,매핑!$A$4:$E$92,5,0)),"미분류")))</f>
        <v/>
      </c>
      <c r="AH738" s="43" t="str">
        <f aca="false">IF(Q738&lt;&gt;1,"",IF(AB738&lt;&gt;"",IF(AB738="","",INDEX(시장분석!$N:$N,AB738)),IFERROR(IF(VLOOKUP(R738,매핑!$A$4:$E$92,4,0)="","미분류",VLOOKUP(R738,매핑!$A$4:$E$92,4,0)),"미분류")))</f>
        <v/>
      </c>
      <c r="AI738" s="43" t="str">
        <f aca="false">IF(Q738&lt;&gt;1,"",IFERROR(IF(VLOOKUP(R738,매핑!$A$4:$E$92,3,0)="","미분류",VLOOKUP(R738,매핑!$A$4:$E$92,3,0)),IF(AB738&lt;&gt;"",IF(AB738="","",INDEX(시장분석!$W:$W,AB738)),"미분류")))</f>
        <v/>
      </c>
      <c r="AJ738" s="43" t="str">
        <f aca="false">IF(Q738&lt;&gt;1,"",IFERROR(VLOOKUP(IF(N738&lt;&gt;"",N738,IF(P738&lt;&gt;"",P738,O738)),설정!$A$15:$D$47,2,0),""))</f>
        <v/>
      </c>
      <c r="AK738" s="43" t="str">
        <f aca="false">IF(Q738&lt;&gt;1,"",IF(AJ738="","무등급",IFERROR(VLOOKUP(AJ738,설정!$A$15:$D$47,3,0),"무등급")))</f>
        <v/>
      </c>
      <c r="AL738" s="89" t="n">
        <f aca="false">IF(AJ738="",99,IFERROR(VLOOKUP(AJ738,설정!$A$15:$D$47,4,0),99))</f>
        <v>99</v>
      </c>
      <c r="AM738" s="94" t="n">
        <f aca="false">IF(ISNUMBER(H738),AA738*1000000*H738/10000,0)</f>
        <v>0</v>
      </c>
      <c r="AN738" s="94" t="n">
        <f aca="false">IF(OR(Y738=1,NOT(ISNUMBER(Z738))),0,AA738*1000000*Z738/10000)</f>
        <v>0</v>
      </c>
      <c r="AO738" s="94" t="n">
        <f aca="false">IF(ISNUMBER(G738),AA738*1000000*G738/100,0)</f>
        <v>0</v>
      </c>
      <c r="AP738" s="94" t="n">
        <f aca="false">IF(ISNUMBER(M738),M738*K738,0)</f>
        <v>0</v>
      </c>
      <c r="AQ738" s="95" t="str">
        <f aca="false">IF(AB738="","",INDEX(시장분석!$AK:$AK,AB738))</f>
        <v/>
      </c>
      <c r="AR738" s="43" t="str">
        <f aca="false">IF(AB738="","-",IF(AB738="","",INDEX(시장분석!$AL:$AL,AB738)))</f>
        <v>-</v>
      </c>
      <c r="AS738" s="96" t="str">
        <f aca="false">IF(AB738="","",INDEX(시장분석!$AJ:$AJ,AB738))</f>
        <v/>
      </c>
      <c r="AT738" s="93" t="n">
        <f aca="false">IF(AB738="",0,IF(AB738="","",INDEX(시장분석!$AN:$AN,AB738)))</f>
        <v>0</v>
      </c>
      <c r="AU738" s="94" t="n">
        <f aca="false">IF(ISNUMBER(Z738),AT738/10000*MAX(Z738-1,0)*AA738*1000000,0)</f>
        <v>0</v>
      </c>
      <c r="AV738" s="94" t="n">
        <f aca="false">AO738+AU738</f>
        <v>0</v>
      </c>
      <c r="AW738" s="43" t="str">
        <f aca="false">IF(Q738&lt;&gt;1,"",TRIM(IF(AD738=1,"FRN ","")&amp;IF(AND(AL738&gt;=10,AL738&lt;99),"BBB0미만 ","")&amp;IF(AJ738="","등급없음 ","")&amp;IF(K738&lt;&gt;1,"비USD ","")&amp;IF(AND(AB738="",Y738=0),"시장데이터없음 ","")&amp;IF(AND(ISNUMBER(U738),U738&lt;0),"만기경과 ","")))</f>
        <v/>
      </c>
      <c r="AX738" s="90" t="n">
        <f aca="false">IF(Q738&lt;&gt;1,1,IF(스프레드쇼크!$C$4="Y",INDEX(스프레드쇼크!$B$12:$L$16,IFERROR(MATCH(AH738,스프레드쇼크!$A$12:$A$16,0),MATCH("목록외",스프레드쇼크!$A$12:$A$16,0)),IFERROR(MATCH(AG738,스프레드쇼크!$B$11:$L$11,0),MATCH("목록외",스프레드쇼크!$B$11:$L$11,0))),1))</f>
        <v>1</v>
      </c>
      <c r="AY738" s="90" t="n">
        <f aca="false">IF(스프레드쇼크!$C$5="Y",IF(ISNUMBER(AF738),MIN(스프레드쇼크!$C$7,MAX(스프레드쇼크!$C$6,AF738/스프레드쇼크!$C$8)),1),1)</f>
        <v>1</v>
      </c>
      <c r="AZ738" s="94" t="n">
        <f aca="false">AN738*AX738*AY738</f>
        <v>0</v>
      </c>
      <c r="BA738" s="90" t="n">
        <f aca="false">IF(ISNUMBER(G738),AA738*G738,0)</f>
        <v>0</v>
      </c>
      <c r="BB738" s="90" t="n">
        <f aca="false">IF(ISNUMBER(G738),AA738,0)</f>
        <v>0</v>
      </c>
      <c r="BC738" s="90" t="n">
        <f aca="false">IF(AND(Y738=0,ISNUMBER(AF738)),AA738*AF738,0)</f>
        <v>0</v>
      </c>
      <c r="BD738" s="90" t="n">
        <f aca="false">IF(AND(Y738=0,ISNUMBER(AF738)),AA738,0)</f>
        <v>0</v>
      </c>
      <c r="BE738" s="90" t="n">
        <f aca="false">IF(ISNUMBER(H738),AA738*H738,0)</f>
        <v>0</v>
      </c>
      <c r="BF738" s="90" t="n">
        <f aca="false">IF(ISNUMBER(H738),AA738,0)</f>
        <v>0</v>
      </c>
      <c r="BG738" s="90" t="n">
        <f aca="false">IF(AND(Y738=0,ISNUMBER(AF738),ISNUMBER(Z738)),AA738*Z738,0)</f>
        <v>0</v>
      </c>
      <c r="BH738" s="90" t="n">
        <f aca="false">IF(AND(Y738=0,ISNUMBER(AF738),ISNUMBER(Z738)),AA738*AT738*MAX(Z738-1,0),0)</f>
        <v>0</v>
      </c>
      <c r="BI738" s="90" t="n">
        <f aca="false">IF(Y738=0,AA738,0)</f>
        <v>0</v>
      </c>
    </row>
    <row r="739" customFormat="false" ht="15" hidden="false" customHeight="false" outlineLevel="0" collapsed="false">
      <c r="A739" s="83" t="str">
        <f aca="false">IFERROR(IF(INDEX(원자료_잔고!$A$1:$EZ$1500,설정!$L$5+ROW()-1,설정!$L$8)&amp;""="0","",INDEX(원자료_잔고!$A$1:$EZ$1500,설정!$L$5+ROW()-1,설정!$L$8)&amp;""),"")</f>
        <v/>
      </c>
      <c r="B739" s="83" t="str">
        <f aca="false">IFERROR(IF(INDEX(원자료_잔고!$A$1:$EZ$1500,설정!$L$5+ROW()-1,설정!$L$7)&amp;""="0","",INDEX(원자료_잔고!$A$1:$EZ$1500,설정!$L$5+ROW()-1,설정!$L$7)&amp;""),"")</f>
        <v/>
      </c>
      <c r="C739" s="83" t="str">
        <f aca="false">IFERROR(IF(INDEX(원자료_잔고!$A$1:$EZ$1500,설정!$L$5+ROW()-1,설정!$L$9)&amp;""="0","",INDEX(원자료_잔고!$A$1:$EZ$1500,설정!$L$5+ROW()-1,설정!$L$9)&amp;""),"")</f>
        <v/>
      </c>
      <c r="D739" s="83" t="str">
        <f aca="false">IFERROR(IF(INDEX(원자료_잔고!$A$1:$EZ$1500,설정!$L$5+ROW()-1,설정!$L$10)&amp;""="0","",INDEX(원자료_잔고!$A$1:$EZ$1500,설정!$L$5+ROW()-1,설정!$L$10)&amp;""),"")</f>
        <v/>
      </c>
      <c r="E739" s="84" t="str">
        <f aca="false">IFERROR(IF(ISNUMBER(INDEX(원자료_잔고!$A$1:$EZ$1500,설정!$L$5+ROW()-1,설정!$L$11)),INDEX(원자료_잔고!$A$1:$EZ$1500,설정!$L$5+ROW()-1,설정!$L$11),""),"")</f>
        <v/>
      </c>
      <c r="F739" s="85" t="str">
        <f aca="false">IFERROR(IF(ISNUMBER(INDEX(원자료_잔고!$A$1:$EZ$1500,설정!$L$5+ROW()-1,설정!$L$12)),INDEX(원자료_잔고!$A$1:$EZ$1500,설정!$L$5+ROW()-1,설정!$L$12),""),"")</f>
        <v/>
      </c>
      <c r="G739" s="85" t="str">
        <f aca="false">IFERROR(IF(ISNUMBER(INDEX(원자료_잔고!$A$1:$EZ$1500,설정!$L$5+ROW()-1,설정!$L$13)),INDEX(원자료_잔고!$A$1:$EZ$1500,설정!$L$5+ROW()-1,설정!$L$13),""),"")</f>
        <v/>
      </c>
      <c r="H739" s="85" t="str">
        <f aca="false">IFERROR(IF(ISNUMBER(INDEX(원자료_잔고!$A$1:$EZ$1500,설정!$L$5+ROW()-1,설정!$L$14)),INDEX(원자료_잔고!$A$1:$EZ$1500,설정!$L$5+ROW()-1,설정!$L$14),""),"")</f>
        <v/>
      </c>
      <c r="I739" s="86" t="str">
        <f aca="false">IFERROR(IF(ISNUMBER(INDEX(원자료_잔고!$A$1:$EZ$1500,설정!$L$5+ROW()-1,설정!$L$15)),INDEX(원자료_잔고!$A$1:$EZ$1500,설정!$L$5+ROW()-1,설정!$L$15),""),"")</f>
        <v/>
      </c>
      <c r="J739" s="85" t="str">
        <f aca="false">IFERROR(IF(ISNUMBER(INDEX(원자료_잔고!$A$1:$EZ$1500,설정!$L$5+ROW()-1,설정!$L$16)),INDEX(원자료_잔고!$A$1:$EZ$1500,설정!$L$5+ROW()-1,설정!$L$16),""),"")</f>
        <v/>
      </c>
      <c r="K739" s="87" t="str">
        <f aca="false">IFERROR(IF(ISNUMBER(INDEX(원자료_잔고!$A$1:$EZ$1500,설정!$L$5+ROW()-1,설정!$L$17)),INDEX(원자료_잔고!$A$1:$EZ$1500,설정!$L$5+ROW()-1,설정!$L$17),""),"")</f>
        <v/>
      </c>
      <c r="L739" s="84" t="str">
        <f aca="false">IFERROR(IF(ISNUMBER(INDEX(원자료_잔고!$A$1:$EZ$1500,설정!$L$5+ROW()-1,설정!$L$18)),INDEX(원자료_잔고!$A$1:$EZ$1500,설정!$L$5+ROW()-1,설정!$L$18),""),"")</f>
        <v/>
      </c>
      <c r="M739" s="88" t="str">
        <f aca="false">IFERROR(IF(ISNUMBER(INDEX(원자료_잔고!$A$1:$EZ$1500,설정!$L$5+ROW()-1,설정!$L$19)),INDEX(원자료_잔고!$A$1:$EZ$1500,설정!$L$5+ROW()-1,설정!$L$19),""),"")</f>
        <v/>
      </c>
      <c r="N739" s="83" t="str">
        <f aca="false">IFERROR(IF(INDEX(원자료_잔고!$A$1:$EZ$1500,설정!$L$5+ROW()-1,설정!$L$21)&amp;""="0","",INDEX(원자료_잔고!$A$1:$EZ$1500,설정!$L$5+ROW()-1,설정!$L$21)&amp;""),"")</f>
        <v/>
      </c>
      <c r="O739" s="83" t="str">
        <f aca="false">IFERROR(IF(INDEX(원자료_잔고!$A$1:$EZ$1500,설정!$L$5+ROW()-1,설정!$L$22)&amp;""="0","",INDEX(원자료_잔고!$A$1:$EZ$1500,설정!$L$5+ROW()-1,설정!$L$22)&amp;""),"")</f>
        <v/>
      </c>
      <c r="P739" s="83" t="str">
        <f aca="false">IFERROR(IF(INDEX(원자료_잔고!$A$1:$EZ$1500,설정!$L$5+ROW()-1,설정!$L$23)&amp;""="0","",INDEX(원자료_잔고!$A$1:$EZ$1500,설정!$L$5+ROW()-1,설정!$L$23)&amp;""),"")</f>
        <v/>
      </c>
      <c r="Q739" s="89" t="n">
        <f aca="false">IF(AND($A739&lt;&gt;"",ISNUMBER(E739)),IF(E739&gt;0,1,0),0)</f>
        <v>0</v>
      </c>
      <c r="R739" s="43" t="str">
        <f aca="false">IF(Q739=1,UPPER(LEFT($A739,FIND(" ",$A739&amp;" ")-1)),"")</f>
        <v/>
      </c>
      <c r="S739" s="89" t="n">
        <f aca="false">IF(Q739=1,IF(OR(ISNUMBER(SEARCH("Float",$A739)),ISNUMBER(SEARCH("FRN",$A739))),1,0),0)</f>
        <v>0</v>
      </c>
      <c r="T739" s="43" t="str">
        <f aca="false">IF(AND(Q739=1,ISNUMBER(I739)),TEXT(I739,"yyyymmdd")&amp;"|"&amp;IF(S739=1,"F",TEXT(J739,"0.000")),"")</f>
        <v/>
      </c>
      <c r="U739" s="90" t="str">
        <f aca="false">IF(AND(Q739=1,ISNUMBER(I739)),(I739-설정!$C$4)/365.25,"")</f>
        <v/>
      </c>
      <c r="V739" s="43" t="str">
        <f aca="false">IF(Q739&lt;&gt;1,"",IF(ISNUMBER(U739),IF(U739&lt;=1,"1년 이하",IF(U739&lt;=2,"1-2년",IF(U739&lt;=3,"2-3년",IF(U739&lt;=4,"3-4년",IF(U739&lt;=5,"4-5년",IF(U739&lt;=7,"5-7년",IF(U739&lt;=10,"7-10년",IF(U739&lt;=20,"10-20년","20년 이상")))))))),"미분류"))</f>
        <v/>
      </c>
      <c r="W739" s="43" t="str">
        <f aca="false">IF(Q739&lt;&gt;1,"",IF(AB739&lt;&gt;"",INDEX(시장분석!$C:$C,AB739),IF(K739=1,"USD","비USD")))</f>
        <v/>
      </c>
      <c r="X739" s="91" t="n">
        <f aca="false">IF(Q739=1,E739*K739/1000000,0)</f>
        <v>0</v>
      </c>
      <c r="Y739" s="89" t="n">
        <f aca="false">IF(R739="T",1,0)</f>
        <v>0</v>
      </c>
      <c r="Z739" s="92" t="str">
        <f aca="false">IF(Q739&lt;&gt;1,"",IF(AD739=1,IF(ISNUMBER(U739),MAX(U739,0),H739),H739))</f>
        <v/>
      </c>
      <c r="AA739" s="91" t="n">
        <f aca="false">IF(Q739=1,IF(ISNUMBER(L739),L739,0)*K739/1000000,0)</f>
        <v>0</v>
      </c>
      <c r="AB739" s="89" t="str">
        <f aca="false">IF(Q739&lt;&gt;1,"",IFERROR(MATCH(VLOOKUP(B739,매핑!$H$4:$I$15,2,0),시장분석!$A$2:$A$601,0)+1,IFERROR(MATCH(R739&amp;"|"&amp;T739,시장분석!$V$2:$V$601,0)+1,IF(COUNTIF(시장분석!$U$2:$U$601,T739)=1,MATCH(T739,시장분석!$U$2:$U$601,0)+1,""))))</f>
        <v/>
      </c>
      <c r="AC739" s="89" t="n">
        <f aca="false">IF(Q739&lt;&gt;1,0,IF(OR(설정!$C$5="전체",AND(설정!$C$5="선택펀드",IFERROR(COUNTIFS(설정!$F$16:$F$36,C739,설정!$G$16:$G$36,"Y")+COUNTIFS(설정!$F$16:$F$36,VALUE(C739),설정!$G$16:$G$36,"Y"),0)&gt;0),C739&amp;""=설정!$C$5&amp;""),1,0))</f>
        <v>0</v>
      </c>
      <c r="AD739" s="89" t="n">
        <f aca="false">IF(Q739&lt;&gt;1,0,IF(OR(S739=1,IF(AB739="",FALSE(),INDEX(시장분석!$R:$R,AB739)=1)),1,0))</f>
        <v>0</v>
      </c>
      <c r="AE739" s="43" t="str">
        <f aca="false">IF(AB739="","",INDEX(시장분석!$A:$A,AB739))</f>
        <v/>
      </c>
      <c r="AF739" s="93" t="str">
        <f aca="false">IF(AB739="","",IF(ISNUMBER(IF(AB739="","",INDEX(시장분석!$E:$E,AB739))),IF(AB739="","",INDEX(시장분석!$E:$E,AB739)),""))</f>
        <v/>
      </c>
      <c r="AG739" s="43" t="str">
        <f aca="false">IF(Q739&lt;&gt;1,"",IF(AB739&lt;&gt;"",IF(AB739="","",INDEX(시장분석!$L:$L,AB739)),IFERROR(IF(VLOOKUP(R739,매핑!$A$4:$E$92,5,0)="","미분류",VLOOKUP(R739,매핑!$A$4:$E$92,5,0)),"미분류")))</f>
        <v/>
      </c>
      <c r="AH739" s="43" t="str">
        <f aca="false">IF(Q739&lt;&gt;1,"",IF(AB739&lt;&gt;"",IF(AB739="","",INDEX(시장분석!$N:$N,AB739)),IFERROR(IF(VLOOKUP(R739,매핑!$A$4:$E$92,4,0)="","미분류",VLOOKUP(R739,매핑!$A$4:$E$92,4,0)),"미분류")))</f>
        <v/>
      </c>
      <c r="AI739" s="43" t="str">
        <f aca="false">IF(Q739&lt;&gt;1,"",IFERROR(IF(VLOOKUP(R739,매핑!$A$4:$E$92,3,0)="","미분류",VLOOKUP(R739,매핑!$A$4:$E$92,3,0)),IF(AB739&lt;&gt;"",IF(AB739="","",INDEX(시장분석!$W:$W,AB739)),"미분류")))</f>
        <v/>
      </c>
      <c r="AJ739" s="43" t="str">
        <f aca="false">IF(Q739&lt;&gt;1,"",IFERROR(VLOOKUP(IF(N739&lt;&gt;"",N739,IF(P739&lt;&gt;"",P739,O739)),설정!$A$15:$D$47,2,0),""))</f>
        <v/>
      </c>
      <c r="AK739" s="43" t="str">
        <f aca="false">IF(Q739&lt;&gt;1,"",IF(AJ739="","무등급",IFERROR(VLOOKUP(AJ739,설정!$A$15:$D$47,3,0),"무등급")))</f>
        <v/>
      </c>
      <c r="AL739" s="89" t="n">
        <f aca="false">IF(AJ739="",99,IFERROR(VLOOKUP(AJ739,설정!$A$15:$D$47,4,0),99))</f>
        <v>99</v>
      </c>
      <c r="AM739" s="94" t="n">
        <f aca="false">IF(ISNUMBER(H739),AA739*1000000*H739/10000,0)</f>
        <v>0</v>
      </c>
      <c r="AN739" s="94" t="n">
        <f aca="false">IF(OR(Y739=1,NOT(ISNUMBER(Z739))),0,AA739*1000000*Z739/10000)</f>
        <v>0</v>
      </c>
      <c r="AO739" s="94" t="n">
        <f aca="false">IF(ISNUMBER(G739),AA739*1000000*G739/100,0)</f>
        <v>0</v>
      </c>
      <c r="AP739" s="94" t="n">
        <f aca="false">IF(ISNUMBER(M739),M739*K739,0)</f>
        <v>0</v>
      </c>
      <c r="AQ739" s="95" t="str">
        <f aca="false">IF(AB739="","",INDEX(시장분석!$AK:$AK,AB739))</f>
        <v/>
      </c>
      <c r="AR739" s="43" t="str">
        <f aca="false">IF(AB739="","-",IF(AB739="","",INDEX(시장분석!$AL:$AL,AB739)))</f>
        <v>-</v>
      </c>
      <c r="AS739" s="96" t="str">
        <f aca="false">IF(AB739="","",INDEX(시장분석!$AJ:$AJ,AB739))</f>
        <v/>
      </c>
      <c r="AT739" s="93" t="n">
        <f aca="false">IF(AB739="",0,IF(AB739="","",INDEX(시장분석!$AN:$AN,AB739)))</f>
        <v>0</v>
      </c>
      <c r="AU739" s="94" t="n">
        <f aca="false">IF(ISNUMBER(Z739),AT739/10000*MAX(Z739-1,0)*AA739*1000000,0)</f>
        <v>0</v>
      </c>
      <c r="AV739" s="94" t="n">
        <f aca="false">AO739+AU739</f>
        <v>0</v>
      </c>
      <c r="AW739" s="43" t="str">
        <f aca="false">IF(Q739&lt;&gt;1,"",TRIM(IF(AD739=1,"FRN ","")&amp;IF(AND(AL739&gt;=10,AL739&lt;99),"BBB0미만 ","")&amp;IF(AJ739="","등급없음 ","")&amp;IF(K739&lt;&gt;1,"비USD ","")&amp;IF(AND(AB739="",Y739=0),"시장데이터없음 ","")&amp;IF(AND(ISNUMBER(U739),U739&lt;0),"만기경과 ","")))</f>
        <v/>
      </c>
      <c r="AX739" s="90" t="n">
        <f aca="false">IF(Q739&lt;&gt;1,1,IF(스프레드쇼크!$C$4="Y",INDEX(스프레드쇼크!$B$12:$L$16,IFERROR(MATCH(AH739,스프레드쇼크!$A$12:$A$16,0),MATCH("목록외",스프레드쇼크!$A$12:$A$16,0)),IFERROR(MATCH(AG739,스프레드쇼크!$B$11:$L$11,0),MATCH("목록외",스프레드쇼크!$B$11:$L$11,0))),1))</f>
        <v>1</v>
      </c>
      <c r="AY739" s="90" t="n">
        <f aca="false">IF(스프레드쇼크!$C$5="Y",IF(ISNUMBER(AF739),MIN(스프레드쇼크!$C$7,MAX(스프레드쇼크!$C$6,AF739/스프레드쇼크!$C$8)),1),1)</f>
        <v>1</v>
      </c>
      <c r="AZ739" s="94" t="n">
        <f aca="false">AN739*AX739*AY739</f>
        <v>0</v>
      </c>
      <c r="BA739" s="90" t="n">
        <f aca="false">IF(ISNUMBER(G739),AA739*G739,0)</f>
        <v>0</v>
      </c>
      <c r="BB739" s="90" t="n">
        <f aca="false">IF(ISNUMBER(G739),AA739,0)</f>
        <v>0</v>
      </c>
      <c r="BC739" s="90" t="n">
        <f aca="false">IF(AND(Y739=0,ISNUMBER(AF739)),AA739*AF739,0)</f>
        <v>0</v>
      </c>
      <c r="BD739" s="90" t="n">
        <f aca="false">IF(AND(Y739=0,ISNUMBER(AF739)),AA739,0)</f>
        <v>0</v>
      </c>
      <c r="BE739" s="90" t="n">
        <f aca="false">IF(ISNUMBER(H739),AA739*H739,0)</f>
        <v>0</v>
      </c>
      <c r="BF739" s="90" t="n">
        <f aca="false">IF(ISNUMBER(H739),AA739,0)</f>
        <v>0</v>
      </c>
      <c r="BG739" s="90" t="n">
        <f aca="false">IF(AND(Y739=0,ISNUMBER(AF739),ISNUMBER(Z739)),AA739*Z739,0)</f>
        <v>0</v>
      </c>
      <c r="BH739" s="90" t="n">
        <f aca="false">IF(AND(Y739=0,ISNUMBER(AF739),ISNUMBER(Z739)),AA739*AT739*MAX(Z739-1,0),0)</f>
        <v>0</v>
      </c>
      <c r="BI739" s="90" t="n">
        <f aca="false">IF(Y739=0,AA739,0)</f>
        <v>0</v>
      </c>
    </row>
    <row r="740" customFormat="false" ht="15" hidden="false" customHeight="false" outlineLevel="0" collapsed="false">
      <c r="A740" s="83" t="str">
        <f aca="false">IFERROR(IF(INDEX(원자료_잔고!$A$1:$EZ$1500,설정!$L$5+ROW()-1,설정!$L$8)&amp;""="0","",INDEX(원자료_잔고!$A$1:$EZ$1500,설정!$L$5+ROW()-1,설정!$L$8)&amp;""),"")</f>
        <v/>
      </c>
      <c r="B740" s="83" t="str">
        <f aca="false">IFERROR(IF(INDEX(원자료_잔고!$A$1:$EZ$1500,설정!$L$5+ROW()-1,설정!$L$7)&amp;""="0","",INDEX(원자료_잔고!$A$1:$EZ$1500,설정!$L$5+ROW()-1,설정!$L$7)&amp;""),"")</f>
        <v/>
      </c>
      <c r="C740" s="83" t="str">
        <f aca="false">IFERROR(IF(INDEX(원자료_잔고!$A$1:$EZ$1500,설정!$L$5+ROW()-1,설정!$L$9)&amp;""="0","",INDEX(원자료_잔고!$A$1:$EZ$1500,설정!$L$5+ROW()-1,설정!$L$9)&amp;""),"")</f>
        <v/>
      </c>
      <c r="D740" s="83" t="str">
        <f aca="false">IFERROR(IF(INDEX(원자료_잔고!$A$1:$EZ$1500,설정!$L$5+ROW()-1,설정!$L$10)&amp;""="0","",INDEX(원자료_잔고!$A$1:$EZ$1500,설정!$L$5+ROW()-1,설정!$L$10)&amp;""),"")</f>
        <v/>
      </c>
      <c r="E740" s="84" t="str">
        <f aca="false">IFERROR(IF(ISNUMBER(INDEX(원자료_잔고!$A$1:$EZ$1500,설정!$L$5+ROW()-1,설정!$L$11)),INDEX(원자료_잔고!$A$1:$EZ$1500,설정!$L$5+ROW()-1,설정!$L$11),""),"")</f>
        <v/>
      </c>
      <c r="F740" s="85" t="str">
        <f aca="false">IFERROR(IF(ISNUMBER(INDEX(원자료_잔고!$A$1:$EZ$1500,설정!$L$5+ROW()-1,설정!$L$12)),INDEX(원자료_잔고!$A$1:$EZ$1500,설정!$L$5+ROW()-1,설정!$L$12),""),"")</f>
        <v/>
      </c>
      <c r="G740" s="85" t="str">
        <f aca="false">IFERROR(IF(ISNUMBER(INDEX(원자료_잔고!$A$1:$EZ$1500,설정!$L$5+ROW()-1,설정!$L$13)),INDEX(원자료_잔고!$A$1:$EZ$1500,설정!$L$5+ROW()-1,설정!$L$13),""),"")</f>
        <v/>
      </c>
      <c r="H740" s="85" t="str">
        <f aca="false">IFERROR(IF(ISNUMBER(INDEX(원자료_잔고!$A$1:$EZ$1500,설정!$L$5+ROW()-1,설정!$L$14)),INDEX(원자료_잔고!$A$1:$EZ$1500,설정!$L$5+ROW()-1,설정!$L$14),""),"")</f>
        <v/>
      </c>
      <c r="I740" s="86" t="str">
        <f aca="false">IFERROR(IF(ISNUMBER(INDEX(원자료_잔고!$A$1:$EZ$1500,설정!$L$5+ROW()-1,설정!$L$15)),INDEX(원자료_잔고!$A$1:$EZ$1500,설정!$L$5+ROW()-1,설정!$L$15),""),"")</f>
        <v/>
      </c>
      <c r="J740" s="85" t="str">
        <f aca="false">IFERROR(IF(ISNUMBER(INDEX(원자료_잔고!$A$1:$EZ$1500,설정!$L$5+ROW()-1,설정!$L$16)),INDEX(원자료_잔고!$A$1:$EZ$1500,설정!$L$5+ROW()-1,설정!$L$16),""),"")</f>
        <v/>
      </c>
      <c r="K740" s="87" t="str">
        <f aca="false">IFERROR(IF(ISNUMBER(INDEX(원자료_잔고!$A$1:$EZ$1500,설정!$L$5+ROW()-1,설정!$L$17)),INDEX(원자료_잔고!$A$1:$EZ$1500,설정!$L$5+ROW()-1,설정!$L$17),""),"")</f>
        <v/>
      </c>
      <c r="L740" s="84" t="str">
        <f aca="false">IFERROR(IF(ISNUMBER(INDEX(원자료_잔고!$A$1:$EZ$1500,설정!$L$5+ROW()-1,설정!$L$18)),INDEX(원자료_잔고!$A$1:$EZ$1500,설정!$L$5+ROW()-1,설정!$L$18),""),"")</f>
        <v/>
      </c>
      <c r="M740" s="88" t="str">
        <f aca="false">IFERROR(IF(ISNUMBER(INDEX(원자료_잔고!$A$1:$EZ$1500,설정!$L$5+ROW()-1,설정!$L$19)),INDEX(원자료_잔고!$A$1:$EZ$1500,설정!$L$5+ROW()-1,설정!$L$19),""),"")</f>
        <v/>
      </c>
      <c r="N740" s="83" t="str">
        <f aca="false">IFERROR(IF(INDEX(원자료_잔고!$A$1:$EZ$1500,설정!$L$5+ROW()-1,설정!$L$21)&amp;""="0","",INDEX(원자료_잔고!$A$1:$EZ$1500,설정!$L$5+ROW()-1,설정!$L$21)&amp;""),"")</f>
        <v/>
      </c>
      <c r="O740" s="83" t="str">
        <f aca="false">IFERROR(IF(INDEX(원자료_잔고!$A$1:$EZ$1500,설정!$L$5+ROW()-1,설정!$L$22)&amp;""="0","",INDEX(원자료_잔고!$A$1:$EZ$1500,설정!$L$5+ROW()-1,설정!$L$22)&amp;""),"")</f>
        <v/>
      </c>
      <c r="P740" s="83" t="str">
        <f aca="false">IFERROR(IF(INDEX(원자료_잔고!$A$1:$EZ$1500,설정!$L$5+ROW()-1,설정!$L$23)&amp;""="0","",INDEX(원자료_잔고!$A$1:$EZ$1500,설정!$L$5+ROW()-1,설정!$L$23)&amp;""),"")</f>
        <v/>
      </c>
      <c r="Q740" s="89" t="n">
        <f aca="false">IF(AND($A740&lt;&gt;"",ISNUMBER(E740)),IF(E740&gt;0,1,0),0)</f>
        <v>0</v>
      </c>
      <c r="R740" s="43" t="str">
        <f aca="false">IF(Q740=1,UPPER(LEFT($A740,FIND(" ",$A740&amp;" ")-1)),"")</f>
        <v/>
      </c>
      <c r="S740" s="89" t="n">
        <f aca="false">IF(Q740=1,IF(OR(ISNUMBER(SEARCH("Float",$A740)),ISNUMBER(SEARCH("FRN",$A740))),1,0),0)</f>
        <v>0</v>
      </c>
      <c r="T740" s="43" t="str">
        <f aca="false">IF(AND(Q740=1,ISNUMBER(I740)),TEXT(I740,"yyyymmdd")&amp;"|"&amp;IF(S740=1,"F",TEXT(J740,"0.000")),"")</f>
        <v/>
      </c>
      <c r="U740" s="90" t="str">
        <f aca="false">IF(AND(Q740=1,ISNUMBER(I740)),(I740-설정!$C$4)/365.25,"")</f>
        <v/>
      </c>
      <c r="V740" s="43" t="str">
        <f aca="false">IF(Q740&lt;&gt;1,"",IF(ISNUMBER(U740),IF(U740&lt;=1,"1년 이하",IF(U740&lt;=2,"1-2년",IF(U740&lt;=3,"2-3년",IF(U740&lt;=4,"3-4년",IF(U740&lt;=5,"4-5년",IF(U740&lt;=7,"5-7년",IF(U740&lt;=10,"7-10년",IF(U740&lt;=20,"10-20년","20년 이상")))))))),"미분류"))</f>
        <v/>
      </c>
      <c r="W740" s="43" t="str">
        <f aca="false">IF(Q740&lt;&gt;1,"",IF(AB740&lt;&gt;"",INDEX(시장분석!$C:$C,AB740),IF(K740=1,"USD","비USD")))</f>
        <v/>
      </c>
      <c r="X740" s="91" t="n">
        <f aca="false">IF(Q740=1,E740*K740/1000000,0)</f>
        <v>0</v>
      </c>
      <c r="Y740" s="89" t="n">
        <f aca="false">IF(R740="T",1,0)</f>
        <v>0</v>
      </c>
      <c r="Z740" s="92" t="str">
        <f aca="false">IF(Q740&lt;&gt;1,"",IF(AD740=1,IF(ISNUMBER(U740),MAX(U740,0),H740),H740))</f>
        <v/>
      </c>
      <c r="AA740" s="91" t="n">
        <f aca="false">IF(Q740=1,IF(ISNUMBER(L740),L740,0)*K740/1000000,0)</f>
        <v>0</v>
      </c>
      <c r="AB740" s="89" t="str">
        <f aca="false">IF(Q740&lt;&gt;1,"",IFERROR(MATCH(VLOOKUP(B740,매핑!$H$4:$I$15,2,0),시장분석!$A$2:$A$601,0)+1,IFERROR(MATCH(R740&amp;"|"&amp;T740,시장분석!$V$2:$V$601,0)+1,IF(COUNTIF(시장분석!$U$2:$U$601,T740)=1,MATCH(T740,시장분석!$U$2:$U$601,0)+1,""))))</f>
        <v/>
      </c>
      <c r="AC740" s="89" t="n">
        <f aca="false">IF(Q740&lt;&gt;1,0,IF(OR(설정!$C$5="전체",AND(설정!$C$5="선택펀드",IFERROR(COUNTIFS(설정!$F$16:$F$36,C740,설정!$G$16:$G$36,"Y")+COUNTIFS(설정!$F$16:$F$36,VALUE(C740),설정!$G$16:$G$36,"Y"),0)&gt;0),C740&amp;""=설정!$C$5&amp;""),1,0))</f>
        <v>0</v>
      </c>
      <c r="AD740" s="89" t="n">
        <f aca="false">IF(Q740&lt;&gt;1,0,IF(OR(S740=1,IF(AB740="",FALSE(),INDEX(시장분석!$R:$R,AB740)=1)),1,0))</f>
        <v>0</v>
      </c>
      <c r="AE740" s="43" t="str">
        <f aca="false">IF(AB740="","",INDEX(시장분석!$A:$A,AB740))</f>
        <v/>
      </c>
      <c r="AF740" s="93" t="str">
        <f aca="false">IF(AB740="","",IF(ISNUMBER(IF(AB740="","",INDEX(시장분석!$E:$E,AB740))),IF(AB740="","",INDEX(시장분석!$E:$E,AB740)),""))</f>
        <v/>
      </c>
      <c r="AG740" s="43" t="str">
        <f aca="false">IF(Q740&lt;&gt;1,"",IF(AB740&lt;&gt;"",IF(AB740="","",INDEX(시장분석!$L:$L,AB740)),IFERROR(IF(VLOOKUP(R740,매핑!$A$4:$E$92,5,0)="","미분류",VLOOKUP(R740,매핑!$A$4:$E$92,5,0)),"미분류")))</f>
        <v/>
      </c>
      <c r="AH740" s="43" t="str">
        <f aca="false">IF(Q740&lt;&gt;1,"",IF(AB740&lt;&gt;"",IF(AB740="","",INDEX(시장분석!$N:$N,AB740)),IFERROR(IF(VLOOKUP(R740,매핑!$A$4:$E$92,4,0)="","미분류",VLOOKUP(R740,매핑!$A$4:$E$92,4,0)),"미분류")))</f>
        <v/>
      </c>
      <c r="AI740" s="43" t="str">
        <f aca="false">IF(Q740&lt;&gt;1,"",IFERROR(IF(VLOOKUP(R740,매핑!$A$4:$E$92,3,0)="","미분류",VLOOKUP(R740,매핑!$A$4:$E$92,3,0)),IF(AB740&lt;&gt;"",IF(AB740="","",INDEX(시장분석!$W:$W,AB740)),"미분류")))</f>
        <v/>
      </c>
      <c r="AJ740" s="43" t="str">
        <f aca="false">IF(Q740&lt;&gt;1,"",IFERROR(VLOOKUP(IF(N740&lt;&gt;"",N740,IF(P740&lt;&gt;"",P740,O740)),설정!$A$15:$D$47,2,0),""))</f>
        <v/>
      </c>
      <c r="AK740" s="43" t="str">
        <f aca="false">IF(Q740&lt;&gt;1,"",IF(AJ740="","무등급",IFERROR(VLOOKUP(AJ740,설정!$A$15:$D$47,3,0),"무등급")))</f>
        <v/>
      </c>
      <c r="AL740" s="89" t="n">
        <f aca="false">IF(AJ740="",99,IFERROR(VLOOKUP(AJ740,설정!$A$15:$D$47,4,0),99))</f>
        <v>99</v>
      </c>
      <c r="AM740" s="94" t="n">
        <f aca="false">IF(ISNUMBER(H740),AA740*1000000*H740/10000,0)</f>
        <v>0</v>
      </c>
      <c r="AN740" s="94" t="n">
        <f aca="false">IF(OR(Y740=1,NOT(ISNUMBER(Z740))),0,AA740*1000000*Z740/10000)</f>
        <v>0</v>
      </c>
      <c r="AO740" s="94" t="n">
        <f aca="false">IF(ISNUMBER(G740),AA740*1000000*G740/100,0)</f>
        <v>0</v>
      </c>
      <c r="AP740" s="94" t="n">
        <f aca="false">IF(ISNUMBER(M740),M740*K740,0)</f>
        <v>0</v>
      </c>
      <c r="AQ740" s="95" t="str">
        <f aca="false">IF(AB740="","",INDEX(시장분석!$AK:$AK,AB740))</f>
        <v/>
      </c>
      <c r="AR740" s="43" t="str">
        <f aca="false">IF(AB740="","-",IF(AB740="","",INDEX(시장분석!$AL:$AL,AB740)))</f>
        <v>-</v>
      </c>
      <c r="AS740" s="96" t="str">
        <f aca="false">IF(AB740="","",INDEX(시장분석!$AJ:$AJ,AB740))</f>
        <v/>
      </c>
      <c r="AT740" s="93" t="n">
        <f aca="false">IF(AB740="",0,IF(AB740="","",INDEX(시장분석!$AN:$AN,AB740)))</f>
        <v>0</v>
      </c>
      <c r="AU740" s="94" t="n">
        <f aca="false">IF(ISNUMBER(Z740),AT740/10000*MAX(Z740-1,0)*AA740*1000000,0)</f>
        <v>0</v>
      </c>
      <c r="AV740" s="94" t="n">
        <f aca="false">AO740+AU740</f>
        <v>0</v>
      </c>
      <c r="AW740" s="43" t="str">
        <f aca="false">IF(Q740&lt;&gt;1,"",TRIM(IF(AD740=1,"FRN ","")&amp;IF(AND(AL740&gt;=10,AL740&lt;99),"BBB0미만 ","")&amp;IF(AJ740="","등급없음 ","")&amp;IF(K740&lt;&gt;1,"비USD ","")&amp;IF(AND(AB740="",Y740=0),"시장데이터없음 ","")&amp;IF(AND(ISNUMBER(U740),U740&lt;0),"만기경과 ","")))</f>
        <v/>
      </c>
      <c r="AX740" s="90" t="n">
        <f aca="false">IF(Q740&lt;&gt;1,1,IF(스프레드쇼크!$C$4="Y",INDEX(스프레드쇼크!$B$12:$L$16,IFERROR(MATCH(AH740,스프레드쇼크!$A$12:$A$16,0),MATCH("목록외",스프레드쇼크!$A$12:$A$16,0)),IFERROR(MATCH(AG740,스프레드쇼크!$B$11:$L$11,0),MATCH("목록외",스프레드쇼크!$B$11:$L$11,0))),1))</f>
        <v>1</v>
      </c>
      <c r="AY740" s="90" t="n">
        <f aca="false">IF(스프레드쇼크!$C$5="Y",IF(ISNUMBER(AF740),MIN(스프레드쇼크!$C$7,MAX(스프레드쇼크!$C$6,AF740/스프레드쇼크!$C$8)),1),1)</f>
        <v>1</v>
      </c>
      <c r="AZ740" s="94" t="n">
        <f aca="false">AN740*AX740*AY740</f>
        <v>0</v>
      </c>
      <c r="BA740" s="90" t="n">
        <f aca="false">IF(ISNUMBER(G740),AA740*G740,0)</f>
        <v>0</v>
      </c>
      <c r="BB740" s="90" t="n">
        <f aca="false">IF(ISNUMBER(G740),AA740,0)</f>
        <v>0</v>
      </c>
      <c r="BC740" s="90" t="n">
        <f aca="false">IF(AND(Y740=0,ISNUMBER(AF740)),AA740*AF740,0)</f>
        <v>0</v>
      </c>
      <c r="BD740" s="90" t="n">
        <f aca="false">IF(AND(Y740=0,ISNUMBER(AF740)),AA740,0)</f>
        <v>0</v>
      </c>
      <c r="BE740" s="90" t="n">
        <f aca="false">IF(ISNUMBER(H740),AA740*H740,0)</f>
        <v>0</v>
      </c>
      <c r="BF740" s="90" t="n">
        <f aca="false">IF(ISNUMBER(H740),AA740,0)</f>
        <v>0</v>
      </c>
      <c r="BG740" s="90" t="n">
        <f aca="false">IF(AND(Y740=0,ISNUMBER(AF740),ISNUMBER(Z740)),AA740*Z740,0)</f>
        <v>0</v>
      </c>
      <c r="BH740" s="90" t="n">
        <f aca="false">IF(AND(Y740=0,ISNUMBER(AF740),ISNUMBER(Z740)),AA740*AT740*MAX(Z740-1,0),0)</f>
        <v>0</v>
      </c>
      <c r="BI740" s="90" t="n">
        <f aca="false">IF(Y740=0,AA740,0)</f>
        <v>0</v>
      </c>
    </row>
    <row r="741" customFormat="false" ht="15" hidden="false" customHeight="false" outlineLevel="0" collapsed="false">
      <c r="A741" s="83" t="str">
        <f aca="false">IFERROR(IF(INDEX(원자료_잔고!$A$1:$EZ$1500,설정!$L$5+ROW()-1,설정!$L$8)&amp;""="0","",INDEX(원자료_잔고!$A$1:$EZ$1500,설정!$L$5+ROW()-1,설정!$L$8)&amp;""),"")</f>
        <v/>
      </c>
      <c r="B741" s="83" t="str">
        <f aca="false">IFERROR(IF(INDEX(원자료_잔고!$A$1:$EZ$1500,설정!$L$5+ROW()-1,설정!$L$7)&amp;""="0","",INDEX(원자료_잔고!$A$1:$EZ$1500,설정!$L$5+ROW()-1,설정!$L$7)&amp;""),"")</f>
        <v/>
      </c>
      <c r="C741" s="83" t="str">
        <f aca="false">IFERROR(IF(INDEX(원자료_잔고!$A$1:$EZ$1500,설정!$L$5+ROW()-1,설정!$L$9)&amp;""="0","",INDEX(원자료_잔고!$A$1:$EZ$1500,설정!$L$5+ROW()-1,설정!$L$9)&amp;""),"")</f>
        <v/>
      </c>
      <c r="D741" s="83" t="str">
        <f aca="false">IFERROR(IF(INDEX(원자료_잔고!$A$1:$EZ$1500,설정!$L$5+ROW()-1,설정!$L$10)&amp;""="0","",INDEX(원자료_잔고!$A$1:$EZ$1500,설정!$L$5+ROW()-1,설정!$L$10)&amp;""),"")</f>
        <v/>
      </c>
      <c r="E741" s="84" t="str">
        <f aca="false">IFERROR(IF(ISNUMBER(INDEX(원자료_잔고!$A$1:$EZ$1500,설정!$L$5+ROW()-1,설정!$L$11)),INDEX(원자료_잔고!$A$1:$EZ$1500,설정!$L$5+ROW()-1,설정!$L$11),""),"")</f>
        <v/>
      </c>
      <c r="F741" s="85" t="str">
        <f aca="false">IFERROR(IF(ISNUMBER(INDEX(원자료_잔고!$A$1:$EZ$1500,설정!$L$5+ROW()-1,설정!$L$12)),INDEX(원자료_잔고!$A$1:$EZ$1500,설정!$L$5+ROW()-1,설정!$L$12),""),"")</f>
        <v/>
      </c>
      <c r="G741" s="85" t="str">
        <f aca="false">IFERROR(IF(ISNUMBER(INDEX(원자료_잔고!$A$1:$EZ$1500,설정!$L$5+ROW()-1,설정!$L$13)),INDEX(원자료_잔고!$A$1:$EZ$1500,설정!$L$5+ROW()-1,설정!$L$13),""),"")</f>
        <v/>
      </c>
      <c r="H741" s="85" t="str">
        <f aca="false">IFERROR(IF(ISNUMBER(INDEX(원자료_잔고!$A$1:$EZ$1500,설정!$L$5+ROW()-1,설정!$L$14)),INDEX(원자료_잔고!$A$1:$EZ$1500,설정!$L$5+ROW()-1,설정!$L$14),""),"")</f>
        <v/>
      </c>
      <c r="I741" s="86" t="str">
        <f aca="false">IFERROR(IF(ISNUMBER(INDEX(원자료_잔고!$A$1:$EZ$1500,설정!$L$5+ROW()-1,설정!$L$15)),INDEX(원자료_잔고!$A$1:$EZ$1500,설정!$L$5+ROW()-1,설정!$L$15),""),"")</f>
        <v/>
      </c>
      <c r="J741" s="85" t="str">
        <f aca="false">IFERROR(IF(ISNUMBER(INDEX(원자료_잔고!$A$1:$EZ$1500,설정!$L$5+ROW()-1,설정!$L$16)),INDEX(원자료_잔고!$A$1:$EZ$1500,설정!$L$5+ROW()-1,설정!$L$16),""),"")</f>
        <v/>
      </c>
      <c r="K741" s="87" t="str">
        <f aca="false">IFERROR(IF(ISNUMBER(INDEX(원자료_잔고!$A$1:$EZ$1500,설정!$L$5+ROW()-1,설정!$L$17)),INDEX(원자료_잔고!$A$1:$EZ$1500,설정!$L$5+ROW()-1,설정!$L$17),""),"")</f>
        <v/>
      </c>
      <c r="L741" s="84" t="str">
        <f aca="false">IFERROR(IF(ISNUMBER(INDEX(원자료_잔고!$A$1:$EZ$1500,설정!$L$5+ROW()-1,설정!$L$18)),INDEX(원자료_잔고!$A$1:$EZ$1500,설정!$L$5+ROW()-1,설정!$L$18),""),"")</f>
        <v/>
      </c>
      <c r="M741" s="88" t="str">
        <f aca="false">IFERROR(IF(ISNUMBER(INDEX(원자료_잔고!$A$1:$EZ$1500,설정!$L$5+ROW()-1,설정!$L$19)),INDEX(원자료_잔고!$A$1:$EZ$1500,설정!$L$5+ROW()-1,설정!$L$19),""),"")</f>
        <v/>
      </c>
      <c r="N741" s="83" t="str">
        <f aca="false">IFERROR(IF(INDEX(원자료_잔고!$A$1:$EZ$1500,설정!$L$5+ROW()-1,설정!$L$21)&amp;""="0","",INDEX(원자료_잔고!$A$1:$EZ$1500,설정!$L$5+ROW()-1,설정!$L$21)&amp;""),"")</f>
        <v/>
      </c>
      <c r="O741" s="83" t="str">
        <f aca="false">IFERROR(IF(INDEX(원자료_잔고!$A$1:$EZ$1500,설정!$L$5+ROW()-1,설정!$L$22)&amp;""="0","",INDEX(원자료_잔고!$A$1:$EZ$1500,설정!$L$5+ROW()-1,설정!$L$22)&amp;""),"")</f>
        <v/>
      </c>
      <c r="P741" s="83" t="str">
        <f aca="false">IFERROR(IF(INDEX(원자료_잔고!$A$1:$EZ$1500,설정!$L$5+ROW()-1,설정!$L$23)&amp;""="0","",INDEX(원자료_잔고!$A$1:$EZ$1500,설정!$L$5+ROW()-1,설정!$L$23)&amp;""),"")</f>
        <v/>
      </c>
      <c r="Q741" s="89" t="n">
        <f aca="false">IF(AND($A741&lt;&gt;"",ISNUMBER(E741)),IF(E741&gt;0,1,0),0)</f>
        <v>0</v>
      </c>
      <c r="R741" s="43" t="str">
        <f aca="false">IF(Q741=1,UPPER(LEFT($A741,FIND(" ",$A741&amp;" ")-1)),"")</f>
        <v/>
      </c>
      <c r="S741" s="89" t="n">
        <f aca="false">IF(Q741=1,IF(OR(ISNUMBER(SEARCH("Float",$A741)),ISNUMBER(SEARCH("FRN",$A741))),1,0),0)</f>
        <v>0</v>
      </c>
      <c r="T741" s="43" t="str">
        <f aca="false">IF(AND(Q741=1,ISNUMBER(I741)),TEXT(I741,"yyyymmdd")&amp;"|"&amp;IF(S741=1,"F",TEXT(J741,"0.000")),"")</f>
        <v/>
      </c>
      <c r="U741" s="90" t="str">
        <f aca="false">IF(AND(Q741=1,ISNUMBER(I741)),(I741-설정!$C$4)/365.25,"")</f>
        <v/>
      </c>
      <c r="V741" s="43" t="str">
        <f aca="false">IF(Q741&lt;&gt;1,"",IF(ISNUMBER(U741),IF(U741&lt;=1,"1년 이하",IF(U741&lt;=2,"1-2년",IF(U741&lt;=3,"2-3년",IF(U741&lt;=4,"3-4년",IF(U741&lt;=5,"4-5년",IF(U741&lt;=7,"5-7년",IF(U741&lt;=10,"7-10년",IF(U741&lt;=20,"10-20년","20년 이상")))))))),"미분류"))</f>
        <v/>
      </c>
      <c r="W741" s="43" t="str">
        <f aca="false">IF(Q741&lt;&gt;1,"",IF(AB741&lt;&gt;"",INDEX(시장분석!$C:$C,AB741),IF(K741=1,"USD","비USD")))</f>
        <v/>
      </c>
      <c r="X741" s="91" t="n">
        <f aca="false">IF(Q741=1,E741*K741/1000000,0)</f>
        <v>0</v>
      </c>
      <c r="Y741" s="89" t="n">
        <f aca="false">IF(R741="T",1,0)</f>
        <v>0</v>
      </c>
      <c r="Z741" s="92" t="str">
        <f aca="false">IF(Q741&lt;&gt;1,"",IF(AD741=1,IF(ISNUMBER(U741),MAX(U741,0),H741),H741))</f>
        <v/>
      </c>
      <c r="AA741" s="91" t="n">
        <f aca="false">IF(Q741=1,IF(ISNUMBER(L741),L741,0)*K741/1000000,0)</f>
        <v>0</v>
      </c>
      <c r="AB741" s="89" t="str">
        <f aca="false">IF(Q741&lt;&gt;1,"",IFERROR(MATCH(VLOOKUP(B741,매핑!$H$4:$I$15,2,0),시장분석!$A$2:$A$601,0)+1,IFERROR(MATCH(R741&amp;"|"&amp;T741,시장분석!$V$2:$V$601,0)+1,IF(COUNTIF(시장분석!$U$2:$U$601,T741)=1,MATCH(T741,시장분석!$U$2:$U$601,0)+1,""))))</f>
        <v/>
      </c>
      <c r="AC741" s="89" t="n">
        <f aca="false">IF(Q741&lt;&gt;1,0,IF(OR(설정!$C$5="전체",AND(설정!$C$5="선택펀드",IFERROR(COUNTIFS(설정!$F$16:$F$36,C741,설정!$G$16:$G$36,"Y")+COUNTIFS(설정!$F$16:$F$36,VALUE(C741),설정!$G$16:$G$36,"Y"),0)&gt;0),C741&amp;""=설정!$C$5&amp;""),1,0))</f>
        <v>0</v>
      </c>
      <c r="AD741" s="89" t="n">
        <f aca="false">IF(Q741&lt;&gt;1,0,IF(OR(S741=1,IF(AB741="",FALSE(),INDEX(시장분석!$R:$R,AB741)=1)),1,0))</f>
        <v>0</v>
      </c>
      <c r="AE741" s="43" t="str">
        <f aca="false">IF(AB741="","",INDEX(시장분석!$A:$A,AB741))</f>
        <v/>
      </c>
      <c r="AF741" s="93" t="str">
        <f aca="false">IF(AB741="","",IF(ISNUMBER(IF(AB741="","",INDEX(시장분석!$E:$E,AB741))),IF(AB741="","",INDEX(시장분석!$E:$E,AB741)),""))</f>
        <v/>
      </c>
      <c r="AG741" s="43" t="str">
        <f aca="false">IF(Q741&lt;&gt;1,"",IF(AB741&lt;&gt;"",IF(AB741="","",INDEX(시장분석!$L:$L,AB741)),IFERROR(IF(VLOOKUP(R741,매핑!$A$4:$E$92,5,0)="","미분류",VLOOKUP(R741,매핑!$A$4:$E$92,5,0)),"미분류")))</f>
        <v/>
      </c>
      <c r="AH741" s="43" t="str">
        <f aca="false">IF(Q741&lt;&gt;1,"",IF(AB741&lt;&gt;"",IF(AB741="","",INDEX(시장분석!$N:$N,AB741)),IFERROR(IF(VLOOKUP(R741,매핑!$A$4:$E$92,4,0)="","미분류",VLOOKUP(R741,매핑!$A$4:$E$92,4,0)),"미분류")))</f>
        <v/>
      </c>
      <c r="AI741" s="43" t="str">
        <f aca="false">IF(Q741&lt;&gt;1,"",IFERROR(IF(VLOOKUP(R741,매핑!$A$4:$E$92,3,0)="","미분류",VLOOKUP(R741,매핑!$A$4:$E$92,3,0)),IF(AB741&lt;&gt;"",IF(AB741="","",INDEX(시장분석!$W:$W,AB741)),"미분류")))</f>
        <v/>
      </c>
      <c r="AJ741" s="43" t="str">
        <f aca="false">IF(Q741&lt;&gt;1,"",IFERROR(VLOOKUP(IF(N741&lt;&gt;"",N741,IF(P741&lt;&gt;"",P741,O741)),설정!$A$15:$D$47,2,0),""))</f>
        <v/>
      </c>
      <c r="AK741" s="43" t="str">
        <f aca="false">IF(Q741&lt;&gt;1,"",IF(AJ741="","무등급",IFERROR(VLOOKUP(AJ741,설정!$A$15:$D$47,3,0),"무등급")))</f>
        <v/>
      </c>
      <c r="AL741" s="89" t="n">
        <f aca="false">IF(AJ741="",99,IFERROR(VLOOKUP(AJ741,설정!$A$15:$D$47,4,0),99))</f>
        <v>99</v>
      </c>
      <c r="AM741" s="94" t="n">
        <f aca="false">IF(ISNUMBER(H741),AA741*1000000*H741/10000,0)</f>
        <v>0</v>
      </c>
      <c r="AN741" s="94" t="n">
        <f aca="false">IF(OR(Y741=1,NOT(ISNUMBER(Z741))),0,AA741*1000000*Z741/10000)</f>
        <v>0</v>
      </c>
      <c r="AO741" s="94" t="n">
        <f aca="false">IF(ISNUMBER(G741),AA741*1000000*G741/100,0)</f>
        <v>0</v>
      </c>
      <c r="AP741" s="94" t="n">
        <f aca="false">IF(ISNUMBER(M741),M741*K741,0)</f>
        <v>0</v>
      </c>
      <c r="AQ741" s="95" t="str">
        <f aca="false">IF(AB741="","",INDEX(시장분석!$AK:$AK,AB741))</f>
        <v/>
      </c>
      <c r="AR741" s="43" t="str">
        <f aca="false">IF(AB741="","-",IF(AB741="","",INDEX(시장분석!$AL:$AL,AB741)))</f>
        <v>-</v>
      </c>
      <c r="AS741" s="96" t="str">
        <f aca="false">IF(AB741="","",INDEX(시장분석!$AJ:$AJ,AB741))</f>
        <v/>
      </c>
      <c r="AT741" s="93" t="n">
        <f aca="false">IF(AB741="",0,IF(AB741="","",INDEX(시장분석!$AN:$AN,AB741)))</f>
        <v>0</v>
      </c>
      <c r="AU741" s="94" t="n">
        <f aca="false">IF(ISNUMBER(Z741),AT741/10000*MAX(Z741-1,0)*AA741*1000000,0)</f>
        <v>0</v>
      </c>
      <c r="AV741" s="94" t="n">
        <f aca="false">AO741+AU741</f>
        <v>0</v>
      </c>
      <c r="AW741" s="43" t="str">
        <f aca="false">IF(Q741&lt;&gt;1,"",TRIM(IF(AD741=1,"FRN ","")&amp;IF(AND(AL741&gt;=10,AL741&lt;99),"BBB0미만 ","")&amp;IF(AJ741="","등급없음 ","")&amp;IF(K741&lt;&gt;1,"비USD ","")&amp;IF(AND(AB741="",Y741=0),"시장데이터없음 ","")&amp;IF(AND(ISNUMBER(U741),U741&lt;0),"만기경과 ","")))</f>
        <v/>
      </c>
      <c r="AX741" s="90" t="n">
        <f aca="false">IF(Q741&lt;&gt;1,1,IF(스프레드쇼크!$C$4="Y",INDEX(스프레드쇼크!$B$12:$L$16,IFERROR(MATCH(AH741,스프레드쇼크!$A$12:$A$16,0),MATCH("목록외",스프레드쇼크!$A$12:$A$16,0)),IFERROR(MATCH(AG741,스프레드쇼크!$B$11:$L$11,0),MATCH("목록외",스프레드쇼크!$B$11:$L$11,0))),1))</f>
        <v>1</v>
      </c>
      <c r="AY741" s="90" t="n">
        <f aca="false">IF(스프레드쇼크!$C$5="Y",IF(ISNUMBER(AF741),MIN(스프레드쇼크!$C$7,MAX(스프레드쇼크!$C$6,AF741/스프레드쇼크!$C$8)),1),1)</f>
        <v>1</v>
      </c>
      <c r="AZ741" s="94" t="n">
        <f aca="false">AN741*AX741*AY741</f>
        <v>0</v>
      </c>
      <c r="BA741" s="90" t="n">
        <f aca="false">IF(ISNUMBER(G741),AA741*G741,0)</f>
        <v>0</v>
      </c>
      <c r="BB741" s="90" t="n">
        <f aca="false">IF(ISNUMBER(G741),AA741,0)</f>
        <v>0</v>
      </c>
      <c r="BC741" s="90" t="n">
        <f aca="false">IF(AND(Y741=0,ISNUMBER(AF741)),AA741*AF741,0)</f>
        <v>0</v>
      </c>
      <c r="BD741" s="90" t="n">
        <f aca="false">IF(AND(Y741=0,ISNUMBER(AF741)),AA741,0)</f>
        <v>0</v>
      </c>
      <c r="BE741" s="90" t="n">
        <f aca="false">IF(ISNUMBER(H741),AA741*H741,0)</f>
        <v>0</v>
      </c>
      <c r="BF741" s="90" t="n">
        <f aca="false">IF(ISNUMBER(H741),AA741,0)</f>
        <v>0</v>
      </c>
      <c r="BG741" s="90" t="n">
        <f aca="false">IF(AND(Y741=0,ISNUMBER(AF741),ISNUMBER(Z741)),AA741*Z741,0)</f>
        <v>0</v>
      </c>
      <c r="BH741" s="90" t="n">
        <f aca="false">IF(AND(Y741=0,ISNUMBER(AF741),ISNUMBER(Z741)),AA741*AT741*MAX(Z741-1,0),0)</f>
        <v>0</v>
      </c>
      <c r="BI741" s="90" t="n">
        <f aca="false">IF(Y741=0,AA741,0)</f>
        <v>0</v>
      </c>
    </row>
    <row r="742" customFormat="false" ht="15" hidden="false" customHeight="false" outlineLevel="0" collapsed="false">
      <c r="A742" s="83" t="str">
        <f aca="false">IFERROR(IF(INDEX(원자료_잔고!$A$1:$EZ$1500,설정!$L$5+ROW()-1,설정!$L$8)&amp;""="0","",INDEX(원자료_잔고!$A$1:$EZ$1500,설정!$L$5+ROW()-1,설정!$L$8)&amp;""),"")</f>
        <v/>
      </c>
      <c r="B742" s="83" t="str">
        <f aca="false">IFERROR(IF(INDEX(원자료_잔고!$A$1:$EZ$1500,설정!$L$5+ROW()-1,설정!$L$7)&amp;""="0","",INDEX(원자료_잔고!$A$1:$EZ$1500,설정!$L$5+ROW()-1,설정!$L$7)&amp;""),"")</f>
        <v/>
      </c>
      <c r="C742" s="83" t="str">
        <f aca="false">IFERROR(IF(INDEX(원자료_잔고!$A$1:$EZ$1500,설정!$L$5+ROW()-1,설정!$L$9)&amp;""="0","",INDEX(원자료_잔고!$A$1:$EZ$1500,설정!$L$5+ROW()-1,설정!$L$9)&amp;""),"")</f>
        <v/>
      </c>
      <c r="D742" s="83" t="str">
        <f aca="false">IFERROR(IF(INDEX(원자료_잔고!$A$1:$EZ$1500,설정!$L$5+ROW()-1,설정!$L$10)&amp;""="0","",INDEX(원자료_잔고!$A$1:$EZ$1500,설정!$L$5+ROW()-1,설정!$L$10)&amp;""),"")</f>
        <v/>
      </c>
      <c r="E742" s="84" t="str">
        <f aca="false">IFERROR(IF(ISNUMBER(INDEX(원자료_잔고!$A$1:$EZ$1500,설정!$L$5+ROW()-1,설정!$L$11)),INDEX(원자료_잔고!$A$1:$EZ$1500,설정!$L$5+ROW()-1,설정!$L$11),""),"")</f>
        <v/>
      </c>
      <c r="F742" s="85" t="str">
        <f aca="false">IFERROR(IF(ISNUMBER(INDEX(원자료_잔고!$A$1:$EZ$1500,설정!$L$5+ROW()-1,설정!$L$12)),INDEX(원자료_잔고!$A$1:$EZ$1500,설정!$L$5+ROW()-1,설정!$L$12),""),"")</f>
        <v/>
      </c>
      <c r="G742" s="85" t="str">
        <f aca="false">IFERROR(IF(ISNUMBER(INDEX(원자료_잔고!$A$1:$EZ$1500,설정!$L$5+ROW()-1,설정!$L$13)),INDEX(원자료_잔고!$A$1:$EZ$1500,설정!$L$5+ROW()-1,설정!$L$13),""),"")</f>
        <v/>
      </c>
      <c r="H742" s="85" t="str">
        <f aca="false">IFERROR(IF(ISNUMBER(INDEX(원자료_잔고!$A$1:$EZ$1500,설정!$L$5+ROW()-1,설정!$L$14)),INDEX(원자료_잔고!$A$1:$EZ$1500,설정!$L$5+ROW()-1,설정!$L$14),""),"")</f>
        <v/>
      </c>
      <c r="I742" s="86" t="str">
        <f aca="false">IFERROR(IF(ISNUMBER(INDEX(원자료_잔고!$A$1:$EZ$1500,설정!$L$5+ROW()-1,설정!$L$15)),INDEX(원자료_잔고!$A$1:$EZ$1500,설정!$L$5+ROW()-1,설정!$L$15),""),"")</f>
        <v/>
      </c>
      <c r="J742" s="85" t="str">
        <f aca="false">IFERROR(IF(ISNUMBER(INDEX(원자료_잔고!$A$1:$EZ$1500,설정!$L$5+ROW()-1,설정!$L$16)),INDEX(원자료_잔고!$A$1:$EZ$1500,설정!$L$5+ROW()-1,설정!$L$16),""),"")</f>
        <v/>
      </c>
      <c r="K742" s="87" t="str">
        <f aca="false">IFERROR(IF(ISNUMBER(INDEX(원자료_잔고!$A$1:$EZ$1500,설정!$L$5+ROW()-1,설정!$L$17)),INDEX(원자료_잔고!$A$1:$EZ$1500,설정!$L$5+ROW()-1,설정!$L$17),""),"")</f>
        <v/>
      </c>
      <c r="L742" s="84" t="str">
        <f aca="false">IFERROR(IF(ISNUMBER(INDEX(원자료_잔고!$A$1:$EZ$1500,설정!$L$5+ROW()-1,설정!$L$18)),INDEX(원자료_잔고!$A$1:$EZ$1500,설정!$L$5+ROW()-1,설정!$L$18),""),"")</f>
        <v/>
      </c>
      <c r="M742" s="88" t="str">
        <f aca="false">IFERROR(IF(ISNUMBER(INDEX(원자료_잔고!$A$1:$EZ$1500,설정!$L$5+ROW()-1,설정!$L$19)),INDEX(원자료_잔고!$A$1:$EZ$1500,설정!$L$5+ROW()-1,설정!$L$19),""),"")</f>
        <v/>
      </c>
      <c r="N742" s="83" t="str">
        <f aca="false">IFERROR(IF(INDEX(원자료_잔고!$A$1:$EZ$1500,설정!$L$5+ROW()-1,설정!$L$21)&amp;""="0","",INDEX(원자료_잔고!$A$1:$EZ$1500,설정!$L$5+ROW()-1,설정!$L$21)&amp;""),"")</f>
        <v/>
      </c>
      <c r="O742" s="83" t="str">
        <f aca="false">IFERROR(IF(INDEX(원자료_잔고!$A$1:$EZ$1500,설정!$L$5+ROW()-1,설정!$L$22)&amp;""="0","",INDEX(원자료_잔고!$A$1:$EZ$1500,설정!$L$5+ROW()-1,설정!$L$22)&amp;""),"")</f>
        <v/>
      </c>
      <c r="P742" s="83" t="str">
        <f aca="false">IFERROR(IF(INDEX(원자료_잔고!$A$1:$EZ$1500,설정!$L$5+ROW()-1,설정!$L$23)&amp;""="0","",INDEX(원자료_잔고!$A$1:$EZ$1500,설정!$L$5+ROW()-1,설정!$L$23)&amp;""),"")</f>
        <v/>
      </c>
      <c r="Q742" s="89" t="n">
        <f aca="false">IF(AND($A742&lt;&gt;"",ISNUMBER(E742)),IF(E742&gt;0,1,0),0)</f>
        <v>0</v>
      </c>
      <c r="R742" s="43" t="str">
        <f aca="false">IF(Q742=1,UPPER(LEFT($A742,FIND(" ",$A742&amp;" ")-1)),"")</f>
        <v/>
      </c>
      <c r="S742" s="89" t="n">
        <f aca="false">IF(Q742=1,IF(OR(ISNUMBER(SEARCH("Float",$A742)),ISNUMBER(SEARCH("FRN",$A742))),1,0),0)</f>
        <v>0</v>
      </c>
      <c r="T742" s="43" t="str">
        <f aca="false">IF(AND(Q742=1,ISNUMBER(I742)),TEXT(I742,"yyyymmdd")&amp;"|"&amp;IF(S742=1,"F",TEXT(J742,"0.000")),"")</f>
        <v/>
      </c>
      <c r="U742" s="90" t="str">
        <f aca="false">IF(AND(Q742=1,ISNUMBER(I742)),(I742-설정!$C$4)/365.25,"")</f>
        <v/>
      </c>
      <c r="V742" s="43" t="str">
        <f aca="false">IF(Q742&lt;&gt;1,"",IF(ISNUMBER(U742),IF(U742&lt;=1,"1년 이하",IF(U742&lt;=2,"1-2년",IF(U742&lt;=3,"2-3년",IF(U742&lt;=4,"3-4년",IF(U742&lt;=5,"4-5년",IF(U742&lt;=7,"5-7년",IF(U742&lt;=10,"7-10년",IF(U742&lt;=20,"10-20년","20년 이상")))))))),"미분류"))</f>
        <v/>
      </c>
      <c r="W742" s="43" t="str">
        <f aca="false">IF(Q742&lt;&gt;1,"",IF(AB742&lt;&gt;"",INDEX(시장분석!$C:$C,AB742),IF(K742=1,"USD","비USD")))</f>
        <v/>
      </c>
      <c r="X742" s="91" t="n">
        <f aca="false">IF(Q742=1,E742*K742/1000000,0)</f>
        <v>0</v>
      </c>
      <c r="Y742" s="89" t="n">
        <f aca="false">IF(R742="T",1,0)</f>
        <v>0</v>
      </c>
      <c r="Z742" s="92" t="str">
        <f aca="false">IF(Q742&lt;&gt;1,"",IF(AD742=1,IF(ISNUMBER(U742),MAX(U742,0),H742),H742))</f>
        <v/>
      </c>
      <c r="AA742" s="91" t="n">
        <f aca="false">IF(Q742=1,IF(ISNUMBER(L742),L742,0)*K742/1000000,0)</f>
        <v>0</v>
      </c>
      <c r="AB742" s="89" t="str">
        <f aca="false">IF(Q742&lt;&gt;1,"",IFERROR(MATCH(VLOOKUP(B742,매핑!$H$4:$I$15,2,0),시장분석!$A$2:$A$601,0)+1,IFERROR(MATCH(R742&amp;"|"&amp;T742,시장분석!$V$2:$V$601,0)+1,IF(COUNTIF(시장분석!$U$2:$U$601,T742)=1,MATCH(T742,시장분석!$U$2:$U$601,0)+1,""))))</f>
        <v/>
      </c>
      <c r="AC742" s="89" t="n">
        <f aca="false">IF(Q742&lt;&gt;1,0,IF(OR(설정!$C$5="전체",AND(설정!$C$5="선택펀드",IFERROR(COUNTIFS(설정!$F$16:$F$36,C742,설정!$G$16:$G$36,"Y")+COUNTIFS(설정!$F$16:$F$36,VALUE(C742),설정!$G$16:$G$36,"Y"),0)&gt;0),C742&amp;""=설정!$C$5&amp;""),1,0))</f>
        <v>0</v>
      </c>
      <c r="AD742" s="89" t="n">
        <f aca="false">IF(Q742&lt;&gt;1,0,IF(OR(S742=1,IF(AB742="",FALSE(),INDEX(시장분석!$R:$R,AB742)=1)),1,0))</f>
        <v>0</v>
      </c>
      <c r="AE742" s="43" t="str">
        <f aca="false">IF(AB742="","",INDEX(시장분석!$A:$A,AB742))</f>
        <v/>
      </c>
      <c r="AF742" s="93" t="str">
        <f aca="false">IF(AB742="","",IF(ISNUMBER(IF(AB742="","",INDEX(시장분석!$E:$E,AB742))),IF(AB742="","",INDEX(시장분석!$E:$E,AB742)),""))</f>
        <v/>
      </c>
      <c r="AG742" s="43" t="str">
        <f aca="false">IF(Q742&lt;&gt;1,"",IF(AB742&lt;&gt;"",IF(AB742="","",INDEX(시장분석!$L:$L,AB742)),IFERROR(IF(VLOOKUP(R742,매핑!$A$4:$E$92,5,0)="","미분류",VLOOKUP(R742,매핑!$A$4:$E$92,5,0)),"미분류")))</f>
        <v/>
      </c>
      <c r="AH742" s="43" t="str">
        <f aca="false">IF(Q742&lt;&gt;1,"",IF(AB742&lt;&gt;"",IF(AB742="","",INDEX(시장분석!$N:$N,AB742)),IFERROR(IF(VLOOKUP(R742,매핑!$A$4:$E$92,4,0)="","미분류",VLOOKUP(R742,매핑!$A$4:$E$92,4,0)),"미분류")))</f>
        <v/>
      </c>
      <c r="AI742" s="43" t="str">
        <f aca="false">IF(Q742&lt;&gt;1,"",IFERROR(IF(VLOOKUP(R742,매핑!$A$4:$E$92,3,0)="","미분류",VLOOKUP(R742,매핑!$A$4:$E$92,3,0)),IF(AB742&lt;&gt;"",IF(AB742="","",INDEX(시장분석!$W:$W,AB742)),"미분류")))</f>
        <v/>
      </c>
      <c r="AJ742" s="43" t="str">
        <f aca="false">IF(Q742&lt;&gt;1,"",IFERROR(VLOOKUP(IF(N742&lt;&gt;"",N742,IF(P742&lt;&gt;"",P742,O742)),설정!$A$15:$D$47,2,0),""))</f>
        <v/>
      </c>
      <c r="AK742" s="43" t="str">
        <f aca="false">IF(Q742&lt;&gt;1,"",IF(AJ742="","무등급",IFERROR(VLOOKUP(AJ742,설정!$A$15:$D$47,3,0),"무등급")))</f>
        <v/>
      </c>
      <c r="AL742" s="89" t="n">
        <f aca="false">IF(AJ742="",99,IFERROR(VLOOKUP(AJ742,설정!$A$15:$D$47,4,0),99))</f>
        <v>99</v>
      </c>
      <c r="AM742" s="94" t="n">
        <f aca="false">IF(ISNUMBER(H742),AA742*1000000*H742/10000,0)</f>
        <v>0</v>
      </c>
      <c r="AN742" s="94" t="n">
        <f aca="false">IF(OR(Y742=1,NOT(ISNUMBER(Z742))),0,AA742*1000000*Z742/10000)</f>
        <v>0</v>
      </c>
      <c r="AO742" s="94" t="n">
        <f aca="false">IF(ISNUMBER(G742),AA742*1000000*G742/100,0)</f>
        <v>0</v>
      </c>
      <c r="AP742" s="94" t="n">
        <f aca="false">IF(ISNUMBER(M742),M742*K742,0)</f>
        <v>0</v>
      </c>
      <c r="AQ742" s="95" t="str">
        <f aca="false">IF(AB742="","",INDEX(시장분석!$AK:$AK,AB742))</f>
        <v/>
      </c>
      <c r="AR742" s="43" t="str">
        <f aca="false">IF(AB742="","-",IF(AB742="","",INDEX(시장분석!$AL:$AL,AB742)))</f>
        <v>-</v>
      </c>
      <c r="AS742" s="96" t="str">
        <f aca="false">IF(AB742="","",INDEX(시장분석!$AJ:$AJ,AB742))</f>
        <v/>
      </c>
      <c r="AT742" s="93" t="n">
        <f aca="false">IF(AB742="",0,IF(AB742="","",INDEX(시장분석!$AN:$AN,AB742)))</f>
        <v>0</v>
      </c>
      <c r="AU742" s="94" t="n">
        <f aca="false">IF(ISNUMBER(Z742),AT742/10000*MAX(Z742-1,0)*AA742*1000000,0)</f>
        <v>0</v>
      </c>
      <c r="AV742" s="94" t="n">
        <f aca="false">AO742+AU742</f>
        <v>0</v>
      </c>
      <c r="AW742" s="43" t="str">
        <f aca="false">IF(Q742&lt;&gt;1,"",TRIM(IF(AD742=1,"FRN ","")&amp;IF(AND(AL742&gt;=10,AL742&lt;99),"BBB0미만 ","")&amp;IF(AJ742="","등급없음 ","")&amp;IF(K742&lt;&gt;1,"비USD ","")&amp;IF(AND(AB742="",Y742=0),"시장데이터없음 ","")&amp;IF(AND(ISNUMBER(U742),U742&lt;0),"만기경과 ","")))</f>
        <v/>
      </c>
      <c r="AX742" s="90" t="n">
        <f aca="false">IF(Q742&lt;&gt;1,1,IF(스프레드쇼크!$C$4="Y",INDEX(스프레드쇼크!$B$12:$L$16,IFERROR(MATCH(AH742,스프레드쇼크!$A$12:$A$16,0),MATCH("목록외",스프레드쇼크!$A$12:$A$16,0)),IFERROR(MATCH(AG742,스프레드쇼크!$B$11:$L$11,0),MATCH("목록외",스프레드쇼크!$B$11:$L$11,0))),1))</f>
        <v>1</v>
      </c>
      <c r="AY742" s="90" t="n">
        <f aca="false">IF(스프레드쇼크!$C$5="Y",IF(ISNUMBER(AF742),MIN(스프레드쇼크!$C$7,MAX(스프레드쇼크!$C$6,AF742/스프레드쇼크!$C$8)),1),1)</f>
        <v>1</v>
      </c>
      <c r="AZ742" s="94" t="n">
        <f aca="false">AN742*AX742*AY742</f>
        <v>0</v>
      </c>
      <c r="BA742" s="90" t="n">
        <f aca="false">IF(ISNUMBER(G742),AA742*G742,0)</f>
        <v>0</v>
      </c>
      <c r="BB742" s="90" t="n">
        <f aca="false">IF(ISNUMBER(G742),AA742,0)</f>
        <v>0</v>
      </c>
      <c r="BC742" s="90" t="n">
        <f aca="false">IF(AND(Y742=0,ISNUMBER(AF742)),AA742*AF742,0)</f>
        <v>0</v>
      </c>
      <c r="BD742" s="90" t="n">
        <f aca="false">IF(AND(Y742=0,ISNUMBER(AF742)),AA742,0)</f>
        <v>0</v>
      </c>
      <c r="BE742" s="90" t="n">
        <f aca="false">IF(ISNUMBER(H742),AA742*H742,0)</f>
        <v>0</v>
      </c>
      <c r="BF742" s="90" t="n">
        <f aca="false">IF(ISNUMBER(H742),AA742,0)</f>
        <v>0</v>
      </c>
      <c r="BG742" s="90" t="n">
        <f aca="false">IF(AND(Y742=0,ISNUMBER(AF742),ISNUMBER(Z742)),AA742*Z742,0)</f>
        <v>0</v>
      </c>
      <c r="BH742" s="90" t="n">
        <f aca="false">IF(AND(Y742=0,ISNUMBER(AF742),ISNUMBER(Z742)),AA742*AT742*MAX(Z742-1,0),0)</f>
        <v>0</v>
      </c>
      <c r="BI742" s="90" t="n">
        <f aca="false">IF(Y742=0,AA742,0)</f>
        <v>0</v>
      </c>
    </row>
    <row r="743" customFormat="false" ht="15" hidden="false" customHeight="false" outlineLevel="0" collapsed="false">
      <c r="A743" s="83" t="str">
        <f aca="false">IFERROR(IF(INDEX(원자료_잔고!$A$1:$EZ$1500,설정!$L$5+ROW()-1,설정!$L$8)&amp;""="0","",INDEX(원자료_잔고!$A$1:$EZ$1500,설정!$L$5+ROW()-1,설정!$L$8)&amp;""),"")</f>
        <v/>
      </c>
      <c r="B743" s="83" t="str">
        <f aca="false">IFERROR(IF(INDEX(원자료_잔고!$A$1:$EZ$1500,설정!$L$5+ROW()-1,설정!$L$7)&amp;""="0","",INDEX(원자료_잔고!$A$1:$EZ$1500,설정!$L$5+ROW()-1,설정!$L$7)&amp;""),"")</f>
        <v/>
      </c>
      <c r="C743" s="83" t="str">
        <f aca="false">IFERROR(IF(INDEX(원자료_잔고!$A$1:$EZ$1500,설정!$L$5+ROW()-1,설정!$L$9)&amp;""="0","",INDEX(원자료_잔고!$A$1:$EZ$1500,설정!$L$5+ROW()-1,설정!$L$9)&amp;""),"")</f>
        <v/>
      </c>
      <c r="D743" s="83" t="str">
        <f aca="false">IFERROR(IF(INDEX(원자료_잔고!$A$1:$EZ$1500,설정!$L$5+ROW()-1,설정!$L$10)&amp;""="0","",INDEX(원자료_잔고!$A$1:$EZ$1500,설정!$L$5+ROW()-1,설정!$L$10)&amp;""),"")</f>
        <v/>
      </c>
      <c r="E743" s="84" t="str">
        <f aca="false">IFERROR(IF(ISNUMBER(INDEX(원자료_잔고!$A$1:$EZ$1500,설정!$L$5+ROW()-1,설정!$L$11)),INDEX(원자료_잔고!$A$1:$EZ$1500,설정!$L$5+ROW()-1,설정!$L$11),""),"")</f>
        <v/>
      </c>
      <c r="F743" s="85" t="str">
        <f aca="false">IFERROR(IF(ISNUMBER(INDEX(원자료_잔고!$A$1:$EZ$1500,설정!$L$5+ROW()-1,설정!$L$12)),INDEX(원자료_잔고!$A$1:$EZ$1500,설정!$L$5+ROW()-1,설정!$L$12),""),"")</f>
        <v/>
      </c>
      <c r="G743" s="85" t="str">
        <f aca="false">IFERROR(IF(ISNUMBER(INDEX(원자료_잔고!$A$1:$EZ$1500,설정!$L$5+ROW()-1,설정!$L$13)),INDEX(원자료_잔고!$A$1:$EZ$1500,설정!$L$5+ROW()-1,설정!$L$13),""),"")</f>
        <v/>
      </c>
      <c r="H743" s="85" t="str">
        <f aca="false">IFERROR(IF(ISNUMBER(INDEX(원자료_잔고!$A$1:$EZ$1500,설정!$L$5+ROW()-1,설정!$L$14)),INDEX(원자료_잔고!$A$1:$EZ$1500,설정!$L$5+ROW()-1,설정!$L$14),""),"")</f>
        <v/>
      </c>
      <c r="I743" s="86" t="str">
        <f aca="false">IFERROR(IF(ISNUMBER(INDEX(원자료_잔고!$A$1:$EZ$1500,설정!$L$5+ROW()-1,설정!$L$15)),INDEX(원자료_잔고!$A$1:$EZ$1500,설정!$L$5+ROW()-1,설정!$L$15),""),"")</f>
        <v/>
      </c>
      <c r="J743" s="85" t="str">
        <f aca="false">IFERROR(IF(ISNUMBER(INDEX(원자료_잔고!$A$1:$EZ$1500,설정!$L$5+ROW()-1,설정!$L$16)),INDEX(원자료_잔고!$A$1:$EZ$1500,설정!$L$5+ROW()-1,설정!$L$16),""),"")</f>
        <v/>
      </c>
      <c r="K743" s="87" t="str">
        <f aca="false">IFERROR(IF(ISNUMBER(INDEX(원자료_잔고!$A$1:$EZ$1500,설정!$L$5+ROW()-1,설정!$L$17)),INDEX(원자료_잔고!$A$1:$EZ$1500,설정!$L$5+ROW()-1,설정!$L$17),""),"")</f>
        <v/>
      </c>
      <c r="L743" s="84" t="str">
        <f aca="false">IFERROR(IF(ISNUMBER(INDEX(원자료_잔고!$A$1:$EZ$1500,설정!$L$5+ROW()-1,설정!$L$18)),INDEX(원자료_잔고!$A$1:$EZ$1500,설정!$L$5+ROW()-1,설정!$L$18),""),"")</f>
        <v/>
      </c>
      <c r="M743" s="88" t="str">
        <f aca="false">IFERROR(IF(ISNUMBER(INDEX(원자료_잔고!$A$1:$EZ$1500,설정!$L$5+ROW()-1,설정!$L$19)),INDEX(원자료_잔고!$A$1:$EZ$1500,설정!$L$5+ROW()-1,설정!$L$19),""),"")</f>
        <v/>
      </c>
      <c r="N743" s="83" t="str">
        <f aca="false">IFERROR(IF(INDEX(원자료_잔고!$A$1:$EZ$1500,설정!$L$5+ROW()-1,설정!$L$21)&amp;""="0","",INDEX(원자료_잔고!$A$1:$EZ$1500,설정!$L$5+ROW()-1,설정!$L$21)&amp;""),"")</f>
        <v/>
      </c>
      <c r="O743" s="83" t="str">
        <f aca="false">IFERROR(IF(INDEX(원자료_잔고!$A$1:$EZ$1500,설정!$L$5+ROW()-1,설정!$L$22)&amp;""="0","",INDEX(원자료_잔고!$A$1:$EZ$1500,설정!$L$5+ROW()-1,설정!$L$22)&amp;""),"")</f>
        <v/>
      </c>
      <c r="P743" s="83" t="str">
        <f aca="false">IFERROR(IF(INDEX(원자료_잔고!$A$1:$EZ$1500,설정!$L$5+ROW()-1,설정!$L$23)&amp;""="0","",INDEX(원자료_잔고!$A$1:$EZ$1500,설정!$L$5+ROW()-1,설정!$L$23)&amp;""),"")</f>
        <v/>
      </c>
      <c r="Q743" s="89" t="n">
        <f aca="false">IF(AND($A743&lt;&gt;"",ISNUMBER(E743)),IF(E743&gt;0,1,0),0)</f>
        <v>0</v>
      </c>
      <c r="R743" s="43" t="str">
        <f aca="false">IF(Q743=1,UPPER(LEFT($A743,FIND(" ",$A743&amp;" ")-1)),"")</f>
        <v/>
      </c>
      <c r="S743" s="89" t="n">
        <f aca="false">IF(Q743=1,IF(OR(ISNUMBER(SEARCH("Float",$A743)),ISNUMBER(SEARCH("FRN",$A743))),1,0),0)</f>
        <v>0</v>
      </c>
      <c r="T743" s="43" t="str">
        <f aca="false">IF(AND(Q743=1,ISNUMBER(I743)),TEXT(I743,"yyyymmdd")&amp;"|"&amp;IF(S743=1,"F",TEXT(J743,"0.000")),"")</f>
        <v/>
      </c>
      <c r="U743" s="90" t="str">
        <f aca="false">IF(AND(Q743=1,ISNUMBER(I743)),(I743-설정!$C$4)/365.25,"")</f>
        <v/>
      </c>
      <c r="V743" s="43" t="str">
        <f aca="false">IF(Q743&lt;&gt;1,"",IF(ISNUMBER(U743),IF(U743&lt;=1,"1년 이하",IF(U743&lt;=2,"1-2년",IF(U743&lt;=3,"2-3년",IF(U743&lt;=4,"3-4년",IF(U743&lt;=5,"4-5년",IF(U743&lt;=7,"5-7년",IF(U743&lt;=10,"7-10년",IF(U743&lt;=20,"10-20년","20년 이상")))))))),"미분류"))</f>
        <v/>
      </c>
      <c r="W743" s="43" t="str">
        <f aca="false">IF(Q743&lt;&gt;1,"",IF(AB743&lt;&gt;"",INDEX(시장분석!$C:$C,AB743),IF(K743=1,"USD","비USD")))</f>
        <v/>
      </c>
      <c r="X743" s="91" t="n">
        <f aca="false">IF(Q743=1,E743*K743/1000000,0)</f>
        <v>0</v>
      </c>
      <c r="Y743" s="89" t="n">
        <f aca="false">IF(R743="T",1,0)</f>
        <v>0</v>
      </c>
      <c r="Z743" s="92" t="str">
        <f aca="false">IF(Q743&lt;&gt;1,"",IF(AD743=1,IF(ISNUMBER(U743),MAX(U743,0),H743),H743))</f>
        <v/>
      </c>
      <c r="AA743" s="91" t="n">
        <f aca="false">IF(Q743=1,IF(ISNUMBER(L743),L743,0)*K743/1000000,0)</f>
        <v>0</v>
      </c>
      <c r="AB743" s="89" t="str">
        <f aca="false">IF(Q743&lt;&gt;1,"",IFERROR(MATCH(VLOOKUP(B743,매핑!$H$4:$I$15,2,0),시장분석!$A$2:$A$601,0)+1,IFERROR(MATCH(R743&amp;"|"&amp;T743,시장분석!$V$2:$V$601,0)+1,IF(COUNTIF(시장분석!$U$2:$U$601,T743)=1,MATCH(T743,시장분석!$U$2:$U$601,0)+1,""))))</f>
        <v/>
      </c>
      <c r="AC743" s="89" t="n">
        <f aca="false">IF(Q743&lt;&gt;1,0,IF(OR(설정!$C$5="전체",AND(설정!$C$5="선택펀드",IFERROR(COUNTIFS(설정!$F$16:$F$36,C743,설정!$G$16:$G$36,"Y")+COUNTIFS(설정!$F$16:$F$36,VALUE(C743),설정!$G$16:$G$36,"Y"),0)&gt;0),C743&amp;""=설정!$C$5&amp;""),1,0))</f>
        <v>0</v>
      </c>
      <c r="AD743" s="89" t="n">
        <f aca="false">IF(Q743&lt;&gt;1,0,IF(OR(S743=1,IF(AB743="",FALSE(),INDEX(시장분석!$R:$R,AB743)=1)),1,0))</f>
        <v>0</v>
      </c>
      <c r="AE743" s="43" t="str">
        <f aca="false">IF(AB743="","",INDEX(시장분석!$A:$A,AB743))</f>
        <v/>
      </c>
      <c r="AF743" s="93" t="str">
        <f aca="false">IF(AB743="","",IF(ISNUMBER(IF(AB743="","",INDEX(시장분석!$E:$E,AB743))),IF(AB743="","",INDEX(시장분석!$E:$E,AB743)),""))</f>
        <v/>
      </c>
      <c r="AG743" s="43" t="str">
        <f aca="false">IF(Q743&lt;&gt;1,"",IF(AB743&lt;&gt;"",IF(AB743="","",INDEX(시장분석!$L:$L,AB743)),IFERROR(IF(VLOOKUP(R743,매핑!$A$4:$E$92,5,0)="","미분류",VLOOKUP(R743,매핑!$A$4:$E$92,5,0)),"미분류")))</f>
        <v/>
      </c>
      <c r="AH743" s="43" t="str">
        <f aca="false">IF(Q743&lt;&gt;1,"",IF(AB743&lt;&gt;"",IF(AB743="","",INDEX(시장분석!$N:$N,AB743)),IFERROR(IF(VLOOKUP(R743,매핑!$A$4:$E$92,4,0)="","미분류",VLOOKUP(R743,매핑!$A$4:$E$92,4,0)),"미분류")))</f>
        <v/>
      </c>
      <c r="AI743" s="43" t="str">
        <f aca="false">IF(Q743&lt;&gt;1,"",IFERROR(IF(VLOOKUP(R743,매핑!$A$4:$E$92,3,0)="","미분류",VLOOKUP(R743,매핑!$A$4:$E$92,3,0)),IF(AB743&lt;&gt;"",IF(AB743="","",INDEX(시장분석!$W:$W,AB743)),"미분류")))</f>
        <v/>
      </c>
      <c r="AJ743" s="43" t="str">
        <f aca="false">IF(Q743&lt;&gt;1,"",IFERROR(VLOOKUP(IF(N743&lt;&gt;"",N743,IF(P743&lt;&gt;"",P743,O743)),설정!$A$15:$D$47,2,0),""))</f>
        <v/>
      </c>
      <c r="AK743" s="43" t="str">
        <f aca="false">IF(Q743&lt;&gt;1,"",IF(AJ743="","무등급",IFERROR(VLOOKUP(AJ743,설정!$A$15:$D$47,3,0),"무등급")))</f>
        <v/>
      </c>
      <c r="AL743" s="89" t="n">
        <f aca="false">IF(AJ743="",99,IFERROR(VLOOKUP(AJ743,설정!$A$15:$D$47,4,0),99))</f>
        <v>99</v>
      </c>
      <c r="AM743" s="94" t="n">
        <f aca="false">IF(ISNUMBER(H743),AA743*1000000*H743/10000,0)</f>
        <v>0</v>
      </c>
      <c r="AN743" s="94" t="n">
        <f aca="false">IF(OR(Y743=1,NOT(ISNUMBER(Z743))),0,AA743*1000000*Z743/10000)</f>
        <v>0</v>
      </c>
      <c r="AO743" s="94" t="n">
        <f aca="false">IF(ISNUMBER(G743),AA743*1000000*G743/100,0)</f>
        <v>0</v>
      </c>
      <c r="AP743" s="94" t="n">
        <f aca="false">IF(ISNUMBER(M743),M743*K743,0)</f>
        <v>0</v>
      </c>
      <c r="AQ743" s="95" t="str">
        <f aca="false">IF(AB743="","",INDEX(시장분석!$AK:$AK,AB743))</f>
        <v/>
      </c>
      <c r="AR743" s="43" t="str">
        <f aca="false">IF(AB743="","-",IF(AB743="","",INDEX(시장분석!$AL:$AL,AB743)))</f>
        <v>-</v>
      </c>
      <c r="AS743" s="96" t="str">
        <f aca="false">IF(AB743="","",INDEX(시장분석!$AJ:$AJ,AB743))</f>
        <v/>
      </c>
      <c r="AT743" s="93" t="n">
        <f aca="false">IF(AB743="",0,IF(AB743="","",INDEX(시장분석!$AN:$AN,AB743)))</f>
        <v>0</v>
      </c>
      <c r="AU743" s="94" t="n">
        <f aca="false">IF(ISNUMBER(Z743),AT743/10000*MAX(Z743-1,0)*AA743*1000000,0)</f>
        <v>0</v>
      </c>
      <c r="AV743" s="94" t="n">
        <f aca="false">AO743+AU743</f>
        <v>0</v>
      </c>
      <c r="AW743" s="43" t="str">
        <f aca="false">IF(Q743&lt;&gt;1,"",TRIM(IF(AD743=1,"FRN ","")&amp;IF(AND(AL743&gt;=10,AL743&lt;99),"BBB0미만 ","")&amp;IF(AJ743="","등급없음 ","")&amp;IF(K743&lt;&gt;1,"비USD ","")&amp;IF(AND(AB743="",Y743=0),"시장데이터없음 ","")&amp;IF(AND(ISNUMBER(U743),U743&lt;0),"만기경과 ","")))</f>
        <v/>
      </c>
      <c r="AX743" s="90" t="n">
        <f aca="false">IF(Q743&lt;&gt;1,1,IF(스프레드쇼크!$C$4="Y",INDEX(스프레드쇼크!$B$12:$L$16,IFERROR(MATCH(AH743,스프레드쇼크!$A$12:$A$16,0),MATCH("목록외",스프레드쇼크!$A$12:$A$16,0)),IFERROR(MATCH(AG743,스프레드쇼크!$B$11:$L$11,0),MATCH("목록외",스프레드쇼크!$B$11:$L$11,0))),1))</f>
        <v>1</v>
      </c>
      <c r="AY743" s="90" t="n">
        <f aca="false">IF(스프레드쇼크!$C$5="Y",IF(ISNUMBER(AF743),MIN(스프레드쇼크!$C$7,MAX(스프레드쇼크!$C$6,AF743/스프레드쇼크!$C$8)),1),1)</f>
        <v>1</v>
      </c>
      <c r="AZ743" s="94" t="n">
        <f aca="false">AN743*AX743*AY743</f>
        <v>0</v>
      </c>
      <c r="BA743" s="90" t="n">
        <f aca="false">IF(ISNUMBER(G743),AA743*G743,0)</f>
        <v>0</v>
      </c>
      <c r="BB743" s="90" t="n">
        <f aca="false">IF(ISNUMBER(G743),AA743,0)</f>
        <v>0</v>
      </c>
      <c r="BC743" s="90" t="n">
        <f aca="false">IF(AND(Y743=0,ISNUMBER(AF743)),AA743*AF743,0)</f>
        <v>0</v>
      </c>
      <c r="BD743" s="90" t="n">
        <f aca="false">IF(AND(Y743=0,ISNUMBER(AF743)),AA743,0)</f>
        <v>0</v>
      </c>
      <c r="BE743" s="90" t="n">
        <f aca="false">IF(ISNUMBER(H743),AA743*H743,0)</f>
        <v>0</v>
      </c>
      <c r="BF743" s="90" t="n">
        <f aca="false">IF(ISNUMBER(H743),AA743,0)</f>
        <v>0</v>
      </c>
      <c r="BG743" s="90" t="n">
        <f aca="false">IF(AND(Y743=0,ISNUMBER(AF743),ISNUMBER(Z743)),AA743*Z743,0)</f>
        <v>0</v>
      </c>
      <c r="BH743" s="90" t="n">
        <f aca="false">IF(AND(Y743=0,ISNUMBER(AF743),ISNUMBER(Z743)),AA743*AT743*MAX(Z743-1,0),0)</f>
        <v>0</v>
      </c>
      <c r="BI743" s="90" t="n">
        <f aca="false">IF(Y743=0,AA743,0)</f>
        <v>0</v>
      </c>
    </row>
    <row r="744" customFormat="false" ht="15" hidden="false" customHeight="false" outlineLevel="0" collapsed="false">
      <c r="A744" s="83" t="str">
        <f aca="false">IFERROR(IF(INDEX(원자료_잔고!$A$1:$EZ$1500,설정!$L$5+ROW()-1,설정!$L$8)&amp;""="0","",INDEX(원자료_잔고!$A$1:$EZ$1500,설정!$L$5+ROW()-1,설정!$L$8)&amp;""),"")</f>
        <v/>
      </c>
      <c r="B744" s="83" t="str">
        <f aca="false">IFERROR(IF(INDEX(원자료_잔고!$A$1:$EZ$1500,설정!$L$5+ROW()-1,설정!$L$7)&amp;""="0","",INDEX(원자료_잔고!$A$1:$EZ$1500,설정!$L$5+ROW()-1,설정!$L$7)&amp;""),"")</f>
        <v/>
      </c>
      <c r="C744" s="83" t="str">
        <f aca="false">IFERROR(IF(INDEX(원자료_잔고!$A$1:$EZ$1500,설정!$L$5+ROW()-1,설정!$L$9)&amp;""="0","",INDEX(원자료_잔고!$A$1:$EZ$1500,설정!$L$5+ROW()-1,설정!$L$9)&amp;""),"")</f>
        <v/>
      </c>
      <c r="D744" s="83" t="str">
        <f aca="false">IFERROR(IF(INDEX(원자료_잔고!$A$1:$EZ$1500,설정!$L$5+ROW()-1,설정!$L$10)&amp;""="0","",INDEX(원자료_잔고!$A$1:$EZ$1500,설정!$L$5+ROW()-1,설정!$L$10)&amp;""),"")</f>
        <v/>
      </c>
      <c r="E744" s="84" t="str">
        <f aca="false">IFERROR(IF(ISNUMBER(INDEX(원자료_잔고!$A$1:$EZ$1500,설정!$L$5+ROW()-1,설정!$L$11)),INDEX(원자료_잔고!$A$1:$EZ$1500,설정!$L$5+ROW()-1,설정!$L$11),""),"")</f>
        <v/>
      </c>
      <c r="F744" s="85" t="str">
        <f aca="false">IFERROR(IF(ISNUMBER(INDEX(원자료_잔고!$A$1:$EZ$1500,설정!$L$5+ROW()-1,설정!$L$12)),INDEX(원자료_잔고!$A$1:$EZ$1500,설정!$L$5+ROW()-1,설정!$L$12),""),"")</f>
        <v/>
      </c>
      <c r="G744" s="85" t="str">
        <f aca="false">IFERROR(IF(ISNUMBER(INDEX(원자료_잔고!$A$1:$EZ$1500,설정!$L$5+ROW()-1,설정!$L$13)),INDEX(원자료_잔고!$A$1:$EZ$1500,설정!$L$5+ROW()-1,설정!$L$13),""),"")</f>
        <v/>
      </c>
      <c r="H744" s="85" t="str">
        <f aca="false">IFERROR(IF(ISNUMBER(INDEX(원자료_잔고!$A$1:$EZ$1500,설정!$L$5+ROW()-1,설정!$L$14)),INDEX(원자료_잔고!$A$1:$EZ$1500,설정!$L$5+ROW()-1,설정!$L$14),""),"")</f>
        <v/>
      </c>
      <c r="I744" s="86" t="str">
        <f aca="false">IFERROR(IF(ISNUMBER(INDEX(원자료_잔고!$A$1:$EZ$1500,설정!$L$5+ROW()-1,설정!$L$15)),INDEX(원자료_잔고!$A$1:$EZ$1500,설정!$L$5+ROW()-1,설정!$L$15),""),"")</f>
        <v/>
      </c>
      <c r="J744" s="85" t="str">
        <f aca="false">IFERROR(IF(ISNUMBER(INDEX(원자료_잔고!$A$1:$EZ$1500,설정!$L$5+ROW()-1,설정!$L$16)),INDEX(원자료_잔고!$A$1:$EZ$1500,설정!$L$5+ROW()-1,설정!$L$16),""),"")</f>
        <v/>
      </c>
      <c r="K744" s="87" t="str">
        <f aca="false">IFERROR(IF(ISNUMBER(INDEX(원자료_잔고!$A$1:$EZ$1500,설정!$L$5+ROW()-1,설정!$L$17)),INDEX(원자료_잔고!$A$1:$EZ$1500,설정!$L$5+ROW()-1,설정!$L$17),""),"")</f>
        <v/>
      </c>
      <c r="L744" s="84" t="str">
        <f aca="false">IFERROR(IF(ISNUMBER(INDEX(원자료_잔고!$A$1:$EZ$1500,설정!$L$5+ROW()-1,설정!$L$18)),INDEX(원자료_잔고!$A$1:$EZ$1500,설정!$L$5+ROW()-1,설정!$L$18),""),"")</f>
        <v/>
      </c>
      <c r="M744" s="88" t="str">
        <f aca="false">IFERROR(IF(ISNUMBER(INDEX(원자료_잔고!$A$1:$EZ$1500,설정!$L$5+ROW()-1,설정!$L$19)),INDEX(원자료_잔고!$A$1:$EZ$1500,설정!$L$5+ROW()-1,설정!$L$19),""),"")</f>
        <v/>
      </c>
      <c r="N744" s="83" t="str">
        <f aca="false">IFERROR(IF(INDEX(원자료_잔고!$A$1:$EZ$1500,설정!$L$5+ROW()-1,설정!$L$21)&amp;""="0","",INDEX(원자료_잔고!$A$1:$EZ$1500,설정!$L$5+ROW()-1,설정!$L$21)&amp;""),"")</f>
        <v/>
      </c>
      <c r="O744" s="83" t="str">
        <f aca="false">IFERROR(IF(INDEX(원자료_잔고!$A$1:$EZ$1500,설정!$L$5+ROW()-1,설정!$L$22)&amp;""="0","",INDEX(원자료_잔고!$A$1:$EZ$1500,설정!$L$5+ROW()-1,설정!$L$22)&amp;""),"")</f>
        <v/>
      </c>
      <c r="P744" s="83" t="str">
        <f aca="false">IFERROR(IF(INDEX(원자료_잔고!$A$1:$EZ$1500,설정!$L$5+ROW()-1,설정!$L$23)&amp;""="0","",INDEX(원자료_잔고!$A$1:$EZ$1500,설정!$L$5+ROW()-1,설정!$L$23)&amp;""),"")</f>
        <v/>
      </c>
      <c r="Q744" s="89" t="n">
        <f aca="false">IF(AND($A744&lt;&gt;"",ISNUMBER(E744)),IF(E744&gt;0,1,0),0)</f>
        <v>0</v>
      </c>
      <c r="R744" s="43" t="str">
        <f aca="false">IF(Q744=1,UPPER(LEFT($A744,FIND(" ",$A744&amp;" ")-1)),"")</f>
        <v/>
      </c>
      <c r="S744" s="89" t="n">
        <f aca="false">IF(Q744=1,IF(OR(ISNUMBER(SEARCH("Float",$A744)),ISNUMBER(SEARCH("FRN",$A744))),1,0),0)</f>
        <v>0</v>
      </c>
      <c r="T744" s="43" t="str">
        <f aca="false">IF(AND(Q744=1,ISNUMBER(I744)),TEXT(I744,"yyyymmdd")&amp;"|"&amp;IF(S744=1,"F",TEXT(J744,"0.000")),"")</f>
        <v/>
      </c>
      <c r="U744" s="90" t="str">
        <f aca="false">IF(AND(Q744=1,ISNUMBER(I744)),(I744-설정!$C$4)/365.25,"")</f>
        <v/>
      </c>
      <c r="V744" s="43" t="str">
        <f aca="false">IF(Q744&lt;&gt;1,"",IF(ISNUMBER(U744),IF(U744&lt;=1,"1년 이하",IF(U744&lt;=2,"1-2년",IF(U744&lt;=3,"2-3년",IF(U744&lt;=4,"3-4년",IF(U744&lt;=5,"4-5년",IF(U744&lt;=7,"5-7년",IF(U744&lt;=10,"7-10년",IF(U744&lt;=20,"10-20년","20년 이상")))))))),"미분류"))</f>
        <v/>
      </c>
      <c r="W744" s="43" t="str">
        <f aca="false">IF(Q744&lt;&gt;1,"",IF(AB744&lt;&gt;"",INDEX(시장분석!$C:$C,AB744),IF(K744=1,"USD","비USD")))</f>
        <v/>
      </c>
      <c r="X744" s="91" t="n">
        <f aca="false">IF(Q744=1,E744*K744/1000000,0)</f>
        <v>0</v>
      </c>
      <c r="Y744" s="89" t="n">
        <f aca="false">IF(R744="T",1,0)</f>
        <v>0</v>
      </c>
      <c r="Z744" s="92" t="str">
        <f aca="false">IF(Q744&lt;&gt;1,"",IF(AD744=1,IF(ISNUMBER(U744),MAX(U744,0),H744),H744))</f>
        <v/>
      </c>
      <c r="AA744" s="91" t="n">
        <f aca="false">IF(Q744=1,IF(ISNUMBER(L744),L744,0)*K744/1000000,0)</f>
        <v>0</v>
      </c>
      <c r="AB744" s="89" t="str">
        <f aca="false">IF(Q744&lt;&gt;1,"",IFERROR(MATCH(VLOOKUP(B744,매핑!$H$4:$I$15,2,0),시장분석!$A$2:$A$601,0)+1,IFERROR(MATCH(R744&amp;"|"&amp;T744,시장분석!$V$2:$V$601,0)+1,IF(COUNTIF(시장분석!$U$2:$U$601,T744)=1,MATCH(T744,시장분석!$U$2:$U$601,0)+1,""))))</f>
        <v/>
      </c>
      <c r="AC744" s="89" t="n">
        <f aca="false">IF(Q744&lt;&gt;1,0,IF(OR(설정!$C$5="전체",AND(설정!$C$5="선택펀드",IFERROR(COUNTIFS(설정!$F$16:$F$36,C744,설정!$G$16:$G$36,"Y")+COUNTIFS(설정!$F$16:$F$36,VALUE(C744),설정!$G$16:$G$36,"Y"),0)&gt;0),C744&amp;""=설정!$C$5&amp;""),1,0))</f>
        <v>0</v>
      </c>
      <c r="AD744" s="89" t="n">
        <f aca="false">IF(Q744&lt;&gt;1,0,IF(OR(S744=1,IF(AB744="",FALSE(),INDEX(시장분석!$R:$R,AB744)=1)),1,0))</f>
        <v>0</v>
      </c>
      <c r="AE744" s="43" t="str">
        <f aca="false">IF(AB744="","",INDEX(시장분석!$A:$A,AB744))</f>
        <v/>
      </c>
      <c r="AF744" s="93" t="str">
        <f aca="false">IF(AB744="","",IF(ISNUMBER(IF(AB744="","",INDEX(시장분석!$E:$E,AB744))),IF(AB744="","",INDEX(시장분석!$E:$E,AB744)),""))</f>
        <v/>
      </c>
      <c r="AG744" s="43" t="str">
        <f aca="false">IF(Q744&lt;&gt;1,"",IF(AB744&lt;&gt;"",IF(AB744="","",INDEX(시장분석!$L:$L,AB744)),IFERROR(IF(VLOOKUP(R744,매핑!$A$4:$E$92,5,0)="","미분류",VLOOKUP(R744,매핑!$A$4:$E$92,5,0)),"미분류")))</f>
        <v/>
      </c>
      <c r="AH744" s="43" t="str">
        <f aca="false">IF(Q744&lt;&gt;1,"",IF(AB744&lt;&gt;"",IF(AB744="","",INDEX(시장분석!$N:$N,AB744)),IFERROR(IF(VLOOKUP(R744,매핑!$A$4:$E$92,4,0)="","미분류",VLOOKUP(R744,매핑!$A$4:$E$92,4,0)),"미분류")))</f>
        <v/>
      </c>
      <c r="AI744" s="43" t="str">
        <f aca="false">IF(Q744&lt;&gt;1,"",IFERROR(IF(VLOOKUP(R744,매핑!$A$4:$E$92,3,0)="","미분류",VLOOKUP(R744,매핑!$A$4:$E$92,3,0)),IF(AB744&lt;&gt;"",IF(AB744="","",INDEX(시장분석!$W:$W,AB744)),"미분류")))</f>
        <v/>
      </c>
      <c r="AJ744" s="43" t="str">
        <f aca="false">IF(Q744&lt;&gt;1,"",IFERROR(VLOOKUP(IF(N744&lt;&gt;"",N744,IF(P744&lt;&gt;"",P744,O744)),설정!$A$15:$D$47,2,0),""))</f>
        <v/>
      </c>
      <c r="AK744" s="43" t="str">
        <f aca="false">IF(Q744&lt;&gt;1,"",IF(AJ744="","무등급",IFERROR(VLOOKUP(AJ744,설정!$A$15:$D$47,3,0),"무등급")))</f>
        <v/>
      </c>
      <c r="AL744" s="89" t="n">
        <f aca="false">IF(AJ744="",99,IFERROR(VLOOKUP(AJ744,설정!$A$15:$D$47,4,0),99))</f>
        <v>99</v>
      </c>
      <c r="AM744" s="94" t="n">
        <f aca="false">IF(ISNUMBER(H744),AA744*1000000*H744/10000,0)</f>
        <v>0</v>
      </c>
      <c r="AN744" s="94" t="n">
        <f aca="false">IF(OR(Y744=1,NOT(ISNUMBER(Z744))),0,AA744*1000000*Z744/10000)</f>
        <v>0</v>
      </c>
      <c r="AO744" s="94" t="n">
        <f aca="false">IF(ISNUMBER(G744),AA744*1000000*G744/100,0)</f>
        <v>0</v>
      </c>
      <c r="AP744" s="94" t="n">
        <f aca="false">IF(ISNUMBER(M744),M744*K744,0)</f>
        <v>0</v>
      </c>
      <c r="AQ744" s="95" t="str">
        <f aca="false">IF(AB744="","",INDEX(시장분석!$AK:$AK,AB744))</f>
        <v/>
      </c>
      <c r="AR744" s="43" t="str">
        <f aca="false">IF(AB744="","-",IF(AB744="","",INDEX(시장분석!$AL:$AL,AB744)))</f>
        <v>-</v>
      </c>
      <c r="AS744" s="96" t="str">
        <f aca="false">IF(AB744="","",INDEX(시장분석!$AJ:$AJ,AB744))</f>
        <v/>
      </c>
      <c r="AT744" s="93" t="n">
        <f aca="false">IF(AB744="",0,IF(AB744="","",INDEX(시장분석!$AN:$AN,AB744)))</f>
        <v>0</v>
      </c>
      <c r="AU744" s="94" t="n">
        <f aca="false">IF(ISNUMBER(Z744),AT744/10000*MAX(Z744-1,0)*AA744*1000000,0)</f>
        <v>0</v>
      </c>
      <c r="AV744" s="94" t="n">
        <f aca="false">AO744+AU744</f>
        <v>0</v>
      </c>
      <c r="AW744" s="43" t="str">
        <f aca="false">IF(Q744&lt;&gt;1,"",TRIM(IF(AD744=1,"FRN ","")&amp;IF(AND(AL744&gt;=10,AL744&lt;99),"BBB0미만 ","")&amp;IF(AJ744="","등급없음 ","")&amp;IF(K744&lt;&gt;1,"비USD ","")&amp;IF(AND(AB744="",Y744=0),"시장데이터없음 ","")&amp;IF(AND(ISNUMBER(U744),U744&lt;0),"만기경과 ","")))</f>
        <v/>
      </c>
      <c r="AX744" s="90" t="n">
        <f aca="false">IF(Q744&lt;&gt;1,1,IF(스프레드쇼크!$C$4="Y",INDEX(스프레드쇼크!$B$12:$L$16,IFERROR(MATCH(AH744,스프레드쇼크!$A$12:$A$16,0),MATCH("목록외",스프레드쇼크!$A$12:$A$16,0)),IFERROR(MATCH(AG744,스프레드쇼크!$B$11:$L$11,0),MATCH("목록외",스프레드쇼크!$B$11:$L$11,0))),1))</f>
        <v>1</v>
      </c>
      <c r="AY744" s="90" t="n">
        <f aca="false">IF(스프레드쇼크!$C$5="Y",IF(ISNUMBER(AF744),MIN(스프레드쇼크!$C$7,MAX(스프레드쇼크!$C$6,AF744/스프레드쇼크!$C$8)),1),1)</f>
        <v>1</v>
      </c>
      <c r="AZ744" s="94" t="n">
        <f aca="false">AN744*AX744*AY744</f>
        <v>0</v>
      </c>
      <c r="BA744" s="90" t="n">
        <f aca="false">IF(ISNUMBER(G744),AA744*G744,0)</f>
        <v>0</v>
      </c>
      <c r="BB744" s="90" t="n">
        <f aca="false">IF(ISNUMBER(G744),AA744,0)</f>
        <v>0</v>
      </c>
      <c r="BC744" s="90" t="n">
        <f aca="false">IF(AND(Y744=0,ISNUMBER(AF744)),AA744*AF744,0)</f>
        <v>0</v>
      </c>
      <c r="BD744" s="90" t="n">
        <f aca="false">IF(AND(Y744=0,ISNUMBER(AF744)),AA744,0)</f>
        <v>0</v>
      </c>
      <c r="BE744" s="90" t="n">
        <f aca="false">IF(ISNUMBER(H744),AA744*H744,0)</f>
        <v>0</v>
      </c>
      <c r="BF744" s="90" t="n">
        <f aca="false">IF(ISNUMBER(H744),AA744,0)</f>
        <v>0</v>
      </c>
      <c r="BG744" s="90" t="n">
        <f aca="false">IF(AND(Y744=0,ISNUMBER(AF744),ISNUMBER(Z744)),AA744*Z744,0)</f>
        <v>0</v>
      </c>
      <c r="BH744" s="90" t="n">
        <f aca="false">IF(AND(Y744=0,ISNUMBER(AF744),ISNUMBER(Z744)),AA744*AT744*MAX(Z744-1,0),0)</f>
        <v>0</v>
      </c>
      <c r="BI744" s="90" t="n">
        <f aca="false">IF(Y744=0,AA744,0)</f>
        <v>0</v>
      </c>
    </row>
    <row r="745" customFormat="false" ht="15" hidden="false" customHeight="false" outlineLevel="0" collapsed="false">
      <c r="A745" s="83" t="str">
        <f aca="false">IFERROR(IF(INDEX(원자료_잔고!$A$1:$EZ$1500,설정!$L$5+ROW()-1,설정!$L$8)&amp;""="0","",INDEX(원자료_잔고!$A$1:$EZ$1500,설정!$L$5+ROW()-1,설정!$L$8)&amp;""),"")</f>
        <v/>
      </c>
      <c r="B745" s="83" t="str">
        <f aca="false">IFERROR(IF(INDEX(원자료_잔고!$A$1:$EZ$1500,설정!$L$5+ROW()-1,설정!$L$7)&amp;""="0","",INDEX(원자료_잔고!$A$1:$EZ$1500,설정!$L$5+ROW()-1,설정!$L$7)&amp;""),"")</f>
        <v/>
      </c>
      <c r="C745" s="83" t="str">
        <f aca="false">IFERROR(IF(INDEX(원자료_잔고!$A$1:$EZ$1500,설정!$L$5+ROW()-1,설정!$L$9)&amp;""="0","",INDEX(원자료_잔고!$A$1:$EZ$1500,설정!$L$5+ROW()-1,설정!$L$9)&amp;""),"")</f>
        <v/>
      </c>
      <c r="D745" s="83" t="str">
        <f aca="false">IFERROR(IF(INDEX(원자료_잔고!$A$1:$EZ$1500,설정!$L$5+ROW()-1,설정!$L$10)&amp;""="0","",INDEX(원자료_잔고!$A$1:$EZ$1500,설정!$L$5+ROW()-1,설정!$L$10)&amp;""),"")</f>
        <v/>
      </c>
      <c r="E745" s="84" t="str">
        <f aca="false">IFERROR(IF(ISNUMBER(INDEX(원자료_잔고!$A$1:$EZ$1500,설정!$L$5+ROW()-1,설정!$L$11)),INDEX(원자료_잔고!$A$1:$EZ$1500,설정!$L$5+ROW()-1,설정!$L$11),""),"")</f>
        <v/>
      </c>
      <c r="F745" s="85" t="str">
        <f aca="false">IFERROR(IF(ISNUMBER(INDEX(원자료_잔고!$A$1:$EZ$1500,설정!$L$5+ROW()-1,설정!$L$12)),INDEX(원자료_잔고!$A$1:$EZ$1500,설정!$L$5+ROW()-1,설정!$L$12),""),"")</f>
        <v/>
      </c>
      <c r="G745" s="85" t="str">
        <f aca="false">IFERROR(IF(ISNUMBER(INDEX(원자료_잔고!$A$1:$EZ$1500,설정!$L$5+ROW()-1,설정!$L$13)),INDEX(원자료_잔고!$A$1:$EZ$1500,설정!$L$5+ROW()-1,설정!$L$13),""),"")</f>
        <v/>
      </c>
      <c r="H745" s="85" t="str">
        <f aca="false">IFERROR(IF(ISNUMBER(INDEX(원자료_잔고!$A$1:$EZ$1500,설정!$L$5+ROW()-1,설정!$L$14)),INDEX(원자료_잔고!$A$1:$EZ$1500,설정!$L$5+ROW()-1,설정!$L$14),""),"")</f>
        <v/>
      </c>
      <c r="I745" s="86" t="str">
        <f aca="false">IFERROR(IF(ISNUMBER(INDEX(원자료_잔고!$A$1:$EZ$1500,설정!$L$5+ROW()-1,설정!$L$15)),INDEX(원자료_잔고!$A$1:$EZ$1500,설정!$L$5+ROW()-1,설정!$L$15),""),"")</f>
        <v/>
      </c>
      <c r="J745" s="85" t="str">
        <f aca="false">IFERROR(IF(ISNUMBER(INDEX(원자료_잔고!$A$1:$EZ$1500,설정!$L$5+ROW()-1,설정!$L$16)),INDEX(원자료_잔고!$A$1:$EZ$1500,설정!$L$5+ROW()-1,설정!$L$16),""),"")</f>
        <v/>
      </c>
      <c r="K745" s="87" t="str">
        <f aca="false">IFERROR(IF(ISNUMBER(INDEX(원자료_잔고!$A$1:$EZ$1500,설정!$L$5+ROW()-1,설정!$L$17)),INDEX(원자료_잔고!$A$1:$EZ$1500,설정!$L$5+ROW()-1,설정!$L$17),""),"")</f>
        <v/>
      </c>
      <c r="L745" s="84" t="str">
        <f aca="false">IFERROR(IF(ISNUMBER(INDEX(원자료_잔고!$A$1:$EZ$1500,설정!$L$5+ROW()-1,설정!$L$18)),INDEX(원자료_잔고!$A$1:$EZ$1500,설정!$L$5+ROW()-1,설정!$L$18),""),"")</f>
        <v/>
      </c>
      <c r="M745" s="88" t="str">
        <f aca="false">IFERROR(IF(ISNUMBER(INDEX(원자료_잔고!$A$1:$EZ$1500,설정!$L$5+ROW()-1,설정!$L$19)),INDEX(원자료_잔고!$A$1:$EZ$1500,설정!$L$5+ROW()-1,설정!$L$19),""),"")</f>
        <v/>
      </c>
      <c r="N745" s="83" t="str">
        <f aca="false">IFERROR(IF(INDEX(원자료_잔고!$A$1:$EZ$1500,설정!$L$5+ROW()-1,설정!$L$21)&amp;""="0","",INDEX(원자료_잔고!$A$1:$EZ$1500,설정!$L$5+ROW()-1,설정!$L$21)&amp;""),"")</f>
        <v/>
      </c>
      <c r="O745" s="83" t="str">
        <f aca="false">IFERROR(IF(INDEX(원자료_잔고!$A$1:$EZ$1500,설정!$L$5+ROW()-1,설정!$L$22)&amp;""="0","",INDEX(원자료_잔고!$A$1:$EZ$1500,설정!$L$5+ROW()-1,설정!$L$22)&amp;""),"")</f>
        <v/>
      </c>
      <c r="P745" s="83" t="str">
        <f aca="false">IFERROR(IF(INDEX(원자료_잔고!$A$1:$EZ$1500,설정!$L$5+ROW()-1,설정!$L$23)&amp;""="0","",INDEX(원자료_잔고!$A$1:$EZ$1500,설정!$L$5+ROW()-1,설정!$L$23)&amp;""),"")</f>
        <v/>
      </c>
      <c r="Q745" s="89" t="n">
        <f aca="false">IF(AND($A745&lt;&gt;"",ISNUMBER(E745)),IF(E745&gt;0,1,0),0)</f>
        <v>0</v>
      </c>
      <c r="R745" s="43" t="str">
        <f aca="false">IF(Q745=1,UPPER(LEFT($A745,FIND(" ",$A745&amp;" ")-1)),"")</f>
        <v/>
      </c>
      <c r="S745" s="89" t="n">
        <f aca="false">IF(Q745=1,IF(OR(ISNUMBER(SEARCH("Float",$A745)),ISNUMBER(SEARCH("FRN",$A745))),1,0),0)</f>
        <v>0</v>
      </c>
      <c r="T745" s="43" t="str">
        <f aca="false">IF(AND(Q745=1,ISNUMBER(I745)),TEXT(I745,"yyyymmdd")&amp;"|"&amp;IF(S745=1,"F",TEXT(J745,"0.000")),"")</f>
        <v/>
      </c>
      <c r="U745" s="90" t="str">
        <f aca="false">IF(AND(Q745=1,ISNUMBER(I745)),(I745-설정!$C$4)/365.25,"")</f>
        <v/>
      </c>
      <c r="V745" s="43" t="str">
        <f aca="false">IF(Q745&lt;&gt;1,"",IF(ISNUMBER(U745),IF(U745&lt;=1,"1년 이하",IF(U745&lt;=2,"1-2년",IF(U745&lt;=3,"2-3년",IF(U745&lt;=4,"3-4년",IF(U745&lt;=5,"4-5년",IF(U745&lt;=7,"5-7년",IF(U745&lt;=10,"7-10년",IF(U745&lt;=20,"10-20년","20년 이상")))))))),"미분류"))</f>
        <v/>
      </c>
      <c r="W745" s="43" t="str">
        <f aca="false">IF(Q745&lt;&gt;1,"",IF(AB745&lt;&gt;"",INDEX(시장분석!$C:$C,AB745),IF(K745=1,"USD","비USD")))</f>
        <v/>
      </c>
      <c r="X745" s="91" t="n">
        <f aca="false">IF(Q745=1,E745*K745/1000000,0)</f>
        <v>0</v>
      </c>
      <c r="Y745" s="89" t="n">
        <f aca="false">IF(R745="T",1,0)</f>
        <v>0</v>
      </c>
      <c r="Z745" s="92" t="str">
        <f aca="false">IF(Q745&lt;&gt;1,"",IF(AD745=1,IF(ISNUMBER(U745),MAX(U745,0),H745),H745))</f>
        <v/>
      </c>
      <c r="AA745" s="91" t="n">
        <f aca="false">IF(Q745=1,IF(ISNUMBER(L745),L745,0)*K745/1000000,0)</f>
        <v>0</v>
      </c>
      <c r="AB745" s="89" t="str">
        <f aca="false">IF(Q745&lt;&gt;1,"",IFERROR(MATCH(VLOOKUP(B745,매핑!$H$4:$I$15,2,0),시장분석!$A$2:$A$601,0)+1,IFERROR(MATCH(R745&amp;"|"&amp;T745,시장분석!$V$2:$V$601,0)+1,IF(COUNTIF(시장분석!$U$2:$U$601,T745)=1,MATCH(T745,시장분석!$U$2:$U$601,0)+1,""))))</f>
        <v/>
      </c>
      <c r="AC745" s="89" t="n">
        <f aca="false">IF(Q745&lt;&gt;1,0,IF(OR(설정!$C$5="전체",AND(설정!$C$5="선택펀드",IFERROR(COUNTIFS(설정!$F$16:$F$36,C745,설정!$G$16:$G$36,"Y")+COUNTIFS(설정!$F$16:$F$36,VALUE(C745),설정!$G$16:$G$36,"Y"),0)&gt;0),C745&amp;""=설정!$C$5&amp;""),1,0))</f>
        <v>0</v>
      </c>
      <c r="AD745" s="89" t="n">
        <f aca="false">IF(Q745&lt;&gt;1,0,IF(OR(S745=1,IF(AB745="",FALSE(),INDEX(시장분석!$R:$R,AB745)=1)),1,0))</f>
        <v>0</v>
      </c>
      <c r="AE745" s="43" t="str">
        <f aca="false">IF(AB745="","",INDEX(시장분석!$A:$A,AB745))</f>
        <v/>
      </c>
      <c r="AF745" s="93" t="str">
        <f aca="false">IF(AB745="","",IF(ISNUMBER(IF(AB745="","",INDEX(시장분석!$E:$E,AB745))),IF(AB745="","",INDEX(시장분석!$E:$E,AB745)),""))</f>
        <v/>
      </c>
      <c r="AG745" s="43" t="str">
        <f aca="false">IF(Q745&lt;&gt;1,"",IF(AB745&lt;&gt;"",IF(AB745="","",INDEX(시장분석!$L:$L,AB745)),IFERROR(IF(VLOOKUP(R745,매핑!$A$4:$E$92,5,0)="","미분류",VLOOKUP(R745,매핑!$A$4:$E$92,5,0)),"미분류")))</f>
        <v/>
      </c>
      <c r="AH745" s="43" t="str">
        <f aca="false">IF(Q745&lt;&gt;1,"",IF(AB745&lt;&gt;"",IF(AB745="","",INDEX(시장분석!$N:$N,AB745)),IFERROR(IF(VLOOKUP(R745,매핑!$A$4:$E$92,4,0)="","미분류",VLOOKUP(R745,매핑!$A$4:$E$92,4,0)),"미분류")))</f>
        <v/>
      </c>
      <c r="AI745" s="43" t="str">
        <f aca="false">IF(Q745&lt;&gt;1,"",IFERROR(IF(VLOOKUP(R745,매핑!$A$4:$E$92,3,0)="","미분류",VLOOKUP(R745,매핑!$A$4:$E$92,3,0)),IF(AB745&lt;&gt;"",IF(AB745="","",INDEX(시장분석!$W:$W,AB745)),"미분류")))</f>
        <v/>
      </c>
      <c r="AJ745" s="43" t="str">
        <f aca="false">IF(Q745&lt;&gt;1,"",IFERROR(VLOOKUP(IF(N745&lt;&gt;"",N745,IF(P745&lt;&gt;"",P745,O745)),설정!$A$15:$D$47,2,0),""))</f>
        <v/>
      </c>
      <c r="AK745" s="43" t="str">
        <f aca="false">IF(Q745&lt;&gt;1,"",IF(AJ745="","무등급",IFERROR(VLOOKUP(AJ745,설정!$A$15:$D$47,3,0),"무등급")))</f>
        <v/>
      </c>
      <c r="AL745" s="89" t="n">
        <f aca="false">IF(AJ745="",99,IFERROR(VLOOKUP(AJ745,설정!$A$15:$D$47,4,0),99))</f>
        <v>99</v>
      </c>
      <c r="AM745" s="94" t="n">
        <f aca="false">IF(ISNUMBER(H745),AA745*1000000*H745/10000,0)</f>
        <v>0</v>
      </c>
      <c r="AN745" s="94" t="n">
        <f aca="false">IF(OR(Y745=1,NOT(ISNUMBER(Z745))),0,AA745*1000000*Z745/10000)</f>
        <v>0</v>
      </c>
      <c r="AO745" s="94" t="n">
        <f aca="false">IF(ISNUMBER(G745),AA745*1000000*G745/100,0)</f>
        <v>0</v>
      </c>
      <c r="AP745" s="94" t="n">
        <f aca="false">IF(ISNUMBER(M745),M745*K745,0)</f>
        <v>0</v>
      </c>
      <c r="AQ745" s="95" t="str">
        <f aca="false">IF(AB745="","",INDEX(시장분석!$AK:$AK,AB745))</f>
        <v/>
      </c>
      <c r="AR745" s="43" t="str">
        <f aca="false">IF(AB745="","-",IF(AB745="","",INDEX(시장분석!$AL:$AL,AB745)))</f>
        <v>-</v>
      </c>
      <c r="AS745" s="96" t="str">
        <f aca="false">IF(AB745="","",INDEX(시장분석!$AJ:$AJ,AB745))</f>
        <v/>
      </c>
      <c r="AT745" s="93" t="n">
        <f aca="false">IF(AB745="",0,IF(AB745="","",INDEX(시장분석!$AN:$AN,AB745)))</f>
        <v>0</v>
      </c>
      <c r="AU745" s="94" t="n">
        <f aca="false">IF(ISNUMBER(Z745),AT745/10000*MAX(Z745-1,0)*AA745*1000000,0)</f>
        <v>0</v>
      </c>
      <c r="AV745" s="94" t="n">
        <f aca="false">AO745+AU745</f>
        <v>0</v>
      </c>
      <c r="AW745" s="43" t="str">
        <f aca="false">IF(Q745&lt;&gt;1,"",TRIM(IF(AD745=1,"FRN ","")&amp;IF(AND(AL745&gt;=10,AL745&lt;99),"BBB0미만 ","")&amp;IF(AJ745="","등급없음 ","")&amp;IF(K745&lt;&gt;1,"비USD ","")&amp;IF(AND(AB745="",Y745=0),"시장데이터없음 ","")&amp;IF(AND(ISNUMBER(U745),U745&lt;0),"만기경과 ","")))</f>
        <v/>
      </c>
      <c r="AX745" s="90" t="n">
        <f aca="false">IF(Q745&lt;&gt;1,1,IF(스프레드쇼크!$C$4="Y",INDEX(스프레드쇼크!$B$12:$L$16,IFERROR(MATCH(AH745,스프레드쇼크!$A$12:$A$16,0),MATCH("목록외",스프레드쇼크!$A$12:$A$16,0)),IFERROR(MATCH(AG745,스프레드쇼크!$B$11:$L$11,0),MATCH("목록외",스프레드쇼크!$B$11:$L$11,0))),1))</f>
        <v>1</v>
      </c>
      <c r="AY745" s="90" t="n">
        <f aca="false">IF(스프레드쇼크!$C$5="Y",IF(ISNUMBER(AF745),MIN(스프레드쇼크!$C$7,MAX(스프레드쇼크!$C$6,AF745/스프레드쇼크!$C$8)),1),1)</f>
        <v>1</v>
      </c>
      <c r="AZ745" s="94" t="n">
        <f aca="false">AN745*AX745*AY745</f>
        <v>0</v>
      </c>
      <c r="BA745" s="90" t="n">
        <f aca="false">IF(ISNUMBER(G745),AA745*G745,0)</f>
        <v>0</v>
      </c>
      <c r="BB745" s="90" t="n">
        <f aca="false">IF(ISNUMBER(G745),AA745,0)</f>
        <v>0</v>
      </c>
      <c r="BC745" s="90" t="n">
        <f aca="false">IF(AND(Y745=0,ISNUMBER(AF745)),AA745*AF745,0)</f>
        <v>0</v>
      </c>
      <c r="BD745" s="90" t="n">
        <f aca="false">IF(AND(Y745=0,ISNUMBER(AF745)),AA745,0)</f>
        <v>0</v>
      </c>
      <c r="BE745" s="90" t="n">
        <f aca="false">IF(ISNUMBER(H745),AA745*H745,0)</f>
        <v>0</v>
      </c>
      <c r="BF745" s="90" t="n">
        <f aca="false">IF(ISNUMBER(H745),AA745,0)</f>
        <v>0</v>
      </c>
      <c r="BG745" s="90" t="n">
        <f aca="false">IF(AND(Y745=0,ISNUMBER(AF745),ISNUMBER(Z745)),AA745*Z745,0)</f>
        <v>0</v>
      </c>
      <c r="BH745" s="90" t="n">
        <f aca="false">IF(AND(Y745=0,ISNUMBER(AF745),ISNUMBER(Z745)),AA745*AT745*MAX(Z745-1,0),0)</f>
        <v>0</v>
      </c>
      <c r="BI745" s="90" t="n">
        <f aca="false">IF(Y745=0,AA745,0)</f>
        <v>0</v>
      </c>
    </row>
    <row r="746" customFormat="false" ht="15" hidden="false" customHeight="false" outlineLevel="0" collapsed="false">
      <c r="A746" s="83" t="str">
        <f aca="false">IFERROR(IF(INDEX(원자료_잔고!$A$1:$EZ$1500,설정!$L$5+ROW()-1,설정!$L$8)&amp;""="0","",INDEX(원자료_잔고!$A$1:$EZ$1500,설정!$L$5+ROW()-1,설정!$L$8)&amp;""),"")</f>
        <v/>
      </c>
      <c r="B746" s="83" t="str">
        <f aca="false">IFERROR(IF(INDEX(원자료_잔고!$A$1:$EZ$1500,설정!$L$5+ROW()-1,설정!$L$7)&amp;""="0","",INDEX(원자료_잔고!$A$1:$EZ$1500,설정!$L$5+ROW()-1,설정!$L$7)&amp;""),"")</f>
        <v/>
      </c>
      <c r="C746" s="83" t="str">
        <f aca="false">IFERROR(IF(INDEX(원자료_잔고!$A$1:$EZ$1500,설정!$L$5+ROW()-1,설정!$L$9)&amp;""="0","",INDEX(원자료_잔고!$A$1:$EZ$1500,설정!$L$5+ROW()-1,설정!$L$9)&amp;""),"")</f>
        <v/>
      </c>
      <c r="D746" s="83" t="str">
        <f aca="false">IFERROR(IF(INDEX(원자료_잔고!$A$1:$EZ$1500,설정!$L$5+ROW()-1,설정!$L$10)&amp;""="0","",INDEX(원자료_잔고!$A$1:$EZ$1500,설정!$L$5+ROW()-1,설정!$L$10)&amp;""),"")</f>
        <v/>
      </c>
      <c r="E746" s="84" t="str">
        <f aca="false">IFERROR(IF(ISNUMBER(INDEX(원자료_잔고!$A$1:$EZ$1500,설정!$L$5+ROW()-1,설정!$L$11)),INDEX(원자료_잔고!$A$1:$EZ$1500,설정!$L$5+ROW()-1,설정!$L$11),""),"")</f>
        <v/>
      </c>
      <c r="F746" s="85" t="str">
        <f aca="false">IFERROR(IF(ISNUMBER(INDEX(원자료_잔고!$A$1:$EZ$1500,설정!$L$5+ROW()-1,설정!$L$12)),INDEX(원자료_잔고!$A$1:$EZ$1500,설정!$L$5+ROW()-1,설정!$L$12),""),"")</f>
        <v/>
      </c>
      <c r="G746" s="85" t="str">
        <f aca="false">IFERROR(IF(ISNUMBER(INDEX(원자료_잔고!$A$1:$EZ$1500,설정!$L$5+ROW()-1,설정!$L$13)),INDEX(원자료_잔고!$A$1:$EZ$1500,설정!$L$5+ROW()-1,설정!$L$13),""),"")</f>
        <v/>
      </c>
      <c r="H746" s="85" t="str">
        <f aca="false">IFERROR(IF(ISNUMBER(INDEX(원자료_잔고!$A$1:$EZ$1500,설정!$L$5+ROW()-1,설정!$L$14)),INDEX(원자료_잔고!$A$1:$EZ$1500,설정!$L$5+ROW()-1,설정!$L$14),""),"")</f>
        <v/>
      </c>
      <c r="I746" s="86" t="str">
        <f aca="false">IFERROR(IF(ISNUMBER(INDEX(원자료_잔고!$A$1:$EZ$1500,설정!$L$5+ROW()-1,설정!$L$15)),INDEX(원자료_잔고!$A$1:$EZ$1500,설정!$L$5+ROW()-1,설정!$L$15),""),"")</f>
        <v/>
      </c>
      <c r="J746" s="85" t="str">
        <f aca="false">IFERROR(IF(ISNUMBER(INDEX(원자료_잔고!$A$1:$EZ$1500,설정!$L$5+ROW()-1,설정!$L$16)),INDEX(원자료_잔고!$A$1:$EZ$1500,설정!$L$5+ROW()-1,설정!$L$16),""),"")</f>
        <v/>
      </c>
      <c r="K746" s="87" t="str">
        <f aca="false">IFERROR(IF(ISNUMBER(INDEX(원자료_잔고!$A$1:$EZ$1500,설정!$L$5+ROW()-1,설정!$L$17)),INDEX(원자료_잔고!$A$1:$EZ$1500,설정!$L$5+ROW()-1,설정!$L$17),""),"")</f>
        <v/>
      </c>
      <c r="L746" s="84" t="str">
        <f aca="false">IFERROR(IF(ISNUMBER(INDEX(원자료_잔고!$A$1:$EZ$1500,설정!$L$5+ROW()-1,설정!$L$18)),INDEX(원자료_잔고!$A$1:$EZ$1500,설정!$L$5+ROW()-1,설정!$L$18),""),"")</f>
        <v/>
      </c>
      <c r="M746" s="88" t="str">
        <f aca="false">IFERROR(IF(ISNUMBER(INDEX(원자료_잔고!$A$1:$EZ$1500,설정!$L$5+ROW()-1,설정!$L$19)),INDEX(원자료_잔고!$A$1:$EZ$1500,설정!$L$5+ROW()-1,설정!$L$19),""),"")</f>
        <v/>
      </c>
      <c r="N746" s="83" t="str">
        <f aca="false">IFERROR(IF(INDEX(원자료_잔고!$A$1:$EZ$1500,설정!$L$5+ROW()-1,설정!$L$21)&amp;""="0","",INDEX(원자료_잔고!$A$1:$EZ$1500,설정!$L$5+ROW()-1,설정!$L$21)&amp;""),"")</f>
        <v/>
      </c>
      <c r="O746" s="83" t="str">
        <f aca="false">IFERROR(IF(INDEX(원자료_잔고!$A$1:$EZ$1500,설정!$L$5+ROW()-1,설정!$L$22)&amp;""="0","",INDEX(원자료_잔고!$A$1:$EZ$1500,설정!$L$5+ROW()-1,설정!$L$22)&amp;""),"")</f>
        <v/>
      </c>
      <c r="P746" s="83" t="str">
        <f aca="false">IFERROR(IF(INDEX(원자료_잔고!$A$1:$EZ$1500,설정!$L$5+ROW()-1,설정!$L$23)&amp;""="0","",INDEX(원자료_잔고!$A$1:$EZ$1500,설정!$L$5+ROW()-1,설정!$L$23)&amp;""),"")</f>
        <v/>
      </c>
      <c r="Q746" s="89" t="n">
        <f aca="false">IF(AND($A746&lt;&gt;"",ISNUMBER(E746)),IF(E746&gt;0,1,0),0)</f>
        <v>0</v>
      </c>
      <c r="R746" s="43" t="str">
        <f aca="false">IF(Q746=1,UPPER(LEFT($A746,FIND(" ",$A746&amp;" ")-1)),"")</f>
        <v/>
      </c>
      <c r="S746" s="89" t="n">
        <f aca="false">IF(Q746=1,IF(OR(ISNUMBER(SEARCH("Float",$A746)),ISNUMBER(SEARCH("FRN",$A746))),1,0),0)</f>
        <v>0</v>
      </c>
      <c r="T746" s="43" t="str">
        <f aca="false">IF(AND(Q746=1,ISNUMBER(I746)),TEXT(I746,"yyyymmdd")&amp;"|"&amp;IF(S746=1,"F",TEXT(J746,"0.000")),"")</f>
        <v/>
      </c>
      <c r="U746" s="90" t="str">
        <f aca="false">IF(AND(Q746=1,ISNUMBER(I746)),(I746-설정!$C$4)/365.25,"")</f>
        <v/>
      </c>
      <c r="V746" s="43" t="str">
        <f aca="false">IF(Q746&lt;&gt;1,"",IF(ISNUMBER(U746),IF(U746&lt;=1,"1년 이하",IF(U746&lt;=2,"1-2년",IF(U746&lt;=3,"2-3년",IF(U746&lt;=4,"3-4년",IF(U746&lt;=5,"4-5년",IF(U746&lt;=7,"5-7년",IF(U746&lt;=10,"7-10년",IF(U746&lt;=20,"10-20년","20년 이상")))))))),"미분류"))</f>
        <v/>
      </c>
      <c r="W746" s="43" t="str">
        <f aca="false">IF(Q746&lt;&gt;1,"",IF(AB746&lt;&gt;"",INDEX(시장분석!$C:$C,AB746),IF(K746=1,"USD","비USD")))</f>
        <v/>
      </c>
      <c r="X746" s="91" t="n">
        <f aca="false">IF(Q746=1,E746*K746/1000000,0)</f>
        <v>0</v>
      </c>
      <c r="Y746" s="89" t="n">
        <f aca="false">IF(R746="T",1,0)</f>
        <v>0</v>
      </c>
      <c r="Z746" s="92" t="str">
        <f aca="false">IF(Q746&lt;&gt;1,"",IF(AD746=1,IF(ISNUMBER(U746),MAX(U746,0),H746),H746))</f>
        <v/>
      </c>
      <c r="AA746" s="91" t="n">
        <f aca="false">IF(Q746=1,IF(ISNUMBER(L746),L746,0)*K746/1000000,0)</f>
        <v>0</v>
      </c>
      <c r="AB746" s="89" t="str">
        <f aca="false">IF(Q746&lt;&gt;1,"",IFERROR(MATCH(VLOOKUP(B746,매핑!$H$4:$I$15,2,0),시장분석!$A$2:$A$601,0)+1,IFERROR(MATCH(R746&amp;"|"&amp;T746,시장분석!$V$2:$V$601,0)+1,IF(COUNTIF(시장분석!$U$2:$U$601,T746)=1,MATCH(T746,시장분석!$U$2:$U$601,0)+1,""))))</f>
        <v/>
      </c>
      <c r="AC746" s="89" t="n">
        <f aca="false">IF(Q746&lt;&gt;1,0,IF(OR(설정!$C$5="전체",AND(설정!$C$5="선택펀드",IFERROR(COUNTIFS(설정!$F$16:$F$36,C746,설정!$G$16:$G$36,"Y")+COUNTIFS(설정!$F$16:$F$36,VALUE(C746),설정!$G$16:$G$36,"Y"),0)&gt;0),C746&amp;""=설정!$C$5&amp;""),1,0))</f>
        <v>0</v>
      </c>
      <c r="AD746" s="89" t="n">
        <f aca="false">IF(Q746&lt;&gt;1,0,IF(OR(S746=1,IF(AB746="",FALSE(),INDEX(시장분석!$R:$R,AB746)=1)),1,0))</f>
        <v>0</v>
      </c>
      <c r="AE746" s="43" t="str">
        <f aca="false">IF(AB746="","",INDEX(시장분석!$A:$A,AB746))</f>
        <v/>
      </c>
      <c r="AF746" s="93" t="str">
        <f aca="false">IF(AB746="","",IF(ISNUMBER(IF(AB746="","",INDEX(시장분석!$E:$E,AB746))),IF(AB746="","",INDEX(시장분석!$E:$E,AB746)),""))</f>
        <v/>
      </c>
      <c r="AG746" s="43" t="str">
        <f aca="false">IF(Q746&lt;&gt;1,"",IF(AB746&lt;&gt;"",IF(AB746="","",INDEX(시장분석!$L:$L,AB746)),IFERROR(IF(VLOOKUP(R746,매핑!$A$4:$E$92,5,0)="","미분류",VLOOKUP(R746,매핑!$A$4:$E$92,5,0)),"미분류")))</f>
        <v/>
      </c>
      <c r="AH746" s="43" t="str">
        <f aca="false">IF(Q746&lt;&gt;1,"",IF(AB746&lt;&gt;"",IF(AB746="","",INDEX(시장분석!$N:$N,AB746)),IFERROR(IF(VLOOKUP(R746,매핑!$A$4:$E$92,4,0)="","미분류",VLOOKUP(R746,매핑!$A$4:$E$92,4,0)),"미분류")))</f>
        <v/>
      </c>
      <c r="AI746" s="43" t="str">
        <f aca="false">IF(Q746&lt;&gt;1,"",IFERROR(IF(VLOOKUP(R746,매핑!$A$4:$E$92,3,0)="","미분류",VLOOKUP(R746,매핑!$A$4:$E$92,3,0)),IF(AB746&lt;&gt;"",IF(AB746="","",INDEX(시장분석!$W:$W,AB746)),"미분류")))</f>
        <v/>
      </c>
      <c r="AJ746" s="43" t="str">
        <f aca="false">IF(Q746&lt;&gt;1,"",IFERROR(VLOOKUP(IF(N746&lt;&gt;"",N746,IF(P746&lt;&gt;"",P746,O746)),설정!$A$15:$D$47,2,0),""))</f>
        <v/>
      </c>
      <c r="AK746" s="43" t="str">
        <f aca="false">IF(Q746&lt;&gt;1,"",IF(AJ746="","무등급",IFERROR(VLOOKUP(AJ746,설정!$A$15:$D$47,3,0),"무등급")))</f>
        <v/>
      </c>
      <c r="AL746" s="89" t="n">
        <f aca="false">IF(AJ746="",99,IFERROR(VLOOKUP(AJ746,설정!$A$15:$D$47,4,0),99))</f>
        <v>99</v>
      </c>
      <c r="AM746" s="94" t="n">
        <f aca="false">IF(ISNUMBER(H746),AA746*1000000*H746/10000,0)</f>
        <v>0</v>
      </c>
      <c r="AN746" s="94" t="n">
        <f aca="false">IF(OR(Y746=1,NOT(ISNUMBER(Z746))),0,AA746*1000000*Z746/10000)</f>
        <v>0</v>
      </c>
      <c r="AO746" s="94" t="n">
        <f aca="false">IF(ISNUMBER(G746),AA746*1000000*G746/100,0)</f>
        <v>0</v>
      </c>
      <c r="AP746" s="94" t="n">
        <f aca="false">IF(ISNUMBER(M746),M746*K746,0)</f>
        <v>0</v>
      </c>
      <c r="AQ746" s="95" t="str">
        <f aca="false">IF(AB746="","",INDEX(시장분석!$AK:$AK,AB746))</f>
        <v/>
      </c>
      <c r="AR746" s="43" t="str">
        <f aca="false">IF(AB746="","-",IF(AB746="","",INDEX(시장분석!$AL:$AL,AB746)))</f>
        <v>-</v>
      </c>
      <c r="AS746" s="96" t="str">
        <f aca="false">IF(AB746="","",INDEX(시장분석!$AJ:$AJ,AB746))</f>
        <v/>
      </c>
      <c r="AT746" s="93" t="n">
        <f aca="false">IF(AB746="",0,IF(AB746="","",INDEX(시장분석!$AN:$AN,AB746)))</f>
        <v>0</v>
      </c>
      <c r="AU746" s="94" t="n">
        <f aca="false">IF(ISNUMBER(Z746),AT746/10000*MAX(Z746-1,0)*AA746*1000000,0)</f>
        <v>0</v>
      </c>
      <c r="AV746" s="94" t="n">
        <f aca="false">AO746+AU746</f>
        <v>0</v>
      </c>
      <c r="AW746" s="43" t="str">
        <f aca="false">IF(Q746&lt;&gt;1,"",TRIM(IF(AD746=1,"FRN ","")&amp;IF(AND(AL746&gt;=10,AL746&lt;99),"BBB0미만 ","")&amp;IF(AJ746="","등급없음 ","")&amp;IF(K746&lt;&gt;1,"비USD ","")&amp;IF(AND(AB746="",Y746=0),"시장데이터없음 ","")&amp;IF(AND(ISNUMBER(U746),U746&lt;0),"만기경과 ","")))</f>
        <v/>
      </c>
      <c r="AX746" s="90" t="n">
        <f aca="false">IF(Q746&lt;&gt;1,1,IF(스프레드쇼크!$C$4="Y",INDEX(스프레드쇼크!$B$12:$L$16,IFERROR(MATCH(AH746,스프레드쇼크!$A$12:$A$16,0),MATCH("목록외",스프레드쇼크!$A$12:$A$16,0)),IFERROR(MATCH(AG746,스프레드쇼크!$B$11:$L$11,0),MATCH("목록외",스프레드쇼크!$B$11:$L$11,0))),1))</f>
        <v>1</v>
      </c>
      <c r="AY746" s="90" t="n">
        <f aca="false">IF(스프레드쇼크!$C$5="Y",IF(ISNUMBER(AF746),MIN(스프레드쇼크!$C$7,MAX(스프레드쇼크!$C$6,AF746/스프레드쇼크!$C$8)),1),1)</f>
        <v>1</v>
      </c>
      <c r="AZ746" s="94" t="n">
        <f aca="false">AN746*AX746*AY746</f>
        <v>0</v>
      </c>
      <c r="BA746" s="90" t="n">
        <f aca="false">IF(ISNUMBER(G746),AA746*G746,0)</f>
        <v>0</v>
      </c>
      <c r="BB746" s="90" t="n">
        <f aca="false">IF(ISNUMBER(G746),AA746,0)</f>
        <v>0</v>
      </c>
      <c r="BC746" s="90" t="n">
        <f aca="false">IF(AND(Y746=0,ISNUMBER(AF746)),AA746*AF746,0)</f>
        <v>0</v>
      </c>
      <c r="BD746" s="90" t="n">
        <f aca="false">IF(AND(Y746=0,ISNUMBER(AF746)),AA746,0)</f>
        <v>0</v>
      </c>
      <c r="BE746" s="90" t="n">
        <f aca="false">IF(ISNUMBER(H746),AA746*H746,0)</f>
        <v>0</v>
      </c>
      <c r="BF746" s="90" t="n">
        <f aca="false">IF(ISNUMBER(H746),AA746,0)</f>
        <v>0</v>
      </c>
      <c r="BG746" s="90" t="n">
        <f aca="false">IF(AND(Y746=0,ISNUMBER(AF746),ISNUMBER(Z746)),AA746*Z746,0)</f>
        <v>0</v>
      </c>
      <c r="BH746" s="90" t="n">
        <f aca="false">IF(AND(Y746=0,ISNUMBER(AF746),ISNUMBER(Z746)),AA746*AT746*MAX(Z746-1,0),0)</f>
        <v>0</v>
      </c>
      <c r="BI746" s="90" t="n">
        <f aca="false">IF(Y746=0,AA746,0)</f>
        <v>0</v>
      </c>
    </row>
    <row r="747" customFormat="false" ht="15" hidden="false" customHeight="false" outlineLevel="0" collapsed="false">
      <c r="A747" s="83" t="str">
        <f aca="false">IFERROR(IF(INDEX(원자료_잔고!$A$1:$EZ$1500,설정!$L$5+ROW()-1,설정!$L$8)&amp;""="0","",INDEX(원자료_잔고!$A$1:$EZ$1500,설정!$L$5+ROW()-1,설정!$L$8)&amp;""),"")</f>
        <v/>
      </c>
      <c r="B747" s="83" t="str">
        <f aca="false">IFERROR(IF(INDEX(원자료_잔고!$A$1:$EZ$1500,설정!$L$5+ROW()-1,설정!$L$7)&amp;""="0","",INDEX(원자료_잔고!$A$1:$EZ$1500,설정!$L$5+ROW()-1,설정!$L$7)&amp;""),"")</f>
        <v/>
      </c>
      <c r="C747" s="83" t="str">
        <f aca="false">IFERROR(IF(INDEX(원자료_잔고!$A$1:$EZ$1500,설정!$L$5+ROW()-1,설정!$L$9)&amp;""="0","",INDEX(원자료_잔고!$A$1:$EZ$1500,설정!$L$5+ROW()-1,설정!$L$9)&amp;""),"")</f>
        <v/>
      </c>
      <c r="D747" s="83" t="str">
        <f aca="false">IFERROR(IF(INDEX(원자료_잔고!$A$1:$EZ$1500,설정!$L$5+ROW()-1,설정!$L$10)&amp;""="0","",INDEX(원자료_잔고!$A$1:$EZ$1500,설정!$L$5+ROW()-1,설정!$L$10)&amp;""),"")</f>
        <v/>
      </c>
      <c r="E747" s="84" t="str">
        <f aca="false">IFERROR(IF(ISNUMBER(INDEX(원자료_잔고!$A$1:$EZ$1500,설정!$L$5+ROW()-1,설정!$L$11)),INDEX(원자료_잔고!$A$1:$EZ$1500,설정!$L$5+ROW()-1,설정!$L$11),""),"")</f>
        <v/>
      </c>
      <c r="F747" s="85" t="str">
        <f aca="false">IFERROR(IF(ISNUMBER(INDEX(원자료_잔고!$A$1:$EZ$1500,설정!$L$5+ROW()-1,설정!$L$12)),INDEX(원자료_잔고!$A$1:$EZ$1500,설정!$L$5+ROW()-1,설정!$L$12),""),"")</f>
        <v/>
      </c>
      <c r="G747" s="85" t="str">
        <f aca="false">IFERROR(IF(ISNUMBER(INDEX(원자료_잔고!$A$1:$EZ$1500,설정!$L$5+ROW()-1,설정!$L$13)),INDEX(원자료_잔고!$A$1:$EZ$1500,설정!$L$5+ROW()-1,설정!$L$13),""),"")</f>
        <v/>
      </c>
      <c r="H747" s="85" t="str">
        <f aca="false">IFERROR(IF(ISNUMBER(INDEX(원자료_잔고!$A$1:$EZ$1500,설정!$L$5+ROW()-1,설정!$L$14)),INDEX(원자료_잔고!$A$1:$EZ$1500,설정!$L$5+ROW()-1,설정!$L$14),""),"")</f>
        <v/>
      </c>
      <c r="I747" s="86" t="str">
        <f aca="false">IFERROR(IF(ISNUMBER(INDEX(원자료_잔고!$A$1:$EZ$1500,설정!$L$5+ROW()-1,설정!$L$15)),INDEX(원자료_잔고!$A$1:$EZ$1500,설정!$L$5+ROW()-1,설정!$L$15),""),"")</f>
        <v/>
      </c>
      <c r="J747" s="85" t="str">
        <f aca="false">IFERROR(IF(ISNUMBER(INDEX(원자료_잔고!$A$1:$EZ$1500,설정!$L$5+ROW()-1,설정!$L$16)),INDEX(원자료_잔고!$A$1:$EZ$1500,설정!$L$5+ROW()-1,설정!$L$16),""),"")</f>
        <v/>
      </c>
      <c r="K747" s="87" t="str">
        <f aca="false">IFERROR(IF(ISNUMBER(INDEX(원자료_잔고!$A$1:$EZ$1500,설정!$L$5+ROW()-1,설정!$L$17)),INDEX(원자료_잔고!$A$1:$EZ$1500,설정!$L$5+ROW()-1,설정!$L$17),""),"")</f>
        <v/>
      </c>
      <c r="L747" s="84" t="str">
        <f aca="false">IFERROR(IF(ISNUMBER(INDEX(원자료_잔고!$A$1:$EZ$1500,설정!$L$5+ROW()-1,설정!$L$18)),INDEX(원자료_잔고!$A$1:$EZ$1500,설정!$L$5+ROW()-1,설정!$L$18),""),"")</f>
        <v/>
      </c>
      <c r="M747" s="88" t="str">
        <f aca="false">IFERROR(IF(ISNUMBER(INDEX(원자료_잔고!$A$1:$EZ$1500,설정!$L$5+ROW()-1,설정!$L$19)),INDEX(원자료_잔고!$A$1:$EZ$1500,설정!$L$5+ROW()-1,설정!$L$19),""),"")</f>
        <v/>
      </c>
      <c r="N747" s="83" t="str">
        <f aca="false">IFERROR(IF(INDEX(원자료_잔고!$A$1:$EZ$1500,설정!$L$5+ROW()-1,설정!$L$21)&amp;""="0","",INDEX(원자료_잔고!$A$1:$EZ$1500,설정!$L$5+ROW()-1,설정!$L$21)&amp;""),"")</f>
        <v/>
      </c>
      <c r="O747" s="83" t="str">
        <f aca="false">IFERROR(IF(INDEX(원자료_잔고!$A$1:$EZ$1500,설정!$L$5+ROW()-1,설정!$L$22)&amp;""="0","",INDEX(원자료_잔고!$A$1:$EZ$1500,설정!$L$5+ROW()-1,설정!$L$22)&amp;""),"")</f>
        <v/>
      </c>
      <c r="P747" s="83" t="str">
        <f aca="false">IFERROR(IF(INDEX(원자료_잔고!$A$1:$EZ$1500,설정!$L$5+ROW()-1,설정!$L$23)&amp;""="0","",INDEX(원자료_잔고!$A$1:$EZ$1500,설정!$L$5+ROW()-1,설정!$L$23)&amp;""),"")</f>
        <v/>
      </c>
      <c r="Q747" s="89" t="n">
        <f aca="false">IF(AND($A747&lt;&gt;"",ISNUMBER(E747)),IF(E747&gt;0,1,0),0)</f>
        <v>0</v>
      </c>
      <c r="R747" s="43" t="str">
        <f aca="false">IF(Q747=1,UPPER(LEFT($A747,FIND(" ",$A747&amp;" ")-1)),"")</f>
        <v/>
      </c>
      <c r="S747" s="89" t="n">
        <f aca="false">IF(Q747=1,IF(OR(ISNUMBER(SEARCH("Float",$A747)),ISNUMBER(SEARCH("FRN",$A747))),1,0),0)</f>
        <v>0</v>
      </c>
      <c r="T747" s="43" t="str">
        <f aca="false">IF(AND(Q747=1,ISNUMBER(I747)),TEXT(I747,"yyyymmdd")&amp;"|"&amp;IF(S747=1,"F",TEXT(J747,"0.000")),"")</f>
        <v/>
      </c>
      <c r="U747" s="90" t="str">
        <f aca="false">IF(AND(Q747=1,ISNUMBER(I747)),(I747-설정!$C$4)/365.25,"")</f>
        <v/>
      </c>
      <c r="V747" s="43" t="str">
        <f aca="false">IF(Q747&lt;&gt;1,"",IF(ISNUMBER(U747),IF(U747&lt;=1,"1년 이하",IF(U747&lt;=2,"1-2년",IF(U747&lt;=3,"2-3년",IF(U747&lt;=4,"3-4년",IF(U747&lt;=5,"4-5년",IF(U747&lt;=7,"5-7년",IF(U747&lt;=10,"7-10년",IF(U747&lt;=20,"10-20년","20년 이상")))))))),"미분류"))</f>
        <v/>
      </c>
      <c r="W747" s="43" t="str">
        <f aca="false">IF(Q747&lt;&gt;1,"",IF(AB747&lt;&gt;"",INDEX(시장분석!$C:$C,AB747),IF(K747=1,"USD","비USD")))</f>
        <v/>
      </c>
      <c r="X747" s="91" t="n">
        <f aca="false">IF(Q747=1,E747*K747/1000000,0)</f>
        <v>0</v>
      </c>
      <c r="Y747" s="89" t="n">
        <f aca="false">IF(R747="T",1,0)</f>
        <v>0</v>
      </c>
      <c r="Z747" s="92" t="str">
        <f aca="false">IF(Q747&lt;&gt;1,"",IF(AD747=1,IF(ISNUMBER(U747),MAX(U747,0),H747),H747))</f>
        <v/>
      </c>
      <c r="AA747" s="91" t="n">
        <f aca="false">IF(Q747=1,IF(ISNUMBER(L747),L747,0)*K747/1000000,0)</f>
        <v>0</v>
      </c>
      <c r="AB747" s="89" t="str">
        <f aca="false">IF(Q747&lt;&gt;1,"",IFERROR(MATCH(VLOOKUP(B747,매핑!$H$4:$I$15,2,0),시장분석!$A$2:$A$601,0)+1,IFERROR(MATCH(R747&amp;"|"&amp;T747,시장분석!$V$2:$V$601,0)+1,IF(COUNTIF(시장분석!$U$2:$U$601,T747)=1,MATCH(T747,시장분석!$U$2:$U$601,0)+1,""))))</f>
        <v/>
      </c>
      <c r="AC747" s="89" t="n">
        <f aca="false">IF(Q747&lt;&gt;1,0,IF(OR(설정!$C$5="전체",AND(설정!$C$5="선택펀드",IFERROR(COUNTIFS(설정!$F$16:$F$36,C747,설정!$G$16:$G$36,"Y")+COUNTIFS(설정!$F$16:$F$36,VALUE(C747),설정!$G$16:$G$36,"Y"),0)&gt;0),C747&amp;""=설정!$C$5&amp;""),1,0))</f>
        <v>0</v>
      </c>
      <c r="AD747" s="89" t="n">
        <f aca="false">IF(Q747&lt;&gt;1,0,IF(OR(S747=1,IF(AB747="",FALSE(),INDEX(시장분석!$R:$R,AB747)=1)),1,0))</f>
        <v>0</v>
      </c>
      <c r="AE747" s="43" t="str">
        <f aca="false">IF(AB747="","",INDEX(시장분석!$A:$A,AB747))</f>
        <v/>
      </c>
      <c r="AF747" s="93" t="str">
        <f aca="false">IF(AB747="","",IF(ISNUMBER(IF(AB747="","",INDEX(시장분석!$E:$E,AB747))),IF(AB747="","",INDEX(시장분석!$E:$E,AB747)),""))</f>
        <v/>
      </c>
      <c r="AG747" s="43" t="str">
        <f aca="false">IF(Q747&lt;&gt;1,"",IF(AB747&lt;&gt;"",IF(AB747="","",INDEX(시장분석!$L:$L,AB747)),IFERROR(IF(VLOOKUP(R747,매핑!$A$4:$E$92,5,0)="","미분류",VLOOKUP(R747,매핑!$A$4:$E$92,5,0)),"미분류")))</f>
        <v/>
      </c>
      <c r="AH747" s="43" t="str">
        <f aca="false">IF(Q747&lt;&gt;1,"",IF(AB747&lt;&gt;"",IF(AB747="","",INDEX(시장분석!$N:$N,AB747)),IFERROR(IF(VLOOKUP(R747,매핑!$A$4:$E$92,4,0)="","미분류",VLOOKUP(R747,매핑!$A$4:$E$92,4,0)),"미분류")))</f>
        <v/>
      </c>
      <c r="AI747" s="43" t="str">
        <f aca="false">IF(Q747&lt;&gt;1,"",IFERROR(IF(VLOOKUP(R747,매핑!$A$4:$E$92,3,0)="","미분류",VLOOKUP(R747,매핑!$A$4:$E$92,3,0)),IF(AB747&lt;&gt;"",IF(AB747="","",INDEX(시장분석!$W:$W,AB747)),"미분류")))</f>
        <v/>
      </c>
      <c r="AJ747" s="43" t="str">
        <f aca="false">IF(Q747&lt;&gt;1,"",IFERROR(VLOOKUP(IF(N747&lt;&gt;"",N747,IF(P747&lt;&gt;"",P747,O747)),설정!$A$15:$D$47,2,0),""))</f>
        <v/>
      </c>
      <c r="AK747" s="43" t="str">
        <f aca="false">IF(Q747&lt;&gt;1,"",IF(AJ747="","무등급",IFERROR(VLOOKUP(AJ747,설정!$A$15:$D$47,3,0),"무등급")))</f>
        <v/>
      </c>
      <c r="AL747" s="89" t="n">
        <f aca="false">IF(AJ747="",99,IFERROR(VLOOKUP(AJ747,설정!$A$15:$D$47,4,0),99))</f>
        <v>99</v>
      </c>
      <c r="AM747" s="94" t="n">
        <f aca="false">IF(ISNUMBER(H747),AA747*1000000*H747/10000,0)</f>
        <v>0</v>
      </c>
      <c r="AN747" s="94" t="n">
        <f aca="false">IF(OR(Y747=1,NOT(ISNUMBER(Z747))),0,AA747*1000000*Z747/10000)</f>
        <v>0</v>
      </c>
      <c r="AO747" s="94" t="n">
        <f aca="false">IF(ISNUMBER(G747),AA747*1000000*G747/100,0)</f>
        <v>0</v>
      </c>
      <c r="AP747" s="94" t="n">
        <f aca="false">IF(ISNUMBER(M747),M747*K747,0)</f>
        <v>0</v>
      </c>
      <c r="AQ747" s="95" t="str">
        <f aca="false">IF(AB747="","",INDEX(시장분석!$AK:$AK,AB747))</f>
        <v/>
      </c>
      <c r="AR747" s="43" t="str">
        <f aca="false">IF(AB747="","-",IF(AB747="","",INDEX(시장분석!$AL:$AL,AB747)))</f>
        <v>-</v>
      </c>
      <c r="AS747" s="96" t="str">
        <f aca="false">IF(AB747="","",INDEX(시장분석!$AJ:$AJ,AB747))</f>
        <v/>
      </c>
      <c r="AT747" s="93" t="n">
        <f aca="false">IF(AB747="",0,IF(AB747="","",INDEX(시장분석!$AN:$AN,AB747)))</f>
        <v>0</v>
      </c>
      <c r="AU747" s="94" t="n">
        <f aca="false">IF(ISNUMBER(Z747),AT747/10000*MAX(Z747-1,0)*AA747*1000000,0)</f>
        <v>0</v>
      </c>
      <c r="AV747" s="94" t="n">
        <f aca="false">AO747+AU747</f>
        <v>0</v>
      </c>
      <c r="AW747" s="43" t="str">
        <f aca="false">IF(Q747&lt;&gt;1,"",TRIM(IF(AD747=1,"FRN ","")&amp;IF(AND(AL747&gt;=10,AL747&lt;99),"BBB0미만 ","")&amp;IF(AJ747="","등급없음 ","")&amp;IF(K747&lt;&gt;1,"비USD ","")&amp;IF(AND(AB747="",Y747=0),"시장데이터없음 ","")&amp;IF(AND(ISNUMBER(U747),U747&lt;0),"만기경과 ","")))</f>
        <v/>
      </c>
      <c r="AX747" s="90" t="n">
        <f aca="false">IF(Q747&lt;&gt;1,1,IF(스프레드쇼크!$C$4="Y",INDEX(스프레드쇼크!$B$12:$L$16,IFERROR(MATCH(AH747,스프레드쇼크!$A$12:$A$16,0),MATCH("목록외",스프레드쇼크!$A$12:$A$16,0)),IFERROR(MATCH(AG747,스프레드쇼크!$B$11:$L$11,0),MATCH("목록외",스프레드쇼크!$B$11:$L$11,0))),1))</f>
        <v>1</v>
      </c>
      <c r="AY747" s="90" t="n">
        <f aca="false">IF(스프레드쇼크!$C$5="Y",IF(ISNUMBER(AF747),MIN(스프레드쇼크!$C$7,MAX(스프레드쇼크!$C$6,AF747/스프레드쇼크!$C$8)),1),1)</f>
        <v>1</v>
      </c>
      <c r="AZ747" s="94" t="n">
        <f aca="false">AN747*AX747*AY747</f>
        <v>0</v>
      </c>
      <c r="BA747" s="90" t="n">
        <f aca="false">IF(ISNUMBER(G747),AA747*G747,0)</f>
        <v>0</v>
      </c>
      <c r="BB747" s="90" t="n">
        <f aca="false">IF(ISNUMBER(G747),AA747,0)</f>
        <v>0</v>
      </c>
      <c r="BC747" s="90" t="n">
        <f aca="false">IF(AND(Y747=0,ISNUMBER(AF747)),AA747*AF747,0)</f>
        <v>0</v>
      </c>
      <c r="BD747" s="90" t="n">
        <f aca="false">IF(AND(Y747=0,ISNUMBER(AF747)),AA747,0)</f>
        <v>0</v>
      </c>
      <c r="BE747" s="90" t="n">
        <f aca="false">IF(ISNUMBER(H747),AA747*H747,0)</f>
        <v>0</v>
      </c>
      <c r="BF747" s="90" t="n">
        <f aca="false">IF(ISNUMBER(H747),AA747,0)</f>
        <v>0</v>
      </c>
      <c r="BG747" s="90" t="n">
        <f aca="false">IF(AND(Y747=0,ISNUMBER(AF747),ISNUMBER(Z747)),AA747*Z747,0)</f>
        <v>0</v>
      </c>
      <c r="BH747" s="90" t="n">
        <f aca="false">IF(AND(Y747=0,ISNUMBER(AF747),ISNUMBER(Z747)),AA747*AT747*MAX(Z747-1,0),0)</f>
        <v>0</v>
      </c>
      <c r="BI747" s="90" t="n">
        <f aca="false">IF(Y747=0,AA747,0)</f>
        <v>0</v>
      </c>
    </row>
    <row r="748" customFormat="false" ht="15" hidden="false" customHeight="false" outlineLevel="0" collapsed="false">
      <c r="A748" s="83" t="str">
        <f aca="false">IFERROR(IF(INDEX(원자료_잔고!$A$1:$EZ$1500,설정!$L$5+ROW()-1,설정!$L$8)&amp;""="0","",INDEX(원자료_잔고!$A$1:$EZ$1500,설정!$L$5+ROW()-1,설정!$L$8)&amp;""),"")</f>
        <v/>
      </c>
      <c r="B748" s="83" t="str">
        <f aca="false">IFERROR(IF(INDEX(원자료_잔고!$A$1:$EZ$1500,설정!$L$5+ROW()-1,설정!$L$7)&amp;""="0","",INDEX(원자료_잔고!$A$1:$EZ$1500,설정!$L$5+ROW()-1,설정!$L$7)&amp;""),"")</f>
        <v/>
      </c>
      <c r="C748" s="83" t="str">
        <f aca="false">IFERROR(IF(INDEX(원자료_잔고!$A$1:$EZ$1500,설정!$L$5+ROW()-1,설정!$L$9)&amp;""="0","",INDEX(원자료_잔고!$A$1:$EZ$1500,설정!$L$5+ROW()-1,설정!$L$9)&amp;""),"")</f>
        <v/>
      </c>
      <c r="D748" s="83" t="str">
        <f aca="false">IFERROR(IF(INDEX(원자료_잔고!$A$1:$EZ$1500,설정!$L$5+ROW()-1,설정!$L$10)&amp;""="0","",INDEX(원자료_잔고!$A$1:$EZ$1500,설정!$L$5+ROW()-1,설정!$L$10)&amp;""),"")</f>
        <v/>
      </c>
      <c r="E748" s="84" t="str">
        <f aca="false">IFERROR(IF(ISNUMBER(INDEX(원자료_잔고!$A$1:$EZ$1500,설정!$L$5+ROW()-1,설정!$L$11)),INDEX(원자료_잔고!$A$1:$EZ$1500,설정!$L$5+ROW()-1,설정!$L$11),""),"")</f>
        <v/>
      </c>
      <c r="F748" s="85" t="str">
        <f aca="false">IFERROR(IF(ISNUMBER(INDEX(원자료_잔고!$A$1:$EZ$1500,설정!$L$5+ROW()-1,설정!$L$12)),INDEX(원자료_잔고!$A$1:$EZ$1500,설정!$L$5+ROW()-1,설정!$L$12),""),"")</f>
        <v/>
      </c>
      <c r="G748" s="85" t="str">
        <f aca="false">IFERROR(IF(ISNUMBER(INDEX(원자료_잔고!$A$1:$EZ$1500,설정!$L$5+ROW()-1,설정!$L$13)),INDEX(원자료_잔고!$A$1:$EZ$1500,설정!$L$5+ROW()-1,설정!$L$13),""),"")</f>
        <v/>
      </c>
      <c r="H748" s="85" t="str">
        <f aca="false">IFERROR(IF(ISNUMBER(INDEX(원자료_잔고!$A$1:$EZ$1500,설정!$L$5+ROW()-1,설정!$L$14)),INDEX(원자료_잔고!$A$1:$EZ$1500,설정!$L$5+ROW()-1,설정!$L$14),""),"")</f>
        <v/>
      </c>
      <c r="I748" s="86" t="str">
        <f aca="false">IFERROR(IF(ISNUMBER(INDEX(원자료_잔고!$A$1:$EZ$1500,설정!$L$5+ROW()-1,설정!$L$15)),INDEX(원자료_잔고!$A$1:$EZ$1500,설정!$L$5+ROW()-1,설정!$L$15),""),"")</f>
        <v/>
      </c>
      <c r="J748" s="85" t="str">
        <f aca="false">IFERROR(IF(ISNUMBER(INDEX(원자료_잔고!$A$1:$EZ$1500,설정!$L$5+ROW()-1,설정!$L$16)),INDEX(원자료_잔고!$A$1:$EZ$1500,설정!$L$5+ROW()-1,설정!$L$16),""),"")</f>
        <v/>
      </c>
      <c r="K748" s="87" t="str">
        <f aca="false">IFERROR(IF(ISNUMBER(INDEX(원자료_잔고!$A$1:$EZ$1500,설정!$L$5+ROW()-1,설정!$L$17)),INDEX(원자료_잔고!$A$1:$EZ$1500,설정!$L$5+ROW()-1,설정!$L$17),""),"")</f>
        <v/>
      </c>
      <c r="L748" s="84" t="str">
        <f aca="false">IFERROR(IF(ISNUMBER(INDEX(원자료_잔고!$A$1:$EZ$1500,설정!$L$5+ROW()-1,설정!$L$18)),INDEX(원자료_잔고!$A$1:$EZ$1500,설정!$L$5+ROW()-1,설정!$L$18),""),"")</f>
        <v/>
      </c>
      <c r="M748" s="88" t="str">
        <f aca="false">IFERROR(IF(ISNUMBER(INDEX(원자료_잔고!$A$1:$EZ$1500,설정!$L$5+ROW()-1,설정!$L$19)),INDEX(원자료_잔고!$A$1:$EZ$1500,설정!$L$5+ROW()-1,설정!$L$19),""),"")</f>
        <v/>
      </c>
      <c r="N748" s="83" t="str">
        <f aca="false">IFERROR(IF(INDEX(원자료_잔고!$A$1:$EZ$1500,설정!$L$5+ROW()-1,설정!$L$21)&amp;""="0","",INDEX(원자료_잔고!$A$1:$EZ$1500,설정!$L$5+ROW()-1,설정!$L$21)&amp;""),"")</f>
        <v/>
      </c>
      <c r="O748" s="83" t="str">
        <f aca="false">IFERROR(IF(INDEX(원자료_잔고!$A$1:$EZ$1500,설정!$L$5+ROW()-1,설정!$L$22)&amp;""="0","",INDEX(원자료_잔고!$A$1:$EZ$1500,설정!$L$5+ROW()-1,설정!$L$22)&amp;""),"")</f>
        <v/>
      </c>
      <c r="P748" s="83" t="str">
        <f aca="false">IFERROR(IF(INDEX(원자료_잔고!$A$1:$EZ$1500,설정!$L$5+ROW()-1,설정!$L$23)&amp;""="0","",INDEX(원자료_잔고!$A$1:$EZ$1500,설정!$L$5+ROW()-1,설정!$L$23)&amp;""),"")</f>
        <v/>
      </c>
      <c r="Q748" s="89" t="n">
        <f aca="false">IF(AND($A748&lt;&gt;"",ISNUMBER(E748)),IF(E748&gt;0,1,0),0)</f>
        <v>0</v>
      </c>
      <c r="R748" s="43" t="str">
        <f aca="false">IF(Q748=1,UPPER(LEFT($A748,FIND(" ",$A748&amp;" ")-1)),"")</f>
        <v/>
      </c>
      <c r="S748" s="89" t="n">
        <f aca="false">IF(Q748=1,IF(OR(ISNUMBER(SEARCH("Float",$A748)),ISNUMBER(SEARCH("FRN",$A748))),1,0),0)</f>
        <v>0</v>
      </c>
      <c r="T748" s="43" t="str">
        <f aca="false">IF(AND(Q748=1,ISNUMBER(I748)),TEXT(I748,"yyyymmdd")&amp;"|"&amp;IF(S748=1,"F",TEXT(J748,"0.000")),"")</f>
        <v/>
      </c>
      <c r="U748" s="90" t="str">
        <f aca="false">IF(AND(Q748=1,ISNUMBER(I748)),(I748-설정!$C$4)/365.25,"")</f>
        <v/>
      </c>
      <c r="V748" s="43" t="str">
        <f aca="false">IF(Q748&lt;&gt;1,"",IF(ISNUMBER(U748),IF(U748&lt;=1,"1년 이하",IF(U748&lt;=2,"1-2년",IF(U748&lt;=3,"2-3년",IF(U748&lt;=4,"3-4년",IF(U748&lt;=5,"4-5년",IF(U748&lt;=7,"5-7년",IF(U748&lt;=10,"7-10년",IF(U748&lt;=20,"10-20년","20년 이상")))))))),"미분류"))</f>
        <v/>
      </c>
      <c r="W748" s="43" t="str">
        <f aca="false">IF(Q748&lt;&gt;1,"",IF(AB748&lt;&gt;"",INDEX(시장분석!$C:$C,AB748),IF(K748=1,"USD","비USD")))</f>
        <v/>
      </c>
      <c r="X748" s="91" t="n">
        <f aca="false">IF(Q748=1,E748*K748/1000000,0)</f>
        <v>0</v>
      </c>
      <c r="Y748" s="89" t="n">
        <f aca="false">IF(R748="T",1,0)</f>
        <v>0</v>
      </c>
      <c r="Z748" s="92" t="str">
        <f aca="false">IF(Q748&lt;&gt;1,"",IF(AD748=1,IF(ISNUMBER(U748),MAX(U748,0),H748),H748))</f>
        <v/>
      </c>
      <c r="AA748" s="91" t="n">
        <f aca="false">IF(Q748=1,IF(ISNUMBER(L748),L748,0)*K748/1000000,0)</f>
        <v>0</v>
      </c>
      <c r="AB748" s="89" t="str">
        <f aca="false">IF(Q748&lt;&gt;1,"",IFERROR(MATCH(VLOOKUP(B748,매핑!$H$4:$I$15,2,0),시장분석!$A$2:$A$601,0)+1,IFERROR(MATCH(R748&amp;"|"&amp;T748,시장분석!$V$2:$V$601,0)+1,IF(COUNTIF(시장분석!$U$2:$U$601,T748)=1,MATCH(T748,시장분석!$U$2:$U$601,0)+1,""))))</f>
        <v/>
      </c>
      <c r="AC748" s="89" t="n">
        <f aca="false">IF(Q748&lt;&gt;1,0,IF(OR(설정!$C$5="전체",AND(설정!$C$5="선택펀드",IFERROR(COUNTIFS(설정!$F$16:$F$36,C748,설정!$G$16:$G$36,"Y")+COUNTIFS(설정!$F$16:$F$36,VALUE(C748),설정!$G$16:$G$36,"Y"),0)&gt;0),C748&amp;""=설정!$C$5&amp;""),1,0))</f>
        <v>0</v>
      </c>
      <c r="AD748" s="89" t="n">
        <f aca="false">IF(Q748&lt;&gt;1,0,IF(OR(S748=1,IF(AB748="",FALSE(),INDEX(시장분석!$R:$R,AB748)=1)),1,0))</f>
        <v>0</v>
      </c>
      <c r="AE748" s="43" t="str">
        <f aca="false">IF(AB748="","",INDEX(시장분석!$A:$A,AB748))</f>
        <v/>
      </c>
      <c r="AF748" s="93" t="str">
        <f aca="false">IF(AB748="","",IF(ISNUMBER(IF(AB748="","",INDEX(시장분석!$E:$E,AB748))),IF(AB748="","",INDEX(시장분석!$E:$E,AB748)),""))</f>
        <v/>
      </c>
      <c r="AG748" s="43" t="str">
        <f aca="false">IF(Q748&lt;&gt;1,"",IF(AB748&lt;&gt;"",IF(AB748="","",INDEX(시장분석!$L:$L,AB748)),IFERROR(IF(VLOOKUP(R748,매핑!$A$4:$E$92,5,0)="","미분류",VLOOKUP(R748,매핑!$A$4:$E$92,5,0)),"미분류")))</f>
        <v/>
      </c>
      <c r="AH748" s="43" t="str">
        <f aca="false">IF(Q748&lt;&gt;1,"",IF(AB748&lt;&gt;"",IF(AB748="","",INDEX(시장분석!$N:$N,AB748)),IFERROR(IF(VLOOKUP(R748,매핑!$A$4:$E$92,4,0)="","미분류",VLOOKUP(R748,매핑!$A$4:$E$92,4,0)),"미분류")))</f>
        <v/>
      </c>
      <c r="AI748" s="43" t="str">
        <f aca="false">IF(Q748&lt;&gt;1,"",IFERROR(IF(VLOOKUP(R748,매핑!$A$4:$E$92,3,0)="","미분류",VLOOKUP(R748,매핑!$A$4:$E$92,3,0)),IF(AB748&lt;&gt;"",IF(AB748="","",INDEX(시장분석!$W:$W,AB748)),"미분류")))</f>
        <v/>
      </c>
      <c r="AJ748" s="43" t="str">
        <f aca="false">IF(Q748&lt;&gt;1,"",IFERROR(VLOOKUP(IF(N748&lt;&gt;"",N748,IF(P748&lt;&gt;"",P748,O748)),설정!$A$15:$D$47,2,0),""))</f>
        <v/>
      </c>
      <c r="AK748" s="43" t="str">
        <f aca="false">IF(Q748&lt;&gt;1,"",IF(AJ748="","무등급",IFERROR(VLOOKUP(AJ748,설정!$A$15:$D$47,3,0),"무등급")))</f>
        <v/>
      </c>
      <c r="AL748" s="89" t="n">
        <f aca="false">IF(AJ748="",99,IFERROR(VLOOKUP(AJ748,설정!$A$15:$D$47,4,0),99))</f>
        <v>99</v>
      </c>
      <c r="AM748" s="94" t="n">
        <f aca="false">IF(ISNUMBER(H748),AA748*1000000*H748/10000,0)</f>
        <v>0</v>
      </c>
      <c r="AN748" s="94" t="n">
        <f aca="false">IF(OR(Y748=1,NOT(ISNUMBER(Z748))),0,AA748*1000000*Z748/10000)</f>
        <v>0</v>
      </c>
      <c r="AO748" s="94" t="n">
        <f aca="false">IF(ISNUMBER(G748),AA748*1000000*G748/100,0)</f>
        <v>0</v>
      </c>
      <c r="AP748" s="94" t="n">
        <f aca="false">IF(ISNUMBER(M748),M748*K748,0)</f>
        <v>0</v>
      </c>
      <c r="AQ748" s="95" t="str">
        <f aca="false">IF(AB748="","",INDEX(시장분석!$AK:$AK,AB748))</f>
        <v/>
      </c>
      <c r="AR748" s="43" t="str">
        <f aca="false">IF(AB748="","-",IF(AB748="","",INDEX(시장분석!$AL:$AL,AB748)))</f>
        <v>-</v>
      </c>
      <c r="AS748" s="96" t="str">
        <f aca="false">IF(AB748="","",INDEX(시장분석!$AJ:$AJ,AB748))</f>
        <v/>
      </c>
      <c r="AT748" s="93" t="n">
        <f aca="false">IF(AB748="",0,IF(AB748="","",INDEX(시장분석!$AN:$AN,AB748)))</f>
        <v>0</v>
      </c>
      <c r="AU748" s="94" t="n">
        <f aca="false">IF(ISNUMBER(Z748),AT748/10000*MAX(Z748-1,0)*AA748*1000000,0)</f>
        <v>0</v>
      </c>
      <c r="AV748" s="94" t="n">
        <f aca="false">AO748+AU748</f>
        <v>0</v>
      </c>
      <c r="AW748" s="43" t="str">
        <f aca="false">IF(Q748&lt;&gt;1,"",TRIM(IF(AD748=1,"FRN ","")&amp;IF(AND(AL748&gt;=10,AL748&lt;99),"BBB0미만 ","")&amp;IF(AJ748="","등급없음 ","")&amp;IF(K748&lt;&gt;1,"비USD ","")&amp;IF(AND(AB748="",Y748=0),"시장데이터없음 ","")&amp;IF(AND(ISNUMBER(U748),U748&lt;0),"만기경과 ","")))</f>
        <v/>
      </c>
      <c r="AX748" s="90" t="n">
        <f aca="false">IF(Q748&lt;&gt;1,1,IF(스프레드쇼크!$C$4="Y",INDEX(스프레드쇼크!$B$12:$L$16,IFERROR(MATCH(AH748,스프레드쇼크!$A$12:$A$16,0),MATCH("목록외",스프레드쇼크!$A$12:$A$16,0)),IFERROR(MATCH(AG748,스프레드쇼크!$B$11:$L$11,0),MATCH("목록외",스프레드쇼크!$B$11:$L$11,0))),1))</f>
        <v>1</v>
      </c>
      <c r="AY748" s="90" t="n">
        <f aca="false">IF(스프레드쇼크!$C$5="Y",IF(ISNUMBER(AF748),MIN(스프레드쇼크!$C$7,MAX(스프레드쇼크!$C$6,AF748/스프레드쇼크!$C$8)),1),1)</f>
        <v>1</v>
      </c>
      <c r="AZ748" s="94" t="n">
        <f aca="false">AN748*AX748*AY748</f>
        <v>0</v>
      </c>
      <c r="BA748" s="90" t="n">
        <f aca="false">IF(ISNUMBER(G748),AA748*G748,0)</f>
        <v>0</v>
      </c>
      <c r="BB748" s="90" t="n">
        <f aca="false">IF(ISNUMBER(G748),AA748,0)</f>
        <v>0</v>
      </c>
      <c r="BC748" s="90" t="n">
        <f aca="false">IF(AND(Y748=0,ISNUMBER(AF748)),AA748*AF748,0)</f>
        <v>0</v>
      </c>
      <c r="BD748" s="90" t="n">
        <f aca="false">IF(AND(Y748=0,ISNUMBER(AF748)),AA748,0)</f>
        <v>0</v>
      </c>
      <c r="BE748" s="90" t="n">
        <f aca="false">IF(ISNUMBER(H748),AA748*H748,0)</f>
        <v>0</v>
      </c>
      <c r="BF748" s="90" t="n">
        <f aca="false">IF(ISNUMBER(H748),AA748,0)</f>
        <v>0</v>
      </c>
      <c r="BG748" s="90" t="n">
        <f aca="false">IF(AND(Y748=0,ISNUMBER(AF748),ISNUMBER(Z748)),AA748*Z748,0)</f>
        <v>0</v>
      </c>
      <c r="BH748" s="90" t="n">
        <f aca="false">IF(AND(Y748=0,ISNUMBER(AF748),ISNUMBER(Z748)),AA748*AT748*MAX(Z748-1,0),0)</f>
        <v>0</v>
      </c>
      <c r="BI748" s="90" t="n">
        <f aca="false">IF(Y748=0,AA748,0)</f>
        <v>0</v>
      </c>
    </row>
    <row r="749" customFormat="false" ht="15" hidden="false" customHeight="false" outlineLevel="0" collapsed="false">
      <c r="A749" s="83" t="str">
        <f aca="false">IFERROR(IF(INDEX(원자료_잔고!$A$1:$EZ$1500,설정!$L$5+ROW()-1,설정!$L$8)&amp;""="0","",INDEX(원자료_잔고!$A$1:$EZ$1500,설정!$L$5+ROW()-1,설정!$L$8)&amp;""),"")</f>
        <v/>
      </c>
      <c r="B749" s="83" t="str">
        <f aca="false">IFERROR(IF(INDEX(원자료_잔고!$A$1:$EZ$1500,설정!$L$5+ROW()-1,설정!$L$7)&amp;""="0","",INDEX(원자료_잔고!$A$1:$EZ$1500,설정!$L$5+ROW()-1,설정!$L$7)&amp;""),"")</f>
        <v/>
      </c>
      <c r="C749" s="83" t="str">
        <f aca="false">IFERROR(IF(INDEX(원자료_잔고!$A$1:$EZ$1500,설정!$L$5+ROW()-1,설정!$L$9)&amp;""="0","",INDEX(원자료_잔고!$A$1:$EZ$1500,설정!$L$5+ROW()-1,설정!$L$9)&amp;""),"")</f>
        <v/>
      </c>
      <c r="D749" s="83" t="str">
        <f aca="false">IFERROR(IF(INDEX(원자료_잔고!$A$1:$EZ$1500,설정!$L$5+ROW()-1,설정!$L$10)&amp;""="0","",INDEX(원자료_잔고!$A$1:$EZ$1500,설정!$L$5+ROW()-1,설정!$L$10)&amp;""),"")</f>
        <v/>
      </c>
      <c r="E749" s="84" t="str">
        <f aca="false">IFERROR(IF(ISNUMBER(INDEX(원자료_잔고!$A$1:$EZ$1500,설정!$L$5+ROW()-1,설정!$L$11)),INDEX(원자료_잔고!$A$1:$EZ$1500,설정!$L$5+ROW()-1,설정!$L$11),""),"")</f>
        <v/>
      </c>
      <c r="F749" s="85" t="str">
        <f aca="false">IFERROR(IF(ISNUMBER(INDEX(원자료_잔고!$A$1:$EZ$1500,설정!$L$5+ROW()-1,설정!$L$12)),INDEX(원자료_잔고!$A$1:$EZ$1500,설정!$L$5+ROW()-1,설정!$L$12),""),"")</f>
        <v/>
      </c>
      <c r="G749" s="85" t="str">
        <f aca="false">IFERROR(IF(ISNUMBER(INDEX(원자료_잔고!$A$1:$EZ$1500,설정!$L$5+ROW()-1,설정!$L$13)),INDEX(원자료_잔고!$A$1:$EZ$1500,설정!$L$5+ROW()-1,설정!$L$13),""),"")</f>
        <v/>
      </c>
      <c r="H749" s="85" t="str">
        <f aca="false">IFERROR(IF(ISNUMBER(INDEX(원자료_잔고!$A$1:$EZ$1500,설정!$L$5+ROW()-1,설정!$L$14)),INDEX(원자료_잔고!$A$1:$EZ$1500,설정!$L$5+ROW()-1,설정!$L$14),""),"")</f>
        <v/>
      </c>
      <c r="I749" s="86" t="str">
        <f aca="false">IFERROR(IF(ISNUMBER(INDEX(원자료_잔고!$A$1:$EZ$1500,설정!$L$5+ROW()-1,설정!$L$15)),INDEX(원자료_잔고!$A$1:$EZ$1500,설정!$L$5+ROW()-1,설정!$L$15),""),"")</f>
        <v/>
      </c>
      <c r="J749" s="85" t="str">
        <f aca="false">IFERROR(IF(ISNUMBER(INDEX(원자료_잔고!$A$1:$EZ$1500,설정!$L$5+ROW()-1,설정!$L$16)),INDEX(원자료_잔고!$A$1:$EZ$1500,설정!$L$5+ROW()-1,설정!$L$16),""),"")</f>
        <v/>
      </c>
      <c r="K749" s="87" t="str">
        <f aca="false">IFERROR(IF(ISNUMBER(INDEX(원자료_잔고!$A$1:$EZ$1500,설정!$L$5+ROW()-1,설정!$L$17)),INDEX(원자료_잔고!$A$1:$EZ$1500,설정!$L$5+ROW()-1,설정!$L$17),""),"")</f>
        <v/>
      </c>
      <c r="L749" s="84" t="str">
        <f aca="false">IFERROR(IF(ISNUMBER(INDEX(원자료_잔고!$A$1:$EZ$1500,설정!$L$5+ROW()-1,설정!$L$18)),INDEX(원자료_잔고!$A$1:$EZ$1500,설정!$L$5+ROW()-1,설정!$L$18),""),"")</f>
        <v/>
      </c>
      <c r="M749" s="88" t="str">
        <f aca="false">IFERROR(IF(ISNUMBER(INDEX(원자료_잔고!$A$1:$EZ$1500,설정!$L$5+ROW()-1,설정!$L$19)),INDEX(원자료_잔고!$A$1:$EZ$1500,설정!$L$5+ROW()-1,설정!$L$19),""),"")</f>
        <v/>
      </c>
      <c r="N749" s="83" t="str">
        <f aca="false">IFERROR(IF(INDEX(원자료_잔고!$A$1:$EZ$1500,설정!$L$5+ROW()-1,설정!$L$21)&amp;""="0","",INDEX(원자료_잔고!$A$1:$EZ$1500,설정!$L$5+ROW()-1,설정!$L$21)&amp;""),"")</f>
        <v/>
      </c>
      <c r="O749" s="83" t="str">
        <f aca="false">IFERROR(IF(INDEX(원자료_잔고!$A$1:$EZ$1500,설정!$L$5+ROW()-1,설정!$L$22)&amp;""="0","",INDEX(원자료_잔고!$A$1:$EZ$1500,설정!$L$5+ROW()-1,설정!$L$22)&amp;""),"")</f>
        <v/>
      </c>
      <c r="P749" s="83" t="str">
        <f aca="false">IFERROR(IF(INDEX(원자료_잔고!$A$1:$EZ$1500,설정!$L$5+ROW()-1,설정!$L$23)&amp;""="0","",INDEX(원자료_잔고!$A$1:$EZ$1500,설정!$L$5+ROW()-1,설정!$L$23)&amp;""),"")</f>
        <v/>
      </c>
      <c r="Q749" s="89" t="n">
        <f aca="false">IF(AND($A749&lt;&gt;"",ISNUMBER(E749)),IF(E749&gt;0,1,0),0)</f>
        <v>0</v>
      </c>
      <c r="R749" s="43" t="str">
        <f aca="false">IF(Q749=1,UPPER(LEFT($A749,FIND(" ",$A749&amp;" ")-1)),"")</f>
        <v/>
      </c>
      <c r="S749" s="89" t="n">
        <f aca="false">IF(Q749=1,IF(OR(ISNUMBER(SEARCH("Float",$A749)),ISNUMBER(SEARCH("FRN",$A749))),1,0),0)</f>
        <v>0</v>
      </c>
      <c r="T749" s="43" t="str">
        <f aca="false">IF(AND(Q749=1,ISNUMBER(I749)),TEXT(I749,"yyyymmdd")&amp;"|"&amp;IF(S749=1,"F",TEXT(J749,"0.000")),"")</f>
        <v/>
      </c>
      <c r="U749" s="90" t="str">
        <f aca="false">IF(AND(Q749=1,ISNUMBER(I749)),(I749-설정!$C$4)/365.25,"")</f>
        <v/>
      </c>
      <c r="V749" s="43" t="str">
        <f aca="false">IF(Q749&lt;&gt;1,"",IF(ISNUMBER(U749),IF(U749&lt;=1,"1년 이하",IF(U749&lt;=2,"1-2년",IF(U749&lt;=3,"2-3년",IF(U749&lt;=4,"3-4년",IF(U749&lt;=5,"4-5년",IF(U749&lt;=7,"5-7년",IF(U749&lt;=10,"7-10년",IF(U749&lt;=20,"10-20년","20년 이상")))))))),"미분류"))</f>
        <v/>
      </c>
      <c r="W749" s="43" t="str">
        <f aca="false">IF(Q749&lt;&gt;1,"",IF(AB749&lt;&gt;"",INDEX(시장분석!$C:$C,AB749),IF(K749=1,"USD","비USD")))</f>
        <v/>
      </c>
      <c r="X749" s="91" t="n">
        <f aca="false">IF(Q749=1,E749*K749/1000000,0)</f>
        <v>0</v>
      </c>
      <c r="Y749" s="89" t="n">
        <f aca="false">IF(R749="T",1,0)</f>
        <v>0</v>
      </c>
      <c r="Z749" s="92" t="str">
        <f aca="false">IF(Q749&lt;&gt;1,"",IF(AD749=1,IF(ISNUMBER(U749),MAX(U749,0),H749),H749))</f>
        <v/>
      </c>
      <c r="AA749" s="91" t="n">
        <f aca="false">IF(Q749=1,IF(ISNUMBER(L749),L749,0)*K749/1000000,0)</f>
        <v>0</v>
      </c>
      <c r="AB749" s="89" t="str">
        <f aca="false">IF(Q749&lt;&gt;1,"",IFERROR(MATCH(VLOOKUP(B749,매핑!$H$4:$I$15,2,0),시장분석!$A$2:$A$601,0)+1,IFERROR(MATCH(R749&amp;"|"&amp;T749,시장분석!$V$2:$V$601,0)+1,IF(COUNTIF(시장분석!$U$2:$U$601,T749)=1,MATCH(T749,시장분석!$U$2:$U$601,0)+1,""))))</f>
        <v/>
      </c>
      <c r="AC749" s="89" t="n">
        <f aca="false">IF(Q749&lt;&gt;1,0,IF(OR(설정!$C$5="전체",AND(설정!$C$5="선택펀드",IFERROR(COUNTIFS(설정!$F$16:$F$36,C749,설정!$G$16:$G$36,"Y")+COUNTIFS(설정!$F$16:$F$36,VALUE(C749),설정!$G$16:$G$36,"Y"),0)&gt;0),C749&amp;""=설정!$C$5&amp;""),1,0))</f>
        <v>0</v>
      </c>
      <c r="AD749" s="89" t="n">
        <f aca="false">IF(Q749&lt;&gt;1,0,IF(OR(S749=1,IF(AB749="",FALSE(),INDEX(시장분석!$R:$R,AB749)=1)),1,0))</f>
        <v>0</v>
      </c>
      <c r="AE749" s="43" t="str">
        <f aca="false">IF(AB749="","",INDEX(시장분석!$A:$A,AB749))</f>
        <v/>
      </c>
      <c r="AF749" s="93" t="str">
        <f aca="false">IF(AB749="","",IF(ISNUMBER(IF(AB749="","",INDEX(시장분석!$E:$E,AB749))),IF(AB749="","",INDEX(시장분석!$E:$E,AB749)),""))</f>
        <v/>
      </c>
      <c r="AG749" s="43" t="str">
        <f aca="false">IF(Q749&lt;&gt;1,"",IF(AB749&lt;&gt;"",IF(AB749="","",INDEX(시장분석!$L:$L,AB749)),IFERROR(IF(VLOOKUP(R749,매핑!$A$4:$E$92,5,0)="","미분류",VLOOKUP(R749,매핑!$A$4:$E$92,5,0)),"미분류")))</f>
        <v/>
      </c>
      <c r="AH749" s="43" t="str">
        <f aca="false">IF(Q749&lt;&gt;1,"",IF(AB749&lt;&gt;"",IF(AB749="","",INDEX(시장분석!$N:$N,AB749)),IFERROR(IF(VLOOKUP(R749,매핑!$A$4:$E$92,4,0)="","미분류",VLOOKUP(R749,매핑!$A$4:$E$92,4,0)),"미분류")))</f>
        <v/>
      </c>
      <c r="AI749" s="43" t="str">
        <f aca="false">IF(Q749&lt;&gt;1,"",IFERROR(IF(VLOOKUP(R749,매핑!$A$4:$E$92,3,0)="","미분류",VLOOKUP(R749,매핑!$A$4:$E$92,3,0)),IF(AB749&lt;&gt;"",IF(AB749="","",INDEX(시장분석!$W:$W,AB749)),"미분류")))</f>
        <v/>
      </c>
      <c r="AJ749" s="43" t="str">
        <f aca="false">IF(Q749&lt;&gt;1,"",IFERROR(VLOOKUP(IF(N749&lt;&gt;"",N749,IF(P749&lt;&gt;"",P749,O749)),설정!$A$15:$D$47,2,0),""))</f>
        <v/>
      </c>
      <c r="AK749" s="43" t="str">
        <f aca="false">IF(Q749&lt;&gt;1,"",IF(AJ749="","무등급",IFERROR(VLOOKUP(AJ749,설정!$A$15:$D$47,3,0),"무등급")))</f>
        <v/>
      </c>
      <c r="AL749" s="89" t="n">
        <f aca="false">IF(AJ749="",99,IFERROR(VLOOKUP(AJ749,설정!$A$15:$D$47,4,0),99))</f>
        <v>99</v>
      </c>
      <c r="AM749" s="94" t="n">
        <f aca="false">IF(ISNUMBER(H749),AA749*1000000*H749/10000,0)</f>
        <v>0</v>
      </c>
      <c r="AN749" s="94" t="n">
        <f aca="false">IF(OR(Y749=1,NOT(ISNUMBER(Z749))),0,AA749*1000000*Z749/10000)</f>
        <v>0</v>
      </c>
      <c r="AO749" s="94" t="n">
        <f aca="false">IF(ISNUMBER(G749),AA749*1000000*G749/100,0)</f>
        <v>0</v>
      </c>
      <c r="AP749" s="94" t="n">
        <f aca="false">IF(ISNUMBER(M749),M749*K749,0)</f>
        <v>0</v>
      </c>
      <c r="AQ749" s="95" t="str">
        <f aca="false">IF(AB749="","",INDEX(시장분석!$AK:$AK,AB749))</f>
        <v/>
      </c>
      <c r="AR749" s="43" t="str">
        <f aca="false">IF(AB749="","-",IF(AB749="","",INDEX(시장분석!$AL:$AL,AB749)))</f>
        <v>-</v>
      </c>
      <c r="AS749" s="96" t="str">
        <f aca="false">IF(AB749="","",INDEX(시장분석!$AJ:$AJ,AB749))</f>
        <v/>
      </c>
      <c r="AT749" s="93" t="n">
        <f aca="false">IF(AB749="",0,IF(AB749="","",INDEX(시장분석!$AN:$AN,AB749)))</f>
        <v>0</v>
      </c>
      <c r="AU749" s="94" t="n">
        <f aca="false">IF(ISNUMBER(Z749),AT749/10000*MAX(Z749-1,0)*AA749*1000000,0)</f>
        <v>0</v>
      </c>
      <c r="AV749" s="94" t="n">
        <f aca="false">AO749+AU749</f>
        <v>0</v>
      </c>
      <c r="AW749" s="43" t="str">
        <f aca="false">IF(Q749&lt;&gt;1,"",TRIM(IF(AD749=1,"FRN ","")&amp;IF(AND(AL749&gt;=10,AL749&lt;99),"BBB0미만 ","")&amp;IF(AJ749="","등급없음 ","")&amp;IF(K749&lt;&gt;1,"비USD ","")&amp;IF(AND(AB749="",Y749=0),"시장데이터없음 ","")&amp;IF(AND(ISNUMBER(U749),U749&lt;0),"만기경과 ","")))</f>
        <v/>
      </c>
      <c r="AX749" s="90" t="n">
        <f aca="false">IF(Q749&lt;&gt;1,1,IF(스프레드쇼크!$C$4="Y",INDEX(스프레드쇼크!$B$12:$L$16,IFERROR(MATCH(AH749,스프레드쇼크!$A$12:$A$16,0),MATCH("목록외",스프레드쇼크!$A$12:$A$16,0)),IFERROR(MATCH(AG749,스프레드쇼크!$B$11:$L$11,0),MATCH("목록외",스프레드쇼크!$B$11:$L$11,0))),1))</f>
        <v>1</v>
      </c>
      <c r="AY749" s="90" t="n">
        <f aca="false">IF(스프레드쇼크!$C$5="Y",IF(ISNUMBER(AF749),MIN(스프레드쇼크!$C$7,MAX(스프레드쇼크!$C$6,AF749/스프레드쇼크!$C$8)),1),1)</f>
        <v>1</v>
      </c>
      <c r="AZ749" s="94" t="n">
        <f aca="false">AN749*AX749*AY749</f>
        <v>0</v>
      </c>
      <c r="BA749" s="90" t="n">
        <f aca="false">IF(ISNUMBER(G749),AA749*G749,0)</f>
        <v>0</v>
      </c>
      <c r="BB749" s="90" t="n">
        <f aca="false">IF(ISNUMBER(G749),AA749,0)</f>
        <v>0</v>
      </c>
      <c r="BC749" s="90" t="n">
        <f aca="false">IF(AND(Y749=0,ISNUMBER(AF749)),AA749*AF749,0)</f>
        <v>0</v>
      </c>
      <c r="BD749" s="90" t="n">
        <f aca="false">IF(AND(Y749=0,ISNUMBER(AF749)),AA749,0)</f>
        <v>0</v>
      </c>
      <c r="BE749" s="90" t="n">
        <f aca="false">IF(ISNUMBER(H749),AA749*H749,0)</f>
        <v>0</v>
      </c>
      <c r="BF749" s="90" t="n">
        <f aca="false">IF(ISNUMBER(H749),AA749,0)</f>
        <v>0</v>
      </c>
      <c r="BG749" s="90" t="n">
        <f aca="false">IF(AND(Y749=0,ISNUMBER(AF749),ISNUMBER(Z749)),AA749*Z749,0)</f>
        <v>0</v>
      </c>
      <c r="BH749" s="90" t="n">
        <f aca="false">IF(AND(Y749=0,ISNUMBER(AF749),ISNUMBER(Z749)),AA749*AT749*MAX(Z749-1,0),0)</f>
        <v>0</v>
      </c>
      <c r="BI749" s="90" t="n">
        <f aca="false">IF(Y749=0,AA749,0)</f>
        <v>0</v>
      </c>
    </row>
    <row r="750" customFormat="false" ht="15" hidden="false" customHeight="false" outlineLevel="0" collapsed="false">
      <c r="A750" s="83" t="str">
        <f aca="false">IFERROR(IF(INDEX(원자료_잔고!$A$1:$EZ$1500,설정!$L$5+ROW()-1,설정!$L$8)&amp;""="0","",INDEX(원자료_잔고!$A$1:$EZ$1500,설정!$L$5+ROW()-1,설정!$L$8)&amp;""),"")</f>
        <v/>
      </c>
      <c r="B750" s="83" t="str">
        <f aca="false">IFERROR(IF(INDEX(원자료_잔고!$A$1:$EZ$1500,설정!$L$5+ROW()-1,설정!$L$7)&amp;""="0","",INDEX(원자료_잔고!$A$1:$EZ$1500,설정!$L$5+ROW()-1,설정!$L$7)&amp;""),"")</f>
        <v/>
      </c>
      <c r="C750" s="83" t="str">
        <f aca="false">IFERROR(IF(INDEX(원자료_잔고!$A$1:$EZ$1500,설정!$L$5+ROW()-1,설정!$L$9)&amp;""="0","",INDEX(원자료_잔고!$A$1:$EZ$1500,설정!$L$5+ROW()-1,설정!$L$9)&amp;""),"")</f>
        <v/>
      </c>
      <c r="D750" s="83" t="str">
        <f aca="false">IFERROR(IF(INDEX(원자료_잔고!$A$1:$EZ$1500,설정!$L$5+ROW()-1,설정!$L$10)&amp;""="0","",INDEX(원자료_잔고!$A$1:$EZ$1500,설정!$L$5+ROW()-1,설정!$L$10)&amp;""),"")</f>
        <v/>
      </c>
      <c r="E750" s="84" t="str">
        <f aca="false">IFERROR(IF(ISNUMBER(INDEX(원자료_잔고!$A$1:$EZ$1500,설정!$L$5+ROW()-1,설정!$L$11)),INDEX(원자료_잔고!$A$1:$EZ$1500,설정!$L$5+ROW()-1,설정!$L$11),""),"")</f>
        <v/>
      </c>
      <c r="F750" s="85" t="str">
        <f aca="false">IFERROR(IF(ISNUMBER(INDEX(원자료_잔고!$A$1:$EZ$1500,설정!$L$5+ROW()-1,설정!$L$12)),INDEX(원자료_잔고!$A$1:$EZ$1500,설정!$L$5+ROW()-1,설정!$L$12),""),"")</f>
        <v/>
      </c>
      <c r="G750" s="85" t="str">
        <f aca="false">IFERROR(IF(ISNUMBER(INDEX(원자료_잔고!$A$1:$EZ$1500,설정!$L$5+ROW()-1,설정!$L$13)),INDEX(원자료_잔고!$A$1:$EZ$1500,설정!$L$5+ROW()-1,설정!$L$13),""),"")</f>
        <v/>
      </c>
      <c r="H750" s="85" t="str">
        <f aca="false">IFERROR(IF(ISNUMBER(INDEX(원자료_잔고!$A$1:$EZ$1500,설정!$L$5+ROW()-1,설정!$L$14)),INDEX(원자료_잔고!$A$1:$EZ$1500,설정!$L$5+ROW()-1,설정!$L$14),""),"")</f>
        <v/>
      </c>
      <c r="I750" s="86" t="str">
        <f aca="false">IFERROR(IF(ISNUMBER(INDEX(원자료_잔고!$A$1:$EZ$1500,설정!$L$5+ROW()-1,설정!$L$15)),INDEX(원자료_잔고!$A$1:$EZ$1500,설정!$L$5+ROW()-1,설정!$L$15),""),"")</f>
        <v/>
      </c>
      <c r="J750" s="85" t="str">
        <f aca="false">IFERROR(IF(ISNUMBER(INDEX(원자료_잔고!$A$1:$EZ$1500,설정!$L$5+ROW()-1,설정!$L$16)),INDEX(원자료_잔고!$A$1:$EZ$1500,설정!$L$5+ROW()-1,설정!$L$16),""),"")</f>
        <v/>
      </c>
      <c r="K750" s="87" t="str">
        <f aca="false">IFERROR(IF(ISNUMBER(INDEX(원자료_잔고!$A$1:$EZ$1500,설정!$L$5+ROW()-1,설정!$L$17)),INDEX(원자료_잔고!$A$1:$EZ$1500,설정!$L$5+ROW()-1,설정!$L$17),""),"")</f>
        <v/>
      </c>
      <c r="L750" s="84" t="str">
        <f aca="false">IFERROR(IF(ISNUMBER(INDEX(원자료_잔고!$A$1:$EZ$1500,설정!$L$5+ROW()-1,설정!$L$18)),INDEX(원자료_잔고!$A$1:$EZ$1500,설정!$L$5+ROW()-1,설정!$L$18),""),"")</f>
        <v/>
      </c>
      <c r="M750" s="88" t="str">
        <f aca="false">IFERROR(IF(ISNUMBER(INDEX(원자료_잔고!$A$1:$EZ$1500,설정!$L$5+ROW()-1,설정!$L$19)),INDEX(원자료_잔고!$A$1:$EZ$1500,설정!$L$5+ROW()-1,설정!$L$19),""),"")</f>
        <v/>
      </c>
      <c r="N750" s="83" t="str">
        <f aca="false">IFERROR(IF(INDEX(원자료_잔고!$A$1:$EZ$1500,설정!$L$5+ROW()-1,설정!$L$21)&amp;""="0","",INDEX(원자료_잔고!$A$1:$EZ$1500,설정!$L$5+ROW()-1,설정!$L$21)&amp;""),"")</f>
        <v/>
      </c>
      <c r="O750" s="83" t="str">
        <f aca="false">IFERROR(IF(INDEX(원자료_잔고!$A$1:$EZ$1500,설정!$L$5+ROW()-1,설정!$L$22)&amp;""="0","",INDEX(원자료_잔고!$A$1:$EZ$1500,설정!$L$5+ROW()-1,설정!$L$22)&amp;""),"")</f>
        <v/>
      </c>
      <c r="P750" s="83" t="str">
        <f aca="false">IFERROR(IF(INDEX(원자료_잔고!$A$1:$EZ$1500,설정!$L$5+ROW()-1,설정!$L$23)&amp;""="0","",INDEX(원자료_잔고!$A$1:$EZ$1500,설정!$L$5+ROW()-1,설정!$L$23)&amp;""),"")</f>
        <v/>
      </c>
      <c r="Q750" s="89" t="n">
        <f aca="false">IF(AND($A750&lt;&gt;"",ISNUMBER(E750)),IF(E750&gt;0,1,0),0)</f>
        <v>0</v>
      </c>
      <c r="R750" s="43" t="str">
        <f aca="false">IF(Q750=1,UPPER(LEFT($A750,FIND(" ",$A750&amp;" ")-1)),"")</f>
        <v/>
      </c>
      <c r="S750" s="89" t="n">
        <f aca="false">IF(Q750=1,IF(OR(ISNUMBER(SEARCH("Float",$A750)),ISNUMBER(SEARCH("FRN",$A750))),1,0),0)</f>
        <v>0</v>
      </c>
      <c r="T750" s="43" t="str">
        <f aca="false">IF(AND(Q750=1,ISNUMBER(I750)),TEXT(I750,"yyyymmdd")&amp;"|"&amp;IF(S750=1,"F",TEXT(J750,"0.000")),"")</f>
        <v/>
      </c>
      <c r="U750" s="90" t="str">
        <f aca="false">IF(AND(Q750=1,ISNUMBER(I750)),(I750-설정!$C$4)/365.25,"")</f>
        <v/>
      </c>
      <c r="V750" s="43" t="str">
        <f aca="false">IF(Q750&lt;&gt;1,"",IF(ISNUMBER(U750),IF(U750&lt;=1,"1년 이하",IF(U750&lt;=2,"1-2년",IF(U750&lt;=3,"2-3년",IF(U750&lt;=4,"3-4년",IF(U750&lt;=5,"4-5년",IF(U750&lt;=7,"5-7년",IF(U750&lt;=10,"7-10년",IF(U750&lt;=20,"10-20년","20년 이상")))))))),"미분류"))</f>
        <v/>
      </c>
      <c r="W750" s="43" t="str">
        <f aca="false">IF(Q750&lt;&gt;1,"",IF(AB750&lt;&gt;"",INDEX(시장분석!$C:$C,AB750),IF(K750=1,"USD","비USD")))</f>
        <v/>
      </c>
      <c r="X750" s="91" t="n">
        <f aca="false">IF(Q750=1,E750*K750/1000000,0)</f>
        <v>0</v>
      </c>
      <c r="Y750" s="89" t="n">
        <f aca="false">IF(R750="T",1,0)</f>
        <v>0</v>
      </c>
      <c r="Z750" s="92" t="str">
        <f aca="false">IF(Q750&lt;&gt;1,"",IF(AD750=1,IF(ISNUMBER(U750),MAX(U750,0),H750),H750))</f>
        <v/>
      </c>
      <c r="AA750" s="91" t="n">
        <f aca="false">IF(Q750=1,IF(ISNUMBER(L750),L750,0)*K750/1000000,0)</f>
        <v>0</v>
      </c>
      <c r="AB750" s="89" t="str">
        <f aca="false">IF(Q750&lt;&gt;1,"",IFERROR(MATCH(VLOOKUP(B750,매핑!$H$4:$I$15,2,0),시장분석!$A$2:$A$601,0)+1,IFERROR(MATCH(R750&amp;"|"&amp;T750,시장분석!$V$2:$V$601,0)+1,IF(COUNTIF(시장분석!$U$2:$U$601,T750)=1,MATCH(T750,시장분석!$U$2:$U$601,0)+1,""))))</f>
        <v/>
      </c>
      <c r="AC750" s="89" t="n">
        <f aca="false">IF(Q750&lt;&gt;1,0,IF(OR(설정!$C$5="전체",AND(설정!$C$5="선택펀드",IFERROR(COUNTIFS(설정!$F$16:$F$36,C750,설정!$G$16:$G$36,"Y")+COUNTIFS(설정!$F$16:$F$36,VALUE(C750),설정!$G$16:$G$36,"Y"),0)&gt;0),C750&amp;""=설정!$C$5&amp;""),1,0))</f>
        <v>0</v>
      </c>
      <c r="AD750" s="89" t="n">
        <f aca="false">IF(Q750&lt;&gt;1,0,IF(OR(S750=1,IF(AB750="",FALSE(),INDEX(시장분석!$R:$R,AB750)=1)),1,0))</f>
        <v>0</v>
      </c>
      <c r="AE750" s="43" t="str">
        <f aca="false">IF(AB750="","",INDEX(시장분석!$A:$A,AB750))</f>
        <v/>
      </c>
      <c r="AF750" s="93" t="str">
        <f aca="false">IF(AB750="","",IF(ISNUMBER(IF(AB750="","",INDEX(시장분석!$E:$E,AB750))),IF(AB750="","",INDEX(시장분석!$E:$E,AB750)),""))</f>
        <v/>
      </c>
      <c r="AG750" s="43" t="str">
        <f aca="false">IF(Q750&lt;&gt;1,"",IF(AB750&lt;&gt;"",IF(AB750="","",INDEX(시장분석!$L:$L,AB750)),IFERROR(IF(VLOOKUP(R750,매핑!$A$4:$E$92,5,0)="","미분류",VLOOKUP(R750,매핑!$A$4:$E$92,5,0)),"미분류")))</f>
        <v/>
      </c>
      <c r="AH750" s="43" t="str">
        <f aca="false">IF(Q750&lt;&gt;1,"",IF(AB750&lt;&gt;"",IF(AB750="","",INDEX(시장분석!$N:$N,AB750)),IFERROR(IF(VLOOKUP(R750,매핑!$A$4:$E$92,4,0)="","미분류",VLOOKUP(R750,매핑!$A$4:$E$92,4,0)),"미분류")))</f>
        <v/>
      </c>
      <c r="AI750" s="43" t="str">
        <f aca="false">IF(Q750&lt;&gt;1,"",IFERROR(IF(VLOOKUP(R750,매핑!$A$4:$E$92,3,0)="","미분류",VLOOKUP(R750,매핑!$A$4:$E$92,3,0)),IF(AB750&lt;&gt;"",IF(AB750="","",INDEX(시장분석!$W:$W,AB750)),"미분류")))</f>
        <v/>
      </c>
      <c r="AJ750" s="43" t="str">
        <f aca="false">IF(Q750&lt;&gt;1,"",IFERROR(VLOOKUP(IF(N750&lt;&gt;"",N750,IF(P750&lt;&gt;"",P750,O750)),설정!$A$15:$D$47,2,0),""))</f>
        <v/>
      </c>
      <c r="AK750" s="43" t="str">
        <f aca="false">IF(Q750&lt;&gt;1,"",IF(AJ750="","무등급",IFERROR(VLOOKUP(AJ750,설정!$A$15:$D$47,3,0),"무등급")))</f>
        <v/>
      </c>
      <c r="AL750" s="89" t="n">
        <f aca="false">IF(AJ750="",99,IFERROR(VLOOKUP(AJ750,설정!$A$15:$D$47,4,0),99))</f>
        <v>99</v>
      </c>
      <c r="AM750" s="94" t="n">
        <f aca="false">IF(ISNUMBER(H750),AA750*1000000*H750/10000,0)</f>
        <v>0</v>
      </c>
      <c r="AN750" s="94" t="n">
        <f aca="false">IF(OR(Y750=1,NOT(ISNUMBER(Z750))),0,AA750*1000000*Z750/10000)</f>
        <v>0</v>
      </c>
      <c r="AO750" s="94" t="n">
        <f aca="false">IF(ISNUMBER(G750),AA750*1000000*G750/100,0)</f>
        <v>0</v>
      </c>
      <c r="AP750" s="94" t="n">
        <f aca="false">IF(ISNUMBER(M750),M750*K750,0)</f>
        <v>0</v>
      </c>
      <c r="AQ750" s="95" t="str">
        <f aca="false">IF(AB750="","",INDEX(시장분석!$AK:$AK,AB750))</f>
        <v/>
      </c>
      <c r="AR750" s="43" t="str">
        <f aca="false">IF(AB750="","-",IF(AB750="","",INDEX(시장분석!$AL:$AL,AB750)))</f>
        <v>-</v>
      </c>
      <c r="AS750" s="96" t="str">
        <f aca="false">IF(AB750="","",INDEX(시장분석!$AJ:$AJ,AB750))</f>
        <v/>
      </c>
      <c r="AT750" s="93" t="n">
        <f aca="false">IF(AB750="",0,IF(AB750="","",INDEX(시장분석!$AN:$AN,AB750)))</f>
        <v>0</v>
      </c>
      <c r="AU750" s="94" t="n">
        <f aca="false">IF(ISNUMBER(Z750),AT750/10000*MAX(Z750-1,0)*AA750*1000000,0)</f>
        <v>0</v>
      </c>
      <c r="AV750" s="94" t="n">
        <f aca="false">AO750+AU750</f>
        <v>0</v>
      </c>
      <c r="AW750" s="43" t="str">
        <f aca="false">IF(Q750&lt;&gt;1,"",TRIM(IF(AD750=1,"FRN ","")&amp;IF(AND(AL750&gt;=10,AL750&lt;99),"BBB0미만 ","")&amp;IF(AJ750="","등급없음 ","")&amp;IF(K750&lt;&gt;1,"비USD ","")&amp;IF(AND(AB750="",Y750=0),"시장데이터없음 ","")&amp;IF(AND(ISNUMBER(U750),U750&lt;0),"만기경과 ","")))</f>
        <v/>
      </c>
      <c r="AX750" s="90" t="n">
        <f aca="false">IF(Q750&lt;&gt;1,1,IF(스프레드쇼크!$C$4="Y",INDEX(스프레드쇼크!$B$12:$L$16,IFERROR(MATCH(AH750,스프레드쇼크!$A$12:$A$16,0),MATCH("목록외",스프레드쇼크!$A$12:$A$16,0)),IFERROR(MATCH(AG750,스프레드쇼크!$B$11:$L$11,0),MATCH("목록외",스프레드쇼크!$B$11:$L$11,0))),1))</f>
        <v>1</v>
      </c>
      <c r="AY750" s="90" t="n">
        <f aca="false">IF(스프레드쇼크!$C$5="Y",IF(ISNUMBER(AF750),MIN(스프레드쇼크!$C$7,MAX(스프레드쇼크!$C$6,AF750/스프레드쇼크!$C$8)),1),1)</f>
        <v>1</v>
      </c>
      <c r="AZ750" s="94" t="n">
        <f aca="false">AN750*AX750*AY750</f>
        <v>0</v>
      </c>
      <c r="BA750" s="90" t="n">
        <f aca="false">IF(ISNUMBER(G750),AA750*G750,0)</f>
        <v>0</v>
      </c>
      <c r="BB750" s="90" t="n">
        <f aca="false">IF(ISNUMBER(G750),AA750,0)</f>
        <v>0</v>
      </c>
      <c r="BC750" s="90" t="n">
        <f aca="false">IF(AND(Y750=0,ISNUMBER(AF750)),AA750*AF750,0)</f>
        <v>0</v>
      </c>
      <c r="BD750" s="90" t="n">
        <f aca="false">IF(AND(Y750=0,ISNUMBER(AF750)),AA750,0)</f>
        <v>0</v>
      </c>
      <c r="BE750" s="90" t="n">
        <f aca="false">IF(ISNUMBER(H750),AA750*H750,0)</f>
        <v>0</v>
      </c>
      <c r="BF750" s="90" t="n">
        <f aca="false">IF(ISNUMBER(H750),AA750,0)</f>
        <v>0</v>
      </c>
      <c r="BG750" s="90" t="n">
        <f aca="false">IF(AND(Y750=0,ISNUMBER(AF750),ISNUMBER(Z750)),AA750*Z750,0)</f>
        <v>0</v>
      </c>
      <c r="BH750" s="90" t="n">
        <f aca="false">IF(AND(Y750=0,ISNUMBER(AF750),ISNUMBER(Z750)),AA750*AT750*MAX(Z750-1,0),0)</f>
        <v>0</v>
      </c>
      <c r="BI750" s="90" t="n">
        <f aca="false">IF(Y750=0,AA750,0)</f>
        <v>0</v>
      </c>
    </row>
    <row r="751" customFormat="false" ht="15" hidden="false" customHeight="false" outlineLevel="0" collapsed="false">
      <c r="A751" s="83" t="str">
        <f aca="false">IFERROR(IF(INDEX(원자료_잔고!$A$1:$EZ$1500,설정!$L$5+ROW()-1,설정!$L$8)&amp;""="0","",INDEX(원자료_잔고!$A$1:$EZ$1500,설정!$L$5+ROW()-1,설정!$L$8)&amp;""),"")</f>
        <v/>
      </c>
      <c r="B751" s="83" t="str">
        <f aca="false">IFERROR(IF(INDEX(원자료_잔고!$A$1:$EZ$1500,설정!$L$5+ROW()-1,설정!$L$7)&amp;""="0","",INDEX(원자료_잔고!$A$1:$EZ$1500,설정!$L$5+ROW()-1,설정!$L$7)&amp;""),"")</f>
        <v/>
      </c>
      <c r="C751" s="83" t="str">
        <f aca="false">IFERROR(IF(INDEX(원자료_잔고!$A$1:$EZ$1500,설정!$L$5+ROW()-1,설정!$L$9)&amp;""="0","",INDEX(원자료_잔고!$A$1:$EZ$1500,설정!$L$5+ROW()-1,설정!$L$9)&amp;""),"")</f>
        <v/>
      </c>
      <c r="D751" s="83" t="str">
        <f aca="false">IFERROR(IF(INDEX(원자료_잔고!$A$1:$EZ$1500,설정!$L$5+ROW()-1,설정!$L$10)&amp;""="0","",INDEX(원자료_잔고!$A$1:$EZ$1500,설정!$L$5+ROW()-1,설정!$L$10)&amp;""),"")</f>
        <v/>
      </c>
      <c r="E751" s="84" t="str">
        <f aca="false">IFERROR(IF(ISNUMBER(INDEX(원자료_잔고!$A$1:$EZ$1500,설정!$L$5+ROW()-1,설정!$L$11)),INDEX(원자료_잔고!$A$1:$EZ$1500,설정!$L$5+ROW()-1,설정!$L$11),""),"")</f>
        <v/>
      </c>
      <c r="F751" s="85" t="str">
        <f aca="false">IFERROR(IF(ISNUMBER(INDEX(원자료_잔고!$A$1:$EZ$1500,설정!$L$5+ROW()-1,설정!$L$12)),INDEX(원자료_잔고!$A$1:$EZ$1500,설정!$L$5+ROW()-1,설정!$L$12),""),"")</f>
        <v/>
      </c>
      <c r="G751" s="85" t="str">
        <f aca="false">IFERROR(IF(ISNUMBER(INDEX(원자료_잔고!$A$1:$EZ$1500,설정!$L$5+ROW()-1,설정!$L$13)),INDEX(원자료_잔고!$A$1:$EZ$1500,설정!$L$5+ROW()-1,설정!$L$13),""),"")</f>
        <v/>
      </c>
      <c r="H751" s="85" t="str">
        <f aca="false">IFERROR(IF(ISNUMBER(INDEX(원자료_잔고!$A$1:$EZ$1500,설정!$L$5+ROW()-1,설정!$L$14)),INDEX(원자료_잔고!$A$1:$EZ$1500,설정!$L$5+ROW()-1,설정!$L$14),""),"")</f>
        <v/>
      </c>
      <c r="I751" s="86" t="str">
        <f aca="false">IFERROR(IF(ISNUMBER(INDEX(원자료_잔고!$A$1:$EZ$1500,설정!$L$5+ROW()-1,설정!$L$15)),INDEX(원자료_잔고!$A$1:$EZ$1500,설정!$L$5+ROW()-1,설정!$L$15),""),"")</f>
        <v/>
      </c>
      <c r="J751" s="85" t="str">
        <f aca="false">IFERROR(IF(ISNUMBER(INDEX(원자료_잔고!$A$1:$EZ$1500,설정!$L$5+ROW()-1,설정!$L$16)),INDEX(원자료_잔고!$A$1:$EZ$1500,설정!$L$5+ROW()-1,설정!$L$16),""),"")</f>
        <v/>
      </c>
      <c r="K751" s="87" t="str">
        <f aca="false">IFERROR(IF(ISNUMBER(INDEX(원자료_잔고!$A$1:$EZ$1500,설정!$L$5+ROW()-1,설정!$L$17)),INDEX(원자료_잔고!$A$1:$EZ$1500,설정!$L$5+ROW()-1,설정!$L$17),""),"")</f>
        <v/>
      </c>
      <c r="L751" s="84" t="str">
        <f aca="false">IFERROR(IF(ISNUMBER(INDEX(원자료_잔고!$A$1:$EZ$1500,설정!$L$5+ROW()-1,설정!$L$18)),INDEX(원자료_잔고!$A$1:$EZ$1500,설정!$L$5+ROW()-1,설정!$L$18),""),"")</f>
        <v/>
      </c>
      <c r="M751" s="88" t="str">
        <f aca="false">IFERROR(IF(ISNUMBER(INDEX(원자료_잔고!$A$1:$EZ$1500,설정!$L$5+ROW()-1,설정!$L$19)),INDEX(원자료_잔고!$A$1:$EZ$1500,설정!$L$5+ROW()-1,설정!$L$19),""),"")</f>
        <v/>
      </c>
      <c r="N751" s="83" t="str">
        <f aca="false">IFERROR(IF(INDEX(원자료_잔고!$A$1:$EZ$1500,설정!$L$5+ROW()-1,설정!$L$21)&amp;""="0","",INDEX(원자료_잔고!$A$1:$EZ$1500,설정!$L$5+ROW()-1,설정!$L$21)&amp;""),"")</f>
        <v/>
      </c>
      <c r="O751" s="83" t="str">
        <f aca="false">IFERROR(IF(INDEX(원자료_잔고!$A$1:$EZ$1500,설정!$L$5+ROW()-1,설정!$L$22)&amp;""="0","",INDEX(원자료_잔고!$A$1:$EZ$1500,설정!$L$5+ROW()-1,설정!$L$22)&amp;""),"")</f>
        <v/>
      </c>
      <c r="P751" s="83" t="str">
        <f aca="false">IFERROR(IF(INDEX(원자료_잔고!$A$1:$EZ$1500,설정!$L$5+ROW()-1,설정!$L$23)&amp;""="0","",INDEX(원자료_잔고!$A$1:$EZ$1500,설정!$L$5+ROW()-1,설정!$L$23)&amp;""),"")</f>
        <v/>
      </c>
      <c r="Q751" s="89" t="n">
        <f aca="false">IF(AND($A751&lt;&gt;"",ISNUMBER(E751)),IF(E751&gt;0,1,0),0)</f>
        <v>0</v>
      </c>
      <c r="R751" s="43" t="str">
        <f aca="false">IF(Q751=1,UPPER(LEFT($A751,FIND(" ",$A751&amp;" ")-1)),"")</f>
        <v/>
      </c>
      <c r="S751" s="89" t="n">
        <f aca="false">IF(Q751=1,IF(OR(ISNUMBER(SEARCH("Float",$A751)),ISNUMBER(SEARCH("FRN",$A751))),1,0),0)</f>
        <v>0</v>
      </c>
      <c r="T751" s="43" t="str">
        <f aca="false">IF(AND(Q751=1,ISNUMBER(I751)),TEXT(I751,"yyyymmdd")&amp;"|"&amp;IF(S751=1,"F",TEXT(J751,"0.000")),"")</f>
        <v/>
      </c>
      <c r="U751" s="90" t="str">
        <f aca="false">IF(AND(Q751=1,ISNUMBER(I751)),(I751-설정!$C$4)/365.25,"")</f>
        <v/>
      </c>
      <c r="V751" s="43" t="str">
        <f aca="false">IF(Q751&lt;&gt;1,"",IF(ISNUMBER(U751),IF(U751&lt;=1,"1년 이하",IF(U751&lt;=2,"1-2년",IF(U751&lt;=3,"2-3년",IF(U751&lt;=4,"3-4년",IF(U751&lt;=5,"4-5년",IF(U751&lt;=7,"5-7년",IF(U751&lt;=10,"7-10년",IF(U751&lt;=20,"10-20년","20년 이상")))))))),"미분류"))</f>
        <v/>
      </c>
      <c r="W751" s="43" t="str">
        <f aca="false">IF(Q751&lt;&gt;1,"",IF(AB751&lt;&gt;"",INDEX(시장분석!$C:$C,AB751),IF(K751=1,"USD","비USD")))</f>
        <v/>
      </c>
      <c r="X751" s="91" t="n">
        <f aca="false">IF(Q751=1,E751*K751/1000000,0)</f>
        <v>0</v>
      </c>
      <c r="Y751" s="89" t="n">
        <f aca="false">IF(R751="T",1,0)</f>
        <v>0</v>
      </c>
      <c r="Z751" s="92" t="str">
        <f aca="false">IF(Q751&lt;&gt;1,"",IF(AD751=1,IF(ISNUMBER(U751),MAX(U751,0),H751),H751))</f>
        <v/>
      </c>
      <c r="AA751" s="91" t="n">
        <f aca="false">IF(Q751=1,IF(ISNUMBER(L751),L751,0)*K751/1000000,0)</f>
        <v>0</v>
      </c>
      <c r="AB751" s="89" t="str">
        <f aca="false">IF(Q751&lt;&gt;1,"",IFERROR(MATCH(VLOOKUP(B751,매핑!$H$4:$I$15,2,0),시장분석!$A$2:$A$601,0)+1,IFERROR(MATCH(R751&amp;"|"&amp;T751,시장분석!$V$2:$V$601,0)+1,IF(COUNTIF(시장분석!$U$2:$U$601,T751)=1,MATCH(T751,시장분석!$U$2:$U$601,0)+1,""))))</f>
        <v/>
      </c>
      <c r="AC751" s="89" t="n">
        <f aca="false">IF(Q751&lt;&gt;1,0,IF(OR(설정!$C$5="전체",AND(설정!$C$5="선택펀드",IFERROR(COUNTIFS(설정!$F$16:$F$36,C751,설정!$G$16:$G$36,"Y")+COUNTIFS(설정!$F$16:$F$36,VALUE(C751),설정!$G$16:$G$36,"Y"),0)&gt;0),C751&amp;""=설정!$C$5&amp;""),1,0))</f>
        <v>0</v>
      </c>
      <c r="AD751" s="89" t="n">
        <f aca="false">IF(Q751&lt;&gt;1,0,IF(OR(S751=1,IF(AB751="",FALSE(),INDEX(시장분석!$R:$R,AB751)=1)),1,0))</f>
        <v>0</v>
      </c>
      <c r="AE751" s="43" t="str">
        <f aca="false">IF(AB751="","",INDEX(시장분석!$A:$A,AB751))</f>
        <v/>
      </c>
      <c r="AF751" s="93" t="str">
        <f aca="false">IF(AB751="","",IF(ISNUMBER(IF(AB751="","",INDEX(시장분석!$E:$E,AB751))),IF(AB751="","",INDEX(시장분석!$E:$E,AB751)),""))</f>
        <v/>
      </c>
      <c r="AG751" s="43" t="str">
        <f aca="false">IF(Q751&lt;&gt;1,"",IF(AB751&lt;&gt;"",IF(AB751="","",INDEX(시장분석!$L:$L,AB751)),IFERROR(IF(VLOOKUP(R751,매핑!$A$4:$E$92,5,0)="","미분류",VLOOKUP(R751,매핑!$A$4:$E$92,5,0)),"미분류")))</f>
        <v/>
      </c>
      <c r="AH751" s="43" t="str">
        <f aca="false">IF(Q751&lt;&gt;1,"",IF(AB751&lt;&gt;"",IF(AB751="","",INDEX(시장분석!$N:$N,AB751)),IFERROR(IF(VLOOKUP(R751,매핑!$A$4:$E$92,4,0)="","미분류",VLOOKUP(R751,매핑!$A$4:$E$92,4,0)),"미분류")))</f>
        <v/>
      </c>
      <c r="AI751" s="43" t="str">
        <f aca="false">IF(Q751&lt;&gt;1,"",IFERROR(IF(VLOOKUP(R751,매핑!$A$4:$E$92,3,0)="","미분류",VLOOKUP(R751,매핑!$A$4:$E$92,3,0)),IF(AB751&lt;&gt;"",IF(AB751="","",INDEX(시장분석!$W:$W,AB751)),"미분류")))</f>
        <v/>
      </c>
      <c r="AJ751" s="43" t="str">
        <f aca="false">IF(Q751&lt;&gt;1,"",IFERROR(VLOOKUP(IF(N751&lt;&gt;"",N751,IF(P751&lt;&gt;"",P751,O751)),설정!$A$15:$D$47,2,0),""))</f>
        <v/>
      </c>
      <c r="AK751" s="43" t="str">
        <f aca="false">IF(Q751&lt;&gt;1,"",IF(AJ751="","무등급",IFERROR(VLOOKUP(AJ751,설정!$A$15:$D$47,3,0),"무등급")))</f>
        <v/>
      </c>
      <c r="AL751" s="89" t="n">
        <f aca="false">IF(AJ751="",99,IFERROR(VLOOKUP(AJ751,설정!$A$15:$D$47,4,0),99))</f>
        <v>99</v>
      </c>
      <c r="AM751" s="94" t="n">
        <f aca="false">IF(ISNUMBER(H751),AA751*1000000*H751/10000,0)</f>
        <v>0</v>
      </c>
      <c r="AN751" s="94" t="n">
        <f aca="false">IF(OR(Y751=1,NOT(ISNUMBER(Z751))),0,AA751*1000000*Z751/10000)</f>
        <v>0</v>
      </c>
      <c r="AO751" s="94" t="n">
        <f aca="false">IF(ISNUMBER(G751),AA751*1000000*G751/100,0)</f>
        <v>0</v>
      </c>
      <c r="AP751" s="94" t="n">
        <f aca="false">IF(ISNUMBER(M751),M751*K751,0)</f>
        <v>0</v>
      </c>
      <c r="AQ751" s="95" t="str">
        <f aca="false">IF(AB751="","",INDEX(시장분석!$AK:$AK,AB751))</f>
        <v/>
      </c>
      <c r="AR751" s="43" t="str">
        <f aca="false">IF(AB751="","-",IF(AB751="","",INDEX(시장분석!$AL:$AL,AB751)))</f>
        <v>-</v>
      </c>
      <c r="AS751" s="96" t="str">
        <f aca="false">IF(AB751="","",INDEX(시장분석!$AJ:$AJ,AB751))</f>
        <v/>
      </c>
      <c r="AT751" s="93" t="n">
        <f aca="false">IF(AB751="",0,IF(AB751="","",INDEX(시장분석!$AN:$AN,AB751)))</f>
        <v>0</v>
      </c>
      <c r="AU751" s="94" t="n">
        <f aca="false">IF(ISNUMBER(Z751),AT751/10000*MAX(Z751-1,0)*AA751*1000000,0)</f>
        <v>0</v>
      </c>
      <c r="AV751" s="94" t="n">
        <f aca="false">AO751+AU751</f>
        <v>0</v>
      </c>
      <c r="AW751" s="43" t="str">
        <f aca="false">IF(Q751&lt;&gt;1,"",TRIM(IF(AD751=1,"FRN ","")&amp;IF(AND(AL751&gt;=10,AL751&lt;99),"BBB0미만 ","")&amp;IF(AJ751="","등급없음 ","")&amp;IF(K751&lt;&gt;1,"비USD ","")&amp;IF(AND(AB751="",Y751=0),"시장데이터없음 ","")&amp;IF(AND(ISNUMBER(U751),U751&lt;0),"만기경과 ","")))</f>
        <v/>
      </c>
      <c r="AX751" s="90" t="n">
        <f aca="false">IF(Q751&lt;&gt;1,1,IF(스프레드쇼크!$C$4="Y",INDEX(스프레드쇼크!$B$12:$L$16,IFERROR(MATCH(AH751,스프레드쇼크!$A$12:$A$16,0),MATCH("목록외",스프레드쇼크!$A$12:$A$16,0)),IFERROR(MATCH(AG751,스프레드쇼크!$B$11:$L$11,0),MATCH("목록외",스프레드쇼크!$B$11:$L$11,0))),1))</f>
        <v>1</v>
      </c>
      <c r="AY751" s="90" t="n">
        <f aca="false">IF(스프레드쇼크!$C$5="Y",IF(ISNUMBER(AF751),MIN(스프레드쇼크!$C$7,MAX(스프레드쇼크!$C$6,AF751/스프레드쇼크!$C$8)),1),1)</f>
        <v>1</v>
      </c>
      <c r="AZ751" s="94" t="n">
        <f aca="false">AN751*AX751*AY751</f>
        <v>0</v>
      </c>
      <c r="BA751" s="90" t="n">
        <f aca="false">IF(ISNUMBER(G751),AA751*G751,0)</f>
        <v>0</v>
      </c>
      <c r="BB751" s="90" t="n">
        <f aca="false">IF(ISNUMBER(G751),AA751,0)</f>
        <v>0</v>
      </c>
      <c r="BC751" s="90" t="n">
        <f aca="false">IF(AND(Y751=0,ISNUMBER(AF751)),AA751*AF751,0)</f>
        <v>0</v>
      </c>
      <c r="BD751" s="90" t="n">
        <f aca="false">IF(AND(Y751=0,ISNUMBER(AF751)),AA751,0)</f>
        <v>0</v>
      </c>
      <c r="BE751" s="90" t="n">
        <f aca="false">IF(ISNUMBER(H751),AA751*H751,0)</f>
        <v>0</v>
      </c>
      <c r="BF751" s="90" t="n">
        <f aca="false">IF(ISNUMBER(H751),AA751,0)</f>
        <v>0</v>
      </c>
      <c r="BG751" s="90" t="n">
        <f aca="false">IF(AND(Y751=0,ISNUMBER(AF751),ISNUMBER(Z751)),AA751*Z751,0)</f>
        <v>0</v>
      </c>
      <c r="BH751" s="90" t="n">
        <f aca="false">IF(AND(Y751=0,ISNUMBER(AF751),ISNUMBER(Z751)),AA751*AT751*MAX(Z751-1,0),0)</f>
        <v>0</v>
      </c>
      <c r="BI751" s="90" t="n">
        <f aca="false">IF(Y751=0,AA751,0)</f>
        <v>0</v>
      </c>
    </row>
    <row r="752" customFormat="false" ht="15" hidden="false" customHeight="false" outlineLevel="0" collapsed="false">
      <c r="A752" s="83" t="str">
        <f aca="false">IFERROR(IF(INDEX(원자료_잔고!$A$1:$EZ$1500,설정!$L$5+ROW()-1,설정!$L$8)&amp;""="0","",INDEX(원자료_잔고!$A$1:$EZ$1500,설정!$L$5+ROW()-1,설정!$L$8)&amp;""),"")</f>
        <v/>
      </c>
      <c r="B752" s="83" t="str">
        <f aca="false">IFERROR(IF(INDEX(원자료_잔고!$A$1:$EZ$1500,설정!$L$5+ROW()-1,설정!$L$7)&amp;""="0","",INDEX(원자료_잔고!$A$1:$EZ$1500,설정!$L$5+ROW()-1,설정!$L$7)&amp;""),"")</f>
        <v/>
      </c>
      <c r="C752" s="83" t="str">
        <f aca="false">IFERROR(IF(INDEX(원자료_잔고!$A$1:$EZ$1500,설정!$L$5+ROW()-1,설정!$L$9)&amp;""="0","",INDEX(원자료_잔고!$A$1:$EZ$1500,설정!$L$5+ROW()-1,설정!$L$9)&amp;""),"")</f>
        <v/>
      </c>
      <c r="D752" s="83" t="str">
        <f aca="false">IFERROR(IF(INDEX(원자료_잔고!$A$1:$EZ$1500,설정!$L$5+ROW()-1,설정!$L$10)&amp;""="0","",INDEX(원자료_잔고!$A$1:$EZ$1500,설정!$L$5+ROW()-1,설정!$L$10)&amp;""),"")</f>
        <v/>
      </c>
      <c r="E752" s="84" t="str">
        <f aca="false">IFERROR(IF(ISNUMBER(INDEX(원자료_잔고!$A$1:$EZ$1500,설정!$L$5+ROW()-1,설정!$L$11)),INDEX(원자료_잔고!$A$1:$EZ$1500,설정!$L$5+ROW()-1,설정!$L$11),""),"")</f>
        <v/>
      </c>
      <c r="F752" s="85" t="str">
        <f aca="false">IFERROR(IF(ISNUMBER(INDEX(원자료_잔고!$A$1:$EZ$1500,설정!$L$5+ROW()-1,설정!$L$12)),INDEX(원자료_잔고!$A$1:$EZ$1500,설정!$L$5+ROW()-1,설정!$L$12),""),"")</f>
        <v/>
      </c>
      <c r="G752" s="85" t="str">
        <f aca="false">IFERROR(IF(ISNUMBER(INDEX(원자료_잔고!$A$1:$EZ$1500,설정!$L$5+ROW()-1,설정!$L$13)),INDEX(원자료_잔고!$A$1:$EZ$1500,설정!$L$5+ROW()-1,설정!$L$13),""),"")</f>
        <v/>
      </c>
      <c r="H752" s="85" t="str">
        <f aca="false">IFERROR(IF(ISNUMBER(INDEX(원자료_잔고!$A$1:$EZ$1500,설정!$L$5+ROW()-1,설정!$L$14)),INDEX(원자료_잔고!$A$1:$EZ$1500,설정!$L$5+ROW()-1,설정!$L$14),""),"")</f>
        <v/>
      </c>
      <c r="I752" s="86" t="str">
        <f aca="false">IFERROR(IF(ISNUMBER(INDEX(원자료_잔고!$A$1:$EZ$1500,설정!$L$5+ROW()-1,설정!$L$15)),INDEX(원자료_잔고!$A$1:$EZ$1500,설정!$L$5+ROW()-1,설정!$L$15),""),"")</f>
        <v/>
      </c>
      <c r="J752" s="85" t="str">
        <f aca="false">IFERROR(IF(ISNUMBER(INDEX(원자료_잔고!$A$1:$EZ$1500,설정!$L$5+ROW()-1,설정!$L$16)),INDEX(원자료_잔고!$A$1:$EZ$1500,설정!$L$5+ROW()-1,설정!$L$16),""),"")</f>
        <v/>
      </c>
      <c r="K752" s="87" t="str">
        <f aca="false">IFERROR(IF(ISNUMBER(INDEX(원자료_잔고!$A$1:$EZ$1500,설정!$L$5+ROW()-1,설정!$L$17)),INDEX(원자료_잔고!$A$1:$EZ$1500,설정!$L$5+ROW()-1,설정!$L$17),""),"")</f>
        <v/>
      </c>
      <c r="L752" s="84" t="str">
        <f aca="false">IFERROR(IF(ISNUMBER(INDEX(원자료_잔고!$A$1:$EZ$1500,설정!$L$5+ROW()-1,설정!$L$18)),INDEX(원자료_잔고!$A$1:$EZ$1500,설정!$L$5+ROW()-1,설정!$L$18),""),"")</f>
        <v/>
      </c>
      <c r="M752" s="88" t="str">
        <f aca="false">IFERROR(IF(ISNUMBER(INDEX(원자료_잔고!$A$1:$EZ$1500,설정!$L$5+ROW()-1,설정!$L$19)),INDEX(원자료_잔고!$A$1:$EZ$1500,설정!$L$5+ROW()-1,설정!$L$19),""),"")</f>
        <v/>
      </c>
      <c r="N752" s="83" t="str">
        <f aca="false">IFERROR(IF(INDEX(원자료_잔고!$A$1:$EZ$1500,설정!$L$5+ROW()-1,설정!$L$21)&amp;""="0","",INDEX(원자료_잔고!$A$1:$EZ$1500,설정!$L$5+ROW()-1,설정!$L$21)&amp;""),"")</f>
        <v/>
      </c>
      <c r="O752" s="83" t="str">
        <f aca="false">IFERROR(IF(INDEX(원자료_잔고!$A$1:$EZ$1500,설정!$L$5+ROW()-1,설정!$L$22)&amp;""="0","",INDEX(원자료_잔고!$A$1:$EZ$1500,설정!$L$5+ROW()-1,설정!$L$22)&amp;""),"")</f>
        <v/>
      </c>
      <c r="P752" s="83" t="str">
        <f aca="false">IFERROR(IF(INDEX(원자료_잔고!$A$1:$EZ$1500,설정!$L$5+ROW()-1,설정!$L$23)&amp;""="0","",INDEX(원자료_잔고!$A$1:$EZ$1500,설정!$L$5+ROW()-1,설정!$L$23)&amp;""),"")</f>
        <v/>
      </c>
      <c r="Q752" s="89" t="n">
        <f aca="false">IF(AND($A752&lt;&gt;"",ISNUMBER(E752)),IF(E752&gt;0,1,0),0)</f>
        <v>0</v>
      </c>
      <c r="R752" s="43" t="str">
        <f aca="false">IF(Q752=1,UPPER(LEFT($A752,FIND(" ",$A752&amp;" ")-1)),"")</f>
        <v/>
      </c>
      <c r="S752" s="89" t="n">
        <f aca="false">IF(Q752=1,IF(OR(ISNUMBER(SEARCH("Float",$A752)),ISNUMBER(SEARCH("FRN",$A752))),1,0),0)</f>
        <v>0</v>
      </c>
      <c r="T752" s="43" t="str">
        <f aca="false">IF(AND(Q752=1,ISNUMBER(I752)),TEXT(I752,"yyyymmdd")&amp;"|"&amp;IF(S752=1,"F",TEXT(J752,"0.000")),"")</f>
        <v/>
      </c>
      <c r="U752" s="90" t="str">
        <f aca="false">IF(AND(Q752=1,ISNUMBER(I752)),(I752-설정!$C$4)/365.25,"")</f>
        <v/>
      </c>
      <c r="V752" s="43" t="str">
        <f aca="false">IF(Q752&lt;&gt;1,"",IF(ISNUMBER(U752),IF(U752&lt;=1,"1년 이하",IF(U752&lt;=2,"1-2년",IF(U752&lt;=3,"2-3년",IF(U752&lt;=4,"3-4년",IF(U752&lt;=5,"4-5년",IF(U752&lt;=7,"5-7년",IF(U752&lt;=10,"7-10년",IF(U752&lt;=20,"10-20년","20년 이상")))))))),"미분류"))</f>
        <v/>
      </c>
      <c r="W752" s="43" t="str">
        <f aca="false">IF(Q752&lt;&gt;1,"",IF(AB752&lt;&gt;"",INDEX(시장분석!$C:$C,AB752),IF(K752=1,"USD","비USD")))</f>
        <v/>
      </c>
      <c r="X752" s="91" t="n">
        <f aca="false">IF(Q752=1,E752*K752/1000000,0)</f>
        <v>0</v>
      </c>
      <c r="Y752" s="89" t="n">
        <f aca="false">IF(R752="T",1,0)</f>
        <v>0</v>
      </c>
      <c r="Z752" s="92" t="str">
        <f aca="false">IF(Q752&lt;&gt;1,"",IF(AD752=1,IF(ISNUMBER(U752),MAX(U752,0),H752),H752))</f>
        <v/>
      </c>
      <c r="AA752" s="91" t="n">
        <f aca="false">IF(Q752=1,IF(ISNUMBER(L752),L752,0)*K752/1000000,0)</f>
        <v>0</v>
      </c>
      <c r="AB752" s="89" t="str">
        <f aca="false">IF(Q752&lt;&gt;1,"",IFERROR(MATCH(VLOOKUP(B752,매핑!$H$4:$I$15,2,0),시장분석!$A$2:$A$601,0)+1,IFERROR(MATCH(R752&amp;"|"&amp;T752,시장분석!$V$2:$V$601,0)+1,IF(COUNTIF(시장분석!$U$2:$U$601,T752)=1,MATCH(T752,시장분석!$U$2:$U$601,0)+1,""))))</f>
        <v/>
      </c>
      <c r="AC752" s="89" t="n">
        <f aca="false">IF(Q752&lt;&gt;1,0,IF(OR(설정!$C$5="전체",AND(설정!$C$5="선택펀드",IFERROR(COUNTIFS(설정!$F$16:$F$36,C752,설정!$G$16:$G$36,"Y")+COUNTIFS(설정!$F$16:$F$36,VALUE(C752),설정!$G$16:$G$36,"Y"),0)&gt;0),C752&amp;""=설정!$C$5&amp;""),1,0))</f>
        <v>0</v>
      </c>
      <c r="AD752" s="89" t="n">
        <f aca="false">IF(Q752&lt;&gt;1,0,IF(OR(S752=1,IF(AB752="",FALSE(),INDEX(시장분석!$R:$R,AB752)=1)),1,0))</f>
        <v>0</v>
      </c>
      <c r="AE752" s="43" t="str">
        <f aca="false">IF(AB752="","",INDEX(시장분석!$A:$A,AB752))</f>
        <v/>
      </c>
      <c r="AF752" s="93" t="str">
        <f aca="false">IF(AB752="","",IF(ISNUMBER(IF(AB752="","",INDEX(시장분석!$E:$E,AB752))),IF(AB752="","",INDEX(시장분석!$E:$E,AB752)),""))</f>
        <v/>
      </c>
      <c r="AG752" s="43" t="str">
        <f aca="false">IF(Q752&lt;&gt;1,"",IF(AB752&lt;&gt;"",IF(AB752="","",INDEX(시장분석!$L:$L,AB752)),IFERROR(IF(VLOOKUP(R752,매핑!$A$4:$E$92,5,0)="","미분류",VLOOKUP(R752,매핑!$A$4:$E$92,5,0)),"미분류")))</f>
        <v/>
      </c>
      <c r="AH752" s="43" t="str">
        <f aca="false">IF(Q752&lt;&gt;1,"",IF(AB752&lt;&gt;"",IF(AB752="","",INDEX(시장분석!$N:$N,AB752)),IFERROR(IF(VLOOKUP(R752,매핑!$A$4:$E$92,4,0)="","미분류",VLOOKUP(R752,매핑!$A$4:$E$92,4,0)),"미분류")))</f>
        <v/>
      </c>
      <c r="AI752" s="43" t="str">
        <f aca="false">IF(Q752&lt;&gt;1,"",IFERROR(IF(VLOOKUP(R752,매핑!$A$4:$E$92,3,0)="","미분류",VLOOKUP(R752,매핑!$A$4:$E$92,3,0)),IF(AB752&lt;&gt;"",IF(AB752="","",INDEX(시장분석!$W:$W,AB752)),"미분류")))</f>
        <v/>
      </c>
      <c r="AJ752" s="43" t="str">
        <f aca="false">IF(Q752&lt;&gt;1,"",IFERROR(VLOOKUP(IF(N752&lt;&gt;"",N752,IF(P752&lt;&gt;"",P752,O752)),설정!$A$15:$D$47,2,0),""))</f>
        <v/>
      </c>
      <c r="AK752" s="43" t="str">
        <f aca="false">IF(Q752&lt;&gt;1,"",IF(AJ752="","무등급",IFERROR(VLOOKUP(AJ752,설정!$A$15:$D$47,3,0),"무등급")))</f>
        <v/>
      </c>
      <c r="AL752" s="89" t="n">
        <f aca="false">IF(AJ752="",99,IFERROR(VLOOKUP(AJ752,설정!$A$15:$D$47,4,0),99))</f>
        <v>99</v>
      </c>
      <c r="AM752" s="94" t="n">
        <f aca="false">IF(ISNUMBER(H752),AA752*1000000*H752/10000,0)</f>
        <v>0</v>
      </c>
      <c r="AN752" s="94" t="n">
        <f aca="false">IF(OR(Y752=1,NOT(ISNUMBER(Z752))),0,AA752*1000000*Z752/10000)</f>
        <v>0</v>
      </c>
      <c r="AO752" s="94" t="n">
        <f aca="false">IF(ISNUMBER(G752),AA752*1000000*G752/100,0)</f>
        <v>0</v>
      </c>
      <c r="AP752" s="94" t="n">
        <f aca="false">IF(ISNUMBER(M752),M752*K752,0)</f>
        <v>0</v>
      </c>
      <c r="AQ752" s="95" t="str">
        <f aca="false">IF(AB752="","",INDEX(시장분석!$AK:$AK,AB752))</f>
        <v/>
      </c>
      <c r="AR752" s="43" t="str">
        <f aca="false">IF(AB752="","-",IF(AB752="","",INDEX(시장분석!$AL:$AL,AB752)))</f>
        <v>-</v>
      </c>
      <c r="AS752" s="96" t="str">
        <f aca="false">IF(AB752="","",INDEX(시장분석!$AJ:$AJ,AB752))</f>
        <v/>
      </c>
      <c r="AT752" s="93" t="n">
        <f aca="false">IF(AB752="",0,IF(AB752="","",INDEX(시장분석!$AN:$AN,AB752)))</f>
        <v>0</v>
      </c>
      <c r="AU752" s="94" t="n">
        <f aca="false">IF(ISNUMBER(Z752),AT752/10000*MAX(Z752-1,0)*AA752*1000000,0)</f>
        <v>0</v>
      </c>
      <c r="AV752" s="94" t="n">
        <f aca="false">AO752+AU752</f>
        <v>0</v>
      </c>
      <c r="AW752" s="43" t="str">
        <f aca="false">IF(Q752&lt;&gt;1,"",TRIM(IF(AD752=1,"FRN ","")&amp;IF(AND(AL752&gt;=10,AL752&lt;99),"BBB0미만 ","")&amp;IF(AJ752="","등급없음 ","")&amp;IF(K752&lt;&gt;1,"비USD ","")&amp;IF(AND(AB752="",Y752=0),"시장데이터없음 ","")&amp;IF(AND(ISNUMBER(U752),U752&lt;0),"만기경과 ","")))</f>
        <v/>
      </c>
      <c r="AX752" s="90" t="n">
        <f aca="false">IF(Q752&lt;&gt;1,1,IF(스프레드쇼크!$C$4="Y",INDEX(스프레드쇼크!$B$12:$L$16,IFERROR(MATCH(AH752,스프레드쇼크!$A$12:$A$16,0),MATCH("목록외",스프레드쇼크!$A$12:$A$16,0)),IFERROR(MATCH(AG752,스프레드쇼크!$B$11:$L$11,0),MATCH("목록외",스프레드쇼크!$B$11:$L$11,0))),1))</f>
        <v>1</v>
      </c>
      <c r="AY752" s="90" t="n">
        <f aca="false">IF(스프레드쇼크!$C$5="Y",IF(ISNUMBER(AF752),MIN(스프레드쇼크!$C$7,MAX(스프레드쇼크!$C$6,AF752/스프레드쇼크!$C$8)),1),1)</f>
        <v>1</v>
      </c>
      <c r="AZ752" s="94" t="n">
        <f aca="false">AN752*AX752*AY752</f>
        <v>0</v>
      </c>
      <c r="BA752" s="90" t="n">
        <f aca="false">IF(ISNUMBER(G752),AA752*G752,0)</f>
        <v>0</v>
      </c>
      <c r="BB752" s="90" t="n">
        <f aca="false">IF(ISNUMBER(G752),AA752,0)</f>
        <v>0</v>
      </c>
      <c r="BC752" s="90" t="n">
        <f aca="false">IF(AND(Y752=0,ISNUMBER(AF752)),AA752*AF752,0)</f>
        <v>0</v>
      </c>
      <c r="BD752" s="90" t="n">
        <f aca="false">IF(AND(Y752=0,ISNUMBER(AF752)),AA752,0)</f>
        <v>0</v>
      </c>
      <c r="BE752" s="90" t="n">
        <f aca="false">IF(ISNUMBER(H752),AA752*H752,0)</f>
        <v>0</v>
      </c>
      <c r="BF752" s="90" t="n">
        <f aca="false">IF(ISNUMBER(H752),AA752,0)</f>
        <v>0</v>
      </c>
      <c r="BG752" s="90" t="n">
        <f aca="false">IF(AND(Y752=0,ISNUMBER(AF752),ISNUMBER(Z752)),AA752*Z752,0)</f>
        <v>0</v>
      </c>
      <c r="BH752" s="90" t="n">
        <f aca="false">IF(AND(Y752=0,ISNUMBER(AF752),ISNUMBER(Z752)),AA752*AT752*MAX(Z752-1,0),0)</f>
        <v>0</v>
      </c>
      <c r="BI752" s="90" t="n">
        <f aca="false">IF(Y752=0,AA752,0)</f>
        <v>0</v>
      </c>
    </row>
    <row r="753" customFormat="false" ht="15" hidden="false" customHeight="false" outlineLevel="0" collapsed="false">
      <c r="A753" s="83" t="str">
        <f aca="false">IFERROR(IF(INDEX(원자료_잔고!$A$1:$EZ$1500,설정!$L$5+ROW()-1,설정!$L$8)&amp;""="0","",INDEX(원자료_잔고!$A$1:$EZ$1500,설정!$L$5+ROW()-1,설정!$L$8)&amp;""),"")</f>
        <v/>
      </c>
      <c r="B753" s="83" t="str">
        <f aca="false">IFERROR(IF(INDEX(원자료_잔고!$A$1:$EZ$1500,설정!$L$5+ROW()-1,설정!$L$7)&amp;""="0","",INDEX(원자료_잔고!$A$1:$EZ$1500,설정!$L$5+ROW()-1,설정!$L$7)&amp;""),"")</f>
        <v/>
      </c>
      <c r="C753" s="83" t="str">
        <f aca="false">IFERROR(IF(INDEX(원자료_잔고!$A$1:$EZ$1500,설정!$L$5+ROW()-1,설정!$L$9)&amp;""="0","",INDEX(원자료_잔고!$A$1:$EZ$1500,설정!$L$5+ROW()-1,설정!$L$9)&amp;""),"")</f>
        <v/>
      </c>
      <c r="D753" s="83" t="str">
        <f aca="false">IFERROR(IF(INDEX(원자료_잔고!$A$1:$EZ$1500,설정!$L$5+ROW()-1,설정!$L$10)&amp;""="0","",INDEX(원자료_잔고!$A$1:$EZ$1500,설정!$L$5+ROW()-1,설정!$L$10)&amp;""),"")</f>
        <v/>
      </c>
      <c r="E753" s="84" t="str">
        <f aca="false">IFERROR(IF(ISNUMBER(INDEX(원자료_잔고!$A$1:$EZ$1500,설정!$L$5+ROW()-1,설정!$L$11)),INDEX(원자료_잔고!$A$1:$EZ$1500,설정!$L$5+ROW()-1,설정!$L$11),""),"")</f>
        <v/>
      </c>
      <c r="F753" s="85" t="str">
        <f aca="false">IFERROR(IF(ISNUMBER(INDEX(원자료_잔고!$A$1:$EZ$1500,설정!$L$5+ROW()-1,설정!$L$12)),INDEX(원자료_잔고!$A$1:$EZ$1500,설정!$L$5+ROW()-1,설정!$L$12),""),"")</f>
        <v/>
      </c>
      <c r="G753" s="85" t="str">
        <f aca="false">IFERROR(IF(ISNUMBER(INDEX(원자료_잔고!$A$1:$EZ$1500,설정!$L$5+ROW()-1,설정!$L$13)),INDEX(원자료_잔고!$A$1:$EZ$1500,설정!$L$5+ROW()-1,설정!$L$13),""),"")</f>
        <v/>
      </c>
      <c r="H753" s="85" t="str">
        <f aca="false">IFERROR(IF(ISNUMBER(INDEX(원자료_잔고!$A$1:$EZ$1500,설정!$L$5+ROW()-1,설정!$L$14)),INDEX(원자료_잔고!$A$1:$EZ$1500,설정!$L$5+ROW()-1,설정!$L$14),""),"")</f>
        <v/>
      </c>
      <c r="I753" s="86" t="str">
        <f aca="false">IFERROR(IF(ISNUMBER(INDEX(원자료_잔고!$A$1:$EZ$1500,설정!$L$5+ROW()-1,설정!$L$15)),INDEX(원자료_잔고!$A$1:$EZ$1500,설정!$L$5+ROW()-1,설정!$L$15),""),"")</f>
        <v/>
      </c>
      <c r="J753" s="85" t="str">
        <f aca="false">IFERROR(IF(ISNUMBER(INDEX(원자료_잔고!$A$1:$EZ$1500,설정!$L$5+ROW()-1,설정!$L$16)),INDEX(원자료_잔고!$A$1:$EZ$1500,설정!$L$5+ROW()-1,설정!$L$16),""),"")</f>
        <v/>
      </c>
      <c r="K753" s="87" t="str">
        <f aca="false">IFERROR(IF(ISNUMBER(INDEX(원자료_잔고!$A$1:$EZ$1500,설정!$L$5+ROW()-1,설정!$L$17)),INDEX(원자료_잔고!$A$1:$EZ$1500,설정!$L$5+ROW()-1,설정!$L$17),""),"")</f>
        <v/>
      </c>
      <c r="L753" s="84" t="str">
        <f aca="false">IFERROR(IF(ISNUMBER(INDEX(원자료_잔고!$A$1:$EZ$1500,설정!$L$5+ROW()-1,설정!$L$18)),INDEX(원자료_잔고!$A$1:$EZ$1500,설정!$L$5+ROW()-1,설정!$L$18),""),"")</f>
        <v/>
      </c>
      <c r="M753" s="88" t="str">
        <f aca="false">IFERROR(IF(ISNUMBER(INDEX(원자료_잔고!$A$1:$EZ$1500,설정!$L$5+ROW()-1,설정!$L$19)),INDEX(원자료_잔고!$A$1:$EZ$1500,설정!$L$5+ROW()-1,설정!$L$19),""),"")</f>
        <v/>
      </c>
      <c r="N753" s="83" t="str">
        <f aca="false">IFERROR(IF(INDEX(원자료_잔고!$A$1:$EZ$1500,설정!$L$5+ROW()-1,설정!$L$21)&amp;""="0","",INDEX(원자료_잔고!$A$1:$EZ$1500,설정!$L$5+ROW()-1,설정!$L$21)&amp;""),"")</f>
        <v/>
      </c>
      <c r="O753" s="83" t="str">
        <f aca="false">IFERROR(IF(INDEX(원자료_잔고!$A$1:$EZ$1500,설정!$L$5+ROW()-1,설정!$L$22)&amp;""="0","",INDEX(원자료_잔고!$A$1:$EZ$1500,설정!$L$5+ROW()-1,설정!$L$22)&amp;""),"")</f>
        <v/>
      </c>
      <c r="P753" s="83" t="str">
        <f aca="false">IFERROR(IF(INDEX(원자료_잔고!$A$1:$EZ$1500,설정!$L$5+ROW()-1,설정!$L$23)&amp;""="0","",INDEX(원자료_잔고!$A$1:$EZ$1500,설정!$L$5+ROW()-1,설정!$L$23)&amp;""),"")</f>
        <v/>
      </c>
      <c r="Q753" s="89" t="n">
        <f aca="false">IF(AND($A753&lt;&gt;"",ISNUMBER(E753)),IF(E753&gt;0,1,0),0)</f>
        <v>0</v>
      </c>
      <c r="R753" s="43" t="str">
        <f aca="false">IF(Q753=1,UPPER(LEFT($A753,FIND(" ",$A753&amp;" ")-1)),"")</f>
        <v/>
      </c>
      <c r="S753" s="89" t="n">
        <f aca="false">IF(Q753=1,IF(OR(ISNUMBER(SEARCH("Float",$A753)),ISNUMBER(SEARCH("FRN",$A753))),1,0),0)</f>
        <v>0</v>
      </c>
      <c r="T753" s="43" t="str">
        <f aca="false">IF(AND(Q753=1,ISNUMBER(I753)),TEXT(I753,"yyyymmdd")&amp;"|"&amp;IF(S753=1,"F",TEXT(J753,"0.000")),"")</f>
        <v/>
      </c>
      <c r="U753" s="90" t="str">
        <f aca="false">IF(AND(Q753=1,ISNUMBER(I753)),(I753-설정!$C$4)/365.25,"")</f>
        <v/>
      </c>
      <c r="V753" s="43" t="str">
        <f aca="false">IF(Q753&lt;&gt;1,"",IF(ISNUMBER(U753),IF(U753&lt;=1,"1년 이하",IF(U753&lt;=2,"1-2년",IF(U753&lt;=3,"2-3년",IF(U753&lt;=4,"3-4년",IF(U753&lt;=5,"4-5년",IF(U753&lt;=7,"5-7년",IF(U753&lt;=10,"7-10년",IF(U753&lt;=20,"10-20년","20년 이상")))))))),"미분류"))</f>
        <v/>
      </c>
      <c r="W753" s="43" t="str">
        <f aca="false">IF(Q753&lt;&gt;1,"",IF(AB753&lt;&gt;"",INDEX(시장분석!$C:$C,AB753),IF(K753=1,"USD","비USD")))</f>
        <v/>
      </c>
      <c r="X753" s="91" t="n">
        <f aca="false">IF(Q753=1,E753*K753/1000000,0)</f>
        <v>0</v>
      </c>
      <c r="Y753" s="89" t="n">
        <f aca="false">IF(R753="T",1,0)</f>
        <v>0</v>
      </c>
      <c r="Z753" s="92" t="str">
        <f aca="false">IF(Q753&lt;&gt;1,"",IF(AD753=1,IF(ISNUMBER(U753),MAX(U753,0),H753),H753))</f>
        <v/>
      </c>
      <c r="AA753" s="91" t="n">
        <f aca="false">IF(Q753=1,IF(ISNUMBER(L753),L753,0)*K753/1000000,0)</f>
        <v>0</v>
      </c>
      <c r="AB753" s="89" t="str">
        <f aca="false">IF(Q753&lt;&gt;1,"",IFERROR(MATCH(VLOOKUP(B753,매핑!$H$4:$I$15,2,0),시장분석!$A$2:$A$601,0)+1,IFERROR(MATCH(R753&amp;"|"&amp;T753,시장분석!$V$2:$V$601,0)+1,IF(COUNTIF(시장분석!$U$2:$U$601,T753)=1,MATCH(T753,시장분석!$U$2:$U$601,0)+1,""))))</f>
        <v/>
      </c>
      <c r="AC753" s="89" t="n">
        <f aca="false">IF(Q753&lt;&gt;1,0,IF(OR(설정!$C$5="전체",AND(설정!$C$5="선택펀드",IFERROR(COUNTIFS(설정!$F$16:$F$36,C753,설정!$G$16:$G$36,"Y")+COUNTIFS(설정!$F$16:$F$36,VALUE(C753),설정!$G$16:$G$36,"Y"),0)&gt;0),C753&amp;""=설정!$C$5&amp;""),1,0))</f>
        <v>0</v>
      </c>
      <c r="AD753" s="89" t="n">
        <f aca="false">IF(Q753&lt;&gt;1,0,IF(OR(S753=1,IF(AB753="",FALSE(),INDEX(시장분석!$R:$R,AB753)=1)),1,0))</f>
        <v>0</v>
      </c>
      <c r="AE753" s="43" t="str">
        <f aca="false">IF(AB753="","",INDEX(시장분석!$A:$A,AB753))</f>
        <v/>
      </c>
      <c r="AF753" s="93" t="str">
        <f aca="false">IF(AB753="","",IF(ISNUMBER(IF(AB753="","",INDEX(시장분석!$E:$E,AB753))),IF(AB753="","",INDEX(시장분석!$E:$E,AB753)),""))</f>
        <v/>
      </c>
      <c r="AG753" s="43" t="str">
        <f aca="false">IF(Q753&lt;&gt;1,"",IF(AB753&lt;&gt;"",IF(AB753="","",INDEX(시장분석!$L:$L,AB753)),IFERROR(IF(VLOOKUP(R753,매핑!$A$4:$E$92,5,0)="","미분류",VLOOKUP(R753,매핑!$A$4:$E$92,5,0)),"미분류")))</f>
        <v/>
      </c>
      <c r="AH753" s="43" t="str">
        <f aca="false">IF(Q753&lt;&gt;1,"",IF(AB753&lt;&gt;"",IF(AB753="","",INDEX(시장분석!$N:$N,AB753)),IFERROR(IF(VLOOKUP(R753,매핑!$A$4:$E$92,4,0)="","미분류",VLOOKUP(R753,매핑!$A$4:$E$92,4,0)),"미분류")))</f>
        <v/>
      </c>
      <c r="AI753" s="43" t="str">
        <f aca="false">IF(Q753&lt;&gt;1,"",IFERROR(IF(VLOOKUP(R753,매핑!$A$4:$E$92,3,0)="","미분류",VLOOKUP(R753,매핑!$A$4:$E$92,3,0)),IF(AB753&lt;&gt;"",IF(AB753="","",INDEX(시장분석!$W:$W,AB753)),"미분류")))</f>
        <v/>
      </c>
      <c r="AJ753" s="43" t="str">
        <f aca="false">IF(Q753&lt;&gt;1,"",IFERROR(VLOOKUP(IF(N753&lt;&gt;"",N753,IF(P753&lt;&gt;"",P753,O753)),설정!$A$15:$D$47,2,0),""))</f>
        <v/>
      </c>
      <c r="AK753" s="43" t="str">
        <f aca="false">IF(Q753&lt;&gt;1,"",IF(AJ753="","무등급",IFERROR(VLOOKUP(AJ753,설정!$A$15:$D$47,3,0),"무등급")))</f>
        <v/>
      </c>
      <c r="AL753" s="89" t="n">
        <f aca="false">IF(AJ753="",99,IFERROR(VLOOKUP(AJ753,설정!$A$15:$D$47,4,0),99))</f>
        <v>99</v>
      </c>
      <c r="AM753" s="94" t="n">
        <f aca="false">IF(ISNUMBER(H753),AA753*1000000*H753/10000,0)</f>
        <v>0</v>
      </c>
      <c r="AN753" s="94" t="n">
        <f aca="false">IF(OR(Y753=1,NOT(ISNUMBER(Z753))),0,AA753*1000000*Z753/10000)</f>
        <v>0</v>
      </c>
      <c r="AO753" s="94" t="n">
        <f aca="false">IF(ISNUMBER(G753),AA753*1000000*G753/100,0)</f>
        <v>0</v>
      </c>
      <c r="AP753" s="94" t="n">
        <f aca="false">IF(ISNUMBER(M753),M753*K753,0)</f>
        <v>0</v>
      </c>
      <c r="AQ753" s="95" t="str">
        <f aca="false">IF(AB753="","",INDEX(시장분석!$AK:$AK,AB753))</f>
        <v/>
      </c>
      <c r="AR753" s="43" t="str">
        <f aca="false">IF(AB753="","-",IF(AB753="","",INDEX(시장분석!$AL:$AL,AB753)))</f>
        <v>-</v>
      </c>
      <c r="AS753" s="96" t="str">
        <f aca="false">IF(AB753="","",INDEX(시장분석!$AJ:$AJ,AB753))</f>
        <v/>
      </c>
      <c r="AT753" s="93" t="n">
        <f aca="false">IF(AB753="",0,IF(AB753="","",INDEX(시장분석!$AN:$AN,AB753)))</f>
        <v>0</v>
      </c>
      <c r="AU753" s="94" t="n">
        <f aca="false">IF(ISNUMBER(Z753),AT753/10000*MAX(Z753-1,0)*AA753*1000000,0)</f>
        <v>0</v>
      </c>
      <c r="AV753" s="94" t="n">
        <f aca="false">AO753+AU753</f>
        <v>0</v>
      </c>
      <c r="AW753" s="43" t="str">
        <f aca="false">IF(Q753&lt;&gt;1,"",TRIM(IF(AD753=1,"FRN ","")&amp;IF(AND(AL753&gt;=10,AL753&lt;99),"BBB0미만 ","")&amp;IF(AJ753="","등급없음 ","")&amp;IF(K753&lt;&gt;1,"비USD ","")&amp;IF(AND(AB753="",Y753=0),"시장데이터없음 ","")&amp;IF(AND(ISNUMBER(U753),U753&lt;0),"만기경과 ","")))</f>
        <v/>
      </c>
      <c r="AX753" s="90" t="n">
        <f aca="false">IF(Q753&lt;&gt;1,1,IF(스프레드쇼크!$C$4="Y",INDEX(스프레드쇼크!$B$12:$L$16,IFERROR(MATCH(AH753,스프레드쇼크!$A$12:$A$16,0),MATCH("목록외",스프레드쇼크!$A$12:$A$16,0)),IFERROR(MATCH(AG753,스프레드쇼크!$B$11:$L$11,0),MATCH("목록외",스프레드쇼크!$B$11:$L$11,0))),1))</f>
        <v>1</v>
      </c>
      <c r="AY753" s="90" t="n">
        <f aca="false">IF(스프레드쇼크!$C$5="Y",IF(ISNUMBER(AF753),MIN(스프레드쇼크!$C$7,MAX(스프레드쇼크!$C$6,AF753/스프레드쇼크!$C$8)),1),1)</f>
        <v>1</v>
      </c>
      <c r="AZ753" s="94" t="n">
        <f aca="false">AN753*AX753*AY753</f>
        <v>0</v>
      </c>
      <c r="BA753" s="90" t="n">
        <f aca="false">IF(ISNUMBER(G753),AA753*G753,0)</f>
        <v>0</v>
      </c>
      <c r="BB753" s="90" t="n">
        <f aca="false">IF(ISNUMBER(G753),AA753,0)</f>
        <v>0</v>
      </c>
      <c r="BC753" s="90" t="n">
        <f aca="false">IF(AND(Y753=0,ISNUMBER(AF753)),AA753*AF753,0)</f>
        <v>0</v>
      </c>
      <c r="BD753" s="90" t="n">
        <f aca="false">IF(AND(Y753=0,ISNUMBER(AF753)),AA753,0)</f>
        <v>0</v>
      </c>
      <c r="BE753" s="90" t="n">
        <f aca="false">IF(ISNUMBER(H753),AA753*H753,0)</f>
        <v>0</v>
      </c>
      <c r="BF753" s="90" t="n">
        <f aca="false">IF(ISNUMBER(H753),AA753,0)</f>
        <v>0</v>
      </c>
      <c r="BG753" s="90" t="n">
        <f aca="false">IF(AND(Y753=0,ISNUMBER(AF753),ISNUMBER(Z753)),AA753*Z753,0)</f>
        <v>0</v>
      </c>
      <c r="BH753" s="90" t="n">
        <f aca="false">IF(AND(Y753=0,ISNUMBER(AF753),ISNUMBER(Z753)),AA753*AT753*MAX(Z753-1,0),0)</f>
        <v>0</v>
      </c>
      <c r="BI753" s="90" t="n">
        <f aca="false">IF(Y753=0,AA753,0)</f>
        <v>0</v>
      </c>
    </row>
    <row r="754" customFormat="false" ht="15" hidden="false" customHeight="false" outlineLevel="0" collapsed="false">
      <c r="A754" s="83" t="str">
        <f aca="false">IFERROR(IF(INDEX(원자료_잔고!$A$1:$EZ$1500,설정!$L$5+ROW()-1,설정!$L$8)&amp;""="0","",INDEX(원자료_잔고!$A$1:$EZ$1500,설정!$L$5+ROW()-1,설정!$L$8)&amp;""),"")</f>
        <v/>
      </c>
      <c r="B754" s="83" t="str">
        <f aca="false">IFERROR(IF(INDEX(원자료_잔고!$A$1:$EZ$1500,설정!$L$5+ROW()-1,설정!$L$7)&amp;""="0","",INDEX(원자료_잔고!$A$1:$EZ$1500,설정!$L$5+ROW()-1,설정!$L$7)&amp;""),"")</f>
        <v/>
      </c>
      <c r="C754" s="83" t="str">
        <f aca="false">IFERROR(IF(INDEX(원자료_잔고!$A$1:$EZ$1500,설정!$L$5+ROW()-1,설정!$L$9)&amp;""="0","",INDEX(원자료_잔고!$A$1:$EZ$1500,설정!$L$5+ROW()-1,설정!$L$9)&amp;""),"")</f>
        <v/>
      </c>
      <c r="D754" s="83" t="str">
        <f aca="false">IFERROR(IF(INDEX(원자료_잔고!$A$1:$EZ$1500,설정!$L$5+ROW()-1,설정!$L$10)&amp;""="0","",INDEX(원자료_잔고!$A$1:$EZ$1500,설정!$L$5+ROW()-1,설정!$L$10)&amp;""),"")</f>
        <v/>
      </c>
      <c r="E754" s="84" t="str">
        <f aca="false">IFERROR(IF(ISNUMBER(INDEX(원자료_잔고!$A$1:$EZ$1500,설정!$L$5+ROW()-1,설정!$L$11)),INDEX(원자료_잔고!$A$1:$EZ$1500,설정!$L$5+ROW()-1,설정!$L$11),""),"")</f>
        <v/>
      </c>
      <c r="F754" s="85" t="str">
        <f aca="false">IFERROR(IF(ISNUMBER(INDEX(원자료_잔고!$A$1:$EZ$1500,설정!$L$5+ROW()-1,설정!$L$12)),INDEX(원자료_잔고!$A$1:$EZ$1500,설정!$L$5+ROW()-1,설정!$L$12),""),"")</f>
        <v/>
      </c>
      <c r="G754" s="85" t="str">
        <f aca="false">IFERROR(IF(ISNUMBER(INDEX(원자료_잔고!$A$1:$EZ$1500,설정!$L$5+ROW()-1,설정!$L$13)),INDEX(원자료_잔고!$A$1:$EZ$1500,설정!$L$5+ROW()-1,설정!$L$13),""),"")</f>
        <v/>
      </c>
      <c r="H754" s="85" t="str">
        <f aca="false">IFERROR(IF(ISNUMBER(INDEX(원자료_잔고!$A$1:$EZ$1500,설정!$L$5+ROW()-1,설정!$L$14)),INDEX(원자료_잔고!$A$1:$EZ$1500,설정!$L$5+ROW()-1,설정!$L$14),""),"")</f>
        <v/>
      </c>
      <c r="I754" s="86" t="str">
        <f aca="false">IFERROR(IF(ISNUMBER(INDEX(원자료_잔고!$A$1:$EZ$1500,설정!$L$5+ROW()-1,설정!$L$15)),INDEX(원자료_잔고!$A$1:$EZ$1500,설정!$L$5+ROW()-1,설정!$L$15),""),"")</f>
        <v/>
      </c>
      <c r="J754" s="85" t="str">
        <f aca="false">IFERROR(IF(ISNUMBER(INDEX(원자료_잔고!$A$1:$EZ$1500,설정!$L$5+ROW()-1,설정!$L$16)),INDEX(원자료_잔고!$A$1:$EZ$1500,설정!$L$5+ROW()-1,설정!$L$16),""),"")</f>
        <v/>
      </c>
      <c r="K754" s="87" t="str">
        <f aca="false">IFERROR(IF(ISNUMBER(INDEX(원자료_잔고!$A$1:$EZ$1500,설정!$L$5+ROW()-1,설정!$L$17)),INDEX(원자료_잔고!$A$1:$EZ$1500,설정!$L$5+ROW()-1,설정!$L$17),""),"")</f>
        <v/>
      </c>
      <c r="L754" s="84" t="str">
        <f aca="false">IFERROR(IF(ISNUMBER(INDEX(원자료_잔고!$A$1:$EZ$1500,설정!$L$5+ROW()-1,설정!$L$18)),INDEX(원자료_잔고!$A$1:$EZ$1500,설정!$L$5+ROW()-1,설정!$L$18),""),"")</f>
        <v/>
      </c>
      <c r="M754" s="88" t="str">
        <f aca="false">IFERROR(IF(ISNUMBER(INDEX(원자료_잔고!$A$1:$EZ$1500,설정!$L$5+ROW()-1,설정!$L$19)),INDEX(원자료_잔고!$A$1:$EZ$1500,설정!$L$5+ROW()-1,설정!$L$19),""),"")</f>
        <v/>
      </c>
      <c r="N754" s="83" t="str">
        <f aca="false">IFERROR(IF(INDEX(원자료_잔고!$A$1:$EZ$1500,설정!$L$5+ROW()-1,설정!$L$21)&amp;""="0","",INDEX(원자료_잔고!$A$1:$EZ$1500,설정!$L$5+ROW()-1,설정!$L$21)&amp;""),"")</f>
        <v/>
      </c>
      <c r="O754" s="83" t="str">
        <f aca="false">IFERROR(IF(INDEX(원자료_잔고!$A$1:$EZ$1500,설정!$L$5+ROW()-1,설정!$L$22)&amp;""="0","",INDEX(원자료_잔고!$A$1:$EZ$1500,설정!$L$5+ROW()-1,설정!$L$22)&amp;""),"")</f>
        <v/>
      </c>
      <c r="P754" s="83" t="str">
        <f aca="false">IFERROR(IF(INDEX(원자료_잔고!$A$1:$EZ$1500,설정!$L$5+ROW()-1,설정!$L$23)&amp;""="0","",INDEX(원자료_잔고!$A$1:$EZ$1500,설정!$L$5+ROW()-1,설정!$L$23)&amp;""),"")</f>
        <v/>
      </c>
      <c r="Q754" s="89" t="n">
        <f aca="false">IF(AND($A754&lt;&gt;"",ISNUMBER(E754)),IF(E754&gt;0,1,0),0)</f>
        <v>0</v>
      </c>
      <c r="R754" s="43" t="str">
        <f aca="false">IF(Q754=1,UPPER(LEFT($A754,FIND(" ",$A754&amp;" ")-1)),"")</f>
        <v/>
      </c>
      <c r="S754" s="89" t="n">
        <f aca="false">IF(Q754=1,IF(OR(ISNUMBER(SEARCH("Float",$A754)),ISNUMBER(SEARCH("FRN",$A754))),1,0),0)</f>
        <v>0</v>
      </c>
      <c r="T754" s="43" t="str">
        <f aca="false">IF(AND(Q754=1,ISNUMBER(I754)),TEXT(I754,"yyyymmdd")&amp;"|"&amp;IF(S754=1,"F",TEXT(J754,"0.000")),"")</f>
        <v/>
      </c>
      <c r="U754" s="90" t="str">
        <f aca="false">IF(AND(Q754=1,ISNUMBER(I754)),(I754-설정!$C$4)/365.25,"")</f>
        <v/>
      </c>
      <c r="V754" s="43" t="str">
        <f aca="false">IF(Q754&lt;&gt;1,"",IF(ISNUMBER(U754),IF(U754&lt;=1,"1년 이하",IF(U754&lt;=2,"1-2년",IF(U754&lt;=3,"2-3년",IF(U754&lt;=4,"3-4년",IF(U754&lt;=5,"4-5년",IF(U754&lt;=7,"5-7년",IF(U754&lt;=10,"7-10년",IF(U754&lt;=20,"10-20년","20년 이상")))))))),"미분류"))</f>
        <v/>
      </c>
      <c r="W754" s="43" t="str">
        <f aca="false">IF(Q754&lt;&gt;1,"",IF(AB754&lt;&gt;"",INDEX(시장분석!$C:$C,AB754),IF(K754=1,"USD","비USD")))</f>
        <v/>
      </c>
      <c r="X754" s="91" t="n">
        <f aca="false">IF(Q754=1,E754*K754/1000000,0)</f>
        <v>0</v>
      </c>
      <c r="Y754" s="89" t="n">
        <f aca="false">IF(R754="T",1,0)</f>
        <v>0</v>
      </c>
      <c r="Z754" s="92" t="str">
        <f aca="false">IF(Q754&lt;&gt;1,"",IF(AD754=1,IF(ISNUMBER(U754),MAX(U754,0),H754),H754))</f>
        <v/>
      </c>
      <c r="AA754" s="91" t="n">
        <f aca="false">IF(Q754=1,IF(ISNUMBER(L754),L754,0)*K754/1000000,0)</f>
        <v>0</v>
      </c>
      <c r="AB754" s="89" t="str">
        <f aca="false">IF(Q754&lt;&gt;1,"",IFERROR(MATCH(VLOOKUP(B754,매핑!$H$4:$I$15,2,0),시장분석!$A$2:$A$601,0)+1,IFERROR(MATCH(R754&amp;"|"&amp;T754,시장분석!$V$2:$V$601,0)+1,IF(COUNTIF(시장분석!$U$2:$U$601,T754)=1,MATCH(T754,시장분석!$U$2:$U$601,0)+1,""))))</f>
        <v/>
      </c>
      <c r="AC754" s="89" t="n">
        <f aca="false">IF(Q754&lt;&gt;1,0,IF(OR(설정!$C$5="전체",AND(설정!$C$5="선택펀드",IFERROR(COUNTIFS(설정!$F$16:$F$36,C754,설정!$G$16:$G$36,"Y")+COUNTIFS(설정!$F$16:$F$36,VALUE(C754),설정!$G$16:$G$36,"Y"),0)&gt;0),C754&amp;""=설정!$C$5&amp;""),1,0))</f>
        <v>0</v>
      </c>
      <c r="AD754" s="89" t="n">
        <f aca="false">IF(Q754&lt;&gt;1,0,IF(OR(S754=1,IF(AB754="",FALSE(),INDEX(시장분석!$R:$R,AB754)=1)),1,0))</f>
        <v>0</v>
      </c>
      <c r="AE754" s="43" t="str">
        <f aca="false">IF(AB754="","",INDEX(시장분석!$A:$A,AB754))</f>
        <v/>
      </c>
      <c r="AF754" s="93" t="str">
        <f aca="false">IF(AB754="","",IF(ISNUMBER(IF(AB754="","",INDEX(시장분석!$E:$E,AB754))),IF(AB754="","",INDEX(시장분석!$E:$E,AB754)),""))</f>
        <v/>
      </c>
      <c r="AG754" s="43" t="str">
        <f aca="false">IF(Q754&lt;&gt;1,"",IF(AB754&lt;&gt;"",IF(AB754="","",INDEX(시장분석!$L:$L,AB754)),IFERROR(IF(VLOOKUP(R754,매핑!$A$4:$E$92,5,0)="","미분류",VLOOKUP(R754,매핑!$A$4:$E$92,5,0)),"미분류")))</f>
        <v/>
      </c>
      <c r="AH754" s="43" t="str">
        <f aca="false">IF(Q754&lt;&gt;1,"",IF(AB754&lt;&gt;"",IF(AB754="","",INDEX(시장분석!$N:$N,AB754)),IFERROR(IF(VLOOKUP(R754,매핑!$A$4:$E$92,4,0)="","미분류",VLOOKUP(R754,매핑!$A$4:$E$92,4,0)),"미분류")))</f>
        <v/>
      </c>
      <c r="AI754" s="43" t="str">
        <f aca="false">IF(Q754&lt;&gt;1,"",IFERROR(IF(VLOOKUP(R754,매핑!$A$4:$E$92,3,0)="","미분류",VLOOKUP(R754,매핑!$A$4:$E$92,3,0)),IF(AB754&lt;&gt;"",IF(AB754="","",INDEX(시장분석!$W:$W,AB754)),"미분류")))</f>
        <v/>
      </c>
      <c r="AJ754" s="43" t="str">
        <f aca="false">IF(Q754&lt;&gt;1,"",IFERROR(VLOOKUP(IF(N754&lt;&gt;"",N754,IF(P754&lt;&gt;"",P754,O754)),설정!$A$15:$D$47,2,0),""))</f>
        <v/>
      </c>
      <c r="AK754" s="43" t="str">
        <f aca="false">IF(Q754&lt;&gt;1,"",IF(AJ754="","무등급",IFERROR(VLOOKUP(AJ754,설정!$A$15:$D$47,3,0),"무등급")))</f>
        <v/>
      </c>
      <c r="AL754" s="89" t="n">
        <f aca="false">IF(AJ754="",99,IFERROR(VLOOKUP(AJ754,설정!$A$15:$D$47,4,0),99))</f>
        <v>99</v>
      </c>
      <c r="AM754" s="94" t="n">
        <f aca="false">IF(ISNUMBER(H754),AA754*1000000*H754/10000,0)</f>
        <v>0</v>
      </c>
      <c r="AN754" s="94" t="n">
        <f aca="false">IF(OR(Y754=1,NOT(ISNUMBER(Z754))),0,AA754*1000000*Z754/10000)</f>
        <v>0</v>
      </c>
      <c r="AO754" s="94" t="n">
        <f aca="false">IF(ISNUMBER(G754),AA754*1000000*G754/100,0)</f>
        <v>0</v>
      </c>
      <c r="AP754" s="94" t="n">
        <f aca="false">IF(ISNUMBER(M754),M754*K754,0)</f>
        <v>0</v>
      </c>
      <c r="AQ754" s="95" t="str">
        <f aca="false">IF(AB754="","",INDEX(시장분석!$AK:$AK,AB754))</f>
        <v/>
      </c>
      <c r="AR754" s="43" t="str">
        <f aca="false">IF(AB754="","-",IF(AB754="","",INDEX(시장분석!$AL:$AL,AB754)))</f>
        <v>-</v>
      </c>
      <c r="AS754" s="96" t="str">
        <f aca="false">IF(AB754="","",INDEX(시장분석!$AJ:$AJ,AB754))</f>
        <v/>
      </c>
      <c r="AT754" s="93" t="n">
        <f aca="false">IF(AB754="",0,IF(AB754="","",INDEX(시장분석!$AN:$AN,AB754)))</f>
        <v>0</v>
      </c>
      <c r="AU754" s="94" t="n">
        <f aca="false">IF(ISNUMBER(Z754),AT754/10000*MAX(Z754-1,0)*AA754*1000000,0)</f>
        <v>0</v>
      </c>
      <c r="AV754" s="94" t="n">
        <f aca="false">AO754+AU754</f>
        <v>0</v>
      </c>
      <c r="AW754" s="43" t="str">
        <f aca="false">IF(Q754&lt;&gt;1,"",TRIM(IF(AD754=1,"FRN ","")&amp;IF(AND(AL754&gt;=10,AL754&lt;99),"BBB0미만 ","")&amp;IF(AJ754="","등급없음 ","")&amp;IF(K754&lt;&gt;1,"비USD ","")&amp;IF(AND(AB754="",Y754=0),"시장데이터없음 ","")&amp;IF(AND(ISNUMBER(U754),U754&lt;0),"만기경과 ","")))</f>
        <v/>
      </c>
      <c r="AX754" s="90" t="n">
        <f aca="false">IF(Q754&lt;&gt;1,1,IF(스프레드쇼크!$C$4="Y",INDEX(스프레드쇼크!$B$12:$L$16,IFERROR(MATCH(AH754,스프레드쇼크!$A$12:$A$16,0),MATCH("목록외",스프레드쇼크!$A$12:$A$16,0)),IFERROR(MATCH(AG754,스프레드쇼크!$B$11:$L$11,0),MATCH("목록외",스프레드쇼크!$B$11:$L$11,0))),1))</f>
        <v>1</v>
      </c>
      <c r="AY754" s="90" t="n">
        <f aca="false">IF(스프레드쇼크!$C$5="Y",IF(ISNUMBER(AF754),MIN(스프레드쇼크!$C$7,MAX(스프레드쇼크!$C$6,AF754/스프레드쇼크!$C$8)),1),1)</f>
        <v>1</v>
      </c>
      <c r="AZ754" s="94" t="n">
        <f aca="false">AN754*AX754*AY754</f>
        <v>0</v>
      </c>
      <c r="BA754" s="90" t="n">
        <f aca="false">IF(ISNUMBER(G754),AA754*G754,0)</f>
        <v>0</v>
      </c>
      <c r="BB754" s="90" t="n">
        <f aca="false">IF(ISNUMBER(G754),AA754,0)</f>
        <v>0</v>
      </c>
      <c r="BC754" s="90" t="n">
        <f aca="false">IF(AND(Y754=0,ISNUMBER(AF754)),AA754*AF754,0)</f>
        <v>0</v>
      </c>
      <c r="BD754" s="90" t="n">
        <f aca="false">IF(AND(Y754=0,ISNUMBER(AF754)),AA754,0)</f>
        <v>0</v>
      </c>
      <c r="BE754" s="90" t="n">
        <f aca="false">IF(ISNUMBER(H754),AA754*H754,0)</f>
        <v>0</v>
      </c>
      <c r="BF754" s="90" t="n">
        <f aca="false">IF(ISNUMBER(H754),AA754,0)</f>
        <v>0</v>
      </c>
      <c r="BG754" s="90" t="n">
        <f aca="false">IF(AND(Y754=0,ISNUMBER(AF754),ISNUMBER(Z754)),AA754*Z754,0)</f>
        <v>0</v>
      </c>
      <c r="BH754" s="90" t="n">
        <f aca="false">IF(AND(Y754=0,ISNUMBER(AF754),ISNUMBER(Z754)),AA754*AT754*MAX(Z754-1,0),0)</f>
        <v>0</v>
      </c>
      <c r="BI754" s="90" t="n">
        <f aca="false">IF(Y754=0,AA754,0)</f>
        <v>0</v>
      </c>
    </row>
    <row r="755" customFormat="false" ht="15" hidden="false" customHeight="false" outlineLevel="0" collapsed="false">
      <c r="A755" s="83" t="str">
        <f aca="false">IFERROR(IF(INDEX(원자료_잔고!$A$1:$EZ$1500,설정!$L$5+ROW()-1,설정!$L$8)&amp;""="0","",INDEX(원자료_잔고!$A$1:$EZ$1500,설정!$L$5+ROW()-1,설정!$L$8)&amp;""),"")</f>
        <v/>
      </c>
      <c r="B755" s="83" t="str">
        <f aca="false">IFERROR(IF(INDEX(원자료_잔고!$A$1:$EZ$1500,설정!$L$5+ROW()-1,설정!$L$7)&amp;""="0","",INDEX(원자료_잔고!$A$1:$EZ$1500,설정!$L$5+ROW()-1,설정!$L$7)&amp;""),"")</f>
        <v/>
      </c>
      <c r="C755" s="83" t="str">
        <f aca="false">IFERROR(IF(INDEX(원자료_잔고!$A$1:$EZ$1500,설정!$L$5+ROW()-1,설정!$L$9)&amp;""="0","",INDEX(원자료_잔고!$A$1:$EZ$1500,설정!$L$5+ROW()-1,설정!$L$9)&amp;""),"")</f>
        <v/>
      </c>
      <c r="D755" s="83" t="str">
        <f aca="false">IFERROR(IF(INDEX(원자료_잔고!$A$1:$EZ$1500,설정!$L$5+ROW()-1,설정!$L$10)&amp;""="0","",INDEX(원자료_잔고!$A$1:$EZ$1500,설정!$L$5+ROW()-1,설정!$L$10)&amp;""),"")</f>
        <v/>
      </c>
      <c r="E755" s="84" t="str">
        <f aca="false">IFERROR(IF(ISNUMBER(INDEX(원자료_잔고!$A$1:$EZ$1500,설정!$L$5+ROW()-1,설정!$L$11)),INDEX(원자료_잔고!$A$1:$EZ$1500,설정!$L$5+ROW()-1,설정!$L$11),""),"")</f>
        <v/>
      </c>
      <c r="F755" s="85" t="str">
        <f aca="false">IFERROR(IF(ISNUMBER(INDEX(원자료_잔고!$A$1:$EZ$1500,설정!$L$5+ROW()-1,설정!$L$12)),INDEX(원자료_잔고!$A$1:$EZ$1500,설정!$L$5+ROW()-1,설정!$L$12),""),"")</f>
        <v/>
      </c>
      <c r="G755" s="85" t="str">
        <f aca="false">IFERROR(IF(ISNUMBER(INDEX(원자료_잔고!$A$1:$EZ$1500,설정!$L$5+ROW()-1,설정!$L$13)),INDEX(원자료_잔고!$A$1:$EZ$1500,설정!$L$5+ROW()-1,설정!$L$13),""),"")</f>
        <v/>
      </c>
      <c r="H755" s="85" t="str">
        <f aca="false">IFERROR(IF(ISNUMBER(INDEX(원자료_잔고!$A$1:$EZ$1500,설정!$L$5+ROW()-1,설정!$L$14)),INDEX(원자료_잔고!$A$1:$EZ$1500,설정!$L$5+ROW()-1,설정!$L$14),""),"")</f>
        <v/>
      </c>
      <c r="I755" s="86" t="str">
        <f aca="false">IFERROR(IF(ISNUMBER(INDEX(원자료_잔고!$A$1:$EZ$1500,설정!$L$5+ROW()-1,설정!$L$15)),INDEX(원자료_잔고!$A$1:$EZ$1500,설정!$L$5+ROW()-1,설정!$L$15),""),"")</f>
        <v/>
      </c>
      <c r="J755" s="85" t="str">
        <f aca="false">IFERROR(IF(ISNUMBER(INDEX(원자료_잔고!$A$1:$EZ$1500,설정!$L$5+ROW()-1,설정!$L$16)),INDEX(원자료_잔고!$A$1:$EZ$1500,설정!$L$5+ROW()-1,설정!$L$16),""),"")</f>
        <v/>
      </c>
      <c r="K755" s="87" t="str">
        <f aca="false">IFERROR(IF(ISNUMBER(INDEX(원자료_잔고!$A$1:$EZ$1500,설정!$L$5+ROW()-1,설정!$L$17)),INDEX(원자료_잔고!$A$1:$EZ$1500,설정!$L$5+ROW()-1,설정!$L$17),""),"")</f>
        <v/>
      </c>
      <c r="L755" s="84" t="str">
        <f aca="false">IFERROR(IF(ISNUMBER(INDEX(원자료_잔고!$A$1:$EZ$1500,설정!$L$5+ROW()-1,설정!$L$18)),INDEX(원자료_잔고!$A$1:$EZ$1500,설정!$L$5+ROW()-1,설정!$L$18),""),"")</f>
        <v/>
      </c>
      <c r="M755" s="88" t="str">
        <f aca="false">IFERROR(IF(ISNUMBER(INDEX(원자료_잔고!$A$1:$EZ$1500,설정!$L$5+ROW()-1,설정!$L$19)),INDEX(원자료_잔고!$A$1:$EZ$1500,설정!$L$5+ROW()-1,설정!$L$19),""),"")</f>
        <v/>
      </c>
      <c r="N755" s="83" t="str">
        <f aca="false">IFERROR(IF(INDEX(원자료_잔고!$A$1:$EZ$1500,설정!$L$5+ROW()-1,설정!$L$21)&amp;""="0","",INDEX(원자료_잔고!$A$1:$EZ$1500,설정!$L$5+ROW()-1,설정!$L$21)&amp;""),"")</f>
        <v/>
      </c>
      <c r="O755" s="83" t="str">
        <f aca="false">IFERROR(IF(INDEX(원자료_잔고!$A$1:$EZ$1500,설정!$L$5+ROW()-1,설정!$L$22)&amp;""="0","",INDEX(원자료_잔고!$A$1:$EZ$1500,설정!$L$5+ROW()-1,설정!$L$22)&amp;""),"")</f>
        <v/>
      </c>
      <c r="P755" s="83" t="str">
        <f aca="false">IFERROR(IF(INDEX(원자료_잔고!$A$1:$EZ$1500,설정!$L$5+ROW()-1,설정!$L$23)&amp;""="0","",INDEX(원자료_잔고!$A$1:$EZ$1500,설정!$L$5+ROW()-1,설정!$L$23)&amp;""),"")</f>
        <v/>
      </c>
      <c r="Q755" s="89" t="n">
        <f aca="false">IF(AND($A755&lt;&gt;"",ISNUMBER(E755)),IF(E755&gt;0,1,0),0)</f>
        <v>0</v>
      </c>
      <c r="R755" s="43" t="str">
        <f aca="false">IF(Q755=1,UPPER(LEFT($A755,FIND(" ",$A755&amp;" ")-1)),"")</f>
        <v/>
      </c>
      <c r="S755" s="89" t="n">
        <f aca="false">IF(Q755=1,IF(OR(ISNUMBER(SEARCH("Float",$A755)),ISNUMBER(SEARCH("FRN",$A755))),1,0),0)</f>
        <v>0</v>
      </c>
      <c r="T755" s="43" t="str">
        <f aca="false">IF(AND(Q755=1,ISNUMBER(I755)),TEXT(I755,"yyyymmdd")&amp;"|"&amp;IF(S755=1,"F",TEXT(J755,"0.000")),"")</f>
        <v/>
      </c>
      <c r="U755" s="90" t="str">
        <f aca="false">IF(AND(Q755=1,ISNUMBER(I755)),(I755-설정!$C$4)/365.25,"")</f>
        <v/>
      </c>
      <c r="V755" s="43" t="str">
        <f aca="false">IF(Q755&lt;&gt;1,"",IF(ISNUMBER(U755),IF(U755&lt;=1,"1년 이하",IF(U755&lt;=2,"1-2년",IF(U755&lt;=3,"2-3년",IF(U755&lt;=4,"3-4년",IF(U755&lt;=5,"4-5년",IF(U755&lt;=7,"5-7년",IF(U755&lt;=10,"7-10년",IF(U755&lt;=20,"10-20년","20년 이상")))))))),"미분류"))</f>
        <v/>
      </c>
      <c r="W755" s="43" t="str">
        <f aca="false">IF(Q755&lt;&gt;1,"",IF(AB755&lt;&gt;"",INDEX(시장분석!$C:$C,AB755),IF(K755=1,"USD","비USD")))</f>
        <v/>
      </c>
      <c r="X755" s="91" t="n">
        <f aca="false">IF(Q755=1,E755*K755/1000000,0)</f>
        <v>0</v>
      </c>
      <c r="Y755" s="89" t="n">
        <f aca="false">IF(R755="T",1,0)</f>
        <v>0</v>
      </c>
      <c r="Z755" s="92" t="str">
        <f aca="false">IF(Q755&lt;&gt;1,"",IF(AD755=1,IF(ISNUMBER(U755),MAX(U755,0),H755),H755))</f>
        <v/>
      </c>
      <c r="AA755" s="91" t="n">
        <f aca="false">IF(Q755=1,IF(ISNUMBER(L755),L755,0)*K755/1000000,0)</f>
        <v>0</v>
      </c>
      <c r="AB755" s="89" t="str">
        <f aca="false">IF(Q755&lt;&gt;1,"",IFERROR(MATCH(VLOOKUP(B755,매핑!$H$4:$I$15,2,0),시장분석!$A$2:$A$601,0)+1,IFERROR(MATCH(R755&amp;"|"&amp;T755,시장분석!$V$2:$V$601,0)+1,IF(COUNTIF(시장분석!$U$2:$U$601,T755)=1,MATCH(T755,시장분석!$U$2:$U$601,0)+1,""))))</f>
        <v/>
      </c>
      <c r="AC755" s="89" t="n">
        <f aca="false">IF(Q755&lt;&gt;1,0,IF(OR(설정!$C$5="전체",AND(설정!$C$5="선택펀드",IFERROR(COUNTIFS(설정!$F$16:$F$36,C755,설정!$G$16:$G$36,"Y")+COUNTIFS(설정!$F$16:$F$36,VALUE(C755),설정!$G$16:$G$36,"Y"),0)&gt;0),C755&amp;""=설정!$C$5&amp;""),1,0))</f>
        <v>0</v>
      </c>
      <c r="AD755" s="89" t="n">
        <f aca="false">IF(Q755&lt;&gt;1,0,IF(OR(S755=1,IF(AB755="",FALSE(),INDEX(시장분석!$R:$R,AB755)=1)),1,0))</f>
        <v>0</v>
      </c>
      <c r="AE755" s="43" t="str">
        <f aca="false">IF(AB755="","",INDEX(시장분석!$A:$A,AB755))</f>
        <v/>
      </c>
      <c r="AF755" s="93" t="str">
        <f aca="false">IF(AB755="","",IF(ISNUMBER(IF(AB755="","",INDEX(시장분석!$E:$E,AB755))),IF(AB755="","",INDEX(시장분석!$E:$E,AB755)),""))</f>
        <v/>
      </c>
      <c r="AG755" s="43" t="str">
        <f aca="false">IF(Q755&lt;&gt;1,"",IF(AB755&lt;&gt;"",IF(AB755="","",INDEX(시장분석!$L:$L,AB755)),IFERROR(IF(VLOOKUP(R755,매핑!$A$4:$E$92,5,0)="","미분류",VLOOKUP(R755,매핑!$A$4:$E$92,5,0)),"미분류")))</f>
        <v/>
      </c>
      <c r="AH755" s="43" t="str">
        <f aca="false">IF(Q755&lt;&gt;1,"",IF(AB755&lt;&gt;"",IF(AB755="","",INDEX(시장분석!$N:$N,AB755)),IFERROR(IF(VLOOKUP(R755,매핑!$A$4:$E$92,4,0)="","미분류",VLOOKUP(R755,매핑!$A$4:$E$92,4,0)),"미분류")))</f>
        <v/>
      </c>
      <c r="AI755" s="43" t="str">
        <f aca="false">IF(Q755&lt;&gt;1,"",IFERROR(IF(VLOOKUP(R755,매핑!$A$4:$E$92,3,0)="","미분류",VLOOKUP(R755,매핑!$A$4:$E$92,3,0)),IF(AB755&lt;&gt;"",IF(AB755="","",INDEX(시장분석!$W:$W,AB755)),"미분류")))</f>
        <v/>
      </c>
      <c r="AJ755" s="43" t="str">
        <f aca="false">IF(Q755&lt;&gt;1,"",IFERROR(VLOOKUP(IF(N755&lt;&gt;"",N755,IF(P755&lt;&gt;"",P755,O755)),설정!$A$15:$D$47,2,0),""))</f>
        <v/>
      </c>
      <c r="AK755" s="43" t="str">
        <f aca="false">IF(Q755&lt;&gt;1,"",IF(AJ755="","무등급",IFERROR(VLOOKUP(AJ755,설정!$A$15:$D$47,3,0),"무등급")))</f>
        <v/>
      </c>
      <c r="AL755" s="89" t="n">
        <f aca="false">IF(AJ755="",99,IFERROR(VLOOKUP(AJ755,설정!$A$15:$D$47,4,0),99))</f>
        <v>99</v>
      </c>
      <c r="AM755" s="94" t="n">
        <f aca="false">IF(ISNUMBER(H755),AA755*1000000*H755/10000,0)</f>
        <v>0</v>
      </c>
      <c r="AN755" s="94" t="n">
        <f aca="false">IF(OR(Y755=1,NOT(ISNUMBER(Z755))),0,AA755*1000000*Z755/10000)</f>
        <v>0</v>
      </c>
      <c r="AO755" s="94" t="n">
        <f aca="false">IF(ISNUMBER(G755),AA755*1000000*G755/100,0)</f>
        <v>0</v>
      </c>
      <c r="AP755" s="94" t="n">
        <f aca="false">IF(ISNUMBER(M755),M755*K755,0)</f>
        <v>0</v>
      </c>
      <c r="AQ755" s="95" t="str">
        <f aca="false">IF(AB755="","",INDEX(시장분석!$AK:$AK,AB755))</f>
        <v/>
      </c>
      <c r="AR755" s="43" t="str">
        <f aca="false">IF(AB755="","-",IF(AB755="","",INDEX(시장분석!$AL:$AL,AB755)))</f>
        <v>-</v>
      </c>
      <c r="AS755" s="96" t="str">
        <f aca="false">IF(AB755="","",INDEX(시장분석!$AJ:$AJ,AB755))</f>
        <v/>
      </c>
      <c r="AT755" s="93" t="n">
        <f aca="false">IF(AB755="",0,IF(AB755="","",INDEX(시장분석!$AN:$AN,AB755)))</f>
        <v>0</v>
      </c>
      <c r="AU755" s="94" t="n">
        <f aca="false">IF(ISNUMBER(Z755),AT755/10000*MAX(Z755-1,0)*AA755*1000000,0)</f>
        <v>0</v>
      </c>
      <c r="AV755" s="94" t="n">
        <f aca="false">AO755+AU755</f>
        <v>0</v>
      </c>
      <c r="AW755" s="43" t="str">
        <f aca="false">IF(Q755&lt;&gt;1,"",TRIM(IF(AD755=1,"FRN ","")&amp;IF(AND(AL755&gt;=10,AL755&lt;99),"BBB0미만 ","")&amp;IF(AJ755="","등급없음 ","")&amp;IF(K755&lt;&gt;1,"비USD ","")&amp;IF(AND(AB755="",Y755=0),"시장데이터없음 ","")&amp;IF(AND(ISNUMBER(U755),U755&lt;0),"만기경과 ","")))</f>
        <v/>
      </c>
      <c r="AX755" s="90" t="n">
        <f aca="false">IF(Q755&lt;&gt;1,1,IF(스프레드쇼크!$C$4="Y",INDEX(스프레드쇼크!$B$12:$L$16,IFERROR(MATCH(AH755,스프레드쇼크!$A$12:$A$16,0),MATCH("목록외",스프레드쇼크!$A$12:$A$16,0)),IFERROR(MATCH(AG755,스프레드쇼크!$B$11:$L$11,0),MATCH("목록외",스프레드쇼크!$B$11:$L$11,0))),1))</f>
        <v>1</v>
      </c>
      <c r="AY755" s="90" t="n">
        <f aca="false">IF(스프레드쇼크!$C$5="Y",IF(ISNUMBER(AF755),MIN(스프레드쇼크!$C$7,MAX(스프레드쇼크!$C$6,AF755/스프레드쇼크!$C$8)),1),1)</f>
        <v>1</v>
      </c>
      <c r="AZ755" s="94" t="n">
        <f aca="false">AN755*AX755*AY755</f>
        <v>0</v>
      </c>
      <c r="BA755" s="90" t="n">
        <f aca="false">IF(ISNUMBER(G755),AA755*G755,0)</f>
        <v>0</v>
      </c>
      <c r="BB755" s="90" t="n">
        <f aca="false">IF(ISNUMBER(G755),AA755,0)</f>
        <v>0</v>
      </c>
      <c r="BC755" s="90" t="n">
        <f aca="false">IF(AND(Y755=0,ISNUMBER(AF755)),AA755*AF755,0)</f>
        <v>0</v>
      </c>
      <c r="BD755" s="90" t="n">
        <f aca="false">IF(AND(Y755=0,ISNUMBER(AF755)),AA755,0)</f>
        <v>0</v>
      </c>
      <c r="BE755" s="90" t="n">
        <f aca="false">IF(ISNUMBER(H755),AA755*H755,0)</f>
        <v>0</v>
      </c>
      <c r="BF755" s="90" t="n">
        <f aca="false">IF(ISNUMBER(H755),AA755,0)</f>
        <v>0</v>
      </c>
      <c r="BG755" s="90" t="n">
        <f aca="false">IF(AND(Y755=0,ISNUMBER(AF755),ISNUMBER(Z755)),AA755*Z755,0)</f>
        <v>0</v>
      </c>
      <c r="BH755" s="90" t="n">
        <f aca="false">IF(AND(Y755=0,ISNUMBER(AF755),ISNUMBER(Z755)),AA755*AT755*MAX(Z755-1,0),0)</f>
        <v>0</v>
      </c>
      <c r="BI755" s="90" t="n">
        <f aca="false">IF(Y755=0,AA755,0)</f>
        <v>0</v>
      </c>
    </row>
    <row r="756" customFormat="false" ht="15" hidden="false" customHeight="false" outlineLevel="0" collapsed="false">
      <c r="A756" s="83" t="str">
        <f aca="false">IFERROR(IF(INDEX(원자료_잔고!$A$1:$EZ$1500,설정!$L$5+ROW()-1,설정!$L$8)&amp;""="0","",INDEX(원자료_잔고!$A$1:$EZ$1500,설정!$L$5+ROW()-1,설정!$L$8)&amp;""),"")</f>
        <v/>
      </c>
      <c r="B756" s="83" t="str">
        <f aca="false">IFERROR(IF(INDEX(원자료_잔고!$A$1:$EZ$1500,설정!$L$5+ROW()-1,설정!$L$7)&amp;""="0","",INDEX(원자료_잔고!$A$1:$EZ$1500,설정!$L$5+ROW()-1,설정!$L$7)&amp;""),"")</f>
        <v/>
      </c>
      <c r="C756" s="83" t="str">
        <f aca="false">IFERROR(IF(INDEX(원자료_잔고!$A$1:$EZ$1500,설정!$L$5+ROW()-1,설정!$L$9)&amp;""="0","",INDEX(원자료_잔고!$A$1:$EZ$1500,설정!$L$5+ROW()-1,설정!$L$9)&amp;""),"")</f>
        <v/>
      </c>
      <c r="D756" s="83" t="str">
        <f aca="false">IFERROR(IF(INDEX(원자료_잔고!$A$1:$EZ$1500,설정!$L$5+ROW()-1,설정!$L$10)&amp;""="0","",INDEX(원자료_잔고!$A$1:$EZ$1500,설정!$L$5+ROW()-1,설정!$L$10)&amp;""),"")</f>
        <v/>
      </c>
      <c r="E756" s="84" t="str">
        <f aca="false">IFERROR(IF(ISNUMBER(INDEX(원자료_잔고!$A$1:$EZ$1500,설정!$L$5+ROW()-1,설정!$L$11)),INDEX(원자료_잔고!$A$1:$EZ$1500,설정!$L$5+ROW()-1,설정!$L$11),""),"")</f>
        <v/>
      </c>
      <c r="F756" s="85" t="str">
        <f aca="false">IFERROR(IF(ISNUMBER(INDEX(원자료_잔고!$A$1:$EZ$1500,설정!$L$5+ROW()-1,설정!$L$12)),INDEX(원자료_잔고!$A$1:$EZ$1500,설정!$L$5+ROW()-1,설정!$L$12),""),"")</f>
        <v/>
      </c>
      <c r="G756" s="85" t="str">
        <f aca="false">IFERROR(IF(ISNUMBER(INDEX(원자료_잔고!$A$1:$EZ$1500,설정!$L$5+ROW()-1,설정!$L$13)),INDEX(원자료_잔고!$A$1:$EZ$1500,설정!$L$5+ROW()-1,설정!$L$13),""),"")</f>
        <v/>
      </c>
      <c r="H756" s="85" t="str">
        <f aca="false">IFERROR(IF(ISNUMBER(INDEX(원자료_잔고!$A$1:$EZ$1500,설정!$L$5+ROW()-1,설정!$L$14)),INDEX(원자료_잔고!$A$1:$EZ$1500,설정!$L$5+ROW()-1,설정!$L$14),""),"")</f>
        <v/>
      </c>
      <c r="I756" s="86" t="str">
        <f aca="false">IFERROR(IF(ISNUMBER(INDEX(원자료_잔고!$A$1:$EZ$1500,설정!$L$5+ROW()-1,설정!$L$15)),INDEX(원자료_잔고!$A$1:$EZ$1500,설정!$L$5+ROW()-1,설정!$L$15),""),"")</f>
        <v/>
      </c>
      <c r="J756" s="85" t="str">
        <f aca="false">IFERROR(IF(ISNUMBER(INDEX(원자료_잔고!$A$1:$EZ$1500,설정!$L$5+ROW()-1,설정!$L$16)),INDEX(원자료_잔고!$A$1:$EZ$1500,설정!$L$5+ROW()-1,설정!$L$16),""),"")</f>
        <v/>
      </c>
      <c r="K756" s="87" t="str">
        <f aca="false">IFERROR(IF(ISNUMBER(INDEX(원자료_잔고!$A$1:$EZ$1500,설정!$L$5+ROW()-1,설정!$L$17)),INDEX(원자료_잔고!$A$1:$EZ$1500,설정!$L$5+ROW()-1,설정!$L$17),""),"")</f>
        <v/>
      </c>
      <c r="L756" s="84" t="str">
        <f aca="false">IFERROR(IF(ISNUMBER(INDEX(원자료_잔고!$A$1:$EZ$1500,설정!$L$5+ROW()-1,설정!$L$18)),INDEX(원자료_잔고!$A$1:$EZ$1500,설정!$L$5+ROW()-1,설정!$L$18),""),"")</f>
        <v/>
      </c>
      <c r="M756" s="88" t="str">
        <f aca="false">IFERROR(IF(ISNUMBER(INDEX(원자료_잔고!$A$1:$EZ$1500,설정!$L$5+ROW()-1,설정!$L$19)),INDEX(원자료_잔고!$A$1:$EZ$1500,설정!$L$5+ROW()-1,설정!$L$19),""),"")</f>
        <v/>
      </c>
      <c r="N756" s="83" t="str">
        <f aca="false">IFERROR(IF(INDEX(원자료_잔고!$A$1:$EZ$1500,설정!$L$5+ROW()-1,설정!$L$21)&amp;""="0","",INDEX(원자료_잔고!$A$1:$EZ$1500,설정!$L$5+ROW()-1,설정!$L$21)&amp;""),"")</f>
        <v/>
      </c>
      <c r="O756" s="83" t="str">
        <f aca="false">IFERROR(IF(INDEX(원자료_잔고!$A$1:$EZ$1500,설정!$L$5+ROW()-1,설정!$L$22)&amp;""="0","",INDEX(원자료_잔고!$A$1:$EZ$1500,설정!$L$5+ROW()-1,설정!$L$22)&amp;""),"")</f>
        <v/>
      </c>
      <c r="P756" s="83" t="str">
        <f aca="false">IFERROR(IF(INDEX(원자료_잔고!$A$1:$EZ$1500,설정!$L$5+ROW()-1,설정!$L$23)&amp;""="0","",INDEX(원자료_잔고!$A$1:$EZ$1500,설정!$L$5+ROW()-1,설정!$L$23)&amp;""),"")</f>
        <v/>
      </c>
      <c r="Q756" s="89" t="n">
        <f aca="false">IF(AND($A756&lt;&gt;"",ISNUMBER(E756)),IF(E756&gt;0,1,0),0)</f>
        <v>0</v>
      </c>
      <c r="R756" s="43" t="str">
        <f aca="false">IF(Q756=1,UPPER(LEFT($A756,FIND(" ",$A756&amp;" ")-1)),"")</f>
        <v/>
      </c>
      <c r="S756" s="89" t="n">
        <f aca="false">IF(Q756=1,IF(OR(ISNUMBER(SEARCH("Float",$A756)),ISNUMBER(SEARCH("FRN",$A756))),1,0),0)</f>
        <v>0</v>
      </c>
      <c r="T756" s="43" t="str">
        <f aca="false">IF(AND(Q756=1,ISNUMBER(I756)),TEXT(I756,"yyyymmdd")&amp;"|"&amp;IF(S756=1,"F",TEXT(J756,"0.000")),"")</f>
        <v/>
      </c>
      <c r="U756" s="90" t="str">
        <f aca="false">IF(AND(Q756=1,ISNUMBER(I756)),(I756-설정!$C$4)/365.25,"")</f>
        <v/>
      </c>
      <c r="V756" s="43" t="str">
        <f aca="false">IF(Q756&lt;&gt;1,"",IF(ISNUMBER(U756),IF(U756&lt;=1,"1년 이하",IF(U756&lt;=2,"1-2년",IF(U756&lt;=3,"2-3년",IF(U756&lt;=4,"3-4년",IF(U756&lt;=5,"4-5년",IF(U756&lt;=7,"5-7년",IF(U756&lt;=10,"7-10년",IF(U756&lt;=20,"10-20년","20년 이상")))))))),"미분류"))</f>
        <v/>
      </c>
      <c r="W756" s="43" t="str">
        <f aca="false">IF(Q756&lt;&gt;1,"",IF(AB756&lt;&gt;"",INDEX(시장분석!$C:$C,AB756),IF(K756=1,"USD","비USD")))</f>
        <v/>
      </c>
      <c r="X756" s="91" t="n">
        <f aca="false">IF(Q756=1,E756*K756/1000000,0)</f>
        <v>0</v>
      </c>
      <c r="Y756" s="89" t="n">
        <f aca="false">IF(R756="T",1,0)</f>
        <v>0</v>
      </c>
      <c r="Z756" s="92" t="str">
        <f aca="false">IF(Q756&lt;&gt;1,"",IF(AD756=1,IF(ISNUMBER(U756),MAX(U756,0),H756),H756))</f>
        <v/>
      </c>
      <c r="AA756" s="91" t="n">
        <f aca="false">IF(Q756=1,IF(ISNUMBER(L756),L756,0)*K756/1000000,0)</f>
        <v>0</v>
      </c>
      <c r="AB756" s="89" t="str">
        <f aca="false">IF(Q756&lt;&gt;1,"",IFERROR(MATCH(VLOOKUP(B756,매핑!$H$4:$I$15,2,0),시장분석!$A$2:$A$601,0)+1,IFERROR(MATCH(R756&amp;"|"&amp;T756,시장분석!$V$2:$V$601,0)+1,IF(COUNTIF(시장분석!$U$2:$U$601,T756)=1,MATCH(T756,시장분석!$U$2:$U$601,0)+1,""))))</f>
        <v/>
      </c>
      <c r="AC756" s="89" t="n">
        <f aca="false">IF(Q756&lt;&gt;1,0,IF(OR(설정!$C$5="전체",AND(설정!$C$5="선택펀드",IFERROR(COUNTIFS(설정!$F$16:$F$36,C756,설정!$G$16:$G$36,"Y")+COUNTIFS(설정!$F$16:$F$36,VALUE(C756),설정!$G$16:$G$36,"Y"),0)&gt;0),C756&amp;""=설정!$C$5&amp;""),1,0))</f>
        <v>0</v>
      </c>
      <c r="AD756" s="89" t="n">
        <f aca="false">IF(Q756&lt;&gt;1,0,IF(OR(S756=1,IF(AB756="",FALSE(),INDEX(시장분석!$R:$R,AB756)=1)),1,0))</f>
        <v>0</v>
      </c>
      <c r="AE756" s="43" t="str">
        <f aca="false">IF(AB756="","",INDEX(시장분석!$A:$A,AB756))</f>
        <v/>
      </c>
      <c r="AF756" s="93" t="str">
        <f aca="false">IF(AB756="","",IF(ISNUMBER(IF(AB756="","",INDEX(시장분석!$E:$E,AB756))),IF(AB756="","",INDEX(시장분석!$E:$E,AB756)),""))</f>
        <v/>
      </c>
      <c r="AG756" s="43" t="str">
        <f aca="false">IF(Q756&lt;&gt;1,"",IF(AB756&lt;&gt;"",IF(AB756="","",INDEX(시장분석!$L:$L,AB756)),IFERROR(IF(VLOOKUP(R756,매핑!$A$4:$E$92,5,0)="","미분류",VLOOKUP(R756,매핑!$A$4:$E$92,5,0)),"미분류")))</f>
        <v/>
      </c>
      <c r="AH756" s="43" t="str">
        <f aca="false">IF(Q756&lt;&gt;1,"",IF(AB756&lt;&gt;"",IF(AB756="","",INDEX(시장분석!$N:$N,AB756)),IFERROR(IF(VLOOKUP(R756,매핑!$A$4:$E$92,4,0)="","미분류",VLOOKUP(R756,매핑!$A$4:$E$92,4,0)),"미분류")))</f>
        <v/>
      </c>
      <c r="AI756" s="43" t="str">
        <f aca="false">IF(Q756&lt;&gt;1,"",IFERROR(IF(VLOOKUP(R756,매핑!$A$4:$E$92,3,0)="","미분류",VLOOKUP(R756,매핑!$A$4:$E$92,3,0)),IF(AB756&lt;&gt;"",IF(AB756="","",INDEX(시장분석!$W:$W,AB756)),"미분류")))</f>
        <v/>
      </c>
      <c r="AJ756" s="43" t="str">
        <f aca="false">IF(Q756&lt;&gt;1,"",IFERROR(VLOOKUP(IF(N756&lt;&gt;"",N756,IF(P756&lt;&gt;"",P756,O756)),설정!$A$15:$D$47,2,0),""))</f>
        <v/>
      </c>
      <c r="AK756" s="43" t="str">
        <f aca="false">IF(Q756&lt;&gt;1,"",IF(AJ756="","무등급",IFERROR(VLOOKUP(AJ756,설정!$A$15:$D$47,3,0),"무등급")))</f>
        <v/>
      </c>
      <c r="AL756" s="89" t="n">
        <f aca="false">IF(AJ756="",99,IFERROR(VLOOKUP(AJ756,설정!$A$15:$D$47,4,0),99))</f>
        <v>99</v>
      </c>
      <c r="AM756" s="94" t="n">
        <f aca="false">IF(ISNUMBER(H756),AA756*1000000*H756/10000,0)</f>
        <v>0</v>
      </c>
      <c r="AN756" s="94" t="n">
        <f aca="false">IF(OR(Y756=1,NOT(ISNUMBER(Z756))),0,AA756*1000000*Z756/10000)</f>
        <v>0</v>
      </c>
      <c r="AO756" s="94" t="n">
        <f aca="false">IF(ISNUMBER(G756),AA756*1000000*G756/100,0)</f>
        <v>0</v>
      </c>
      <c r="AP756" s="94" t="n">
        <f aca="false">IF(ISNUMBER(M756),M756*K756,0)</f>
        <v>0</v>
      </c>
      <c r="AQ756" s="95" t="str">
        <f aca="false">IF(AB756="","",INDEX(시장분석!$AK:$AK,AB756))</f>
        <v/>
      </c>
      <c r="AR756" s="43" t="str">
        <f aca="false">IF(AB756="","-",IF(AB756="","",INDEX(시장분석!$AL:$AL,AB756)))</f>
        <v>-</v>
      </c>
      <c r="AS756" s="96" t="str">
        <f aca="false">IF(AB756="","",INDEX(시장분석!$AJ:$AJ,AB756))</f>
        <v/>
      </c>
      <c r="AT756" s="93" t="n">
        <f aca="false">IF(AB756="",0,IF(AB756="","",INDEX(시장분석!$AN:$AN,AB756)))</f>
        <v>0</v>
      </c>
      <c r="AU756" s="94" t="n">
        <f aca="false">IF(ISNUMBER(Z756),AT756/10000*MAX(Z756-1,0)*AA756*1000000,0)</f>
        <v>0</v>
      </c>
      <c r="AV756" s="94" t="n">
        <f aca="false">AO756+AU756</f>
        <v>0</v>
      </c>
      <c r="AW756" s="43" t="str">
        <f aca="false">IF(Q756&lt;&gt;1,"",TRIM(IF(AD756=1,"FRN ","")&amp;IF(AND(AL756&gt;=10,AL756&lt;99),"BBB0미만 ","")&amp;IF(AJ756="","등급없음 ","")&amp;IF(K756&lt;&gt;1,"비USD ","")&amp;IF(AND(AB756="",Y756=0),"시장데이터없음 ","")&amp;IF(AND(ISNUMBER(U756),U756&lt;0),"만기경과 ","")))</f>
        <v/>
      </c>
      <c r="AX756" s="90" t="n">
        <f aca="false">IF(Q756&lt;&gt;1,1,IF(스프레드쇼크!$C$4="Y",INDEX(스프레드쇼크!$B$12:$L$16,IFERROR(MATCH(AH756,스프레드쇼크!$A$12:$A$16,0),MATCH("목록외",스프레드쇼크!$A$12:$A$16,0)),IFERROR(MATCH(AG756,스프레드쇼크!$B$11:$L$11,0),MATCH("목록외",스프레드쇼크!$B$11:$L$11,0))),1))</f>
        <v>1</v>
      </c>
      <c r="AY756" s="90" t="n">
        <f aca="false">IF(스프레드쇼크!$C$5="Y",IF(ISNUMBER(AF756),MIN(스프레드쇼크!$C$7,MAX(스프레드쇼크!$C$6,AF756/스프레드쇼크!$C$8)),1),1)</f>
        <v>1</v>
      </c>
      <c r="AZ756" s="94" t="n">
        <f aca="false">AN756*AX756*AY756</f>
        <v>0</v>
      </c>
      <c r="BA756" s="90" t="n">
        <f aca="false">IF(ISNUMBER(G756),AA756*G756,0)</f>
        <v>0</v>
      </c>
      <c r="BB756" s="90" t="n">
        <f aca="false">IF(ISNUMBER(G756),AA756,0)</f>
        <v>0</v>
      </c>
      <c r="BC756" s="90" t="n">
        <f aca="false">IF(AND(Y756=0,ISNUMBER(AF756)),AA756*AF756,0)</f>
        <v>0</v>
      </c>
      <c r="BD756" s="90" t="n">
        <f aca="false">IF(AND(Y756=0,ISNUMBER(AF756)),AA756,0)</f>
        <v>0</v>
      </c>
      <c r="BE756" s="90" t="n">
        <f aca="false">IF(ISNUMBER(H756),AA756*H756,0)</f>
        <v>0</v>
      </c>
      <c r="BF756" s="90" t="n">
        <f aca="false">IF(ISNUMBER(H756),AA756,0)</f>
        <v>0</v>
      </c>
      <c r="BG756" s="90" t="n">
        <f aca="false">IF(AND(Y756=0,ISNUMBER(AF756),ISNUMBER(Z756)),AA756*Z756,0)</f>
        <v>0</v>
      </c>
      <c r="BH756" s="90" t="n">
        <f aca="false">IF(AND(Y756=0,ISNUMBER(AF756),ISNUMBER(Z756)),AA756*AT756*MAX(Z756-1,0),0)</f>
        <v>0</v>
      </c>
      <c r="BI756" s="90" t="n">
        <f aca="false">IF(Y756=0,AA756,0)</f>
        <v>0</v>
      </c>
    </row>
    <row r="757" customFormat="false" ht="15" hidden="false" customHeight="false" outlineLevel="0" collapsed="false">
      <c r="A757" s="83" t="str">
        <f aca="false">IFERROR(IF(INDEX(원자료_잔고!$A$1:$EZ$1500,설정!$L$5+ROW()-1,설정!$L$8)&amp;""="0","",INDEX(원자료_잔고!$A$1:$EZ$1500,설정!$L$5+ROW()-1,설정!$L$8)&amp;""),"")</f>
        <v/>
      </c>
      <c r="B757" s="83" t="str">
        <f aca="false">IFERROR(IF(INDEX(원자료_잔고!$A$1:$EZ$1500,설정!$L$5+ROW()-1,설정!$L$7)&amp;""="0","",INDEX(원자료_잔고!$A$1:$EZ$1500,설정!$L$5+ROW()-1,설정!$L$7)&amp;""),"")</f>
        <v/>
      </c>
      <c r="C757" s="83" t="str">
        <f aca="false">IFERROR(IF(INDEX(원자료_잔고!$A$1:$EZ$1500,설정!$L$5+ROW()-1,설정!$L$9)&amp;""="0","",INDEX(원자료_잔고!$A$1:$EZ$1500,설정!$L$5+ROW()-1,설정!$L$9)&amp;""),"")</f>
        <v/>
      </c>
      <c r="D757" s="83" t="str">
        <f aca="false">IFERROR(IF(INDEX(원자료_잔고!$A$1:$EZ$1500,설정!$L$5+ROW()-1,설정!$L$10)&amp;""="0","",INDEX(원자료_잔고!$A$1:$EZ$1500,설정!$L$5+ROW()-1,설정!$L$10)&amp;""),"")</f>
        <v/>
      </c>
      <c r="E757" s="84" t="str">
        <f aca="false">IFERROR(IF(ISNUMBER(INDEX(원자료_잔고!$A$1:$EZ$1500,설정!$L$5+ROW()-1,설정!$L$11)),INDEX(원자료_잔고!$A$1:$EZ$1500,설정!$L$5+ROW()-1,설정!$L$11),""),"")</f>
        <v/>
      </c>
      <c r="F757" s="85" t="str">
        <f aca="false">IFERROR(IF(ISNUMBER(INDEX(원자료_잔고!$A$1:$EZ$1500,설정!$L$5+ROW()-1,설정!$L$12)),INDEX(원자료_잔고!$A$1:$EZ$1500,설정!$L$5+ROW()-1,설정!$L$12),""),"")</f>
        <v/>
      </c>
      <c r="G757" s="85" t="str">
        <f aca="false">IFERROR(IF(ISNUMBER(INDEX(원자료_잔고!$A$1:$EZ$1500,설정!$L$5+ROW()-1,설정!$L$13)),INDEX(원자료_잔고!$A$1:$EZ$1500,설정!$L$5+ROW()-1,설정!$L$13),""),"")</f>
        <v/>
      </c>
      <c r="H757" s="85" t="str">
        <f aca="false">IFERROR(IF(ISNUMBER(INDEX(원자료_잔고!$A$1:$EZ$1500,설정!$L$5+ROW()-1,설정!$L$14)),INDEX(원자료_잔고!$A$1:$EZ$1500,설정!$L$5+ROW()-1,설정!$L$14),""),"")</f>
        <v/>
      </c>
      <c r="I757" s="86" t="str">
        <f aca="false">IFERROR(IF(ISNUMBER(INDEX(원자료_잔고!$A$1:$EZ$1500,설정!$L$5+ROW()-1,설정!$L$15)),INDEX(원자료_잔고!$A$1:$EZ$1500,설정!$L$5+ROW()-1,설정!$L$15),""),"")</f>
        <v/>
      </c>
      <c r="J757" s="85" t="str">
        <f aca="false">IFERROR(IF(ISNUMBER(INDEX(원자료_잔고!$A$1:$EZ$1500,설정!$L$5+ROW()-1,설정!$L$16)),INDEX(원자료_잔고!$A$1:$EZ$1500,설정!$L$5+ROW()-1,설정!$L$16),""),"")</f>
        <v/>
      </c>
      <c r="K757" s="87" t="str">
        <f aca="false">IFERROR(IF(ISNUMBER(INDEX(원자료_잔고!$A$1:$EZ$1500,설정!$L$5+ROW()-1,설정!$L$17)),INDEX(원자료_잔고!$A$1:$EZ$1500,설정!$L$5+ROW()-1,설정!$L$17),""),"")</f>
        <v/>
      </c>
      <c r="L757" s="84" t="str">
        <f aca="false">IFERROR(IF(ISNUMBER(INDEX(원자료_잔고!$A$1:$EZ$1500,설정!$L$5+ROW()-1,설정!$L$18)),INDEX(원자료_잔고!$A$1:$EZ$1500,설정!$L$5+ROW()-1,설정!$L$18),""),"")</f>
        <v/>
      </c>
      <c r="M757" s="88" t="str">
        <f aca="false">IFERROR(IF(ISNUMBER(INDEX(원자료_잔고!$A$1:$EZ$1500,설정!$L$5+ROW()-1,설정!$L$19)),INDEX(원자료_잔고!$A$1:$EZ$1500,설정!$L$5+ROW()-1,설정!$L$19),""),"")</f>
        <v/>
      </c>
      <c r="N757" s="83" t="str">
        <f aca="false">IFERROR(IF(INDEX(원자료_잔고!$A$1:$EZ$1500,설정!$L$5+ROW()-1,설정!$L$21)&amp;""="0","",INDEX(원자료_잔고!$A$1:$EZ$1500,설정!$L$5+ROW()-1,설정!$L$21)&amp;""),"")</f>
        <v/>
      </c>
      <c r="O757" s="83" t="str">
        <f aca="false">IFERROR(IF(INDEX(원자료_잔고!$A$1:$EZ$1500,설정!$L$5+ROW()-1,설정!$L$22)&amp;""="0","",INDEX(원자료_잔고!$A$1:$EZ$1500,설정!$L$5+ROW()-1,설정!$L$22)&amp;""),"")</f>
        <v/>
      </c>
      <c r="P757" s="83" t="str">
        <f aca="false">IFERROR(IF(INDEX(원자료_잔고!$A$1:$EZ$1500,설정!$L$5+ROW()-1,설정!$L$23)&amp;""="0","",INDEX(원자료_잔고!$A$1:$EZ$1500,설정!$L$5+ROW()-1,설정!$L$23)&amp;""),"")</f>
        <v/>
      </c>
      <c r="Q757" s="89" t="n">
        <f aca="false">IF(AND($A757&lt;&gt;"",ISNUMBER(E757)),IF(E757&gt;0,1,0),0)</f>
        <v>0</v>
      </c>
      <c r="R757" s="43" t="str">
        <f aca="false">IF(Q757=1,UPPER(LEFT($A757,FIND(" ",$A757&amp;" ")-1)),"")</f>
        <v/>
      </c>
      <c r="S757" s="89" t="n">
        <f aca="false">IF(Q757=1,IF(OR(ISNUMBER(SEARCH("Float",$A757)),ISNUMBER(SEARCH("FRN",$A757))),1,0),0)</f>
        <v>0</v>
      </c>
      <c r="T757" s="43" t="str">
        <f aca="false">IF(AND(Q757=1,ISNUMBER(I757)),TEXT(I757,"yyyymmdd")&amp;"|"&amp;IF(S757=1,"F",TEXT(J757,"0.000")),"")</f>
        <v/>
      </c>
      <c r="U757" s="90" t="str">
        <f aca="false">IF(AND(Q757=1,ISNUMBER(I757)),(I757-설정!$C$4)/365.25,"")</f>
        <v/>
      </c>
      <c r="V757" s="43" t="str">
        <f aca="false">IF(Q757&lt;&gt;1,"",IF(ISNUMBER(U757),IF(U757&lt;=1,"1년 이하",IF(U757&lt;=2,"1-2년",IF(U757&lt;=3,"2-3년",IF(U757&lt;=4,"3-4년",IF(U757&lt;=5,"4-5년",IF(U757&lt;=7,"5-7년",IF(U757&lt;=10,"7-10년",IF(U757&lt;=20,"10-20년","20년 이상")))))))),"미분류"))</f>
        <v/>
      </c>
      <c r="W757" s="43" t="str">
        <f aca="false">IF(Q757&lt;&gt;1,"",IF(AB757&lt;&gt;"",INDEX(시장분석!$C:$C,AB757),IF(K757=1,"USD","비USD")))</f>
        <v/>
      </c>
      <c r="X757" s="91" t="n">
        <f aca="false">IF(Q757=1,E757*K757/1000000,0)</f>
        <v>0</v>
      </c>
      <c r="Y757" s="89" t="n">
        <f aca="false">IF(R757="T",1,0)</f>
        <v>0</v>
      </c>
      <c r="Z757" s="92" t="str">
        <f aca="false">IF(Q757&lt;&gt;1,"",IF(AD757=1,IF(ISNUMBER(U757),MAX(U757,0),H757),H757))</f>
        <v/>
      </c>
      <c r="AA757" s="91" t="n">
        <f aca="false">IF(Q757=1,IF(ISNUMBER(L757),L757,0)*K757/1000000,0)</f>
        <v>0</v>
      </c>
      <c r="AB757" s="89" t="str">
        <f aca="false">IF(Q757&lt;&gt;1,"",IFERROR(MATCH(VLOOKUP(B757,매핑!$H$4:$I$15,2,0),시장분석!$A$2:$A$601,0)+1,IFERROR(MATCH(R757&amp;"|"&amp;T757,시장분석!$V$2:$V$601,0)+1,IF(COUNTIF(시장분석!$U$2:$U$601,T757)=1,MATCH(T757,시장분석!$U$2:$U$601,0)+1,""))))</f>
        <v/>
      </c>
      <c r="AC757" s="89" t="n">
        <f aca="false">IF(Q757&lt;&gt;1,0,IF(OR(설정!$C$5="전체",AND(설정!$C$5="선택펀드",IFERROR(COUNTIFS(설정!$F$16:$F$36,C757,설정!$G$16:$G$36,"Y")+COUNTIFS(설정!$F$16:$F$36,VALUE(C757),설정!$G$16:$G$36,"Y"),0)&gt;0),C757&amp;""=설정!$C$5&amp;""),1,0))</f>
        <v>0</v>
      </c>
      <c r="AD757" s="89" t="n">
        <f aca="false">IF(Q757&lt;&gt;1,0,IF(OR(S757=1,IF(AB757="",FALSE(),INDEX(시장분석!$R:$R,AB757)=1)),1,0))</f>
        <v>0</v>
      </c>
      <c r="AE757" s="43" t="str">
        <f aca="false">IF(AB757="","",INDEX(시장분석!$A:$A,AB757))</f>
        <v/>
      </c>
      <c r="AF757" s="93" t="str">
        <f aca="false">IF(AB757="","",IF(ISNUMBER(IF(AB757="","",INDEX(시장분석!$E:$E,AB757))),IF(AB757="","",INDEX(시장분석!$E:$E,AB757)),""))</f>
        <v/>
      </c>
      <c r="AG757" s="43" t="str">
        <f aca="false">IF(Q757&lt;&gt;1,"",IF(AB757&lt;&gt;"",IF(AB757="","",INDEX(시장분석!$L:$L,AB757)),IFERROR(IF(VLOOKUP(R757,매핑!$A$4:$E$92,5,0)="","미분류",VLOOKUP(R757,매핑!$A$4:$E$92,5,0)),"미분류")))</f>
        <v/>
      </c>
      <c r="AH757" s="43" t="str">
        <f aca="false">IF(Q757&lt;&gt;1,"",IF(AB757&lt;&gt;"",IF(AB757="","",INDEX(시장분석!$N:$N,AB757)),IFERROR(IF(VLOOKUP(R757,매핑!$A$4:$E$92,4,0)="","미분류",VLOOKUP(R757,매핑!$A$4:$E$92,4,0)),"미분류")))</f>
        <v/>
      </c>
      <c r="AI757" s="43" t="str">
        <f aca="false">IF(Q757&lt;&gt;1,"",IFERROR(IF(VLOOKUP(R757,매핑!$A$4:$E$92,3,0)="","미분류",VLOOKUP(R757,매핑!$A$4:$E$92,3,0)),IF(AB757&lt;&gt;"",IF(AB757="","",INDEX(시장분석!$W:$W,AB757)),"미분류")))</f>
        <v/>
      </c>
      <c r="AJ757" s="43" t="str">
        <f aca="false">IF(Q757&lt;&gt;1,"",IFERROR(VLOOKUP(IF(N757&lt;&gt;"",N757,IF(P757&lt;&gt;"",P757,O757)),설정!$A$15:$D$47,2,0),""))</f>
        <v/>
      </c>
      <c r="AK757" s="43" t="str">
        <f aca="false">IF(Q757&lt;&gt;1,"",IF(AJ757="","무등급",IFERROR(VLOOKUP(AJ757,설정!$A$15:$D$47,3,0),"무등급")))</f>
        <v/>
      </c>
      <c r="AL757" s="89" t="n">
        <f aca="false">IF(AJ757="",99,IFERROR(VLOOKUP(AJ757,설정!$A$15:$D$47,4,0),99))</f>
        <v>99</v>
      </c>
      <c r="AM757" s="94" t="n">
        <f aca="false">IF(ISNUMBER(H757),AA757*1000000*H757/10000,0)</f>
        <v>0</v>
      </c>
      <c r="AN757" s="94" t="n">
        <f aca="false">IF(OR(Y757=1,NOT(ISNUMBER(Z757))),0,AA757*1000000*Z757/10000)</f>
        <v>0</v>
      </c>
      <c r="AO757" s="94" t="n">
        <f aca="false">IF(ISNUMBER(G757),AA757*1000000*G757/100,0)</f>
        <v>0</v>
      </c>
      <c r="AP757" s="94" t="n">
        <f aca="false">IF(ISNUMBER(M757),M757*K757,0)</f>
        <v>0</v>
      </c>
      <c r="AQ757" s="95" t="str">
        <f aca="false">IF(AB757="","",INDEX(시장분석!$AK:$AK,AB757))</f>
        <v/>
      </c>
      <c r="AR757" s="43" t="str">
        <f aca="false">IF(AB757="","-",IF(AB757="","",INDEX(시장분석!$AL:$AL,AB757)))</f>
        <v>-</v>
      </c>
      <c r="AS757" s="96" t="str">
        <f aca="false">IF(AB757="","",INDEX(시장분석!$AJ:$AJ,AB757))</f>
        <v/>
      </c>
      <c r="AT757" s="93" t="n">
        <f aca="false">IF(AB757="",0,IF(AB757="","",INDEX(시장분석!$AN:$AN,AB757)))</f>
        <v>0</v>
      </c>
      <c r="AU757" s="94" t="n">
        <f aca="false">IF(ISNUMBER(Z757),AT757/10000*MAX(Z757-1,0)*AA757*1000000,0)</f>
        <v>0</v>
      </c>
      <c r="AV757" s="94" t="n">
        <f aca="false">AO757+AU757</f>
        <v>0</v>
      </c>
      <c r="AW757" s="43" t="str">
        <f aca="false">IF(Q757&lt;&gt;1,"",TRIM(IF(AD757=1,"FRN ","")&amp;IF(AND(AL757&gt;=10,AL757&lt;99),"BBB0미만 ","")&amp;IF(AJ757="","등급없음 ","")&amp;IF(K757&lt;&gt;1,"비USD ","")&amp;IF(AND(AB757="",Y757=0),"시장데이터없음 ","")&amp;IF(AND(ISNUMBER(U757),U757&lt;0),"만기경과 ","")))</f>
        <v/>
      </c>
      <c r="AX757" s="90" t="n">
        <f aca="false">IF(Q757&lt;&gt;1,1,IF(스프레드쇼크!$C$4="Y",INDEX(스프레드쇼크!$B$12:$L$16,IFERROR(MATCH(AH757,스프레드쇼크!$A$12:$A$16,0),MATCH("목록외",스프레드쇼크!$A$12:$A$16,0)),IFERROR(MATCH(AG757,스프레드쇼크!$B$11:$L$11,0),MATCH("목록외",스프레드쇼크!$B$11:$L$11,0))),1))</f>
        <v>1</v>
      </c>
      <c r="AY757" s="90" t="n">
        <f aca="false">IF(스프레드쇼크!$C$5="Y",IF(ISNUMBER(AF757),MIN(스프레드쇼크!$C$7,MAX(스프레드쇼크!$C$6,AF757/스프레드쇼크!$C$8)),1),1)</f>
        <v>1</v>
      </c>
      <c r="AZ757" s="94" t="n">
        <f aca="false">AN757*AX757*AY757</f>
        <v>0</v>
      </c>
      <c r="BA757" s="90" t="n">
        <f aca="false">IF(ISNUMBER(G757),AA757*G757,0)</f>
        <v>0</v>
      </c>
      <c r="BB757" s="90" t="n">
        <f aca="false">IF(ISNUMBER(G757),AA757,0)</f>
        <v>0</v>
      </c>
      <c r="BC757" s="90" t="n">
        <f aca="false">IF(AND(Y757=0,ISNUMBER(AF757)),AA757*AF757,0)</f>
        <v>0</v>
      </c>
      <c r="BD757" s="90" t="n">
        <f aca="false">IF(AND(Y757=0,ISNUMBER(AF757)),AA757,0)</f>
        <v>0</v>
      </c>
      <c r="BE757" s="90" t="n">
        <f aca="false">IF(ISNUMBER(H757),AA757*H757,0)</f>
        <v>0</v>
      </c>
      <c r="BF757" s="90" t="n">
        <f aca="false">IF(ISNUMBER(H757),AA757,0)</f>
        <v>0</v>
      </c>
      <c r="BG757" s="90" t="n">
        <f aca="false">IF(AND(Y757=0,ISNUMBER(AF757),ISNUMBER(Z757)),AA757*Z757,0)</f>
        <v>0</v>
      </c>
      <c r="BH757" s="90" t="n">
        <f aca="false">IF(AND(Y757=0,ISNUMBER(AF757),ISNUMBER(Z757)),AA757*AT757*MAX(Z757-1,0),0)</f>
        <v>0</v>
      </c>
      <c r="BI757" s="90" t="n">
        <f aca="false">IF(Y757=0,AA757,0)</f>
        <v>0</v>
      </c>
    </row>
    <row r="758" customFormat="false" ht="15" hidden="false" customHeight="false" outlineLevel="0" collapsed="false">
      <c r="A758" s="83" t="str">
        <f aca="false">IFERROR(IF(INDEX(원자료_잔고!$A$1:$EZ$1500,설정!$L$5+ROW()-1,설정!$L$8)&amp;""="0","",INDEX(원자료_잔고!$A$1:$EZ$1500,설정!$L$5+ROW()-1,설정!$L$8)&amp;""),"")</f>
        <v/>
      </c>
      <c r="B758" s="83" t="str">
        <f aca="false">IFERROR(IF(INDEX(원자료_잔고!$A$1:$EZ$1500,설정!$L$5+ROW()-1,설정!$L$7)&amp;""="0","",INDEX(원자료_잔고!$A$1:$EZ$1500,설정!$L$5+ROW()-1,설정!$L$7)&amp;""),"")</f>
        <v/>
      </c>
      <c r="C758" s="83" t="str">
        <f aca="false">IFERROR(IF(INDEX(원자료_잔고!$A$1:$EZ$1500,설정!$L$5+ROW()-1,설정!$L$9)&amp;""="0","",INDEX(원자료_잔고!$A$1:$EZ$1500,설정!$L$5+ROW()-1,설정!$L$9)&amp;""),"")</f>
        <v/>
      </c>
      <c r="D758" s="83" t="str">
        <f aca="false">IFERROR(IF(INDEX(원자료_잔고!$A$1:$EZ$1500,설정!$L$5+ROW()-1,설정!$L$10)&amp;""="0","",INDEX(원자료_잔고!$A$1:$EZ$1500,설정!$L$5+ROW()-1,설정!$L$10)&amp;""),"")</f>
        <v/>
      </c>
      <c r="E758" s="84" t="str">
        <f aca="false">IFERROR(IF(ISNUMBER(INDEX(원자료_잔고!$A$1:$EZ$1500,설정!$L$5+ROW()-1,설정!$L$11)),INDEX(원자료_잔고!$A$1:$EZ$1500,설정!$L$5+ROW()-1,설정!$L$11),""),"")</f>
        <v/>
      </c>
      <c r="F758" s="85" t="str">
        <f aca="false">IFERROR(IF(ISNUMBER(INDEX(원자료_잔고!$A$1:$EZ$1500,설정!$L$5+ROW()-1,설정!$L$12)),INDEX(원자료_잔고!$A$1:$EZ$1500,설정!$L$5+ROW()-1,설정!$L$12),""),"")</f>
        <v/>
      </c>
      <c r="G758" s="85" t="str">
        <f aca="false">IFERROR(IF(ISNUMBER(INDEX(원자료_잔고!$A$1:$EZ$1500,설정!$L$5+ROW()-1,설정!$L$13)),INDEX(원자료_잔고!$A$1:$EZ$1500,설정!$L$5+ROW()-1,설정!$L$13),""),"")</f>
        <v/>
      </c>
      <c r="H758" s="85" t="str">
        <f aca="false">IFERROR(IF(ISNUMBER(INDEX(원자료_잔고!$A$1:$EZ$1500,설정!$L$5+ROW()-1,설정!$L$14)),INDEX(원자료_잔고!$A$1:$EZ$1500,설정!$L$5+ROW()-1,설정!$L$14),""),"")</f>
        <v/>
      </c>
      <c r="I758" s="86" t="str">
        <f aca="false">IFERROR(IF(ISNUMBER(INDEX(원자료_잔고!$A$1:$EZ$1500,설정!$L$5+ROW()-1,설정!$L$15)),INDEX(원자료_잔고!$A$1:$EZ$1500,설정!$L$5+ROW()-1,설정!$L$15),""),"")</f>
        <v/>
      </c>
      <c r="J758" s="85" t="str">
        <f aca="false">IFERROR(IF(ISNUMBER(INDEX(원자료_잔고!$A$1:$EZ$1500,설정!$L$5+ROW()-1,설정!$L$16)),INDEX(원자료_잔고!$A$1:$EZ$1500,설정!$L$5+ROW()-1,설정!$L$16),""),"")</f>
        <v/>
      </c>
      <c r="K758" s="87" t="str">
        <f aca="false">IFERROR(IF(ISNUMBER(INDEX(원자료_잔고!$A$1:$EZ$1500,설정!$L$5+ROW()-1,설정!$L$17)),INDEX(원자료_잔고!$A$1:$EZ$1500,설정!$L$5+ROW()-1,설정!$L$17),""),"")</f>
        <v/>
      </c>
      <c r="L758" s="84" t="str">
        <f aca="false">IFERROR(IF(ISNUMBER(INDEX(원자료_잔고!$A$1:$EZ$1500,설정!$L$5+ROW()-1,설정!$L$18)),INDEX(원자료_잔고!$A$1:$EZ$1500,설정!$L$5+ROW()-1,설정!$L$18),""),"")</f>
        <v/>
      </c>
      <c r="M758" s="88" t="str">
        <f aca="false">IFERROR(IF(ISNUMBER(INDEX(원자료_잔고!$A$1:$EZ$1500,설정!$L$5+ROW()-1,설정!$L$19)),INDEX(원자료_잔고!$A$1:$EZ$1500,설정!$L$5+ROW()-1,설정!$L$19),""),"")</f>
        <v/>
      </c>
      <c r="N758" s="83" t="str">
        <f aca="false">IFERROR(IF(INDEX(원자료_잔고!$A$1:$EZ$1500,설정!$L$5+ROW()-1,설정!$L$21)&amp;""="0","",INDEX(원자료_잔고!$A$1:$EZ$1500,설정!$L$5+ROW()-1,설정!$L$21)&amp;""),"")</f>
        <v/>
      </c>
      <c r="O758" s="83" t="str">
        <f aca="false">IFERROR(IF(INDEX(원자료_잔고!$A$1:$EZ$1500,설정!$L$5+ROW()-1,설정!$L$22)&amp;""="0","",INDEX(원자료_잔고!$A$1:$EZ$1500,설정!$L$5+ROW()-1,설정!$L$22)&amp;""),"")</f>
        <v/>
      </c>
      <c r="P758" s="83" t="str">
        <f aca="false">IFERROR(IF(INDEX(원자료_잔고!$A$1:$EZ$1500,설정!$L$5+ROW()-1,설정!$L$23)&amp;""="0","",INDEX(원자료_잔고!$A$1:$EZ$1500,설정!$L$5+ROW()-1,설정!$L$23)&amp;""),"")</f>
        <v/>
      </c>
      <c r="Q758" s="89" t="n">
        <f aca="false">IF(AND($A758&lt;&gt;"",ISNUMBER(E758)),IF(E758&gt;0,1,0),0)</f>
        <v>0</v>
      </c>
      <c r="R758" s="43" t="str">
        <f aca="false">IF(Q758=1,UPPER(LEFT($A758,FIND(" ",$A758&amp;" ")-1)),"")</f>
        <v/>
      </c>
      <c r="S758" s="89" t="n">
        <f aca="false">IF(Q758=1,IF(OR(ISNUMBER(SEARCH("Float",$A758)),ISNUMBER(SEARCH("FRN",$A758))),1,0),0)</f>
        <v>0</v>
      </c>
      <c r="T758" s="43" t="str">
        <f aca="false">IF(AND(Q758=1,ISNUMBER(I758)),TEXT(I758,"yyyymmdd")&amp;"|"&amp;IF(S758=1,"F",TEXT(J758,"0.000")),"")</f>
        <v/>
      </c>
      <c r="U758" s="90" t="str">
        <f aca="false">IF(AND(Q758=1,ISNUMBER(I758)),(I758-설정!$C$4)/365.25,"")</f>
        <v/>
      </c>
      <c r="V758" s="43" t="str">
        <f aca="false">IF(Q758&lt;&gt;1,"",IF(ISNUMBER(U758),IF(U758&lt;=1,"1년 이하",IF(U758&lt;=2,"1-2년",IF(U758&lt;=3,"2-3년",IF(U758&lt;=4,"3-4년",IF(U758&lt;=5,"4-5년",IF(U758&lt;=7,"5-7년",IF(U758&lt;=10,"7-10년",IF(U758&lt;=20,"10-20년","20년 이상")))))))),"미분류"))</f>
        <v/>
      </c>
      <c r="W758" s="43" t="str">
        <f aca="false">IF(Q758&lt;&gt;1,"",IF(AB758&lt;&gt;"",INDEX(시장분석!$C:$C,AB758),IF(K758=1,"USD","비USD")))</f>
        <v/>
      </c>
      <c r="X758" s="91" t="n">
        <f aca="false">IF(Q758=1,E758*K758/1000000,0)</f>
        <v>0</v>
      </c>
      <c r="Y758" s="89" t="n">
        <f aca="false">IF(R758="T",1,0)</f>
        <v>0</v>
      </c>
      <c r="Z758" s="92" t="str">
        <f aca="false">IF(Q758&lt;&gt;1,"",IF(AD758=1,IF(ISNUMBER(U758),MAX(U758,0),H758),H758))</f>
        <v/>
      </c>
      <c r="AA758" s="91" t="n">
        <f aca="false">IF(Q758=1,IF(ISNUMBER(L758),L758,0)*K758/1000000,0)</f>
        <v>0</v>
      </c>
      <c r="AB758" s="89" t="str">
        <f aca="false">IF(Q758&lt;&gt;1,"",IFERROR(MATCH(VLOOKUP(B758,매핑!$H$4:$I$15,2,0),시장분석!$A$2:$A$601,0)+1,IFERROR(MATCH(R758&amp;"|"&amp;T758,시장분석!$V$2:$V$601,0)+1,IF(COUNTIF(시장분석!$U$2:$U$601,T758)=1,MATCH(T758,시장분석!$U$2:$U$601,0)+1,""))))</f>
        <v/>
      </c>
      <c r="AC758" s="89" t="n">
        <f aca="false">IF(Q758&lt;&gt;1,0,IF(OR(설정!$C$5="전체",AND(설정!$C$5="선택펀드",IFERROR(COUNTIFS(설정!$F$16:$F$36,C758,설정!$G$16:$G$36,"Y")+COUNTIFS(설정!$F$16:$F$36,VALUE(C758),설정!$G$16:$G$36,"Y"),0)&gt;0),C758&amp;""=설정!$C$5&amp;""),1,0))</f>
        <v>0</v>
      </c>
      <c r="AD758" s="89" t="n">
        <f aca="false">IF(Q758&lt;&gt;1,0,IF(OR(S758=1,IF(AB758="",FALSE(),INDEX(시장분석!$R:$R,AB758)=1)),1,0))</f>
        <v>0</v>
      </c>
      <c r="AE758" s="43" t="str">
        <f aca="false">IF(AB758="","",INDEX(시장분석!$A:$A,AB758))</f>
        <v/>
      </c>
      <c r="AF758" s="93" t="str">
        <f aca="false">IF(AB758="","",IF(ISNUMBER(IF(AB758="","",INDEX(시장분석!$E:$E,AB758))),IF(AB758="","",INDEX(시장분석!$E:$E,AB758)),""))</f>
        <v/>
      </c>
      <c r="AG758" s="43" t="str">
        <f aca="false">IF(Q758&lt;&gt;1,"",IF(AB758&lt;&gt;"",IF(AB758="","",INDEX(시장분석!$L:$L,AB758)),IFERROR(IF(VLOOKUP(R758,매핑!$A$4:$E$92,5,0)="","미분류",VLOOKUP(R758,매핑!$A$4:$E$92,5,0)),"미분류")))</f>
        <v/>
      </c>
      <c r="AH758" s="43" t="str">
        <f aca="false">IF(Q758&lt;&gt;1,"",IF(AB758&lt;&gt;"",IF(AB758="","",INDEX(시장분석!$N:$N,AB758)),IFERROR(IF(VLOOKUP(R758,매핑!$A$4:$E$92,4,0)="","미분류",VLOOKUP(R758,매핑!$A$4:$E$92,4,0)),"미분류")))</f>
        <v/>
      </c>
      <c r="AI758" s="43" t="str">
        <f aca="false">IF(Q758&lt;&gt;1,"",IFERROR(IF(VLOOKUP(R758,매핑!$A$4:$E$92,3,0)="","미분류",VLOOKUP(R758,매핑!$A$4:$E$92,3,0)),IF(AB758&lt;&gt;"",IF(AB758="","",INDEX(시장분석!$W:$W,AB758)),"미분류")))</f>
        <v/>
      </c>
      <c r="AJ758" s="43" t="str">
        <f aca="false">IF(Q758&lt;&gt;1,"",IFERROR(VLOOKUP(IF(N758&lt;&gt;"",N758,IF(P758&lt;&gt;"",P758,O758)),설정!$A$15:$D$47,2,0),""))</f>
        <v/>
      </c>
      <c r="AK758" s="43" t="str">
        <f aca="false">IF(Q758&lt;&gt;1,"",IF(AJ758="","무등급",IFERROR(VLOOKUP(AJ758,설정!$A$15:$D$47,3,0),"무등급")))</f>
        <v/>
      </c>
      <c r="AL758" s="89" t="n">
        <f aca="false">IF(AJ758="",99,IFERROR(VLOOKUP(AJ758,설정!$A$15:$D$47,4,0),99))</f>
        <v>99</v>
      </c>
      <c r="AM758" s="94" t="n">
        <f aca="false">IF(ISNUMBER(H758),AA758*1000000*H758/10000,0)</f>
        <v>0</v>
      </c>
      <c r="AN758" s="94" t="n">
        <f aca="false">IF(OR(Y758=1,NOT(ISNUMBER(Z758))),0,AA758*1000000*Z758/10000)</f>
        <v>0</v>
      </c>
      <c r="AO758" s="94" t="n">
        <f aca="false">IF(ISNUMBER(G758),AA758*1000000*G758/100,0)</f>
        <v>0</v>
      </c>
      <c r="AP758" s="94" t="n">
        <f aca="false">IF(ISNUMBER(M758),M758*K758,0)</f>
        <v>0</v>
      </c>
      <c r="AQ758" s="95" t="str">
        <f aca="false">IF(AB758="","",INDEX(시장분석!$AK:$AK,AB758))</f>
        <v/>
      </c>
      <c r="AR758" s="43" t="str">
        <f aca="false">IF(AB758="","-",IF(AB758="","",INDEX(시장분석!$AL:$AL,AB758)))</f>
        <v>-</v>
      </c>
      <c r="AS758" s="96" t="str">
        <f aca="false">IF(AB758="","",INDEX(시장분석!$AJ:$AJ,AB758))</f>
        <v/>
      </c>
      <c r="AT758" s="93" t="n">
        <f aca="false">IF(AB758="",0,IF(AB758="","",INDEX(시장분석!$AN:$AN,AB758)))</f>
        <v>0</v>
      </c>
      <c r="AU758" s="94" t="n">
        <f aca="false">IF(ISNUMBER(Z758),AT758/10000*MAX(Z758-1,0)*AA758*1000000,0)</f>
        <v>0</v>
      </c>
      <c r="AV758" s="94" t="n">
        <f aca="false">AO758+AU758</f>
        <v>0</v>
      </c>
      <c r="AW758" s="43" t="str">
        <f aca="false">IF(Q758&lt;&gt;1,"",TRIM(IF(AD758=1,"FRN ","")&amp;IF(AND(AL758&gt;=10,AL758&lt;99),"BBB0미만 ","")&amp;IF(AJ758="","등급없음 ","")&amp;IF(K758&lt;&gt;1,"비USD ","")&amp;IF(AND(AB758="",Y758=0),"시장데이터없음 ","")&amp;IF(AND(ISNUMBER(U758),U758&lt;0),"만기경과 ","")))</f>
        <v/>
      </c>
      <c r="AX758" s="90" t="n">
        <f aca="false">IF(Q758&lt;&gt;1,1,IF(스프레드쇼크!$C$4="Y",INDEX(스프레드쇼크!$B$12:$L$16,IFERROR(MATCH(AH758,스프레드쇼크!$A$12:$A$16,0),MATCH("목록외",스프레드쇼크!$A$12:$A$16,0)),IFERROR(MATCH(AG758,스프레드쇼크!$B$11:$L$11,0),MATCH("목록외",스프레드쇼크!$B$11:$L$11,0))),1))</f>
        <v>1</v>
      </c>
      <c r="AY758" s="90" t="n">
        <f aca="false">IF(스프레드쇼크!$C$5="Y",IF(ISNUMBER(AF758),MIN(스프레드쇼크!$C$7,MAX(스프레드쇼크!$C$6,AF758/스프레드쇼크!$C$8)),1),1)</f>
        <v>1</v>
      </c>
      <c r="AZ758" s="94" t="n">
        <f aca="false">AN758*AX758*AY758</f>
        <v>0</v>
      </c>
      <c r="BA758" s="90" t="n">
        <f aca="false">IF(ISNUMBER(G758),AA758*G758,0)</f>
        <v>0</v>
      </c>
      <c r="BB758" s="90" t="n">
        <f aca="false">IF(ISNUMBER(G758),AA758,0)</f>
        <v>0</v>
      </c>
      <c r="BC758" s="90" t="n">
        <f aca="false">IF(AND(Y758=0,ISNUMBER(AF758)),AA758*AF758,0)</f>
        <v>0</v>
      </c>
      <c r="BD758" s="90" t="n">
        <f aca="false">IF(AND(Y758=0,ISNUMBER(AF758)),AA758,0)</f>
        <v>0</v>
      </c>
      <c r="BE758" s="90" t="n">
        <f aca="false">IF(ISNUMBER(H758),AA758*H758,0)</f>
        <v>0</v>
      </c>
      <c r="BF758" s="90" t="n">
        <f aca="false">IF(ISNUMBER(H758),AA758,0)</f>
        <v>0</v>
      </c>
      <c r="BG758" s="90" t="n">
        <f aca="false">IF(AND(Y758=0,ISNUMBER(AF758),ISNUMBER(Z758)),AA758*Z758,0)</f>
        <v>0</v>
      </c>
      <c r="BH758" s="90" t="n">
        <f aca="false">IF(AND(Y758=0,ISNUMBER(AF758),ISNUMBER(Z758)),AA758*AT758*MAX(Z758-1,0),0)</f>
        <v>0</v>
      </c>
      <c r="BI758" s="90" t="n">
        <f aca="false">IF(Y758=0,AA758,0)</f>
        <v>0</v>
      </c>
    </row>
    <row r="759" customFormat="false" ht="15" hidden="false" customHeight="false" outlineLevel="0" collapsed="false">
      <c r="A759" s="83" t="str">
        <f aca="false">IFERROR(IF(INDEX(원자료_잔고!$A$1:$EZ$1500,설정!$L$5+ROW()-1,설정!$L$8)&amp;""="0","",INDEX(원자료_잔고!$A$1:$EZ$1500,설정!$L$5+ROW()-1,설정!$L$8)&amp;""),"")</f>
        <v/>
      </c>
      <c r="B759" s="83" t="str">
        <f aca="false">IFERROR(IF(INDEX(원자료_잔고!$A$1:$EZ$1500,설정!$L$5+ROW()-1,설정!$L$7)&amp;""="0","",INDEX(원자료_잔고!$A$1:$EZ$1500,설정!$L$5+ROW()-1,설정!$L$7)&amp;""),"")</f>
        <v/>
      </c>
      <c r="C759" s="83" t="str">
        <f aca="false">IFERROR(IF(INDEX(원자료_잔고!$A$1:$EZ$1500,설정!$L$5+ROW()-1,설정!$L$9)&amp;""="0","",INDEX(원자료_잔고!$A$1:$EZ$1500,설정!$L$5+ROW()-1,설정!$L$9)&amp;""),"")</f>
        <v/>
      </c>
      <c r="D759" s="83" t="str">
        <f aca="false">IFERROR(IF(INDEX(원자료_잔고!$A$1:$EZ$1500,설정!$L$5+ROW()-1,설정!$L$10)&amp;""="0","",INDEX(원자료_잔고!$A$1:$EZ$1500,설정!$L$5+ROW()-1,설정!$L$10)&amp;""),"")</f>
        <v/>
      </c>
      <c r="E759" s="84" t="str">
        <f aca="false">IFERROR(IF(ISNUMBER(INDEX(원자료_잔고!$A$1:$EZ$1500,설정!$L$5+ROW()-1,설정!$L$11)),INDEX(원자료_잔고!$A$1:$EZ$1500,설정!$L$5+ROW()-1,설정!$L$11),""),"")</f>
        <v/>
      </c>
      <c r="F759" s="85" t="str">
        <f aca="false">IFERROR(IF(ISNUMBER(INDEX(원자료_잔고!$A$1:$EZ$1500,설정!$L$5+ROW()-1,설정!$L$12)),INDEX(원자료_잔고!$A$1:$EZ$1500,설정!$L$5+ROW()-1,설정!$L$12),""),"")</f>
        <v/>
      </c>
      <c r="G759" s="85" t="str">
        <f aca="false">IFERROR(IF(ISNUMBER(INDEX(원자료_잔고!$A$1:$EZ$1500,설정!$L$5+ROW()-1,설정!$L$13)),INDEX(원자료_잔고!$A$1:$EZ$1500,설정!$L$5+ROW()-1,설정!$L$13),""),"")</f>
        <v/>
      </c>
      <c r="H759" s="85" t="str">
        <f aca="false">IFERROR(IF(ISNUMBER(INDEX(원자료_잔고!$A$1:$EZ$1500,설정!$L$5+ROW()-1,설정!$L$14)),INDEX(원자료_잔고!$A$1:$EZ$1500,설정!$L$5+ROW()-1,설정!$L$14),""),"")</f>
        <v/>
      </c>
      <c r="I759" s="86" t="str">
        <f aca="false">IFERROR(IF(ISNUMBER(INDEX(원자료_잔고!$A$1:$EZ$1500,설정!$L$5+ROW()-1,설정!$L$15)),INDEX(원자료_잔고!$A$1:$EZ$1500,설정!$L$5+ROW()-1,설정!$L$15),""),"")</f>
        <v/>
      </c>
      <c r="J759" s="85" t="str">
        <f aca="false">IFERROR(IF(ISNUMBER(INDEX(원자료_잔고!$A$1:$EZ$1500,설정!$L$5+ROW()-1,설정!$L$16)),INDEX(원자료_잔고!$A$1:$EZ$1500,설정!$L$5+ROW()-1,설정!$L$16),""),"")</f>
        <v/>
      </c>
      <c r="K759" s="87" t="str">
        <f aca="false">IFERROR(IF(ISNUMBER(INDEX(원자료_잔고!$A$1:$EZ$1500,설정!$L$5+ROW()-1,설정!$L$17)),INDEX(원자료_잔고!$A$1:$EZ$1500,설정!$L$5+ROW()-1,설정!$L$17),""),"")</f>
        <v/>
      </c>
      <c r="L759" s="84" t="str">
        <f aca="false">IFERROR(IF(ISNUMBER(INDEX(원자료_잔고!$A$1:$EZ$1500,설정!$L$5+ROW()-1,설정!$L$18)),INDEX(원자료_잔고!$A$1:$EZ$1500,설정!$L$5+ROW()-1,설정!$L$18),""),"")</f>
        <v/>
      </c>
      <c r="M759" s="88" t="str">
        <f aca="false">IFERROR(IF(ISNUMBER(INDEX(원자료_잔고!$A$1:$EZ$1500,설정!$L$5+ROW()-1,설정!$L$19)),INDEX(원자료_잔고!$A$1:$EZ$1500,설정!$L$5+ROW()-1,설정!$L$19),""),"")</f>
        <v/>
      </c>
      <c r="N759" s="83" t="str">
        <f aca="false">IFERROR(IF(INDEX(원자료_잔고!$A$1:$EZ$1500,설정!$L$5+ROW()-1,설정!$L$21)&amp;""="0","",INDEX(원자료_잔고!$A$1:$EZ$1500,설정!$L$5+ROW()-1,설정!$L$21)&amp;""),"")</f>
        <v/>
      </c>
      <c r="O759" s="83" t="str">
        <f aca="false">IFERROR(IF(INDEX(원자료_잔고!$A$1:$EZ$1500,설정!$L$5+ROW()-1,설정!$L$22)&amp;""="0","",INDEX(원자료_잔고!$A$1:$EZ$1500,설정!$L$5+ROW()-1,설정!$L$22)&amp;""),"")</f>
        <v/>
      </c>
      <c r="P759" s="83" t="str">
        <f aca="false">IFERROR(IF(INDEX(원자료_잔고!$A$1:$EZ$1500,설정!$L$5+ROW()-1,설정!$L$23)&amp;""="0","",INDEX(원자료_잔고!$A$1:$EZ$1500,설정!$L$5+ROW()-1,설정!$L$23)&amp;""),"")</f>
        <v/>
      </c>
      <c r="Q759" s="89" t="n">
        <f aca="false">IF(AND($A759&lt;&gt;"",ISNUMBER(E759)),IF(E759&gt;0,1,0),0)</f>
        <v>0</v>
      </c>
      <c r="R759" s="43" t="str">
        <f aca="false">IF(Q759=1,UPPER(LEFT($A759,FIND(" ",$A759&amp;" ")-1)),"")</f>
        <v/>
      </c>
      <c r="S759" s="89" t="n">
        <f aca="false">IF(Q759=1,IF(OR(ISNUMBER(SEARCH("Float",$A759)),ISNUMBER(SEARCH("FRN",$A759))),1,0),0)</f>
        <v>0</v>
      </c>
      <c r="T759" s="43" t="str">
        <f aca="false">IF(AND(Q759=1,ISNUMBER(I759)),TEXT(I759,"yyyymmdd")&amp;"|"&amp;IF(S759=1,"F",TEXT(J759,"0.000")),"")</f>
        <v/>
      </c>
      <c r="U759" s="90" t="str">
        <f aca="false">IF(AND(Q759=1,ISNUMBER(I759)),(I759-설정!$C$4)/365.25,"")</f>
        <v/>
      </c>
      <c r="V759" s="43" t="str">
        <f aca="false">IF(Q759&lt;&gt;1,"",IF(ISNUMBER(U759),IF(U759&lt;=1,"1년 이하",IF(U759&lt;=2,"1-2년",IF(U759&lt;=3,"2-3년",IF(U759&lt;=4,"3-4년",IF(U759&lt;=5,"4-5년",IF(U759&lt;=7,"5-7년",IF(U759&lt;=10,"7-10년",IF(U759&lt;=20,"10-20년","20년 이상")))))))),"미분류"))</f>
        <v/>
      </c>
      <c r="W759" s="43" t="str">
        <f aca="false">IF(Q759&lt;&gt;1,"",IF(AB759&lt;&gt;"",INDEX(시장분석!$C:$C,AB759),IF(K759=1,"USD","비USD")))</f>
        <v/>
      </c>
      <c r="X759" s="91" t="n">
        <f aca="false">IF(Q759=1,E759*K759/1000000,0)</f>
        <v>0</v>
      </c>
      <c r="Y759" s="89" t="n">
        <f aca="false">IF(R759="T",1,0)</f>
        <v>0</v>
      </c>
      <c r="Z759" s="92" t="str">
        <f aca="false">IF(Q759&lt;&gt;1,"",IF(AD759=1,IF(ISNUMBER(U759),MAX(U759,0),H759),H759))</f>
        <v/>
      </c>
      <c r="AA759" s="91" t="n">
        <f aca="false">IF(Q759=1,IF(ISNUMBER(L759),L759,0)*K759/1000000,0)</f>
        <v>0</v>
      </c>
      <c r="AB759" s="89" t="str">
        <f aca="false">IF(Q759&lt;&gt;1,"",IFERROR(MATCH(VLOOKUP(B759,매핑!$H$4:$I$15,2,0),시장분석!$A$2:$A$601,0)+1,IFERROR(MATCH(R759&amp;"|"&amp;T759,시장분석!$V$2:$V$601,0)+1,IF(COUNTIF(시장분석!$U$2:$U$601,T759)=1,MATCH(T759,시장분석!$U$2:$U$601,0)+1,""))))</f>
        <v/>
      </c>
      <c r="AC759" s="89" t="n">
        <f aca="false">IF(Q759&lt;&gt;1,0,IF(OR(설정!$C$5="전체",AND(설정!$C$5="선택펀드",IFERROR(COUNTIFS(설정!$F$16:$F$36,C759,설정!$G$16:$G$36,"Y")+COUNTIFS(설정!$F$16:$F$36,VALUE(C759),설정!$G$16:$G$36,"Y"),0)&gt;0),C759&amp;""=설정!$C$5&amp;""),1,0))</f>
        <v>0</v>
      </c>
      <c r="AD759" s="89" t="n">
        <f aca="false">IF(Q759&lt;&gt;1,0,IF(OR(S759=1,IF(AB759="",FALSE(),INDEX(시장분석!$R:$R,AB759)=1)),1,0))</f>
        <v>0</v>
      </c>
      <c r="AE759" s="43" t="str">
        <f aca="false">IF(AB759="","",INDEX(시장분석!$A:$A,AB759))</f>
        <v/>
      </c>
      <c r="AF759" s="93" t="str">
        <f aca="false">IF(AB759="","",IF(ISNUMBER(IF(AB759="","",INDEX(시장분석!$E:$E,AB759))),IF(AB759="","",INDEX(시장분석!$E:$E,AB759)),""))</f>
        <v/>
      </c>
      <c r="AG759" s="43" t="str">
        <f aca="false">IF(Q759&lt;&gt;1,"",IF(AB759&lt;&gt;"",IF(AB759="","",INDEX(시장분석!$L:$L,AB759)),IFERROR(IF(VLOOKUP(R759,매핑!$A$4:$E$92,5,0)="","미분류",VLOOKUP(R759,매핑!$A$4:$E$92,5,0)),"미분류")))</f>
        <v/>
      </c>
      <c r="AH759" s="43" t="str">
        <f aca="false">IF(Q759&lt;&gt;1,"",IF(AB759&lt;&gt;"",IF(AB759="","",INDEX(시장분석!$N:$N,AB759)),IFERROR(IF(VLOOKUP(R759,매핑!$A$4:$E$92,4,0)="","미분류",VLOOKUP(R759,매핑!$A$4:$E$92,4,0)),"미분류")))</f>
        <v/>
      </c>
      <c r="AI759" s="43" t="str">
        <f aca="false">IF(Q759&lt;&gt;1,"",IFERROR(IF(VLOOKUP(R759,매핑!$A$4:$E$92,3,0)="","미분류",VLOOKUP(R759,매핑!$A$4:$E$92,3,0)),IF(AB759&lt;&gt;"",IF(AB759="","",INDEX(시장분석!$W:$W,AB759)),"미분류")))</f>
        <v/>
      </c>
      <c r="AJ759" s="43" t="str">
        <f aca="false">IF(Q759&lt;&gt;1,"",IFERROR(VLOOKUP(IF(N759&lt;&gt;"",N759,IF(P759&lt;&gt;"",P759,O759)),설정!$A$15:$D$47,2,0),""))</f>
        <v/>
      </c>
      <c r="AK759" s="43" t="str">
        <f aca="false">IF(Q759&lt;&gt;1,"",IF(AJ759="","무등급",IFERROR(VLOOKUP(AJ759,설정!$A$15:$D$47,3,0),"무등급")))</f>
        <v/>
      </c>
      <c r="AL759" s="89" t="n">
        <f aca="false">IF(AJ759="",99,IFERROR(VLOOKUP(AJ759,설정!$A$15:$D$47,4,0),99))</f>
        <v>99</v>
      </c>
      <c r="AM759" s="94" t="n">
        <f aca="false">IF(ISNUMBER(H759),AA759*1000000*H759/10000,0)</f>
        <v>0</v>
      </c>
      <c r="AN759" s="94" t="n">
        <f aca="false">IF(OR(Y759=1,NOT(ISNUMBER(Z759))),0,AA759*1000000*Z759/10000)</f>
        <v>0</v>
      </c>
      <c r="AO759" s="94" t="n">
        <f aca="false">IF(ISNUMBER(G759),AA759*1000000*G759/100,0)</f>
        <v>0</v>
      </c>
      <c r="AP759" s="94" t="n">
        <f aca="false">IF(ISNUMBER(M759),M759*K759,0)</f>
        <v>0</v>
      </c>
      <c r="AQ759" s="95" t="str">
        <f aca="false">IF(AB759="","",INDEX(시장분석!$AK:$AK,AB759))</f>
        <v/>
      </c>
      <c r="AR759" s="43" t="str">
        <f aca="false">IF(AB759="","-",IF(AB759="","",INDEX(시장분석!$AL:$AL,AB759)))</f>
        <v>-</v>
      </c>
      <c r="AS759" s="96" t="str">
        <f aca="false">IF(AB759="","",INDEX(시장분석!$AJ:$AJ,AB759))</f>
        <v/>
      </c>
      <c r="AT759" s="93" t="n">
        <f aca="false">IF(AB759="",0,IF(AB759="","",INDEX(시장분석!$AN:$AN,AB759)))</f>
        <v>0</v>
      </c>
      <c r="AU759" s="94" t="n">
        <f aca="false">IF(ISNUMBER(Z759),AT759/10000*MAX(Z759-1,0)*AA759*1000000,0)</f>
        <v>0</v>
      </c>
      <c r="AV759" s="94" t="n">
        <f aca="false">AO759+AU759</f>
        <v>0</v>
      </c>
      <c r="AW759" s="43" t="str">
        <f aca="false">IF(Q759&lt;&gt;1,"",TRIM(IF(AD759=1,"FRN ","")&amp;IF(AND(AL759&gt;=10,AL759&lt;99),"BBB0미만 ","")&amp;IF(AJ759="","등급없음 ","")&amp;IF(K759&lt;&gt;1,"비USD ","")&amp;IF(AND(AB759="",Y759=0),"시장데이터없음 ","")&amp;IF(AND(ISNUMBER(U759),U759&lt;0),"만기경과 ","")))</f>
        <v/>
      </c>
      <c r="AX759" s="90" t="n">
        <f aca="false">IF(Q759&lt;&gt;1,1,IF(스프레드쇼크!$C$4="Y",INDEX(스프레드쇼크!$B$12:$L$16,IFERROR(MATCH(AH759,스프레드쇼크!$A$12:$A$16,0),MATCH("목록외",스프레드쇼크!$A$12:$A$16,0)),IFERROR(MATCH(AG759,스프레드쇼크!$B$11:$L$11,0),MATCH("목록외",스프레드쇼크!$B$11:$L$11,0))),1))</f>
        <v>1</v>
      </c>
      <c r="AY759" s="90" t="n">
        <f aca="false">IF(스프레드쇼크!$C$5="Y",IF(ISNUMBER(AF759),MIN(스프레드쇼크!$C$7,MAX(스프레드쇼크!$C$6,AF759/스프레드쇼크!$C$8)),1),1)</f>
        <v>1</v>
      </c>
      <c r="AZ759" s="94" t="n">
        <f aca="false">AN759*AX759*AY759</f>
        <v>0</v>
      </c>
      <c r="BA759" s="90" t="n">
        <f aca="false">IF(ISNUMBER(G759),AA759*G759,0)</f>
        <v>0</v>
      </c>
      <c r="BB759" s="90" t="n">
        <f aca="false">IF(ISNUMBER(G759),AA759,0)</f>
        <v>0</v>
      </c>
      <c r="BC759" s="90" t="n">
        <f aca="false">IF(AND(Y759=0,ISNUMBER(AF759)),AA759*AF759,0)</f>
        <v>0</v>
      </c>
      <c r="BD759" s="90" t="n">
        <f aca="false">IF(AND(Y759=0,ISNUMBER(AF759)),AA759,0)</f>
        <v>0</v>
      </c>
      <c r="BE759" s="90" t="n">
        <f aca="false">IF(ISNUMBER(H759),AA759*H759,0)</f>
        <v>0</v>
      </c>
      <c r="BF759" s="90" t="n">
        <f aca="false">IF(ISNUMBER(H759),AA759,0)</f>
        <v>0</v>
      </c>
      <c r="BG759" s="90" t="n">
        <f aca="false">IF(AND(Y759=0,ISNUMBER(AF759),ISNUMBER(Z759)),AA759*Z759,0)</f>
        <v>0</v>
      </c>
      <c r="BH759" s="90" t="n">
        <f aca="false">IF(AND(Y759=0,ISNUMBER(AF759),ISNUMBER(Z759)),AA759*AT759*MAX(Z759-1,0),0)</f>
        <v>0</v>
      </c>
      <c r="BI759" s="90" t="n">
        <f aca="false">IF(Y759=0,AA759,0)</f>
        <v>0</v>
      </c>
    </row>
    <row r="760" customFormat="false" ht="15" hidden="false" customHeight="false" outlineLevel="0" collapsed="false">
      <c r="A760" s="83" t="str">
        <f aca="false">IFERROR(IF(INDEX(원자료_잔고!$A$1:$EZ$1500,설정!$L$5+ROW()-1,설정!$L$8)&amp;""="0","",INDEX(원자료_잔고!$A$1:$EZ$1500,설정!$L$5+ROW()-1,설정!$L$8)&amp;""),"")</f>
        <v/>
      </c>
      <c r="B760" s="83" t="str">
        <f aca="false">IFERROR(IF(INDEX(원자료_잔고!$A$1:$EZ$1500,설정!$L$5+ROW()-1,설정!$L$7)&amp;""="0","",INDEX(원자료_잔고!$A$1:$EZ$1500,설정!$L$5+ROW()-1,설정!$L$7)&amp;""),"")</f>
        <v/>
      </c>
      <c r="C760" s="83" t="str">
        <f aca="false">IFERROR(IF(INDEX(원자료_잔고!$A$1:$EZ$1500,설정!$L$5+ROW()-1,설정!$L$9)&amp;""="0","",INDEX(원자료_잔고!$A$1:$EZ$1500,설정!$L$5+ROW()-1,설정!$L$9)&amp;""),"")</f>
        <v/>
      </c>
      <c r="D760" s="83" t="str">
        <f aca="false">IFERROR(IF(INDEX(원자료_잔고!$A$1:$EZ$1500,설정!$L$5+ROW()-1,설정!$L$10)&amp;""="0","",INDEX(원자료_잔고!$A$1:$EZ$1500,설정!$L$5+ROW()-1,설정!$L$10)&amp;""),"")</f>
        <v/>
      </c>
      <c r="E760" s="84" t="str">
        <f aca="false">IFERROR(IF(ISNUMBER(INDEX(원자료_잔고!$A$1:$EZ$1500,설정!$L$5+ROW()-1,설정!$L$11)),INDEX(원자료_잔고!$A$1:$EZ$1500,설정!$L$5+ROW()-1,설정!$L$11),""),"")</f>
        <v/>
      </c>
      <c r="F760" s="85" t="str">
        <f aca="false">IFERROR(IF(ISNUMBER(INDEX(원자료_잔고!$A$1:$EZ$1500,설정!$L$5+ROW()-1,설정!$L$12)),INDEX(원자료_잔고!$A$1:$EZ$1500,설정!$L$5+ROW()-1,설정!$L$12),""),"")</f>
        <v/>
      </c>
      <c r="G760" s="85" t="str">
        <f aca="false">IFERROR(IF(ISNUMBER(INDEX(원자료_잔고!$A$1:$EZ$1500,설정!$L$5+ROW()-1,설정!$L$13)),INDEX(원자료_잔고!$A$1:$EZ$1500,설정!$L$5+ROW()-1,설정!$L$13),""),"")</f>
        <v/>
      </c>
      <c r="H760" s="85" t="str">
        <f aca="false">IFERROR(IF(ISNUMBER(INDEX(원자료_잔고!$A$1:$EZ$1500,설정!$L$5+ROW()-1,설정!$L$14)),INDEX(원자료_잔고!$A$1:$EZ$1500,설정!$L$5+ROW()-1,설정!$L$14),""),"")</f>
        <v/>
      </c>
      <c r="I760" s="86" t="str">
        <f aca="false">IFERROR(IF(ISNUMBER(INDEX(원자료_잔고!$A$1:$EZ$1500,설정!$L$5+ROW()-1,설정!$L$15)),INDEX(원자료_잔고!$A$1:$EZ$1500,설정!$L$5+ROW()-1,설정!$L$15),""),"")</f>
        <v/>
      </c>
      <c r="J760" s="85" t="str">
        <f aca="false">IFERROR(IF(ISNUMBER(INDEX(원자료_잔고!$A$1:$EZ$1500,설정!$L$5+ROW()-1,설정!$L$16)),INDEX(원자료_잔고!$A$1:$EZ$1500,설정!$L$5+ROW()-1,설정!$L$16),""),"")</f>
        <v/>
      </c>
      <c r="K760" s="87" t="str">
        <f aca="false">IFERROR(IF(ISNUMBER(INDEX(원자료_잔고!$A$1:$EZ$1500,설정!$L$5+ROW()-1,설정!$L$17)),INDEX(원자료_잔고!$A$1:$EZ$1500,설정!$L$5+ROW()-1,설정!$L$17),""),"")</f>
        <v/>
      </c>
      <c r="L760" s="84" t="str">
        <f aca="false">IFERROR(IF(ISNUMBER(INDEX(원자료_잔고!$A$1:$EZ$1500,설정!$L$5+ROW()-1,설정!$L$18)),INDEX(원자료_잔고!$A$1:$EZ$1500,설정!$L$5+ROW()-1,설정!$L$18),""),"")</f>
        <v/>
      </c>
      <c r="M760" s="88" t="str">
        <f aca="false">IFERROR(IF(ISNUMBER(INDEX(원자료_잔고!$A$1:$EZ$1500,설정!$L$5+ROW()-1,설정!$L$19)),INDEX(원자료_잔고!$A$1:$EZ$1500,설정!$L$5+ROW()-1,설정!$L$19),""),"")</f>
        <v/>
      </c>
      <c r="N760" s="83" t="str">
        <f aca="false">IFERROR(IF(INDEX(원자료_잔고!$A$1:$EZ$1500,설정!$L$5+ROW()-1,설정!$L$21)&amp;""="0","",INDEX(원자료_잔고!$A$1:$EZ$1500,설정!$L$5+ROW()-1,설정!$L$21)&amp;""),"")</f>
        <v/>
      </c>
      <c r="O760" s="83" t="str">
        <f aca="false">IFERROR(IF(INDEX(원자료_잔고!$A$1:$EZ$1500,설정!$L$5+ROW()-1,설정!$L$22)&amp;""="0","",INDEX(원자료_잔고!$A$1:$EZ$1500,설정!$L$5+ROW()-1,설정!$L$22)&amp;""),"")</f>
        <v/>
      </c>
      <c r="P760" s="83" t="str">
        <f aca="false">IFERROR(IF(INDEX(원자료_잔고!$A$1:$EZ$1500,설정!$L$5+ROW()-1,설정!$L$23)&amp;""="0","",INDEX(원자료_잔고!$A$1:$EZ$1500,설정!$L$5+ROW()-1,설정!$L$23)&amp;""),"")</f>
        <v/>
      </c>
      <c r="Q760" s="89" t="n">
        <f aca="false">IF(AND($A760&lt;&gt;"",ISNUMBER(E760)),IF(E760&gt;0,1,0),0)</f>
        <v>0</v>
      </c>
      <c r="R760" s="43" t="str">
        <f aca="false">IF(Q760=1,UPPER(LEFT($A760,FIND(" ",$A760&amp;" ")-1)),"")</f>
        <v/>
      </c>
      <c r="S760" s="89" t="n">
        <f aca="false">IF(Q760=1,IF(OR(ISNUMBER(SEARCH("Float",$A760)),ISNUMBER(SEARCH("FRN",$A760))),1,0),0)</f>
        <v>0</v>
      </c>
      <c r="T760" s="43" t="str">
        <f aca="false">IF(AND(Q760=1,ISNUMBER(I760)),TEXT(I760,"yyyymmdd")&amp;"|"&amp;IF(S760=1,"F",TEXT(J760,"0.000")),"")</f>
        <v/>
      </c>
      <c r="U760" s="90" t="str">
        <f aca="false">IF(AND(Q760=1,ISNUMBER(I760)),(I760-설정!$C$4)/365.25,"")</f>
        <v/>
      </c>
      <c r="V760" s="43" t="str">
        <f aca="false">IF(Q760&lt;&gt;1,"",IF(ISNUMBER(U760),IF(U760&lt;=1,"1년 이하",IF(U760&lt;=2,"1-2년",IF(U760&lt;=3,"2-3년",IF(U760&lt;=4,"3-4년",IF(U760&lt;=5,"4-5년",IF(U760&lt;=7,"5-7년",IF(U760&lt;=10,"7-10년",IF(U760&lt;=20,"10-20년","20년 이상")))))))),"미분류"))</f>
        <v/>
      </c>
      <c r="W760" s="43" t="str">
        <f aca="false">IF(Q760&lt;&gt;1,"",IF(AB760&lt;&gt;"",INDEX(시장분석!$C:$C,AB760),IF(K760=1,"USD","비USD")))</f>
        <v/>
      </c>
      <c r="X760" s="91" t="n">
        <f aca="false">IF(Q760=1,E760*K760/1000000,0)</f>
        <v>0</v>
      </c>
      <c r="Y760" s="89" t="n">
        <f aca="false">IF(R760="T",1,0)</f>
        <v>0</v>
      </c>
      <c r="Z760" s="92" t="str">
        <f aca="false">IF(Q760&lt;&gt;1,"",IF(AD760=1,IF(ISNUMBER(U760),MAX(U760,0),H760),H760))</f>
        <v/>
      </c>
      <c r="AA760" s="91" t="n">
        <f aca="false">IF(Q760=1,IF(ISNUMBER(L760),L760,0)*K760/1000000,0)</f>
        <v>0</v>
      </c>
      <c r="AB760" s="89" t="str">
        <f aca="false">IF(Q760&lt;&gt;1,"",IFERROR(MATCH(VLOOKUP(B760,매핑!$H$4:$I$15,2,0),시장분석!$A$2:$A$601,0)+1,IFERROR(MATCH(R760&amp;"|"&amp;T760,시장분석!$V$2:$V$601,0)+1,IF(COUNTIF(시장분석!$U$2:$U$601,T760)=1,MATCH(T760,시장분석!$U$2:$U$601,0)+1,""))))</f>
        <v/>
      </c>
      <c r="AC760" s="89" t="n">
        <f aca="false">IF(Q760&lt;&gt;1,0,IF(OR(설정!$C$5="전체",AND(설정!$C$5="선택펀드",IFERROR(COUNTIFS(설정!$F$16:$F$36,C760,설정!$G$16:$G$36,"Y")+COUNTIFS(설정!$F$16:$F$36,VALUE(C760),설정!$G$16:$G$36,"Y"),0)&gt;0),C760&amp;""=설정!$C$5&amp;""),1,0))</f>
        <v>0</v>
      </c>
      <c r="AD760" s="89" t="n">
        <f aca="false">IF(Q760&lt;&gt;1,0,IF(OR(S760=1,IF(AB760="",FALSE(),INDEX(시장분석!$R:$R,AB760)=1)),1,0))</f>
        <v>0</v>
      </c>
      <c r="AE760" s="43" t="str">
        <f aca="false">IF(AB760="","",INDEX(시장분석!$A:$A,AB760))</f>
        <v/>
      </c>
      <c r="AF760" s="93" t="str">
        <f aca="false">IF(AB760="","",IF(ISNUMBER(IF(AB760="","",INDEX(시장분석!$E:$E,AB760))),IF(AB760="","",INDEX(시장분석!$E:$E,AB760)),""))</f>
        <v/>
      </c>
      <c r="AG760" s="43" t="str">
        <f aca="false">IF(Q760&lt;&gt;1,"",IF(AB760&lt;&gt;"",IF(AB760="","",INDEX(시장분석!$L:$L,AB760)),IFERROR(IF(VLOOKUP(R760,매핑!$A$4:$E$92,5,0)="","미분류",VLOOKUP(R760,매핑!$A$4:$E$92,5,0)),"미분류")))</f>
        <v/>
      </c>
      <c r="AH760" s="43" t="str">
        <f aca="false">IF(Q760&lt;&gt;1,"",IF(AB760&lt;&gt;"",IF(AB760="","",INDEX(시장분석!$N:$N,AB760)),IFERROR(IF(VLOOKUP(R760,매핑!$A$4:$E$92,4,0)="","미분류",VLOOKUP(R760,매핑!$A$4:$E$92,4,0)),"미분류")))</f>
        <v/>
      </c>
      <c r="AI760" s="43" t="str">
        <f aca="false">IF(Q760&lt;&gt;1,"",IFERROR(IF(VLOOKUP(R760,매핑!$A$4:$E$92,3,0)="","미분류",VLOOKUP(R760,매핑!$A$4:$E$92,3,0)),IF(AB760&lt;&gt;"",IF(AB760="","",INDEX(시장분석!$W:$W,AB760)),"미분류")))</f>
        <v/>
      </c>
      <c r="AJ760" s="43" t="str">
        <f aca="false">IF(Q760&lt;&gt;1,"",IFERROR(VLOOKUP(IF(N760&lt;&gt;"",N760,IF(P760&lt;&gt;"",P760,O760)),설정!$A$15:$D$47,2,0),""))</f>
        <v/>
      </c>
      <c r="AK760" s="43" t="str">
        <f aca="false">IF(Q760&lt;&gt;1,"",IF(AJ760="","무등급",IFERROR(VLOOKUP(AJ760,설정!$A$15:$D$47,3,0),"무등급")))</f>
        <v/>
      </c>
      <c r="AL760" s="89" t="n">
        <f aca="false">IF(AJ760="",99,IFERROR(VLOOKUP(AJ760,설정!$A$15:$D$47,4,0),99))</f>
        <v>99</v>
      </c>
      <c r="AM760" s="94" t="n">
        <f aca="false">IF(ISNUMBER(H760),AA760*1000000*H760/10000,0)</f>
        <v>0</v>
      </c>
      <c r="AN760" s="94" t="n">
        <f aca="false">IF(OR(Y760=1,NOT(ISNUMBER(Z760))),0,AA760*1000000*Z760/10000)</f>
        <v>0</v>
      </c>
      <c r="AO760" s="94" t="n">
        <f aca="false">IF(ISNUMBER(G760),AA760*1000000*G760/100,0)</f>
        <v>0</v>
      </c>
      <c r="AP760" s="94" t="n">
        <f aca="false">IF(ISNUMBER(M760),M760*K760,0)</f>
        <v>0</v>
      </c>
      <c r="AQ760" s="95" t="str">
        <f aca="false">IF(AB760="","",INDEX(시장분석!$AK:$AK,AB760))</f>
        <v/>
      </c>
      <c r="AR760" s="43" t="str">
        <f aca="false">IF(AB760="","-",IF(AB760="","",INDEX(시장분석!$AL:$AL,AB760)))</f>
        <v>-</v>
      </c>
      <c r="AS760" s="96" t="str">
        <f aca="false">IF(AB760="","",INDEX(시장분석!$AJ:$AJ,AB760))</f>
        <v/>
      </c>
      <c r="AT760" s="93" t="n">
        <f aca="false">IF(AB760="",0,IF(AB760="","",INDEX(시장분석!$AN:$AN,AB760)))</f>
        <v>0</v>
      </c>
      <c r="AU760" s="94" t="n">
        <f aca="false">IF(ISNUMBER(Z760),AT760/10000*MAX(Z760-1,0)*AA760*1000000,0)</f>
        <v>0</v>
      </c>
      <c r="AV760" s="94" t="n">
        <f aca="false">AO760+AU760</f>
        <v>0</v>
      </c>
      <c r="AW760" s="43" t="str">
        <f aca="false">IF(Q760&lt;&gt;1,"",TRIM(IF(AD760=1,"FRN ","")&amp;IF(AND(AL760&gt;=10,AL760&lt;99),"BBB0미만 ","")&amp;IF(AJ760="","등급없음 ","")&amp;IF(K760&lt;&gt;1,"비USD ","")&amp;IF(AND(AB760="",Y760=0),"시장데이터없음 ","")&amp;IF(AND(ISNUMBER(U760),U760&lt;0),"만기경과 ","")))</f>
        <v/>
      </c>
      <c r="AX760" s="90" t="n">
        <f aca="false">IF(Q760&lt;&gt;1,1,IF(스프레드쇼크!$C$4="Y",INDEX(스프레드쇼크!$B$12:$L$16,IFERROR(MATCH(AH760,스프레드쇼크!$A$12:$A$16,0),MATCH("목록외",스프레드쇼크!$A$12:$A$16,0)),IFERROR(MATCH(AG760,스프레드쇼크!$B$11:$L$11,0),MATCH("목록외",스프레드쇼크!$B$11:$L$11,0))),1))</f>
        <v>1</v>
      </c>
      <c r="AY760" s="90" t="n">
        <f aca="false">IF(스프레드쇼크!$C$5="Y",IF(ISNUMBER(AF760),MIN(스프레드쇼크!$C$7,MAX(스프레드쇼크!$C$6,AF760/스프레드쇼크!$C$8)),1),1)</f>
        <v>1</v>
      </c>
      <c r="AZ760" s="94" t="n">
        <f aca="false">AN760*AX760*AY760</f>
        <v>0</v>
      </c>
      <c r="BA760" s="90" t="n">
        <f aca="false">IF(ISNUMBER(G760),AA760*G760,0)</f>
        <v>0</v>
      </c>
      <c r="BB760" s="90" t="n">
        <f aca="false">IF(ISNUMBER(G760),AA760,0)</f>
        <v>0</v>
      </c>
      <c r="BC760" s="90" t="n">
        <f aca="false">IF(AND(Y760=0,ISNUMBER(AF760)),AA760*AF760,0)</f>
        <v>0</v>
      </c>
      <c r="BD760" s="90" t="n">
        <f aca="false">IF(AND(Y760=0,ISNUMBER(AF760)),AA760,0)</f>
        <v>0</v>
      </c>
      <c r="BE760" s="90" t="n">
        <f aca="false">IF(ISNUMBER(H760),AA760*H760,0)</f>
        <v>0</v>
      </c>
      <c r="BF760" s="90" t="n">
        <f aca="false">IF(ISNUMBER(H760),AA760,0)</f>
        <v>0</v>
      </c>
      <c r="BG760" s="90" t="n">
        <f aca="false">IF(AND(Y760=0,ISNUMBER(AF760),ISNUMBER(Z760)),AA760*Z760,0)</f>
        <v>0</v>
      </c>
      <c r="BH760" s="90" t="n">
        <f aca="false">IF(AND(Y760=0,ISNUMBER(AF760),ISNUMBER(Z760)),AA760*AT760*MAX(Z760-1,0),0)</f>
        <v>0</v>
      </c>
      <c r="BI760" s="90" t="n">
        <f aca="false">IF(Y760=0,AA760,0)</f>
        <v>0</v>
      </c>
    </row>
    <row r="761" customFormat="false" ht="15" hidden="false" customHeight="false" outlineLevel="0" collapsed="false">
      <c r="A761" s="83" t="str">
        <f aca="false">IFERROR(IF(INDEX(원자료_잔고!$A$1:$EZ$1500,설정!$L$5+ROW()-1,설정!$L$8)&amp;""="0","",INDEX(원자료_잔고!$A$1:$EZ$1500,설정!$L$5+ROW()-1,설정!$L$8)&amp;""),"")</f>
        <v/>
      </c>
      <c r="B761" s="83" t="str">
        <f aca="false">IFERROR(IF(INDEX(원자료_잔고!$A$1:$EZ$1500,설정!$L$5+ROW()-1,설정!$L$7)&amp;""="0","",INDEX(원자료_잔고!$A$1:$EZ$1500,설정!$L$5+ROW()-1,설정!$L$7)&amp;""),"")</f>
        <v/>
      </c>
      <c r="C761" s="83" t="str">
        <f aca="false">IFERROR(IF(INDEX(원자료_잔고!$A$1:$EZ$1500,설정!$L$5+ROW()-1,설정!$L$9)&amp;""="0","",INDEX(원자료_잔고!$A$1:$EZ$1500,설정!$L$5+ROW()-1,설정!$L$9)&amp;""),"")</f>
        <v/>
      </c>
      <c r="D761" s="83" t="str">
        <f aca="false">IFERROR(IF(INDEX(원자료_잔고!$A$1:$EZ$1500,설정!$L$5+ROW()-1,설정!$L$10)&amp;""="0","",INDEX(원자료_잔고!$A$1:$EZ$1500,설정!$L$5+ROW()-1,설정!$L$10)&amp;""),"")</f>
        <v/>
      </c>
      <c r="E761" s="84" t="str">
        <f aca="false">IFERROR(IF(ISNUMBER(INDEX(원자료_잔고!$A$1:$EZ$1500,설정!$L$5+ROW()-1,설정!$L$11)),INDEX(원자료_잔고!$A$1:$EZ$1500,설정!$L$5+ROW()-1,설정!$L$11),""),"")</f>
        <v/>
      </c>
      <c r="F761" s="85" t="str">
        <f aca="false">IFERROR(IF(ISNUMBER(INDEX(원자료_잔고!$A$1:$EZ$1500,설정!$L$5+ROW()-1,설정!$L$12)),INDEX(원자료_잔고!$A$1:$EZ$1500,설정!$L$5+ROW()-1,설정!$L$12),""),"")</f>
        <v/>
      </c>
      <c r="G761" s="85" t="str">
        <f aca="false">IFERROR(IF(ISNUMBER(INDEX(원자료_잔고!$A$1:$EZ$1500,설정!$L$5+ROW()-1,설정!$L$13)),INDEX(원자료_잔고!$A$1:$EZ$1500,설정!$L$5+ROW()-1,설정!$L$13),""),"")</f>
        <v/>
      </c>
      <c r="H761" s="85" t="str">
        <f aca="false">IFERROR(IF(ISNUMBER(INDEX(원자료_잔고!$A$1:$EZ$1500,설정!$L$5+ROW()-1,설정!$L$14)),INDEX(원자료_잔고!$A$1:$EZ$1500,설정!$L$5+ROW()-1,설정!$L$14),""),"")</f>
        <v/>
      </c>
      <c r="I761" s="86" t="str">
        <f aca="false">IFERROR(IF(ISNUMBER(INDEX(원자료_잔고!$A$1:$EZ$1500,설정!$L$5+ROW()-1,설정!$L$15)),INDEX(원자료_잔고!$A$1:$EZ$1500,설정!$L$5+ROW()-1,설정!$L$15),""),"")</f>
        <v/>
      </c>
      <c r="J761" s="85" t="str">
        <f aca="false">IFERROR(IF(ISNUMBER(INDEX(원자료_잔고!$A$1:$EZ$1500,설정!$L$5+ROW()-1,설정!$L$16)),INDEX(원자료_잔고!$A$1:$EZ$1500,설정!$L$5+ROW()-1,설정!$L$16),""),"")</f>
        <v/>
      </c>
      <c r="K761" s="87" t="str">
        <f aca="false">IFERROR(IF(ISNUMBER(INDEX(원자료_잔고!$A$1:$EZ$1500,설정!$L$5+ROW()-1,설정!$L$17)),INDEX(원자료_잔고!$A$1:$EZ$1500,설정!$L$5+ROW()-1,설정!$L$17),""),"")</f>
        <v/>
      </c>
      <c r="L761" s="84" t="str">
        <f aca="false">IFERROR(IF(ISNUMBER(INDEX(원자료_잔고!$A$1:$EZ$1500,설정!$L$5+ROW()-1,설정!$L$18)),INDEX(원자료_잔고!$A$1:$EZ$1500,설정!$L$5+ROW()-1,설정!$L$18),""),"")</f>
        <v/>
      </c>
      <c r="M761" s="88" t="str">
        <f aca="false">IFERROR(IF(ISNUMBER(INDEX(원자료_잔고!$A$1:$EZ$1500,설정!$L$5+ROW()-1,설정!$L$19)),INDEX(원자료_잔고!$A$1:$EZ$1500,설정!$L$5+ROW()-1,설정!$L$19),""),"")</f>
        <v/>
      </c>
      <c r="N761" s="83" t="str">
        <f aca="false">IFERROR(IF(INDEX(원자료_잔고!$A$1:$EZ$1500,설정!$L$5+ROW()-1,설정!$L$21)&amp;""="0","",INDEX(원자료_잔고!$A$1:$EZ$1500,설정!$L$5+ROW()-1,설정!$L$21)&amp;""),"")</f>
        <v/>
      </c>
      <c r="O761" s="83" t="str">
        <f aca="false">IFERROR(IF(INDEX(원자료_잔고!$A$1:$EZ$1500,설정!$L$5+ROW()-1,설정!$L$22)&amp;""="0","",INDEX(원자료_잔고!$A$1:$EZ$1500,설정!$L$5+ROW()-1,설정!$L$22)&amp;""),"")</f>
        <v/>
      </c>
      <c r="P761" s="83" t="str">
        <f aca="false">IFERROR(IF(INDEX(원자료_잔고!$A$1:$EZ$1500,설정!$L$5+ROW()-1,설정!$L$23)&amp;""="0","",INDEX(원자료_잔고!$A$1:$EZ$1500,설정!$L$5+ROW()-1,설정!$L$23)&amp;""),"")</f>
        <v/>
      </c>
      <c r="Q761" s="89" t="n">
        <f aca="false">IF(AND($A761&lt;&gt;"",ISNUMBER(E761)),IF(E761&gt;0,1,0),0)</f>
        <v>0</v>
      </c>
      <c r="R761" s="43" t="str">
        <f aca="false">IF(Q761=1,UPPER(LEFT($A761,FIND(" ",$A761&amp;" ")-1)),"")</f>
        <v/>
      </c>
      <c r="S761" s="89" t="n">
        <f aca="false">IF(Q761=1,IF(OR(ISNUMBER(SEARCH("Float",$A761)),ISNUMBER(SEARCH("FRN",$A761))),1,0),0)</f>
        <v>0</v>
      </c>
      <c r="T761" s="43" t="str">
        <f aca="false">IF(AND(Q761=1,ISNUMBER(I761)),TEXT(I761,"yyyymmdd")&amp;"|"&amp;IF(S761=1,"F",TEXT(J761,"0.000")),"")</f>
        <v/>
      </c>
      <c r="U761" s="90" t="str">
        <f aca="false">IF(AND(Q761=1,ISNUMBER(I761)),(I761-설정!$C$4)/365.25,"")</f>
        <v/>
      </c>
      <c r="V761" s="43" t="str">
        <f aca="false">IF(Q761&lt;&gt;1,"",IF(ISNUMBER(U761),IF(U761&lt;=1,"1년 이하",IF(U761&lt;=2,"1-2년",IF(U761&lt;=3,"2-3년",IF(U761&lt;=4,"3-4년",IF(U761&lt;=5,"4-5년",IF(U761&lt;=7,"5-7년",IF(U761&lt;=10,"7-10년",IF(U761&lt;=20,"10-20년","20년 이상")))))))),"미분류"))</f>
        <v/>
      </c>
      <c r="W761" s="43" t="str">
        <f aca="false">IF(Q761&lt;&gt;1,"",IF(AB761&lt;&gt;"",INDEX(시장분석!$C:$C,AB761),IF(K761=1,"USD","비USD")))</f>
        <v/>
      </c>
      <c r="X761" s="91" t="n">
        <f aca="false">IF(Q761=1,E761*K761/1000000,0)</f>
        <v>0</v>
      </c>
      <c r="Y761" s="89" t="n">
        <f aca="false">IF(R761="T",1,0)</f>
        <v>0</v>
      </c>
      <c r="Z761" s="92" t="str">
        <f aca="false">IF(Q761&lt;&gt;1,"",IF(AD761=1,IF(ISNUMBER(U761),MAX(U761,0),H761),H761))</f>
        <v/>
      </c>
      <c r="AA761" s="91" t="n">
        <f aca="false">IF(Q761=1,IF(ISNUMBER(L761),L761,0)*K761/1000000,0)</f>
        <v>0</v>
      </c>
      <c r="AB761" s="89" t="str">
        <f aca="false">IF(Q761&lt;&gt;1,"",IFERROR(MATCH(VLOOKUP(B761,매핑!$H$4:$I$15,2,0),시장분석!$A$2:$A$601,0)+1,IFERROR(MATCH(R761&amp;"|"&amp;T761,시장분석!$V$2:$V$601,0)+1,IF(COUNTIF(시장분석!$U$2:$U$601,T761)=1,MATCH(T761,시장분석!$U$2:$U$601,0)+1,""))))</f>
        <v/>
      </c>
      <c r="AC761" s="89" t="n">
        <f aca="false">IF(Q761&lt;&gt;1,0,IF(OR(설정!$C$5="전체",AND(설정!$C$5="선택펀드",IFERROR(COUNTIFS(설정!$F$16:$F$36,C761,설정!$G$16:$G$36,"Y")+COUNTIFS(설정!$F$16:$F$36,VALUE(C761),설정!$G$16:$G$36,"Y"),0)&gt;0),C761&amp;""=설정!$C$5&amp;""),1,0))</f>
        <v>0</v>
      </c>
      <c r="AD761" s="89" t="n">
        <f aca="false">IF(Q761&lt;&gt;1,0,IF(OR(S761=1,IF(AB761="",FALSE(),INDEX(시장분석!$R:$R,AB761)=1)),1,0))</f>
        <v>0</v>
      </c>
      <c r="AE761" s="43" t="str">
        <f aca="false">IF(AB761="","",INDEX(시장분석!$A:$A,AB761))</f>
        <v/>
      </c>
      <c r="AF761" s="93" t="str">
        <f aca="false">IF(AB761="","",IF(ISNUMBER(IF(AB761="","",INDEX(시장분석!$E:$E,AB761))),IF(AB761="","",INDEX(시장분석!$E:$E,AB761)),""))</f>
        <v/>
      </c>
      <c r="AG761" s="43" t="str">
        <f aca="false">IF(Q761&lt;&gt;1,"",IF(AB761&lt;&gt;"",IF(AB761="","",INDEX(시장분석!$L:$L,AB761)),IFERROR(IF(VLOOKUP(R761,매핑!$A$4:$E$92,5,0)="","미분류",VLOOKUP(R761,매핑!$A$4:$E$92,5,0)),"미분류")))</f>
        <v/>
      </c>
      <c r="AH761" s="43" t="str">
        <f aca="false">IF(Q761&lt;&gt;1,"",IF(AB761&lt;&gt;"",IF(AB761="","",INDEX(시장분석!$N:$N,AB761)),IFERROR(IF(VLOOKUP(R761,매핑!$A$4:$E$92,4,0)="","미분류",VLOOKUP(R761,매핑!$A$4:$E$92,4,0)),"미분류")))</f>
        <v/>
      </c>
      <c r="AI761" s="43" t="str">
        <f aca="false">IF(Q761&lt;&gt;1,"",IFERROR(IF(VLOOKUP(R761,매핑!$A$4:$E$92,3,0)="","미분류",VLOOKUP(R761,매핑!$A$4:$E$92,3,0)),IF(AB761&lt;&gt;"",IF(AB761="","",INDEX(시장분석!$W:$W,AB761)),"미분류")))</f>
        <v/>
      </c>
      <c r="AJ761" s="43" t="str">
        <f aca="false">IF(Q761&lt;&gt;1,"",IFERROR(VLOOKUP(IF(N761&lt;&gt;"",N761,IF(P761&lt;&gt;"",P761,O761)),설정!$A$15:$D$47,2,0),""))</f>
        <v/>
      </c>
      <c r="AK761" s="43" t="str">
        <f aca="false">IF(Q761&lt;&gt;1,"",IF(AJ761="","무등급",IFERROR(VLOOKUP(AJ761,설정!$A$15:$D$47,3,0),"무등급")))</f>
        <v/>
      </c>
      <c r="AL761" s="89" t="n">
        <f aca="false">IF(AJ761="",99,IFERROR(VLOOKUP(AJ761,설정!$A$15:$D$47,4,0),99))</f>
        <v>99</v>
      </c>
      <c r="AM761" s="94" t="n">
        <f aca="false">IF(ISNUMBER(H761),AA761*1000000*H761/10000,0)</f>
        <v>0</v>
      </c>
      <c r="AN761" s="94" t="n">
        <f aca="false">IF(OR(Y761=1,NOT(ISNUMBER(Z761))),0,AA761*1000000*Z761/10000)</f>
        <v>0</v>
      </c>
      <c r="AO761" s="94" t="n">
        <f aca="false">IF(ISNUMBER(G761),AA761*1000000*G761/100,0)</f>
        <v>0</v>
      </c>
      <c r="AP761" s="94" t="n">
        <f aca="false">IF(ISNUMBER(M761),M761*K761,0)</f>
        <v>0</v>
      </c>
      <c r="AQ761" s="95" t="str">
        <f aca="false">IF(AB761="","",INDEX(시장분석!$AK:$AK,AB761))</f>
        <v/>
      </c>
      <c r="AR761" s="43" t="str">
        <f aca="false">IF(AB761="","-",IF(AB761="","",INDEX(시장분석!$AL:$AL,AB761)))</f>
        <v>-</v>
      </c>
      <c r="AS761" s="96" t="str">
        <f aca="false">IF(AB761="","",INDEX(시장분석!$AJ:$AJ,AB761))</f>
        <v/>
      </c>
      <c r="AT761" s="93" t="n">
        <f aca="false">IF(AB761="",0,IF(AB761="","",INDEX(시장분석!$AN:$AN,AB761)))</f>
        <v>0</v>
      </c>
      <c r="AU761" s="94" t="n">
        <f aca="false">IF(ISNUMBER(Z761),AT761/10000*MAX(Z761-1,0)*AA761*1000000,0)</f>
        <v>0</v>
      </c>
      <c r="AV761" s="94" t="n">
        <f aca="false">AO761+AU761</f>
        <v>0</v>
      </c>
      <c r="AW761" s="43" t="str">
        <f aca="false">IF(Q761&lt;&gt;1,"",TRIM(IF(AD761=1,"FRN ","")&amp;IF(AND(AL761&gt;=10,AL761&lt;99),"BBB0미만 ","")&amp;IF(AJ761="","등급없음 ","")&amp;IF(K761&lt;&gt;1,"비USD ","")&amp;IF(AND(AB761="",Y761=0),"시장데이터없음 ","")&amp;IF(AND(ISNUMBER(U761),U761&lt;0),"만기경과 ","")))</f>
        <v/>
      </c>
      <c r="AX761" s="90" t="n">
        <f aca="false">IF(Q761&lt;&gt;1,1,IF(스프레드쇼크!$C$4="Y",INDEX(스프레드쇼크!$B$12:$L$16,IFERROR(MATCH(AH761,스프레드쇼크!$A$12:$A$16,0),MATCH("목록외",스프레드쇼크!$A$12:$A$16,0)),IFERROR(MATCH(AG761,스프레드쇼크!$B$11:$L$11,0),MATCH("목록외",스프레드쇼크!$B$11:$L$11,0))),1))</f>
        <v>1</v>
      </c>
      <c r="AY761" s="90" t="n">
        <f aca="false">IF(스프레드쇼크!$C$5="Y",IF(ISNUMBER(AF761),MIN(스프레드쇼크!$C$7,MAX(스프레드쇼크!$C$6,AF761/스프레드쇼크!$C$8)),1),1)</f>
        <v>1</v>
      </c>
      <c r="AZ761" s="94" t="n">
        <f aca="false">AN761*AX761*AY761</f>
        <v>0</v>
      </c>
      <c r="BA761" s="90" t="n">
        <f aca="false">IF(ISNUMBER(G761),AA761*G761,0)</f>
        <v>0</v>
      </c>
      <c r="BB761" s="90" t="n">
        <f aca="false">IF(ISNUMBER(G761),AA761,0)</f>
        <v>0</v>
      </c>
      <c r="BC761" s="90" t="n">
        <f aca="false">IF(AND(Y761=0,ISNUMBER(AF761)),AA761*AF761,0)</f>
        <v>0</v>
      </c>
      <c r="BD761" s="90" t="n">
        <f aca="false">IF(AND(Y761=0,ISNUMBER(AF761)),AA761,0)</f>
        <v>0</v>
      </c>
      <c r="BE761" s="90" t="n">
        <f aca="false">IF(ISNUMBER(H761),AA761*H761,0)</f>
        <v>0</v>
      </c>
      <c r="BF761" s="90" t="n">
        <f aca="false">IF(ISNUMBER(H761),AA761,0)</f>
        <v>0</v>
      </c>
      <c r="BG761" s="90" t="n">
        <f aca="false">IF(AND(Y761=0,ISNUMBER(AF761),ISNUMBER(Z761)),AA761*Z761,0)</f>
        <v>0</v>
      </c>
      <c r="BH761" s="90" t="n">
        <f aca="false">IF(AND(Y761=0,ISNUMBER(AF761),ISNUMBER(Z761)),AA761*AT761*MAX(Z761-1,0),0)</f>
        <v>0</v>
      </c>
      <c r="BI761" s="90" t="n">
        <f aca="false">IF(Y761=0,AA761,0)</f>
        <v>0</v>
      </c>
    </row>
    <row r="762" customFormat="false" ht="15" hidden="false" customHeight="false" outlineLevel="0" collapsed="false">
      <c r="A762" s="83" t="str">
        <f aca="false">IFERROR(IF(INDEX(원자료_잔고!$A$1:$EZ$1500,설정!$L$5+ROW()-1,설정!$L$8)&amp;""="0","",INDEX(원자료_잔고!$A$1:$EZ$1500,설정!$L$5+ROW()-1,설정!$L$8)&amp;""),"")</f>
        <v/>
      </c>
      <c r="B762" s="83" t="str">
        <f aca="false">IFERROR(IF(INDEX(원자료_잔고!$A$1:$EZ$1500,설정!$L$5+ROW()-1,설정!$L$7)&amp;""="0","",INDEX(원자료_잔고!$A$1:$EZ$1500,설정!$L$5+ROW()-1,설정!$L$7)&amp;""),"")</f>
        <v/>
      </c>
      <c r="C762" s="83" t="str">
        <f aca="false">IFERROR(IF(INDEX(원자료_잔고!$A$1:$EZ$1500,설정!$L$5+ROW()-1,설정!$L$9)&amp;""="0","",INDEX(원자료_잔고!$A$1:$EZ$1500,설정!$L$5+ROW()-1,설정!$L$9)&amp;""),"")</f>
        <v/>
      </c>
      <c r="D762" s="83" t="str">
        <f aca="false">IFERROR(IF(INDEX(원자료_잔고!$A$1:$EZ$1500,설정!$L$5+ROW()-1,설정!$L$10)&amp;""="0","",INDEX(원자료_잔고!$A$1:$EZ$1500,설정!$L$5+ROW()-1,설정!$L$10)&amp;""),"")</f>
        <v/>
      </c>
      <c r="E762" s="84" t="str">
        <f aca="false">IFERROR(IF(ISNUMBER(INDEX(원자료_잔고!$A$1:$EZ$1500,설정!$L$5+ROW()-1,설정!$L$11)),INDEX(원자료_잔고!$A$1:$EZ$1500,설정!$L$5+ROW()-1,설정!$L$11),""),"")</f>
        <v/>
      </c>
      <c r="F762" s="85" t="str">
        <f aca="false">IFERROR(IF(ISNUMBER(INDEX(원자료_잔고!$A$1:$EZ$1500,설정!$L$5+ROW()-1,설정!$L$12)),INDEX(원자료_잔고!$A$1:$EZ$1500,설정!$L$5+ROW()-1,설정!$L$12),""),"")</f>
        <v/>
      </c>
      <c r="G762" s="85" t="str">
        <f aca="false">IFERROR(IF(ISNUMBER(INDEX(원자료_잔고!$A$1:$EZ$1500,설정!$L$5+ROW()-1,설정!$L$13)),INDEX(원자료_잔고!$A$1:$EZ$1500,설정!$L$5+ROW()-1,설정!$L$13),""),"")</f>
        <v/>
      </c>
      <c r="H762" s="85" t="str">
        <f aca="false">IFERROR(IF(ISNUMBER(INDEX(원자료_잔고!$A$1:$EZ$1500,설정!$L$5+ROW()-1,설정!$L$14)),INDEX(원자료_잔고!$A$1:$EZ$1500,설정!$L$5+ROW()-1,설정!$L$14),""),"")</f>
        <v/>
      </c>
      <c r="I762" s="86" t="str">
        <f aca="false">IFERROR(IF(ISNUMBER(INDEX(원자료_잔고!$A$1:$EZ$1500,설정!$L$5+ROW()-1,설정!$L$15)),INDEX(원자료_잔고!$A$1:$EZ$1500,설정!$L$5+ROW()-1,설정!$L$15),""),"")</f>
        <v/>
      </c>
      <c r="J762" s="85" t="str">
        <f aca="false">IFERROR(IF(ISNUMBER(INDEX(원자료_잔고!$A$1:$EZ$1500,설정!$L$5+ROW()-1,설정!$L$16)),INDEX(원자료_잔고!$A$1:$EZ$1500,설정!$L$5+ROW()-1,설정!$L$16),""),"")</f>
        <v/>
      </c>
      <c r="K762" s="87" t="str">
        <f aca="false">IFERROR(IF(ISNUMBER(INDEX(원자료_잔고!$A$1:$EZ$1500,설정!$L$5+ROW()-1,설정!$L$17)),INDEX(원자료_잔고!$A$1:$EZ$1500,설정!$L$5+ROW()-1,설정!$L$17),""),"")</f>
        <v/>
      </c>
      <c r="L762" s="84" t="str">
        <f aca="false">IFERROR(IF(ISNUMBER(INDEX(원자료_잔고!$A$1:$EZ$1500,설정!$L$5+ROW()-1,설정!$L$18)),INDEX(원자료_잔고!$A$1:$EZ$1500,설정!$L$5+ROW()-1,설정!$L$18),""),"")</f>
        <v/>
      </c>
      <c r="M762" s="88" t="str">
        <f aca="false">IFERROR(IF(ISNUMBER(INDEX(원자료_잔고!$A$1:$EZ$1500,설정!$L$5+ROW()-1,설정!$L$19)),INDEX(원자료_잔고!$A$1:$EZ$1500,설정!$L$5+ROW()-1,설정!$L$19),""),"")</f>
        <v/>
      </c>
      <c r="N762" s="83" t="str">
        <f aca="false">IFERROR(IF(INDEX(원자료_잔고!$A$1:$EZ$1500,설정!$L$5+ROW()-1,설정!$L$21)&amp;""="0","",INDEX(원자료_잔고!$A$1:$EZ$1500,설정!$L$5+ROW()-1,설정!$L$21)&amp;""),"")</f>
        <v/>
      </c>
      <c r="O762" s="83" t="str">
        <f aca="false">IFERROR(IF(INDEX(원자료_잔고!$A$1:$EZ$1500,설정!$L$5+ROW()-1,설정!$L$22)&amp;""="0","",INDEX(원자료_잔고!$A$1:$EZ$1500,설정!$L$5+ROW()-1,설정!$L$22)&amp;""),"")</f>
        <v/>
      </c>
      <c r="P762" s="83" t="str">
        <f aca="false">IFERROR(IF(INDEX(원자료_잔고!$A$1:$EZ$1500,설정!$L$5+ROW()-1,설정!$L$23)&amp;""="0","",INDEX(원자료_잔고!$A$1:$EZ$1500,설정!$L$5+ROW()-1,설정!$L$23)&amp;""),"")</f>
        <v/>
      </c>
      <c r="Q762" s="89" t="n">
        <f aca="false">IF(AND($A762&lt;&gt;"",ISNUMBER(E762)),IF(E762&gt;0,1,0),0)</f>
        <v>0</v>
      </c>
      <c r="R762" s="43" t="str">
        <f aca="false">IF(Q762=1,UPPER(LEFT($A762,FIND(" ",$A762&amp;" ")-1)),"")</f>
        <v/>
      </c>
      <c r="S762" s="89" t="n">
        <f aca="false">IF(Q762=1,IF(OR(ISNUMBER(SEARCH("Float",$A762)),ISNUMBER(SEARCH("FRN",$A762))),1,0),0)</f>
        <v>0</v>
      </c>
      <c r="T762" s="43" t="str">
        <f aca="false">IF(AND(Q762=1,ISNUMBER(I762)),TEXT(I762,"yyyymmdd")&amp;"|"&amp;IF(S762=1,"F",TEXT(J762,"0.000")),"")</f>
        <v/>
      </c>
      <c r="U762" s="90" t="str">
        <f aca="false">IF(AND(Q762=1,ISNUMBER(I762)),(I762-설정!$C$4)/365.25,"")</f>
        <v/>
      </c>
      <c r="V762" s="43" t="str">
        <f aca="false">IF(Q762&lt;&gt;1,"",IF(ISNUMBER(U762),IF(U762&lt;=1,"1년 이하",IF(U762&lt;=2,"1-2년",IF(U762&lt;=3,"2-3년",IF(U762&lt;=4,"3-4년",IF(U762&lt;=5,"4-5년",IF(U762&lt;=7,"5-7년",IF(U762&lt;=10,"7-10년",IF(U762&lt;=20,"10-20년","20년 이상")))))))),"미분류"))</f>
        <v/>
      </c>
      <c r="W762" s="43" t="str">
        <f aca="false">IF(Q762&lt;&gt;1,"",IF(AB762&lt;&gt;"",INDEX(시장분석!$C:$C,AB762),IF(K762=1,"USD","비USD")))</f>
        <v/>
      </c>
      <c r="X762" s="91" t="n">
        <f aca="false">IF(Q762=1,E762*K762/1000000,0)</f>
        <v>0</v>
      </c>
      <c r="Y762" s="89" t="n">
        <f aca="false">IF(R762="T",1,0)</f>
        <v>0</v>
      </c>
      <c r="Z762" s="92" t="str">
        <f aca="false">IF(Q762&lt;&gt;1,"",IF(AD762=1,IF(ISNUMBER(U762),MAX(U762,0),H762),H762))</f>
        <v/>
      </c>
      <c r="AA762" s="91" t="n">
        <f aca="false">IF(Q762=1,IF(ISNUMBER(L762),L762,0)*K762/1000000,0)</f>
        <v>0</v>
      </c>
      <c r="AB762" s="89" t="str">
        <f aca="false">IF(Q762&lt;&gt;1,"",IFERROR(MATCH(VLOOKUP(B762,매핑!$H$4:$I$15,2,0),시장분석!$A$2:$A$601,0)+1,IFERROR(MATCH(R762&amp;"|"&amp;T762,시장분석!$V$2:$V$601,0)+1,IF(COUNTIF(시장분석!$U$2:$U$601,T762)=1,MATCH(T762,시장분석!$U$2:$U$601,0)+1,""))))</f>
        <v/>
      </c>
      <c r="AC762" s="89" t="n">
        <f aca="false">IF(Q762&lt;&gt;1,0,IF(OR(설정!$C$5="전체",AND(설정!$C$5="선택펀드",IFERROR(COUNTIFS(설정!$F$16:$F$36,C762,설정!$G$16:$G$36,"Y")+COUNTIFS(설정!$F$16:$F$36,VALUE(C762),설정!$G$16:$G$36,"Y"),0)&gt;0),C762&amp;""=설정!$C$5&amp;""),1,0))</f>
        <v>0</v>
      </c>
      <c r="AD762" s="89" t="n">
        <f aca="false">IF(Q762&lt;&gt;1,0,IF(OR(S762=1,IF(AB762="",FALSE(),INDEX(시장분석!$R:$R,AB762)=1)),1,0))</f>
        <v>0</v>
      </c>
      <c r="AE762" s="43" t="str">
        <f aca="false">IF(AB762="","",INDEX(시장분석!$A:$A,AB762))</f>
        <v/>
      </c>
      <c r="AF762" s="93" t="str">
        <f aca="false">IF(AB762="","",IF(ISNUMBER(IF(AB762="","",INDEX(시장분석!$E:$E,AB762))),IF(AB762="","",INDEX(시장분석!$E:$E,AB762)),""))</f>
        <v/>
      </c>
      <c r="AG762" s="43" t="str">
        <f aca="false">IF(Q762&lt;&gt;1,"",IF(AB762&lt;&gt;"",IF(AB762="","",INDEX(시장분석!$L:$L,AB762)),IFERROR(IF(VLOOKUP(R762,매핑!$A$4:$E$92,5,0)="","미분류",VLOOKUP(R762,매핑!$A$4:$E$92,5,0)),"미분류")))</f>
        <v/>
      </c>
      <c r="AH762" s="43" t="str">
        <f aca="false">IF(Q762&lt;&gt;1,"",IF(AB762&lt;&gt;"",IF(AB762="","",INDEX(시장분석!$N:$N,AB762)),IFERROR(IF(VLOOKUP(R762,매핑!$A$4:$E$92,4,0)="","미분류",VLOOKUP(R762,매핑!$A$4:$E$92,4,0)),"미분류")))</f>
        <v/>
      </c>
      <c r="AI762" s="43" t="str">
        <f aca="false">IF(Q762&lt;&gt;1,"",IFERROR(IF(VLOOKUP(R762,매핑!$A$4:$E$92,3,0)="","미분류",VLOOKUP(R762,매핑!$A$4:$E$92,3,0)),IF(AB762&lt;&gt;"",IF(AB762="","",INDEX(시장분석!$W:$W,AB762)),"미분류")))</f>
        <v/>
      </c>
      <c r="AJ762" s="43" t="str">
        <f aca="false">IF(Q762&lt;&gt;1,"",IFERROR(VLOOKUP(IF(N762&lt;&gt;"",N762,IF(P762&lt;&gt;"",P762,O762)),설정!$A$15:$D$47,2,0),""))</f>
        <v/>
      </c>
      <c r="AK762" s="43" t="str">
        <f aca="false">IF(Q762&lt;&gt;1,"",IF(AJ762="","무등급",IFERROR(VLOOKUP(AJ762,설정!$A$15:$D$47,3,0),"무등급")))</f>
        <v/>
      </c>
      <c r="AL762" s="89" t="n">
        <f aca="false">IF(AJ762="",99,IFERROR(VLOOKUP(AJ762,설정!$A$15:$D$47,4,0),99))</f>
        <v>99</v>
      </c>
      <c r="AM762" s="94" t="n">
        <f aca="false">IF(ISNUMBER(H762),AA762*1000000*H762/10000,0)</f>
        <v>0</v>
      </c>
      <c r="AN762" s="94" t="n">
        <f aca="false">IF(OR(Y762=1,NOT(ISNUMBER(Z762))),0,AA762*1000000*Z762/10000)</f>
        <v>0</v>
      </c>
      <c r="AO762" s="94" t="n">
        <f aca="false">IF(ISNUMBER(G762),AA762*1000000*G762/100,0)</f>
        <v>0</v>
      </c>
      <c r="AP762" s="94" t="n">
        <f aca="false">IF(ISNUMBER(M762),M762*K762,0)</f>
        <v>0</v>
      </c>
      <c r="AQ762" s="95" t="str">
        <f aca="false">IF(AB762="","",INDEX(시장분석!$AK:$AK,AB762))</f>
        <v/>
      </c>
      <c r="AR762" s="43" t="str">
        <f aca="false">IF(AB762="","-",IF(AB762="","",INDEX(시장분석!$AL:$AL,AB762)))</f>
        <v>-</v>
      </c>
      <c r="AS762" s="96" t="str">
        <f aca="false">IF(AB762="","",INDEX(시장분석!$AJ:$AJ,AB762))</f>
        <v/>
      </c>
      <c r="AT762" s="93" t="n">
        <f aca="false">IF(AB762="",0,IF(AB762="","",INDEX(시장분석!$AN:$AN,AB762)))</f>
        <v>0</v>
      </c>
      <c r="AU762" s="94" t="n">
        <f aca="false">IF(ISNUMBER(Z762),AT762/10000*MAX(Z762-1,0)*AA762*1000000,0)</f>
        <v>0</v>
      </c>
      <c r="AV762" s="94" t="n">
        <f aca="false">AO762+AU762</f>
        <v>0</v>
      </c>
      <c r="AW762" s="43" t="str">
        <f aca="false">IF(Q762&lt;&gt;1,"",TRIM(IF(AD762=1,"FRN ","")&amp;IF(AND(AL762&gt;=10,AL762&lt;99),"BBB0미만 ","")&amp;IF(AJ762="","등급없음 ","")&amp;IF(K762&lt;&gt;1,"비USD ","")&amp;IF(AND(AB762="",Y762=0),"시장데이터없음 ","")&amp;IF(AND(ISNUMBER(U762),U762&lt;0),"만기경과 ","")))</f>
        <v/>
      </c>
      <c r="AX762" s="90" t="n">
        <f aca="false">IF(Q762&lt;&gt;1,1,IF(스프레드쇼크!$C$4="Y",INDEX(스프레드쇼크!$B$12:$L$16,IFERROR(MATCH(AH762,스프레드쇼크!$A$12:$A$16,0),MATCH("목록외",스프레드쇼크!$A$12:$A$16,0)),IFERROR(MATCH(AG762,스프레드쇼크!$B$11:$L$11,0),MATCH("목록외",스프레드쇼크!$B$11:$L$11,0))),1))</f>
        <v>1</v>
      </c>
      <c r="AY762" s="90" t="n">
        <f aca="false">IF(스프레드쇼크!$C$5="Y",IF(ISNUMBER(AF762),MIN(스프레드쇼크!$C$7,MAX(스프레드쇼크!$C$6,AF762/스프레드쇼크!$C$8)),1),1)</f>
        <v>1</v>
      </c>
      <c r="AZ762" s="94" t="n">
        <f aca="false">AN762*AX762*AY762</f>
        <v>0</v>
      </c>
      <c r="BA762" s="90" t="n">
        <f aca="false">IF(ISNUMBER(G762),AA762*G762,0)</f>
        <v>0</v>
      </c>
      <c r="BB762" s="90" t="n">
        <f aca="false">IF(ISNUMBER(G762),AA762,0)</f>
        <v>0</v>
      </c>
      <c r="BC762" s="90" t="n">
        <f aca="false">IF(AND(Y762=0,ISNUMBER(AF762)),AA762*AF762,0)</f>
        <v>0</v>
      </c>
      <c r="BD762" s="90" t="n">
        <f aca="false">IF(AND(Y762=0,ISNUMBER(AF762)),AA762,0)</f>
        <v>0</v>
      </c>
      <c r="BE762" s="90" t="n">
        <f aca="false">IF(ISNUMBER(H762),AA762*H762,0)</f>
        <v>0</v>
      </c>
      <c r="BF762" s="90" t="n">
        <f aca="false">IF(ISNUMBER(H762),AA762,0)</f>
        <v>0</v>
      </c>
      <c r="BG762" s="90" t="n">
        <f aca="false">IF(AND(Y762=0,ISNUMBER(AF762),ISNUMBER(Z762)),AA762*Z762,0)</f>
        <v>0</v>
      </c>
      <c r="BH762" s="90" t="n">
        <f aca="false">IF(AND(Y762=0,ISNUMBER(AF762),ISNUMBER(Z762)),AA762*AT762*MAX(Z762-1,0),0)</f>
        <v>0</v>
      </c>
      <c r="BI762" s="90" t="n">
        <f aca="false">IF(Y762=0,AA762,0)</f>
        <v>0</v>
      </c>
    </row>
    <row r="763" customFormat="false" ht="15" hidden="false" customHeight="false" outlineLevel="0" collapsed="false">
      <c r="A763" s="83" t="str">
        <f aca="false">IFERROR(IF(INDEX(원자료_잔고!$A$1:$EZ$1500,설정!$L$5+ROW()-1,설정!$L$8)&amp;""="0","",INDEX(원자료_잔고!$A$1:$EZ$1500,설정!$L$5+ROW()-1,설정!$L$8)&amp;""),"")</f>
        <v/>
      </c>
      <c r="B763" s="83" t="str">
        <f aca="false">IFERROR(IF(INDEX(원자료_잔고!$A$1:$EZ$1500,설정!$L$5+ROW()-1,설정!$L$7)&amp;""="0","",INDEX(원자료_잔고!$A$1:$EZ$1500,설정!$L$5+ROW()-1,설정!$L$7)&amp;""),"")</f>
        <v/>
      </c>
      <c r="C763" s="83" t="str">
        <f aca="false">IFERROR(IF(INDEX(원자료_잔고!$A$1:$EZ$1500,설정!$L$5+ROW()-1,설정!$L$9)&amp;""="0","",INDEX(원자료_잔고!$A$1:$EZ$1500,설정!$L$5+ROW()-1,설정!$L$9)&amp;""),"")</f>
        <v/>
      </c>
      <c r="D763" s="83" t="str">
        <f aca="false">IFERROR(IF(INDEX(원자료_잔고!$A$1:$EZ$1500,설정!$L$5+ROW()-1,설정!$L$10)&amp;""="0","",INDEX(원자료_잔고!$A$1:$EZ$1500,설정!$L$5+ROW()-1,설정!$L$10)&amp;""),"")</f>
        <v/>
      </c>
      <c r="E763" s="84" t="str">
        <f aca="false">IFERROR(IF(ISNUMBER(INDEX(원자료_잔고!$A$1:$EZ$1500,설정!$L$5+ROW()-1,설정!$L$11)),INDEX(원자료_잔고!$A$1:$EZ$1500,설정!$L$5+ROW()-1,설정!$L$11),""),"")</f>
        <v/>
      </c>
      <c r="F763" s="85" t="str">
        <f aca="false">IFERROR(IF(ISNUMBER(INDEX(원자료_잔고!$A$1:$EZ$1500,설정!$L$5+ROW()-1,설정!$L$12)),INDEX(원자료_잔고!$A$1:$EZ$1500,설정!$L$5+ROW()-1,설정!$L$12),""),"")</f>
        <v/>
      </c>
      <c r="G763" s="85" t="str">
        <f aca="false">IFERROR(IF(ISNUMBER(INDEX(원자료_잔고!$A$1:$EZ$1500,설정!$L$5+ROW()-1,설정!$L$13)),INDEX(원자료_잔고!$A$1:$EZ$1500,설정!$L$5+ROW()-1,설정!$L$13),""),"")</f>
        <v/>
      </c>
      <c r="H763" s="85" t="str">
        <f aca="false">IFERROR(IF(ISNUMBER(INDEX(원자료_잔고!$A$1:$EZ$1500,설정!$L$5+ROW()-1,설정!$L$14)),INDEX(원자료_잔고!$A$1:$EZ$1500,설정!$L$5+ROW()-1,설정!$L$14),""),"")</f>
        <v/>
      </c>
      <c r="I763" s="86" t="str">
        <f aca="false">IFERROR(IF(ISNUMBER(INDEX(원자료_잔고!$A$1:$EZ$1500,설정!$L$5+ROW()-1,설정!$L$15)),INDEX(원자료_잔고!$A$1:$EZ$1500,설정!$L$5+ROW()-1,설정!$L$15),""),"")</f>
        <v/>
      </c>
      <c r="J763" s="85" t="str">
        <f aca="false">IFERROR(IF(ISNUMBER(INDEX(원자료_잔고!$A$1:$EZ$1500,설정!$L$5+ROW()-1,설정!$L$16)),INDEX(원자료_잔고!$A$1:$EZ$1500,설정!$L$5+ROW()-1,설정!$L$16),""),"")</f>
        <v/>
      </c>
      <c r="K763" s="87" t="str">
        <f aca="false">IFERROR(IF(ISNUMBER(INDEX(원자료_잔고!$A$1:$EZ$1500,설정!$L$5+ROW()-1,설정!$L$17)),INDEX(원자료_잔고!$A$1:$EZ$1500,설정!$L$5+ROW()-1,설정!$L$17),""),"")</f>
        <v/>
      </c>
      <c r="L763" s="84" t="str">
        <f aca="false">IFERROR(IF(ISNUMBER(INDEX(원자료_잔고!$A$1:$EZ$1500,설정!$L$5+ROW()-1,설정!$L$18)),INDEX(원자료_잔고!$A$1:$EZ$1500,설정!$L$5+ROW()-1,설정!$L$18),""),"")</f>
        <v/>
      </c>
      <c r="M763" s="88" t="str">
        <f aca="false">IFERROR(IF(ISNUMBER(INDEX(원자료_잔고!$A$1:$EZ$1500,설정!$L$5+ROW()-1,설정!$L$19)),INDEX(원자료_잔고!$A$1:$EZ$1500,설정!$L$5+ROW()-1,설정!$L$19),""),"")</f>
        <v/>
      </c>
      <c r="N763" s="83" t="str">
        <f aca="false">IFERROR(IF(INDEX(원자료_잔고!$A$1:$EZ$1500,설정!$L$5+ROW()-1,설정!$L$21)&amp;""="0","",INDEX(원자료_잔고!$A$1:$EZ$1500,설정!$L$5+ROW()-1,설정!$L$21)&amp;""),"")</f>
        <v/>
      </c>
      <c r="O763" s="83" t="str">
        <f aca="false">IFERROR(IF(INDEX(원자료_잔고!$A$1:$EZ$1500,설정!$L$5+ROW()-1,설정!$L$22)&amp;""="0","",INDEX(원자료_잔고!$A$1:$EZ$1500,설정!$L$5+ROW()-1,설정!$L$22)&amp;""),"")</f>
        <v/>
      </c>
      <c r="P763" s="83" t="str">
        <f aca="false">IFERROR(IF(INDEX(원자료_잔고!$A$1:$EZ$1500,설정!$L$5+ROW()-1,설정!$L$23)&amp;""="0","",INDEX(원자료_잔고!$A$1:$EZ$1500,설정!$L$5+ROW()-1,설정!$L$23)&amp;""),"")</f>
        <v/>
      </c>
      <c r="Q763" s="89" t="n">
        <f aca="false">IF(AND($A763&lt;&gt;"",ISNUMBER(E763)),IF(E763&gt;0,1,0),0)</f>
        <v>0</v>
      </c>
      <c r="R763" s="43" t="str">
        <f aca="false">IF(Q763=1,UPPER(LEFT($A763,FIND(" ",$A763&amp;" ")-1)),"")</f>
        <v/>
      </c>
      <c r="S763" s="89" t="n">
        <f aca="false">IF(Q763=1,IF(OR(ISNUMBER(SEARCH("Float",$A763)),ISNUMBER(SEARCH("FRN",$A763))),1,0),0)</f>
        <v>0</v>
      </c>
      <c r="T763" s="43" t="str">
        <f aca="false">IF(AND(Q763=1,ISNUMBER(I763)),TEXT(I763,"yyyymmdd")&amp;"|"&amp;IF(S763=1,"F",TEXT(J763,"0.000")),"")</f>
        <v/>
      </c>
      <c r="U763" s="90" t="str">
        <f aca="false">IF(AND(Q763=1,ISNUMBER(I763)),(I763-설정!$C$4)/365.25,"")</f>
        <v/>
      </c>
      <c r="V763" s="43" t="str">
        <f aca="false">IF(Q763&lt;&gt;1,"",IF(ISNUMBER(U763),IF(U763&lt;=1,"1년 이하",IF(U763&lt;=2,"1-2년",IF(U763&lt;=3,"2-3년",IF(U763&lt;=4,"3-4년",IF(U763&lt;=5,"4-5년",IF(U763&lt;=7,"5-7년",IF(U763&lt;=10,"7-10년",IF(U763&lt;=20,"10-20년","20년 이상")))))))),"미분류"))</f>
        <v/>
      </c>
      <c r="W763" s="43" t="str">
        <f aca="false">IF(Q763&lt;&gt;1,"",IF(AB763&lt;&gt;"",INDEX(시장분석!$C:$C,AB763),IF(K763=1,"USD","비USD")))</f>
        <v/>
      </c>
      <c r="X763" s="91" t="n">
        <f aca="false">IF(Q763=1,E763*K763/1000000,0)</f>
        <v>0</v>
      </c>
      <c r="Y763" s="89" t="n">
        <f aca="false">IF(R763="T",1,0)</f>
        <v>0</v>
      </c>
      <c r="Z763" s="92" t="str">
        <f aca="false">IF(Q763&lt;&gt;1,"",IF(AD763=1,IF(ISNUMBER(U763),MAX(U763,0),H763),H763))</f>
        <v/>
      </c>
      <c r="AA763" s="91" t="n">
        <f aca="false">IF(Q763=1,IF(ISNUMBER(L763),L763,0)*K763/1000000,0)</f>
        <v>0</v>
      </c>
      <c r="AB763" s="89" t="str">
        <f aca="false">IF(Q763&lt;&gt;1,"",IFERROR(MATCH(VLOOKUP(B763,매핑!$H$4:$I$15,2,0),시장분석!$A$2:$A$601,0)+1,IFERROR(MATCH(R763&amp;"|"&amp;T763,시장분석!$V$2:$V$601,0)+1,IF(COUNTIF(시장분석!$U$2:$U$601,T763)=1,MATCH(T763,시장분석!$U$2:$U$601,0)+1,""))))</f>
        <v/>
      </c>
      <c r="AC763" s="89" t="n">
        <f aca="false">IF(Q763&lt;&gt;1,0,IF(OR(설정!$C$5="전체",AND(설정!$C$5="선택펀드",IFERROR(COUNTIFS(설정!$F$16:$F$36,C763,설정!$G$16:$G$36,"Y")+COUNTIFS(설정!$F$16:$F$36,VALUE(C763),설정!$G$16:$G$36,"Y"),0)&gt;0),C763&amp;""=설정!$C$5&amp;""),1,0))</f>
        <v>0</v>
      </c>
      <c r="AD763" s="89" t="n">
        <f aca="false">IF(Q763&lt;&gt;1,0,IF(OR(S763=1,IF(AB763="",FALSE(),INDEX(시장분석!$R:$R,AB763)=1)),1,0))</f>
        <v>0</v>
      </c>
      <c r="AE763" s="43" t="str">
        <f aca="false">IF(AB763="","",INDEX(시장분석!$A:$A,AB763))</f>
        <v/>
      </c>
      <c r="AF763" s="93" t="str">
        <f aca="false">IF(AB763="","",IF(ISNUMBER(IF(AB763="","",INDEX(시장분석!$E:$E,AB763))),IF(AB763="","",INDEX(시장분석!$E:$E,AB763)),""))</f>
        <v/>
      </c>
      <c r="AG763" s="43" t="str">
        <f aca="false">IF(Q763&lt;&gt;1,"",IF(AB763&lt;&gt;"",IF(AB763="","",INDEX(시장분석!$L:$L,AB763)),IFERROR(IF(VLOOKUP(R763,매핑!$A$4:$E$92,5,0)="","미분류",VLOOKUP(R763,매핑!$A$4:$E$92,5,0)),"미분류")))</f>
        <v/>
      </c>
      <c r="AH763" s="43" t="str">
        <f aca="false">IF(Q763&lt;&gt;1,"",IF(AB763&lt;&gt;"",IF(AB763="","",INDEX(시장분석!$N:$N,AB763)),IFERROR(IF(VLOOKUP(R763,매핑!$A$4:$E$92,4,0)="","미분류",VLOOKUP(R763,매핑!$A$4:$E$92,4,0)),"미분류")))</f>
        <v/>
      </c>
      <c r="AI763" s="43" t="str">
        <f aca="false">IF(Q763&lt;&gt;1,"",IFERROR(IF(VLOOKUP(R763,매핑!$A$4:$E$92,3,0)="","미분류",VLOOKUP(R763,매핑!$A$4:$E$92,3,0)),IF(AB763&lt;&gt;"",IF(AB763="","",INDEX(시장분석!$W:$W,AB763)),"미분류")))</f>
        <v/>
      </c>
      <c r="AJ763" s="43" t="str">
        <f aca="false">IF(Q763&lt;&gt;1,"",IFERROR(VLOOKUP(IF(N763&lt;&gt;"",N763,IF(P763&lt;&gt;"",P763,O763)),설정!$A$15:$D$47,2,0),""))</f>
        <v/>
      </c>
      <c r="AK763" s="43" t="str">
        <f aca="false">IF(Q763&lt;&gt;1,"",IF(AJ763="","무등급",IFERROR(VLOOKUP(AJ763,설정!$A$15:$D$47,3,0),"무등급")))</f>
        <v/>
      </c>
      <c r="AL763" s="89" t="n">
        <f aca="false">IF(AJ763="",99,IFERROR(VLOOKUP(AJ763,설정!$A$15:$D$47,4,0),99))</f>
        <v>99</v>
      </c>
      <c r="AM763" s="94" t="n">
        <f aca="false">IF(ISNUMBER(H763),AA763*1000000*H763/10000,0)</f>
        <v>0</v>
      </c>
      <c r="AN763" s="94" t="n">
        <f aca="false">IF(OR(Y763=1,NOT(ISNUMBER(Z763))),0,AA763*1000000*Z763/10000)</f>
        <v>0</v>
      </c>
      <c r="AO763" s="94" t="n">
        <f aca="false">IF(ISNUMBER(G763),AA763*1000000*G763/100,0)</f>
        <v>0</v>
      </c>
      <c r="AP763" s="94" t="n">
        <f aca="false">IF(ISNUMBER(M763),M763*K763,0)</f>
        <v>0</v>
      </c>
      <c r="AQ763" s="95" t="str">
        <f aca="false">IF(AB763="","",INDEX(시장분석!$AK:$AK,AB763))</f>
        <v/>
      </c>
      <c r="AR763" s="43" t="str">
        <f aca="false">IF(AB763="","-",IF(AB763="","",INDEX(시장분석!$AL:$AL,AB763)))</f>
        <v>-</v>
      </c>
      <c r="AS763" s="96" t="str">
        <f aca="false">IF(AB763="","",INDEX(시장분석!$AJ:$AJ,AB763))</f>
        <v/>
      </c>
      <c r="AT763" s="93" t="n">
        <f aca="false">IF(AB763="",0,IF(AB763="","",INDEX(시장분석!$AN:$AN,AB763)))</f>
        <v>0</v>
      </c>
      <c r="AU763" s="94" t="n">
        <f aca="false">IF(ISNUMBER(Z763),AT763/10000*MAX(Z763-1,0)*AA763*1000000,0)</f>
        <v>0</v>
      </c>
      <c r="AV763" s="94" t="n">
        <f aca="false">AO763+AU763</f>
        <v>0</v>
      </c>
      <c r="AW763" s="43" t="str">
        <f aca="false">IF(Q763&lt;&gt;1,"",TRIM(IF(AD763=1,"FRN ","")&amp;IF(AND(AL763&gt;=10,AL763&lt;99),"BBB0미만 ","")&amp;IF(AJ763="","등급없음 ","")&amp;IF(K763&lt;&gt;1,"비USD ","")&amp;IF(AND(AB763="",Y763=0),"시장데이터없음 ","")&amp;IF(AND(ISNUMBER(U763),U763&lt;0),"만기경과 ","")))</f>
        <v/>
      </c>
      <c r="AX763" s="90" t="n">
        <f aca="false">IF(Q763&lt;&gt;1,1,IF(스프레드쇼크!$C$4="Y",INDEX(스프레드쇼크!$B$12:$L$16,IFERROR(MATCH(AH763,스프레드쇼크!$A$12:$A$16,0),MATCH("목록외",스프레드쇼크!$A$12:$A$16,0)),IFERROR(MATCH(AG763,스프레드쇼크!$B$11:$L$11,0),MATCH("목록외",스프레드쇼크!$B$11:$L$11,0))),1))</f>
        <v>1</v>
      </c>
      <c r="AY763" s="90" t="n">
        <f aca="false">IF(스프레드쇼크!$C$5="Y",IF(ISNUMBER(AF763),MIN(스프레드쇼크!$C$7,MAX(스프레드쇼크!$C$6,AF763/스프레드쇼크!$C$8)),1),1)</f>
        <v>1</v>
      </c>
      <c r="AZ763" s="94" t="n">
        <f aca="false">AN763*AX763*AY763</f>
        <v>0</v>
      </c>
      <c r="BA763" s="90" t="n">
        <f aca="false">IF(ISNUMBER(G763),AA763*G763,0)</f>
        <v>0</v>
      </c>
      <c r="BB763" s="90" t="n">
        <f aca="false">IF(ISNUMBER(G763),AA763,0)</f>
        <v>0</v>
      </c>
      <c r="BC763" s="90" t="n">
        <f aca="false">IF(AND(Y763=0,ISNUMBER(AF763)),AA763*AF763,0)</f>
        <v>0</v>
      </c>
      <c r="BD763" s="90" t="n">
        <f aca="false">IF(AND(Y763=0,ISNUMBER(AF763)),AA763,0)</f>
        <v>0</v>
      </c>
      <c r="BE763" s="90" t="n">
        <f aca="false">IF(ISNUMBER(H763),AA763*H763,0)</f>
        <v>0</v>
      </c>
      <c r="BF763" s="90" t="n">
        <f aca="false">IF(ISNUMBER(H763),AA763,0)</f>
        <v>0</v>
      </c>
      <c r="BG763" s="90" t="n">
        <f aca="false">IF(AND(Y763=0,ISNUMBER(AF763),ISNUMBER(Z763)),AA763*Z763,0)</f>
        <v>0</v>
      </c>
      <c r="BH763" s="90" t="n">
        <f aca="false">IF(AND(Y763=0,ISNUMBER(AF763),ISNUMBER(Z763)),AA763*AT763*MAX(Z763-1,0),0)</f>
        <v>0</v>
      </c>
      <c r="BI763" s="90" t="n">
        <f aca="false">IF(Y763=0,AA763,0)</f>
        <v>0</v>
      </c>
    </row>
    <row r="764" customFormat="false" ht="15" hidden="false" customHeight="false" outlineLevel="0" collapsed="false">
      <c r="A764" s="83" t="str">
        <f aca="false">IFERROR(IF(INDEX(원자료_잔고!$A$1:$EZ$1500,설정!$L$5+ROW()-1,설정!$L$8)&amp;""="0","",INDEX(원자료_잔고!$A$1:$EZ$1500,설정!$L$5+ROW()-1,설정!$L$8)&amp;""),"")</f>
        <v/>
      </c>
      <c r="B764" s="83" t="str">
        <f aca="false">IFERROR(IF(INDEX(원자료_잔고!$A$1:$EZ$1500,설정!$L$5+ROW()-1,설정!$L$7)&amp;""="0","",INDEX(원자료_잔고!$A$1:$EZ$1500,설정!$L$5+ROW()-1,설정!$L$7)&amp;""),"")</f>
        <v/>
      </c>
      <c r="C764" s="83" t="str">
        <f aca="false">IFERROR(IF(INDEX(원자료_잔고!$A$1:$EZ$1500,설정!$L$5+ROW()-1,설정!$L$9)&amp;""="0","",INDEX(원자료_잔고!$A$1:$EZ$1500,설정!$L$5+ROW()-1,설정!$L$9)&amp;""),"")</f>
        <v/>
      </c>
      <c r="D764" s="83" t="str">
        <f aca="false">IFERROR(IF(INDEX(원자료_잔고!$A$1:$EZ$1500,설정!$L$5+ROW()-1,설정!$L$10)&amp;""="0","",INDEX(원자료_잔고!$A$1:$EZ$1500,설정!$L$5+ROW()-1,설정!$L$10)&amp;""),"")</f>
        <v/>
      </c>
      <c r="E764" s="84" t="str">
        <f aca="false">IFERROR(IF(ISNUMBER(INDEX(원자료_잔고!$A$1:$EZ$1500,설정!$L$5+ROW()-1,설정!$L$11)),INDEX(원자료_잔고!$A$1:$EZ$1500,설정!$L$5+ROW()-1,설정!$L$11),""),"")</f>
        <v/>
      </c>
      <c r="F764" s="85" t="str">
        <f aca="false">IFERROR(IF(ISNUMBER(INDEX(원자료_잔고!$A$1:$EZ$1500,설정!$L$5+ROW()-1,설정!$L$12)),INDEX(원자료_잔고!$A$1:$EZ$1500,설정!$L$5+ROW()-1,설정!$L$12),""),"")</f>
        <v/>
      </c>
      <c r="G764" s="85" t="str">
        <f aca="false">IFERROR(IF(ISNUMBER(INDEX(원자료_잔고!$A$1:$EZ$1500,설정!$L$5+ROW()-1,설정!$L$13)),INDEX(원자료_잔고!$A$1:$EZ$1500,설정!$L$5+ROW()-1,설정!$L$13),""),"")</f>
        <v/>
      </c>
      <c r="H764" s="85" t="str">
        <f aca="false">IFERROR(IF(ISNUMBER(INDEX(원자료_잔고!$A$1:$EZ$1500,설정!$L$5+ROW()-1,설정!$L$14)),INDEX(원자료_잔고!$A$1:$EZ$1500,설정!$L$5+ROW()-1,설정!$L$14),""),"")</f>
        <v/>
      </c>
      <c r="I764" s="86" t="str">
        <f aca="false">IFERROR(IF(ISNUMBER(INDEX(원자료_잔고!$A$1:$EZ$1500,설정!$L$5+ROW()-1,설정!$L$15)),INDEX(원자료_잔고!$A$1:$EZ$1500,설정!$L$5+ROW()-1,설정!$L$15),""),"")</f>
        <v/>
      </c>
      <c r="J764" s="85" t="str">
        <f aca="false">IFERROR(IF(ISNUMBER(INDEX(원자료_잔고!$A$1:$EZ$1500,설정!$L$5+ROW()-1,설정!$L$16)),INDEX(원자료_잔고!$A$1:$EZ$1500,설정!$L$5+ROW()-1,설정!$L$16),""),"")</f>
        <v/>
      </c>
      <c r="K764" s="87" t="str">
        <f aca="false">IFERROR(IF(ISNUMBER(INDEX(원자료_잔고!$A$1:$EZ$1500,설정!$L$5+ROW()-1,설정!$L$17)),INDEX(원자료_잔고!$A$1:$EZ$1500,설정!$L$5+ROW()-1,설정!$L$17),""),"")</f>
        <v/>
      </c>
      <c r="L764" s="84" t="str">
        <f aca="false">IFERROR(IF(ISNUMBER(INDEX(원자료_잔고!$A$1:$EZ$1500,설정!$L$5+ROW()-1,설정!$L$18)),INDEX(원자료_잔고!$A$1:$EZ$1500,설정!$L$5+ROW()-1,설정!$L$18),""),"")</f>
        <v/>
      </c>
      <c r="M764" s="88" t="str">
        <f aca="false">IFERROR(IF(ISNUMBER(INDEX(원자료_잔고!$A$1:$EZ$1500,설정!$L$5+ROW()-1,설정!$L$19)),INDEX(원자료_잔고!$A$1:$EZ$1500,설정!$L$5+ROW()-1,설정!$L$19),""),"")</f>
        <v/>
      </c>
      <c r="N764" s="83" t="str">
        <f aca="false">IFERROR(IF(INDEX(원자료_잔고!$A$1:$EZ$1500,설정!$L$5+ROW()-1,설정!$L$21)&amp;""="0","",INDEX(원자료_잔고!$A$1:$EZ$1500,설정!$L$5+ROW()-1,설정!$L$21)&amp;""),"")</f>
        <v/>
      </c>
      <c r="O764" s="83" t="str">
        <f aca="false">IFERROR(IF(INDEX(원자료_잔고!$A$1:$EZ$1500,설정!$L$5+ROW()-1,설정!$L$22)&amp;""="0","",INDEX(원자료_잔고!$A$1:$EZ$1500,설정!$L$5+ROW()-1,설정!$L$22)&amp;""),"")</f>
        <v/>
      </c>
      <c r="P764" s="83" t="str">
        <f aca="false">IFERROR(IF(INDEX(원자료_잔고!$A$1:$EZ$1500,설정!$L$5+ROW()-1,설정!$L$23)&amp;""="0","",INDEX(원자료_잔고!$A$1:$EZ$1500,설정!$L$5+ROW()-1,설정!$L$23)&amp;""),"")</f>
        <v/>
      </c>
      <c r="Q764" s="89" t="n">
        <f aca="false">IF(AND($A764&lt;&gt;"",ISNUMBER(E764)),IF(E764&gt;0,1,0),0)</f>
        <v>0</v>
      </c>
      <c r="R764" s="43" t="str">
        <f aca="false">IF(Q764=1,UPPER(LEFT($A764,FIND(" ",$A764&amp;" ")-1)),"")</f>
        <v/>
      </c>
      <c r="S764" s="89" t="n">
        <f aca="false">IF(Q764=1,IF(OR(ISNUMBER(SEARCH("Float",$A764)),ISNUMBER(SEARCH("FRN",$A764))),1,0),0)</f>
        <v>0</v>
      </c>
      <c r="T764" s="43" t="str">
        <f aca="false">IF(AND(Q764=1,ISNUMBER(I764)),TEXT(I764,"yyyymmdd")&amp;"|"&amp;IF(S764=1,"F",TEXT(J764,"0.000")),"")</f>
        <v/>
      </c>
      <c r="U764" s="90" t="str">
        <f aca="false">IF(AND(Q764=1,ISNUMBER(I764)),(I764-설정!$C$4)/365.25,"")</f>
        <v/>
      </c>
      <c r="V764" s="43" t="str">
        <f aca="false">IF(Q764&lt;&gt;1,"",IF(ISNUMBER(U764),IF(U764&lt;=1,"1년 이하",IF(U764&lt;=2,"1-2년",IF(U764&lt;=3,"2-3년",IF(U764&lt;=4,"3-4년",IF(U764&lt;=5,"4-5년",IF(U764&lt;=7,"5-7년",IF(U764&lt;=10,"7-10년",IF(U764&lt;=20,"10-20년","20년 이상")))))))),"미분류"))</f>
        <v/>
      </c>
      <c r="W764" s="43" t="str">
        <f aca="false">IF(Q764&lt;&gt;1,"",IF(AB764&lt;&gt;"",INDEX(시장분석!$C:$C,AB764),IF(K764=1,"USD","비USD")))</f>
        <v/>
      </c>
      <c r="X764" s="91" t="n">
        <f aca="false">IF(Q764=1,E764*K764/1000000,0)</f>
        <v>0</v>
      </c>
      <c r="Y764" s="89" t="n">
        <f aca="false">IF(R764="T",1,0)</f>
        <v>0</v>
      </c>
      <c r="Z764" s="92" t="str">
        <f aca="false">IF(Q764&lt;&gt;1,"",IF(AD764=1,IF(ISNUMBER(U764),MAX(U764,0),H764),H764))</f>
        <v/>
      </c>
      <c r="AA764" s="91" t="n">
        <f aca="false">IF(Q764=1,IF(ISNUMBER(L764),L764,0)*K764/1000000,0)</f>
        <v>0</v>
      </c>
      <c r="AB764" s="89" t="str">
        <f aca="false">IF(Q764&lt;&gt;1,"",IFERROR(MATCH(VLOOKUP(B764,매핑!$H$4:$I$15,2,0),시장분석!$A$2:$A$601,0)+1,IFERROR(MATCH(R764&amp;"|"&amp;T764,시장분석!$V$2:$V$601,0)+1,IF(COUNTIF(시장분석!$U$2:$U$601,T764)=1,MATCH(T764,시장분석!$U$2:$U$601,0)+1,""))))</f>
        <v/>
      </c>
      <c r="AC764" s="89" t="n">
        <f aca="false">IF(Q764&lt;&gt;1,0,IF(OR(설정!$C$5="전체",AND(설정!$C$5="선택펀드",IFERROR(COUNTIFS(설정!$F$16:$F$36,C764,설정!$G$16:$G$36,"Y")+COUNTIFS(설정!$F$16:$F$36,VALUE(C764),설정!$G$16:$G$36,"Y"),0)&gt;0),C764&amp;""=설정!$C$5&amp;""),1,0))</f>
        <v>0</v>
      </c>
      <c r="AD764" s="89" t="n">
        <f aca="false">IF(Q764&lt;&gt;1,0,IF(OR(S764=1,IF(AB764="",FALSE(),INDEX(시장분석!$R:$R,AB764)=1)),1,0))</f>
        <v>0</v>
      </c>
      <c r="AE764" s="43" t="str">
        <f aca="false">IF(AB764="","",INDEX(시장분석!$A:$A,AB764))</f>
        <v/>
      </c>
      <c r="AF764" s="93" t="str">
        <f aca="false">IF(AB764="","",IF(ISNUMBER(IF(AB764="","",INDEX(시장분석!$E:$E,AB764))),IF(AB764="","",INDEX(시장분석!$E:$E,AB764)),""))</f>
        <v/>
      </c>
      <c r="AG764" s="43" t="str">
        <f aca="false">IF(Q764&lt;&gt;1,"",IF(AB764&lt;&gt;"",IF(AB764="","",INDEX(시장분석!$L:$L,AB764)),IFERROR(IF(VLOOKUP(R764,매핑!$A$4:$E$92,5,0)="","미분류",VLOOKUP(R764,매핑!$A$4:$E$92,5,0)),"미분류")))</f>
        <v/>
      </c>
      <c r="AH764" s="43" t="str">
        <f aca="false">IF(Q764&lt;&gt;1,"",IF(AB764&lt;&gt;"",IF(AB764="","",INDEX(시장분석!$N:$N,AB764)),IFERROR(IF(VLOOKUP(R764,매핑!$A$4:$E$92,4,0)="","미분류",VLOOKUP(R764,매핑!$A$4:$E$92,4,0)),"미분류")))</f>
        <v/>
      </c>
      <c r="AI764" s="43" t="str">
        <f aca="false">IF(Q764&lt;&gt;1,"",IFERROR(IF(VLOOKUP(R764,매핑!$A$4:$E$92,3,0)="","미분류",VLOOKUP(R764,매핑!$A$4:$E$92,3,0)),IF(AB764&lt;&gt;"",IF(AB764="","",INDEX(시장분석!$W:$W,AB764)),"미분류")))</f>
        <v/>
      </c>
      <c r="AJ764" s="43" t="str">
        <f aca="false">IF(Q764&lt;&gt;1,"",IFERROR(VLOOKUP(IF(N764&lt;&gt;"",N764,IF(P764&lt;&gt;"",P764,O764)),설정!$A$15:$D$47,2,0),""))</f>
        <v/>
      </c>
      <c r="AK764" s="43" t="str">
        <f aca="false">IF(Q764&lt;&gt;1,"",IF(AJ764="","무등급",IFERROR(VLOOKUP(AJ764,설정!$A$15:$D$47,3,0),"무등급")))</f>
        <v/>
      </c>
      <c r="AL764" s="89" t="n">
        <f aca="false">IF(AJ764="",99,IFERROR(VLOOKUP(AJ764,설정!$A$15:$D$47,4,0),99))</f>
        <v>99</v>
      </c>
      <c r="AM764" s="94" t="n">
        <f aca="false">IF(ISNUMBER(H764),AA764*1000000*H764/10000,0)</f>
        <v>0</v>
      </c>
      <c r="AN764" s="94" t="n">
        <f aca="false">IF(OR(Y764=1,NOT(ISNUMBER(Z764))),0,AA764*1000000*Z764/10000)</f>
        <v>0</v>
      </c>
      <c r="AO764" s="94" t="n">
        <f aca="false">IF(ISNUMBER(G764),AA764*1000000*G764/100,0)</f>
        <v>0</v>
      </c>
      <c r="AP764" s="94" t="n">
        <f aca="false">IF(ISNUMBER(M764),M764*K764,0)</f>
        <v>0</v>
      </c>
      <c r="AQ764" s="95" t="str">
        <f aca="false">IF(AB764="","",INDEX(시장분석!$AK:$AK,AB764))</f>
        <v/>
      </c>
      <c r="AR764" s="43" t="str">
        <f aca="false">IF(AB764="","-",IF(AB764="","",INDEX(시장분석!$AL:$AL,AB764)))</f>
        <v>-</v>
      </c>
      <c r="AS764" s="96" t="str">
        <f aca="false">IF(AB764="","",INDEX(시장분석!$AJ:$AJ,AB764))</f>
        <v/>
      </c>
      <c r="AT764" s="93" t="n">
        <f aca="false">IF(AB764="",0,IF(AB764="","",INDEX(시장분석!$AN:$AN,AB764)))</f>
        <v>0</v>
      </c>
      <c r="AU764" s="94" t="n">
        <f aca="false">IF(ISNUMBER(Z764),AT764/10000*MAX(Z764-1,0)*AA764*1000000,0)</f>
        <v>0</v>
      </c>
      <c r="AV764" s="94" t="n">
        <f aca="false">AO764+AU764</f>
        <v>0</v>
      </c>
      <c r="AW764" s="43" t="str">
        <f aca="false">IF(Q764&lt;&gt;1,"",TRIM(IF(AD764=1,"FRN ","")&amp;IF(AND(AL764&gt;=10,AL764&lt;99),"BBB0미만 ","")&amp;IF(AJ764="","등급없음 ","")&amp;IF(K764&lt;&gt;1,"비USD ","")&amp;IF(AND(AB764="",Y764=0),"시장데이터없음 ","")&amp;IF(AND(ISNUMBER(U764),U764&lt;0),"만기경과 ","")))</f>
        <v/>
      </c>
      <c r="AX764" s="90" t="n">
        <f aca="false">IF(Q764&lt;&gt;1,1,IF(스프레드쇼크!$C$4="Y",INDEX(스프레드쇼크!$B$12:$L$16,IFERROR(MATCH(AH764,스프레드쇼크!$A$12:$A$16,0),MATCH("목록외",스프레드쇼크!$A$12:$A$16,0)),IFERROR(MATCH(AG764,스프레드쇼크!$B$11:$L$11,0),MATCH("목록외",스프레드쇼크!$B$11:$L$11,0))),1))</f>
        <v>1</v>
      </c>
      <c r="AY764" s="90" t="n">
        <f aca="false">IF(스프레드쇼크!$C$5="Y",IF(ISNUMBER(AF764),MIN(스프레드쇼크!$C$7,MAX(스프레드쇼크!$C$6,AF764/스프레드쇼크!$C$8)),1),1)</f>
        <v>1</v>
      </c>
      <c r="AZ764" s="94" t="n">
        <f aca="false">AN764*AX764*AY764</f>
        <v>0</v>
      </c>
      <c r="BA764" s="90" t="n">
        <f aca="false">IF(ISNUMBER(G764),AA764*G764,0)</f>
        <v>0</v>
      </c>
      <c r="BB764" s="90" t="n">
        <f aca="false">IF(ISNUMBER(G764),AA764,0)</f>
        <v>0</v>
      </c>
      <c r="BC764" s="90" t="n">
        <f aca="false">IF(AND(Y764=0,ISNUMBER(AF764)),AA764*AF764,0)</f>
        <v>0</v>
      </c>
      <c r="BD764" s="90" t="n">
        <f aca="false">IF(AND(Y764=0,ISNUMBER(AF764)),AA764,0)</f>
        <v>0</v>
      </c>
      <c r="BE764" s="90" t="n">
        <f aca="false">IF(ISNUMBER(H764),AA764*H764,0)</f>
        <v>0</v>
      </c>
      <c r="BF764" s="90" t="n">
        <f aca="false">IF(ISNUMBER(H764),AA764,0)</f>
        <v>0</v>
      </c>
      <c r="BG764" s="90" t="n">
        <f aca="false">IF(AND(Y764=0,ISNUMBER(AF764),ISNUMBER(Z764)),AA764*Z764,0)</f>
        <v>0</v>
      </c>
      <c r="BH764" s="90" t="n">
        <f aca="false">IF(AND(Y764=0,ISNUMBER(AF764),ISNUMBER(Z764)),AA764*AT764*MAX(Z764-1,0),0)</f>
        <v>0</v>
      </c>
      <c r="BI764" s="90" t="n">
        <f aca="false">IF(Y764=0,AA764,0)</f>
        <v>0</v>
      </c>
    </row>
    <row r="765" customFormat="false" ht="15" hidden="false" customHeight="false" outlineLevel="0" collapsed="false">
      <c r="A765" s="83" t="str">
        <f aca="false">IFERROR(IF(INDEX(원자료_잔고!$A$1:$EZ$1500,설정!$L$5+ROW()-1,설정!$L$8)&amp;""="0","",INDEX(원자료_잔고!$A$1:$EZ$1500,설정!$L$5+ROW()-1,설정!$L$8)&amp;""),"")</f>
        <v/>
      </c>
      <c r="B765" s="83" t="str">
        <f aca="false">IFERROR(IF(INDEX(원자료_잔고!$A$1:$EZ$1500,설정!$L$5+ROW()-1,설정!$L$7)&amp;""="0","",INDEX(원자료_잔고!$A$1:$EZ$1500,설정!$L$5+ROW()-1,설정!$L$7)&amp;""),"")</f>
        <v/>
      </c>
      <c r="C765" s="83" t="str">
        <f aca="false">IFERROR(IF(INDEX(원자료_잔고!$A$1:$EZ$1500,설정!$L$5+ROW()-1,설정!$L$9)&amp;""="0","",INDEX(원자료_잔고!$A$1:$EZ$1500,설정!$L$5+ROW()-1,설정!$L$9)&amp;""),"")</f>
        <v/>
      </c>
      <c r="D765" s="83" t="str">
        <f aca="false">IFERROR(IF(INDEX(원자료_잔고!$A$1:$EZ$1500,설정!$L$5+ROW()-1,설정!$L$10)&amp;""="0","",INDEX(원자료_잔고!$A$1:$EZ$1500,설정!$L$5+ROW()-1,설정!$L$10)&amp;""),"")</f>
        <v/>
      </c>
      <c r="E765" s="84" t="str">
        <f aca="false">IFERROR(IF(ISNUMBER(INDEX(원자료_잔고!$A$1:$EZ$1500,설정!$L$5+ROW()-1,설정!$L$11)),INDEX(원자료_잔고!$A$1:$EZ$1500,설정!$L$5+ROW()-1,설정!$L$11),""),"")</f>
        <v/>
      </c>
      <c r="F765" s="85" t="str">
        <f aca="false">IFERROR(IF(ISNUMBER(INDEX(원자료_잔고!$A$1:$EZ$1500,설정!$L$5+ROW()-1,설정!$L$12)),INDEX(원자료_잔고!$A$1:$EZ$1500,설정!$L$5+ROW()-1,설정!$L$12),""),"")</f>
        <v/>
      </c>
      <c r="G765" s="85" t="str">
        <f aca="false">IFERROR(IF(ISNUMBER(INDEX(원자료_잔고!$A$1:$EZ$1500,설정!$L$5+ROW()-1,설정!$L$13)),INDEX(원자료_잔고!$A$1:$EZ$1500,설정!$L$5+ROW()-1,설정!$L$13),""),"")</f>
        <v/>
      </c>
      <c r="H765" s="85" t="str">
        <f aca="false">IFERROR(IF(ISNUMBER(INDEX(원자료_잔고!$A$1:$EZ$1500,설정!$L$5+ROW()-1,설정!$L$14)),INDEX(원자료_잔고!$A$1:$EZ$1500,설정!$L$5+ROW()-1,설정!$L$14),""),"")</f>
        <v/>
      </c>
      <c r="I765" s="86" t="str">
        <f aca="false">IFERROR(IF(ISNUMBER(INDEX(원자료_잔고!$A$1:$EZ$1500,설정!$L$5+ROW()-1,설정!$L$15)),INDEX(원자료_잔고!$A$1:$EZ$1500,설정!$L$5+ROW()-1,설정!$L$15),""),"")</f>
        <v/>
      </c>
      <c r="J765" s="85" t="str">
        <f aca="false">IFERROR(IF(ISNUMBER(INDEX(원자료_잔고!$A$1:$EZ$1500,설정!$L$5+ROW()-1,설정!$L$16)),INDEX(원자료_잔고!$A$1:$EZ$1500,설정!$L$5+ROW()-1,설정!$L$16),""),"")</f>
        <v/>
      </c>
      <c r="K765" s="87" t="str">
        <f aca="false">IFERROR(IF(ISNUMBER(INDEX(원자료_잔고!$A$1:$EZ$1500,설정!$L$5+ROW()-1,설정!$L$17)),INDEX(원자료_잔고!$A$1:$EZ$1500,설정!$L$5+ROW()-1,설정!$L$17),""),"")</f>
        <v/>
      </c>
      <c r="L765" s="84" t="str">
        <f aca="false">IFERROR(IF(ISNUMBER(INDEX(원자료_잔고!$A$1:$EZ$1500,설정!$L$5+ROW()-1,설정!$L$18)),INDEX(원자료_잔고!$A$1:$EZ$1500,설정!$L$5+ROW()-1,설정!$L$18),""),"")</f>
        <v/>
      </c>
      <c r="M765" s="88" t="str">
        <f aca="false">IFERROR(IF(ISNUMBER(INDEX(원자료_잔고!$A$1:$EZ$1500,설정!$L$5+ROW()-1,설정!$L$19)),INDEX(원자료_잔고!$A$1:$EZ$1500,설정!$L$5+ROW()-1,설정!$L$19),""),"")</f>
        <v/>
      </c>
      <c r="N765" s="83" t="str">
        <f aca="false">IFERROR(IF(INDEX(원자료_잔고!$A$1:$EZ$1500,설정!$L$5+ROW()-1,설정!$L$21)&amp;""="0","",INDEX(원자료_잔고!$A$1:$EZ$1500,설정!$L$5+ROW()-1,설정!$L$21)&amp;""),"")</f>
        <v/>
      </c>
      <c r="O765" s="83" t="str">
        <f aca="false">IFERROR(IF(INDEX(원자료_잔고!$A$1:$EZ$1500,설정!$L$5+ROW()-1,설정!$L$22)&amp;""="0","",INDEX(원자료_잔고!$A$1:$EZ$1500,설정!$L$5+ROW()-1,설정!$L$22)&amp;""),"")</f>
        <v/>
      </c>
      <c r="P765" s="83" t="str">
        <f aca="false">IFERROR(IF(INDEX(원자료_잔고!$A$1:$EZ$1500,설정!$L$5+ROW()-1,설정!$L$23)&amp;""="0","",INDEX(원자료_잔고!$A$1:$EZ$1500,설정!$L$5+ROW()-1,설정!$L$23)&amp;""),"")</f>
        <v/>
      </c>
      <c r="Q765" s="89" t="n">
        <f aca="false">IF(AND($A765&lt;&gt;"",ISNUMBER(E765)),IF(E765&gt;0,1,0),0)</f>
        <v>0</v>
      </c>
      <c r="R765" s="43" t="str">
        <f aca="false">IF(Q765=1,UPPER(LEFT($A765,FIND(" ",$A765&amp;" ")-1)),"")</f>
        <v/>
      </c>
      <c r="S765" s="89" t="n">
        <f aca="false">IF(Q765=1,IF(OR(ISNUMBER(SEARCH("Float",$A765)),ISNUMBER(SEARCH("FRN",$A765))),1,0),0)</f>
        <v>0</v>
      </c>
      <c r="T765" s="43" t="str">
        <f aca="false">IF(AND(Q765=1,ISNUMBER(I765)),TEXT(I765,"yyyymmdd")&amp;"|"&amp;IF(S765=1,"F",TEXT(J765,"0.000")),"")</f>
        <v/>
      </c>
      <c r="U765" s="90" t="str">
        <f aca="false">IF(AND(Q765=1,ISNUMBER(I765)),(I765-설정!$C$4)/365.25,"")</f>
        <v/>
      </c>
      <c r="V765" s="43" t="str">
        <f aca="false">IF(Q765&lt;&gt;1,"",IF(ISNUMBER(U765),IF(U765&lt;=1,"1년 이하",IF(U765&lt;=2,"1-2년",IF(U765&lt;=3,"2-3년",IF(U765&lt;=4,"3-4년",IF(U765&lt;=5,"4-5년",IF(U765&lt;=7,"5-7년",IF(U765&lt;=10,"7-10년",IF(U765&lt;=20,"10-20년","20년 이상")))))))),"미분류"))</f>
        <v/>
      </c>
      <c r="W765" s="43" t="str">
        <f aca="false">IF(Q765&lt;&gt;1,"",IF(AB765&lt;&gt;"",INDEX(시장분석!$C:$C,AB765),IF(K765=1,"USD","비USD")))</f>
        <v/>
      </c>
      <c r="X765" s="91" t="n">
        <f aca="false">IF(Q765=1,E765*K765/1000000,0)</f>
        <v>0</v>
      </c>
      <c r="Y765" s="89" t="n">
        <f aca="false">IF(R765="T",1,0)</f>
        <v>0</v>
      </c>
      <c r="Z765" s="92" t="str">
        <f aca="false">IF(Q765&lt;&gt;1,"",IF(AD765=1,IF(ISNUMBER(U765),MAX(U765,0),H765),H765))</f>
        <v/>
      </c>
      <c r="AA765" s="91" t="n">
        <f aca="false">IF(Q765=1,IF(ISNUMBER(L765),L765,0)*K765/1000000,0)</f>
        <v>0</v>
      </c>
      <c r="AB765" s="89" t="str">
        <f aca="false">IF(Q765&lt;&gt;1,"",IFERROR(MATCH(VLOOKUP(B765,매핑!$H$4:$I$15,2,0),시장분석!$A$2:$A$601,0)+1,IFERROR(MATCH(R765&amp;"|"&amp;T765,시장분석!$V$2:$V$601,0)+1,IF(COUNTIF(시장분석!$U$2:$U$601,T765)=1,MATCH(T765,시장분석!$U$2:$U$601,0)+1,""))))</f>
        <v/>
      </c>
      <c r="AC765" s="89" t="n">
        <f aca="false">IF(Q765&lt;&gt;1,0,IF(OR(설정!$C$5="전체",AND(설정!$C$5="선택펀드",IFERROR(COUNTIFS(설정!$F$16:$F$36,C765,설정!$G$16:$G$36,"Y")+COUNTIFS(설정!$F$16:$F$36,VALUE(C765),설정!$G$16:$G$36,"Y"),0)&gt;0),C765&amp;""=설정!$C$5&amp;""),1,0))</f>
        <v>0</v>
      </c>
      <c r="AD765" s="89" t="n">
        <f aca="false">IF(Q765&lt;&gt;1,0,IF(OR(S765=1,IF(AB765="",FALSE(),INDEX(시장분석!$R:$R,AB765)=1)),1,0))</f>
        <v>0</v>
      </c>
      <c r="AE765" s="43" t="str">
        <f aca="false">IF(AB765="","",INDEX(시장분석!$A:$A,AB765))</f>
        <v/>
      </c>
      <c r="AF765" s="93" t="str">
        <f aca="false">IF(AB765="","",IF(ISNUMBER(IF(AB765="","",INDEX(시장분석!$E:$E,AB765))),IF(AB765="","",INDEX(시장분석!$E:$E,AB765)),""))</f>
        <v/>
      </c>
      <c r="AG765" s="43" t="str">
        <f aca="false">IF(Q765&lt;&gt;1,"",IF(AB765&lt;&gt;"",IF(AB765="","",INDEX(시장분석!$L:$L,AB765)),IFERROR(IF(VLOOKUP(R765,매핑!$A$4:$E$92,5,0)="","미분류",VLOOKUP(R765,매핑!$A$4:$E$92,5,0)),"미분류")))</f>
        <v/>
      </c>
      <c r="AH765" s="43" t="str">
        <f aca="false">IF(Q765&lt;&gt;1,"",IF(AB765&lt;&gt;"",IF(AB765="","",INDEX(시장분석!$N:$N,AB765)),IFERROR(IF(VLOOKUP(R765,매핑!$A$4:$E$92,4,0)="","미분류",VLOOKUP(R765,매핑!$A$4:$E$92,4,0)),"미분류")))</f>
        <v/>
      </c>
      <c r="AI765" s="43" t="str">
        <f aca="false">IF(Q765&lt;&gt;1,"",IFERROR(IF(VLOOKUP(R765,매핑!$A$4:$E$92,3,0)="","미분류",VLOOKUP(R765,매핑!$A$4:$E$92,3,0)),IF(AB765&lt;&gt;"",IF(AB765="","",INDEX(시장분석!$W:$W,AB765)),"미분류")))</f>
        <v/>
      </c>
      <c r="AJ765" s="43" t="str">
        <f aca="false">IF(Q765&lt;&gt;1,"",IFERROR(VLOOKUP(IF(N765&lt;&gt;"",N765,IF(P765&lt;&gt;"",P765,O765)),설정!$A$15:$D$47,2,0),""))</f>
        <v/>
      </c>
      <c r="AK765" s="43" t="str">
        <f aca="false">IF(Q765&lt;&gt;1,"",IF(AJ765="","무등급",IFERROR(VLOOKUP(AJ765,설정!$A$15:$D$47,3,0),"무등급")))</f>
        <v/>
      </c>
      <c r="AL765" s="89" t="n">
        <f aca="false">IF(AJ765="",99,IFERROR(VLOOKUP(AJ765,설정!$A$15:$D$47,4,0),99))</f>
        <v>99</v>
      </c>
      <c r="AM765" s="94" t="n">
        <f aca="false">IF(ISNUMBER(H765),AA765*1000000*H765/10000,0)</f>
        <v>0</v>
      </c>
      <c r="AN765" s="94" t="n">
        <f aca="false">IF(OR(Y765=1,NOT(ISNUMBER(Z765))),0,AA765*1000000*Z765/10000)</f>
        <v>0</v>
      </c>
      <c r="AO765" s="94" t="n">
        <f aca="false">IF(ISNUMBER(G765),AA765*1000000*G765/100,0)</f>
        <v>0</v>
      </c>
      <c r="AP765" s="94" t="n">
        <f aca="false">IF(ISNUMBER(M765),M765*K765,0)</f>
        <v>0</v>
      </c>
      <c r="AQ765" s="95" t="str">
        <f aca="false">IF(AB765="","",INDEX(시장분석!$AK:$AK,AB765))</f>
        <v/>
      </c>
      <c r="AR765" s="43" t="str">
        <f aca="false">IF(AB765="","-",IF(AB765="","",INDEX(시장분석!$AL:$AL,AB765)))</f>
        <v>-</v>
      </c>
      <c r="AS765" s="96" t="str">
        <f aca="false">IF(AB765="","",INDEX(시장분석!$AJ:$AJ,AB765))</f>
        <v/>
      </c>
      <c r="AT765" s="93" t="n">
        <f aca="false">IF(AB765="",0,IF(AB765="","",INDEX(시장분석!$AN:$AN,AB765)))</f>
        <v>0</v>
      </c>
      <c r="AU765" s="94" t="n">
        <f aca="false">IF(ISNUMBER(Z765),AT765/10000*MAX(Z765-1,0)*AA765*1000000,0)</f>
        <v>0</v>
      </c>
      <c r="AV765" s="94" t="n">
        <f aca="false">AO765+AU765</f>
        <v>0</v>
      </c>
      <c r="AW765" s="43" t="str">
        <f aca="false">IF(Q765&lt;&gt;1,"",TRIM(IF(AD765=1,"FRN ","")&amp;IF(AND(AL765&gt;=10,AL765&lt;99),"BBB0미만 ","")&amp;IF(AJ765="","등급없음 ","")&amp;IF(K765&lt;&gt;1,"비USD ","")&amp;IF(AND(AB765="",Y765=0),"시장데이터없음 ","")&amp;IF(AND(ISNUMBER(U765),U765&lt;0),"만기경과 ","")))</f>
        <v/>
      </c>
      <c r="AX765" s="90" t="n">
        <f aca="false">IF(Q765&lt;&gt;1,1,IF(스프레드쇼크!$C$4="Y",INDEX(스프레드쇼크!$B$12:$L$16,IFERROR(MATCH(AH765,스프레드쇼크!$A$12:$A$16,0),MATCH("목록외",스프레드쇼크!$A$12:$A$16,0)),IFERROR(MATCH(AG765,스프레드쇼크!$B$11:$L$11,0),MATCH("목록외",스프레드쇼크!$B$11:$L$11,0))),1))</f>
        <v>1</v>
      </c>
      <c r="AY765" s="90" t="n">
        <f aca="false">IF(스프레드쇼크!$C$5="Y",IF(ISNUMBER(AF765),MIN(스프레드쇼크!$C$7,MAX(스프레드쇼크!$C$6,AF765/스프레드쇼크!$C$8)),1),1)</f>
        <v>1</v>
      </c>
      <c r="AZ765" s="94" t="n">
        <f aca="false">AN765*AX765*AY765</f>
        <v>0</v>
      </c>
      <c r="BA765" s="90" t="n">
        <f aca="false">IF(ISNUMBER(G765),AA765*G765,0)</f>
        <v>0</v>
      </c>
      <c r="BB765" s="90" t="n">
        <f aca="false">IF(ISNUMBER(G765),AA765,0)</f>
        <v>0</v>
      </c>
      <c r="BC765" s="90" t="n">
        <f aca="false">IF(AND(Y765=0,ISNUMBER(AF765)),AA765*AF765,0)</f>
        <v>0</v>
      </c>
      <c r="BD765" s="90" t="n">
        <f aca="false">IF(AND(Y765=0,ISNUMBER(AF765)),AA765,0)</f>
        <v>0</v>
      </c>
      <c r="BE765" s="90" t="n">
        <f aca="false">IF(ISNUMBER(H765),AA765*H765,0)</f>
        <v>0</v>
      </c>
      <c r="BF765" s="90" t="n">
        <f aca="false">IF(ISNUMBER(H765),AA765,0)</f>
        <v>0</v>
      </c>
      <c r="BG765" s="90" t="n">
        <f aca="false">IF(AND(Y765=0,ISNUMBER(AF765),ISNUMBER(Z765)),AA765*Z765,0)</f>
        <v>0</v>
      </c>
      <c r="BH765" s="90" t="n">
        <f aca="false">IF(AND(Y765=0,ISNUMBER(AF765),ISNUMBER(Z765)),AA765*AT765*MAX(Z765-1,0),0)</f>
        <v>0</v>
      </c>
      <c r="BI765" s="90" t="n">
        <f aca="false">IF(Y765=0,AA765,0)</f>
        <v>0</v>
      </c>
    </row>
    <row r="766" customFormat="false" ht="15" hidden="false" customHeight="false" outlineLevel="0" collapsed="false">
      <c r="A766" s="83" t="str">
        <f aca="false">IFERROR(IF(INDEX(원자료_잔고!$A$1:$EZ$1500,설정!$L$5+ROW()-1,설정!$L$8)&amp;""="0","",INDEX(원자료_잔고!$A$1:$EZ$1500,설정!$L$5+ROW()-1,설정!$L$8)&amp;""),"")</f>
        <v/>
      </c>
      <c r="B766" s="83" t="str">
        <f aca="false">IFERROR(IF(INDEX(원자료_잔고!$A$1:$EZ$1500,설정!$L$5+ROW()-1,설정!$L$7)&amp;""="0","",INDEX(원자료_잔고!$A$1:$EZ$1500,설정!$L$5+ROW()-1,설정!$L$7)&amp;""),"")</f>
        <v/>
      </c>
      <c r="C766" s="83" t="str">
        <f aca="false">IFERROR(IF(INDEX(원자료_잔고!$A$1:$EZ$1500,설정!$L$5+ROW()-1,설정!$L$9)&amp;""="0","",INDEX(원자료_잔고!$A$1:$EZ$1500,설정!$L$5+ROW()-1,설정!$L$9)&amp;""),"")</f>
        <v/>
      </c>
      <c r="D766" s="83" t="str">
        <f aca="false">IFERROR(IF(INDEX(원자료_잔고!$A$1:$EZ$1500,설정!$L$5+ROW()-1,설정!$L$10)&amp;""="0","",INDEX(원자료_잔고!$A$1:$EZ$1500,설정!$L$5+ROW()-1,설정!$L$10)&amp;""),"")</f>
        <v/>
      </c>
      <c r="E766" s="84" t="str">
        <f aca="false">IFERROR(IF(ISNUMBER(INDEX(원자료_잔고!$A$1:$EZ$1500,설정!$L$5+ROW()-1,설정!$L$11)),INDEX(원자료_잔고!$A$1:$EZ$1500,설정!$L$5+ROW()-1,설정!$L$11),""),"")</f>
        <v/>
      </c>
      <c r="F766" s="85" t="str">
        <f aca="false">IFERROR(IF(ISNUMBER(INDEX(원자료_잔고!$A$1:$EZ$1500,설정!$L$5+ROW()-1,설정!$L$12)),INDEX(원자료_잔고!$A$1:$EZ$1500,설정!$L$5+ROW()-1,설정!$L$12),""),"")</f>
        <v/>
      </c>
      <c r="G766" s="85" t="str">
        <f aca="false">IFERROR(IF(ISNUMBER(INDEX(원자료_잔고!$A$1:$EZ$1500,설정!$L$5+ROW()-1,설정!$L$13)),INDEX(원자료_잔고!$A$1:$EZ$1500,설정!$L$5+ROW()-1,설정!$L$13),""),"")</f>
        <v/>
      </c>
      <c r="H766" s="85" t="str">
        <f aca="false">IFERROR(IF(ISNUMBER(INDEX(원자료_잔고!$A$1:$EZ$1500,설정!$L$5+ROW()-1,설정!$L$14)),INDEX(원자료_잔고!$A$1:$EZ$1500,설정!$L$5+ROW()-1,설정!$L$14),""),"")</f>
        <v/>
      </c>
      <c r="I766" s="86" t="str">
        <f aca="false">IFERROR(IF(ISNUMBER(INDEX(원자료_잔고!$A$1:$EZ$1500,설정!$L$5+ROW()-1,설정!$L$15)),INDEX(원자료_잔고!$A$1:$EZ$1500,설정!$L$5+ROW()-1,설정!$L$15),""),"")</f>
        <v/>
      </c>
      <c r="J766" s="85" t="str">
        <f aca="false">IFERROR(IF(ISNUMBER(INDEX(원자료_잔고!$A$1:$EZ$1500,설정!$L$5+ROW()-1,설정!$L$16)),INDEX(원자료_잔고!$A$1:$EZ$1500,설정!$L$5+ROW()-1,설정!$L$16),""),"")</f>
        <v/>
      </c>
      <c r="K766" s="87" t="str">
        <f aca="false">IFERROR(IF(ISNUMBER(INDEX(원자료_잔고!$A$1:$EZ$1500,설정!$L$5+ROW()-1,설정!$L$17)),INDEX(원자료_잔고!$A$1:$EZ$1500,설정!$L$5+ROW()-1,설정!$L$17),""),"")</f>
        <v/>
      </c>
      <c r="L766" s="84" t="str">
        <f aca="false">IFERROR(IF(ISNUMBER(INDEX(원자료_잔고!$A$1:$EZ$1500,설정!$L$5+ROW()-1,설정!$L$18)),INDEX(원자료_잔고!$A$1:$EZ$1500,설정!$L$5+ROW()-1,설정!$L$18),""),"")</f>
        <v/>
      </c>
      <c r="M766" s="88" t="str">
        <f aca="false">IFERROR(IF(ISNUMBER(INDEX(원자료_잔고!$A$1:$EZ$1500,설정!$L$5+ROW()-1,설정!$L$19)),INDEX(원자료_잔고!$A$1:$EZ$1500,설정!$L$5+ROW()-1,설정!$L$19),""),"")</f>
        <v/>
      </c>
      <c r="N766" s="83" t="str">
        <f aca="false">IFERROR(IF(INDEX(원자료_잔고!$A$1:$EZ$1500,설정!$L$5+ROW()-1,설정!$L$21)&amp;""="0","",INDEX(원자료_잔고!$A$1:$EZ$1500,설정!$L$5+ROW()-1,설정!$L$21)&amp;""),"")</f>
        <v/>
      </c>
      <c r="O766" s="83" t="str">
        <f aca="false">IFERROR(IF(INDEX(원자료_잔고!$A$1:$EZ$1500,설정!$L$5+ROW()-1,설정!$L$22)&amp;""="0","",INDEX(원자료_잔고!$A$1:$EZ$1500,설정!$L$5+ROW()-1,설정!$L$22)&amp;""),"")</f>
        <v/>
      </c>
      <c r="P766" s="83" t="str">
        <f aca="false">IFERROR(IF(INDEX(원자료_잔고!$A$1:$EZ$1500,설정!$L$5+ROW()-1,설정!$L$23)&amp;""="0","",INDEX(원자료_잔고!$A$1:$EZ$1500,설정!$L$5+ROW()-1,설정!$L$23)&amp;""),"")</f>
        <v/>
      </c>
      <c r="Q766" s="89" t="n">
        <f aca="false">IF(AND($A766&lt;&gt;"",ISNUMBER(E766)),IF(E766&gt;0,1,0),0)</f>
        <v>0</v>
      </c>
      <c r="R766" s="43" t="str">
        <f aca="false">IF(Q766=1,UPPER(LEFT($A766,FIND(" ",$A766&amp;" ")-1)),"")</f>
        <v/>
      </c>
      <c r="S766" s="89" t="n">
        <f aca="false">IF(Q766=1,IF(OR(ISNUMBER(SEARCH("Float",$A766)),ISNUMBER(SEARCH("FRN",$A766))),1,0),0)</f>
        <v>0</v>
      </c>
      <c r="T766" s="43" t="str">
        <f aca="false">IF(AND(Q766=1,ISNUMBER(I766)),TEXT(I766,"yyyymmdd")&amp;"|"&amp;IF(S766=1,"F",TEXT(J766,"0.000")),"")</f>
        <v/>
      </c>
      <c r="U766" s="90" t="str">
        <f aca="false">IF(AND(Q766=1,ISNUMBER(I766)),(I766-설정!$C$4)/365.25,"")</f>
        <v/>
      </c>
      <c r="V766" s="43" t="str">
        <f aca="false">IF(Q766&lt;&gt;1,"",IF(ISNUMBER(U766),IF(U766&lt;=1,"1년 이하",IF(U766&lt;=2,"1-2년",IF(U766&lt;=3,"2-3년",IF(U766&lt;=4,"3-4년",IF(U766&lt;=5,"4-5년",IF(U766&lt;=7,"5-7년",IF(U766&lt;=10,"7-10년",IF(U766&lt;=20,"10-20년","20년 이상")))))))),"미분류"))</f>
        <v/>
      </c>
      <c r="W766" s="43" t="str">
        <f aca="false">IF(Q766&lt;&gt;1,"",IF(AB766&lt;&gt;"",INDEX(시장분석!$C:$C,AB766),IF(K766=1,"USD","비USD")))</f>
        <v/>
      </c>
      <c r="X766" s="91" t="n">
        <f aca="false">IF(Q766=1,E766*K766/1000000,0)</f>
        <v>0</v>
      </c>
      <c r="Y766" s="89" t="n">
        <f aca="false">IF(R766="T",1,0)</f>
        <v>0</v>
      </c>
      <c r="Z766" s="92" t="str">
        <f aca="false">IF(Q766&lt;&gt;1,"",IF(AD766=1,IF(ISNUMBER(U766),MAX(U766,0),H766),H766))</f>
        <v/>
      </c>
      <c r="AA766" s="91" t="n">
        <f aca="false">IF(Q766=1,IF(ISNUMBER(L766),L766,0)*K766/1000000,0)</f>
        <v>0</v>
      </c>
      <c r="AB766" s="89" t="str">
        <f aca="false">IF(Q766&lt;&gt;1,"",IFERROR(MATCH(VLOOKUP(B766,매핑!$H$4:$I$15,2,0),시장분석!$A$2:$A$601,0)+1,IFERROR(MATCH(R766&amp;"|"&amp;T766,시장분석!$V$2:$V$601,0)+1,IF(COUNTIF(시장분석!$U$2:$U$601,T766)=1,MATCH(T766,시장분석!$U$2:$U$601,0)+1,""))))</f>
        <v/>
      </c>
      <c r="AC766" s="89" t="n">
        <f aca="false">IF(Q766&lt;&gt;1,0,IF(OR(설정!$C$5="전체",AND(설정!$C$5="선택펀드",IFERROR(COUNTIFS(설정!$F$16:$F$36,C766,설정!$G$16:$G$36,"Y")+COUNTIFS(설정!$F$16:$F$36,VALUE(C766),설정!$G$16:$G$36,"Y"),0)&gt;0),C766&amp;""=설정!$C$5&amp;""),1,0))</f>
        <v>0</v>
      </c>
      <c r="AD766" s="89" t="n">
        <f aca="false">IF(Q766&lt;&gt;1,0,IF(OR(S766=1,IF(AB766="",FALSE(),INDEX(시장분석!$R:$R,AB766)=1)),1,0))</f>
        <v>0</v>
      </c>
      <c r="AE766" s="43" t="str">
        <f aca="false">IF(AB766="","",INDEX(시장분석!$A:$A,AB766))</f>
        <v/>
      </c>
      <c r="AF766" s="93" t="str">
        <f aca="false">IF(AB766="","",IF(ISNUMBER(IF(AB766="","",INDEX(시장분석!$E:$E,AB766))),IF(AB766="","",INDEX(시장분석!$E:$E,AB766)),""))</f>
        <v/>
      </c>
      <c r="AG766" s="43" t="str">
        <f aca="false">IF(Q766&lt;&gt;1,"",IF(AB766&lt;&gt;"",IF(AB766="","",INDEX(시장분석!$L:$L,AB766)),IFERROR(IF(VLOOKUP(R766,매핑!$A$4:$E$92,5,0)="","미분류",VLOOKUP(R766,매핑!$A$4:$E$92,5,0)),"미분류")))</f>
        <v/>
      </c>
      <c r="AH766" s="43" t="str">
        <f aca="false">IF(Q766&lt;&gt;1,"",IF(AB766&lt;&gt;"",IF(AB766="","",INDEX(시장분석!$N:$N,AB766)),IFERROR(IF(VLOOKUP(R766,매핑!$A$4:$E$92,4,0)="","미분류",VLOOKUP(R766,매핑!$A$4:$E$92,4,0)),"미분류")))</f>
        <v/>
      </c>
      <c r="AI766" s="43" t="str">
        <f aca="false">IF(Q766&lt;&gt;1,"",IFERROR(IF(VLOOKUP(R766,매핑!$A$4:$E$92,3,0)="","미분류",VLOOKUP(R766,매핑!$A$4:$E$92,3,0)),IF(AB766&lt;&gt;"",IF(AB766="","",INDEX(시장분석!$W:$W,AB766)),"미분류")))</f>
        <v/>
      </c>
      <c r="AJ766" s="43" t="str">
        <f aca="false">IF(Q766&lt;&gt;1,"",IFERROR(VLOOKUP(IF(N766&lt;&gt;"",N766,IF(P766&lt;&gt;"",P766,O766)),설정!$A$15:$D$47,2,0),""))</f>
        <v/>
      </c>
      <c r="AK766" s="43" t="str">
        <f aca="false">IF(Q766&lt;&gt;1,"",IF(AJ766="","무등급",IFERROR(VLOOKUP(AJ766,설정!$A$15:$D$47,3,0),"무등급")))</f>
        <v/>
      </c>
      <c r="AL766" s="89" t="n">
        <f aca="false">IF(AJ766="",99,IFERROR(VLOOKUP(AJ766,설정!$A$15:$D$47,4,0),99))</f>
        <v>99</v>
      </c>
      <c r="AM766" s="94" t="n">
        <f aca="false">IF(ISNUMBER(H766),AA766*1000000*H766/10000,0)</f>
        <v>0</v>
      </c>
      <c r="AN766" s="94" t="n">
        <f aca="false">IF(OR(Y766=1,NOT(ISNUMBER(Z766))),0,AA766*1000000*Z766/10000)</f>
        <v>0</v>
      </c>
      <c r="AO766" s="94" t="n">
        <f aca="false">IF(ISNUMBER(G766),AA766*1000000*G766/100,0)</f>
        <v>0</v>
      </c>
      <c r="AP766" s="94" t="n">
        <f aca="false">IF(ISNUMBER(M766),M766*K766,0)</f>
        <v>0</v>
      </c>
      <c r="AQ766" s="95" t="str">
        <f aca="false">IF(AB766="","",INDEX(시장분석!$AK:$AK,AB766))</f>
        <v/>
      </c>
      <c r="AR766" s="43" t="str">
        <f aca="false">IF(AB766="","-",IF(AB766="","",INDEX(시장분석!$AL:$AL,AB766)))</f>
        <v>-</v>
      </c>
      <c r="AS766" s="96" t="str">
        <f aca="false">IF(AB766="","",INDEX(시장분석!$AJ:$AJ,AB766))</f>
        <v/>
      </c>
      <c r="AT766" s="93" t="n">
        <f aca="false">IF(AB766="",0,IF(AB766="","",INDEX(시장분석!$AN:$AN,AB766)))</f>
        <v>0</v>
      </c>
      <c r="AU766" s="94" t="n">
        <f aca="false">IF(ISNUMBER(Z766),AT766/10000*MAX(Z766-1,0)*AA766*1000000,0)</f>
        <v>0</v>
      </c>
      <c r="AV766" s="94" t="n">
        <f aca="false">AO766+AU766</f>
        <v>0</v>
      </c>
      <c r="AW766" s="43" t="str">
        <f aca="false">IF(Q766&lt;&gt;1,"",TRIM(IF(AD766=1,"FRN ","")&amp;IF(AND(AL766&gt;=10,AL766&lt;99),"BBB0미만 ","")&amp;IF(AJ766="","등급없음 ","")&amp;IF(K766&lt;&gt;1,"비USD ","")&amp;IF(AND(AB766="",Y766=0),"시장데이터없음 ","")&amp;IF(AND(ISNUMBER(U766),U766&lt;0),"만기경과 ","")))</f>
        <v/>
      </c>
      <c r="AX766" s="90" t="n">
        <f aca="false">IF(Q766&lt;&gt;1,1,IF(스프레드쇼크!$C$4="Y",INDEX(스프레드쇼크!$B$12:$L$16,IFERROR(MATCH(AH766,스프레드쇼크!$A$12:$A$16,0),MATCH("목록외",스프레드쇼크!$A$12:$A$16,0)),IFERROR(MATCH(AG766,스프레드쇼크!$B$11:$L$11,0),MATCH("목록외",스프레드쇼크!$B$11:$L$11,0))),1))</f>
        <v>1</v>
      </c>
      <c r="AY766" s="90" t="n">
        <f aca="false">IF(스프레드쇼크!$C$5="Y",IF(ISNUMBER(AF766),MIN(스프레드쇼크!$C$7,MAX(스프레드쇼크!$C$6,AF766/스프레드쇼크!$C$8)),1),1)</f>
        <v>1</v>
      </c>
      <c r="AZ766" s="94" t="n">
        <f aca="false">AN766*AX766*AY766</f>
        <v>0</v>
      </c>
      <c r="BA766" s="90" t="n">
        <f aca="false">IF(ISNUMBER(G766),AA766*G766,0)</f>
        <v>0</v>
      </c>
      <c r="BB766" s="90" t="n">
        <f aca="false">IF(ISNUMBER(G766),AA766,0)</f>
        <v>0</v>
      </c>
      <c r="BC766" s="90" t="n">
        <f aca="false">IF(AND(Y766=0,ISNUMBER(AF766)),AA766*AF766,0)</f>
        <v>0</v>
      </c>
      <c r="BD766" s="90" t="n">
        <f aca="false">IF(AND(Y766=0,ISNUMBER(AF766)),AA766,0)</f>
        <v>0</v>
      </c>
      <c r="BE766" s="90" t="n">
        <f aca="false">IF(ISNUMBER(H766),AA766*H766,0)</f>
        <v>0</v>
      </c>
      <c r="BF766" s="90" t="n">
        <f aca="false">IF(ISNUMBER(H766),AA766,0)</f>
        <v>0</v>
      </c>
      <c r="BG766" s="90" t="n">
        <f aca="false">IF(AND(Y766=0,ISNUMBER(AF766),ISNUMBER(Z766)),AA766*Z766,0)</f>
        <v>0</v>
      </c>
      <c r="BH766" s="90" t="n">
        <f aca="false">IF(AND(Y766=0,ISNUMBER(AF766),ISNUMBER(Z766)),AA766*AT766*MAX(Z766-1,0),0)</f>
        <v>0</v>
      </c>
      <c r="BI766" s="90" t="n">
        <f aca="false">IF(Y766=0,AA766,0)</f>
        <v>0</v>
      </c>
    </row>
    <row r="767" customFormat="false" ht="15" hidden="false" customHeight="false" outlineLevel="0" collapsed="false">
      <c r="A767" s="83" t="str">
        <f aca="false">IFERROR(IF(INDEX(원자료_잔고!$A$1:$EZ$1500,설정!$L$5+ROW()-1,설정!$L$8)&amp;""="0","",INDEX(원자료_잔고!$A$1:$EZ$1500,설정!$L$5+ROW()-1,설정!$L$8)&amp;""),"")</f>
        <v/>
      </c>
      <c r="B767" s="83" t="str">
        <f aca="false">IFERROR(IF(INDEX(원자료_잔고!$A$1:$EZ$1500,설정!$L$5+ROW()-1,설정!$L$7)&amp;""="0","",INDEX(원자료_잔고!$A$1:$EZ$1500,설정!$L$5+ROW()-1,설정!$L$7)&amp;""),"")</f>
        <v/>
      </c>
      <c r="C767" s="83" t="str">
        <f aca="false">IFERROR(IF(INDEX(원자료_잔고!$A$1:$EZ$1500,설정!$L$5+ROW()-1,설정!$L$9)&amp;""="0","",INDEX(원자료_잔고!$A$1:$EZ$1500,설정!$L$5+ROW()-1,설정!$L$9)&amp;""),"")</f>
        <v/>
      </c>
      <c r="D767" s="83" t="str">
        <f aca="false">IFERROR(IF(INDEX(원자료_잔고!$A$1:$EZ$1500,설정!$L$5+ROW()-1,설정!$L$10)&amp;""="0","",INDEX(원자료_잔고!$A$1:$EZ$1500,설정!$L$5+ROW()-1,설정!$L$10)&amp;""),"")</f>
        <v/>
      </c>
      <c r="E767" s="84" t="str">
        <f aca="false">IFERROR(IF(ISNUMBER(INDEX(원자료_잔고!$A$1:$EZ$1500,설정!$L$5+ROW()-1,설정!$L$11)),INDEX(원자료_잔고!$A$1:$EZ$1500,설정!$L$5+ROW()-1,설정!$L$11),""),"")</f>
        <v/>
      </c>
      <c r="F767" s="85" t="str">
        <f aca="false">IFERROR(IF(ISNUMBER(INDEX(원자료_잔고!$A$1:$EZ$1500,설정!$L$5+ROW()-1,설정!$L$12)),INDEX(원자료_잔고!$A$1:$EZ$1500,설정!$L$5+ROW()-1,설정!$L$12),""),"")</f>
        <v/>
      </c>
      <c r="G767" s="85" t="str">
        <f aca="false">IFERROR(IF(ISNUMBER(INDEX(원자료_잔고!$A$1:$EZ$1500,설정!$L$5+ROW()-1,설정!$L$13)),INDEX(원자료_잔고!$A$1:$EZ$1500,설정!$L$5+ROW()-1,설정!$L$13),""),"")</f>
        <v/>
      </c>
      <c r="H767" s="85" t="str">
        <f aca="false">IFERROR(IF(ISNUMBER(INDEX(원자료_잔고!$A$1:$EZ$1500,설정!$L$5+ROW()-1,설정!$L$14)),INDEX(원자료_잔고!$A$1:$EZ$1500,설정!$L$5+ROW()-1,설정!$L$14),""),"")</f>
        <v/>
      </c>
      <c r="I767" s="86" t="str">
        <f aca="false">IFERROR(IF(ISNUMBER(INDEX(원자료_잔고!$A$1:$EZ$1500,설정!$L$5+ROW()-1,설정!$L$15)),INDEX(원자료_잔고!$A$1:$EZ$1500,설정!$L$5+ROW()-1,설정!$L$15),""),"")</f>
        <v/>
      </c>
      <c r="J767" s="85" t="str">
        <f aca="false">IFERROR(IF(ISNUMBER(INDEX(원자료_잔고!$A$1:$EZ$1500,설정!$L$5+ROW()-1,설정!$L$16)),INDEX(원자료_잔고!$A$1:$EZ$1500,설정!$L$5+ROW()-1,설정!$L$16),""),"")</f>
        <v/>
      </c>
      <c r="K767" s="87" t="str">
        <f aca="false">IFERROR(IF(ISNUMBER(INDEX(원자료_잔고!$A$1:$EZ$1500,설정!$L$5+ROW()-1,설정!$L$17)),INDEX(원자료_잔고!$A$1:$EZ$1500,설정!$L$5+ROW()-1,설정!$L$17),""),"")</f>
        <v/>
      </c>
      <c r="L767" s="84" t="str">
        <f aca="false">IFERROR(IF(ISNUMBER(INDEX(원자료_잔고!$A$1:$EZ$1500,설정!$L$5+ROW()-1,설정!$L$18)),INDEX(원자료_잔고!$A$1:$EZ$1500,설정!$L$5+ROW()-1,설정!$L$18),""),"")</f>
        <v/>
      </c>
      <c r="M767" s="88" t="str">
        <f aca="false">IFERROR(IF(ISNUMBER(INDEX(원자료_잔고!$A$1:$EZ$1500,설정!$L$5+ROW()-1,설정!$L$19)),INDEX(원자료_잔고!$A$1:$EZ$1500,설정!$L$5+ROW()-1,설정!$L$19),""),"")</f>
        <v/>
      </c>
      <c r="N767" s="83" t="str">
        <f aca="false">IFERROR(IF(INDEX(원자료_잔고!$A$1:$EZ$1500,설정!$L$5+ROW()-1,설정!$L$21)&amp;""="0","",INDEX(원자료_잔고!$A$1:$EZ$1500,설정!$L$5+ROW()-1,설정!$L$21)&amp;""),"")</f>
        <v/>
      </c>
      <c r="O767" s="83" t="str">
        <f aca="false">IFERROR(IF(INDEX(원자료_잔고!$A$1:$EZ$1500,설정!$L$5+ROW()-1,설정!$L$22)&amp;""="0","",INDEX(원자료_잔고!$A$1:$EZ$1500,설정!$L$5+ROW()-1,설정!$L$22)&amp;""),"")</f>
        <v/>
      </c>
      <c r="P767" s="83" t="str">
        <f aca="false">IFERROR(IF(INDEX(원자료_잔고!$A$1:$EZ$1500,설정!$L$5+ROW()-1,설정!$L$23)&amp;""="0","",INDEX(원자료_잔고!$A$1:$EZ$1500,설정!$L$5+ROW()-1,설정!$L$23)&amp;""),"")</f>
        <v/>
      </c>
      <c r="Q767" s="89" t="n">
        <f aca="false">IF(AND($A767&lt;&gt;"",ISNUMBER(E767)),IF(E767&gt;0,1,0),0)</f>
        <v>0</v>
      </c>
      <c r="R767" s="43" t="str">
        <f aca="false">IF(Q767=1,UPPER(LEFT($A767,FIND(" ",$A767&amp;" ")-1)),"")</f>
        <v/>
      </c>
      <c r="S767" s="89" t="n">
        <f aca="false">IF(Q767=1,IF(OR(ISNUMBER(SEARCH("Float",$A767)),ISNUMBER(SEARCH("FRN",$A767))),1,0),0)</f>
        <v>0</v>
      </c>
      <c r="T767" s="43" t="str">
        <f aca="false">IF(AND(Q767=1,ISNUMBER(I767)),TEXT(I767,"yyyymmdd")&amp;"|"&amp;IF(S767=1,"F",TEXT(J767,"0.000")),"")</f>
        <v/>
      </c>
      <c r="U767" s="90" t="str">
        <f aca="false">IF(AND(Q767=1,ISNUMBER(I767)),(I767-설정!$C$4)/365.25,"")</f>
        <v/>
      </c>
      <c r="V767" s="43" t="str">
        <f aca="false">IF(Q767&lt;&gt;1,"",IF(ISNUMBER(U767),IF(U767&lt;=1,"1년 이하",IF(U767&lt;=2,"1-2년",IF(U767&lt;=3,"2-3년",IF(U767&lt;=4,"3-4년",IF(U767&lt;=5,"4-5년",IF(U767&lt;=7,"5-7년",IF(U767&lt;=10,"7-10년",IF(U767&lt;=20,"10-20년","20년 이상")))))))),"미분류"))</f>
        <v/>
      </c>
      <c r="W767" s="43" t="str">
        <f aca="false">IF(Q767&lt;&gt;1,"",IF(AB767&lt;&gt;"",INDEX(시장분석!$C:$C,AB767),IF(K767=1,"USD","비USD")))</f>
        <v/>
      </c>
      <c r="X767" s="91" t="n">
        <f aca="false">IF(Q767=1,E767*K767/1000000,0)</f>
        <v>0</v>
      </c>
      <c r="Y767" s="89" t="n">
        <f aca="false">IF(R767="T",1,0)</f>
        <v>0</v>
      </c>
      <c r="Z767" s="92" t="str">
        <f aca="false">IF(Q767&lt;&gt;1,"",IF(AD767=1,IF(ISNUMBER(U767),MAX(U767,0),H767),H767))</f>
        <v/>
      </c>
      <c r="AA767" s="91" t="n">
        <f aca="false">IF(Q767=1,IF(ISNUMBER(L767),L767,0)*K767/1000000,0)</f>
        <v>0</v>
      </c>
      <c r="AB767" s="89" t="str">
        <f aca="false">IF(Q767&lt;&gt;1,"",IFERROR(MATCH(VLOOKUP(B767,매핑!$H$4:$I$15,2,0),시장분석!$A$2:$A$601,0)+1,IFERROR(MATCH(R767&amp;"|"&amp;T767,시장분석!$V$2:$V$601,0)+1,IF(COUNTIF(시장분석!$U$2:$U$601,T767)=1,MATCH(T767,시장분석!$U$2:$U$601,0)+1,""))))</f>
        <v/>
      </c>
      <c r="AC767" s="89" t="n">
        <f aca="false">IF(Q767&lt;&gt;1,0,IF(OR(설정!$C$5="전체",AND(설정!$C$5="선택펀드",IFERROR(COUNTIFS(설정!$F$16:$F$36,C767,설정!$G$16:$G$36,"Y")+COUNTIFS(설정!$F$16:$F$36,VALUE(C767),설정!$G$16:$G$36,"Y"),0)&gt;0),C767&amp;""=설정!$C$5&amp;""),1,0))</f>
        <v>0</v>
      </c>
      <c r="AD767" s="89" t="n">
        <f aca="false">IF(Q767&lt;&gt;1,0,IF(OR(S767=1,IF(AB767="",FALSE(),INDEX(시장분석!$R:$R,AB767)=1)),1,0))</f>
        <v>0</v>
      </c>
      <c r="AE767" s="43" t="str">
        <f aca="false">IF(AB767="","",INDEX(시장분석!$A:$A,AB767))</f>
        <v/>
      </c>
      <c r="AF767" s="93" t="str">
        <f aca="false">IF(AB767="","",IF(ISNUMBER(IF(AB767="","",INDEX(시장분석!$E:$E,AB767))),IF(AB767="","",INDEX(시장분석!$E:$E,AB767)),""))</f>
        <v/>
      </c>
      <c r="AG767" s="43" t="str">
        <f aca="false">IF(Q767&lt;&gt;1,"",IF(AB767&lt;&gt;"",IF(AB767="","",INDEX(시장분석!$L:$L,AB767)),IFERROR(IF(VLOOKUP(R767,매핑!$A$4:$E$92,5,0)="","미분류",VLOOKUP(R767,매핑!$A$4:$E$92,5,0)),"미분류")))</f>
        <v/>
      </c>
      <c r="AH767" s="43" t="str">
        <f aca="false">IF(Q767&lt;&gt;1,"",IF(AB767&lt;&gt;"",IF(AB767="","",INDEX(시장분석!$N:$N,AB767)),IFERROR(IF(VLOOKUP(R767,매핑!$A$4:$E$92,4,0)="","미분류",VLOOKUP(R767,매핑!$A$4:$E$92,4,0)),"미분류")))</f>
        <v/>
      </c>
      <c r="AI767" s="43" t="str">
        <f aca="false">IF(Q767&lt;&gt;1,"",IFERROR(IF(VLOOKUP(R767,매핑!$A$4:$E$92,3,0)="","미분류",VLOOKUP(R767,매핑!$A$4:$E$92,3,0)),IF(AB767&lt;&gt;"",IF(AB767="","",INDEX(시장분석!$W:$W,AB767)),"미분류")))</f>
        <v/>
      </c>
      <c r="AJ767" s="43" t="str">
        <f aca="false">IF(Q767&lt;&gt;1,"",IFERROR(VLOOKUP(IF(N767&lt;&gt;"",N767,IF(P767&lt;&gt;"",P767,O767)),설정!$A$15:$D$47,2,0),""))</f>
        <v/>
      </c>
      <c r="AK767" s="43" t="str">
        <f aca="false">IF(Q767&lt;&gt;1,"",IF(AJ767="","무등급",IFERROR(VLOOKUP(AJ767,설정!$A$15:$D$47,3,0),"무등급")))</f>
        <v/>
      </c>
      <c r="AL767" s="89" t="n">
        <f aca="false">IF(AJ767="",99,IFERROR(VLOOKUP(AJ767,설정!$A$15:$D$47,4,0),99))</f>
        <v>99</v>
      </c>
      <c r="AM767" s="94" t="n">
        <f aca="false">IF(ISNUMBER(H767),AA767*1000000*H767/10000,0)</f>
        <v>0</v>
      </c>
      <c r="AN767" s="94" t="n">
        <f aca="false">IF(OR(Y767=1,NOT(ISNUMBER(Z767))),0,AA767*1000000*Z767/10000)</f>
        <v>0</v>
      </c>
      <c r="AO767" s="94" t="n">
        <f aca="false">IF(ISNUMBER(G767),AA767*1000000*G767/100,0)</f>
        <v>0</v>
      </c>
      <c r="AP767" s="94" t="n">
        <f aca="false">IF(ISNUMBER(M767),M767*K767,0)</f>
        <v>0</v>
      </c>
      <c r="AQ767" s="95" t="str">
        <f aca="false">IF(AB767="","",INDEX(시장분석!$AK:$AK,AB767))</f>
        <v/>
      </c>
      <c r="AR767" s="43" t="str">
        <f aca="false">IF(AB767="","-",IF(AB767="","",INDEX(시장분석!$AL:$AL,AB767)))</f>
        <v>-</v>
      </c>
      <c r="AS767" s="96" t="str">
        <f aca="false">IF(AB767="","",INDEX(시장분석!$AJ:$AJ,AB767))</f>
        <v/>
      </c>
      <c r="AT767" s="93" t="n">
        <f aca="false">IF(AB767="",0,IF(AB767="","",INDEX(시장분석!$AN:$AN,AB767)))</f>
        <v>0</v>
      </c>
      <c r="AU767" s="94" t="n">
        <f aca="false">IF(ISNUMBER(Z767),AT767/10000*MAX(Z767-1,0)*AA767*1000000,0)</f>
        <v>0</v>
      </c>
      <c r="AV767" s="94" t="n">
        <f aca="false">AO767+AU767</f>
        <v>0</v>
      </c>
      <c r="AW767" s="43" t="str">
        <f aca="false">IF(Q767&lt;&gt;1,"",TRIM(IF(AD767=1,"FRN ","")&amp;IF(AND(AL767&gt;=10,AL767&lt;99),"BBB0미만 ","")&amp;IF(AJ767="","등급없음 ","")&amp;IF(K767&lt;&gt;1,"비USD ","")&amp;IF(AND(AB767="",Y767=0),"시장데이터없음 ","")&amp;IF(AND(ISNUMBER(U767),U767&lt;0),"만기경과 ","")))</f>
        <v/>
      </c>
      <c r="AX767" s="90" t="n">
        <f aca="false">IF(Q767&lt;&gt;1,1,IF(스프레드쇼크!$C$4="Y",INDEX(스프레드쇼크!$B$12:$L$16,IFERROR(MATCH(AH767,스프레드쇼크!$A$12:$A$16,0),MATCH("목록외",스프레드쇼크!$A$12:$A$16,0)),IFERROR(MATCH(AG767,스프레드쇼크!$B$11:$L$11,0),MATCH("목록외",스프레드쇼크!$B$11:$L$11,0))),1))</f>
        <v>1</v>
      </c>
      <c r="AY767" s="90" t="n">
        <f aca="false">IF(스프레드쇼크!$C$5="Y",IF(ISNUMBER(AF767),MIN(스프레드쇼크!$C$7,MAX(스프레드쇼크!$C$6,AF767/스프레드쇼크!$C$8)),1),1)</f>
        <v>1</v>
      </c>
      <c r="AZ767" s="94" t="n">
        <f aca="false">AN767*AX767*AY767</f>
        <v>0</v>
      </c>
      <c r="BA767" s="90" t="n">
        <f aca="false">IF(ISNUMBER(G767),AA767*G767,0)</f>
        <v>0</v>
      </c>
      <c r="BB767" s="90" t="n">
        <f aca="false">IF(ISNUMBER(G767),AA767,0)</f>
        <v>0</v>
      </c>
      <c r="BC767" s="90" t="n">
        <f aca="false">IF(AND(Y767=0,ISNUMBER(AF767)),AA767*AF767,0)</f>
        <v>0</v>
      </c>
      <c r="BD767" s="90" t="n">
        <f aca="false">IF(AND(Y767=0,ISNUMBER(AF767)),AA767,0)</f>
        <v>0</v>
      </c>
      <c r="BE767" s="90" t="n">
        <f aca="false">IF(ISNUMBER(H767),AA767*H767,0)</f>
        <v>0</v>
      </c>
      <c r="BF767" s="90" t="n">
        <f aca="false">IF(ISNUMBER(H767),AA767,0)</f>
        <v>0</v>
      </c>
      <c r="BG767" s="90" t="n">
        <f aca="false">IF(AND(Y767=0,ISNUMBER(AF767),ISNUMBER(Z767)),AA767*Z767,0)</f>
        <v>0</v>
      </c>
      <c r="BH767" s="90" t="n">
        <f aca="false">IF(AND(Y767=0,ISNUMBER(AF767),ISNUMBER(Z767)),AA767*AT767*MAX(Z767-1,0),0)</f>
        <v>0</v>
      </c>
      <c r="BI767" s="90" t="n">
        <f aca="false">IF(Y767=0,AA767,0)</f>
        <v>0</v>
      </c>
    </row>
    <row r="768" customFormat="false" ht="15" hidden="false" customHeight="false" outlineLevel="0" collapsed="false">
      <c r="A768" s="83" t="str">
        <f aca="false">IFERROR(IF(INDEX(원자료_잔고!$A$1:$EZ$1500,설정!$L$5+ROW()-1,설정!$L$8)&amp;""="0","",INDEX(원자료_잔고!$A$1:$EZ$1500,설정!$L$5+ROW()-1,설정!$L$8)&amp;""),"")</f>
        <v/>
      </c>
      <c r="B768" s="83" t="str">
        <f aca="false">IFERROR(IF(INDEX(원자료_잔고!$A$1:$EZ$1500,설정!$L$5+ROW()-1,설정!$L$7)&amp;""="0","",INDEX(원자료_잔고!$A$1:$EZ$1500,설정!$L$5+ROW()-1,설정!$L$7)&amp;""),"")</f>
        <v/>
      </c>
      <c r="C768" s="83" t="str">
        <f aca="false">IFERROR(IF(INDEX(원자료_잔고!$A$1:$EZ$1500,설정!$L$5+ROW()-1,설정!$L$9)&amp;""="0","",INDEX(원자료_잔고!$A$1:$EZ$1500,설정!$L$5+ROW()-1,설정!$L$9)&amp;""),"")</f>
        <v/>
      </c>
      <c r="D768" s="83" t="str">
        <f aca="false">IFERROR(IF(INDEX(원자료_잔고!$A$1:$EZ$1500,설정!$L$5+ROW()-1,설정!$L$10)&amp;""="0","",INDEX(원자료_잔고!$A$1:$EZ$1500,설정!$L$5+ROW()-1,설정!$L$10)&amp;""),"")</f>
        <v/>
      </c>
      <c r="E768" s="84" t="str">
        <f aca="false">IFERROR(IF(ISNUMBER(INDEX(원자료_잔고!$A$1:$EZ$1500,설정!$L$5+ROW()-1,설정!$L$11)),INDEX(원자료_잔고!$A$1:$EZ$1500,설정!$L$5+ROW()-1,설정!$L$11),""),"")</f>
        <v/>
      </c>
      <c r="F768" s="85" t="str">
        <f aca="false">IFERROR(IF(ISNUMBER(INDEX(원자료_잔고!$A$1:$EZ$1500,설정!$L$5+ROW()-1,설정!$L$12)),INDEX(원자료_잔고!$A$1:$EZ$1500,설정!$L$5+ROW()-1,설정!$L$12),""),"")</f>
        <v/>
      </c>
      <c r="G768" s="85" t="str">
        <f aca="false">IFERROR(IF(ISNUMBER(INDEX(원자료_잔고!$A$1:$EZ$1500,설정!$L$5+ROW()-1,설정!$L$13)),INDEX(원자료_잔고!$A$1:$EZ$1500,설정!$L$5+ROW()-1,설정!$L$13),""),"")</f>
        <v/>
      </c>
      <c r="H768" s="85" t="str">
        <f aca="false">IFERROR(IF(ISNUMBER(INDEX(원자료_잔고!$A$1:$EZ$1500,설정!$L$5+ROW()-1,설정!$L$14)),INDEX(원자료_잔고!$A$1:$EZ$1500,설정!$L$5+ROW()-1,설정!$L$14),""),"")</f>
        <v/>
      </c>
      <c r="I768" s="86" t="str">
        <f aca="false">IFERROR(IF(ISNUMBER(INDEX(원자료_잔고!$A$1:$EZ$1500,설정!$L$5+ROW()-1,설정!$L$15)),INDEX(원자료_잔고!$A$1:$EZ$1500,설정!$L$5+ROW()-1,설정!$L$15),""),"")</f>
        <v/>
      </c>
      <c r="J768" s="85" t="str">
        <f aca="false">IFERROR(IF(ISNUMBER(INDEX(원자료_잔고!$A$1:$EZ$1500,설정!$L$5+ROW()-1,설정!$L$16)),INDEX(원자료_잔고!$A$1:$EZ$1500,설정!$L$5+ROW()-1,설정!$L$16),""),"")</f>
        <v/>
      </c>
      <c r="K768" s="87" t="str">
        <f aca="false">IFERROR(IF(ISNUMBER(INDEX(원자료_잔고!$A$1:$EZ$1500,설정!$L$5+ROW()-1,설정!$L$17)),INDEX(원자료_잔고!$A$1:$EZ$1500,설정!$L$5+ROW()-1,설정!$L$17),""),"")</f>
        <v/>
      </c>
      <c r="L768" s="84" t="str">
        <f aca="false">IFERROR(IF(ISNUMBER(INDEX(원자료_잔고!$A$1:$EZ$1500,설정!$L$5+ROW()-1,설정!$L$18)),INDEX(원자료_잔고!$A$1:$EZ$1500,설정!$L$5+ROW()-1,설정!$L$18),""),"")</f>
        <v/>
      </c>
      <c r="M768" s="88" t="str">
        <f aca="false">IFERROR(IF(ISNUMBER(INDEX(원자료_잔고!$A$1:$EZ$1500,설정!$L$5+ROW()-1,설정!$L$19)),INDEX(원자료_잔고!$A$1:$EZ$1500,설정!$L$5+ROW()-1,설정!$L$19),""),"")</f>
        <v/>
      </c>
      <c r="N768" s="83" t="str">
        <f aca="false">IFERROR(IF(INDEX(원자료_잔고!$A$1:$EZ$1500,설정!$L$5+ROW()-1,설정!$L$21)&amp;""="0","",INDEX(원자료_잔고!$A$1:$EZ$1500,설정!$L$5+ROW()-1,설정!$L$21)&amp;""),"")</f>
        <v/>
      </c>
      <c r="O768" s="83" t="str">
        <f aca="false">IFERROR(IF(INDEX(원자료_잔고!$A$1:$EZ$1500,설정!$L$5+ROW()-1,설정!$L$22)&amp;""="0","",INDEX(원자료_잔고!$A$1:$EZ$1500,설정!$L$5+ROW()-1,설정!$L$22)&amp;""),"")</f>
        <v/>
      </c>
      <c r="P768" s="83" t="str">
        <f aca="false">IFERROR(IF(INDEX(원자료_잔고!$A$1:$EZ$1500,설정!$L$5+ROW()-1,설정!$L$23)&amp;""="0","",INDEX(원자료_잔고!$A$1:$EZ$1500,설정!$L$5+ROW()-1,설정!$L$23)&amp;""),"")</f>
        <v/>
      </c>
      <c r="Q768" s="89" t="n">
        <f aca="false">IF(AND($A768&lt;&gt;"",ISNUMBER(E768)),IF(E768&gt;0,1,0),0)</f>
        <v>0</v>
      </c>
      <c r="R768" s="43" t="str">
        <f aca="false">IF(Q768=1,UPPER(LEFT($A768,FIND(" ",$A768&amp;" ")-1)),"")</f>
        <v/>
      </c>
      <c r="S768" s="89" t="n">
        <f aca="false">IF(Q768=1,IF(OR(ISNUMBER(SEARCH("Float",$A768)),ISNUMBER(SEARCH("FRN",$A768))),1,0),0)</f>
        <v>0</v>
      </c>
      <c r="T768" s="43" t="str">
        <f aca="false">IF(AND(Q768=1,ISNUMBER(I768)),TEXT(I768,"yyyymmdd")&amp;"|"&amp;IF(S768=1,"F",TEXT(J768,"0.000")),"")</f>
        <v/>
      </c>
      <c r="U768" s="90" t="str">
        <f aca="false">IF(AND(Q768=1,ISNUMBER(I768)),(I768-설정!$C$4)/365.25,"")</f>
        <v/>
      </c>
      <c r="V768" s="43" t="str">
        <f aca="false">IF(Q768&lt;&gt;1,"",IF(ISNUMBER(U768),IF(U768&lt;=1,"1년 이하",IF(U768&lt;=2,"1-2년",IF(U768&lt;=3,"2-3년",IF(U768&lt;=4,"3-4년",IF(U768&lt;=5,"4-5년",IF(U768&lt;=7,"5-7년",IF(U768&lt;=10,"7-10년",IF(U768&lt;=20,"10-20년","20년 이상")))))))),"미분류"))</f>
        <v/>
      </c>
      <c r="W768" s="43" t="str">
        <f aca="false">IF(Q768&lt;&gt;1,"",IF(AB768&lt;&gt;"",INDEX(시장분석!$C:$C,AB768),IF(K768=1,"USD","비USD")))</f>
        <v/>
      </c>
      <c r="X768" s="91" t="n">
        <f aca="false">IF(Q768=1,E768*K768/1000000,0)</f>
        <v>0</v>
      </c>
      <c r="Y768" s="89" t="n">
        <f aca="false">IF(R768="T",1,0)</f>
        <v>0</v>
      </c>
      <c r="Z768" s="92" t="str">
        <f aca="false">IF(Q768&lt;&gt;1,"",IF(AD768=1,IF(ISNUMBER(U768),MAX(U768,0),H768),H768))</f>
        <v/>
      </c>
      <c r="AA768" s="91" t="n">
        <f aca="false">IF(Q768=1,IF(ISNUMBER(L768),L768,0)*K768/1000000,0)</f>
        <v>0</v>
      </c>
      <c r="AB768" s="89" t="str">
        <f aca="false">IF(Q768&lt;&gt;1,"",IFERROR(MATCH(VLOOKUP(B768,매핑!$H$4:$I$15,2,0),시장분석!$A$2:$A$601,0)+1,IFERROR(MATCH(R768&amp;"|"&amp;T768,시장분석!$V$2:$V$601,0)+1,IF(COUNTIF(시장분석!$U$2:$U$601,T768)=1,MATCH(T768,시장분석!$U$2:$U$601,0)+1,""))))</f>
        <v/>
      </c>
      <c r="AC768" s="89" t="n">
        <f aca="false">IF(Q768&lt;&gt;1,0,IF(OR(설정!$C$5="전체",AND(설정!$C$5="선택펀드",IFERROR(COUNTIFS(설정!$F$16:$F$36,C768,설정!$G$16:$G$36,"Y")+COUNTIFS(설정!$F$16:$F$36,VALUE(C768),설정!$G$16:$G$36,"Y"),0)&gt;0),C768&amp;""=설정!$C$5&amp;""),1,0))</f>
        <v>0</v>
      </c>
      <c r="AD768" s="89" t="n">
        <f aca="false">IF(Q768&lt;&gt;1,0,IF(OR(S768=1,IF(AB768="",FALSE(),INDEX(시장분석!$R:$R,AB768)=1)),1,0))</f>
        <v>0</v>
      </c>
      <c r="AE768" s="43" t="str">
        <f aca="false">IF(AB768="","",INDEX(시장분석!$A:$A,AB768))</f>
        <v/>
      </c>
      <c r="AF768" s="93" t="str">
        <f aca="false">IF(AB768="","",IF(ISNUMBER(IF(AB768="","",INDEX(시장분석!$E:$E,AB768))),IF(AB768="","",INDEX(시장분석!$E:$E,AB768)),""))</f>
        <v/>
      </c>
      <c r="AG768" s="43" t="str">
        <f aca="false">IF(Q768&lt;&gt;1,"",IF(AB768&lt;&gt;"",IF(AB768="","",INDEX(시장분석!$L:$L,AB768)),IFERROR(IF(VLOOKUP(R768,매핑!$A$4:$E$92,5,0)="","미분류",VLOOKUP(R768,매핑!$A$4:$E$92,5,0)),"미분류")))</f>
        <v/>
      </c>
      <c r="AH768" s="43" t="str">
        <f aca="false">IF(Q768&lt;&gt;1,"",IF(AB768&lt;&gt;"",IF(AB768="","",INDEX(시장분석!$N:$N,AB768)),IFERROR(IF(VLOOKUP(R768,매핑!$A$4:$E$92,4,0)="","미분류",VLOOKUP(R768,매핑!$A$4:$E$92,4,0)),"미분류")))</f>
        <v/>
      </c>
      <c r="AI768" s="43" t="str">
        <f aca="false">IF(Q768&lt;&gt;1,"",IFERROR(IF(VLOOKUP(R768,매핑!$A$4:$E$92,3,0)="","미분류",VLOOKUP(R768,매핑!$A$4:$E$92,3,0)),IF(AB768&lt;&gt;"",IF(AB768="","",INDEX(시장분석!$W:$W,AB768)),"미분류")))</f>
        <v/>
      </c>
      <c r="AJ768" s="43" t="str">
        <f aca="false">IF(Q768&lt;&gt;1,"",IFERROR(VLOOKUP(IF(N768&lt;&gt;"",N768,IF(P768&lt;&gt;"",P768,O768)),설정!$A$15:$D$47,2,0),""))</f>
        <v/>
      </c>
      <c r="AK768" s="43" t="str">
        <f aca="false">IF(Q768&lt;&gt;1,"",IF(AJ768="","무등급",IFERROR(VLOOKUP(AJ768,설정!$A$15:$D$47,3,0),"무등급")))</f>
        <v/>
      </c>
      <c r="AL768" s="89" t="n">
        <f aca="false">IF(AJ768="",99,IFERROR(VLOOKUP(AJ768,설정!$A$15:$D$47,4,0),99))</f>
        <v>99</v>
      </c>
      <c r="AM768" s="94" t="n">
        <f aca="false">IF(ISNUMBER(H768),AA768*1000000*H768/10000,0)</f>
        <v>0</v>
      </c>
      <c r="AN768" s="94" t="n">
        <f aca="false">IF(OR(Y768=1,NOT(ISNUMBER(Z768))),0,AA768*1000000*Z768/10000)</f>
        <v>0</v>
      </c>
      <c r="AO768" s="94" t="n">
        <f aca="false">IF(ISNUMBER(G768),AA768*1000000*G768/100,0)</f>
        <v>0</v>
      </c>
      <c r="AP768" s="94" t="n">
        <f aca="false">IF(ISNUMBER(M768),M768*K768,0)</f>
        <v>0</v>
      </c>
      <c r="AQ768" s="95" t="str">
        <f aca="false">IF(AB768="","",INDEX(시장분석!$AK:$AK,AB768))</f>
        <v/>
      </c>
      <c r="AR768" s="43" t="str">
        <f aca="false">IF(AB768="","-",IF(AB768="","",INDEX(시장분석!$AL:$AL,AB768)))</f>
        <v>-</v>
      </c>
      <c r="AS768" s="96" t="str">
        <f aca="false">IF(AB768="","",INDEX(시장분석!$AJ:$AJ,AB768))</f>
        <v/>
      </c>
      <c r="AT768" s="93" t="n">
        <f aca="false">IF(AB768="",0,IF(AB768="","",INDEX(시장분석!$AN:$AN,AB768)))</f>
        <v>0</v>
      </c>
      <c r="AU768" s="94" t="n">
        <f aca="false">IF(ISNUMBER(Z768),AT768/10000*MAX(Z768-1,0)*AA768*1000000,0)</f>
        <v>0</v>
      </c>
      <c r="AV768" s="94" t="n">
        <f aca="false">AO768+AU768</f>
        <v>0</v>
      </c>
      <c r="AW768" s="43" t="str">
        <f aca="false">IF(Q768&lt;&gt;1,"",TRIM(IF(AD768=1,"FRN ","")&amp;IF(AND(AL768&gt;=10,AL768&lt;99),"BBB0미만 ","")&amp;IF(AJ768="","등급없음 ","")&amp;IF(K768&lt;&gt;1,"비USD ","")&amp;IF(AND(AB768="",Y768=0),"시장데이터없음 ","")&amp;IF(AND(ISNUMBER(U768),U768&lt;0),"만기경과 ","")))</f>
        <v/>
      </c>
      <c r="AX768" s="90" t="n">
        <f aca="false">IF(Q768&lt;&gt;1,1,IF(스프레드쇼크!$C$4="Y",INDEX(스프레드쇼크!$B$12:$L$16,IFERROR(MATCH(AH768,스프레드쇼크!$A$12:$A$16,0),MATCH("목록외",스프레드쇼크!$A$12:$A$16,0)),IFERROR(MATCH(AG768,스프레드쇼크!$B$11:$L$11,0),MATCH("목록외",스프레드쇼크!$B$11:$L$11,0))),1))</f>
        <v>1</v>
      </c>
      <c r="AY768" s="90" t="n">
        <f aca="false">IF(스프레드쇼크!$C$5="Y",IF(ISNUMBER(AF768),MIN(스프레드쇼크!$C$7,MAX(스프레드쇼크!$C$6,AF768/스프레드쇼크!$C$8)),1),1)</f>
        <v>1</v>
      </c>
      <c r="AZ768" s="94" t="n">
        <f aca="false">AN768*AX768*AY768</f>
        <v>0</v>
      </c>
      <c r="BA768" s="90" t="n">
        <f aca="false">IF(ISNUMBER(G768),AA768*G768,0)</f>
        <v>0</v>
      </c>
      <c r="BB768" s="90" t="n">
        <f aca="false">IF(ISNUMBER(G768),AA768,0)</f>
        <v>0</v>
      </c>
      <c r="BC768" s="90" t="n">
        <f aca="false">IF(AND(Y768=0,ISNUMBER(AF768)),AA768*AF768,0)</f>
        <v>0</v>
      </c>
      <c r="BD768" s="90" t="n">
        <f aca="false">IF(AND(Y768=0,ISNUMBER(AF768)),AA768,0)</f>
        <v>0</v>
      </c>
      <c r="BE768" s="90" t="n">
        <f aca="false">IF(ISNUMBER(H768),AA768*H768,0)</f>
        <v>0</v>
      </c>
      <c r="BF768" s="90" t="n">
        <f aca="false">IF(ISNUMBER(H768),AA768,0)</f>
        <v>0</v>
      </c>
      <c r="BG768" s="90" t="n">
        <f aca="false">IF(AND(Y768=0,ISNUMBER(AF768),ISNUMBER(Z768)),AA768*Z768,0)</f>
        <v>0</v>
      </c>
      <c r="BH768" s="90" t="n">
        <f aca="false">IF(AND(Y768=0,ISNUMBER(AF768),ISNUMBER(Z768)),AA768*AT768*MAX(Z768-1,0),0)</f>
        <v>0</v>
      </c>
      <c r="BI768" s="90" t="n">
        <f aca="false">IF(Y768=0,AA768,0)</f>
        <v>0</v>
      </c>
    </row>
    <row r="769" customFormat="false" ht="15" hidden="false" customHeight="false" outlineLevel="0" collapsed="false">
      <c r="A769" s="83" t="str">
        <f aca="false">IFERROR(IF(INDEX(원자료_잔고!$A$1:$EZ$1500,설정!$L$5+ROW()-1,설정!$L$8)&amp;""="0","",INDEX(원자료_잔고!$A$1:$EZ$1500,설정!$L$5+ROW()-1,설정!$L$8)&amp;""),"")</f>
        <v/>
      </c>
      <c r="B769" s="83" t="str">
        <f aca="false">IFERROR(IF(INDEX(원자료_잔고!$A$1:$EZ$1500,설정!$L$5+ROW()-1,설정!$L$7)&amp;""="0","",INDEX(원자료_잔고!$A$1:$EZ$1500,설정!$L$5+ROW()-1,설정!$L$7)&amp;""),"")</f>
        <v/>
      </c>
      <c r="C769" s="83" t="str">
        <f aca="false">IFERROR(IF(INDEX(원자료_잔고!$A$1:$EZ$1500,설정!$L$5+ROW()-1,설정!$L$9)&amp;""="0","",INDEX(원자료_잔고!$A$1:$EZ$1500,설정!$L$5+ROW()-1,설정!$L$9)&amp;""),"")</f>
        <v/>
      </c>
      <c r="D769" s="83" t="str">
        <f aca="false">IFERROR(IF(INDEX(원자료_잔고!$A$1:$EZ$1500,설정!$L$5+ROW()-1,설정!$L$10)&amp;""="0","",INDEX(원자료_잔고!$A$1:$EZ$1500,설정!$L$5+ROW()-1,설정!$L$10)&amp;""),"")</f>
        <v/>
      </c>
      <c r="E769" s="84" t="str">
        <f aca="false">IFERROR(IF(ISNUMBER(INDEX(원자료_잔고!$A$1:$EZ$1500,설정!$L$5+ROW()-1,설정!$L$11)),INDEX(원자료_잔고!$A$1:$EZ$1500,설정!$L$5+ROW()-1,설정!$L$11),""),"")</f>
        <v/>
      </c>
      <c r="F769" s="85" t="str">
        <f aca="false">IFERROR(IF(ISNUMBER(INDEX(원자료_잔고!$A$1:$EZ$1500,설정!$L$5+ROW()-1,설정!$L$12)),INDEX(원자료_잔고!$A$1:$EZ$1500,설정!$L$5+ROW()-1,설정!$L$12),""),"")</f>
        <v/>
      </c>
      <c r="G769" s="85" t="str">
        <f aca="false">IFERROR(IF(ISNUMBER(INDEX(원자료_잔고!$A$1:$EZ$1500,설정!$L$5+ROW()-1,설정!$L$13)),INDEX(원자료_잔고!$A$1:$EZ$1500,설정!$L$5+ROW()-1,설정!$L$13),""),"")</f>
        <v/>
      </c>
      <c r="H769" s="85" t="str">
        <f aca="false">IFERROR(IF(ISNUMBER(INDEX(원자료_잔고!$A$1:$EZ$1500,설정!$L$5+ROW()-1,설정!$L$14)),INDEX(원자료_잔고!$A$1:$EZ$1500,설정!$L$5+ROW()-1,설정!$L$14),""),"")</f>
        <v/>
      </c>
      <c r="I769" s="86" t="str">
        <f aca="false">IFERROR(IF(ISNUMBER(INDEX(원자료_잔고!$A$1:$EZ$1500,설정!$L$5+ROW()-1,설정!$L$15)),INDEX(원자료_잔고!$A$1:$EZ$1500,설정!$L$5+ROW()-1,설정!$L$15),""),"")</f>
        <v/>
      </c>
      <c r="J769" s="85" t="str">
        <f aca="false">IFERROR(IF(ISNUMBER(INDEX(원자료_잔고!$A$1:$EZ$1500,설정!$L$5+ROW()-1,설정!$L$16)),INDEX(원자료_잔고!$A$1:$EZ$1500,설정!$L$5+ROW()-1,설정!$L$16),""),"")</f>
        <v/>
      </c>
      <c r="K769" s="87" t="str">
        <f aca="false">IFERROR(IF(ISNUMBER(INDEX(원자료_잔고!$A$1:$EZ$1500,설정!$L$5+ROW()-1,설정!$L$17)),INDEX(원자료_잔고!$A$1:$EZ$1500,설정!$L$5+ROW()-1,설정!$L$17),""),"")</f>
        <v/>
      </c>
      <c r="L769" s="84" t="str">
        <f aca="false">IFERROR(IF(ISNUMBER(INDEX(원자료_잔고!$A$1:$EZ$1500,설정!$L$5+ROW()-1,설정!$L$18)),INDEX(원자료_잔고!$A$1:$EZ$1500,설정!$L$5+ROW()-1,설정!$L$18),""),"")</f>
        <v/>
      </c>
      <c r="M769" s="88" t="str">
        <f aca="false">IFERROR(IF(ISNUMBER(INDEX(원자료_잔고!$A$1:$EZ$1500,설정!$L$5+ROW()-1,설정!$L$19)),INDEX(원자료_잔고!$A$1:$EZ$1500,설정!$L$5+ROW()-1,설정!$L$19),""),"")</f>
        <v/>
      </c>
      <c r="N769" s="83" t="str">
        <f aca="false">IFERROR(IF(INDEX(원자료_잔고!$A$1:$EZ$1500,설정!$L$5+ROW()-1,설정!$L$21)&amp;""="0","",INDEX(원자료_잔고!$A$1:$EZ$1500,설정!$L$5+ROW()-1,설정!$L$21)&amp;""),"")</f>
        <v/>
      </c>
      <c r="O769" s="83" t="str">
        <f aca="false">IFERROR(IF(INDEX(원자료_잔고!$A$1:$EZ$1500,설정!$L$5+ROW()-1,설정!$L$22)&amp;""="0","",INDEX(원자료_잔고!$A$1:$EZ$1500,설정!$L$5+ROW()-1,설정!$L$22)&amp;""),"")</f>
        <v/>
      </c>
      <c r="P769" s="83" t="str">
        <f aca="false">IFERROR(IF(INDEX(원자료_잔고!$A$1:$EZ$1500,설정!$L$5+ROW()-1,설정!$L$23)&amp;""="0","",INDEX(원자료_잔고!$A$1:$EZ$1500,설정!$L$5+ROW()-1,설정!$L$23)&amp;""),"")</f>
        <v/>
      </c>
      <c r="Q769" s="89" t="n">
        <f aca="false">IF(AND($A769&lt;&gt;"",ISNUMBER(E769)),IF(E769&gt;0,1,0),0)</f>
        <v>0</v>
      </c>
      <c r="R769" s="43" t="str">
        <f aca="false">IF(Q769=1,UPPER(LEFT($A769,FIND(" ",$A769&amp;" ")-1)),"")</f>
        <v/>
      </c>
      <c r="S769" s="89" t="n">
        <f aca="false">IF(Q769=1,IF(OR(ISNUMBER(SEARCH("Float",$A769)),ISNUMBER(SEARCH("FRN",$A769))),1,0),0)</f>
        <v>0</v>
      </c>
      <c r="T769" s="43" t="str">
        <f aca="false">IF(AND(Q769=1,ISNUMBER(I769)),TEXT(I769,"yyyymmdd")&amp;"|"&amp;IF(S769=1,"F",TEXT(J769,"0.000")),"")</f>
        <v/>
      </c>
      <c r="U769" s="90" t="str">
        <f aca="false">IF(AND(Q769=1,ISNUMBER(I769)),(I769-설정!$C$4)/365.25,"")</f>
        <v/>
      </c>
      <c r="V769" s="43" t="str">
        <f aca="false">IF(Q769&lt;&gt;1,"",IF(ISNUMBER(U769),IF(U769&lt;=1,"1년 이하",IF(U769&lt;=2,"1-2년",IF(U769&lt;=3,"2-3년",IF(U769&lt;=4,"3-4년",IF(U769&lt;=5,"4-5년",IF(U769&lt;=7,"5-7년",IF(U769&lt;=10,"7-10년",IF(U769&lt;=20,"10-20년","20년 이상")))))))),"미분류"))</f>
        <v/>
      </c>
      <c r="W769" s="43" t="str">
        <f aca="false">IF(Q769&lt;&gt;1,"",IF(AB769&lt;&gt;"",INDEX(시장분석!$C:$C,AB769),IF(K769=1,"USD","비USD")))</f>
        <v/>
      </c>
      <c r="X769" s="91" t="n">
        <f aca="false">IF(Q769=1,E769*K769/1000000,0)</f>
        <v>0</v>
      </c>
      <c r="Y769" s="89" t="n">
        <f aca="false">IF(R769="T",1,0)</f>
        <v>0</v>
      </c>
      <c r="Z769" s="92" t="str">
        <f aca="false">IF(Q769&lt;&gt;1,"",IF(AD769=1,IF(ISNUMBER(U769),MAX(U769,0),H769),H769))</f>
        <v/>
      </c>
      <c r="AA769" s="91" t="n">
        <f aca="false">IF(Q769=1,IF(ISNUMBER(L769),L769,0)*K769/1000000,0)</f>
        <v>0</v>
      </c>
      <c r="AB769" s="89" t="str">
        <f aca="false">IF(Q769&lt;&gt;1,"",IFERROR(MATCH(VLOOKUP(B769,매핑!$H$4:$I$15,2,0),시장분석!$A$2:$A$601,0)+1,IFERROR(MATCH(R769&amp;"|"&amp;T769,시장분석!$V$2:$V$601,0)+1,IF(COUNTIF(시장분석!$U$2:$U$601,T769)=1,MATCH(T769,시장분석!$U$2:$U$601,0)+1,""))))</f>
        <v/>
      </c>
      <c r="AC769" s="89" t="n">
        <f aca="false">IF(Q769&lt;&gt;1,0,IF(OR(설정!$C$5="전체",AND(설정!$C$5="선택펀드",IFERROR(COUNTIFS(설정!$F$16:$F$36,C769,설정!$G$16:$G$36,"Y")+COUNTIFS(설정!$F$16:$F$36,VALUE(C769),설정!$G$16:$G$36,"Y"),0)&gt;0),C769&amp;""=설정!$C$5&amp;""),1,0))</f>
        <v>0</v>
      </c>
      <c r="AD769" s="89" t="n">
        <f aca="false">IF(Q769&lt;&gt;1,0,IF(OR(S769=1,IF(AB769="",FALSE(),INDEX(시장분석!$R:$R,AB769)=1)),1,0))</f>
        <v>0</v>
      </c>
      <c r="AE769" s="43" t="str">
        <f aca="false">IF(AB769="","",INDEX(시장분석!$A:$A,AB769))</f>
        <v/>
      </c>
      <c r="AF769" s="93" t="str">
        <f aca="false">IF(AB769="","",IF(ISNUMBER(IF(AB769="","",INDEX(시장분석!$E:$E,AB769))),IF(AB769="","",INDEX(시장분석!$E:$E,AB769)),""))</f>
        <v/>
      </c>
      <c r="AG769" s="43" t="str">
        <f aca="false">IF(Q769&lt;&gt;1,"",IF(AB769&lt;&gt;"",IF(AB769="","",INDEX(시장분석!$L:$L,AB769)),IFERROR(IF(VLOOKUP(R769,매핑!$A$4:$E$92,5,0)="","미분류",VLOOKUP(R769,매핑!$A$4:$E$92,5,0)),"미분류")))</f>
        <v/>
      </c>
      <c r="AH769" s="43" t="str">
        <f aca="false">IF(Q769&lt;&gt;1,"",IF(AB769&lt;&gt;"",IF(AB769="","",INDEX(시장분석!$N:$N,AB769)),IFERROR(IF(VLOOKUP(R769,매핑!$A$4:$E$92,4,0)="","미분류",VLOOKUP(R769,매핑!$A$4:$E$92,4,0)),"미분류")))</f>
        <v/>
      </c>
      <c r="AI769" s="43" t="str">
        <f aca="false">IF(Q769&lt;&gt;1,"",IFERROR(IF(VLOOKUP(R769,매핑!$A$4:$E$92,3,0)="","미분류",VLOOKUP(R769,매핑!$A$4:$E$92,3,0)),IF(AB769&lt;&gt;"",IF(AB769="","",INDEX(시장분석!$W:$W,AB769)),"미분류")))</f>
        <v/>
      </c>
      <c r="AJ769" s="43" t="str">
        <f aca="false">IF(Q769&lt;&gt;1,"",IFERROR(VLOOKUP(IF(N769&lt;&gt;"",N769,IF(P769&lt;&gt;"",P769,O769)),설정!$A$15:$D$47,2,0),""))</f>
        <v/>
      </c>
      <c r="AK769" s="43" t="str">
        <f aca="false">IF(Q769&lt;&gt;1,"",IF(AJ769="","무등급",IFERROR(VLOOKUP(AJ769,설정!$A$15:$D$47,3,0),"무등급")))</f>
        <v/>
      </c>
      <c r="AL769" s="89" t="n">
        <f aca="false">IF(AJ769="",99,IFERROR(VLOOKUP(AJ769,설정!$A$15:$D$47,4,0),99))</f>
        <v>99</v>
      </c>
      <c r="AM769" s="94" t="n">
        <f aca="false">IF(ISNUMBER(H769),AA769*1000000*H769/10000,0)</f>
        <v>0</v>
      </c>
      <c r="AN769" s="94" t="n">
        <f aca="false">IF(OR(Y769=1,NOT(ISNUMBER(Z769))),0,AA769*1000000*Z769/10000)</f>
        <v>0</v>
      </c>
      <c r="AO769" s="94" t="n">
        <f aca="false">IF(ISNUMBER(G769),AA769*1000000*G769/100,0)</f>
        <v>0</v>
      </c>
      <c r="AP769" s="94" t="n">
        <f aca="false">IF(ISNUMBER(M769),M769*K769,0)</f>
        <v>0</v>
      </c>
      <c r="AQ769" s="95" t="str">
        <f aca="false">IF(AB769="","",INDEX(시장분석!$AK:$AK,AB769))</f>
        <v/>
      </c>
      <c r="AR769" s="43" t="str">
        <f aca="false">IF(AB769="","-",IF(AB769="","",INDEX(시장분석!$AL:$AL,AB769)))</f>
        <v>-</v>
      </c>
      <c r="AS769" s="96" t="str">
        <f aca="false">IF(AB769="","",INDEX(시장분석!$AJ:$AJ,AB769))</f>
        <v/>
      </c>
      <c r="AT769" s="93" t="n">
        <f aca="false">IF(AB769="",0,IF(AB769="","",INDEX(시장분석!$AN:$AN,AB769)))</f>
        <v>0</v>
      </c>
      <c r="AU769" s="94" t="n">
        <f aca="false">IF(ISNUMBER(Z769),AT769/10000*MAX(Z769-1,0)*AA769*1000000,0)</f>
        <v>0</v>
      </c>
      <c r="AV769" s="94" t="n">
        <f aca="false">AO769+AU769</f>
        <v>0</v>
      </c>
      <c r="AW769" s="43" t="str">
        <f aca="false">IF(Q769&lt;&gt;1,"",TRIM(IF(AD769=1,"FRN ","")&amp;IF(AND(AL769&gt;=10,AL769&lt;99),"BBB0미만 ","")&amp;IF(AJ769="","등급없음 ","")&amp;IF(K769&lt;&gt;1,"비USD ","")&amp;IF(AND(AB769="",Y769=0),"시장데이터없음 ","")&amp;IF(AND(ISNUMBER(U769),U769&lt;0),"만기경과 ","")))</f>
        <v/>
      </c>
      <c r="AX769" s="90" t="n">
        <f aca="false">IF(Q769&lt;&gt;1,1,IF(스프레드쇼크!$C$4="Y",INDEX(스프레드쇼크!$B$12:$L$16,IFERROR(MATCH(AH769,스프레드쇼크!$A$12:$A$16,0),MATCH("목록외",스프레드쇼크!$A$12:$A$16,0)),IFERROR(MATCH(AG769,스프레드쇼크!$B$11:$L$11,0),MATCH("목록외",스프레드쇼크!$B$11:$L$11,0))),1))</f>
        <v>1</v>
      </c>
      <c r="AY769" s="90" t="n">
        <f aca="false">IF(스프레드쇼크!$C$5="Y",IF(ISNUMBER(AF769),MIN(스프레드쇼크!$C$7,MAX(스프레드쇼크!$C$6,AF769/스프레드쇼크!$C$8)),1),1)</f>
        <v>1</v>
      </c>
      <c r="AZ769" s="94" t="n">
        <f aca="false">AN769*AX769*AY769</f>
        <v>0</v>
      </c>
      <c r="BA769" s="90" t="n">
        <f aca="false">IF(ISNUMBER(G769),AA769*G769,0)</f>
        <v>0</v>
      </c>
      <c r="BB769" s="90" t="n">
        <f aca="false">IF(ISNUMBER(G769),AA769,0)</f>
        <v>0</v>
      </c>
      <c r="BC769" s="90" t="n">
        <f aca="false">IF(AND(Y769=0,ISNUMBER(AF769)),AA769*AF769,0)</f>
        <v>0</v>
      </c>
      <c r="BD769" s="90" t="n">
        <f aca="false">IF(AND(Y769=0,ISNUMBER(AF769)),AA769,0)</f>
        <v>0</v>
      </c>
      <c r="BE769" s="90" t="n">
        <f aca="false">IF(ISNUMBER(H769),AA769*H769,0)</f>
        <v>0</v>
      </c>
      <c r="BF769" s="90" t="n">
        <f aca="false">IF(ISNUMBER(H769),AA769,0)</f>
        <v>0</v>
      </c>
      <c r="BG769" s="90" t="n">
        <f aca="false">IF(AND(Y769=0,ISNUMBER(AF769),ISNUMBER(Z769)),AA769*Z769,0)</f>
        <v>0</v>
      </c>
      <c r="BH769" s="90" t="n">
        <f aca="false">IF(AND(Y769=0,ISNUMBER(AF769),ISNUMBER(Z769)),AA769*AT769*MAX(Z769-1,0),0)</f>
        <v>0</v>
      </c>
      <c r="BI769" s="90" t="n">
        <f aca="false">IF(Y769=0,AA769,0)</f>
        <v>0</v>
      </c>
    </row>
    <row r="770" customFormat="false" ht="15" hidden="false" customHeight="false" outlineLevel="0" collapsed="false">
      <c r="A770" s="83" t="str">
        <f aca="false">IFERROR(IF(INDEX(원자료_잔고!$A$1:$EZ$1500,설정!$L$5+ROW()-1,설정!$L$8)&amp;""="0","",INDEX(원자료_잔고!$A$1:$EZ$1500,설정!$L$5+ROW()-1,설정!$L$8)&amp;""),"")</f>
        <v/>
      </c>
      <c r="B770" s="83" t="str">
        <f aca="false">IFERROR(IF(INDEX(원자료_잔고!$A$1:$EZ$1500,설정!$L$5+ROW()-1,설정!$L$7)&amp;""="0","",INDEX(원자료_잔고!$A$1:$EZ$1500,설정!$L$5+ROW()-1,설정!$L$7)&amp;""),"")</f>
        <v/>
      </c>
      <c r="C770" s="83" t="str">
        <f aca="false">IFERROR(IF(INDEX(원자료_잔고!$A$1:$EZ$1500,설정!$L$5+ROW()-1,설정!$L$9)&amp;""="0","",INDEX(원자료_잔고!$A$1:$EZ$1500,설정!$L$5+ROW()-1,설정!$L$9)&amp;""),"")</f>
        <v/>
      </c>
      <c r="D770" s="83" t="str">
        <f aca="false">IFERROR(IF(INDEX(원자료_잔고!$A$1:$EZ$1500,설정!$L$5+ROW()-1,설정!$L$10)&amp;""="0","",INDEX(원자료_잔고!$A$1:$EZ$1500,설정!$L$5+ROW()-1,설정!$L$10)&amp;""),"")</f>
        <v/>
      </c>
      <c r="E770" s="84" t="str">
        <f aca="false">IFERROR(IF(ISNUMBER(INDEX(원자료_잔고!$A$1:$EZ$1500,설정!$L$5+ROW()-1,설정!$L$11)),INDEX(원자료_잔고!$A$1:$EZ$1500,설정!$L$5+ROW()-1,설정!$L$11),""),"")</f>
        <v/>
      </c>
      <c r="F770" s="85" t="str">
        <f aca="false">IFERROR(IF(ISNUMBER(INDEX(원자료_잔고!$A$1:$EZ$1500,설정!$L$5+ROW()-1,설정!$L$12)),INDEX(원자료_잔고!$A$1:$EZ$1500,설정!$L$5+ROW()-1,설정!$L$12),""),"")</f>
        <v/>
      </c>
      <c r="G770" s="85" t="str">
        <f aca="false">IFERROR(IF(ISNUMBER(INDEX(원자료_잔고!$A$1:$EZ$1500,설정!$L$5+ROW()-1,설정!$L$13)),INDEX(원자료_잔고!$A$1:$EZ$1500,설정!$L$5+ROW()-1,설정!$L$13),""),"")</f>
        <v/>
      </c>
      <c r="H770" s="85" t="str">
        <f aca="false">IFERROR(IF(ISNUMBER(INDEX(원자료_잔고!$A$1:$EZ$1500,설정!$L$5+ROW()-1,설정!$L$14)),INDEX(원자료_잔고!$A$1:$EZ$1500,설정!$L$5+ROW()-1,설정!$L$14),""),"")</f>
        <v/>
      </c>
      <c r="I770" s="86" t="str">
        <f aca="false">IFERROR(IF(ISNUMBER(INDEX(원자료_잔고!$A$1:$EZ$1500,설정!$L$5+ROW()-1,설정!$L$15)),INDEX(원자료_잔고!$A$1:$EZ$1500,설정!$L$5+ROW()-1,설정!$L$15),""),"")</f>
        <v/>
      </c>
      <c r="J770" s="85" t="str">
        <f aca="false">IFERROR(IF(ISNUMBER(INDEX(원자료_잔고!$A$1:$EZ$1500,설정!$L$5+ROW()-1,설정!$L$16)),INDEX(원자료_잔고!$A$1:$EZ$1500,설정!$L$5+ROW()-1,설정!$L$16),""),"")</f>
        <v/>
      </c>
      <c r="K770" s="87" t="str">
        <f aca="false">IFERROR(IF(ISNUMBER(INDEX(원자료_잔고!$A$1:$EZ$1500,설정!$L$5+ROW()-1,설정!$L$17)),INDEX(원자료_잔고!$A$1:$EZ$1500,설정!$L$5+ROW()-1,설정!$L$17),""),"")</f>
        <v/>
      </c>
      <c r="L770" s="84" t="str">
        <f aca="false">IFERROR(IF(ISNUMBER(INDEX(원자료_잔고!$A$1:$EZ$1500,설정!$L$5+ROW()-1,설정!$L$18)),INDEX(원자료_잔고!$A$1:$EZ$1500,설정!$L$5+ROW()-1,설정!$L$18),""),"")</f>
        <v/>
      </c>
      <c r="M770" s="88" t="str">
        <f aca="false">IFERROR(IF(ISNUMBER(INDEX(원자료_잔고!$A$1:$EZ$1500,설정!$L$5+ROW()-1,설정!$L$19)),INDEX(원자료_잔고!$A$1:$EZ$1500,설정!$L$5+ROW()-1,설정!$L$19),""),"")</f>
        <v/>
      </c>
      <c r="N770" s="83" t="str">
        <f aca="false">IFERROR(IF(INDEX(원자료_잔고!$A$1:$EZ$1500,설정!$L$5+ROW()-1,설정!$L$21)&amp;""="0","",INDEX(원자료_잔고!$A$1:$EZ$1500,설정!$L$5+ROW()-1,설정!$L$21)&amp;""),"")</f>
        <v/>
      </c>
      <c r="O770" s="83" t="str">
        <f aca="false">IFERROR(IF(INDEX(원자료_잔고!$A$1:$EZ$1500,설정!$L$5+ROW()-1,설정!$L$22)&amp;""="0","",INDEX(원자료_잔고!$A$1:$EZ$1500,설정!$L$5+ROW()-1,설정!$L$22)&amp;""),"")</f>
        <v/>
      </c>
      <c r="P770" s="83" t="str">
        <f aca="false">IFERROR(IF(INDEX(원자료_잔고!$A$1:$EZ$1500,설정!$L$5+ROW()-1,설정!$L$23)&amp;""="0","",INDEX(원자료_잔고!$A$1:$EZ$1500,설정!$L$5+ROW()-1,설정!$L$23)&amp;""),"")</f>
        <v/>
      </c>
      <c r="Q770" s="89" t="n">
        <f aca="false">IF(AND($A770&lt;&gt;"",ISNUMBER(E770)),IF(E770&gt;0,1,0),0)</f>
        <v>0</v>
      </c>
      <c r="R770" s="43" t="str">
        <f aca="false">IF(Q770=1,UPPER(LEFT($A770,FIND(" ",$A770&amp;" ")-1)),"")</f>
        <v/>
      </c>
      <c r="S770" s="89" t="n">
        <f aca="false">IF(Q770=1,IF(OR(ISNUMBER(SEARCH("Float",$A770)),ISNUMBER(SEARCH("FRN",$A770))),1,0),0)</f>
        <v>0</v>
      </c>
      <c r="T770" s="43" t="str">
        <f aca="false">IF(AND(Q770=1,ISNUMBER(I770)),TEXT(I770,"yyyymmdd")&amp;"|"&amp;IF(S770=1,"F",TEXT(J770,"0.000")),"")</f>
        <v/>
      </c>
      <c r="U770" s="90" t="str">
        <f aca="false">IF(AND(Q770=1,ISNUMBER(I770)),(I770-설정!$C$4)/365.25,"")</f>
        <v/>
      </c>
      <c r="V770" s="43" t="str">
        <f aca="false">IF(Q770&lt;&gt;1,"",IF(ISNUMBER(U770),IF(U770&lt;=1,"1년 이하",IF(U770&lt;=2,"1-2년",IF(U770&lt;=3,"2-3년",IF(U770&lt;=4,"3-4년",IF(U770&lt;=5,"4-5년",IF(U770&lt;=7,"5-7년",IF(U770&lt;=10,"7-10년",IF(U770&lt;=20,"10-20년","20년 이상")))))))),"미분류"))</f>
        <v/>
      </c>
      <c r="W770" s="43" t="str">
        <f aca="false">IF(Q770&lt;&gt;1,"",IF(AB770&lt;&gt;"",INDEX(시장분석!$C:$C,AB770),IF(K770=1,"USD","비USD")))</f>
        <v/>
      </c>
      <c r="X770" s="91" t="n">
        <f aca="false">IF(Q770=1,E770*K770/1000000,0)</f>
        <v>0</v>
      </c>
      <c r="Y770" s="89" t="n">
        <f aca="false">IF(R770="T",1,0)</f>
        <v>0</v>
      </c>
      <c r="Z770" s="92" t="str">
        <f aca="false">IF(Q770&lt;&gt;1,"",IF(AD770=1,IF(ISNUMBER(U770),MAX(U770,0),H770),H770))</f>
        <v/>
      </c>
      <c r="AA770" s="91" t="n">
        <f aca="false">IF(Q770=1,IF(ISNUMBER(L770),L770,0)*K770/1000000,0)</f>
        <v>0</v>
      </c>
      <c r="AB770" s="89" t="str">
        <f aca="false">IF(Q770&lt;&gt;1,"",IFERROR(MATCH(VLOOKUP(B770,매핑!$H$4:$I$15,2,0),시장분석!$A$2:$A$601,0)+1,IFERROR(MATCH(R770&amp;"|"&amp;T770,시장분석!$V$2:$V$601,0)+1,IF(COUNTIF(시장분석!$U$2:$U$601,T770)=1,MATCH(T770,시장분석!$U$2:$U$601,0)+1,""))))</f>
        <v/>
      </c>
      <c r="AC770" s="89" t="n">
        <f aca="false">IF(Q770&lt;&gt;1,0,IF(OR(설정!$C$5="전체",AND(설정!$C$5="선택펀드",IFERROR(COUNTIFS(설정!$F$16:$F$36,C770,설정!$G$16:$G$36,"Y")+COUNTIFS(설정!$F$16:$F$36,VALUE(C770),설정!$G$16:$G$36,"Y"),0)&gt;0),C770&amp;""=설정!$C$5&amp;""),1,0))</f>
        <v>0</v>
      </c>
      <c r="AD770" s="89" t="n">
        <f aca="false">IF(Q770&lt;&gt;1,0,IF(OR(S770=1,IF(AB770="",FALSE(),INDEX(시장분석!$R:$R,AB770)=1)),1,0))</f>
        <v>0</v>
      </c>
      <c r="AE770" s="43" t="str">
        <f aca="false">IF(AB770="","",INDEX(시장분석!$A:$A,AB770))</f>
        <v/>
      </c>
      <c r="AF770" s="93" t="str">
        <f aca="false">IF(AB770="","",IF(ISNUMBER(IF(AB770="","",INDEX(시장분석!$E:$E,AB770))),IF(AB770="","",INDEX(시장분석!$E:$E,AB770)),""))</f>
        <v/>
      </c>
      <c r="AG770" s="43" t="str">
        <f aca="false">IF(Q770&lt;&gt;1,"",IF(AB770&lt;&gt;"",IF(AB770="","",INDEX(시장분석!$L:$L,AB770)),IFERROR(IF(VLOOKUP(R770,매핑!$A$4:$E$92,5,0)="","미분류",VLOOKUP(R770,매핑!$A$4:$E$92,5,0)),"미분류")))</f>
        <v/>
      </c>
      <c r="AH770" s="43" t="str">
        <f aca="false">IF(Q770&lt;&gt;1,"",IF(AB770&lt;&gt;"",IF(AB770="","",INDEX(시장분석!$N:$N,AB770)),IFERROR(IF(VLOOKUP(R770,매핑!$A$4:$E$92,4,0)="","미분류",VLOOKUP(R770,매핑!$A$4:$E$92,4,0)),"미분류")))</f>
        <v/>
      </c>
      <c r="AI770" s="43" t="str">
        <f aca="false">IF(Q770&lt;&gt;1,"",IFERROR(IF(VLOOKUP(R770,매핑!$A$4:$E$92,3,0)="","미분류",VLOOKUP(R770,매핑!$A$4:$E$92,3,0)),IF(AB770&lt;&gt;"",IF(AB770="","",INDEX(시장분석!$W:$W,AB770)),"미분류")))</f>
        <v/>
      </c>
      <c r="AJ770" s="43" t="str">
        <f aca="false">IF(Q770&lt;&gt;1,"",IFERROR(VLOOKUP(IF(N770&lt;&gt;"",N770,IF(P770&lt;&gt;"",P770,O770)),설정!$A$15:$D$47,2,0),""))</f>
        <v/>
      </c>
      <c r="AK770" s="43" t="str">
        <f aca="false">IF(Q770&lt;&gt;1,"",IF(AJ770="","무등급",IFERROR(VLOOKUP(AJ770,설정!$A$15:$D$47,3,0),"무등급")))</f>
        <v/>
      </c>
      <c r="AL770" s="89" t="n">
        <f aca="false">IF(AJ770="",99,IFERROR(VLOOKUP(AJ770,설정!$A$15:$D$47,4,0),99))</f>
        <v>99</v>
      </c>
      <c r="AM770" s="94" t="n">
        <f aca="false">IF(ISNUMBER(H770),AA770*1000000*H770/10000,0)</f>
        <v>0</v>
      </c>
      <c r="AN770" s="94" t="n">
        <f aca="false">IF(OR(Y770=1,NOT(ISNUMBER(Z770))),0,AA770*1000000*Z770/10000)</f>
        <v>0</v>
      </c>
      <c r="AO770" s="94" t="n">
        <f aca="false">IF(ISNUMBER(G770),AA770*1000000*G770/100,0)</f>
        <v>0</v>
      </c>
      <c r="AP770" s="94" t="n">
        <f aca="false">IF(ISNUMBER(M770),M770*K770,0)</f>
        <v>0</v>
      </c>
      <c r="AQ770" s="95" t="str">
        <f aca="false">IF(AB770="","",INDEX(시장분석!$AK:$AK,AB770))</f>
        <v/>
      </c>
      <c r="AR770" s="43" t="str">
        <f aca="false">IF(AB770="","-",IF(AB770="","",INDEX(시장분석!$AL:$AL,AB770)))</f>
        <v>-</v>
      </c>
      <c r="AS770" s="96" t="str">
        <f aca="false">IF(AB770="","",INDEX(시장분석!$AJ:$AJ,AB770))</f>
        <v/>
      </c>
      <c r="AT770" s="93" t="n">
        <f aca="false">IF(AB770="",0,IF(AB770="","",INDEX(시장분석!$AN:$AN,AB770)))</f>
        <v>0</v>
      </c>
      <c r="AU770" s="94" t="n">
        <f aca="false">IF(ISNUMBER(Z770),AT770/10000*MAX(Z770-1,0)*AA770*1000000,0)</f>
        <v>0</v>
      </c>
      <c r="AV770" s="94" t="n">
        <f aca="false">AO770+AU770</f>
        <v>0</v>
      </c>
      <c r="AW770" s="43" t="str">
        <f aca="false">IF(Q770&lt;&gt;1,"",TRIM(IF(AD770=1,"FRN ","")&amp;IF(AND(AL770&gt;=10,AL770&lt;99),"BBB0미만 ","")&amp;IF(AJ770="","등급없음 ","")&amp;IF(K770&lt;&gt;1,"비USD ","")&amp;IF(AND(AB770="",Y770=0),"시장데이터없음 ","")&amp;IF(AND(ISNUMBER(U770),U770&lt;0),"만기경과 ","")))</f>
        <v/>
      </c>
      <c r="AX770" s="90" t="n">
        <f aca="false">IF(Q770&lt;&gt;1,1,IF(스프레드쇼크!$C$4="Y",INDEX(스프레드쇼크!$B$12:$L$16,IFERROR(MATCH(AH770,스프레드쇼크!$A$12:$A$16,0),MATCH("목록외",스프레드쇼크!$A$12:$A$16,0)),IFERROR(MATCH(AG770,스프레드쇼크!$B$11:$L$11,0),MATCH("목록외",스프레드쇼크!$B$11:$L$11,0))),1))</f>
        <v>1</v>
      </c>
      <c r="AY770" s="90" t="n">
        <f aca="false">IF(스프레드쇼크!$C$5="Y",IF(ISNUMBER(AF770),MIN(스프레드쇼크!$C$7,MAX(스프레드쇼크!$C$6,AF770/스프레드쇼크!$C$8)),1),1)</f>
        <v>1</v>
      </c>
      <c r="AZ770" s="94" t="n">
        <f aca="false">AN770*AX770*AY770</f>
        <v>0</v>
      </c>
      <c r="BA770" s="90" t="n">
        <f aca="false">IF(ISNUMBER(G770),AA770*G770,0)</f>
        <v>0</v>
      </c>
      <c r="BB770" s="90" t="n">
        <f aca="false">IF(ISNUMBER(G770),AA770,0)</f>
        <v>0</v>
      </c>
      <c r="BC770" s="90" t="n">
        <f aca="false">IF(AND(Y770=0,ISNUMBER(AF770)),AA770*AF770,0)</f>
        <v>0</v>
      </c>
      <c r="BD770" s="90" t="n">
        <f aca="false">IF(AND(Y770=0,ISNUMBER(AF770)),AA770,0)</f>
        <v>0</v>
      </c>
      <c r="BE770" s="90" t="n">
        <f aca="false">IF(ISNUMBER(H770),AA770*H770,0)</f>
        <v>0</v>
      </c>
      <c r="BF770" s="90" t="n">
        <f aca="false">IF(ISNUMBER(H770),AA770,0)</f>
        <v>0</v>
      </c>
      <c r="BG770" s="90" t="n">
        <f aca="false">IF(AND(Y770=0,ISNUMBER(AF770),ISNUMBER(Z770)),AA770*Z770,0)</f>
        <v>0</v>
      </c>
      <c r="BH770" s="90" t="n">
        <f aca="false">IF(AND(Y770=0,ISNUMBER(AF770),ISNUMBER(Z770)),AA770*AT770*MAX(Z770-1,0),0)</f>
        <v>0</v>
      </c>
      <c r="BI770" s="90" t="n">
        <f aca="false">IF(Y770=0,AA770,0)</f>
        <v>0</v>
      </c>
    </row>
    <row r="771" customFormat="false" ht="15" hidden="false" customHeight="false" outlineLevel="0" collapsed="false">
      <c r="A771" s="83" t="str">
        <f aca="false">IFERROR(IF(INDEX(원자료_잔고!$A$1:$EZ$1500,설정!$L$5+ROW()-1,설정!$L$8)&amp;""="0","",INDEX(원자료_잔고!$A$1:$EZ$1500,설정!$L$5+ROW()-1,설정!$L$8)&amp;""),"")</f>
        <v/>
      </c>
      <c r="B771" s="83" t="str">
        <f aca="false">IFERROR(IF(INDEX(원자료_잔고!$A$1:$EZ$1500,설정!$L$5+ROW()-1,설정!$L$7)&amp;""="0","",INDEX(원자료_잔고!$A$1:$EZ$1500,설정!$L$5+ROW()-1,설정!$L$7)&amp;""),"")</f>
        <v/>
      </c>
      <c r="C771" s="83" t="str">
        <f aca="false">IFERROR(IF(INDEX(원자료_잔고!$A$1:$EZ$1500,설정!$L$5+ROW()-1,설정!$L$9)&amp;""="0","",INDEX(원자료_잔고!$A$1:$EZ$1500,설정!$L$5+ROW()-1,설정!$L$9)&amp;""),"")</f>
        <v/>
      </c>
      <c r="D771" s="83" t="str">
        <f aca="false">IFERROR(IF(INDEX(원자료_잔고!$A$1:$EZ$1500,설정!$L$5+ROW()-1,설정!$L$10)&amp;""="0","",INDEX(원자료_잔고!$A$1:$EZ$1500,설정!$L$5+ROW()-1,설정!$L$10)&amp;""),"")</f>
        <v/>
      </c>
      <c r="E771" s="84" t="str">
        <f aca="false">IFERROR(IF(ISNUMBER(INDEX(원자료_잔고!$A$1:$EZ$1500,설정!$L$5+ROW()-1,설정!$L$11)),INDEX(원자료_잔고!$A$1:$EZ$1500,설정!$L$5+ROW()-1,설정!$L$11),""),"")</f>
        <v/>
      </c>
      <c r="F771" s="85" t="str">
        <f aca="false">IFERROR(IF(ISNUMBER(INDEX(원자료_잔고!$A$1:$EZ$1500,설정!$L$5+ROW()-1,설정!$L$12)),INDEX(원자료_잔고!$A$1:$EZ$1500,설정!$L$5+ROW()-1,설정!$L$12),""),"")</f>
        <v/>
      </c>
      <c r="G771" s="85" t="str">
        <f aca="false">IFERROR(IF(ISNUMBER(INDEX(원자료_잔고!$A$1:$EZ$1500,설정!$L$5+ROW()-1,설정!$L$13)),INDEX(원자료_잔고!$A$1:$EZ$1500,설정!$L$5+ROW()-1,설정!$L$13),""),"")</f>
        <v/>
      </c>
      <c r="H771" s="85" t="str">
        <f aca="false">IFERROR(IF(ISNUMBER(INDEX(원자료_잔고!$A$1:$EZ$1500,설정!$L$5+ROW()-1,설정!$L$14)),INDEX(원자료_잔고!$A$1:$EZ$1500,설정!$L$5+ROW()-1,설정!$L$14),""),"")</f>
        <v/>
      </c>
      <c r="I771" s="86" t="str">
        <f aca="false">IFERROR(IF(ISNUMBER(INDEX(원자료_잔고!$A$1:$EZ$1500,설정!$L$5+ROW()-1,설정!$L$15)),INDEX(원자료_잔고!$A$1:$EZ$1500,설정!$L$5+ROW()-1,설정!$L$15),""),"")</f>
        <v/>
      </c>
      <c r="J771" s="85" t="str">
        <f aca="false">IFERROR(IF(ISNUMBER(INDEX(원자료_잔고!$A$1:$EZ$1500,설정!$L$5+ROW()-1,설정!$L$16)),INDEX(원자료_잔고!$A$1:$EZ$1500,설정!$L$5+ROW()-1,설정!$L$16),""),"")</f>
        <v/>
      </c>
      <c r="K771" s="87" t="str">
        <f aca="false">IFERROR(IF(ISNUMBER(INDEX(원자료_잔고!$A$1:$EZ$1500,설정!$L$5+ROW()-1,설정!$L$17)),INDEX(원자료_잔고!$A$1:$EZ$1500,설정!$L$5+ROW()-1,설정!$L$17),""),"")</f>
        <v/>
      </c>
      <c r="L771" s="84" t="str">
        <f aca="false">IFERROR(IF(ISNUMBER(INDEX(원자료_잔고!$A$1:$EZ$1500,설정!$L$5+ROW()-1,설정!$L$18)),INDEX(원자료_잔고!$A$1:$EZ$1500,설정!$L$5+ROW()-1,설정!$L$18),""),"")</f>
        <v/>
      </c>
      <c r="M771" s="88" t="str">
        <f aca="false">IFERROR(IF(ISNUMBER(INDEX(원자료_잔고!$A$1:$EZ$1500,설정!$L$5+ROW()-1,설정!$L$19)),INDEX(원자료_잔고!$A$1:$EZ$1500,설정!$L$5+ROW()-1,설정!$L$19),""),"")</f>
        <v/>
      </c>
      <c r="N771" s="83" t="str">
        <f aca="false">IFERROR(IF(INDEX(원자료_잔고!$A$1:$EZ$1500,설정!$L$5+ROW()-1,설정!$L$21)&amp;""="0","",INDEX(원자료_잔고!$A$1:$EZ$1500,설정!$L$5+ROW()-1,설정!$L$21)&amp;""),"")</f>
        <v/>
      </c>
      <c r="O771" s="83" t="str">
        <f aca="false">IFERROR(IF(INDEX(원자료_잔고!$A$1:$EZ$1500,설정!$L$5+ROW()-1,설정!$L$22)&amp;""="0","",INDEX(원자료_잔고!$A$1:$EZ$1500,설정!$L$5+ROW()-1,설정!$L$22)&amp;""),"")</f>
        <v/>
      </c>
      <c r="P771" s="83" t="str">
        <f aca="false">IFERROR(IF(INDEX(원자료_잔고!$A$1:$EZ$1500,설정!$L$5+ROW()-1,설정!$L$23)&amp;""="0","",INDEX(원자료_잔고!$A$1:$EZ$1500,설정!$L$5+ROW()-1,설정!$L$23)&amp;""),"")</f>
        <v/>
      </c>
      <c r="Q771" s="89" t="n">
        <f aca="false">IF(AND($A771&lt;&gt;"",ISNUMBER(E771)),IF(E771&gt;0,1,0),0)</f>
        <v>0</v>
      </c>
      <c r="R771" s="43" t="str">
        <f aca="false">IF(Q771=1,UPPER(LEFT($A771,FIND(" ",$A771&amp;" ")-1)),"")</f>
        <v/>
      </c>
      <c r="S771" s="89" t="n">
        <f aca="false">IF(Q771=1,IF(OR(ISNUMBER(SEARCH("Float",$A771)),ISNUMBER(SEARCH("FRN",$A771))),1,0),0)</f>
        <v>0</v>
      </c>
      <c r="T771" s="43" t="str">
        <f aca="false">IF(AND(Q771=1,ISNUMBER(I771)),TEXT(I771,"yyyymmdd")&amp;"|"&amp;IF(S771=1,"F",TEXT(J771,"0.000")),"")</f>
        <v/>
      </c>
      <c r="U771" s="90" t="str">
        <f aca="false">IF(AND(Q771=1,ISNUMBER(I771)),(I771-설정!$C$4)/365.25,"")</f>
        <v/>
      </c>
      <c r="V771" s="43" t="str">
        <f aca="false">IF(Q771&lt;&gt;1,"",IF(ISNUMBER(U771),IF(U771&lt;=1,"1년 이하",IF(U771&lt;=2,"1-2년",IF(U771&lt;=3,"2-3년",IF(U771&lt;=4,"3-4년",IF(U771&lt;=5,"4-5년",IF(U771&lt;=7,"5-7년",IF(U771&lt;=10,"7-10년",IF(U771&lt;=20,"10-20년","20년 이상")))))))),"미분류"))</f>
        <v/>
      </c>
      <c r="W771" s="43" t="str">
        <f aca="false">IF(Q771&lt;&gt;1,"",IF(AB771&lt;&gt;"",INDEX(시장분석!$C:$C,AB771),IF(K771=1,"USD","비USD")))</f>
        <v/>
      </c>
      <c r="X771" s="91" t="n">
        <f aca="false">IF(Q771=1,E771*K771/1000000,0)</f>
        <v>0</v>
      </c>
      <c r="Y771" s="89" t="n">
        <f aca="false">IF(R771="T",1,0)</f>
        <v>0</v>
      </c>
      <c r="Z771" s="92" t="str">
        <f aca="false">IF(Q771&lt;&gt;1,"",IF(AD771=1,IF(ISNUMBER(U771),MAX(U771,0),H771),H771))</f>
        <v/>
      </c>
      <c r="AA771" s="91" t="n">
        <f aca="false">IF(Q771=1,IF(ISNUMBER(L771),L771,0)*K771/1000000,0)</f>
        <v>0</v>
      </c>
      <c r="AB771" s="89" t="str">
        <f aca="false">IF(Q771&lt;&gt;1,"",IFERROR(MATCH(VLOOKUP(B771,매핑!$H$4:$I$15,2,0),시장분석!$A$2:$A$601,0)+1,IFERROR(MATCH(R771&amp;"|"&amp;T771,시장분석!$V$2:$V$601,0)+1,IF(COUNTIF(시장분석!$U$2:$U$601,T771)=1,MATCH(T771,시장분석!$U$2:$U$601,0)+1,""))))</f>
        <v/>
      </c>
      <c r="AC771" s="89" t="n">
        <f aca="false">IF(Q771&lt;&gt;1,0,IF(OR(설정!$C$5="전체",AND(설정!$C$5="선택펀드",IFERROR(COUNTIFS(설정!$F$16:$F$36,C771,설정!$G$16:$G$36,"Y")+COUNTIFS(설정!$F$16:$F$36,VALUE(C771),설정!$G$16:$G$36,"Y"),0)&gt;0),C771&amp;""=설정!$C$5&amp;""),1,0))</f>
        <v>0</v>
      </c>
      <c r="AD771" s="89" t="n">
        <f aca="false">IF(Q771&lt;&gt;1,0,IF(OR(S771=1,IF(AB771="",FALSE(),INDEX(시장분석!$R:$R,AB771)=1)),1,0))</f>
        <v>0</v>
      </c>
      <c r="AE771" s="43" t="str">
        <f aca="false">IF(AB771="","",INDEX(시장분석!$A:$A,AB771))</f>
        <v/>
      </c>
      <c r="AF771" s="93" t="str">
        <f aca="false">IF(AB771="","",IF(ISNUMBER(IF(AB771="","",INDEX(시장분석!$E:$E,AB771))),IF(AB771="","",INDEX(시장분석!$E:$E,AB771)),""))</f>
        <v/>
      </c>
      <c r="AG771" s="43" t="str">
        <f aca="false">IF(Q771&lt;&gt;1,"",IF(AB771&lt;&gt;"",IF(AB771="","",INDEX(시장분석!$L:$L,AB771)),IFERROR(IF(VLOOKUP(R771,매핑!$A$4:$E$92,5,0)="","미분류",VLOOKUP(R771,매핑!$A$4:$E$92,5,0)),"미분류")))</f>
        <v/>
      </c>
      <c r="AH771" s="43" t="str">
        <f aca="false">IF(Q771&lt;&gt;1,"",IF(AB771&lt;&gt;"",IF(AB771="","",INDEX(시장분석!$N:$N,AB771)),IFERROR(IF(VLOOKUP(R771,매핑!$A$4:$E$92,4,0)="","미분류",VLOOKUP(R771,매핑!$A$4:$E$92,4,0)),"미분류")))</f>
        <v/>
      </c>
      <c r="AI771" s="43" t="str">
        <f aca="false">IF(Q771&lt;&gt;1,"",IFERROR(IF(VLOOKUP(R771,매핑!$A$4:$E$92,3,0)="","미분류",VLOOKUP(R771,매핑!$A$4:$E$92,3,0)),IF(AB771&lt;&gt;"",IF(AB771="","",INDEX(시장분석!$W:$W,AB771)),"미분류")))</f>
        <v/>
      </c>
      <c r="AJ771" s="43" t="str">
        <f aca="false">IF(Q771&lt;&gt;1,"",IFERROR(VLOOKUP(IF(N771&lt;&gt;"",N771,IF(P771&lt;&gt;"",P771,O771)),설정!$A$15:$D$47,2,0),""))</f>
        <v/>
      </c>
      <c r="AK771" s="43" t="str">
        <f aca="false">IF(Q771&lt;&gt;1,"",IF(AJ771="","무등급",IFERROR(VLOOKUP(AJ771,설정!$A$15:$D$47,3,0),"무등급")))</f>
        <v/>
      </c>
      <c r="AL771" s="89" t="n">
        <f aca="false">IF(AJ771="",99,IFERROR(VLOOKUP(AJ771,설정!$A$15:$D$47,4,0),99))</f>
        <v>99</v>
      </c>
      <c r="AM771" s="94" t="n">
        <f aca="false">IF(ISNUMBER(H771),AA771*1000000*H771/10000,0)</f>
        <v>0</v>
      </c>
      <c r="AN771" s="94" t="n">
        <f aca="false">IF(OR(Y771=1,NOT(ISNUMBER(Z771))),0,AA771*1000000*Z771/10000)</f>
        <v>0</v>
      </c>
      <c r="AO771" s="94" t="n">
        <f aca="false">IF(ISNUMBER(G771),AA771*1000000*G771/100,0)</f>
        <v>0</v>
      </c>
      <c r="AP771" s="94" t="n">
        <f aca="false">IF(ISNUMBER(M771),M771*K771,0)</f>
        <v>0</v>
      </c>
      <c r="AQ771" s="95" t="str">
        <f aca="false">IF(AB771="","",INDEX(시장분석!$AK:$AK,AB771))</f>
        <v/>
      </c>
      <c r="AR771" s="43" t="str">
        <f aca="false">IF(AB771="","-",IF(AB771="","",INDEX(시장분석!$AL:$AL,AB771)))</f>
        <v>-</v>
      </c>
      <c r="AS771" s="96" t="str">
        <f aca="false">IF(AB771="","",INDEX(시장분석!$AJ:$AJ,AB771))</f>
        <v/>
      </c>
      <c r="AT771" s="93" t="n">
        <f aca="false">IF(AB771="",0,IF(AB771="","",INDEX(시장분석!$AN:$AN,AB771)))</f>
        <v>0</v>
      </c>
      <c r="AU771" s="94" t="n">
        <f aca="false">IF(ISNUMBER(Z771),AT771/10000*MAX(Z771-1,0)*AA771*1000000,0)</f>
        <v>0</v>
      </c>
      <c r="AV771" s="94" t="n">
        <f aca="false">AO771+AU771</f>
        <v>0</v>
      </c>
      <c r="AW771" s="43" t="str">
        <f aca="false">IF(Q771&lt;&gt;1,"",TRIM(IF(AD771=1,"FRN ","")&amp;IF(AND(AL771&gt;=10,AL771&lt;99),"BBB0미만 ","")&amp;IF(AJ771="","등급없음 ","")&amp;IF(K771&lt;&gt;1,"비USD ","")&amp;IF(AND(AB771="",Y771=0),"시장데이터없음 ","")&amp;IF(AND(ISNUMBER(U771),U771&lt;0),"만기경과 ","")))</f>
        <v/>
      </c>
      <c r="AX771" s="90" t="n">
        <f aca="false">IF(Q771&lt;&gt;1,1,IF(스프레드쇼크!$C$4="Y",INDEX(스프레드쇼크!$B$12:$L$16,IFERROR(MATCH(AH771,스프레드쇼크!$A$12:$A$16,0),MATCH("목록외",스프레드쇼크!$A$12:$A$16,0)),IFERROR(MATCH(AG771,스프레드쇼크!$B$11:$L$11,0),MATCH("목록외",스프레드쇼크!$B$11:$L$11,0))),1))</f>
        <v>1</v>
      </c>
      <c r="AY771" s="90" t="n">
        <f aca="false">IF(스프레드쇼크!$C$5="Y",IF(ISNUMBER(AF771),MIN(스프레드쇼크!$C$7,MAX(스프레드쇼크!$C$6,AF771/스프레드쇼크!$C$8)),1),1)</f>
        <v>1</v>
      </c>
      <c r="AZ771" s="94" t="n">
        <f aca="false">AN771*AX771*AY771</f>
        <v>0</v>
      </c>
      <c r="BA771" s="90" t="n">
        <f aca="false">IF(ISNUMBER(G771),AA771*G771,0)</f>
        <v>0</v>
      </c>
      <c r="BB771" s="90" t="n">
        <f aca="false">IF(ISNUMBER(G771),AA771,0)</f>
        <v>0</v>
      </c>
      <c r="BC771" s="90" t="n">
        <f aca="false">IF(AND(Y771=0,ISNUMBER(AF771)),AA771*AF771,0)</f>
        <v>0</v>
      </c>
      <c r="BD771" s="90" t="n">
        <f aca="false">IF(AND(Y771=0,ISNUMBER(AF771)),AA771,0)</f>
        <v>0</v>
      </c>
      <c r="BE771" s="90" t="n">
        <f aca="false">IF(ISNUMBER(H771),AA771*H771,0)</f>
        <v>0</v>
      </c>
      <c r="BF771" s="90" t="n">
        <f aca="false">IF(ISNUMBER(H771),AA771,0)</f>
        <v>0</v>
      </c>
      <c r="BG771" s="90" t="n">
        <f aca="false">IF(AND(Y771=0,ISNUMBER(AF771),ISNUMBER(Z771)),AA771*Z771,0)</f>
        <v>0</v>
      </c>
      <c r="BH771" s="90" t="n">
        <f aca="false">IF(AND(Y771=0,ISNUMBER(AF771),ISNUMBER(Z771)),AA771*AT771*MAX(Z771-1,0),0)</f>
        <v>0</v>
      </c>
      <c r="BI771" s="90" t="n">
        <f aca="false">IF(Y771=0,AA771,0)</f>
        <v>0</v>
      </c>
    </row>
    <row r="772" customFormat="false" ht="15" hidden="false" customHeight="false" outlineLevel="0" collapsed="false">
      <c r="A772" s="83" t="str">
        <f aca="false">IFERROR(IF(INDEX(원자료_잔고!$A$1:$EZ$1500,설정!$L$5+ROW()-1,설정!$L$8)&amp;""="0","",INDEX(원자료_잔고!$A$1:$EZ$1500,설정!$L$5+ROW()-1,설정!$L$8)&amp;""),"")</f>
        <v/>
      </c>
      <c r="B772" s="83" t="str">
        <f aca="false">IFERROR(IF(INDEX(원자료_잔고!$A$1:$EZ$1500,설정!$L$5+ROW()-1,설정!$L$7)&amp;""="0","",INDEX(원자료_잔고!$A$1:$EZ$1500,설정!$L$5+ROW()-1,설정!$L$7)&amp;""),"")</f>
        <v/>
      </c>
      <c r="C772" s="83" t="str">
        <f aca="false">IFERROR(IF(INDEX(원자료_잔고!$A$1:$EZ$1500,설정!$L$5+ROW()-1,설정!$L$9)&amp;""="0","",INDEX(원자료_잔고!$A$1:$EZ$1500,설정!$L$5+ROW()-1,설정!$L$9)&amp;""),"")</f>
        <v/>
      </c>
      <c r="D772" s="83" t="str">
        <f aca="false">IFERROR(IF(INDEX(원자료_잔고!$A$1:$EZ$1500,설정!$L$5+ROW()-1,설정!$L$10)&amp;""="0","",INDEX(원자료_잔고!$A$1:$EZ$1500,설정!$L$5+ROW()-1,설정!$L$10)&amp;""),"")</f>
        <v/>
      </c>
      <c r="E772" s="84" t="str">
        <f aca="false">IFERROR(IF(ISNUMBER(INDEX(원자료_잔고!$A$1:$EZ$1500,설정!$L$5+ROW()-1,설정!$L$11)),INDEX(원자료_잔고!$A$1:$EZ$1500,설정!$L$5+ROW()-1,설정!$L$11),""),"")</f>
        <v/>
      </c>
      <c r="F772" s="85" t="str">
        <f aca="false">IFERROR(IF(ISNUMBER(INDEX(원자료_잔고!$A$1:$EZ$1500,설정!$L$5+ROW()-1,설정!$L$12)),INDEX(원자료_잔고!$A$1:$EZ$1500,설정!$L$5+ROW()-1,설정!$L$12),""),"")</f>
        <v/>
      </c>
      <c r="G772" s="85" t="str">
        <f aca="false">IFERROR(IF(ISNUMBER(INDEX(원자료_잔고!$A$1:$EZ$1500,설정!$L$5+ROW()-1,설정!$L$13)),INDEX(원자료_잔고!$A$1:$EZ$1500,설정!$L$5+ROW()-1,설정!$L$13),""),"")</f>
        <v/>
      </c>
      <c r="H772" s="85" t="str">
        <f aca="false">IFERROR(IF(ISNUMBER(INDEX(원자료_잔고!$A$1:$EZ$1500,설정!$L$5+ROW()-1,설정!$L$14)),INDEX(원자료_잔고!$A$1:$EZ$1500,설정!$L$5+ROW()-1,설정!$L$14),""),"")</f>
        <v/>
      </c>
      <c r="I772" s="86" t="str">
        <f aca="false">IFERROR(IF(ISNUMBER(INDEX(원자료_잔고!$A$1:$EZ$1500,설정!$L$5+ROW()-1,설정!$L$15)),INDEX(원자료_잔고!$A$1:$EZ$1500,설정!$L$5+ROW()-1,설정!$L$15),""),"")</f>
        <v/>
      </c>
      <c r="J772" s="85" t="str">
        <f aca="false">IFERROR(IF(ISNUMBER(INDEX(원자료_잔고!$A$1:$EZ$1500,설정!$L$5+ROW()-1,설정!$L$16)),INDEX(원자료_잔고!$A$1:$EZ$1500,설정!$L$5+ROW()-1,설정!$L$16),""),"")</f>
        <v/>
      </c>
      <c r="K772" s="87" t="str">
        <f aca="false">IFERROR(IF(ISNUMBER(INDEX(원자료_잔고!$A$1:$EZ$1500,설정!$L$5+ROW()-1,설정!$L$17)),INDEX(원자료_잔고!$A$1:$EZ$1500,설정!$L$5+ROW()-1,설정!$L$17),""),"")</f>
        <v/>
      </c>
      <c r="L772" s="84" t="str">
        <f aca="false">IFERROR(IF(ISNUMBER(INDEX(원자료_잔고!$A$1:$EZ$1500,설정!$L$5+ROW()-1,설정!$L$18)),INDEX(원자료_잔고!$A$1:$EZ$1500,설정!$L$5+ROW()-1,설정!$L$18),""),"")</f>
        <v/>
      </c>
      <c r="M772" s="88" t="str">
        <f aca="false">IFERROR(IF(ISNUMBER(INDEX(원자료_잔고!$A$1:$EZ$1500,설정!$L$5+ROW()-1,설정!$L$19)),INDEX(원자료_잔고!$A$1:$EZ$1500,설정!$L$5+ROW()-1,설정!$L$19),""),"")</f>
        <v/>
      </c>
      <c r="N772" s="83" t="str">
        <f aca="false">IFERROR(IF(INDEX(원자료_잔고!$A$1:$EZ$1500,설정!$L$5+ROW()-1,설정!$L$21)&amp;""="0","",INDEX(원자료_잔고!$A$1:$EZ$1500,설정!$L$5+ROW()-1,설정!$L$21)&amp;""),"")</f>
        <v/>
      </c>
      <c r="O772" s="83" t="str">
        <f aca="false">IFERROR(IF(INDEX(원자료_잔고!$A$1:$EZ$1500,설정!$L$5+ROW()-1,설정!$L$22)&amp;""="0","",INDEX(원자료_잔고!$A$1:$EZ$1500,설정!$L$5+ROW()-1,설정!$L$22)&amp;""),"")</f>
        <v/>
      </c>
      <c r="P772" s="83" t="str">
        <f aca="false">IFERROR(IF(INDEX(원자료_잔고!$A$1:$EZ$1500,설정!$L$5+ROW()-1,설정!$L$23)&amp;""="0","",INDEX(원자료_잔고!$A$1:$EZ$1500,설정!$L$5+ROW()-1,설정!$L$23)&amp;""),"")</f>
        <v/>
      </c>
      <c r="Q772" s="89" t="n">
        <f aca="false">IF(AND($A772&lt;&gt;"",ISNUMBER(E772)),IF(E772&gt;0,1,0),0)</f>
        <v>0</v>
      </c>
      <c r="R772" s="43" t="str">
        <f aca="false">IF(Q772=1,UPPER(LEFT($A772,FIND(" ",$A772&amp;" ")-1)),"")</f>
        <v/>
      </c>
      <c r="S772" s="89" t="n">
        <f aca="false">IF(Q772=1,IF(OR(ISNUMBER(SEARCH("Float",$A772)),ISNUMBER(SEARCH("FRN",$A772))),1,0),0)</f>
        <v>0</v>
      </c>
      <c r="T772" s="43" t="str">
        <f aca="false">IF(AND(Q772=1,ISNUMBER(I772)),TEXT(I772,"yyyymmdd")&amp;"|"&amp;IF(S772=1,"F",TEXT(J772,"0.000")),"")</f>
        <v/>
      </c>
      <c r="U772" s="90" t="str">
        <f aca="false">IF(AND(Q772=1,ISNUMBER(I772)),(I772-설정!$C$4)/365.25,"")</f>
        <v/>
      </c>
      <c r="V772" s="43" t="str">
        <f aca="false">IF(Q772&lt;&gt;1,"",IF(ISNUMBER(U772),IF(U772&lt;=1,"1년 이하",IF(U772&lt;=2,"1-2년",IF(U772&lt;=3,"2-3년",IF(U772&lt;=4,"3-4년",IF(U772&lt;=5,"4-5년",IF(U772&lt;=7,"5-7년",IF(U772&lt;=10,"7-10년",IF(U772&lt;=20,"10-20년","20년 이상")))))))),"미분류"))</f>
        <v/>
      </c>
      <c r="W772" s="43" t="str">
        <f aca="false">IF(Q772&lt;&gt;1,"",IF(AB772&lt;&gt;"",INDEX(시장분석!$C:$C,AB772),IF(K772=1,"USD","비USD")))</f>
        <v/>
      </c>
      <c r="X772" s="91" t="n">
        <f aca="false">IF(Q772=1,E772*K772/1000000,0)</f>
        <v>0</v>
      </c>
      <c r="Y772" s="89" t="n">
        <f aca="false">IF(R772="T",1,0)</f>
        <v>0</v>
      </c>
      <c r="Z772" s="92" t="str">
        <f aca="false">IF(Q772&lt;&gt;1,"",IF(AD772=1,IF(ISNUMBER(U772),MAX(U772,0),H772),H772))</f>
        <v/>
      </c>
      <c r="AA772" s="91" t="n">
        <f aca="false">IF(Q772=1,IF(ISNUMBER(L772),L772,0)*K772/1000000,0)</f>
        <v>0</v>
      </c>
      <c r="AB772" s="89" t="str">
        <f aca="false">IF(Q772&lt;&gt;1,"",IFERROR(MATCH(VLOOKUP(B772,매핑!$H$4:$I$15,2,0),시장분석!$A$2:$A$601,0)+1,IFERROR(MATCH(R772&amp;"|"&amp;T772,시장분석!$V$2:$V$601,0)+1,IF(COUNTIF(시장분석!$U$2:$U$601,T772)=1,MATCH(T772,시장분석!$U$2:$U$601,0)+1,""))))</f>
        <v/>
      </c>
      <c r="AC772" s="89" t="n">
        <f aca="false">IF(Q772&lt;&gt;1,0,IF(OR(설정!$C$5="전체",AND(설정!$C$5="선택펀드",IFERROR(COUNTIFS(설정!$F$16:$F$36,C772,설정!$G$16:$G$36,"Y")+COUNTIFS(설정!$F$16:$F$36,VALUE(C772),설정!$G$16:$G$36,"Y"),0)&gt;0),C772&amp;""=설정!$C$5&amp;""),1,0))</f>
        <v>0</v>
      </c>
      <c r="AD772" s="89" t="n">
        <f aca="false">IF(Q772&lt;&gt;1,0,IF(OR(S772=1,IF(AB772="",FALSE(),INDEX(시장분석!$R:$R,AB772)=1)),1,0))</f>
        <v>0</v>
      </c>
      <c r="AE772" s="43" t="str">
        <f aca="false">IF(AB772="","",INDEX(시장분석!$A:$A,AB772))</f>
        <v/>
      </c>
      <c r="AF772" s="93" t="str">
        <f aca="false">IF(AB772="","",IF(ISNUMBER(IF(AB772="","",INDEX(시장분석!$E:$E,AB772))),IF(AB772="","",INDEX(시장분석!$E:$E,AB772)),""))</f>
        <v/>
      </c>
      <c r="AG772" s="43" t="str">
        <f aca="false">IF(Q772&lt;&gt;1,"",IF(AB772&lt;&gt;"",IF(AB772="","",INDEX(시장분석!$L:$L,AB772)),IFERROR(IF(VLOOKUP(R772,매핑!$A$4:$E$92,5,0)="","미분류",VLOOKUP(R772,매핑!$A$4:$E$92,5,0)),"미분류")))</f>
        <v/>
      </c>
      <c r="AH772" s="43" t="str">
        <f aca="false">IF(Q772&lt;&gt;1,"",IF(AB772&lt;&gt;"",IF(AB772="","",INDEX(시장분석!$N:$N,AB772)),IFERROR(IF(VLOOKUP(R772,매핑!$A$4:$E$92,4,0)="","미분류",VLOOKUP(R772,매핑!$A$4:$E$92,4,0)),"미분류")))</f>
        <v/>
      </c>
      <c r="AI772" s="43" t="str">
        <f aca="false">IF(Q772&lt;&gt;1,"",IFERROR(IF(VLOOKUP(R772,매핑!$A$4:$E$92,3,0)="","미분류",VLOOKUP(R772,매핑!$A$4:$E$92,3,0)),IF(AB772&lt;&gt;"",IF(AB772="","",INDEX(시장분석!$W:$W,AB772)),"미분류")))</f>
        <v/>
      </c>
      <c r="AJ772" s="43" t="str">
        <f aca="false">IF(Q772&lt;&gt;1,"",IFERROR(VLOOKUP(IF(N772&lt;&gt;"",N772,IF(P772&lt;&gt;"",P772,O772)),설정!$A$15:$D$47,2,0),""))</f>
        <v/>
      </c>
      <c r="AK772" s="43" t="str">
        <f aca="false">IF(Q772&lt;&gt;1,"",IF(AJ772="","무등급",IFERROR(VLOOKUP(AJ772,설정!$A$15:$D$47,3,0),"무등급")))</f>
        <v/>
      </c>
      <c r="AL772" s="89" t="n">
        <f aca="false">IF(AJ772="",99,IFERROR(VLOOKUP(AJ772,설정!$A$15:$D$47,4,0),99))</f>
        <v>99</v>
      </c>
      <c r="AM772" s="94" t="n">
        <f aca="false">IF(ISNUMBER(H772),AA772*1000000*H772/10000,0)</f>
        <v>0</v>
      </c>
      <c r="AN772" s="94" t="n">
        <f aca="false">IF(OR(Y772=1,NOT(ISNUMBER(Z772))),0,AA772*1000000*Z772/10000)</f>
        <v>0</v>
      </c>
      <c r="AO772" s="94" t="n">
        <f aca="false">IF(ISNUMBER(G772),AA772*1000000*G772/100,0)</f>
        <v>0</v>
      </c>
      <c r="AP772" s="94" t="n">
        <f aca="false">IF(ISNUMBER(M772),M772*K772,0)</f>
        <v>0</v>
      </c>
      <c r="AQ772" s="95" t="str">
        <f aca="false">IF(AB772="","",INDEX(시장분석!$AK:$AK,AB772))</f>
        <v/>
      </c>
      <c r="AR772" s="43" t="str">
        <f aca="false">IF(AB772="","-",IF(AB772="","",INDEX(시장분석!$AL:$AL,AB772)))</f>
        <v>-</v>
      </c>
      <c r="AS772" s="96" t="str">
        <f aca="false">IF(AB772="","",INDEX(시장분석!$AJ:$AJ,AB772))</f>
        <v/>
      </c>
      <c r="AT772" s="93" t="n">
        <f aca="false">IF(AB772="",0,IF(AB772="","",INDEX(시장분석!$AN:$AN,AB772)))</f>
        <v>0</v>
      </c>
      <c r="AU772" s="94" t="n">
        <f aca="false">IF(ISNUMBER(Z772),AT772/10000*MAX(Z772-1,0)*AA772*1000000,0)</f>
        <v>0</v>
      </c>
      <c r="AV772" s="94" t="n">
        <f aca="false">AO772+AU772</f>
        <v>0</v>
      </c>
      <c r="AW772" s="43" t="str">
        <f aca="false">IF(Q772&lt;&gt;1,"",TRIM(IF(AD772=1,"FRN ","")&amp;IF(AND(AL772&gt;=10,AL772&lt;99),"BBB0미만 ","")&amp;IF(AJ772="","등급없음 ","")&amp;IF(K772&lt;&gt;1,"비USD ","")&amp;IF(AND(AB772="",Y772=0),"시장데이터없음 ","")&amp;IF(AND(ISNUMBER(U772),U772&lt;0),"만기경과 ","")))</f>
        <v/>
      </c>
      <c r="AX772" s="90" t="n">
        <f aca="false">IF(Q772&lt;&gt;1,1,IF(스프레드쇼크!$C$4="Y",INDEX(스프레드쇼크!$B$12:$L$16,IFERROR(MATCH(AH772,스프레드쇼크!$A$12:$A$16,0),MATCH("목록외",스프레드쇼크!$A$12:$A$16,0)),IFERROR(MATCH(AG772,스프레드쇼크!$B$11:$L$11,0),MATCH("목록외",스프레드쇼크!$B$11:$L$11,0))),1))</f>
        <v>1</v>
      </c>
      <c r="AY772" s="90" t="n">
        <f aca="false">IF(스프레드쇼크!$C$5="Y",IF(ISNUMBER(AF772),MIN(스프레드쇼크!$C$7,MAX(스프레드쇼크!$C$6,AF772/스프레드쇼크!$C$8)),1),1)</f>
        <v>1</v>
      </c>
      <c r="AZ772" s="94" t="n">
        <f aca="false">AN772*AX772*AY772</f>
        <v>0</v>
      </c>
      <c r="BA772" s="90" t="n">
        <f aca="false">IF(ISNUMBER(G772),AA772*G772,0)</f>
        <v>0</v>
      </c>
      <c r="BB772" s="90" t="n">
        <f aca="false">IF(ISNUMBER(G772),AA772,0)</f>
        <v>0</v>
      </c>
      <c r="BC772" s="90" t="n">
        <f aca="false">IF(AND(Y772=0,ISNUMBER(AF772)),AA772*AF772,0)</f>
        <v>0</v>
      </c>
      <c r="BD772" s="90" t="n">
        <f aca="false">IF(AND(Y772=0,ISNUMBER(AF772)),AA772,0)</f>
        <v>0</v>
      </c>
      <c r="BE772" s="90" t="n">
        <f aca="false">IF(ISNUMBER(H772),AA772*H772,0)</f>
        <v>0</v>
      </c>
      <c r="BF772" s="90" t="n">
        <f aca="false">IF(ISNUMBER(H772),AA772,0)</f>
        <v>0</v>
      </c>
      <c r="BG772" s="90" t="n">
        <f aca="false">IF(AND(Y772=0,ISNUMBER(AF772),ISNUMBER(Z772)),AA772*Z772,0)</f>
        <v>0</v>
      </c>
      <c r="BH772" s="90" t="n">
        <f aca="false">IF(AND(Y772=0,ISNUMBER(AF772),ISNUMBER(Z772)),AA772*AT772*MAX(Z772-1,0),0)</f>
        <v>0</v>
      </c>
      <c r="BI772" s="90" t="n">
        <f aca="false">IF(Y772=0,AA772,0)</f>
        <v>0</v>
      </c>
    </row>
    <row r="773" customFormat="false" ht="15" hidden="false" customHeight="false" outlineLevel="0" collapsed="false">
      <c r="A773" s="83" t="str">
        <f aca="false">IFERROR(IF(INDEX(원자료_잔고!$A$1:$EZ$1500,설정!$L$5+ROW()-1,설정!$L$8)&amp;""="0","",INDEX(원자료_잔고!$A$1:$EZ$1500,설정!$L$5+ROW()-1,설정!$L$8)&amp;""),"")</f>
        <v/>
      </c>
      <c r="B773" s="83" t="str">
        <f aca="false">IFERROR(IF(INDEX(원자료_잔고!$A$1:$EZ$1500,설정!$L$5+ROW()-1,설정!$L$7)&amp;""="0","",INDEX(원자료_잔고!$A$1:$EZ$1500,설정!$L$5+ROW()-1,설정!$L$7)&amp;""),"")</f>
        <v/>
      </c>
      <c r="C773" s="83" t="str">
        <f aca="false">IFERROR(IF(INDEX(원자료_잔고!$A$1:$EZ$1500,설정!$L$5+ROW()-1,설정!$L$9)&amp;""="0","",INDEX(원자료_잔고!$A$1:$EZ$1500,설정!$L$5+ROW()-1,설정!$L$9)&amp;""),"")</f>
        <v/>
      </c>
      <c r="D773" s="83" t="str">
        <f aca="false">IFERROR(IF(INDEX(원자료_잔고!$A$1:$EZ$1500,설정!$L$5+ROW()-1,설정!$L$10)&amp;""="0","",INDEX(원자료_잔고!$A$1:$EZ$1500,설정!$L$5+ROW()-1,설정!$L$10)&amp;""),"")</f>
        <v/>
      </c>
      <c r="E773" s="84" t="str">
        <f aca="false">IFERROR(IF(ISNUMBER(INDEX(원자료_잔고!$A$1:$EZ$1500,설정!$L$5+ROW()-1,설정!$L$11)),INDEX(원자료_잔고!$A$1:$EZ$1500,설정!$L$5+ROW()-1,설정!$L$11),""),"")</f>
        <v/>
      </c>
      <c r="F773" s="85" t="str">
        <f aca="false">IFERROR(IF(ISNUMBER(INDEX(원자료_잔고!$A$1:$EZ$1500,설정!$L$5+ROW()-1,설정!$L$12)),INDEX(원자료_잔고!$A$1:$EZ$1500,설정!$L$5+ROW()-1,설정!$L$12),""),"")</f>
        <v/>
      </c>
      <c r="G773" s="85" t="str">
        <f aca="false">IFERROR(IF(ISNUMBER(INDEX(원자료_잔고!$A$1:$EZ$1500,설정!$L$5+ROW()-1,설정!$L$13)),INDEX(원자료_잔고!$A$1:$EZ$1500,설정!$L$5+ROW()-1,설정!$L$13),""),"")</f>
        <v/>
      </c>
      <c r="H773" s="85" t="str">
        <f aca="false">IFERROR(IF(ISNUMBER(INDEX(원자료_잔고!$A$1:$EZ$1500,설정!$L$5+ROW()-1,설정!$L$14)),INDEX(원자료_잔고!$A$1:$EZ$1500,설정!$L$5+ROW()-1,설정!$L$14),""),"")</f>
        <v/>
      </c>
      <c r="I773" s="86" t="str">
        <f aca="false">IFERROR(IF(ISNUMBER(INDEX(원자료_잔고!$A$1:$EZ$1500,설정!$L$5+ROW()-1,설정!$L$15)),INDEX(원자료_잔고!$A$1:$EZ$1500,설정!$L$5+ROW()-1,설정!$L$15),""),"")</f>
        <v/>
      </c>
      <c r="J773" s="85" t="str">
        <f aca="false">IFERROR(IF(ISNUMBER(INDEX(원자료_잔고!$A$1:$EZ$1500,설정!$L$5+ROW()-1,설정!$L$16)),INDEX(원자료_잔고!$A$1:$EZ$1500,설정!$L$5+ROW()-1,설정!$L$16),""),"")</f>
        <v/>
      </c>
      <c r="K773" s="87" t="str">
        <f aca="false">IFERROR(IF(ISNUMBER(INDEX(원자료_잔고!$A$1:$EZ$1500,설정!$L$5+ROW()-1,설정!$L$17)),INDEX(원자료_잔고!$A$1:$EZ$1500,설정!$L$5+ROW()-1,설정!$L$17),""),"")</f>
        <v/>
      </c>
      <c r="L773" s="84" t="str">
        <f aca="false">IFERROR(IF(ISNUMBER(INDEX(원자료_잔고!$A$1:$EZ$1500,설정!$L$5+ROW()-1,설정!$L$18)),INDEX(원자료_잔고!$A$1:$EZ$1500,설정!$L$5+ROW()-1,설정!$L$18),""),"")</f>
        <v/>
      </c>
      <c r="M773" s="88" t="str">
        <f aca="false">IFERROR(IF(ISNUMBER(INDEX(원자료_잔고!$A$1:$EZ$1500,설정!$L$5+ROW()-1,설정!$L$19)),INDEX(원자료_잔고!$A$1:$EZ$1500,설정!$L$5+ROW()-1,설정!$L$19),""),"")</f>
        <v/>
      </c>
      <c r="N773" s="83" t="str">
        <f aca="false">IFERROR(IF(INDEX(원자료_잔고!$A$1:$EZ$1500,설정!$L$5+ROW()-1,설정!$L$21)&amp;""="0","",INDEX(원자료_잔고!$A$1:$EZ$1500,설정!$L$5+ROW()-1,설정!$L$21)&amp;""),"")</f>
        <v/>
      </c>
      <c r="O773" s="83" t="str">
        <f aca="false">IFERROR(IF(INDEX(원자료_잔고!$A$1:$EZ$1500,설정!$L$5+ROW()-1,설정!$L$22)&amp;""="0","",INDEX(원자료_잔고!$A$1:$EZ$1500,설정!$L$5+ROW()-1,설정!$L$22)&amp;""),"")</f>
        <v/>
      </c>
      <c r="P773" s="83" t="str">
        <f aca="false">IFERROR(IF(INDEX(원자료_잔고!$A$1:$EZ$1500,설정!$L$5+ROW()-1,설정!$L$23)&amp;""="0","",INDEX(원자료_잔고!$A$1:$EZ$1500,설정!$L$5+ROW()-1,설정!$L$23)&amp;""),"")</f>
        <v/>
      </c>
      <c r="Q773" s="89" t="n">
        <f aca="false">IF(AND($A773&lt;&gt;"",ISNUMBER(E773)),IF(E773&gt;0,1,0),0)</f>
        <v>0</v>
      </c>
      <c r="R773" s="43" t="str">
        <f aca="false">IF(Q773=1,UPPER(LEFT($A773,FIND(" ",$A773&amp;" ")-1)),"")</f>
        <v/>
      </c>
      <c r="S773" s="89" t="n">
        <f aca="false">IF(Q773=1,IF(OR(ISNUMBER(SEARCH("Float",$A773)),ISNUMBER(SEARCH("FRN",$A773))),1,0),0)</f>
        <v>0</v>
      </c>
      <c r="T773" s="43" t="str">
        <f aca="false">IF(AND(Q773=1,ISNUMBER(I773)),TEXT(I773,"yyyymmdd")&amp;"|"&amp;IF(S773=1,"F",TEXT(J773,"0.000")),"")</f>
        <v/>
      </c>
      <c r="U773" s="90" t="str">
        <f aca="false">IF(AND(Q773=1,ISNUMBER(I773)),(I773-설정!$C$4)/365.25,"")</f>
        <v/>
      </c>
      <c r="V773" s="43" t="str">
        <f aca="false">IF(Q773&lt;&gt;1,"",IF(ISNUMBER(U773),IF(U773&lt;=1,"1년 이하",IF(U773&lt;=2,"1-2년",IF(U773&lt;=3,"2-3년",IF(U773&lt;=4,"3-4년",IF(U773&lt;=5,"4-5년",IF(U773&lt;=7,"5-7년",IF(U773&lt;=10,"7-10년",IF(U773&lt;=20,"10-20년","20년 이상")))))))),"미분류"))</f>
        <v/>
      </c>
      <c r="W773" s="43" t="str">
        <f aca="false">IF(Q773&lt;&gt;1,"",IF(AB773&lt;&gt;"",INDEX(시장분석!$C:$C,AB773),IF(K773=1,"USD","비USD")))</f>
        <v/>
      </c>
      <c r="X773" s="91" t="n">
        <f aca="false">IF(Q773=1,E773*K773/1000000,0)</f>
        <v>0</v>
      </c>
      <c r="Y773" s="89" t="n">
        <f aca="false">IF(R773="T",1,0)</f>
        <v>0</v>
      </c>
      <c r="Z773" s="92" t="str">
        <f aca="false">IF(Q773&lt;&gt;1,"",IF(AD773=1,IF(ISNUMBER(U773),MAX(U773,0),H773),H773))</f>
        <v/>
      </c>
      <c r="AA773" s="91" t="n">
        <f aca="false">IF(Q773=1,IF(ISNUMBER(L773),L773,0)*K773/1000000,0)</f>
        <v>0</v>
      </c>
      <c r="AB773" s="89" t="str">
        <f aca="false">IF(Q773&lt;&gt;1,"",IFERROR(MATCH(VLOOKUP(B773,매핑!$H$4:$I$15,2,0),시장분석!$A$2:$A$601,0)+1,IFERROR(MATCH(R773&amp;"|"&amp;T773,시장분석!$V$2:$V$601,0)+1,IF(COUNTIF(시장분석!$U$2:$U$601,T773)=1,MATCH(T773,시장분석!$U$2:$U$601,0)+1,""))))</f>
        <v/>
      </c>
      <c r="AC773" s="89" t="n">
        <f aca="false">IF(Q773&lt;&gt;1,0,IF(OR(설정!$C$5="전체",AND(설정!$C$5="선택펀드",IFERROR(COUNTIFS(설정!$F$16:$F$36,C773,설정!$G$16:$G$36,"Y")+COUNTIFS(설정!$F$16:$F$36,VALUE(C773),설정!$G$16:$G$36,"Y"),0)&gt;0),C773&amp;""=설정!$C$5&amp;""),1,0))</f>
        <v>0</v>
      </c>
      <c r="AD773" s="89" t="n">
        <f aca="false">IF(Q773&lt;&gt;1,0,IF(OR(S773=1,IF(AB773="",FALSE(),INDEX(시장분석!$R:$R,AB773)=1)),1,0))</f>
        <v>0</v>
      </c>
      <c r="AE773" s="43" t="str">
        <f aca="false">IF(AB773="","",INDEX(시장분석!$A:$A,AB773))</f>
        <v/>
      </c>
      <c r="AF773" s="93" t="str">
        <f aca="false">IF(AB773="","",IF(ISNUMBER(IF(AB773="","",INDEX(시장분석!$E:$E,AB773))),IF(AB773="","",INDEX(시장분석!$E:$E,AB773)),""))</f>
        <v/>
      </c>
      <c r="AG773" s="43" t="str">
        <f aca="false">IF(Q773&lt;&gt;1,"",IF(AB773&lt;&gt;"",IF(AB773="","",INDEX(시장분석!$L:$L,AB773)),IFERROR(IF(VLOOKUP(R773,매핑!$A$4:$E$92,5,0)="","미분류",VLOOKUP(R773,매핑!$A$4:$E$92,5,0)),"미분류")))</f>
        <v/>
      </c>
      <c r="AH773" s="43" t="str">
        <f aca="false">IF(Q773&lt;&gt;1,"",IF(AB773&lt;&gt;"",IF(AB773="","",INDEX(시장분석!$N:$N,AB773)),IFERROR(IF(VLOOKUP(R773,매핑!$A$4:$E$92,4,0)="","미분류",VLOOKUP(R773,매핑!$A$4:$E$92,4,0)),"미분류")))</f>
        <v/>
      </c>
      <c r="AI773" s="43" t="str">
        <f aca="false">IF(Q773&lt;&gt;1,"",IFERROR(IF(VLOOKUP(R773,매핑!$A$4:$E$92,3,0)="","미분류",VLOOKUP(R773,매핑!$A$4:$E$92,3,0)),IF(AB773&lt;&gt;"",IF(AB773="","",INDEX(시장분석!$W:$W,AB773)),"미분류")))</f>
        <v/>
      </c>
      <c r="AJ773" s="43" t="str">
        <f aca="false">IF(Q773&lt;&gt;1,"",IFERROR(VLOOKUP(IF(N773&lt;&gt;"",N773,IF(P773&lt;&gt;"",P773,O773)),설정!$A$15:$D$47,2,0),""))</f>
        <v/>
      </c>
      <c r="AK773" s="43" t="str">
        <f aca="false">IF(Q773&lt;&gt;1,"",IF(AJ773="","무등급",IFERROR(VLOOKUP(AJ773,설정!$A$15:$D$47,3,0),"무등급")))</f>
        <v/>
      </c>
      <c r="AL773" s="89" t="n">
        <f aca="false">IF(AJ773="",99,IFERROR(VLOOKUP(AJ773,설정!$A$15:$D$47,4,0),99))</f>
        <v>99</v>
      </c>
      <c r="AM773" s="94" t="n">
        <f aca="false">IF(ISNUMBER(H773),AA773*1000000*H773/10000,0)</f>
        <v>0</v>
      </c>
      <c r="AN773" s="94" t="n">
        <f aca="false">IF(OR(Y773=1,NOT(ISNUMBER(Z773))),0,AA773*1000000*Z773/10000)</f>
        <v>0</v>
      </c>
      <c r="AO773" s="94" t="n">
        <f aca="false">IF(ISNUMBER(G773),AA773*1000000*G773/100,0)</f>
        <v>0</v>
      </c>
      <c r="AP773" s="94" t="n">
        <f aca="false">IF(ISNUMBER(M773),M773*K773,0)</f>
        <v>0</v>
      </c>
      <c r="AQ773" s="95" t="str">
        <f aca="false">IF(AB773="","",INDEX(시장분석!$AK:$AK,AB773))</f>
        <v/>
      </c>
      <c r="AR773" s="43" t="str">
        <f aca="false">IF(AB773="","-",IF(AB773="","",INDEX(시장분석!$AL:$AL,AB773)))</f>
        <v>-</v>
      </c>
      <c r="AS773" s="96" t="str">
        <f aca="false">IF(AB773="","",INDEX(시장분석!$AJ:$AJ,AB773))</f>
        <v/>
      </c>
      <c r="AT773" s="93" t="n">
        <f aca="false">IF(AB773="",0,IF(AB773="","",INDEX(시장분석!$AN:$AN,AB773)))</f>
        <v>0</v>
      </c>
      <c r="AU773" s="94" t="n">
        <f aca="false">IF(ISNUMBER(Z773),AT773/10000*MAX(Z773-1,0)*AA773*1000000,0)</f>
        <v>0</v>
      </c>
      <c r="AV773" s="94" t="n">
        <f aca="false">AO773+AU773</f>
        <v>0</v>
      </c>
      <c r="AW773" s="43" t="str">
        <f aca="false">IF(Q773&lt;&gt;1,"",TRIM(IF(AD773=1,"FRN ","")&amp;IF(AND(AL773&gt;=10,AL773&lt;99),"BBB0미만 ","")&amp;IF(AJ773="","등급없음 ","")&amp;IF(K773&lt;&gt;1,"비USD ","")&amp;IF(AND(AB773="",Y773=0),"시장데이터없음 ","")&amp;IF(AND(ISNUMBER(U773),U773&lt;0),"만기경과 ","")))</f>
        <v/>
      </c>
      <c r="AX773" s="90" t="n">
        <f aca="false">IF(Q773&lt;&gt;1,1,IF(스프레드쇼크!$C$4="Y",INDEX(스프레드쇼크!$B$12:$L$16,IFERROR(MATCH(AH773,스프레드쇼크!$A$12:$A$16,0),MATCH("목록외",스프레드쇼크!$A$12:$A$16,0)),IFERROR(MATCH(AG773,스프레드쇼크!$B$11:$L$11,0),MATCH("목록외",스프레드쇼크!$B$11:$L$11,0))),1))</f>
        <v>1</v>
      </c>
      <c r="AY773" s="90" t="n">
        <f aca="false">IF(스프레드쇼크!$C$5="Y",IF(ISNUMBER(AF773),MIN(스프레드쇼크!$C$7,MAX(스프레드쇼크!$C$6,AF773/스프레드쇼크!$C$8)),1),1)</f>
        <v>1</v>
      </c>
      <c r="AZ773" s="94" t="n">
        <f aca="false">AN773*AX773*AY773</f>
        <v>0</v>
      </c>
      <c r="BA773" s="90" t="n">
        <f aca="false">IF(ISNUMBER(G773),AA773*G773,0)</f>
        <v>0</v>
      </c>
      <c r="BB773" s="90" t="n">
        <f aca="false">IF(ISNUMBER(G773),AA773,0)</f>
        <v>0</v>
      </c>
      <c r="BC773" s="90" t="n">
        <f aca="false">IF(AND(Y773=0,ISNUMBER(AF773)),AA773*AF773,0)</f>
        <v>0</v>
      </c>
      <c r="BD773" s="90" t="n">
        <f aca="false">IF(AND(Y773=0,ISNUMBER(AF773)),AA773,0)</f>
        <v>0</v>
      </c>
      <c r="BE773" s="90" t="n">
        <f aca="false">IF(ISNUMBER(H773),AA773*H773,0)</f>
        <v>0</v>
      </c>
      <c r="BF773" s="90" t="n">
        <f aca="false">IF(ISNUMBER(H773),AA773,0)</f>
        <v>0</v>
      </c>
      <c r="BG773" s="90" t="n">
        <f aca="false">IF(AND(Y773=0,ISNUMBER(AF773),ISNUMBER(Z773)),AA773*Z773,0)</f>
        <v>0</v>
      </c>
      <c r="BH773" s="90" t="n">
        <f aca="false">IF(AND(Y773=0,ISNUMBER(AF773),ISNUMBER(Z773)),AA773*AT773*MAX(Z773-1,0),0)</f>
        <v>0</v>
      </c>
      <c r="BI773" s="90" t="n">
        <f aca="false">IF(Y773=0,AA773,0)</f>
        <v>0</v>
      </c>
    </row>
    <row r="774" customFormat="false" ht="15" hidden="false" customHeight="false" outlineLevel="0" collapsed="false">
      <c r="A774" s="83" t="str">
        <f aca="false">IFERROR(IF(INDEX(원자료_잔고!$A$1:$EZ$1500,설정!$L$5+ROW()-1,설정!$L$8)&amp;""="0","",INDEX(원자료_잔고!$A$1:$EZ$1500,설정!$L$5+ROW()-1,설정!$L$8)&amp;""),"")</f>
        <v/>
      </c>
      <c r="B774" s="83" t="str">
        <f aca="false">IFERROR(IF(INDEX(원자료_잔고!$A$1:$EZ$1500,설정!$L$5+ROW()-1,설정!$L$7)&amp;""="0","",INDEX(원자료_잔고!$A$1:$EZ$1500,설정!$L$5+ROW()-1,설정!$L$7)&amp;""),"")</f>
        <v/>
      </c>
      <c r="C774" s="83" t="str">
        <f aca="false">IFERROR(IF(INDEX(원자료_잔고!$A$1:$EZ$1500,설정!$L$5+ROW()-1,설정!$L$9)&amp;""="0","",INDEX(원자료_잔고!$A$1:$EZ$1500,설정!$L$5+ROW()-1,설정!$L$9)&amp;""),"")</f>
        <v/>
      </c>
      <c r="D774" s="83" t="str">
        <f aca="false">IFERROR(IF(INDEX(원자료_잔고!$A$1:$EZ$1500,설정!$L$5+ROW()-1,설정!$L$10)&amp;""="0","",INDEX(원자료_잔고!$A$1:$EZ$1500,설정!$L$5+ROW()-1,설정!$L$10)&amp;""),"")</f>
        <v/>
      </c>
      <c r="E774" s="84" t="str">
        <f aca="false">IFERROR(IF(ISNUMBER(INDEX(원자료_잔고!$A$1:$EZ$1500,설정!$L$5+ROW()-1,설정!$L$11)),INDEX(원자료_잔고!$A$1:$EZ$1500,설정!$L$5+ROW()-1,설정!$L$11),""),"")</f>
        <v/>
      </c>
      <c r="F774" s="85" t="str">
        <f aca="false">IFERROR(IF(ISNUMBER(INDEX(원자료_잔고!$A$1:$EZ$1500,설정!$L$5+ROW()-1,설정!$L$12)),INDEX(원자료_잔고!$A$1:$EZ$1500,설정!$L$5+ROW()-1,설정!$L$12),""),"")</f>
        <v/>
      </c>
      <c r="G774" s="85" t="str">
        <f aca="false">IFERROR(IF(ISNUMBER(INDEX(원자료_잔고!$A$1:$EZ$1500,설정!$L$5+ROW()-1,설정!$L$13)),INDEX(원자료_잔고!$A$1:$EZ$1500,설정!$L$5+ROW()-1,설정!$L$13),""),"")</f>
        <v/>
      </c>
      <c r="H774" s="85" t="str">
        <f aca="false">IFERROR(IF(ISNUMBER(INDEX(원자료_잔고!$A$1:$EZ$1500,설정!$L$5+ROW()-1,설정!$L$14)),INDEX(원자료_잔고!$A$1:$EZ$1500,설정!$L$5+ROW()-1,설정!$L$14),""),"")</f>
        <v/>
      </c>
      <c r="I774" s="86" t="str">
        <f aca="false">IFERROR(IF(ISNUMBER(INDEX(원자료_잔고!$A$1:$EZ$1500,설정!$L$5+ROW()-1,설정!$L$15)),INDEX(원자료_잔고!$A$1:$EZ$1500,설정!$L$5+ROW()-1,설정!$L$15),""),"")</f>
        <v/>
      </c>
      <c r="J774" s="85" t="str">
        <f aca="false">IFERROR(IF(ISNUMBER(INDEX(원자료_잔고!$A$1:$EZ$1500,설정!$L$5+ROW()-1,설정!$L$16)),INDEX(원자료_잔고!$A$1:$EZ$1500,설정!$L$5+ROW()-1,설정!$L$16),""),"")</f>
        <v/>
      </c>
      <c r="K774" s="87" t="str">
        <f aca="false">IFERROR(IF(ISNUMBER(INDEX(원자료_잔고!$A$1:$EZ$1500,설정!$L$5+ROW()-1,설정!$L$17)),INDEX(원자료_잔고!$A$1:$EZ$1500,설정!$L$5+ROW()-1,설정!$L$17),""),"")</f>
        <v/>
      </c>
      <c r="L774" s="84" t="str">
        <f aca="false">IFERROR(IF(ISNUMBER(INDEX(원자료_잔고!$A$1:$EZ$1500,설정!$L$5+ROW()-1,설정!$L$18)),INDEX(원자료_잔고!$A$1:$EZ$1500,설정!$L$5+ROW()-1,설정!$L$18),""),"")</f>
        <v/>
      </c>
      <c r="M774" s="88" t="str">
        <f aca="false">IFERROR(IF(ISNUMBER(INDEX(원자료_잔고!$A$1:$EZ$1500,설정!$L$5+ROW()-1,설정!$L$19)),INDEX(원자료_잔고!$A$1:$EZ$1500,설정!$L$5+ROW()-1,설정!$L$19),""),"")</f>
        <v/>
      </c>
      <c r="N774" s="83" t="str">
        <f aca="false">IFERROR(IF(INDEX(원자료_잔고!$A$1:$EZ$1500,설정!$L$5+ROW()-1,설정!$L$21)&amp;""="0","",INDEX(원자료_잔고!$A$1:$EZ$1500,설정!$L$5+ROW()-1,설정!$L$21)&amp;""),"")</f>
        <v/>
      </c>
      <c r="O774" s="83" t="str">
        <f aca="false">IFERROR(IF(INDEX(원자료_잔고!$A$1:$EZ$1500,설정!$L$5+ROW()-1,설정!$L$22)&amp;""="0","",INDEX(원자료_잔고!$A$1:$EZ$1500,설정!$L$5+ROW()-1,설정!$L$22)&amp;""),"")</f>
        <v/>
      </c>
      <c r="P774" s="83" t="str">
        <f aca="false">IFERROR(IF(INDEX(원자료_잔고!$A$1:$EZ$1500,설정!$L$5+ROW()-1,설정!$L$23)&amp;""="0","",INDEX(원자료_잔고!$A$1:$EZ$1500,설정!$L$5+ROW()-1,설정!$L$23)&amp;""),"")</f>
        <v/>
      </c>
      <c r="Q774" s="89" t="n">
        <f aca="false">IF(AND($A774&lt;&gt;"",ISNUMBER(E774)),IF(E774&gt;0,1,0),0)</f>
        <v>0</v>
      </c>
      <c r="R774" s="43" t="str">
        <f aca="false">IF(Q774=1,UPPER(LEFT($A774,FIND(" ",$A774&amp;" ")-1)),"")</f>
        <v/>
      </c>
      <c r="S774" s="89" t="n">
        <f aca="false">IF(Q774=1,IF(OR(ISNUMBER(SEARCH("Float",$A774)),ISNUMBER(SEARCH("FRN",$A774))),1,0),0)</f>
        <v>0</v>
      </c>
      <c r="T774" s="43" t="str">
        <f aca="false">IF(AND(Q774=1,ISNUMBER(I774)),TEXT(I774,"yyyymmdd")&amp;"|"&amp;IF(S774=1,"F",TEXT(J774,"0.000")),"")</f>
        <v/>
      </c>
      <c r="U774" s="90" t="str">
        <f aca="false">IF(AND(Q774=1,ISNUMBER(I774)),(I774-설정!$C$4)/365.25,"")</f>
        <v/>
      </c>
      <c r="V774" s="43" t="str">
        <f aca="false">IF(Q774&lt;&gt;1,"",IF(ISNUMBER(U774),IF(U774&lt;=1,"1년 이하",IF(U774&lt;=2,"1-2년",IF(U774&lt;=3,"2-3년",IF(U774&lt;=4,"3-4년",IF(U774&lt;=5,"4-5년",IF(U774&lt;=7,"5-7년",IF(U774&lt;=10,"7-10년",IF(U774&lt;=20,"10-20년","20년 이상")))))))),"미분류"))</f>
        <v/>
      </c>
      <c r="W774" s="43" t="str">
        <f aca="false">IF(Q774&lt;&gt;1,"",IF(AB774&lt;&gt;"",INDEX(시장분석!$C:$C,AB774),IF(K774=1,"USD","비USD")))</f>
        <v/>
      </c>
      <c r="X774" s="91" t="n">
        <f aca="false">IF(Q774=1,E774*K774/1000000,0)</f>
        <v>0</v>
      </c>
      <c r="Y774" s="89" t="n">
        <f aca="false">IF(R774="T",1,0)</f>
        <v>0</v>
      </c>
      <c r="Z774" s="92" t="str">
        <f aca="false">IF(Q774&lt;&gt;1,"",IF(AD774=1,IF(ISNUMBER(U774),MAX(U774,0),H774),H774))</f>
        <v/>
      </c>
      <c r="AA774" s="91" t="n">
        <f aca="false">IF(Q774=1,IF(ISNUMBER(L774),L774,0)*K774/1000000,0)</f>
        <v>0</v>
      </c>
      <c r="AB774" s="89" t="str">
        <f aca="false">IF(Q774&lt;&gt;1,"",IFERROR(MATCH(VLOOKUP(B774,매핑!$H$4:$I$15,2,0),시장분석!$A$2:$A$601,0)+1,IFERROR(MATCH(R774&amp;"|"&amp;T774,시장분석!$V$2:$V$601,0)+1,IF(COUNTIF(시장분석!$U$2:$U$601,T774)=1,MATCH(T774,시장분석!$U$2:$U$601,0)+1,""))))</f>
        <v/>
      </c>
      <c r="AC774" s="89" t="n">
        <f aca="false">IF(Q774&lt;&gt;1,0,IF(OR(설정!$C$5="전체",AND(설정!$C$5="선택펀드",IFERROR(COUNTIFS(설정!$F$16:$F$36,C774,설정!$G$16:$G$36,"Y")+COUNTIFS(설정!$F$16:$F$36,VALUE(C774),설정!$G$16:$G$36,"Y"),0)&gt;0),C774&amp;""=설정!$C$5&amp;""),1,0))</f>
        <v>0</v>
      </c>
      <c r="AD774" s="89" t="n">
        <f aca="false">IF(Q774&lt;&gt;1,0,IF(OR(S774=1,IF(AB774="",FALSE(),INDEX(시장분석!$R:$R,AB774)=1)),1,0))</f>
        <v>0</v>
      </c>
      <c r="AE774" s="43" t="str">
        <f aca="false">IF(AB774="","",INDEX(시장분석!$A:$A,AB774))</f>
        <v/>
      </c>
      <c r="AF774" s="93" t="str">
        <f aca="false">IF(AB774="","",IF(ISNUMBER(IF(AB774="","",INDEX(시장분석!$E:$E,AB774))),IF(AB774="","",INDEX(시장분석!$E:$E,AB774)),""))</f>
        <v/>
      </c>
      <c r="AG774" s="43" t="str">
        <f aca="false">IF(Q774&lt;&gt;1,"",IF(AB774&lt;&gt;"",IF(AB774="","",INDEX(시장분석!$L:$L,AB774)),IFERROR(IF(VLOOKUP(R774,매핑!$A$4:$E$92,5,0)="","미분류",VLOOKUP(R774,매핑!$A$4:$E$92,5,0)),"미분류")))</f>
        <v/>
      </c>
      <c r="AH774" s="43" t="str">
        <f aca="false">IF(Q774&lt;&gt;1,"",IF(AB774&lt;&gt;"",IF(AB774="","",INDEX(시장분석!$N:$N,AB774)),IFERROR(IF(VLOOKUP(R774,매핑!$A$4:$E$92,4,0)="","미분류",VLOOKUP(R774,매핑!$A$4:$E$92,4,0)),"미분류")))</f>
        <v/>
      </c>
      <c r="AI774" s="43" t="str">
        <f aca="false">IF(Q774&lt;&gt;1,"",IFERROR(IF(VLOOKUP(R774,매핑!$A$4:$E$92,3,0)="","미분류",VLOOKUP(R774,매핑!$A$4:$E$92,3,0)),IF(AB774&lt;&gt;"",IF(AB774="","",INDEX(시장분석!$W:$W,AB774)),"미분류")))</f>
        <v/>
      </c>
      <c r="AJ774" s="43" t="str">
        <f aca="false">IF(Q774&lt;&gt;1,"",IFERROR(VLOOKUP(IF(N774&lt;&gt;"",N774,IF(P774&lt;&gt;"",P774,O774)),설정!$A$15:$D$47,2,0),""))</f>
        <v/>
      </c>
      <c r="AK774" s="43" t="str">
        <f aca="false">IF(Q774&lt;&gt;1,"",IF(AJ774="","무등급",IFERROR(VLOOKUP(AJ774,설정!$A$15:$D$47,3,0),"무등급")))</f>
        <v/>
      </c>
      <c r="AL774" s="89" t="n">
        <f aca="false">IF(AJ774="",99,IFERROR(VLOOKUP(AJ774,설정!$A$15:$D$47,4,0),99))</f>
        <v>99</v>
      </c>
      <c r="AM774" s="94" t="n">
        <f aca="false">IF(ISNUMBER(H774),AA774*1000000*H774/10000,0)</f>
        <v>0</v>
      </c>
      <c r="AN774" s="94" t="n">
        <f aca="false">IF(OR(Y774=1,NOT(ISNUMBER(Z774))),0,AA774*1000000*Z774/10000)</f>
        <v>0</v>
      </c>
      <c r="AO774" s="94" t="n">
        <f aca="false">IF(ISNUMBER(G774),AA774*1000000*G774/100,0)</f>
        <v>0</v>
      </c>
      <c r="AP774" s="94" t="n">
        <f aca="false">IF(ISNUMBER(M774),M774*K774,0)</f>
        <v>0</v>
      </c>
      <c r="AQ774" s="95" t="str">
        <f aca="false">IF(AB774="","",INDEX(시장분석!$AK:$AK,AB774))</f>
        <v/>
      </c>
      <c r="AR774" s="43" t="str">
        <f aca="false">IF(AB774="","-",IF(AB774="","",INDEX(시장분석!$AL:$AL,AB774)))</f>
        <v>-</v>
      </c>
      <c r="AS774" s="96" t="str">
        <f aca="false">IF(AB774="","",INDEX(시장분석!$AJ:$AJ,AB774))</f>
        <v/>
      </c>
      <c r="AT774" s="93" t="n">
        <f aca="false">IF(AB774="",0,IF(AB774="","",INDEX(시장분석!$AN:$AN,AB774)))</f>
        <v>0</v>
      </c>
      <c r="AU774" s="94" t="n">
        <f aca="false">IF(ISNUMBER(Z774),AT774/10000*MAX(Z774-1,0)*AA774*1000000,0)</f>
        <v>0</v>
      </c>
      <c r="AV774" s="94" t="n">
        <f aca="false">AO774+AU774</f>
        <v>0</v>
      </c>
      <c r="AW774" s="43" t="str">
        <f aca="false">IF(Q774&lt;&gt;1,"",TRIM(IF(AD774=1,"FRN ","")&amp;IF(AND(AL774&gt;=10,AL774&lt;99),"BBB0미만 ","")&amp;IF(AJ774="","등급없음 ","")&amp;IF(K774&lt;&gt;1,"비USD ","")&amp;IF(AND(AB774="",Y774=0),"시장데이터없음 ","")&amp;IF(AND(ISNUMBER(U774),U774&lt;0),"만기경과 ","")))</f>
        <v/>
      </c>
      <c r="AX774" s="90" t="n">
        <f aca="false">IF(Q774&lt;&gt;1,1,IF(스프레드쇼크!$C$4="Y",INDEX(스프레드쇼크!$B$12:$L$16,IFERROR(MATCH(AH774,스프레드쇼크!$A$12:$A$16,0),MATCH("목록외",스프레드쇼크!$A$12:$A$16,0)),IFERROR(MATCH(AG774,스프레드쇼크!$B$11:$L$11,0),MATCH("목록외",스프레드쇼크!$B$11:$L$11,0))),1))</f>
        <v>1</v>
      </c>
      <c r="AY774" s="90" t="n">
        <f aca="false">IF(스프레드쇼크!$C$5="Y",IF(ISNUMBER(AF774),MIN(스프레드쇼크!$C$7,MAX(스프레드쇼크!$C$6,AF774/스프레드쇼크!$C$8)),1),1)</f>
        <v>1</v>
      </c>
      <c r="AZ774" s="94" t="n">
        <f aca="false">AN774*AX774*AY774</f>
        <v>0</v>
      </c>
      <c r="BA774" s="90" t="n">
        <f aca="false">IF(ISNUMBER(G774),AA774*G774,0)</f>
        <v>0</v>
      </c>
      <c r="BB774" s="90" t="n">
        <f aca="false">IF(ISNUMBER(G774),AA774,0)</f>
        <v>0</v>
      </c>
      <c r="BC774" s="90" t="n">
        <f aca="false">IF(AND(Y774=0,ISNUMBER(AF774)),AA774*AF774,0)</f>
        <v>0</v>
      </c>
      <c r="BD774" s="90" t="n">
        <f aca="false">IF(AND(Y774=0,ISNUMBER(AF774)),AA774,0)</f>
        <v>0</v>
      </c>
      <c r="BE774" s="90" t="n">
        <f aca="false">IF(ISNUMBER(H774),AA774*H774,0)</f>
        <v>0</v>
      </c>
      <c r="BF774" s="90" t="n">
        <f aca="false">IF(ISNUMBER(H774),AA774,0)</f>
        <v>0</v>
      </c>
      <c r="BG774" s="90" t="n">
        <f aca="false">IF(AND(Y774=0,ISNUMBER(AF774),ISNUMBER(Z774)),AA774*Z774,0)</f>
        <v>0</v>
      </c>
      <c r="BH774" s="90" t="n">
        <f aca="false">IF(AND(Y774=0,ISNUMBER(AF774),ISNUMBER(Z774)),AA774*AT774*MAX(Z774-1,0),0)</f>
        <v>0</v>
      </c>
      <c r="BI774" s="90" t="n">
        <f aca="false">IF(Y774=0,AA774,0)</f>
        <v>0</v>
      </c>
    </row>
    <row r="775" customFormat="false" ht="15" hidden="false" customHeight="false" outlineLevel="0" collapsed="false">
      <c r="A775" s="83" t="str">
        <f aca="false">IFERROR(IF(INDEX(원자료_잔고!$A$1:$EZ$1500,설정!$L$5+ROW()-1,설정!$L$8)&amp;""="0","",INDEX(원자료_잔고!$A$1:$EZ$1500,설정!$L$5+ROW()-1,설정!$L$8)&amp;""),"")</f>
        <v/>
      </c>
      <c r="B775" s="83" t="str">
        <f aca="false">IFERROR(IF(INDEX(원자료_잔고!$A$1:$EZ$1500,설정!$L$5+ROW()-1,설정!$L$7)&amp;""="0","",INDEX(원자료_잔고!$A$1:$EZ$1500,설정!$L$5+ROW()-1,설정!$L$7)&amp;""),"")</f>
        <v/>
      </c>
      <c r="C775" s="83" t="str">
        <f aca="false">IFERROR(IF(INDEX(원자료_잔고!$A$1:$EZ$1500,설정!$L$5+ROW()-1,설정!$L$9)&amp;""="0","",INDEX(원자료_잔고!$A$1:$EZ$1500,설정!$L$5+ROW()-1,설정!$L$9)&amp;""),"")</f>
        <v/>
      </c>
      <c r="D775" s="83" t="str">
        <f aca="false">IFERROR(IF(INDEX(원자료_잔고!$A$1:$EZ$1500,설정!$L$5+ROW()-1,설정!$L$10)&amp;""="0","",INDEX(원자료_잔고!$A$1:$EZ$1500,설정!$L$5+ROW()-1,설정!$L$10)&amp;""),"")</f>
        <v/>
      </c>
      <c r="E775" s="84" t="str">
        <f aca="false">IFERROR(IF(ISNUMBER(INDEX(원자료_잔고!$A$1:$EZ$1500,설정!$L$5+ROW()-1,설정!$L$11)),INDEX(원자료_잔고!$A$1:$EZ$1500,설정!$L$5+ROW()-1,설정!$L$11),""),"")</f>
        <v/>
      </c>
      <c r="F775" s="85" t="str">
        <f aca="false">IFERROR(IF(ISNUMBER(INDEX(원자료_잔고!$A$1:$EZ$1500,설정!$L$5+ROW()-1,설정!$L$12)),INDEX(원자료_잔고!$A$1:$EZ$1500,설정!$L$5+ROW()-1,설정!$L$12),""),"")</f>
        <v/>
      </c>
      <c r="G775" s="85" t="str">
        <f aca="false">IFERROR(IF(ISNUMBER(INDEX(원자료_잔고!$A$1:$EZ$1500,설정!$L$5+ROW()-1,설정!$L$13)),INDEX(원자료_잔고!$A$1:$EZ$1500,설정!$L$5+ROW()-1,설정!$L$13),""),"")</f>
        <v/>
      </c>
      <c r="H775" s="85" t="str">
        <f aca="false">IFERROR(IF(ISNUMBER(INDEX(원자료_잔고!$A$1:$EZ$1500,설정!$L$5+ROW()-1,설정!$L$14)),INDEX(원자료_잔고!$A$1:$EZ$1500,설정!$L$5+ROW()-1,설정!$L$14),""),"")</f>
        <v/>
      </c>
      <c r="I775" s="86" t="str">
        <f aca="false">IFERROR(IF(ISNUMBER(INDEX(원자료_잔고!$A$1:$EZ$1500,설정!$L$5+ROW()-1,설정!$L$15)),INDEX(원자료_잔고!$A$1:$EZ$1500,설정!$L$5+ROW()-1,설정!$L$15),""),"")</f>
        <v/>
      </c>
      <c r="J775" s="85" t="str">
        <f aca="false">IFERROR(IF(ISNUMBER(INDEX(원자료_잔고!$A$1:$EZ$1500,설정!$L$5+ROW()-1,설정!$L$16)),INDEX(원자료_잔고!$A$1:$EZ$1500,설정!$L$5+ROW()-1,설정!$L$16),""),"")</f>
        <v/>
      </c>
      <c r="K775" s="87" t="str">
        <f aca="false">IFERROR(IF(ISNUMBER(INDEX(원자료_잔고!$A$1:$EZ$1500,설정!$L$5+ROW()-1,설정!$L$17)),INDEX(원자료_잔고!$A$1:$EZ$1500,설정!$L$5+ROW()-1,설정!$L$17),""),"")</f>
        <v/>
      </c>
      <c r="L775" s="84" t="str">
        <f aca="false">IFERROR(IF(ISNUMBER(INDEX(원자료_잔고!$A$1:$EZ$1500,설정!$L$5+ROW()-1,설정!$L$18)),INDEX(원자료_잔고!$A$1:$EZ$1500,설정!$L$5+ROW()-1,설정!$L$18),""),"")</f>
        <v/>
      </c>
      <c r="M775" s="88" t="str">
        <f aca="false">IFERROR(IF(ISNUMBER(INDEX(원자료_잔고!$A$1:$EZ$1500,설정!$L$5+ROW()-1,설정!$L$19)),INDEX(원자료_잔고!$A$1:$EZ$1500,설정!$L$5+ROW()-1,설정!$L$19),""),"")</f>
        <v/>
      </c>
      <c r="N775" s="83" t="str">
        <f aca="false">IFERROR(IF(INDEX(원자료_잔고!$A$1:$EZ$1500,설정!$L$5+ROW()-1,설정!$L$21)&amp;""="0","",INDEX(원자료_잔고!$A$1:$EZ$1500,설정!$L$5+ROW()-1,설정!$L$21)&amp;""),"")</f>
        <v/>
      </c>
      <c r="O775" s="83" t="str">
        <f aca="false">IFERROR(IF(INDEX(원자료_잔고!$A$1:$EZ$1500,설정!$L$5+ROW()-1,설정!$L$22)&amp;""="0","",INDEX(원자료_잔고!$A$1:$EZ$1500,설정!$L$5+ROW()-1,설정!$L$22)&amp;""),"")</f>
        <v/>
      </c>
      <c r="P775" s="83" t="str">
        <f aca="false">IFERROR(IF(INDEX(원자료_잔고!$A$1:$EZ$1500,설정!$L$5+ROW()-1,설정!$L$23)&amp;""="0","",INDEX(원자료_잔고!$A$1:$EZ$1500,설정!$L$5+ROW()-1,설정!$L$23)&amp;""),"")</f>
        <v/>
      </c>
      <c r="Q775" s="89" t="n">
        <f aca="false">IF(AND($A775&lt;&gt;"",ISNUMBER(E775)),IF(E775&gt;0,1,0),0)</f>
        <v>0</v>
      </c>
      <c r="R775" s="43" t="str">
        <f aca="false">IF(Q775=1,UPPER(LEFT($A775,FIND(" ",$A775&amp;" ")-1)),"")</f>
        <v/>
      </c>
      <c r="S775" s="89" t="n">
        <f aca="false">IF(Q775=1,IF(OR(ISNUMBER(SEARCH("Float",$A775)),ISNUMBER(SEARCH("FRN",$A775))),1,0),0)</f>
        <v>0</v>
      </c>
      <c r="T775" s="43" t="str">
        <f aca="false">IF(AND(Q775=1,ISNUMBER(I775)),TEXT(I775,"yyyymmdd")&amp;"|"&amp;IF(S775=1,"F",TEXT(J775,"0.000")),"")</f>
        <v/>
      </c>
      <c r="U775" s="90" t="str">
        <f aca="false">IF(AND(Q775=1,ISNUMBER(I775)),(I775-설정!$C$4)/365.25,"")</f>
        <v/>
      </c>
      <c r="V775" s="43" t="str">
        <f aca="false">IF(Q775&lt;&gt;1,"",IF(ISNUMBER(U775),IF(U775&lt;=1,"1년 이하",IF(U775&lt;=2,"1-2년",IF(U775&lt;=3,"2-3년",IF(U775&lt;=4,"3-4년",IF(U775&lt;=5,"4-5년",IF(U775&lt;=7,"5-7년",IF(U775&lt;=10,"7-10년",IF(U775&lt;=20,"10-20년","20년 이상")))))))),"미분류"))</f>
        <v/>
      </c>
      <c r="W775" s="43" t="str">
        <f aca="false">IF(Q775&lt;&gt;1,"",IF(AB775&lt;&gt;"",INDEX(시장분석!$C:$C,AB775),IF(K775=1,"USD","비USD")))</f>
        <v/>
      </c>
      <c r="X775" s="91" t="n">
        <f aca="false">IF(Q775=1,E775*K775/1000000,0)</f>
        <v>0</v>
      </c>
      <c r="Y775" s="89" t="n">
        <f aca="false">IF(R775="T",1,0)</f>
        <v>0</v>
      </c>
      <c r="Z775" s="92" t="str">
        <f aca="false">IF(Q775&lt;&gt;1,"",IF(AD775=1,IF(ISNUMBER(U775),MAX(U775,0),H775),H775))</f>
        <v/>
      </c>
      <c r="AA775" s="91" t="n">
        <f aca="false">IF(Q775=1,IF(ISNUMBER(L775),L775,0)*K775/1000000,0)</f>
        <v>0</v>
      </c>
      <c r="AB775" s="89" t="str">
        <f aca="false">IF(Q775&lt;&gt;1,"",IFERROR(MATCH(VLOOKUP(B775,매핑!$H$4:$I$15,2,0),시장분석!$A$2:$A$601,0)+1,IFERROR(MATCH(R775&amp;"|"&amp;T775,시장분석!$V$2:$V$601,0)+1,IF(COUNTIF(시장분석!$U$2:$U$601,T775)=1,MATCH(T775,시장분석!$U$2:$U$601,0)+1,""))))</f>
        <v/>
      </c>
      <c r="AC775" s="89" t="n">
        <f aca="false">IF(Q775&lt;&gt;1,0,IF(OR(설정!$C$5="전체",AND(설정!$C$5="선택펀드",IFERROR(COUNTIFS(설정!$F$16:$F$36,C775,설정!$G$16:$G$36,"Y")+COUNTIFS(설정!$F$16:$F$36,VALUE(C775),설정!$G$16:$G$36,"Y"),0)&gt;0),C775&amp;""=설정!$C$5&amp;""),1,0))</f>
        <v>0</v>
      </c>
      <c r="AD775" s="89" t="n">
        <f aca="false">IF(Q775&lt;&gt;1,0,IF(OR(S775=1,IF(AB775="",FALSE(),INDEX(시장분석!$R:$R,AB775)=1)),1,0))</f>
        <v>0</v>
      </c>
      <c r="AE775" s="43" t="str">
        <f aca="false">IF(AB775="","",INDEX(시장분석!$A:$A,AB775))</f>
        <v/>
      </c>
      <c r="AF775" s="93" t="str">
        <f aca="false">IF(AB775="","",IF(ISNUMBER(IF(AB775="","",INDEX(시장분석!$E:$E,AB775))),IF(AB775="","",INDEX(시장분석!$E:$E,AB775)),""))</f>
        <v/>
      </c>
      <c r="AG775" s="43" t="str">
        <f aca="false">IF(Q775&lt;&gt;1,"",IF(AB775&lt;&gt;"",IF(AB775="","",INDEX(시장분석!$L:$L,AB775)),IFERROR(IF(VLOOKUP(R775,매핑!$A$4:$E$92,5,0)="","미분류",VLOOKUP(R775,매핑!$A$4:$E$92,5,0)),"미분류")))</f>
        <v/>
      </c>
      <c r="AH775" s="43" t="str">
        <f aca="false">IF(Q775&lt;&gt;1,"",IF(AB775&lt;&gt;"",IF(AB775="","",INDEX(시장분석!$N:$N,AB775)),IFERROR(IF(VLOOKUP(R775,매핑!$A$4:$E$92,4,0)="","미분류",VLOOKUP(R775,매핑!$A$4:$E$92,4,0)),"미분류")))</f>
        <v/>
      </c>
      <c r="AI775" s="43" t="str">
        <f aca="false">IF(Q775&lt;&gt;1,"",IFERROR(IF(VLOOKUP(R775,매핑!$A$4:$E$92,3,0)="","미분류",VLOOKUP(R775,매핑!$A$4:$E$92,3,0)),IF(AB775&lt;&gt;"",IF(AB775="","",INDEX(시장분석!$W:$W,AB775)),"미분류")))</f>
        <v/>
      </c>
      <c r="AJ775" s="43" t="str">
        <f aca="false">IF(Q775&lt;&gt;1,"",IFERROR(VLOOKUP(IF(N775&lt;&gt;"",N775,IF(P775&lt;&gt;"",P775,O775)),설정!$A$15:$D$47,2,0),""))</f>
        <v/>
      </c>
      <c r="AK775" s="43" t="str">
        <f aca="false">IF(Q775&lt;&gt;1,"",IF(AJ775="","무등급",IFERROR(VLOOKUP(AJ775,설정!$A$15:$D$47,3,0),"무등급")))</f>
        <v/>
      </c>
      <c r="AL775" s="89" t="n">
        <f aca="false">IF(AJ775="",99,IFERROR(VLOOKUP(AJ775,설정!$A$15:$D$47,4,0),99))</f>
        <v>99</v>
      </c>
      <c r="AM775" s="94" t="n">
        <f aca="false">IF(ISNUMBER(H775),AA775*1000000*H775/10000,0)</f>
        <v>0</v>
      </c>
      <c r="AN775" s="94" t="n">
        <f aca="false">IF(OR(Y775=1,NOT(ISNUMBER(Z775))),0,AA775*1000000*Z775/10000)</f>
        <v>0</v>
      </c>
      <c r="AO775" s="94" t="n">
        <f aca="false">IF(ISNUMBER(G775),AA775*1000000*G775/100,0)</f>
        <v>0</v>
      </c>
      <c r="AP775" s="94" t="n">
        <f aca="false">IF(ISNUMBER(M775),M775*K775,0)</f>
        <v>0</v>
      </c>
      <c r="AQ775" s="95" t="str">
        <f aca="false">IF(AB775="","",INDEX(시장분석!$AK:$AK,AB775))</f>
        <v/>
      </c>
      <c r="AR775" s="43" t="str">
        <f aca="false">IF(AB775="","-",IF(AB775="","",INDEX(시장분석!$AL:$AL,AB775)))</f>
        <v>-</v>
      </c>
      <c r="AS775" s="96" t="str">
        <f aca="false">IF(AB775="","",INDEX(시장분석!$AJ:$AJ,AB775))</f>
        <v/>
      </c>
      <c r="AT775" s="93" t="n">
        <f aca="false">IF(AB775="",0,IF(AB775="","",INDEX(시장분석!$AN:$AN,AB775)))</f>
        <v>0</v>
      </c>
      <c r="AU775" s="94" t="n">
        <f aca="false">IF(ISNUMBER(Z775),AT775/10000*MAX(Z775-1,0)*AA775*1000000,0)</f>
        <v>0</v>
      </c>
      <c r="AV775" s="94" t="n">
        <f aca="false">AO775+AU775</f>
        <v>0</v>
      </c>
      <c r="AW775" s="43" t="str">
        <f aca="false">IF(Q775&lt;&gt;1,"",TRIM(IF(AD775=1,"FRN ","")&amp;IF(AND(AL775&gt;=10,AL775&lt;99),"BBB0미만 ","")&amp;IF(AJ775="","등급없음 ","")&amp;IF(K775&lt;&gt;1,"비USD ","")&amp;IF(AND(AB775="",Y775=0),"시장데이터없음 ","")&amp;IF(AND(ISNUMBER(U775),U775&lt;0),"만기경과 ","")))</f>
        <v/>
      </c>
      <c r="AX775" s="90" t="n">
        <f aca="false">IF(Q775&lt;&gt;1,1,IF(스프레드쇼크!$C$4="Y",INDEX(스프레드쇼크!$B$12:$L$16,IFERROR(MATCH(AH775,스프레드쇼크!$A$12:$A$16,0),MATCH("목록외",스프레드쇼크!$A$12:$A$16,0)),IFERROR(MATCH(AG775,스프레드쇼크!$B$11:$L$11,0),MATCH("목록외",스프레드쇼크!$B$11:$L$11,0))),1))</f>
        <v>1</v>
      </c>
      <c r="AY775" s="90" t="n">
        <f aca="false">IF(스프레드쇼크!$C$5="Y",IF(ISNUMBER(AF775),MIN(스프레드쇼크!$C$7,MAX(스프레드쇼크!$C$6,AF775/스프레드쇼크!$C$8)),1),1)</f>
        <v>1</v>
      </c>
      <c r="AZ775" s="94" t="n">
        <f aca="false">AN775*AX775*AY775</f>
        <v>0</v>
      </c>
      <c r="BA775" s="90" t="n">
        <f aca="false">IF(ISNUMBER(G775),AA775*G775,0)</f>
        <v>0</v>
      </c>
      <c r="BB775" s="90" t="n">
        <f aca="false">IF(ISNUMBER(G775),AA775,0)</f>
        <v>0</v>
      </c>
      <c r="BC775" s="90" t="n">
        <f aca="false">IF(AND(Y775=0,ISNUMBER(AF775)),AA775*AF775,0)</f>
        <v>0</v>
      </c>
      <c r="BD775" s="90" t="n">
        <f aca="false">IF(AND(Y775=0,ISNUMBER(AF775)),AA775,0)</f>
        <v>0</v>
      </c>
      <c r="BE775" s="90" t="n">
        <f aca="false">IF(ISNUMBER(H775),AA775*H775,0)</f>
        <v>0</v>
      </c>
      <c r="BF775" s="90" t="n">
        <f aca="false">IF(ISNUMBER(H775),AA775,0)</f>
        <v>0</v>
      </c>
      <c r="BG775" s="90" t="n">
        <f aca="false">IF(AND(Y775=0,ISNUMBER(AF775),ISNUMBER(Z775)),AA775*Z775,0)</f>
        <v>0</v>
      </c>
      <c r="BH775" s="90" t="n">
        <f aca="false">IF(AND(Y775=0,ISNUMBER(AF775),ISNUMBER(Z775)),AA775*AT775*MAX(Z775-1,0),0)</f>
        <v>0</v>
      </c>
      <c r="BI775" s="90" t="n">
        <f aca="false">IF(Y775=0,AA775,0)</f>
        <v>0</v>
      </c>
    </row>
    <row r="776" customFormat="false" ht="15" hidden="false" customHeight="false" outlineLevel="0" collapsed="false">
      <c r="A776" s="83" t="str">
        <f aca="false">IFERROR(IF(INDEX(원자료_잔고!$A$1:$EZ$1500,설정!$L$5+ROW()-1,설정!$L$8)&amp;""="0","",INDEX(원자료_잔고!$A$1:$EZ$1500,설정!$L$5+ROW()-1,설정!$L$8)&amp;""),"")</f>
        <v/>
      </c>
      <c r="B776" s="83" t="str">
        <f aca="false">IFERROR(IF(INDEX(원자료_잔고!$A$1:$EZ$1500,설정!$L$5+ROW()-1,설정!$L$7)&amp;""="0","",INDEX(원자료_잔고!$A$1:$EZ$1500,설정!$L$5+ROW()-1,설정!$L$7)&amp;""),"")</f>
        <v/>
      </c>
      <c r="C776" s="83" t="str">
        <f aca="false">IFERROR(IF(INDEX(원자료_잔고!$A$1:$EZ$1500,설정!$L$5+ROW()-1,설정!$L$9)&amp;""="0","",INDEX(원자료_잔고!$A$1:$EZ$1500,설정!$L$5+ROW()-1,설정!$L$9)&amp;""),"")</f>
        <v/>
      </c>
      <c r="D776" s="83" t="str">
        <f aca="false">IFERROR(IF(INDEX(원자료_잔고!$A$1:$EZ$1500,설정!$L$5+ROW()-1,설정!$L$10)&amp;""="0","",INDEX(원자료_잔고!$A$1:$EZ$1500,설정!$L$5+ROW()-1,설정!$L$10)&amp;""),"")</f>
        <v/>
      </c>
      <c r="E776" s="84" t="str">
        <f aca="false">IFERROR(IF(ISNUMBER(INDEX(원자료_잔고!$A$1:$EZ$1500,설정!$L$5+ROW()-1,설정!$L$11)),INDEX(원자료_잔고!$A$1:$EZ$1500,설정!$L$5+ROW()-1,설정!$L$11),""),"")</f>
        <v/>
      </c>
      <c r="F776" s="85" t="str">
        <f aca="false">IFERROR(IF(ISNUMBER(INDEX(원자료_잔고!$A$1:$EZ$1500,설정!$L$5+ROW()-1,설정!$L$12)),INDEX(원자료_잔고!$A$1:$EZ$1500,설정!$L$5+ROW()-1,설정!$L$12),""),"")</f>
        <v/>
      </c>
      <c r="G776" s="85" t="str">
        <f aca="false">IFERROR(IF(ISNUMBER(INDEX(원자료_잔고!$A$1:$EZ$1500,설정!$L$5+ROW()-1,설정!$L$13)),INDEX(원자료_잔고!$A$1:$EZ$1500,설정!$L$5+ROW()-1,설정!$L$13),""),"")</f>
        <v/>
      </c>
      <c r="H776" s="85" t="str">
        <f aca="false">IFERROR(IF(ISNUMBER(INDEX(원자료_잔고!$A$1:$EZ$1500,설정!$L$5+ROW()-1,설정!$L$14)),INDEX(원자료_잔고!$A$1:$EZ$1500,설정!$L$5+ROW()-1,설정!$L$14),""),"")</f>
        <v/>
      </c>
      <c r="I776" s="86" t="str">
        <f aca="false">IFERROR(IF(ISNUMBER(INDEX(원자료_잔고!$A$1:$EZ$1500,설정!$L$5+ROW()-1,설정!$L$15)),INDEX(원자료_잔고!$A$1:$EZ$1500,설정!$L$5+ROW()-1,설정!$L$15),""),"")</f>
        <v/>
      </c>
      <c r="J776" s="85" t="str">
        <f aca="false">IFERROR(IF(ISNUMBER(INDEX(원자료_잔고!$A$1:$EZ$1500,설정!$L$5+ROW()-1,설정!$L$16)),INDEX(원자료_잔고!$A$1:$EZ$1500,설정!$L$5+ROW()-1,설정!$L$16),""),"")</f>
        <v/>
      </c>
      <c r="K776" s="87" t="str">
        <f aca="false">IFERROR(IF(ISNUMBER(INDEX(원자료_잔고!$A$1:$EZ$1500,설정!$L$5+ROW()-1,설정!$L$17)),INDEX(원자료_잔고!$A$1:$EZ$1500,설정!$L$5+ROW()-1,설정!$L$17),""),"")</f>
        <v/>
      </c>
      <c r="L776" s="84" t="str">
        <f aca="false">IFERROR(IF(ISNUMBER(INDEX(원자료_잔고!$A$1:$EZ$1500,설정!$L$5+ROW()-1,설정!$L$18)),INDEX(원자료_잔고!$A$1:$EZ$1500,설정!$L$5+ROW()-1,설정!$L$18),""),"")</f>
        <v/>
      </c>
      <c r="M776" s="88" t="str">
        <f aca="false">IFERROR(IF(ISNUMBER(INDEX(원자료_잔고!$A$1:$EZ$1500,설정!$L$5+ROW()-1,설정!$L$19)),INDEX(원자료_잔고!$A$1:$EZ$1500,설정!$L$5+ROW()-1,설정!$L$19),""),"")</f>
        <v/>
      </c>
      <c r="N776" s="83" t="str">
        <f aca="false">IFERROR(IF(INDEX(원자료_잔고!$A$1:$EZ$1500,설정!$L$5+ROW()-1,설정!$L$21)&amp;""="0","",INDEX(원자료_잔고!$A$1:$EZ$1500,설정!$L$5+ROW()-1,설정!$L$21)&amp;""),"")</f>
        <v/>
      </c>
      <c r="O776" s="83" t="str">
        <f aca="false">IFERROR(IF(INDEX(원자료_잔고!$A$1:$EZ$1500,설정!$L$5+ROW()-1,설정!$L$22)&amp;""="0","",INDEX(원자료_잔고!$A$1:$EZ$1500,설정!$L$5+ROW()-1,설정!$L$22)&amp;""),"")</f>
        <v/>
      </c>
      <c r="P776" s="83" t="str">
        <f aca="false">IFERROR(IF(INDEX(원자료_잔고!$A$1:$EZ$1500,설정!$L$5+ROW()-1,설정!$L$23)&amp;""="0","",INDEX(원자료_잔고!$A$1:$EZ$1500,설정!$L$5+ROW()-1,설정!$L$23)&amp;""),"")</f>
        <v/>
      </c>
      <c r="Q776" s="89" t="n">
        <f aca="false">IF(AND($A776&lt;&gt;"",ISNUMBER(E776)),IF(E776&gt;0,1,0),0)</f>
        <v>0</v>
      </c>
      <c r="R776" s="43" t="str">
        <f aca="false">IF(Q776=1,UPPER(LEFT($A776,FIND(" ",$A776&amp;" ")-1)),"")</f>
        <v/>
      </c>
      <c r="S776" s="89" t="n">
        <f aca="false">IF(Q776=1,IF(OR(ISNUMBER(SEARCH("Float",$A776)),ISNUMBER(SEARCH("FRN",$A776))),1,0),0)</f>
        <v>0</v>
      </c>
      <c r="T776" s="43" t="str">
        <f aca="false">IF(AND(Q776=1,ISNUMBER(I776)),TEXT(I776,"yyyymmdd")&amp;"|"&amp;IF(S776=1,"F",TEXT(J776,"0.000")),"")</f>
        <v/>
      </c>
      <c r="U776" s="90" t="str">
        <f aca="false">IF(AND(Q776=1,ISNUMBER(I776)),(I776-설정!$C$4)/365.25,"")</f>
        <v/>
      </c>
      <c r="V776" s="43" t="str">
        <f aca="false">IF(Q776&lt;&gt;1,"",IF(ISNUMBER(U776),IF(U776&lt;=1,"1년 이하",IF(U776&lt;=2,"1-2년",IF(U776&lt;=3,"2-3년",IF(U776&lt;=4,"3-4년",IF(U776&lt;=5,"4-5년",IF(U776&lt;=7,"5-7년",IF(U776&lt;=10,"7-10년",IF(U776&lt;=20,"10-20년","20년 이상")))))))),"미분류"))</f>
        <v/>
      </c>
      <c r="W776" s="43" t="str">
        <f aca="false">IF(Q776&lt;&gt;1,"",IF(AB776&lt;&gt;"",INDEX(시장분석!$C:$C,AB776),IF(K776=1,"USD","비USD")))</f>
        <v/>
      </c>
      <c r="X776" s="91" t="n">
        <f aca="false">IF(Q776=1,E776*K776/1000000,0)</f>
        <v>0</v>
      </c>
      <c r="Y776" s="89" t="n">
        <f aca="false">IF(R776="T",1,0)</f>
        <v>0</v>
      </c>
      <c r="Z776" s="92" t="str">
        <f aca="false">IF(Q776&lt;&gt;1,"",IF(AD776=1,IF(ISNUMBER(U776),MAX(U776,0),H776),H776))</f>
        <v/>
      </c>
      <c r="AA776" s="91" t="n">
        <f aca="false">IF(Q776=1,IF(ISNUMBER(L776),L776,0)*K776/1000000,0)</f>
        <v>0</v>
      </c>
      <c r="AB776" s="89" t="str">
        <f aca="false">IF(Q776&lt;&gt;1,"",IFERROR(MATCH(VLOOKUP(B776,매핑!$H$4:$I$15,2,0),시장분석!$A$2:$A$601,0)+1,IFERROR(MATCH(R776&amp;"|"&amp;T776,시장분석!$V$2:$V$601,0)+1,IF(COUNTIF(시장분석!$U$2:$U$601,T776)=1,MATCH(T776,시장분석!$U$2:$U$601,0)+1,""))))</f>
        <v/>
      </c>
      <c r="AC776" s="89" t="n">
        <f aca="false">IF(Q776&lt;&gt;1,0,IF(OR(설정!$C$5="전체",AND(설정!$C$5="선택펀드",IFERROR(COUNTIFS(설정!$F$16:$F$36,C776,설정!$G$16:$G$36,"Y")+COUNTIFS(설정!$F$16:$F$36,VALUE(C776),설정!$G$16:$G$36,"Y"),0)&gt;0),C776&amp;""=설정!$C$5&amp;""),1,0))</f>
        <v>0</v>
      </c>
      <c r="AD776" s="89" t="n">
        <f aca="false">IF(Q776&lt;&gt;1,0,IF(OR(S776=1,IF(AB776="",FALSE(),INDEX(시장분석!$R:$R,AB776)=1)),1,0))</f>
        <v>0</v>
      </c>
      <c r="AE776" s="43" t="str">
        <f aca="false">IF(AB776="","",INDEX(시장분석!$A:$A,AB776))</f>
        <v/>
      </c>
      <c r="AF776" s="93" t="str">
        <f aca="false">IF(AB776="","",IF(ISNUMBER(IF(AB776="","",INDEX(시장분석!$E:$E,AB776))),IF(AB776="","",INDEX(시장분석!$E:$E,AB776)),""))</f>
        <v/>
      </c>
      <c r="AG776" s="43" t="str">
        <f aca="false">IF(Q776&lt;&gt;1,"",IF(AB776&lt;&gt;"",IF(AB776="","",INDEX(시장분석!$L:$L,AB776)),IFERROR(IF(VLOOKUP(R776,매핑!$A$4:$E$92,5,0)="","미분류",VLOOKUP(R776,매핑!$A$4:$E$92,5,0)),"미분류")))</f>
        <v/>
      </c>
      <c r="AH776" s="43" t="str">
        <f aca="false">IF(Q776&lt;&gt;1,"",IF(AB776&lt;&gt;"",IF(AB776="","",INDEX(시장분석!$N:$N,AB776)),IFERROR(IF(VLOOKUP(R776,매핑!$A$4:$E$92,4,0)="","미분류",VLOOKUP(R776,매핑!$A$4:$E$92,4,0)),"미분류")))</f>
        <v/>
      </c>
      <c r="AI776" s="43" t="str">
        <f aca="false">IF(Q776&lt;&gt;1,"",IFERROR(IF(VLOOKUP(R776,매핑!$A$4:$E$92,3,0)="","미분류",VLOOKUP(R776,매핑!$A$4:$E$92,3,0)),IF(AB776&lt;&gt;"",IF(AB776="","",INDEX(시장분석!$W:$W,AB776)),"미분류")))</f>
        <v/>
      </c>
      <c r="AJ776" s="43" t="str">
        <f aca="false">IF(Q776&lt;&gt;1,"",IFERROR(VLOOKUP(IF(N776&lt;&gt;"",N776,IF(P776&lt;&gt;"",P776,O776)),설정!$A$15:$D$47,2,0),""))</f>
        <v/>
      </c>
      <c r="AK776" s="43" t="str">
        <f aca="false">IF(Q776&lt;&gt;1,"",IF(AJ776="","무등급",IFERROR(VLOOKUP(AJ776,설정!$A$15:$D$47,3,0),"무등급")))</f>
        <v/>
      </c>
      <c r="AL776" s="89" t="n">
        <f aca="false">IF(AJ776="",99,IFERROR(VLOOKUP(AJ776,설정!$A$15:$D$47,4,0),99))</f>
        <v>99</v>
      </c>
      <c r="AM776" s="94" t="n">
        <f aca="false">IF(ISNUMBER(H776),AA776*1000000*H776/10000,0)</f>
        <v>0</v>
      </c>
      <c r="AN776" s="94" t="n">
        <f aca="false">IF(OR(Y776=1,NOT(ISNUMBER(Z776))),0,AA776*1000000*Z776/10000)</f>
        <v>0</v>
      </c>
      <c r="AO776" s="94" t="n">
        <f aca="false">IF(ISNUMBER(G776),AA776*1000000*G776/100,0)</f>
        <v>0</v>
      </c>
      <c r="AP776" s="94" t="n">
        <f aca="false">IF(ISNUMBER(M776),M776*K776,0)</f>
        <v>0</v>
      </c>
      <c r="AQ776" s="95" t="str">
        <f aca="false">IF(AB776="","",INDEX(시장분석!$AK:$AK,AB776))</f>
        <v/>
      </c>
      <c r="AR776" s="43" t="str">
        <f aca="false">IF(AB776="","-",IF(AB776="","",INDEX(시장분석!$AL:$AL,AB776)))</f>
        <v>-</v>
      </c>
      <c r="AS776" s="96" t="str">
        <f aca="false">IF(AB776="","",INDEX(시장분석!$AJ:$AJ,AB776))</f>
        <v/>
      </c>
      <c r="AT776" s="93" t="n">
        <f aca="false">IF(AB776="",0,IF(AB776="","",INDEX(시장분석!$AN:$AN,AB776)))</f>
        <v>0</v>
      </c>
      <c r="AU776" s="94" t="n">
        <f aca="false">IF(ISNUMBER(Z776),AT776/10000*MAX(Z776-1,0)*AA776*1000000,0)</f>
        <v>0</v>
      </c>
      <c r="AV776" s="94" t="n">
        <f aca="false">AO776+AU776</f>
        <v>0</v>
      </c>
      <c r="AW776" s="43" t="str">
        <f aca="false">IF(Q776&lt;&gt;1,"",TRIM(IF(AD776=1,"FRN ","")&amp;IF(AND(AL776&gt;=10,AL776&lt;99),"BBB0미만 ","")&amp;IF(AJ776="","등급없음 ","")&amp;IF(K776&lt;&gt;1,"비USD ","")&amp;IF(AND(AB776="",Y776=0),"시장데이터없음 ","")&amp;IF(AND(ISNUMBER(U776),U776&lt;0),"만기경과 ","")))</f>
        <v/>
      </c>
      <c r="AX776" s="90" t="n">
        <f aca="false">IF(Q776&lt;&gt;1,1,IF(스프레드쇼크!$C$4="Y",INDEX(스프레드쇼크!$B$12:$L$16,IFERROR(MATCH(AH776,스프레드쇼크!$A$12:$A$16,0),MATCH("목록외",스프레드쇼크!$A$12:$A$16,0)),IFERROR(MATCH(AG776,스프레드쇼크!$B$11:$L$11,0),MATCH("목록외",스프레드쇼크!$B$11:$L$11,0))),1))</f>
        <v>1</v>
      </c>
      <c r="AY776" s="90" t="n">
        <f aca="false">IF(스프레드쇼크!$C$5="Y",IF(ISNUMBER(AF776),MIN(스프레드쇼크!$C$7,MAX(스프레드쇼크!$C$6,AF776/스프레드쇼크!$C$8)),1),1)</f>
        <v>1</v>
      </c>
      <c r="AZ776" s="94" t="n">
        <f aca="false">AN776*AX776*AY776</f>
        <v>0</v>
      </c>
      <c r="BA776" s="90" t="n">
        <f aca="false">IF(ISNUMBER(G776),AA776*G776,0)</f>
        <v>0</v>
      </c>
      <c r="BB776" s="90" t="n">
        <f aca="false">IF(ISNUMBER(G776),AA776,0)</f>
        <v>0</v>
      </c>
      <c r="BC776" s="90" t="n">
        <f aca="false">IF(AND(Y776=0,ISNUMBER(AF776)),AA776*AF776,0)</f>
        <v>0</v>
      </c>
      <c r="BD776" s="90" t="n">
        <f aca="false">IF(AND(Y776=0,ISNUMBER(AF776)),AA776,0)</f>
        <v>0</v>
      </c>
      <c r="BE776" s="90" t="n">
        <f aca="false">IF(ISNUMBER(H776),AA776*H776,0)</f>
        <v>0</v>
      </c>
      <c r="BF776" s="90" t="n">
        <f aca="false">IF(ISNUMBER(H776),AA776,0)</f>
        <v>0</v>
      </c>
      <c r="BG776" s="90" t="n">
        <f aca="false">IF(AND(Y776=0,ISNUMBER(AF776),ISNUMBER(Z776)),AA776*Z776,0)</f>
        <v>0</v>
      </c>
      <c r="BH776" s="90" t="n">
        <f aca="false">IF(AND(Y776=0,ISNUMBER(AF776),ISNUMBER(Z776)),AA776*AT776*MAX(Z776-1,0),0)</f>
        <v>0</v>
      </c>
      <c r="BI776" s="90" t="n">
        <f aca="false">IF(Y776=0,AA776,0)</f>
        <v>0</v>
      </c>
    </row>
    <row r="777" customFormat="false" ht="15" hidden="false" customHeight="false" outlineLevel="0" collapsed="false">
      <c r="A777" s="83" t="str">
        <f aca="false">IFERROR(IF(INDEX(원자료_잔고!$A$1:$EZ$1500,설정!$L$5+ROW()-1,설정!$L$8)&amp;""="0","",INDEX(원자료_잔고!$A$1:$EZ$1500,설정!$L$5+ROW()-1,설정!$L$8)&amp;""),"")</f>
        <v/>
      </c>
      <c r="B777" s="83" t="str">
        <f aca="false">IFERROR(IF(INDEX(원자료_잔고!$A$1:$EZ$1500,설정!$L$5+ROW()-1,설정!$L$7)&amp;""="0","",INDEX(원자료_잔고!$A$1:$EZ$1500,설정!$L$5+ROW()-1,설정!$L$7)&amp;""),"")</f>
        <v/>
      </c>
      <c r="C777" s="83" t="str">
        <f aca="false">IFERROR(IF(INDEX(원자료_잔고!$A$1:$EZ$1500,설정!$L$5+ROW()-1,설정!$L$9)&amp;""="0","",INDEX(원자료_잔고!$A$1:$EZ$1500,설정!$L$5+ROW()-1,설정!$L$9)&amp;""),"")</f>
        <v/>
      </c>
      <c r="D777" s="83" t="str">
        <f aca="false">IFERROR(IF(INDEX(원자료_잔고!$A$1:$EZ$1500,설정!$L$5+ROW()-1,설정!$L$10)&amp;""="0","",INDEX(원자료_잔고!$A$1:$EZ$1500,설정!$L$5+ROW()-1,설정!$L$10)&amp;""),"")</f>
        <v/>
      </c>
      <c r="E777" s="84" t="str">
        <f aca="false">IFERROR(IF(ISNUMBER(INDEX(원자료_잔고!$A$1:$EZ$1500,설정!$L$5+ROW()-1,설정!$L$11)),INDEX(원자료_잔고!$A$1:$EZ$1500,설정!$L$5+ROW()-1,설정!$L$11),""),"")</f>
        <v/>
      </c>
      <c r="F777" s="85" t="str">
        <f aca="false">IFERROR(IF(ISNUMBER(INDEX(원자료_잔고!$A$1:$EZ$1500,설정!$L$5+ROW()-1,설정!$L$12)),INDEX(원자료_잔고!$A$1:$EZ$1500,설정!$L$5+ROW()-1,설정!$L$12),""),"")</f>
        <v/>
      </c>
      <c r="G777" s="85" t="str">
        <f aca="false">IFERROR(IF(ISNUMBER(INDEX(원자료_잔고!$A$1:$EZ$1500,설정!$L$5+ROW()-1,설정!$L$13)),INDEX(원자료_잔고!$A$1:$EZ$1500,설정!$L$5+ROW()-1,설정!$L$13),""),"")</f>
        <v/>
      </c>
      <c r="H777" s="85" t="str">
        <f aca="false">IFERROR(IF(ISNUMBER(INDEX(원자료_잔고!$A$1:$EZ$1500,설정!$L$5+ROW()-1,설정!$L$14)),INDEX(원자료_잔고!$A$1:$EZ$1500,설정!$L$5+ROW()-1,설정!$L$14),""),"")</f>
        <v/>
      </c>
      <c r="I777" s="86" t="str">
        <f aca="false">IFERROR(IF(ISNUMBER(INDEX(원자료_잔고!$A$1:$EZ$1500,설정!$L$5+ROW()-1,설정!$L$15)),INDEX(원자료_잔고!$A$1:$EZ$1500,설정!$L$5+ROW()-1,설정!$L$15),""),"")</f>
        <v/>
      </c>
      <c r="J777" s="85" t="str">
        <f aca="false">IFERROR(IF(ISNUMBER(INDEX(원자료_잔고!$A$1:$EZ$1500,설정!$L$5+ROW()-1,설정!$L$16)),INDEX(원자료_잔고!$A$1:$EZ$1500,설정!$L$5+ROW()-1,설정!$L$16),""),"")</f>
        <v/>
      </c>
      <c r="K777" s="87" t="str">
        <f aca="false">IFERROR(IF(ISNUMBER(INDEX(원자료_잔고!$A$1:$EZ$1500,설정!$L$5+ROW()-1,설정!$L$17)),INDEX(원자료_잔고!$A$1:$EZ$1500,설정!$L$5+ROW()-1,설정!$L$17),""),"")</f>
        <v/>
      </c>
      <c r="L777" s="84" t="str">
        <f aca="false">IFERROR(IF(ISNUMBER(INDEX(원자료_잔고!$A$1:$EZ$1500,설정!$L$5+ROW()-1,설정!$L$18)),INDEX(원자료_잔고!$A$1:$EZ$1500,설정!$L$5+ROW()-1,설정!$L$18),""),"")</f>
        <v/>
      </c>
      <c r="M777" s="88" t="str">
        <f aca="false">IFERROR(IF(ISNUMBER(INDEX(원자료_잔고!$A$1:$EZ$1500,설정!$L$5+ROW()-1,설정!$L$19)),INDEX(원자료_잔고!$A$1:$EZ$1500,설정!$L$5+ROW()-1,설정!$L$19),""),"")</f>
        <v/>
      </c>
      <c r="N777" s="83" t="str">
        <f aca="false">IFERROR(IF(INDEX(원자료_잔고!$A$1:$EZ$1500,설정!$L$5+ROW()-1,설정!$L$21)&amp;""="0","",INDEX(원자료_잔고!$A$1:$EZ$1500,설정!$L$5+ROW()-1,설정!$L$21)&amp;""),"")</f>
        <v/>
      </c>
      <c r="O777" s="83" t="str">
        <f aca="false">IFERROR(IF(INDEX(원자료_잔고!$A$1:$EZ$1500,설정!$L$5+ROW()-1,설정!$L$22)&amp;""="0","",INDEX(원자료_잔고!$A$1:$EZ$1500,설정!$L$5+ROW()-1,설정!$L$22)&amp;""),"")</f>
        <v/>
      </c>
      <c r="P777" s="83" t="str">
        <f aca="false">IFERROR(IF(INDEX(원자료_잔고!$A$1:$EZ$1500,설정!$L$5+ROW()-1,설정!$L$23)&amp;""="0","",INDEX(원자료_잔고!$A$1:$EZ$1500,설정!$L$5+ROW()-1,설정!$L$23)&amp;""),"")</f>
        <v/>
      </c>
      <c r="Q777" s="89" t="n">
        <f aca="false">IF(AND($A777&lt;&gt;"",ISNUMBER(E777)),IF(E777&gt;0,1,0),0)</f>
        <v>0</v>
      </c>
      <c r="R777" s="43" t="str">
        <f aca="false">IF(Q777=1,UPPER(LEFT($A777,FIND(" ",$A777&amp;" ")-1)),"")</f>
        <v/>
      </c>
      <c r="S777" s="89" t="n">
        <f aca="false">IF(Q777=1,IF(OR(ISNUMBER(SEARCH("Float",$A777)),ISNUMBER(SEARCH("FRN",$A777))),1,0),0)</f>
        <v>0</v>
      </c>
      <c r="T777" s="43" t="str">
        <f aca="false">IF(AND(Q777=1,ISNUMBER(I777)),TEXT(I777,"yyyymmdd")&amp;"|"&amp;IF(S777=1,"F",TEXT(J777,"0.000")),"")</f>
        <v/>
      </c>
      <c r="U777" s="90" t="str">
        <f aca="false">IF(AND(Q777=1,ISNUMBER(I777)),(I777-설정!$C$4)/365.25,"")</f>
        <v/>
      </c>
      <c r="V777" s="43" t="str">
        <f aca="false">IF(Q777&lt;&gt;1,"",IF(ISNUMBER(U777),IF(U777&lt;=1,"1년 이하",IF(U777&lt;=2,"1-2년",IF(U777&lt;=3,"2-3년",IF(U777&lt;=4,"3-4년",IF(U777&lt;=5,"4-5년",IF(U777&lt;=7,"5-7년",IF(U777&lt;=10,"7-10년",IF(U777&lt;=20,"10-20년","20년 이상")))))))),"미분류"))</f>
        <v/>
      </c>
      <c r="W777" s="43" t="str">
        <f aca="false">IF(Q777&lt;&gt;1,"",IF(AB777&lt;&gt;"",INDEX(시장분석!$C:$C,AB777),IF(K777=1,"USD","비USD")))</f>
        <v/>
      </c>
      <c r="X777" s="91" t="n">
        <f aca="false">IF(Q777=1,E777*K777/1000000,0)</f>
        <v>0</v>
      </c>
      <c r="Y777" s="89" t="n">
        <f aca="false">IF(R777="T",1,0)</f>
        <v>0</v>
      </c>
      <c r="Z777" s="92" t="str">
        <f aca="false">IF(Q777&lt;&gt;1,"",IF(AD777=1,IF(ISNUMBER(U777),MAX(U777,0),H777),H777))</f>
        <v/>
      </c>
      <c r="AA777" s="91" t="n">
        <f aca="false">IF(Q777=1,IF(ISNUMBER(L777),L777,0)*K777/1000000,0)</f>
        <v>0</v>
      </c>
      <c r="AB777" s="89" t="str">
        <f aca="false">IF(Q777&lt;&gt;1,"",IFERROR(MATCH(VLOOKUP(B777,매핑!$H$4:$I$15,2,0),시장분석!$A$2:$A$601,0)+1,IFERROR(MATCH(R777&amp;"|"&amp;T777,시장분석!$V$2:$V$601,0)+1,IF(COUNTIF(시장분석!$U$2:$U$601,T777)=1,MATCH(T777,시장분석!$U$2:$U$601,0)+1,""))))</f>
        <v/>
      </c>
      <c r="AC777" s="89" t="n">
        <f aca="false">IF(Q777&lt;&gt;1,0,IF(OR(설정!$C$5="전체",AND(설정!$C$5="선택펀드",IFERROR(COUNTIFS(설정!$F$16:$F$36,C777,설정!$G$16:$G$36,"Y")+COUNTIFS(설정!$F$16:$F$36,VALUE(C777),설정!$G$16:$G$36,"Y"),0)&gt;0),C777&amp;""=설정!$C$5&amp;""),1,0))</f>
        <v>0</v>
      </c>
      <c r="AD777" s="89" t="n">
        <f aca="false">IF(Q777&lt;&gt;1,0,IF(OR(S777=1,IF(AB777="",FALSE(),INDEX(시장분석!$R:$R,AB777)=1)),1,0))</f>
        <v>0</v>
      </c>
      <c r="AE777" s="43" t="str">
        <f aca="false">IF(AB777="","",INDEX(시장분석!$A:$A,AB777))</f>
        <v/>
      </c>
      <c r="AF777" s="93" t="str">
        <f aca="false">IF(AB777="","",IF(ISNUMBER(IF(AB777="","",INDEX(시장분석!$E:$E,AB777))),IF(AB777="","",INDEX(시장분석!$E:$E,AB777)),""))</f>
        <v/>
      </c>
      <c r="AG777" s="43" t="str">
        <f aca="false">IF(Q777&lt;&gt;1,"",IF(AB777&lt;&gt;"",IF(AB777="","",INDEX(시장분석!$L:$L,AB777)),IFERROR(IF(VLOOKUP(R777,매핑!$A$4:$E$92,5,0)="","미분류",VLOOKUP(R777,매핑!$A$4:$E$92,5,0)),"미분류")))</f>
        <v/>
      </c>
      <c r="AH777" s="43" t="str">
        <f aca="false">IF(Q777&lt;&gt;1,"",IF(AB777&lt;&gt;"",IF(AB777="","",INDEX(시장분석!$N:$N,AB777)),IFERROR(IF(VLOOKUP(R777,매핑!$A$4:$E$92,4,0)="","미분류",VLOOKUP(R777,매핑!$A$4:$E$92,4,0)),"미분류")))</f>
        <v/>
      </c>
      <c r="AI777" s="43" t="str">
        <f aca="false">IF(Q777&lt;&gt;1,"",IFERROR(IF(VLOOKUP(R777,매핑!$A$4:$E$92,3,0)="","미분류",VLOOKUP(R777,매핑!$A$4:$E$92,3,0)),IF(AB777&lt;&gt;"",IF(AB777="","",INDEX(시장분석!$W:$W,AB777)),"미분류")))</f>
        <v/>
      </c>
      <c r="AJ777" s="43" t="str">
        <f aca="false">IF(Q777&lt;&gt;1,"",IFERROR(VLOOKUP(IF(N777&lt;&gt;"",N777,IF(P777&lt;&gt;"",P777,O777)),설정!$A$15:$D$47,2,0),""))</f>
        <v/>
      </c>
      <c r="AK777" s="43" t="str">
        <f aca="false">IF(Q777&lt;&gt;1,"",IF(AJ777="","무등급",IFERROR(VLOOKUP(AJ777,설정!$A$15:$D$47,3,0),"무등급")))</f>
        <v/>
      </c>
      <c r="AL777" s="89" t="n">
        <f aca="false">IF(AJ777="",99,IFERROR(VLOOKUP(AJ777,설정!$A$15:$D$47,4,0),99))</f>
        <v>99</v>
      </c>
      <c r="AM777" s="94" t="n">
        <f aca="false">IF(ISNUMBER(H777),AA777*1000000*H777/10000,0)</f>
        <v>0</v>
      </c>
      <c r="AN777" s="94" t="n">
        <f aca="false">IF(OR(Y777=1,NOT(ISNUMBER(Z777))),0,AA777*1000000*Z777/10000)</f>
        <v>0</v>
      </c>
      <c r="AO777" s="94" t="n">
        <f aca="false">IF(ISNUMBER(G777),AA777*1000000*G777/100,0)</f>
        <v>0</v>
      </c>
      <c r="AP777" s="94" t="n">
        <f aca="false">IF(ISNUMBER(M777),M777*K777,0)</f>
        <v>0</v>
      </c>
      <c r="AQ777" s="95" t="str">
        <f aca="false">IF(AB777="","",INDEX(시장분석!$AK:$AK,AB777))</f>
        <v/>
      </c>
      <c r="AR777" s="43" t="str">
        <f aca="false">IF(AB777="","-",IF(AB777="","",INDEX(시장분석!$AL:$AL,AB777)))</f>
        <v>-</v>
      </c>
      <c r="AS777" s="96" t="str">
        <f aca="false">IF(AB777="","",INDEX(시장분석!$AJ:$AJ,AB777))</f>
        <v/>
      </c>
      <c r="AT777" s="93" t="n">
        <f aca="false">IF(AB777="",0,IF(AB777="","",INDEX(시장분석!$AN:$AN,AB777)))</f>
        <v>0</v>
      </c>
      <c r="AU777" s="94" t="n">
        <f aca="false">IF(ISNUMBER(Z777),AT777/10000*MAX(Z777-1,0)*AA777*1000000,0)</f>
        <v>0</v>
      </c>
      <c r="AV777" s="94" t="n">
        <f aca="false">AO777+AU777</f>
        <v>0</v>
      </c>
      <c r="AW777" s="43" t="str">
        <f aca="false">IF(Q777&lt;&gt;1,"",TRIM(IF(AD777=1,"FRN ","")&amp;IF(AND(AL777&gt;=10,AL777&lt;99),"BBB0미만 ","")&amp;IF(AJ777="","등급없음 ","")&amp;IF(K777&lt;&gt;1,"비USD ","")&amp;IF(AND(AB777="",Y777=0),"시장데이터없음 ","")&amp;IF(AND(ISNUMBER(U777),U777&lt;0),"만기경과 ","")))</f>
        <v/>
      </c>
      <c r="AX777" s="90" t="n">
        <f aca="false">IF(Q777&lt;&gt;1,1,IF(스프레드쇼크!$C$4="Y",INDEX(스프레드쇼크!$B$12:$L$16,IFERROR(MATCH(AH777,스프레드쇼크!$A$12:$A$16,0),MATCH("목록외",스프레드쇼크!$A$12:$A$16,0)),IFERROR(MATCH(AG777,스프레드쇼크!$B$11:$L$11,0),MATCH("목록외",스프레드쇼크!$B$11:$L$11,0))),1))</f>
        <v>1</v>
      </c>
      <c r="AY777" s="90" t="n">
        <f aca="false">IF(스프레드쇼크!$C$5="Y",IF(ISNUMBER(AF777),MIN(스프레드쇼크!$C$7,MAX(스프레드쇼크!$C$6,AF777/스프레드쇼크!$C$8)),1),1)</f>
        <v>1</v>
      </c>
      <c r="AZ777" s="94" t="n">
        <f aca="false">AN777*AX777*AY777</f>
        <v>0</v>
      </c>
      <c r="BA777" s="90" t="n">
        <f aca="false">IF(ISNUMBER(G777),AA777*G777,0)</f>
        <v>0</v>
      </c>
      <c r="BB777" s="90" t="n">
        <f aca="false">IF(ISNUMBER(G777),AA777,0)</f>
        <v>0</v>
      </c>
      <c r="BC777" s="90" t="n">
        <f aca="false">IF(AND(Y777=0,ISNUMBER(AF777)),AA777*AF777,0)</f>
        <v>0</v>
      </c>
      <c r="BD777" s="90" t="n">
        <f aca="false">IF(AND(Y777=0,ISNUMBER(AF777)),AA777,0)</f>
        <v>0</v>
      </c>
      <c r="BE777" s="90" t="n">
        <f aca="false">IF(ISNUMBER(H777),AA777*H777,0)</f>
        <v>0</v>
      </c>
      <c r="BF777" s="90" t="n">
        <f aca="false">IF(ISNUMBER(H777),AA777,0)</f>
        <v>0</v>
      </c>
      <c r="BG777" s="90" t="n">
        <f aca="false">IF(AND(Y777=0,ISNUMBER(AF777),ISNUMBER(Z777)),AA777*Z777,0)</f>
        <v>0</v>
      </c>
      <c r="BH777" s="90" t="n">
        <f aca="false">IF(AND(Y777=0,ISNUMBER(AF777),ISNUMBER(Z777)),AA777*AT777*MAX(Z777-1,0),0)</f>
        <v>0</v>
      </c>
      <c r="BI777" s="90" t="n">
        <f aca="false">IF(Y777=0,AA777,0)</f>
        <v>0</v>
      </c>
    </row>
    <row r="778" customFormat="false" ht="15" hidden="false" customHeight="false" outlineLevel="0" collapsed="false">
      <c r="A778" s="83" t="str">
        <f aca="false">IFERROR(IF(INDEX(원자료_잔고!$A$1:$EZ$1500,설정!$L$5+ROW()-1,설정!$L$8)&amp;""="0","",INDEX(원자료_잔고!$A$1:$EZ$1500,설정!$L$5+ROW()-1,설정!$L$8)&amp;""),"")</f>
        <v/>
      </c>
      <c r="B778" s="83" t="str">
        <f aca="false">IFERROR(IF(INDEX(원자료_잔고!$A$1:$EZ$1500,설정!$L$5+ROW()-1,설정!$L$7)&amp;""="0","",INDEX(원자료_잔고!$A$1:$EZ$1500,설정!$L$5+ROW()-1,설정!$L$7)&amp;""),"")</f>
        <v/>
      </c>
      <c r="C778" s="83" t="str">
        <f aca="false">IFERROR(IF(INDEX(원자료_잔고!$A$1:$EZ$1500,설정!$L$5+ROW()-1,설정!$L$9)&amp;""="0","",INDEX(원자료_잔고!$A$1:$EZ$1500,설정!$L$5+ROW()-1,설정!$L$9)&amp;""),"")</f>
        <v/>
      </c>
      <c r="D778" s="83" t="str">
        <f aca="false">IFERROR(IF(INDEX(원자료_잔고!$A$1:$EZ$1500,설정!$L$5+ROW()-1,설정!$L$10)&amp;""="0","",INDEX(원자료_잔고!$A$1:$EZ$1500,설정!$L$5+ROW()-1,설정!$L$10)&amp;""),"")</f>
        <v/>
      </c>
      <c r="E778" s="84" t="str">
        <f aca="false">IFERROR(IF(ISNUMBER(INDEX(원자료_잔고!$A$1:$EZ$1500,설정!$L$5+ROW()-1,설정!$L$11)),INDEX(원자료_잔고!$A$1:$EZ$1500,설정!$L$5+ROW()-1,설정!$L$11),""),"")</f>
        <v/>
      </c>
      <c r="F778" s="85" t="str">
        <f aca="false">IFERROR(IF(ISNUMBER(INDEX(원자료_잔고!$A$1:$EZ$1500,설정!$L$5+ROW()-1,설정!$L$12)),INDEX(원자료_잔고!$A$1:$EZ$1500,설정!$L$5+ROW()-1,설정!$L$12),""),"")</f>
        <v/>
      </c>
      <c r="G778" s="85" t="str">
        <f aca="false">IFERROR(IF(ISNUMBER(INDEX(원자료_잔고!$A$1:$EZ$1500,설정!$L$5+ROW()-1,설정!$L$13)),INDEX(원자료_잔고!$A$1:$EZ$1500,설정!$L$5+ROW()-1,설정!$L$13),""),"")</f>
        <v/>
      </c>
      <c r="H778" s="85" t="str">
        <f aca="false">IFERROR(IF(ISNUMBER(INDEX(원자료_잔고!$A$1:$EZ$1500,설정!$L$5+ROW()-1,설정!$L$14)),INDEX(원자료_잔고!$A$1:$EZ$1500,설정!$L$5+ROW()-1,설정!$L$14),""),"")</f>
        <v/>
      </c>
      <c r="I778" s="86" t="str">
        <f aca="false">IFERROR(IF(ISNUMBER(INDEX(원자료_잔고!$A$1:$EZ$1500,설정!$L$5+ROW()-1,설정!$L$15)),INDEX(원자료_잔고!$A$1:$EZ$1500,설정!$L$5+ROW()-1,설정!$L$15),""),"")</f>
        <v/>
      </c>
      <c r="J778" s="85" t="str">
        <f aca="false">IFERROR(IF(ISNUMBER(INDEX(원자료_잔고!$A$1:$EZ$1500,설정!$L$5+ROW()-1,설정!$L$16)),INDEX(원자료_잔고!$A$1:$EZ$1500,설정!$L$5+ROW()-1,설정!$L$16),""),"")</f>
        <v/>
      </c>
      <c r="K778" s="87" t="str">
        <f aca="false">IFERROR(IF(ISNUMBER(INDEX(원자료_잔고!$A$1:$EZ$1500,설정!$L$5+ROW()-1,설정!$L$17)),INDEX(원자료_잔고!$A$1:$EZ$1500,설정!$L$5+ROW()-1,설정!$L$17),""),"")</f>
        <v/>
      </c>
      <c r="L778" s="84" t="str">
        <f aca="false">IFERROR(IF(ISNUMBER(INDEX(원자료_잔고!$A$1:$EZ$1500,설정!$L$5+ROW()-1,설정!$L$18)),INDEX(원자료_잔고!$A$1:$EZ$1500,설정!$L$5+ROW()-1,설정!$L$18),""),"")</f>
        <v/>
      </c>
      <c r="M778" s="88" t="str">
        <f aca="false">IFERROR(IF(ISNUMBER(INDEX(원자료_잔고!$A$1:$EZ$1500,설정!$L$5+ROW()-1,설정!$L$19)),INDEX(원자료_잔고!$A$1:$EZ$1500,설정!$L$5+ROW()-1,설정!$L$19),""),"")</f>
        <v/>
      </c>
      <c r="N778" s="83" t="str">
        <f aca="false">IFERROR(IF(INDEX(원자료_잔고!$A$1:$EZ$1500,설정!$L$5+ROW()-1,설정!$L$21)&amp;""="0","",INDEX(원자료_잔고!$A$1:$EZ$1500,설정!$L$5+ROW()-1,설정!$L$21)&amp;""),"")</f>
        <v/>
      </c>
      <c r="O778" s="83" t="str">
        <f aca="false">IFERROR(IF(INDEX(원자료_잔고!$A$1:$EZ$1500,설정!$L$5+ROW()-1,설정!$L$22)&amp;""="0","",INDEX(원자료_잔고!$A$1:$EZ$1500,설정!$L$5+ROW()-1,설정!$L$22)&amp;""),"")</f>
        <v/>
      </c>
      <c r="P778" s="83" t="str">
        <f aca="false">IFERROR(IF(INDEX(원자료_잔고!$A$1:$EZ$1500,설정!$L$5+ROW()-1,설정!$L$23)&amp;""="0","",INDEX(원자료_잔고!$A$1:$EZ$1500,설정!$L$5+ROW()-1,설정!$L$23)&amp;""),"")</f>
        <v/>
      </c>
      <c r="Q778" s="89" t="n">
        <f aca="false">IF(AND($A778&lt;&gt;"",ISNUMBER(E778)),IF(E778&gt;0,1,0),0)</f>
        <v>0</v>
      </c>
      <c r="R778" s="43" t="str">
        <f aca="false">IF(Q778=1,UPPER(LEFT($A778,FIND(" ",$A778&amp;" ")-1)),"")</f>
        <v/>
      </c>
      <c r="S778" s="89" t="n">
        <f aca="false">IF(Q778=1,IF(OR(ISNUMBER(SEARCH("Float",$A778)),ISNUMBER(SEARCH("FRN",$A778))),1,0),0)</f>
        <v>0</v>
      </c>
      <c r="T778" s="43" t="str">
        <f aca="false">IF(AND(Q778=1,ISNUMBER(I778)),TEXT(I778,"yyyymmdd")&amp;"|"&amp;IF(S778=1,"F",TEXT(J778,"0.000")),"")</f>
        <v/>
      </c>
      <c r="U778" s="90" t="str">
        <f aca="false">IF(AND(Q778=1,ISNUMBER(I778)),(I778-설정!$C$4)/365.25,"")</f>
        <v/>
      </c>
      <c r="V778" s="43" t="str">
        <f aca="false">IF(Q778&lt;&gt;1,"",IF(ISNUMBER(U778),IF(U778&lt;=1,"1년 이하",IF(U778&lt;=2,"1-2년",IF(U778&lt;=3,"2-3년",IF(U778&lt;=4,"3-4년",IF(U778&lt;=5,"4-5년",IF(U778&lt;=7,"5-7년",IF(U778&lt;=10,"7-10년",IF(U778&lt;=20,"10-20년","20년 이상")))))))),"미분류"))</f>
        <v/>
      </c>
      <c r="W778" s="43" t="str">
        <f aca="false">IF(Q778&lt;&gt;1,"",IF(AB778&lt;&gt;"",INDEX(시장분석!$C:$C,AB778),IF(K778=1,"USD","비USD")))</f>
        <v/>
      </c>
      <c r="X778" s="91" t="n">
        <f aca="false">IF(Q778=1,E778*K778/1000000,0)</f>
        <v>0</v>
      </c>
      <c r="Y778" s="89" t="n">
        <f aca="false">IF(R778="T",1,0)</f>
        <v>0</v>
      </c>
      <c r="Z778" s="92" t="str">
        <f aca="false">IF(Q778&lt;&gt;1,"",IF(AD778=1,IF(ISNUMBER(U778),MAX(U778,0),H778),H778))</f>
        <v/>
      </c>
      <c r="AA778" s="91" t="n">
        <f aca="false">IF(Q778=1,IF(ISNUMBER(L778),L778,0)*K778/1000000,0)</f>
        <v>0</v>
      </c>
      <c r="AB778" s="89" t="str">
        <f aca="false">IF(Q778&lt;&gt;1,"",IFERROR(MATCH(VLOOKUP(B778,매핑!$H$4:$I$15,2,0),시장분석!$A$2:$A$601,0)+1,IFERROR(MATCH(R778&amp;"|"&amp;T778,시장분석!$V$2:$V$601,0)+1,IF(COUNTIF(시장분석!$U$2:$U$601,T778)=1,MATCH(T778,시장분석!$U$2:$U$601,0)+1,""))))</f>
        <v/>
      </c>
      <c r="AC778" s="89" t="n">
        <f aca="false">IF(Q778&lt;&gt;1,0,IF(OR(설정!$C$5="전체",AND(설정!$C$5="선택펀드",IFERROR(COUNTIFS(설정!$F$16:$F$36,C778,설정!$G$16:$G$36,"Y")+COUNTIFS(설정!$F$16:$F$36,VALUE(C778),설정!$G$16:$G$36,"Y"),0)&gt;0),C778&amp;""=설정!$C$5&amp;""),1,0))</f>
        <v>0</v>
      </c>
      <c r="AD778" s="89" t="n">
        <f aca="false">IF(Q778&lt;&gt;1,0,IF(OR(S778=1,IF(AB778="",FALSE(),INDEX(시장분석!$R:$R,AB778)=1)),1,0))</f>
        <v>0</v>
      </c>
      <c r="AE778" s="43" t="str">
        <f aca="false">IF(AB778="","",INDEX(시장분석!$A:$A,AB778))</f>
        <v/>
      </c>
      <c r="AF778" s="93" t="str">
        <f aca="false">IF(AB778="","",IF(ISNUMBER(IF(AB778="","",INDEX(시장분석!$E:$E,AB778))),IF(AB778="","",INDEX(시장분석!$E:$E,AB778)),""))</f>
        <v/>
      </c>
      <c r="AG778" s="43" t="str">
        <f aca="false">IF(Q778&lt;&gt;1,"",IF(AB778&lt;&gt;"",IF(AB778="","",INDEX(시장분석!$L:$L,AB778)),IFERROR(IF(VLOOKUP(R778,매핑!$A$4:$E$92,5,0)="","미분류",VLOOKUP(R778,매핑!$A$4:$E$92,5,0)),"미분류")))</f>
        <v/>
      </c>
      <c r="AH778" s="43" t="str">
        <f aca="false">IF(Q778&lt;&gt;1,"",IF(AB778&lt;&gt;"",IF(AB778="","",INDEX(시장분석!$N:$N,AB778)),IFERROR(IF(VLOOKUP(R778,매핑!$A$4:$E$92,4,0)="","미분류",VLOOKUP(R778,매핑!$A$4:$E$92,4,0)),"미분류")))</f>
        <v/>
      </c>
      <c r="AI778" s="43" t="str">
        <f aca="false">IF(Q778&lt;&gt;1,"",IFERROR(IF(VLOOKUP(R778,매핑!$A$4:$E$92,3,0)="","미분류",VLOOKUP(R778,매핑!$A$4:$E$92,3,0)),IF(AB778&lt;&gt;"",IF(AB778="","",INDEX(시장분석!$W:$W,AB778)),"미분류")))</f>
        <v/>
      </c>
      <c r="AJ778" s="43" t="str">
        <f aca="false">IF(Q778&lt;&gt;1,"",IFERROR(VLOOKUP(IF(N778&lt;&gt;"",N778,IF(P778&lt;&gt;"",P778,O778)),설정!$A$15:$D$47,2,0),""))</f>
        <v/>
      </c>
      <c r="AK778" s="43" t="str">
        <f aca="false">IF(Q778&lt;&gt;1,"",IF(AJ778="","무등급",IFERROR(VLOOKUP(AJ778,설정!$A$15:$D$47,3,0),"무등급")))</f>
        <v/>
      </c>
      <c r="AL778" s="89" t="n">
        <f aca="false">IF(AJ778="",99,IFERROR(VLOOKUP(AJ778,설정!$A$15:$D$47,4,0),99))</f>
        <v>99</v>
      </c>
      <c r="AM778" s="94" t="n">
        <f aca="false">IF(ISNUMBER(H778),AA778*1000000*H778/10000,0)</f>
        <v>0</v>
      </c>
      <c r="AN778" s="94" t="n">
        <f aca="false">IF(OR(Y778=1,NOT(ISNUMBER(Z778))),0,AA778*1000000*Z778/10000)</f>
        <v>0</v>
      </c>
      <c r="AO778" s="94" t="n">
        <f aca="false">IF(ISNUMBER(G778),AA778*1000000*G778/100,0)</f>
        <v>0</v>
      </c>
      <c r="AP778" s="94" t="n">
        <f aca="false">IF(ISNUMBER(M778),M778*K778,0)</f>
        <v>0</v>
      </c>
      <c r="AQ778" s="95" t="str">
        <f aca="false">IF(AB778="","",INDEX(시장분석!$AK:$AK,AB778))</f>
        <v/>
      </c>
      <c r="AR778" s="43" t="str">
        <f aca="false">IF(AB778="","-",IF(AB778="","",INDEX(시장분석!$AL:$AL,AB778)))</f>
        <v>-</v>
      </c>
      <c r="AS778" s="96" t="str">
        <f aca="false">IF(AB778="","",INDEX(시장분석!$AJ:$AJ,AB778))</f>
        <v/>
      </c>
      <c r="AT778" s="93" t="n">
        <f aca="false">IF(AB778="",0,IF(AB778="","",INDEX(시장분석!$AN:$AN,AB778)))</f>
        <v>0</v>
      </c>
      <c r="AU778" s="94" t="n">
        <f aca="false">IF(ISNUMBER(Z778),AT778/10000*MAX(Z778-1,0)*AA778*1000000,0)</f>
        <v>0</v>
      </c>
      <c r="AV778" s="94" t="n">
        <f aca="false">AO778+AU778</f>
        <v>0</v>
      </c>
      <c r="AW778" s="43" t="str">
        <f aca="false">IF(Q778&lt;&gt;1,"",TRIM(IF(AD778=1,"FRN ","")&amp;IF(AND(AL778&gt;=10,AL778&lt;99),"BBB0미만 ","")&amp;IF(AJ778="","등급없음 ","")&amp;IF(K778&lt;&gt;1,"비USD ","")&amp;IF(AND(AB778="",Y778=0),"시장데이터없음 ","")&amp;IF(AND(ISNUMBER(U778),U778&lt;0),"만기경과 ","")))</f>
        <v/>
      </c>
      <c r="AX778" s="90" t="n">
        <f aca="false">IF(Q778&lt;&gt;1,1,IF(스프레드쇼크!$C$4="Y",INDEX(스프레드쇼크!$B$12:$L$16,IFERROR(MATCH(AH778,스프레드쇼크!$A$12:$A$16,0),MATCH("목록외",스프레드쇼크!$A$12:$A$16,0)),IFERROR(MATCH(AG778,스프레드쇼크!$B$11:$L$11,0),MATCH("목록외",스프레드쇼크!$B$11:$L$11,0))),1))</f>
        <v>1</v>
      </c>
      <c r="AY778" s="90" t="n">
        <f aca="false">IF(스프레드쇼크!$C$5="Y",IF(ISNUMBER(AF778),MIN(스프레드쇼크!$C$7,MAX(스프레드쇼크!$C$6,AF778/스프레드쇼크!$C$8)),1),1)</f>
        <v>1</v>
      </c>
      <c r="AZ778" s="94" t="n">
        <f aca="false">AN778*AX778*AY778</f>
        <v>0</v>
      </c>
      <c r="BA778" s="90" t="n">
        <f aca="false">IF(ISNUMBER(G778),AA778*G778,0)</f>
        <v>0</v>
      </c>
      <c r="BB778" s="90" t="n">
        <f aca="false">IF(ISNUMBER(G778),AA778,0)</f>
        <v>0</v>
      </c>
      <c r="BC778" s="90" t="n">
        <f aca="false">IF(AND(Y778=0,ISNUMBER(AF778)),AA778*AF778,0)</f>
        <v>0</v>
      </c>
      <c r="BD778" s="90" t="n">
        <f aca="false">IF(AND(Y778=0,ISNUMBER(AF778)),AA778,0)</f>
        <v>0</v>
      </c>
      <c r="BE778" s="90" t="n">
        <f aca="false">IF(ISNUMBER(H778),AA778*H778,0)</f>
        <v>0</v>
      </c>
      <c r="BF778" s="90" t="n">
        <f aca="false">IF(ISNUMBER(H778),AA778,0)</f>
        <v>0</v>
      </c>
      <c r="BG778" s="90" t="n">
        <f aca="false">IF(AND(Y778=0,ISNUMBER(AF778),ISNUMBER(Z778)),AA778*Z778,0)</f>
        <v>0</v>
      </c>
      <c r="BH778" s="90" t="n">
        <f aca="false">IF(AND(Y778=0,ISNUMBER(AF778),ISNUMBER(Z778)),AA778*AT778*MAX(Z778-1,0),0)</f>
        <v>0</v>
      </c>
      <c r="BI778" s="90" t="n">
        <f aca="false">IF(Y778=0,AA778,0)</f>
        <v>0</v>
      </c>
    </row>
    <row r="779" customFormat="false" ht="15" hidden="false" customHeight="false" outlineLevel="0" collapsed="false">
      <c r="A779" s="83" t="str">
        <f aca="false">IFERROR(IF(INDEX(원자료_잔고!$A$1:$EZ$1500,설정!$L$5+ROW()-1,설정!$L$8)&amp;""="0","",INDEX(원자료_잔고!$A$1:$EZ$1500,설정!$L$5+ROW()-1,설정!$L$8)&amp;""),"")</f>
        <v/>
      </c>
      <c r="B779" s="83" t="str">
        <f aca="false">IFERROR(IF(INDEX(원자료_잔고!$A$1:$EZ$1500,설정!$L$5+ROW()-1,설정!$L$7)&amp;""="0","",INDEX(원자료_잔고!$A$1:$EZ$1500,설정!$L$5+ROW()-1,설정!$L$7)&amp;""),"")</f>
        <v/>
      </c>
      <c r="C779" s="83" t="str">
        <f aca="false">IFERROR(IF(INDEX(원자료_잔고!$A$1:$EZ$1500,설정!$L$5+ROW()-1,설정!$L$9)&amp;""="0","",INDEX(원자료_잔고!$A$1:$EZ$1500,설정!$L$5+ROW()-1,설정!$L$9)&amp;""),"")</f>
        <v/>
      </c>
      <c r="D779" s="83" t="str">
        <f aca="false">IFERROR(IF(INDEX(원자료_잔고!$A$1:$EZ$1500,설정!$L$5+ROW()-1,설정!$L$10)&amp;""="0","",INDEX(원자료_잔고!$A$1:$EZ$1500,설정!$L$5+ROW()-1,설정!$L$10)&amp;""),"")</f>
        <v/>
      </c>
      <c r="E779" s="84" t="str">
        <f aca="false">IFERROR(IF(ISNUMBER(INDEX(원자료_잔고!$A$1:$EZ$1500,설정!$L$5+ROW()-1,설정!$L$11)),INDEX(원자료_잔고!$A$1:$EZ$1500,설정!$L$5+ROW()-1,설정!$L$11),""),"")</f>
        <v/>
      </c>
      <c r="F779" s="85" t="str">
        <f aca="false">IFERROR(IF(ISNUMBER(INDEX(원자료_잔고!$A$1:$EZ$1500,설정!$L$5+ROW()-1,설정!$L$12)),INDEX(원자료_잔고!$A$1:$EZ$1500,설정!$L$5+ROW()-1,설정!$L$12),""),"")</f>
        <v/>
      </c>
      <c r="G779" s="85" t="str">
        <f aca="false">IFERROR(IF(ISNUMBER(INDEX(원자료_잔고!$A$1:$EZ$1500,설정!$L$5+ROW()-1,설정!$L$13)),INDEX(원자료_잔고!$A$1:$EZ$1500,설정!$L$5+ROW()-1,설정!$L$13),""),"")</f>
        <v/>
      </c>
      <c r="H779" s="85" t="str">
        <f aca="false">IFERROR(IF(ISNUMBER(INDEX(원자료_잔고!$A$1:$EZ$1500,설정!$L$5+ROW()-1,설정!$L$14)),INDEX(원자료_잔고!$A$1:$EZ$1500,설정!$L$5+ROW()-1,설정!$L$14),""),"")</f>
        <v/>
      </c>
      <c r="I779" s="86" t="str">
        <f aca="false">IFERROR(IF(ISNUMBER(INDEX(원자료_잔고!$A$1:$EZ$1500,설정!$L$5+ROW()-1,설정!$L$15)),INDEX(원자료_잔고!$A$1:$EZ$1500,설정!$L$5+ROW()-1,설정!$L$15),""),"")</f>
        <v/>
      </c>
      <c r="J779" s="85" t="str">
        <f aca="false">IFERROR(IF(ISNUMBER(INDEX(원자료_잔고!$A$1:$EZ$1500,설정!$L$5+ROW()-1,설정!$L$16)),INDEX(원자료_잔고!$A$1:$EZ$1500,설정!$L$5+ROW()-1,설정!$L$16),""),"")</f>
        <v/>
      </c>
      <c r="K779" s="87" t="str">
        <f aca="false">IFERROR(IF(ISNUMBER(INDEX(원자료_잔고!$A$1:$EZ$1500,설정!$L$5+ROW()-1,설정!$L$17)),INDEX(원자료_잔고!$A$1:$EZ$1500,설정!$L$5+ROW()-1,설정!$L$17),""),"")</f>
        <v/>
      </c>
      <c r="L779" s="84" t="str">
        <f aca="false">IFERROR(IF(ISNUMBER(INDEX(원자료_잔고!$A$1:$EZ$1500,설정!$L$5+ROW()-1,설정!$L$18)),INDEX(원자료_잔고!$A$1:$EZ$1500,설정!$L$5+ROW()-1,설정!$L$18),""),"")</f>
        <v/>
      </c>
      <c r="M779" s="88" t="str">
        <f aca="false">IFERROR(IF(ISNUMBER(INDEX(원자료_잔고!$A$1:$EZ$1500,설정!$L$5+ROW()-1,설정!$L$19)),INDEX(원자료_잔고!$A$1:$EZ$1500,설정!$L$5+ROW()-1,설정!$L$19),""),"")</f>
        <v/>
      </c>
      <c r="N779" s="83" t="str">
        <f aca="false">IFERROR(IF(INDEX(원자료_잔고!$A$1:$EZ$1500,설정!$L$5+ROW()-1,설정!$L$21)&amp;""="0","",INDEX(원자료_잔고!$A$1:$EZ$1500,설정!$L$5+ROW()-1,설정!$L$21)&amp;""),"")</f>
        <v/>
      </c>
      <c r="O779" s="83" t="str">
        <f aca="false">IFERROR(IF(INDEX(원자료_잔고!$A$1:$EZ$1500,설정!$L$5+ROW()-1,설정!$L$22)&amp;""="0","",INDEX(원자료_잔고!$A$1:$EZ$1500,설정!$L$5+ROW()-1,설정!$L$22)&amp;""),"")</f>
        <v/>
      </c>
      <c r="P779" s="83" t="str">
        <f aca="false">IFERROR(IF(INDEX(원자료_잔고!$A$1:$EZ$1500,설정!$L$5+ROW()-1,설정!$L$23)&amp;""="0","",INDEX(원자료_잔고!$A$1:$EZ$1500,설정!$L$5+ROW()-1,설정!$L$23)&amp;""),"")</f>
        <v/>
      </c>
      <c r="Q779" s="89" t="n">
        <f aca="false">IF(AND($A779&lt;&gt;"",ISNUMBER(E779)),IF(E779&gt;0,1,0),0)</f>
        <v>0</v>
      </c>
      <c r="R779" s="43" t="str">
        <f aca="false">IF(Q779=1,UPPER(LEFT($A779,FIND(" ",$A779&amp;" ")-1)),"")</f>
        <v/>
      </c>
      <c r="S779" s="89" t="n">
        <f aca="false">IF(Q779=1,IF(OR(ISNUMBER(SEARCH("Float",$A779)),ISNUMBER(SEARCH("FRN",$A779))),1,0),0)</f>
        <v>0</v>
      </c>
      <c r="T779" s="43" t="str">
        <f aca="false">IF(AND(Q779=1,ISNUMBER(I779)),TEXT(I779,"yyyymmdd")&amp;"|"&amp;IF(S779=1,"F",TEXT(J779,"0.000")),"")</f>
        <v/>
      </c>
      <c r="U779" s="90" t="str">
        <f aca="false">IF(AND(Q779=1,ISNUMBER(I779)),(I779-설정!$C$4)/365.25,"")</f>
        <v/>
      </c>
      <c r="V779" s="43" t="str">
        <f aca="false">IF(Q779&lt;&gt;1,"",IF(ISNUMBER(U779),IF(U779&lt;=1,"1년 이하",IF(U779&lt;=2,"1-2년",IF(U779&lt;=3,"2-3년",IF(U779&lt;=4,"3-4년",IF(U779&lt;=5,"4-5년",IF(U779&lt;=7,"5-7년",IF(U779&lt;=10,"7-10년",IF(U779&lt;=20,"10-20년","20년 이상")))))))),"미분류"))</f>
        <v/>
      </c>
      <c r="W779" s="43" t="str">
        <f aca="false">IF(Q779&lt;&gt;1,"",IF(AB779&lt;&gt;"",INDEX(시장분석!$C:$C,AB779),IF(K779=1,"USD","비USD")))</f>
        <v/>
      </c>
      <c r="X779" s="91" t="n">
        <f aca="false">IF(Q779=1,E779*K779/1000000,0)</f>
        <v>0</v>
      </c>
      <c r="Y779" s="89" t="n">
        <f aca="false">IF(R779="T",1,0)</f>
        <v>0</v>
      </c>
      <c r="Z779" s="92" t="str">
        <f aca="false">IF(Q779&lt;&gt;1,"",IF(AD779=1,IF(ISNUMBER(U779),MAX(U779,0),H779),H779))</f>
        <v/>
      </c>
      <c r="AA779" s="91" t="n">
        <f aca="false">IF(Q779=1,IF(ISNUMBER(L779),L779,0)*K779/1000000,0)</f>
        <v>0</v>
      </c>
      <c r="AB779" s="89" t="str">
        <f aca="false">IF(Q779&lt;&gt;1,"",IFERROR(MATCH(VLOOKUP(B779,매핑!$H$4:$I$15,2,0),시장분석!$A$2:$A$601,0)+1,IFERROR(MATCH(R779&amp;"|"&amp;T779,시장분석!$V$2:$V$601,0)+1,IF(COUNTIF(시장분석!$U$2:$U$601,T779)=1,MATCH(T779,시장분석!$U$2:$U$601,0)+1,""))))</f>
        <v/>
      </c>
      <c r="AC779" s="89" t="n">
        <f aca="false">IF(Q779&lt;&gt;1,0,IF(OR(설정!$C$5="전체",AND(설정!$C$5="선택펀드",IFERROR(COUNTIFS(설정!$F$16:$F$36,C779,설정!$G$16:$G$36,"Y")+COUNTIFS(설정!$F$16:$F$36,VALUE(C779),설정!$G$16:$G$36,"Y"),0)&gt;0),C779&amp;""=설정!$C$5&amp;""),1,0))</f>
        <v>0</v>
      </c>
      <c r="AD779" s="89" t="n">
        <f aca="false">IF(Q779&lt;&gt;1,0,IF(OR(S779=1,IF(AB779="",FALSE(),INDEX(시장분석!$R:$R,AB779)=1)),1,0))</f>
        <v>0</v>
      </c>
      <c r="AE779" s="43" t="str">
        <f aca="false">IF(AB779="","",INDEX(시장분석!$A:$A,AB779))</f>
        <v/>
      </c>
      <c r="AF779" s="93" t="str">
        <f aca="false">IF(AB779="","",IF(ISNUMBER(IF(AB779="","",INDEX(시장분석!$E:$E,AB779))),IF(AB779="","",INDEX(시장분석!$E:$E,AB779)),""))</f>
        <v/>
      </c>
      <c r="AG779" s="43" t="str">
        <f aca="false">IF(Q779&lt;&gt;1,"",IF(AB779&lt;&gt;"",IF(AB779="","",INDEX(시장분석!$L:$L,AB779)),IFERROR(IF(VLOOKUP(R779,매핑!$A$4:$E$92,5,0)="","미분류",VLOOKUP(R779,매핑!$A$4:$E$92,5,0)),"미분류")))</f>
        <v/>
      </c>
      <c r="AH779" s="43" t="str">
        <f aca="false">IF(Q779&lt;&gt;1,"",IF(AB779&lt;&gt;"",IF(AB779="","",INDEX(시장분석!$N:$N,AB779)),IFERROR(IF(VLOOKUP(R779,매핑!$A$4:$E$92,4,0)="","미분류",VLOOKUP(R779,매핑!$A$4:$E$92,4,0)),"미분류")))</f>
        <v/>
      </c>
      <c r="AI779" s="43" t="str">
        <f aca="false">IF(Q779&lt;&gt;1,"",IFERROR(IF(VLOOKUP(R779,매핑!$A$4:$E$92,3,0)="","미분류",VLOOKUP(R779,매핑!$A$4:$E$92,3,0)),IF(AB779&lt;&gt;"",IF(AB779="","",INDEX(시장분석!$W:$W,AB779)),"미분류")))</f>
        <v/>
      </c>
      <c r="AJ779" s="43" t="str">
        <f aca="false">IF(Q779&lt;&gt;1,"",IFERROR(VLOOKUP(IF(N779&lt;&gt;"",N779,IF(P779&lt;&gt;"",P779,O779)),설정!$A$15:$D$47,2,0),""))</f>
        <v/>
      </c>
      <c r="AK779" s="43" t="str">
        <f aca="false">IF(Q779&lt;&gt;1,"",IF(AJ779="","무등급",IFERROR(VLOOKUP(AJ779,설정!$A$15:$D$47,3,0),"무등급")))</f>
        <v/>
      </c>
      <c r="AL779" s="89" t="n">
        <f aca="false">IF(AJ779="",99,IFERROR(VLOOKUP(AJ779,설정!$A$15:$D$47,4,0),99))</f>
        <v>99</v>
      </c>
      <c r="AM779" s="94" t="n">
        <f aca="false">IF(ISNUMBER(H779),AA779*1000000*H779/10000,0)</f>
        <v>0</v>
      </c>
      <c r="AN779" s="94" t="n">
        <f aca="false">IF(OR(Y779=1,NOT(ISNUMBER(Z779))),0,AA779*1000000*Z779/10000)</f>
        <v>0</v>
      </c>
      <c r="AO779" s="94" t="n">
        <f aca="false">IF(ISNUMBER(G779),AA779*1000000*G779/100,0)</f>
        <v>0</v>
      </c>
      <c r="AP779" s="94" t="n">
        <f aca="false">IF(ISNUMBER(M779),M779*K779,0)</f>
        <v>0</v>
      </c>
      <c r="AQ779" s="95" t="str">
        <f aca="false">IF(AB779="","",INDEX(시장분석!$AK:$AK,AB779))</f>
        <v/>
      </c>
      <c r="AR779" s="43" t="str">
        <f aca="false">IF(AB779="","-",IF(AB779="","",INDEX(시장분석!$AL:$AL,AB779)))</f>
        <v>-</v>
      </c>
      <c r="AS779" s="96" t="str">
        <f aca="false">IF(AB779="","",INDEX(시장분석!$AJ:$AJ,AB779))</f>
        <v/>
      </c>
      <c r="AT779" s="93" t="n">
        <f aca="false">IF(AB779="",0,IF(AB779="","",INDEX(시장분석!$AN:$AN,AB779)))</f>
        <v>0</v>
      </c>
      <c r="AU779" s="94" t="n">
        <f aca="false">IF(ISNUMBER(Z779),AT779/10000*MAX(Z779-1,0)*AA779*1000000,0)</f>
        <v>0</v>
      </c>
      <c r="AV779" s="94" t="n">
        <f aca="false">AO779+AU779</f>
        <v>0</v>
      </c>
      <c r="AW779" s="43" t="str">
        <f aca="false">IF(Q779&lt;&gt;1,"",TRIM(IF(AD779=1,"FRN ","")&amp;IF(AND(AL779&gt;=10,AL779&lt;99),"BBB0미만 ","")&amp;IF(AJ779="","등급없음 ","")&amp;IF(K779&lt;&gt;1,"비USD ","")&amp;IF(AND(AB779="",Y779=0),"시장데이터없음 ","")&amp;IF(AND(ISNUMBER(U779),U779&lt;0),"만기경과 ","")))</f>
        <v/>
      </c>
      <c r="AX779" s="90" t="n">
        <f aca="false">IF(Q779&lt;&gt;1,1,IF(스프레드쇼크!$C$4="Y",INDEX(스프레드쇼크!$B$12:$L$16,IFERROR(MATCH(AH779,스프레드쇼크!$A$12:$A$16,0),MATCH("목록외",스프레드쇼크!$A$12:$A$16,0)),IFERROR(MATCH(AG779,스프레드쇼크!$B$11:$L$11,0),MATCH("목록외",스프레드쇼크!$B$11:$L$11,0))),1))</f>
        <v>1</v>
      </c>
      <c r="AY779" s="90" t="n">
        <f aca="false">IF(스프레드쇼크!$C$5="Y",IF(ISNUMBER(AF779),MIN(스프레드쇼크!$C$7,MAX(스프레드쇼크!$C$6,AF779/스프레드쇼크!$C$8)),1),1)</f>
        <v>1</v>
      </c>
      <c r="AZ779" s="94" t="n">
        <f aca="false">AN779*AX779*AY779</f>
        <v>0</v>
      </c>
      <c r="BA779" s="90" t="n">
        <f aca="false">IF(ISNUMBER(G779),AA779*G779,0)</f>
        <v>0</v>
      </c>
      <c r="BB779" s="90" t="n">
        <f aca="false">IF(ISNUMBER(G779),AA779,0)</f>
        <v>0</v>
      </c>
      <c r="BC779" s="90" t="n">
        <f aca="false">IF(AND(Y779=0,ISNUMBER(AF779)),AA779*AF779,0)</f>
        <v>0</v>
      </c>
      <c r="BD779" s="90" t="n">
        <f aca="false">IF(AND(Y779=0,ISNUMBER(AF779)),AA779,0)</f>
        <v>0</v>
      </c>
      <c r="BE779" s="90" t="n">
        <f aca="false">IF(ISNUMBER(H779),AA779*H779,0)</f>
        <v>0</v>
      </c>
      <c r="BF779" s="90" t="n">
        <f aca="false">IF(ISNUMBER(H779),AA779,0)</f>
        <v>0</v>
      </c>
      <c r="BG779" s="90" t="n">
        <f aca="false">IF(AND(Y779=0,ISNUMBER(AF779),ISNUMBER(Z779)),AA779*Z779,0)</f>
        <v>0</v>
      </c>
      <c r="BH779" s="90" t="n">
        <f aca="false">IF(AND(Y779=0,ISNUMBER(AF779),ISNUMBER(Z779)),AA779*AT779*MAX(Z779-1,0),0)</f>
        <v>0</v>
      </c>
      <c r="BI779" s="90" t="n">
        <f aca="false">IF(Y779=0,AA779,0)</f>
        <v>0</v>
      </c>
    </row>
    <row r="780" customFormat="false" ht="15" hidden="false" customHeight="false" outlineLevel="0" collapsed="false">
      <c r="A780" s="83" t="str">
        <f aca="false">IFERROR(IF(INDEX(원자료_잔고!$A$1:$EZ$1500,설정!$L$5+ROW()-1,설정!$L$8)&amp;""="0","",INDEX(원자료_잔고!$A$1:$EZ$1500,설정!$L$5+ROW()-1,설정!$L$8)&amp;""),"")</f>
        <v/>
      </c>
      <c r="B780" s="83" t="str">
        <f aca="false">IFERROR(IF(INDEX(원자료_잔고!$A$1:$EZ$1500,설정!$L$5+ROW()-1,설정!$L$7)&amp;""="0","",INDEX(원자료_잔고!$A$1:$EZ$1500,설정!$L$5+ROW()-1,설정!$L$7)&amp;""),"")</f>
        <v/>
      </c>
      <c r="C780" s="83" t="str">
        <f aca="false">IFERROR(IF(INDEX(원자료_잔고!$A$1:$EZ$1500,설정!$L$5+ROW()-1,설정!$L$9)&amp;""="0","",INDEX(원자료_잔고!$A$1:$EZ$1500,설정!$L$5+ROW()-1,설정!$L$9)&amp;""),"")</f>
        <v/>
      </c>
      <c r="D780" s="83" t="str">
        <f aca="false">IFERROR(IF(INDEX(원자료_잔고!$A$1:$EZ$1500,설정!$L$5+ROW()-1,설정!$L$10)&amp;""="0","",INDEX(원자료_잔고!$A$1:$EZ$1500,설정!$L$5+ROW()-1,설정!$L$10)&amp;""),"")</f>
        <v/>
      </c>
      <c r="E780" s="84" t="str">
        <f aca="false">IFERROR(IF(ISNUMBER(INDEX(원자료_잔고!$A$1:$EZ$1500,설정!$L$5+ROW()-1,설정!$L$11)),INDEX(원자료_잔고!$A$1:$EZ$1500,설정!$L$5+ROW()-1,설정!$L$11),""),"")</f>
        <v/>
      </c>
      <c r="F780" s="85" t="str">
        <f aca="false">IFERROR(IF(ISNUMBER(INDEX(원자료_잔고!$A$1:$EZ$1500,설정!$L$5+ROW()-1,설정!$L$12)),INDEX(원자료_잔고!$A$1:$EZ$1500,설정!$L$5+ROW()-1,설정!$L$12),""),"")</f>
        <v/>
      </c>
      <c r="G780" s="85" t="str">
        <f aca="false">IFERROR(IF(ISNUMBER(INDEX(원자료_잔고!$A$1:$EZ$1500,설정!$L$5+ROW()-1,설정!$L$13)),INDEX(원자료_잔고!$A$1:$EZ$1500,설정!$L$5+ROW()-1,설정!$L$13),""),"")</f>
        <v/>
      </c>
      <c r="H780" s="85" t="str">
        <f aca="false">IFERROR(IF(ISNUMBER(INDEX(원자료_잔고!$A$1:$EZ$1500,설정!$L$5+ROW()-1,설정!$L$14)),INDEX(원자료_잔고!$A$1:$EZ$1500,설정!$L$5+ROW()-1,설정!$L$14),""),"")</f>
        <v/>
      </c>
      <c r="I780" s="86" t="str">
        <f aca="false">IFERROR(IF(ISNUMBER(INDEX(원자료_잔고!$A$1:$EZ$1500,설정!$L$5+ROW()-1,설정!$L$15)),INDEX(원자료_잔고!$A$1:$EZ$1500,설정!$L$5+ROW()-1,설정!$L$15),""),"")</f>
        <v/>
      </c>
      <c r="J780" s="85" t="str">
        <f aca="false">IFERROR(IF(ISNUMBER(INDEX(원자료_잔고!$A$1:$EZ$1500,설정!$L$5+ROW()-1,설정!$L$16)),INDEX(원자료_잔고!$A$1:$EZ$1500,설정!$L$5+ROW()-1,설정!$L$16),""),"")</f>
        <v/>
      </c>
      <c r="K780" s="87" t="str">
        <f aca="false">IFERROR(IF(ISNUMBER(INDEX(원자료_잔고!$A$1:$EZ$1500,설정!$L$5+ROW()-1,설정!$L$17)),INDEX(원자료_잔고!$A$1:$EZ$1500,설정!$L$5+ROW()-1,설정!$L$17),""),"")</f>
        <v/>
      </c>
      <c r="L780" s="84" t="str">
        <f aca="false">IFERROR(IF(ISNUMBER(INDEX(원자료_잔고!$A$1:$EZ$1500,설정!$L$5+ROW()-1,설정!$L$18)),INDEX(원자료_잔고!$A$1:$EZ$1500,설정!$L$5+ROW()-1,설정!$L$18),""),"")</f>
        <v/>
      </c>
      <c r="M780" s="88" t="str">
        <f aca="false">IFERROR(IF(ISNUMBER(INDEX(원자료_잔고!$A$1:$EZ$1500,설정!$L$5+ROW()-1,설정!$L$19)),INDEX(원자료_잔고!$A$1:$EZ$1500,설정!$L$5+ROW()-1,설정!$L$19),""),"")</f>
        <v/>
      </c>
      <c r="N780" s="83" t="str">
        <f aca="false">IFERROR(IF(INDEX(원자료_잔고!$A$1:$EZ$1500,설정!$L$5+ROW()-1,설정!$L$21)&amp;""="0","",INDEX(원자료_잔고!$A$1:$EZ$1500,설정!$L$5+ROW()-1,설정!$L$21)&amp;""),"")</f>
        <v/>
      </c>
      <c r="O780" s="83" t="str">
        <f aca="false">IFERROR(IF(INDEX(원자료_잔고!$A$1:$EZ$1500,설정!$L$5+ROW()-1,설정!$L$22)&amp;""="0","",INDEX(원자료_잔고!$A$1:$EZ$1500,설정!$L$5+ROW()-1,설정!$L$22)&amp;""),"")</f>
        <v/>
      </c>
      <c r="P780" s="83" t="str">
        <f aca="false">IFERROR(IF(INDEX(원자료_잔고!$A$1:$EZ$1500,설정!$L$5+ROW()-1,설정!$L$23)&amp;""="0","",INDEX(원자료_잔고!$A$1:$EZ$1500,설정!$L$5+ROW()-1,설정!$L$23)&amp;""),"")</f>
        <v/>
      </c>
      <c r="Q780" s="89" t="n">
        <f aca="false">IF(AND($A780&lt;&gt;"",ISNUMBER(E780)),IF(E780&gt;0,1,0),0)</f>
        <v>0</v>
      </c>
      <c r="R780" s="43" t="str">
        <f aca="false">IF(Q780=1,UPPER(LEFT($A780,FIND(" ",$A780&amp;" ")-1)),"")</f>
        <v/>
      </c>
      <c r="S780" s="89" t="n">
        <f aca="false">IF(Q780=1,IF(OR(ISNUMBER(SEARCH("Float",$A780)),ISNUMBER(SEARCH("FRN",$A780))),1,0),0)</f>
        <v>0</v>
      </c>
      <c r="T780" s="43" t="str">
        <f aca="false">IF(AND(Q780=1,ISNUMBER(I780)),TEXT(I780,"yyyymmdd")&amp;"|"&amp;IF(S780=1,"F",TEXT(J780,"0.000")),"")</f>
        <v/>
      </c>
      <c r="U780" s="90" t="str">
        <f aca="false">IF(AND(Q780=1,ISNUMBER(I780)),(I780-설정!$C$4)/365.25,"")</f>
        <v/>
      </c>
      <c r="V780" s="43" t="str">
        <f aca="false">IF(Q780&lt;&gt;1,"",IF(ISNUMBER(U780),IF(U780&lt;=1,"1년 이하",IF(U780&lt;=2,"1-2년",IF(U780&lt;=3,"2-3년",IF(U780&lt;=4,"3-4년",IF(U780&lt;=5,"4-5년",IF(U780&lt;=7,"5-7년",IF(U780&lt;=10,"7-10년",IF(U780&lt;=20,"10-20년","20년 이상")))))))),"미분류"))</f>
        <v/>
      </c>
      <c r="W780" s="43" t="str">
        <f aca="false">IF(Q780&lt;&gt;1,"",IF(AB780&lt;&gt;"",INDEX(시장분석!$C:$C,AB780),IF(K780=1,"USD","비USD")))</f>
        <v/>
      </c>
      <c r="X780" s="91" t="n">
        <f aca="false">IF(Q780=1,E780*K780/1000000,0)</f>
        <v>0</v>
      </c>
      <c r="Y780" s="89" t="n">
        <f aca="false">IF(R780="T",1,0)</f>
        <v>0</v>
      </c>
      <c r="Z780" s="92" t="str">
        <f aca="false">IF(Q780&lt;&gt;1,"",IF(AD780=1,IF(ISNUMBER(U780),MAX(U780,0),H780),H780))</f>
        <v/>
      </c>
      <c r="AA780" s="91" t="n">
        <f aca="false">IF(Q780=1,IF(ISNUMBER(L780),L780,0)*K780/1000000,0)</f>
        <v>0</v>
      </c>
      <c r="AB780" s="89" t="str">
        <f aca="false">IF(Q780&lt;&gt;1,"",IFERROR(MATCH(VLOOKUP(B780,매핑!$H$4:$I$15,2,0),시장분석!$A$2:$A$601,0)+1,IFERROR(MATCH(R780&amp;"|"&amp;T780,시장분석!$V$2:$V$601,0)+1,IF(COUNTIF(시장분석!$U$2:$U$601,T780)=1,MATCH(T780,시장분석!$U$2:$U$601,0)+1,""))))</f>
        <v/>
      </c>
      <c r="AC780" s="89" t="n">
        <f aca="false">IF(Q780&lt;&gt;1,0,IF(OR(설정!$C$5="전체",AND(설정!$C$5="선택펀드",IFERROR(COUNTIFS(설정!$F$16:$F$36,C780,설정!$G$16:$G$36,"Y")+COUNTIFS(설정!$F$16:$F$36,VALUE(C780),설정!$G$16:$G$36,"Y"),0)&gt;0),C780&amp;""=설정!$C$5&amp;""),1,0))</f>
        <v>0</v>
      </c>
      <c r="AD780" s="89" t="n">
        <f aca="false">IF(Q780&lt;&gt;1,0,IF(OR(S780=1,IF(AB780="",FALSE(),INDEX(시장분석!$R:$R,AB780)=1)),1,0))</f>
        <v>0</v>
      </c>
      <c r="AE780" s="43" t="str">
        <f aca="false">IF(AB780="","",INDEX(시장분석!$A:$A,AB780))</f>
        <v/>
      </c>
      <c r="AF780" s="93" t="str">
        <f aca="false">IF(AB780="","",IF(ISNUMBER(IF(AB780="","",INDEX(시장분석!$E:$E,AB780))),IF(AB780="","",INDEX(시장분석!$E:$E,AB780)),""))</f>
        <v/>
      </c>
      <c r="AG780" s="43" t="str">
        <f aca="false">IF(Q780&lt;&gt;1,"",IF(AB780&lt;&gt;"",IF(AB780="","",INDEX(시장분석!$L:$L,AB780)),IFERROR(IF(VLOOKUP(R780,매핑!$A$4:$E$92,5,0)="","미분류",VLOOKUP(R780,매핑!$A$4:$E$92,5,0)),"미분류")))</f>
        <v/>
      </c>
      <c r="AH780" s="43" t="str">
        <f aca="false">IF(Q780&lt;&gt;1,"",IF(AB780&lt;&gt;"",IF(AB780="","",INDEX(시장분석!$N:$N,AB780)),IFERROR(IF(VLOOKUP(R780,매핑!$A$4:$E$92,4,0)="","미분류",VLOOKUP(R780,매핑!$A$4:$E$92,4,0)),"미분류")))</f>
        <v/>
      </c>
      <c r="AI780" s="43" t="str">
        <f aca="false">IF(Q780&lt;&gt;1,"",IFERROR(IF(VLOOKUP(R780,매핑!$A$4:$E$92,3,0)="","미분류",VLOOKUP(R780,매핑!$A$4:$E$92,3,0)),IF(AB780&lt;&gt;"",IF(AB780="","",INDEX(시장분석!$W:$W,AB780)),"미분류")))</f>
        <v/>
      </c>
      <c r="AJ780" s="43" t="str">
        <f aca="false">IF(Q780&lt;&gt;1,"",IFERROR(VLOOKUP(IF(N780&lt;&gt;"",N780,IF(P780&lt;&gt;"",P780,O780)),설정!$A$15:$D$47,2,0),""))</f>
        <v/>
      </c>
      <c r="AK780" s="43" t="str">
        <f aca="false">IF(Q780&lt;&gt;1,"",IF(AJ780="","무등급",IFERROR(VLOOKUP(AJ780,설정!$A$15:$D$47,3,0),"무등급")))</f>
        <v/>
      </c>
      <c r="AL780" s="89" t="n">
        <f aca="false">IF(AJ780="",99,IFERROR(VLOOKUP(AJ780,설정!$A$15:$D$47,4,0),99))</f>
        <v>99</v>
      </c>
      <c r="AM780" s="94" t="n">
        <f aca="false">IF(ISNUMBER(H780),AA780*1000000*H780/10000,0)</f>
        <v>0</v>
      </c>
      <c r="AN780" s="94" t="n">
        <f aca="false">IF(OR(Y780=1,NOT(ISNUMBER(Z780))),0,AA780*1000000*Z780/10000)</f>
        <v>0</v>
      </c>
      <c r="AO780" s="94" t="n">
        <f aca="false">IF(ISNUMBER(G780),AA780*1000000*G780/100,0)</f>
        <v>0</v>
      </c>
      <c r="AP780" s="94" t="n">
        <f aca="false">IF(ISNUMBER(M780),M780*K780,0)</f>
        <v>0</v>
      </c>
      <c r="AQ780" s="95" t="str">
        <f aca="false">IF(AB780="","",INDEX(시장분석!$AK:$AK,AB780))</f>
        <v/>
      </c>
      <c r="AR780" s="43" t="str">
        <f aca="false">IF(AB780="","-",IF(AB780="","",INDEX(시장분석!$AL:$AL,AB780)))</f>
        <v>-</v>
      </c>
      <c r="AS780" s="96" t="str">
        <f aca="false">IF(AB780="","",INDEX(시장분석!$AJ:$AJ,AB780))</f>
        <v/>
      </c>
      <c r="AT780" s="93" t="n">
        <f aca="false">IF(AB780="",0,IF(AB780="","",INDEX(시장분석!$AN:$AN,AB780)))</f>
        <v>0</v>
      </c>
      <c r="AU780" s="94" t="n">
        <f aca="false">IF(ISNUMBER(Z780),AT780/10000*MAX(Z780-1,0)*AA780*1000000,0)</f>
        <v>0</v>
      </c>
      <c r="AV780" s="94" t="n">
        <f aca="false">AO780+AU780</f>
        <v>0</v>
      </c>
      <c r="AW780" s="43" t="str">
        <f aca="false">IF(Q780&lt;&gt;1,"",TRIM(IF(AD780=1,"FRN ","")&amp;IF(AND(AL780&gt;=10,AL780&lt;99),"BBB0미만 ","")&amp;IF(AJ780="","등급없음 ","")&amp;IF(K780&lt;&gt;1,"비USD ","")&amp;IF(AND(AB780="",Y780=0),"시장데이터없음 ","")&amp;IF(AND(ISNUMBER(U780),U780&lt;0),"만기경과 ","")))</f>
        <v/>
      </c>
      <c r="AX780" s="90" t="n">
        <f aca="false">IF(Q780&lt;&gt;1,1,IF(스프레드쇼크!$C$4="Y",INDEX(스프레드쇼크!$B$12:$L$16,IFERROR(MATCH(AH780,스프레드쇼크!$A$12:$A$16,0),MATCH("목록외",스프레드쇼크!$A$12:$A$16,0)),IFERROR(MATCH(AG780,스프레드쇼크!$B$11:$L$11,0),MATCH("목록외",스프레드쇼크!$B$11:$L$11,0))),1))</f>
        <v>1</v>
      </c>
      <c r="AY780" s="90" t="n">
        <f aca="false">IF(스프레드쇼크!$C$5="Y",IF(ISNUMBER(AF780),MIN(스프레드쇼크!$C$7,MAX(스프레드쇼크!$C$6,AF780/스프레드쇼크!$C$8)),1),1)</f>
        <v>1</v>
      </c>
      <c r="AZ780" s="94" t="n">
        <f aca="false">AN780*AX780*AY780</f>
        <v>0</v>
      </c>
      <c r="BA780" s="90" t="n">
        <f aca="false">IF(ISNUMBER(G780),AA780*G780,0)</f>
        <v>0</v>
      </c>
      <c r="BB780" s="90" t="n">
        <f aca="false">IF(ISNUMBER(G780),AA780,0)</f>
        <v>0</v>
      </c>
      <c r="BC780" s="90" t="n">
        <f aca="false">IF(AND(Y780=0,ISNUMBER(AF780)),AA780*AF780,0)</f>
        <v>0</v>
      </c>
      <c r="BD780" s="90" t="n">
        <f aca="false">IF(AND(Y780=0,ISNUMBER(AF780)),AA780,0)</f>
        <v>0</v>
      </c>
      <c r="BE780" s="90" t="n">
        <f aca="false">IF(ISNUMBER(H780),AA780*H780,0)</f>
        <v>0</v>
      </c>
      <c r="BF780" s="90" t="n">
        <f aca="false">IF(ISNUMBER(H780),AA780,0)</f>
        <v>0</v>
      </c>
      <c r="BG780" s="90" t="n">
        <f aca="false">IF(AND(Y780=0,ISNUMBER(AF780),ISNUMBER(Z780)),AA780*Z780,0)</f>
        <v>0</v>
      </c>
      <c r="BH780" s="90" t="n">
        <f aca="false">IF(AND(Y780=0,ISNUMBER(AF780),ISNUMBER(Z780)),AA780*AT780*MAX(Z780-1,0),0)</f>
        <v>0</v>
      </c>
      <c r="BI780" s="90" t="n">
        <f aca="false">IF(Y780=0,AA780,0)</f>
        <v>0</v>
      </c>
    </row>
    <row r="781" customFormat="false" ht="15" hidden="false" customHeight="false" outlineLevel="0" collapsed="false">
      <c r="A781" s="83" t="str">
        <f aca="false">IFERROR(IF(INDEX(원자료_잔고!$A$1:$EZ$1500,설정!$L$5+ROW()-1,설정!$L$8)&amp;""="0","",INDEX(원자료_잔고!$A$1:$EZ$1500,설정!$L$5+ROW()-1,설정!$L$8)&amp;""),"")</f>
        <v/>
      </c>
      <c r="B781" s="83" t="str">
        <f aca="false">IFERROR(IF(INDEX(원자료_잔고!$A$1:$EZ$1500,설정!$L$5+ROW()-1,설정!$L$7)&amp;""="0","",INDEX(원자료_잔고!$A$1:$EZ$1500,설정!$L$5+ROW()-1,설정!$L$7)&amp;""),"")</f>
        <v/>
      </c>
      <c r="C781" s="83" t="str">
        <f aca="false">IFERROR(IF(INDEX(원자료_잔고!$A$1:$EZ$1500,설정!$L$5+ROW()-1,설정!$L$9)&amp;""="0","",INDEX(원자료_잔고!$A$1:$EZ$1500,설정!$L$5+ROW()-1,설정!$L$9)&amp;""),"")</f>
        <v/>
      </c>
      <c r="D781" s="83" t="str">
        <f aca="false">IFERROR(IF(INDEX(원자료_잔고!$A$1:$EZ$1500,설정!$L$5+ROW()-1,설정!$L$10)&amp;""="0","",INDEX(원자료_잔고!$A$1:$EZ$1500,설정!$L$5+ROW()-1,설정!$L$10)&amp;""),"")</f>
        <v/>
      </c>
      <c r="E781" s="84" t="str">
        <f aca="false">IFERROR(IF(ISNUMBER(INDEX(원자료_잔고!$A$1:$EZ$1500,설정!$L$5+ROW()-1,설정!$L$11)),INDEX(원자료_잔고!$A$1:$EZ$1500,설정!$L$5+ROW()-1,설정!$L$11),""),"")</f>
        <v/>
      </c>
      <c r="F781" s="85" t="str">
        <f aca="false">IFERROR(IF(ISNUMBER(INDEX(원자료_잔고!$A$1:$EZ$1500,설정!$L$5+ROW()-1,설정!$L$12)),INDEX(원자료_잔고!$A$1:$EZ$1500,설정!$L$5+ROW()-1,설정!$L$12),""),"")</f>
        <v/>
      </c>
      <c r="G781" s="85" t="str">
        <f aca="false">IFERROR(IF(ISNUMBER(INDEX(원자료_잔고!$A$1:$EZ$1500,설정!$L$5+ROW()-1,설정!$L$13)),INDEX(원자료_잔고!$A$1:$EZ$1500,설정!$L$5+ROW()-1,설정!$L$13),""),"")</f>
        <v/>
      </c>
      <c r="H781" s="85" t="str">
        <f aca="false">IFERROR(IF(ISNUMBER(INDEX(원자료_잔고!$A$1:$EZ$1500,설정!$L$5+ROW()-1,설정!$L$14)),INDEX(원자료_잔고!$A$1:$EZ$1500,설정!$L$5+ROW()-1,설정!$L$14),""),"")</f>
        <v/>
      </c>
      <c r="I781" s="86" t="str">
        <f aca="false">IFERROR(IF(ISNUMBER(INDEX(원자료_잔고!$A$1:$EZ$1500,설정!$L$5+ROW()-1,설정!$L$15)),INDEX(원자료_잔고!$A$1:$EZ$1500,설정!$L$5+ROW()-1,설정!$L$15),""),"")</f>
        <v/>
      </c>
      <c r="J781" s="85" t="str">
        <f aca="false">IFERROR(IF(ISNUMBER(INDEX(원자료_잔고!$A$1:$EZ$1500,설정!$L$5+ROW()-1,설정!$L$16)),INDEX(원자료_잔고!$A$1:$EZ$1500,설정!$L$5+ROW()-1,설정!$L$16),""),"")</f>
        <v/>
      </c>
      <c r="K781" s="87" t="str">
        <f aca="false">IFERROR(IF(ISNUMBER(INDEX(원자료_잔고!$A$1:$EZ$1500,설정!$L$5+ROW()-1,설정!$L$17)),INDEX(원자료_잔고!$A$1:$EZ$1500,설정!$L$5+ROW()-1,설정!$L$17),""),"")</f>
        <v/>
      </c>
      <c r="L781" s="84" t="str">
        <f aca="false">IFERROR(IF(ISNUMBER(INDEX(원자료_잔고!$A$1:$EZ$1500,설정!$L$5+ROW()-1,설정!$L$18)),INDEX(원자료_잔고!$A$1:$EZ$1500,설정!$L$5+ROW()-1,설정!$L$18),""),"")</f>
        <v/>
      </c>
      <c r="M781" s="88" t="str">
        <f aca="false">IFERROR(IF(ISNUMBER(INDEX(원자료_잔고!$A$1:$EZ$1500,설정!$L$5+ROW()-1,설정!$L$19)),INDEX(원자료_잔고!$A$1:$EZ$1500,설정!$L$5+ROW()-1,설정!$L$19),""),"")</f>
        <v/>
      </c>
      <c r="N781" s="83" t="str">
        <f aca="false">IFERROR(IF(INDEX(원자료_잔고!$A$1:$EZ$1500,설정!$L$5+ROW()-1,설정!$L$21)&amp;""="0","",INDEX(원자료_잔고!$A$1:$EZ$1500,설정!$L$5+ROW()-1,설정!$L$21)&amp;""),"")</f>
        <v/>
      </c>
      <c r="O781" s="83" t="str">
        <f aca="false">IFERROR(IF(INDEX(원자료_잔고!$A$1:$EZ$1500,설정!$L$5+ROW()-1,설정!$L$22)&amp;""="0","",INDEX(원자료_잔고!$A$1:$EZ$1500,설정!$L$5+ROW()-1,설정!$L$22)&amp;""),"")</f>
        <v/>
      </c>
      <c r="P781" s="83" t="str">
        <f aca="false">IFERROR(IF(INDEX(원자료_잔고!$A$1:$EZ$1500,설정!$L$5+ROW()-1,설정!$L$23)&amp;""="0","",INDEX(원자료_잔고!$A$1:$EZ$1500,설정!$L$5+ROW()-1,설정!$L$23)&amp;""),"")</f>
        <v/>
      </c>
      <c r="Q781" s="89" t="n">
        <f aca="false">IF(AND($A781&lt;&gt;"",ISNUMBER(E781)),IF(E781&gt;0,1,0),0)</f>
        <v>0</v>
      </c>
      <c r="R781" s="43" t="str">
        <f aca="false">IF(Q781=1,UPPER(LEFT($A781,FIND(" ",$A781&amp;" ")-1)),"")</f>
        <v/>
      </c>
      <c r="S781" s="89" t="n">
        <f aca="false">IF(Q781=1,IF(OR(ISNUMBER(SEARCH("Float",$A781)),ISNUMBER(SEARCH("FRN",$A781))),1,0),0)</f>
        <v>0</v>
      </c>
      <c r="T781" s="43" t="str">
        <f aca="false">IF(AND(Q781=1,ISNUMBER(I781)),TEXT(I781,"yyyymmdd")&amp;"|"&amp;IF(S781=1,"F",TEXT(J781,"0.000")),"")</f>
        <v/>
      </c>
      <c r="U781" s="90" t="str">
        <f aca="false">IF(AND(Q781=1,ISNUMBER(I781)),(I781-설정!$C$4)/365.25,"")</f>
        <v/>
      </c>
      <c r="V781" s="43" t="str">
        <f aca="false">IF(Q781&lt;&gt;1,"",IF(ISNUMBER(U781),IF(U781&lt;=1,"1년 이하",IF(U781&lt;=2,"1-2년",IF(U781&lt;=3,"2-3년",IF(U781&lt;=4,"3-4년",IF(U781&lt;=5,"4-5년",IF(U781&lt;=7,"5-7년",IF(U781&lt;=10,"7-10년",IF(U781&lt;=20,"10-20년","20년 이상")))))))),"미분류"))</f>
        <v/>
      </c>
      <c r="W781" s="43" t="str">
        <f aca="false">IF(Q781&lt;&gt;1,"",IF(AB781&lt;&gt;"",INDEX(시장분석!$C:$C,AB781),IF(K781=1,"USD","비USD")))</f>
        <v/>
      </c>
      <c r="X781" s="91" t="n">
        <f aca="false">IF(Q781=1,E781*K781/1000000,0)</f>
        <v>0</v>
      </c>
      <c r="Y781" s="89" t="n">
        <f aca="false">IF(R781="T",1,0)</f>
        <v>0</v>
      </c>
      <c r="Z781" s="92" t="str">
        <f aca="false">IF(Q781&lt;&gt;1,"",IF(AD781=1,IF(ISNUMBER(U781),MAX(U781,0),H781),H781))</f>
        <v/>
      </c>
      <c r="AA781" s="91" t="n">
        <f aca="false">IF(Q781=1,IF(ISNUMBER(L781),L781,0)*K781/1000000,0)</f>
        <v>0</v>
      </c>
      <c r="AB781" s="89" t="str">
        <f aca="false">IF(Q781&lt;&gt;1,"",IFERROR(MATCH(VLOOKUP(B781,매핑!$H$4:$I$15,2,0),시장분석!$A$2:$A$601,0)+1,IFERROR(MATCH(R781&amp;"|"&amp;T781,시장분석!$V$2:$V$601,0)+1,IF(COUNTIF(시장분석!$U$2:$U$601,T781)=1,MATCH(T781,시장분석!$U$2:$U$601,0)+1,""))))</f>
        <v/>
      </c>
      <c r="AC781" s="89" t="n">
        <f aca="false">IF(Q781&lt;&gt;1,0,IF(OR(설정!$C$5="전체",AND(설정!$C$5="선택펀드",IFERROR(COUNTIFS(설정!$F$16:$F$36,C781,설정!$G$16:$G$36,"Y")+COUNTIFS(설정!$F$16:$F$36,VALUE(C781),설정!$G$16:$G$36,"Y"),0)&gt;0),C781&amp;""=설정!$C$5&amp;""),1,0))</f>
        <v>0</v>
      </c>
      <c r="AD781" s="89" t="n">
        <f aca="false">IF(Q781&lt;&gt;1,0,IF(OR(S781=1,IF(AB781="",FALSE(),INDEX(시장분석!$R:$R,AB781)=1)),1,0))</f>
        <v>0</v>
      </c>
      <c r="AE781" s="43" t="str">
        <f aca="false">IF(AB781="","",INDEX(시장분석!$A:$A,AB781))</f>
        <v/>
      </c>
      <c r="AF781" s="93" t="str">
        <f aca="false">IF(AB781="","",IF(ISNUMBER(IF(AB781="","",INDEX(시장분석!$E:$E,AB781))),IF(AB781="","",INDEX(시장분석!$E:$E,AB781)),""))</f>
        <v/>
      </c>
      <c r="AG781" s="43" t="str">
        <f aca="false">IF(Q781&lt;&gt;1,"",IF(AB781&lt;&gt;"",IF(AB781="","",INDEX(시장분석!$L:$L,AB781)),IFERROR(IF(VLOOKUP(R781,매핑!$A$4:$E$92,5,0)="","미분류",VLOOKUP(R781,매핑!$A$4:$E$92,5,0)),"미분류")))</f>
        <v/>
      </c>
      <c r="AH781" s="43" t="str">
        <f aca="false">IF(Q781&lt;&gt;1,"",IF(AB781&lt;&gt;"",IF(AB781="","",INDEX(시장분석!$N:$N,AB781)),IFERROR(IF(VLOOKUP(R781,매핑!$A$4:$E$92,4,0)="","미분류",VLOOKUP(R781,매핑!$A$4:$E$92,4,0)),"미분류")))</f>
        <v/>
      </c>
      <c r="AI781" s="43" t="str">
        <f aca="false">IF(Q781&lt;&gt;1,"",IFERROR(IF(VLOOKUP(R781,매핑!$A$4:$E$92,3,0)="","미분류",VLOOKUP(R781,매핑!$A$4:$E$92,3,0)),IF(AB781&lt;&gt;"",IF(AB781="","",INDEX(시장분석!$W:$W,AB781)),"미분류")))</f>
        <v/>
      </c>
      <c r="AJ781" s="43" t="str">
        <f aca="false">IF(Q781&lt;&gt;1,"",IFERROR(VLOOKUP(IF(N781&lt;&gt;"",N781,IF(P781&lt;&gt;"",P781,O781)),설정!$A$15:$D$47,2,0),""))</f>
        <v/>
      </c>
      <c r="AK781" s="43" t="str">
        <f aca="false">IF(Q781&lt;&gt;1,"",IF(AJ781="","무등급",IFERROR(VLOOKUP(AJ781,설정!$A$15:$D$47,3,0),"무등급")))</f>
        <v/>
      </c>
      <c r="AL781" s="89" t="n">
        <f aca="false">IF(AJ781="",99,IFERROR(VLOOKUP(AJ781,설정!$A$15:$D$47,4,0),99))</f>
        <v>99</v>
      </c>
      <c r="AM781" s="94" t="n">
        <f aca="false">IF(ISNUMBER(H781),AA781*1000000*H781/10000,0)</f>
        <v>0</v>
      </c>
      <c r="AN781" s="94" t="n">
        <f aca="false">IF(OR(Y781=1,NOT(ISNUMBER(Z781))),0,AA781*1000000*Z781/10000)</f>
        <v>0</v>
      </c>
      <c r="AO781" s="94" t="n">
        <f aca="false">IF(ISNUMBER(G781),AA781*1000000*G781/100,0)</f>
        <v>0</v>
      </c>
      <c r="AP781" s="94" t="n">
        <f aca="false">IF(ISNUMBER(M781),M781*K781,0)</f>
        <v>0</v>
      </c>
      <c r="AQ781" s="95" t="str">
        <f aca="false">IF(AB781="","",INDEX(시장분석!$AK:$AK,AB781))</f>
        <v/>
      </c>
      <c r="AR781" s="43" t="str">
        <f aca="false">IF(AB781="","-",IF(AB781="","",INDEX(시장분석!$AL:$AL,AB781)))</f>
        <v>-</v>
      </c>
      <c r="AS781" s="96" t="str">
        <f aca="false">IF(AB781="","",INDEX(시장분석!$AJ:$AJ,AB781))</f>
        <v/>
      </c>
      <c r="AT781" s="93" t="n">
        <f aca="false">IF(AB781="",0,IF(AB781="","",INDEX(시장분석!$AN:$AN,AB781)))</f>
        <v>0</v>
      </c>
      <c r="AU781" s="94" t="n">
        <f aca="false">IF(ISNUMBER(Z781),AT781/10000*MAX(Z781-1,0)*AA781*1000000,0)</f>
        <v>0</v>
      </c>
      <c r="AV781" s="94" t="n">
        <f aca="false">AO781+AU781</f>
        <v>0</v>
      </c>
      <c r="AW781" s="43" t="str">
        <f aca="false">IF(Q781&lt;&gt;1,"",TRIM(IF(AD781=1,"FRN ","")&amp;IF(AND(AL781&gt;=10,AL781&lt;99),"BBB0미만 ","")&amp;IF(AJ781="","등급없음 ","")&amp;IF(K781&lt;&gt;1,"비USD ","")&amp;IF(AND(AB781="",Y781=0),"시장데이터없음 ","")&amp;IF(AND(ISNUMBER(U781),U781&lt;0),"만기경과 ","")))</f>
        <v/>
      </c>
      <c r="AX781" s="90" t="n">
        <f aca="false">IF(Q781&lt;&gt;1,1,IF(스프레드쇼크!$C$4="Y",INDEX(스프레드쇼크!$B$12:$L$16,IFERROR(MATCH(AH781,스프레드쇼크!$A$12:$A$16,0),MATCH("목록외",스프레드쇼크!$A$12:$A$16,0)),IFERROR(MATCH(AG781,스프레드쇼크!$B$11:$L$11,0),MATCH("목록외",스프레드쇼크!$B$11:$L$11,0))),1))</f>
        <v>1</v>
      </c>
      <c r="AY781" s="90" t="n">
        <f aca="false">IF(스프레드쇼크!$C$5="Y",IF(ISNUMBER(AF781),MIN(스프레드쇼크!$C$7,MAX(스프레드쇼크!$C$6,AF781/스프레드쇼크!$C$8)),1),1)</f>
        <v>1</v>
      </c>
      <c r="AZ781" s="94" t="n">
        <f aca="false">AN781*AX781*AY781</f>
        <v>0</v>
      </c>
      <c r="BA781" s="90" t="n">
        <f aca="false">IF(ISNUMBER(G781),AA781*G781,0)</f>
        <v>0</v>
      </c>
      <c r="BB781" s="90" t="n">
        <f aca="false">IF(ISNUMBER(G781),AA781,0)</f>
        <v>0</v>
      </c>
      <c r="BC781" s="90" t="n">
        <f aca="false">IF(AND(Y781=0,ISNUMBER(AF781)),AA781*AF781,0)</f>
        <v>0</v>
      </c>
      <c r="BD781" s="90" t="n">
        <f aca="false">IF(AND(Y781=0,ISNUMBER(AF781)),AA781,0)</f>
        <v>0</v>
      </c>
      <c r="BE781" s="90" t="n">
        <f aca="false">IF(ISNUMBER(H781),AA781*H781,0)</f>
        <v>0</v>
      </c>
      <c r="BF781" s="90" t="n">
        <f aca="false">IF(ISNUMBER(H781),AA781,0)</f>
        <v>0</v>
      </c>
      <c r="BG781" s="90" t="n">
        <f aca="false">IF(AND(Y781=0,ISNUMBER(AF781),ISNUMBER(Z781)),AA781*Z781,0)</f>
        <v>0</v>
      </c>
      <c r="BH781" s="90" t="n">
        <f aca="false">IF(AND(Y781=0,ISNUMBER(AF781),ISNUMBER(Z781)),AA781*AT781*MAX(Z781-1,0),0)</f>
        <v>0</v>
      </c>
      <c r="BI781" s="90" t="n">
        <f aca="false">IF(Y781=0,AA781,0)</f>
        <v>0</v>
      </c>
    </row>
    <row r="782" customFormat="false" ht="15" hidden="false" customHeight="false" outlineLevel="0" collapsed="false">
      <c r="A782" s="83" t="str">
        <f aca="false">IFERROR(IF(INDEX(원자료_잔고!$A$1:$EZ$1500,설정!$L$5+ROW()-1,설정!$L$8)&amp;""="0","",INDEX(원자료_잔고!$A$1:$EZ$1500,설정!$L$5+ROW()-1,설정!$L$8)&amp;""),"")</f>
        <v/>
      </c>
      <c r="B782" s="83" t="str">
        <f aca="false">IFERROR(IF(INDEX(원자료_잔고!$A$1:$EZ$1500,설정!$L$5+ROW()-1,설정!$L$7)&amp;""="0","",INDEX(원자료_잔고!$A$1:$EZ$1500,설정!$L$5+ROW()-1,설정!$L$7)&amp;""),"")</f>
        <v/>
      </c>
      <c r="C782" s="83" t="str">
        <f aca="false">IFERROR(IF(INDEX(원자료_잔고!$A$1:$EZ$1500,설정!$L$5+ROW()-1,설정!$L$9)&amp;""="0","",INDEX(원자료_잔고!$A$1:$EZ$1500,설정!$L$5+ROW()-1,설정!$L$9)&amp;""),"")</f>
        <v/>
      </c>
      <c r="D782" s="83" t="str">
        <f aca="false">IFERROR(IF(INDEX(원자료_잔고!$A$1:$EZ$1500,설정!$L$5+ROW()-1,설정!$L$10)&amp;""="0","",INDEX(원자료_잔고!$A$1:$EZ$1500,설정!$L$5+ROW()-1,설정!$L$10)&amp;""),"")</f>
        <v/>
      </c>
      <c r="E782" s="84" t="str">
        <f aca="false">IFERROR(IF(ISNUMBER(INDEX(원자료_잔고!$A$1:$EZ$1500,설정!$L$5+ROW()-1,설정!$L$11)),INDEX(원자료_잔고!$A$1:$EZ$1500,설정!$L$5+ROW()-1,설정!$L$11),""),"")</f>
        <v/>
      </c>
      <c r="F782" s="85" t="str">
        <f aca="false">IFERROR(IF(ISNUMBER(INDEX(원자료_잔고!$A$1:$EZ$1500,설정!$L$5+ROW()-1,설정!$L$12)),INDEX(원자료_잔고!$A$1:$EZ$1500,설정!$L$5+ROW()-1,설정!$L$12),""),"")</f>
        <v/>
      </c>
      <c r="G782" s="85" t="str">
        <f aca="false">IFERROR(IF(ISNUMBER(INDEX(원자료_잔고!$A$1:$EZ$1500,설정!$L$5+ROW()-1,설정!$L$13)),INDEX(원자료_잔고!$A$1:$EZ$1500,설정!$L$5+ROW()-1,설정!$L$13),""),"")</f>
        <v/>
      </c>
      <c r="H782" s="85" t="str">
        <f aca="false">IFERROR(IF(ISNUMBER(INDEX(원자료_잔고!$A$1:$EZ$1500,설정!$L$5+ROW()-1,설정!$L$14)),INDEX(원자료_잔고!$A$1:$EZ$1500,설정!$L$5+ROW()-1,설정!$L$14),""),"")</f>
        <v/>
      </c>
      <c r="I782" s="86" t="str">
        <f aca="false">IFERROR(IF(ISNUMBER(INDEX(원자료_잔고!$A$1:$EZ$1500,설정!$L$5+ROW()-1,설정!$L$15)),INDEX(원자료_잔고!$A$1:$EZ$1500,설정!$L$5+ROW()-1,설정!$L$15),""),"")</f>
        <v/>
      </c>
      <c r="J782" s="85" t="str">
        <f aca="false">IFERROR(IF(ISNUMBER(INDEX(원자료_잔고!$A$1:$EZ$1500,설정!$L$5+ROW()-1,설정!$L$16)),INDEX(원자료_잔고!$A$1:$EZ$1500,설정!$L$5+ROW()-1,설정!$L$16),""),"")</f>
        <v/>
      </c>
      <c r="K782" s="87" t="str">
        <f aca="false">IFERROR(IF(ISNUMBER(INDEX(원자료_잔고!$A$1:$EZ$1500,설정!$L$5+ROW()-1,설정!$L$17)),INDEX(원자료_잔고!$A$1:$EZ$1500,설정!$L$5+ROW()-1,설정!$L$17),""),"")</f>
        <v/>
      </c>
      <c r="L782" s="84" t="str">
        <f aca="false">IFERROR(IF(ISNUMBER(INDEX(원자료_잔고!$A$1:$EZ$1500,설정!$L$5+ROW()-1,설정!$L$18)),INDEX(원자료_잔고!$A$1:$EZ$1500,설정!$L$5+ROW()-1,설정!$L$18),""),"")</f>
        <v/>
      </c>
      <c r="M782" s="88" t="str">
        <f aca="false">IFERROR(IF(ISNUMBER(INDEX(원자료_잔고!$A$1:$EZ$1500,설정!$L$5+ROW()-1,설정!$L$19)),INDEX(원자료_잔고!$A$1:$EZ$1500,설정!$L$5+ROW()-1,설정!$L$19),""),"")</f>
        <v/>
      </c>
      <c r="N782" s="83" t="str">
        <f aca="false">IFERROR(IF(INDEX(원자료_잔고!$A$1:$EZ$1500,설정!$L$5+ROW()-1,설정!$L$21)&amp;""="0","",INDEX(원자료_잔고!$A$1:$EZ$1500,설정!$L$5+ROW()-1,설정!$L$21)&amp;""),"")</f>
        <v/>
      </c>
      <c r="O782" s="83" t="str">
        <f aca="false">IFERROR(IF(INDEX(원자료_잔고!$A$1:$EZ$1500,설정!$L$5+ROW()-1,설정!$L$22)&amp;""="0","",INDEX(원자료_잔고!$A$1:$EZ$1500,설정!$L$5+ROW()-1,설정!$L$22)&amp;""),"")</f>
        <v/>
      </c>
      <c r="P782" s="83" t="str">
        <f aca="false">IFERROR(IF(INDEX(원자료_잔고!$A$1:$EZ$1500,설정!$L$5+ROW()-1,설정!$L$23)&amp;""="0","",INDEX(원자료_잔고!$A$1:$EZ$1500,설정!$L$5+ROW()-1,설정!$L$23)&amp;""),"")</f>
        <v/>
      </c>
      <c r="Q782" s="89" t="n">
        <f aca="false">IF(AND($A782&lt;&gt;"",ISNUMBER(E782)),IF(E782&gt;0,1,0),0)</f>
        <v>0</v>
      </c>
      <c r="R782" s="43" t="str">
        <f aca="false">IF(Q782=1,UPPER(LEFT($A782,FIND(" ",$A782&amp;" ")-1)),"")</f>
        <v/>
      </c>
      <c r="S782" s="89" t="n">
        <f aca="false">IF(Q782=1,IF(OR(ISNUMBER(SEARCH("Float",$A782)),ISNUMBER(SEARCH("FRN",$A782))),1,0),0)</f>
        <v>0</v>
      </c>
      <c r="T782" s="43" t="str">
        <f aca="false">IF(AND(Q782=1,ISNUMBER(I782)),TEXT(I782,"yyyymmdd")&amp;"|"&amp;IF(S782=1,"F",TEXT(J782,"0.000")),"")</f>
        <v/>
      </c>
      <c r="U782" s="90" t="str">
        <f aca="false">IF(AND(Q782=1,ISNUMBER(I782)),(I782-설정!$C$4)/365.25,"")</f>
        <v/>
      </c>
      <c r="V782" s="43" t="str">
        <f aca="false">IF(Q782&lt;&gt;1,"",IF(ISNUMBER(U782),IF(U782&lt;=1,"1년 이하",IF(U782&lt;=2,"1-2년",IF(U782&lt;=3,"2-3년",IF(U782&lt;=4,"3-4년",IF(U782&lt;=5,"4-5년",IF(U782&lt;=7,"5-7년",IF(U782&lt;=10,"7-10년",IF(U782&lt;=20,"10-20년","20년 이상")))))))),"미분류"))</f>
        <v/>
      </c>
      <c r="W782" s="43" t="str">
        <f aca="false">IF(Q782&lt;&gt;1,"",IF(AB782&lt;&gt;"",INDEX(시장분석!$C:$C,AB782),IF(K782=1,"USD","비USD")))</f>
        <v/>
      </c>
      <c r="X782" s="91" t="n">
        <f aca="false">IF(Q782=1,E782*K782/1000000,0)</f>
        <v>0</v>
      </c>
      <c r="Y782" s="89" t="n">
        <f aca="false">IF(R782="T",1,0)</f>
        <v>0</v>
      </c>
      <c r="Z782" s="92" t="str">
        <f aca="false">IF(Q782&lt;&gt;1,"",IF(AD782=1,IF(ISNUMBER(U782),MAX(U782,0),H782),H782))</f>
        <v/>
      </c>
      <c r="AA782" s="91" t="n">
        <f aca="false">IF(Q782=1,IF(ISNUMBER(L782),L782,0)*K782/1000000,0)</f>
        <v>0</v>
      </c>
      <c r="AB782" s="89" t="str">
        <f aca="false">IF(Q782&lt;&gt;1,"",IFERROR(MATCH(VLOOKUP(B782,매핑!$H$4:$I$15,2,0),시장분석!$A$2:$A$601,0)+1,IFERROR(MATCH(R782&amp;"|"&amp;T782,시장분석!$V$2:$V$601,0)+1,IF(COUNTIF(시장분석!$U$2:$U$601,T782)=1,MATCH(T782,시장분석!$U$2:$U$601,0)+1,""))))</f>
        <v/>
      </c>
      <c r="AC782" s="89" t="n">
        <f aca="false">IF(Q782&lt;&gt;1,0,IF(OR(설정!$C$5="전체",AND(설정!$C$5="선택펀드",IFERROR(COUNTIFS(설정!$F$16:$F$36,C782,설정!$G$16:$G$36,"Y")+COUNTIFS(설정!$F$16:$F$36,VALUE(C782),설정!$G$16:$G$36,"Y"),0)&gt;0),C782&amp;""=설정!$C$5&amp;""),1,0))</f>
        <v>0</v>
      </c>
      <c r="AD782" s="89" t="n">
        <f aca="false">IF(Q782&lt;&gt;1,0,IF(OR(S782=1,IF(AB782="",FALSE(),INDEX(시장분석!$R:$R,AB782)=1)),1,0))</f>
        <v>0</v>
      </c>
      <c r="AE782" s="43" t="str">
        <f aca="false">IF(AB782="","",INDEX(시장분석!$A:$A,AB782))</f>
        <v/>
      </c>
      <c r="AF782" s="93" t="str">
        <f aca="false">IF(AB782="","",IF(ISNUMBER(IF(AB782="","",INDEX(시장분석!$E:$E,AB782))),IF(AB782="","",INDEX(시장분석!$E:$E,AB782)),""))</f>
        <v/>
      </c>
      <c r="AG782" s="43" t="str">
        <f aca="false">IF(Q782&lt;&gt;1,"",IF(AB782&lt;&gt;"",IF(AB782="","",INDEX(시장분석!$L:$L,AB782)),IFERROR(IF(VLOOKUP(R782,매핑!$A$4:$E$92,5,0)="","미분류",VLOOKUP(R782,매핑!$A$4:$E$92,5,0)),"미분류")))</f>
        <v/>
      </c>
      <c r="AH782" s="43" t="str">
        <f aca="false">IF(Q782&lt;&gt;1,"",IF(AB782&lt;&gt;"",IF(AB782="","",INDEX(시장분석!$N:$N,AB782)),IFERROR(IF(VLOOKUP(R782,매핑!$A$4:$E$92,4,0)="","미분류",VLOOKUP(R782,매핑!$A$4:$E$92,4,0)),"미분류")))</f>
        <v/>
      </c>
      <c r="AI782" s="43" t="str">
        <f aca="false">IF(Q782&lt;&gt;1,"",IFERROR(IF(VLOOKUP(R782,매핑!$A$4:$E$92,3,0)="","미분류",VLOOKUP(R782,매핑!$A$4:$E$92,3,0)),IF(AB782&lt;&gt;"",IF(AB782="","",INDEX(시장분석!$W:$W,AB782)),"미분류")))</f>
        <v/>
      </c>
      <c r="AJ782" s="43" t="str">
        <f aca="false">IF(Q782&lt;&gt;1,"",IFERROR(VLOOKUP(IF(N782&lt;&gt;"",N782,IF(P782&lt;&gt;"",P782,O782)),설정!$A$15:$D$47,2,0),""))</f>
        <v/>
      </c>
      <c r="AK782" s="43" t="str">
        <f aca="false">IF(Q782&lt;&gt;1,"",IF(AJ782="","무등급",IFERROR(VLOOKUP(AJ782,설정!$A$15:$D$47,3,0),"무등급")))</f>
        <v/>
      </c>
      <c r="AL782" s="89" t="n">
        <f aca="false">IF(AJ782="",99,IFERROR(VLOOKUP(AJ782,설정!$A$15:$D$47,4,0),99))</f>
        <v>99</v>
      </c>
      <c r="AM782" s="94" t="n">
        <f aca="false">IF(ISNUMBER(H782),AA782*1000000*H782/10000,0)</f>
        <v>0</v>
      </c>
      <c r="AN782" s="94" t="n">
        <f aca="false">IF(OR(Y782=1,NOT(ISNUMBER(Z782))),0,AA782*1000000*Z782/10000)</f>
        <v>0</v>
      </c>
      <c r="AO782" s="94" t="n">
        <f aca="false">IF(ISNUMBER(G782),AA782*1000000*G782/100,0)</f>
        <v>0</v>
      </c>
      <c r="AP782" s="94" t="n">
        <f aca="false">IF(ISNUMBER(M782),M782*K782,0)</f>
        <v>0</v>
      </c>
      <c r="AQ782" s="95" t="str">
        <f aca="false">IF(AB782="","",INDEX(시장분석!$AK:$AK,AB782))</f>
        <v/>
      </c>
      <c r="AR782" s="43" t="str">
        <f aca="false">IF(AB782="","-",IF(AB782="","",INDEX(시장분석!$AL:$AL,AB782)))</f>
        <v>-</v>
      </c>
      <c r="AS782" s="96" t="str">
        <f aca="false">IF(AB782="","",INDEX(시장분석!$AJ:$AJ,AB782))</f>
        <v/>
      </c>
      <c r="AT782" s="93" t="n">
        <f aca="false">IF(AB782="",0,IF(AB782="","",INDEX(시장분석!$AN:$AN,AB782)))</f>
        <v>0</v>
      </c>
      <c r="AU782" s="94" t="n">
        <f aca="false">IF(ISNUMBER(Z782),AT782/10000*MAX(Z782-1,0)*AA782*1000000,0)</f>
        <v>0</v>
      </c>
      <c r="AV782" s="94" t="n">
        <f aca="false">AO782+AU782</f>
        <v>0</v>
      </c>
      <c r="AW782" s="43" t="str">
        <f aca="false">IF(Q782&lt;&gt;1,"",TRIM(IF(AD782=1,"FRN ","")&amp;IF(AND(AL782&gt;=10,AL782&lt;99),"BBB0미만 ","")&amp;IF(AJ782="","등급없음 ","")&amp;IF(K782&lt;&gt;1,"비USD ","")&amp;IF(AND(AB782="",Y782=0),"시장데이터없음 ","")&amp;IF(AND(ISNUMBER(U782),U782&lt;0),"만기경과 ","")))</f>
        <v/>
      </c>
      <c r="AX782" s="90" t="n">
        <f aca="false">IF(Q782&lt;&gt;1,1,IF(스프레드쇼크!$C$4="Y",INDEX(스프레드쇼크!$B$12:$L$16,IFERROR(MATCH(AH782,스프레드쇼크!$A$12:$A$16,0),MATCH("목록외",스프레드쇼크!$A$12:$A$16,0)),IFERROR(MATCH(AG782,스프레드쇼크!$B$11:$L$11,0),MATCH("목록외",스프레드쇼크!$B$11:$L$11,0))),1))</f>
        <v>1</v>
      </c>
      <c r="AY782" s="90" t="n">
        <f aca="false">IF(스프레드쇼크!$C$5="Y",IF(ISNUMBER(AF782),MIN(스프레드쇼크!$C$7,MAX(스프레드쇼크!$C$6,AF782/스프레드쇼크!$C$8)),1),1)</f>
        <v>1</v>
      </c>
      <c r="AZ782" s="94" t="n">
        <f aca="false">AN782*AX782*AY782</f>
        <v>0</v>
      </c>
      <c r="BA782" s="90" t="n">
        <f aca="false">IF(ISNUMBER(G782),AA782*G782,0)</f>
        <v>0</v>
      </c>
      <c r="BB782" s="90" t="n">
        <f aca="false">IF(ISNUMBER(G782),AA782,0)</f>
        <v>0</v>
      </c>
      <c r="BC782" s="90" t="n">
        <f aca="false">IF(AND(Y782=0,ISNUMBER(AF782)),AA782*AF782,0)</f>
        <v>0</v>
      </c>
      <c r="BD782" s="90" t="n">
        <f aca="false">IF(AND(Y782=0,ISNUMBER(AF782)),AA782,0)</f>
        <v>0</v>
      </c>
      <c r="BE782" s="90" t="n">
        <f aca="false">IF(ISNUMBER(H782),AA782*H782,0)</f>
        <v>0</v>
      </c>
      <c r="BF782" s="90" t="n">
        <f aca="false">IF(ISNUMBER(H782),AA782,0)</f>
        <v>0</v>
      </c>
      <c r="BG782" s="90" t="n">
        <f aca="false">IF(AND(Y782=0,ISNUMBER(AF782),ISNUMBER(Z782)),AA782*Z782,0)</f>
        <v>0</v>
      </c>
      <c r="BH782" s="90" t="n">
        <f aca="false">IF(AND(Y782=0,ISNUMBER(AF782),ISNUMBER(Z782)),AA782*AT782*MAX(Z782-1,0),0)</f>
        <v>0</v>
      </c>
      <c r="BI782" s="90" t="n">
        <f aca="false">IF(Y782=0,AA782,0)</f>
        <v>0</v>
      </c>
    </row>
    <row r="783" customFormat="false" ht="15" hidden="false" customHeight="false" outlineLevel="0" collapsed="false">
      <c r="A783" s="83" t="str">
        <f aca="false">IFERROR(IF(INDEX(원자료_잔고!$A$1:$EZ$1500,설정!$L$5+ROW()-1,설정!$L$8)&amp;""="0","",INDEX(원자료_잔고!$A$1:$EZ$1500,설정!$L$5+ROW()-1,설정!$L$8)&amp;""),"")</f>
        <v/>
      </c>
      <c r="B783" s="83" t="str">
        <f aca="false">IFERROR(IF(INDEX(원자료_잔고!$A$1:$EZ$1500,설정!$L$5+ROW()-1,설정!$L$7)&amp;""="0","",INDEX(원자료_잔고!$A$1:$EZ$1500,설정!$L$5+ROW()-1,설정!$L$7)&amp;""),"")</f>
        <v/>
      </c>
      <c r="C783" s="83" t="str">
        <f aca="false">IFERROR(IF(INDEX(원자료_잔고!$A$1:$EZ$1500,설정!$L$5+ROW()-1,설정!$L$9)&amp;""="0","",INDEX(원자료_잔고!$A$1:$EZ$1500,설정!$L$5+ROW()-1,설정!$L$9)&amp;""),"")</f>
        <v/>
      </c>
      <c r="D783" s="83" t="str">
        <f aca="false">IFERROR(IF(INDEX(원자료_잔고!$A$1:$EZ$1500,설정!$L$5+ROW()-1,설정!$L$10)&amp;""="0","",INDEX(원자료_잔고!$A$1:$EZ$1500,설정!$L$5+ROW()-1,설정!$L$10)&amp;""),"")</f>
        <v/>
      </c>
      <c r="E783" s="84" t="str">
        <f aca="false">IFERROR(IF(ISNUMBER(INDEX(원자료_잔고!$A$1:$EZ$1500,설정!$L$5+ROW()-1,설정!$L$11)),INDEX(원자료_잔고!$A$1:$EZ$1500,설정!$L$5+ROW()-1,설정!$L$11),""),"")</f>
        <v/>
      </c>
      <c r="F783" s="85" t="str">
        <f aca="false">IFERROR(IF(ISNUMBER(INDEX(원자료_잔고!$A$1:$EZ$1500,설정!$L$5+ROW()-1,설정!$L$12)),INDEX(원자료_잔고!$A$1:$EZ$1500,설정!$L$5+ROW()-1,설정!$L$12),""),"")</f>
        <v/>
      </c>
      <c r="G783" s="85" t="str">
        <f aca="false">IFERROR(IF(ISNUMBER(INDEX(원자료_잔고!$A$1:$EZ$1500,설정!$L$5+ROW()-1,설정!$L$13)),INDEX(원자료_잔고!$A$1:$EZ$1500,설정!$L$5+ROW()-1,설정!$L$13),""),"")</f>
        <v/>
      </c>
      <c r="H783" s="85" t="str">
        <f aca="false">IFERROR(IF(ISNUMBER(INDEX(원자료_잔고!$A$1:$EZ$1500,설정!$L$5+ROW()-1,설정!$L$14)),INDEX(원자료_잔고!$A$1:$EZ$1500,설정!$L$5+ROW()-1,설정!$L$14),""),"")</f>
        <v/>
      </c>
      <c r="I783" s="86" t="str">
        <f aca="false">IFERROR(IF(ISNUMBER(INDEX(원자료_잔고!$A$1:$EZ$1500,설정!$L$5+ROW()-1,설정!$L$15)),INDEX(원자료_잔고!$A$1:$EZ$1500,설정!$L$5+ROW()-1,설정!$L$15),""),"")</f>
        <v/>
      </c>
      <c r="J783" s="85" t="str">
        <f aca="false">IFERROR(IF(ISNUMBER(INDEX(원자료_잔고!$A$1:$EZ$1500,설정!$L$5+ROW()-1,설정!$L$16)),INDEX(원자료_잔고!$A$1:$EZ$1500,설정!$L$5+ROW()-1,설정!$L$16),""),"")</f>
        <v/>
      </c>
      <c r="K783" s="87" t="str">
        <f aca="false">IFERROR(IF(ISNUMBER(INDEX(원자료_잔고!$A$1:$EZ$1500,설정!$L$5+ROW()-1,설정!$L$17)),INDEX(원자료_잔고!$A$1:$EZ$1500,설정!$L$5+ROW()-1,설정!$L$17),""),"")</f>
        <v/>
      </c>
      <c r="L783" s="84" t="str">
        <f aca="false">IFERROR(IF(ISNUMBER(INDEX(원자료_잔고!$A$1:$EZ$1500,설정!$L$5+ROW()-1,설정!$L$18)),INDEX(원자료_잔고!$A$1:$EZ$1500,설정!$L$5+ROW()-1,설정!$L$18),""),"")</f>
        <v/>
      </c>
      <c r="M783" s="88" t="str">
        <f aca="false">IFERROR(IF(ISNUMBER(INDEX(원자료_잔고!$A$1:$EZ$1500,설정!$L$5+ROW()-1,설정!$L$19)),INDEX(원자료_잔고!$A$1:$EZ$1500,설정!$L$5+ROW()-1,설정!$L$19),""),"")</f>
        <v/>
      </c>
      <c r="N783" s="83" t="str">
        <f aca="false">IFERROR(IF(INDEX(원자료_잔고!$A$1:$EZ$1500,설정!$L$5+ROW()-1,설정!$L$21)&amp;""="0","",INDEX(원자료_잔고!$A$1:$EZ$1500,설정!$L$5+ROW()-1,설정!$L$21)&amp;""),"")</f>
        <v/>
      </c>
      <c r="O783" s="83" t="str">
        <f aca="false">IFERROR(IF(INDEX(원자료_잔고!$A$1:$EZ$1500,설정!$L$5+ROW()-1,설정!$L$22)&amp;""="0","",INDEX(원자료_잔고!$A$1:$EZ$1500,설정!$L$5+ROW()-1,설정!$L$22)&amp;""),"")</f>
        <v/>
      </c>
      <c r="P783" s="83" t="str">
        <f aca="false">IFERROR(IF(INDEX(원자료_잔고!$A$1:$EZ$1500,설정!$L$5+ROW()-1,설정!$L$23)&amp;""="0","",INDEX(원자료_잔고!$A$1:$EZ$1500,설정!$L$5+ROW()-1,설정!$L$23)&amp;""),"")</f>
        <v/>
      </c>
      <c r="Q783" s="89" t="n">
        <f aca="false">IF(AND($A783&lt;&gt;"",ISNUMBER(E783)),IF(E783&gt;0,1,0),0)</f>
        <v>0</v>
      </c>
      <c r="R783" s="43" t="str">
        <f aca="false">IF(Q783=1,UPPER(LEFT($A783,FIND(" ",$A783&amp;" ")-1)),"")</f>
        <v/>
      </c>
      <c r="S783" s="89" t="n">
        <f aca="false">IF(Q783=1,IF(OR(ISNUMBER(SEARCH("Float",$A783)),ISNUMBER(SEARCH("FRN",$A783))),1,0),0)</f>
        <v>0</v>
      </c>
      <c r="T783" s="43" t="str">
        <f aca="false">IF(AND(Q783=1,ISNUMBER(I783)),TEXT(I783,"yyyymmdd")&amp;"|"&amp;IF(S783=1,"F",TEXT(J783,"0.000")),"")</f>
        <v/>
      </c>
      <c r="U783" s="90" t="str">
        <f aca="false">IF(AND(Q783=1,ISNUMBER(I783)),(I783-설정!$C$4)/365.25,"")</f>
        <v/>
      </c>
      <c r="V783" s="43" t="str">
        <f aca="false">IF(Q783&lt;&gt;1,"",IF(ISNUMBER(U783),IF(U783&lt;=1,"1년 이하",IF(U783&lt;=2,"1-2년",IF(U783&lt;=3,"2-3년",IF(U783&lt;=4,"3-4년",IF(U783&lt;=5,"4-5년",IF(U783&lt;=7,"5-7년",IF(U783&lt;=10,"7-10년",IF(U783&lt;=20,"10-20년","20년 이상")))))))),"미분류"))</f>
        <v/>
      </c>
      <c r="W783" s="43" t="str">
        <f aca="false">IF(Q783&lt;&gt;1,"",IF(AB783&lt;&gt;"",INDEX(시장분석!$C:$C,AB783),IF(K783=1,"USD","비USD")))</f>
        <v/>
      </c>
      <c r="X783" s="91" t="n">
        <f aca="false">IF(Q783=1,E783*K783/1000000,0)</f>
        <v>0</v>
      </c>
      <c r="Y783" s="89" t="n">
        <f aca="false">IF(R783="T",1,0)</f>
        <v>0</v>
      </c>
      <c r="Z783" s="92" t="str">
        <f aca="false">IF(Q783&lt;&gt;1,"",IF(AD783=1,IF(ISNUMBER(U783),MAX(U783,0),H783),H783))</f>
        <v/>
      </c>
      <c r="AA783" s="91" t="n">
        <f aca="false">IF(Q783=1,IF(ISNUMBER(L783),L783,0)*K783/1000000,0)</f>
        <v>0</v>
      </c>
      <c r="AB783" s="89" t="str">
        <f aca="false">IF(Q783&lt;&gt;1,"",IFERROR(MATCH(VLOOKUP(B783,매핑!$H$4:$I$15,2,0),시장분석!$A$2:$A$601,0)+1,IFERROR(MATCH(R783&amp;"|"&amp;T783,시장분석!$V$2:$V$601,0)+1,IF(COUNTIF(시장분석!$U$2:$U$601,T783)=1,MATCH(T783,시장분석!$U$2:$U$601,0)+1,""))))</f>
        <v/>
      </c>
      <c r="AC783" s="89" t="n">
        <f aca="false">IF(Q783&lt;&gt;1,0,IF(OR(설정!$C$5="전체",AND(설정!$C$5="선택펀드",IFERROR(COUNTIFS(설정!$F$16:$F$36,C783,설정!$G$16:$G$36,"Y")+COUNTIFS(설정!$F$16:$F$36,VALUE(C783),설정!$G$16:$G$36,"Y"),0)&gt;0),C783&amp;""=설정!$C$5&amp;""),1,0))</f>
        <v>0</v>
      </c>
      <c r="AD783" s="89" t="n">
        <f aca="false">IF(Q783&lt;&gt;1,0,IF(OR(S783=1,IF(AB783="",FALSE(),INDEX(시장분석!$R:$R,AB783)=1)),1,0))</f>
        <v>0</v>
      </c>
      <c r="AE783" s="43" t="str">
        <f aca="false">IF(AB783="","",INDEX(시장분석!$A:$A,AB783))</f>
        <v/>
      </c>
      <c r="AF783" s="93" t="str">
        <f aca="false">IF(AB783="","",IF(ISNUMBER(IF(AB783="","",INDEX(시장분석!$E:$E,AB783))),IF(AB783="","",INDEX(시장분석!$E:$E,AB783)),""))</f>
        <v/>
      </c>
      <c r="AG783" s="43" t="str">
        <f aca="false">IF(Q783&lt;&gt;1,"",IF(AB783&lt;&gt;"",IF(AB783="","",INDEX(시장분석!$L:$L,AB783)),IFERROR(IF(VLOOKUP(R783,매핑!$A$4:$E$92,5,0)="","미분류",VLOOKUP(R783,매핑!$A$4:$E$92,5,0)),"미분류")))</f>
        <v/>
      </c>
      <c r="AH783" s="43" t="str">
        <f aca="false">IF(Q783&lt;&gt;1,"",IF(AB783&lt;&gt;"",IF(AB783="","",INDEX(시장분석!$N:$N,AB783)),IFERROR(IF(VLOOKUP(R783,매핑!$A$4:$E$92,4,0)="","미분류",VLOOKUP(R783,매핑!$A$4:$E$92,4,0)),"미분류")))</f>
        <v/>
      </c>
      <c r="AI783" s="43" t="str">
        <f aca="false">IF(Q783&lt;&gt;1,"",IFERROR(IF(VLOOKUP(R783,매핑!$A$4:$E$92,3,0)="","미분류",VLOOKUP(R783,매핑!$A$4:$E$92,3,0)),IF(AB783&lt;&gt;"",IF(AB783="","",INDEX(시장분석!$W:$W,AB783)),"미분류")))</f>
        <v/>
      </c>
      <c r="AJ783" s="43" t="str">
        <f aca="false">IF(Q783&lt;&gt;1,"",IFERROR(VLOOKUP(IF(N783&lt;&gt;"",N783,IF(P783&lt;&gt;"",P783,O783)),설정!$A$15:$D$47,2,0),""))</f>
        <v/>
      </c>
      <c r="AK783" s="43" t="str">
        <f aca="false">IF(Q783&lt;&gt;1,"",IF(AJ783="","무등급",IFERROR(VLOOKUP(AJ783,설정!$A$15:$D$47,3,0),"무등급")))</f>
        <v/>
      </c>
      <c r="AL783" s="89" t="n">
        <f aca="false">IF(AJ783="",99,IFERROR(VLOOKUP(AJ783,설정!$A$15:$D$47,4,0),99))</f>
        <v>99</v>
      </c>
      <c r="AM783" s="94" t="n">
        <f aca="false">IF(ISNUMBER(H783),AA783*1000000*H783/10000,0)</f>
        <v>0</v>
      </c>
      <c r="AN783" s="94" t="n">
        <f aca="false">IF(OR(Y783=1,NOT(ISNUMBER(Z783))),0,AA783*1000000*Z783/10000)</f>
        <v>0</v>
      </c>
      <c r="AO783" s="94" t="n">
        <f aca="false">IF(ISNUMBER(G783),AA783*1000000*G783/100,0)</f>
        <v>0</v>
      </c>
      <c r="AP783" s="94" t="n">
        <f aca="false">IF(ISNUMBER(M783),M783*K783,0)</f>
        <v>0</v>
      </c>
      <c r="AQ783" s="95" t="str">
        <f aca="false">IF(AB783="","",INDEX(시장분석!$AK:$AK,AB783))</f>
        <v/>
      </c>
      <c r="AR783" s="43" t="str">
        <f aca="false">IF(AB783="","-",IF(AB783="","",INDEX(시장분석!$AL:$AL,AB783)))</f>
        <v>-</v>
      </c>
      <c r="AS783" s="96" t="str">
        <f aca="false">IF(AB783="","",INDEX(시장분석!$AJ:$AJ,AB783))</f>
        <v/>
      </c>
      <c r="AT783" s="93" t="n">
        <f aca="false">IF(AB783="",0,IF(AB783="","",INDEX(시장분석!$AN:$AN,AB783)))</f>
        <v>0</v>
      </c>
      <c r="AU783" s="94" t="n">
        <f aca="false">IF(ISNUMBER(Z783),AT783/10000*MAX(Z783-1,0)*AA783*1000000,0)</f>
        <v>0</v>
      </c>
      <c r="AV783" s="94" t="n">
        <f aca="false">AO783+AU783</f>
        <v>0</v>
      </c>
      <c r="AW783" s="43" t="str">
        <f aca="false">IF(Q783&lt;&gt;1,"",TRIM(IF(AD783=1,"FRN ","")&amp;IF(AND(AL783&gt;=10,AL783&lt;99),"BBB0미만 ","")&amp;IF(AJ783="","등급없음 ","")&amp;IF(K783&lt;&gt;1,"비USD ","")&amp;IF(AND(AB783="",Y783=0),"시장데이터없음 ","")&amp;IF(AND(ISNUMBER(U783),U783&lt;0),"만기경과 ","")))</f>
        <v/>
      </c>
      <c r="AX783" s="90" t="n">
        <f aca="false">IF(Q783&lt;&gt;1,1,IF(스프레드쇼크!$C$4="Y",INDEX(스프레드쇼크!$B$12:$L$16,IFERROR(MATCH(AH783,스프레드쇼크!$A$12:$A$16,0),MATCH("목록외",스프레드쇼크!$A$12:$A$16,0)),IFERROR(MATCH(AG783,스프레드쇼크!$B$11:$L$11,0),MATCH("목록외",스프레드쇼크!$B$11:$L$11,0))),1))</f>
        <v>1</v>
      </c>
      <c r="AY783" s="90" t="n">
        <f aca="false">IF(스프레드쇼크!$C$5="Y",IF(ISNUMBER(AF783),MIN(스프레드쇼크!$C$7,MAX(스프레드쇼크!$C$6,AF783/스프레드쇼크!$C$8)),1),1)</f>
        <v>1</v>
      </c>
      <c r="AZ783" s="94" t="n">
        <f aca="false">AN783*AX783*AY783</f>
        <v>0</v>
      </c>
      <c r="BA783" s="90" t="n">
        <f aca="false">IF(ISNUMBER(G783),AA783*G783,0)</f>
        <v>0</v>
      </c>
      <c r="BB783" s="90" t="n">
        <f aca="false">IF(ISNUMBER(G783),AA783,0)</f>
        <v>0</v>
      </c>
      <c r="BC783" s="90" t="n">
        <f aca="false">IF(AND(Y783=0,ISNUMBER(AF783)),AA783*AF783,0)</f>
        <v>0</v>
      </c>
      <c r="BD783" s="90" t="n">
        <f aca="false">IF(AND(Y783=0,ISNUMBER(AF783)),AA783,0)</f>
        <v>0</v>
      </c>
      <c r="BE783" s="90" t="n">
        <f aca="false">IF(ISNUMBER(H783),AA783*H783,0)</f>
        <v>0</v>
      </c>
      <c r="BF783" s="90" t="n">
        <f aca="false">IF(ISNUMBER(H783),AA783,0)</f>
        <v>0</v>
      </c>
      <c r="BG783" s="90" t="n">
        <f aca="false">IF(AND(Y783=0,ISNUMBER(AF783),ISNUMBER(Z783)),AA783*Z783,0)</f>
        <v>0</v>
      </c>
      <c r="BH783" s="90" t="n">
        <f aca="false">IF(AND(Y783=0,ISNUMBER(AF783),ISNUMBER(Z783)),AA783*AT783*MAX(Z783-1,0),0)</f>
        <v>0</v>
      </c>
      <c r="BI783" s="90" t="n">
        <f aca="false">IF(Y783=0,AA783,0)</f>
        <v>0</v>
      </c>
    </row>
    <row r="784" customFormat="false" ht="15" hidden="false" customHeight="false" outlineLevel="0" collapsed="false">
      <c r="A784" s="83" t="str">
        <f aca="false">IFERROR(IF(INDEX(원자료_잔고!$A$1:$EZ$1500,설정!$L$5+ROW()-1,설정!$L$8)&amp;""="0","",INDEX(원자료_잔고!$A$1:$EZ$1500,설정!$L$5+ROW()-1,설정!$L$8)&amp;""),"")</f>
        <v/>
      </c>
      <c r="B784" s="83" t="str">
        <f aca="false">IFERROR(IF(INDEX(원자료_잔고!$A$1:$EZ$1500,설정!$L$5+ROW()-1,설정!$L$7)&amp;""="0","",INDEX(원자료_잔고!$A$1:$EZ$1500,설정!$L$5+ROW()-1,설정!$L$7)&amp;""),"")</f>
        <v/>
      </c>
      <c r="C784" s="83" t="str">
        <f aca="false">IFERROR(IF(INDEX(원자료_잔고!$A$1:$EZ$1500,설정!$L$5+ROW()-1,설정!$L$9)&amp;""="0","",INDEX(원자료_잔고!$A$1:$EZ$1500,설정!$L$5+ROW()-1,설정!$L$9)&amp;""),"")</f>
        <v/>
      </c>
      <c r="D784" s="83" t="str">
        <f aca="false">IFERROR(IF(INDEX(원자료_잔고!$A$1:$EZ$1500,설정!$L$5+ROW()-1,설정!$L$10)&amp;""="0","",INDEX(원자료_잔고!$A$1:$EZ$1500,설정!$L$5+ROW()-1,설정!$L$10)&amp;""),"")</f>
        <v/>
      </c>
      <c r="E784" s="84" t="str">
        <f aca="false">IFERROR(IF(ISNUMBER(INDEX(원자료_잔고!$A$1:$EZ$1500,설정!$L$5+ROW()-1,설정!$L$11)),INDEX(원자료_잔고!$A$1:$EZ$1500,설정!$L$5+ROW()-1,설정!$L$11),""),"")</f>
        <v/>
      </c>
      <c r="F784" s="85" t="str">
        <f aca="false">IFERROR(IF(ISNUMBER(INDEX(원자료_잔고!$A$1:$EZ$1500,설정!$L$5+ROW()-1,설정!$L$12)),INDEX(원자료_잔고!$A$1:$EZ$1500,설정!$L$5+ROW()-1,설정!$L$12),""),"")</f>
        <v/>
      </c>
      <c r="G784" s="85" t="str">
        <f aca="false">IFERROR(IF(ISNUMBER(INDEX(원자료_잔고!$A$1:$EZ$1500,설정!$L$5+ROW()-1,설정!$L$13)),INDEX(원자료_잔고!$A$1:$EZ$1500,설정!$L$5+ROW()-1,설정!$L$13),""),"")</f>
        <v/>
      </c>
      <c r="H784" s="85" t="str">
        <f aca="false">IFERROR(IF(ISNUMBER(INDEX(원자료_잔고!$A$1:$EZ$1500,설정!$L$5+ROW()-1,설정!$L$14)),INDEX(원자료_잔고!$A$1:$EZ$1500,설정!$L$5+ROW()-1,설정!$L$14),""),"")</f>
        <v/>
      </c>
      <c r="I784" s="86" t="str">
        <f aca="false">IFERROR(IF(ISNUMBER(INDEX(원자료_잔고!$A$1:$EZ$1500,설정!$L$5+ROW()-1,설정!$L$15)),INDEX(원자료_잔고!$A$1:$EZ$1500,설정!$L$5+ROW()-1,설정!$L$15),""),"")</f>
        <v/>
      </c>
      <c r="J784" s="85" t="str">
        <f aca="false">IFERROR(IF(ISNUMBER(INDEX(원자료_잔고!$A$1:$EZ$1500,설정!$L$5+ROW()-1,설정!$L$16)),INDEX(원자료_잔고!$A$1:$EZ$1500,설정!$L$5+ROW()-1,설정!$L$16),""),"")</f>
        <v/>
      </c>
      <c r="K784" s="87" t="str">
        <f aca="false">IFERROR(IF(ISNUMBER(INDEX(원자료_잔고!$A$1:$EZ$1500,설정!$L$5+ROW()-1,설정!$L$17)),INDEX(원자료_잔고!$A$1:$EZ$1500,설정!$L$5+ROW()-1,설정!$L$17),""),"")</f>
        <v/>
      </c>
      <c r="L784" s="84" t="str">
        <f aca="false">IFERROR(IF(ISNUMBER(INDEX(원자료_잔고!$A$1:$EZ$1500,설정!$L$5+ROW()-1,설정!$L$18)),INDEX(원자료_잔고!$A$1:$EZ$1500,설정!$L$5+ROW()-1,설정!$L$18),""),"")</f>
        <v/>
      </c>
      <c r="M784" s="88" t="str">
        <f aca="false">IFERROR(IF(ISNUMBER(INDEX(원자료_잔고!$A$1:$EZ$1500,설정!$L$5+ROW()-1,설정!$L$19)),INDEX(원자료_잔고!$A$1:$EZ$1500,설정!$L$5+ROW()-1,설정!$L$19),""),"")</f>
        <v/>
      </c>
      <c r="N784" s="83" t="str">
        <f aca="false">IFERROR(IF(INDEX(원자료_잔고!$A$1:$EZ$1500,설정!$L$5+ROW()-1,설정!$L$21)&amp;""="0","",INDEX(원자료_잔고!$A$1:$EZ$1500,설정!$L$5+ROW()-1,설정!$L$21)&amp;""),"")</f>
        <v/>
      </c>
      <c r="O784" s="83" t="str">
        <f aca="false">IFERROR(IF(INDEX(원자료_잔고!$A$1:$EZ$1500,설정!$L$5+ROW()-1,설정!$L$22)&amp;""="0","",INDEX(원자료_잔고!$A$1:$EZ$1500,설정!$L$5+ROW()-1,설정!$L$22)&amp;""),"")</f>
        <v/>
      </c>
      <c r="P784" s="83" t="str">
        <f aca="false">IFERROR(IF(INDEX(원자료_잔고!$A$1:$EZ$1500,설정!$L$5+ROW()-1,설정!$L$23)&amp;""="0","",INDEX(원자료_잔고!$A$1:$EZ$1500,설정!$L$5+ROW()-1,설정!$L$23)&amp;""),"")</f>
        <v/>
      </c>
      <c r="Q784" s="89" t="n">
        <f aca="false">IF(AND($A784&lt;&gt;"",ISNUMBER(E784)),IF(E784&gt;0,1,0),0)</f>
        <v>0</v>
      </c>
      <c r="R784" s="43" t="str">
        <f aca="false">IF(Q784=1,UPPER(LEFT($A784,FIND(" ",$A784&amp;" ")-1)),"")</f>
        <v/>
      </c>
      <c r="S784" s="89" t="n">
        <f aca="false">IF(Q784=1,IF(OR(ISNUMBER(SEARCH("Float",$A784)),ISNUMBER(SEARCH("FRN",$A784))),1,0),0)</f>
        <v>0</v>
      </c>
      <c r="T784" s="43" t="str">
        <f aca="false">IF(AND(Q784=1,ISNUMBER(I784)),TEXT(I784,"yyyymmdd")&amp;"|"&amp;IF(S784=1,"F",TEXT(J784,"0.000")),"")</f>
        <v/>
      </c>
      <c r="U784" s="90" t="str">
        <f aca="false">IF(AND(Q784=1,ISNUMBER(I784)),(I784-설정!$C$4)/365.25,"")</f>
        <v/>
      </c>
      <c r="V784" s="43" t="str">
        <f aca="false">IF(Q784&lt;&gt;1,"",IF(ISNUMBER(U784),IF(U784&lt;=1,"1년 이하",IF(U784&lt;=2,"1-2년",IF(U784&lt;=3,"2-3년",IF(U784&lt;=4,"3-4년",IF(U784&lt;=5,"4-5년",IF(U784&lt;=7,"5-7년",IF(U784&lt;=10,"7-10년",IF(U784&lt;=20,"10-20년","20년 이상")))))))),"미분류"))</f>
        <v/>
      </c>
      <c r="W784" s="43" t="str">
        <f aca="false">IF(Q784&lt;&gt;1,"",IF(AB784&lt;&gt;"",INDEX(시장분석!$C:$C,AB784),IF(K784=1,"USD","비USD")))</f>
        <v/>
      </c>
      <c r="X784" s="91" t="n">
        <f aca="false">IF(Q784=1,E784*K784/1000000,0)</f>
        <v>0</v>
      </c>
      <c r="Y784" s="89" t="n">
        <f aca="false">IF(R784="T",1,0)</f>
        <v>0</v>
      </c>
      <c r="Z784" s="92" t="str">
        <f aca="false">IF(Q784&lt;&gt;1,"",IF(AD784=1,IF(ISNUMBER(U784),MAX(U784,0),H784),H784))</f>
        <v/>
      </c>
      <c r="AA784" s="91" t="n">
        <f aca="false">IF(Q784=1,IF(ISNUMBER(L784),L784,0)*K784/1000000,0)</f>
        <v>0</v>
      </c>
      <c r="AB784" s="89" t="str">
        <f aca="false">IF(Q784&lt;&gt;1,"",IFERROR(MATCH(VLOOKUP(B784,매핑!$H$4:$I$15,2,0),시장분석!$A$2:$A$601,0)+1,IFERROR(MATCH(R784&amp;"|"&amp;T784,시장분석!$V$2:$V$601,0)+1,IF(COUNTIF(시장분석!$U$2:$U$601,T784)=1,MATCH(T784,시장분석!$U$2:$U$601,0)+1,""))))</f>
        <v/>
      </c>
      <c r="AC784" s="89" t="n">
        <f aca="false">IF(Q784&lt;&gt;1,0,IF(OR(설정!$C$5="전체",AND(설정!$C$5="선택펀드",IFERROR(COUNTIFS(설정!$F$16:$F$36,C784,설정!$G$16:$G$36,"Y")+COUNTIFS(설정!$F$16:$F$36,VALUE(C784),설정!$G$16:$G$36,"Y"),0)&gt;0),C784&amp;""=설정!$C$5&amp;""),1,0))</f>
        <v>0</v>
      </c>
      <c r="AD784" s="89" t="n">
        <f aca="false">IF(Q784&lt;&gt;1,0,IF(OR(S784=1,IF(AB784="",FALSE(),INDEX(시장분석!$R:$R,AB784)=1)),1,0))</f>
        <v>0</v>
      </c>
      <c r="AE784" s="43" t="str">
        <f aca="false">IF(AB784="","",INDEX(시장분석!$A:$A,AB784))</f>
        <v/>
      </c>
      <c r="AF784" s="93" t="str">
        <f aca="false">IF(AB784="","",IF(ISNUMBER(IF(AB784="","",INDEX(시장분석!$E:$E,AB784))),IF(AB784="","",INDEX(시장분석!$E:$E,AB784)),""))</f>
        <v/>
      </c>
      <c r="AG784" s="43" t="str">
        <f aca="false">IF(Q784&lt;&gt;1,"",IF(AB784&lt;&gt;"",IF(AB784="","",INDEX(시장분석!$L:$L,AB784)),IFERROR(IF(VLOOKUP(R784,매핑!$A$4:$E$92,5,0)="","미분류",VLOOKUP(R784,매핑!$A$4:$E$92,5,0)),"미분류")))</f>
        <v/>
      </c>
      <c r="AH784" s="43" t="str">
        <f aca="false">IF(Q784&lt;&gt;1,"",IF(AB784&lt;&gt;"",IF(AB784="","",INDEX(시장분석!$N:$N,AB784)),IFERROR(IF(VLOOKUP(R784,매핑!$A$4:$E$92,4,0)="","미분류",VLOOKUP(R784,매핑!$A$4:$E$92,4,0)),"미분류")))</f>
        <v/>
      </c>
      <c r="AI784" s="43" t="str">
        <f aca="false">IF(Q784&lt;&gt;1,"",IFERROR(IF(VLOOKUP(R784,매핑!$A$4:$E$92,3,0)="","미분류",VLOOKUP(R784,매핑!$A$4:$E$92,3,0)),IF(AB784&lt;&gt;"",IF(AB784="","",INDEX(시장분석!$W:$W,AB784)),"미분류")))</f>
        <v/>
      </c>
      <c r="AJ784" s="43" t="str">
        <f aca="false">IF(Q784&lt;&gt;1,"",IFERROR(VLOOKUP(IF(N784&lt;&gt;"",N784,IF(P784&lt;&gt;"",P784,O784)),설정!$A$15:$D$47,2,0),""))</f>
        <v/>
      </c>
      <c r="AK784" s="43" t="str">
        <f aca="false">IF(Q784&lt;&gt;1,"",IF(AJ784="","무등급",IFERROR(VLOOKUP(AJ784,설정!$A$15:$D$47,3,0),"무등급")))</f>
        <v/>
      </c>
      <c r="AL784" s="89" t="n">
        <f aca="false">IF(AJ784="",99,IFERROR(VLOOKUP(AJ784,설정!$A$15:$D$47,4,0),99))</f>
        <v>99</v>
      </c>
      <c r="AM784" s="94" t="n">
        <f aca="false">IF(ISNUMBER(H784),AA784*1000000*H784/10000,0)</f>
        <v>0</v>
      </c>
      <c r="AN784" s="94" t="n">
        <f aca="false">IF(OR(Y784=1,NOT(ISNUMBER(Z784))),0,AA784*1000000*Z784/10000)</f>
        <v>0</v>
      </c>
      <c r="AO784" s="94" t="n">
        <f aca="false">IF(ISNUMBER(G784),AA784*1000000*G784/100,0)</f>
        <v>0</v>
      </c>
      <c r="AP784" s="94" t="n">
        <f aca="false">IF(ISNUMBER(M784),M784*K784,0)</f>
        <v>0</v>
      </c>
      <c r="AQ784" s="95" t="str">
        <f aca="false">IF(AB784="","",INDEX(시장분석!$AK:$AK,AB784))</f>
        <v/>
      </c>
      <c r="AR784" s="43" t="str">
        <f aca="false">IF(AB784="","-",IF(AB784="","",INDEX(시장분석!$AL:$AL,AB784)))</f>
        <v>-</v>
      </c>
      <c r="AS784" s="96" t="str">
        <f aca="false">IF(AB784="","",INDEX(시장분석!$AJ:$AJ,AB784))</f>
        <v/>
      </c>
      <c r="AT784" s="93" t="n">
        <f aca="false">IF(AB784="",0,IF(AB784="","",INDEX(시장분석!$AN:$AN,AB784)))</f>
        <v>0</v>
      </c>
      <c r="AU784" s="94" t="n">
        <f aca="false">IF(ISNUMBER(Z784),AT784/10000*MAX(Z784-1,0)*AA784*1000000,0)</f>
        <v>0</v>
      </c>
      <c r="AV784" s="94" t="n">
        <f aca="false">AO784+AU784</f>
        <v>0</v>
      </c>
      <c r="AW784" s="43" t="str">
        <f aca="false">IF(Q784&lt;&gt;1,"",TRIM(IF(AD784=1,"FRN ","")&amp;IF(AND(AL784&gt;=10,AL784&lt;99),"BBB0미만 ","")&amp;IF(AJ784="","등급없음 ","")&amp;IF(K784&lt;&gt;1,"비USD ","")&amp;IF(AND(AB784="",Y784=0),"시장데이터없음 ","")&amp;IF(AND(ISNUMBER(U784),U784&lt;0),"만기경과 ","")))</f>
        <v/>
      </c>
      <c r="AX784" s="90" t="n">
        <f aca="false">IF(Q784&lt;&gt;1,1,IF(스프레드쇼크!$C$4="Y",INDEX(스프레드쇼크!$B$12:$L$16,IFERROR(MATCH(AH784,스프레드쇼크!$A$12:$A$16,0),MATCH("목록외",스프레드쇼크!$A$12:$A$16,0)),IFERROR(MATCH(AG784,스프레드쇼크!$B$11:$L$11,0),MATCH("목록외",스프레드쇼크!$B$11:$L$11,0))),1))</f>
        <v>1</v>
      </c>
      <c r="AY784" s="90" t="n">
        <f aca="false">IF(스프레드쇼크!$C$5="Y",IF(ISNUMBER(AF784),MIN(스프레드쇼크!$C$7,MAX(스프레드쇼크!$C$6,AF784/스프레드쇼크!$C$8)),1),1)</f>
        <v>1</v>
      </c>
      <c r="AZ784" s="94" t="n">
        <f aca="false">AN784*AX784*AY784</f>
        <v>0</v>
      </c>
      <c r="BA784" s="90" t="n">
        <f aca="false">IF(ISNUMBER(G784),AA784*G784,0)</f>
        <v>0</v>
      </c>
      <c r="BB784" s="90" t="n">
        <f aca="false">IF(ISNUMBER(G784),AA784,0)</f>
        <v>0</v>
      </c>
      <c r="BC784" s="90" t="n">
        <f aca="false">IF(AND(Y784=0,ISNUMBER(AF784)),AA784*AF784,0)</f>
        <v>0</v>
      </c>
      <c r="BD784" s="90" t="n">
        <f aca="false">IF(AND(Y784=0,ISNUMBER(AF784)),AA784,0)</f>
        <v>0</v>
      </c>
      <c r="BE784" s="90" t="n">
        <f aca="false">IF(ISNUMBER(H784),AA784*H784,0)</f>
        <v>0</v>
      </c>
      <c r="BF784" s="90" t="n">
        <f aca="false">IF(ISNUMBER(H784),AA784,0)</f>
        <v>0</v>
      </c>
      <c r="BG784" s="90" t="n">
        <f aca="false">IF(AND(Y784=0,ISNUMBER(AF784),ISNUMBER(Z784)),AA784*Z784,0)</f>
        <v>0</v>
      </c>
      <c r="BH784" s="90" t="n">
        <f aca="false">IF(AND(Y784=0,ISNUMBER(AF784),ISNUMBER(Z784)),AA784*AT784*MAX(Z784-1,0),0)</f>
        <v>0</v>
      </c>
      <c r="BI784" s="90" t="n">
        <f aca="false">IF(Y784=0,AA784,0)</f>
        <v>0</v>
      </c>
    </row>
    <row r="785" customFormat="false" ht="15" hidden="false" customHeight="false" outlineLevel="0" collapsed="false">
      <c r="A785" s="83" t="str">
        <f aca="false">IFERROR(IF(INDEX(원자료_잔고!$A$1:$EZ$1500,설정!$L$5+ROW()-1,설정!$L$8)&amp;""="0","",INDEX(원자료_잔고!$A$1:$EZ$1500,설정!$L$5+ROW()-1,설정!$L$8)&amp;""),"")</f>
        <v/>
      </c>
      <c r="B785" s="83" t="str">
        <f aca="false">IFERROR(IF(INDEX(원자료_잔고!$A$1:$EZ$1500,설정!$L$5+ROW()-1,설정!$L$7)&amp;""="0","",INDEX(원자료_잔고!$A$1:$EZ$1500,설정!$L$5+ROW()-1,설정!$L$7)&amp;""),"")</f>
        <v/>
      </c>
      <c r="C785" s="83" t="str">
        <f aca="false">IFERROR(IF(INDEX(원자료_잔고!$A$1:$EZ$1500,설정!$L$5+ROW()-1,설정!$L$9)&amp;""="0","",INDEX(원자료_잔고!$A$1:$EZ$1500,설정!$L$5+ROW()-1,설정!$L$9)&amp;""),"")</f>
        <v/>
      </c>
      <c r="D785" s="83" t="str">
        <f aca="false">IFERROR(IF(INDEX(원자료_잔고!$A$1:$EZ$1500,설정!$L$5+ROW()-1,설정!$L$10)&amp;""="0","",INDEX(원자료_잔고!$A$1:$EZ$1500,설정!$L$5+ROW()-1,설정!$L$10)&amp;""),"")</f>
        <v/>
      </c>
      <c r="E785" s="84" t="str">
        <f aca="false">IFERROR(IF(ISNUMBER(INDEX(원자료_잔고!$A$1:$EZ$1500,설정!$L$5+ROW()-1,설정!$L$11)),INDEX(원자료_잔고!$A$1:$EZ$1500,설정!$L$5+ROW()-1,설정!$L$11),""),"")</f>
        <v/>
      </c>
      <c r="F785" s="85" t="str">
        <f aca="false">IFERROR(IF(ISNUMBER(INDEX(원자료_잔고!$A$1:$EZ$1500,설정!$L$5+ROW()-1,설정!$L$12)),INDEX(원자료_잔고!$A$1:$EZ$1500,설정!$L$5+ROW()-1,설정!$L$12),""),"")</f>
        <v/>
      </c>
      <c r="G785" s="85" t="str">
        <f aca="false">IFERROR(IF(ISNUMBER(INDEX(원자료_잔고!$A$1:$EZ$1500,설정!$L$5+ROW()-1,설정!$L$13)),INDEX(원자료_잔고!$A$1:$EZ$1500,설정!$L$5+ROW()-1,설정!$L$13),""),"")</f>
        <v/>
      </c>
      <c r="H785" s="85" t="str">
        <f aca="false">IFERROR(IF(ISNUMBER(INDEX(원자료_잔고!$A$1:$EZ$1500,설정!$L$5+ROW()-1,설정!$L$14)),INDEX(원자료_잔고!$A$1:$EZ$1500,설정!$L$5+ROW()-1,설정!$L$14),""),"")</f>
        <v/>
      </c>
      <c r="I785" s="86" t="str">
        <f aca="false">IFERROR(IF(ISNUMBER(INDEX(원자료_잔고!$A$1:$EZ$1500,설정!$L$5+ROW()-1,설정!$L$15)),INDEX(원자료_잔고!$A$1:$EZ$1500,설정!$L$5+ROW()-1,설정!$L$15),""),"")</f>
        <v/>
      </c>
      <c r="J785" s="85" t="str">
        <f aca="false">IFERROR(IF(ISNUMBER(INDEX(원자료_잔고!$A$1:$EZ$1500,설정!$L$5+ROW()-1,설정!$L$16)),INDEX(원자료_잔고!$A$1:$EZ$1500,설정!$L$5+ROW()-1,설정!$L$16),""),"")</f>
        <v/>
      </c>
      <c r="K785" s="87" t="str">
        <f aca="false">IFERROR(IF(ISNUMBER(INDEX(원자료_잔고!$A$1:$EZ$1500,설정!$L$5+ROW()-1,설정!$L$17)),INDEX(원자료_잔고!$A$1:$EZ$1500,설정!$L$5+ROW()-1,설정!$L$17),""),"")</f>
        <v/>
      </c>
      <c r="L785" s="84" t="str">
        <f aca="false">IFERROR(IF(ISNUMBER(INDEX(원자료_잔고!$A$1:$EZ$1500,설정!$L$5+ROW()-1,설정!$L$18)),INDEX(원자료_잔고!$A$1:$EZ$1500,설정!$L$5+ROW()-1,설정!$L$18),""),"")</f>
        <v/>
      </c>
      <c r="M785" s="88" t="str">
        <f aca="false">IFERROR(IF(ISNUMBER(INDEX(원자료_잔고!$A$1:$EZ$1500,설정!$L$5+ROW()-1,설정!$L$19)),INDEX(원자료_잔고!$A$1:$EZ$1500,설정!$L$5+ROW()-1,설정!$L$19),""),"")</f>
        <v/>
      </c>
      <c r="N785" s="83" t="str">
        <f aca="false">IFERROR(IF(INDEX(원자료_잔고!$A$1:$EZ$1500,설정!$L$5+ROW()-1,설정!$L$21)&amp;""="0","",INDEX(원자료_잔고!$A$1:$EZ$1500,설정!$L$5+ROW()-1,설정!$L$21)&amp;""),"")</f>
        <v/>
      </c>
      <c r="O785" s="83" t="str">
        <f aca="false">IFERROR(IF(INDEX(원자료_잔고!$A$1:$EZ$1500,설정!$L$5+ROW()-1,설정!$L$22)&amp;""="0","",INDEX(원자료_잔고!$A$1:$EZ$1500,설정!$L$5+ROW()-1,설정!$L$22)&amp;""),"")</f>
        <v/>
      </c>
      <c r="P785" s="83" t="str">
        <f aca="false">IFERROR(IF(INDEX(원자료_잔고!$A$1:$EZ$1500,설정!$L$5+ROW()-1,설정!$L$23)&amp;""="0","",INDEX(원자료_잔고!$A$1:$EZ$1500,설정!$L$5+ROW()-1,설정!$L$23)&amp;""),"")</f>
        <v/>
      </c>
      <c r="Q785" s="89" t="n">
        <f aca="false">IF(AND($A785&lt;&gt;"",ISNUMBER(E785)),IF(E785&gt;0,1,0),0)</f>
        <v>0</v>
      </c>
      <c r="R785" s="43" t="str">
        <f aca="false">IF(Q785=1,UPPER(LEFT($A785,FIND(" ",$A785&amp;" ")-1)),"")</f>
        <v/>
      </c>
      <c r="S785" s="89" t="n">
        <f aca="false">IF(Q785=1,IF(OR(ISNUMBER(SEARCH("Float",$A785)),ISNUMBER(SEARCH("FRN",$A785))),1,0),0)</f>
        <v>0</v>
      </c>
      <c r="T785" s="43" t="str">
        <f aca="false">IF(AND(Q785=1,ISNUMBER(I785)),TEXT(I785,"yyyymmdd")&amp;"|"&amp;IF(S785=1,"F",TEXT(J785,"0.000")),"")</f>
        <v/>
      </c>
      <c r="U785" s="90" t="str">
        <f aca="false">IF(AND(Q785=1,ISNUMBER(I785)),(I785-설정!$C$4)/365.25,"")</f>
        <v/>
      </c>
      <c r="V785" s="43" t="str">
        <f aca="false">IF(Q785&lt;&gt;1,"",IF(ISNUMBER(U785),IF(U785&lt;=1,"1년 이하",IF(U785&lt;=2,"1-2년",IF(U785&lt;=3,"2-3년",IF(U785&lt;=4,"3-4년",IF(U785&lt;=5,"4-5년",IF(U785&lt;=7,"5-7년",IF(U785&lt;=10,"7-10년",IF(U785&lt;=20,"10-20년","20년 이상")))))))),"미분류"))</f>
        <v/>
      </c>
      <c r="W785" s="43" t="str">
        <f aca="false">IF(Q785&lt;&gt;1,"",IF(AB785&lt;&gt;"",INDEX(시장분석!$C:$C,AB785),IF(K785=1,"USD","비USD")))</f>
        <v/>
      </c>
      <c r="X785" s="91" t="n">
        <f aca="false">IF(Q785=1,E785*K785/1000000,0)</f>
        <v>0</v>
      </c>
      <c r="Y785" s="89" t="n">
        <f aca="false">IF(R785="T",1,0)</f>
        <v>0</v>
      </c>
      <c r="Z785" s="92" t="str">
        <f aca="false">IF(Q785&lt;&gt;1,"",IF(AD785=1,IF(ISNUMBER(U785),MAX(U785,0),H785),H785))</f>
        <v/>
      </c>
      <c r="AA785" s="91" t="n">
        <f aca="false">IF(Q785=1,IF(ISNUMBER(L785),L785,0)*K785/1000000,0)</f>
        <v>0</v>
      </c>
      <c r="AB785" s="89" t="str">
        <f aca="false">IF(Q785&lt;&gt;1,"",IFERROR(MATCH(VLOOKUP(B785,매핑!$H$4:$I$15,2,0),시장분석!$A$2:$A$601,0)+1,IFERROR(MATCH(R785&amp;"|"&amp;T785,시장분석!$V$2:$V$601,0)+1,IF(COUNTIF(시장분석!$U$2:$U$601,T785)=1,MATCH(T785,시장분석!$U$2:$U$601,0)+1,""))))</f>
        <v/>
      </c>
      <c r="AC785" s="89" t="n">
        <f aca="false">IF(Q785&lt;&gt;1,0,IF(OR(설정!$C$5="전체",AND(설정!$C$5="선택펀드",IFERROR(COUNTIFS(설정!$F$16:$F$36,C785,설정!$G$16:$G$36,"Y")+COUNTIFS(설정!$F$16:$F$36,VALUE(C785),설정!$G$16:$G$36,"Y"),0)&gt;0),C785&amp;""=설정!$C$5&amp;""),1,0))</f>
        <v>0</v>
      </c>
      <c r="AD785" s="89" t="n">
        <f aca="false">IF(Q785&lt;&gt;1,0,IF(OR(S785=1,IF(AB785="",FALSE(),INDEX(시장분석!$R:$R,AB785)=1)),1,0))</f>
        <v>0</v>
      </c>
      <c r="AE785" s="43" t="str">
        <f aca="false">IF(AB785="","",INDEX(시장분석!$A:$A,AB785))</f>
        <v/>
      </c>
      <c r="AF785" s="93" t="str">
        <f aca="false">IF(AB785="","",IF(ISNUMBER(IF(AB785="","",INDEX(시장분석!$E:$E,AB785))),IF(AB785="","",INDEX(시장분석!$E:$E,AB785)),""))</f>
        <v/>
      </c>
      <c r="AG785" s="43" t="str">
        <f aca="false">IF(Q785&lt;&gt;1,"",IF(AB785&lt;&gt;"",IF(AB785="","",INDEX(시장분석!$L:$L,AB785)),IFERROR(IF(VLOOKUP(R785,매핑!$A$4:$E$92,5,0)="","미분류",VLOOKUP(R785,매핑!$A$4:$E$92,5,0)),"미분류")))</f>
        <v/>
      </c>
      <c r="AH785" s="43" t="str">
        <f aca="false">IF(Q785&lt;&gt;1,"",IF(AB785&lt;&gt;"",IF(AB785="","",INDEX(시장분석!$N:$N,AB785)),IFERROR(IF(VLOOKUP(R785,매핑!$A$4:$E$92,4,0)="","미분류",VLOOKUP(R785,매핑!$A$4:$E$92,4,0)),"미분류")))</f>
        <v/>
      </c>
      <c r="AI785" s="43" t="str">
        <f aca="false">IF(Q785&lt;&gt;1,"",IFERROR(IF(VLOOKUP(R785,매핑!$A$4:$E$92,3,0)="","미분류",VLOOKUP(R785,매핑!$A$4:$E$92,3,0)),IF(AB785&lt;&gt;"",IF(AB785="","",INDEX(시장분석!$W:$W,AB785)),"미분류")))</f>
        <v/>
      </c>
      <c r="AJ785" s="43" t="str">
        <f aca="false">IF(Q785&lt;&gt;1,"",IFERROR(VLOOKUP(IF(N785&lt;&gt;"",N785,IF(P785&lt;&gt;"",P785,O785)),설정!$A$15:$D$47,2,0),""))</f>
        <v/>
      </c>
      <c r="AK785" s="43" t="str">
        <f aca="false">IF(Q785&lt;&gt;1,"",IF(AJ785="","무등급",IFERROR(VLOOKUP(AJ785,설정!$A$15:$D$47,3,0),"무등급")))</f>
        <v/>
      </c>
      <c r="AL785" s="89" t="n">
        <f aca="false">IF(AJ785="",99,IFERROR(VLOOKUP(AJ785,설정!$A$15:$D$47,4,0),99))</f>
        <v>99</v>
      </c>
      <c r="AM785" s="94" t="n">
        <f aca="false">IF(ISNUMBER(H785),AA785*1000000*H785/10000,0)</f>
        <v>0</v>
      </c>
      <c r="AN785" s="94" t="n">
        <f aca="false">IF(OR(Y785=1,NOT(ISNUMBER(Z785))),0,AA785*1000000*Z785/10000)</f>
        <v>0</v>
      </c>
      <c r="AO785" s="94" t="n">
        <f aca="false">IF(ISNUMBER(G785),AA785*1000000*G785/100,0)</f>
        <v>0</v>
      </c>
      <c r="AP785" s="94" t="n">
        <f aca="false">IF(ISNUMBER(M785),M785*K785,0)</f>
        <v>0</v>
      </c>
      <c r="AQ785" s="95" t="str">
        <f aca="false">IF(AB785="","",INDEX(시장분석!$AK:$AK,AB785))</f>
        <v/>
      </c>
      <c r="AR785" s="43" t="str">
        <f aca="false">IF(AB785="","-",IF(AB785="","",INDEX(시장분석!$AL:$AL,AB785)))</f>
        <v>-</v>
      </c>
      <c r="AS785" s="96" t="str">
        <f aca="false">IF(AB785="","",INDEX(시장분석!$AJ:$AJ,AB785))</f>
        <v/>
      </c>
      <c r="AT785" s="93" t="n">
        <f aca="false">IF(AB785="",0,IF(AB785="","",INDEX(시장분석!$AN:$AN,AB785)))</f>
        <v>0</v>
      </c>
      <c r="AU785" s="94" t="n">
        <f aca="false">IF(ISNUMBER(Z785),AT785/10000*MAX(Z785-1,0)*AA785*1000000,0)</f>
        <v>0</v>
      </c>
      <c r="AV785" s="94" t="n">
        <f aca="false">AO785+AU785</f>
        <v>0</v>
      </c>
      <c r="AW785" s="43" t="str">
        <f aca="false">IF(Q785&lt;&gt;1,"",TRIM(IF(AD785=1,"FRN ","")&amp;IF(AND(AL785&gt;=10,AL785&lt;99),"BBB0미만 ","")&amp;IF(AJ785="","등급없음 ","")&amp;IF(K785&lt;&gt;1,"비USD ","")&amp;IF(AND(AB785="",Y785=0),"시장데이터없음 ","")&amp;IF(AND(ISNUMBER(U785),U785&lt;0),"만기경과 ","")))</f>
        <v/>
      </c>
      <c r="AX785" s="90" t="n">
        <f aca="false">IF(Q785&lt;&gt;1,1,IF(스프레드쇼크!$C$4="Y",INDEX(스프레드쇼크!$B$12:$L$16,IFERROR(MATCH(AH785,스프레드쇼크!$A$12:$A$16,0),MATCH("목록외",스프레드쇼크!$A$12:$A$16,0)),IFERROR(MATCH(AG785,스프레드쇼크!$B$11:$L$11,0),MATCH("목록외",스프레드쇼크!$B$11:$L$11,0))),1))</f>
        <v>1</v>
      </c>
      <c r="AY785" s="90" t="n">
        <f aca="false">IF(스프레드쇼크!$C$5="Y",IF(ISNUMBER(AF785),MIN(스프레드쇼크!$C$7,MAX(스프레드쇼크!$C$6,AF785/스프레드쇼크!$C$8)),1),1)</f>
        <v>1</v>
      </c>
      <c r="AZ785" s="94" t="n">
        <f aca="false">AN785*AX785*AY785</f>
        <v>0</v>
      </c>
      <c r="BA785" s="90" t="n">
        <f aca="false">IF(ISNUMBER(G785),AA785*G785,0)</f>
        <v>0</v>
      </c>
      <c r="BB785" s="90" t="n">
        <f aca="false">IF(ISNUMBER(G785),AA785,0)</f>
        <v>0</v>
      </c>
      <c r="BC785" s="90" t="n">
        <f aca="false">IF(AND(Y785=0,ISNUMBER(AF785)),AA785*AF785,0)</f>
        <v>0</v>
      </c>
      <c r="BD785" s="90" t="n">
        <f aca="false">IF(AND(Y785=0,ISNUMBER(AF785)),AA785,0)</f>
        <v>0</v>
      </c>
      <c r="BE785" s="90" t="n">
        <f aca="false">IF(ISNUMBER(H785),AA785*H785,0)</f>
        <v>0</v>
      </c>
      <c r="BF785" s="90" t="n">
        <f aca="false">IF(ISNUMBER(H785),AA785,0)</f>
        <v>0</v>
      </c>
      <c r="BG785" s="90" t="n">
        <f aca="false">IF(AND(Y785=0,ISNUMBER(AF785),ISNUMBER(Z785)),AA785*Z785,0)</f>
        <v>0</v>
      </c>
      <c r="BH785" s="90" t="n">
        <f aca="false">IF(AND(Y785=0,ISNUMBER(AF785),ISNUMBER(Z785)),AA785*AT785*MAX(Z785-1,0),0)</f>
        <v>0</v>
      </c>
      <c r="BI785" s="90" t="n">
        <f aca="false">IF(Y785=0,AA785,0)</f>
        <v>0</v>
      </c>
    </row>
    <row r="786" customFormat="false" ht="15" hidden="false" customHeight="false" outlineLevel="0" collapsed="false">
      <c r="A786" s="83" t="str">
        <f aca="false">IFERROR(IF(INDEX(원자료_잔고!$A$1:$EZ$1500,설정!$L$5+ROW()-1,설정!$L$8)&amp;""="0","",INDEX(원자료_잔고!$A$1:$EZ$1500,설정!$L$5+ROW()-1,설정!$L$8)&amp;""),"")</f>
        <v/>
      </c>
      <c r="B786" s="83" t="str">
        <f aca="false">IFERROR(IF(INDEX(원자료_잔고!$A$1:$EZ$1500,설정!$L$5+ROW()-1,설정!$L$7)&amp;""="0","",INDEX(원자료_잔고!$A$1:$EZ$1500,설정!$L$5+ROW()-1,설정!$L$7)&amp;""),"")</f>
        <v/>
      </c>
      <c r="C786" s="83" t="str">
        <f aca="false">IFERROR(IF(INDEX(원자료_잔고!$A$1:$EZ$1500,설정!$L$5+ROW()-1,설정!$L$9)&amp;""="0","",INDEX(원자료_잔고!$A$1:$EZ$1500,설정!$L$5+ROW()-1,설정!$L$9)&amp;""),"")</f>
        <v/>
      </c>
      <c r="D786" s="83" t="str">
        <f aca="false">IFERROR(IF(INDEX(원자료_잔고!$A$1:$EZ$1500,설정!$L$5+ROW()-1,설정!$L$10)&amp;""="0","",INDEX(원자료_잔고!$A$1:$EZ$1500,설정!$L$5+ROW()-1,설정!$L$10)&amp;""),"")</f>
        <v/>
      </c>
      <c r="E786" s="84" t="str">
        <f aca="false">IFERROR(IF(ISNUMBER(INDEX(원자료_잔고!$A$1:$EZ$1500,설정!$L$5+ROW()-1,설정!$L$11)),INDEX(원자료_잔고!$A$1:$EZ$1500,설정!$L$5+ROW()-1,설정!$L$11),""),"")</f>
        <v/>
      </c>
      <c r="F786" s="85" t="str">
        <f aca="false">IFERROR(IF(ISNUMBER(INDEX(원자료_잔고!$A$1:$EZ$1500,설정!$L$5+ROW()-1,설정!$L$12)),INDEX(원자료_잔고!$A$1:$EZ$1500,설정!$L$5+ROW()-1,설정!$L$12),""),"")</f>
        <v/>
      </c>
      <c r="G786" s="85" t="str">
        <f aca="false">IFERROR(IF(ISNUMBER(INDEX(원자료_잔고!$A$1:$EZ$1500,설정!$L$5+ROW()-1,설정!$L$13)),INDEX(원자료_잔고!$A$1:$EZ$1500,설정!$L$5+ROW()-1,설정!$L$13),""),"")</f>
        <v/>
      </c>
      <c r="H786" s="85" t="str">
        <f aca="false">IFERROR(IF(ISNUMBER(INDEX(원자료_잔고!$A$1:$EZ$1500,설정!$L$5+ROW()-1,설정!$L$14)),INDEX(원자료_잔고!$A$1:$EZ$1500,설정!$L$5+ROW()-1,설정!$L$14),""),"")</f>
        <v/>
      </c>
      <c r="I786" s="86" t="str">
        <f aca="false">IFERROR(IF(ISNUMBER(INDEX(원자료_잔고!$A$1:$EZ$1500,설정!$L$5+ROW()-1,설정!$L$15)),INDEX(원자료_잔고!$A$1:$EZ$1500,설정!$L$5+ROW()-1,설정!$L$15),""),"")</f>
        <v/>
      </c>
      <c r="J786" s="85" t="str">
        <f aca="false">IFERROR(IF(ISNUMBER(INDEX(원자료_잔고!$A$1:$EZ$1500,설정!$L$5+ROW()-1,설정!$L$16)),INDEX(원자료_잔고!$A$1:$EZ$1500,설정!$L$5+ROW()-1,설정!$L$16),""),"")</f>
        <v/>
      </c>
      <c r="K786" s="87" t="str">
        <f aca="false">IFERROR(IF(ISNUMBER(INDEX(원자료_잔고!$A$1:$EZ$1500,설정!$L$5+ROW()-1,설정!$L$17)),INDEX(원자료_잔고!$A$1:$EZ$1500,설정!$L$5+ROW()-1,설정!$L$17),""),"")</f>
        <v/>
      </c>
      <c r="L786" s="84" t="str">
        <f aca="false">IFERROR(IF(ISNUMBER(INDEX(원자료_잔고!$A$1:$EZ$1500,설정!$L$5+ROW()-1,설정!$L$18)),INDEX(원자료_잔고!$A$1:$EZ$1500,설정!$L$5+ROW()-1,설정!$L$18),""),"")</f>
        <v/>
      </c>
      <c r="M786" s="88" t="str">
        <f aca="false">IFERROR(IF(ISNUMBER(INDEX(원자료_잔고!$A$1:$EZ$1500,설정!$L$5+ROW()-1,설정!$L$19)),INDEX(원자료_잔고!$A$1:$EZ$1500,설정!$L$5+ROW()-1,설정!$L$19),""),"")</f>
        <v/>
      </c>
      <c r="N786" s="83" t="str">
        <f aca="false">IFERROR(IF(INDEX(원자료_잔고!$A$1:$EZ$1500,설정!$L$5+ROW()-1,설정!$L$21)&amp;""="0","",INDEX(원자료_잔고!$A$1:$EZ$1500,설정!$L$5+ROW()-1,설정!$L$21)&amp;""),"")</f>
        <v/>
      </c>
      <c r="O786" s="83" t="str">
        <f aca="false">IFERROR(IF(INDEX(원자료_잔고!$A$1:$EZ$1500,설정!$L$5+ROW()-1,설정!$L$22)&amp;""="0","",INDEX(원자료_잔고!$A$1:$EZ$1500,설정!$L$5+ROW()-1,설정!$L$22)&amp;""),"")</f>
        <v/>
      </c>
      <c r="P786" s="83" t="str">
        <f aca="false">IFERROR(IF(INDEX(원자료_잔고!$A$1:$EZ$1500,설정!$L$5+ROW()-1,설정!$L$23)&amp;""="0","",INDEX(원자료_잔고!$A$1:$EZ$1500,설정!$L$5+ROW()-1,설정!$L$23)&amp;""),"")</f>
        <v/>
      </c>
      <c r="Q786" s="89" t="n">
        <f aca="false">IF(AND($A786&lt;&gt;"",ISNUMBER(E786)),IF(E786&gt;0,1,0),0)</f>
        <v>0</v>
      </c>
      <c r="R786" s="43" t="str">
        <f aca="false">IF(Q786=1,UPPER(LEFT($A786,FIND(" ",$A786&amp;" ")-1)),"")</f>
        <v/>
      </c>
      <c r="S786" s="89" t="n">
        <f aca="false">IF(Q786=1,IF(OR(ISNUMBER(SEARCH("Float",$A786)),ISNUMBER(SEARCH("FRN",$A786))),1,0),0)</f>
        <v>0</v>
      </c>
      <c r="T786" s="43" t="str">
        <f aca="false">IF(AND(Q786=1,ISNUMBER(I786)),TEXT(I786,"yyyymmdd")&amp;"|"&amp;IF(S786=1,"F",TEXT(J786,"0.000")),"")</f>
        <v/>
      </c>
      <c r="U786" s="90" t="str">
        <f aca="false">IF(AND(Q786=1,ISNUMBER(I786)),(I786-설정!$C$4)/365.25,"")</f>
        <v/>
      </c>
      <c r="V786" s="43" t="str">
        <f aca="false">IF(Q786&lt;&gt;1,"",IF(ISNUMBER(U786),IF(U786&lt;=1,"1년 이하",IF(U786&lt;=2,"1-2년",IF(U786&lt;=3,"2-3년",IF(U786&lt;=4,"3-4년",IF(U786&lt;=5,"4-5년",IF(U786&lt;=7,"5-7년",IF(U786&lt;=10,"7-10년",IF(U786&lt;=20,"10-20년","20년 이상")))))))),"미분류"))</f>
        <v/>
      </c>
      <c r="W786" s="43" t="str">
        <f aca="false">IF(Q786&lt;&gt;1,"",IF(AB786&lt;&gt;"",INDEX(시장분석!$C:$C,AB786),IF(K786=1,"USD","비USD")))</f>
        <v/>
      </c>
      <c r="X786" s="91" t="n">
        <f aca="false">IF(Q786=1,E786*K786/1000000,0)</f>
        <v>0</v>
      </c>
      <c r="Y786" s="89" t="n">
        <f aca="false">IF(R786="T",1,0)</f>
        <v>0</v>
      </c>
      <c r="Z786" s="92" t="str">
        <f aca="false">IF(Q786&lt;&gt;1,"",IF(AD786=1,IF(ISNUMBER(U786),MAX(U786,0),H786),H786))</f>
        <v/>
      </c>
      <c r="AA786" s="91" t="n">
        <f aca="false">IF(Q786=1,IF(ISNUMBER(L786),L786,0)*K786/1000000,0)</f>
        <v>0</v>
      </c>
      <c r="AB786" s="89" t="str">
        <f aca="false">IF(Q786&lt;&gt;1,"",IFERROR(MATCH(VLOOKUP(B786,매핑!$H$4:$I$15,2,0),시장분석!$A$2:$A$601,0)+1,IFERROR(MATCH(R786&amp;"|"&amp;T786,시장분석!$V$2:$V$601,0)+1,IF(COUNTIF(시장분석!$U$2:$U$601,T786)=1,MATCH(T786,시장분석!$U$2:$U$601,0)+1,""))))</f>
        <v/>
      </c>
      <c r="AC786" s="89" t="n">
        <f aca="false">IF(Q786&lt;&gt;1,0,IF(OR(설정!$C$5="전체",AND(설정!$C$5="선택펀드",IFERROR(COUNTIFS(설정!$F$16:$F$36,C786,설정!$G$16:$G$36,"Y")+COUNTIFS(설정!$F$16:$F$36,VALUE(C786),설정!$G$16:$G$36,"Y"),0)&gt;0),C786&amp;""=설정!$C$5&amp;""),1,0))</f>
        <v>0</v>
      </c>
      <c r="AD786" s="89" t="n">
        <f aca="false">IF(Q786&lt;&gt;1,0,IF(OR(S786=1,IF(AB786="",FALSE(),INDEX(시장분석!$R:$R,AB786)=1)),1,0))</f>
        <v>0</v>
      </c>
      <c r="AE786" s="43" t="str">
        <f aca="false">IF(AB786="","",INDEX(시장분석!$A:$A,AB786))</f>
        <v/>
      </c>
      <c r="AF786" s="93" t="str">
        <f aca="false">IF(AB786="","",IF(ISNUMBER(IF(AB786="","",INDEX(시장분석!$E:$E,AB786))),IF(AB786="","",INDEX(시장분석!$E:$E,AB786)),""))</f>
        <v/>
      </c>
      <c r="AG786" s="43" t="str">
        <f aca="false">IF(Q786&lt;&gt;1,"",IF(AB786&lt;&gt;"",IF(AB786="","",INDEX(시장분석!$L:$L,AB786)),IFERROR(IF(VLOOKUP(R786,매핑!$A$4:$E$92,5,0)="","미분류",VLOOKUP(R786,매핑!$A$4:$E$92,5,0)),"미분류")))</f>
        <v/>
      </c>
      <c r="AH786" s="43" t="str">
        <f aca="false">IF(Q786&lt;&gt;1,"",IF(AB786&lt;&gt;"",IF(AB786="","",INDEX(시장분석!$N:$N,AB786)),IFERROR(IF(VLOOKUP(R786,매핑!$A$4:$E$92,4,0)="","미분류",VLOOKUP(R786,매핑!$A$4:$E$92,4,0)),"미분류")))</f>
        <v/>
      </c>
      <c r="AI786" s="43" t="str">
        <f aca="false">IF(Q786&lt;&gt;1,"",IFERROR(IF(VLOOKUP(R786,매핑!$A$4:$E$92,3,0)="","미분류",VLOOKUP(R786,매핑!$A$4:$E$92,3,0)),IF(AB786&lt;&gt;"",IF(AB786="","",INDEX(시장분석!$W:$W,AB786)),"미분류")))</f>
        <v/>
      </c>
      <c r="AJ786" s="43" t="str">
        <f aca="false">IF(Q786&lt;&gt;1,"",IFERROR(VLOOKUP(IF(N786&lt;&gt;"",N786,IF(P786&lt;&gt;"",P786,O786)),설정!$A$15:$D$47,2,0),""))</f>
        <v/>
      </c>
      <c r="AK786" s="43" t="str">
        <f aca="false">IF(Q786&lt;&gt;1,"",IF(AJ786="","무등급",IFERROR(VLOOKUP(AJ786,설정!$A$15:$D$47,3,0),"무등급")))</f>
        <v/>
      </c>
      <c r="AL786" s="89" t="n">
        <f aca="false">IF(AJ786="",99,IFERROR(VLOOKUP(AJ786,설정!$A$15:$D$47,4,0),99))</f>
        <v>99</v>
      </c>
      <c r="AM786" s="94" t="n">
        <f aca="false">IF(ISNUMBER(H786),AA786*1000000*H786/10000,0)</f>
        <v>0</v>
      </c>
      <c r="AN786" s="94" t="n">
        <f aca="false">IF(OR(Y786=1,NOT(ISNUMBER(Z786))),0,AA786*1000000*Z786/10000)</f>
        <v>0</v>
      </c>
      <c r="AO786" s="94" t="n">
        <f aca="false">IF(ISNUMBER(G786),AA786*1000000*G786/100,0)</f>
        <v>0</v>
      </c>
      <c r="AP786" s="94" t="n">
        <f aca="false">IF(ISNUMBER(M786),M786*K786,0)</f>
        <v>0</v>
      </c>
      <c r="AQ786" s="95" t="str">
        <f aca="false">IF(AB786="","",INDEX(시장분석!$AK:$AK,AB786))</f>
        <v/>
      </c>
      <c r="AR786" s="43" t="str">
        <f aca="false">IF(AB786="","-",IF(AB786="","",INDEX(시장분석!$AL:$AL,AB786)))</f>
        <v>-</v>
      </c>
      <c r="AS786" s="96" t="str">
        <f aca="false">IF(AB786="","",INDEX(시장분석!$AJ:$AJ,AB786))</f>
        <v/>
      </c>
      <c r="AT786" s="93" t="n">
        <f aca="false">IF(AB786="",0,IF(AB786="","",INDEX(시장분석!$AN:$AN,AB786)))</f>
        <v>0</v>
      </c>
      <c r="AU786" s="94" t="n">
        <f aca="false">IF(ISNUMBER(Z786),AT786/10000*MAX(Z786-1,0)*AA786*1000000,0)</f>
        <v>0</v>
      </c>
      <c r="AV786" s="94" t="n">
        <f aca="false">AO786+AU786</f>
        <v>0</v>
      </c>
      <c r="AW786" s="43" t="str">
        <f aca="false">IF(Q786&lt;&gt;1,"",TRIM(IF(AD786=1,"FRN ","")&amp;IF(AND(AL786&gt;=10,AL786&lt;99),"BBB0미만 ","")&amp;IF(AJ786="","등급없음 ","")&amp;IF(K786&lt;&gt;1,"비USD ","")&amp;IF(AND(AB786="",Y786=0),"시장데이터없음 ","")&amp;IF(AND(ISNUMBER(U786),U786&lt;0),"만기경과 ","")))</f>
        <v/>
      </c>
      <c r="AX786" s="90" t="n">
        <f aca="false">IF(Q786&lt;&gt;1,1,IF(스프레드쇼크!$C$4="Y",INDEX(스프레드쇼크!$B$12:$L$16,IFERROR(MATCH(AH786,스프레드쇼크!$A$12:$A$16,0),MATCH("목록외",스프레드쇼크!$A$12:$A$16,0)),IFERROR(MATCH(AG786,스프레드쇼크!$B$11:$L$11,0),MATCH("목록외",스프레드쇼크!$B$11:$L$11,0))),1))</f>
        <v>1</v>
      </c>
      <c r="AY786" s="90" t="n">
        <f aca="false">IF(스프레드쇼크!$C$5="Y",IF(ISNUMBER(AF786),MIN(스프레드쇼크!$C$7,MAX(스프레드쇼크!$C$6,AF786/스프레드쇼크!$C$8)),1),1)</f>
        <v>1</v>
      </c>
      <c r="AZ786" s="94" t="n">
        <f aca="false">AN786*AX786*AY786</f>
        <v>0</v>
      </c>
      <c r="BA786" s="90" t="n">
        <f aca="false">IF(ISNUMBER(G786),AA786*G786,0)</f>
        <v>0</v>
      </c>
      <c r="BB786" s="90" t="n">
        <f aca="false">IF(ISNUMBER(G786),AA786,0)</f>
        <v>0</v>
      </c>
      <c r="BC786" s="90" t="n">
        <f aca="false">IF(AND(Y786=0,ISNUMBER(AF786)),AA786*AF786,0)</f>
        <v>0</v>
      </c>
      <c r="BD786" s="90" t="n">
        <f aca="false">IF(AND(Y786=0,ISNUMBER(AF786)),AA786,0)</f>
        <v>0</v>
      </c>
      <c r="BE786" s="90" t="n">
        <f aca="false">IF(ISNUMBER(H786),AA786*H786,0)</f>
        <v>0</v>
      </c>
      <c r="BF786" s="90" t="n">
        <f aca="false">IF(ISNUMBER(H786),AA786,0)</f>
        <v>0</v>
      </c>
      <c r="BG786" s="90" t="n">
        <f aca="false">IF(AND(Y786=0,ISNUMBER(AF786),ISNUMBER(Z786)),AA786*Z786,0)</f>
        <v>0</v>
      </c>
      <c r="BH786" s="90" t="n">
        <f aca="false">IF(AND(Y786=0,ISNUMBER(AF786),ISNUMBER(Z786)),AA786*AT786*MAX(Z786-1,0),0)</f>
        <v>0</v>
      </c>
      <c r="BI786" s="90" t="n">
        <f aca="false">IF(Y786=0,AA786,0)</f>
        <v>0</v>
      </c>
    </row>
    <row r="787" customFormat="false" ht="15" hidden="false" customHeight="false" outlineLevel="0" collapsed="false">
      <c r="A787" s="83" t="str">
        <f aca="false">IFERROR(IF(INDEX(원자료_잔고!$A$1:$EZ$1500,설정!$L$5+ROW()-1,설정!$L$8)&amp;""="0","",INDEX(원자료_잔고!$A$1:$EZ$1500,설정!$L$5+ROW()-1,설정!$L$8)&amp;""),"")</f>
        <v/>
      </c>
      <c r="B787" s="83" t="str">
        <f aca="false">IFERROR(IF(INDEX(원자료_잔고!$A$1:$EZ$1500,설정!$L$5+ROW()-1,설정!$L$7)&amp;""="0","",INDEX(원자료_잔고!$A$1:$EZ$1500,설정!$L$5+ROW()-1,설정!$L$7)&amp;""),"")</f>
        <v/>
      </c>
      <c r="C787" s="83" t="str">
        <f aca="false">IFERROR(IF(INDEX(원자료_잔고!$A$1:$EZ$1500,설정!$L$5+ROW()-1,설정!$L$9)&amp;""="0","",INDEX(원자료_잔고!$A$1:$EZ$1500,설정!$L$5+ROW()-1,설정!$L$9)&amp;""),"")</f>
        <v/>
      </c>
      <c r="D787" s="83" t="str">
        <f aca="false">IFERROR(IF(INDEX(원자료_잔고!$A$1:$EZ$1500,설정!$L$5+ROW()-1,설정!$L$10)&amp;""="0","",INDEX(원자료_잔고!$A$1:$EZ$1500,설정!$L$5+ROW()-1,설정!$L$10)&amp;""),"")</f>
        <v/>
      </c>
      <c r="E787" s="84" t="str">
        <f aca="false">IFERROR(IF(ISNUMBER(INDEX(원자료_잔고!$A$1:$EZ$1500,설정!$L$5+ROW()-1,설정!$L$11)),INDEX(원자료_잔고!$A$1:$EZ$1500,설정!$L$5+ROW()-1,설정!$L$11),""),"")</f>
        <v/>
      </c>
      <c r="F787" s="85" t="str">
        <f aca="false">IFERROR(IF(ISNUMBER(INDEX(원자료_잔고!$A$1:$EZ$1500,설정!$L$5+ROW()-1,설정!$L$12)),INDEX(원자료_잔고!$A$1:$EZ$1500,설정!$L$5+ROW()-1,설정!$L$12),""),"")</f>
        <v/>
      </c>
      <c r="G787" s="85" t="str">
        <f aca="false">IFERROR(IF(ISNUMBER(INDEX(원자료_잔고!$A$1:$EZ$1500,설정!$L$5+ROW()-1,설정!$L$13)),INDEX(원자료_잔고!$A$1:$EZ$1500,설정!$L$5+ROW()-1,설정!$L$13),""),"")</f>
        <v/>
      </c>
      <c r="H787" s="85" t="str">
        <f aca="false">IFERROR(IF(ISNUMBER(INDEX(원자료_잔고!$A$1:$EZ$1500,설정!$L$5+ROW()-1,설정!$L$14)),INDEX(원자료_잔고!$A$1:$EZ$1500,설정!$L$5+ROW()-1,설정!$L$14),""),"")</f>
        <v/>
      </c>
      <c r="I787" s="86" t="str">
        <f aca="false">IFERROR(IF(ISNUMBER(INDEX(원자료_잔고!$A$1:$EZ$1500,설정!$L$5+ROW()-1,설정!$L$15)),INDEX(원자료_잔고!$A$1:$EZ$1500,설정!$L$5+ROW()-1,설정!$L$15),""),"")</f>
        <v/>
      </c>
      <c r="J787" s="85" t="str">
        <f aca="false">IFERROR(IF(ISNUMBER(INDEX(원자료_잔고!$A$1:$EZ$1500,설정!$L$5+ROW()-1,설정!$L$16)),INDEX(원자료_잔고!$A$1:$EZ$1500,설정!$L$5+ROW()-1,설정!$L$16),""),"")</f>
        <v/>
      </c>
      <c r="K787" s="87" t="str">
        <f aca="false">IFERROR(IF(ISNUMBER(INDEX(원자료_잔고!$A$1:$EZ$1500,설정!$L$5+ROW()-1,설정!$L$17)),INDEX(원자료_잔고!$A$1:$EZ$1500,설정!$L$5+ROW()-1,설정!$L$17),""),"")</f>
        <v/>
      </c>
      <c r="L787" s="84" t="str">
        <f aca="false">IFERROR(IF(ISNUMBER(INDEX(원자료_잔고!$A$1:$EZ$1500,설정!$L$5+ROW()-1,설정!$L$18)),INDEX(원자료_잔고!$A$1:$EZ$1500,설정!$L$5+ROW()-1,설정!$L$18),""),"")</f>
        <v/>
      </c>
      <c r="M787" s="88" t="str">
        <f aca="false">IFERROR(IF(ISNUMBER(INDEX(원자료_잔고!$A$1:$EZ$1500,설정!$L$5+ROW()-1,설정!$L$19)),INDEX(원자료_잔고!$A$1:$EZ$1500,설정!$L$5+ROW()-1,설정!$L$19),""),"")</f>
        <v/>
      </c>
      <c r="N787" s="83" t="str">
        <f aca="false">IFERROR(IF(INDEX(원자료_잔고!$A$1:$EZ$1500,설정!$L$5+ROW()-1,설정!$L$21)&amp;""="0","",INDEX(원자료_잔고!$A$1:$EZ$1500,설정!$L$5+ROW()-1,설정!$L$21)&amp;""),"")</f>
        <v/>
      </c>
      <c r="O787" s="83" t="str">
        <f aca="false">IFERROR(IF(INDEX(원자료_잔고!$A$1:$EZ$1500,설정!$L$5+ROW()-1,설정!$L$22)&amp;""="0","",INDEX(원자료_잔고!$A$1:$EZ$1500,설정!$L$5+ROW()-1,설정!$L$22)&amp;""),"")</f>
        <v/>
      </c>
      <c r="P787" s="83" t="str">
        <f aca="false">IFERROR(IF(INDEX(원자료_잔고!$A$1:$EZ$1500,설정!$L$5+ROW()-1,설정!$L$23)&amp;""="0","",INDEX(원자료_잔고!$A$1:$EZ$1500,설정!$L$5+ROW()-1,설정!$L$23)&amp;""),"")</f>
        <v/>
      </c>
      <c r="Q787" s="89" t="n">
        <f aca="false">IF(AND($A787&lt;&gt;"",ISNUMBER(E787)),IF(E787&gt;0,1,0),0)</f>
        <v>0</v>
      </c>
      <c r="R787" s="43" t="str">
        <f aca="false">IF(Q787=1,UPPER(LEFT($A787,FIND(" ",$A787&amp;" ")-1)),"")</f>
        <v/>
      </c>
      <c r="S787" s="89" t="n">
        <f aca="false">IF(Q787=1,IF(OR(ISNUMBER(SEARCH("Float",$A787)),ISNUMBER(SEARCH("FRN",$A787))),1,0),0)</f>
        <v>0</v>
      </c>
      <c r="T787" s="43" t="str">
        <f aca="false">IF(AND(Q787=1,ISNUMBER(I787)),TEXT(I787,"yyyymmdd")&amp;"|"&amp;IF(S787=1,"F",TEXT(J787,"0.000")),"")</f>
        <v/>
      </c>
      <c r="U787" s="90" t="str">
        <f aca="false">IF(AND(Q787=1,ISNUMBER(I787)),(I787-설정!$C$4)/365.25,"")</f>
        <v/>
      </c>
      <c r="V787" s="43" t="str">
        <f aca="false">IF(Q787&lt;&gt;1,"",IF(ISNUMBER(U787),IF(U787&lt;=1,"1년 이하",IF(U787&lt;=2,"1-2년",IF(U787&lt;=3,"2-3년",IF(U787&lt;=4,"3-4년",IF(U787&lt;=5,"4-5년",IF(U787&lt;=7,"5-7년",IF(U787&lt;=10,"7-10년",IF(U787&lt;=20,"10-20년","20년 이상")))))))),"미분류"))</f>
        <v/>
      </c>
      <c r="W787" s="43" t="str">
        <f aca="false">IF(Q787&lt;&gt;1,"",IF(AB787&lt;&gt;"",INDEX(시장분석!$C:$C,AB787),IF(K787=1,"USD","비USD")))</f>
        <v/>
      </c>
      <c r="X787" s="91" t="n">
        <f aca="false">IF(Q787=1,E787*K787/1000000,0)</f>
        <v>0</v>
      </c>
      <c r="Y787" s="89" t="n">
        <f aca="false">IF(R787="T",1,0)</f>
        <v>0</v>
      </c>
      <c r="Z787" s="92" t="str">
        <f aca="false">IF(Q787&lt;&gt;1,"",IF(AD787=1,IF(ISNUMBER(U787),MAX(U787,0),H787),H787))</f>
        <v/>
      </c>
      <c r="AA787" s="91" t="n">
        <f aca="false">IF(Q787=1,IF(ISNUMBER(L787),L787,0)*K787/1000000,0)</f>
        <v>0</v>
      </c>
      <c r="AB787" s="89" t="str">
        <f aca="false">IF(Q787&lt;&gt;1,"",IFERROR(MATCH(VLOOKUP(B787,매핑!$H$4:$I$15,2,0),시장분석!$A$2:$A$601,0)+1,IFERROR(MATCH(R787&amp;"|"&amp;T787,시장분석!$V$2:$V$601,0)+1,IF(COUNTIF(시장분석!$U$2:$U$601,T787)=1,MATCH(T787,시장분석!$U$2:$U$601,0)+1,""))))</f>
        <v/>
      </c>
      <c r="AC787" s="89" t="n">
        <f aca="false">IF(Q787&lt;&gt;1,0,IF(OR(설정!$C$5="전체",AND(설정!$C$5="선택펀드",IFERROR(COUNTIFS(설정!$F$16:$F$36,C787,설정!$G$16:$G$36,"Y")+COUNTIFS(설정!$F$16:$F$36,VALUE(C787),설정!$G$16:$G$36,"Y"),0)&gt;0),C787&amp;""=설정!$C$5&amp;""),1,0))</f>
        <v>0</v>
      </c>
      <c r="AD787" s="89" t="n">
        <f aca="false">IF(Q787&lt;&gt;1,0,IF(OR(S787=1,IF(AB787="",FALSE(),INDEX(시장분석!$R:$R,AB787)=1)),1,0))</f>
        <v>0</v>
      </c>
      <c r="AE787" s="43" t="str">
        <f aca="false">IF(AB787="","",INDEX(시장분석!$A:$A,AB787))</f>
        <v/>
      </c>
      <c r="AF787" s="93" t="str">
        <f aca="false">IF(AB787="","",IF(ISNUMBER(IF(AB787="","",INDEX(시장분석!$E:$E,AB787))),IF(AB787="","",INDEX(시장분석!$E:$E,AB787)),""))</f>
        <v/>
      </c>
      <c r="AG787" s="43" t="str">
        <f aca="false">IF(Q787&lt;&gt;1,"",IF(AB787&lt;&gt;"",IF(AB787="","",INDEX(시장분석!$L:$L,AB787)),IFERROR(IF(VLOOKUP(R787,매핑!$A$4:$E$92,5,0)="","미분류",VLOOKUP(R787,매핑!$A$4:$E$92,5,0)),"미분류")))</f>
        <v/>
      </c>
      <c r="AH787" s="43" t="str">
        <f aca="false">IF(Q787&lt;&gt;1,"",IF(AB787&lt;&gt;"",IF(AB787="","",INDEX(시장분석!$N:$N,AB787)),IFERROR(IF(VLOOKUP(R787,매핑!$A$4:$E$92,4,0)="","미분류",VLOOKUP(R787,매핑!$A$4:$E$92,4,0)),"미분류")))</f>
        <v/>
      </c>
      <c r="AI787" s="43" t="str">
        <f aca="false">IF(Q787&lt;&gt;1,"",IFERROR(IF(VLOOKUP(R787,매핑!$A$4:$E$92,3,0)="","미분류",VLOOKUP(R787,매핑!$A$4:$E$92,3,0)),IF(AB787&lt;&gt;"",IF(AB787="","",INDEX(시장분석!$W:$W,AB787)),"미분류")))</f>
        <v/>
      </c>
      <c r="AJ787" s="43" t="str">
        <f aca="false">IF(Q787&lt;&gt;1,"",IFERROR(VLOOKUP(IF(N787&lt;&gt;"",N787,IF(P787&lt;&gt;"",P787,O787)),설정!$A$15:$D$47,2,0),""))</f>
        <v/>
      </c>
      <c r="AK787" s="43" t="str">
        <f aca="false">IF(Q787&lt;&gt;1,"",IF(AJ787="","무등급",IFERROR(VLOOKUP(AJ787,설정!$A$15:$D$47,3,0),"무등급")))</f>
        <v/>
      </c>
      <c r="AL787" s="89" t="n">
        <f aca="false">IF(AJ787="",99,IFERROR(VLOOKUP(AJ787,설정!$A$15:$D$47,4,0),99))</f>
        <v>99</v>
      </c>
      <c r="AM787" s="94" t="n">
        <f aca="false">IF(ISNUMBER(H787),AA787*1000000*H787/10000,0)</f>
        <v>0</v>
      </c>
      <c r="AN787" s="94" t="n">
        <f aca="false">IF(OR(Y787=1,NOT(ISNUMBER(Z787))),0,AA787*1000000*Z787/10000)</f>
        <v>0</v>
      </c>
      <c r="AO787" s="94" t="n">
        <f aca="false">IF(ISNUMBER(G787),AA787*1000000*G787/100,0)</f>
        <v>0</v>
      </c>
      <c r="AP787" s="94" t="n">
        <f aca="false">IF(ISNUMBER(M787),M787*K787,0)</f>
        <v>0</v>
      </c>
      <c r="AQ787" s="95" t="str">
        <f aca="false">IF(AB787="","",INDEX(시장분석!$AK:$AK,AB787))</f>
        <v/>
      </c>
      <c r="AR787" s="43" t="str">
        <f aca="false">IF(AB787="","-",IF(AB787="","",INDEX(시장분석!$AL:$AL,AB787)))</f>
        <v>-</v>
      </c>
      <c r="AS787" s="96" t="str">
        <f aca="false">IF(AB787="","",INDEX(시장분석!$AJ:$AJ,AB787))</f>
        <v/>
      </c>
      <c r="AT787" s="93" t="n">
        <f aca="false">IF(AB787="",0,IF(AB787="","",INDEX(시장분석!$AN:$AN,AB787)))</f>
        <v>0</v>
      </c>
      <c r="AU787" s="94" t="n">
        <f aca="false">IF(ISNUMBER(Z787),AT787/10000*MAX(Z787-1,0)*AA787*1000000,0)</f>
        <v>0</v>
      </c>
      <c r="AV787" s="94" t="n">
        <f aca="false">AO787+AU787</f>
        <v>0</v>
      </c>
      <c r="AW787" s="43" t="str">
        <f aca="false">IF(Q787&lt;&gt;1,"",TRIM(IF(AD787=1,"FRN ","")&amp;IF(AND(AL787&gt;=10,AL787&lt;99),"BBB0미만 ","")&amp;IF(AJ787="","등급없음 ","")&amp;IF(K787&lt;&gt;1,"비USD ","")&amp;IF(AND(AB787="",Y787=0),"시장데이터없음 ","")&amp;IF(AND(ISNUMBER(U787),U787&lt;0),"만기경과 ","")))</f>
        <v/>
      </c>
      <c r="AX787" s="90" t="n">
        <f aca="false">IF(Q787&lt;&gt;1,1,IF(스프레드쇼크!$C$4="Y",INDEX(스프레드쇼크!$B$12:$L$16,IFERROR(MATCH(AH787,스프레드쇼크!$A$12:$A$16,0),MATCH("목록외",스프레드쇼크!$A$12:$A$16,0)),IFERROR(MATCH(AG787,스프레드쇼크!$B$11:$L$11,0),MATCH("목록외",스프레드쇼크!$B$11:$L$11,0))),1))</f>
        <v>1</v>
      </c>
      <c r="AY787" s="90" t="n">
        <f aca="false">IF(스프레드쇼크!$C$5="Y",IF(ISNUMBER(AF787),MIN(스프레드쇼크!$C$7,MAX(스프레드쇼크!$C$6,AF787/스프레드쇼크!$C$8)),1),1)</f>
        <v>1</v>
      </c>
      <c r="AZ787" s="94" t="n">
        <f aca="false">AN787*AX787*AY787</f>
        <v>0</v>
      </c>
      <c r="BA787" s="90" t="n">
        <f aca="false">IF(ISNUMBER(G787),AA787*G787,0)</f>
        <v>0</v>
      </c>
      <c r="BB787" s="90" t="n">
        <f aca="false">IF(ISNUMBER(G787),AA787,0)</f>
        <v>0</v>
      </c>
      <c r="BC787" s="90" t="n">
        <f aca="false">IF(AND(Y787=0,ISNUMBER(AF787)),AA787*AF787,0)</f>
        <v>0</v>
      </c>
      <c r="BD787" s="90" t="n">
        <f aca="false">IF(AND(Y787=0,ISNUMBER(AF787)),AA787,0)</f>
        <v>0</v>
      </c>
      <c r="BE787" s="90" t="n">
        <f aca="false">IF(ISNUMBER(H787),AA787*H787,0)</f>
        <v>0</v>
      </c>
      <c r="BF787" s="90" t="n">
        <f aca="false">IF(ISNUMBER(H787),AA787,0)</f>
        <v>0</v>
      </c>
      <c r="BG787" s="90" t="n">
        <f aca="false">IF(AND(Y787=0,ISNUMBER(AF787),ISNUMBER(Z787)),AA787*Z787,0)</f>
        <v>0</v>
      </c>
      <c r="BH787" s="90" t="n">
        <f aca="false">IF(AND(Y787=0,ISNUMBER(AF787),ISNUMBER(Z787)),AA787*AT787*MAX(Z787-1,0),0)</f>
        <v>0</v>
      </c>
      <c r="BI787" s="90" t="n">
        <f aca="false">IF(Y787=0,AA787,0)</f>
        <v>0</v>
      </c>
    </row>
    <row r="788" customFormat="false" ht="15" hidden="false" customHeight="false" outlineLevel="0" collapsed="false">
      <c r="A788" s="83" t="str">
        <f aca="false">IFERROR(IF(INDEX(원자료_잔고!$A$1:$EZ$1500,설정!$L$5+ROW()-1,설정!$L$8)&amp;""="0","",INDEX(원자료_잔고!$A$1:$EZ$1500,설정!$L$5+ROW()-1,설정!$L$8)&amp;""),"")</f>
        <v/>
      </c>
      <c r="B788" s="83" t="str">
        <f aca="false">IFERROR(IF(INDEX(원자료_잔고!$A$1:$EZ$1500,설정!$L$5+ROW()-1,설정!$L$7)&amp;""="0","",INDEX(원자료_잔고!$A$1:$EZ$1500,설정!$L$5+ROW()-1,설정!$L$7)&amp;""),"")</f>
        <v/>
      </c>
      <c r="C788" s="83" t="str">
        <f aca="false">IFERROR(IF(INDEX(원자료_잔고!$A$1:$EZ$1500,설정!$L$5+ROW()-1,설정!$L$9)&amp;""="0","",INDEX(원자료_잔고!$A$1:$EZ$1500,설정!$L$5+ROW()-1,설정!$L$9)&amp;""),"")</f>
        <v/>
      </c>
      <c r="D788" s="83" t="str">
        <f aca="false">IFERROR(IF(INDEX(원자료_잔고!$A$1:$EZ$1500,설정!$L$5+ROW()-1,설정!$L$10)&amp;""="0","",INDEX(원자료_잔고!$A$1:$EZ$1500,설정!$L$5+ROW()-1,설정!$L$10)&amp;""),"")</f>
        <v/>
      </c>
      <c r="E788" s="84" t="str">
        <f aca="false">IFERROR(IF(ISNUMBER(INDEX(원자료_잔고!$A$1:$EZ$1500,설정!$L$5+ROW()-1,설정!$L$11)),INDEX(원자료_잔고!$A$1:$EZ$1500,설정!$L$5+ROW()-1,설정!$L$11),""),"")</f>
        <v/>
      </c>
      <c r="F788" s="85" t="str">
        <f aca="false">IFERROR(IF(ISNUMBER(INDEX(원자료_잔고!$A$1:$EZ$1500,설정!$L$5+ROW()-1,설정!$L$12)),INDEX(원자료_잔고!$A$1:$EZ$1500,설정!$L$5+ROW()-1,설정!$L$12),""),"")</f>
        <v/>
      </c>
      <c r="G788" s="85" t="str">
        <f aca="false">IFERROR(IF(ISNUMBER(INDEX(원자료_잔고!$A$1:$EZ$1500,설정!$L$5+ROW()-1,설정!$L$13)),INDEX(원자료_잔고!$A$1:$EZ$1500,설정!$L$5+ROW()-1,설정!$L$13),""),"")</f>
        <v/>
      </c>
      <c r="H788" s="85" t="str">
        <f aca="false">IFERROR(IF(ISNUMBER(INDEX(원자료_잔고!$A$1:$EZ$1500,설정!$L$5+ROW()-1,설정!$L$14)),INDEX(원자료_잔고!$A$1:$EZ$1500,설정!$L$5+ROW()-1,설정!$L$14),""),"")</f>
        <v/>
      </c>
      <c r="I788" s="86" t="str">
        <f aca="false">IFERROR(IF(ISNUMBER(INDEX(원자료_잔고!$A$1:$EZ$1500,설정!$L$5+ROW()-1,설정!$L$15)),INDEX(원자료_잔고!$A$1:$EZ$1500,설정!$L$5+ROW()-1,설정!$L$15),""),"")</f>
        <v/>
      </c>
      <c r="J788" s="85" t="str">
        <f aca="false">IFERROR(IF(ISNUMBER(INDEX(원자료_잔고!$A$1:$EZ$1500,설정!$L$5+ROW()-1,설정!$L$16)),INDEX(원자료_잔고!$A$1:$EZ$1500,설정!$L$5+ROW()-1,설정!$L$16),""),"")</f>
        <v/>
      </c>
      <c r="K788" s="87" t="str">
        <f aca="false">IFERROR(IF(ISNUMBER(INDEX(원자료_잔고!$A$1:$EZ$1500,설정!$L$5+ROW()-1,설정!$L$17)),INDEX(원자료_잔고!$A$1:$EZ$1500,설정!$L$5+ROW()-1,설정!$L$17),""),"")</f>
        <v/>
      </c>
      <c r="L788" s="84" t="str">
        <f aca="false">IFERROR(IF(ISNUMBER(INDEX(원자료_잔고!$A$1:$EZ$1500,설정!$L$5+ROW()-1,설정!$L$18)),INDEX(원자료_잔고!$A$1:$EZ$1500,설정!$L$5+ROW()-1,설정!$L$18),""),"")</f>
        <v/>
      </c>
      <c r="M788" s="88" t="str">
        <f aca="false">IFERROR(IF(ISNUMBER(INDEX(원자료_잔고!$A$1:$EZ$1500,설정!$L$5+ROW()-1,설정!$L$19)),INDEX(원자료_잔고!$A$1:$EZ$1500,설정!$L$5+ROW()-1,설정!$L$19),""),"")</f>
        <v/>
      </c>
      <c r="N788" s="83" t="str">
        <f aca="false">IFERROR(IF(INDEX(원자료_잔고!$A$1:$EZ$1500,설정!$L$5+ROW()-1,설정!$L$21)&amp;""="0","",INDEX(원자료_잔고!$A$1:$EZ$1500,설정!$L$5+ROW()-1,설정!$L$21)&amp;""),"")</f>
        <v/>
      </c>
      <c r="O788" s="83" t="str">
        <f aca="false">IFERROR(IF(INDEX(원자료_잔고!$A$1:$EZ$1500,설정!$L$5+ROW()-1,설정!$L$22)&amp;""="0","",INDEX(원자료_잔고!$A$1:$EZ$1500,설정!$L$5+ROW()-1,설정!$L$22)&amp;""),"")</f>
        <v/>
      </c>
      <c r="P788" s="83" t="str">
        <f aca="false">IFERROR(IF(INDEX(원자료_잔고!$A$1:$EZ$1500,설정!$L$5+ROW()-1,설정!$L$23)&amp;""="0","",INDEX(원자료_잔고!$A$1:$EZ$1500,설정!$L$5+ROW()-1,설정!$L$23)&amp;""),"")</f>
        <v/>
      </c>
      <c r="Q788" s="89" t="n">
        <f aca="false">IF(AND($A788&lt;&gt;"",ISNUMBER(E788)),IF(E788&gt;0,1,0),0)</f>
        <v>0</v>
      </c>
      <c r="R788" s="43" t="str">
        <f aca="false">IF(Q788=1,UPPER(LEFT($A788,FIND(" ",$A788&amp;" ")-1)),"")</f>
        <v/>
      </c>
      <c r="S788" s="89" t="n">
        <f aca="false">IF(Q788=1,IF(OR(ISNUMBER(SEARCH("Float",$A788)),ISNUMBER(SEARCH("FRN",$A788))),1,0),0)</f>
        <v>0</v>
      </c>
      <c r="T788" s="43" t="str">
        <f aca="false">IF(AND(Q788=1,ISNUMBER(I788)),TEXT(I788,"yyyymmdd")&amp;"|"&amp;IF(S788=1,"F",TEXT(J788,"0.000")),"")</f>
        <v/>
      </c>
      <c r="U788" s="90" t="str">
        <f aca="false">IF(AND(Q788=1,ISNUMBER(I788)),(I788-설정!$C$4)/365.25,"")</f>
        <v/>
      </c>
      <c r="V788" s="43" t="str">
        <f aca="false">IF(Q788&lt;&gt;1,"",IF(ISNUMBER(U788),IF(U788&lt;=1,"1년 이하",IF(U788&lt;=2,"1-2년",IF(U788&lt;=3,"2-3년",IF(U788&lt;=4,"3-4년",IF(U788&lt;=5,"4-5년",IF(U788&lt;=7,"5-7년",IF(U788&lt;=10,"7-10년",IF(U788&lt;=20,"10-20년","20년 이상")))))))),"미분류"))</f>
        <v/>
      </c>
      <c r="W788" s="43" t="str">
        <f aca="false">IF(Q788&lt;&gt;1,"",IF(AB788&lt;&gt;"",INDEX(시장분석!$C:$C,AB788),IF(K788=1,"USD","비USD")))</f>
        <v/>
      </c>
      <c r="X788" s="91" t="n">
        <f aca="false">IF(Q788=1,E788*K788/1000000,0)</f>
        <v>0</v>
      </c>
      <c r="Y788" s="89" t="n">
        <f aca="false">IF(R788="T",1,0)</f>
        <v>0</v>
      </c>
      <c r="Z788" s="92" t="str">
        <f aca="false">IF(Q788&lt;&gt;1,"",IF(AD788=1,IF(ISNUMBER(U788),MAX(U788,0),H788),H788))</f>
        <v/>
      </c>
      <c r="AA788" s="91" t="n">
        <f aca="false">IF(Q788=1,IF(ISNUMBER(L788),L788,0)*K788/1000000,0)</f>
        <v>0</v>
      </c>
      <c r="AB788" s="89" t="str">
        <f aca="false">IF(Q788&lt;&gt;1,"",IFERROR(MATCH(VLOOKUP(B788,매핑!$H$4:$I$15,2,0),시장분석!$A$2:$A$601,0)+1,IFERROR(MATCH(R788&amp;"|"&amp;T788,시장분석!$V$2:$V$601,0)+1,IF(COUNTIF(시장분석!$U$2:$U$601,T788)=1,MATCH(T788,시장분석!$U$2:$U$601,0)+1,""))))</f>
        <v/>
      </c>
      <c r="AC788" s="89" t="n">
        <f aca="false">IF(Q788&lt;&gt;1,0,IF(OR(설정!$C$5="전체",AND(설정!$C$5="선택펀드",IFERROR(COUNTIFS(설정!$F$16:$F$36,C788,설정!$G$16:$G$36,"Y")+COUNTIFS(설정!$F$16:$F$36,VALUE(C788),설정!$G$16:$G$36,"Y"),0)&gt;0),C788&amp;""=설정!$C$5&amp;""),1,0))</f>
        <v>0</v>
      </c>
      <c r="AD788" s="89" t="n">
        <f aca="false">IF(Q788&lt;&gt;1,0,IF(OR(S788=1,IF(AB788="",FALSE(),INDEX(시장분석!$R:$R,AB788)=1)),1,0))</f>
        <v>0</v>
      </c>
      <c r="AE788" s="43" t="str">
        <f aca="false">IF(AB788="","",INDEX(시장분석!$A:$A,AB788))</f>
        <v/>
      </c>
      <c r="AF788" s="93" t="str">
        <f aca="false">IF(AB788="","",IF(ISNUMBER(IF(AB788="","",INDEX(시장분석!$E:$E,AB788))),IF(AB788="","",INDEX(시장분석!$E:$E,AB788)),""))</f>
        <v/>
      </c>
      <c r="AG788" s="43" t="str">
        <f aca="false">IF(Q788&lt;&gt;1,"",IF(AB788&lt;&gt;"",IF(AB788="","",INDEX(시장분석!$L:$L,AB788)),IFERROR(IF(VLOOKUP(R788,매핑!$A$4:$E$92,5,0)="","미분류",VLOOKUP(R788,매핑!$A$4:$E$92,5,0)),"미분류")))</f>
        <v/>
      </c>
      <c r="AH788" s="43" t="str">
        <f aca="false">IF(Q788&lt;&gt;1,"",IF(AB788&lt;&gt;"",IF(AB788="","",INDEX(시장분석!$N:$N,AB788)),IFERROR(IF(VLOOKUP(R788,매핑!$A$4:$E$92,4,0)="","미분류",VLOOKUP(R788,매핑!$A$4:$E$92,4,0)),"미분류")))</f>
        <v/>
      </c>
      <c r="AI788" s="43" t="str">
        <f aca="false">IF(Q788&lt;&gt;1,"",IFERROR(IF(VLOOKUP(R788,매핑!$A$4:$E$92,3,0)="","미분류",VLOOKUP(R788,매핑!$A$4:$E$92,3,0)),IF(AB788&lt;&gt;"",IF(AB788="","",INDEX(시장분석!$W:$W,AB788)),"미분류")))</f>
        <v/>
      </c>
      <c r="AJ788" s="43" t="str">
        <f aca="false">IF(Q788&lt;&gt;1,"",IFERROR(VLOOKUP(IF(N788&lt;&gt;"",N788,IF(P788&lt;&gt;"",P788,O788)),설정!$A$15:$D$47,2,0),""))</f>
        <v/>
      </c>
      <c r="AK788" s="43" t="str">
        <f aca="false">IF(Q788&lt;&gt;1,"",IF(AJ788="","무등급",IFERROR(VLOOKUP(AJ788,설정!$A$15:$D$47,3,0),"무등급")))</f>
        <v/>
      </c>
      <c r="AL788" s="89" t="n">
        <f aca="false">IF(AJ788="",99,IFERROR(VLOOKUP(AJ788,설정!$A$15:$D$47,4,0),99))</f>
        <v>99</v>
      </c>
      <c r="AM788" s="94" t="n">
        <f aca="false">IF(ISNUMBER(H788),AA788*1000000*H788/10000,0)</f>
        <v>0</v>
      </c>
      <c r="AN788" s="94" t="n">
        <f aca="false">IF(OR(Y788=1,NOT(ISNUMBER(Z788))),0,AA788*1000000*Z788/10000)</f>
        <v>0</v>
      </c>
      <c r="AO788" s="94" t="n">
        <f aca="false">IF(ISNUMBER(G788),AA788*1000000*G788/100,0)</f>
        <v>0</v>
      </c>
      <c r="AP788" s="94" t="n">
        <f aca="false">IF(ISNUMBER(M788),M788*K788,0)</f>
        <v>0</v>
      </c>
      <c r="AQ788" s="95" t="str">
        <f aca="false">IF(AB788="","",INDEX(시장분석!$AK:$AK,AB788))</f>
        <v/>
      </c>
      <c r="AR788" s="43" t="str">
        <f aca="false">IF(AB788="","-",IF(AB788="","",INDEX(시장분석!$AL:$AL,AB788)))</f>
        <v>-</v>
      </c>
      <c r="AS788" s="96" t="str">
        <f aca="false">IF(AB788="","",INDEX(시장분석!$AJ:$AJ,AB788))</f>
        <v/>
      </c>
      <c r="AT788" s="93" t="n">
        <f aca="false">IF(AB788="",0,IF(AB788="","",INDEX(시장분석!$AN:$AN,AB788)))</f>
        <v>0</v>
      </c>
      <c r="AU788" s="94" t="n">
        <f aca="false">IF(ISNUMBER(Z788),AT788/10000*MAX(Z788-1,0)*AA788*1000000,0)</f>
        <v>0</v>
      </c>
      <c r="AV788" s="94" t="n">
        <f aca="false">AO788+AU788</f>
        <v>0</v>
      </c>
      <c r="AW788" s="43" t="str">
        <f aca="false">IF(Q788&lt;&gt;1,"",TRIM(IF(AD788=1,"FRN ","")&amp;IF(AND(AL788&gt;=10,AL788&lt;99),"BBB0미만 ","")&amp;IF(AJ788="","등급없음 ","")&amp;IF(K788&lt;&gt;1,"비USD ","")&amp;IF(AND(AB788="",Y788=0),"시장데이터없음 ","")&amp;IF(AND(ISNUMBER(U788),U788&lt;0),"만기경과 ","")))</f>
        <v/>
      </c>
      <c r="AX788" s="90" t="n">
        <f aca="false">IF(Q788&lt;&gt;1,1,IF(스프레드쇼크!$C$4="Y",INDEX(스프레드쇼크!$B$12:$L$16,IFERROR(MATCH(AH788,스프레드쇼크!$A$12:$A$16,0),MATCH("목록외",스프레드쇼크!$A$12:$A$16,0)),IFERROR(MATCH(AG788,스프레드쇼크!$B$11:$L$11,0),MATCH("목록외",스프레드쇼크!$B$11:$L$11,0))),1))</f>
        <v>1</v>
      </c>
      <c r="AY788" s="90" t="n">
        <f aca="false">IF(스프레드쇼크!$C$5="Y",IF(ISNUMBER(AF788),MIN(스프레드쇼크!$C$7,MAX(스프레드쇼크!$C$6,AF788/스프레드쇼크!$C$8)),1),1)</f>
        <v>1</v>
      </c>
      <c r="AZ788" s="94" t="n">
        <f aca="false">AN788*AX788*AY788</f>
        <v>0</v>
      </c>
      <c r="BA788" s="90" t="n">
        <f aca="false">IF(ISNUMBER(G788),AA788*G788,0)</f>
        <v>0</v>
      </c>
      <c r="BB788" s="90" t="n">
        <f aca="false">IF(ISNUMBER(G788),AA788,0)</f>
        <v>0</v>
      </c>
      <c r="BC788" s="90" t="n">
        <f aca="false">IF(AND(Y788=0,ISNUMBER(AF788)),AA788*AF788,0)</f>
        <v>0</v>
      </c>
      <c r="BD788" s="90" t="n">
        <f aca="false">IF(AND(Y788=0,ISNUMBER(AF788)),AA788,0)</f>
        <v>0</v>
      </c>
      <c r="BE788" s="90" t="n">
        <f aca="false">IF(ISNUMBER(H788),AA788*H788,0)</f>
        <v>0</v>
      </c>
      <c r="BF788" s="90" t="n">
        <f aca="false">IF(ISNUMBER(H788),AA788,0)</f>
        <v>0</v>
      </c>
      <c r="BG788" s="90" t="n">
        <f aca="false">IF(AND(Y788=0,ISNUMBER(AF788),ISNUMBER(Z788)),AA788*Z788,0)</f>
        <v>0</v>
      </c>
      <c r="BH788" s="90" t="n">
        <f aca="false">IF(AND(Y788=0,ISNUMBER(AF788),ISNUMBER(Z788)),AA788*AT788*MAX(Z788-1,0),0)</f>
        <v>0</v>
      </c>
      <c r="BI788" s="90" t="n">
        <f aca="false">IF(Y788=0,AA788,0)</f>
        <v>0</v>
      </c>
    </row>
    <row r="789" customFormat="false" ht="15" hidden="false" customHeight="false" outlineLevel="0" collapsed="false">
      <c r="A789" s="83" t="str">
        <f aca="false">IFERROR(IF(INDEX(원자료_잔고!$A$1:$EZ$1500,설정!$L$5+ROW()-1,설정!$L$8)&amp;""="0","",INDEX(원자료_잔고!$A$1:$EZ$1500,설정!$L$5+ROW()-1,설정!$L$8)&amp;""),"")</f>
        <v/>
      </c>
      <c r="B789" s="83" t="str">
        <f aca="false">IFERROR(IF(INDEX(원자료_잔고!$A$1:$EZ$1500,설정!$L$5+ROW()-1,설정!$L$7)&amp;""="0","",INDEX(원자료_잔고!$A$1:$EZ$1500,설정!$L$5+ROW()-1,설정!$L$7)&amp;""),"")</f>
        <v/>
      </c>
      <c r="C789" s="83" t="str">
        <f aca="false">IFERROR(IF(INDEX(원자료_잔고!$A$1:$EZ$1500,설정!$L$5+ROW()-1,설정!$L$9)&amp;""="0","",INDEX(원자료_잔고!$A$1:$EZ$1500,설정!$L$5+ROW()-1,설정!$L$9)&amp;""),"")</f>
        <v/>
      </c>
      <c r="D789" s="83" t="str">
        <f aca="false">IFERROR(IF(INDEX(원자료_잔고!$A$1:$EZ$1500,설정!$L$5+ROW()-1,설정!$L$10)&amp;""="0","",INDEX(원자료_잔고!$A$1:$EZ$1500,설정!$L$5+ROW()-1,설정!$L$10)&amp;""),"")</f>
        <v/>
      </c>
      <c r="E789" s="84" t="str">
        <f aca="false">IFERROR(IF(ISNUMBER(INDEX(원자료_잔고!$A$1:$EZ$1500,설정!$L$5+ROW()-1,설정!$L$11)),INDEX(원자료_잔고!$A$1:$EZ$1500,설정!$L$5+ROW()-1,설정!$L$11),""),"")</f>
        <v/>
      </c>
      <c r="F789" s="85" t="str">
        <f aca="false">IFERROR(IF(ISNUMBER(INDEX(원자료_잔고!$A$1:$EZ$1500,설정!$L$5+ROW()-1,설정!$L$12)),INDEX(원자료_잔고!$A$1:$EZ$1500,설정!$L$5+ROW()-1,설정!$L$12),""),"")</f>
        <v/>
      </c>
      <c r="G789" s="85" t="str">
        <f aca="false">IFERROR(IF(ISNUMBER(INDEX(원자료_잔고!$A$1:$EZ$1500,설정!$L$5+ROW()-1,설정!$L$13)),INDEX(원자료_잔고!$A$1:$EZ$1500,설정!$L$5+ROW()-1,설정!$L$13),""),"")</f>
        <v/>
      </c>
      <c r="H789" s="85" t="str">
        <f aca="false">IFERROR(IF(ISNUMBER(INDEX(원자료_잔고!$A$1:$EZ$1500,설정!$L$5+ROW()-1,설정!$L$14)),INDEX(원자료_잔고!$A$1:$EZ$1500,설정!$L$5+ROW()-1,설정!$L$14),""),"")</f>
        <v/>
      </c>
      <c r="I789" s="86" t="str">
        <f aca="false">IFERROR(IF(ISNUMBER(INDEX(원자료_잔고!$A$1:$EZ$1500,설정!$L$5+ROW()-1,설정!$L$15)),INDEX(원자료_잔고!$A$1:$EZ$1500,설정!$L$5+ROW()-1,설정!$L$15),""),"")</f>
        <v/>
      </c>
      <c r="J789" s="85" t="str">
        <f aca="false">IFERROR(IF(ISNUMBER(INDEX(원자료_잔고!$A$1:$EZ$1500,설정!$L$5+ROW()-1,설정!$L$16)),INDEX(원자료_잔고!$A$1:$EZ$1500,설정!$L$5+ROW()-1,설정!$L$16),""),"")</f>
        <v/>
      </c>
      <c r="K789" s="87" t="str">
        <f aca="false">IFERROR(IF(ISNUMBER(INDEX(원자료_잔고!$A$1:$EZ$1500,설정!$L$5+ROW()-1,설정!$L$17)),INDEX(원자료_잔고!$A$1:$EZ$1500,설정!$L$5+ROW()-1,설정!$L$17),""),"")</f>
        <v/>
      </c>
      <c r="L789" s="84" t="str">
        <f aca="false">IFERROR(IF(ISNUMBER(INDEX(원자료_잔고!$A$1:$EZ$1500,설정!$L$5+ROW()-1,설정!$L$18)),INDEX(원자료_잔고!$A$1:$EZ$1500,설정!$L$5+ROW()-1,설정!$L$18),""),"")</f>
        <v/>
      </c>
      <c r="M789" s="88" t="str">
        <f aca="false">IFERROR(IF(ISNUMBER(INDEX(원자료_잔고!$A$1:$EZ$1500,설정!$L$5+ROW()-1,설정!$L$19)),INDEX(원자료_잔고!$A$1:$EZ$1500,설정!$L$5+ROW()-1,설정!$L$19),""),"")</f>
        <v/>
      </c>
      <c r="N789" s="83" t="str">
        <f aca="false">IFERROR(IF(INDEX(원자료_잔고!$A$1:$EZ$1500,설정!$L$5+ROW()-1,설정!$L$21)&amp;""="0","",INDEX(원자료_잔고!$A$1:$EZ$1500,설정!$L$5+ROW()-1,설정!$L$21)&amp;""),"")</f>
        <v/>
      </c>
      <c r="O789" s="83" t="str">
        <f aca="false">IFERROR(IF(INDEX(원자료_잔고!$A$1:$EZ$1500,설정!$L$5+ROW()-1,설정!$L$22)&amp;""="0","",INDEX(원자료_잔고!$A$1:$EZ$1500,설정!$L$5+ROW()-1,설정!$L$22)&amp;""),"")</f>
        <v/>
      </c>
      <c r="P789" s="83" t="str">
        <f aca="false">IFERROR(IF(INDEX(원자료_잔고!$A$1:$EZ$1500,설정!$L$5+ROW()-1,설정!$L$23)&amp;""="0","",INDEX(원자료_잔고!$A$1:$EZ$1500,설정!$L$5+ROW()-1,설정!$L$23)&amp;""),"")</f>
        <v/>
      </c>
      <c r="Q789" s="89" t="n">
        <f aca="false">IF(AND($A789&lt;&gt;"",ISNUMBER(E789)),IF(E789&gt;0,1,0),0)</f>
        <v>0</v>
      </c>
      <c r="R789" s="43" t="str">
        <f aca="false">IF(Q789=1,UPPER(LEFT($A789,FIND(" ",$A789&amp;" ")-1)),"")</f>
        <v/>
      </c>
      <c r="S789" s="89" t="n">
        <f aca="false">IF(Q789=1,IF(OR(ISNUMBER(SEARCH("Float",$A789)),ISNUMBER(SEARCH("FRN",$A789))),1,0),0)</f>
        <v>0</v>
      </c>
      <c r="T789" s="43" t="str">
        <f aca="false">IF(AND(Q789=1,ISNUMBER(I789)),TEXT(I789,"yyyymmdd")&amp;"|"&amp;IF(S789=1,"F",TEXT(J789,"0.000")),"")</f>
        <v/>
      </c>
      <c r="U789" s="90" t="str">
        <f aca="false">IF(AND(Q789=1,ISNUMBER(I789)),(I789-설정!$C$4)/365.25,"")</f>
        <v/>
      </c>
      <c r="V789" s="43" t="str">
        <f aca="false">IF(Q789&lt;&gt;1,"",IF(ISNUMBER(U789),IF(U789&lt;=1,"1년 이하",IF(U789&lt;=2,"1-2년",IF(U789&lt;=3,"2-3년",IF(U789&lt;=4,"3-4년",IF(U789&lt;=5,"4-5년",IF(U789&lt;=7,"5-7년",IF(U789&lt;=10,"7-10년",IF(U789&lt;=20,"10-20년","20년 이상")))))))),"미분류"))</f>
        <v/>
      </c>
      <c r="W789" s="43" t="str">
        <f aca="false">IF(Q789&lt;&gt;1,"",IF(AB789&lt;&gt;"",INDEX(시장분석!$C:$C,AB789),IF(K789=1,"USD","비USD")))</f>
        <v/>
      </c>
      <c r="X789" s="91" t="n">
        <f aca="false">IF(Q789=1,E789*K789/1000000,0)</f>
        <v>0</v>
      </c>
      <c r="Y789" s="89" t="n">
        <f aca="false">IF(R789="T",1,0)</f>
        <v>0</v>
      </c>
      <c r="Z789" s="92" t="str">
        <f aca="false">IF(Q789&lt;&gt;1,"",IF(AD789=1,IF(ISNUMBER(U789),MAX(U789,0),H789),H789))</f>
        <v/>
      </c>
      <c r="AA789" s="91" t="n">
        <f aca="false">IF(Q789=1,IF(ISNUMBER(L789),L789,0)*K789/1000000,0)</f>
        <v>0</v>
      </c>
      <c r="AB789" s="89" t="str">
        <f aca="false">IF(Q789&lt;&gt;1,"",IFERROR(MATCH(VLOOKUP(B789,매핑!$H$4:$I$15,2,0),시장분석!$A$2:$A$601,0)+1,IFERROR(MATCH(R789&amp;"|"&amp;T789,시장분석!$V$2:$V$601,0)+1,IF(COUNTIF(시장분석!$U$2:$U$601,T789)=1,MATCH(T789,시장분석!$U$2:$U$601,0)+1,""))))</f>
        <v/>
      </c>
      <c r="AC789" s="89" t="n">
        <f aca="false">IF(Q789&lt;&gt;1,0,IF(OR(설정!$C$5="전체",AND(설정!$C$5="선택펀드",IFERROR(COUNTIFS(설정!$F$16:$F$36,C789,설정!$G$16:$G$36,"Y")+COUNTIFS(설정!$F$16:$F$36,VALUE(C789),설정!$G$16:$G$36,"Y"),0)&gt;0),C789&amp;""=설정!$C$5&amp;""),1,0))</f>
        <v>0</v>
      </c>
      <c r="AD789" s="89" t="n">
        <f aca="false">IF(Q789&lt;&gt;1,0,IF(OR(S789=1,IF(AB789="",FALSE(),INDEX(시장분석!$R:$R,AB789)=1)),1,0))</f>
        <v>0</v>
      </c>
      <c r="AE789" s="43" t="str">
        <f aca="false">IF(AB789="","",INDEX(시장분석!$A:$A,AB789))</f>
        <v/>
      </c>
      <c r="AF789" s="93" t="str">
        <f aca="false">IF(AB789="","",IF(ISNUMBER(IF(AB789="","",INDEX(시장분석!$E:$E,AB789))),IF(AB789="","",INDEX(시장분석!$E:$E,AB789)),""))</f>
        <v/>
      </c>
      <c r="AG789" s="43" t="str">
        <f aca="false">IF(Q789&lt;&gt;1,"",IF(AB789&lt;&gt;"",IF(AB789="","",INDEX(시장분석!$L:$L,AB789)),IFERROR(IF(VLOOKUP(R789,매핑!$A$4:$E$92,5,0)="","미분류",VLOOKUP(R789,매핑!$A$4:$E$92,5,0)),"미분류")))</f>
        <v/>
      </c>
      <c r="AH789" s="43" t="str">
        <f aca="false">IF(Q789&lt;&gt;1,"",IF(AB789&lt;&gt;"",IF(AB789="","",INDEX(시장분석!$N:$N,AB789)),IFERROR(IF(VLOOKUP(R789,매핑!$A$4:$E$92,4,0)="","미분류",VLOOKUP(R789,매핑!$A$4:$E$92,4,0)),"미분류")))</f>
        <v/>
      </c>
      <c r="AI789" s="43" t="str">
        <f aca="false">IF(Q789&lt;&gt;1,"",IFERROR(IF(VLOOKUP(R789,매핑!$A$4:$E$92,3,0)="","미분류",VLOOKUP(R789,매핑!$A$4:$E$92,3,0)),IF(AB789&lt;&gt;"",IF(AB789="","",INDEX(시장분석!$W:$W,AB789)),"미분류")))</f>
        <v/>
      </c>
      <c r="AJ789" s="43" t="str">
        <f aca="false">IF(Q789&lt;&gt;1,"",IFERROR(VLOOKUP(IF(N789&lt;&gt;"",N789,IF(P789&lt;&gt;"",P789,O789)),설정!$A$15:$D$47,2,0),""))</f>
        <v/>
      </c>
      <c r="AK789" s="43" t="str">
        <f aca="false">IF(Q789&lt;&gt;1,"",IF(AJ789="","무등급",IFERROR(VLOOKUP(AJ789,설정!$A$15:$D$47,3,0),"무등급")))</f>
        <v/>
      </c>
      <c r="AL789" s="89" t="n">
        <f aca="false">IF(AJ789="",99,IFERROR(VLOOKUP(AJ789,설정!$A$15:$D$47,4,0),99))</f>
        <v>99</v>
      </c>
      <c r="AM789" s="94" t="n">
        <f aca="false">IF(ISNUMBER(H789),AA789*1000000*H789/10000,0)</f>
        <v>0</v>
      </c>
      <c r="AN789" s="94" t="n">
        <f aca="false">IF(OR(Y789=1,NOT(ISNUMBER(Z789))),0,AA789*1000000*Z789/10000)</f>
        <v>0</v>
      </c>
      <c r="AO789" s="94" t="n">
        <f aca="false">IF(ISNUMBER(G789),AA789*1000000*G789/100,0)</f>
        <v>0</v>
      </c>
      <c r="AP789" s="94" t="n">
        <f aca="false">IF(ISNUMBER(M789),M789*K789,0)</f>
        <v>0</v>
      </c>
      <c r="AQ789" s="95" t="str">
        <f aca="false">IF(AB789="","",INDEX(시장분석!$AK:$AK,AB789))</f>
        <v/>
      </c>
      <c r="AR789" s="43" t="str">
        <f aca="false">IF(AB789="","-",IF(AB789="","",INDEX(시장분석!$AL:$AL,AB789)))</f>
        <v>-</v>
      </c>
      <c r="AS789" s="96" t="str">
        <f aca="false">IF(AB789="","",INDEX(시장분석!$AJ:$AJ,AB789))</f>
        <v/>
      </c>
      <c r="AT789" s="93" t="n">
        <f aca="false">IF(AB789="",0,IF(AB789="","",INDEX(시장분석!$AN:$AN,AB789)))</f>
        <v>0</v>
      </c>
      <c r="AU789" s="94" t="n">
        <f aca="false">IF(ISNUMBER(Z789),AT789/10000*MAX(Z789-1,0)*AA789*1000000,0)</f>
        <v>0</v>
      </c>
      <c r="AV789" s="94" t="n">
        <f aca="false">AO789+AU789</f>
        <v>0</v>
      </c>
      <c r="AW789" s="43" t="str">
        <f aca="false">IF(Q789&lt;&gt;1,"",TRIM(IF(AD789=1,"FRN ","")&amp;IF(AND(AL789&gt;=10,AL789&lt;99),"BBB0미만 ","")&amp;IF(AJ789="","등급없음 ","")&amp;IF(K789&lt;&gt;1,"비USD ","")&amp;IF(AND(AB789="",Y789=0),"시장데이터없음 ","")&amp;IF(AND(ISNUMBER(U789),U789&lt;0),"만기경과 ","")))</f>
        <v/>
      </c>
      <c r="AX789" s="90" t="n">
        <f aca="false">IF(Q789&lt;&gt;1,1,IF(스프레드쇼크!$C$4="Y",INDEX(스프레드쇼크!$B$12:$L$16,IFERROR(MATCH(AH789,스프레드쇼크!$A$12:$A$16,0),MATCH("목록외",스프레드쇼크!$A$12:$A$16,0)),IFERROR(MATCH(AG789,스프레드쇼크!$B$11:$L$11,0),MATCH("목록외",스프레드쇼크!$B$11:$L$11,0))),1))</f>
        <v>1</v>
      </c>
      <c r="AY789" s="90" t="n">
        <f aca="false">IF(스프레드쇼크!$C$5="Y",IF(ISNUMBER(AF789),MIN(스프레드쇼크!$C$7,MAX(스프레드쇼크!$C$6,AF789/스프레드쇼크!$C$8)),1),1)</f>
        <v>1</v>
      </c>
      <c r="AZ789" s="94" t="n">
        <f aca="false">AN789*AX789*AY789</f>
        <v>0</v>
      </c>
      <c r="BA789" s="90" t="n">
        <f aca="false">IF(ISNUMBER(G789),AA789*G789,0)</f>
        <v>0</v>
      </c>
      <c r="BB789" s="90" t="n">
        <f aca="false">IF(ISNUMBER(G789),AA789,0)</f>
        <v>0</v>
      </c>
      <c r="BC789" s="90" t="n">
        <f aca="false">IF(AND(Y789=0,ISNUMBER(AF789)),AA789*AF789,0)</f>
        <v>0</v>
      </c>
      <c r="BD789" s="90" t="n">
        <f aca="false">IF(AND(Y789=0,ISNUMBER(AF789)),AA789,0)</f>
        <v>0</v>
      </c>
      <c r="BE789" s="90" t="n">
        <f aca="false">IF(ISNUMBER(H789),AA789*H789,0)</f>
        <v>0</v>
      </c>
      <c r="BF789" s="90" t="n">
        <f aca="false">IF(ISNUMBER(H789),AA789,0)</f>
        <v>0</v>
      </c>
      <c r="BG789" s="90" t="n">
        <f aca="false">IF(AND(Y789=0,ISNUMBER(AF789),ISNUMBER(Z789)),AA789*Z789,0)</f>
        <v>0</v>
      </c>
      <c r="BH789" s="90" t="n">
        <f aca="false">IF(AND(Y789=0,ISNUMBER(AF789),ISNUMBER(Z789)),AA789*AT789*MAX(Z789-1,0),0)</f>
        <v>0</v>
      </c>
      <c r="BI789" s="90" t="n">
        <f aca="false">IF(Y789=0,AA789,0)</f>
        <v>0</v>
      </c>
    </row>
    <row r="790" customFormat="false" ht="15" hidden="false" customHeight="false" outlineLevel="0" collapsed="false">
      <c r="A790" s="83" t="str">
        <f aca="false">IFERROR(IF(INDEX(원자료_잔고!$A$1:$EZ$1500,설정!$L$5+ROW()-1,설정!$L$8)&amp;""="0","",INDEX(원자료_잔고!$A$1:$EZ$1500,설정!$L$5+ROW()-1,설정!$L$8)&amp;""),"")</f>
        <v/>
      </c>
      <c r="B790" s="83" t="str">
        <f aca="false">IFERROR(IF(INDEX(원자료_잔고!$A$1:$EZ$1500,설정!$L$5+ROW()-1,설정!$L$7)&amp;""="0","",INDEX(원자료_잔고!$A$1:$EZ$1500,설정!$L$5+ROW()-1,설정!$L$7)&amp;""),"")</f>
        <v/>
      </c>
      <c r="C790" s="83" t="str">
        <f aca="false">IFERROR(IF(INDEX(원자료_잔고!$A$1:$EZ$1500,설정!$L$5+ROW()-1,설정!$L$9)&amp;""="0","",INDEX(원자료_잔고!$A$1:$EZ$1500,설정!$L$5+ROW()-1,설정!$L$9)&amp;""),"")</f>
        <v/>
      </c>
      <c r="D790" s="83" t="str">
        <f aca="false">IFERROR(IF(INDEX(원자료_잔고!$A$1:$EZ$1500,설정!$L$5+ROW()-1,설정!$L$10)&amp;""="0","",INDEX(원자료_잔고!$A$1:$EZ$1500,설정!$L$5+ROW()-1,설정!$L$10)&amp;""),"")</f>
        <v/>
      </c>
      <c r="E790" s="84" t="str">
        <f aca="false">IFERROR(IF(ISNUMBER(INDEX(원자료_잔고!$A$1:$EZ$1500,설정!$L$5+ROW()-1,설정!$L$11)),INDEX(원자료_잔고!$A$1:$EZ$1500,설정!$L$5+ROW()-1,설정!$L$11),""),"")</f>
        <v/>
      </c>
      <c r="F790" s="85" t="str">
        <f aca="false">IFERROR(IF(ISNUMBER(INDEX(원자료_잔고!$A$1:$EZ$1500,설정!$L$5+ROW()-1,설정!$L$12)),INDEX(원자료_잔고!$A$1:$EZ$1500,설정!$L$5+ROW()-1,설정!$L$12),""),"")</f>
        <v/>
      </c>
      <c r="G790" s="85" t="str">
        <f aca="false">IFERROR(IF(ISNUMBER(INDEX(원자료_잔고!$A$1:$EZ$1500,설정!$L$5+ROW()-1,설정!$L$13)),INDEX(원자료_잔고!$A$1:$EZ$1500,설정!$L$5+ROW()-1,설정!$L$13),""),"")</f>
        <v/>
      </c>
      <c r="H790" s="85" t="str">
        <f aca="false">IFERROR(IF(ISNUMBER(INDEX(원자료_잔고!$A$1:$EZ$1500,설정!$L$5+ROW()-1,설정!$L$14)),INDEX(원자료_잔고!$A$1:$EZ$1500,설정!$L$5+ROW()-1,설정!$L$14),""),"")</f>
        <v/>
      </c>
      <c r="I790" s="86" t="str">
        <f aca="false">IFERROR(IF(ISNUMBER(INDEX(원자료_잔고!$A$1:$EZ$1500,설정!$L$5+ROW()-1,설정!$L$15)),INDEX(원자료_잔고!$A$1:$EZ$1500,설정!$L$5+ROW()-1,설정!$L$15),""),"")</f>
        <v/>
      </c>
      <c r="J790" s="85" t="str">
        <f aca="false">IFERROR(IF(ISNUMBER(INDEX(원자료_잔고!$A$1:$EZ$1500,설정!$L$5+ROW()-1,설정!$L$16)),INDEX(원자료_잔고!$A$1:$EZ$1500,설정!$L$5+ROW()-1,설정!$L$16),""),"")</f>
        <v/>
      </c>
      <c r="K790" s="87" t="str">
        <f aca="false">IFERROR(IF(ISNUMBER(INDEX(원자료_잔고!$A$1:$EZ$1500,설정!$L$5+ROW()-1,설정!$L$17)),INDEX(원자료_잔고!$A$1:$EZ$1500,설정!$L$5+ROW()-1,설정!$L$17),""),"")</f>
        <v/>
      </c>
      <c r="L790" s="84" t="str">
        <f aca="false">IFERROR(IF(ISNUMBER(INDEX(원자료_잔고!$A$1:$EZ$1500,설정!$L$5+ROW()-1,설정!$L$18)),INDEX(원자료_잔고!$A$1:$EZ$1500,설정!$L$5+ROW()-1,설정!$L$18),""),"")</f>
        <v/>
      </c>
      <c r="M790" s="88" t="str">
        <f aca="false">IFERROR(IF(ISNUMBER(INDEX(원자료_잔고!$A$1:$EZ$1500,설정!$L$5+ROW()-1,설정!$L$19)),INDEX(원자료_잔고!$A$1:$EZ$1500,설정!$L$5+ROW()-1,설정!$L$19),""),"")</f>
        <v/>
      </c>
      <c r="N790" s="83" t="str">
        <f aca="false">IFERROR(IF(INDEX(원자료_잔고!$A$1:$EZ$1500,설정!$L$5+ROW()-1,설정!$L$21)&amp;""="0","",INDEX(원자료_잔고!$A$1:$EZ$1500,설정!$L$5+ROW()-1,설정!$L$21)&amp;""),"")</f>
        <v/>
      </c>
      <c r="O790" s="83" t="str">
        <f aca="false">IFERROR(IF(INDEX(원자료_잔고!$A$1:$EZ$1500,설정!$L$5+ROW()-1,설정!$L$22)&amp;""="0","",INDEX(원자료_잔고!$A$1:$EZ$1500,설정!$L$5+ROW()-1,설정!$L$22)&amp;""),"")</f>
        <v/>
      </c>
      <c r="P790" s="83" t="str">
        <f aca="false">IFERROR(IF(INDEX(원자료_잔고!$A$1:$EZ$1500,설정!$L$5+ROW()-1,설정!$L$23)&amp;""="0","",INDEX(원자료_잔고!$A$1:$EZ$1500,설정!$L$5+ROW()-1,설정!$L$23)&amp;""),"")</f>
        <v/>
      </c>
      <c r="Q790" s="89" t="n">
        <f aca="false">IF(AND($A790&lt;&gt;"",ISNUMBER(E790)),IF(E790&gt;0,1,0),0)</f>
        <v>0</v>
      </c>
      <c r="R790" s="43" t="str">
        <f aca="false">IF(Q790=1,UPPER(LEFT($A790,FIND(" ",$A790&amp;" ")-1)),"")</f>
        <v/>
      </c>
      <c r="S790" s="89" t="n">
        <f aca="false">IF(Q790=1,IF(OR(ISNUMBER(SEARCH("Float",$A790)),ISNUMBER(SEARCH("FRN",$A790))),1,0),0)</f>
        <v>0</v>
      </c>
      <c r="T790" s="43" t="str">
        <f aca="false">IF(AND(Q790=1,ISNUMBER(I790)),TEXT(I790,"yyyymmdd")&amp;"|"&amp;IF(S790=1,"F",TEXT(J790,"0.000")),"")</f>
        <v/>
      </c>
      <c r="U790" s="90" t="str">
        <f aca="false">IF(AND(Q790=1,ISNUMBER(I790)),(I790-설정!$C$4)/365.25,"")</f>
        <v/>
      </c>
      <c r="V790" s="43" t="str">
        <f aca="false">IF(Q790&lt;&gt;1,"",IF(ISNUMBER(U790),IF(U790&lt;=1,"1년 이하",IF(U790&lt;=2,"1-2년",IF(U790&lt;=3,"2-3년",IF(U790&lt;=4,"3-4년",IF(U790&lt;=5,"4-5년",IF(U790&lt;=7,"5-7년",IF(U790&lt;=10,"7-10년",IF(U790&lt;=20,"10-20년","20년 이상")))))))),"미분류"))</f>
        <v/>
      </c>
      <c r="W790" s="43" t="str">
        <f aca="false">IF(Q790&lt;&gt;1,"",IF(AB790&lt;&gt;"",INDEX(시장분석!$C:$C,AB790),IF(K790=1,"USD","비USD")))</f>
        <v/>
      </c>
      <c r="X790" s="91" t="n">
        <f aca="false">IF(Q790=1,E790*K790/1000000,0)</f>
        <v>0</v>
      </c>
      <c r="Y790" s="89" t="n">
        <f aca="false">IF(R790="T",1,0)</f>
        <v>0</v>
      </c>
      <c r="Z790" s="92" t="str">
        <f aca="false">IF(Q790&lt;&gt;1,"",IF(AD790=1,IF(ISNUMBER(U790),MAX(U790,0),H790),H790))</f>
        <v/>
      </c>
      <c r="AA790" s="91" t="n">
        <f aca="false">IF(Q790=1,IF(ISNUMBER(L790),L790,0)*K790/1000000,0)</f>
        <v>0</v>
      </c>
      <c r="AB790" s="89" t="str">
        <f aca="false">IF(Q790&lt;&gt;1,"",IFERROR(MATCH(VLOOKUP(B790,매핑!$H$4:$I$15,2,0),시장분석!$A$2:$A$601,0)+1,IFERROR(MATCH(R790&amp;"|"&amp;T790,시장분석!$V$2:$V$601,0)+1,IF(COUNTIF(시장분석!$U$2:$U$601,T790)=1,MATCH(T790,시장분석!$U$2:$U$601,0)+1,""))))</f>
        <v/>
      </c>
      <c r="AC790" s="89" t="n">
        <f aca="false">IF(Q790&lt;&gt;1,0,IF(OR(설정!$C$5="전체",AND(설정!$C$5="선택펀드",IFERROR(COUNTIFS(설정!$F$16:$F$36,C790,설정!$G$16:$G$36,"Y")+COUNTIFS(설정!$F$16:$F$36,VALUE(C790),설정!$G$16:$G$36,"Y"),0)&gt;0),C790&amp;""=설정!$C$5&amp;""),1,0))</f>
        <v>0</v>
      </c>
      <c r="AD790" s="89" t="n">
        <f aca="false">IF(Q790&lt;&gt;1,0,IF(OR(S790=1,IF(AB790="",FALSE(),INDEX(시장분석!$R:$R,AB790)=1)),1,0))</f>
        <v>0</v>
      </c>
      <c r="AE790" s="43" t="str">
        <f aca="false">IF(AB790="","",INDEX(시장분석!$A:$A,AB790))</f>
        <v/>
      </c>
      <c r="AF790" s="93" t="str">
        <f aca="false">IF(AB790="","",IF(ISNUMBER(IF(AB790="","",INDEX(시장분석!$E:$E,AB790))),IF(AB790="","",INDEX(시장분석!$E:$E,AB790)),""))</f>
        <v/>
      </c>
      <c r="AG790" s="43" t="str">
        <f aca="false">IF(Q790&lt;&gt;1,"",IF(AB790&lt;&gt;"",IF(AB790="","",INDEX(시장분석!$L:$L,AB790)),IFERROR(IF(VLOOKUP(R790,매핑!$A$4:$E$92,5,0)="","미분류",VLOOKUP(R790,매핑!$A$4:$E$92,5,0)),"미분류")))</f>
        <v/>
      </c>
      <c r="AH790" s="43" t="str">
        <f aca="false">IF(Q790&lt;&gt;1,"",IF(AB790&lt;&gt;"",IF(AB790="","",INDEX(시장분석!$N:$N,AB790)),IFERROR(IF(VLOOKUP(R790,매핑!$A$4:$E$92,4,0)="","미분류",VLOOKUP(R790,매핑!$A$4:$E$92,4,0)),"미분류")))</f>
        <v/>
      </c>
      <c r="AI790" s="43" t="str">
        <f aca="false">IF(Q790&lt;&gt;1,"",IFERROR(IF(VLOOKUP(R790,매핑!$A$4:$E$92,3,0)="","미분류",VLOOKUP(R790,매핑!$A$4:$E$92,3,0)),IF(AB790&lt;&gt;"",IF(AB790="","",INDEX(시장분석!$W:$W,AB790)),"미분류")))</f>
        <v/>
      </c>
      <c r="AJ790" s="43" t="str">
        <f aca="false">IF(Q790&lt;&gt;1,"",IFERROR(VLOOKUP(IF(N790&lt;&gt;"",N790,IF(P790&lt;&gt;"",P790,O790)),설정!$A$15:$D$47,2,0),""))</f>
        <v/>
      </c>
      <c r="AK790" s="43" t="str">
        <f aca="false">IF(Q790&lt;&gt;1,"",IF(AJ790="","무등급",IFERROR(VLOOKUP(AJ790,설정!$A$15:$D$47,3,0),"무등급")))</f>
        <v/>
      </c>
      <c r="AL790" s="89" t="n">
        <f aca="false">IF(AJ790="",99,IFERROR(VLOOKUP(AJ790,설정!$A$15:$D$47,4,0),99))</f>
        <v>99</v>
      </c>
      <c r="AM790" s="94" t="n">
        <f aca="false">IF(ISNUMBER(H790),AA790*1000000*H790/10000,0)</f>
        <v>0</v>
      </c>
      <c r="AN790" s="94" t="n">
        <f aca="false">IF(OR(Y790=1,NOT(ISNUMBER(Z790))),0,AA790*1000000*Z790/10000)</f>
        <v>0</v>
      </c>
      <c r="AO790" s="94" t="n">
        <f aca="false">IF(ISNUMBER(G790),AA790*1000000*G790/100,0)</f>
        <v>0</v>
      </c>
      <c r="AP790" s="94" t="n">
        <f aca="false">IF(ISNUMBER(M790),M790*K790,0)</f>
        <v>0</v>
      </c>
      <c r="AQ790" s="95" t="str">
        <f aca="false">IF(AB790="","",INDEX(시장분석!$AK:$AK,AB790))</f>
        <v/>
      </c>
      <c r="AR790" s="43" t="str">
        <f aca="false">IF(AB790="","-",IF(AB790="","",INDEX(시장분석!$AL:$AL,AB790)))</f>
        <v>-</v>
      </c>
      <c r="AS790" s="96" t="str">
        <f aca="false">IF(AB790="","",INDEX(시장분석!$AJ:$AJ,AB790))</f>
        <v/>
      </c>
      <c r="AT790" s="93" t="n">
        <f aca="false">IF(AB790="",0,IF(AB790="","",INDEX(시장분석!$AN:$AN,AB790)))</f>
        <v>0</v>
      </c>
      <c r="AU790" s="94" t="n">
        <f aca="false">IF(ISNUMBER(Z790),AT790/10000*MAX(Z790-1,0)*AA790*1000000,0)</f>
        <v>0</v>
      </c>
      <c r="AV790" s="94" t="n">
        <f aca="false">AO790+AU790</f>
        <v>0</v>
      </c>
      <c r="AW790" s="43" t="str">
        <f aca="false">IF(Q790&lt;&gt;1,"",TRIM(IF(AD790=1,"FRN ","")&amp;IF(AND(AL790&gt;=10,AL790&lt;99),"BBB0미만 ","")&amp;IF(AJ790="","등급없음 ","")&amp;IF(K790&lt;&gt;1,"비USD ","")&amp;IF(AND(AB790="",Y790=0),"시장데이터없음 ","")&amp;IF(AND(ISNUMBER(U790),U790&lt;0),"만기경과 ","")))</f>
        <v/>
      </c>
      <c r="AX790" s="90" t="n">
        <f aca="false">IF(Q790&lt;&gt;1,1,IF(스프레드쇼크!$C$4="Y",INDEX(스프레드쇼크!$B$12:$L$16,IFERROR(MATCH(AH790,스프레드쇼크!$A$12:$A$16,0),MATCH("목록외",스프레드쇼크!$A$12:$A$16,0)),IFERROR(MATCH(AG790,스프레드쇼크!$B$11:$L$11,0),MATCH("목록외",스프레드쇼크!$B$11:$L$11,0))),1))</f>
        <v>1</v>
      </c>
      <c r="AY790" s="90" t="n">
        <f aca="false">IF(스프레드쇼크!$C$5="Y",IF(ISNUMBER(AF790),MIN(스프레드쇼크!$C$7,MAX(스프레드쇼크!$C$6,AF790/스프레드쇼크!$C$8)),1),1)</f>
        <v>1</v>
      </c>
      <c r="AZ790" s="94" t="n">
        <f aca="false">AN790*AX790*AY790</f>
        <v>0</v>
      </c>
      <c r="BA790" s="90" t="n">
        <f aca="false">IF(ISNUMBER(G790),AA790*G790,0)</f>
        <v>0</v>
      </c>
      <c r="BB790" s="90" t="n">
        <f aca="false">IF(ISNUMBER(G790),AA790,0)</f>
        <v>0</v>
      </c>
      <c r="BC790" s="90" t="n">
        <f aca="false">IF(AND(Y790=0,ISNUMBER(AF790)),AA790*AF790,0)</f>
        <v>0</v>
      </c>
      <c r="BD790" s="90" t="n">
        <f aca="false">IF(AND(Y790=0,ISNUMBER(AF790)),AA790,0)</f>
        <v>0</v>
      </c>
      <c r="BE790" s="90" t="n">
        <f aca="false">IF(ISNUMBER(H790),AA790*H790,0)</f>
        <v>0</v>
      </c>
      <c r="BF790" s="90" t="n">
        <f aca="false">IF(ISNUMBER(H790),AA790,0)</f>
        <v>0</v>
      </c>
      <c r="BG790" s="90" t="n">
        <f aca="false">IF(AND(Y790=0,ISNUMBER(AF790),ISNUMBER(Z790)),AA790*Z790,0)</f>
        <v>0</v>
      </c>
      <c r="BH790" s="90" t="n">
        <f aca="false">IF(AND(Y790=0,ISNUMBER(AF790),ISNUMBER(Z790)),AA790*AT790*MAX(Z790-1,0),0)</f>
        <v>0</v>
      </c>
      <c r="BI790" s="90" t="n">
        <f aca="false">IF(Y790=0,AA790,0)</f>
        <v>0</v>
      </c>
    </row>
    <row r="791" customFormat="false" ht="15" hidden="false" customHeight="false" outlineLevel="0" collapsed="false">
      <c r="A791" s="83" t="str">
        <f aca="false">IFERROR(IF(INDEX(원자료_잔고!$A$1:$EZ$1500,설정!$L$5+ROW()-1,설정!$L$8)&amp;""="0","",INDEX(원자료_잔고!$A$1:$EZ$1500,설정!$L$5+ROW()-1,설정!$L$8)&amp;""),"")</f>
        <v/>
      </c>
      <c r="B791" s="83" t="str">
        <f aca="false">IFERROR(IF(INDEX(원자료_잔고!$A$1:$EZ$1500,설정!$L$5+ROW()-1,설정!$L$7)&amp;""="0","",INDEX(원자료_잔고!$A$1:$EZ$1500,설정!$L$5+ROW()-1,설정!$L$7)&amp;""),"")</f>
        <v/>
      </c>
      <c r="C791" s="83" t="str">
        <f aca="false">IFERROR(IF(INDEX(원자료_잔고!$A$1:$EZ$1500,설정!$L$5+ROW()-1,설정!$L$9)&amp;""="0","",INDEX(원자료_잔고!$A$1:$EZ$1500,설정!$L$5+ROW()-1,설정!$L$9)&amp;""),"")</f>
        <v/>
      </c>
      <c r="D791" s="83" t="str">
        <f aca="false">IFERROR(IF(INDEX(원자료_잔고!$A$1:$EZ$1500,설정!$L$5+ROW()-1,설정!$L$10)&amp;""="0","",INDEX(원자료_잔고!$A$1:$EZ$1500,설정!$L$5+ROW()-1,설정!$L$10)&amp;""),"")</f>
        <v/>
      </c>
      <c r="E791" s="84" t="str">
        <f aca="false">IFERROR(IF(ISNUMBER(INDEX(원자료_잔고!$A$1:$EZ$1500,설정!$L$5+ROW()-1,설정!$L$11)),INDEX(원자료_잔고!$A$1:$EZ$1500,설정!$L$5+ROW()-1,설정!$L$11),""),"")</f>
        <v/>
      </c>
      <c r="F791" s="85" t="str">
        <f aca="false">IFERROR(IF(ISNUMBER(INDEX(원자료_잔고!$A$1:$EZ$1500,설정!$L$5+ROW()-1,설정!$L$12)),INDEX(원자료_잔고!$A$1:$EZ$1500,설정!$L$5+ROW()-1,설정!$L$12),""),"")</f>
        <v/>
      </c>
      <c r="G791" s="85" t="str">
        <f aca="false">IFERROR(IF(ISNUMBER(INDEX(원자료_잔고!$A$1:$EZ$1500,설정!$L$5+ROW()-1,설정!$L$13)),INDEX(원자료_잔고!$A$1:$EZ$1500,설정!$L$5+ROW()-1,설정!$L$13),""),"")</f>
        <v/>
      </c>
      <c r="H791" s="85" t="str">
        <f aca="false">IFERROR(IF(ISNUMBER(INDEX(원자료_잔고!$A$1:$EZ$1500,설정!$L$5+ROW()-1,설정!$L$14)),INDEX(원자료_잔고!$A$1:$EZ$1500,설정!$L$5+ROW()-1,설정!$L$14),""),"")</f>
        <v/>
      </c>
      <c r="I791" s="86" t="str">
        <f aca="false">IFERROR(IF(ISNUMBER(INDEX(원자료_잔고!$A$1:$EZ$1500,설정!$L$5+ROW()-1,설정!$L$15)),INDEX(원자료_잔고!$A$1:$EZ$1500,설정!$L$5+ROW()-1,설정!$L$15),""),"")</f>
        <v/>
      </c>
      <c r="J791" s="85" t="str">
        <f aca="false">IFERROR(IF(ISNUMBER(INDEX(원자료_잔고!$A$1:$EZ$1500,설정!$L$5+ROW()-1,설정!$L$16)),INDEX(원자료_잔고!$A$1:$EZ$1500,설정!$L$5+ROW()-1,설정!$L$16),""),"")</f>
        <v/>
      </c>
      <c r="K791" s="87" t="str">
        <f aca="false">IFERROR(IF(ISNUMBER(INDEX(원자료_잔고!$A$1:$EZ$1500,설정!$L$5+ROW()-1,설정!$L$17)),INDEX(원자료_잔고!$A$1:$EZ$1500,설정!$L$5+ROW()-1,설정!$L$17),""),"")</f>
        <v/>
      </c>
      <c r="L791" s="84" t="str">
        <f aca="false">IFERROR(IF(ISNUMBER(INDEX(원자료_잔고!$A$1:$EZ$1500,설정!$L$5+ROW()-1,설정!$L$18)),INDEX(원자료_잔고!$A$1:$EZ$1500,설정!$L$5+ROW()-1,설정!$L$18),""),"")</f>
        <v/>
      </c>
      <c r="M791" s="88" t="str">
        <f aca="false">IFERROR(IF(ISNUMBER(INDEX(원자료_잔고!$A$1:$EZ$1500,설정!$L$5+ROW()-1,설정!$L$19)),INDEX(원자료_잔고!$A$1:$EZ$1500,설정!$L$5+ROW()-1,설정!$L$19),""),"")</f>
        <v/>
      </c>
      <c r="N791" s="83" t="str">
        <f aca="false">IFERROR(IF(INDEX(원자료_잔고!$A$1:$EZ$1500,설정!$L$5+ROW()-1,설정!$L$21)&amp;""="0","",INDEX(원자료_잔고!$A$1:$EZ$1500,설정!$L$5+ROW()-1,설정!$L$21)&amp;""),"")</f>
        <v/>
      </c>
      <c r="O791" s="83" t="str">
        <f aca="false">IFERROR(IF(INDEX(원자료_잔고!$A$1:$EZ$1500,설정!$L$5+ROW()-1,설정!$L$22)&amp;""="0","",INDEX(원자료_잔고!$A$1:$EZ$1500,설정!$L$5+ROW()-1,설정!$L$22)&amp;""),"")</f>
        <v/>
      </c>
      <c r="P791" s="83" t="str">
        <f aca="false">IFERROR(IF(INDEX(원자료_잔고!$A$1:$EZ$1500,설정!$L$5+ROW()-1,설정!$L$23)&amp;""="0","",INDEX(원자료_잔고!$A$1:$EZ$1500,설정!$L$5+ROW()-1,설정!$L$23)&amp;""),"")</f>
        <v/>
      </c>
      <c r="Q791" s="89" t="n">
        <f aca="false">IF(AND($A791&lt;&gt;"",ISNUMBER(E791)),IF(E791&gt;0,1,0),0)</f>
        <v>0</v>
      </c>
      <c r="R791" s="43" t="str">
        <f aca="false">IF(Q791=1,UPPER(LEFT($A791,FIND(" ",$A791&amp;" ")-1)),"")</f>
        <v/>
      </c>
      <c r="S791" s="89" t="n">
        <f aca="false">IF(Q791=1,IF(OR(ISNUMBER(SEARCH("Float",$A791)),ISNUMBER(SEARCH("FRN",$A791))),1,0),0)</f>
        <v>0</v>
      </c>
      <c r="T791" s="43" t="str">
        <f aca="false">IF(AND(Q791=1,ISNUMBER(I791)),TEXT(I791,"yyyymmdd")&amp;"|"&amp;IF(S791=1,"F",TEXT(J791,"0.000")),"")</f>
        <v/>
      </c>
      <c r="U791" s="90" t="str">
        <f aca="false">IF(AND(Q791=1,ISNUMBER(I791)),(I791-설정!$C$4)/365.25,"")</f>
        <v/>
      </c>
      <c r="V791" s="43" t="str">
        <f aca="false">IF(Q791&lt;&gt;1,"",IF(ISNUMBER(U791),IF(U791&lt;=1,"1년 이하",IF(U791&lt;=2,"1-2년",IF(U791&lt;=3,"2-3년",IF(U791&lt;=4,"3-4년",IF(U791&lt;=5,"4-5년",IF(U791&lt;=7,"5-7년",IF(U791&lt;=10,"7-10년",IF(U791&lt;=20,"10-20년","20년 이상")))))))),"미분류"))</f>
        <v/>
      </c>
      <c r="W791" s="43" t="str">
        <f aca="false">IF(Q791&lt;&gt;1,"",IF(AB791&lt;&gt;"",INDEX(시장분석!$C:$C,AB791),IF(K791=1,"USD","비USD")))</f>
        <v/>
      </c>
      <c r="X791" s="91" t="n">
        <f aca="false">IF(Q791=1,E791*K791/1000000,0)</f>
        <v>0</v>
      </c>
      <c r="Y791" s="89" t="n">
        <f aca="false">IF(R791="T",1,0)</f>
        <v>0</v>
      </c>
      <c r="Z791" s="92" t="str">
        <f aca="false">IF(Q791&lt;&gt;1,"",IF(AD791=1,IF(ISNUMBER(U791),MAX(U791,0),H791),H791))</f>
        <v/>
      </c>
      <c r="AA791" s="91" t="n">
        <f aca="false">IF(Q791=1,IF(ISNUMBER(L791),L791,0)*K791/1000000,0)</f>
        <v>0</v>
      </c>
      <c r="AB791" s="89" t="str">
        <f aca="false">IF(Q791&lt;&gt;1,"",IFERROR(MATCH(VLOOKUP(B791,매핑!$H$4:$I$15,2,0),시장분석!$A$2:$A$601,0)+1,IFERROR(MATCH(R791&amp;"|"&amp;T791,시장분석!$V$2:$V$601,0)+1,IF(COUNTIF(시장분석!$U$2:$U$601,T791)=1,MATCH(T791,시장분석!$U$2:$U$601,0)+1,""))))</f>
        <v/>
      </c>
      <c r="AC791" s="89" t="n">
        <f aca="false">IF(Q791&lt;&gt;1,0,IF(OR(설정!$C$5="전체",AND(설정!$C$5="선택펀드",IFERROR(COUNTIFS(설정!$F$16:$F$36,C791,설정!$G$16:$G$36,"Y")+COUNTIFS(설정!$F$16:$F$36,VALUE(C791),설정!$G$16:$G$36,"Y"),0)&gt;0),C791&amp;""=설정!$C$5&amp;""),1,0))</f>
        <v>0</v>
      </c>
      <c r="AD791" s="89" t="n">
        <f aca="false">IF(Q791&lt;&gt;1,0,IF(OR(S791=1,IF(AB791="",FALSE(),INDEX(시장분석!$R:$R,AB791)=1)),1,0))</f>
        <v>0</v>
      </c>
      <c r="AE791" s="43" t="str">
        <f aca="false">IF(AB791="","",INDEX(시장분석!$A:$A,AB791))</f>
        <v/>
      </c>
      <c r="AF791" s="93" t="str">
        <f aca="false">IF(AB791="","",IF(ISNUMBER(IF(AB791="","",INDEX(시장분석!$E:$E,AB791))),IF(AB791="","",INDEX(시장분석!$E:$E,AB791)),""))</f>
        <v/>
      </c>
      <c r="AG791" s="43" t="str">
        <f aca="false">IF(Q791&lt;&gt;1,"",IF(AB791&lt;&gt;"",IF(AB791="","",INDEX(시장분석!$L:$L,AB791)),IFERROR(IF(VLOOKUP(R791,매핑!$A$4:$E$92,5,0)="","미분류",VLOOKUP(R791,매핑!$A$4:$E$92,5,0)),"미분류")))</f>
        <v/>
      </c>
      <c r="AH791" s="43" t="str">
        <f aca="false">IF(Q791&lt;&gt;1,"",IF(AB791&lt;&gt;"",IF(AB791="","",INDEX(시장분석!$N:$N,AB791)),IFERROR(IF(VLOOKUP(R791,매핑!$A$4:$E$92,4,0)="","미분류",VLOOKUP(R791,매핑!$A$4:$E$92,4,0)),"미분류")))</f>
        <v/>
      </c>
      <c r="AI791" s="43" t="str">
        <f aca="false">IF(Q791&lt;&gt;1,"",IFERROR(IF(VLOOKUP(R791,매핑!$A$4:$E$92,3,0)="","미분류",VLOOKUP(R791,매핑!$A$4:$E$92,3,0)),IF(AB791&lt;&gt;"",IF(AB791="","",INDEX(시장분석!$W:$W,AB791)),"미분류")))</f>
        <v/>
      </c>
      <c r="AJ791" s="43" t="str">
        <f aca="false">IF(Q791&lt;&gt;1,"",IFERROR(VLOOKUP(IF(N791&lt;&gt;"",N791,IF(P791&lt;&gt;"",P791,O791)),설정!$A$15:$D$47,2,0),""))</f>
        <v/>
      </c>
      <c r="AK791" s="43" t="str">
        <f aca="false">IF(Q791&lt;&gt;1,"",IF(AJ791="","무등급",IFERROR(VLOOKUP(AJ791,설정!$A$15:$D$47,3,0),"무등급")))</f>
        <v/>
      </c>
      <c r="AL791" s="89" t="n">
        <f aca="false">IF(AJ791="",99,IFERROR(VLOOKUP(AJ791,설정!$A$15:$D$47,4,0),99))</f>
        <v>99</v>
      </c>
      <c r="AM791" s="94" t="n">
        <f aca="false">IF(ISNUMBER(H791),AA791*1000000*H791/10000,0)</f>
        <v>0</v>
      </c>
      <c r="AN791" s="94" t="n">
        <f aca="false">IF(OR(Y791=1,NOT(ISNUMBER(Z791))),0,AA791*1000000*Z791/10000)</f>
        <v>0</v>
      </c>
      <c r="AO791" s="94" t="n">
        <f aca="false">IF(ISNUMBER(G791),AA791*1000000*G791/100,0)</f>
        <v>0</v>
      </c>
      <c r="AP791" s="94" t="n">
        <f aca="false">IF(ISNUMBER(M791),M791*K791,0)</f>
        <v>0</v>
      </c>
      <c r="AQ791" s="95" t="str">
        <f aca="false">IF(AB791="","",INDEX(시장분석!$AK:$AK,AB791))</f>
        <v/>
      </c>
      <c r="AR791" s="43" t="str">
        <f aca="false">IF(AB791="","-",IF(AB791="","",INDEX(시장분석!$AL:$AL,AB791)))</f>
        <v>-</v>
      </c>
      <c r="AS791" s="96" t="str">
        <f aca="false">IF(AB791="","",INDEX(시장분석!$AJ:$AJ,AB791))</f>
        <v/>
      </c>
      <c r="AT791" s="93" t="n">
        <f aca="false">IF(AB791="",0,IF(AB791="","",INDEX(시장분석!$AN:$AN,AB791)))</f>
        <v>0</v>
      </c>
      <c r="AU791" s="94" t="n">
        <f aca="false">IF(ISNUMBER(Z791),AT791/10000*MAX(Z791-1,0)*AA791*1000000,0)</f>
        <v>0</v>
      </c>
      <c r="AV791" s="94" t="n">
        <f aca="false">AO791+AU791</f>
        <v>0</v>
      </c>
      <c r="AW791" s="43" t="str">
        <f aca="false">IF(Q791&lt;&gt;1,"",TRIM(IF(AD791=1,"FRN ","")&amp;IF(AND(AL791&gt;=10,AL791&lt;99),"BBB0미만 ","")&amp;IF(AJ791="","등급없음 ","")&amp;IF(K791&lt;&gt;1,"비USD ","")&amp;IF(AND(AB791="",Y791=0),"시장데이터없음 ","")&amp;IF(AND(ISNUMBER(U791),U791&lt;0),"만기경과 ","")))</f>
        <v/>
      </c>
      <c r="AX791" s="90" t="n">
        <f aca="false">IF(Q791&lt;&gt;1,1,IF(스프레드쇼크!$C$4="Y",INDEX(스프레드쇼크!$B$12:$L$16,IFERROR(MATCH(AH791,스프레드쇼크!$A$12:$A$16,0),MATCH("목록외",스프레드쇼크!$A$12:$A$16,0)),IFERROR(MATCH(AG791,스프레드쇼크!$B$11:$L$11,0),MATCH("목록외",스프레드쇼크!$B$11:$L$11,0))),1))</f>
        <v>1</v>
      </c>
      <c r="AY791" s="90" t="n">
        <f aca="false">IF(스프레드쇼크!$C$5="Y",IF(ISNUMBER(AF791),MIN(스프레드쇼크!$C$7,MAX(스프레드쇼크!$C$6,AF791/스프레드쇼크!$C$8)),1),1)</f>
        <v>1</v>
      </c>
      <c r="AZ791" s="94" t="n">
        <f aca="false">AN791*AX791*AY791</f>
        <v>0</v>
      </c>
      <c r="BA791" s="90" t="n">
        <f aca="false">IF(ISNUMBER(G791),AA791*G791,0)</f>
        <v>0</v>
      </c>
      <c r="BB791" s="90" t="n">
        <f aca="false">IF(ISNUMBER(G791),AA791,0)</f>
        <v>0</v>
      </c>
      <c r="BC791" s="90" t="n">
        <f aca="false">IF(AND(Y791=0,ISNUMBER(AF791)),AA791*AF791,0)</f>
        <v>0</v>
      </c>
      <c r="BD791" s="90" t="n">
        <f aca="false">IF(AND(Y791=0,ISNUMBER(AF791)),AA791,0)</f>
        <v>0</v>
      </c>
      <c r="BE791" s="90" t="n">
        <f aca="false">IF(ISNUMBER(H791),AA791*H791,0)</f>
        <v>0</v>
      </c>
      <c r="BF791" s="90" t="n">
        <f aca="false">IF(ISNUMBER(H791),AA791,0)</f>
        <v>0</v>
      </c>
      <c r="BG791" s="90" t="n">
        <f aca="false">IF(AND(Y791=0,ISNUMBER(AF791),ISNUMBER(Z791)),AA791*Z791,0)</f>
        <v>0</v>
      </c>
      <c r="BH791" s="90" t="n">
        <f aca="false">IF(AND(Y791=0,ISNUMBER(AF791),ISNUMBER(Z791)),AA791*AT791*MAX(Z791-1,0),0)</f>
        <v>0</v>
      </c>
      <c r="BI791" s="90" t="n">
        <f aca="false">IF(Y791=0,AA791,0)</f>
        <v>0</v>
      </c>
    </row>
    <row r="792" customFormat="false" ht="15" hidden="false" customHeight="false" outlineLevel="0" collapsed="false">
      <c r="A792" s="83" t="str">
        <f aca="false">IFERROR(IF(INDEX(원자료_잔고!$A$1:$EZ$1500,설정!$L$5+ROW()-1,설정!$L$8)&amp;""="0","",INDEX(원자료_잔고!$A$1:$EZ$1500,설정!$L$5+ROW()-1,설정!$L$8)&amp;""),"")</f>
        <v/>
      </c>
      <c r="B792" s="83" t="str">
        <f aca="false">IFERROR(IF(INDEX(원자료_잔고!$A$1:$EZ$1500,설정!$L$5+ROW()-1,설정!$L$7)&amp;""="0","",INDEX(원자료_잔고!$A$1:$EZ$1500,설정!$L$5+ROW()-1,설정!$L$7)&amp;""),"")</f>
        <v/>
      </c>
      <c r="C792" s="83" t="str">
        <f aca="false">IFERROR(IF(INDEX(원자료_잔고!$A$1:$EZ$1500,설정!$L$5+ROW()-1,설정!$L$9)&amp;""="0","",INDEX(원자료_잔고!$A$1:$EZ$1500,설정!$L$5+ROW()-1,설정!$L$9)&amp;""),"")</f>
        <v/>
      </c>
      <c r="D792" s="83" t="str">
        <f aca="false">IFERROR(IF(INDEX(원자료_잔고!$A$1:$EZ$1500,설정!$L$5+ROW()-1,설정!$L$10)&amp;""="0","",INDEX(원자료_잔고!$A$1:$EZ$1500,설정!$L$5+ROW()-1,설정!$L$10)&amp;""),"")</f>
        <v/>
      </c>
      <c r="E792" s="84" t="str">
        <f aca="false">IFERROR(IF(ISNUMBER(INDEX(원자료_잔고!$A$1:$EZ$1500,설정!$L$5+ROW()-1,설정!$L$11)),INDEX(원자료_잔고!$A$1:$EZ$1500,설정!$L$5+ROW()-1,설정!$L$11),""),"")</f>
        <v/>
      </c>
      <c r="F792" s="85" t="str">
        <f aca="false">IFERROR(IF(ISNUMBER(INDEX(원자료_잔고!$A$1:$EZ$1500,설정!$L$5+ROW()-1,설정!$L$12)),INDEX(원자료_잔고!$A$1:$EZ$1500,설정!$L$5+ROW()-1,설정!$L$12),""),"")</f>
        <v/>
      </c>
      <c r="G792" s="85" t="str">
        <f aca="false">IFERROR(IF(ISNUMBER(INDEX(원자료_잔고!$A$1:$EZ$1500,설정!$L$5+ROW()-1,설정!$L$13)),INDEX(원자료_잔고!$A$1:$EZ$1500,설정!$L$5+ROW()-1,설정!$L$13),""),"")</f>
        <v/>
      </c>
      <c r="H792" s="85" t="str">
        <f aca="false">IFERROR(IF(ISNUMBER(INDEX(원자료_잔고!$A$1:$EZ$1500,설정!$L$5+ROW()-1,설정!$L$14)),INDEX(원자료_잔고!$A$1:$EZ$1500,설정!$L$5+ROW()-1,설정!$L$14),""),"")</f>
        <v/>
      </c>
      <c r="I792" s="86" t="str">
        <f aca="false">IFERROR(IF(ISNUMBER(INDEX(원자료_잔고!$A$1:$EZ$1500,설정!$L$5+ROW()-1,설정!$L$15)),INDEX(원자료_잔고!$A$1:$EZ$1500,설정!$L$5+ROW()-1,설정!$L$15),""),"")</f>
        <v/>
      </c>
      <c r="J792" s="85" t="str">
        <f aca="false">IFERROR(IF(ISNUMBER(INDEX(원자료_잔고!$A$1:$EZ$1500,설정!$L$5+ROW()-1,설정!$L$16)),INDEX(원자료_잔고!$A$1:$EZ$1500,설정!$L$5+ROW()-1,설정!$L$16),""),"")</f>
        <v/>
      </c>
      <c r="K792" s="87" t="str">
        <f aca="false">IFERROR(IF(ISNUMBER(INDEX(원자료_잔고!$A$1:$EZ$1500,설정!$L$5+ROW()-1,설정!$L$17)),INDEX(원자료_잔고!$A$1:$EZ$1500,설정!$L$5+ROW()-1,설정!$L$17),""),"")</f>
        <v/>
      </c>
      <c r="L792" s="84" t="str">
        <f aca="false">IFERROR(IF(ISNUMBER(INDEX(원자료_잔고!$A$1:$EZ$1500,설정!$L$5+ROW()-1,설정!$L$18)),INDEX(원자료_잔고!$A$1:$EZ$1500,설정!$L$5+ROW()-1,설정!$L$18),""),"")</f>
        <v/>
      </c>
      <c r="M792" s="88" t="str">
        <f aca="false">IFERROR(IF(ISNUMBER(INDEX(원자료_잔고!$A$1:$EZ$1500,설정!$L$5+ROW()-1,설정!$L$19)),INDEX(원자료_잔고!$A$1:$EZ$1500,설정!$L$5+ROW()-1,설정!$L$19),""),"")</f>
        <v/>
      </c>
      <c r="N792" s="83" t="str">
        <f aca="false">IFERROR(IF(INDEX(원자료_잔고!$A$1:$EZ$1500,설정!$L$5+ROW()-1,설정!$L$21)&amp;""="0","",INDEX(원자료_잔고!$A$1:$EZ$1500,설정!$L$5+ROW()-1,설정!$L$21)&amp;""),"")</f>
        <v/>
      </c>
      <c r="O792" s="83" t="str">
        <f aca="false">IFERROR(IF(INDEX(원자료_잔고!$A$1:$EZ$1500,설정!$L$5+ROW()-1,설정!$L$22)&amp;""="0","",INDEX(원자료_잔고!$A$1:$EZ$1500,설정!$L$5+ROW()-1,설정!$L$22)&amp;""),"")</f>
        <v/>
      </c>
      <c r="P792" s="83" t="str">
        <f aca="false">IFERROR(IF(INDEX(원자료_잔고!$A$1:$EZ$1500,설정!$L$5+ROW()-1,설정!$L$23)&amp;""="0","",INDEX(원자료_잔고!$A$1:$EZ$1500,설정!$L$5+ROW()-1,설정!$L$23)&amp;""),"")</f>
        <v/>
      </c>
      <c r="Q792" s="89" t="n">
        <f aca="false">IF(AND($A792&lt;&gt;"",ISNUMBER(E792)),IF(E792&gt;0,1,0),0)</f>
        <v>0</v>
      </c>
      <c r="R792" s="43" t="str">
        <f aca="false">IF(Q792=1,UPPER(LEFT($A792,FIND(" ",$A792&amp;" ")-1)),"")</f>
        <v/>
      </c>
      <c r="S792" s="89" t="n">
        <f aca="false">IF(Q792=1,IF(OR(ISNUMBER(SEARCH("Float",$A792)),ISNUMBER(SEARCH("FRN",$A792))),1,0),0)</f>
        <v>0</v>
      </c>
      <c r="T792" s="43" t="str">
        <f aca="false">IF(AND(Q792=1,ISNUMBER(I792)),TEXT(I792,"yyyymmdd")&amp;"|"&amp;IF(S792=1,"F",TEXT(J792,"0.000")),"")</f>
        <v/>
      </c>
      <c r="U792" s="90" t="str">
        <f aca="false">IF(AND(Q792=1,ISNUMBER(I792)),(I792-설정!$C$4)/365.25,"")</f>
        <v/>
      </c>
      <c r="V792" s="43" t="str">
        <f aca="false">IF(Q792&lt;&gt;1,"",IF(ISNUMBER(U792),IF(U792&lt;=1,"1년 이하",IF(U792&lt;=2,"1-2년",IF(U792&lt;=3,"2-3년",IF(U792&lt;=4,"3-4년",IF(U792&lt;=5,"4-5년",IF(U792&lt;=7,"5-7년",IF(U792&lt;=10,"7-10년",IF(U792&lt;=20,"10-20년","20년 이상")))))))),"미분류"))</f>
        <v/>
      </c>
      <c r="W792" s="43" t="str">
        <f aca="false">IF(Q792&lt;&gt;1,"",IF(AB792&lt;&gt;"",INDEX(시장분석!$C:$C,AB792),IF(K792=1,"USD","비USD")))</f>
        <v/>
      </c>
      <c r="X792" s="91" t="n">
        <f aca="false">IF(Q792=1,E792*K792/1000000,0)</f>
        <v>0</v>
      </c>
      <c r="Y792" s="89" t="n">
        <f aca="false">IF(R792="T",1,0)</f>
        <v>0</v>
      </c>
      <c r="Z792" s="92" t="str">
        <f aca="false">IF(Q792&lt;&gt;1,"",IF(AD792=1,IF(ISNUMBER(U792),MAX(U792,0),H792),H792))</f>
        <v/>
      </c>
      <c r="AA792" s="91" t="n">
        <f aca="false">IF(Q792=1,IF(ISNUMBER(L792),L792,0)*K792/1000000,0)</f>
        <v>0</v>
      </c>
      <c r="AB792" s="89" t="str">
        <f aca="false">IF(Q792&lt;&gt;1,"",IFERROR(MATCH(VLOOKUP(B792,매핑!$H$4:$I$15,2,0),시장분석!$A$2:$A$601,0)+1,IFERROR(MATCH(R792&amp;"|"&amp;T792,시장분석!$V$2:$V$601,0)+1,IF(COUNTIF(시장분석!$U$2:$U$601,T792)=1,MATCH(T792,시장분석!$U$2:$U$601,0)+1,""))))</f>
        <v/>
      </c>
      <c r="AC792" s="89" t="n">
        <f aca="false">IF(Q792&lt;&gt;1,0,IF(OR(설정!$C$5="전체",AND(설정!$C$5="선택펀드",IFERROR(COUNTIFS(설정!$F$16:$F$36,C792,설정!$G$16:$G$36,"Y")+COUNTIFS(설정!$F$16:$F$36,VALUE(C792),설정!$G$16:$G$36,"Y"),0)&gt;0),C792&amp;""=설정!$C$5&amp;""),1,0))</f>
        <v>0</v>
      </c>
      <c r="AD792" s="89" t="n">
        <f aca="false">IF(Q792&lt;&gt;1,0,IF(OR(S792=1,IF(AB792="",FALSE(),INDEX(시장분석!$R:$R,AB792)=1)),1,0))</f>
        <v>0</v>
      </c>
      <c r="AE792" s="43" t="str">
        <f aca="false">IF(AB792="","",INDEX(시장분석!$A:$A,AB792))</f>
        <v/>
      </c>
      <c r="AF792" s="93" t="str">
        <f aca="false">IF(AB792="","",IF(ISNUMBER(IF(AB792="","",INDEX(시장분석!$E:$E,AB792))),IF(AB792="","",INDEX(시장분석!$E:$E,AB792)),""))</f>
        <v/>
      </c>
      <c r="AG792" s="43" t="str">
        <f aca="false">IF(Q792&lt;&gt;1,"",IF(AB792&lt;&gt;"",IF(AB792="","",INDEX(시장분석!$L:$L,AB792)),IFERROR(IF(VLOOKUP(R792,매핑!$A$4:$E$92,5,0)="","미분류",VLOOKUP(R792,매핑!$A$4:$E$92,5,0)),"미분류")))</f>
        <v/>
      </c>
      <c r="AH792" s="43" t="str">
        <f aca="false">IF(Q792&lt;&gt;1,"",IF(AB792&lt;&gt;"",IF(AB792="","",INDEX(시장분석!$N:$N,AB792)),IFERROR(IF(VLOOKUP(R792,매핑!$A$4:$E$92,4,0)="","미분류",VLOOKUP(R792,매핑!$A$4:$E$92,4,0)),"미분류")))</f>
        <v/>
      </c>
      <c r="AI792" s="43" t="str">
        <f aca="false">IF(Q792&lt;&gt;1,"",IFERROR(IF(VLOOKUP(R792,매핑!$A$4:$E$92,3,0)="","미분류",VLOOKUP(R792,매핑!$A$4:$E$92,3,0)),IF(AB792&lt;&gt;"",IF(AB792="","",INDEX(시장분석!$W:$W,AB792)),"미분류")))</f>
        <v/>
      </c>
      <c r="AJ792" s="43" t="str">
        <f aca="false">IF(Q792&lt;&gt;1,"",IFERROR(VLOOKUP(IF(N792&lt;&gt;"",N792,IF(P792&lt;&gt;"",P792,O792)),설정!$A$15:$D$47,2,0),""))</f>
        <v/>
      </c>
      <c r="AK792" s="43" t="str">
        <f aca="false">IF(Q792&lt;&gt;1,"",IF(AJ792="","무등급",IFERROR(VLOOKUP(AJ792,설정!$A$15:$D$47,3,0),"무등급")))</f>
        <v/>
      </c>
      <c r="AL792" s="89" t="n">
        <f aca="false">IF(AJ792="",99,IFERROR(VLOOKUP(AJ792,설정!$A$15:$D$47,4,0),99))</f>
        <v>99</v>
      </c>
      <c r="AM792" s="94" t="n">
        <f aca="false">IF(ISNUMBER(H792),AA792*1000000*H792/10000,0)</f>
        <v>0</v>
      </c>
      <c r="AN792" s="94" t="n">
        <f aca="false">IF(OR(Y792=1,NOT(ISNUMBER(Z792))),0,AA792*1000000*Z792/10000)</f>
        <v>0</v>
      </c>
      <c r="AO792" s="94" t="n">
        <f aca="false">IF(ISNUMBER(G792),AA792*1000000*G792/100,0)</f>
        <v>0</v>
      </c>
      <c r="AP792" s="94" t="n">
        <f aca="false">IF(ISNUMBER(M792),M792*K792,0)</f>
        <v>0</v>
      </c>
      <c r="AQ792" s="95" t="str">
        <f aca="false">IF(AB792="","",INDEX(시장분석!$AK:$AK,AB792))</f>
        <v/>
      </c>
      <c r="AR792" s="43" t="str">
        <f aca="false">IF(AB792="","-",IF(AB792="","",INDEX(시장분석!$AL:$AL,AB792)))</f>
        <v>-</v>
      </c>
      <c r="AS792" s="96" t="str">
        <f aca="false">IF(AB792="","",INDEX(시장분석!$AJ:$AJ,AB792))</f>
        <v/>
      </c>
      <c r="AT792" s="93" t="n">
        <f aca="false">IF(AB792="",0,IF(AB792="","",INDEX(시장분석!$AN:$AN,AB792)))</f>
        <v>0</v>
      </c>
      <c r="AU792" s="94" t="n">
        <f aca="false">IF(ISNUMBER(Z792),AT792/10000*MAX(Z792-1,0)*AA792*1000000,0)</f>
        <v>0</v>
      </c>
      <c r="AV792" s="94" t="n">
        <f aca="false">AO792+AU792</f>
        <v>0</v>
      </c>
      <c r="AW792" s="43" t="str">
        <f aca="false">IF(Q792&lt;&gt;1,"",TRIM(IF(AD792=1,"FRN ","")&amp;IF(AND(AL792&gt;=10,AL792&lt;99),"BBB0미만 ","")&amp;IF(AJ792="","등급없음 ","")&amp;IF(K792&lt;&gt;1,"비USD ","")&amp;IF(AND(AB792="",Y792=0),"시장데이터없음 ","")&amp;IF(AND(ISNUMBER(U792),U792&lt;0),"만기경과 ","")))</f>
        <v/>
      </c>
      <c r="AX792" s="90" t="n">
        <f aca="false">IF(Q792&lt;&gt;1,1,IF(스프레드쇼크!$C$4="Y",INDEX(스프레드쇼크!$B$12:$L$16,IFERROR(MATCH(AH792,스프레드쇼크!$A$12:$A$16,0),MATCH("목록외",스프레드쇼크!$A$12:$A$16,0)),IFERROR(MATCH(AG792,스프레드쇼크!$B$11:$L$11,0),MATCH("목록외",스프레드쇼크!$B$11:$L$11,0))),1))</f>
        <v>1</v>
      </c>
      <c r="AY792" s="90" t="n">
        <f aca="false">IF(스프레드쇼크!$C$5="Y",IF(ISNUMBER(AF792),MIN(스프레드쇼크!$C$7,MAX(스프레드쇼크!$C$6,AF792/스프레드쇼크!$C$8)),1),1)</f>
        <v>1</v>
      </c>
      <c r="AZ792" s="94" t="n">
        <f aca="false">AN792*AX792*AY792</f>
        <v>0</v>
      </c>
      <c r="BA792" s="90" t="n">
        <f aca="false">IF(ISNUMBER(G792),AA792*G792,0)</f>
        <v>0</v>
      </c>
      <c r="BB792" s="90" t="n">
        <f aca="false">IF(ISNUMBER(G792),AA792,0)</f>
        <v>0</v>
      </c>
      <c r="BC792" s="90" t="n">
        <f aca="false">IF(AND(Y792=0,ISNUMBER(AF792)),AA792*AF792,0)</f>
        <v>0</v>
      </c>
      <c r="BD792" s="90" t="n">
        <f aca="false">IF(AND(Y792=0,ISNUMBER(AF792)),AA792,0)</f>
        <v>0</v>
      </c>
      <c r="BE792" s="90" t="n">
        <f aca="false">IF(ISNUMBER(H792),AA792*H792,0)</f>
        <v>0</v>
      </c>
      <c r="BF792" s="90" t="n">
        <f aca="false">IF(ISNUMBER(H792),AA792,0)</f>
        <v>0</v>
      </c>
      <c r="BG792" s="90" t="n">
        <f aca="false">IF(AND(Y792=0,ISNUMBER(AF792),ISNUMBER(Z792)),AA792*Z792,0)</f>
        <v>0</v>
      </c>
      <c r="BH792" s="90" t="n">
        <f aca="false">IF(AND(Y792=0,ISNUMBER(AF792),ISNUMBER(Z792)),AA792*AT792*MAX(Z792-1,0),0)</f>
        <v>0</v>
      </c>
      <c r="BI792" s="90" t="n">
        <f aca="false">IF(Y792=0,AA792,0)</f>
        <v>0</v>
      </c>
    </row>
    <row r="793" customFormat="false" ht="15" hidden="false" customHeight="false" outlineLevel="0" collapsed="false">
      <c r="A793" s="83" t="str">
        <f aca="false">IFERROR(IF(INDEX(원자료_잔고!$A$1:$EZ$1500,설정!$L$5+ROW()-1,설정!$L$8)&amp;""="0","",INDEX(원자료_잔고!$A$1:$EZ$1500,설정!$L$5+ROW()-1,설정!$L$8)&amp;""),"")</f>
        <v/>
      </c>
      <c r="B793" s="83" t="str">
        <f aca="false">IFERROR(IF(INDEX(원자료_잔고!$A$1:$EZ$1500,설정!$L$5+ROW()-1,설정!$L$7)&amp;""="0","",INDEX(원자료_잔고!$A$1:$EZ$1500,설정!$L$5+ROW()-1,설정!$L$7)&amp;""),"")</f>
        <v/>
      </c>
      <c r="C793" s="83" t="str">
        <f aca="false">IFERROR(IF(INDEX(원자료_잔고!$A$1:$EZ$1500,설정!$L$5+ROW()-1,설정!$L$9)&amp;""="0","",INDEX(원자료_잔고!$A$1:$EZ$1500,설정!$L$5+ROW()-1,설정!$L$9)&amp;""),"")</f>
        <v/>
      </c>
      <c r="D793" s="83" t="str">
        <f aca="false">IFERROR(IF(INDEX(원자료_잔고!$A$1:$EZ$1500,설정!$L$5+ROW()-1,설정!$L$10)&amp;""="0","",INDEX(원자료_잔고!$A$1:$EZ$1500,설정!$L$5+ROW()-1,설정!$L$10)&amp;""),"")</f>
        <v/>
      </c>
      <c r="E793" s="84" t="str">
        <f aca="false">IFERROR(IF(ISNUMBER(INDEX(원자료_잔고!$A$1:$EZ$1500,설정!$L$5+ROW()-1,설정!$L$11)),INDEX(원자료_잔고!$A$1:$EZ$1500,설정!$L$5+ROW()-1,설정!$L$11),""),"")</f>
        <v/>
      </c>
      <c r="F793" s="85" t="str">
        <f aca="false">IFERROR(IF(ISNUMBER(INDEX(원자료_잔고!$A$1:$EZ$1500,설정!$L$5+ROW()-1,설정!$L$12)),INDEX(원자료_잔고!$A$1:$EZ$1500,설정!$L$5+ROW()-1,설정!$L$12),""),"")</f>
        <v/>
      </c>
      <c r="G793" s="85" t="str">
        <f aca="false">IFERROR(IF(ISNUMBER(INDEX(원자료_잔고!$A$1:$EZ$1500,설정!$L$5+ROW()-1,설정!$L$13)),INDEX(원자료_잔고!$A$1:$EZ$1500,설정!$L$5+ROW()-1,설정!$L$13),""),"")</f>
        <v/>
      </c>
      <c r="H793" s="85" t="str">
        <f aca="false">IFERROR(IF(ISNUMBER(INDEX(원자료_잔고!$A$1:$EZ$1500,설정!$L$5+ROW()-1,설정!$L$14)),INDEX(원자료_잔고!$A$1:$EZ$1500,설정!$L$5+ROW()-1,설정!$L$14),""),"")</f>
        <v/>
      </c>
      <c r="I793" s="86" t="str">
        <f aca="false">IFERROR(IF(ISNUMBER(INDEX(원자료_잔고!$A$1:$EZ$1500,설정!$L$5+ROW()-1,설정!$L$15)),INDEX(원자료_잔고!$A$1:$EZ$1500,설정!$L$5+ROW()-1,설정!$L$15),""),"")</f>
        <v/>
      </c>
      <c r="J793" s="85" t="str">
        <f aca="false">IFERROR(IF(ISNUMBER(INDEX(원자료_잔고!$A$1:$EZ$1500,설정!$L$5+ROW()-1,설정!$L$16)),INDEX(원자료_잔고!$A$1:$EZ$1500,설정!$L$5+ROW()-1,설정!$L$16),""),"")</f>
        <v/>
      </c>
      <c r="K793" s="87" t="str">
        <f aca="false">IFERROR(IF(ISNUMBER(INDEX(원자료_잔고!$A$1:$EZ$1500,설정!$L$5+ROW()-1,설정!$L$17)),INDEX(원자료_잔고!$A$1:$EZ$1500,설정!$L$5+ROW()-1,설정!$L$17),""),"")</f>
        <v/>
      </c>
      <c r="L793" s="84" t="str">
        <f aca="false">IFERROR(IF(ISNUMBER(INDEX(원자료_잔고!$A$1:$EZ$1500,설정!$L$5+ROW()-1,설정!$L$18)),INDEX(원자료_잔고!$A$1:$EZ$1500,설정!$L$5+ROW()-1,설정!$L$18),""),"")</f>
        <v/>
      </c>
      <c r="M793" s="88" t="str">
        <f aca="false">IFERROR(IF(ISNUMBER(INDEX(원자료_잔고!$A$1:$EZ$1500,설정!$L$5+ROW()-1,설정!$L$19)),INDEX(원자료_잔고!$A$1:$EZ$1500,설정!$L$5+ROW()-1,설정!$L$19),""),"")</f>
        <v/>
      </c>
      <c r="N793" s="83" t="str">
        <f aca="false">IFERROR(IF(INDEX(원자료_잔고!$A$1:$EZ$1500,설정!$L$5+ROW()-1,설정!$L$21)&amp;""="0","",INDEX(원자료_잔고!$A$1:$EZ$1500,설정!$L$5+ROW()-1,설정!$L$21)&amp;""),"")</f>
        <v/>
      </c>
      <c r="O793" s="83" t="str">
        <f aca="false">IFERROR(IF(INDEX(원자료_잔고!$A$1:$EZ$1500,설정!$L$5+ROW()-1,설정!$L$22)&amp;""="0","",INDEX(원자료_잔고!$A$1:$EZ$1500,설정!$L$5+ROW()-1,설정!$L$22)&amp;""),"")</f>
        <v/>
      </c>
      <c r="P793" s="83" t="str">
        <f aca="false">IFERROR(IF(INDEX(원자료_잔고!$A$1:$EZ$1500,설정!$L$5+ROW()-1,설정!$L$23)&amp;""="0","",INDEX(원자료_잔고!$A$1:$EZ$1500,설정!$L$5+ROW()-1,설정!$L$23)&amp;""),"")</f>
        <v/>
      </c>
      <c r="Q793" s="89" t="n">
        <f aca="false">IF(AND($A793&lt;&gt;"",ISNUMBER(E793)),IF(E793&gt;0,1,0),0)</f>
        <v>0</v>
      </c>
      <c r="R793" s="43" t="str">
        <f aca="false">IF(Q793=1,UPPER(LEFT($A793,FIND(" ",$A793&amp;" ")-1)),"")</f>
        <v/>
      </c>
      <c r="S793" s="89" t="n">
        <f aca="false">IF(Q793=1,IF(OR(ISNUMBER(SEARCH("Float",$A793)),ISNUMBER(SEARCH("FRN",$A793))),1,0),0)</f>
        <v>0</v>
      </c>
      <c r="T793" s="43" t="str">
        <f aca="false">IF(AND(Q793=1,ISNUMBER(I793)),TEXT(I793,"yyyymmdd")&amp;"|"&amp;IF(S793=1,"F",TEXT(J793,"0.000")),"")</f>
        <v/>
      </c>
      <c r="U793" s="90" t="str">
        <f aca="false">IF(AND(Q793=1,ISNUMBER(I793)),(I793-설정!$C$4)/365.25,"")</f>
        <v/>
      </c>
      <c r="V793" s="43" t="str">
        <f aca="false">IF(Q793&lt;&gt;1,"",IF(ISNUMBER(U793),IF(U793&lt;=1,"1년 이하",IF(U793&lt;=2,"1-2년",IF(U793&lt;=3,"2-3년",IF(U793&lt;=4,"3-4년",IF(U793&lt;=5,"4-5년",IF(U793&lt;=7,"5-7년",IF(U793&lt;=10,"7-10년",IF(U793&lt;=20,"10-20년","20년 이상")))))))),"미분류"))</f>
        <v/>
      </c>
      <c r="W793" s="43" t="str">
        <f aca="false">IF(Q793&lt;&gt;1,"",IF(AB793&lt;&gt;"",INDEX(시장분석!$C:$C,AB793),IF(K793=1,"USD","비USD")))</f>
        <v/>
      </c>
      <c r="X793" s="91" t="n">
        <f aca="false">IF(Q793=1,E793*K793/1000000,0)</f>
        <v>0</v>
      </c>
      <c r="Y793" s="89" t="n">
        <f aca="false">IF(R793="T",1,0)</f>
        <v>0</v>
      </c>
      <c r="Z793" s="92" t="str">
        <f aca="false">IF(Q793&lt;&gt;1,"",IF(AD793=1,IF(ISNUMBER(U793),MAX(U793,0),H793),H793))</f>
        <v/>
      </c>
      <c r="AA793" s="91" t="n">
        <f aca="false">IF(Q793=1,IF(ISNUMBER(L793),L793,0)*K793/1000000,0)</f>
        <v>0</v>
      </c>
      <c r="AB793" s="89" t="str">
        <f aca="false">IF(Q793&lt;&gt;1,"",IFERROR(MATCH(VLOOKUP(B793,매핑!$H$4:$I$15,2,0),시장분석!$A$2:$A$601,0)+1,IFERROR(MATCH(R793&amp;"|"&amp;T793,시장분석!$V$2:$V$601,0)+1,IF(COUNTIF(시장분석!$U$2:$U$601,T793)=1,MATCH(T793,시장분석!$U$2:$U$601,0)+1,""))))</f>
        <v/>
      </c>
      <c r="AC793" s="89" t="n">
        <f aca="false">IF(Q793&lt;&gt;1,0,IF(OR(설정!$C$5="전체",AND(설정!$C$5="선택펀드",IFERROR(COUNTIFS(설정!$F$16:$F$36,C793,설정!$G$16:$G$36,"Y")+COUNTIFS(설정!$F$16:$F$36,VALUE(C793),설정!$G$16:$G$36,"Y"),0)&gt;0),C793&amp;""=설정!$C$5&amp;""),1,0))</f>
        <v>0</v>
      </c>
      <c r="AD793" s="89" t="n">
        <f aca="false">IF(Q793&lt;&gt;1,0,IF(OR(S793=1,IF(AB793="",FALSE(),INDEX(시장분석!$R:$R,AB793)=1)),1,0))</f>
        <v>0</v>
      </c>
      <c r="AE793" s="43" t="str">
        <f aca="false">IF(AB793="","",INDEX(시장분석!$A:$A,AB793))</f>
        <v/>
      </c>
      <c r="AF793" s="93" t="str">
        <f aca="false">IF(AB793="","",IF(ISNUMBER(IF(AB793="","",INDEX(시장분석!$E:$E,AB793))),IF(AB793="","",INDEX(시장분석!$E:$E,AB793)),""))</f>
        <v/>
      </c>
      <c r="AG793" s="43" t="str">
        <f aca="false">IF(Q793&lt;&gt;1,"",IF(AB793&lt;&gt;"",IF(AB793="","",INDEX(시장분석!$L:$L,AB793)),IFERROR(IF(VLOOKUP(R793,매핑!$A$4:$E$92,5,0)="","미분류",VLOOKUP(R793,매핑!$A$4:$E$92,5,0)),"미분류")))</f>
        <v/>
      </c>
      <c r="AH793" s="43" t="str">
        <f aca="false">IF(Q793&lt;&gt;1,"",IF(AB793&lt;&gt;"",IF(AB793="","",INDEX(시장분석!$N:$N,AB793)),IFERROR(IF(VLOOKUP(R793,매핑!$A$4:$E$92,4,0)="","미분류",VLOOKUP(R793,매핑!$A$4:$E$92,4,0)),"미분류")))</f>
        <v/>
      </c>
      <c r="AI793" s="43" t="str">
        <f aca="false">IF(Q793&lt;&gt;1,"",IFERROR(IF(VLOOKUP(R793,매핑!$A$4:$E$92,3,0)="","미분류",VLOOKUP(R793,매핑!$A$4:$E$92,3,0)),IF(AB793&lt;&gt;"",IF(AB793="","",INDEX(시장분석!$W:$W,AB793)),"미분류")))</f>
        <v/>
      </c>
      <c r="AJ793" s="43" t="str">
        <f aca="false">IF(Q793&lt;&gt;1,"",IFERROR(VLOOKUP(IF(N793&lt;&gt;"",N793,IF(P793&lt;&gt;"",P793,O793)),설정!$A$15:$D$47,2,0),""))</f>
        <v/>
      </c>
      <c r="AK793" s="43" t="str">
        <f aca="false">IF(Q793&lt;&gt;1,"",IF(AJ793="","무등급",IFERROR(VLOOKUP(AJ793,설정!$A$15:$D$47,3,0),"무등급")))</f>
        <v/>
      </c>
      <c r="AL793" s="89" t="n">
        <f aca="false">IF(AJ793="",99,IFERROR(VLOOKUP(AJ793,설정!$A$15:$D$47,4,0),99))</f>
        <v>99</v>
      </c>
      <c r="AM793" s="94" t="n">
        <f aca="false">IF(ISNUMBER(H793),AA793*1000000*H793/10000,0)</f>
        <v>0</v>
      </c>
      <c r="AN793" s="94" t="n">
        <f aca="false">IF(OR(Y793=1,NOT(ISNUMBER(Z793))),0,AA793*1000000*Z793/10000)</f>
        <v>0</v>
      </c>
      <c r="AO793" s="94" t="n">
        <f aca="false">IF(ISNUMBER(G793),AA793*1000000*G793/100,0)</f>
        <v>0</v>
      </c>
      <c r="AP793" s="94" t="n">
        <f aca="false">IF(ISNUMBER(M793),M793*K793,0)</f>
        <v>0</v>
      </c>
      <c r="AQ793" s="95" t="str">
        <f aca="false">IF(AB793="","",INDEX(시장분석!$AK:$AK,AB793))</f>
        <v/>
      </c>
      <c r="AR793" s="43" t="str">
        <f aca="false">IF(AB793="","-",IF(AB793="","",INDEX(시장분석!$AL:$AL,AB793)))</f>
        <v>-</v>
      </c>
      <c r="AS793" s="96" t="str">
        <f aca="false">IF(AB793="","",INDEX(시장분석!$AJ:$AJ,AB793))</f>
        <v/>
      </c>
      <c r="AT793" s="93" t="n">
        <f aca="false">IF(AB793="",0,IF(AB793="","",INDEX(시장분석!$AN:$AN,AB793)))</f>
        <v>0</v>
      </c>
      <c r="AU793" s="94" t="n">
        <f aca="false">IF(ISNUMBER(Z793),AT793/10000*MAX(Z793-1,0)*AA793*1000000,0)</f>
        <v>0</v>
      </c>
      <c r="AV793" s="94" t="n">
        <f aca="false">AO793+AU793</f>
        <v>0</v>
      </c>
      <c r="AW793" s="43" t="str">
        <f aca="false">IF(Q793&lt;&gt;1,"",TRIM(IF(AD793=1,"FRN ","")&amp;IF(AND(AL793&gt;=10,AL793&lt;99),"BBB0미만 ","")&amp;IF(AJ793="","등급없음 ","")&amp;IF(K793&lt;&gt;1,"비USD ","")&amp;IF(AND(AB793="",Y793=0),"시장데이터없음 ","")&amp;IF(AND(ISNUMBER(U793),U793&lt;0),"만기경과 ","")))</f>
        <v/>
      </c>
      <c r="AX793" s="90" t="n">
        <f aca="false">IF(Q793&lt;&gt;1,1,IF(스프레드쇼크!$C$4="Y",INDEX(스프레드쇼크!$B$12:$L$16,IFERROR(MATCH(AH793,스프레드쇼크!$A$12:$A$16,0),MATCH("목록외",스프레드쇼크!$A$12:$A$16,0)),IFERROR(MATCH(AG793,스프레드쇼크!$B$11:$L$11,0),MATCH("목록외",스프레드쇼크!$B$11:$L$11,0))),1))</f>
        <v>1</v>
      </c>
      <c r="AY793" s="90" t="n">
        <f aca="false">IF(스프레드쇼크!$C$5="Y",IF(ISNUMBER(AF793),MIN(스프레드쇼크!$C$7,MAX(스프레드쇼크!$C$6,AF793/스프레드쇼크!$C$8)),1),1)</f>
        <v>1</v>
      </c>
      <c r="AZ793" s="94" t="n">
        <f aca="false">AN793*AX793*AY793</f>
        <v>0</v>
      </c>
      <c r="BA793" s="90" t="n">
        <f aca="false">IF(ISNUMBER(G793),AA793*G793,0)</f>
        <v>0</v>
      </c>
      <c r="BB793" s="90" t="n">
        <f aca="false">IF(ISNUMBER(G793),AA793,0)</f>
        <v>0</v>
      </c>
      <c r="BC793" s="90" t="n">
        <f aca="false">IF(AND(Y793=0,ISNUMBER(AF793)),AA793*AF793,0)</f>
        <v>0</v>
      </c>
      <c r="BD793" s="90" t="n">
        <f aca="false">IF(AND(Y793=0,ISNUMBER(AF793)),AA793,0)</f>
        <v>0</v>
      </c>
      <c r="BE793" s="90" t="n">
        <f aca="false">IF(ISNUMBER(H793),AA793*H793,0)</f>
        <v>0</v>
      </c>
      <c r="BF793" s="90" t="n">
        <f aca="false">IF(ISNUMBER(H793),AA793,0)</f>
        <v>0</v>
      </c>
      <c r="BG793" s="90" t="n">
        <f aca="false">IF(AND(Y793=0,ISNUMBER(AF793),ISNUMBER(Z793)),AA793*Z793,0)</f>
        <v>0</v>
      </c>
      <c r="BH793" s="90" t="n">
        <f aca="false">IF(AND(Y793=0,ISNUMBER(AF793),ISNUMBER(Z793)),AA793*AT793*MAX(Z793-1,0),0)</f>
        <v>0</v>
      </c>
      <c r="BI793" s="90" t="n">
        <f aca="false">IF(Y793=0,AA793,0)</f>
        <v>0</v>
      </c>
    </row>
    <row r="794" customFormat="false" ht="15" hidden="false" customHeight="false" outlineLevel="0" collapsed="false">
      <c r="A794" s="83" t="str">
        <f aca="false">IFERROR(IF(INDEX(원자료_잔고!$A$1:$EZ$1500,설정!$L$5+ROW()-1,설정!$L$8)&amp;""="0","",INDEX(원자료_잔고!$A$1:$EZ$1500,설정!$L$5+ROW()-1,설정!$L$8)&amp;""),"")</f>
        <v/>
      </c>
      <c r="B794" s="83" t="str">
        <f aca="false">IFERROR(IF(INDEX(원자료_잔고!$A$1:$EZ$1500,설정!$L$5+ROW()-1,설정!$L$7)&amp;""="0","",INDEX(원자료_잔고!$A$1:$EZ$1500,설정!$L$5+ROW()-1,설정!$L$7)&amp;""),"")</f>
        <v/>
      </c>
      <c r="C794" s="83" t="str">
        <f aca="false">IFERROR(IF(INDEX(원자료_잔고!$A$1:$EZ$1500,설정!$L$5+ROW()-1,설정!$L$9)&amp;""="0","",INDEX(원자료_잔고!$A$1:$EZ$1500,설정!$L$5+ROW()-1,설정!$L$9)&amp;""),"")</f>
        <v/>
      </c>
      <c r="D794" s="83" t="str">
        <f aca="false">IFERROR(IF(INDEX(원자료_잔고!$A$1:$EZ$1500,설정!$L$5+ROW()-1,설정!$L$10)&amp;""="0","",INDEX(원자료_잔고!$A$1:$EZ$1500,설정!$L$5+ROW()-1,설정!$L$10)&amp;""),"")</f>
        <v/>
      </c>
      <c r="E794" s="84" t="str">
        <f aca="false">IFERROR(IF(ISNUMBER(INDEX(원자료_잔고!$A$1:$EZ$1500,설정!$L$5+ROW()-1,설정!$L$11)),INDEX(원자료_잔고!$A$1:$EZ$1500,설정!$L$5+ROW()-1,설정!$L$11),""),"")</f>
        <v/>
      </c>
      <c r="F794" s="85" t="str">
        <f aca="false">IFERROR(IF(ISNUMBER(INDEX(원자료_잔고!$A$1:$EZ$1500,설정!$L$5+ROW()-1,설정!$L$12)),INDEX(원자료_잔고!$A$1:$EZ$1500,설정!$L$5+ROW()-1,설정!$L$12),""),"")</f>
        <v/>
      </c>
      <c r="G794" s="85" t="str">
        <f aca="false">IFERROR(IF(ISNUMBER(INDEX(원자료_잔고!$A$1:$EZ$1500,설정!$L$5+ROW()-1,설정!$L$13)),INDEX(원자료_잔고!$A$1:$EZ$1500,설정!$L$5+ROW()-1,설정!$L$13),""),"")</f>
        <v/>
      </c>
      <c r="H794" s="85" t="str">
        <f aca="false">IFERROR(IF(ISNUMBER(INDEX(원자료_잔고!$A$1:$EZ$1500,설정!$L$5+ROW()-1,설정!$L$14)),INDEX(원자료_잔고!$A$1:$EZ$1500,설정!$L$5+ROW()-1,설정!$L$14),""),"")</f>
        <v/>
      </c>
      <c r="I794" s="86" t="str">
        <f aca="false">IFERROR(IF(ISNUMBER(INDEX(원자료_잔고!$A$1:$EZ$1500,설정!$L$5+ROW()-1,설정!$L$15)),INDEX(원자료_잔고!$A$1:$EZ$1500,설정!$L$5+ROW()-1,설정!$L$15),""),"")</f>
        <v/>
      </c>
      <c r="J794" s="85" t="str">
        <f aca="false">IFERROR(IF(ISNUMBER(INDEX(원자료_잔고!$A$1:$EZ$1500,설정!$L$5+ROW()-1,설정!$L$16)),INDEX(원자료_잔고!$A$1:$EZ$1500,설정!$L$5+ROW()-1,설정!$L$16),""),"")</f>
        <v/>
      </c>
      <c r="K794" s="87" t="str">
        <f aca="false">IFERROR(IF(ISNUMBER(INDEX(원자료_잔고!$A$1:$EZ$1500,설정!$L$5+ROW()-1,설정!$L$17)),INDEX(원자료_잔고!$A$1:$EZ$1500,설정!$L$5+ROW()-1,설정!$L$17),""),"")</f>
        <v/>
      </c>
      <c r="L794" s="84" t="str">
        <f aca="false">IFERROR(IF(ISNUMBER(INDEX(원자료_잔고!$A$1:$EZ$1500,설정!$L$5+ROW()-1,설정!$L$18)),INDEX(원자료_잔고!$A$1:$EZ$1500,설정!$L$5+ROW()-1,설정!$L$18),""),"")</f>
        <v/>
      </c>
      <c r="M794" s="88" t="str">
        <f aca="false">IFERROR(IF(ISNUMBER(INDEX(원자료_잔고!$A$1:$EZ$1500,설정!$L$5+ROW()-1,설정!$L$19)),INDEX(원자료_잔고!$A$1:$EZ$1500,설정!$L$5+ROW()-1,설정!$L$19),""),"")</f>
        <v/>
      </c>
      <c r="N794" s="83" t="str">
        <f aca="false">IFERROR(IF(INDEX(원자료_잔고!$A$1:$EZ$1500,설정!$L$5+ROW()-1,설정!$L$21)&amp;""="0","",INDEX(원자료_잔고!$A$1:$EZ$1500,설정!$L$5+ROW()-1,설정!$L$21)&amp;""),"")</f>
        <v/>
      </c>
      <c r="O794" s="83" t="str">
        <f aca="false">IFERROR(IF(INDEX(원자료_잔고!$A$1:$EZ$1500,설정!$L$5+ROW()-1,설정!$L$22)&amp;""="0","",INDEX(원자료_잔고!$A$1:$EZ$1500,설정!$L$5+ROW()-1,설정!$L$22)&amp;""),"")</f>
        <v/>
      </c>
      <c r="P794" s="83" t="str">
        <f aca="false">IFERROR(IF(INDEX(원자료_잔고!$A$1:$EZ$1500,설정!$L$5+ROW()-1,설정!$L$23)&amp;""="0","",INDEX(원자료_잔고!$A$1:$EZ$1500,설정!$L$5+ROW()-1,설정!$L$23)&amp;""),"")</f>
        <v/>
      </c>
      <c r="Q794" s="89" t="n">
        <f aca="false">IF(AND($A794&lt;&gt;"",ISNUMBER(E794)),IF(E794&gt;0,1,0),0)</f>
        <v>0</v>
      </c>
      <c r="R794" s="43" t="str">
        <f aca="false">IF(Q794=1,UPPER(LEFT($A794,FIND(" ",$A794&amp;" ")-1)),"")</f>
        <v/>
      </c>
      <c r="S794" s="89" t="n">
        <f aca="false">IF(Q794=1,IF(OR(ISNUMBER(SEARCH("Float",$A794)),ISNUMBER(SEARCH("FRN",$A794))),1,0),0)</f>
        <v>0</v>
      </c>
      <c r="T794" s="43" t="str">
        <f aca="false">IF(AND(Q794=1,ISNUMBER(I794)),TEXT(I794,"yyyymmdd")&amp;"|"&amp;IF(S794=1,"F",TEXT(J794,"0.000")),"")</f>
        <v/>
      </c>
      <c r="U794" s="90" t="str">
        <f aca="false">IF(AND(Q794=1,ISNUMBER(I794)),(I794-설정!$C$4)/365.25,"")</f>
        <v/>
      </c>
      <c r="V794" s="43" t="str">
        <f aca="false">IF(Q794&lt;&gt;1,"",IF(ISNUMBER(U794),IF(U794&lt;=1,"1년 이하",IF(U794&lt;=2,"1-2년",IF(U794&lt;=3,"2-3년",IF(U794&lt;=4,"3-4년",IF(U794&lt;=5,"4-5년",IF(U794&lt;=7,"5-7년",IF(U794&lt;=10,"7-10년",IF(U794&lt;=20,"10-20년","20년 이상")))))))),"미분류"))</f>
        <v/>
      </c>
      <c r="W794" s="43" t="str">
        <f aca="false">IF(Q794&lt;&gt;1,"",IF(AB794&lt;&gt;"",INDEX(시장분석!$C:$C,AB794),IF(K794=1,"USD","비USD")))</f>
        <v/>
      </c>
      <c r="X794" s="91" t="n">
        <f aca="false">IF(Q794=1,E794*K794/1000000,0)</f>
        <v>0</v>
      </c>
      <c r="Y794" s="89" t="n">
        <f aca="false">IF(R794="T",1,0)</f>
        <v>0</v>
      </c>
      <c r="Z794" s="92" t="str">
        <f aca="false">IF(Q794&lt;&gt;1,"",IF(AD794=1,IF(ISNUMBER(U794),MAX(U794,0),H794),H794))</f>
        <v/>
      </c>
      <c r="AA794" s="91" t="n">
        <f aca="false">IF(Q794=1,IF(ISNUMBER(L794),L794,0)*K794/1000000,0)</f>
        <v>0</v>
      </c>
      <c r="AB794" s="89" t="str">
        <f aca="false">IF(Q794&lt;&gt;1,"",IFERROR(MATCH(VLOOKUP(B794,매핑!$H$4:$I$15,2,0),시장분석!$A$2:$A$601,0)+1,IFERROR(MATCH(R794&amp;"|"&amp;T794,시장분석!$V$2:$V$601,0)+1,IF(COUNTIF(시장분석!$U$2:$U$601,T794)=1,MATCH(T794,시장분석!$U$2:$U$601,0)+1,""))))</f>
        <v/>
      </c>
      <c r="AC794" s="89" t="n">
        <f aca="false">IF(Q794&lt;&gt;1,0,IF(OR(설정!$C$5="전체",AND(설정!$C$5="선택펀드",IFERROR(COUNTIFS(설정!$F$16:$F$36,C794,설정!$G$16:$G$36,"Y")+COUNTIFS(설정!$F$16:$F$36,VALUE(C794),설정!$G$16:$G$36,"Y"),0)&gt;0),C794&amp;""=설정!$C$5&amp;""),1,0))</f>
        <v>0</v>
      </c>
      <c r="AD794" s="89" t="n">
        <f aca="false">IF(Q794&lt;&gt;1,0,IF(OR(S794=1,IF(AB794="",FALSE(),INDEX(시장분석!$R:$R,AB794)=1)),1,0))</f>
        <v>0</v>
      </c>
      <c r="AE794" s="43" t="str">
        <f aca="false">IF(AB794="","",INDEX(시장분석!$A:$A,AB794))</f>
        <v/>
      </c>
      <c r="AF794" s="93" t="str">
        <f aca="false">IF(AB794="","",IF(ISNUMBER(IF(AB794="","",INDEX(시장분석!$E:$E,AB794))),IF(AB794="","",INDEX(시장분석!$E:$E,AB794)),""))</f>
        <v/>
      </c>
      <c r="AG794" s="43" t="str">
        <f aca="false">IF(Q794&lt;&gt;1,"",IF(AB794&lt;&gt;"",IF(AB794="","",INDEX(시장분석!$L:$L,AB794)),IFERROR(IF(VLOOKUP(R794,매핑!$A$4:$E$92,5,0)="","미분류",VLOOKUP(R794,매핑!$A$4:$E$92,5,0)),"미분류")))</f>
        <v/>
      </c>
      <c r="AH794" s="43" t="str">
        <f aca="false">IF(Q794&lt;&gt;1,"",IF(AB794&lt;&gt;"",IF(AB794="","",INDEX(시장분석!$N:$N,AB794)),IFERROR(IF(VLOOKUP(R794,매핑!$A$4:$E$92,4,0)="","미분류",VLOOKUP(R794,매핑!$A$4:$E$92,4,0)),"미분류")))</f>
        <v/>
      </c>
      <c r="AI794" s="43" t="str">
        <f aca="false">IF(Q794&lt;&gt;1,"",IFERROR(IF(VLOOKUP(R794,매핑!$A$4:$E$92,3,0)="","미분류",VLOOKUP(R794,매핑!$A$4:$E$92,3,0)),IF(AB794&lt;&gt;"",IF(AB794="","",INDEX(시장분석!$W:$W,AB794)),"미분류")))</f>
        <v/>
      </c>
      <c r="AJ794" s="43" t="str">
        <f aca="false">IF(Q794&lt;&gt;1,"",IFERROR(VLOOKUP(IF(N794&lt;&gt;"",N794,IF(P794&lt;&gt;"",P794,O794)),설정!$A$15:$D$47,2,0),""))</f>
        <v/>
      </c>
      <c r="AK794" s="43" t="str">
        <f aca="false">IF(Q794&lt;&gt;1,"",IF(AJ794="","무등급",IFERROR(VLOOKUP(AJ794,설정!$A$15:$D$47,3,0),"무등급")))</f>
        <v/>
      </c>
      <c r="AL794" s="89" t="n">
        <f aca="false">IF(AJ794="",99,IFERROR(VLOOKUP(AJ794,설정!$A$15:$D$47,4,0),99))</f>
        <v>99</v>
      </c>
      <c r="AM794" s="94" t="n">
        <f aca="false">IF(ISNUMBER(H794),AA794*1000000*H794/10000,0)</f>
        <v>0</v>
      </c>
      <c r="AN794" s="94" t="n">
        <f aca="false">IF(OR(Y794=1,NOT(ISNUMBER(Z794))),0,AA794*1000000*Z794/10000)</f>
        <v>0</v>
      </c>
      <c r="AO794" s="94" t="n">
        <f aca="false">IF(ISNUMBER(G794),AA794*1000000*G794/100,0)</f>
        <v>0</v>
      </c>
      <c r="AP794" s="94" t="n">
        <f aca="false">IF(ISNUMBER(M794),M794*K794,0)</f>
        <v>0</v>
      </c>
      <c r="AQ794" s="95" t="str">
        <f aca="false">IF(AB794="","",INDEX(시장분석!$AK:$AK,AB794))</f>
        <v/>
      </c>
      <c r="AR794" s="43" t="str">
        <f aca="false">IF(AB794="","-",IF(AB794="","",INDEX(시장분석!$AL:$AL,AB794)))</f>
        <v>-</v>
      </c>
      <c r="AS794" s="96" t="str">
        <f aca="false">IF(AB794="","",INDEX(시장분석!$AJ:$AJ,AB794))</f>
        <v/>
      </c>
      <c r="AT794" s="93" t="n">
        <f aca="false">IF(AB794="",0,IF(AB794="","",INDEX(시장분석!$AN:$AN,AB794)))</f>
        <v>0</v>
      </c>
      <c r="AU794" s="94" t="n">
        <f aca="false">IF(ISNUMBER(Z794),AT794/10000*MAX(Z794-1,0)*AA794*1000000,0)</f>
        <v>0</v>
      </c>
      <c r="AV794" s="94" t="n">
        <f aca="false">AO794+AU794</f>
        <v>0</v>
      </c>
      <c r="AW794" s="43" t="str">
        <f aca="false">IF(Q794&lt;&gt;1,"",TRIM(IF(AD794=1,"FRN ","")&amp;IF(AND(AL794&gt;=10,AL794&lt;99),"BBB0미만 ","")&amp;IF(AJ794="","등급없음 ","")&amp;IF(K794&lt;&gt;1,"비USD ","")&amp;IF(AND(AB794="",Y794=0),"시장데이터없음 ","")&amp;IF(AND(ISNUMBER(U794),U794&lt;0),"만기경과 ","")))</f>
        <v/>
      </c>
      <c r="AX794" s="90" t="n">
        <f aca="false">IF(Q794&lt;&gt;1,1,IF(스프레드쇼크!$C$4="Y",INDEX(스프레드쇼크!$B$12:$L$16,IFERROR(MATCH(AH794,스프레드쇼크!$A$12:$A$16,0),MATCH("목록외",스프레드쇼크!$A$12:$A$16,0)),IFERROR(MATCH(AG794,스프레드쇼크!$B$11:$L$11,0),MATCH("목록외",스프레드쇼크!$B$11:$L$11,0))),1))</f>
        <v>1</v>
      </c>
      <c r="AY794" s="90" t="n">
        <f aca="false">IF(스프레드쇼크!$C$5="Y",IF(ISNUMBER(AF794),MIN(스프레드쇼크!$C$7,MAX(스프레드쇼크!$C$6,AF794/스프레드쇼크!$C$8)),1),1)</f>
        <v>1</v>
      </c>
      <c r="AZ794" s="94" t="n">
        <f aca="false">AN794*AX794*AY794</f>
        <v>0</v>
      </c>
      <c r="BA794" s="90" t="n">
        <f aca="false">IF(ISNUMBER(G794),AA794*G794,0)</f>
        <v>0</v>
      </c>
      <c r="BB794" s="90" t="n">
        <f aca="false">IF(ISNUMBER(G794),AA794,0)</f>
        <v>0</v>
      </c>
      <c r="BC794" s="90" t="n">
        <f aca="false">IF(AND(Y794=0,ISNUMBER(AF794)),AA794*AF794,0)</f>
        <v>0</v>
      </c>
      <c r="BD794" s="90" t="n">
        <f aca="false">IF(AND(Y794=0,ISNUMBER(AF794)),AA794,0)</f>
        <v>0</v>
      </c>
      <c r="BE794" s="90" t="n">
        <f aca="false">IF(ISNUMBER(H794),AA794*H794,0)</f>
        <v>0</v>
      </c>
      <c r="BF794" s="90" t="n">
        <f aca="false">IF(ISNUMBER(H794),AA794,0)</f>
        <v>0</v>
      </c>
      <c r="BG794" s="90" t="n">
        <f aca="false">IF(AND(Y794=0,ISNUMBER(AF794),ISNUMBER(Z794)),AA794*Z794,0)</f>
        <v>0</v>
      </c>
      <c r="BH794" s="90" t="n">
        <f aca="false">IF(AND(Y794=0,ISNUMBER(AF794),ISNUMBER(Z794)),AA794*AT794*MAX(Z794-1,0),0)</f>
        <v>0</v>
      </c>
      <c r="BI794" s="90" t="n">
        <f aca="false">IF(Y794=0,AA794,0)</f>
        <v>0</v>
      </c>
    </row>
    <row r="795" customFormat="false" ht="15" hidden="false" customHeight="false" outlineLevel="0" collapsed="false">
      <c r="A795" s="83" t="str">
        <f aca="false">IFERROR(IF(INDEX(원자료_잔고!$A$1:$EZ$1500,설정!$L$5+ROW()-1,설정!$L$8)&amp;""="0","",INDEX(원자료_잔고!$A$1:$EZ$1500,설정!$L$5+ROW()-1,설정!$L$8)&amp;""),"")</f>
        <v/>
      </c>
      <c r="B795" s="83" t="str">
        <f aca="false">IFERROR(IF(INDEX(원자료_잔고!$A$1:$EZ$1500,설정!$L$5+ROW()-1,설정!$L$7)&amp;""="0","",INDEX(원자료_잔고!$A$1:$EZ$1500,설정!$L$5+ROW()-1,설정!$L$7)&amp;""),"")</f>
        <v/>
      </c>
      <c r="C795" s="83" t="str">
        <f aca="false">IFERROR(IF(INDEX(원자료_잔고!$A$1:$EZ$1500,설정!$L$5+ROW()-1,설정!$L$9)&amp;""="0","",INDEX(원자료_잔고!$A$1:$EZ$1500,설정!$L$5+ROW()-1,설정!$L$9)&amp;""),"")</f>
        <v/>
      </c>
      <c r="D795" s="83" t="str">
        <f aca="false">IFERROR(IF(INDEX(원자료_잔고!$A$1:$EZ$1500,설정!$L$5+ROW()-1,설정!$L$10)&amp;""="0","",INDEX(원자료_잔고!$A$1:$EZ$1500,설정!$L$5+ROW()-1,설정!$L$10)&amp;""),"")</f>
        <v/>
      </c>
      <c r="E795" s="84" t="str">
        <f aca="false">IFERROR(IF(ISNUMBER(INDEX(원자료_잔고!$A$1:$EZ$1500,설정!$L$5+ROW()-1,설정!$L$11)),INDEX(원자료_잔고!$A$1:$EZ$1500,설정!$L$5+ROW()-1,설정!$L$11),""),"")</f>
        <v/>
      </c>
      <c r="F795" s="85" t="str">
        <f aca="false">IFERROR(IF(ISNUMBER(INDEX(원자료_잔고!$A$1:$EZ$1500,설정!$L$5+ROW()-1,설정!$L$12)),INDEX(원자료_잔고!$A$1:$EZ$1500,설정!$L$5+ROW()-1,설정!$L$12),""),"")</f>
        <v/>
      </c>
      <c r="G795" s="85" t="str">
        <f aca="false">IFERROR(IF(ISNUMBER(INDEX(원자료_잔고!$A$1:$EZ$1500,설정!$L$5+ROW()-1,설정!$L$13)),INDEX(원자료_잔고!$A$1:$EZ$1500,설정!$L$5+ROW()-1,설정!$L$13),""),"")</f>
        <v/>
      </c>
      <c r="H795" s="85" t="str">
        <f aca="false">IFERROR(IF(ISNUMBER(INDEX(원자료_잔고!$A$1:$EZ$1500,설정!$L$5+ROW()-1,설정!$L$14)),INDEX(원자료_잔고!$A$1:$EZ$1500,설정!$L$5+ROW()-1,설정!$L$14),""),"")</f>
        <v/>
      </c>
      <c r="I795" s="86" t="str">
        <f aca="false">IFERROR(IF(ISNUMBER(INDEX(원자료_잔고!$A$1:$EZ$1500,설정!$L$5+ROW()-1,설정!$L$15)),INDEX(원자료_잔고!$A$1:$EZ$1500,설정!$L$5+ROW()-1,설정!$L$15),""),"")</f>
        <v/>
      </c>
      <c r="J795" s="85" t="str">
        <f aca="false">IFERROR(IF(ISNUMBER(INDEX(원자료_잔고!$A$1:$EZ$1500,설정!$L$5+ROW()-1,설정!$L$16)),INDEX(원자료_잔고!$A$1:$EZ$1500,설정!$L$5+ROW()-1,설정!$L$16),""),"")</f>
        <v/>
      </c>
      <c r="K795" s="87" t="str">
        <f aca="false">IFERROR(IF(ISNUMBER(INDEX(원자료_잔고!$A$1:$EZ$1500,설정!$L$5+ROW()-1,설정!$L$17)),INDEX(원자료_잔고!$A$1:$EZ$1500,설정!$L$5+ROW()-1,설정!$L$17),""),"")</f>
        <v/>
      </c>
      <c r="L795" s="84" t="str">
        <f aca="false">IFERROR(IF(ISNUMBER(INDEX(원자료_잔고!$A$1:$EZ$1500,설정!$L$5+ROW()-1,설정!$L$18)),INDEX(원자료_잔고!$A$1:$EZ$1500,설정!$L$5+ROW()-1,설정!$L$18),""),"")</f>
        <v/>
      </c>
      <c r="M795" s="88" t="str">
        <f aca="false">IFERROR(IF(ISNUMBER(INDEX(원자료_잔고!$A$1:$EZ$1500,설정!$L$5+ROW()-1,설정!$L$19)),INDEX(원자료_잔고!$A$1:$EZ$1500,설정!$L$5+ROW()-1,설정!$L$19),""),"")</f>
        <v/>
      </c>
      <c r="N795" s="83" t="str">
        <f aca="false">IFERROR(IF(INDEX(원자료_잔고!$A$1:$EZ$1500,설정!$L$5+ROW()-1,설정!$L$21)&amp;""="0","",INDEX(원자료_잔고!$A$1:$EZ$1500,설정!$L$5+ROW()-1,설정!$L$21)&amp;""),"")</f>
        <v/>
      </c>
      <c r="O795" s="83" t="str">
        <f aca="false">IFERROR(IF(INDEX(원자료_잔고!$A$1:$EZ$1500,설정!$L$5+ROW()-1,설정!$L$22)&amp;""="0","",INDEX(원자료_잔고!$A$1:$EZ$1500,설정!$L$5+ROW()-1,설정!$L$22)&amp;""),"")</f>
        <v/>
      </c>
      <c r="P795" s="83" t="str">
        <f aca="false">IFERROR(IF(INDEX(원자료_잔고!$A$1:$EZ$1500,설정!$L$5+ROW()-1,설정!$L$23)&amp;""="0","",INDEX(원자료_잔고!$A$1:$EZ$1500,설정!$L$5+ROW()-1,설정!$L$23)&amp;""),"")</f>
        <v/>
      </c>
      <c r="Q795" s="89" t="n">
        <f aca="false">IF(AND($A795&lt;&gt;"",ISNUMBER(E795)),IF(E795&gt;0,1,0),0)</f>
        <v>0</v>
      </c>
      <c r="R795" s="43" t="str">
        <f aca="false">IF(Q795=1,UPPER(LEFT($A795,FIND(" ",$A795&amp;" ")-1)),"")</f>
        <v/>
      </c>
      <c r="S795" s="89" t="n">
        <f aca="false">IF(Q795=1,IF(OR(ISNUMBER(SEARCH("Float",$A795)),ISNUMBER(SEARCH("FRN",$A795))),1,0),0)</f>
        <v>0</v>
      </c>
      <c r="T795" s="43" t="str">
        <f aca="false">IF(AND(Q795=1,ISNUMBER(I795)),TEXT(I795,"yyyymmdd")&amp;"|"&amp;IF(S795=1,"F",TEXT(J795,"0.000")),"")</f>
        <v/>
      </c>
      <c r="U795" s="90" t="str">
        <f aca="false">IF(AND(Q795=1,ISNUMBER(I795)),(I795-설정!$C$4)/365.25,"")</f>
        <v/>
      </c>
      <c r="V795" s="43" t="str">
        <f aca="false">IF(Q795&lt;&gt;1,"",IF(ISNUMBER(U795),IF(U795&lt;=1,"1년 이하",IF(U795&lt;=2,"1-2년",IF(U795&lt;=3,"2-3년",IF(U795&lt;=4,"3-4년",IF(U795&lt;=5,"4-5년",IF(U795&lt;=7,"5-7년",IF(U795&lt;=10,"7-10년",IF(U795&lt;=20,"10-20년","20년 이상")))))))),"미분류"))</f>
        <v/>
      </c>
      <c r="W795" s="43" t="str">
        <f aca="false">IF(Q795&lt;&gt;1,"",IF(AB795&lt;&gt;"",INDEX(시장분석!$C:$C,AB795),IF(K795=1,"USD","비USD")))</f>
        <v/>
      </c>
      <c r="X795" s="91" t="n">
        <f aca="false">IF(Q795=1,E795*K795/1000000,0)</f>
        <v>0</v>
      </c>
      <c r="Y795" s="89" t="n">
        <f aca="false">IF(R795="T",1,0)</f>
        <v>0</v>
      </c>
      <c r="Z795" s="92" t="str">
        <f aca="false">IF(Q795&lt;&gt;1,"",IF(AD795=1,IF(ISNUMBER(U795),MAX(U795,0),H795),H795))</f>
        <v/>
      </c>
      <c r="AA795" s="91" t="n">
        <f aca="false">IF(Q795=1,IF(ISNUMBER(L795),L795,0)*K795/1000000,0)</f>
        <v>0</v>
      </c>
      <c r="AB795" s="89" t="str">
        <f aca="false">IF(Q795&lt;&gt;1,"",IFERROR(MATCH(VLOOKUP(B795,매핑!$H$4:$I$15,2,0),시장분석!$A$2:$A$601,0)+1,IFERROR(MATCH(R795&amp;"|"&amp;T795,시장분석!$V$2:$V$601,0)+1,IF(COUNTIF(시장분석!$U$2:$U$601,T795)=1,MATCH(T795,시장분석!$U$2:$U$601,0)+1,""))))</f>
        <v/>
      </c>
      <c r="AC795" s="89" t="n">
        <f aca="false">IF(Q795&lt;&gt;1,0,IF(OR(설정!$C$5="전체",AND(설정!$C$5="선택펀드",IFERROR(COUNTIFS(설정!$F$16:$F$36,C795,설정!$G$16:$G$36,"Y")+COUNTIFS(설정!$F$16:$F$36,VALUE(C795),설정!$G$16:$G$36,"Y"),0)&gt;0),C795&amp;""=설정!$C$5&amp;""),1,0))</f>
        <v>0</v>
      </c>
      <c r="AD795" s="89" t="n">
        <f aca="false">IF(Q795&lt;&gt;1,0,IF(OR(S795=1,IF(AB795="",FALSE(),INDEX(시장분석!$R:$R,AB795)=1)),1,0))</f>
        <v>0</v>
      </c>
      <c r="AE795" s="43" t="str">
        <f aca="false">IF(AB795="","",INDEX(시장분석!$A:$A,AB795))</f>
        <v/>
      </c>
      <c r="AF795" s="93" t="str">
        <f aca="false">IF(AB795="","",IF(ISNUMBER(IF(AB795="","",INDEX(시장분석!$E:$E,AB795))),IF(AB795="","",INDEX(시장분석!$E:$E,AB795)),""))</f>
        <v/>
      </c>
      <c r="AG795" s="43" t="str">
        <f aca="false">IF(Q795&lt;&gt;1,"",IF(AB795&lt;&gt;"",IF(AB795="","",INDEX(시장분석!$L:$L,AB795)),IFERROR(IF(VLOOKUP(R795,매핑!$A$4:$E$92,5,0)="","미분류",VLOOKUP(R795,매핑!$A$4:$E$92,5,0)),"미분류")))</f>
        <v/>
      </c>
      <c r="AH795" s="43" t="str">
        <f aca="false">IF(Q795&lt;&gt;1,"",IF(AB795&lt;&gt;"",IF(AB795="","",INDEX(시장분석!$N:$N,AB795)),IFERROR(IF(VLOOKUP(R795,매핑!$A$4:$E$92,4,0)="","미분류",VLOOKUP(R795,매핑!$A$4:$E$92,4,0)),"미분류")))</f>
        <v/>
      </c>
      <c r="AI795" s="43" t="str">
        <f aca="false">IF(Q795&lt;&gt;1,"",IFERROR(IF(VLOOKUP(R795,매핑!$A$4:$E$92,3,0)="","미분류",VLOOKUP(R795,매핑!$A$4:$E$92,3,0)),IF(AB795&lt;&gt;"",IF(AB795="","",INDEX(시장분석!$W:$W,AB795)),"미분류")))</f>
        <v/>
      </c>
      <c r="AJ795" s="43" t="str">
        <f aca="false">IF(Q795&lt;&gt;1,"",IFERROR(VLOOKUP(IF(N795&lt;&gt;"",N795,IF(P795&lt;&gt;"",P795,O795)),설정!$A$15:$D$47,2,0),""))</f>
        <v/>
      </c>
      <c r="AK795" s="43" t="str">
        <f aca="false">IF(Q795&lt;&gt;1,"",IF(AJ795="","무등급",IFERROR(VLOOKUP(AJ795,설정!$A$15:$D$47,3,0),"무등급")))</f>
        <v/>
      </c>
      <c r="AL795" s="89" t="n">
        <f aca="false">IF(AJ795="",99,IFERROR(VLOOKUP(AJ795,설정!$A$15:$D$47,4,0),99))</f>
        <v>99</v>
      </c>
      <c r="AM795" s="94" t="n">
        <f aca="false">IF(ISNUMBER(H795),AA795*1000000*H795/10000,0)</f>
        <v>0</v>
      </c>
      <c r="AN795" s="94" t="n">
        <f aca="false">IF(OR(Y795=1,NOT(ISNUMBER(Z795))),0,AA795*1000000*Z795/10000)</f>
        <v>0</v>
      </c>
      <c r="AO795" s="94" t="n">
        <f aca="false">IF(ISNUMBER(G795),AA795*1000000*G795/100,0)</f>
        <v>0</v>
      </c>
      <c r="AP795" s="94" t="n">
        <f aca="false">IF(ISNUMBER(M795),M795*K795,0)</f>
        <v>0</v>
      </c>
      <c r="AQ795" s="95" t="str">
        <f aca="false">IF(AB795="","",INDEX(시장분석!$AK:$AK,AB795))</f>
        <v/>
      </c>
      <c r="AR795" s="43" t="str">
        <f aca="false">IF(AB795="","-",IF(AB795="","",INDEX(시장분석!$AL:$AL,AB795)))</f>
        <v>-</v>
      </c>
      <c r="AS795" s="96" t="str">
        <f aca="false">IF(AB795="","",INDEX(시장분석!$AJ:$AJ,AB795))</f>
        <v/>
      </c>
      <c r="AT795" s="93" t="n">
        <f aca="false">IF(AB795="",0,IF(AB795="","",INDEX(시장분석!$AN:$AN,AB795)))</f>
        <v>0</v>
      </c>
      <c r="AU795" s="94" t="n">
        <f aca="false">IF(ISNUMBER(Z795),AT795/10000*MAX(Z795-1,0)*AA795*1000000,0)</f>
        <v>0</v>
      </c>
      <c r="AV795" s="94" t="n">
        <f aca="false">AO795+AU795</f>
        <v>0</v>
      </c>
      <c r="AW795" s="43" t="str">
        <f aca="false">IF(Q795&lt;&gt;1,"",TRIM(IF(AD795=1,"FRN ","")&amp;IF(AND(AL795&gt;=10,AL795&lt;99),"BBB0미만 ","")&amp;IF(AJ795="","등급없음 ","")&amp;IF(K795&lt;&gt;1,"비USD ","")&amp;IF(AND(AB795="",Y795=0),"시장데이터없음 ","")&amp;IF(AND(ISNUMBER(U795),U795&lt;0),"만기경과 ","")))</f>
        <v/>
      </c>
      <c r="AX795" s="90" t="n">
        <f aca="false">IF(Q795&lt;&gt;1,1,IF(스프레드쇼크!$C$4="Y",INDEX(스프레드쇼크!$B$12:$L$16,IFERROR(MATCH(AH795,스프레드쇼크!$A$12:$A$16,0),MATCH("목록외",스프레드쇼크!$A$12:$A$16,0)),IFERROR(MATCH(AG795,스프레드쇼크!$B$11:$L$11,0),MATCH("목록외",스프레드쇼크!$B$11:$L$11,0))),1))</f>
        <v>1</v>
      </c>
      <c r="AY795" s="90" t="n">
        <f aca="false">IF(스프레드쇼크!$C$5="Y",IF(ISNUMBER(AF795),MIN(스프레드쇼크!$C$7,MAX(스프레드쇼크!$C$6,AF795/스프레드쇼크!$C$8)),1),1)</f>
        <v>1</v>
      </c>
      <c r="AZ795" s="94" t="n">
        <f aca="false">AN795*AX795*AY795</f>
        <v>0</v>
      </c>
      <c r="BA795" s="90" t="n">
        <f aca="false">IF(ISNUMBER(G795),AA795*G795,0)</f>
        <v>0</v>
      </c>
      <c r="BB795" s="90" t="n">
        <f aca="false">IF(ISNUMBER(G795),AA795,0)</f>
        <v>0</v>
      </c>
      <c r="BC795" s="90" t="n">
        <f aca="false">IF(AND(Y795=0,ISNUMBER(AF795)),AA795*AF795,0)</f>
        <v>0</v>
      </c>
      <c r="BD795" s="90" t="n">
        <f aca="false">IF(AND(Y795=0,ISNUMBER(AF795)),AA795,0)</f>
        <v>0</v>
      </c>
      <c r="BE795" s="90" t="n">
        <f aca="false">IF(ISNUMBER(H795),AA795*H795,0)</f>
        <v>0</v>
      </c>
      <c r="BF795" s="90" t="n">
        <f aca="false">IF(ISNUMBER(H795),AA795,0)</f>
        <v>0</v>
      </c>
      <c r="BG795" s="90" t="n">
        <f aca="false">IF(AND(Y795=0,ISNUMBER(AF795),ISNUMBER(Z795)),AA795*Z795,0)</f>
        <v>0</v>
      </c>
      <c r="BH795" s="90" t="n">
        <f aca="false">IF(AND(Y795=0,ISNUMBER(AF795),ISNUMBER(Z795)),AA795*AT795*MAX(Z795-1,0),0)</f>
        <v>0</v>
      </c>
      <c r="BI795" s="90" t="n">
        <f aca="false">IF(Y795=0,AA795,0)</f>
        <v>0</v>
      </c>
    </row>
    <row r="796" customFormat="false" ht="15" hidden="false" customHeight="false" outlineLevel="0" collapsed="false">
      <c r="A796" s="83" t="str">
        <f aca="false">IFERROR(IF(INDEX(원자료_잔고!$A$1:$EZ$1500,설정!$L$5+ROW()-1,설정!$L$8)&amp;""="0","",INDEX(원자료_잔고!$A$1:$EZ$1500,설정!$L$5+ROW()-1,설정!$L$8)&amp;""),"")</f>
        <v/>
      </c>
      <c r="B796" s="83" t="str">
        <f aca="false">IFERROR(IF(INDEX(원자료_잔고!$A$1:$EZ$1500,설정!$L$5+ROW()-1,설정!$L$7)&amp;""="0","",INDEX(원자료_잔고!$A$1:$EZ$1500,설정!$L$5+ROW()-1,설정!$L$7)&amp;""),"")</f>
        <v/>
      </c>
      <c r="C796" s="83" t="str">
        <f aca="false">IFERROR(IF(INDEX(원자료_잔고!$A$1:$EZ$1500,설정!$L$5+ROW()-1,설정!$L$9)&amp;""="0","",INDEX(원자료_잔고!$A$1:$EZ$1500,설정!$L$5+ROW()-1,설정!$L$9)&amp;""),"")</f>
        <v/>
      </c>
      <c r="D796" s="83" t="str">
        <f aca="false">IFERROR(IF(INDEX(원자료_잔고!$A$1:$EZ$1500,설정!$L$5+ROW()-1,설정!$L$10)&amp;""="0","",INDEX(원자료_잔고!$A$1:$EZ$1500,설정!$L$5+ROW()-1,설정!$L$10)&amp;""),"")</f>
        <v/>
      </c>
      <c r="E796" s="84" t="str">
        <f aca="false">IFERROR(IF(ISNUMBER(INDEX(원자료_잔고!$A$1:$EZ$1500,설정!$L$5+ROW()-1,설정!$L$11)),INDEX(원자료_잔고!$A$1:$EZ$1500,설정!$L$5+ROW()-1,설정!$L$11),""),"")</f>
        <v/>
      </c>
      <c r="F796" s="85" t="str">
        <f aca="false">IFERROR(IF(ISNUMBER(INDEX(원자료_잔고!$A$1:$EZ$1500,설정!$L$5+ROW()-1,설정!$L$12)),INDEX(원자료_잔고!$A$1:$EZ$1500,설정!$L$5+ROW()-1,설정!$L$12),""),"")</f>
        <v/>
      </c>
      <c r="G796" s="85" t="str">
        <f aca="false">IFERROR(IF(ISNUMBER(INDEX(원자료_잔고!$A$1:$EZ$1500,설정!$L$5+ROW()-1,설정!$L$13)),INDEX(원자료_잔고!$A$1:$EZ$1500,설정!$L$5+ROW()-1,설정!$L$13),""),"")</f>
        <v/>
      </c>
      <c r="H796" s="85" t="str">
        <f aca="false">IFERROR(IF(ISNUMBER(INDEX(원자료_잔고!$A$1:$EZ$1500,설정!$L$5+ROW()-1,설정!$L$14)),INDEX(원자료_잔고!$A$1:$EZ$1500,설정!$L$5+ROW()-1,설정!$L$14),""),"")</f>
        <v/>
      </c>
      <c r="I796" s="86" t="str">
        <f aca="false">IFERROR(IF(ISNUMBER(INDEX(원자료_잔고!$A$1:$EZ$1500,설정!$L$5+ROW()-1,설정!$L$15)),INDEX(원자료_잔고!$A$1:$EZ$1500,설정!$L$5+ROW()-1,설정!$L$15),""),"")</f>
        <v/>
      </c>
      <c r="J796" s="85" t="str">
        <f aca="false">IFERROR(IF(ISNUMBER(INDEX(원자료_잔고!$A$1:$EZ$1500,설정!$L$5+ROW()-1,설정!$L$16)),INDEX(원자료_잔고!$A$1:$EZ$1500,설정!$L$5+ROW()-1,설정!$L$16),""),"")</f>
        <v/>
      </c>
      <c r="K796" s="87" t="str">
        <f aca="false">IFERROR(IF(ISNUMBER(INDEX(원자료_잔고!$A$1:$EZ$1500,설정!$L$5+ROW()-1,설정!$L$17)),INDEX(원자료_잔고!$A$1:$EZ$1500,설정!$L$5+ROW()-1,설정!$L$17),""),"")</f>
        <v/>
      </c>
      <c r="L796" s="84" t="str">
        <f aca="false">IFERROR(IF(ISNUMBER(INDEX(원자료_잔고!$A$1:$EZ$1500,설정!$L$5+ROW()-1,설정!$L$18)),INDEX(원자료_잔고!$A$1:$EZ$1500,설정!$L$5+ROW()-1,설정!$L$18),""),"")</f>
        <v/>
      </c>
      <c r="M796" s="88" t="str">
        <f aca="false">IFERROR(IF(ISNUMBER(INDEX(원자료_잔고!$A$1:$EZ$1500,설정!$L$5+ROW()-1,설정!$L$19)),INDEX(원자료_잔고!$A$1:$EZ$1500,설정!$L$5+ROW()-1,설정!$L$19),""),"")</f>
        <v/>
      </c>
      <c r="N796" s="83" t="str">
        <f aca="false">IFERROR(IF(INDEX(원자료_잔고!$A$1:$EZ$1500,설정!$L$5+ROW()-1,설정!$L$21)&amp;""="0","",INDEX(원자료_잔고!$A$1:$EZ$1500,설정!$L$5+ROW()-1,설정!$L$21)&amp;""),"")</f>
        <v/>
      </c>
      <c r="O796" s="83" t="str">
        <f aca="false">IFERROR(IF(INDEX(원자료_잔고!$A$1:$EZ$1500,설정!$L$5+ROW()-1,설정!$L$22)&amp;""="0","",INDEX(원자료_잔고!$A$1:$EZ$1500,설정!$L$5+ROW()-1,설정!$L$22)&amp;""),"")</f>
        <v/>
      </c>
      <c r="P796" s="83" t="str">
        <f aca="false">IFERROR(IF(INDEX(원자료_잔고!$A$1:$EZ$1500,설정!$L$5+ROW()-1,설정!$L$23)&amp;""="0","",INDEX(원자료_잔고!$A$1:$EZ$1500,설정!$L$5+ROW()-1,설정!$L$23)&amp;""),"")</f>
        <v/>
      </c>
      <c r="Q796" s="89" t="n">
        <f aca="false">IF(AND($A796&lt;&gt;"",ISNUMBER(E796)),IF(E796&gt;0,1,0),0)</f>
        <v>0</v>
      </c>
      <c r="R796" s="43" t="str">
        <f aca="false">IF(Q796=1,UPPER(LEFT($A796,FIND(" ",$A796&amp;" ")-1)),"")</f>
        <v/>
      </c>
      <c r="S796" s="89" t="n">
        <f aca="false">IF(Q796=1,IF(OR(ISNUMBER(SEARCH("Float",$A796)),ISNUMBER(SEARCH("FRN",$A796))),1,0),0)</f>
        <v>0</v>
      </c>
      <c r="T796" s="43" t="str">
        <f aca="false">IF(AND(Q796=1,ISNUMBER(I796)),TEXT(I796,"yyyymmdd")&amp;"|"&amp;IF(S796=1,"F",TEXT(J796,"0.000")),"")</f>
        <v/>
      </c>
      <c r="U796" s="90" t="str">
        <f aca="false">IF(AND(Q796=1,ISNUMBER(I796)),(I796-설정!$C$4)/365.25,"")</f>
        <v/>
      </c>
      <c r="V796" s="43" t="str">
        <f aca="false">IF(Q796&lt;&gt;1,"",IF(ISNUMBER(U796),IF(U796&lt;=1,"1년 이하",IF(U796&lt;=2,"1-2년",IF(U796&lt;=3,"2-3년",IF(U796&lt;=4,"3-4년",IF(U796&lt;=5,"4-5년",IF(U796&lt;=7,"5-7년",IF(U796&lt;=10,"7-10년",IF(U796&lt;=20,"10-20년","20년 이상")))))))),"미분류"))</f>
        <v/>
      </c>
      <c r="W796" s="43" t="str">
        <f aca="false">IF(Q796&lt;&gt;1,"",IF(AB796&lt;&gt;"",INDEX(시장분석!$C:$C,AB796),IF(K796=1,"USD","비USD")))</f>
        <v/>
      </c>
      <c r="X796" s="91" t="n">
        <f aca="false">IF(Q796=1,E796*K796/1000000,0)</f>
        <v>0</v>
      </c>
      <c r="Y796" s="89" t="n">
        <f aca="false">IF(R796="T",1,0)</f>
        <v>0</v>
      </c>
      <c r="Z796" s="92" t="str">
        <f aca="false">IF(Q796&lt;&gt;1,"",IF(AD796=1,IF(ISNUMBER(U796),MAX(U796,0),H796),H796))</f>
        <v/>
      </c>
      <c r="AA796" s="91" t="n">
        <f aca="false">IF(Q796=1,IF(ISNUMBER(L796),L796,0)*K796/1000000,0)</f>
        <v>0</v>
      </c>
      <c r="AB796" s="89" t="str">
        <f aca="false">IF(Q796&lt;&gt;1,"",IFERROR(MATCH(VLOOKUP(B796,매핑!$H$4:$I$15,2,0),시장분석!$A$2:$A$601,0)+1,IFERROR(MATCH(R796&amp;"|"&amp;T796,시장분석!$V$2:$V$601,0)+1,IF(COUNTIF(시장분석!$U$2:$U$601,T796)=1,MATCH(T796,시장분석!$U$2:$U$601,0)+1,""))))</f>
        <v/>
      </c>
      <c r="AC796" s="89" t="n">
        <f aca="false">IF(Q796&lt;&gt;1,0,IF(OR(설정!$C$5="전체",AND(설정!$C$5="선택펀드",IFERROR(COUNTIFS(설정!$F$16:$F$36,C796,설정!$G$16:$G$36,"Y")+COUNTIFS(설정!$F$16:$F$36,VALUE(C796),설정!$G$16:$G$36,"Y"),0)&gt;0),C796&amp;""=설정!$C$5&amp;""),1,0))</f>
        <v>0</v>
      </c>
      <c r="AD796" s="89" t="n">
        <f aca="false">IF(Q796&lt;&gt;1,0,IF(OR(S796=1,IF(AB796="",FALSE(),INDEX(시장분석!$R:$R,AB796)=1)),1,0))</f>
        <v>0</v>
      </c>
      <c r="AE796" s="43" t="str">
        <f aca="false">IF(AB796="","",INDEX(시장분석!$A:$A,AB796))</f>
        <v/>
      </c>
      <c r="AF796" s="93" t="str">
        <f aca="false">IF(AB796="","",IF(ISNUMBER(IF(AB796="","",INDEX(시장분석!$E:$E,AB796))),IF(AB796="","",INDEX(시장분석!$E:$E,AB796)),""))</f>
        <v/>
      </c>
      <c r="AG796" s="43" t="str">
        <f aca="false">IF(Q796&lt;&gt;1,"",IF(AB796&lt;&gt;"",IF(AB796="","",INDEX(시장분석!$L:$L,AB796)),IFERROR(IF(VLOOKUP(R796,매핑!$A$4:$E$92,5,0)="","미분류",VLOOKUP(R796,매핑!$A$4:$E$92,5,0)),"미분류")))</f>
        <v/>
      </c>
      <c r="AH796" s="43" t="str">
        <f aca="false">IF(Q796&lt;&gt;1,"",IF(AB796&lt;&gt;"",IF(AB796="","",INDEX(시장분석!$N:$N,AB796)),IFERROR(IF(VLOOKUP(R796,매핑!$A$4:$E$92,4,0)="","미분류",VLOOKUP(R796,매핑!$A$4:$E$92,4,0)),"미분류")))</f>
        <v/>
      </c>
      <c r="AI796" s="43" t="str">
        <f aca="false">IF(Q796&lt;&gt;1,"",IFERROR(IF(VLOOKUP(R796,매핑!$A$4:$E$92,3,0)="","미분류",VLOOKUP(R796,매핑!$A$4:$E$92,3,0)),IF(AB796&lt;&gt;"",IF(AB796="","",INDEX(시장분석!$W:$W,AB796)),"미분류")))</f>
        <v/>
      </c>
      <c r="AJ796" s="43" t="str">
        <f aca="false">IF(Q796&lt;&gt;1,"",IFERROR(VLOOKUP(IF(N796&lt;&gt;"",N796,IF(P796&lt;&gt;"",P796,O796)),설정!$A$15:$D$47,2,0),""))</f>
        <v/>
      </c>
      <c r="AK796" s="43" t="str">
        <f aca="false">IF(Q796&lt;&gt;1,"",IF(AJ796="","무등급",IFERROR(VLOOKUP(AJ796,설정!$A$15:$D$47,3,0),"무등급")))</f>
        <v/>
      </c>
      <c r="AL796" s="89" t="n">
        <f aca="false">IF(AJ796="",99,IFERROR(VLOOKUP(AJ796,설정!$A$15:$D$47,4,0),99))</f>
        <v>99</v>
      </c>
      <c r="AM796" s="94" t="n">
        <f aca="false">IF(ISNUMBER(H796),AA796*1000000*H796/10000,0)</f>
        <v>0</v>
      </c>
      <c r="AN796" s="94" t="n">
        <f aca="false">IF(OR(Y796=1,NOT(ISNUMBER(Z796))),0,AA796*1000000*Z796/10000)</f>
        <v>0</v>
      </c>
      <c r="AO796" s="94" t="n">
        <f aca="false">IF(ISNUMBER(G796),AA796*1000000*G796/100,0)</f>
        <v>0</v>
      </c>
      <c r="AP796" s="94" t="n">
        <f aca="false">IF(ISNUMBER(M796),M796*K796,0)</f>
        <v>0</v>
      </c>
      <c r="AQ796" s="95" t="str">
        <f aca="false">IF(AB796="","",INDEX(시장분석!$AK:$AK,AB796))</f>
        <v/>
      </c>
      <c r="AR796" s="43" t="str">
        <f aca="false">IF(AB796="","-",IF(AB796="","",INDEX(시장분석!$AL:$AL,AB796)))</f>
        <v>-</v>
      </c>
      <c r="AS796" s="96" t="str">
        <f aca="false">IF(AB796="","",INDEX(시장분석!$AJ:$AJ,AB796))</f>
        <v/>
      </c>
      <c r="AT796" s="93" t="n">
        <f aca="false">IF(AB796="",0,IF(AB796="","",INDEX(시장분석!$AN:$AN,AB796)))</f>
        <v>0</v>
      </c>
      <c r="AU796" s="94" t="n">
        <f aca="false">IF(ISNUMBER(Z796),AT796/10000*MAX(Z796-1,0)*AA796*1000000,0)</f>
        <v>0</v>
      </c>
      <c r="AV796" s="94" t="n">
        <f aca="false">AO796+AU796</f>
        <v>0</v>
      </c>
      <c r="AW796" s="43" t="str">
        <f aca="false">IF(Q796&lt;&gt;1,"",TRIM(IF(AD796=1,"FRN ","")&amp;IF(AND(AL796&gt;=10,AL796&lt;99),"BBB0미만 ","")&amp;IF(AJ796="","등급없음 ","")&amp;IF(K796&lt;&gt;1,"비USD ","")&amp;IF(AND(AB796="",Y796=0),"시장데이터없음 ","")&amp;IF(AND(ISNUMBER(U796),U796&lt;0),"만기경과 ","")))</f>
        <v/>
      </c>
      <c r="AX796" s="90" t="n">
        <f aca="false">IF(Q796&lt;&gt;1,1,IF(스프레드쇼크!$C$4="Y",INDEX(스프레드쇼크!$B$12:$L$16,IFERROR(MATCH(AH796,스프레드쇼크!$A$12:$A$16,0),MATCH("목록외",스프레드쇼크!$A$12:$A$16,0)),IFERROR(MATCH(AG796,스프레드쇼크!$B$11:$L$11,0),MATCH("목록외",스프레드쇼크!$B$11:$L$11,0))),1))</f>
        <v>1</v>
      </c>
      <c r="AY796" s="90" t="n">
        <f aca="false">IF(스프레드쇼크!$C$5="Y",IF(ISNUMBER(AF796),MIN(스프레드쇼크!$C$7,MAX(스프레드쇼크!$C$6,AF796/스프레드쇼크!$C$8)),1),1)</f>
        <v>1</v>
      </c>
      <c r="AZ796" s="94" t="n">
        <f aca="false">AN796*AX796*AY796</f>
        <v>0</v>
      </c>
      <c r="BA796" s="90" t="n">
        <f aca="false">IF(ISNUMBER(G796),AA796*G796,0)</f>
        <v>0</v>
      </c>
      <c r="BB796" s="90" t="n">
        <f aca="false">IF(ISNUMBER(G796),AA796,0)</f>
        <v>0</v>
      </c>
      <c r="BC796" s="90" t="n">
        <f aca="false">IF(AND(Y796=0,ISNUMBER(AF796)),AA796*AF796,0)</f>
        <v>0</v>
      </c>
      <c r="BD796" s="90" t="n">
        <f aca="false">IF(AND(Y796=0,ISNUMBER(AF796)),AA796,0)</f>
        <v>0</v>
      </c>
      <c r="BE796" s="90" t="n">
        <f aca="false">IF(ISNUMBER(H796),AA796*H796,0)</f>
        <v>0</v>
      </c>
      <c r="BF796" s="90" t="n">
        <f aca="false">IF(ISNUMBER(H796),AA796,0)</f>
        <v>0</v>
      </c>
      <c r="BG796" s="90" t="n">
        <f aca="false">IF(AND(Y796=0,ISNUMBER(AF796),ISNUMBER(Z796)),AA796*Z796,0)</f>
        <v>0</v>
      </c>
      <c r="BH796" s="90" t="n">
        <f aca="false">IF(AND(Y796=0,ISNUMBER(AF796),ISNUMBER(Z796)),AA796*AT796*MAX(Z796-1,0),0)</f>
        <v>0</v>
      </c>
      <c r="BI796" s="90" t="n">
        <f aca="false">IF(Y796=0,AA796,0)</f>
        <v>0</v>
      </c>
    </row>
    <row r="797" customFormat="false" ht="15" hidden="false" customHeight="false" outlineLevel="0" collapsed="false">
      <c r="A797" s="83" t="str">
        <f aca="false">IFERROR(IF(INDEX(원자료_잔고!$A$1:$EZ$1500,설정!$L$5+ROW()-1,설정!$L$8)&amp;""="0","",INDEX(원자료_잔고!$A$1:$EZ$1500,설정!$L$5+ROW()-1,설정!$L$8)&amp;""),"")</f>
        <v/>
      </c>
      <c r="B797" s="83" t="str">
        <f aca="false">IFERROR(IF(INDEX(원자료_잔고!$A$1:$EZ$1500,설정!$L$5+ROW()-1,설정!$L$7)&amp;""="0","",INDEX(원자료_잔고!$A$1:$EZ$1500,설정!$L$5+ROW()-1,설정!$L$7)&amp;""),"")</f>
        <v/>
      </c>
      <c r="C797" s="83" t="str">
        <f aca="false">IFERROR(IF(INDEX(원자료_잔고!$A$1:$EZ$1500,설정!$L$5+ROW()-1,설정!$L$9)&amp;""="0","",INDEX(원자료_잔고!$A$1:$EZ$1500,설정!$L$5+ROW()-1,설정!$L$9)&amp;""),"")</f>
        <v/>
      </c>
      <c r="D797" s="83" t="str">
        <f aca="false">IFERROR(IF(INDEX(원자료_잔고!$A$1:$EZ$1500,설정!$L$5+ROW()-1,설정!$L$10)&amp;""="0","",INDEX(원자료_잔고!$A$1:$EZ$1500,설정!$L$5+ROW()-1,설정!$L$10)&amp;""),"")</f>
        <v/>
      </c>
      <c r="E797" s="84" t="str">
        <f aca="false">IFERROR(IF(ISNUMBER(INDEX(원자료_잔고!$A$1:$EZ$1500,설정!$L$5+ROW()-1,설정!$L$11)),INDEX(원자료_잔고!$A$1:$EZ$1500,설정!$L$5+ROW()-1,설정!$L$11),""),"")</f>
        <v/>
      </c>
      <c r="F797" s="85" t="str">
        <f aca="false">IFERROR(IF(ISNUMBER(INDEX(원자료_잔고!$A$1:$EZ$1500,설정!$L$5+ROW()-1,설정!$L$12)),INDEX(원자료_잔고!$A$1:$EZ$1500,설정!$L$5+ROW()-1,설정!$L$12),""),"")</f>
        <v/>
      </c>
      <c r="G797" s="85" t="str">
        <f aca="false">IFERROR(IF(ISNUMBER(INDEX(원자료_잔고!$A$1:$EZ$1500,설정!$L$5+ROW()-1,설정!$L$13)),INDEX(원자료_잔고!$A$1:$EZ$1500,설정!$L$5+ROW()-1,설정!$L$13),""),"")</f>
        <v/>
      </c>
      <c r="H797" s="85" t="str">
        <f aca="false">IFERROR(IF(ISNUMBER(INDEX(원자료_잔고!$A$1:$EZ$1500,설정!$L$5+ROW()-1,설정!$L$14)),INDEX(원자료_잔고!$A$1:$EZ$1500,설정!$L$5+ROW()-1,설정!$L$14),""),"")</f>
        <v/>
      </c>
      <c r="I797" s="86" t="str">
        <f aca="false">IFERROR(IF(ISNUMBER(INDEX(원자료_잔고!$A$1:$EZ$1500,설정!$L$5+ROW()-1,설정!$L$15)),INDEX(원자료_잔고!$A$1:$EZ$1500,설정!$L$5+ROW()-1,설정!$L$15),""),"")</f>
        <v/>
      </c>
      <c r="J797" s="85" t="str">
        <f aca="false">IFERROR(IF(ISNUMBER(INDEX(원자료_잔고!$A$1:$EZ$1500,설정!$L$5+ROW()-1,설정!$L$16)),INDEX(원자료_잔고!$A$1:$EZ$1500,설정!$L$5+ROW()-1,설정!$L$16),""),"")</f>
        <v/>
      </c>
      <c r="K797" s="87" t="str">
        <f aca="false">IFERROR(IF(ISNUMBER(INDEX(원자료_잔고!$A$1:$EZ$1500,설정!$L$5+ROW()-1,설정!$L$17)),INDEX(원자료_잔고!$A$1:$EZ$1500,설정!$L$5+ROW()-1,설정!$L$17),""),"")</f>
        <v/>
      </c>
      <c r="L797" s="84" t="str">
        <f aca="false">IFERROR(IF(ISNUMBER(INDEX(원자료_잔고!$A$1:$EZ$1500,설정!$L$5+ROW()-1,설정!$L$18)),INDEX(원자료_잔고!$A$1:$EZ$1500,설정!$L$5+ROW()-1,설정!$L$18),""),"")</f>
        <v/>
      </c>
      <c r="M797" s="88" t="str">
        <f aca="false">IFERROR(IF(ISNUMBER(INDEX(원자료_잔고!$A$1:$EZ$1500,설정!$L$5+ROW()-1,설정!$L$19)),INDEX(원자료_잔고!$A$1:$EZ$1500,설정!$L$5+ROW()-1,설정!$L$19),""),"")</f>
        <v/>
      </c>
      <c r="N797" s="83" t="str">
        <f aca="false">IFERROR(IF(INDEX(원자료_잔고!$A$1:$EZ$1500,설정!$L$5+ROW()-1,설정!$L$21)&amp;""="0","",INDEX(원자료_잔고!$A$1:$EZ$1500,설정!$L$5+ROW()-1,설정!$L$21)&amp;""),"")</f>
        <v/>
      </c>
      <c r="O797" s="83" t="str">
        <f aca="false">IFERROR(IF(INDEX(원자료_잔고!$A$1:$EZ$1500,설정!$L$5+ROW()-1,설정!$L$22)&amp;""="0","",INDEX(원자료_잔고!$A$1:$EZ$1500,설정!$L$5+ROW()-1,설정!$L$22)&amp;""),"")</f>
        <v/>
      </c>
      <c r="P797" s="83" t="str">
        <f aca="false">IFERROR(IF(INDEX(원자료_잔고!$A$1:$EZ$1500,설정!$L$5+ROW()-1,설정!$L$23)&amp;""="0","",INDEX(원자료_잔고!$A$1:$EZ$1500,설정!$L$5+ROW()-1,설정!$L$23)&amp;""),"")</f>
        <v/>
      </c>
      <c r="Q797" s="89" t="n">
        <f aca="false">IF(AND($A797&lt;&gt;"",ISNUMBER(E797)),IF(E797&gt;0,1,0),0)</f>
        <v>0</v>
      </c>
      <c r="R797" s="43" t="str">
        <f aca="false">IF(Q797=1,UPPER(LEFT($A797,FIND(" ",$A797&amp;" ")-1)),"")</f>
        <v/>
      </c>
      <c r="S797" s="89" t="n">
        <f aca="false">IF(Q797=1,IF(OR(ISNUMBER(SEARCH("Float",$A797)),ISNUMBER(SEARCH("FRN",$A797))),1,0),0)</f>
        <v>0</v>
      </c>
      <c r="T797" s="43" t="str">
        <f aca="false">IF(AND(Q797=1,ISNUMBER(I797)),TEXT(I797,"yyyymmdd")&amp;"|"&amp;IF(S797=1,"F",TEXT(J797,"0.000")),"")</f>
        <v/>
      </c>
      <c r="U797" s="90" t="str">
        <f aca="false">IF(AND(Q797=1,ISNUMBER(I797)),(I797-설정!$C$4)/365.25,"")</f>
        <v/>
      </c>
      <c r="V797" s="43" t="str">
        <f aca="false">IF(Q797&lt;&gt;1,"",IF(ISNUMBER(U797),IF(U797&lt;=1,"1년 이하",IF(U797&lt;=2,"1-2년",IF(U797&lt;=3,"2-3년",IF(U797&lt;=4,"3-4년",IF(U797&lt;=5,"4-5년",IF(U797&lt;=7,"5-7년",IF(U797&lt;=10,"7-10년",IF(U797&lt;=20,"10-20년","20년 이상")))))))),"미분류"))</f>
        <v/>
      </c>
      <c r="W797" s="43" t="str">
        <f aca="false">IF(Q797&lt;&gt;1,"",IF(AB797&lt;&gt;"",INDEX(시장분석!$C:$C,AB797),IF(K797=1,"USD","비USD")))</f>
        <v/>
      </c>
      <c r="X797" s="91" t="n">
        <f aca="false">IF(Q797=1,E797*K797/1000000,0)</f>
        <v>0</v>
      </c>
      <c r="Y797" s="89" t="n">
        <f aca="false">IF(R797="T",1,0)</f>
        <v>0</v>
      </c>
      <c r="Z797" s="92" t="str">
        <f aca="false">IF(Q797&lt;&gt;1,"",IF(AD797=1,IF(ISNUMBER(U797),MAX(U797,0),H797),H797))</f>
        <v/>
      </c>
      <c r="AA797" s="91" t="n">
        <f aca="false">IF(Q797=1,IF(ISNUMBER(L797),L797,0)*K797/1000000,0)</f>
        <v>0</v>
      </c>
      <c r="AB797" s="89" t="str">
        <f aca="false">IF(Q797&lt;&gt;1,"",IFERROR(MATCH(VLOOKUP(B797,매핑!$H$4:$I$15,2,0),시장분석!$A$2:$A$601,0)+1,IFERROR(MATCH(R797&amp;"|"&amp;T797,시장분석!$V$2:$V$601,0)+1,IF(COUNTIF(시장분석!$U$2:$U$601,T797)=1,MATCH(T797,시장분석!$U$2:$U$601,0)+1,""))))</f>
        <v/>
      </c>
      <c r="AC797" s="89" t="n">
        <f aca="false">IF(Q797&lt;&gt;1,0,IF(OR(설정!$C$5="전체",AND(설정!$C$5="선택펀드",IFERROR(COUNTIFS(설정!$F$16:$F$36,C797,설정!$G$16:$G$36,"Y")+COUNTIFS(설정!$F$16:$F$36,VALUE(C797),설정!$G$16:$G$36,"Y"),0)&gt;0),C797&amp;""=설정!$C$5&amp;""),1,0))</f>
        <v>0</v>
      </c>
      <c r="AD797" s="89" t="n">
        <f aca="false">IF(Q797&lt;&gt;1,0,IF(OR(S797=1,IF(AB797="",FALSE(),INDEX(시장분석!$R:$R,AB797)=1)),1,0))</f>
        <v>0</v>
      </c>
      <c r="AE797" s="43" t="str">
        <f aca="false">IF(AB797="","",INDEX(시장분석!$A:$A,AB797))</f>
        <v/>
      </c>
      <c r="AF797" s="93" t="str">
        <f aca="false">IF(AB797="","",IF(ISNUMBER(IF(AB797="","",INDEX(시장분석!$E:$E,AB797))),IF(AB797="","",INDEX(시장분석!$E:$E,AB797)),""))</f>
        <v/>
      </c>
      <c r="AG797" s="43" t="str">
        <f aca="false">IF(Q797&lt;&gt;1,"",IF(AB797&lt;&gt;"",IF(AB797="","",INDEX(시장분석!$L:$L,AB797)),IFERROR(IF(VLOOKUP(R797,매핑!$A$4:$E$92,5,0)="","미분류",VLOOKUP(R797,매핑!$A$4:$E$92,5,0)),"미분류")))</f>
        <v/>
      </c>
      <c r="AH797" s="43" t="str">
        <f aca="false">IF(Q797&lt;&gt;1,"",IF(AB797&lt;&gt;"",IF(AB797="","",INDEX(시장분석!$N:$N,AB797)),IFERROR(IF(VLOOKUP(R797,매핑!$A$4:$E$92,4,0)="","미분류",VLOOKUP(R797,매핑!$A$4:$E$92,4,0)),"미분류")))</f>
        <v/>
      </c>
      <c r="AI797" s="43" t="str">
        <f aca="false">IF(Q797&lt;&gt;1,"",IFERROR(IF(VLOOKUP(R797,매핑!$A$4:$E$92,3,0)="","미분류",VLOOKUP(R797,매핑!$A$4:$E$92,3,0)),IF(AB797&lt;&gt;"",IF(AB797="","",INDEX(시장분석!$W:$W,AB797)),"미분류")))</f>
        <v/>
      </c>
      <c r="AJ797" s="43" t="str">
        <f aca="false">IF(Q797&lt;&gt;1,"",IFERROR(VLOOKUP(IF(N797&lt;&gt;"",N797,IF(P797&lt;&gt;"",P797,O797)),설정!$A$15:$D$47,2,0),""))</f>
        <v/>
      </c>
      <c r="AK797" s="43" t="str">
        <f aca="false">IF(Q797&lt;&gt;1,"",IF(AJ797="","무등급",IFERROR(VLOOKUP(AJ797,설정!$A$15:$D$47,3,0),"무등급")))</f>
        <v/>
      </c>
      <c r="AL797" s="89" t="n">
        <f aca="false">IF(AJ797="",99,IFERROR(VLOOKUP(AJ797,설정!$A$15:$D$47,4,0),99))</f>
        <v>99</v>
      </c>
      <c r="AM797" s="94" t="n">
        <f aca="false">IF(ISNUMBER(H797),AA797*1000000*H797/10000,0)</f>
        <v>0</v>
      </c>
      <c r="AN797" s="94" t="n">
        <f aca="false">IF(OR(Y797=1,NOT(ISNUMBER(Z797))),0,AA797*1000000*Z797/10000)</f>
        <v>0</v>
      </c>
      <c r="AO797" s="94" t="n">
        <f aca="false">IF(ISNUMBER(G797),AA797*1000000*G797/100,0)</f>
        <v>0</v>
      </c>
      <c r="AP797" s="94" t="n">
        <f aca="false">IF(ISNUMBER(M797),M797*K797,0)</f>
        <v>0</v>
      </c>
      <c r="AQ797" s="95" t="str">
        <f aca="false">IF(AB797="","",INDEX(시장분석!$AK:$AK,AB797))</f>
        <v/>
      </c>
      <c r="AR797" s="43" t="str">
        <f aca="false">IF(AB797="","-",IF(AB797="","",INDEX(시장분석!$AL:$AL,AB797)))</f>
        <v>-</v>
      </c>
      <c r="AS797" s="96" t="str">
        <f aca="false">IF(AB797="","",INDEX(시장분석!$AJ:$AJ,AB797))</f>
        <v/>
      </c>
      <c r="AT797" s="93" t="n">
        <f aca="false">IF(AB797="",0,IF(AB797="","",INDEX(시장분석!$AN:$AN,AB797)))</f>
        <v>0</v>
      </c>
      <c r="AU797" s="94" t="n">
        <f aca="false">IF(ISNUMBER(Z797),AT797/10000*MAX(Z797-1,0)*AA797*1000000,0)</f>
        <v>0</v>
      </c>
      <c r="AV797" s="94" t="n">
        <f aca="false">AO797+AU797</f>
        <v>0</v>
      </c>
      <c r="AW797" s="43" t="str">
        <f aca="false">IF(Q797&lt;&gt;1,"",TRIM(IF(AD797=1,"FRN ","")&amp;IF(AND(AL797&gt;=10,AL797&lt;99),"BBB0미만 ","")&amp;IF(AJ797="","등급없음 ","")&amp;IF(K797&lt;&gt;1,"비USD ","")&amp;IF(AND(AB797="",Y797=0),"시장데이터없음 ","")&amp;IF(AND(ISNUMBER(U797),U797&lt;0),"만기경과 ","")))</f>
        <v/>
      </c>
      <c r="AX797" s="90" t="n">
        <f aca="false">IF(Q797&lt;&gt;1,1,IF(스프레드쇼크!$C$4="Y",INDEX(스프레드쇼크!$B$12:$L$16,IFERROR(MATCH(AH797,스프레드쇼크!$A$12:$A$16,0),MATCH("목록외",스프레드쇼크!$A$12:$A$16,0)),IFERROR(MATCH(AG797,스프레드쇼크!$B$11:$L$11,0),MATCH("목록외",스프레드쇼크!$B$11:$L$11,0))),1))</f>
        <v>1</v>
      </c>
      <c r="AY797" s="90" t="n">
        <f aca="false">IF(스프레드쇼크!$C$5="Y",IF(ISNUMBER(AF797),MIN(스프레드쇼크!$C$7,MAX(스프레드쇼크!$C$6,AF797/스프레드쇼크!$C$8)),1),1)</f>
        <v>1</v>
      </c>
      <c r="AZ797" s="94" t="n">
        <f aca="false">AN797*AX797*AY797</f>
        <v>0</v>
      </c>
      <c r="BA797" s="90" t="n">
        <f aca="false">IF(ISNUMBER(G797),AA797*G797,0)</f>
        <v>0</v>
      </c>
      <c r="BB797" s="90" t="n">
        <f aca="false">IF(ISNUMBER(G797),AA797,0)</f>
        <v>0</v>
      </c>
      <c r="BC797" s="90" t="n">
        <f aca="false">IF(AND(Y797=0,ISNUMBER(AF797)),AA797*AF797,0)</f>
        <v>0</v>
      </c>
      <c r="BD797" s="90" t="n">
        <f aca="false">IF(AND(Y797=0,ISNUMBER(AF797)),AA797,0)</f>
        <v>0</v>
      </c>
      <c r="BE797" s="90" t="n">
        <f aca="false">IF(ISNUMBER(H797),AA797*H797,0)</f>
        <v>0</v>
      </c>
      <c r="BF797" s="90" t="n">
        <f aca="false">IF(ISNUMBER(H797),AA797,0)</f>
        <v>0</v>
      </c>
      <c r="BG797" s="90" t="n">
        <f aca="false">IF(AND(Y797=0,ISNUMBER(AF797),ISNUMBER(Z797)),AA797*Z797,0)</f>
        <v>0</v>
      </c>
      <c r="BH797" s="90" t="n">
        <f aca="false">IF(AND(Y797=0,ISNUMBER(AF797),ISNUMBER(Z797)),AA797*AT797*MAX(Z797-1,0),0)</f>
        <v>0</v>
      </c>
      <c r="BI797" s="90" t="n">
        <f aca="false">IF(Y797=0,AA797,0)</f>
        <v>0</v>
      </c>
    </row>
    <row r="798" customFormat="false" ht="15" hidden="false" customHeight="false" outlineLevel="0" collapsed="false">
      <c r="A798" s="83" t="str">
        <f aca="false">IFERROR(IF(INDEX(원자료_잔고!$A$1:$EZ$1500,설정!$L$5+ROW()-1,설정!$L$8)&amp;""="0","",INDEX(원자료_잔고!$A$1:$EZ$1500,설정!$L$5+ROW()-1,설정!$L$8)&amp;""),"")</f>
        <v/>
      </c>
      <c r="B798" s="83" t="str">
        <f aca="false">IFERROR(IF(INDEX(원자료_잔고!$A$1:$EZ$1500,설정!$L$5+ROW()-1,설정!$L$7)&amp;""="0","",INDEX(원자료_잔고!$A$1:$EZ$1500,설정!$L$5+ROW()-1,설정!$L$7)&amp;""),"")</f>
        <v/>
      </c>
      <c r="C798" s="83" t="str">
        <f aca="false">IFERROR(IF(INDEX(원자료_잔고!$A$1:$EZ$1500,설정!$L$5+ROW()-1,설정!$L$9)&amp;""="0","",INDEX(원자료_잔고!$A$1:$EZ$1500,설정!$L$5+ROW()-1,설정!$L$9)&amp;""),"")</f>
        <v/>
      </c>
      <c r="D798" s="83" t="str">
        <f aca="false">IFERROR(IF(INDEX(원자료_잔고!$A$1:$EZ$1500,설정!$L$5+ROW()-1,설정!$L$10)&amp;""="0","",INDEX(원자료_잔고!$A$1:$EZ$1500,설정!$L$5+ROW()-1,설정!$L$10)&amp;""),"")</f>
        <v/>
      </c>
      <c r="E798" s="84" t="str">
        <f aca="false">IFERROR(IF(ISNUMBER(INDEX(원자료_잔고!$A$1:$EZ$1500,설정!$L$5+ROW()-1,설정!$L$11)),INDEX(원자료_잔고!$A$1:$EZ$1500,설정!$L$5+ROW()-1,설정!$L$11),""),"")</f>
        <v/>
      </c>
      <c r="F798" s="85" t="str">
        <f aca="false">IFERROR(IF(ISNUMBER(INDEX(원자료_잔고!$A$1:$EZ$1500,설정!$L$5+ROW()-1,설정!$L$12)),INDEX(원자료_잔고!$A$1:$EZ$1500,설정!$L$5+ROW()-1,설정!$L$12),""),"")</f>
        <v/>
      </c>
      <c r="G798" s="85" t="str">
        <f aca="false">IFERROR(IF(ISNUMBER(INDEX(원자료_잔고!$A$1:$EZ$1500,설정!$L$5+ROW()-1,설정!$L$13)),INDEX(원자료_잔고!$A$1:$EZ$1500,설정!$L$5+ROW()-1,설정!$L$13),""),"")</f>
        <v/>
      </c>
      <c r="H798" s="85" t="str">
        <f aca="false">IFERROR(IF(ISNUMBER(INDEX(원자료_잔고!$A$1:$EZ$1500,설정!$L$5+ROW()-1,설정!$L$14)),INDEX(원자료_잔고!$A$1:$EZ$1500,설정!$L$5+ROW()-1,설정!$L$14),""),"")</f>
        <v/>
      </c>
      <c r="I798" s="86" t="str">
        <f aca="false">IFERROR(IF(ISNUMBER(INDEX(원자료_잔고!$A$1:$EZ$1500,설정!$L$5+ROW()-1,설정!$L$15)),INDEX(원자료_잔고!$A$1:$EZ$1500,설정!$L$5+ROW()-1,설정!$L$15),""),"")</f>
        <v/>
      </c>
      <c r="J798" s="85" t="str">
        <f aca="false">IFERROR(IF(ISNUMBER(INDEX(원자료_잔고!$A$1:$EZ$1500,설정!$L$5+ROW()-1,설정!$L$16)),INDEX(원자료_잔고!$A$1:$EZ$1500,설정!$L$5+ROW()-1,설정!$L$16),""),"")</f>
        <v/>
      </c>
      <c r="K798" s="87" t="str">
        <f aca="false">IFERROR(IF(ISNUMBER(INDEX(원자료_잔고!$A$1:$EZ$1500,설정!$L$5+ROW()-1,설정!$L$17)),INDEX(원자료_잔고!$A$1:$EZ$1500,설정!$L$5+ROW()-1,설정!$L$17),""),"")</f>
        <v/>
      </c>
      <c r="L798" s="84" t="str">
        <f aca="false">IFERROR(IF(ISNUMBER(INDEX(원자료_잔고!$A$1:$EZ$1500,설정!$L$5+ROW()-1,설정!$L$18)),INDEX(원자료_잔고!$A$1:$EZ$1500,설정!$L$5+ROW()-1,설정!$L$18),""),"")</f>
        <v/>
      </c>
      <c r="M798" s="88" t="str">
        <f aca="false">IFERROR(IF(ISNUMBER(INDEX(원자료_잔고!$A$1:$EZ$1500,설정!$L$5+ROW()-1,설정!$L$19)),INDEX(원자료_잔고!$A$1:$EZ$1500,설정!$L$5+ROW()-1,설정!$L$19),""),"")</f>
        <v/>
      </c>
      <c r="N798" s="83" t="str">
        <f aca="false">IFERROR(IF(INDEX(원자료_잔고!$A$1:$EZ$1500,설정!$L$5+ROW()-1,설정!$L$21)&amp;""="0","",INDEX(원자료_잔고!$A$1:$EZ$1500,설정!$L$5+ROW()-1,설정!$L$21)&amp;""),"")</f>
        <v/>
      </c>
      <c r="O798" s="83" t="str">
        <f aca="false">IFERROR(IF(INDEX(원자료_잔고!$A$1:$EZ$1500,설정!$L$5+ROW()-1,설정!$L$22)&amp;""="0","",INDEX(원자료_잔고!$A$1:$EZ$1500,설정!$L$5+ROW()-1,설정!$L$22)&amp;""),"")</f>
        <v/>
      </c>
      <c r="P798" s="83" t="str">
        <f aca="false">IFERROR(IF(INDEX(원자료_잔고!$A$1:$EZ$1500,설정!$L$5+ROW()-1,설정!$L$23)&amp;""="0","",INDEX(원자료_잔고!$A$1:$EZ$1500,설정!$L$5+ROW()-1,설정!$L$23)&amp;""),"")</f>
        <v/>
      </c>
      <c r="Q798" s="89" t="n">
        <f aca="false">IF(AND($A798&lt;&gt;"",ISNUMBER(E798)),IF(E798&gt;0,1,0),0)</f>
        <v>0</v>
      </c>
      <c r="R798" s="43" t="str">
        <f aca="false">IF(Q798=1,UPPER(LEFT($A798,FIND(" ",$A798&amp;" ")-1)),"")</f>
        <v/>
      </c>
      <c r="S798" s="89" t="n">
        <f aca="false">IF(Q798=1,IF(OR(ISNUMBER(SEARCH("Float",$A798)),ISNUMBER(SEARCH("FRN",$A798))),1,0),0)</f>
        <v>0</v>
      </c>
      <c r="T798" s="43" t="str">
        <f aca="false">IF(AND(Q798=1,ISNUMBER(I798)),TEXT(I798,"yyyymmdd")&amp;"|"&amp;IF(S798=1,"F",TEXT(J798,"0.000")),"")</f>
        <v/>
      </c>
      <c r="U798" s="90" t="str">
        <f aca="false">IF(AND(Q798=1,ISNUMBER(I798)),(I798-설정!$C$4)/365.25,"")</f>
        <v/>
      </c>
      <c r="V798" s="43" t="str">
        <f aca="false">IF(Q798&lt;&gt;1,"",IF(ISNUMBER(U798),IF(U798&lt;=1,"1년 이하",IF(U798&lt;=2,"1-2년",IF(U798&lt;=3,"2-3년",IF(U798&lt;=4,"3-4년",IF(U798&lt;=5,"4-5년",IF(U798&lt;=7,"5-7년",IF(U798&lt;=10,"7-10년",IF(U798&lt;=20,"10-20년","20년 이상")))))))),"미분류"))</f>
        <v/>
      </c>
      <c r="W798" s="43" t="str">
        <f aca="false">IF(Q798&lt;&gt;1,"",IF(AB798&lt;&gt;"",INDEX(시장분석!$C:$C,AB798),IF(K798=1,"USD","비USD")))</f>
        <v/>
      </c>
      <c r="X798" s="91" t="n">
        <f aca="false">IF(Q798=1,E798*K798/1000000,0)</f>
        <v>0</v>
      </c>
      <c r="Y798" s="89" t="n">
        <f aca="false">IF(R798="T",1,0)</f>
        <v>0</v>
      </c>
      <c r="Z798" s="92" t="str">
        <f aca="false">IF(Q798&lt;&gt;1,"",IF(AD798=1,IF(ISNUMBER(U798),MAX(U798,0),H798),H798))</f>
        <v/>
      </c>
      <c r="AA798" s="91" t="n">
        <f aca="false">IF(Q798=1,IF(ISNUMBER(L798),L798,0)*K798/1000000,0)</f>
        <v>0</v>
      </c>
      <c r="AB798" s="89" t="str">
        <f aca="false">IF(Q798&lt;&gt;1,"",IFERROR(MATCH(VLOOKUP(B798,매핑!$H$4:$I$15,2,0),시장분석!$A$2:$A$601,0)+1,IFERROR(MATCH(R798&amp;"|"&amp;T798,시장분석!$V$2:$V$601,0)+1,IF(COUNTIF(시장분석!$U$2:$U$601,T798)=1,MATCH(T798,시장분석!$U$2:$U$601,0)+1,""))))</f>
        <v/>
      </c>
      <c r="AC798" s="89" t="n">
        <f aca="false">IF(Q798&lt;&gt;1,0,IF(OR(설정!$C$5="전체",AND(설정!$C$5="선택펀드",IFERROR(COUNTIFS(설정!$F$16:$F$36,C798,설정!$G$16:$G$36,"Y")+COUNTIFS(설정!$F$16:$F$36,VALUE(C798),설정!$G$16:$G$36,"Y"),0)&gt;0),C798&amp;""=설정!$C$5&amp;""),1,0))</f>
        <v>0</v>
      </c>
      <c r="AD798" s="89" t="n">
        <f aca="false">IF(Q798&lt;&gt;1,0,IF(OR(S798=1,IF(AB798="",FALSE(),INDEX(시장분석!$R:$R,AB798)=1)),1,0))</f>
        <v>0</v>
      </c>
      <c r="AE798" s="43" t="str">
        <f aca="false">IF(AB798="","",INDEX(시장분석!$A:$A,AB798))</f>
        <v/>
      </c>
      <c r="AF798" s="93" t="str">
        <f aca="false">IF(AB798="","",IF(ISNUMBER(IF(AB798="","",INDEX(시장분석!$E:$E,AB798))),IF(AB798="","",INDEX(시장분석!$E:$E,AB798)),""))</f>
        <v/>
      </c>
      <c r="AG798" s="43" t="str">
        <f aca="false">IF(Q798&lt;&gt;1,"",IF(AB798&lt;&gt;"",IF(AB798="","",INDEX(시장분석!$L:$L,AB798)),IFERROR(IF(VLOOKUP(R798,매핑!$A$4:$E$92,5,0)="","미분류",VLOOKUP(R798,매핑!$A$4:$E$92,5,0)),"미분류")))</f>
        <v/>
      </c>
      <c r="AH798" s="43" t="str">
        <f aca="false">IF(Q798&lt;&gt;1,"",IF(AB798&lt;&gt;"",IF(AB798="","",INDEX(시장분석!$N:$N,AB798)),IFERROR(IF(VLOOKUP(R798,매핑!$A$4:$E$92,4,0)="","미분류",VLOOKUP(R798,매핑!$A$4:$E$92,4,0)),"미분류")))</f>
        <v/>
      </c>
      <c r="AI798" s="43" t="str">
        <f aca="false">IF(Q798&lt;&gt;1,"",IFERROR(IF(VLOOKUP(R798,매핑!$A$4:$E$92,3,0)="","미분류",VLOOKUP(R798,매핑!$A$4:$E$92,3,0)),IF(AB798&lt;&gt;"",IF(AB798="","",INDEX(시장분석!$W:$W,AB798)),"미분류")))</f>
        <v/>
      </c>
      <c r="AJ798" s="43" t="str">
        <f aca="false">IF(Q798&lt;&gt;1,"",IFERROR(VLOOKUP(IF(N798&lt;&gt;"",N798,IF(P798&lt;&gt;"",P798,O798)),설정!$A$15:$D$47,2,0),""))</f>
        <v/>
      </c>
      <c r="AK798" s="43" t="str">
        <f aca="false">IF(Q798&lt;&gt;1,"",IF(AJ798="","무등급",IFERROR(VLOOKUP(AJ798,설정!$A$15:$D$47,3,0),"무등급")))</f>
        <v/>
      </c>
      <c r="AL798" s="89" t="n">
        <f aca="false">IF(AJ798="",99,IFERROR(VLOOKUP(AJ798,설정!$A$15:$D$47,4,0),99))</f>
        <v>99</v>
      </c>
      <c r="AM798" s="94" t="n">
        <f aca="false">IF(ISNUMBER(H798),AA798*1000000*H798/10000,0)</f>
        <v>0</v>
      </c>
      <c r="AN798" s="94" t="n">
        <f aca="false">IF(OR(Y798=1,NOT(ISNUMBER(Z798))),0,AA798*1000000*Z798/10000)</f>
        <v>0</v>
      </c>
      <c r="AO798" s="94" t="n">
        <f aca="false">IF(ISNUMBER(G798),AA798*1000000*G798/100,0)</f>
        <v>0</v>
      </c>
      <c r="AP798" s="94" t="n">
        <f aca="false">IF(ISNUMBER(M798),M798*K798,0)</f>
        <v>0</v>
      </c>
      <c r="AQ798" s="95" t="str">
        <f aca="false">IF(AB798="","",INDEX(시장분석!$AK:$AK,AB798))</f>
        <v/>
      </c>
      <c r="AR798" s="43" t="str">
        <f aca="false">IF(AB798="","-",IF(AB798="","",INDEX(시장분석!$AL:$AL,AB798)))</f>
        <v>-</v>
      </c>
      <c r="AS798" s="96" t="str">
        <f aca="false">IF(AB798="","",INDEX(시장분석!$AJ:$AJ,AB798))</f>
        <v/>
      </c>
      <c r="AT798" s="93" t="n">
        <f aca="false">IF(AB798="",0,IF(AB798="","",INDEX(시장분석!$AN:$AN,AB798)))</f>
        <v>0</v>
      </c>
      <c r="AU798" s="94" t="n">
        <f aca="false">IF(ISNUMBER(Z798),AT798/10000*MAX(Z798-1,0)*AA798*1000000,0)</f>
        <v>0</v>
      </c>
      <c r="AV798" s="94" t="n">
        <f aca="false">AO798+AU798</f>
        <v>0</v>
      </c>
      <c r="AW798" s="43" t="str">
        <f aca="false">IF(Q798&lt;&gt;1,"",TRIM(IF(AD798=1,"FRN ","")&amp;IF(AND(AL798&gt;=10,AL798&lt;99),"BBB0미만 ","")&amp;IF(AJ798="","등급없음 ","")&amp;IF(K798&lt;&gt;1,"비USD ","")&amp;IF(AND(AB798="",Y798=0),"시장데이터없음 ","")&amp;IF(AND(ISNUMBER(U798),U798&lt;0),"만기경과 ","")))</f>
        <v/>
      </c>
      <c r="AX798" s="90" t="n">
        <f aca="false">IF(Q798&lt;&gt;1,1,IF(스프레드쇼크!$C$4="Y",INDEX(스프레드쇼크!$B$12:$L$16,IFERROR(MATCH(AH798,스프레드쇼크!$A$12:$A$16,0),MATCH("목록외",스프레드쇼크!$A$12:$A$16,0)),IFERROR(MATCH(AG798,스프레드쇼크!$B$11:$L$11,0),MATCH("목록외",스프레드쇼크!$B$11:$L$11,0))),1))</f>
        <v>1</v>
      </c>
      <c r="AY798" s="90" t="n">
        <f aca="false">IF(스프레드쇼크!$C$5="Y",IF(ISNUMBER(AF798),MIN(스프레드쇼크!$C$7,MAX(스프레드쇼크!$C$6,AF798/스프레드쇼크!$C$8)),1),1)</f>
        <v>1</v>
      </c>
      <c r="AZ798" s="94" t="n">
        <f aca="false">AN798*AX798*AY798</f>
        <v>0</v>
      </c>
      <c r="BA798" s="90" t="n">
        <f aca="false">IF(ISNUMBER(G798),AA798*G798,0)</f>
        <v>0</v>
      </c>
      <c r="BB798" s="90" t="n">
        <f aca="false">IF(ISNUMBER(G798),AA798,0)</f>
        <v>0</v>
      </c>
      <c r="BC798" s="90" t="n">
        <f aca="false">IF(AND(Y798=0,ISNUMBER(AF798)),AA798*AF798,0)</f>
        <v>0</v>
      </c>
      <c r="BD798" s="90" t="n">
        <f aca="false">IF(AND(Y798=0,ISNUMBER(AF798)),AA798,0)</f>
        <v>0</v>
      </c>
      <c r="BE798" s="90" t="n">
        <f aca="false">IF(ISNUMBER(H798),AA798*H798,0)</f>
        <v>0</v>
      </c>
      <c r="BF798" s="90" t="n">
        <f aca="false">IF(ISNUMBER(H798),AA798,0)</f>
        <v>0</v>
      </c>
      <c r="BG798" s="90" t="n">
        <f aca="false">IF(AND(Y798=0,ISNUMBER(AF798),ISNUMBER(Z798)),AA798*Z798,0)</f>
        <v>0</v>
      </c>
      <c r="BH798" s="90" t="n">
        <f aca="false">IF(AND(Y798=0,ISNUMBER(AF798),ISNUMBER(Z798)),AA798*AT798*MAX(Z798-1,0),0)</f>
        <v>0</v>
      </c>
      <c r="BI798" s="90" t="n">
        <f aca="false">IF(Y798=0,AA798,0)</f>
        <v>0</v>
      </c>
    </row>
    <row r="799" customFormat="false" ht="15" hidden="false" customHeight="false" outlineLevel="0" collapsed="false">
      <c r="A799" s="83" t="str">
        <f aca="false">IFERROR(IF(INDEX(원자료_잔고!$A$1:$EZ$1500,설정!$L$5+ROW()-1,설정!$L$8)&amp;""="0","",INDEX(원자료_잔고!$A$1:$EZ$1500,설정!$L$5+ROW()-1,설정!$L$8)&amp;""),"")</f>
        <v/>
      </c>
      <c r="B799" s="83" t="str">
        <f aca="false">IFERROR(IF(INDEX(원자료_잔고!$A$1:$EZ$1500,설정!$L$5+ROW()-1,설정!$L$7)&amp;""="0","",INDEX(원자료_잔고!$A$1:$EZ$1500,설정!$L$5+ROW()-1,설정!$L$7)&amp;""),"")</f>
        <v/>
      </c>
      <c r="C799" s="83" t="str">
        <f aca="false">IFERROR(IF(INDEX(원자료_잔고!$A$1:$EZ$1500,설정!$L$5+ROW()-1,설정!$L$9)&amp;""="0","",INDEX(원자료_잔고!$A$1:$EZ$1500,설정!$L$5+ROW()-1,설정!$L$9)&amp;""),"")</f>
        <v/>
      </c>
      <c r="D799" s="83" t="str">
        <f aca="false">IFERROR(IF(INDEX(원자료_잔고!$A$1:$EZ$1500,설정!$L$5+ROW()-1,설정!$L$10)&amp;""="0","",INDEX(원자료_잔고!$A$1:$EZ$1500,설정!$L$5+ROW()-1,설정!$L$10)&amp;""),"")</f>
        <v/>
      </c>
      <c r="E799" s="84" t="str">
        <f aca="false">IFERROR(IF(ISNUMBER(INDEX(원자료_잔고!$A$1:$EZ$1500,설정!$L$5+ROW()-1,설정!$L$11)),INDEX(원자료_잔고!$A$1:$EZ$1500,설정!$L$5+ROW()-1,설정!$L$11),""),"")</f>
        <v/>
      </c>
      <c r="F799" s="85" t="str">
        <f aca="false">IFERROR(IF(ISNUMBER(INDEX(원자료_잔고!$A$1:$EZ$1500,설정!$L$5+ROW()-1,설정!$L$12)),INDEX(원자료_잔고!$A$1:$EZ$1500,설정!$L$5+ROW()-1,설정!$L$12),""),"")</f>
        <v/>
      </c>
      <c r="G799" s="85" t="str">
        <f aca="false">IFERROR(IF(ISNUMBER(INDEX(원자료_잔고!$A$1:$EZ$1500,설정!$L$5+ROW()-1,설정!$L$13)),INDEX(원자료_잔고!$A$1:$EZ$1500,설정!$L$5+ROW()-1,설정!$L$13),""),"")</f>
        <v/>
      </c>
      <c r="H799" s="85" t="str">
        <f aca="false">IFERROR(IF(ISNUMBER(INDEX(원자료_잔고!$A$1:$EZ$1500,설정!$L$5+ROW()-1,설정!$L$14)),INDEX(원자료_잔고!$A$1:$EZ$1500,설정!$L$5+ROW()-1,설정!$L$14),""),"")</f>
        <v/>
      </c>
      <c r="I799" s="86" t="str">
        <f aca="false">IFERROR(IF(ISNUMBER(INDEX(원자료_잔고!$A$1:$EZ$1500,설정!$L$5+ROW()-1,설정!$L$15)),INDEX(원자료_잔고!$A$1:$EZ$1500,설정!$L$5+ROW()-1,설정!$L$15),""),"")</f>
        <v/>
      </c>
      <c r="J799" s="85" t="str">
        <f aca="false">IFERROR(IF(ISNUMBER(INDEX(원자료_잔고!$A$1:$EZ$1500,설정!$L$5+ROW()-1,설정!$L$16)),INDEX(원자료_잔고!$A$1:$EZ$1500,설정!$L$5+ROW()-1,설정!$L$16),""),"")</f>
        <v/>
      </c>
      <c r="K799" s="87" t="str">
        <f aca="false">IFERROR(IF(ISNUMBER(INDEX(원자료_잔고!$A$1:$EZ$1500,설정!$L$5+ROW()-1,설정!$L$17)),INDEX(원자료_잔고!$A$1:$EZ$1500,설정!$L$5+ROW()-1,설정!$L$17),""),"")</f>
        <v/>
      </c>
      <c r="L799" s="84" t="str">
        <f aca="false">IFERROR(IF(ISNUMBER(INDEX(원자료_잔고!$A$1:$EZ$1500,설정!$L$5+ROW()-1,설정!$L$18)),INDEX(원자료_잔고!$A$1:$EZ$1500,설정!$L$5+ROW()-1,설정!$L$18),""),"")</f>
        <v/>
      </c>
      <c r="M799" s="88" t="str">
        <f aca="false">IFERROR(IF(ISNUMBER(INDEX(원자료_잔고!$A$1:$EZ$1500,설정!$L$5+ROW()-1,설정!$L$19)),INDEX(원자료_잔고!$A$1:$EZ$1500,설정!$L$5+ROW()-1,설정!$L$19),""),"")</f>
        <v/>
      </c>
      <c r="N799" s="83" t="str">
        <f aca="false">IFERROR(IF(INDEX(원자료_잔고!$A$1:$EZ$1500,설정!$L$5+ROW()-1,설정!$L$21)&amp;""="0","",INDEX(원자료_잔고!$A$1:$EZ$1500,설정!$L$5+ROW()-1,설정!$L$21)&amp;""),"")</f>
        <v/>
      </c>
      <c r="O799" s="83" t="str">
        <f aca="false">IFERROR(IF(INDEX(원자료_잔고!$A$1:$EZ$1500,설정!$L$5+ROW()-1,설정!$L$22)&amp;""="0","",INDEX(원자료_잔고!$A$1:$EZ$1500,설정!$L$5+ROW()-1,설정!$L$22)&amp;""),"")</f>
        <v/>
      </c>
      <c r="P799" s="83" t="str">
        <f aca="false">IFERROR(IF(INDEX(원자료_잔고!$A$1:$EZ$1500,설정!$L$5+ROW()-1,설정!$L$23)&amp;""="0","",INDEX(원자료_잔고!$A$1:$EZ$1500,설정!$L$5+ROW()-1,설정!$L$23)&amp;""),"")</f>
        <v/>
      </c>
      <c r="Q799" s="89" t="n">
        <f aca="false">IF(AND($A799&lt;&gt;"",ISNUMBER(E799)),IF(E799&gt;0,1,0),0)</f>
        <v>0</v>
      </c>
      <c r="R799" s="43" t="str">
        <f aca="false">IF(Q799=1,UPPER(LEFT($A799,FIND(" ",$A799&amp;" ")-1)),"")</f>
        <v/>
      </c>
      <c r="S799" s="89" t="n">
        <f aca="false">IF(Q799=1,IF(OR(ISNUMBER(SEARCH("Float",$A799)),ISNUMBER(SEARCH("FRN",$A799))),1,0),0)</f>
        <v>0</v>
      </c>
      <c r="T799" s="43" t="str">
        <f aca="false">IF(AND(Q799=1,ISNUMBER(I799)),TEXT(I799,"yyyymmdd")&amp;"|"&amp;IF(S799=1,"F",TEXT(J799,"0.000")),"")</f>
        <v/>
      </c>
      <c r="U799" s="90" t="str">
        <f aca="false">IF(AND(Q799=1,ISNUMBER(I799)),(I799-설정!$C$4)/365.25,"")</f>
        <v/>
      </c>
      <c r="V799" s="43" t="str">
        <f aca="false">IF(Q799&lt;&gt;1,"",IF(ISNUMBER(U799),IF(U799&lt;=1,"1년 이하",IF(U799&lt;=2,"1-2년",IF(U799&lt;=3,"2-3년",IF(U799&lt;=4,"3-4년",IF(U799&lt;=5,"4-5년",IF(U799&lt;=7,"5-7년",IF(U799&lt;=10,"7-10년",IF(U799&lt;=20,"10-20년","20년 이상")))))))),"미분류"))</f>
        <v/>
      </c>
      <c r="W799" s="43" t="str">
        <f aca="false">IF(Q799&lt;&gt;1,"",IF(AB799&lt;&gt;"",INDEX(시장분석!$C:$C,AB799),IF(K799=1,"USD","비USD")))</f>
        <v/>
      </c>
      <c r="X799" s="91" t="n">
        <f aca="false">IF(Q799=1,E799*K799/1000000,0)</f>
        <v>0</v>
      </c>
      <c r="Y799" s="89" t="n">
        <f aca="false">IF(R799="T",1,0)</f>
        <v>0</v>
      </c>
      <c r="Z799" s="92" t="str">
        <f aca="false">IF(Q799&lt;&gt;1,"",IF(AD799=1,IF(ISNUMBER(U799),MAX(U799,0),H799),H799))</f>
        <v/>
      </c>
      <c r="AA799" s="91" t="n">
        <f aca="false">IF(Q799=1,IF(ISNUMBER(L799),L799,0)*K799/1000000,0)</f>
        <v>0</v>
      </c>
      <c r="AB799" s="89" t="str">
        <f aca="false">IF(Q799&lt;&gt;1,"",IFERROR(MATCH(VLOOKUP(B799,매핑!$H$4:$I$15,2,0),시장분석!$A$2:$A$601,0)+1,IFERROR(MATCH(R799&amp;"|"&amp;T799,시장분석!$V$2:$V$601,0)+1,IF(COUNTIF(시장분석!$U$2:$U$601,T799)=1,MATCH(T799,시장분석!$U$2:$U$601,0)+1,""))))</f>
        <v/>
      </c>
      <c r="AC799" s="89" t="n">
        <f aca="false">IF(Q799&lt;&gt;1,0,IF(OR(설정!$C$5="전체",AND(설정!$C$5="선택펀드",IFERROR(COUNTIFS(설정!$F$16:$F$36,C799,설정!$G$16:$G$36,"Y")+COUNTIFS(설정!$F$16:$F$36,VALUE(C799),설정!$G$16:$G$36,"Y"),0)&gt;0),C799&amp;""=설정!$C$5&amp;""),1,0))</f>
        <v>0</v>
      </c>
      <c r="AD799" s="89" t="n">
        <f aca="false">IF(Q799&lt;&gt;1,0,IF(OR(S799=1,IF(AB799="",FALSE(),INDEX(시장분석!$R:$R,AB799)=1)),1,0))</f>
        <v>0</v>
      </c>
      <c r="AE799" s="43" t="str">
        <f aca="false">IF(AB799="","",INDEX(시장분석!$A:$A,AB799))</f>
        <v/>
      </c>
      <c r="AF799" s="93" t="str">
        <f aca="false">IF(AB799="","",IF(ISNUMBER(IF(AB799="","",INDEX(시장분석!$E:$E,AB799))),IF(AB799="","",INDEX(시장분석!$E:$E,AB799)),""))</f>
        <v/>
      </c>
      <c r="AG799" s="43" t="str">
        <f aca="false">IF(Q799&lt;&gt;1,"",IF(AB799&lt;&gt;"",IF(AB799="","",INDEX(시장분석!$L:$L,AB799)),IFERROR(IF(VLOOKUP(R799,매핑!$A$4:$E$92,5,0)="","미분류",VLOOKUP(R799,매핑!$A$4:$E$92,5,0)),"미분류")))</f>
        <v/>
      </c>
      <c r="AH799" s="43" t="str">
        <f aca="false">IF(Q799&lt;&gt;1,"",IF(AB799&lt;&gt;"",IF(AB799="","",INDEX(시장분석!$N:$N,AB799)),IFERROR(IF(VLOOKUP(R799,매핑!$A$4:$E$92,4,0)="","미분류",VLOOKUP(R799,매핑!$A$4:$E$92,4,0)),"미분류")))</f>
        <v/>
      </c>
      <c r="AI799" s="43" t="str">
        <f aca="false">IF(Q799&lt;&gt;1,"",IFERROR(IF(VLOOKUP(R799,매핑!$A$4:$E$92,3,0)="","미분류",VLOOKUP(R799,매핑!$A$4:$E$92,3,0)),IF(AB799&lt;&gt;"",IF(AB799="","",INDEX(시장분석!$W:$W,AB799)),"미분류")))</f>
        <v/>
      </c>
      <c r="AJ799" s="43" t="str">
        <f aca="false">IF(Q799&lt;&gt;1,"",IFERROR(VLOOKUP(IF(N799&lt;&gt;"",N799,IF(P799&lt;&gt;"",P799,O799)),설정!$A$15:$D$47,2,0),""))</f>
        <v/>
      </c>
      <c r="AK799" s="43" t="str">
        <f aca="false">IF(Q799&lt;&gt;1,"",IF(AJ799="","무등급",IFERROR(VLOOKUP(AJ799,설정!$A$15:$D$47,3,0),"무등급")))</f>
        <v/>
      </c>
      <c r="AL799" s="89" t="n">
        <f aca="false">IF(AJ799="",99,IFERROR(VLOOKUP(AJ799,설정!$A$15:$D$47,4,0),99))</f>
        <v>99</v>
      </c>
      <c r="AM799" s="94" t="n">
        <f aca="false">IF(ISNUMBER(H799),AA799*1000000*H799/10000,0)</f>
        <v>0</v>
      </c>
      <c r="AN799" s="94" t="n">
        <f aca="false">IF(OR(Y799=1,NOT(ISNUMBER(Z799))),0,AA799*1000000*Z799/10000)</f>
        <v>0</v>
      </c>
      <c r="AO799" s="94" t="n">
        <f aca="false">IF(ISNUMBER(G799),AA799*1000000*G799/100,0)</f>
        <v>0</v>
      </c>
      <c r="AP799" s="94" t="n">
        <f aca="false">IF(ISNUMBER(M799),M799*K799,0)</f>
        <v>0</v>
      </c>
      <c r="AQ799" s="95" t="str">
        <f aca="false">IF(AB799="","",INDEX(시장분석!$AK:$AK,AB799))</f>
        <v/>
      </c>
      <c r="AR799" s="43" t="str">
        <f aca="false">IF(AB799="","-",IF(AB799="","",INDEX(시장분석!$AL:$AL,AB799)))</f>
        <v>-</v>
      </c>
      <c r="AS799" s="96" t="str">
        <f aca="false">IF(AB799="","",INDEX(시장분석!$AJ:$AJ,AB799))</f>
        <v/>
      </c>
      <c r="AT799" s="93" t="n">
        <f aca="false">IF(AB799="",0,IF(AB799="","",INDEX(시장분석!$AN:$AN,AB799)))</f>
        <v>0</v>
      </c>
      <c r="AU799" s="94" t="n">
        <f aca="false">IF(ISNUMBER(Z799),AT799/10000*MAX(Z799-1,0)*AA799*1000000,0)</f>
        <v>0</v>
      </c>
      <c r="AV799" s="94" t="n">
        <f aca="false">AO799+AU799</f>
        <v>0</v>
      </c>
      <c r="AW799" s="43" t="str">
        <f aca="false">IF(Q799&lt;&gt;1,"",TRIM(IF(AD799=1,"FRN ","")&amp;IF(AND(AL799&gt;=10,AL799&lt;99),"BBB0미만 ","")&amp;IF(AJ799="","등급없음 ","")&amp;IF(K799&lt;&gt;1,"비USD ","")&amp;IF(AND(AB799="",Y799=0),"시장데이터없음 ","")&amp;IF(AND(ISNUMBER(U799),U799&lt;0),"만기경과 ","")))</f>
        <v/>
      </c>
      <c r="AX799" s="90" t="n">
        <f aca="false">IF(Q799&lt;&gt;1,1,IF(스프레드쇼크!$C$4="Y",INDEX(스프레드쇼크!$B$12:$L$16,IFERROR(MATCH(AH799,스프레드쇼크!$A$12:$A$16,0),MATCH("목록외",스프레드쇼크!$A$12:$A$16,0)),IFERROR(MATCH(AG799,스프레드쇼크!$B$11:$L$11,0),MATCH("목록외",스프레드쇼크!$B$11:$L$11,0))),1))</f>
        <v>1</v>
      </c>
      <c r="AY799" s="90" t="n">
        <f aca="false">IF(스프레드쇼크!$C$5="Y",IF(ISNUMBER(AF799),MIN(스프레드쇼크!$C$7,MAX(스프레드쇼크!$C$6,AF799/스프레드쇼크!$C$8)),1),1)</f>
        <v>1</v>
      </c>
      <c r="AZ799" s="94" t="n">
        <f aca="false">AN799*AX799*AY799</f>
        <v>0</v>
      </c>
      <c r="BA799" s="90" t="n">
        <f aca="false">IF(ISNUMBER(G799),AA799*G799,0)</f>
        <v>0</v>
      </c>
      <c r="BB799" s="90" t="n">
        <f aca="false">IF(ISNUMBER(G799),AA799,0)</f>
        <v>0</v>
      </c>
      <c r="BC799" s="90" t="n">
        <f aca="false">IF(AND(Y799=0,ISNUMBER(AF799)),AA799*AF799,0)</f>
        <v>0</v>
      </c>
      <c r="BD799" s="90" t="n">
        <f aca="false">IF(AND(Y799=0,ISNUMBER(AF799)),AA799,0)</f>
        <v>0</v>
      </c>
      <c r="BE799" s="90" t="n">
        <f aca="false">IF(ISNUMBER(H799),AA799*H799,0)</f>
        <v>0</v>
      </c>
      <c r="BF799" s="90" t="n">
        <f aca="false">IF(ISNUMBER(H799),AA799,0)</f>
        <v>0</v>
      </c>
      <c r="BG799" s="90" t="n">
        <f aca="false">IF(AND(Y799=0,ISNUMBER(AF799),ISNUMBER(Z799)),AA799*Z799,0)</f>
        <v>0</v>
      </c>
      <c r="BH799" s="90" t="n">
        <f aca="false">IF(AND(Y799=0,ISNUMBER(AF799),ISNUMBER(Z799)),AA799*AT799*MAX(Z799-1,0),0)</f>
        <v>0</v>
      </c>
      <c r="BI799" s="90" t="n">
        <f aca="false">IF(Y799=0,AA799,0)</f>
        <v>0</v>
      </c>
    </row>
    <row r="800" customFormat="false" ht="15" hidden="false" customHeight="false" outlineLevel="0" collapsed="false">
      <c r="A800" s="83" t="str">
        <f aca="false">IFERROR(IF(INDEX(원자료_잔고!$A$1:$EZ$1500,설정!$L$5+ROW()-1,설정!$L$8)&amp;""="0","",INDEX(원자료_잔고!$A$1:$EZ$1500,설정!$L$5+ROW()-1,설정!$L$8)&amp;""),"")</f>
        <v/>
      </c>
      <c r="B800" s="83" t="str">
        <f aca="false">IFERROR(IF(INDEX(원자료_잔고!$A$1:$EZ$1500,설정!$L$5+ROW()-1,설정!$L$7)&amp;""="0","",INDEX(원자료_잔고!$A$1:$EZ$1500,설정!$L$5+ROW()-1,설정!$L$7)&amp;""),"")</f>
        <v/>
      </c>
      <c r="C800" s="83" t="str">
        <f aca="false">IFERROR(IF(INDEX(원자료_잔고!$A$1:$EZ$1500,설정!$L$5+ROW()-1,설정!$L$9)&amp;""="0","",INDEX(원자료_잔고!$A$1:$EZ$1500,설정!$L$5+ROW()-1,설정!$L$9)&amp;""),"")</f>
        <v/>
      </c>
      <c r="D800" s="83" t="str">
        <f aca="false">IFERROR(IF(INDEX(원자료_잔고!$A$1:$EZ$1500,설정!$L$5+ROW()-1,설정!$L$10)&amp;""="0","",INDEX(원자료_잔고!$A$1:$EZ$1500,설정!$L$5+ROW()-1,설정!$L$10)&amp;""),"")</f>
        <v/>
      </c>
      <c r="E800" s="84" t="str">
        <f aca="false">IFERROR(IF(ISNUMBER(INDEX(원자료_잔고!$A$1:$EZ$1500,설정!$L$5+ROW()-1,설정!$L$11)),INDEX(원자료_잔고!$A$1:$EZ$1500,설정!$L$5+ROW()-1,설정!$L$11),""),"")</f>
        <v/>
      </c>
      <c r="F800" s="85" t="str">
        <f aca="false">IFERROR(IF(ISNUMBER(INDEX(원자료_잔고!$A$1:$EZ$1500,설정!$L$5+ROW()-1,설정!$L$12)),INDEX(원자료_잔고!$A$1:$EZ$1500,설정!$L$5+ROW()-1,설정!$L$12),""),"")</f>
        <v/>
      </c>
      <c r="G800" s="85" t="str">
        <f aca="false">IFERROR(IF(ISNUMBER(INDEX(원자료_잔고!$A$1:$EZ$1500,설정!$L$5+ROW()-1,설정!$L$13)),INDEX(원자료_잔고!$A$1:$EZ$1500,설정!$L$5+ROW()-1,설정!$L$13),""),"")</f>
        <v/>
      </c>
      <c r="H800" s="85" t="str">
        <f aca="false">IFERROR(IF(ISNUMBER(INDEX(원자료_잔고!$A$1:$EZ$1500,설정!$L$5+ROW()-1,설정!$L$14)),INDEX(원자료_잔고!$A$1:$EZ$1500,설정!$L$5+ROW()-1,설정!$L$14),""),"")</f>
        <v/>
      </c>
      <c r="I800" s="86" t="str">
        <f aca="false">IFERROR(IF(ISNUMBER(INDEX(원자료_잔고!$A$1:$EZ$1500,설정!$L$5+ROW()-1,설정!$L$15)),INDEX(원자료_잔고!$A$1:$EZ$1500,설정!$L$5+ROW()-1,설정!$L$15),""),"")</f>
        <v/>
      </c>
      <c r="J800" s="85" t="str">
        <f aca="false">IFERROR(IF(ISNUMBER(INDEX(원자료_잔고!$A$1:$EZ$1500,설정!$L$5+ROW()-1,설정!$L$16)),INDEX(원자료_잔고!$A$1:$EZ$1500,설정!$L$5+ROW()-1,설정!$L$16),""),"")</f>
        <v/>
      </c>
      <c r="K800" s="87" t="str">
        <f aca="false">IFERROR(IF(ISNUMBER(INDEX(원자료_잔고!$A$1:$EZ$1500,설정!$L$5+ROW()-1,설정!$L$17)),INDEX(원자료_잔고!$A$1:$EZ$1500,설정!$L$5+ROW()-1,설정!$L$17),""),"")</f>
        <v/>
      </c>
      <c r="L800" s="84" t="str">
        <f aca="false">IFERROR(IF(ISNUMBER(INDEX(원자료_잔고!$A$1:$EZ$1500,설정!$L$5+ROW()-1,설정!$L$18)),INDEX(원자료_잔고!$A$1:$EZ$1500,설정!$L$5+ROW()-1,설정!$L$18),""),"")</f>
        <v/>
      </c>
      <c r="M800" s="88" t="str">
        <f aca="false">IFERROR(IF(ISNUMBER(INDEX(원자료_잔고!$A$1:$EZ$1500,설정!$L$5+ROW()-1,설정!$L$19)),INDEX(원자료_잔고!$A$1:$EZ$1500,설정!$L$5+ROW()-1,설정!$L$19),""),"")</f>
        <v/>
      </c>
      <c r="N800" s="83" t="str">
        <f aca="false">IFERROR(IF(INDEX(원자료_잔고!$A$1:$EZ$1500,설정!$L$5+ROW()-1,설정!$L$21)&amp;""="0","",INDEX(원자료_잔고!$A$1:$EZ$1500,설정!$L$5+ROW()-1,설정!$L$21)&amp;""),"")</f>
        <v/>
      </c>
      <c r="O800" s="83" t="str">
        <f aca="false">IFERROR(IF(INDEX(원자료_잔고!$A$1:$EZ$1500,설정!$L$5+ROW()-1,설정!$L$22)&amp;""="0","",INDEX(원자료_잔고!$A$1:$EZ$1500,설정!$L$5+ROW()-1,설정!$L$22)&amp;""),"")</f>
        <v/>
      </c>
      <c r="P800" s="83" t="str">
        <f aca="false">IFERROR(IF(INDEX(원자료_잔고!$A$1:$EZ$1500,설정!$L$5+ROW()-1,설정!$L$23)&amp;""="0","",INDEX(원자료_잔고!$A$1:$EZ$1500,설정!$L$5+ROW()-1,설정!$L$23)&amp;""),"")</f>
        <v/>
      </c>
      <c r="Q800" s="89" t="n">
        <f aca="false">IF(AND($A800&lt;&gt;"",ISNUMBER(E800)),IF(E800&gt;0,1,0),0)</f>
        <v>0</v>
      </c>
      <c r="R800" s="43" t="str">
        <f aca="false">IF(Q800=1,UPPER(LEFT($A800,FIND(" ",$A800&amp;" ")-1)),"")</f>
        <v/>
      </c>
      <c r="S800" s="89" t="n">
        <f aca="false">IF(Q800=1,IF(OR(ISNUMBER(SEARCH("Float",$A800)),ISNUMBER(SEARCH("FRN",$A800))),1,0),0)</f>
        <v>0</v>
      </c>
      <c r="T800" s="43" t="str">
        <f aca="false">IF(AND(Q800=1,ISNUMBER(I800)),TEXT(I800,"yyyymmdd")&amp;"|"&amp;IF(S800=1,"F",TEXT(J800,"0.000")),"")</f>
        <v/>
      </c>
      <c r="U800" s="90" t="str">
        <f aca="false">IF(AND(Q800=1,ISNUMBER(I800)),(I800-설정!$C$4)/365.25,"")</f>
        <v/>
      </c>
      <c r="V800" s="43" t="str">
        <f aca="false">IF(Q800&lt;&gt;1,"",IF(ISNUMBER(U800),IF(U800&lt;=1,"1년 이하",IF(U800&lt;=2,"1-2년",IF(U800&lt;=3,"2-3년",IF(U800&lt;=4,"3-4년",IF(U800&lt;=5,"4-5년",IF(U800&lt;=7,"5-7년",IF(U800&lt;=10,"7-10년",IF(U800&lt;=20,"10-20년","20년 이상")))))))),"미분류"))</f>
        <v/>
      </c>
      <c r="W800" s="43" t="str">
        <f aca="false">IF(Q800&lt;&gt;1,"",IF(AB800&lt;&gt;"",INDEX(시장분석!$C:$C,AB800),IF(K800=1,"USD","비USD")))</f>
        <v/>
      </c>
      <c r="X800" s="91" t="n">
        <f aca="false">IF(Q800=1,E800*K800/1000000,0)</f>
        <v>0</v>
      </c>
      <c r="Y800" s="89" t="n">
        <f aca="false">IF(R800="T",1,0)</f>
        <v>0</v>
      </c>
      <c r="Z800" s="92" t="str">
        <f aca="false">IF(Q800&lt;&gt;1,"",IF(AD800=1,IF(ISNUMBER(U800),MAX(U800,0),H800),H800))</f>
        <v/>
      </c>
      <c r="AA800" s="91" t="n">
        <f aca="false">IF(Q800=1,IF(ISNUMBER(L800),L800,0)*K800/1000000,0)</f>
        <v>0</v>
      </c>
      <c r="AB800" s="89" t="str">
        <f aca="false">IF(Q800&lt;&gt;1,"",IFERROR(MATCH(VLOOKUP(B800,매핑!$H$4:$I$15,2,0),시장분석!$A$2:$A$601,0)+1,IFERROR(MATCH(R800&amp;"|"&amp;T800,시장분석!$V$2:$V$601,0)+1,IF(COUNTIF(시장분석!$U$2:$U$601,T800)=1,MATCH(T800,시장분석!$U$2:$U$601,0)+1,""))))</f>
        <v/>
      </c>
      <c r="AC800" s="89" t="n">
        <f aca="false">IF(Q800&lt;&gt;1,0,IF(OR(설정!$C$5="전체",AND(설정!$C$5="선택펀드",IFERROR(COUNTIFS(설정!$F$16:$F$36,C800,설정!$G$16:$G$36,"Y")+COUNTIFS(설정!$F$16:$F$36,VALUE(C800),설정!$G$16:$G$36,"Y"),0)&gt;0),C800&amp;""=설정!$C$5&amp;""),1,0))</f>
        <v>0</v>
      </c>
      <c r="AD800" s="89" t="n">
        <f aca="false">IF(Q800&lt;&gt;1,0,IF(OR(S800=1,IF(AB800="",FALSE(),INDEX(시장분석!$R:$R,AB800)=1)),1,0))</f>
        <v>0</v>
      </c>
      <c r="AE800" s="43" t="str">
        <f aca="false">IF(AB800="","",INDEX(시장분석!$A:$A,AB800))</f>
        <v/>
      </c>
      <c r="AF800" s="93" t="str">
        <f aca="false">IF(AB800="","",IF(ISNUMBER(IF(AB800="","",INDEX(시장분석!$E:$E,AB800))),IF(AB800="","",INDEX(시장분석!$E:$E,AB800)),""))</f>
        <v/>
      </c>
      <c r="AG800" s="43" t="str">
        <f aca="false">IF(Q800&lt;&gt;1,"",IF(AB800&lt;&gt;"",IF(AB800="","",INDEX(시장분석!$L:$L,AB800)),IFERROR(IF(VLOOKUP(R800,매핑!$A$4:$E$92,5,0)="","미분류",VLOOKUP(R800,매핑!$A$4:$E$92,5,0)),"미분류")))</f>
        <v/>
      </c>
      <c r="AH800" s="43" t="str">
        <f aca="false">IF(Q800&lt;&gt;1,"",IF(AB800&lt;&gt;"",IF(AB800="","",INDEX(시장분석!$N:$N,AB800)),IFERROR(IF(VLOOKUP(R800,매핑!$A$4:$E$92,4,0)="","미분류",VLOOKUP(R800,매핑!$A$4:$E$92,4,0)),"미분류")))</f>
        <v/>
      </c>
      <c r="AI800" s="43" t="str">
        <f aca="false">IF(Q800&lt;&gt;1,"",IFERROR(IF(VLOOKUP(R800,매핑!$A$4:$E$92,3,0)="","미분류",VLOOKUP(R800,매핑!$A$4:$E$92,3,0)),IF(AB800&lt;&gt;"",IF(AB800="","",INDEX(시장분석!$W:$W,AB800)),"미분류")))</f>
        <v/>
      </c>
      <c r="AJ800" s="43" t="str">
        <f aca="false">IF(Q800&lt;&gt;1,"",IFERROR(VLOOKUP(IF(N800&lt;&gt;"",N800,IF(P800&lt;&gt;"",P800,O800)),설정!$A$15:$D$47,2,0),""))</f>
        <v/>
      </c>
      <c r="AK800" s="43" t="str">
        <f aca="false">IF(Q800&lt;&gt;1,"",IF(AJ800="","무등급",IFERROR(VLOOKUP(AJ800,설정!$A$15:$D$47,3,0),"무등급")))</f>
        <v/>
      </c>
      <c r="AL800" s="89" t="n">
        <f aca="false">IF(AJ800="",99,IFERROR(VLOOKUP(AJ800,설정!$A$15:$D$47,4,0),99))</f>
        <v>99</v>
      </c>
      <c r="AM800" s="94" t="n">
        <f aca="false">IF(ISNUMBER(H800),AA800*1000000*H800/10000,0)</f>
        <v>0</v>
      </c>
      <c r="AN800" s="94" t="n">
        <f aca="false">IF(OR(Y800=1,NOT(ISNUMBER(Z800))),0,AA800*1000000*Z800/10000)</f>
        <v>0</v>
      </c>
      <c r="AO800" s="94" t="n">
        <f aca="false">IF(ISNUMBER(G800),AA800*1000000*G800/100,0)</f>
        <v>0</v>
      </c>
      <c r="AP800" s="94" t="n">
        <f aca="false">IF(ISNUMBER(M800),M800*K800,0)</f>
        <v>0</v>
      </c>
      <c r="AQ800" s="95" t="str">
        <f aca="false">IF(AB800="","",INDEX(시장분석!$AK:$AK,AB800))</f>
        <v/>
      </c>
      <c r="AR800" s="43" t="str">
        <f aca="false">IF(AB800="","-",IF(AB800="","",INDEX(시장분석!$AL:$AL,AB800)))</f>
        <v>-</v>
      </c>
      <c r="AS800" s="96" t="str">
        <f aca="false">IF(AB800="","",INDEX(시장분석!$AJ:$AJ,AB800))</f>
        <v/>
      </c>
      <c r="AT800" s="93" t="n">
        <f aca="false">IF(AB800="",0,IF(AB800="","",INDEX(시장분석!$AN:$AN,AB800)))</f>
        <v>0</v>
      </c>
      <c r="AU800" s="94" t="n">
        <f aca="false">IF(ISNUMBER(Z800),AT800/10000*MAX(Z800-1,0)*AA800*1000000,0)</f>
        <v>0</v>
      </c>
      <c r="AV800" s="94" t="n">
        <f aca="false">AO800+AU800</f>
        <v>0</v>
      </c>
      <c r="AW800" s="43" t="str">
        <f aca="false">IF(Q800&lt;&gt;1,"",TRIM(IF(AD800=1,"FRN ","")&amp;IF(AND(AL800&gt;=10,AL800&lt;99),"BBB0미만 ","")&amp;IF(AJ800="","등급없음 ","")&amp;IF(K800&lt;&gt;1,"비USD ","")&amp;IF(AND(AB800="",Y800=0),"시장데이터없음 ","")&amp;IF(AND(ISNUMBER(U800),U800&lt;0),"만기경과 ","")))</f>
        <v/>
      </c>
      <c r="AX800" s="90" t="n">
        <f aca="false">IF(Q800&lt;&gt;1,1,IF(스프레드쇼크!$C$4="Y",INDEX(스프레드쇼크!$B$12:$L$16,IFERROR(MATCH(AH800,스프레드쇼크!$A$12:$A$16,0),MATCH("목록외",스프레드쇼크!$A$12:$A$16,0)),IFERROR(MATCH(AG800,스프레드쇼크!$B$11:$L$11,0),MATCH("목록외",스프레드쇼크!$B$11:$L$11,0))),1))</f>
        <v>1</v>
      </c>
      <c r="AY800" s="90" t="n">
        <f aca="false">IF(스프레드쇼크!$C$5="Y",IF(ISNUMBER(AF800),MIN(스프레드쇼크!$C$7,MAX(스프레드쇼크!$C$6,AF800/스프레드쇼크!$C$8)),1),1)</f>
        <v>1</v>
      </c>
      <c r="AZ800" s="94" t="n">
        <f aca="false">AN800*AX800*AY800</f>
        <v>0</v>
      </c>
      <c r="BA800" s="90" t="n">
        <f aca="false">IF(ISNUMBER(G800),AA800*G800,0)</f>
        <v>0</v>
      </c>
      <c r="BB800" s="90" t="n">
        <f aca="false">IF(ISNUMBER(G800),AA800,0)</f>
        <v>0</v>
      </c>
      <c r="BC800" s="90" t="n">
        <f aca="false">IF(AND(Y800=0,ISNUMBER(AF800)),AA800*AF800,0)</f>
        <v>0</v>
      </c>
      <c r="BD800" s="90" t="n">
        <f aca="false">IF(AND(Y800=0,ISNUMBER(AF800)),AA800,0)</f>
        <v>0</v>
      </c>
      <c r="BE800" s="90" t="n">
        <f aca="false">IF(ISNUMBER(H800),AA800*H800,0)</f>
        <v>0</v>
      </c>
      <c r="BF800" s="90" t="n">
        <f aca="false">IF(ISNUMBER(H800),AA800,0)</f>
        <v>0</v>
      </c>
      <c r="BG800" s="90" t="n">
        <f aca="false">IF(AND(Y800=0,ISNUMBER(AF800),ISNUMBER(Z800)),AA800*Z800,0)</f>
        <v>0</v>
      </c>
      <c r="BH800" s="90" t="n">
        <f aca="false">IF(AND(Y800=0,ISNUMBER(AF800),ISNUMBER(Z800)),AA800*AT800*MAX(Z800-1,0),0)</f>
        <v>0</v>
      </c>
      <c r="BI800" s="90" t="n">
        <f aca="false">IF(Y800=0,AA800,0)</f>
        <v>0</v>
      </c>
    </row>
    <row r="801" customFormat="false" ht="15" hidden="false" customHeight="false" outlineLevel="0" collapsed="false">
      <c r="A801" s="83" t="str">
        <f aca="false">IFERROR(IF(INDEX(원자료_잔고!$A$1:$EZ$1500,설정!$L$5+ROW()-1,설정!$L$8)&amp;""="0","",INDEX(원자료_잔고!$A$1:$EZ$1500,설정!$L$5+ROW()-1,설정!$L$8)&amp;""),"")</f>
        <v/>
      </c>
      <c r="B801" s="83" t="str">
        <f aca="false">IFERROR(IF(INDEX(원자료_잔고!$A$1:$EZ$1500,설정!$L$5+ROW()-1,설정!$L$7)&amp;""="0","",INDEX(원자료_잔고!$A$1:$EZ$1500,설정!$L$5+ROW()-1,설정!$L$7)&amp;""),"")</f>
        <v/>
      </c>
      <c r="C801" s="83" t="str">
        <f aca="false">IFERROR(IF(INDEX(원자료_잔고!$A$1:$EZ$1500,설정!$L$5+ROW()-1,설정!$L$9)&amp;""="0","",INDEX(원자료_잔고!$A$1:$EZ$1500,설정!$L$5+ROW()-1,설정!$L$9)&amp;""),"")</f>
        <v/>
      </c>
      <c r="D801" s="83" t="str">
        <f aca="false">IFERROR(IF(INDEX(원자료_잔고!$A$1:$EZ$1500,설정!$L$5+ROW()-1,설정!$L$10)&amp;""="0","",INDEX(원자료_잔고!$A$1:$EZ$1500,설정!$L$5+ROW()-1,설정!$L$10)&amp;""),"")</f>
        <v/>
      </c>
      <c r="E801" s="84" t="str">
        <f aca="false">IFERROR(IF(ISNUMBER(INDEX(원자료_잔고!$A$1:$EZ$1500,설정!$L$5+ROW()-1,설정!$L$11)),INDEX(원자료_잔고!$A$1:$EZ$1500,설정!$L$5+ROW()-1,설정!$L$11),""),"")</f>
        <v/>
      </c>
      <c r="F801" s="85" t="str">
        <f aca="false">IFERROR(IF(ISNUMBER(INDEX(원자료_잔고!$A$1:$EZ$1500,설정!$L$5+ROW()-1,설정!$L$12)),INDEX(원자료_잔고!$A$1:$EZ$1500,설정!$L$5+ROW()-1,설정!$L$12),""),"")</f>
        <v/>
      </c>
      <c r="G801" s="85" t="str">
        <f aca="false">IFERROR(IF(ISNUMBER(INDEX(원자료_잔고!$A$1:$EZ$1500,설정!$L$5+ROW()-1,설정!$L$13)),INDEX(원자료_잔고!$A$1:$EZ$1500,설정!$L$5+ROW()-1,설정!$L$13),""),"")</f>
        <v/>
      </c>
      <c r="H801" s="85" t="str">
        <f aca="false">IFERROR(IF(ISNUMBER(INDEX(원자료_잔고!$A$1:$EZ$1500,설정!$L$5+ROW()-1,설정!$L$14)),INDEX(원자료_잔고!$A$1:$EZ$1500,설정!$L$5+ROW()-1,설정!$L$14),""),"")</f>
        <v/>
      </c>
      <c r="I801" s="86" t="str">
        <f aca="false">IFERROR(IF(ISNUMBER(INDEX(원자료_잔고!$A$1:$EZ$1500,설정!$L$5+ROW()-1,설정!$L$15)),INDEX(원자료_잔고!$A$1:$EZ$1500,설정!$L$5+ROW()-1,설정!$L$15),""),"")</f>
        <v/>
      </c>
      <c r="J801" s="85" t="str">
        <f aca="false">IFERROR(IF(ISNUMBER(INDEX(원자료_잔고!$A$1:$EZ$1500,설정!$L$5+ROW()-1,설정!$L$16)),INDEX(원자료_잔고!$A$1:$EZ$1500,설정!$L$5+ROW()-1,설정!$L$16),""),"")</f>
        <v/>
      </c>
      <c r="K801" s="87" t="str">
        <f aca="false">IFERROR(IF(ISNUMBER(INDEX(원자료_잔고!$A$1:$EZ$1500,설정!$L$5+ROW()-1,설정!$L$17)),INDEX(원자료_잔고!$A$1:$EZ$1500,설정!$L$5+ROW()-1,설정!$L$17),""),"")</f>
        <v/>
      </c>
      <c r="L801" s="84" t="str">
        <f aca="false">IFERROR(IF(ISNUMBER(INDEX(원자료_잔고!$A$1:$EZ$1500,설정!$L$5+ROW()-1,설정!$L$18)),INDEX(원자료_잔고!$A$1:$EZ$1500,설정!$L$5+ROW()-1,설정!$L$18),""),"")</f>
        <v/>
      </c>
      <c r="M801" s="88" t="str">
        <f aca="false">IFERROR(IF(ISNUMBER(INDEX(원자료_잔고!$A$1:$EZ$1500,설정!$L$5+ROW()-1,설정!$L$19)),INDEX(원자료_잔고!$A$1:$EZ$1500,설정!$L$5+ROW()-1,설정!$L$19),""),"")</f>
        <v/>
      </c>
      <c r="N801" s="83" t="str">
        <f aca="false">IFERROR(IF(INDEX(원자료_잔고!$A$1:$EZ$1500,설정!$L$5+ROW()-1,설정!$L$21)&amp;""="0","",INDEX(원자료_잔고!$A$1:$EZ$1500,설정!$L$5+ROW()-1,설정!$L$21)&amp;""),"")</f>
        <v/>
      </c>
      <c r="O801" s="83" t="str">
        <f aca="false">IFERROR(IF(INDEX(원자료_잔고!$A$1:$EZ$1500,설정!$L$5+ROW()-1,설정!$L$22)&amp;""="0","",INDEX(원자료_잔고!$A$1:$EZ$1500,설정!$L$5+ROW()-1,설정!$L$22)&amp;""),"")</f>
        <v/>
      </c>
      <c r="P801" s="83" t="str">
        <f aca="false">IFERROR(IF(INDEX(원자료_잔고!$A$1:$EZ$1500,설정!$L$5+ROW()-1,설정!$L$23)&amp;""="0","",INDEX(원자료_잔고!$A$1:$EZ$1500,설정!$L$5+ROW()-1,설정!$L$23)&amp;""),"")</f>
        <v/>
      </c>
      <c r="Q801" s="89" t="n">
        <f aca="false">IF(AND($A801&lt;&gt;"",ISNUMBER(E801)),IF(E801&gt;0,1,0),0)</f>
        <v>0</v>
      </c>
      <c r="R801" s="43" t="str">
        <f aca="false">IF(Q801=1,UPPER(LEFT($A801,FIND(" ",$A801&amp;" ")-1)),"")</f>
        <v/>
      </c>
      <c r="S801" s="89" t="n">
        <f aca="false">IF(Q801=1,IF(OR(ISNUMBER(SEARCH("Float",$A801)),ISNUMBER(SEARCH("FRN",$A801))),1,0),0)</f>
        <v>0</v>
      </c>
      <c r="T801" s="43" t="str">
        <f aca="false">IF(AND(Q801=1,ISNUMBER(I801)),TEXT(I801,"yyyymmdd")&amp;"|"&amp;IF(S801=1,"F",TEXT(J801,"0.000")),"")</f>
        <v/>
      </c>
      <c r="U801" s="90" t="str">
        <f aca="false">IF(AND(Q801=1,ISNUMBER(I801)),(I801-설정!$C$4)/365.25,"")</f>
        <v/>
      </c>
      <c r="V801" s="43" t="str">
        <f aca="false">IF(Q801&lt;&gt;1,"",IF(ISNUMBER(U801),IF(U801&lt;=1,"1년 이하",IF(U801&lt;=2,"1-2년",IF(U801&lt;=3,"2-3년",IF(U801&lt;=4,"3-4년",IF(U801&lt;=5,"4-5년",IF(U801&lt;=7,"5-7년",IF(U801&lt;=10,"7-10년",IF(U801&lt;=20,"10-20년","20년 이상")))))))),"미분류"))</f>
        <v/>
      </c>
      <c r="W801" s="43" t="str">
        <f aca="false">IF(Q801&lt;&gt;1,"",IF(AB801&lt;&gt;"",INDEX(시장분석!$C:$C,AB801),IF(K801=1,"USD","비USD")))</f>
        <v/>
      </c>
      <c r="X801" s="91" t="n">
        <f aca="false">IF(Q801=1,E801*K801/1000000,0)</f>
        <v>0</v>
      </c>
      <c r="Y801" s="89" t="n">
        <f aca="false">IF(R801="T",1,0)</f>
        <v>0</v>
      </c>
      <c r="Z801" s="92" t="str">
        <f aca="false">IF(Q801&lt;&gt;1,"",IF(AD801=1,IF(ISNUMBER(U801),MAX(U801,0),H801),H801))</f>
        <v/>
      </c>
      <c r="AA801" s="91" t="n">
        <f aca="false">IF(Q801=1,IF(ISNUMBER(L801),L801,0)*K801/1000000,0)</f>
        <v>0</v>
      </c>
      <c r="AB801" s="89" t="str">
        <f aca="false">IF(Q801&lt;&gt;1,"",IFERROR(MATCH(VLOOKUP(B801,매핑!$H$4:$I$15,2,0),시장분석!$A$2:$A$601,0)+1,IFERROR(MATCH(R801&amp;"|"&amp;T801,시장분석!$V$2:$V$601,0)+1,IF(COUNTIF(시장분석!$U$2:$U$601,T801)=1,MATCH(T801,시장분석!$U$2:$U$601,0)+1,""))))</f>
        <v/>
      </c>
      <c r="AC801" s="89" t="n">
        <f aca="false">IF(Q801&lt;&gt;1,0,IF(OR(설정!$C$5="전체",AND(설정!$C$5="선택펀드",IFERROR(COUNTIFS(설정!$F$16:$F$36,C801,설정!$G$16:$G$36,"Y")+COUNTIFS(설정!$F$16:$F$36,VALUE(C801),설정!$G$16:$G$36,"Y"),0)&gt;0),C801&amp;""=설정!$C$5&amp;""),1,0))</f>
        <v>0</v>
      </c>
      <c r="AD801" s="89" t="n">
        <f aca="false">IF(Q801&lt;&gt;1,0,IF(OR(S801=1,IF(AB801="",FALSE(),INDEX(시장분석!$R:$R,AB801)=1)),1,0))</f>
        <v>0</v>
      </c>
      <c r="AE801" s="43" t="str">
        <f aca="false">IF(AB801="","",INDEX(시장분석!$A:$A,AB801))</f>
        <v/>
      </c>
      <c r="AF801" s="93" t="str">
        <f aca="false">IF(AB801="","",IF(ISNUMBER(IF(AB801="","",INDEX(시장분석!$E:$E,AB801))),IF(AB801="","",INDEX(시장분석!$E:$E,AB801)),""))</f>
        <v/>
      </c>
      <c r="AG801" s="43" t="str">
        <f aca="false">IF(Q801&lt;&gt;1,"",IF(AB801&lt;&gt;"",IF(AB801="","",INDEX(시장분석!$L:$L,AB801)),IFERROR(IF(VLOOKUP(R801,매핑!$A$4:$E$92,5,0)="","미분류",VLOOKUP(R801,매핑!$A$4:$E$92,5,0)),"미분류")))</f>
        <v/>
      </c>
      <c r="AH801" s="43" t="str">
        <f aca="false">IF(Q801&lt;&gt;1,"",IF(AB801&lt;&gt;"",IF(AB801="","",INDEX(시장분석!$N:$N,AB801)),IFERROR(IF(VLOOKUP(R801,매핑!$A$4:$E$92,4,0)="","미분류",VLOOKUP(R801,매핑!$A$4:$E$92,4,0)),"미분류")))</f>
        <v/>
      </c>
      <c r="AI801" s="43" t="str">
        <f aca="false">IF(Q801&lt;&gt;1,"",IFERROR(IF(VLOOKUP(R801,매핑!$A$4:$E$92,3,0)="","미분류",VLOOKUP(R801,매핑!$A$4:$E$92,3,0)),IF(AB801&lt;&gt;"",IF(AB801="","",INDEX(시장분석!$W:$W,AB801)),"미분류")))</f>
        <v/>
      </c>
      <c r="AJ801" s="43" t="str">
        <f aca="false">IF(Q801&lt;&gt;1,"",IFERROR(VLOOKUP(IF(N801&lt;&gt;"",N801,IF(P801&lt;&gt;"",P801,O801)),설정!$A$15:$D$47,2,0),""))</f>
        <v/>
      </c>
      <c r="AK801" s="43" t="str">
        <f aca="false">IF(Q801&lt;&gt;1,"",IF(AJ801="","무등급",IFERROR(VLOOKUP(AJ801,설정!$A$15:$D$47,3,0),"무등급")))</f>
        <v/>
      </c>
      <c r="AL801" s="89" t="n">
        <f aca="false">IF(AJ801="",99,IFERROR(VLOOKUP(AJ801,설정!$A$15:$D$47,4,0),99))</f>
        <v>99</v>
      </c>
      <c r="AM801" s="94" t="n">
        <f aca="false">IF(ISNUMBER(H801),AA801*1000000*H801/10000,0)</f>
        <v>0</v>
      </c>
      <c r="AN801" s="94" t="n">
        <f aca="false">IF(OR(Y801=1,NOT(ISNUMBER(Z801))),0,AA801*1000000*Z801/10000)</f>
        <v>0</v>
      </c>
      <c r="AO801" s="94" t="n">
        <f aca="false">IF(ISNUMBER(G801),AA801*1000000*G801/100,0)</f>
        <v>0</v>
      </c>
      <c r="AP801" s="94" t="n">
        <f aca="false">IF(ISNUMBER(M801),M801*K801,0)</f>
        <v>0</v>
      </c>
      <c r="AQ801" s="95" t="str">
        <f aca="false">IF(AB801="","",INDEX(시장분석!$AK:$AK,AB801))</f>
        <v/>
      </c>
      <c r="AR801" s="43" t="str">
        <f aca="false">IF(AB801="","-",IF(AB801="","",INDEX(시장분석!$AL:$AL,AB801)))</f>
        <v>-</v>
      </c>
      <c r="AS801" s="96" t="str">
        <f aca="false">IF(AB801="","",INDEX(시장분석!$AJ:$AJ,AB801))</f>
        <v/>
      </c>
      <c r="AT801" s="93" t="n">
        <f aca="false">IF(AB801="",0,IF(AB801="","",INDEX(시장분석!$AN:$AN,AB801)))</f>
        <v>0</v>
      </c>
      <c r="AU801" s="94" t="n">
        <f aca="false">IF(ISNUMBER(Z801),AT801/10000*MAX(Z801-1,0)*AA801*1000000,0)</f>
        <v>0</v>
      </c>
      <c r="AV801" s="94" t="n">
        <f aca="false">AO801+AU801</f>
        <v>0</v>
      </c>
      <c r="AW801" s="43" t="str">
        <f aca="false">IF(Q801&lt;&gt;1,"",TRIM(IF(AD801=1,"FRN ","")&amp;IF(AND(AL801&gt;=10,AL801&lt;99),"BBB0미만 ","")&amp;IF(AJ801="","등급없음 ","")&amp;IF(K801&lt;&gt;1,"비USD ","")&amp;IF(AND(AB801="",Y801=0),"시장데이터없음 ","")&amp;IF(AND(ISNUMBER(U801),U801&lt;0),"만기경과 ","")))</f>
        <v/>
      </c>
      <c r="AX801" s="90" t="n">
        <f aca="false">IF(Q801&lt;&gt;1,1,IF(스프레드쇼크!$C$4="Y",INDEX(스프레드쇼크!$B$12:$L$16,IFERROR(MATCH(AH801,스프레드쇼크!$A$12:$A$16,0),MATCH("목록외",스프레드쇼크!$A$12:$A$16,0)),IFERROR(MATCH(AG801,스프레드쇼크!$B$11:$L$11,0),MATCH("목록외",스프레드쇼크!$B$11:$L$11,0))),1))</f>
        <v>1</v>
      </c>
      <c r="AY801" s="90" t="n">
        <f aca="false">IF(스프레드쇼크!$C$5="Y",IF(ISNUMBER(AF801),MIN(스프레드쇼크!$C$7,MAX(스프레드쇼크!$C$6,AF801/스프레드쇼크!$C$8)),1),1)</f>
        <v>1</v>
      </c>
      <c r="AZ801" s="94" t="n">
        <f aca="false">AN801*AX801*AY801</f>
        <v>0</v>
      </c>
      <c r="BA801" s="90" t="n">
        <f aca="false">IF(ISNUMBER(G801),AA801*G801,0)</f>
        <v>0</v>
      </c>
      <c r="BB801" s="90" t="n">
        <f aca="false">IF(ISNUMBER(G801),AA801,0)</f>
        <v>0</v>
      </c>
      <c r="BC801" s="90" t="n">
        <f aca="false">IF(AND(Y801=0,ISNUMBER(AF801)),AA801*AF801,0)</f>
        <v>0</v>
      </c>
      <c r="BD801" s="90" t="n">
        <f aca="false">IF(AND(Y801=0,ISNUMBER(AF801)),AA801,0)</f>
        <v>0</v>
      </c>
      <c r="BE801" s="90" t="n">
        <f aca="false">IF(ISNUMBER(H801),AA801*H801,0)</f>
        <v>0</v>
      </c>
      <c r="BF801" s="90" t="n">
        <f aca="false">IF(ISNUMBER(H801),AA801,0)</f>
        <v>0</v>
      </c>
      <c r="BG801" s="90" t="n">
        <f aca="false">IF(AND(Y801=0,ISNUMBER(AF801),ISNUMBER(Z801)),AA801*Z801,0)</f>
        <v>0</v>
      </c>
      <c r="BH801" s="90" t="n">
        <f aca="false">IF(AND(Y801=0,ISNUMBER(AF801),ISNUMBER(Z801)),AA801*AT801*MAX(Z801-1,0),0)</f>
        <v>0</v>
      </c>
      <c r="BI801" s="90" t="n">
        <f aca="false">IF(Y801=0,AA801,0)</f>
        <v>0</v>
      </c>
    </row>
  </sheetData>
  <conditionalFormatting sqref="AR2:AR801">
    <cfRule type="cellIs" priority="2" operator="equal" aboveAverage="0" equalAverage="0" bottom="0" percent="0" rank="0" text="" dxfId="1">
      <formula>"Cheap"</formula>
    </cfRule>
    <cfRule type="cellIs" priority="3" operator="equal" aboveAverage="0" equalAverage="0" bottom="0" percent="0" rank="0" text="" dxfId="2">
      <formula>"Rich"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2" min="1" style="0" width="24"/>
    <col collapsed="false" customWidth="true" hidden="false" outlineLevel="0" max="3" min="3" style="0" width="6"/>
    <col collapsed="false" customWidth="true" hidden="false" outlineLevel="0" max="11" min="4" style="0" width="8"/>
    <col collapsed="false" customWidth="true" hidden="false" outlineLevel="0" max="12" min="12" style="0" width="10"/>
    <col collapsed="false" customWidth="true" hidden="false" outlineLevel="0" max="13" min="13" style="0" width="6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1" max="16" min="16" style="0" width="10"/>
    <col collapsed="false" customWidth="true" hidden="false" outlineLevel="0" max="17" min="17" style="0" width="10"/>
    <col collapsed="false" customWidth="true" hidden="false" outlineLevel="0" max="18" min="18" style="0" width="5"/>
    <col collapsed="false" customWidth="true" hidden="false" outlineLevel="1" max="19" min="19" style="0" width="8"/>
    <col collapsed="false" customWidth="true" hidden="false" outlineLevel="0" max="20" min="20" style="0" width="7"/>
    <col collapsed="false" customWidth="true" hidden="false" outlineLevel="0" max="21" min="21" style="0" width="16"/>
    <col collapsed="false" customWidth="true" hidden="false" outlineLevel="0" max="22" min="22" style="0" width="22"/>
    <col collapsed="false" customWidth="true" hidden="false" outlineLevel="0" max="23" min="23" style="0" width="8"/>
    <col collapsed="false" customWidth="true" hidden="false" outlineLevel="0" max="24" min="24" style="0" width="5"/>
    <col collapsed="false" customWidth="true" hidden="false" outlineLevel="0" max="25" min="25" style="0" width="6"/>
    <col collapsed="false" customWidth="true" hidden="false" outlineLevel="0" max="26" min="26" style="0" width="16"/>
    <col collapsed="false" customWidth="true" hidden="false" outlineLevel="1" max="28" min="27" style="0" width="7"/>
    <col collapsed="false" customWidth="true" hidden="false" outlineLevel="1" max="30" min="29" style="0" width="6"/>
    <col collapsed="false" customWidth="true" hidden="false" outlineLevel="0" max="31" min="31" style="0" width="16"/>
    <col collapsed="false" customWidth="true" hidden="false" outlineLevel="1" max="34" min="32" style="0" width="7"/>
    <col collapsed="false" customWidth="true" hidden="false" outlineLevel="0" max="36" min="35" style="0" width="8"/>
    <col collapsed="false" customWidth="true" hidden="false" outlineLevel="0" max="38" min="37" style="0" width="7"/>
    <col collapsed="false" customWidth="true" hidden="false" outlineLevel="0" max="40" min="39" style="0" width="9"/>
    <col collapsed="false" customWidth="true" hidden="false" outlineLevel="0" max="41" min="41" style="0" width="10"/>
    <col collapsed="false" customWidth="true" hidden="false" outlineLevel="0" max="42" min="42" style="0" width="16"/>
    <col collapsed="false" customWidth="true" hidden="false" outlineLevel="1" max="43" min="43" style="0" width="7"/>
    <col collapsed="false" customWidth="true" hidden="false" outlineLevel="0" max="45" min="44" style="0" width="9"/>
    <col collapsed="false" customWidth="true" hidden="false" outlineLevel="1" max="47" min="46" style="0" width="7"/>
  </cols>
  <sheetData>
    <row r="1" customFormat="false" ht="42" hidden="false" customHeight="true" outlineLevel="0" collapsed="false">
      <c r="A1" s="5" t="s">
        <v>121</v>
      </c>
      <c r="B1" s="5" t="s">
        <v>122</v>
      </c>
      <c r="C1" s="5" t="s">
        <v>218</v>
      </c>
      <c r="D1" s="25" t="s">
        <v>127</v>
      </c>
      <c r="E1" s="25" t="s">
        <v>128</v>
      </c>
      <c r="F1" s="25" t="s">
        <v>248</v>
      </c>
      <c r="G1" s="25" t="s">
        <v>249</v>
      </c>
      <c r="H1" s="25" t="s">
        <v>250</v>
      </c>
      <c r="I1" s="25" t="s">
        <v>251</v>
      </c>
      <c r="J1" s="25" t="s">
        <v>252</v>
      </c>
      <c r="K1" s="5" t="s">
        <v>126</v>
      </c>
      <c r="L1" s="5" t="s">
        <v>124</v>
      </c>
      <c r="M1" s="5" t="s">
        <v>125</v>
      </c>
      <c r="N1" s="5" t="s">
        <v>158</v>
      </c>
      <c r="O1" s="5" t="s">
        <v>213</v>
      </c>
      <c r="P1" s="5" t="s">
        <v>253</v>
      </c>
      <c r="Q1" s="5" t="s">
        <v>204</v>
      </c>
      <c r="R1" s="25" t="s">
        <v>214</v>
      </c>
      <c r="S1" s="5" t="s">
        <v>254</v>
      </c>
      <c r="T1" s="5" t="s">
        <v>255</v>
      </c>
      <c r="U1" s="5" t="s">
        <v>215</v>
      </c>
      <c r="V1" s="5" t="s">
        <v>256</v>
      </c>
      <c r="W1" s="5" t="s">
        <v>123</v>
      </c>
      <c r="X1" s="5" t="s">
        <v>220</v>
      </c>
      <c r="Y1" s="25" t="s">
        <v>257</v>
      </c>
      <c r="Z1" s="5" t="s">
        <v>258</v>
      </c>
      <c r="AA1" s="25" t="s">
        <v>259</v>
      </c>
      <c r="AB1" s="25" t="s">
        <v>260</v>
      </c>
      <c r="AC1" s="5" t="s">
        <v>261</v>
      </c>
      <c r="AD1" s="5" t="s">
        <v>262</v>
      </c>
      <c r="AE1" s="5" t="s">
        <v>160</v>
      </c>
      <c r="AF1" s="5" t="s">
        <v>263</v>
      </c>
      <c r="AG1" s="5" t="s">
        <v>264</v>
      </c>
      <c r="AH1" s="5" t="s">
        <v>265</v>
      </c>
      <c r="AI1" s="5" t="s">
        <v>266</v>
      </c>
      <c r="AJ1" s="5" t="s">
        <v>130</v>
      </c>
      <c r="AK1" s="25" t="s">
        <v>131</v>
      </c>
      <c r="AL1" s="5" t="s">
        <v>231</v>
      </c>
      <c r="AM1" s="5" t="s">
        <v>267</v>
      </c>
      <c r="AN1" s="5" t="s">
        <v>268</v>
      </c>
      <c r="AO1" s="5" t="s">
        <v>269</v>
      </c>
      <c r="AP1" s="5" t="s">
        <v>134</v>
      </c>
      <c r="AQ1" s="5" t="s">
        <v>270</v>
      </c>
      <c r="AR1" s="25" t="s">
        <v>271</v>
      </c>
      <c r="AS1" s="5" t="s">
        <v>272</v>
      </c>
      <c r="AT1" s="5" t="s">
        <v>273</v>
      </c>
      <c r="AU1" s="5" t="s">
        <v>274</v>
      </c>
    </row>
    <row r="2" customFormat="false" ht="15" hidden="false" customHeight="false" outlineLevel="0" collapsed="false">
      <c r="A2" s="83" t="str">
        <f aca="false">IFERROR(IF(INDEX(원자료_시장!$A$1:$BZ$1000,설정!$L$6+ROW()-1,설정!$L$24)&amp;""="0","",INDEX(원자료_시장!$A$1:$BZ$1000,설정!$L$6+ROW()-1,설정!$L$24)),"")</f>
        <v>BNP 5.11 06/12/30</v>
      </c>
      <c r="B2" s="83" t="str">
        <f aca="false">IFERROR(IF(INDEX(원자료_시장!$A$1:$BZ$1000,설정!$L$6+ROW()-1,설정!$L$37)&amp;""="0","",INDEX(원자료_시장!$A$1:$BZ$1000,설정!$L$6+ROW()-1,설정!$L$37)),"")</f>
        <v>BNP PARIBAS</v>
      </c>
      <c r="C2" s="83" t="str">
        <f aca="false">IFERROR(IF(INDEX(원자료_시장!$A$1:$BZ$1000,설정!$L$6+ROW()-1,설정!$L$25)&amp;""="0","",INDEX(원자료_시장!$A$1:$BZ$1000,설정!$L$6+ROW()-1,설정!$L$25)),"")</f>
        <v>USD</v>
      </c>
      <c r="D2" s="85" t="n">
        <f aca="false">IFERROR(IF(ISNUMBER(INDEX(원자료_시장!$A$1:$BZ$1000,설정!$L$6+ROW()-1,설정!$L$26)),INDEX(원자료_시장!$A$1:$BZ$1000,설정!$L$6+ROW()-1,설정!$L$26),""),"")</f>
        <v>6.148</v>
      </c>
      <c r="E2" s="97" t="n">
        <f aca="false">IFERROR(IF(ISNUMBER(INDEX(원자료_시장!$A$1:$BZ$1000,설정!$L$6+ROW()-1,설정!$L$27)),INDEX(원자료_시장!$A$1:$BZ$1000,설정!$L$6+ROW()-1,설정!$L$27),""),"")</f>
        <v>96.954</v>
      </c>
      <c r="F2" s="97" t="n">
        <f aca="false">IFERROR(IF(ISNUMBER(INDEX(원자료_시장!$A$1:$BZ$1000,설정!$L$6+ROW()-1,설정!$L$28)),INDEX(원자료_시장!$A$1:$BZ$1000,설정!$L$6+ROW()-1,설정!$L$28),""),"")</f>
        <v>131.37</v>
      </c>
      <c r="G2" s="97" t="n">
        <f aca="false">IFERROR(IF(ISNUMBER(INDEX(원자료_시장!$A$1:$BZ$1000,설정!$L$6+ROW()-1,설정!$L$29)),INDEX(원자료_시장!$A$1:$BZ$1000,설정!$L$6+ROW()-1,설정!$L$29),""),"")</f>
        <v>-4.3</v>
      </c>
      <c r="H2" s="97" t="n">
        <f aca="false">IFERROR(IF(ISNUMBER(INDEX(원자료_시장!$A$1:$BZ$1000,설정!$L$6+ROW()-1,설정!$L$30)),INDEX(원자료_시장!$A$1:$BZ$1000,설정!$L$6+ROW()-1,설정!$L$30),""),"")</f>
        <v>3.3</v>
      </c>
      <c r="I2" s="97" t="n">
        <f aca="false">IFERROR(IF(ISNUMBER(INDEX(원자료_시장!$A$1:$BZ$1000,설정!$L$6+ROW()-1,설정!$L$31)),INDEX(원자료_시장!$A$1:$BZ$1000,설정!$L$6+ROW()-1,설정!$L$31),""),"")</f>
        <v>4.6</v>
      </c>
      <c r="J2" s="97" t="n">
        <f aca="false">IFERROR(IF(ISNUMBER(INDEX(원자료_시장!$A$1:$BZ$1000,설정!$L$6+ROW()-1,설정!$L$32)),INDEX(원자료_시장!$A$1:$BZ$1000,설정!$L$6+ROW()-1,설정!$L$32),""),"")</f>
        <v>-2.3</v>
      </c>
      <c r="K2" s="85" t="n">
        <f aca="false">IFERROR(IF(ISNUMBER(INDEX(원자료_시장!$A$1:$BZ$1000,설정!$L$6+ROW()-1,설정!$L$33)),INDEX(원자료_시장!$A$1:$BZ$1000,설정!$L$6+ROW()-1,설정!$L$33),""),"")</f>
        <v>3.398</v>
      </c>
      <c r="L2" s="83" t="str">
        <f aca="false">IFERROR(IF(INDEX(원자료_시장!$A$1:$BZ$1000,설정!$L$6+ROW()-1,설정!$L$34)&amp;""="0","",INDEX(원자료_시장!$A$1:$BZ$1000,설정!$L$6+ROW()-1,설정!$L$34)),"")</f>
        <v>금융기관</v>
      </c>
      <c r="M2" s="83" t="str">
        <f aca="false">IFERROR(IF(INDEX(원자료_시장!$A$1:$BZ$1000,설정!$L$6+ROW()-1,설정!$L$35)&amp;""="0","",INDEX(원자료_시장!$A$1:$BZ$1000,설정!$L$6+ROW()-1,설정!$L$35)),"")</f>
        <v>A-</v>
      </c>
      <c r="N2" s="83" t="str">
        <f aca="false">IFERROR(IF(INDEX(원자료_시장!$A$1:$BZ$1000,설정!$L$6+ROW()-1,설정!$L$36)&amp;""="0","",INDEX(원자료_시장!$A$1:$BZ$1000,설정!$L$6+ROW()-1,설정!$L$36)),"")</f>
        <v>유럽</v>
      </c>
      <c r="O2" s="43" t="str">
        <f aca="false">IF($A2="","",UPPER(LEFT($A2,FIND(" ",$A2&amp;" ")-1)))</f>
        <v>BNP</v>
      </c>
      <c r="P2" s="43" t="str">
        <f aca="false">IF($A2="","",TRIM(RIGHT(SUBSTITUTE(TRIM($A2)," ",REPT(" ",30)),30)))</f>
        <v>06/12/30</v>
      </c>
      <c r="Q2" s="98" t="n">
        <f aca="false">IF($A2="","",IFERROR(DATE(IF(LEN(P2)=8,2000+VALUE(RIGHT(P2,2)),VALUE(RIGHT(P2,4))),VALUE(LEFT(P2,2)),VALUE(MID(P2,4,2))),""))</f>
        <v>47646</v>
      </c>
      <c r="R2" s="89" t="n">
        <f aca="false">IF($A2="",0,IF(ISNUMBER(SEARCH("Float",$A2)),1,0))</f>
        <v>0</v>
      </c>
      <c r="S2" s="43" t="str">
        <f aca="false">IF($A2="","",TRIM(MID($A2,LEN(O2)+2,LEN($A2)-LEN(O2)-LEN(P2)-1)))</f>
        <v>5.11</v>
      </c>
      <c r="T2" s="92" t="n">
        <f aca="false">IF(OR($A2="",R2=1),"",IFERROR(IF(ISNUMBER(FIND("/",S2)),IF(ISNUMBER(FIND(" ",S2)),VALUE(LEFT(S2,FIND(" ",S2)-1))+VALUE(MID(S2,FIND(" ",S2)+1,FIND("/",S2)-FIND(" ",S2)-1))/VALUE(MID(S2,FIND("/",S2)+1,9)),VALUE(LEFT(S2,FIND("/",S2)-1))/VALUE(MID(S2,FIND("/",S2)+1,9))),VALUE(S2)),""))</f>
        <v>5.11</v>
      </c>
      <c r="U2" s="43" t="str">
        <f aca="false">IF(OR($A2="",NOT(ISNUMBER(Q2))),"",TEXT(Q2,"yyyymmdd")&amp;"|"&amp;IF(R2=1,"F",TEXT(T2,"0.000")))</f>
        <v>20300612|5.110</v>
      </c>
      <c r="V2" s="43" t="str">
        <f aca="false">IF(U2="","",O2&amp;"|"&amp;U2)</f>
        <v>BNP|20300612|5.110</v>
      </c>
      <c r="W2" s="43" t="str">
        <f aca="false">IF($A2="","",IFERROR(IF(VLOOKUP(O2,매핑!$A$4:$E$92,3,0)="","미분류",VLOOKUP(O2,매핑!$A$4:$E$92,3,0)),"미분류"))</f>
        <v>프랑스</v>
      </c>
      <c r="X2" s="89" t="n">
        <f aca="false">IF($A2="",0,IF(O2="T",1,0))</f>
        <v>0</v>
      </c>
      <c r="Y2" s="89" t="n">
        <f aca="false">IF($A2="",0,IF(AND(C2="USD",X2=0,ISNUMBER(E2),ISNUMBER(K2)),IF(K2&gt;=설정!$C$8,1,0),0))</f>
        <v>1</v>
      </c>
      <c r="Z2" s="43" t="str">
        <f aca="false">IF($A2="","",N2&amp;"|"&amp;L2)</f>
        <v>유럽|금융기관</v>
      </c>
      <c r="AA2" s="92" t="n">
        <f aca="false">IF(Y2=1,LN(K2),0)</f>
        <v>1.22318702324974</v>
      </c>
      <c r="AB2" s="93" t="n">
        <f aca="false">IF(Y2=1,E2,0)</f>
        <v>96.954</v>
      </c>
      <c r="AC2" s="89" t="n">
        <f aca="false">IF(Y2=1,COUNTIFS($Z$2:$Z$601,Z2,$Y$2:$Y$601,1),0)</f>
        <v>32</v>
      </c>
      <c r="AD2" s="89" t="n">
        <f aca="false">IF(Y2=1,COUNTIFS($N$2:$N$601,N2,$Y$2:$Y$601,1),0)</f>
        <v>32</v>
      </c>
      <c r="AE2" s="43" t="str">
        <f aca="false">IF(Y2&lt;&gt;1,"",IF(AND(AC2&gt;=설정!$C$7,ISNUMBER(MATCH(Z2,피어커브!$A:$A,0))),Z2,IF(AND(AD2&gt;=설정!$C$7,ISNUMBER(MATCH(N2&amp;"|전체",피어커브!$A:$A,0))),N2&amp;"|전체","전체|전체")))</f>
        <v>유럽|금융기관</v>
      </c>
      <c r="AF2" s="93" t="n">
        <f aca="false">IF(AE2="","",INDEX(피어커브!$K:$K,MATCH(AE2,피어커브!$A:$A,0)))</f>
        <v>43.3660967921697</v>
      </c>
      <c r="AG2" s="93" t="n">
        <f aca="false">IF(AE2="","",INDEX(피어커브!$J:$J,MATCH(AE2,피어커브!$A:$A,0)))</f>
        <v>30.582858826536</v>
      </c>
      <c r="AH2" s="93" t="n">
        <f aca="false">IF(AE2="","",INDEX(피어커브!$L:$L,MATCH(AE2,피어커브!$A:$A,0)))</f>
        <v>10.9882810943096</v>
      </c>
      <c r="AI2" s="93" t="n">
        <f aca="false">IF(AE2="","",AF2+AG2*AA2)</f>
        <v>80.7746528426673</v>
      </c>
      <c r="AJ2" s="96" t="n">
        <f aca="false">IF(AE2="","",E2-AI2)</f>
        <v>16.1793471573327</v>
      </c>
      <c r="AK2" s="95" t="n">
        <f aca="false">IF(AE2="","",IF(ISNUMBER(AH2),IF(AH2&gt;0,AJ2/AH2,""),""))</f>
        <v>1.47241838996195</v>
      </c>
      <c r="AL2" s="43" t="str">
        <f aca="false">IF(AK2="","-",IF(AK2&gt;=설정!$C$6,"Cheap",IF(AK2&lt;=-설정!$C$6,"Rich","Fair")))</f>
        <v>Cheap</v>
      </c>
      <c r="AM2" s="96" t="n">
        <f aca="false">IF(AE2="","",AJ2-AVERAGEIFS($AJ$2:$AJ$601,$B$2:$B$601,B2,$Y$2:$Y$601,1))</f>
        <v>3.19831256084241</v>
      </c>
      <c r="AN2" s="93" t="n">
        <f aca="false">IF(AE2="",0,IF(K2&gt;1+설정!$C$8,AG2*(AA2-LN(K2-1)),0))</f>
        <v>10.6597155895977</v>
      </c>
      <c r="AO2" s="99" t="n">
        <f aca="false">IF($A2="",0,SUMIFS(보유분석!$AA$2:$AA$801,보유분석!$AB$2:$AB$801,ROW(),보유분석!$AC$2:$AC$801,1))</f>
        <v>19.50166</v>
      </c>
      <c r="AP2" s="43" t="str">
        <f aca="false">IF($A2="","",TRIM(IF(R2=1,"FRN ","")&amp;IF(IFERROR(VLOOKUP(M2,설정!$A$15:$D$47,4,0),0)&gt;=10,IF(IFERROR(VLOOKUP(M2,설정!$A$15:$D$47,4,0),0)&lt;99,"BBB0미만 ",""),"")&amp;IF(OR(M2="",M2="NR"),"등급미입력 ","")&amp;IF(C2&lt;&gt;"USD","비USD ","")))</f>
        <v/>
      </c>
      <c r="AQ2" s="90" t="n">
        <f aca="false">IF(AND(Y2=1,AL2="Cheap"),IF(AND(ISERROR(SEARCH("FRN",AP2)),ISERROR(SEARCH("BBB0미만",AP2))),AK2+ROW()/1000000000,-999),-999)</f>
        <v>1.47241839196195</v>
      </c>
      <c r="AR2" s="92" t="n">
        <f aca="false">IF(AND(ISNUMBER(D2),ISNUMBER(K2)),D2+AN2*MAX(K2-1,0)/100,"")</f>
        <v>6.40361997983855</v>
      </c>
      <c r="AS2" s="93" t="n">
        <f aca="false">IF(AND(ISNUMBER(E2),ISNUMBER(K2)),IF(K2&gt;0,(E2+AN2*MAX(K2-1,0))/K2,""),"")</f>
        <v>36.05532606941</v>
      </c>
      <c r="AT2" s="90" t="n">
        <f aca="false">IFERROR(IF(AND(Y2=1,ROW()&lt;&gt;스왑분석!$C$12+1,ABS(K2-INDEX($K$2:$K$601,스왑분석!$C$12))&lt;=스왑분석!$C$5,ISERROR(SEARCH("FRN",AP2)),ISERROR(SEARCH("BBB0미만",AP2))),IF(AND(OR(스왑분석!$C$6="N",L2=INDEX($L$2:$L$601,스왑분석!$C$12)),OR(스왑분석!$C$7="N",N2=INDEX($N$2:$N$601,스왑분석!$C$12)),OR(스왑분석!$C$8="N",AO2=0),E2-INDEX($E$2:$E$601,스왑분석!$C$12)&gt;=스왑분석!$C$9),E2-INDEX($E$2:$E$601,스왑분석!$C$12)+ROW()/1000000000,-999),-999),-999)</f>
        <v>48.462000002</v>
      </c>
      <c r="AU2" s="90" t="n">
        <f aca="false">IF(AND(Y2=1,AO2&gt;0,AL2="Rich"),-AK2+ROW()/1000000000,-999)</f>
        <v>-999</v>
      </c>
    </row>
    <row r="3" customFormat="false" ht="15" hidden="false" customHeight="false" outlineLevel="0" collapsed="false">
      <c r="A3" s="83" t="str">
        <f aca="false">IFERROR(IF(INDEX(원자료_시장!$A$1:$BZ$1000,설정!$L$6+ROW()-1,설정!$L$24)&amp;""="0","",INDEX(원자료_시장!$A$1:$BZ$1000,설정!$L$6+ROW()-1,설정!$L$24)),"")</f>
        <v>NHNCOR 4 3/8 04/21/31</v>
      </c>
      <c r="B3" s="83" t="str">
        <f aca="false">IFERROR(IF(INDEX(원자료_시장!$A$1:$BZ$1000,설정!$L$6+ROW()-1,설정!$L$37)&amp;""="0","",INDEX(원자료_시장!$A$1:$BZ$1000,설정!$L$6+ROW()-1,설정!$L$37)),"")</f>
        <v>NAVER CORP</v>
      </c>
      <c r="C3" s="83" t="str">
        <f aca="false">IFERROR(IF(INDEX(원자료_시장!$A$1:$BZ$1000,설정!$L$6+ROW()-1,설정!$L$25)&amp;""="0","",INDEX(원자료_시장!$A$1:$BZ$1000,설정!$L$6+ROW()-1,설정!$L$25)),"")</f>
        <v>USD</v>
      </c>
      <c r="D3" s="85" t="n">
        <f aca="false">IFERROR(IF(ISNUMBER(INDEX(원자료_시장!$A$1:$BZ$1000,설정!$L$6+ROW()-1,설정!$L$26)),INDEX(원자료_시장!$A$1:$BZ$1000,설정!$L$6+ROW()-1,설정!$L$26),""),"")</f>
        <v>5.56</v>
      </c>
      <c r="E3" s="97" t="n">
        <f aca="false">IFERROR(IF(ISNUMBER(INDEX(원자료_시장!$A$1:$BZ$1000,설정!$L$6+ROW()-1,설정!$L$27)),INDEX(원자료_시장!$A$1:$BZ$1000,설정!$L$6+ROW()-1,설정!$L$27),""),"")</f>
        <v>47.288</v>
      </c>
      <c r="F3" s="97" t="n">
        <f aca="false">IFERROR(IF(ISNUMBER(INDEX(원자료_시장!$A$1:$BZ$1000,설정!$L$6+ROW()-1,설정!$L$28)),INDEX(원자료_시장!$A$1:$BZ$1000,설정!$L$6+ROW()-1,설정!$L$28),""),"")</f>
        <v>80.929</v>
      </c>
      <c r="G3" s="97" t="n">
        <f aca="false">IFERROR(IF(ISNUMBER(INDEX(원자료_시장!$A$1:$BZ$1000,설정!$L$6+ROW()-1,설정!$L$29)),INDEX(원자료_시장!$A$1:$BZ$1000,설정!$L$6+ROW()-1,설정!$L$29),""),"")</f>
        <v>-1.3</v>
      </c>
      <c r="H3" s="97" t="n">
        <f aca="false">IFERROR(IF(ISNUMBER(INDEX(원자료_시장!$A$1:$BZ$1000,설정!$L$6+ROW()-1,설정!$L$30)),INDEX(원자료_시장!$A$1:$BZ$1000,설정!$L$6+ROW()-1,설정!$L$30),""),"")</f>
        <v>3.3</v>
      </c>
      <c r="I3" s="97" t="n">
        <f aca="false">IFERROR(IF(ISNUMBER(INDEX(원자료_시장!$A$1:$BZ$1000,설정!$L$6+ROW()-1,설정!$L$31)),INDEX(원자료_시장!$A$1:$BZ$1000,설정!$L$6+ROW()-1,설정!$L$31),""),"")</f>
        <v>0.8</v>
      </c>
      <c r="J3" s="97" t="n">
        <f aca="false">IFERROR(IF(ISNUMBER(INDEX(원자료_시장!$A$1:$BZ$1000,설정!$L$6+ROW()-1,설정!$L$32)),INDEX(원자료_시장!$A$1:$BZ$1000,설정!$L$6+ROW()-1,설정!$L$32),""),"")</f>
        <v>-1.4</v>
      </c>
      <c r="K3" s="85" t="n">
        <f aca="false">IFERROR(IF(ISNUMBER(INDEX(원자료_시장!$A$1:$BZ$1000,설정!$L$6+ROW()-1,설정!$L$33)),INDEX(원자료_시장!$A$1:$BZ$1000,설정!$L$6+ROW()-1,설정!$L$33),""),"")</f>
        <v>4.072</v>
      </c>
      <c r="L3" s="83" t="str">
        <f aca="false">IFERROR(IF(INDEX(원자료_시장!$A$1:$BZ$1000,설정!$L$6+ROW()-1,설정!$L$34)&amp;""="0","",INDEX(원자료_시장!$A$1:$BZ$1000,설정!$L$6+ROW()-1,설정!$L$34)),"")</f>
        <v>통신</v>
      </c>
      <c r="M3" s="83" t="str">
        <f aca="false">IFERROR(IF(INDEX(원자료_시장!$A$1:$BZ$1000,설정!$L$6+ROW()-1,설정!$L$35)&amp;""="0","",INDEX(원자료_시장!$A$1:$BZ$1000,설정!$L$6+ROW()-1,설정!$L$35)),"")</f>
        <v>A-</v>
      </c>
      <c r="N3" s="83" t="str">
        <f aca="false">IFERROR(IF(INDEX(원자료_시장!$A$1:$BZ$1000,설정!$L$6+ROW()-1,설정!$L$36)&amp;""="0","",INDEX(원자료_시장!$A$1:$BZ$1000,설정!$L$6+ROW()-1,설정!$L$36)),"")</f>
        <v>아시아/기타</v>
      </c>
      <c r="O3" s="43" t="str">
        <f aca="false">IF($A3="","",UPPER(LEFT($A3,FIND(" ",$A3&amp;" ")-1)))</f>
        <v>NHNCOR</v>
      </c>
      <c r="P3" s="43" t="str">
        <f aca="false">IF($A3="","",TRIM(RIGHT(SUBSTITUTE(TRIM($A3)," ",REPT(" ",30)),30)))</f>
        <v>04/21/31</v>
      </c>
      <c r="Q3" s="98" t="n">
        <f aca="false">IF($A3="","",IFERROR(DATE(IF(LEN(P3)=8,2000+VALUE(RIGHT(P3,2)),VALUE(RIGHT(P3,4))),VALUE(LEFT(P3,2)),VALUE(MID(P3,4,2))),""))</f>
        <v>47959</v>
      </c>
      <c r="R3" s="89" t="n">
        <f aca="false">IF($A3="",0,IF(ISNUMBER(SEARCH("Float",$A3)),1,0))</f>
        <v>0</v>
      </c>
      <c r="S3" s="43" t="str">
        <f aca="false">IF($A3="","",TRIM(MID($A3,LEN(O3)+2,LEN($A3)-LEN(O3)-LEN(P3)-1)))</f>
        <v>4 3/8</v>
      </c>
      <c r="T3" s="92" t="n">
        <f aca="false">IF(OR($A3="",R3=1),"",IFERROR(IF(ISNUMBER(FIND("/",S3)),IF(ISNUMBER(FIND(" ",S3)),VALUE(LEFT(S3,FIND(" ",S3)-1))+VALUE(MID(S3,FIND(" ",S3)+1,FIND("/",S3)-FIND(" ",S3)-1))/VALUE(MID(S3,FIND("/",S3)+1,9)),VALUE(LEFT(S3,FIND("/",S3)-1))/VALUE(MID(S3,FIND("/",S3)+1,9))),VALUE(S3)),""))</f>
        <v>4.375</v>
      </c>
      <c r="U3" s="43" t="str">
        <f aca="false">IF(OR($A3="",NOT(ISNUMBER(Q3))),"",TEXT(Q3,"yyyymmdd")&amp;"|"&amp;IF(R3=1,"F",TEXT(T3,"0.000")))</f>
        <v>20310421|4.375</v>
      </c>
      <c r="V3" s="43" t="str">
        <f aca="false">IF(U3="","",O3&amp;"|"&amp;U3)</f>
        <v>NHNCOR|20310421|4.375</v>
      </c>
      <c r="W3" s="43" t="str">
        <f aca="false">IF($A3="","",IFERROR(IF(VLOOKUP(O3,매핑!$A$4:$E$92,3,0)="","미분류",VLOOKUP(O3,매핑!$A$4:$E$92,3,0)),"미분류"))</f>
        <v>한국</v>
      </c>
      <c r="X3" s="89" t="n">
        <f aca="false">IF($A3="",0,IF(O3="T",1,0))</f>
        <v>0</v>
      </c>
      <c r="Y3" s="89" t="n">
        <f aca="false">IF($A3="",0,IF(AND(C3="USD",X3=0,ISNUMBER(E3),ISNUMBER(K3)),IF(K3&gt;=설정!$C$8,1,0),0))</f>
        <v>1</v>
      </c>
      <c r="Z3" s="43" t="str">
        <f aca="false">IF($A3="","",N3&amp;"|"&amp;L3)</f>
        <v>아시아/기타|통신</v>
      </c>
      <c r="AA3" s="92" t="n">
        <f aca="false">IF(Y3=1,LN(K3),0)</f>
        <v>1.40413427924822</v>
      </c>
      <c r="AB3" s="93" t="n">
        <f aca="false">IF(Y3=1,E3,0)</f>
        <v>47.288</v>
      </c>
      <c r="AC3" s="89" t="n">
        <f aca="false">IF(Y3=1,COUNTIFS($Z$2:$Z$601,Z3,$Y$2:$Y$601,1),0)</f>
        <v>8</v>
      </c>
      <c r="AD3" s="89" t="n">
        <f aca="false">IF(Y3=1,COUNTIFS($N$2:$N$601,N3,$Y$2:$Y$601,1),0)</f>
        <v>137</v>
      </c>
      <c r="AE3" s="43" t="str">
        <f aca="false">IF(Y3&lt;&gt;1,"",IF(AND(AC3&gt;=설정!$C$7,ISNUMBER(MATCH(Z3,피어커브!$A:$A,0))),Z3,IF(AND(AD3&gt;=설정!$C$7,ISNUMBER(MATCH(N3&amp;"|전체",피어커브!$A:$A,0))),N3&amp;"|전체","전체|전체")))</f>
        <v>아시아/기타|통신</v>
      </c>
      <c r="AF3" s="93" t="n">
        <f aca="false">IF(AE3="","",INDEX(피어커브!$K:$K,MATCH(AE3,피어커브!$A:$A,0)))</f>
        <v>19.9269244261757</v>
      </c>
      <c r="AG3" s="93" t="n">
        <f aca="false">IF(AE3="","",INDEX(피어커브!$J:$J,MATCH(AE3,피어커브!$A:$A,0)))</f>
        <v>39.2458252527372</v>
      </c>
      <c r="AH3" s="93" t="n">
        <f aca="false">IF(AE3="","",INDEX(피어커브!$L:$L,MATCH(AE3,피어커브!$A:$A,0)))</f>
        <v>15.4583072911545</v>
      </c>
      <c r="AI3" s="93" t="n">
        <f aca="false">IF(AE3="","",AF3+AG3*AA3)</f>
        <v>75.0333329809296</v>
      </c>
      <c r="AJ3" s="96" t="n">
        <f aca="false">IF(AE3="","",E3-AI3)</f>
        <v>-27.7453329809296</v>
      </c>
      <c r="AK3" s="95" t="n">
        <f aca="false">IF(AE3="","",IF(ISNUMBER(AH3),IF(AH3&gt;0,AJ3/AH3,""),""))</f>
        <v>-1.7948493621165</v>
      </c>
      <c r="AL3" s="43" t="str">
        <f aca="false">IF(AK3="","-",IF(AK3&gt;=설정!$C$6,"Cheap",IF(AK3&lt;=-설정!$C$6,"Rich","Fair")))</f>
        <v>Rich</v>
      </c>
      <c r="AM3" s="96" t="n">
        <f aca="false">IF(AE3="","",AJ3-AVERAGEIFS($AJ$2:$AJ$601,$B$2:$B$601,B3,$Y$2:$Y$601,1))</f>
        <v>0</v>
      </c>
      <c r="AN3" s="93" t="n">
        <f aca="false">IF(AE3="",0,IF(K3&gt;1+설정!$C$8,AG3*(AA3-LN(K3-1)),0))</f>
        <v>11.0596879939504</v>
      </c>
      <c r="AO3" s="99" t="n">
        <f aca="false">IF($A3="",0,SUMIFS(보유분석!$AA$2:$AA$801,보유분석!$AB$2:$AB$801,ROW(),보유분석!$AC$2:$AC$801,1))</f>
        <v>0</v>
      </c>
      <c r="AP3" s="43" t="str">
        <f aca="false">IF($A3="","",TRIM(IF(R3=1,"FRN ","")&amp;IF(IFERROR(VLOOKUP(M3,설정!$A$15:$D$47,4,0),0)&gt;=10,IF(IFERROR(VLOOKUP(M3,설정!$A$15:$D$47,4,0),0)&lt;99,"BBB0미만 ",""),"")&amp;IF(OR(M3="",M3="NR"),"등급미입력 ","")&amp;IF(C3&lt;&gt;"USD","비USD ","")))</f>
        <v/>
      </c>
      <c r="AQ3" s="90" t="n">
        <f aca="false">IF(AND(Y3=1,AL3="Cheap"),IF(AND(ISERROR(SEARCH("FRN",AP3)),ISERROR(SEARCH("BBB0미만",AP3))),AK3+ROW()/1000000000,-999),-999)</f>
        <v>-999</v>
      </c>
      <c r="AR3" s="92" t="n">
        <f aca="false">IF(AND(ISNUMBER(D3),ISNUMBER(K3)),D3+AN3*MAX(K3-1,0)/100,"")</f>
        <v>5.89975361517416</v>
      </c>
      <c r="AS3" s="93" t="n">
        <f aca="false">IF(AND(ISNUMBER(E3),ISNUMBER(K3)),IF(K3&gt;0,(E3+AN3*MAX(K3-1,0))/K3,""),"")</f>
        <v>19.9566211977936</v>
      </c>
      <c r="AT3" s="90" t="n">
        <f aca="false">IFERROR(IF(AND(Y3=1,ROW()&lt;&gt;스왑분석!$C$12+1,ABS(K3-INDEX($K$2:$K$601,스왑분석!$C$12))&lt;=스왑분석!$C$5,ISERROR(SEARCH("FRN",AP3)),ISERROR(SEARCH("BBB0미만",AP3))),IF(AND(OR(스왑분석!$C$6="N",L3=INDEX($L$2:$L$601,스왑분석!$C$12)),OR(스왑분석!$C$7="N",N3=INDEX($N$2:$N$601,스왑분석!$C$12)),OR(스왑분석!$C$8="N",AO3=0),E3-INDEX($E$2:$E$601,스왑분석!$C$12)&gt;=스왑분석!$C$9),E3-INDEX($E$2:$E$601,스왑분석!$C$12)+ROW()/1000000000,-999),-999),-999)</f>
        <v>-999</v>
      </c>
      <c r="AU3" s="90" t="n">
        <f aca="false">IF(AND(Y3=1,AO3&gt;0,AL3="Rich"),-AK3+ROW()/1000000000,-999)</f>
        <v>-999</v>
      </c>
    </row>
    <row r="4" customFormat="false" ht="15" hidden="false" customHeight="false" outlineLevel="0" collapsed="false">
      <c r="A4" s="83" t="str">
        <f aca="false">IFERROR(IF(INDEX(원자료_시장!$A$1:$BZ$1000,설정!$L$6+ROW()-1,설정!$L$24)&amp;""="0","",INDEX(원자료_시장!$A$1:$BZ$1000,설정!$L$6+ROW()-1,설정!$L$24)),"")</f>
        <v>KOEWPW 4 3/4 01/13/32</v>
      </c>
      <c r="B4" s="83" t="str">
        <f aca="false">IFERROR(IF(INDEX(원자료_시장!$A$1:$BZ$1000,설정!$L$6+ROW()-1,설정!$L$37)&amp;""="0","",INDEX(원자료_시장!$A$1:$BZ$1000,설정!$L$6+ROW()-1,설정!$L$37)),"")</f>
        <v>KOREA EAST-WEST POWER CO</v>
      </c>
      <c r="C4" s="83" t="str">
        <f aca="false">IFERROR(IF(INDEX(원자료_시장!$A$1:$BZ$1000,설정!$L$6+ROW()-1,설정!$L$25)&amp;""="0","",INDEX(원자료_시장!$A$1:$BZ$1000,설정!$L$6+ROW()-1,설정!$L$25)),"")</f>
        <v>USD</v>
      </c>
      <c r="D4" s="85" t="n">
        <f aca="false">IFERROR(IF(ISNUMBER(INDEX(원자료_시장!$A$1:$BZ$1000,설정!$L$6+ROW()-1,설정!$L$26)),INDEX(원자료_시장!$A$1:$BZ$1000,설정!$L$6+ROW()-1,설정!$L$26),""),"")</f>
        <v>5.67</v>
      </c>
      <c r="E4" s="97" t="n">
        <f aca="false">IFERROR(IF(ISNUMBER(INDEX(원자료_시장!$A$1:$BZ$1000,설정!$L$6+ROW()-1,설정!$L$27)),INDEX(원자료_시장!$A$1:$BZ$1000,설정!$L$6+ROW()-1,설정!$L$27),""),"")</f>
        <v>58.325</v>
      </c>
      <c r="F4" s="97" t="n">
        <f aca="false">IFERROR(IF(ISNUMBER(INDEX(원자료_시장!$A$1:$BZ$1000,설정!$L$6+ROW()-1,설정!$L$28)),INDEX(원자료_시장!$A$1:$BZ$1000,설정!$L$6+ROW()-1,설정!$L$28),""),"")</f>
        <v>91.203</v>
      </c>
      <c r="G4" s="97" t="n">
        <f aca="false">IFERROR(IF(ISNUMBER(INDEX(원자료_시장!$A$1:$BZ$1000,설정!$L$6+ROW()-1,설정!$L$29)),INDEX(원자료_시장!$A$1:$BZ$1000,설정!$L$6+ROW()-1,설정!$L$29),""),"")</f>
        <v>-0.9</v>
      </c>
      <c r="H4" s="97" t="n">
        <f aca="false">IFERROR(IF(ISNUMBER(INDEX(원자료_시장!$A$1:$BZ$1000,설정!$L$6+ROW()-1,설정!$L$30)),INDEX(원자료_시장!$A$1:$BZ$1000,설정!$L$6+ROW()-1,설정!$L$30),""),"")</f>
        <v>3.8</v>
      </c>
      <c r="I4" s="97" t="n">
        <f aca="false">IFERROR(IF(ISNUMBER(INDEX(원자료_시장!$A$1:$BZ$1000,설정!$L$6+ROW()-1,설정!$L$31)),INDEX(원자료_시장!$A$1:$BZ$1000,설정!$L$6+ROW()-1,설정!$L$31),""),"")</f>
        <v>-1.6</v>
      </c>
      <c r="J4" s="97" t="n">
        <f aca="false">IFERROR(IF(ISNUMBER(INDEX(원자료_시장!$A$1:$BZ$1000,설정!$L$6+ROW()-1,설정!$L$32)),INDEX(원자료_시장!$A$1:$BZ$1000,설정!$L$6+ROW()-1,설정!$L$32),""),"")</f>
        <v>-0.7</v>
      </c>
      <c r="K4" s="85" t="n">
        <f aca="false">IFERROR(IF(ISNUMBER(INDEX(원자료_시장!$A$1:$BZ$1000,설정!$L$6+ROW()-1,설정!$L$33)),INDEX(원자료_시장!$A$1:$BZ$1000,설정!$L$6+ROW()-1,설정!$L$33),""),"")</f>
        <v>4.658</v>
      </c>
      <c r="L4" s="83" t="str">
        <f aca="false">IFERROR(IF(INDEX(원자료_시장!$A$1:$BZ$1000,설정!$L$6+ROW()-1,설정!$L$34)&amp;""="0","",INDEX(원자료_시장!$A$1:$BZ$1000,설정!$L$6+ROW()-1,설정!$L$34)),"")</f>
        <v>유틸리티</v>
      </c>
      <c r="M4" s="83" t="n">
        <f aca="false">IFERROR(IF(INDEX(원자료_시장!$A$1:$BZ$1000,설정!$L$6+ROW()-1,설정!$L$35)&amp;""="0","",INDEX(원자료_시장!$A$1:$BZ$1000,설정!$L$6+ROW()-1,설정!$L$35)),"")</f>
        <v>0</v>
      </c>
      <c r="N4" s="83" t="str">
        <f aca="false">IFERROR(IF(INDEX(원자료_시장!$A$1:$BZ$1000,설정!$L$6+ROW()-1,설정!$L$36)&amp;""="0","",INDEX(원자료_시장!$A$1:$BZ$1000,설정!$L$6+ROW()-1,설정!$L$36)),"")</f>
        <v>아시아/기타</v>
      </c>
      <c r="O4" s="43" t="str">
        <f aca="false">IF($A4="","",UPPER(LEFT($A4,FIND(" ",$A4&amp;" ")-1)))</f>
        <v>KOEWPW</v>
      </c>
      <c r="P4" s="43" t="str">
        <f aca="false">IF($A4="","",TRIM(RIGHT(SUBSTITUTE(TRIM($A4)," ",REPT(" ",30)),30)))</f>
        <v>01/13/32</v>
      </c>
      <c r="Q4" s="98" t="n">
        <f aca="false">IF($A4="","",IFERROR(DATE(IF(LEN(P4)=8,2000+VALUE(RIGHT(P4,2)),VALUE(RIGHT(P4,4))),VALUE(LEFT(P4,2)),VALUE(MID(P4,4,2))),""))</f>
        <v>48226</v>
      </c>
      <c r="R4" s="89" t="n">
        <f aca="false">IF($A4="",0,IF(ISNUMBER(SEARCH("Float",$A4)),1,0))</f>
        <v>0</v>
      </c>
      <c r="S4" s="43" t="str">
        <f aca="false">IF($A4="","",TRIM(MID($A4,LEN(O4)+2,LEN($A4)-LEN(O4)-LEN(P4)-1)))</f>
        <v>4 3/4</v>
      </c>
      <c r="T4" s="92" t="n">
        <f aca="false">IF(OR($A4="",R4=1),"",IFERROR(IF(ISNUMBER(FIND("/",S4)),IF(ISNUMBER(FIND(" ",S4)),VALUE(LEFT(S4,FIND(" ",S4)-1))+VALUE(MID(S4,FIND(" ",S4)+1,FIND("/",S4)-FIND(" ",S4)-1))/VALUE(MID(S4,FIND("/",S4)+1,9)),VALUE(LEFT(S4,FIND("/",S4)-1))/VALUE(MID(S4,FIND("/",S4)+1,9))),VALUE(S4)),""))</f>
        <v>4.75</v>
      </c>
      <c r="U4" s="43" t="str">
        <f aca="false">IF(OR($A4="",NOT(ISNUMBER(Q4))),"",TEXT(Q4,"yyyymmdd")&amp;"|"&amp;IF(R4=1,"F",TEXT(T4,"0.000")))</f>
        <v>20320113|4.750</v>
      </c>
      <c r="V4" s="43" t="str">
        <f aca="false">IF(U4="","",O4&amp;"|"&amp;U4)</f>
        <v>KOEWPW|20320113|4.750</v>
      </c>
      <c r="W4" s="43" t="str">
        <f aca="false">IF($A4="","",IFERROR(IF(VLOOKUP(O4,매핑!$A$4:$E$92,3,0)="","미분류",VLOOKUP(O4,매핑!$A$4:$E$92,3,0)),"미분류"))</f>
        <v>한국</v>
      </c>
      <c r="X4" s="89" t="n">
        <f aca="false">IF($A4="",0,IF(O4="T",1,0))</f>
        <v>0</v>
      </c>
      <c r="Y4" s="89" t="n">
        <f aca="false">IF($A4="",0,IF(AND(C4="USD",X4=0,ISNUMBER(E4),ISNUMBER(K4)),IF(K4&gt;=설정!$C$8,1,0),0))</f>
        <v>1</v>
      </c>
      <c r="Z4" s="43" t="str">
        <f aca="false">IF($A4="","",N4&amp;"|"&amp;L4)</f>
        <v>아시아/기타|유틸리티</v>
      </c>
      <c r="AA4" s="92" t="n">
        <f aca="false">IF(Y4=1,LN(K4),0)</f>
        <v>1.53858617146215</v>
      </c>
      <c r="AB4" s="93" t="n">
        <f aca="false">IF(Y4=1,E4,0)</f>
        <v>58.325</v>
      </c>
      <c r="AC4" s="89" t="n">
        <f aca="false">IF(Y4=1,COUNTIFS($Z$2:$Z$601,Z4,$Y$2:$Y$601,1),0)</f>
        <v>5</v>
      </c>
      <c r="AD4" s="89" t="n">
        <f aca="false">IF(Y4=1,COUNTIFS($N$2:$N$601,N4,$Y$2:$Y$601,1),0)</f>
        <v>137</v>
      </c>
      <c r="AE4" s="43" t="str">
        <f aca="false">IF(Y4&lt;&gt;1,"",IF(AND(AC4&gt;=설정!$C$7,ISNUMBER(MATCH(Z4,피어커브!$A:$A,0))),Z4,IF(AND(AD4&gt;=설정!$C$7,ISNUMBER(MATCH(N4&amp;"|전체",피어커브!$A:$A,0))),N4&amp;"|전체","전체|전체")))</f>
        <v>아시아/기타|유틸리티</v>
      </c>
      <c r="AF4" s="93" t="n">
        <f aca="false">IF(AE4="","",INDEX(피어커브!$K:$K,MATCH(AE4,피어커브!$A:$A,0)))</f>
        <v>-5.75296194923287</v>
      </c>
      <c r="AG4" s="93" t="n">
        <f aca="false">IF(AE4="","",INDEX(피어커브!$J:$J,MATCH(AE4,피어커브!$A:$A,0)))</f>
        <v>37.7569760298006</v>
      </c>
      <c r="AH4" s="93" t="n">
        <f aca="false">IF(AE4="","",INDEX(피어커브!$L:$L,MATCH(AE4,피어커브!$A:$A,0)))</f>
        <v>5.35723070209121</v>
      </c>
      <c r="AI4" s="93" t="n">
        <f aca="false">IF(AE4="","",AF4+AG4*AA4)</f>
        <v>52.3393992464462</v>
      </c>
      <c r="AJ4" s="96" t="n">
        <f aca="false">IF(AE4="","",E4-AI4)</f>
        <v>5.98560075355378</v>
      </c>
      <c r="AK4" s="95" t="n">
        <f aca="false">IF(AE4="","",IF(ISNUMBER(AH4),IF(AH4&gt;0,AJ4/AH4,""),""))</f>
        <v>1.11729381958804</v>
      </c>
      <c r="AL4" s="43" t="str">
        <f aca="false">IF(AK4="","-",IF(AK4&gt;=설정!$C$6,"Cheap",IF(AK4&lt;=-설정!$C$6,"Rich","Fair")))</f>
        <v>Cheap</v>
      </c>
      <c r="AM4" s="96" t="n">
        <f aca="false">IF(AE4="","",AJ4-AVERAGEIFS($AJ$2:$AJ$601,$B$2:$B$601,B4,$Y$2:$Y$601,1))</f>
        <v>4.47363908473976</v>
      </c>
      <c r="AN4" s="93" t="n">
        <f aca="false">IF(AE4="",0,IF(K4&gt;1+설정!$C$8,AG4*(AA4-LN(K4-1)),0))</f>
        <v>9.12471410586014</v>
      </c>
      <c r="AO4" s="99" t="n">
        <f aca="false">IF($A4="",0,SUMIFS(보유분석!$AA$2:$AA$801,보유분석!$AB$2:$AB$801,ROW(),보유분석!$AC$2:$AC$801,1))</f>
        <v>0</v>
      </c>
      <c r="AP4" s="43" t="str">
        <f aca="false">IF($A4="","",TRIM(IF(R4=1,"FRN ","")&amp;IF(IFERROR(VLOOKUP(M4,설정!$A$15:$D$47,4,0),0)&gt;=10,IF(IFERROR(VLOOKUP(M4,설정!$A$15:$D$47,4,0),0)&lt;99,"BBB0미만 ",""),"")&amp;IF(OR(M4="",M4="NR"),"등급미입력 ","")&amp;IF(C4&lt;&gt;"USD","비USD ","")))</f>
        <v>등급미입력</v>
      </c>
      <c r="AQ4" s="90" t="n">
        <f aca="false">IF(AND(Y4=1,AL4="Cheap"),IF(AND(ISERROR(SEARCH("FRN",AP4)),ISERROR(SEARCH("BBB0미만",AP4))),AK4+ROW()/1000000000,-999),-999)</f>
        <v>1.11729382358804</v>
      </c>
      <c r="AR4" s="92" t="n">
        <f aca="false">IF(AND(ISNUMBER(D4),ISNUMBER(K4)),D4+AN4*MAX(K4-1,0)/100,"")</f>
        <v>6.00378204199236</v>
      </c>
      <c r="AS4" s="93" t="n">
        <f aca="false">IF(AND(ISNUMBER(E4),ISNUMBER(K4)),IF(K4&gt;0,(E4+AN4*MAX(K4-1,0))/K4,""),"")</f>
        <v>19.6872486473243</v>
      </c>
      <c r="AT4" s="90" t="n">
        <f aca="false">IFERROR(IF(AND(Y4=1,ROW()&lt;&gt;스왑분석!$C$12+1,ABS(K4-INDEX($K$2:$K$601,스왑분석!$C$12))&lt;=스왑분석!$C$5,ISERROR(SEARCH("FRN",AP4)),ISERROR(SEARCH("BBB0미만",AP4))),IF(AND(OR(스왑분석!$C$6="N",L4=INDEX($L$2:$L$601,스왑분석!$C$12)),OR(스왑분석!$C$7="N",N4=INDEX($N$2:$N$601,스왑분석!$C$12)),OR(스왑분석!$C$8="N",AO4=0),E4-INDEX($E$2:$E$601,스왑분석!$C$12)&gt;=스왑분석!$C$9),E4-INDEX($E$2:$E$601,스왑분석!$C$12)+ROW()/1000000000,-999),-999),-999)</f>
        <v>-999</v>
      </c>
      <c r="AU4" s="90" t="n">
        <f aca="false">IF(AND(Y4=1,AO4&gt;0,AL4="Rich"),-AK4+ROW()/1000000000,-999)</f>
        <v>-999</v>
      </c>
    </row>
    <row r="5" customFormat="false" ht="15" hidden="false" customHeight="false" outlineLevel="0" collapsed="false">
      <c r="A5" s="83" t="str">
        <f aca="false">IFERROR(IF(INDEX(원자료_시장!$A$1:$BZ$1000,설정!$L$6+ROW()-1,설정!$L$24)&amp;""="0","",INDEX(원자료_시장!$A$1:$BZ$1000,설정!$L$6+ROW()-1,설정!$L$24)),"")</f>
        <v>EIBKOR 0.835 11/26/27</v>
      </c>
      <c r="B5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5" s="83" t="str">
        <f aca="false">IFERROR(IF(INDEX(원자료_시장!$A$1:$BZ$1000,설정!$L$6+ROW()-1,설정!$L$25)&amp;""="0","",INDEX(원자료_시장!$A$1:$BZ$1000,설정!$L$6+ROW()-1,설정!$L$25)),"")</f>
        <v>JPY</v>
      </c>
      <c r="D5" s="85" t="n">
        <f aca="false">IFERROR(IF(ISNUMBER(INDEX(원자료_시장!$A$1:$BZ$1000,설정!$L$6+ROW()-1,설정!$L$26)),INDEX(원자료_시장!$A$1:$BZ$1000,설정!$L$6+ROW()-1,설정!$L$26),""),"")</f>
        <v>2.022</v>
      </c>
      <c r="E5" s="97" t="n">
        <f aca="false">IFERROR(IF(ISNUMBER(INDEX(원자료_시장!$A$1:$BZ$1000,설정!$L$6+ROW()-1,설정!$L$27)),INDEX(원자료_시장!$A$1:$BZ$1000,설정!$L$6+ROW()-1,설정!$L$27),""),"")</f>
        <v>33.4</v>
      </c>
      <c r="F5" s="97" t="n">
        <f aca="false">IFERROR(IF(ISNUMBER(INDEX(원자료_시장!$A$1:$BZ$1000,설정!$L$6+ROW()-1,설정!$L$28)),INDEX(원자료_시장!$A$1:$BZ$1000,설정!$L$6+ROW()-1,설정!$L$28),""),"")</f>
        <v>29.127</v>
      </c>
      <c r="G5" s="97" t="str">
        <f aca="false">IFERROR(IF(ISNUMBER(INDEX(원자료_시장!$A$1:$BZ$1000,설정!$L$6+ROW()-1,설정!$L$29)),INDEX(원자료_시장!$A$1:$BZ$1000,설정!$L$6+ROW()-1,설정!$L$29),""),"")</f>
        <v/>
      </c>
      <c r="H5" s="97" t="str">
        <f aca="false">IFERROR(IF(ISNUMBER(INDEX(원자료_시장!$A$1:$BZ$1000,설정!$L$6+ROW()-1,설정!$L$30)),INDEX(원자료_시장!$A$1:$BZ$1000,설정!$L$6+ROW()-1,설정!$L$30),""),"")</f>
        <v/>
      </c>
      <c r="I5" s="97" t="str">
        <f aca="false">IFERROR(IF(ISNUMBER(INDEX(원자료_시장!$A$1:$BZ$1000,설정!$L$6+ROW()-1,설정!$L$31)),INDEX(원자료_시장!$A$1:$BZ$1000,설정!$L$6+ROW()-1,설정!$L$31),""),"")</f>
        <v/>
      </c>
      <c r="J5" s="97" t="str">
        <f aca="false">IFERROR(IF(ISNUMBER(INDEX(원자료_시장!$A$1:$BZ$1000,설정!$L$6+ROW()-1,설정!$L$32)),INDEX(원자료_시장!$A$1:$BZ$1000,설정!$L$6+ROW()-1,설정!$L$32),""),"")</f>
        <v/>
      </c>
      <c r="K5" s="85" t="n">
        <f aca="false">IFERROR(IF(ISNUMBER(INDEX(원자료_시장!$A$1:$BZ$1000,설정!$L$6+ROW()-1,설정!$L$33)),INDEX(원자료_시장!$A$1:$BZ$1000,설정!$L$6+ROW()-1,설정!$L$33),""),"")</f>
        <v>1.125</v>
      </c>
      <c r="L5" s="83" t="str">
        <f aca="false">IFERROR(IF(INDEX(원자료_시장!$A$1:$BZ$1000,설정!$L$6+ROW()-1,설정!$L$34)&amp;""="0","",INDEX(원자료_시장!$A$1:$BZ$1000,설정!$L$6+ROW()-1,설정!$L$34)),"")</f>
        <v>정부</v>
      </c>
      <c r="M5" s="83" t="str">
        <f aca="false">IFERROR(IF(INDEX(원자료_시장!$A$1:$BZ$1000,설정!$L$6+ROW()-1,설정!$L$35)&amp;""="0","",INDEX(원자료_시장!$A$1:$BZ$1000,설정!$L$6+ROW()-1,설정!$L$35)),"")</f>
        <v>AA</v>
      </c>
      <c r="N5" s="83" t="str">
        <f aca="false">IFERROR(IF(INDEX(원자료_시장!$A$1:$BZ$1000,설정!$L$6+ROW()-1,설정!$L$36)&amp;""="0","",INDEX(원자료_시장!$A$1:$BZ$1000,설정!$L$6+ROW()-1,설정!$L$36)),"")</f>
        <v>아시아/기타</v>
      </c>
      <c r="O5" s="43" t="str">
        <f aca="false">IF($A5="","",UPPER(LEFT($A5,FIND(" ",$A5&amp;" ")-1)))</f>
        <v>EIBKOR</v>
      </c>
      <c r="P5" s="43" t="str">
        <f aca="false">IF($A5="","",TRIM(RIGHT(SUBSTITUTE(TRIM($A5)," ",REPT(" ",30)),30)))</f>
        <v>11/26/27</v>
      </c>
      <c r="Q5" s="98" t="n">
        <f aca="false">IF($A5="","",IFERROR(DATE(IF(LEN(P5)=8,2000+VALUE(RIGHT(P5,2)),VALUE(RIGHT(P5,4))),VALUE(LEFT(P5,2)),VALUE(MID(P5,4,2))),""))</f>
        <v>46717</v>
      </c>
      <c r="R5" s="89" t="n">
        <f aca="false">IF($A5="",0,IF(ISNUMBER(SEARCH("Float",$A5)),1,0))</f>
        <v>0</v>
      </c>
      <c r="S5" s="43" t="str">
        <f aca="false">IF($A5="","",TRIM(MID($A5,LEN(O5)+2,LEN($A5)-LEN(O5)-LEN(P5)-1)))</f>
        <v>0.835</v>
      </c>
      <c r="T5" s="92" t="n">
        <f aca="false">IF(OR($A5="",R5=1),"",IFERROR(IF(ISNUMBER(FIND("/",S5)),IF(ISNUMBER(FIND(" ",S5)),VALUE(LEFT(S5,FIND(" ",S5)-1))+VALUE(MID(S5,FIND(" ",S5)+1,FIND("/",S5)-FIND(" ",S5)-1))/VALUE(MID(S5,FIND("/",S5)+1,9)),VALUE(LEFT(S5,FIND("/",S5)-1))/VALUE(MID(S5,FIND("/",S5)+1,9))),VALUE(S5)),""))</f>
        <v>0.835</v>
      </c>
      <c r="U5" s="43" t="str">
        <f aca="false">IF(OR($A5="",NOT(ISNUMBER(Q5))),"",TEXT(Q5,"yyyymmdd")&amp;"|"&amp;IF(R5=1,"F",TEXT(T5,"0.000")))</f>
        <v>20271126|0.835</v>
      </c>
      <c r="V5" s="43" t="str">
        <f aca="false">IF(U5="","",O5&amp;"|"&amp;U5)</f>
        <v>EIBKOR|20271126|0.835</v>
      </c>
      <c r="W5" s="43" t="str">
        <f aca="false">IF($A5="","",IFERROR(IF(VLOOKUP(O5,매핑!$A$4:$E$92,3,0)="","미분류",VLOOKUP(O5,매핑!$A$4:$E$92,3,0)),"미분류"))</f>
        <v>한국</v>
      </c>
      <c r="X5" s="89" t="n">
        <f aca="false">IF($A5="",0,IF(O5="T",1,0))</f>
        <v>0</v>
      </c>
      <c r="Y5" s="89" t="n">
        <f aca="false">IF($A5="",0,IF(AND(C5="USD",X5=0,ISNUMBER(E5),ISNUMBER(K5)),IF(K5&gt;=설정!$C$8,1,0),0))</f>
        <v>0</v>
      </c>
      <c r="Z5" s="43" t="str">
        <f aca="false">IF($A5="","",N5&amp;"|"&amp;L5)</f>
        <v>아시아/기타|정부</v>
      </c>
      <c r="AA5" s="92" t="n">
        <f aca="false">IF(Y5=1,LN(K5),0)</f>
        <v>0</v>
      </c>
      <c r="AB5" s="93" t="n">
        <f aca="false">IF(Y5=1,E5,0)</f>
        <v>0</v>
      </c>
      <c r="AC5" s="89" t="n">
        <f aca="false">IF(Y5=1,COUNTIFS($Z$2:$Z$601,Z5,$Y$2:$Y$601,1),0)</f>
        <v>0</v>
      </c>
      <c r="AD5" s="89" t="n">
        <f aca="false">IF(Y5=1,COUNTIFS($N$2:$N$601,N5,$Y$2:$Y$601,1),0)</f>
        <v>0</v>
      </c>
      <c r="AE5" s="43" t="str">
        <f aca="false">IF(Y5&lt;&gt;1,"",IF(AND(AC5&gt;=설정!$C$7,ISNUMBER(MATCH(Z5,피어커브!$A:$A,0))),Z5,IF(AND(AD5&gt;=설정!$C$7,ISNUMBER(MATCH(N5&amp;"|전체",피어커브!$A:$A,0))),N5&amp;"|전체","전체|전체")))</f>
        <v/>
      </c>
      <c r="AF5" s="93" t="str">
        <f aca="false">IF(AE5="","",INDEX(피어커브!$K:$K,MATCH(AE5,피어커브!$A:$A,0)))</f>
        <v/>
      </c>
      <c r="AG5" s="93" t="str">
        <f aca="false">IF(AE5="","",INDEX(피어커브!$J:$J,MATCH(AE5,피어커브!$A:$A,0)))</f>
        <v/>
      </c>
      <c r="AH5" s="93" t="str">
        <f aca="false">IF(AE5="","",INDEX(피어커브!$L:$L,MATCH(AE5,피어커브!$A:$A,0)))</f>
        <v/>
      </c>
      <c r="AI5" s="93" t="str">
        <f aca="false">IF(AE5="","",AF5+AG5*AA5)</f>
        <v/>
      </c>
      <c r="AJ5" s="96" t="str">
        <f aca="false">IF(AE5="","",E5-AI5)</f>
        <v/>
      </c>
      <c r="AK5" s="95" t="str">
        <f aca="false">IF(AE5="","",IF(ISNUMBER(AH5),IF(AH5&gt;0,AJ5/AH5,""),""))</f>
        <v/>
      </c>
      <c r="AL5" s="43" t="str">
        <f aca="false">IF(AK5="","-",IF(AK5&gt;=설정!$C$6,"Cheap",IF(AK5&lt;=-설정!$C$6,"Rich","Fair")))</f>
        <v>-</v>
      </c>
      <c r="AM5" s="96" t="str">
        <f aca="false">IF(AE5="","",AJ5-AVERAGEIFS($AJ$2:$AJ$601,$B$2:$B$601,B5,$Y$2:$Y$601,1))</f>
        <v/>
      </c>
      <c r="AN5" s="93" t="n">
        <f aca="false">IF(AE5="",0,IF(K5&gt;1+설정!$C$8,AG5*(AA5-LN(K5-1)),0))</f>
        <v>0</v>
      </c>
      <c r="AO5" s="99" t="n">
        <f aca="false">IF($A5="",0,SUMIFS(보유분석!$AA$2:$AA$801,보유분석!$AB$2:$AB$801,ROW(),보유분석!$AC$2:$AC$801,1))</f>
        <v>0</v>
      </c>
      <c r="AP5" s="43" t="str">
        <f aca="false">IF($A5="","",TRIM(IF(R5=1,"FRN ","")&amp;IF(IFERROR(VLOOKUP(M5,설정!$A$15:$D$47,4,0),0)&gt;=10,IF(IFERROR(VLOOKUP(M5,설정!$A$15:$D$47,4,0),0)&lt;99,"BBB0미만 ",""),"")&amp;IF(OR(M5="",M5="NR"),"등급미입력 ","")&amp;IF(C5&lt;&gt;"USD","비USD ","")))</f>
        <v>비USD</v>
      </c>
      <c r="AQ5" s="90" t="n">
        <f aca="false">IF(AND(Y5=1,AL5="Cheap"),IF(AND(ISERROR(SEARCH("FRN",AP5)),ISERROR(SEARCH("BBB0미만",AP5))),AK5+ROW()/1000000000,-999),-999)</f>
        <v>-999</v>
      </c>
      <c r="AR5" s="92" t="n">
        <f aca="false">IF(AND(ISNUMBER(D5),ISNUMBER(K5)),D5+AN5*MAX(K5-1,0)/100,"")</f>
        <v>2.022</v>
      </c>
      <c r="AS5" s="93" t="n">
        <f aca="false">IF(AND(ISNUMBER(E5),ISNUMBER(K5)),IF(K5&gt;0,(E5+AN5*MAX(K5-1,0))/K5,""),"")</f>
        <v>29.6888888888889</v>
      </c>
      <c r="AT5" s="90" t="n">
        <f aca="false">IFERROR(IF(AND(Y5=1,ROW()&lt;&gt;스왑분석!$C$12+1,ABS(K5-INDEX($K$2:$K$601,스왑분석!$C$12))&lt;=스왑분석!$C$5,ISERROR(SEARCH("FRN",AP5)),ISERROR(SEARCH("BBB0미만",AP5))),IF(AND(OR(스왑분석!$C$6="N",L5=INDEX($L$2:$L$601,스왑분석!$C$12)),OR(스왑분석!$C$7="N",N5=INDEX($N$2:$N$601,스왑분석!$C$12)),OR(스왑분석!$C$8="N",AO5=0),E5-INDEX($E$2:$E$601,스왑분석!$C$12)&gt;=스왑분석!$C$9),E5-INDEX($E$2:$E$601,스왑분석!$C$12)+ROW()/1000000000,-999),-999),-999)</f>
        <v>-999</v>
      </c>
      <c r="AU5" s="90" t="n">
        <f aca="false">IF(AND(Y5=1,AO5&gt;0,AL5="Rich"),-AK5+ROW()/1000000000,-999)</f>
        <v>-999</v>
      </c>
    </row>
    <row r="6" customFormat="false" ht="15" hidden="false" customHeight="false" outlineLevel="0" collapsed="false">
      <c r="A6" s="83" t="str">
        <f aca="false">IFERROR(IF(INDEX(원자료_시장!$A$1:$BZ$1000,설정!$L$6+ROW()-1,설정!$L$24)&amp;""="0","",INDEX(원자료_시장!$A$1:$BZ$1000,설정!$L$6+ROW()-1,설정!$L$24)),"")</f>
        <v>EIBKOR 1.065 11/28/29</v>
      </c>
      <c r="B6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6" s="83" t="str">
        <f aca="false">IFERROR(IF(INDEX(원자료_시장!$A$1:$BZ$1000,설정!$L$6+ROW()-1,설정!$L$25)&amp;""="0","",INDEX(원자료_시장!$A$1:$BZ$1000,설정!$L$6+ROW()-1,설정!$L$25)),"")</f>
        <v>JPY</v>
      </c>
      <c r="D6" s="85" t="n">
        <f aca="false">IFERROR(IF(ISNUMBER(INDEX(원자료_시장!$A$1:$BZ$1000,설정!$L$6+ROW()-1,설정!$L$26)),INDEX(원자료_시장!$A$1:$BZ$1000,설정!$L$6+ROW()-1,설정!$L$26),""),"")</f>
        <v>2.539</v>
      </c>
      <c r="E6" s="97" t="n">
        <f aca="false">IFERROR(IF(ISNUMBER(INDEX(원자료_시장!$A$1:$BZ$1000,설정!$L$6+ROW()-1,설정!$L$27)),INDEX(원자료_시장!$A$1:$BZ$1000,설정!$L$6+ROW()-1,설정!$L$27),""),"")</f>
        <v>42.4</v>
      </c>
      <c r="F6" s="97" t="n">
        <f aca="false">IFERROR(IF(ISNUMBER(INDEX(원자료_시장!$A$1:$BZ$1000,설정!$L$6+ROW()-1,설정!$L$28)),INDEX(원자료_시장!$A$1:$BZ$1000,설정!$L$6+ROW()-1,설정!$L$28),""),"")</f>
        <v>35.488</v>
      </c>
      <c r="G6" s="97" t="str">
        <f aca="false">IFERROR(IF(ISNUMBER(INDEX(원자료_시장!$A$1:$BZ$1000,설정!$L$6+ROW()-1,설정!$L$29)),INDEX(원자료_시장!$A$1:$BZ$1000,설정!$L$6+ROW()-1,설정!$L$29),""),"")</f>
        <v/>
      </c>
      <c r="H6" s="97" t="str">
        <f aca="false">IFERROR(IF(ISNUMBER(INDEX(원자료_시장!$A$1:$BZ$1000,설정!$L$6+ROW()-1,설정!$L$30)),INDEX(원자료_시장!$A$1:$BZ$1000,설정!$L$6+ROW()-1,설정!$L$30),""),"")</f>
        <v/>
      </c>
      <c r="I6" s="97" t="str">
        <f aca="false">IFERROR(IF(ISNUMBER(INDEX(원자료_시장!$A$1:$BZ$1000,설정!$L$6+ROW()-1,설정!$L$31)),INDEX(원자료_시장!$A$1:$BZ$1000,설정!$L$6+ROW()-1,설정!$L$31),""),"")</f>
        <v/>
      </c>
      <c r="J6" s="97" t="str">
        <f aca="false">IFERROR(IF(ISNUMBER(INDEX(원자료_시장!$A$1:$BZ$1000,설정!$L$6+ROW()-1,설정!$L$32)),INDEX(원자료_시장!$A$1:$BZ$1000,설정!$L$6+ROW()-1,설정!$L$32),""),"")</f>
        <v/>
      </c>
      <c r="K6" s="85" t="n">
        <f aca="false">IFERROR(IF(ISNUMBER(INDEX(원자료_시장!$A$1:$BZ$1000,설정!$L$6+ROW()-1,설정!$L$33)),INDEX(원자료_시장!$A$1:$BZ$1000,설정!$L$6+ROW()-1,설정!$L$33),""),"")</f>
        <v>2.94</v>
      </c>
      <c r="L6" s="83" t="str">
        <f aca="false">IFERROR(IF(INDEX(원자료_시장!$A$1:$BZ$1000,설정!$L$6+ROW()-1,설정!$L$34)&amp;""="0","",INDEX(원자료_시장!$A$1:$BZ$1000,설정!$L$6+ROW()-1,설정!$L$34)),"")</f>
        <v>정부</v>
      </c>
      <c r="M6" s="83" t="str">
        <f aca="false">IFERROR(IF(INDEX(원자료_시장!$A$1:$BZ$1000,설정!$L$6+ROW()-1,설정!$L$35)&amp;""="0","",INDEX(원자료_시장!$A$1:$BZ$1000,설정!$L$6+ROW()-1,설정!$L$35)),"")</f>
        <v>AA</v>
      </c>
      <c r="N6" s="83" t="str">
        <f aca="false">IFERROR(IF(INDEX(원자료_시장!$A$1:$BZ$1000,설정!$L$6+ROW()-1,설정!$L$36)&amp;""="0","",INDEX(원자료_시장!$A$1:$BZ$1000,설정!$L$6+ROW()-1,설정!$L$36)),"")</f>
        <v>아시아/기타</v>
      </c>
      <c r="O6" s="43" t="str">
        <f aca="false">IF($A6="","",UPPER(LEFT($A6,FIND(" ",$A6&amp;" ")-1)))</f>
        <v>EIBKOR</v>
      </c>
      <c r="P6" s="43" t="str">
        <f aca="false">IF($A6="","",TRIM(RIGHT(SUBSTITUTE(TRIM($A6)," ",REPT(" ",30)),30)))</f>
        <v>11/28/29</v>
      </c>
      <c r="Q6" s="98" t="n">
        <f aca="false">IF($A6="","",IFERROR(DATE(IF(LEN(P6)=8,2000+VALUE(RIGHT(P6,2)),VALUE(RIGHT(P6,4))),VALUE(LEFT(P6,2)),VALUE(MID(P6,4,2))),""))</f>
        <v>47450</v>
      </c>
      <c r="R6" s="89" t="n">
        <f aca="false">IF($A6="",0,IF(ISNUMBER(SEARCH("Float",$A6)),1,0))</f>
        <v>0</v>
      </c>
      <c r="S6" s="43" t="str">
        <f aca="false">IF($A6="","",TRIM(MID($A6,LEN(O6)+2,LEN($A6)-LEN(O6)-LEN(P6)-1)))</f>
        <v>1.065</v>
      </c>
      <c r="T6" s="92" t="n">
        <f aca="false">IF(OR($A6="",R6=1),"",IFERROR(IF(ISNUMBER(FIND("/",S6)),IF(ISNUMBER(FIND(" ",S6)),VALUE(LEFT(S6,FIND(" ",S6)-1))+VALUE(MID(S6,FIND(" ",S6)+1,FIND("/",S6)-FIND(" ",S6)-1))/VALUE(MID(S6,FIND("/",S6)+1,9)),VALUE(LEFT(S6,FIND("/",S6)-1))/VALUE(MID(S6,FIND("/",S6)+1,9))),VALUE(S6)),""))</f>
        <v>1.065</v>
      </c>
      <c r="U6" s="43" t="str">
        <f aca="false">IF(OR($A6="",NOT(ISNUMBER(Q6))),"",TEXT(Q6,"yyyymmdd")&amp;"|"&amp;IF(R6=1,"F",TEXT(T6,"0.000")))</f>
        <v>20291128|1.065</v>
      </c>
      <c r="V6" s="43" t="str">
        <f aca="false">IF(U6="","",O6&amp;"|"&amp;U6)</f>
        <v>EIBKOR|20291128|1.065</v>
      </c>
      <c r="W6" s="43" t="str">
        <f aca="false">IF($A6="","",IFERROR(IF(VLOOKUP(O6,매핑!$A$4:$E$92,3,0)="","미분류",VLOOKUP(O6,매핑!$A$4:$E$92,3,0)),"미분류"))</f>
        <v>한국</v>
      </c>
      <c r="X6" s="89" t="n">
        <f aca="false">IF($A6="",0,IF(O6="T",1,0))</f>
        <v>0</v>
      </c>
      <c r="Y6" s="89" t="n">
        <f aca="false">IF($A6="",0,IF(AND(C6="USD",X6=0,ISNUMBER(E6),ISNUMBER(K6)),IF(K6&gt;=설정!$C$8,1,0),0))</f>
        <v>0</v>
      </c>
      <c r="Z6" s="43" t="str">
        <f aca="false">IF($A6="","",N6&amp;"|"&amp;L6)</f>
        <v>아시아/기타|정부</v>
      </c>
      <c r="AA6" s="92" t="n">
        <f aca="false">IF(Y6=1,LN(K6),0)</f>
        <v>0</v>
      </c>
      <c r="AB6" s="93" t="n">
        <f aca="false">IF(Y6=1,E6,0)</f>
        <v>0</v>
      </c>
      <c r="AC6" s="89" t="n">
        <f aca="false">IF(Y6=1,COUNTIFS($Z$2:$Z$601,Z6,$Y$2:$Y$601,1),0)</f>
        <v>0</v>
      </c>
      <c r="AD6" s="89" t="n">
        <f aca="false">IF(Y6=1,COUNTIFS($N$2:$N$601,N6,$Y$2:$Y$601,1),0)</f>
        <v>0</v>
      </c>
      <c r="AE6" s="43" t="str">
        <f aca="false">IF(Y6&lt;&gt;1,"",IF(AND(AC6&gt;=설정!$C$7,ISNUMBER(MATCH(Z6,피어커브!$A:$A,0))),Z6,IF(AND(AD6&gt;=설정!$C$7,ISNUMBER(MATCH(N6&amp;"|전체",피어커브!$A:$A,0))),N6&amp;"|전체","전체|전체")))</f>
        <v/>
      </c>
      <c r="AF6" s="93" t="str">
        <f aca="false">IF(AE6="","",INDEX(피어커브!$K:$K,MATCH(AE6,피어커브!$A:$A,0)))</f>
        <v/>
      </c>
      <c r="AG6" s="93" t="str">
        <f aca="false">IF(AE6="","",INDEX(피어커브!$J:$J,MATCH(AE6,피어커브!$A:$A,0)))</f>
        <v/>
      </c>
      <c r="AH6" s="93" t="str">
        <f aca="false">IF(AE6="","",INDEX(피어커브!$L:$L,MATCH(AE6,피어커브!$A:$A,0)))</f>
        <v/>
      </c>
      <c r="AI6" s="93" t="str">
        <f aca="false">IF(AE6="","",AF6+AG6*AA6)</f>
        <v/>
      </c>
      <c r="AJ6" s="96" t="str">
        <f aca="false">IF(AE6="","",E6-AI6)</f>
        <v/>
      </c>
      <c r="AK6" s="95" t="str">
        <f aca="false">IF(AE6="","",IF(ISNUMBER(AH6),IF(AH6&gt;0,AJ6/AH6,""),""))</f>
        <v/>
      </c>
      <c r="AL6" s="43" t="str">
        <f aca="false">IF(AK6="","-",IF(AK6&gt;=설정!$C$6,"Cheap",IF(AK6&lt;=-설정!$C$6,"Rich","Fair")))</f>
        <v>-</v>
      </c>
      <c r="AM6" s="96" t="str">
        <f aca="false">IF(AE6="","",AJ6-AVERAGEIFS($AJ$2:$AJ$601,$B$2:$B$601,B6,$Y$2:$Y$601,1))</f>
        <v/>
      </c>
      <c r="AN6" s="93" t="n">
        <f aca="false">IF(AE6="",0,IF(K6&gt;1+설정!$C$8,AG6*(AA6-LN(K6-1)),0))</f>
        <v>0</v>
      </c>
      <c r="AO6" s="99" t="n">
        <f aca="false">IF($A6="",0,SUMIFS(보유분석!$AA$2:$AA$801,보유분석!$AB$2:$AB$801,ROW(),보유분석!$AC$2:$AC$801,1))</f>
        <v>0</v>
      </c>
      <c r="AP6" s="43" t="str">
        <f aca="false">IF($A6="","",TRIM(IF(R6=1,"FRN ","")&amp;IF(IFERROR(VLOOKUP(M6,설정!$A$15:$D$47,4,0),0)&gt;=10,IF(IFERROR(VLOOKUP(M6,설정!$A$15:$D$47,4,0),0)&lt;99,"BBB0미만 ",""),"")&amp;IF(OR(M6="",M6="NR"),"등급미입력 ","")&amp;IF(C6&lt;&gt;"USD","비USD ","")))</f>
        <v>비USD</v>
      </c>
      <c r="AQ6" s="90" t="n">
        <f aca="false">IF(AND(Y6=1,AL6="Cheap"),IF(AND(ISERROR(SEARCH("FRN",AP6)),ISERROR(SEARCH("BBB0미만",AP6))),AK6+ROW()/1000000000,-999),-999)</f>
        <v>-999</v>
      </c>
      <c r="AR6" s="92" t="n">
        <f aca="false">IF(AND(ISNUMBER(D6),ISNUMBER(K6)),D6+AN6*MAX(K6-1,0)/100,"")</f>
        <v>2.539</v>
      </c>
      <c r="AS6" s="93" t="n">
        <f aca="false">IF(AND(ISNUMBER(E6),ISNUMBER(K6)),IF(K6&gt;0,(E6+AN6*MAX(K6-1,0))/K6,""),"")</f>
        <v>14.421768707483</v>
      </c>
      <c r="AT6" s="90" t="n">
        <f aca="false">IFERROR(IF(AND(Y6=1,ROW()&lt;&gt;스왑분석!$C$12+1,ABS(K6-INDEX($K$2:$K$601,스왑분석!$C$12))&lt;=스왑분석!$C$5,ISERROR(SEARCH("FRN",AP6)),ISERROR(SEARCH("BBB0미만",AP6))),IF(AND(OR(스왑분석!$C$6="N",L6=INDEX($L$2:$L$601,스왑분석!$C$12)),OR(스왑분석!$C$7="N",N6=INDEX($N$2:$N$601,스왑분석!$C$12)),OR(스왑분석!$C$8="N",AO6=0),E6-INDEX($E$2:$E$601,스왑분석!$C$12)&gt;=스왑분석!$C$9),E6-INDEX($E$2:$E$601,스왑분석!$C$12)+ROW()/1000000000,-999),-999),-999)</f>
        <v>-999</v>
      </c>
      <c r="AU6" s="90" t="n">
        <f aca="false">IF(AND(Y6=1,AO6&gt;0,AL6="Rich"),-AK6+ROW()/1000000000,-999)</f>
        <v>-999</v>
      </c>
    </row>
    <row r="7" customFormat="false" ht="15" hidden="false" customHeight="false" outlineLevel="0" collapsed="false">
      <c r="A7" s="83" t="str">
        <f aca="false">IFERROR(IF(INDEX(원자료_시장!$A$1:$BZ$1000,설정!$L$6+ROW()-1,설정!$L$24)&amp;""="0","",INDEX(원자료_시장!$A$1:$BZ$1000,설정!$L$6+ROW()-1,설정!$L$24)),"")</f>
        <v>SHNHAN 1.322 11/12/27</v>
      </c>
      <c r="B7" s="83" t="str">
        <f aca="false">IFERROR(IF(INDEX(원자료_시장!$A$1:$BZ$1000,설정!$L$6+ROW()-1,설정!$L$37)&amp;""="0","",INDEX(원자료_시장!$A$1:$BZ$1000,설정!$L$6+ROW()-1,설정!$L$37)),"")</f>
        <v>SHINHAN BANK</v>
      </c>
      <c r="C7" s="83" t="str">
        <f aca="false">IFERROR(IF(INDEX(원자료_시장!$A$1:$BZ$1000,설정!$L$6+ROW()-1,설정!$L$25)&amp;""="0","",INDEX(원자료_시장!$A$1:$BZ$1000,설정!$L$6+ROW()-1,설정!$L$25)),"")</f>
        <v>JPY</v>
      </c>
      <c r="D7" s="85" t="n">
        <f aca="false">IFERROR(IF(ISNUMBER(INDEX(원자료_시장!$A$1:$BZ$1000,설정!$L$6+ROW()-1,설정!$L$26)),INDEX(원자료_시장!$A$1:$BZ$1000,설정!$L$6+ROW()-1,설정!$L$26),""),"")</f>
        <v>1.794</v>
      </c>
      <c r="E7" s="97" t="n">
        <f aca="false">IFERROR(IF(ISNUMBER(INDEX(원자료_시장!$A$1:$BZ$1000,설정!$L$6+ROW()-1,설정!$L$27)),INDEX(원자료_시장!$A$1:$BZ$1000,설정!$L$6+ROW()-1,설정!$L$27),""),"")</f>
        <v>11.2</v>
      </c>
      <c r="F7" s="97" t="n">
        <f aca="false">IFERROR(IF(ISNUMBER(INDEX(원자료_시장!$A$1:$BZ$1000,설정!$L$6+ROW()-1,설정!$L$28)),INDEX(원자료_시장!$A$1:$BZ$1000,설정!$L$6+ROW()-1,설정!$L$28),""),"")</f>
        <v>8.295</v>
      </c>
      <c r="G7" s="97" t="str">
        <f aca="false">IFERROR(IF(ISNUMBER(INDEX(원자료_시장!$A$1:$BZ$1000,설정!$L$6+ROW()-1,설정!$L$29)),INDEX(원자료_시장!$A$1:$BZ$1000,설정!$L$6+ROW()-1,설정!$L$29),""),"")</f>
        <v/>
      </c>
      <c r="H7" s="97" t="str">
        <f aca="false">IFERROR(IF(ISNUMBER(INDEX(원자료_시장!$A$1:$BZ$1000,설정!$L$6+ROW()-1,설정!$L$30)),INDEX(원자료_시장!$A$1:$BZ$1000,설정!$L$6+ROW()-1,설정!$L$30),""),"")</f>
        <v/>
      </c>
      <c r="I7" s="97" t="str">
        <f aca="false">IFERROR(IF(ISNUMBER(INDEX(원자료_시장!$A$1:$BZ$1000,설정!$L$6+ROW()-1,설정!$L$31)),INDEX(원자료_시장!$A$1:$BZ$1000,설정!$L$6+ROW()-1,설정!$L$31),""),"")</f>
        <v/>
      </c>
      <c r="J7" s="97" t="str">
        <f aca="false">IFERROR(IF(ISNUMBER(INDEX(원자료_시장!$A$1:$BZ$1000,설정!$L$6+ROW()-1,설정!$L$32)),INDEX(원자료_시장!$A$1:$BZ$1000,설정!$L$6+ROW()-1,설정!$L$32),""),"")</f>
        <v/>
      </c>
      <c r="K7" s="85" t="n">
        <f aca="false">IFERROR(IF(ISNUMBER(INDEX(원자료_시장!$A$1:$BZ$1000,설정!$L$6+ROW()-1,설정!$L$33)),INDEX(원자료_시장!$A$1:$BZ$1000,설정!$L$6+ROW()-1,설정!$L$33),""),"")</f>
        <v>1.087</v>
      </c>
      <c r="L7" s="83" t="str">
        <f aca="false">IFERROR(IF(INDEX(원자료_시장!$A$1:$BZ$1000,설정!$L$6+ROW()-1,설정!$L$34)&amp;""="0","",INDEX(원자료_시장!$A$1:$BZ$1000,설정!$L$6+ROW()-1,설정!$L$34)),"")</f>
        <v>금융기관</v>
      </c>
      <c r="M7" s="83" t="n">
        <f aca="false">IFERROR(IF(INDEX(원자료_시장!$A$1:$BZ$1000,설정!$L$6+ROW()-1,설정!$L$35)&amp;""="0","",INDEX(원자료_시장!$A$1:$BZ$1000,설정!$L$6+ROW()-1,설정!$L$35)),"")</f>
        <v>0</v>
      </c>
      <c r="N7" s="83" t="str">
        <f aca="false">IFERROR(IF(INDEX(원자료_시장!$A$1:$BZ$1000,설정!$L$6+ROW()-1,설정!$L$36)&amp;""="0","",INDEX(원자료_시장!$A$1:$BZ$1000,설정!$L$6+ROW()-1,설정!$L$36)),"")</f>
        <v>아시아/기타</v>
      </c>
      <c r="O7" s="43" t="str">
        <f aca="false">IF($A7="","",UPPER(LEFT($A7,FIND(" ",$A7&amp;" ")-1)))</f>
        <v>SHNHAN</v>
      </c>
      <c r="P7" s="43" t="str">
        <f aca="false">IF($A7="","",TRIM(RIGHT(SUBSTITUTE(TRIM($A7)," ",REPT(" ",30)),30)))</f>
        <v>11/12/27</v>
      </c>
      <c r="Q7" s="98" t="n">
        <f aca="false">IF($A7="","",IFERROR(DATE(IF(LEN(P7)=8,2000+VALUE(RIGHT(P7,2)),VALUE(RIGHT(P7,4))),VALUE(LEFT(P7,2)),VALUE(MID(P7,4,2))),""))</f>
        <v>46703</v>
      </c>
      <c r="R7" s="89" t="n">
        <f aca="false">IF($A7="",0,IF(ISNUMBER(SEARCH("Float",$A7)),1,0))</f>
        <v>0</v>
      </c>
      <c r="S7" s="43" t="str">
        <f aca="false">IF($A7="","",TRIM(MID($A7,LEN(O7)+2,LEN($A7)-LEN(O7)-LEN(P7)-1)))</f>
        <v>1.322</v>
      </c>
      <c r="T7" s="92" t="n">
        <f aca="false">IF(OR($A7="",R7=1),"",IFERROR(IF(ISNUMBER(FIND("/",S7)),IF(ISNUMBER(FIND(" ",S7)),VALUE(LEFT(S7,FIND(" ",S7)-1))+VALUE(MID(S7,FIND(" ",S7)+1,FIND("/",S7)-FIND(" ",S7)-1))/VALUE(MID(S7,FIND("/",S7)+1,9)),VALUE(LEFT(S7,FIND("/",S7)-1))/VALUE(MID(S7,FIND("/",S7)+1,9))),VALUE(S7)),""))</f>
        <v>1.322</v>
      </c>
      <c r="U7" s="43" t="str">
        <f aca="false">IF(OR($A7="",NOT(ISNUMBER(Q7))),"",TEXT(Q7,"yyyymmdd")&amp;"|"&amp;IF(R7=1,"F",TEXT(T7,"0.000")))</f>
        <v>20271112|1.322</v>
      </c>
      <c r="V7" s="43" t="str">
        <f aca="false">IF(U7="","",O7&amp;"|"&amp;U7)</f>
        <v>SHNHAN|20271112|1.322</v>
      </c>
      <c r="W7" s="43" t="str">
        <f aca="false">IF($A7="","",IFERROR(IF(VLOOKUP(O7,매핑!$A$4:$E$92,3,0)="","미분류",VLOOKUP(O7,매핑!$A$4:$E$92,3,0)),"미분류"))</f>
        <v>한국</v>
      </c>
      <c r="X7" s="89" t="n">
        <f aca="false">IF($A7="",0,IF(O7="T",1,0))</f>
        <v>0</v>
      </c>
      <c r="Y7" s="89" t="n">
        <f aca="false">IF($A7="",0,IF(AND(C7="USD",X7=0,ISNUMBER(E7),ISNUMBER(K7)),IF(K7&gt;=설정!$C$8,1,0),0))</f>
        <v>0</v>
      </c>
      <c r="Z7" s="43" t="str">
        <f aca="false">IF($A7="","",N7&amp;"|"&amp;L7)</f>
        <v>아시아/기타|금융기관</v>
      </c>
      <c r="AA7" s="92" t="n">
        <f aca="false">IF(Y7=1,LN(K7),0)</f>
        <v>0</v>
      </c>
      <c r="AB7" s="93" t="n">
        <f aca="false">IF(Y7=1,E7,0)</f>
        <v>0</v>
      </c>
      <c r="AC7" s="89" t="n">
        <f aca="false">IF(Y7=1,COUNTIFS($Z$2:$Z$601,Z7,$Y$2:$Y$601,1),0)</f>
        <v>0</v>
      </c>
      <c r="AD7" s="89" t="n">
        <f aca="false">IF(Y7=1,COUNTIFS($N$2:$N$601,N7,$Y$2:$Y$601,1),0)</f>
        <v>0</v>
      </c>
      <c r="AE7" s="43" t="str">
        <f aca="false">IF(Y7&lt;&gt;1,"",IF(AND(AC7&gt;=설정!$C$7,ISNUMBER(MATCH(Z7,피어커브!$A:$A,0))),Z7,IF(AND(AD7&gt;=설정!$C$7,ISNUMBER(MATCH(N7&amp;"|전체",피어커브!$A:$A,0))),N7&amp;"|전체","전체|전체")))</f>
        <v/>
      </c>
      <c r="AF7" s="93" t="str">
        <f aca="false">IF(AE7="","",INDEX(피어커브!$K:$K,MATCH(AE7,피어커브!$A:$A,0)))</f>
        <v/>
      </c>
      <c r="AG7" s="93" t="str">
        <f aca="false">IF(AE7="","",INDEX(피어커브!$J:$J,MATCH(AE7,피어커브!$A:$A,0)))</f>
        <v/>
      </c>
      <c r="AH7" s="93" t="str">
        <f aca="false">IF(AE7="","",INDEX(피어커브!$L:$L,MATCH(AE7,피어커브!$A:$A,0)))</f>
        <v/>
      </c>
      <c r="AI7" s="93" t="str">
        <f aca="false">IF(AE7="","",AF7+AG7*AA7)</f>
        <v/>
      </c>
      <c r="AJ7" s="96" t="str">
        <f aca="false">IF(AE7="","",E7-AI7)</f>
        <v/>
      </c>
      <c r="AK7" s="95" t="str">
        <f aca="false">IF(AE7="","",IF(ISNUMBER(AH7),IF(AH7&gt;0,AJ7/AH7,""),""))</f>
        <v/>
      </c>
      <c r="AL7" s="43" t="str">
        <f aca="false">IF(AK7="","-",IF(AK7&gt;=설정!$C$6,"Cheap",IF(AK7&lt;=-설정!$C$6,"Rich","Fair")))</f>
        <v>-</v>
      </c>
      <c r="AM7" s="96" t="str">
        <f aca="false">IF(AE7="","",AJ7-AVERAGEIFS($AJ$2:$AJ$601,$B$2:$B$601,B7,$Y$2:$Y$601,1))</f>
        <v/>
      </c>
      <c r="AN7" s="93" t="n">
        <f aca="false">IF(AE7="",0,IF(K7&gt;1+설정!$C$8,AG7*(AA7-LN(K7-1)),0))</f>
        <v>0</v>
      </c>
      <c r="AO7" s="99" t="n">
        <f aca="false">IF($A7="",0,SUMIFS(보유분석!$AA$2:$AA$801,보유분석!$AB$2:$AB$801,ROW(),보유분석!$AC$2:$AC$801,1))</f>
        <v>0</v>
      </c>
      <c r="AP7" s="43" t="str">
        <f aca="false">IF($A7="","",TRIM(IF(R7=1,"FRN ","")&amp;IF(IFERROR(VLOOKUP(M7,설정!$A$15:$D$47,4,0),0)&gt;=10,IF(IFERROR(VLOOKUP(M7,설정!$A$15:$D$47,4,0),0)&lt;99,"BBB0미만 ",""),"")&amp;IF(OR(M7="",M7="NR"),"등급미입력 ","")&amp;IF(C7&lt;&gt;"USD","비USD ","")))</f>
        <v>등급미입력 비USD</v>
      </c>
      <c r="AQ7" s="90" t="n">
        <f aca="false">IF(AND(Y7=1,AL7="Cheap"),IF(AND(ISERROR(SEARCH("FRN",AP7)),ISERROR(SEARCH("BBB0미만",AP7))),AK7+ROW()/1000000000,-999),-999)</f>
        <v>-999</v>
      </c>
      <c r="AR7" s="92" t="n">
        <f aca="false">IF(AND(ISNUMBER(D7),ISNUMBER(K7)),D7+AN7*MAX(K7-1,0)/100,"")</f>
        <v>1.794</v>
      </c>
      <c r="AS7" s="93" t="n">
        <f aca="false">IF(AND(ISNUMBER(E7),ISNUMBER(K7)),IF(K7&gt;0,(E7+AN7*MAX(K7-1,0))/K7,""),"")</f>
        <v>10.3035878564857</v>
      </c>
      <c r="AT7" s="90" t="n">
        <f aca="false">IFERROR(IF(AND(Y7=1,ROW()&lt;&gt;스왑분석!$C$12+1,ABS(K7-INDEX($K$2:$K$601,스왑분석!$C$12))&lt;=스왑분석!$C$5,ISERROR(SEARCH("FRN",AP7)),ISERROR(SEARCH("BBB0미만",AP7))),IF(AND(OR(스왑분석!$C$6="N",L7=INDEX($L$2:$L$601,스왑분석!$C$12)),OR(스왑분석!$C$7="N",N7=INDEX($N$2:$N$601,스왑분석!$C$12)),OR(스왑분석!$C$8="N",AO7=0),E7-INDEX($E$2:$E$601,스왑분석!$C$12)&gt;=스왑분석!$C$9),E7-INDEX($E$2:$E$601,스왑분석!$C$12)+ROW()/1000000000,-999),-999),-999)</f>
        <v>-999</v>
      </c>
      <c r="AU7" s="90" t="n">
        <f aca="false">IF(AND(Y7=1,AO7&gt;0,AL7="Rich"),-AK7+ROW()/1000000000,-999)</f>
        <v>-999</v>
      </c>
    </row>
    <row r="8" customFormat="false" ht="15" hidden="false" customHeight="false" outlineLevel="0" collapsed="false">
      <c r="A8" s="83" t="str">
        <f aca="false">IFERROR(IF(INDEX(원자료_시장!$A$1:$BZ$1000,설정!$L$6+ROW()-1,설정!$L$24)&amp;""="0","",INDEX(원자료_시장!$A$1:$BZ$1000,설정!$L$6+ROW()-1,설정!$L$24)),"")</f>
        <v>SHNHAN 1.556 02/09/29</v>
      </c>
      <c r="B8" s="83" t="str">
        <f aca="false">IFERROR(IF(INDEX(원자료_시장!$A$1:$BZ$1000,설정!$L$6+ROW()-1,설정!$L$37)&amp;""="0","",INDEX(원자료_시장!$A$1:$BZ$1000,설정!$L$6+ROW()-1,설정!$L$37)),"")</f>
        <v>SHINHAN BANK</v>
      </c>
      <c r="C8" s="83" t="str">
        <f aca="false">IFERROR(IF(INDEX(원자료_시장!$A$1:$BZ$1000,설정!$L$6+ROW()-1,설정!$L$25)&amp;""="0","",INDEX(원자료_시장!$A$1:$BZ$1000,설정!$L$6+ROW()-1,설정!$L$25)),"")</f>
        <v>JPY</v>
      </c>
      <c r="D8" s="85" t="n">
        <f aca="false">IFERROR(IF(ISNUMBER(INDEX(원자료_시장!$A$1:$BZ$1000,설정!$L$6+ROW()-1,설정!$L$26)),INDEX(원자료_시장!$A$1:$BZ$1000,설정!$L$6+ROW()-1,설정!$L$26),""),"")</f>
        <v>2.525</v>
      </c>
      <c r="E8" s="97" t="n">
        <f aca="false">IFERROR(IF(ISNUMBER(INDEX(원자료_시장!$A$1:$BZ$1000,설정!$L$6+ROW()-1,설정!$L$27)),INDEX(원자료_시장!$A$1:$BZ$1000,설정!$L$6+ROW()-1,설정!$L$27),""),"")</f>
        <v>56.3</v>
      </c>
      <c r="F8" s="97" t="n">
        <f aca="false">IFERROR(IF(ISNUMBER(INDEX(원자료_시장!$A$1:$BZ$1000,설정!$L$6+ROW()-1,설정!$L$28)),INDEX(원자료_시장!$A$1:$BZ$1000,설정!$L$6+ROW()-1,설정!$L$28),""),"")</f>
        <v>49.795</v>
      </c>
      <c r="G8" s="97" t="str">
        <f aca="false">IFERROR(IF(ISNUMBER(INDEX(원자료_시장!$A$1:$BZ$1000,설정!$L$6+ROW()-1,설정!$L$29)),INDEX(원자료_시장!$A$1:$BZ$1000,설정!$L$6+ROW()-1,설정!$L$29),""),"")</f>
        <v/>
      </c>
      <c r="H8" s="97" t="str">
        <f aca="false">IFERROR(IF(ISNUMBER(INDEX(원자료_시장!$A$1:$BZ$1000,설정!$L$6+ROW()-1,설정!$L$30)),INDEX(원자료_시장!$A$1:$BZ$1000,설정!$L$6+ROW()-1,설정!$L$30),""),"")</f>
        <v/>
      </c>
      <c r="I8" s="97" t="str">
        <f aca="false">IFERROR(IF(ISNUMBER(INDEX(원자료_시장!$A$1:$BZ$1000,설정!$L$6+ROW()-1,설정!$L$31)),INDEX(원자료_시장!$A$1:$BZ$1000,설정!$L$6+ROW()-1,설정!$L$31),""),"")</f>
        <v/>
      </c>
      <c r="J8" s="97" t="str">
        <f aca="false">IFERROR(IF(ISNUMBER(INDEX(원자료_시장!$A$1:$BZ$1000,설정!$L$6+ROW()-1,설정!$L$32)),INDEX(원자료_시장!$A$1:$BZ$1000,설정!$L$6+ROW()-1,설정!$L$32),""),"")</f>
        <v/>
      </c>
      <c r="K8" s="85" t="n">
        <f aca="false">IFERROR(IF(ISNUMBER(INDEX(원자료_시장!$A$1:$BZ$1000,설정!$L$6+ROW()-1,설정!$L$33)),INDEX(원자료_시장!$A$1:$BZ$1000,설정!$L$6+ROW()-1,설정!$L$33),""),"")</f>
        <v>2.23</v>
      </c>
      <c r="L8" s="83" t="str">
        <f aca="false">IFERROR(IF(INDEX(원자료_시장!$A$1:$BZ$1000,설정!$L$6+ROW()-1,설정!$L$34)&amp;""="0","",INDEX(원자료_시장!$A$1:$BZ$1000,설정!$L$6+ROW()-1,설정!$L$34)),"")</f>
        <v>금융기관</v>
      </c>
      <c r="M8" s="83" t="n">
        <f aca="false">IFERROR(IF(INDEX(원자료_시장!$A$1:$BZ$1000,설정!$L$6+ROW()-1,설정!$L$35)&amp;""="0","",INDEX(원자료_시장!$A$1:$BZ$1000,설정!$L$6+ROW()-1,설정!$L$35)),"")</f>
        <v>0</v>
      </c>
      <c r="N8" s="83" t="str">
        <f aca="false">IFERROR(IF(INDEX(원자료_시장!$A$1:$BZ$1000,설정!$L$6+ROW()-1,설정!$L$36)&amp;""="0","",INDEX(원자료_시장!$A$1:$BZ$1000,설정!$L$6+ROW()-1,설정!$L$36)),"")</f>
        <v>아시아/기타</v>
      </c>
      <c r="O8" s="43" t="str">
        <f aca="false">IF($A8="","",UPPER(LEFT($A8,FIND(" ",$A8&amp;" ")-1)))</f>
        <v>SHNHAN</v>
      </c>
      <c r="P8" s="43" t="str">
        <f aca="false">IF($A8="","",TRIM(RIGHT(SUBSTITUTE(TRIM($A8)," ",REPT(" ",30)),30)))</f>
        <v>02/09/29</v>
      </c>
      <c r="Q8" s="98" t="n">
        <f aca="false">IF($A8="","",IFERROR(DATE(IF(LEN(P8)=8,2000+VALUE(RIGHT(P8,2)),VALUE(RIGHT(P8,4))),VALUE(LEFT(P8,2)),VALUE(MID(P8,4,2))),""))</f>
        <v>47158</v>
      </c>
      <c r="R8" s="89" t="n">
        <f aca="false">IF($A8="",0,IF(ISNUMBER(SEARCH("Float",$A8)),1,0))</f>
        <v>0</v>
      </c>
      <c r="S8" s="43" t="str">
        <f aca="false">IF($A8="","",TRIM(MID($A8,LEN(O8)+2,LEN($A8)-LEN(O8)-LEN(P8)-1)))</f>
        <v>1.556</v>
      </c>
      <c r="T8" s="92" t="n">
        <f aca="false">IF(OR($A8="",R8=1),"",IFERROR(IF(ISNUMBER(FIND("/",S8)),IF(ISNUMBER(FIND(" ",S8)),VALUE(LEFT(S8,FIND(" ",S8)-1))+VALUE(MID(S8,FIND(" ",S8)+1,FIND("/",S8)-FIND(" ",S8)-1))/VALUE(MID(S8,FIND("/",S8)+1,9)),VALUE(LEFT(S8,FIND("/",S8)-1))/VALUE(MID(S8,FIND("/",S8)+1,9))),VALUE(S8)),""))</f>
        <v>1.556</v>
      </c>
      <c r="U8" s="43" t="str">
        <f aca="false">IF(OR($A8="",NOT(ISNUMBER(Q8))),"",TEXT(Q8,"yyyymmdd")&amp;"|"&amp;IF(R8=1,"F",TEXT(T8,"0.000")))</f>
        <v>20290209|1.556</v>
      </c>
      <c r="V8" s="43" t="str">
        <f aca="false">IF(U8="","",O8&amp;"|"&amp;U8)</f>
        <v>SHNHAN|20290209|1.556</v>
      </c>
      <c r="W8" s="43" t="str">
        <f aca="false">IF($A8="","",IFERROR(IF(VLOOKUP(O8,매핑!$A$4:$E$92,3,0)="","미분류",VLOOKUP(O8,매핑!$A$4:$E$92,3,0)),"미분류"))</f>
        <v>한국</v>
      </c>
      <c r="X8" s="89" t="n">
        <f aca="false">IF($A8="",0,IF(O8="T",1,0))</f>
        <v>0</v>
      </c>
      <c r="Y8" s="89" t="n">
        <f aca="false">IF($A8="",0,IF(AND(C8="USD",X8=0,ISNUMBER(E8),ISNUMBER(K8)),IF(K8&gt;=설정!$C$8,1,0),0))</f>
        <v>0</v>
      </c>
      <c r="Z8" s="43" t="str">
        <f aca="false">IF($A8="","",N8&amp;"|"&amp;L8)</f>
        <v>아시아/기타|금융기관</v>
      </c>
      <c r="AA8" s="92" t="n">
        <f aca="false">IF(Y8=1,LN(K8),0)</f>
        <v>0</v>
      </c>
      <c r="AB8" s="93" t="n">
        <f aca="false">IF(Y8=1,E8,0)</f>
        <v>0</v>
      </c>
      <c r="AC8" s="89" t="n">
        <f aca="false">IF(Y8=1,COUNTIFS($Z$2:$Z$601,Z8,$Y$2:$Y$601,1),0)</f>
        <v>0</v>
      </c>
      <c r="AD8" s="89" t="n">
        <f aca="false">IF(Y8=1,COUNTIFS($N$2:$N$601,N8,$Y$2:$Y$601,1),0)</f>
        <v>0</v>
      </c>
      <c r="AE8" s="43" t="str">
        <f aca="false">IF(Y8&lt;&gt;1,"",IF(AND(AC8&gt;=설정!$C$7,ISNUMBER(MATCH(Z8,피어커브!$A:$A,0))),Z8,IF(AND(AD8&gt;=설정!$C$7,ISNUMBER(MATCH(N8&amp;"|전체",피어커브!$A:$A,0))),N8&amp;"|전체","전체|전체")))</f>
        <v/>
      </c>
      <c r="AF8" s="93" t="str">
        <f aca="false">IF(AE8="","",INDEX(피어커브!$K:$K,MATCH(AE8,피어커브!$A:$A,0)))</f>
        <v/>
      </c>
      <c r="AG8" s="93" t="str">
        <f aca="false">IF(AE8="","",INDEX(피어커브!$J:$J,MATCH(AE8,피어커브!$A:$A,0)))</f>
        <v/>
      </c>
      <c r="AH8" s="93" t="str">
        <f aca="false">IF(AE8="","",INDEX(피어커브!$L:$L,MATCH(AE8,피어커브!$A:$A,0)))</f>
        <v/>
      </c>
      <c r="AI8" s="93" t="str">
        <f aca="false">IF(AE8="","",AF8+AG8*AA8)</f>
        <v/>
      </c>
      <c r="AJ8" s="96" t="str">
        <f aca="false">IF(AE8="","",E8-AI8)</f>
        <v/>
      </c>
      <c r="AK8" s="95" t="str">
        <f aca="false">IF(AE8="","",IF(ISNUMBER(AH8),IF(AH8&gt;0,AJ8/AH8,""),""))</f>
        <v/>
      </c>
      <c r="AL8" s="43" t="str">
        <f aca="false">IF(AK8="","-",IF(AK8&gt;=설정!$C$6,"Cheap",IF(AK8&lt;=-설정!$C$6,"Rich","Fair")))</f>
        <v>-</v>
      </c>
      <c r="AM8" s="96" t="str">
        <f aca="false">IF(AE8="","",AJ8-AVERAGEIFS($AJ$2:$AJ$601,$B$2:$B$601,B8,$Y$2:$Y$601,1))</f>
        <v/>
      </c>
      <c r="AN8" s="93" t="n">
        <f aca="false">IF(AE8="",0,IF(K8&gt;1+설정!$C$8,AG8*(AA8-LN(K8-1)),0))</f>
        <v>0</v>
      </c>
      <c r="AO8" s="99" t="n">
        <f aca="false">IF($A8="",0,SUMIFS(보유분석!$AA$2:$AA$801,보유분석!$AB$2:$AB$801,ROW(),보유분석!$AC$2:$AC$801,1))</f>
        <v>0</v>
      </c>
      <c r="AP8" s="43" t="str">
        <f aca="false">IF($A8="","",TRIM(IF(R8=1,"FRN ","")&amp;IF(IFERROR(VLOOKUP(M8,설정!$A$15:$D$47,4,0),0)&gt;=10,IF(IFERROR(VLOOKUP(M8,설정!$A$15:$D$47,4,0),0)&lt;99,"BBB0미만 ",""),"")&amp;IF(OR(M8="",M8="NR"),"등급미입력 ","")&amp;IF(C8&lt;&gt;"USD","비USD ","")))</f>
        <v>등급미입력 비USD</v>
      </c>
      <c r="AQ8" s="90" t="n">
        <f aca="false">IF(AND(Y8=1,AL8="Cheap"),IF(AND(ISERROR(SEARCH("FRN",AP8)),ISERROR(SEARCH("BBB0미만",AP8))),AK8+ROW()/1000000000,-999),-999)</f>
        <v>-999</v>
      </c>
      <c r="AR8" s="92" t="n">
        <f aca="false">IF(AND(ISNUMBER(D8),ISNUMBER(K8)),D8+AN8*MAX(K8-1,0)/100,"")</f>
        <v>2.525</v>
      </c>
      <c r="AS8" s="93" t="n">
        <f aca="false">IF(AND(ISNUMBER(E8),ISNUMBER(K8)),IF(K8&gt;0,(E8+AN8*MAX(K8-1,0))/K8,""),"")</f>
        <v>25.2466367713004</v>
      </c>
      <c r="AT8" s="90" t="n">
        <f aca="false">IFERROR(IF(AND(Y8=1,ROW()&lt;&gt;스왑분석!$C$12+1,ABS(K8-INDEX($K$2:$K$601,스왑분석!$C$12))&lt;=스왑분석!$C$5,ISERROR(SEARCH("FRN",AP8)),ISERROR(SEARCH("BBB0미만",AP8))),IF(AND(OR(스왑분석!$C$6="N",L8=INDEX($L$2:$L$601,스왑분석!$C$12)),OR(스왑분석!$C$7="N",N8=INDEX($N$2:$N$601,스왑분석!$C$12)),OR(스왑분석!$C$8="N",AO8=0),E8-INDEX($E$2:$E$601,스왑분석!$C$12)&gt;=스왑분석!$C$9),E8-INDEX($E$2:$E$601,스왑분석!$C$12)+ROW()/1000000000,-999),-999),-999)</f>
        <v>-999</v>
      </c>
      <c r="AU8" s="90" t="n">
        <f aca="false">IF(AND(Y8=1,AO8&gt;0,AL8="Rich"),-AK8+ROW()/1000000000,-999)</f>
        <v>-999</v>
      </c>
    </row>
    <row r="9" customFormat="false" ht="15" hidden="false" customHeight="false" outlineLevel="0" collapsed="false">
      <c r="A9" s="83" t="str">
        <f aca="false">IFERROR(IF(INDEX(원자료_시장!$A$1:$BZ$1000,설정!$L$6+ROW()-1,설정!$L$24)&amp;""="0","",INDEX(원자료_시장!$A$1:$BZ$1000,설정!$L$6+ROW()-1,설정!$L$24)),"")</f>
        <v>KOREAN 2 07/06/29</v>
      </c>
      <c r="B9" s="83" t="str">
        <f aca="false">IFERROR(IF(INDEX(원자료_시장!$A$1:$BZ$1000,설정!$L$6+ROW()-1,설정!$L$37)&amp;""="0","",INDEX(원자료_시장!$A$1:$BZ$1000,설정!$L$6+ROW()-1,설정!$L$37)),"")</f>
        <v>KOREAN AIR LINES CO LTD</v>
      </c>
      <c r="C9" s="83" t="str">
        <f aca="false">IFERROR(IF(INDEX(원자료_시장!$A$1:$BZ$1000,설정!$L$6+ROW()-1,설정!$L$25)&amp;""="0","",INDEX(원자료_시장!$A$1:$BZ$1000,설정!$L$6+ROW()-1,설정!$L$25)),"")</f>
        <v>JPY</v>
      </c>
      <c r="D9" s="85" t="n">
        <f aca="false">IFERROR(IF(ISNUMBER(INDEX(원자료_시장!$A$1:$BZ$1000,설정!$L$6+ROW()-1,설정!$L$26)),INDEX(원자료_시장!$A$1:$BZ$1000,설정!$L$6+ROW()-1,설정!$L$26),""),"")</f>
        <v>2.506</v>
      </c>
      <c r="E9" s="97" t="n">
        <f aca="false">IFERROR(IF(ISNUMBER(INDEX(원자료_시장!$A$1:$BZ$1000,설정!$L$6+ROW()-1,설정!$L$27)),INDEX(원자료_시장!$A$1:$BZ$1000,설정!$L$6+ROW()-1,설정!$L$27),""),"")</f>
        <v>42.4</v>
      </c>
      <c r="F9" s="97" t="n">
        <f aca="false">IFERROR(IF(ISNUMBER(INDEX(원자료_시장!$A$1:$BZ$1000,설정!$L$6+ROW()-1,설정!$L$28)),INDEX(원자료_시장!$A$1:$BZ$1000,설정!$L$6+ROW()-1,설정!$L$28),""),"")</f>
        <v>41.768</v>
      </c>
      <c r="G9" s="97" t="str">
        <f aca="false">IFERROR(IF(ISNUMBER(INDEX(원자료_시장!$A$1:$BZ$1000,설정!$L$6+ROW()-1,설정!$L$29)),INDEX(원자료_시장!$A$1:$BZ$1000,설정!$L$6+ROW()-1,설정!$L$29),""),"")</f>
        <v/>
      </c>
      <c r="H9" s="97" t="str">
        <f aca="false">IFERROR(IF(ISNUMBER(INDEX(원자료_시장!$A$1:$BZ$1000,설정!$L$6+ROW()-1,설정!$L$30)),INDEX(원자료_시장!$A$1:$BZ$1000,설정!$L$6+ROW()-1,설정!$L$30),""),"")</f>
        <v/>
      </c>
      <c r="I9" s="97" t="str">
        <f aca="false">IFERROR(IF(ISNUMBER(INDEX(원자료_시장!$A$1:$BZ$1000,설정!$L$6+ROW()-1,설정!$L$31)),INDEX(원자료_시장!$A$1:$BZ$1000,설정!$L$6+ROW()-1,설정!$L$31),""),"")</f>
        <v/>
      </c>
      <c r="J9" s="97" t="str">
        <f aca="false">IFERROR(IF(ISNUMBER(INDEX(원자료_시장!$A$1:$BZ$1000,설정!$L$6+ROW()-1,설정!$L$32)),INDEX(원자료_시장!$A$1:$BZ$1000,설정!$L$6+ROW()-1,설정!$L$32),""),"")</f>
        <v/>
      </c>
      <c r="K9" s="85" t="n">
        <f aca="false">IFERROR(IF(ISNUMBER(INDEX(원자료_시장!$A$1:$BZ$1000,설정!$L$6+ROW()-1,설정!$L$33)),INDEX(원자료_시장!$A$1:$BZ$1000,설정!$L$6+ROW()-1,설정!$L$33),""),"")</f>
        <v>2.592</v>
      </c>
      <c r="L9" s="83" t="str">
        <f aca="false">IFERROR(IF(INDEX(원자료_시장!$A$1:$BZ$1000,설정!$L$6+ROW()-1,설정!$L$34)&amp;""="0","",INDEX(원자료_시장!$A$1:$BZ$1000,설정!$L$6+ROW()-1,설정!$L$34)),"")</f>
        <v>자유 소비재</v>
      </c>
      <c r="M9" s="83" t="n">
        <f aca="false">IFERROR(IF(INDEX(원자료_시장!$A$1:$BZ$1000,설정!$L$6+ROW()-1,설정!$L$35)&amp;""="0","",INDEX(원자료_시장!$A$1:$BZ$1000,설정!$L$6+ROW()-1,설정!$L$35)),"")</f>
        <v>0</v>
      </c>
      <c r="N9" s="83" t="str">
        <f aca="false">IFERROR(IF(INDEX(원자료_시장!$A$1:$BZ$1000,설정!$L$6+ROW()-1,설정!$L$36)&amp;""="0","",INDEX(원자료_시장!$A$1:$BZ$1000,설정!$L$6+ROW()-1,설정!$L$36)),"")</f>
        <v>아시아/기타</v>
      </c>
      <c r="O9" s="43" t="str">
        <f aca="false">IF($A9="","",UPPER(LEFT($A9,FIND(" ",$A9&amp;" ")-1)))</f>
        <v>KOREAN</v>
      </c>
      <c r="P9" s="43" t="str">
        <f aca="false">IF($A9="","",TRIM(RIGHT(SUBSTITUTE(TRIM($A9)," ",REPT(" ",30)),30)))</f>
        <v>07/06/29</v>
      </c>
      <c r="Q9" s="98" t="n">
        <f aca="false">IF($A9="","",IFERROR(DATE(IF(LEN(P9)=8,2000+VALUE(RIGHT(P9,2)),VALUE(RIGHT(P9,4))),VALUE(LEFT(P9,2)),VALUE(MID(P9,4,2))),""))</f>
        <v>47305</v>
      </c>
      <c r="R9" s="89" t="n">
        <f aca="false">IF($A9="",0,IF(ISNUMBER(SEARCH("Float",$A9)),1,0))</f>
        <v>0</v>
      </c>
      <c r="S9" s="43" t="str">
        <f aca="false">IF($A9="","",TRIM(MID($A9,LEN(O9)+2,LEN($A9)-LEN(O9)-LEN(P9)-1)))</f>
        <v>2</v>
      </c>
      <c r="T9" s="92" t="n">
        <f aca="false">IF(OR($A9="",R9=1),"",IFERROR(IF(ISNUMBER(FIND("/",S9)),IF(ISNUMBER(FIND(" ",S9)),VALUE(LEFT(S9,FIND(" ",S9)-1))+VALUE(MID(S9,FIND(" ",S9)+1,FIND("/",S9)-FIND(" ",S9)-1))/VALUE(MID(S9,FIND("/",S9)+1,9)),VALUE(LEFT(S9,FIND("/",S9)-1))/VALUE(MID(S9,FIND("/",S9)+1,9))),VALUE(S9)),""))</f>
        <v>2</v>
      </c>
      <c r="U9" s="43" t="str">
        <f aca="false">IF(OR($A9="",NOT(ISNUMBER(Q9))),"",TEXT(Q9,"yyyymmdd")&amp;"|"&amp;IF(R9=1,"F",TEXT(T9,"0.000")))</f>
        <v>20290706|2.000</v>
      </c>
      <c r="V9" s="43" t="str">
        <f aca="false">IF(U9="","",O9&amp;"|"&amp;U9)</f>
        <v>KOREAN|20290706|2.000</v>
      </c>
      <c r="W9" s="43" t="str">
        <f aca="false">IF($A9="","",IFERROR(IF(VLOOKUP(O9,매핑!$A$4:$E$92,3,0)="","미분류",VLOOKUP(O9,매핑!$A$4:$E$92,3,0)),"미분류"))</f>
        <v>한국</v>
      </c>
      <c r="X9" s="89" t="n">
        <f aca="false">IF($A9="",0,IF(O9="T",1,0))</f>
        <v>0</v>
      </c>
      <c r="Y9" s="89" t="n">
        <f aca="false">IF($A9="",0,IF(AND(C9="USD",X9=0,ISNUMBER(E9),ISNUMBER(K9)),IF(K9&gt;=설정!$C$8,1,0),0))</f>
        <v>0</v>
      </c>
      <c r="Z9" s="43" t="str">
        <f aca="false">IF($A9="","",N9&amp;"|"&amp;L9)</f>
        <v>아시아/기타|자유 소비재</v>
      </c>
      <c r="AA9" s="92" t="n">
        <f aca="false">IF(Y9=1,LN(K9),0)</f>
        <v>0</v>
      </c>
      <c r="AB9" s="93" t="n">
        <f aca="false">IF(Y9=1,E9,0)</f>
        <v>0</v>
      </c>
      <c r="AC9" s="89" t="n">
        <f aca="false">IF(Y9=1,COUNTIFS($Z$2:$Z$601,Z9,$Y$2:$Y$601,1),0)</f>
        <v>0</v>
      </c>
      <c r="AD9" s="89" t="n">
        <f aca="false">IF(Y9=1,COUNTIFS($N$2:$N$601,N9,$Y$2:$Y$601,1),0)</f>
        <v>0</v>
      </c>
      <c r="AE9" s="43" t="str">
        <f aca="false">IF(Y9&lt;&gt;1,"",IF(AND(AC9&gt;=설정!$C$7,ISNUMBER(MATCH(Z9,피어커브!$A:$A,0))),Z9,IF(AND(AD9&gt;=설정!$C$7,ISNUMBER(MATCH(N9&amp;"|전체",피어커브!$A:$A,0))),N9&amp;"|전체","전체|전체")))</f>
        <v/>
      </c>
      <c r="AF9" s="93" t="str">
        <f aca="false">IF(AE9="","",INDEX(피어커브!$K:$K,MATCH(AE9,피어커브!$A:$A,0)))</f>
        <v/>
      </c>
      <c r="AG9" s="93" t="str">
        <f aca="false">IF(AE9="","",INDEX(피어커브!$J:$J,MATCH(AE9,피어커브!$A:$A,0)))</f>
        <v/>
      </c>
      <c r="AH9" s="93" t="str">
        <f aca="false">IF(AE9="","",INDEX(피어커브!$L:$L,MATCH(AE9,피어커브!$A:$A,0)))</f>
        <v/>
      </c>
      <c r="AI9" s="93" t="str">
        <f aca="false">IF(AE9="","",AF9+AG9*AA9)</f>
        <v/>
      </c>
      <c r="AJ9" s="96" t="str">
        <f aca="false">IF(AE9="","",E9-AI9)</f>
        <v/>
      </c>
      <c r="AK9" s="95" t="str">
        <f aca="false">IF(AE9="","",IF(ISNUMBER(AH9),IF(AH9&gt;0,AJ9/AH9,""),""))</f>
        <v/>
      </c>
      <c r="AL9" s="43" t="str">
        <f aca="false">IF(AK9="","-",IF(AK9&gt;=설정!$C$6,"Cheap",IF(AK9&lt;=-설정!$C$6,"Rich","Fair")))</f>
        <v>-</v>
      </c>
      <c r="AM9" s="96" t="str">
        <f aca="false">IF(AE9="","",AJ9-AVERAGEIFS($AJ$2:$AJ$601,$B$2:$B$601,B9,$Y$2:$Y$601,1))</f>
        <v/>
      </c>
      <c r="AN9" s="93" t="n">
        <f aca="false">IF(AE9="",0,IF(K9&gt;1+설정!$C$8,AG9*(AA9-LN(K9-1)),0))</f>
        <v>0</v>
      </c>
      <c r="AO9" s="99" t="n">
        <f aca="false">IF($A9="",0,SUMIFS(보유분석!$AA$2:$AA$801,보유분석!$AB$2:$AB$801,ROW(),보유분석!$AC$2:$AC$801,1))</f>
        <v>0</v>
      </c>
      <c r="AP9" s="43" t="str">
        <f aca="false">IF($A9="","",TRIM(IF(R9=1,"FRN ","")&amp;IF(IFERROR(VLOOKUP(M9,설정!$A$15:$D$47,4,0),0)&gt;=10,IF(IFERROR(VLOOKUP(M9,설정!$A$15:$D$47,4,0),0)&lt;99,"BBB0미만 ",""),"")&amp;IF(OR(M9="",M9="NR"),"등급미입력 ","")&amp;IF(C9&lt;&gt;"USD","비USD ","")))</f>
        <v>등급미입력 비USD</v>
      </c>
      <c r="AQ9" s="90" t="n">
        <f aca="false">IF(AND(Y9=1,AL9="Cheap"),IF(AND(ISERROR(SEARCH("FRN",AP9)),ISERROR(SEARCH("BBB0미만",AP9))),AK9+ROW()/1000000000,-999),-999)</f>
        <v>-999</v>
      </c>
      <c r="AR9" s="92" t="n">
        <f aca="false">IF(AND(ISNUMBER(D9),ISNUMBER(K9)),D9+AN9*MAX(K9-1,0)/100,"")</f>
        <v>2.506</v>
      </c>
      <c r="AS9" s="93" t="n">
        <f aca="false">IF(AND(ISNUMBER(E9),ISNUMBER(K9)),IF(K9&gt;0,(E9+AN9*MAX(K9-1,0))/K9,""),"")</f>
        <v>16.358024691358</v>
      </c>
      <c r="AT9" s="90" t="n">
        <f aca="false">IFERROR(IF(AND(Y9=1,ROW()&lt;&gt;스왑분석!$C$12+1,ABS(K9-INDEX($K$2:$K$601,스왑분석!$C$12))&lt;=스왑분석!$C$5,ISERROR(SEARCH("FRN",AP9)),ISERROR(SEARCH("BBB0미만",AP9))),IF(AND(OR(스왑분석!$C$6="N",L9=INDEX($L$2:$L$601,스왑분석!$C$12)),OR(스왑분석!$C$7="N",N9=INDEX($N$2:$N$601,스왑분석!$C$12)),OR(스왑분석!$C$8="N",AO9=0),E9-INDEX($E$2:$E$601,스왑분석!$C$12)&gt;=스왑분석!$C$9),E9-INDEX($E$2:$E$601,스왑분석!$C$12)+ROW()/1000000000,-999),-999),-999)</f>
        <v>-999</v>
      </c>
      <c r="AU9" s="90" t="n">
        <f aca="false">IF(AND(Y9=1,AO9&gt;0,AL9="Rich"),-AK9+ROW()/1000000000,-999)</f>
        <v>-999</v>
      </c>
    </row>
    <row r="10" customFormat="false" ht="15" hidden="false" customHeight="false" outlineLevel="0" collapsed="false">
      <c r="A10" s="83" t="str">
        <f aca="false">IFERROR(IF(INDEX(원자료_시장!$A$1:$BZ$1000,설정!$L$6+ROW()-1,설정!$L$24)&amp;""="0","",INDEX(원자료_시장!$A$1:$BZ$1000,설정!$L$6+ROW()-1,설정!$L$24)),"")</f>
        <v>HYNCRD 4.345 04/12/29</v>
      </c>
      <c r="B10" s="83" t="str">
        <f aca="false">IFERROR(IF(INDEX(원자료_시장!$A$1:$BZ$1000,설정!$L$6+ROW()-1,설정!$L$37)&amp;""="0","",INDEX(원자료_시장!$A$1:$BZ$1000,설정!$L$6+ROW()-1,설정!$L$37)),"")</f>
        <v>HYUNDAI CARD CO LTD</v>
      </c>
      <c r="C10" s="83" t="str">
        <f aca="false">IFERROR(IF(INDEX(원자료_시장!$A$1:$BZ$1000,설정!$L$6+ROW()-1,설정!$L$25)&amp;""="0","",INDEX(원자료_시장!$A$1:$BZ$1000,설정!$L$6+ROW()-1,설정!$L$25)),"")</f>
        <v>USD</v>
      </c>
      <c r="D10" s="85" t="n">
        <f aca="false">IFERROR(IF(ISNUMBER(INDEX(원자료_시장!$A$1:$BZ$1000,설정!$L$6+ROW()-1,설정!$L$26)),INDEX(원자료_시장!$A$1:$BZ$1000,설정!$L$6+ROW()-1,설정!$L$26),""),"")</f>
        <v>5.518</v>
      </c>
      <c r="E10" s="97" t="n">
        <f aca="false">IFERROR(IF(ISNUMBER(INDEX(원자료_시장!$A$1:$BZ$1000,설정!$L$6+ROW()-1,설정!$L$27)),INDEX(원자료_시장!$A$1:$BZ$1000,설정!$L$6+ROW()-1,설정!$L$27),""),"")</f>
        <v>55.531</v>
      </c>
      <c r="F10" s="97" t="n">
        <f aca="false">IFERROR(IF(ISNUMBER(INDEX(원자료_시장!$A$1:$BZ$1000,설정!$L$6+ROW()-1,설정!$L$28)),INDEX(원자료_시장!$A$1:$BZ$1000,설정!$L$6+ROW()-1,설정!$L$28),""),"")</f>
        <v>84.045</v>
      </c>
      <c r="G10" s="97" t="n">
        <f aca="false">IFERROR(IF(ISNUMBER(INDEX(원자료_시장!$A$1:$BZ$1000,설정!$L$6+ROW()-1,설정!$L$29)),INDEX(원자료_시장!$A$1:$BZ$1000,설정!$L$6+ROW()-1,설정!$L$29),""),"")</f>
        <v>-3.9</v>
      </c>
      <c r="H10" s="97" t="n">
        <f aca="false">IFERROR(IF(ISNUMBER(INDEX(원자료_시장!$A$1:$BZ$1000,설정!$L$6+ROW()-1,설정!$L$30)),INDEX(원자료_시장!$A$1:$BZ$1000,설정!$L$6+ROW()-1,설정!$L$30),""),"")</f>
        <v>-2.6</v>
      </c>
      <c r="I10" s="97" t="n">
        <f aca="false">IFERROR(IF(ISNUMBER(INDEX(원자료_시장!$A$1:$BZ$1000,설정!$L$6+ROW()-1,설정!$L$31)),INDEX(원자료_시장!$A$1:$BZ$1000,설정!$L$6+ROW()-1,설정!$L$31),""),"")</f>
        <v>-9.3</v>
      </c>
      <c r="J10" s="97" t="n">
        <f aca="false">IFERROR(IF(ISNUMBER(INDEX(원자료_시장!$A$1:$BZ$1000,설정!$L$6+ROW()-1,설정!$L$32)),INDEX(원자료_시장!$A$1:$BZ$1000,설정!$L$6+ROW()-1,설정!$L$32),""),"")</f>
        <v>-12</v>
      </c>
      <c r="K10" s="85" t="n">
        <f aca="false">IFERROR(IF(ISNUMBER(INDEX(원자료_시장!$A$1:$BZ$1000,설정!$L$6+ROW()-1,설정!$L$33)),INDEX(원자료_시장!$A$1:$BZ$1000,설정!$L$6+ROW()-1,설정!$L$33),""),"")</f>
        <v>2.392</v>
      </c>
      <c r="L10" s="83" t="str">
        <f aca="false">IFERROR(IF(INDEX(원자료_시장!$A$1:$BZ$1000,설정!$L$6+ROW()-1,설정!$L$34)&amp;""="0","",INDEX(원자료_시장!$A$1:$BZ$1000,설정!$L$6+ROW()-1,설정!$L$34)),"")</f>
        <v>금융기관</v>
      </c>
      <c r="M10" s="83" t="n">
        <f aca="false">IFERROR(IF(INDEX(원자료_시장!$A$1:$BZ$1000,설정!$L$6+ROW()-1,설정!$L$35)&amp;""="0","",INDEX(원자료_시장!$A$1:$BZ$1000,설정!$L$6+ROW()-1,설정!$L$35)),"")</f>
        <v>0</v>
      </c>
      <c r="N10" s="83" t="str">
        <f aca="false">IFERROR(IF(INDEX(원자료_시장!$A$1:$BZ$1000,설정!$L$6+ROW()-1,설정!$L$36)&amp;""="0","",INDEX(원자료_시장!$A$1:$BZ$1000,설정!$L$6+ROW()-1,설정!$L$36)),"")</f>
        <v>아시아/기타</v>
      </c>
      <c r="O10" s="43" t="str">
        <f aca="false">IF($A10="","",UPPER(LEFT($A10,FIND(" ",$A10&amp;" ")-1)))</f>
        <v>HYNCRD</v>
      </c>
      <c r="P10" s="43" t="str">
        <f aca="false">IF($A10="","",TRIM(RIGHT(SUBSTITUTE(TRIM($A10)," ",REPT(" ",30)),30)))</f>
        <v>04/12/29</v>
      </c>
      <c r="Q10" s="98" t="n">
        <f aca="false">IF($A10="","",IFERROR(DATE(IF(LEN(P10)=8,2000+VALUE(RIGHT(P10,2)),VALUE(RIGHT(P10,4))),VALUE(LEFT(P10,2)),VALUE(MID(P10,4,2))),""))</f>
        <v>47220</v>
      </c>
      <c r="R10" s="89" t="n">
        <f aca="false">IF($A10="",0,IF(ISNUMBER(SEARCH("Float",$A10)),1,0))</f>
        <v>0</v>
      </c>
      <c r="S10" s="43" t="str">
        <f aca="false">IF($A10="","",TRIM(MID($A10,LEN(O10)+2,LEN($A10)-LEN(O10)-LEN(P10)-1)))</f>
        <v>4.345</v>
      </c>
      <c r="T10" s="92" t="n">
        <f aca="false">IF(OR($A10="",R10=1),"",IFERROR(IF(ISNUMBER(FIND("/",S10)),IF(ISNUMBER(FIND(" ",S10)),VALUE(LEFT(S10,FIND(" ",S10)-1))+VALUE(MID(S10,FIND(" ",S10)+1,FIND("/",S10)-FIND(" ",S10)-1))/VALUE(MID(S10,FIND("/",S10)+1,9)),VALUE(LEFT(S10,FIND("/",S10)-1))/VALUE(MID(S10,FIND("/",S10)+1,9))),VALUE(S10)),""))</f>
        <v>4.345</v>
      </c>
      <c r="U10" s="43" t="str">
        <f aca="false">IF(OR($A10="",NOT(ISNUMBER(Q10))),"",TEXT(Q10,"yyyymmdd")&amp;"|"&amp;IF(R10=1,"F",TEXT(T10,"0.000")))</f>
        <v>20290412|4.345</v>
      </c>
      <c r="V10" s="43" t="str">
        <f aca="false">IF(U10="","",O10&amp;"|"&amp;U10)</f>
        <v>HYNCRD|20290412|4.345</v>
      </c>
      <c r="W10" s="43" t="str">
        <f aca="false">IF($A10="","",IFERROR(IF(VLOOKUP(O10,매핑!$A$4:$E$92,3,0)="","미분류",VLOOKUP(O10,매핑!$A$4:$E$92,3,0)),"미분류"))</f>
        <v>한국</v>
      </c>
      <c r="X10" s="89" t="n">
        <f aca="false">IF($A10="",0,IF(O10="T",1,0))</f>
        <v>0</v>
      </c>
      <c r="Y10" s="89" t="n">
        <f aca="false">IF($A10="",0,IF(AND(C10="USD",X10=0,ISNUMBER(E10),ISNUMBER(K10)),IF(K10&gt;=설정!$C$8,1,0),0))</f>
        <v>1</v>
      </c>
      <c r="Z10" s="43" t="str">
        <f aca="false">IF($A10="","",N10&amp;"|"&amp;L10)</f>
        <v>아시아/기타|금융기관</v>
      </c>
      <c r="AA10" s="92" t="n">
        <f aca="false">IF(Y10=1,LN(K10),0)</f>
        <v>0.872129836088385</v>
      </c>
      <c r="AB10" s="93" t="n">
        <f aca="false">IF(Y10=1,E10,0)</f>
        <v>55.531</v>
      </c>
      <c r="AC10" s="89" t="n">
        <f aca="false">IF(Y10=1,COUNTIFS($Z$2:$Z$601,Z10,$Y$2:$Y$601,1),0)</f>
        <v>42</v>
      </c>
      <c r="AD10" s="89" t="n">
        <f aca="false">IF(Y10=1,COUNTIFS($N$2:$N$601,N10,$Y$2:$Y$601,1),0)</f>
        <v>137</v>
      </c>
      <c r="AE10" s="43" t="str">
        <f aca="false">IF(Y10&lt;&gt;1,"",IF(AND(AC10&gt;=설정!$C$7,ISNUMBER(MATCH(Z10,피어커브!$A:$A,0))),Z10,IF(AND(AD10&gt;=설정!$C$7,ISNUMBER(MATCH(N10&amp;"|전체",피어커브!$A:$A,0))),N10&amp;"|전체","전체|전체")))</f>
        <v>아시아/기타|금융기관</v>
      </c>
      <c r="AF10" s="93" t="n">
        <f aca="false">IF(AE10="","",INDEX(피어커브!$K:$K,MATCH(AE10,피어커브!$A:$A,0)))</f>
        <v>50.117430292991</v>
      </c>
      <c r="AG10" s="93" t="n">
        <f aca="false">IF(AE10="","",INDEX(피어커브!$J:$J,MATCH(AE10,피어커브!$A:$A,0)))</f>
        <v>13.9183160321618</v>
      </c>
      <c r="AH10" s="93" t="n">
        <f aca="false">IF(AE10="","",INDEX(피어커브!$L:$L,MATCH(AE10,피어커브!$A:$A,0)))</f>
        <v>20.4735875466442</v>
      </c>
      <c r="AI10" s="93" t="n">
        <f aca="false">IF(AE10="","",AF10+AG10*AA10)</f>
        <v>62.2560089727467</v>
      </c>
      <c r="AJ10" s="96" t="n">
        <f aca="false">IF(AE10="","",E10-AI10)</f>
        <v>-6.72500897274665</v>
      </c>
      <c r="AK10" s="95" t="n">
        <f aca="false">IF(AE10="","",IF(ISNUMBER(AH10),IF(AH10&gt;0,AJ10/AH10,""),""))</f>
        <v>-0.328472426116104</v>
      </c>
      <c r="AL10" s="43" t="str">
        <f aca="false">IF(AK10="","-",IF(AK10&gt;=설정!$C$6,"Cheap",IF(AK10&lt;=-설정!$C$6,"Rich","Fair")))</f>
        <v>Fair</v>
      </c>
      <c r="AM10" s="96" t="n">
        <f aca="false">IF(AE10="","",AJ10-AVERAGEIFS($AJ$2:$AJ$601,$B$2:$B$601,B10,$Y$2:$Y$601,1))</f>
        <v>-3.97831734593596</v>
      </c>
      <c r="AN10" s="93" t="n">
        <f aca="false">IF(AE10="",0,IF(K10&gt;1+설정!$C$8,AG10*(AA10-LN(K10-1)),0))</f>
        <v>7.53521309609043</v>
      </c>
      <c r="AO10" s="99" t="n">
        <f aca="false">IF($A10="",0,SUMIFS(보유분석!$AA$2:$AA$801,보유분석!$AB$2:$AB$801,ROW(),보유분석!$AC$2:$AC$801,1))</f>
        <v>77.65688</v>
      </c>
      <c r="AP10" s="43" t="str">
        <f aca="false">IF($A10="","",TRIM(IF(R10=1,"FRN ","")&amp;IF(IFERROR(VLOOKUP(M10,설정!$A$15:$D$47,4,0),0)&gt;=10,IF(IFERROR(VLOOKUP(M10,설정!$A$15:$D$47,4,0),0)&lt;99,"BBB0미만 ",""),"")&amp;IF(OR(M10="",M10="NR"),"등급미입력 ","")&amp;IF(C10&lt;&gt;"USD","비USD ","")))</f>
        <v>등급미입력</v>
      </c>
      <c r="AQ10" s="90" t="n">
        <f aca="false">IF(AND(Y10=1,AL10="Cheap"),IF(AND(ISERROR(SEARCH("FRN",AP10)),ISERROR(SEARCH("BBB0미만",AP10))),AK10+ROW()/1000000000,-999),-999)</f>
        <v>-999</v>
      </c>
      <c r="AR10" s="92" t="n">
        <f aca="false">IF(AND(ISNUMBER(D10),ISNUMBER(K10)),D10+AN10*MAX(K10-1,0)/100,"")</f>
        <v>5.62289016629758</v>
      </c>
      <c r="AS10" s="93" t="n">
        <f aca="false">IF(AND(ISNUMBER(E10),ISNUMBER(K10)),IF(K10&gt;0,(E10+AN10*MAX(K10-1,0))/K10,""),"")</f>
        <v>27.6003414004005</v>
      </c>
      <c r="AT10" s="90" t="n">
        <f aca="false">IFERROR(IF(AND(Y10=1,ROW()&lt;&gt;스왑분석!$C$12+1,ABS(K10-INDEX($K$2:$K$601,스왑분석!$C$12))&lt;=스왑분석!$C$5,ISERROR(SEARCH("FRN",AP10)),ISERROR(SEARCH("BBB0미만",AP10))),IF(AND(OR(스왑분석!$C$6="N",L10=INDEX($L$2:$L$601,스왑분석!$C$12)),OR(스왑분석!$C$7="N",N10=INDEX($N$2:$N$601,스왑분석!$C$12)),OR(스왑분석!$C$8="N",AO10=0),E10-INDEX($E$2:$E$601,스왑분석!$C$12)&gt;=스왑분석!$C$9),E10-INDEX($E$2:$E$601,스왑분석!$C$12)+ROW()/1000000000,-999),-999),-999)</f>
        <v>7.03900001</v>
      </c>
      <c r="AU10" s="90" t="n">
        <f aca="false">IF(AND(Y10=1,AO10&gt;0,AL10="Rich"),-AK10+ROW()/1000000000,-999)</f>
        <v>-999</v>
      </c>
    </row>
    <row r="11" customFormat="false" ht="15" hidden="false" customHeight="false" outlineLevel="0" collapsed="false">
      <c r="A11" s="83" t="str">
        <f aca="false">IFERROR(IF(INDEX(원자료_시장!$A$1:$BZ$1000,설정!$L$6+ROW()-1,설정!$L$24)&amp;""="0","",INDEX(원자료_시장!$A$1:$BZ$1000,설정!$L$6+ROW()-1,설정!$L$24)),"")</f>
        <v>GOOGL 4.8 02/15/36</v>
      </c>
      <c r="B11" s="83" t="str">
        <f aca="false">IFERROR(IF(INDEX(원자료_시장!$A$1:$BZ$1000,설정!$L$6+ROW()-1,설정!$L$37)&amp;""="0","",INDEX(원자료_시장!$A$1:$BZ$1000,설정!$L$6+ROW()-1,설정!$L$37)),"")</f>
        <v>ALPHABET INC</v>
      </c>
      <c r="C11" s="83" t="str">
        <f aca="false">IFERROR(IF(INDEX(원자료_시장!$A$1:$BZ$1000,설정!$L$6+ROW()-1,설정!$L$25)&amp;""="0","",INDEX(원자료_시장!$A$1:$BZ$1000,설정!$L$6+ROW()-1,설정!$L$25)),"")</f>
        <v>USD</v>
      </c>
      <c r="D11" s="85" t="n">
        <f aca="false">IFERROR(IF(ISNUMBER(INDEX(원자료_시장!$A$1:$BZ$1000,설정!$L$6+ROW()-1,설정!$L$26)),INDEX(원자료_시장!$A$1:$BZ$1000,설정!$L$6+ROW()-1,설정!$L$26),""),"")</f>
        <v>5.95</v>
      </c>
      <c r="E11" s="97" t="n">
        <f aca="false">IFERROR(IF(ISNUMBER(INDEX(원자료_시장!$A$1:$BZ$1000,설정!$L$6+ROW()-1,설정!$L$27)),INDEX(원자료_시장!$A$1:$BZ$1000,설정!$L$6+ROW()-1,설정!$L$27),""),"")</f>
        <v>66.291</v>
      </c>
      <c r="F11" s="97" t="n">
        <f aca="false">IFERROR(IF(ISNUMBER(INDEX(원자료_시장!$A$1:$BZ$1000,설정!$L$6+ROW()-1,설정!$L$28)),INDEX(원자료_시장!$A$1:$BZ$1000,설정!$L$6+ROW()-1,설정!$L$28),""),"")</f>
        <v>112.441</v>
      </c>
      <c r="G11" s="97" t="n">
        <f aca="false">IFERROR(IF(ISNUMBER(INDEX(원자료_시장!$A$1:$BZ$1000,설정!$L$6+ROW()-1,설정!$L$29)),INDEX(원자료_시장!$A$1:$BZ$1000,설정!$L$6+ROW()-1,설정!$L$29),""),"")</f>
        <v>-4.1</v>
      </c>
      <c r="H11" s="97" t="n">
        <f aca="false">IFERROR(IF(ISNUMBER(INDEX(원자료_시장!$A$1:$BZ$1000,설정!$L$6+ROW()-1,설정!$L$30)),INDEX(원자료_시장!$A$1:$BZ$1000,설정!$L$6+ROW()-1,설정!$L$30),""),"")</f>
        <v>-1.9</v>
      </c>
      <c r="I11" s="97" t="n">
        <f aca="false">IFERROR(IF(ISNUMBER(INDEX(원자료_시장!$A$1:$BZ$1000,설정!$L$6+ROW()-1,설정!$L$31)),INDEX(원자료_시장!$A$1:$BZ$1000,설정!$L$6+ROW()-1,설정!$L$31),""),"")</f>
        <v>-3.8</v>
      </c>
      <c r="J11" s="97" t="n">
        <f aca="false">IFERROR(IF(ISNUMBER(INDEX(원자료_시장!$A$1:$BZ$1000,설정!$L$6+ROW()-1,설정!$L$32)),INDEX(원자료_시장!$A$1:$BZ$1000,설정!$L$6+ROW()-1,설정!$L$32),""),"")</f>
        <v>10.1</v>
      </c>
      <c r="K11" s="85" t="n">
        <f aca="false">IFERROR(IF(ISNUMBER(INDEX(원자료_시장!$A$1:$BZ$1000,설정!$L$6+ROW()-1,설정!$L$33)),INDEX(원자료_시장!$A$1:$BZ$1000,설정!$L$6+ROW()-1,설정!$L$33),""),"")</f>
        <v>7.515</v>
      </c>
      <c r="L11" s="83" t="str">
        <f aca="false">IFERROR(IF(INDEX(원자료_시장!$A$1:$BZ$1000,설정!$L$6+ROW()-1,설정!$L$34)&amp;""="0","",INDEX(원자료_시장!$A$1:$BZ$1000,설정!$L$6+ROW()-1,설정!$L$34)),"")</f>
        <v>통신</v>
      </c>
      <c r="M11" s="83" t="str">
        <f aca="false">IFERROR(IF(INDEX(원자료_시장!$A$1:$BZ$1000,설정!$L$6+ROW()-1,설정!$L$35)&amp;""="0","",INDEX(원자료_시장!$A$1:$BZ$1000,설정!$L$6+ROW()-1,설정!$L$35)),"")</f>
        <v>AA+</v>
      </c>
      <c r="N11" s="83" t="str">
        <f aca="false">IFERROR(IF(INDEX(원자료_시장!$A$1:$BZ$1000,설정!$L$6+ROW()-1,설정!$L$36)&amp;""="0","",INDEX(원자료_시장!$A$1:$BZ$1000,설정!$L$6+ROW()-1,설정!$L$36)),"")</f>
        <v>미국</v>
      </c>
      <c r="O11" s="43" t="str">
        <f aca="false">IF($A11="","",UPPER(LEFT($A11,FIND(" ",$A11&amp;" ")-1)))</f>
        <v>GOOGL</v>
      </c>
      <c r="P11" s="43" t="str">
        <f aca="false">IF($A11="","",TRIM(RIGHT(SUBSTITUTE(TRIM($A11)," ",REPT(" ",30)),30)))</f>
        <v>02/15/36</v>
      </c>
      <c r="Q11" s="98" t="n">
        <f aca="false">IF($A11="","",IFERROR(DATE(IF(LEN(P11)=8,2000+VALUE(RIGHT(P11,2)),VALUE(RIGHT(P11,4))),VALUE(LEFT(P11,2)),VALUE(MID(P11,4,2))),""))</f>
        <v>49720</v>
      </c>
      <c r="R11" s="89" t="n">
        <f aca="false">IF($A11="",0,IF(ISNUMBER(SEARCH("Float",$A11)),1,0))</f>
        <v>0</v>
      </c>
      <c r="S11" s="43" t="str">
        <f aca="false">IF($A11="","",TRIM(MID($A11,LEN(O11)+2,LEN($A11)-LEN(O11)-LEN(P11)-1)))</f>
        <v>4.8</v>
      </c>
      <c r="T11" s="92" t="n">
        <f aca="false">IF(OR($A11="",R11=1),"",IFERROR(IF(ISNUMBER(FIND("/",S11)),IF(ISNUMBER(FIND(" ",S11)),VALUE(LEFT(S11,FIND(" ",S11)-1))+VALUE(MID(S11,FIND(" ",S11)+1,FIND("/",S11)-FIND(" ",S11)-1))/VALUE(MID(S11,FIND("/",S11)+1,9)),VALUE(LEFT(S11,FIND("/",S11)-1))/VALUE(MID(S11,FIND("/",S11)+1,9))),VALUE(S11)),""))</f>
        <v>4.8</v>
      </c>
      <c r="U11" s="43" t="str">
        <f aca="false">IF(OR($A11="",NOT(ISNUMBER(Q11))),"",TEXT(Q11,"yyyymmdd")&amp;"|"&amp;IF(R11=1,"F",TEXT(T11,"0.000")))</f>
        <v>20360215|4.800</v>
      </c>
      <c r="V11" s="43" t="str">
        <f aca="false">IF(U11="","",O11&amp;"|"&amp;U11)</f>
        <v>GOOGL|20360215|4.800</v>
      </c>
      <c r="W11" s="43" t="str">
        <f aca="false">IF($A11="","",IFERROR(IF(VLOOKUP(O11,매핑!$A$4:$E$92,3,0)="","미분류",VLOOKUP(O11,매핑!$A$4:$E$92,3,0)),"미분류"))</f>
        <v>미국</v>
      </c>
      <c r="X11" s="89" t="n">
        <f aca="false">IF($A11="",0,IF(O11="T",1,0))</f>
        <v>0</v>
      </c>
      <c r="Y11" s="89" t="n">
        <f aca="false">IF($A11="",0,IF(AND(C11="USD",X11=0,ISNUMBER(E11),ISNUMBER(K11)),IF(K11&gt;=설정!$C$8,1,0),0))</f>
        <v>1</v>
      </c>
      <c r="Z11" s="43" t="str">
        <f aca="false">IF($A11="","",N11&amp;"|"&amp;L11)</f>
        <v>미국|통신</v>
      </c>
      <c r="AA11" s="92" t="n">
        <f aca="false">IF(Y11=1,LN(K11),0)</f>
        <v>2.01690102320494</v>
      </c>
      <c r="AB11" s="93" t="n">
        <f aca="false">IF(Y11=1,E11,0)</f>
        <v>66.291</v>
      </c>
      <c r="AC11" s="89" t="n">
        <f aca="false">IF(Y11=1,COUNTIFS($Z$2:$Z$601,Z11,$Y$2:$Y$601,1),0)</f>
        <v>2</v>
      </c>
      <c r="AD11" s="89" t="n">
        <f aca="false">IF(Y11=1,COUNTIFS($N$2:$N$601,N11,$Y$2:$Y$601,1),0)</f>
        <v>49</v>
      </c>
      <c r="AE11" s="43" t="str">
        <f aca="false">IF(Y11&lt;&gt;1,"",IF(AND(AC11&gt;=설정!$C$7,ISNUMBER(MATCH(Z11,피어커브!$A:$A,0))),Z11,IF(AND(AD11&gt;=설정!$C$7,ISNUMBER(MATCH(N11&amp;"|전체",피어커브!$A:$A,0))),N11&amp;"|전체","전체|전체")))</f>
        <v>미국|전체</v>
      </c>
      <c r="AF11" s="93" t="n">
        <f aca="false">IF(AE11="","",INDEX(피어커브!$K:$K,MATCH(AE11,피어커브!$A:$A,0)))</f>
        <v>38.8850847635948</v>
      </c>
      <c r="AG11" s="93" t="n">
        <f aca="false">IF(AE11="","",INDEX(피어커브!$J:$J,MATCH(AE11,피어커브!$A:$A,0)))</f>
        <v>28.847242144067</v>
      </c>
      <c r="AH11" s="93" t="n">
        <f aca="false">IF(AE11="","",INDEX(피어커브!$L:$L,MATCH(AE11,피어커브!$A:$A,0)))</f>
        <v>15.5242902098058</v>
      </c>
      <c r="AI11" s="93" t="n">
        <f aca="false">IF(AE11="","",AF11+AG11*AA11)</f>
        <v>97.0671169606041</v>
      </c>
      <c r="AJ11" s="96" t="n">
        <f aca="false">IF(AE11="","",E11-AI11)</f>
        <v>-30.7761169606041</v>
      </c>
      <c r="AK11" s="95" t="n">
        <f aca="false">IF(AE11="","",IF(ISNUMBER(AH11),IF(AH11&gt;0,AJ11/AH11,""),""))</f>
        <v>-1.98244921633613</v>
      </c>
      <c r="AL11" s="43" t="str">
        <f aca="false">IF(AK11="","-",IF(AK11&gt;=설정!$C$6,"Cheap",IF(AK11&lt;=-설정!$C$6,"Rich","Fair")))</f>
        <v>Rich</v>
      </c>
      <c r="AM11" s="96" t="n">
        <f aca="false">IF(AE11="","",AJ11-AVERAGEIFS($AJ$2:$AJ$601,$B$2:$B$601,B11,$Y$2:$Y$601,1))</f>
        <v>0</v>
      </c>
      <c r="AN11" s="93" t="n">
        <f aca="false">IF(AE11="",0,IF(K11&gt;1+설정!$C$8,AG11*(AA11-LN(K11-1)),0))</f>
        <v>4.11920768955818</v>
      </c>
      <c r="AO11" s="99" t="n">
        <f aca="false">IF($A11="",0,SUMIFS(보유분석!$AA$2:$AA$801,보유분석!$AB$2:$AB$801,ROW(),보유분석!$AC$2:$AC$801,1))</f>
        <v>0.459981</v>
      </c>
      <c r="AP11" s="43" t="str">
        <f aca="false">IF($A11="","",TRIM(IF(R11=1,"FRN ","")&amp;IF(IFERROR(VLOOKUP(M11,설정!$A$15:$D$47,4,0),0)&gt;=10,IF(IFERROR(VLOOKUP(M11,설정!$A$15:$D$47,4,0),0)&lt;99,"BBB0미만 ",""),"")&amp;IF(OR(M11="",M11="NR"),"등급미입력 ","")&amp;IF(C11&lt;&gt;"USD","비USD ","")))</f>
        <v/>
      </c>
      <c r="AQ11" s="90" t="n">
        <f aca="false">IF(AND(Y11=1,AL11="Cheap"),IF(AND(ISERROR(SEARCH("FRN",AP11)),ISERROR(SEARCH("BBB0미만",AP11))),AK11+ROW()/1000000000,-999),-999)</f>
        <v>-999</v>
      </c>
      <c r="AR11" s="92" t="n">
        <f aca="false">IF(AND(ISNUMBER(D11),ISNUMBER(K11)),D11+AN11*MAX(K11-1,0)/100,"")</f>
        <v>6.21836638097472</v>
      </c>
      <c r="AS11" s="93" t="n">
        <f aca="false">IF(AND(ISNUMBER(E11),ISNUMBER(K11)),IF(K11&gt;0,(E11+AN11*MAX(K11-1,0))/K11,""),"")</f>
        <v>12.392233945106</v>
      </c>
      <c r="AT11" s="90" t="n">
        <f aca="false">IFERROR(IF(AND(Y11=1,ROW()&lt;&gt;스왑분석!$C$12+1,ABS(K11-INDEX($K$2:$K$601,스왑분석!$C$12))&lt;=스왑분석!$C$5,ISERROR(SEARCH("FRN",AP11)),ISERROR(SEARCH("BBB0미만",AP11))),IF(AND(OR(스왑분석!$C$6="N",L11=INDEX($L$2:$L$601,스왑분석!$C$12)),OR(스왑분석!$C$7="N",N11=INDEX($N$2:$N$601,스왑분석!$C$12)),OR(스왑분석!$C$8="N",AO11=0),E11-INDEX($E$2:$E$601,스왑분석!$C$12)&gt;=스왑분석!$C$9),E11-INDEX($E$2:$E$601,스왑분석!$C$12)+ROW()/1000000000,-999),-999),-999)</f>
        <v>-999</v>
      </c>
      <c r="AU11" s="90" t="n">
        <f aca="false">IF(AND(Y11=1,AO11&gt;0,AL11="Rich"),-AK11+ROW()/1000000000,-999)</f>
        <v>1.98244922733613</v>
      </c>
    </row>
    <row r="12" customFormat="false" ht="15" hidden="false" customHeight="false" outlineLevel="0" collapsed="false">
      <c r="A12" s="83" t="str">
        <f aca="false">IFERROR(IF(INDEX(원자료_시장!$A$1:$BZ$1000,설정!$L$6+ROW()-1,설정!$L$24)&amp;""="0","",INDEX(원자료_시장!$A$1:$BZ$1000,설정!$L$6+ROW()-1,설정!$L$24)),"")</f>
        <v>SANTAN 5.439 07/15/31</v>
      </c>
      <c r="B12" s="83" t="str">
        <f aca="false">IFERROR(IF(INDEX(원자료_시장!$A$1:$BZ$1000,설정!$L$6+ROW()-1,설정!$L$37)&amp;""="0","",INDEX(원자료_시장!$A$1:$BZ$1000,설정!$L$6+ROW()-1,설정!$L$37)),"")</f>
        <v>BANCO SANTANDER SA</v>
      </c>
      <c r="C12" s="83" t="str">
        <f aca="false">IFERROR(IF(INDEX(원자료_시장!$A$1:$BZ$1000,설정!$L$6+ROW()-1,설정!$L$25)&amp;""="0","",INDEX(원자료_시장!$A$1:$BZ$1000,설정!$L$6+ROW()-1,설정!$L$25)),"")</f>
        <v>USD</v>
      </c>
      <c r="D12" s="85" t="n">
        <f aca="false">IFERROR(IF(ISNUMBER(INDEX(원자료_시장!$A$1:$BZ$1000,설정!$L$6+ROW()-1,설정!$L$26)),INDEX(원자료_시장!$A$1:$BZ$1000,설정!$L$6+ROW()-1,설정!$L$26),""),"")</f>
        <v>5.755</v>
      </c>
      <c r="E12" s="97" t="n">
        <f aca="false">IFERROR(IF(ISNUMBER(INDEX(원자료_시장!$A$1:$BZ$1000,설정!$L$6+ROW()-1,설정!$L$27)),INDEX(원자료_시장!$A$1:$BZ$1000,설정!$L$6+ROW()-1,설정!$L$27),""),"")</f>
        <v>66.853</v>
      </c>
      <c r="F12" s="97" t="n">
        <f aca="false">IFERROR(IF(ISNUMBER(INDEX(원자료_시장!$A$1:$BZ$1000,설정!$L$6+ROW()-1,설정!$L$28)),INDEX(원자료_시장!$A$1:$BZ$1000,설정!$L$6+ROW()-1,설정!$L$28),""),"")</f>
        <v>100.286</v>
      </c>
      <c r="G12" s="97" t="n">
        <f aca="false">IFERROR(IF(ISNUMBER(INDEX(원자료_시장!$A$1:$BZ$1000,설정!$L$6+ROW()-1,설정!$L$29)),INDEX(원자료_시장!$A$1:$BZ$1000,설정!$L$6+ROW()-1,설정!$L$29),""),"")</f>
        <v>-0.5</v>
      </c>
      <c r="H12" s="97" t="n">
        <f aca="false">IFERROR(IF(ISNUMBER(INDEX(원자료_시장!$A$1:$BZ$1000,설정!$L$6+ROW()-1,설정!$L$30)),INDEX(원자료_시장!$A$1:$BZ$1000,설정!$L$6+ROW()-1,설정!$L$30),""),"")</f>
        <v>6.5</v>
      </c>
      <c r="I12" s="97" t="n">
        <f aca="false">IFERROR(IF(ISNUMBER(INDEX(원자료_시장!$A$1:$BZ$1000,설정!$L$6+ROW()-1,설정!$L$31)),INDEX(원자료_시장!$A$1:$BZ$1000,설정!$L$6+ROW()-1,설정!$L$31),""),"")</f>
        <v>1.6</v>
      </c>
      <c r="J12" s="97" t="n">
        <f aca="false">IFERROR(IF(ISNUMBER(INDEX(원자료_시장!$A$1:$BZ$1000,설정!$L$6+ROW()-1,설정!$L$32)),INDEX(원자료_시장!$A$1:$BZ$1000,설정!$L$6+ROW()-1,설정!$L$32),""),"")</f>
        <v>1.8</v>
      </c>
      <c r="K12" s="85" t="n">
        <f aca="false">IFERROR(IF(ISNUMBER(INDEX(원자료_시장!$A$1:$BZ$1000,설정!$L$6+ROW()-1,설정!$L$33)),INDEX(원자료_시장!$A$1:$BZ$1000,설정!$L$6+ROW()-1,설정!$L$33),""),"")</f>
        <v>4.226</v>
      </c>
      <c r="L12" s="83" t="str">
        <f aca="false">IFERROR(IF(INDEX(원자료_시장!$A$1:$BZ$1000,설정!$L$6+ROW()-1,설정!$L$34)&amp;""="0","",INDEX(원자료_시장!$A$1:$BZ$1000,설정!$L$6+ROW()-1,설정!$L$34)),"")</f>
        <v>금융기관</v>
      </c>
      <c r="M12" s="83" t="str">
        <f aca="false">IFERROR(IF(INDEX(원자료_시장!$A$1:$BZ$1000,설정!$L$6+ROW()-1,설정!$L$35)&amp;""="0","",INDEX(원자료_시장!$A$1:$BZ$1000,설정!$L$6+ROW()-1,설정!$L$35)),"")</f>
        <v>A+</v>
      </c>
      <c r="N12" s="83" t="str">
        <f aca="false">IFERROR(IF(INDEX(원자료_시장!$A$1:$BZ$1000,설정!$L$6+ROW()-1,설정!$L$36)&amp;""="0","",INDEX(원자료_시장!$A$1:$BZ$1000,설정!$L$6+ROW()-1,설정!$L$36)),"")</f>
        <v>유럽</v>
      </c>
      <c r="O12" s="43" t="str">
        <f aca="false">IF($A12="","",UPPER(LEFT($A12,FIND(" ",$A12&amp;" ")-1)))</f>
        <v>SANTAN</v>
      </c>
      <c r="P12" s="43" t="str">
        <f aca="false">IF($A12="","",TRIM(RIGHT(SUBSTITUTE(TRIM($A12)," ",REPT(" ",30)),30)))</f>
        <v>07/15/31</v>
      </c>
      <c r="Q12" s="98" t="n">
        <f aca="false">IF($A12="","",IFERROR(DATE(IF(LEN(P12)=8,2000+VALUE(RIGHT(P12,2)),VALUE(RIGHT(P12,4))),VALUE(LEFT(P12,2)),VALUE(MID(P12,4,2))),""))</f>
        <v>48044</v>
      </c>
      <c r="R12" s="89" t="n">
        <f aca="false">IF($A12="",0,IF(ISNUMBER(SEARCH("Float",$A12)),1,0))</f>
        <v>0</v>
      </c>
      <c r="S12" s="43" t="str">
        <f aca="false">IF($A12="","",TRIM(MID($A12,LEN(O12)+2,LEN($A12)-LEN(O12)-LEN(P12)-1)))</f>
        <v>5.439</v>
      </c>
      <c r="T12" s="92" t="n">
        <f aca="false">IF(OR($A12="",R12=1),"",IFERROR(IF(ISNUMBER(FIND("/",S12)),IF(ISNUMBER(FIND(" ",S12)),VALUE(LEFT(S12,FIND(" ",S12)-1))+VALUE(MID(S12,FIND(" ",S12)+1,FIND("/",S12)-FIND(" ",S12)-1))/VALUE(MID(S12,FIND("/",S12)+1,9)),VALUE(LEFT(S12,FIND("/",S12)-1))/VALUE(MID(S12,FIND("/",S12)+1,9))),VALUE(S12)),""))</f>
        <v>5.439</v>
      </c>
      <c r="U12" s="43" t="str">
        <f aca="false">IF(OR($A12="",NOT(ISNUMBER(Q12))),"",TEXT(Q12,"yyyymmdd")&amp;"|"&amp;IF(R12=1,"F",TEXT(T12,"0.000")))</f>
        <v>20310715|5.439</v>
      </c>
      <c r="V12" s="43" t="str">
        <f aca="false">IF(U12="","",O12&amp;"|"&amp;U12)</f>
        <v>SANTAN|20310715|5.439</v>
      </c>
      <c r="W12" s="43" t="str">
        <f aca="false">IF($A12="","",IFERROR(IF(VLOOKUP(O12,매핑!$A$4:$E$92,3,0)="","미분류",VLOOKUP(O12,매핑!$A$4:$E$92,3,0)),"미분류"))</f>
        <v>스페인</v>
      </c>
      <c r="X12" s="89" t="n">
        <f aca="false">IF($A12="",0,IF(O12="T",1,0))</f>
        <v>0</v>
      </c>
      <c r="Y12" s="89" t="n">
        <f aca="false">IF($A12="",0,IF(AND(C12="USD",X12=0,ISNUMBER(E12),ISNUMBER(K12)),IF(K12&gt;=설정!$C$8,1,0),0))</f>
        <v>1</v>
      </c>
      <c r="Z12" s="43" t="str">
        <f aca="false">IF($A12="","",N12&amp;"|"&amp;L12)</f>
        <v>유럽|금융기관</v>
      </c>
      <c r="AA12" s="92" t="n">
        <f aca="false">IF(Y12=1,LN(K12),0)</f>
        <v>1.44125591919387</v>
      </c>
      <c r="AB12" s="93" t="n">
        <f aca="false">IF(Y12=1,E12,0)</f>
        <v>66.853</v>
      </c>
      <c r="AC12" s="89" t="n">
        <f aca="false">IF(Y12=1,COUNTIFS($Z$2:$Z$601,Z12,$Y$2:$Y$601,1),0)</f>
        <v>32</v>
      </c>
      <c r="AD12" s="89" t="n">
        <f aca="false">IF(Y12=1,COUNTIFS($N$2:$N$601,N12,$Y$2:$Y$601,1),0)</f>
        <v>32</v>
      </c>
      <c r="AE12" s="43" t="str">
        <f aca="false">IF(Y12&lt;&gt;1,"",IF(AND(AC12&gt;=설정!$C$7,ISNUMBER(MATCH(Z12,피어커브!$A:$A,0))),Z12,IF(AND(AD12&gt;=설정!$C$7,ISNUMBER(MATCH(N12&amp;"|전체",피어커브!$A:$A,0))),N12&amp;"|전체","전체|전체")))</f>
        <v>유럽|금융기관</v>
      </c>
      <c r="AF12" s="93" t="n">
        <f aca="false">IF(AE12="","",INDEX(피어커브!$K:$K,MATCH(AE12,피어커브!$A:$A,0)))</f>
        <v>43.3660967921697</v>
      </c>
      <c r="AG12" s="93" t="n">
        <f aca="false">IF(AE12="","",INDEX(피어커브!$J:$J,MATCH(AE12,피어커브!$A:$A,0)))</f>
        <v>30.582858826536</v>
      </c>
      <c r="AH12" s="93" t="n">
        <f aca="false">IF(AE12="","",INDEX(피어커브!$L:$L,MATCH(AE12,피어커브!$A:$A,0)))</f>
        <v>10.9882810943096</v>
      </c>
      <c r="AI12" s="93" t="n">
        <f aca="false">IF(AE12="","",AF12+AG12*AA12)</f>
        <v>87.4438231017851</v>
      </c>
      <c r="AJ12" s="96" t="n">
        <f aca="false">IF(AE12="","",E12-AI12)</f>
        <v>-20.5908231017851</v>
      </c>
      <c r="AK12" s="95" t="n">
        <f aca="false">IF(AE12="","",IF(ISNUMBER(AH12),IF(AH12&gt;0,AJ12/AH12,""),""))</f>
        <v>-1.87388936677714</v>
      </c>
      <c r="AL12" s="43" t="str">
        <f aca="false">IF(AK12="","-",IF(AK12&gt;=설정!$C$6,"Cheap",IF(AK12&lt;=-설정!$C$6,"Rich","Fair")))</f>
        <v>Rich</v>
      </c>
      <c r="AM12" s="96" t="n">
        <f aca="false">IF(AE12="","",AJ12-AVERAGEIFS($AJ$2:$AJ$601,$B$2:$B$601,B12,$Y$2:$Y$601,1))</f>
        <v>-10.8030964710742</v>
      </c>
      <c r="AN12" s="93" t="n">
        <f aca="false">IF(AE12="",0,IF(K12&gt;1+설정!$C$8,AG12*(AA12-LN(K12-1)),0))</f>
        <v>8.25776760978662</v>
      </c>
      <c r="AO12" s="99" t="n">
        <f aca="false">IF($A12="",0,SUMIFS(보유분석!$AA$2:$AA$801,보유분석!$AB$2:$AB$801,ROW(),보유분석!$AC$2:$AC$801,1))</f>
        <v>0</v>
      </c>
      <c r="AP12" s="43" t="str">
        <f aca="false">IF($A12="","",TRIM(IF(R12=1,"FRN ","")&amp;IF(IFERROR(VLOOKUP(M12,설정!$A$15:$D$47,4,0),0)&gt;=10,IF(IFERROR(VLOOKUP(M12,설정!$A$15:$D$47,4,0),0)&lt;99,"BBB0미만 ",""),"")&amp;IF(OR(M12="",M12="NR"),"등급미입력 ","")&amp;IF(C12&lt;&gt;"USD","비USD ","")))</f>
        <v/>
      </c>
      <c r="AQ12" s="90" t="n">
        <f aca="false">IF(AND(Y12=1,AL12="Cheap"),IF(AND(ISERROR(SEARCH("FRN",AP12)),ISERROR(SEARCH("BBB0미만",AP12))),AK12+ROW()/1000000000,-999),-999)</f>
        <v>-999</v>
      </c>
      <c r="AR12" s="92" t="n">
        <f aca="false">IF(AND(ISNUMBER(D12),ISNUMBER(K12)),D12+AN12*MAX(K12-1,0)/100,"")</f>
        <v>6.02139558309172</v>
      </c>
      <c r="AS12" s="93" t="n">
        <f aca="false">IF(AND(ISNUMBER(E12),ISNUMBER(K12)),IF(K12&gt;0,(E12+AN12*MAX(K12-1,0))/K12,""),"")</f>
        <v>22.1231799122507</v>
      </c>
      <c r="AT12" s="90" t="n">
        <f aca="false">IFERROR(IF(AND(Y12=1,ROW()&lt;&gt;스왑분석!$C$12+1,ABS(K12-INDEX($K$2:$K$601,스왑분석!$C$12))&lt;=스왑분석!$C$5,ISERROR(SEARCH("FRN",AP12)),ISERROR(SEARCH("BBB0미만",AP12))),IF(AND(OR(스왑분석!$C$6="N",L12=INDEX($L$2:$L$601,스왑분석!$C$12)),OR(스왑분석!$C$7="N",N12=INDEX($N$2:$N$601,스왑분석!$C$12)),OR(스왑분석!$C$8="N",AO12=0),E12-INDEX($E$2:$E$601,스왑분석!$C$12)&gt;=스왑분석!$C$9),E12-INDEX($E$2:$E$601,스왑분석!$C$12)+ROW()/1000000000,-999),-999),-999)</f>
        <v>18.361000012</v>
      </c>
      <c r="AU12" s="90" t="n">
        <f aca="false">IF(AND(Y12=1,AO12&gt;0,AL12="Rich"),-AK12+ROW()/1000000000,-999)</f>
        <v>-999</v>
      </c>
    </row>
    <row r="13" customFormat="false" ht="15" hidden="false" customHeight="false" outlineLevel="0" collapsed="false">
      <c r="A13" s="83" t="str">
        <f aca="false">IFERROR(IF(INDEX(원자료_시장!$A$1:$BZ$1000,설정!$L$6+ROW()-1,설정!$L$24)&amp;""="0","",INDEX(원자료_시장!$A$1:$BZ$1000,설정!$L$6+ROW()-1,설정!$L$24)),"")</f>
        <v>SANTAN 5.565 01/17/30</v>
      </c>
      <c r="B13" s="83" t="str">
        <f aca="false">IFERROR(IF(INDEX(원자료_시장!$A$1:$BZ$1000,설정!$L$6+ROW()-1,설정!$L$37)&amp;""="0","",INDEX(원자료_시장!$A$1:$BZ$1000,설정!$L$6+ROW()-1,설정!$L$37)),"")</f>
        <v>BANCO SANTANDER SA</v>
      </c>
      <c r="C13" s="83" t="str">
        <f aca="false">IFERROR(IF(INDEX(원자료_시장!$A$1:$BZ$1000,설정!$L$6+ROW()-1,설정!$L$25)&amp;""="0","",INDEX(원자료_시장!$A$1:$BZ$1000,설정!$L$6+ROW()-1,설정!$L$25)),"")</f>
        <v>USD</v>
      </c>
      <c r="D13" s="85" t="n">
        <f aca="false">IFERROR(IF(ISNUMBER(INDEX(원자료_시장!$A$1:$BZ$1000,설정!$L$6+ROW()-1,설정!$L$26)),INDEX(원자료_시장!$A$1:$BZ$1000,설정!$L$6+ROW()-1,설정!$L$26),""),"")</f>
        <v>5.773</v>
      </c>
      <c r="E13" s="97" t="n">
        <f aca="false">IFERROR(IF(ISNUMBER(INDEX(원자료_시장!$A$1:$BZ$1000,설정!$L$6+ROW()-1,설정!$L$27)),INDEX(원자료_시장!$A$1:$BZ$1000,설정!$L$6+ROW()-1,설정!$L$27),""),"")</f>
        <v>68.583</v>
      </c>
      <c r="F13" s="97" t="n">
        <f aca="false">IFERROR(IF(ISNUMBER(INDEX(원자료_시장!$A$1:$BZ$1000,설정!$L$6+ROW()-1,설정!$L$28)),INDEX(원자료_시장!$A$1:$BZ$1000,설정!$L$6+ROW()-1,설정!$L$28),""),"")</f>
        <v>103.37</v>
      </c>
      <c r="G13" s="97" t="n">
        <f aca="false">IFERROR(IF(ISNUMBER(INDEX(원자료_시장!$A$1:$BZ$1000,설정!$L$6+ROW()-1,설정!$L$29)),INDEX(원자료_시장!$A$1:$BZ$1000,설정!$L$6+ROW()-1,설정!$L$29),""),"")</f>
        <v>-0.3</v>
      </c>
      <c r="H13" s="97" t="n">
        <f aca="false">IFERROR(IF(ISNUMBER(INDEX(원자료_시장!$A$1:$BZ$1000,설정!$L$6+ROW()-1,설정!$L$30)),INDEX(원자료_시장!$A$1:$BZ$1000,설정!$L$6+ROW()-1,설정!$L$30),""),"")</f>
        <v>5</v>
      </c>
      <c r="I13" s="97" t="n">
        <f aca="false">IFERROR(IF(ISNUMBER(INDEX(원자료_시장!$A$1:$BZ$1000,설정!$L$6+ROW()-1,설정!$L$31)),INDEX(원자료_시장!$A$1:$BZ$1000,설정!$L$6+ROW()-1,설정!$L$31),""),"")</f>
        <v>7</v>
      </c>
      <c r="J13" s="97" t="n">
        <f aca="false">IFERROR(IF(ISNUMBER(INDEX(원자료_시장!$A$1:$BZ$1000,설정!$L$6+ROW()-1,설정!$L$32)),INDEX(원자료_시장!$A$1:$BZ$1000,설정!$L$6+ROW()-1,설정!$L$32),""),"")</f>
        <v>10.5</v>
      </c>
      <c r="K13" s="85" t="n">
        <f aca="false">IFERROR(IF(ISNUMBER(INDEX(원자료_시장!$A$1:$BZ$1000,설정!$L$6+ROW()-1,설정!$L$33)),INDEX(원자료_시장!$A$1:$BZ$1000,설정!$L$6+ROW()-1,설정!$L$33),""),"")</f>
        <v>3.019</v>
      </c>
      <c r="L13" s="83" t="str">
        <f aca="false">IFERROR(IF(INDEX(원자료_시장!$A$1:$BZ$1000,설정!$L$6+ROW()-1,설정!$L$34)&amp;""="0","",INDEX(원자료_시장!$A$1:$BZ$1000,설정!$L$6+ROW()-1,설정!$L$34)),"")</f>
        <v>금융기관</v>
      </c>
      <c r="M13" s="83" t="str">
        <f aca="false">IFERROR(IF(INDEX(원자료_시장!$A$1:$BZ$1000,설정!$L$6+ROW()-1,설정!$L$35)&amp;""="0","",INDEX(원자료_시장!$A$1:$BZ$1000,설정!$L$6+ROW()-1,설정!$L$35)),"")</f>
        <v>A-</v>
      </c>
      <c r="N13" s="83" t="str">
        <f aca="false">IFERROR(IF(INDEX(원자료_시장!$A$1:$BZ$1000,설정!$L$6+ROW()-1,설정!$L$36)&amp;""="0","",INDEX(원자료_시장!$A$1:$BZ$1000,설정!$L$6+ROW()-1,설정!$L$36)),"")</f>
        <v>유럽</v>
      </c>
      <c r="O13" s="43" t="str">
        <f aca="false">IF($A13="","",UPPER(LEFT($A13,FIND(" ",$A13&amp;" ")-1)))</f>
        <v>SANTAN</v>
      </c>
      <c r="P13" s="43" t="str">
        <f aca="false">IF($A13="","",TRIM(RIGHT(SUBSTITUTE(TRIM($A13)," ",REPT(" ",30)),30)))</f>
        <v>01/17/30</v>
      </c>
      <c r="Q13" s="98" t="n">
        <f aca="false">IF($A13="","",IFERROR(DATE(IF(LEN(P13)=8,2000+VALUE(RIGHT(P13,2)),VALUE(RIGHT(P13,4))),VALUE(LEFT(P13,2)),VALUE(MID(P13,4,2))),""))</f>
        <v>47500</v>
      </c>
      <c r="R13" s="89" t="n">
        <f aca="false">IF($A13="",0,IF(ISNUMBER(SEARCH("Float",$A13)),1,0))</f>
        <v>0</v>
      </c>
      <c r="S13" s="43" t="str">
        <f aca="false">IF($A13="","",TRIM(MID($A13,LEN(O13)+2,LEN($A13)-LEN(O13)-LEN(P13)-1)))</f>
        <v>5.565</v>
      </c>
      <c r="T13" s="92" t="n">
        <f aca="false">IF(OR($A13="",R13=1),"",IFERROR(IF(ISNUMBER(FIND("/",S13)),IF(ISNUMBER(FIND(" ",S13)),VALUE(LEFT(S13,FIND(" ",S13)-1))+VALUE(MID(S13,FIND(" ",S13)+1,FIND("/",S13)-FIND(" ",S13)-1))/VALUE(MID(S13,FIND("/",S13)+1,9)),VALUE(LEFT(S13,FIND("/",S13)-1))/VALUE(MID(S13,FIND("/",S13)+1,9))),VALUE(S13)),""))</f>
        <v>5.565</v>
      </c>
      <c r="U13" s="43" t="str">
        <f aca="false">IF(OR($A13="",NOT(ISNUMBER(Q13))),"",TEXT(Q13,"yyyymmdd")&amp;"|"&amp;IF(R13=1,"F",TEXT(T13,"0.000")))</f>
        <v>20300117|5.565</v>
      </c>
      <c r="V13" s="43" t="str">
        <f aca="false">IF(U13="","",O13&amp;"|"&amp;U13)</f>
        <v>SANTAN|20300117|5.565</v>
      </c>
      <c r="W13" s="43" t="str">
        <f aca="false">IF($A13="","",IFERROR(IF(VLOOKUP(O13,매핑!$A$4:$E$92,3,0)="","미분류",VLOOKUP(O13,매핑!$A$4:$E$92,3,0)),"미분류"))</f>
        <v>스페인</v>
      </c>
      <c r="X13" s="89" t="n">
        <f aca="false">IF($A13="",0,IF(O13="T",1,0))</f>
        <v>0</v>
      </c>
      <c r="Y13" s="89" t="n">
        <f aca="false">IF($A13="",0,IF(AND(C13="USD",X13=0,ISNUMBER(E13),ISNUMBER(K13)),IF(K13&gt;=설정!$C$8,1,0),0))</f>
        <v>1</v>
      </c>
      <c r="Z13" s="43" t="str">
        <f aca="false">IF($A13="","",N13&amp;"|"&amp;L13)</f>
        <v>유럽|금융기관</v>
      </c>
      <c r="AA13" s="92" t="n">
        <f aca="false">IF(Y13=1,LN(K13),0)</f>
        <v>1.1049256507247</v>
      </c>
      <c r="AB13" s="93" t="n">
        <f aca="false">IF(Y13=1,E13,0)</f>
        <v>68.583</v>
      </c>
      <c r="AC13" s="89" t="n">
        <f aca="false">IF(Y13=1,COUNTIFS($Z$2:$Z$601,Z13,$Y$2:$Y$601,1),0)</f>
        <v>32</v>
      </c>
      <c r="AD13" s="89" t="n">
        <f aca="false">IF(Y13=1,COUNTIFS($N$2:$N$601,N13,$Y$2:$Y$601,1),0)</f>
        <v>32</v>
      </c>
      <c r="AE13" s="43" t="str">
        <f aca="false">IF(Y13&lt;&gt;1,"",IF(AND(AC13&gt;=설정!$C$7,ISNUMBER(MATCH(Z13,피어커브!$A:$A,0))),Z13,IF(AND(AD13&gt;=설정!$C$7,ISNUMBER(MATCH(N13&amp;"|전체",피어커브!$A:$A,0))),N13&amp;"|전체","전체|전체")))</f>
        <v>유럽|금융기관</v>
      </c>
      <c r="AF13" s="93" t="n">
        <f aca="false">IF(AE13="","",INDEX(피어커브!$K:$K,MATCH(AE13,피어커브!$A:$A,0)))</f>
        <v>43.3660967921697</v>
      </c>
      <c r="AG13" s="93" t="n">
        <f aca="false">IF(AE13="","",INDEX(피어커브!$J:$J,MATCH(AE13,피어커브!$A:$A,0)))</f>
        <v>30.582858826536</v>
      </c>
      <c r="AH13" s="93" t="n">
        <f aca="false">IF(AE13="","",INDEX(피어커브!$L:$L,MATCH(AE13,피어커브!$A:$A,0)))</f>
        <v>10.9882810943096</v>
      </c>
      <c r="AI13" s="93" t="n">
        <f aca="false">IF(AE13="","",AF13+AG13*AA13)</f>
        <v>77.1578819821017</v>
      </c>
      <c r="AJ13" s="96" t="n">
        <f aca="false">IF(AE13="","",E13-AI13)</f>
        <v>-8.57488198210169</v>
      </c>
      <c r="AK13" s="95" t="n">
        <f aca="false">IF(AE13="","",IF(ISNUMBER(AH13),IF(AH13&gt;0,AJ13/AH13,""),""))</f>
        <v>-0.780366092613182</v>
      </c>
      <c r="AL13" s="43" t="str">
        <f aca="false">IF(AK13="","-",IF(AK13&gt;=설정!$C$6,"Cheap",IF(AK13&lt;=-설정!$C$6,"Rich","Fair")))</f>
        <v>Fair</v>
      </c>
      <c r="AM13" s="96" t="n">
        <f aca="false">IF(AE13="","",AJ13-AVERAGEIFS($AJ$2:$AJ$601,$B$2:$B$601,B13,$Y$2:$Y$601,1))</f>
        <v>1.21284464860917</v>
      </c>
      <c r="AN13" s="93" t="n">
        <f aca="false">IF(AE13="",0,IF(K13&gt;1+설정!$C$8,AG13*(AA13-LN(K13-1)),0))</f>
        <v>12.3041970349872</v>
      </c>
      <c r="AO13" s="99" t="n">
        <f aca="false">IF($A13="",0,SUMIFS(보유분석!$AA$2:$AA$801,보유분석!$AB$2:$AB$801,ROW(),보유분석!$AC$2:$AC$801,1))</f>
        <v>0</v>
      </c>
      <c r="AP13" s="43" t="str">
        <f aca="false">IF($A13="","",TRIM(IF(R13=1,"FRN ","")&amp;IF(IFERROR(VLOOKUP(M13,설정!$A$15:$D$47,4,0),0)&gt;=10,IF(IFERROR(VLOOKUP(M13,설정!$A$15:$D$47,4,0),0)&lt;99,"BBB0미만 ",""),"")&amp;IF(OR(M13="",M13="NR"),"등급미입력 ","")&amp;IF(C13&lt;&gt;"USD","비USD ","")))</f>
        <v/>
      </c>
      <c r="AQ13" s="90" t="n">
        <f aca="false">IF(AND(Y13=1,AL13="Cheap"),IF(AND(ISERROR(SEARCH("FRN",AP13)),ISERROR(SEARCH("BBB0미만",AP13))),AK13+ROW()/1000000000,-999),-999)</f>
        <v>-999</v>
      </c>
      <c r="AR13" s="92" t="n">
        <f aca="false">IF(AND(ISNUMBER(D13),ISNUMBER(K13)),D13+AN13*MAX(K13-1,0)/100,"")</f>
        <v>6.02142173813639</v>
      </c>
      <c r="AS13" s="93" t="n">
        <f aca="false">IF(AND(ISNUMBER(E13),ISNUMBER(K13)),IF(K13&gt;0,(E13+AN13*MAX(K13-1,0))/K13,""),"")</f>
        <v>30.9457349498639</v>
      </c>
      <c r="AT13" s="90" t="n">
        <f aca="false">IFERROR(IF(AND(Y13=1,ROW()&lt;&gt;스왑분석!$C$12+1,ABS(K13-INDEX($K$2:$K$601,스왑분석!$C$12))&lt;=스왑분석!$C$5,ISERROR(SEARCH("FRN",AP13)),ISERROR(SEARCH("BBB0미만",AP13))),IF(AND(OR(스왑분석!$C$6="N",L13=INDEX($L$2:$L$601,스왑분석!$C$12)),OR(스왑분석!$C$7="N",N13=INDEX($N$2:$N$601,스왑분석!$C$12)),OR(스왑분석!$C$8="N",AO13=0),E13-INDEX($E$2:$E$601,스왑분석!$C$12)&gt;=스왑분석!$C$9),E13-INDEX($E$2:$E$601,스왑분석!$C$12)+ROW()/1000000000,-999),-999),-999)</f>
        <v>20.091000013</v>
      </c>
      <c r="AU13" s="90" t="n">
        <f aca="false">IF(AND(Y13=1,AO13&gt;0,AL13="Rich"),-AK13+ROW()/1000000000,-999)</f>
        <v>-999</v>
      </c>
    </row>
    <row r="14" customFormat="false" ht="15" hidden="false" customHeight="false" outlineLevel="0" collapsed="false">
      <c r="A14" s="83" t="str">
        <f aca="false">IFERROR(IF(INDEX(원자료_시장!$A$1:$BZ$1000,설정!$L$6+ROW()-1,설정!$L$24)&amp;""="0","",INDEX(원자료_시장!$A$1:$BZ$1000,설정!$L$6+ROW()-1,설정!$L$24)),"")</f>
        <v>SANTAN 4.867 04/15/31</v>
      </c>
      <c r="B14" s="83" t="str">
        <f aca="false">IFERROR(IF(INDEX(원자료_시장!$A$1:$BZ$1000,설정!$L$6+ROW()-1,설정!$L$37)&amp;""="0","",INDEX(원자료_시장!$A$1:$BZ$1000,설정!$L$6+ROW()-1,설정!$L$37)),"")</f>
        <v>BANCO SANTANDER SA</v>
      </c>
      <c r="C14" s="83" t="str">
        <f aca="false">IFERROR(IF(INDEX(원자료_시장!$A$1:$BZ$1000,설정!$L$6+ROW()-1,설정!$L$25)&amp;""="0","",INDEX(원자료_시장!$A$1:$BZ$1000,설정!$L$6+ROW()-1,설정!$L$25)),"")</f>
        <v>USD</v>
      </c>
      <c r="D14" s="85" t="n">
        <f aca="false">IFERROR(IF(ISNUMBER(INDEX(원자료_시장!$A$1:$BZ$1000,설정!$L$6+ROW()-1,설정!$L$26)),INDEX(원자료_시장!$A$1:$BZ$1000,설정!$L$6+ROW()-1,설정!$L$26),""),"")</f>
        <v>5.944</v>
      </c>
      <c r="E14" s="97" t="n">
        <f aca="false">IFERROR(IF(ISNUMBER(INDEX(원자료_시장!$A$1:$BZ$1000,설정!$L$6+ROW()-1,설정!$L$27)),INDEX(원자료_시장!$A$1:$BZ$1000,설정!$L$6+ROW()-1,설정!$L$27),""),"")</f>
        <v>85.718</v>
      </c>
      <c r="F14" s="97" t="n">
        <f aca="false">IFERROR(IF(ISNUMBER(INDEX(원자료_시장!$A$1:$BZ$1000,설정!$L$6+ROW()-1,설정!$L$28)),INDEX(원자료_시장!$A$1:$BZ$1000,설정!$L$6+ROW()-1,설정!$L$28),""),"")</f>
        <v>119.373</v>
      </c>
      <c r="G14" s="97" t="n">
        <f aca="false">IFERROR(IF(ISNUMBER(INDEX(원자료_시장!$A$1:$BZ$1000,설정!$L$6+ROW()-1,설정!$L$29)),INDEX(원자료_시장!$A$1:$BZ$1000,설정!$L$6+ROW()-1,설정!$L$29),""),"")</f>
        <v>-0.8</v>
      </c>
      <c r="H14" s="97" t="n">
        <f aca="false">IFERROR(IF(ISNUMBER(INDEX(원자료_시장!$A$1:$BZ$1000,설정!$L$6+ROW()-1,설정!$L$30)),INDEX(원자료_시장!$A$1:$BZ$1000,설정!$L$6+ROW()-1,설정!$L$30),""),"")</f>
        <v>6.4</v>
      </c>
      <c r="I14" s="97" t="n">
        <f aca="false">IFERROR(IF(ISNUMBER(INDEX(원자료_시장!$A$1:$BZ$1000,설정!$L$6+ROW()-1,설정!$L$31)),INDEX(원자료_시장!$A$1:$BZ$1000,설정!$L$6+ROW()-1,설정!$L$31),""),"")</f>
        <v>5.6</v>
      </c>
      <c r="J14" s="97" t="n">
        <f aca="false">IFERROR(IF(ISNUMBER(INDEX(원자료_시장!$A$1:$BZ$1000,설정!$L$6+ROW()-1,설정!$L$32)),INDEX(원자료_시장!$A$1:$BZ$1000,설정!$L$6+ROW()-1,설정!$L$32),""),"")</f>
        <v>6.9</v>
      </c>
      <c r="K14" s="85" t="n">
        <f aca="false">IFERROR(IF(ISNUMBER(INDEX(원자료_시장!$A$1:$BZ$1000,설정!$L$6+ROW()-1,설정!$L$33)),INDEX(원자료_시장!$A$1:$BZ$1000,설정!$L$6+ROW()-1,설정!$L$33),""),"")</f>
        <v>4.02</v>
      </c>
      <c r="L14" s="83" t="str">
        <f aca="false">IFERROR(IF(INDEX(원자료_시장!$A$1:$BZ$1000,설정!$L$6+ROW()-1,설정!$L$34)&amp;""="0","",INDEX(원자료_시장!$A$1:$BZ$1000,설정!$L$6+ROW()-1,설정!$L$34)),"")</f>
        <v>금융기관</v>
      </c>
      <c r="M14" s="83" t="str">
        <f aca="false">IFERROR(IF(INDEX(원자료_시장!$A$1:$BZ$1000,설정!$L$6+ROW()-1,설정!$L$35)&amp;""="0","",INDEX(원자료_시장!$A$1:$BZ$1000,설정!$L$6+ROW()-1,설정!$L$35)),"")</f>
        <v>A-</v>
      </c>
      <c r="N14" s="83" t="str">
        <f aca="false">IFERROR(IF(INDEX(원자료_시장!$A$1:$BZ$1000,설정!$L$6+ROW()-1,설정!$L$36)&amp;""="0","",INDEX(원자료_시장!$A$1:$BZ$1000,설정!$L$6+ROW()-1,설정!$L$36)),"")</f>
        <v>유럽</v>
      </c>
      <c r="O14" s="43" t="str">
        <f aca="false">IF($A14="","",UPPER(LEFT($A14,FIND(" ",$A14&amp;" ")-1)))</f>
        <v>SANTAN</v>
      </c>
      <c r="P14" s="43" t="str">
        <f aca="false">IF($A14="","",TRIM(RIGHT(SUBSTITUTE(TRIM($A14)," ",REPT(" ",30)),30)))</f>
        <v>04/15/31</v>
      </c>
      <c r="Q14" s="98" t="n">
        <f aca="false">IF($A14="","",IFERROR(DATE(IF(LEN(P14)=8,2000+VALUE(RIGHT(P14,2)),VALUE(RIGHT(P14,4))),VALUE(LEFT(P14,2)),VALUE(MID(P14,4,2))),""))</f>
        <v>47953</v>
      </c>
      <c r="R14" s="89" t="n">
        <f aca="false">IF($A14="",0,IF(ISNUMBER(SEARCH("Float",$A14)),1,0))</f>
        <v>0</v>
      </c>
      <c r="S14" s="43" t="str">
        <f aca="false">IF($A14="","",TRIM(MID($A14,LEN(O14)+2,LEN($A14)-LEN(O14)-LEN(P14)-1)))</f>
        <v>4.867</v>
      </c>
      <c r="T14" s="92" t="n">
        <f aca="false">IF(OR($A14="",R14=1),"",IFERROR(IF(ISNUMBER(FIND("/",S14)),IF(ISNUMBER(FIND(" ",S14)),VALUE(LEFT(S14,FIND(" ",S14)-1))+VALUE(MID(S14,FIND(" ",S14)+1,FIND("/",S14)-FIND(" ",S14)-1))/VALUE(MID(S14,FIND("/",S14)+1,9)),VALUE(LEFT(S14,FIND("/",S14)-1))/VALUE(MID(S14,FIND("/",S14)+1,9))),VALUE(S14)),""))</f>
        <v>4.867</v>
      </c>
      <c r="U14" s="43" t="str">
        <f aca="false">IF(OR($A14="",NOT(ISNUMBER(Q14))),"",TEXT(Q14,"yyyymmdd")&amp;"|"&amp;IF(R14=1,"F",TEXT(T14,"0.000")))</f>
        <v>20310415|4.867</v>
      </c>
      <c r="V14" s="43" t="str">
        <f aca="false">IF(U14="","",O14&amp;"|"&amp;U14)</f>
        <v>SANTAN|20310415|4.867</v>
      </c>
      <c r="W14" s="43" t="str">
        <f aca="false">IF($A14="","",IFERROR(IF(VLOOKUP(O14,매핑!$A$4:$E$92,3,0)="","미분류",VLOOKUP(O14,매핑!$A$4:$E$92,3,0)),"미분류"))</f>
        <v>스페인</v>
      </c>
      <c r="X14" s="89" t="n">
        <f aca="false">IF($A14="",0,IF(O14="T",1,0))</f>
        <v>0</v>
      </c>
      <c r="Y14" s="89" t="n">
        <f aca="false">IF($A14="",0,IF(AND(C14="USD",X14=0,ISNUMBER(E14),ISNUMBER(K14)),IF(K14&gt;=설정!$C$8,1,0),0))</f>
        <v>1</v>
      </c>
      <c r="Z14" s="43" t="str">
        <f aca="false">IF($A14="","",N14&amp;"|"&amp;L14)</f>
        <v>유럽|금융기관</v>
      </c>
      <c r="AA14" s="92" t="n">
        <f aca="false">IF(Y14=1,LN(K14),0)</f>
        <v>1.39128190263093</v>
      </c>
      <c r="AB14" s="93" t="n">
        <f aca="false">IF(Y14=1,E14,0)</f>
        <v>85.718</v>
      </c>
      <c r="AC14" s="89" t="n">
        <f aca="false">IF(Y14=1,COUNTIFS($Z$2:$Z$601,Z14,$Y$2:$Y$601,1),0)</f>
        <v>32</v>
      </c>
      <c r="AD14" s="89" t="n">
        <f aca="false">IF(Y14=1,COUNTIFS($N$2:$N$601,N14,$Y$2:$Y$601,1),0)</f>
        <v>32</v>
      </c>
      <c r="AE14" s="43" t="str">
        <f aca="false">IF(Y14&lt;&gt;1,"",IF(AND(AC14&gt;=설정!$C$7,ISNUMBER(MATCH(Z14,피어커브!$A:$A,0))),Z14,IF(AND(AD14&gt;=설정!$C$7,ISNUMBER(MATCH(N14&amp;"|전체",피어커브!$A:$A,0))),N14&amp;"|전체","전체|전체")))</f>
        <v>유럽|금융기관</v>
      </c>
      <c r="AF14" s="93" t="n">
        <f aca="false">IF(AE14="","",INDEX(피어커브!$K:$K,MATCH(AE14,피어커브!$A:$A,0)))</f>
        <v>43.3660967921697</v>
      </c>
      <c r="AG14" s="93" t="n">
        <f aca="false">IF(AE14="","",INDEX(피어커브!$J:$J,MATCH(AE14,피어커브!$A:$A,0)))</f>
        <v>30.582858826536</v>
      </c>
      <c r="AH14" s="93" t="n">
        <f aca="false">IF(AE14="","",INDEX(피어커브!$L:$L,MATCH(AE14,피어커브!$A:$A,0)))</f>
        <v>10.9882810943096</v>
      </c>
      <c r="AI14" s="93" t="n">
        <f aca="false">IF(AE14="","",AF14+AG14*AA14)</f>
        <v>85.9154748082458</v>
      </c>
      <c r="AJ14" s="96" t="n">
        <f aca="false">IF(AE14="","",E14-AI14)</f>
        <v>-0.197474808245815</v>
      </c>
      <c r="AK14" s="95" t="n">
        <f aca="false">IF(AE14="","",IF(ISNUMBER(AH14),IF(AH14&gt;0,AJ14/AH14,""),""))</f>
        <v>-0.017971401218347</v>
      </c>
      <c r="AL14" s="43" t="str">
        <f aca="false">IF(AK14="","-",IF(AK14&gt;=설정!$C$6,"Cheap",IF(AK14&lt;=-설정!$C$6,"Rich","Fair")))</f>
        <v>Fair</v>
      </c>
      <c r="AM14" s="96" t="n">
        <f aca="false">IF(AE14="","",AJ14-AVERAGEIFS($AJ$2:$AJ$601,$B$2:$B$601,B14,$Y$2:$Y$601,1))</f>
        <v>9.59025182246504</v>
      </c>
      <c r="AN14" s="93" t="n">
        <f aca="false">IF(AE14="",0,IF(K14&gt;1+설정!$C$8,AG14*(AA14-LN(K14-1)),0))</f>
        <v>8.74746437470979</v>
      </c>
      <c r="AO14" s="99" t="n">
        <f aca="false">IF($A14="",0,SUMIFS(보유분석!$AA$2:$AA$801,보유분석!$AB$2:$AB$801,ROW(),보유분석!$AC$2:$AC$801,1))</f>
        <v>9.58941</v>
      </c>
      <c r="AP14" s="43" t="str">
        <f aca="false">IF($A14="","",TRIM(IF(R14=1,"FRN ","")&amp;IF(IFERROR(VLOOKUP(M14,설정!$A$15:$D$47,4,0),0)&gt;=10,IF(IFERROR(VLOOKUP(M14,설정!$A$15:$D$47,4,0),0)&lt;99,"BBB0미만 ",""),"")&amp;IF(OR(M14="",M14="NR"),"등급미입력 ","")&amp;IF(C14&lt;&gt;"USD","비USD ","")))</f>
        <v/>
      </c>
      <c r="AQ14" s="90" t="n">
        <f aca="false">IF(AND(Y14=1,AL14="Cheap"),IF(AND(ISERROR(SEARCH("FRN",AP14)),ISERROR(SEARCH("BBB0미만",AP14))),AK14+ROW()/1000000000,-999),-999)</f>
        <v>-999</v>
      </c>
      <c r="AR14" s="92" t="n">
        <f aca="false">IF(AND(ISNUMBER(D14),ISNUMBER(K14)),D14+AN14*MAX(K14-1,0)/100,"")</f>
        <v>6.20817342411624</v>
      </c>
      <c r="AS14" s="93" t="n">
        <f aca="false">IF(AND(ISNUMBER(E14),ISNUMBER(K14)),IF(K14&gt;0,(E14+AN14*MAX(K14-1,0))/K14,""),"")</f>
        <v>27.894363783986</v>
      </c>
      <c r="AT14" s="90" t="n">
        <f aca="false">IFERROR(IF(AND(Y14=1,ROW()&lt;&gt;스왑분석!$C$12+1,ABS(K14-INDEX($K$2:$K$601,스왑분석!$C$12))&lt;=스왑분석!$C$5,ISERROR(SEARCH("FRN",AP14)),ISERROR(SEARCH("BBB0미만",AP14))),IF(AND(OR(스왑분석!$C$6="N",L14=INDEX($L$2:$L$601,스왑분석!$C$12)),OR(스왑분석!$C$7="N",N14=INDEX($N$2:$N$601,스왑분석!$C$12)),OR(스왑분석!$C$8="N",AO14=0),E14-INDEX($E$2:$E$601,스왑분석!$C$12)&gt;=스왑분석!$C$9),E14-INDEX($E$2:$E$601,스왑분석!$C$12)+ROW()/1000000000,-999),-999),-999)</f>
        <v>37.226000014</v>
      </c>
      <c r="AU14" s="90" t="n">
        <f aca="false">IF(AND(Y14=1,AO14&gt;0,AL14="Rich"),-AK14+ROW()/1000000000,-999)</f>
        <v>-999</v>
      </c>
    </row>
    <row r="15" customFormat="false" ht="15" hidden="false" customHeight="false" outlineLevel="0" collapsed="false">
      <c r="A15" s="83" t="str">
        <f aca="false">IFERROR(IF(INDEX(원자료_시장!$A$1:$BZ$1000,설정!$L$6+ROW()-1,설정!$L$24)&amp;""="0","",INDEX(원자료_시장!$A$1:$BZ$1000,설정!$L$6+ROW()-1,설정!$L$24)),"")</f>
        <v>BAC 2.496 02/13/31</v>
      </c>
      <c r="B15" s="83" t="str">
        <f aca="false">IFERROR(IF(INDEX(원자료_시장!$A$1:$BZ$1000,설정!$L$6+ROW()-1,설정!$L$37)&amp;""="0","",INDEX(원자료_시장!$A$1:$BZ$1000,설정!$L$6+ROW()-1,설정!$L$37)),"")</f>
        <v>BANK OF AMERICA CORP</v>
      </c>
      <c r="C15" s="83" t="str">
        <f aca="false">IFERROR(IF(INDEX(원자료_시장!$A$1:$BZ$1000,설정!$L$6+ROW()-1,설정!$L$25)&amp;""="0","",INDEX(원자료_시장!$A$1:$BZ$1000,설정!$L$6+ROW()-1,설정!$L$25)),"")</f>
        <v>USD</v>
      </c>
      <c r="D15" s="85" t="n">
        <f aca="false">IFERROR(IF(ISNUMBER(INDEX(원자료_시장!$A$1:$BZ$1000,설정!$L$6+ROW()-1,설정!$L$26)),INDEX(원자료_시장!$A$1:$BZ$1000,설정!$L$6+ROW()-1,설정!$L$26),""),"")</f>
        <v>5.679</v>
      </c>
      <c r="E15" s="97" t="n">
        <f aca="false">IFERROR(IF(ISNUMBER(INDEX(원자료_시장!$A$1:$BZ$1000,설정!$L$6+ROW()-1,설정!$L$27)),INDEX(원자료_시장!$A$1:$BZ$1000,설정!$L$6+ROW()-1,설정!$L$27),""),"")</f>
        <v>67.549</v>
      </c>
      <c r="F15" s="97" t="n">
        <f aca="false">IFERROR(IF(ISNUMBER(INDEX(원자료_시장!$A$1:$BZ$1000,설정!$L$6+ROW()-1,설정!$L$28)),INDEX(원자료_시장!$A$1:$BZ$1000,설정!$L$6+ROW()-1,설정!$L$28),""),"")</f>
        <v>102.267</v>
      </c>
      <c r="G15" s="97" t="n">
        <f aca="false">IFERROR(IF(ISNUMBER(INDEX(원자료_시장!$A$1:$BZ$1000,설정!$L$6+ROW()-1,설정!$L$29)),INDEX(원자료_시장!$A$1:$BZ$1000,설정!$L$6+ROW()-1,설정!$L$29),""),"")</f>
        <v>-1.9</v>
      </c>
      <c r="H15" s="97" t="n">
        <f aca="false">IFERROR(IF(ISNUMBER(INDEX(원자료_시장!$A$1:$BZ$1000,설정!$L$6+ROW()-1,설정!$L$30)),INDEX(원자료_시장!$A$1:$BZ$1000,설정!$L$6+ROW()-1,설정!$L$30),""),"")</f>
        <v>6</v>
      </c>
      <c r="I15" s="97" t="n">
        <f aca="false">IFERROR(IF(ISNUMBER(INDEX(원자료_시장!$A$1:$BZ$1000,설정!$L$6+ROW()-1,설정!$L$31)),INDEX(원자료_시장!$A$1:$BZ$1000,설정!$L$6+ROW()-1,설정!$L$31),""),"")</f>
        <v>2.6</v>
      </c>
      <c r="J15" s="97" t="n">
        <f aca="false">IFERROR(IF(ISNUMBER(INDEX(원자료_시장!$A$1:$BZ$1000,설정!$L$6+ROW()-1,설정!$L$32)),INDEX(원자료_시장!$A$1:$BZ$1000,설정!$L$6+ROW()-1,설정!$L$32),""),"")</f>
        <v>-4.2</v>
      </c>
      <c r="K15" s="85" t="n">
        <f aca="false">IFERROR(IF(ISNUMBER(INDEX(원자료_시장!$A$1:$BZ$1000,설정!$L$6+ROW()-1,설정!$L$33)),INDEX(원자료_시장!$A$1:$BZ$1000,설정!$L$6+ROW()-1,설정!$L$33),""),"")</f>
        <v>3.228</v>
      </c>
      <c r="L15" s="83" t="str">
        <f aca="false">IFERROR(IF(INDEX(원자료_시장!$A$1:$BZ$1000,설정!$L$6+ROW()-1,설정!$L$34)&amp;""="0","",INDEX(원자료_시장!$A$1:$BZ$1000,설정!$L$6+ROW()-1,설정!$L$34)),"")</f>
        <v>금융기관</v>
      </c>
      <c r="M15" s="83" t="str">
        <f aca="false">IFERROR(IF(INDEX(원자료_시장!$A$1:$BZ$1000,설정!$L$6+ROW()-1,설정!$L$35)&amp;""="0","",INDEX(원자료_시장!$A$1:$BZ$1000,설정!$L$6+ROW()-1,설정!$L$35)),"")</f>
        <v>A-</v>
      </c>
      <c r="N15" s="83" t="str">
        <f aca="false">IFERROR(IF(INDEX(원자료_시장!$A$1:$BZ$1000,설정!$L$6+ROW()-1,설정!$L$36)&amp;""="0","",INDEX(원자료_시장!$A$1:$BZ$1000,설정!$L$6+ROW()-1,설정!$L$36)),"")</f>
        <v>미국</v>
      </c>
      <c r="O15" s="43" t="str">
        <f aca="false">IF($A15="","",UPPER(LEFT($A15,FIND(" ",$A15&amp;" ")-1)))</f>
        <v>BAC</v>
      </c>
      <c r="P15" s="43" t="str">
        <f aca="false">IF($A15="","",TRIM(RIGHT(SUBSTITUTE(TRIM($A15)," ",REPT(" ",30)),30)))</f>
        <v>02/13/31</v>
      </c>
      <c r="Q15" s="98" t="n">
        <f aca="false">IF($A15="","",IFERROR(DATE(IF(LEN(P15)=8,2000+VALUE(RIGHT(P15,2)),VALUE(RIGHT(P15,4))),VALUE(LEFT(P15,2)),VALUE(MID(P15,4,2))),""))</f>
        <v>47892</v>
      </c>
      <c r="R15" s="89" t="n">
        <f aca="false">IF($A15="",0,IF(ISNUMBER(SEARCH("Float",$A15)),1,0))</f>
        <v>0</v>
      </c>
      <c r="S15" s="43" t="str">
        <f aca="false">IF($A15="","",TRIM(MID($A15,LEN(O15)+2,LEN($A15)-LEN(O15)-LEN(P15)-1)))</f>
        <v>2.496</v>
      </c>
      <c r="T15" s="92" t="n">
        <f aca="false">IF(OR($A15="",R15=1),"",IFERROR(IF(ISNUMBER(FIND("/",S15)),IF(ISNUMBER(FIND(" ",S15)),VALUE(LEFT(S15,FIND(" ",S15)-1))+VALUE(MID(S15,FIND(" ",S15)+1,FIND("/",S15)-FIND(" ",S15)-1))/VALUE(MID(S15,FIND("/",S15)+1,9)),VALUE(LEFT(S15,FIND("/",S15)-1))/VALUE(MID(S15,FIND("/",S15)+1,9))),VALUE(S15)),""))</f>
        <v>2.496</v>
      </c>
      <c r="U15" s="43" t="str">
        <f aca="false">IF(OR($A15="",NOT(ISNUMBER(Q15))),"",TEXT(Q15,"yyyymmdd")&amp;"|"&amp;IF(R15=1,"F",TEXT(T15,"0.000")))</f>
        <v>20310213|2.496</v>
      </c>
      <c r="V15" s="43" t="str">
        <f aca="false">IF(U15="","",O15&amp;"|"&amp;U15)</f>
        <v>BAC|20310213|2.496</v>
      </c>
      <c r="W15" s="43" t="str">
        <f aca="false">IF($A15="","",IFERROR(IF(VLOOKUP(O15,매핑!$A$4:$E$92,3,0)="","미분류",VLOOKUP(O15,매핑!$A$4:$E$92,3,0)),"미분류"))</f>
        <v>미국</v>
      </c>
      <c r="X15" s="89" t="n">
        <f aca="false">IF($A15="",0,IF(O15="T",1,0))</f>
        <v>0</v>
      </c>
      <c r="Y15" s="89" t="n">
        <f aca="false">IF($A15="",0,IF(AND(C15="USD",X15=0,ISNUMBER(E15),ISNUMBER(K15)),IF(K15&gt;=설정!$C$8,1,0),0))</f>
        <v>1</v>
      </c>
      <c r="Z15" s="43" t="str">
        <f aca="false">IF($A15="","",N15&amp;"|"&amp;L15)</f>
        <v>미국|금융기관</v>
      </c>
      <c r="AA15" s="92" t="n">
        <f aca="false">IF(Y15=1,LN(K15),0)</f>
        <v>1.1718627504077</v>
      </c>
      <c r="AB15" s="93" t="n">
        <f aca="false">IF(Y15=1,E15,0)</f>
        <v>67.549</v>
      </c>
      <c r="AC15" s="89" t="n">
        <f aca="false">IF(Y15=1,COUNTIFS($Z$2:$Z$601,Z15,$Y$2:$Y$601,1),0)</f>
        <v>28</v>
      </c>
      <c r="AD15" s="89" t="n">
        <f aca="false">IF(Y15=1,COUNTIFS($N$2:$N$601,N15,$Y$2:$Y$601,1),0)</f>
        <v>49</v>
      </c>
      <c r="AE15" s="43" t="str">
        <f aca="false">IF(Y15&lt;&gt;1,"",IF(AND(AC15&gt;=설정!$C$7,ISNUMBER(MATCH(Z15,피어커브!$A:$A,0))),Z15,IF(AND(AD15&gt;=설정!$C$7,ISNUMBER(MATCH(N15&amp;"|전체",피어커브!$A:$A,0))),N15&amp;"|전체","전체|전체")))</f>
        <v>미국|금융기관</v>
      </c>
      <c r="AF15" s="93" t="n">
        <f aca="false">IF(AE15="","",INDEX(피어커브!$K:$K,MATCH(AE15,피어커브!$A:$A,0)))</f>
        <v>47.5387798885896</v>
      </c>
      <c r="AG15" s="93" t="n">
        <f aca="false">IF(AE15="","",INDEX(피어커브!$J:$J,MATCH(AE15,피어커브!$A:$A,0)))</f>
        <v>20.73676364145</v>
      </c>
      <c r="AH15" s="93" t="n">
        <f aca="false">IF(AE15="","",INDEX(피어커브!$L:$L,MATCH(AE15,피어커브!$A:$A,0)))</f>
        <v>13.6771810277023</v>
      </c>
      <c r="AI15" s="93" t="n">
        <f aca="false">IF(AE15="","",AF15+AG15*AA15)</f>
        <v>71.8394207640137</v>
      </c>
      <c r="AJ15" s="96" t="n">
        <f aca="false">IF(AE15="","",E15-AI15)</f>
        <v>-4.29042076401368</v>
      </c>
      <c r="AK15" s="95" t="n">
        <f aca="false">IF(AE15="","",IF(ISNUMBER(AH15),IF(AH15&gt;0,AJ15/AH15,""),""))</f>
        <v>-0.313691889821718</v>
      </c>
      <c r="AL15" s="43" t="str">
        <f aca="false">IF(AK15="","-",IF(AK15&gt;=설정!$C$6,"Cheap",IF(AK15&lt;=-설정!$C$6,"Rich","Fair")))</f>
        <v>Fair</v>
      </c>
      <c r="AM15" s="96" t="n">
        <f aca="false">IF(AE15="","",AJ15-AVERAGEIFS($AJ$2:$AJ$601,$B$2:$B$601,B15,$Y$2:$Y$601,1))</f>
        <v>-2.13799265706874</v>
      </c>
      <c r="AN15" s="93" t="n">
        <f aca="false">IF(AE15="",0,IF(K15&gt;1+설정!$C$8,AG15*(AA15-LN(K15-1)),0))</f>
        <v>7.68832989661733</v>
      </c>
      <c r="AO15" s="99" t="n">
        <f aca="false">IF($A15="",0,SUMIFS(보유분석!$AA$2:$AA$801,보유분석!$AB$2:$AB$801,ROW(),보유분석!$AC$2:$AC$801,1))</f>
        <v>0</v>
      </c>
      <c r="AP15" s="43" t="str">
        <f aca="false">IF($A15="","",TRIM(IF(R15=1,"FRN ","")&amp;IF(IFERROR(VLOOKUP(M15,설정!$A$15:$D$47,4,0),0)&gt;=10,IF(IFERROR(VLOOKUP(M15,설정!$A$15:$D$47,4,0),0)&lt;99,"BBB0미만 ",""),"")&amp;IF(OR(M15="",M15="NR"),"등급미입력 ","")&amp;IF(C15&lt;&gt;"USD","비USD ","")))</f>
        <v/>
      </c>
      <c r="AQ15" s="90" t="n">
        <f aca="false">IF(AND(Y15=1,AL15="Cheap"),IF(AND(ISERROR(SEARCH("FRN",AP15)),ISERROR(SEARCH("BBB0미만",AP15))),AK15+ROW()/1000000000,-999),-999)</f>
        <v>-999</v>
      </c>
      <c r="AR15" s="92" t="n">
        <f aca="false">IF(AND(ISNUMBER(D15),ISNUMBER(K15)),D15+AN15*MAX(K15-1,0)/100,"")</f>
        <v>5.85029599009663</v>
      </c>
      <c r="AS15" s="93" t="n">
        <f aca="false">IF(AND(ISNUMBER(E15),ISNUMBER(K15)),IF(K15&gt;0,(E15+AN15*MAX(K15-1,0))/K15,""),"")</f>
        <v>26.2325275742452</v>
      </c>
      <c r="AT15" s="90" t="n">
        <f aca="false">IFERROR(IF(AND(Y15=1,ROW()&lt;&gt;스왑분석!$C$12+1,ABS(K15-INDEX($K$2:$K$601,스왑분석!$C$12))&lt;=스왑분석!$C$5,ISERROR(SEARCH("FRN",AP15)),ISERROR(SEARCH("BBB0미만",AP15))),IF(AND(OR(스왑분석!$C$6="N",L15=INDEX($L$2:$L$601,스왑분석!$C$12)),OR(스왑분석!$C$7="N",N15=INDEX($N$2:$N$601,스왑분석!$C$12)),OR(스왑분석!$C$8="N",AO15=0),E15-INDEX($E$2:$E$601,스왑분석!$C$12)&gt;=스왑분석!$C$9),E15-INDEX($E$2:$E$601,스왑분석!$C$12)+ROW()/1000000000,-999),-999),-999)</f>
        <v>19.057000015</v>
      </c>
      <c r="AU15" s="90" t="n">
        <f aca="false">IF(AND(Y15=1,AO15&gt;0,AL15="Rich"),-AK15+ROW()/1000000000,-999)</f>
        <v>-999</v>
      </c>
    </row>
    <row r="16" customFormat="false" ht="15" hidden="false" customHeight="false" outlineLevel="0" collapsed="false">
      <c r="A16" s="83" t="str">
        <f aca="false">IFERROR(IF(INDEX(원자료_시장!$A$1:$BZ$1000,설정!$L$6+ROW()-1,설정!$L$24)&amp;""="0","",INDEX(원자료_시장!$A$1:$BZ$1000,설정!$L$6+ROW()-1,설정!$L$24)),"")</f>
        <v>BAC 5.464 05/09/36</v>
      </c>
      <c r="B16" s="83" t="str">
        <f aca="false">IFERROR(IF(INDEX(원자료_시장!$A$1:$BZ$1000,설정!$L$6+ROW()-1,설정!$L$37)&amp;""="0","",INDEX(원자료_시장!$A$1:$BZ$1000,설정!$L$6+ROW()-1,설정!$L$37)),"")</f>
        <v>BANK OF AMERICA CORP</v>
      </c>
      <c r="C16" s="83" t="str">
        <f aca="false">IFERROR(IF(INDEX(원자료_시장!$A$1:$BZ$1000,설정!$L$6+ROW()-1,설정!$L$25)&amp;""="0","",INDEX(원자료_시장!$A$1:$BZ$1000,설정!$L$6+ROW()-1,설정!$L$25)),"")</f>
        <v>USD</v>
      </c>
      <c r="D16" s="85" t="n">
        <f aca="false">IFERROR(IF(ISNUMBER(INDEX(원자료_시장!$A$1:$BZ$1000,설정!$L$6+ROW()-1,설정!$L$26)),INDEX(원자료_시장!$A$1:$BZ$1000,설정!$L$6+ROW()-1,설정!$L$26),""),"")</f>
        <v>6.098</v>
      </c>
      <c r="E16" s="97" t="n">
        <f aca="false">IFERROR(IF(ISNUMBER(INDEX(원자료_시장!$A$1:$BZ$1000,설정!$L$6+ROW()-1,설정!$L$27)),INDEX(원자료_시장!$A$1:$BZ$1000,설정!$L$6+ROW()-1,설정!$L$27),""),"")</f>
        <v>85.873</v>
      </c>
      <c r="F16" s="97" t="n">
        <f aca="false">IFERROR(IF(ISNUMBER(INDEX(원자료_시장!$A$1:$BZ$1000,설정!$L$6+ROW()-1,설정!$L$28)),INDEX(원자료_시장!$A$1:$BZ$1000,설정!$L$6+ROW()-1,설정!$L$28),""),"")</f>
        <v>133.606</v>
      </c>
      <c r="G16" s="97" t="n">
        <f aca="false">IFERROR(IF(ISNUMBER(INDEX(원자료_시장!$A$1:$BZ$1000,설정!$L$6+ROW()-1,설정!$L$29)),INDEX(원자료_시장!$A$1:$BZ$1000,설정!$L$6+ROW()-1,설정!$L$29),""),"")</f>
        <v>-0.7</v>
      </c>
      <c r="H16" s="97" t="n">
        <f aca="false">IFERROR(IF(ISNUMBER(INDEX(원자료_시장!$A$1:$BZ$1000,설정!$L$6+ROW()-1,설정!$L$30)),INDEX(원자료_시장!$A$1:$BZ$1000,설정!$L$6+ROW()-1,설정!$L$30),""),"")</f>
        <v>5.3</v>
      </c>
      <c r="I16" s="97" t="n">
        <f aca="false">IFERROR(IF(ISNUMBER(INDEX(원자료_시장!$A$1:$BZ$1000,설정!$L$6+ROW()-1,설정!$L$31)),INDEX(원자료_시장!$A$1:$BZ$1000,설정!$L$6+ROW()-1,설정!$L$31),""),"")</f>
        <v>6.7</v>
      </c>
      <c r="J16" s="97" t="n">
        <f aca="false">IFERROR(IF(ISNUMBER(INDEX(원자료_시장!$A$1:$BZ$1000,설정!$L$6+ROW()-1,설정!$L$32)),INDEX(원자료_시장!$A$1:$BZ$1000,설정!$L$6+ROW()-1,설정!$L$32),""),"")</f>
        <v>10.2</v>
      </c>
      <c r="K16" s="85" t="n">
        <f aca="false">IFERROR(IF(ISNUMBER(INDEX(원자료_시장!$A$1:$BZ$1000,설정!$L$6+ROW()-1,설정!$L$33)),INDEX(원자료_시장!$A$1:$BZ$1000,설정!$L$6+ROW()-1,설정!$L$33),""),"")</f>
        <v>6.779</v>
      </c>
      <c r="L16" s="83" t="str">
        <f aca="false">IFERROR(IF(INDEX(원자료_시장!$A$1:$BZ$1000,설정!$L$6+ROW()-1,설정!$L$34)&amp;""="0","",INDEX(원자료_시장!$A$1:$BZ$1000,설정!$L$6+ROW()-1,설정!$L$34)),"")</f>
        <v>금융기관</v>
      </c>
      <c r="M16" s="83" t="str">
        <f aca="false">IFERROR(IF(INDEX(원자료_시장!$A$1:$BZ$1000,설정!$L$6+ROW()-1,설정!$L$35)&amp;""="0","",INDEX(원자료_시장!$A$1:$BZ$1000,설정!$L$6+ROW()-1,설정!$L$35)),"")</f>
        <v>A-</v>
      </c>
      <c r="N16" s="83" t="str">
        <f aca="false">IFERROR(IF(INDEX(원자료_시장!$A$1:$BZ$1000,설정!$L$6+ROW()-1,설정!$L$36)&amp;""="0","",INDEX(원자료_시장!$A$1:$BZ$1000,설정!$L$6+ROW()-1,설정!$L$36)),"")</f>
        <v>미국</v>
      </c>
      <c r="O16" s="43" t="str">
        <f aca="false">IF($A16="","",UPPER(LEFT($A16,FIND(" ",$A16&amp;" ")-1)))</f>
        <v>BAC</v>
      </c>
      <c r="P16" s="43" t="str">
        <f aca="false">IF($A16="","",TRIM(RIGHT(SUBSTITUTE(TRIM($A16)," ",REPT(" ",30)),30)))</f>
        <v>05/09/36</v>
      </c>
      <c r="Q16" s="98" t="n">
        <f aca="false">IF($A16="","",IFERROR(DATE(IF(LEN(P16)=8,2000+VALUE(RIGHT(P16,2)),VALUE(RIGHT(P16,4))),VALUE(LEFT(P16,2)),VALUE(MID(P16,4,2))),""))</f>
        <v>49804</v>
      </c>
      <c r="R16" s="89" t="n">
        <f aca="false">IF($A16="",0,IF(ISNUMBER(SEARCH("Float",$A16)),1,0))</f>
        <v>0</v>
      </c>
      <c r="S16" s="43" t="str">
        <f aca="false">IF($A16="","",TRIM(MID($A16,LEN(O16)+2,LEN($A16)-LEN(O16)-LEN(P16)-1)))</f>
        <v>5.464</v>
      </c>
      <c r="T16" s="92" t="n">
        <f aca="false">IF(OR($A16="",R16=1),"",IFERROR(IF(ISNUMBER(FIND("/",S16)),IF(ISNUMBER(FIND(" ",S16)),VALUE(LEFT(S16,FIND(" ",S16)-1))+VALUE(MID(S16,FIND(" ",S16)+1,FIND("/",S16)-FIND(" ",S16)-1))/VALUE(MID(S16,FIND("/",S16)+1,9)),VALUE(LEFT(S16,FIND("/",S16)-1))/VALUE(MID(S16,FIND("/",S16)+1,9))),VALUE(S16)),""))</f>
        <v>5.464</v>
      </c>
      <c r="U16" s="43" t="str">
        <f aca="false">IF(OR($A16="",NOT(ISNUMBER(Q16))),"",TEXT(Q16,"yyyymmdd")&amp;"|"&amp;IF(R16=1,"F",TEXT(T16,"0.000")))</f>
        <v>20360509|5.464</v>
      </c>
      <c r="V16" s="43" t="str">
        <f aca="false">IF(U16="","",O16&amp;"|"&amp;U16)</f>
        <v>BAC|20360509|5.464</v>
      </c>
      <c r="W16" s="43" t="str">
        <f aca="false">IF($A16="","",IFERROR(IF(VLOOKUP(O16,매핑!$A$4:$E$92,3,0)="","미분류",VLOOKUP(O16,매핑!$A$4:$E$92,3,0)),"미분류"))</f>
        <v>미국</v>
      </c>
      <c r="X16" s="89" t="n">
        <f aca="false">IF($A16="",0,IF(O16="T",1,0))</f>
        <v>0</v>
      </c>
      <c r="Y16" s="89" t="n">
        <f aca="false">IF($A16="",0,IF(AND(C16="USD",X16=0,ISNUMBER(E16),ISNUMBER(K16)),IF(K16&gt;=설정!$C$8,1,0),0))</f>
        <v>1</v>
      </c>
      <c r="Z16" s="43" t="str">
        <f aca="false">IF($A16="","",N16&amp;"|"&amp;L16)</f>
        <v>미국|금융기관</v>
      </c>
      <c r="AA16" s="92" t="n">
        <f aca="false">IF(Y16=1,LN(K16),0)</f>
        <v>1.91382959844883</v>
      </c>
      <c r="AB16" s="93" t="n">
        <f aca="false">IF(Y16=1,E16,0)</f>
        <v>85.873</v>
      </c>
      <c r="AC16" s="89" t="n">
        <f aca="false">IF(Y16=1,COUNTIFS($Z$2:$Z$601,Z16,$Y$2:$Y$601,1),0)</f>
        <v>28</v>
      </c>
      <c r="AD16" s="89" t="n">
        <f aca="false">IF(Y16=1,COUNTIFS($N$2:$N$601,N16,$Y$2:$Y$601,1),0)</f>
        <v>49</v>
      </c>
      <c r="AE16" s="43" t="str">
        <f aca="false">IF(Y16&lt;&gt;1,"",IF(AND(AC16&gt;=설정!$C$7,ISNUMBER(MATCH(Z16,피어커브!$A:$A,0))),Z16,IF(AND(AD16&gt;=설정!$C$7,ISNUMBER(MATCH(N16&amp;"|전체",피어커브!$A:$A,0))),N16&amp;"|전체","전체|전체")))</f>
        <v>미국|금융기관</v>
      </c>
      <c r="AF16" s="93" t="n">
        <f aca="false">IF(AE16="","",INDEX(피어커브!$K:$K,MATCH(AE16,피어커브!$A:$A,0)))</f>
        <v>47.5387798885896</v>
      </c>
      <c r="AG16" s="93" t="n">
        <f aca="false">IF(AE16="","",INDEX(피어커브!$J:$J,MATCH(AE16,피어커브!$A:$A,0)))</f>
        <v>20.73676364145</v>
      </c>
      <c r="AH16" s="93" t="n">
        <f aca="false">IF(AE16="","",INDEX(피어커브!$L:$L,MATCH(AE16,피어커브!$A:$A,0)))</f>
        <v>13.6771810277023</v>
      </c>
      <c r="AI16" s="93" t="n">
        <f aca="false">IF(AE16="","",AF16+AG16*AA16)</f>
        <v>87.2254119216342</v>
      </c>
      <c r="AJ16" s="96" t="n">
        <f aca="false">IF(AE16="","",E16-AI16)</f>
        <v>-1.35241192163417</v>
      </c>
      <c r="AK16" s="95" t="n">
        <f aca="false">IF(AE16="","",IF(ISNUMBER(AH16),IF(AH16&gt;0,AJ16/AH16,""),""))</f>
        <v>-0.0988808965016215</v>
      </c>
      <c r="AL16" s="43" t="str">
        <f aca="false">IF(AK16="","-",IF(AK16&gt;=설정!$C$6,"Cheap",IF(AK16&lt;=-설정!$C$6,"Rich","Fair")))</f>
        <v>Fair</v>
      </c>
      <c r="AM16" s="96" t="n">
        <f aca="false">IF(AE16="","",AJ16-AVERAGEIFS($AJ$2:$AJ$601,$B$2:$B$601,B16,$Y$2:$Y$601,1))</f>
        <v>0.800016185310767</v>
      </c>
      <c r="AN16" s="93" t="n">
        <f aca="false">IF(AE16="",0,IF(K16&gt;1+설정!$C$8,AG16*(AA16-LN(K16-1)),0))</f>
        <v>3.30956551928987</v>
      </c>
      <c r="AO16" s="99" t="n">
        <f aca="false">IF($A16="",0,SUMIFS(보유분석!$AA$2:$AA$801,보유분석!$AB$2:$AB$801,ROW(),보유분석!$AC$2:$AC$801,1))</f>
        <v>0</v>
      </c>
      <c r="AP16" s="43" t="str">
        <f aca="false">IF($A16="","",TRIM(IF(R16=1,"FRN ","")&amp;IF(IFERROR(VLOOKUP(M16,설정!$A$15:$D$47,4,0),0)&gt;=10,IF(IFERROR(VLOOKUP(M16,설정!$A$15:$D$47,4,0),0)&lt;99,"BBB0미만 ",""),"")&amp;IF(OR(M16="",M16="NR"),"등급미입력 ","")&amp;IF(C16&lt;&gt;"USD","비USD ","")))</f>
        <v/>
      </c>
      <c r="AQ16" s="90" t="n">
        <f aca="false">IF(AND(Y16=1,AL16="Cheap"),IF(AND(ISERROR(SEARCH("FRN",AP16)),ISERROR(SEARCH("BBB0미만",AP16))),AK16+ROW()/1000000000,-999),-999)</f>
        <v>-999</v>
      </c>
      <c r="AR16" s="92" t="n">
        <f aca="false">IF(AND(ISNUMBER(D16),ISNUMBER(K16)),D16+AN16*MAX(K16-1,0)/100,"")</f>
        <v>6.28925979135976</v>
      </c>
      <c r="AS16" s="93" t="n">
        <f aca="false">IF(AND(ISNUMBER(E16),ISNUMBER(K16)),IF(K16&gt;0,(E16+AN16*MAX(K16-1,0))/K16,""),"")</f>
        <v>15.4888595863662</v>
      </c>
      <c r="AT16" s="90" t="n">
        <f aca="false">IFERROR(IF(AND(Y16=1,ROW()&lt;&gt;스왑분석!$C$12+1,ABS(K16-INDEX($K$2:$K$601,스왑분석!$C$12))&lt;=스왑분석!$C$5,ISERROR(SEARCH("FRN",AP16)),ISERROR(SEARCH("BBB0미만",AP16))),IF(AND(OR(스왑분석!$C$6="N",L16=INDEX($L$2:$L$601,스왑분석!$C$12)),OR(스왑분석!$C$7="N",N16=INDEX($N$2:$N$601,스왑분석!$C$12)),OR(스왑분석!$C$8="N",AO16=0),E16-INDEX($E$2:$E$601,스왑분석!$C$12)&gt;=스왑분석!$C$9),E16-INDEX($E$2:$E$601,스왑분석!$C$12)+ROW()/1000000000,-999),-999),-999)</f>
        <v>-999</v>
      </c>
      <c r="AU16" s="90" t="n">
        <f aca="false">IF(AND(Y16=1,AO16&gt;0,AL16="Rich"),-AK16+ROW()/1000000000,-999)</f>
        <v>-999</v>
      </c>
    </row>
    <row r="17" customFormat="false" ht="15" hidden="false" customHeight="false" outlineLevel="0" collapsed="false">
      <c r="A17" s="83" t="str">
        <f aca="false">IFERROR(IF(INDEX(원자료_시장!$A$1:$BZ$1000,설정!$L$6+ROW()-1,설정!$L$24)&amp;""="0","",INDEX(원자료_시장!$A$1:$BZ$1000,설정!$L$6+ROW()-1,설정!$L$24)),"")</f>
        <v>BAC 4.695 04/23/32</v>
      </c>
      <c r="B17" s="83" t="str">
        <f aca="false">IFERROR(IF(INDEX(원자료_시장!$A$1:$BZ$1000,설정!$L$6+ROW()-1,설정!$L$37)&amp;""="0","",INDEX(원자료_시장!$A$1:$BZ$1000,설정!$L$6+ROW()-1,설정!$L$37)),"")</f>
        <v>BANK OF AMERICA CORP</v>
      </c>
      <c r="C17" s="83" t="str">
        <f aca="false">IFERROR(IF(INDEX(원자료_시장!$A$1:$BZ$1000,설정!$L$6+ROW()-1,설정!$L$25)&amp;""="0","",INDEX(원자료_시장!$A$1:$BZ$1000,설정!$L$6+ROW()-1,설정!$L$25)),"")</f>
        <v>USD</v>
      </c>
      <c r="D17" s="85" t="n">
        <f aca="false">IFERROR(IF(ISNUMBER(INDEX(원자료_시장!$A$1:$BZ$1000,설정!$L$6+ROW()-1,설정!$L$26)),INDEX(원자료_시장!$A$1:$BZ$1000,설정!$L$6+ROW()-1,설정!$L$26),""),"")</f>
        <v>5.699</v>
      </c>
      <c r="E17" s="97" t="n">
        <f aca="false">IFERROR(IF(ISNUMBER(INDEX(원자료_시장!$A$1:$BZ$1000,설정!$L$6+ROW()-1,설정!$L$27)),INDEX(원자료_시장!$A$1:$BZ$1000,설정!$L$6+ROW()-1,설정!$L$27),""),"")</f>
        <v>75.765</v>
      </c>
      <c r="F17" s="97" t="n">
        <f aca="false">IFERROR(IF(ISNUMBER(INDEX(원자료_시장!$A$1:$BZ$1000,설정!$L$6+ROW()-1,설정!$L$28)),INDEX(원자료_시장!$A$1:$BZ$1000,설정!$L$6+ROW()-1,설정!$L$28),""),"")</f>
        <v>109.4</v>
      </c>
      <c r="G17" s="97" t="n">
        <f aca="false">IFERROR(IF(ISNUMBER(INDEX(원자료_시장!$A$1:$BZ$1000,설정!$L$6+ROW()-1,설정!$L$29)),INDEX(원자료_시장!$A$1:$BZ$1000,설정!$L$6+ROW()-1,설정!$L$29),""),"")</f>
        <v>-1.5</v>
      </c>
      <c r="H17" s="97" t="n">
        <f aca="false">IFERROR(IF(ISNUMBER(INDEX(원자료_시장!$A$1:$BZ$1000,설정!$L$6+ROW()-1,설정!$L$30)),INDEX(원자료_시장!$A$1:$BZ$1000,설정!$L$6+ROW()-1,설정!$L$30),""),"")</f>
        <v>4.6</v>
      </c>
      <c r="I17" s="97" t="n">
        <f aca="false">IFERROR(IF(ISNUMBER(INDEX(원자료_시장!$A$1:$BZ$1000,설정!$L$6+ROW()-1,설정!$L$31)),INDEX(원자료_시장!$A$1:$BZ$1000,설정!$L$6+ROW()-1,설정!$L$31),""),"")</f>
        <v>-0.2</v>
      </c>
      <c r="J17" s="97" t="n">
        <f aca="false">IFERROR(IF(ISNUMBER(INDEX(원자료_시장!$A$1:$BZ$1000,설정!$L$6+ROW()-1,설정!$L$32)),INDEX(원자료_시장!$A$1:$BZ$1000,설정!$L$6+ROW()-1,설정!$L$32),""),"")</f>
        <v>-3.4</v>
      </c>
      <c r="K17" s="85" t="n">
        <f aca="false">IFERROR(IF(ISNUMBER(INDEX(원자료_시장!$A$1:$BZ$1000,설정!$L$6+ROW()-1,설정!$L$33)),INDEX(원자료_시장!$A$1:$BZ$1000,설정!$L$6+ROW()-1,설정!$L$33),""),"")</f>
        <v>4.057</v>
      </c>
      <c r="L17" s="83" t="str">
        <f aca="false">IFERROR(IF(INDEX(원자료_시장!$A$1:$BZ$1000,설정!$L$6+ROW()-1,설정!$L$34)&amp;""="0","",INDEX(원자료_시장!$A$1:$BZ$1000,설정!$L$6+ROW()-1,설정!$L$34)),"")</f>
        <v>금융기관</v>
      </c>
      <c r="M17" s="83" t="str">
        <f aca="false">IFERROR(IF(INDEX(원자료_시장!$A$1:$BZ$1000,설정!$L$6+ROW()-1,설정!$L$35)&amp;""="0","",INDEX(원자료_시장!$A$1:$BZ$1000,설정!$L$6+ROW()-1,설정!$L$35)),"")</f>
        <v>A-</v>
      </c>
      <c r="N17" s="83" t="str">
        <f aca="false">IFERROR(IF(INDEX(원자료_시장!$A$1:$BZ$1000,설정!$L$6+ROW()-1,설정!$L$36)&amp;""="0","",INDEX(원자료_시장!$A$1:$BZ$1000,설정!$L$6+ROW()-1,설정!$L$36)),"")</f>
        <v>미국</v>
      </c>
      <c r="O17" s="43" t="str">
        <f aca="false">IF($A17="","",UPPER(LEFT($A17,FIND(" ",$A17&amp;" ")-1)))</f>
        <v>BAC</v>
      </c>
      <c r="P17" s="43" t="str">
        <f aca="false">IF($A17="","",TRIM(RIGHT(SUBSTITUTE(TRIM($A17)," ",REPT(" ",30)),30)))</f>
        <v>04/23/32</v>
      </c>
      <c r="Q17" s="98" t="n">
        <f aca="false">IF($A17="","",IFERROR(DATE(IF(LEN(P17)=8,2000+VALUE(RIGHT(P17,2)),VALUE(RIGHT(P17,4))),VALUE(LEFT(P17,2)),VALUE(MID(P17,4,2))),""))</f>
        <v>48327</v>
      </c>
      <c r="R17" s="89" t="n">
        <f aca="false">IF($A17="",0,IF(ISNUMBER(SEARCH("Float",$A17)),1,0))</f>
        <v>0</v>
      </c>
      <c r="S17" s="43" t="str">
        <f aca="false">IF($A17="","",TRIM(MID($A17,LEN(O17)+2,LEN($A17)-LEN(O17)-LEN(P17)-1)))</f>
        <v>4.695</v>
      </c>
      <c r="T17" s="92" t="n">
        <f aca="false">IF(OR($A17="",R17=1),"",IFERROR(IF(ISNUMBER(FIND("/",S17)),IF(ISNUMBER(FIND(" ",S17)),VALUE(LEFT(S17,FIND(" ",S17)-1))+VALUE(MID(S17,FIND(" ",S17)+1,FIND("/",S17)-FIND(" ",S17)-1))/VALUE(MID(S17,FIND("/",S17)+1,9)),VALUE(LEFT(S17,FIND("/",S17)-1))/VALUE(MID(S17,FIND("/",S17)+1,9))),VALUE(S17)),""))</f>
        <v>4.695</v>
      </c>
      <c r="U17" s="43" t="str">
        <f aca="false">IF(OR($A17="",NOT(ISNUMBER(Q17))),"",TEXT(Q17,"yyyymmdd")&amp;"|"&amp;IF(R17=1,"F",TEXT(T17,"0.000")))</f>
        <v>20320423|4.695</v>
      </c>
      <c r="V17" s="43" t="str">
        <f aca="false">IF(U17="","",O17&amp;"|"&amp;U17)</f>
        <v>BAC|20320423|4.695</v>
      </c>
      <c r="W17" s="43" t="str">
        <f aca="false">IF($A17="","",IFERROR(IF(VLOOKUP(O17,매핑!$A$4:$E$92,3,0)="","미분류",VLOOKUP(O17,매핑!$A$4:$E$92,3,0)),"미분류"))</f>
        <v>미국</v>
      </c>
      <c r="X17" s="89" t="n">
        <f aca="false">IF($A17="",0,IF(O17="T",1,0))</f>
        <v>0</v>
      </c>
      <c r="Y17" s="89" t="n">
        <f aca="false">IF($A17="",0,IF(AND(C17="USD",X17=0,ISNUMBER(E17),ISNUMBER(K17)),IF(K17&gt;=설정!$C$8,1,0),0))</f>
        <v>1</v>
      </c>
      <c r="Z17" s="43" t="str">
        <f aca="false">IF($A17="","",N17&amp;"|"&amp;L17)</f>
        <v>미국|금융기관</v>
      </c>
      <c r="AA17" s="92" t="n">
        <f aca="false">IF(Y17=1,LN(K17),0)</f>
        <v>1.40044378422431</v>
      </c>
      <c r="AB17" s="93" t="n">
        <f aca="false">IF(Y17=1,E17,0)</f>
        <v>75.765</v>
      </c>
      <c r="AC17" s="89" t="n">
        <f aca="false">IF(Y17=1,COUNTIFS($Z$2:$Z$601,Z17,$Y$2:$Y$601,1),0)</f>
        <v>28</v>
      </c>
      <c r="AD17" s="89" t="n">
        <f aca="false">IF(Y17=1,COUNTIFS($N$2:$N$601,N17,$Y$2:$Y$601,1),0)</f>
        <v>49</v>
      </c>
      <c r="AE17" s="43" t="str">
        <f aca="false">IF(Y17&lt;&gt;1,"",IF(AND(AC17&gt;=설정!$C$7,ISNUMBER(MATCH(Z17,피어커브!$A:$A,0))),Z17,IF(AND(AD17&gt;=설정!$C$7,ISNUMBER(MATCH(N17&amp;"|전체",피어커브!$A:$A,0))),N17&amp;"|전체","전체|전체")))</f>
        <v>미국|금융기관</v>
      </c>
      <c r="AF17" s="93" t="n">
        <f aca="false">IF(AE17="","",INDEX(피어커브!$K:$K,MATCH(AE17,피어커브!$A:$A,0)))</f>
        <v>47.5387798885896</v>
      </c>
      <c r="AG17" s="93" t="n">
        <f aca="false">IF(AE17="","",INDEX(피어커브!$J:$J,MATCH(AE17,피어커브!$A:$A,0)))</f>
        <v>20.73676364145</v>
      </c>
      <c r="AH17" s="93" t="n">
        <f aca="false">IF(AE17="","",INDEX(피어커브!$L:$L,MATCH(AE17,피어커브!$A:$A,0)))</f>
        <v>13.6771810277023</v>
      </c>
      <c r="AI17" s="93" t="n">
        <f aca="false">IF(AE17="","",AF17+AG17*AA17)</f>
        <v>76.579451635187</v>
      </c>
      <c r="AJ17" s="96" t="n">
        <f aca="false">IF(AE17="","",E17-AI17)</f>
        <v>-0.81445163518697</v>
      </c>
      <c r="AK17" s="95" t="n">
        <f aca="false">IF(AE17="","",IF(ISNUMBER(AH17),IF(AH17&gt;0,AJ17/AH17,""),""))</f>
        <v>-0.0595482090598456</v>
      </c>
      <c r="AL17" s="43" t="str">
        <f aca="false">IF(AK17="","-",IF(AK17&gt;=설정!$C$6,"Cheap",IF(AK17&lt;=-설정!$C$6,"Rich","Fair")))</f>
        <v>Fair</v>
      </c>
      <c r="AM17" s="96" t="n">
        <f aca="false">IF(AE17="","",AJ17-AVERAGEIFS($AJ$2:$AJ$601,$B$2:$B$601,B17,$Y$2:$Y$601,1))</f>
        <v>1.33797647175797</v>
      </c>
      <c r="AN17" s="93" t="n">
        <f aca="false">IF(AE17="",0,IF(K17&gt;1+설정!$C$8,AG17*(AA17-LN(K17-1)),0))</f>
        <v>5.86870611388978</v>
      </c>
      <c r="AO17" s="99" t="n">
        <f aca="false">IF($A17="",0,SUMIFS(보유분석!$AA$2:$AA$801,보유분석!$AB$2:$AB$801,ROW(),보유분석!$AC$2:$AC$801,1))</f>
        <v>0</v>
      </c>
      <c r="AP17" s="43" t="str">
        <f aca="false">IF($A17="","",TRIM(IF(R17=1,"FRN ","")&amp;IF(IFERROR(VLOOKUP(M17,설정!$A$15:$D$47,4,0),0)&gt;=10,IF(IFERROR(VLOOKUP(M17,설정!$A$15:$D$47,4,0),0)&lt;99,"BBB0미만 ",""),"")&amp;IF(OR(M17="",M17="NR"),"등급미입력 ","")&amp;IF(C17&lt;&gt;"USD","비USD ","")))</f>
        <v/>
      </c>
      <c r="AQ17" s="90" t="n">
        <f aca="false">IF(AND(Y17=1,AL17="Cheap"),IF(AND(ISERROR(SEARCH("FRN",AP17)),ISERROR(SEARCH("BBB0미만",AP17))),AK17+ROW()/1000000000,-999),-999)</f>
        <v>-999</v>
      </c>
      <c r="AR17" s="92" t="n">
        <f aca="false">IF(AND(ISNUMBER(D17),ISNUMBER(K17)),D17+AN17*MAX(K17-1,0)/100,"")</f>
        <v>5.87840634590161</v>
      </c>
      <c r="AS17" s="93" t="n">
        <f aca="false">IF(AND(ISNUMBER(E17),ISNUMBER(K17)),IF(K17&gt;0,(E17+AN17*MAX(K17-1,0))/K17,""),"")</f>
        <v>23.0972725142127</v>
      </c>
      <c r="AT17" s="90" t="n">
        <f aca="false">IFERROR(IF(AND(Y17=1,ROW()&lt;&gt;스왑분석!$C$12+1,ABS(K17-INDEX($K$2:$K$601,스왑분석!$C$12))&lt;=스왑분석!$C$5,ISERROR(SEARCH("FRN",AP17)),ISERROR(SEARCH("BBB0미만",AP17))),IF(AND(OR(스왑분석!$C$6="N",L17=INDEX($L$2:$L$601,스왑분석!$C$12)),OR(스왑분석!$C$7="N",N17=INDEX($N$2:$N$601,스왑분석!$C$12)),OR(스왑분석!$C$8="N",AO17=0),E17-INDEX($E$2:$E$601,스왑분석!$C$12)&gt;=스왑분석!$C$9),E17-INDEX($E$2:$E$601,스왑분석!$C$12)+ROW()/1000000000,-999),-999),-999)</f>
        <v>27.273000017</v>
      </c>
      <c r="AU17" s="90" t="n">
        <f aca="false">IF(AND(Y17=1,AO17&gt;0,AL17="Rich"),-AK17+ROW()/1000000000,-999)</f>
        <v>-999</v>
      </c>
    </row>
    <row r="18" customFormat="false" ht="15" hidden="false" customHeight="false" outlineLevel="0" collapsed="false">
      <c r="A18" s="83" t="str">
        <f aca="false">IFERROR(IF(INDEX(원자료_시장!$A$1:$BZ$1000,설정!$L$6+ROW()-1,설정!$L$24)&amp;""="0","",INDEX(원자료_시장!$A$1:$BZ$1000,설정!$L$6+ROW()-1,설정!$L$24)),"")</f>
        <v>BACR 5.086 02/25/29</v>
      </c>
      <c r="B18" s="83" t="str">
        <f aca="false">IFERROR(IF(INDEX(원자료_시장!$A$1:$BZ$1000,설정!$L$6+ROW()-1,설정!$L$37)&amp;""="0","",INDEX(원자료_시장!$A$1:$BZ$1000,설정!$L$6+ROW()-1,설정!$L$37)),"")</f>
        <v>BARCLAYS PLC</v>
      </c>
      <c r="C18" s="83" t="str">
        <f aca="false">IFERROR(IF(INDEX(원자료_시장!$A$1:$BZ$1000,설정!$L$6+ROW()-1,설정!$L$25)&amp;""="0","",INDEX(원자료_시장!$A$1:$BZ$1000,설정!$L$6+ROW()-1,설정!$L$25)),"")</f>
        <v>USD</v>
      </c>
      <c r="D18" s="85" t="n">
        <f aca="false">IFERROR(IF(ISNUMBER(INDEX(원자료_시장!$A$1:$BZ$1000,설정!$L$6+ROW()-1,설정!$L$26)),INDEX(원자료_시장!$A$1:$BZ$1000,설정!$L$6+ROW()-1,설정!$L$26),""),"")</f>
        <v>5.208</v>
      </c>
      <c r="E18" s="97" t="n">
        <f aca="false">IFERROR(IF(ISNUMBER(INDEX(원자료_시장!$A$1:$BZ$1000,설정!$L$6+ROW()-1,설정!$L$27)),INDEX(원자료_시장!$A$1:$BZ$1000,설정!$L$6+ROW()-1,설정!$L$27),""),"")</f>
        <v>54.993</v>
      </c>
      <c r="F18" s="97" t="n">
        <f aca="false">IFERROR(IF(ISNUMBER(INDEX(원자료_시장!$A$1:$BZ$1000,설정!$L$6+ROW()-1,설정!$L$28)),INDEX(원자료_시장!$A$1:$BZ$1000,설정!$L$6+ROW()-1,설정!$L$28),""),"")</f>
        <v>84.711</v>
      </c>
      <c r="G18" s="97" t="n">
        <f aca="false">IFERROR(IF(ISNUMBER(INDEX(원자료_시장!$A$1:$BZ$1000,설정!$L$6+ROW()-1,설정!$L$29)),INDEX(원자료_시장!$A$1:$BZ$1000,설정!$L$6+ROW()-1,설정!$L$29),""),"")</f>
        <v>0.6</v>
      </c>
      <c r="H18" s="97" t="n">
        <f aca="false">IFERROR(IF(ISNUMBER(INDEX(원자료_시장!$A$1:$BZ$1000,설정!$L$6+ROW()-1,설정!$L$30)),INDEX(원자료_시장!$A$1:$BZ$1000,설정!$L$6+ROW()-1,설정!$L$30),""),"")</f>
        <v>8.7</v>
      </c>
      <c r="I18" s="97" t="n">
        <f aca="false">IFERROR(IF(ISNUMBER(INDEX(원자료_시장!$A$1:$BZ$1000,설정!$L$6+ROW()-1,설정!$L$31)),INDEX(원자료_시장!$A$1:$BZ$1000,설정!$L$6+ROW()-1,설정!$L$31),""),"")</f>
        <v>-11</v>
      </c>
      <c r="J18" s="97" t="n">
        <f aca="false">IFERROR(IF(ISNUMBER(INDEX(원자료_시장!$A$1:$BZ$1000,설정!$L$6+ROW()-1,설정!$L$32)),INDEX(원자료_시장!$A$1:$BZ$1000,설정!$L$6+ROW()-1,설정!$L$32),""),"")</f>
        <v>-22.9</v>
      </c>
      <c r="K18" s="85" t="n">
        <f aca="false">IFERROR(IF(ISNUMBER(INDEX(원자료_시장!$A$1:$BZ$1000,설정!$L$6+ROW()-1,설정!$L$33)),INDEX(원자료_시장!$A$1:$BZ$1000,설정!$L$6+ROW()-1,설정!$L$33),""),"")</f>
        <v>1.36</v>
      </c>
      <c r="L18" s="83" t="str">
        <f aca="false">IFERROR(IF(INDEX(원자료_시장!$A$1:$BZ$1000,설정!$L$6+ROW()-1,설정!$L$34)&amp;""="0","",INDEX(원자료_시장!$A$1:$BZ$1000,설정!$L$6+ROW()-1,설정!$L$34)),"")</f>
        <v>금융기관</v>
      </c>
      <c r="M18" s="83" t="str">
        <f aca="false">IFERROR(IF(INDEX(원자료_시장!$A$1:$BZ$1000,설정!$L$6+ROW()-1,설정!$L$35)&amp;""="0","",INDEX(원자료_시장!$A$1:$BZ$1000,설정!$L$6+ROW()-1,설정!$L$35)),"")</f>
        <v>BBB+</v>
      </c>
      <c r="N18" s="83" t="str">
        <f aca="false">IFERROR(IF(INDEX(원자료_시장!$A$1:$BZ$1000,설정!$L$6+ROW()-1,설정!$L$36)&amp;""="0","",INDEX(원자료_시장!$A$1:$BZ$1000,설정!$L$6+ROW()-1,설정!$L$36)),"")</f>
        <v>유럽</v>
      </c>
      <c r="O18" s="43" t="str">
        <f aca="false">IF($A18="","",UPPER(LEFT($A18,FIND(" ",$A18&amp;" ")-1)))</f>
        <v>BACR</v>
      </c>
      <c r="P18" s="43" t="str">
        <f aca="false">IF($A18="","",TRIM(RIGHT(SUBSTITUTE(TRIM($A18)," ",REPT(" ",30)),30)))</f>
        <v>02/25/29</v>
      </c>
      <c r="Q18" s="98" t="n">
        <f aca="false">IF($A18="","",IFERROR(DATE(IF(LEN(P18)=8,2000+VALUE(RIGHT(P18,2)),VALUE(RIGHT(P18,4))),VALUE(LEFT(P18,2)),VALUE(MID(P18,4,2))),""))</f>
        <v>47174</v>
      </c>
      <c r="R18" s="89" t="n">
        <f aca="false">IF($A18="",0,IF(ISNUMBER(SEARCH("Float",$A18)),1,0))</f>
        <v>0</v>
      </c>
      <c r="S18" s="43" t="str">
        <f aca="false">IF($A18="","",TRIM(MID($A18,LEN(O18)+2,LEN($A18)-LEN(O18)-LEN(P18)-1)))</f>
        <v>5.086</v>
      </c>
      <c r="T18" s="92" t="n">
        <f aca="false">IF(OR($A18="",R18=1),"",IFERROR(IF(ISNUMBER(FIND("/",S18)),IF(ISNUMBER(FIND(" ",S18)),VALUE(LEFT(S18,FIND(" ",S18)-1))+VALUE(MID(S18,FIND(" ",S18)+1,FIND("/",S18)-FIND(" ",S18)-1))/VALUE(MID(S18,FIND("/",S18)+1,9)),VALUE(LEFT(S18,FIND("/",S18)-1))/VALUE(MID(S18,FIND("/",S18)+1,9))),VALUE(S18)),""))</f>
        <v>5.086</v>
      </c>
      <c r="U18" s="43" t="str">
        <f aca="false">IF(OR($A18="",NOT(ISNUMBER(Q18))),"",TEXT(Q18,"yyyymmdd")&amp;"|"&amp;IF(R18=1,"F",TEXT(T18,"0.000")))</f>
        <v>20290225|5.086</v>
      </c>
      <c r="V18" s="43" t="str">
        <f aca="false">IF(U18="","",O18&amp;"|"&amp;U18)</f>
        <v>BACR|20290225|5.086</v>
      </c>
      <c r="W18" s="43" t="str">
        <f aca="false">IF($A18="","",IFERROR(IF(VLOOKUP(O18,매핑!$A$4:$E$92,3,0)="","미분류",VLOOKUP(O18,매핑!$A$4:$E$92,3,0)),"미분류"))</f>
        <v>영국</v>
      </c>
      <c r="X18" s="89" t="n">
        <f aca="false">IF($A18="",0,IF(O18="T",1,0))</f>
        <v>0</v>
      </c>
      <c r="Y18" s="89" t="n">
        <f aca="false">IF($A18="",0,IF(AND(C18="USD",X18=0,ISNUMBER(E18),ISNUMBER(K18)),IF(K18&gt;=설정!$C$8,1,0),0))</f>
        <v>1</v>
      </c>
      <c r="Z18" s="43" t="str">
        <f aca="false">IF($A18="","",N18&amp;"|"&amp;L18)</f>
        <v>유럽|금융기관</v>
      </c>
      <c r="AA18" s="92" t="n">
        <f aca="false">IF(Y18=1,LN(K18),0)</f>
        <v>0.307484699747961</v>
      </c>
      <c r="AB18" s="93" t="n">
        <f aca="false">IF(Y18=1,E18,0)</f>
        <v>54.993</v>
      </c>
      <c r="AC18" s="89" t="n">
        <f aca="false">IF(Y18=1,COUNTIFS($Z$2:$Z$601,Z18,$Y$2:$Y$601,1),0)</f>
        <v>32</v>
      </c>
      <c r="AD18" s="89" t="n">
        <f aca="false">IF(Y18=1,COUNTIFS($N$2:$N$601,N18,$Y$2:$Y$601,1),0)</f>
        <v>32</v>
      </c>
      <c r="AE18" s="43" t="str">
        <f aca="false">IF(Y18&lt;&gt;1,"",IF(AND(AC18&gt;=설정!$C$7,ISNUMBER(MATCH(Z18,피어커브!$A:$A,0))),Z18,IF(AND(AD18&gt;=설정!$C$7,ISNUMBER(MATCH(N18&amp;"|전체",피어커브!$A:$A,0))),N18&amp;"|전체","전체|전체")))</f>
        <v>유럽|금융기관</v>
      </c>
      <c r="AF18" s="93" t="n">
        <f aca="false">IF(AE18="","",INDEX(피어커브!$K:$K,MATCH(AE18,피어커브!$A:$A,0)))</f>
        <v>43.3660967921697</v>
      </c>
      <c r="AG18" s="93" t="n">
        <f aca="false">IF(AE18="","",INDEX(피어커브!$J:$J,MATCH(AE18,피어커브!$A:$A,0)))</f>
        <v>30.582858826536</v>
      </c>
      <c r="AH18" s="93" t="n">
        <f aca="false">IF(AE18="","",INDEX(피어커브!$L:$L,MATCH(AE18,피어커브!$A:$A,0)))</f>
        <v>10.9882810943096</v>
      </c>
      <c r="AI18" s="93" t="n">
        <f aca="false">IF(AE18="","",AF18+AG18*AA18)</f>
        <v>52.7698579558814</v>
      </c>
      <c r="AJ18" s="96" t="n">
        <f aca="false">IF(AE18="","",E18-AI18)</f>
        <v>2.22314204411863</v>
      </c>
      <c r="AK18" s="95" t="n">
        <f aca="false">IF(AE18="","",IF(ISNUMBER(AH18),IF(AH18&gt;0,AJ18/AH18,""),""))</f>
        <v>0.202319364151497</v>
      </c>
      <c r="AL18" s="43" t="str">
        <f aca="false">IF(AK18="","-",IF(AK18&gt;=설정!$C$6,"Cheap",IF(AK18&lt;=-설정!$C$6,"Rich","Fair")))</f>
        <v>Fair</v>
      </c>
      <c r="AM18" s="96" t="n">
        <f aca="false">IF(AE18="","",AJ18-AVERAGEIFS($AJ$2:$AJ$601,$B$2:$B$601,B18,$Y$2:$Y$601,1))</f>
        <v>-3.81775168533716</v>
      </c>
      <c r="AN18" s="93" t="n">
        <f aca="false">IF(AE18="",0,IF(K18&gt;1+설정!$C$8,AG18*(AA18-LN(K18-1)),0))</f>
        <v>0</v>
      </c>
      <c r="AO18" s="99" t="n">
        <f aca="false">IF($A18="",0,SUMIFS(보유분석!$AA$2:$AA$801,보유분석!$AB$2:$AB$801,ROW(),보유분석!$AC$2:$AC$801,1))</f>
        <v>9.95579</v>
      </c>
      <c r="AP18" s="43" t="str">
        <f aca="false">IF($A18="","",TRIM(IF(R18=1,"FRN ","")&amp;IF(IFERROR(VLOOKUP(M18,설정!$A$15:$D$47,4,0),0)&gt;=10,IF(IFERROR(VLOOKUP(M18,설정!$A$15:$D$47,4,0),0)&lt;99,"BBB0미만 ",""),"")&amp;IF(OR(M18="",M18="NR"),"등급미입력 ","")&amp;IF(C18&lt;&gt;"USD","비USD ","")))</f>
        <v/>
      </c>
      <c r="AQ18" s="90" t="n">
        <f aca="false">IF(AND(Y18=1,AL18="Cheap"),IF(AND(ISERROR(SEARCH("FRN",AP18)),ISERROR(SEARCH("BBB0미만",AP18))),AK18+ROW()/1000000000,-999),-999)</f>
        <v>-999</v>
      </c>
      <c r="AR18" s="92" t="n">
        <f aca="false">IF(AND(ISNUMBER(D18),ISNUMBER(K18)),D18+AN18*MAX(K18-1,0)/100,"")</f>
        <v>5.208</v>
      </c>
      <c r="AS18" s="93" t="n">
        <f aca="false">IF(AND(ISNUMBER(E18),ISNUMBER(K18)),IF(K18&gt;0,(E18+AN18*MAX(K18-1,0))/K18,""),"")</f>
        <v>40.4360294117647</v>
      </c>
      <c r="AT18" s="90" t="n">
        <f aca="false">IFERROR(IF(AND(Y18=1,ROW()&lt;&gt;스왑분석!$C$12+1,ABS(K18-INDEX($K$2:$K$601,스왑분석!$C$12))&lt;=스왑분석!$C$5,ISERROR(SEARCH("FRN",AP18)),ISERROR(SEARCH("BBB0미만",AP18))),IF(AND(OR(스왑분석!$C$6="N",L18=INDEX($L$2:$L$601,스왑분석!$C$12)),OR(스왑분석!$C$7="N",N18=INDEX($N$2:$N$601,스왑분석!$C$12)),OR(스왑분석!$C$8="N",AO18=0),E18-INDEX($E$2:$E$601,스왑분석!$C$12)&gt;=스왑분석!$C$9),E18-INDEX($E$2:$E$601,스왑분석!$C$12)+ROW()/1000000000,-999),-999),-999)</f>
        <v>-999</v>
      </c>
      <c r="AU18" s="90" t="n">
        <f aca="false">IF(AND(Y18=1,AO18&gt;0,AL18="Rich"),-AK18+ROW()/1000000000,-999)</f>
        <v>-999</v>
      </c>
    </row>
    <row r="19" customFormat="false" ht="15" hidden="false" customHeight="false" outlineLevel="0" collapsed="false">
      <c r="A19" s="83" t="str">
        <f aca="false">IFERROR(IF(INDEX(원자료_시장!$A$1:$BZ$1000,설정!$L$6+ROW()-1,설정!$L$24)&amp;""="0","",INDEX(원자료_시장!$A$1:$BZ$1000,설정!$L$6+ROW()-1,설정!$L$24)),"")</f>
        <v>BACR 5.367 02/25/31</v>
      </c>
      <c r="B19" s="83" t="str">
        <f aca="false">IFERROR(IF(INDEX(원자료_시장!$A$1:$BZ$1000,설정!$L$6+ROW()-1,설정!$L$37)&amp;""="0","",INDEX(원자료_시장!$A$1:$BZ$1000,설정!$L$6+ROW()-1,설정!$L$37)),"")</f>
        <v>BARCLAYS PLC</v>
      </c>
      <c r="C19" s="83" t="str">
        <f aca="false">IFERROR(IF(INDEX(원자료_시장!$A$1:$BZ$1000,설정!$L$6+ROW()-1,설정!$L$25)&amp;""="0","",INDEX(원자료_시장!$A$1:$BZ$1000,설정!$L$6+ROW()-1,설정!$L$25)),"")</f>
        <v>USD</v>
      </c>
      <c r="D19" s="85" t="n">
        <f aca="false">IFERROR(IF(ISNUMBER(INDEX(원자료_시장!$A$1:$BZ$1000,설정!$L$6+ROW()-1,설정!$L$26)),INDEX(원자료_시장!$A$1:$BZ$1000,설정!$L$6+ROW()-1,설정!$L$26),""),"")</f>
        <v>5.732</v>
      </c>
      <c r="E19" s="97" t="n">
        <f aca="false">IFERROR(IF(ISNUMBER(INDEX(원자료_시장!$A$1:$BZ$1000,설정!$L$6+ROW()-1,설정!$L$27)),INDEX(원자료_시장!$A$1:$BZ$1000,설정!$L$6+ROW()-1,설정!$L$27),""),"")</f>
        <v>80.036</v>
      </c>
      <c r="F19" s="97" t="n">
        <f aca="false">IFERROR(IF(ISNUMBER(INDEX(원자료_시장!$A$1:$BZ$1000,설정!$L$6+ROW()-1,설정!$L$28)),INDEX(원자료_시장!$A$1:$BZ$1000,설정!$L$6+ROW()-1,설정!$L$28),""),"")</f>
        <v>114.724</v>
      </c>
      <c r="G19" s="97" t="n">
        <f aca="false">IFERROR(IF(ISNUMBER(INDEX(원자료_시장!$A$1:$BZ$1000,설정!$L$6+ROW()-1,설정!$L$29)),INDEX(원자료_시장!$A$1:$BZ$1000,설정!$L$6+ROW()-1,설정!$L$29),""),"")</f>
        <v>-2.3</v>
      </c>
      <c r="H19" s="97" t="n">
        <f aca="false">IFERROR(IF(ISNUMBER(INDEX(원자료_시장!$A$1:$BZ$1000,설정!$L$6+ROW()-1,설정!$L$30)),INDEX(원자료_시장!$A$1:$BZ$1000,설정!$L$6+ROW()-1,설정!$L$30),""),"")</f>
        <v>6.4</v>
      </c>
      <c r="I19" s="97" t="n">
        <f aca="false">IFERROR(IF(ISNUMBER(INDEX(원자료_시장!$A$1:$BZ$1000,설정!$L$6+ROW()-1,설정!$L$31)),INDEX(원자료_시장!$A$1:$BZ$1000,설정!$L$6+ROW()-1,설정!$L$31),""),"")</f>
        <v>-1.8</v>
      </c>
      <c r="J19" s="97" t="n">
        <f aca="false">IFERROR(IF(ISNUMBER(INDEX(원자료_시장!$A$1:$BZ$1000,설정!$L$6+ROW()-1,설정!$L$32)),INDEX(원자료_시장!$A$1:$BZ$1000,설정!$L$6+ROW()-1,설정!$L$32),""),"")</f>
        <v>-7.4</v>
      </c>
      <c r="K19" s="85" t="n">
        <f aca="false">IFERROR(IF(ISNUMBER(INDEX(원자료_시장!$A$1:$BZ$1000,설정!$L$6+ROW()-1,설정!$L$33)),INDEX(원자료_시장!$A$1:$BZ$1000,설정!$L$6+ROW()-1,설정!$L$33),""),"")</f>
        <v>3.132</v>
      </c>
      <c r="L19" s="83" t="str">
        <f aca="false">IFERROR(IF(INDEX(원자료_시장!$A$1:$BZ$1000,설정!$L$6+ROW()-1,설정!$L$34)&amp;""="0","",INDEX(원자료_시장!$A$1:$BZ$1000,설정!$L$6+ROW()-1,설정!$L$34)),"")</f>
        <v>금융기관</v>
      </c>
      <c r="M19" s="83" t="str">
        <f aca="false">IFERROR(IF(INDEX(원자료_시장!$A$1:$BZ$1000,설정!$L$6+ROW()-1,설정!$L$35)&amp;""="0","",INDEX(원자료_시장!$A$1:$BZ$1000,설정!$L$6+ROW()-1,설정!$L$35)),"")</f>
        <v>BBB+</v>
      </c>
      <c r="N19" s="83" t="str">
        <f aca="false">IFERROR(IF(INDEX(원자료_시장!$A$1:$BZ$1000,설정!$L$6+ROW()-1,설정!$L$36)&amp;""="0","",INDEX(원자료_시장!$A$1:$BZ$1000,설정!$L$6+ROW()-1,설정!$L$36)),"")</f>
        <v>유럽</v>
      </c>
      <c r="O19" s="43" t="str">
        <f aca="false">IF($A19="","",UPPER(LEFT($A19,FIND(" ",$A19&amp;" ")-1)))</f>
        <v>BACR</v>
      </c>
      <c r="P19" s="43" t="str">
        <f aca="false">IF($A19="","",TRIM(RIGHT(SUBSTITUTE(TRIM($A19)," ",REPT(" ",30)),30)))</f>
        <v>02/25/31</v>
      </c>
      <c r="Q19" s="98" t="n">
        <f aca="false">IF($A19="","",IFERROR(DATE(IF(LEN(P19)=8,2000+VALUE(RIGHT(P19,2)),VALUE(RIGHT(P19,4))),VALUE(LEFT(P19,2)),VALUE(MID(P19,4,2))),""))</f>
        <v>47904</v>
      </c>
      <c r="R19" s="89" t="n">
        <f aca="false">IF($A19="",0,IF(ISNUMBER(SEARCH("Float",$A19)),1,0))</f>
        <v>0</v>
      </c>
      <c r="S19" s="43" t="str">
        <f aca="false">IF($A19="","",TRIM(MID($A19,LEN(O19)+2,LEN($A19)-LEN(O19)-LEN(P19)-1)))</f>
        <v>5.367</v>
      </c>
      <c r="T19" s="92" t="n">
        <f aca="false">IF(OR($A19="",R19=1),"",IFERROR(IF(ISNUMBER(FIND("/",S19)),IF(ISNUMBER(FIND(" ",S19)),VALUE(LEFT(S19,FIND(" ",S19)-1))+VALUE(MID(S19,FIND(" ",S19)+1,FIND("/",S19)-FIND(" ",S19)-1))/VALUE(MID(S19,FIND("/",S19)+1,9)),VALUE(LEFT(S19,FIND("/",S19)-1))/VALUE(MID(S19,FIND("/",S19)+1,9))),VALUE(S19)),""))</f>
        <v>5.367</v>
      </c>
      <c r="U19" s="43" t="str">
        <f aca="false">IF(OR($A19="",NOT(ISNUMBER(Q19))),"",TEXT(Q19,"yyyymmdd")&amp;"|"&amp;IF(R19=1,"F",TEXT(T19,"0.000")))</f>
        <v>20310225|5.367</v>
      </c>
      <c r="V19" s="43" t="str">
        <f aca="false">IF(U19="","",O19&amp;"|"&amp;U19)</f>
        <v>BACR|20310225|5.367</v>
      </c>
      <c r="W19" s="43" t="str">
        <f aca="false">IF($A19="","",IFERROR(IF(VLOOKUP(O19,매핑!$A$4:$E$92,3,0)="","미분류",VLOOKUP(O19,매핑!$A$4:$E$92,3,0)),"미분류"))</f>
        <v>영국</v>
      </c>
      <c r="X19" s="89" t="n">
        <f aca="false">IF($A19="",0,IF(O19="T",1,0))</f>
        <v>0</v>
      </c>
      <c r="Y19" s="89" t="n">
        <f aca="false">IF($A19="",0,IF(AND(C19="USD",X19=0,ISNUMBER(E19),ISNUMBER(K19)),IF(K19&gt;=설정!$C$8,1,0),0))</f>
        <v>1</v>
      </c>
      <c r="Z19" s="43" t="str">
        <f aca="false">IF($A19="","",N19&amp;"|"&amp;L19)</f>
        <v>유럽|금융기관</v>
      </c>
      <c r="AA19" s="92" t="n">
        <f aca="false">IF(Y19=1,LN(K19),0)</f>
        <v>1.14167177812856</v>
      </c>
      <c r="AB19" s="93" t="n">
        <f aca="false">IF(Y19=1,E19,0)</f>
        <v>80.036</v>
      </c>
      <c r="AC19" s="89" t="n">
        <f aca="false">IF(Y19=1,COUNTIFS($Z$2:$Z$601,Z19,$Y$2:$Y$601,1),0)</f>
        <v>32</v>
      </c>
      <c r="AD19" s="89" t="n">
        <f aca="false">IF(Y19=1,COUNTIFS($N$2:$N$601,N19,$Y$2:$Y$601,1),0)</f>
        <v>32</v>
      </c>
      <c r="AE19" s="43" t="str">
        <f aca="false">IF(Y19&lt;&gt;1,"",IF(AND(AC19&gt;=설정!$C$7,ISNUMBER(MATCH(Z19,피어커브!$A:$A,0))),Z19,IF(AND(AD19&gt;=설정!$C$7,ISNUMBER(MATCH(N19&amp;"|전체",피어커브!$A:$A,0))),N19&amp;"|전체","전체|전체")))</f>
        <v>유럽|금융기관</v>
      </c>
      <c r="AF19" s="93" t="n">
        <f aca="false">IF(AE19="","",INDEX(피어커브!$K:$K,MATCH(AE19,피어커브!$A:$A,0)))</f>
        <v>43.3660967921697</v>
      </c>
      <c r="AG19" s="93" t="n">
        <f aca="false">IF(AE19="","",INDEX(피어커브!$J:$J,MATCH(AE19,피어커브!$A:$A,0)))</f>
        <v>30.582858826536</v>
      </c>
      <c r="AH19" s="93" t="n">
        <f aca="false">IF(AE19="","",INDEX(피어커브!$L:$L,MATCH(AE19,피어커브!$A:$A,0)))</f>
        <v>10.9882810943096</v>
      </c>
      <c r="AI19" s="93" t="n">
        <f aca="false">IF(AE19="","",AF19+AG19*AA19)</f>
        <v>78.2816836089157</v>
      </c>
      <c r="AJ19" s="96" t="n">
        <f aca="false">IF(AE19="","",E19-AI19)</f>
        <v>1.75431639108433</v>
      </c>
      <c r="AK19" s="95" t="n">
        <f aca="false">IF(AE19="","",IF(ISNUMBER(AH19),IF(AH19&gt;0,AJ19/AH19,""),""))</f>
        <v>0.159653395833933</v>
      </c>
      <c r="AL19" s="43" t="str">
        <f aca="false">IF(AK19="","-",IF(AK19&gt;=설정!$C$6,"Cheap",IF(AK19&lt;=-설정!$C$6,"Rich","Fair")))</f>
        <v>Fair</v>
      </c>
      <c r="AM19" s="96" t="n">
        <f aca="false">IF(AE19="","",AJ19-AVERAGEIFS($AJ$2:$AJ$601,$B$2:$B$601,B19,$Y$2:$Y$601,1))</f>
        <v>-4.28657733837146</v>
      </c>
      <c r="AN19" s="93" t="n">
        <f aca="false">IF(AE19="",0,IF(K19&gt;1+설정!$C$8,AG19*(AA19-LN(K19-1)),0))</f>
        <v>11.7625122293172</v>
      </c>
      <c r="AO19" s="99" t="n">
        <f aca="false">IF($A19="",0,SUMIFS(보유분석!$AA$2:$AA$801,보유분석!$AB$2:$AB$801,ROW(),보유분석!$AC$2:$AC$801,1))</f>
        <v>0</v>
      </c>
      <c r="AP19" s="43" t="str">
        <f aca="false">IF($A19="","",TRIM(IF(R19=1,"FRN ","")&amp;IF(IFERROR(VLOOKUP(M19,설정!$A$15:$D$47,4,0),0)&gt;=10,IF(IFERROR(VLOOKUP(M19,설정!$A$15:$D$47,4,0),0)&lt;99,"BBB0미만 ",""),"")&amp;IF(OR(M19="",M19="NR"),"등급미입력 ","")&amp;IF(C19&lt;&gt;"USD","비USD ","")))</f>
        <v/>
      </c>
      <c r="AQ19" s="90" t="n">
        <f aca="false">IF(AND(Y19=1,AL19="Cheap"),IF(AND(ISERROR(SEARCH("FRN",AP19)),ISERROR(SEARCH("BBB0미만",AP19))),AK19+ROW()/1000000000,-999),-999)</f>
        <v>-999</v>
      </c>
      <c r="AR19" s="92" t="n">
        <f aca="false">IF(AND(ISNUMBER(D19),ISNUMBER(K19)),D19+AN19*MAX(K19-1,0)/100,"")</f>
        <v>5.98277676072904</v>
      </c>
      <c r="AS19" s="93" t="n">
        <f aca="false">IF(AND(ISNUMBER(E19),ISNUMBER(K19)),IF(K19&gt;0,(E19+AN19*MAX(K19-1,0))/K19,""),"")</f>
        <v>33.5611992569937</v>
      </c>
      <c r="AT19" s="90" t="n">
        <f aca="false">IFERROR(IF(AND(Y19=1,ROW()&lt;&gt;스왑분석!$C$12+1,ABS(K19-INDEX($K$2:$K$601,스왑분석!$C$12))&lt;=스왑분석!$C$5,ISERROR(SEARCH("FRN",AP19)),ISERROR(SEARCH("BBB0미만",AP19))),IF(AND(OR(스왑분석!$C$6="N",L19=INDEX($L$2:$L$601,스왑분석!$C$12)),OR(스왑분석!$C$7="N",N19=INDEX($N$2:$N$601,스왑분석!$C$12)),OR(스왑분석!$C$8="N",AO19=0),E19-INDEX($E$2:$E$601,스왑분석!$C$12)&gt;=스왑분석!$C$9),E19-INDEX($E$2:$E$601,스왑분석!$C$12)+ROW()/1000000000,-999),-999),-999)</f>
        <v>31.544000019</v>
      </c>
      <c r="AU19" s="90" t="n">
        <f aca="false">IF(AND(Y19=1,AO19&gt;0,AL19="Rich"),-AK19+ROW()/1000000000,-999)</f>
        <v>-999</v>
      </c>
    </row>
    <row r="20" customFormat="false" ht="15" hidden="false" customHeight="false" outlineLevel="0" collapsed="false">
      <c r="A20" s="83" t="str">
        <f aca="false">IFERROR(IF(INDEX(원자료_시장!$A$1:$BZ$1000,설정!$L$6+ROW()-1,설정!$L$24)&amp;""="0","",INDEX(원자료_시장!$A$1:$BZ$1000,설정!$L$6+ROW()-1,설정!$L$24)),"")</f>
        <v>BACR 4.521 02/24/32</v>
      </c>
      <c r="B20" s="83" t="str">
        <f aca="false">IFERROR(IF(INDEX(원자료_시장!$A$1:$BZ$1000,설정!$L$6+ROW()-1,설정!$L$37)&amp;""="0","",INDEX(원자료_시장!$A$1:$BZ$1000,설정!$L$6+ROW()-1,설정!$L$37)),"")</f>
        <v>BARCLAYS PLC</v>
      </c>
      <c r="C20" s="83" t="str">
        <f aca="false">IFERROR(IF(INDEX(원자료_시장!$A$1:$BZ$1000,설정!$L$6+ROW()-1,설정!$L$25)&amp;""="0","",INDEX(원자료_시장!$A$1:$BZ$1000,설정!$L$6+ROW()-1,설정!$L$25)),"")</f>
        <v>USD</v>
      </c>
      <c r="D20" s="85" t="n">
        <f aca="false">IFERROR(IF(ISNUMBER(INDEX(원자료_시장!$A$1:$BZ$1000,설정!$L$6+ROW()-1,설정!$L$26)),INDEX(원자료_시장!$A$1:$BZ$1000,설정!$L$6+ROW()-1,설정!$L$26),""),"")</f>
        <v>5.857</v>
      </c>
      <c r="E20" s="97" t="n">
        <f aca="false">IFERROR(IF(ISNUMBER(INDEX(원자료_시장!$A$1:$BZ$1000,설정!$L$6+ROW()-1,설정!$L$27)),INDEX(원자료_시장!$A$1:$BZ$1000,설정!$L$6+ROW()-1,설정!$L$27),""),"")</f>
        <v>93.504</v>
      </c>
      <c r="F20" s="97" t="n">
        <f aca="false">IFERROR(IF(ISNUMBER(INDEX(원자료_시장!$A$1:$BZ$1000,설정!$L$6+ROW()-1,설정!$L$28)),INDEX(원자료_시장!$A$1:$BZ$1000,설정!$L$6+ROW()-1,설정!$L$28),""),"")</f>
        <v>127.281</v>
      </c>
      <c r="G20" s="97" t="n">
        <f aca="false">IFERROR(IF(ISNUMBER(INDEX(원자료_시장!$A$1:$BZ$1000,설정!$L$6+ROW()-1,설정!$L$29)),INDEX(원자료_시장!$A$1:$BZ$1000,설정!$L$6+ROW()-1,설정!$L$29),""),"")</f>
        <v>-1.2</v>
      </c>
      <c r="H20" s="97" t="n">
        <f aca="false">IFERROR(IF(ISNUMBER(INDEX(원자료_시장!$A$1:$BZ$1000,설정!$L$6+ROW()-1,설정!$L$30)),INDEX(원자료_시장!$A$1:$BZ$1000,설정!$L$6+ROW()-1,설정!$L$30),""),"")</f>
        <v>3.7</v>
      </c>
      <c r="I20" s="97" t="n">
        <f aca="false">IFERROR(IF(ISNUMBER(INDEX(원자료_시장!$A$1:$BZ$1000,설정!$L$6+ROW()-1,설정!$L$31)),INDEX(원자료_시장!$A$1:$BZ$1000,설정!$L$6+ROW()-1,설정!$L$31),""),"")</f>
        <v>-1.4</v>
      </c>
      <c r="J20" s="97" t="n">
        <f aca="false">IFERROR(IF(ISNUMBER(INDEX(원자료_시장!$A$1:$BZ$1000,설정!$L$6+ROW()-1,설정!$L$32)),INDEX(원자료_시장!$A$1:$BZ$1000,설정!$L$6+ROW()-1,설정!$L$32),""),"")</f>
        <v>-5.9</v>
      </c>
      <c r="K20" s="85" t="n">
        <f aca="false">IFERROR(IF(ISNUMBER(INDEX(원자료_시장!$A$1:$BZ$1000,설정!$L$6+ROW()-1,설정!$L$33)),INDEX(원자료_시장!$A$1:$BZ$1000,설정!$L$6+ROW()-1,설정!$L$33),""),"")</f>
        <v>4.002</v>
      </c>
      <c r="L20" s="83" t="str">
        <f aca="false">IFERROR(IF(INDEX(원자료_시장!$A$1:$BZ$1000,설정!$L$6+ROW()-1,설정!$L$34)&amp;""="0","",INDEX(원자료_시장!$A$1:$BZ$1000,설정!$L$6+ROW()-1,설정!$L$34)),"")</f>
        <v>금융기관</v>
      </c>
      <c r="M20" s="83" t="str">
        <f aca="false">IFERROR(IF(INDEX(원자료_시장!$A$1:$BZ$1000,설정!$L$6+ROW()-1,설정!$L$35)&amp;""="0","",INDEX(원자료_시장!$A$1:$BZ$1000,설정!$L$6+ROW()-1,설정!$L$35)),"")</f>
        <v>BBB+</v>
      </c>
      <c r="N20" s="83" t="str">
        <f aca="false">IFERROR(IF(INDEX(원자료_시장!$A$1:$BZ$1000,설정!$L$6+ROW()-1,설정!$L$36)&amp;""="0","",INDEX(원자료_시장!$A$1:$BZ$1000,설정!$L$6+ROW()-1,설정!$L$36)),"")</f>
        <v>유럽</v>
      </c>
      <c r="O20" s="43" t="str">
        <f aca="false">IF($A20="","",UPPER(LEFT($A20,FIND(" ",$A20&amp;" ")-1)))</f>
        <v>BACR</v>
      </c>
      <c r="P20" s="43" t="str">
        <f aca="false">IF($A20="","",TRIM(RIGHT(SUBSTITUTE(TRIM($A20)," ",REPT(" ",30)),30)))</f>
        <v>02/24/32</v>
      </c>
      <c r="Q20" s="98" t="n">
        <f aca="false">IF($A20="","",IFERROR(DATE(IF(LEN(P20)=8,2000+VALUE(RIGHT(P20,2)),VALUE(RIGHT(P20,4))),VALUE(LEFT(P20,2)),VALUE(MID(P20,4,2))),""))</f>
        <v>48268</v>
      </c>
      <c r="R20" s="89" t="n">
        <f aca="false">IF($A20="",0,IF(ISNUMBER(SEARCH("Float",$A20)),1,0))</f>
        <v>0</v>
      </c>
      <c r="S20" s="43" t="str">
        <f aca="false">IF($A20="","",TRIM(MID($A20,LEN(O20)+2,LEN($A20)-LEN(O20)-LEN(P20)-1)))</f>
        <v>4.521</v>
      </c>
      <c r="T20" s="92" t="n">
        <f aca="false">IF(OR($A20="",R20=1),"",IFERROR(IF(ISNUMBER(FIND("/",S20)),IF(ISNUMBER(FIND(" ",S20)),VALUE(LEFT(S20,FIND(" ",S20)-1))+VALUE(MID(S20,FIND(" ",S20)+1,FIND("/",S20)-FIND(" ",S20)-1))/VALUE(MID(S20,FIND("/",S20)+1,9)),VALUE(LEFT(S20,FIND("/",S20)-1))/VALUE(MID(S20,FIND("/",S20)+1,9))),VALUE(S20)),""))</f>
        <v>4.521</v>
      </c>
      <c r="U20" s="43" t="str">
        <f aca="false">IF(OR($A20="",NOT(ISNUMBER(Q20))),"",TEXT(Q20,"yyyymmdd")&amp;"|"&amp;IF(R20=1,"F",TEXT(T20,"0.000")))</f>
        <v>20320224|4.521</v>
      </c>
      <c r="V20" s="43" t="str">
        <f aca="false">IF(U20="","",O20&amp;"|"&amp;U20)</f>
        <v>BACR|20320224|4.521</v>
      </c>
      <c r="W20" s="43" t="str">
        <f aca="false">IF($A20="","",IFERROR(IF(VLOOKUP(O20,매핑!$A$4:$E$92,3,0)="","미분류",VLOOKUP(O20,매핑!$A$4:$E$92,3,0)),"미분류"))</f>
        <v>영국</v>
      </c>
      <c r="X20" s="89" t="n">
        <f aca="false">IF($A20="",0,IF(O20="T",1,0))</f>
        <v>0</v>
      </c>
      <c r="Y20" s="89" t="n">
        <f aca="false">IF($A20="",0,IF(AND(C20="USD",X20=0,ISNUMBER(E20),ISNUMBER(K20)),IF(K20&gt;=설정!$C$8,1,0),0))</f>
        <v>1</v>
      </c>
      <c r="Z20" s="43" t="str">
        <f aca="false">IF($A20="","",N20&amp;"|"&amp;L20)</f>
        <v>유럽|금융기관</v>
      </c>
      <c r="AA20" s="92" t="n">
        <f aca="false">IF(Y20=1,LN(K20),0)</f>
        <v>1.38679423616154</v>
      </c>
      <c r="AB20" s="93" t="n">
        <f aca="false">IF(Y20=1,E20,0)</f>
        <v>93.504</v>
      </c>
      <c r="AC20" s="89" t="n">
        <f aca="false">IF(Y20=1,COUNTIFS($Z$2:$Z$601,Z20,$Y$2:$Y$601,1),0)</f>
        <v>32</v>
      </c>
      <c r="AD20" s="89" t="n">
        <f aca="false">IF(Y20=1,COUNTIFS($N$2:$N$601,N20,$Y$2:$Y$601,1),0)</f>
        <v>32</v>
      </c>
      <c r="AE20" s="43" t="str">
        <f aca="false">IF(Y20&lt;&gt;1,"",IF(AND(AC20&gt;=설정!$C$7,ISNUMBER(MATCH(Z20,피어커브!$A:$A,0))),Z20,IF(AND(AD20&gt;=설정!$C$7,ISNUMBER(MATCH(N20&amp;"|전체",피어커브!$A:$A,0))),N20&amp;"|전체","전체|전체")))</f>
        <v>유럽|금융기관</v>
      </c>
      <c r="AF20" s="93" t="n">
        <f aca="false">IF(AE20="","",INDEX(피어커브!$K:$K,MATCH(AE20,피어커브!$A:$A,0)))</f>
        <v>43.3660967921697</v>
      </c>
      <c r="AG20" s="93" t="n">
        <f aca="false">IF(AE20="","",INDEX(피어커브!$J:$J,MATCH(AE20,피어커브!$A:$A,0)))</f>
        <v>30.582858826536</v>
      </c>
      <c r="AH20" s="93" t="n">
        <f aca="false">IF(AE20="","",INDEX(피어커브!$L:$L,MATCH(AE20,피어커브!$A:$A,0)))</f>
        <v>10.9882810943096</v>
      </c>
      <c r="AI20" s="93" t="n">
        <f aca="false">IF(AE20="","",AF20+AG20*AA20)</f>
        <v>85.7782291381519</v>
      </c>
      <c r="AJ20" s="96" t="n">
        <f aca="false">IF(AE20="","",E20-AI20)</f>
        <v>7.72577086184806</v>
      </c>
      <c r="AK20" s="95" t="n">
        <f aca="false">IF(AE20="","",IF(ISNUMBER(AH20),IF(AH20&gt;0,AJ20/AH20,""),""))</f>
        <v>0.703091848082493</v>
      </c>
      <c r="AL20" s="43" t="str">
        <f aca="false">IF(AK20="","-",IF(AK20&gt;=설정!$C$6,"Cheap",IF(AK20&lt;=-설정!$C$6,"Rich","Fair")))</f>
        <v>Fair</v>
      </c>
      <c r="AM20" s="96" t="n">
        <f aca="false">IF(AE20="","",AJ20-AVERAGEIFS($AJ$2:$AJ$601,$B$2:$B$601,B20,$Y$2:$Y$601,1))</f>
        <v>1.68487713239227</v>
      </c>
      <c r="AN20" s="93" t="n">
        <f aca="false">IF(AE20="",0,IF(K20&gt;1+설정!$C$8,AG20*(AA20-LN(K20-1)),0))</f>
        <v>8.79304603716865</v>
      </c>
      <c r="AO20" s="99" t="n">
        <f aca="false">IF($A20="",0,SUMIFS(보유분석!$AA$2:$AA$801,보유분석!$AB$2:$AB$801,ROW(),보유분석!$AC$2:$AC$801,1))</f>
        <v>9.43566</v>
      </c>
      <c r="AP20" s="43" t="str">
        <f aca="false">IF($A20="","",TRIM(IF(R20=1,"FRN ","")&amp;IF(IFERROR(VLOOKUP(M20,설정!$A$15:$D$47,4,0),0)&gt;=10,IF(IFERROR(VLOOKUP(M20,설정!$A$15:$D$47,4,0),0)&lt;99,"BBB0미만 ",""),"")&amp;IF(OR(M20="",M20="NR"),"등급미입력 ","")&amp;IF(C20&lt;&gt;"USD","비USD ","")))</f>
        <v/>
      </c>
      <c r="AQ20" s="90" t="n">
        <f aca="false">IF(AND(Y20=1,AL20="Cheap"),IF(AND(ISERROR(SEARCH("FRN",AP20)),ISERROR(SEARCH("BBB0미만",AP20))),AK20+ROW()/1000000000,-999),-999)</f>
        <v>-999</v>
      </c>
      <c r="AR20" s="92" t="n">
        <f aca="false">IF(AND(ISNUMBER(D20),ISNUMBER(K20)),D20+AN20*MAX(K20-1,0)/100,"")</f>
        <v>6.1209672420358</v>
      </c>
      <c r="AS20" s="93" t="n">
        <f aca="false">IF(AND(ISNUMBER(E20),ISNUMBER(K20)),IF(K20&gt;0,(E20+AN20*MAX(K20-1,0))/K20,""),"")</f>
        <v>29.9602009504199</v>
      </c>
      <c r="AT20" s="90" t="n">
        <f aca="false">IFERROR(IF(AND(Y20=1,ROW()&lt;&gt;스왑분석!$C$12+1,ABS(K20-INDEX($K$2:$K$601,스왑분석!$C$12))&lt;=스왑분석!$C$5,ISERROR(SEARCH("FRN",AP20)),ISERROR(SEARCH("BBB0미만",AP20))),IF(AND(OR(스왑분석!$C$6="N",L20=INDEX($L$2:$L$601,스왑분석!$C$12)),OR(스왑분석!$C$7="N",N20=INDEX($N$2:$N$601,스왑분석!$C$12)),OR(스왑분석!$C$8="N",AO20=0),E20-INDEX($E$2:$E$601,스왑분석!$C$12)&gt;=스왑분석!$C$9),E20-INDEX($E$2:$E$601,스왑분석!$C$12)+ROW()/1000000000,-999),-999),-999)</f>
        <v>45.01200002</v>
      </c>
      <c r="AU20" s="90" t="n">
        <f aca="false">IF(AND(Y20=1,AO20&gt;0,AL20="Rich"),-AK20+ROW()/1000000000,-999)</f>
        <v>-999</v>
      </c>
    </row>
    <row r="21" customFormat="false" ht="15" hidden="false" customHeight="false" outlineLevel="0" collapsed="false">
      <c r="A21" s="83" t="str">
        <f aca="false">IFERROR(IF(INDEX(원자료_시장!$A$1:$BZ$1000,설정!$L$6+ROW()-1,설정!$L$24)&amp;""="0","",INDEX(원자료_시장!$A$1:$BZ$1000,설정!$L$6+ROW()-1,설정!$L$24)),"")</f>
        <v>BACR 5.102 06/26/32</v>
      </c>
      <c r="B21" s="83" t="str">
        <f aca="false">IFERROR(IF(INDEX(원자료_시장!$A$1:$BZ$1000,설정!$L$6+ROW()-1,설정!$L$37)&amp;""="0","",INDEX(원자료_시장!$A$1:$BZ$1000,설정!$L$6+ROW()-1,설정!$L$37)),"")</f>
        <v>BARCLAYS PLC</v>
      </c>
      <c r="C21" s="83" t="str">
        <f aca="false">IFERROR(IF(INDEX(원자료_시장!$A$1:$BZ$1000,설정!$L$6+ROW()-1,설정!$L$25)&amp;""="0","",INDEX(원자료_시장!$A$1:$BZ$1000,설정!$L$6+ROW()-1,설정!$L$25)),"")</f>
        <v>USD</v>
      </c>
      <c r="D21" s="85" t="n">
        <f aca="false">IFERROR(IF(ISNUMBER(INDEX(원자료_시장!$A$1:$BZ$1000,설정!$L$6+ROW()-1,설정!$L$26)),INDEX(원자료_시장!$A$1:$BZ$1000,설정!$L$6+ROW()-1,설정!$L$26),""),"")</f>
        <v>5.922</v>
      </c>
      <c r="E21" s="97" t="n">
        <f aca="false">IFERROR(IF(ISNUMBER(INDEX(원자료_시장!$A$1:$BZ$1000,설정!$L$6+ROW()-1,설정!$L$27)),INDEX(원자료_시장!$A$1:$BZ$1000,설정!$L$6+ROW()-1,설정!$L$27),""),"")</f>
        <v>99.679</v>
      </c>
      <c r="F21" s="97" t="n">
        <f aca="false">IFERROR(IF(ISNUMBER(INDEX(원자료_시장!$A$1:$BZ$1000,설정!$L$6+ROW()-1,설정!$L$28)),INDEX(원자료_시장!$A$1:$BZ$1000,설정!$L$6+ROW()-1,설정!$L$28),""),"")</f>
        <v>133.158</v>
      </c>
      <c r="G21" s="97" t="n">
        <f aca="false">IFERROR(IF(ISNUMBER(INDEX(원자료_시장!$A$1:$BZ$1000,설정!$L$6+ROW()-1,설정!$L$29)),INDEX(원자료_시장!$A$1:$BZ$1000,설정!$L$6+ROW()-1,설정!$L$29),""),"")</f>
        <v>-1.2</v>
      </c>
      <c r="H21" s="97" t="n">
        <f aca="false">IFERROR(IF(ISNUMBER(INDEX(원자료_시장!$A$1:$BZ$1000,설정!$L$6+ROW()-1,설정!$L$30)),INDEX(원자료_시장!$A$1:$BZ$1000,설정!$L$6+ROW()-1,설정!$L$30),""),"")</f>
        <v>7.9</v>
      </c>
      <c r="I21" s="97" t="n">
        <f aca="false">IFERROR(IF(ISNUMBER(INDEX(원자료_시장!$A$1:$BZ$1000,설정!$L$6+ROW()-1,설정!$L$31)),INDEX(원자료_시장!$A$1:$BZ$1000,설정!$L$6+ROW()-1,설정!$L$31),""),"")</f>
        <v>-2.3</v>
      </c>
      <c r="J21" s="97" t="n">
        <f aca="false">IFERROR(IF(ISNUMBER(INDEX(원자료_시장!$A$1:$BZ$1000,설정!$L$6+ROW()-1,설정!$L$32)),INDEX(원자료_시장!$A$1:$BZ$1000,설정!$L$6+ROW()-1,설정!$L$32),""),"")</f>
        <v>-2.9</v>
      </c>
      <c r="K21" s="85" t="n">
        <f aca="false">IFERROR(IF(ISNUMBER(INDEX(원자료_시장!$A$1:$BZ$1000,설정!$L$6+ROW()-1,설정!$L$33)),INDEX(원자료_시장!$A$1:$BZ$1000,설정!$L$6+ROW()-1,설정!$L$33),""),"")</f>
        <v>4.195</v>
      </c>
      <c r="L21" s="83" t="str">
        <f aca="false">IFERROR(IF(INDEX(원자료_시장!$A$1:$BZ$1000,설정!$L$6+ROW()-1,설정!$L$34)&amp;""="0","",INDEX(원자료_시장!$A$1:$BZ$1000,설정!$L$6+ROW()-1,설정!$L$34)),"")</f>
        <v>금융기관</v>
      </c>
      <c r="M21" s="83" t="str">
        <f aca="false">IFERROR(IF(INDEX(원자료_시장!$A$1:$BZ$1000,설정!$L$6+ROW()-1,설정!$L$35)&amp;""="0","",INDEX(원자료_시장!$A$1:$BZ$1000,설정!$L$6+ROW()-1,설정!$L$35)),"")</f>
        <v>BBB+</v>
      </c>
      <c r="N21" s="83" t="str">
        <f aca="false">IFERROR(IF(INDEX(원자료_시장!$A$1:$BZ$1000,설정!$L$6+ROW()-1,설정!$L$36)&amp;""="0","",INDEX(원자료_시장!$A$1:$BZ$1000,설정!$L$6+ROW()-1,설정!$L$36)),"")</f>
        <v>유럽</v>
      </c>
      <c r="O21" s="43" t="str">
        <f aca="false">IF($A21="","",UPPER(LEFT($A21,FIND(" ",$A21&amp;" ")-1)))</f>
        <v>BACR</v>
      </c>
      <c r="P21" s="43" t="str">
        <f aca="false">IF($A21="","",TRIM(RIGHT(SUBSTITUTE(TRIM($A21)," ",REPT(" ",30)),30)))</f>
        <v>06/26/32</v>
      </c>
      <c r="Q21" s="98" t="n">
        <f aca="false">IF($A21="","",IFERROR(DATE(IF(LEN(P21)=8,2000+VALUE(RIGHT(P21,2)),VALUE(RIGHT(P21,4))),VALUE(LEFT(P21,2)),VALUE(MID(P21,4,2))),""))</f>
        <v>48391</v>
      </c>
      <c r="R21" s="89" t="n">
        <f aca="false">IF($A21="",0,IF(ISNUMBER(SEARCH("Float",$A21)),1,0))</f>
        <v>0</v>
      </c>
      <c r="S21" s="43" t="str">
        <f aca="false">IF($A21="","",TRIM(MID($A21,LEN(O21)+2,LEN($A21)-LEN(O21)-LEN(P21)-1)))</f>
        <v>5.102</v>
      </c>
      <c r="T21" s="92" t="n">
        <f aca="false">IF(OR($A21="",R21=1),"",IFERROR(IF(ISNUMBER(FIND("/",S21)),IF(ISNUMBER(FIND(" ",S21)),VALUE(LEFT(S21,FIND(" ",S21)-1))+VALUE(MID(S21,FIND(" ",S21)+1,FIND("/",S21)-FIND(" ",S21)-1))/VALUE(MID(S21,FIND("/",S21)+1,9)),VALUE(LEFT(S21,FIND("/",S21)-1))/VALUE(MID(S21,FIND("/",S21)+1,9))),VALUE(S21)),""))</f>
        <v>5.102</v>
      </c>
      <c r="U21" s="43" t="str">
        <f aca="false">IF(OR($A21="",NOT(ISNUMBER(Q21))),"",TEXT(Q21,"yyyymmdd")&amp;"|"&amp;IF(R21=1,"F",TEXT(T21,"0.000")))</f>
        <v>20320626|5.102</v>
      </c>
      <c r="V21" s="43" t="str">
        <f aca="false">IF(U21="","",O21&amp;"|"&amp;U21)</f>
        <v>BACR|20320626|5.102</v>
      </c>
      <c r="W21" s="43" t="str">
        <f aca="false">IF($A21="","",IFERROR(IF(VLOOKUP(O21,매핑!$A$4:$E$92,3,0)="","미분류",VLOOKUP(O21,매핑!$A$4:$E$92,3,0)),"미분류"))</f>
        <v>영국</v>
      </c>
      <c r="X21" s="89" t="n">
        <f aca="false">IF($A21="",0,IF(O21="T",1,0))</f>
        <v>0</v>
      </c>
      <c r="Y21" s="89" t="n">
        <f aca="false">IF($A21="",0,IF(AND(C21="USD",X21=0,ISNUMBER(E21),ISNUMBER(K21)),IF(K21&gt;=설정!$C$8,1,0),0))</f>
        <v>1</v>
      </c>
      <c r="Z21" s="43" t="str">
        <f aca="false">IF($A21="","",N21&amp;"|"&amp;L21)</f>
        <v>유럽|금융기관</v>
      </c>
      <c r="AA21" s="92" t="n">
        <f aca="false">IF(Y21=1,LN(K21),0)</f>
        <v>1.43389333991917</v>
      </c>
      <c r="AB21" s="93" t="n">
        <f aca="false">IF(Y21=1,E21,0)</f>
        <v>99.679</v>
      </c>
      <c r="AC21" s="89" t="n">
        <f aca="false">IF(Y21=1,COUNTIFS($Z$2:$Z$601,Z21,$Y$2:$Y$601,1),0)</f>
        <v>32</v>
      </c>
      <c r="AD21" s="89" t="n">
        <f aca="false">IF(Y21=1,COUNTIFS($N$2:$N$601,N21,$Y$2:$Y$601,1),0)</f>
        <v>32</v>
      </c>
      <c r="AE21" s="43" t="str">
        <f aca="false">IF(Y21&lt;&gt;1,"",IF(AND(AC21&gt;=설정!$C$7,ISNUMBER(MATCH(Z21,피어커브!$A:$A,0))),Z21,IF(AND(AD21&gt;=설정!$C$7,ISNUMBER(MATCH(N21&amp;"|전체",피어커브!$A:$A,0))),N21&amp;"|전체","전체|전체")))</f>
        <v>유럽|금융기관</v>
      </c>
      <c r="AF21" s="93" t="n">
        <f aca="false">IF(AE21="","",INDEX(피어커브!$K:$K,MATCH(AE21,피어커브!$A:$A,0)))</f>
        <v>43.3660967921697</v>
      </c>
      <c r="AG21" s="93" t="n">
        <f aca="false">IF(AE21="","",INDEX(피어커브!$J:$J,MATCH(AE21,피어커브!$A:$A,0)))</f>
        <v>30.582858826536</v>
      </c>
      <c r="AH21" s="93" t="n">
        <f aca="false">IF(AE21="","",INDEX(피어커브!$L:$L,MATCH(AE21,피어커브!$A:$A,0)))</f>
        <v>10.9882810943096</v>
      </c>
      <c r="AI21" s="93" t="n">
        <f aca="false">IF(AE21="","",AF21+AG21*AA21)</f>
        <v>87.2186543792279</v>
      </c>
      <c r="AJ21" s="96" t="n">
        <f aca="false">IF(AE21="","",E21-AI21)</f>
        <v>12.4603456207721</v>
      </c>
      <c r="AK21" s="95" t="n">
        <f aca="false">IF(AE21="","",IF(ISNUMBER(AH21),IF(AH21&gt;0,AJ21/AH21,""),""))</f>
        <v>1.13396677003693</v>
      </c>
      <c r="AL21" s="43" t="str">
        <f aca="false">IF(AK21="","-",IF(AK21&gt;=설정!$C$6,"Cheap",IF(AK21&lt;=-설정!$C$6,"Rich","Fair")))</f>
        <v>Cheap</v>
      </c>
      <c r="AM21" s="96" t="n">
        <f aca="false">IF(AE21="","",AJ21-AVERAGEIFS($AJ$2:$AJ$601,$B$2:$B$601,B21,$Y$2:$Y$601,1))</f>
        <v>6.41945189131634</v>
      </c>
      <c r="AN21" s="93" t="n">
        <f aca="false">IF(AE21="",0,IF(K21&gt;1+설정!$C$8,AG21*(AA21-LN(K21-1)),0))</f>
        <v>8.32790366524155</v>
      </c>
      <c r="AO21" s="99" t="n">
        <f aca="false">IF($A21="",0,SUMIFS(보유분석!$AA$2:$AA$801,보유분석!$AB$2:$AB$801,ROW(),보유분석!$AC$2:$AC$801,1))</f>
        <v>4.805865</v>
      </c>
      <c r="AP21" s="43" t="str">
        <f aca="false">IF($A21="","",TRIM(IF(R21=1,"FRN ","")&amp;IF(IFERROR(VLOOKUP(M21,설정!$A$15:$D$47,4,0),0)&gt;=10,IF(IFERROR(VLOOKUP(M21,설정!$A$15:$D$47,4,0),0)&lt;99,"BBB0미만 ",""),"")&amp;IF(OR(M21="",M21="NR"),"등급미입력 ","")&amp;IF(C21&lt;&gt;"USD","비USD ","")))</f>
        <v/>
      </c>
      <c r="AQ21" s="90" t="n">
        <f aca="false">IF(AND(Y21=1,AL21="Cheap"),IF(AND(ISERROR(SEARCH("FRN",AP21)),ISERROR(SEARCH("BBB0미만",AP21))),AK21+ROW()/1000000000,-999),-999)</f>
        <v>1.13396679103693</v>
      </c>
      <c r="AR21" s="92" t="n">
        <f aca="false">IF(AND(ISNUMBER(D21),ISNUMBER(K21)),D21+AN21*MAX(K21-1,0)/100,"")</f>
        <v>6.18807652210447</v>
      </c>
      <c r="AS21" s="93" t="n">
        <f aca="false">IF(AND(ISNUMBER(E21),ISNUMBER(K21)),IF(K21&gt;0,(E21+AN21*MAX(K21-1,0))/K21,""),"")</f>
        <v>30.1040887271625</v>
      </c>
      <c r="AT21" s="90" t="n">
        <f aca="false">IFERROR(IF(AND(Y21=1,ROW()&lt;&gt;스왑분석!$C$12+1,ABS(K21-INDEX($K$2:$K$601,스왑분석!$C$12))&lt;=스왑분석!$C$5,ISERROR(SEARCH("FRN",AP21)),ISERROR(SEARCH("BBB0미만",AP21))),IF(AND(OR(스왑분석!$C$6="N",L21=INDEX($L$2:$L$601,스왑분석!$C$12)),OR(스왑분석!$C$7="N",N21=INDEX($N$2:$N$601,스왑분석!$C$12)),OR(스왑분석!$C$8="N",AO21=0),E21-INDEX($E$2:$E$601,스왑분석!$C$12)&gt;=스왑분석!$C$9),E21-INDEX($E$2:$E$601,스왑분석!$C$12)+ROW()/1000000000,-999),-999),-999)</f>
        <v>51.187000021</v>
      </c>
      <c r="AU21" s="90" t="n">
        <f aca="false">IF(AND(Y21=1,AO21&gt;0,AL21="Rich"),-AK21+ROW()/1000000000,-999)</f>
        <v>-999</v>
      </c>
    </row>
    <row r="22" customFormat="false" ht="15" hidden="false" customHeight="false" outlineLevel="0" collapsed="false">
      <c r="A22" s="83" t="str">
        <f aca="false">IFERROR(IF(INDEX(원자료_시장!$A$1:$BZ$1000,설정!$L$6+ROW()-1,설정!$L$24)&amp;""="0","",INDEX(원자료_시장!$A$1:$BZ$1000,설정!$L$6+ROW()-1,설정!$L$24)),"")</f>
        <v>BNP 5.283 11/19/30</v>
      </c>
      <c r="B22" s="83" t="str">
        <f aca="false">IFERROR(IF(INDEX(원자료_시장!$A$1:$BZ$1000,설정!$L$6+ROW()-1,설정!$L$37)&amp;""="0","",INDEX(원자료_시장!$A$1:$BZ$1000,설정!$L$6+ROW()-1,설정!$L$37)),"")</f>
        <v>BNP PARIBAS</v>
      </c>
      <c r="C22" s="83" t="str">
        <f aca="false">IFERROR(IF(INDEX(원자료_시장!$A$1:$BZ$1000,설정!$L$6+ROW()-1,설정!$L$25)&amp;""="0","",INDEX(원자료_시장!$A$1:$BZ$1000,설정!$L$6+ROW()-1,설정!$L$25)),"")</f>
        <v>USD</v>
      </c>
      <c r="D22" s="85" t="n">
        <f aca="false">IFERROR(IF(ISNUMBER(INDEX(원자료_시장!$A$1:$BZ$1000,설정!$L$6+ROW()-1,설정!$L$26)),INDEX(원자료_시장!$A$1:$BZ$1000,설정!$L$6+ROW()-1,설정!$L$26),""),"")</f>
        <v>5.75</v>
      </c>
      <c r="E22" s="97" t="n">
        <f aca="false">IFERROR(IF(ISNUMBER(INDEX(원자료_시장!$A$1:$BZ$1000,설정!$L$6+ROW()-1,설정!$L$27)),INDEX(원자료_시장!$A$1:$BZ$1000,설정!$L$6+ROW()-1,설정!$L$27),""),"")</f>
        <v>91.092</v>
      </c>
      <c r="F22" s="97" t="n">
        <f aca="false">IFERROR(IF(ISNUMBER(INDEX(원자료_시장!$A$1:$BZ$1000,설정!$L$6+ROW()-1,설정!$L$28)),INDEX(원자료_시장!$A$1:$BZ$1000,설정!$L$6+ROW()-1,설정!$L$28),""),"")</f>
        <v>117.375</v>
      </c>
      <c r="G22" s="97" t="n">
        <f aca="false">IFERROR(IF(ISNUMBER(INDEX(원자료_시장!$A$1:$BZ$1000,설정!$L$6+ROW()-1,설정!$L$29)),INDEX(원자료_시장!$A$1:$BZ$1000,설정!$L$6+ROW()-1,설정!$L$29),""),"")</f>
        <v>-2</v>
      </c>
      <c r="H22" s="97" t="n">
        <f aca="false">IFERROR(IF(ISNUMBER(INDEX(원자료_시장!$A$1:$BZ$1000,설정!$L$6+ROW()-1,설정!$L$30)),INDEX(원자료_시장!$A$1:$BZ$1000,설정!$L$6+ROW()-1,설정!$L$30),""),"")</f>
        <v>7.1</v>
      </c>
      <c r="I22" s="97" t="n">
        <f aca="false">IFERROR(IF(ISNUMBER(INDEX(원자료_시장!$A$1:$BZ$1000,설정!$L$6+ROW()-1,설정!$L$31)),INDEX(원자료_시장!$A$1:$BZ$1000,설정!$L$6+ROW()-1,설정!$L$31),""),"")</f>
        <v>1.1</v>
      </c>
      <c r="J22" s="97" t="n">
        <f aca="false">IFERROR(IF(ISNUMBER(INDEX(원자료_시장!$A$1:$BZ$1000,설정!$L$6+ROW()-1,설정!$L$32)),INDEX(원자료_시장!$A$1:$BZ$1000,설정!$L$6+ROW()-1,설정!$L$32),""),"")</f>
        <v>-0.1</v>
      </c>
      <c r="K22" s="85" t="n">
        <f aca="false">IFERROR(IF(ISNUMBER(INDEX(원자료_시장!$A$1:$BZ$1000,설정!$L$6+ROW()-1,설정!$L$33)),INDEX(원자료_시장!$A$1:$BZ$1000,설정!$L$6+ROW()-1,설정!$L$33),""),"")</f>
        <v>2.869</v>
      </c>
      <c r="L22" s="83" t="str">
        <f aca="false">IFERROR(IF(INDEX(원자료_시장!$A$1:$BZ$1000,설정!$L$6+ROW()-1,설정!$L$34)&amp;""="0","",INDEX(원자료_시장!$A$1:$BZ$1000,설정!$L$6+ROW()-1,설정!$L$34)),"")</f>
        <v>금융기관</v>
      </c>
      <c r="M22" s="83" t="str">
        <f aca="false">IFERROR(IF(INDEX(원자료_시장!$A$1:$BZ$1000,설정!$L$6+ROW()-1,설정!$L$35)&amp;""="0","",INDEX(원자료_시장!$A$1:$BZ$1000,설정!$L$6+ROW()-1,설정!$L$35)),"")</f>
        <v>A-</v>
      </c>
      <c r="N22" s="83" t="str">
        <f aca="false">IFERROR(IF(INDEX(원자료_시장!$A$1:$BZ$1000,설정!$L$6+ROW()-1,설정!$L$36)&amp;""="0","",INDEX(원자료_시장!$A$1:$BZ$1000,설정!$L$6+ROW()-1,설정!$L$36)),"")</f>
        <v>유럽</v>
      </c>
      <c r="O22" s="43" t="str">
        <f aca="false">IF($A22="","",UPPER(LEFT($A22,FIND(" ",$A22&amp;" ")-1)))</f>
        <v>BNP</v>
      </c>
      <c r="P22" s="43" t="str">
        <f aca="false">IF($A22="","",TRIM(RIGHT(SUBSTITUTE(TRIM($A22)," ",REPT(" ",30)),30)))</f>
        <v>11/19/30</v>
      </c>
      <c r="Q22" s="98" t="n">
        <f aca="false">IF($A22="","",IFERROR(DATE(IF(LEN(P22)=8,2000+VALUE(RIGHT(P22,2)),VALUE(RIGHT(P22,4))),VALUE(LEFT(P22,2)),VALUE(MID(P22,4,2))),""))</f>
        <v>47806</v>
      </c>
      <c r="R22" s="89" t="n">
        <f aca="false">IF($A22="",0,IF(ISNUMBER(SEARCH("Float",$A22)),1,0))</f>
        <v>0</v>
      </c>
      <c r="S22" s="43" t="str">
        <f aca="false">IF($A22="","",TRIM(MID($A22,LEN(O22)+2,LEN($A22)-LEN(O22)-LEN(P22)-1)))</f>
        <v>5.283</v>
      </c>
      <c r="T22" s="92" t="n">
        <f aca="false">IF(OR($A22="",R22=1),"",IFERROR(IF(ISNUMBER(FIND("/",S22)),IF(ISNUMBER(FIND(" ",S22)),VALUE(LEFT(S22,FIND(" ",S22)-1))+VALUE(MID(S22,FIND(" ",S22)+1,FIND("/",S22)-FIND(" ",S22)-1))/VALUE(MID(S22,FIND("/",S22)+1,9)),VALUE(LEFT(S22,FIND("/",S22)-1))/VALUE(MID(S22,FIND("/",S22)+1,9))),VALUE(S22)),""))</f>
        <v>5.283</v>
      </c>
      <c r="U22" s="43" t="str">
        <f aca="false">IF(OR($A22="",NOT(ISNUMBER(Q22))),"",TEXT(Q22,"yyyymmdd")&amp;"|"&amp;IF(R22=1,"F",TEXT(T22,"0.000")))</f>
        <v>20301119|5.283</v>
      </c>
      <c r="V22" s="43" t="str">
        <f aca="false">IF(U22="","",O22&amp;"|"&amp;U22)</f>
        <v>BNP|20301119|5.283</v>
      </c>
      <c r="W22" s="43" t="str">
        <f aca="false">IF($A22="","",IFERROR(IF(VLOOKUP(O22,매핑!$A$4:$E$92,3,0)="","미분류",VLOOKUP(O22,매핑!$A$4:$E$92,3,0)),"미분류"))</f>
        <v>프랑스</v>
      </c>
      <c r="X22" s="89" t="n">
        <f aca="false">IF($A22="",0,IF(O22="T",1,0))</f>
        <v>0</v>
      </c>
      <c r="Y22" s="89" t="n">
        <f aca="false">IF($A22="",0,IF(AND(C22="USD",X22=0,ISNUMBER(E22),ISNUMBER(K22)),IF(K22&gt;=설정!$C$8,1,0),0))</f>
        <v>1</v>
      </c>
      <c r="Z22" s="43" t="str">
        <f aca="false">IF($A22="","",N22&amp;"|"&amp;L22)</f>
        <v>유럽|금융기관</v>
      </c>
      <c r="AA22" s="92" t="n">
        <f aca="false">IF(Y22=1,LN(K22),0)</f>
        <v>1.05396353699923</v>
      </c>
      <c r="AB22" s="93" t="n">
        <f aca="false">IF(Y22=1,E22,0)</f>
        <v>91.092</v>
      </c>
      <c r="AC22" s="89" t="n">
        <f aca="false">IF(Y22=1,COUNTIFS($Z$2:$Z$601,Z22,$Y$2:$Y$601,1),0)</f>
        <v>32</v>
      </c>
      <c r="AD22" s="89" t="n">
        <f aca="false">IF(Y22=1,COUNTIFS($N$2:$N$601,N22,$Y$2:$Y$601,1),0)</f>
        <v>32</v>
      </c>
      <c r="AE22" s="43" t="str">
        <f aca="false">IF(Y22&lt;&gt;1,"",IF(AND(AC22&gt;=설정!$C$7,ISNUMBER(MATCH(Z22,피어커브!$A:$A,0))),Z22,IF(AND(AD22&gt;=설정!$C$7,ISNUMBER(MATCH(N22&amp;"|전체",피어커브!$A:$A,0))),N22&amp;"|전체","전체|전체")))</f>
        <v>유럽|금융기관</v>
      </c>
      <c r="AF22" s="93" t="n">
        <f aca="false">IF(AE22="","",INDEX(피어커브!$K:$K,MATCH(AE22,피어커브!$A:$A,0)))</f>
        <v>43.3660967921697</v>
      </c>
      <c r="AG22" s="93" t="n">
        <f aca="false">IF(AE22="","",INDEX(피어커브!$J:$J,MATCH(AE22,피어커브!$A:$A,0)))</f>
        <v>30.582858826536</v>
      </c>
      <c r="AH22" s="93" t="n">
        <f aca="false">IF(AE22="","",INDEX(피어커브!$L:$L,MATCH(AE22,피어커브!$A:$A,0)))</f>
        <v>10.9882810943096</v>
      </c>
      <c r="AI22" s="93" t="n">
        <f aca="false">IF(AE22="","",AF22+AG22*AA22)</f>
        <v>75.5993148525336</v>
      </c>
      <c r="AJ22" s="96" t="n">
        <f aca="false">IF(AE22="","",E22-AI22)</f>
        <v>15.4926851474664</v>
      </c>
      <c r="AK22" s="95" t="n">
        <f aca="false">IF(AE22="","",IF(ISNUMBER(AH22),IF(AH22&gt;0,AJ22/AH22,""),""))</f>
        <v>1.40992799642607</v>
      </c>
      <c r="AL22" s="43" t="str">
        <f aca="false">IF(AK22="","-",IF(AK22&gt;=설정!$C$6,"Cheap",IF(AK22&lt;=-설정!$C$6,"Rich","Fair")))</f>
        <v>Cheap</v>
      </c>
      <c r="AM22" s="96" t="n">
        <f aca="false">IF(AE22="","",AJ22-AVERAGEIFS($AJ$2:$AJ$601,$B$2:$B$601,B22,$Y$2:$Y$601,1))</f>
        <v>2.51165055097609</v>
      </c>
      <c r="AN22" s="93" t="n">
        <f aca="false">IF(AE22="",0,IF(K22&gt;1+설정!$C$8,AG22*(AA22-LN(K22-1)),0))</f>
        <v>13.1065902394437</v>
      </c>
      <c r="AO22" s="99" t="n">
        <f aca="false">IF($A22="",0,SUMIFS(보유분석!$AA$2:$AA$801,보유분석!$AB$2:$AB$801,ROW(),보유분석!$AC$2:$AC$801,1))</f>
        <v>4.91324</v>
      </c>
      <c r="AP22" s="43" t="str">
        <f aca="false">IF($A22="","",TRIM(IF(R22=1,"FRN ","")&amp;IF(IFERROR(VLOOKUP(M22,설정!$A$15:$D$47,4,0),0)&gt;=10,IF(IFERROR(VLOOKUP(M22,설정!$A$15:$D$47,4,0),0)&lt;99,"BBB0미만 ",""),"")&amp;IF(OR(M22="",M22="NR"),"등급미입력 ","")&amp;IF(C22&lt;&gt;"USD","비USD ","")))</f>
        <v/>
      </c>
      <c r="AQ22" s="90" t="n">
        <f aca="false">IF(AND(Y22=1,AL22="Cheap"),IF(AND(ISERROR(SEARCH("FRN",AP22)),ISERROR(SEARCH("BBB0미만",AP22))),AK22+ROW()/1000000000,-999),-999)</f>
        <v>1.40992801842607</v>
      </c>
      <c r="AR22" s="92" t="n">
        <f aca="false">IF(AND(ISNUMBER(D22),ISNUMBER(K22)),D22+AN22*MAX(K22-1,0)/100,"")</f>
        <v>5.9949621715752</v>
      </c>
      <c r="AS22" s="93" t="n">
        <f aca="false">IF(AND(ISNUMBER(E22),ISNUMBER(K22)),IF(K22&gt;0,(E22+AN22*MAX(K22-1,0))/K22,""),"")</f>
        <v>40.2886779914675</v>
      </c>
      <c r="AT22" s="90" t="n">
        <f aca="false">IFERROR(IF(AND(Y22=1,ROW()&lt;&gt;스왑분석!$C$12+1,ABS(K22-INDEX($K$2:$K$601,스왑분석!$C$12))&lt;=스왑분석!$C$5,ISERROR(SEARCH("FRN",AP22)),ISERROR(SEARCH("BBB0미만",AP22))),IF(AND(OR(스왑분석!$C$6="N",L22=INDEX($L$2:$L$601,스왑분석!$C$12)),OR(스왑분석!$C$7="N",N22=INDEX($N$2:$N$601,스왑분석!$C$12)),OR(스왑분석!$C$8="N",AO22=0),E22-INDEX($E$2:$E$601,스왑분석!$C$12)&gt;=스왑분석!$C$9),E22-INDEX($E$2:$E$601,스왑분석!$C$12)+ROW()/1000000000,-999),-999),-999)</f>
        <v>42.600000022</v>
      </c>
      <c r="AU22" s="90" t="n">
        <f aca="false">IF(AND(Y22=1,AO22&gt;0,AL22="Rich"),-AK22+ROW()/1000000000,-999)</f>
        <v>-999</v>
      </c>
    </row>
    <row r="23" customFormat="false" ht="15" hidden="false" customHeight="false" outlineLevel="0" collapsed="false">
      <c r="A23" s="83" t="str">
        <f aca="false">IFERROR(IF(INDEX(원자료_시장!$A$1:$BZ$1000,설정!$L$6+ROW()-1,설정!$L$24)&amp;""="0","",INDEX(원자료_시장!$A$1:$BZ$1000,설정!$L$6+ROW()-1,설정!$L$24)),"")</f>
        <v>BNP 5.085 05/09/31</v>
      </c>
      <c r="B23" s="83" t="str">
        <f aca="false">IFERROR(IF(INDEX(원자료_시장!$A$1:$BZ$1000,설정!$L$6+ROW()-1,설정!$L$37)&amp;""="0","",INDEX(원자료_시장!$A$1:$BZ$1000,설정!$L$6+ROW()-1,설정!$L$37)),"")</f>
        <v>BNP PARIBAS</v>
      </c>
      <c r="C23" s="83" t="str">
        <f aca="false">IFERROR(IF(INDEX(원자료_시장!$A$1:$BZ$1000,설정!$L$6+ROW()-1,설정!$L$25)&amp;""="0","",INDEX(원자료_시장!$A$1:$BZ$1000,설정!$L$6+ROW()-1,설정!$L$25)),"")</f>
        <v>USD</v>
      </c>
      <c r="D23" s="85" t="n">
        <f aca="false">IFERROR(IF(ISNUMBER(INDEX(원자료_시장!$A$1:$BZ$1000,설정!$L$6+ROW()-1,설정!$L$26)),INDEX(원자료_시장!$A$1:$BZ$1000,설정!$L$6+ROW()-1,설정!$L$26),""),"")</f>
        <v>5.884</v>
      </c>
      <c r="E23" s="97" t="n">
        <f aca="false">IFERROR(IF(ISNUMBER(INDEX(원자료_시장!$A$1:$BZ$1000,설정!$L$6+ROW()-1,설정!$L$27)),INDEX(원자료_시장!$A$1:$BZ$1000,설정!$L$6+ROW()-1,설정!$L$27),""),"")</f>
        <v>86.834</v>
      </c>
      <c r="F23" s="97" t="n">
        <f aca="false">IFERROR(IF(ISNUMBER(INDEX(원자료_시장!$A$1:$BZ$1000,설정!$L$6+ROW()-1,설정!$L$28)),INDEX(원자료_시장!$A$1:$BZ$1000,설정!$L$6+ROW()-1,설정!$L$28),""),"")</f>
        <v>121.336</v>
      </c>
      <c r="G23" s="97" t="n">
        <f aca="false">IFERROR(IF(ISNUMBER(INDEX(원자료_시장!$A$1:$BZ$1000,설정!$L$6+ROW()-1,설정!$L$29)),INDEX(원자료_시장!$A$1:$BZ$1000,설정!$L$6+ROW()-1,설정!$L$29),""),"")</f>
        <v>-2.2</v>
      </c>
      <c r="H23" s="97" t="n">
        <f aca="false">IFERROR(IF(ISNUMBER(INDEX(원자료_시장!$A$1:$BZ$1000,설정!$L$6+ROW()-1,설정!$L$30)),INDEX(원자료_시장!$A$1:$BZ$1000,설정!$L$6+ROW()-1,설정!$L$30),""),"")</f>
        <v>8.5</v>
      </c>
      <c r="I23" s="97" t="n">
        <f aca="false">IFERROR(IF(ISNUMBER(INDEX(원자료_시장!$A$1:$BZ$1000,설정!$L$6+ROW()-1,설정!$L$31)),INDEX(원자료_시장!$A$1:$BZ$1000,설정!$L$6+ROW()-1,설정!$L$31),""),"")</f>
        <v>4.4</v>
      </c>
      <c r="J23" s="97" t="n">
        <f aca="false">IFERROR(IF(ISNUMBER(INDEX(원자료_시장!$A$1:$BZ$1000,설정!$L$6+ROW()-1,설정!$L$32)),INDEX(원자료_시장!$A$1:$BZ$1000,설정!$L$6+ROW()-1,설정!$L$32),""),"")</f>
        <v>1</v>
      </c>
      <c r="K23" s="85" t="n">
        <f aca="false">IFERROR(IF(ISNUMBER(INDEX(원자료_시장!$A$1:$BZ$1000,설정!$L$6+ROW()-1,설정!$L$33)),INDEX(원자료_시장!$A$1:$BZ$1000,설정!$L$6+ROW()-1,설정!$L$33),""),"")</f>
        <v>3.266</v>
      </c>
      <c r="L23" s="83" t="str">
        <f aca="false">IFERROR(IF(INDEX(원자료_시장!$A$1:$BZ$1000,설정!$L$6+ROW()-1,설정!$L$34)&amp;""="0","",INDEX(원자료_시장!$A$1:$BZ$1000,설정!$L$6+ROW()-1,설정!$L$34)),"")</f>
        <v>금융기관</v>
      </c>
      <c r="M23" s="83" t="str">
        <f aca="false">IFERROR(IF(INDEX(원자료_시장!$A$1:$BZ$1000,설정!$L$6+ROW()-1,설정!$L$35)&amp;""="0","",INDEX(원자료_시장!$A$1:$BZ$1000,설정!$L$6+ROW()-1,설정!$L$35)),"")</f>
        <v>A-</v>
      </c>
      <c r="N23" s="83" t="str">
        <f aca="false">IFERROR(IF(INDEX(원자료_시장!$A$1:$BZ$1000,설정!$L$6+ROW()-1,설정!$L$36)&amp;""="0","",INDEX(원자료_시장!$A$1:$BZ$1000,설정!$L$6+ROW()-1,설정!$L$36)),"")</f>
        <v>유럽</v>
      </c>
      <c r="O23" s="43" t="str">
        <f aca="false">IF($A23="","",UPPER(LEFT($A23,FIND(" ",$A23&amp;" ")-1)))</f>
        <v>BNP</v>
      </c>
      <c r="P23" s="43" t="str">
        <f aca="false">IF($A23="","",TRIM(RIGHT(SUBSTITUTE(TRIM($A23)," ",REPT(" ",30)),30)))</f>
        <v>05/09/31</v>
      </c>
      <c r="Q23" s="98" t="n">
        <f aca="false">IF($A23="","",IFERROR(DATE(IF(LEN(P23)=8,2000+VALUE(RIGHT(P23,2)),VALUE(RIGHT(P23,4))),VALUE(LEFT(P23,2)),VALUE(MID(P23,4,2))),""))</f>
        <v>47977</v>
      </c>
      <c r="R23" s="89" t="n">
        <f aca="false">IF($A23="",0,IF(ISNUMBER(SEARCH("Float",$A23)),1,0))</f>
        <v>0</v>
      </c>
      <c r="S23" s="43" t="str">
        <f aca="false">IF($A23="","",TRIM(MID($A23,LEN(O23)+2,LEN($A23)-LEN(O23)-LEN(P23)-1)))</f>
        <v>5.085</v>
      </c>
      <c r="T23" s="92" t="n">
        <f aca="false">IF(OR($A23="",R23=1),"",IFERROR(IF(ISNUMBER(FIND("/",S23)),IF(ISNUMBER(FIND(" ",S23)),VALUE(LEFT(S23,FIND(" ",S23)-1))+VALUE(MID(S23,FIND(" ",S23)+1,FIND("/",S23)-FIND(" ",S23)-1))/VALUE(MID(S23,FIND("/",S23)+1,9)),VALUE(LEFT(S23,FIND("/",S23)-1))/VALUE(MID(S23,FIND("/",S23)+1,9))),VALUE(S23)),""))</f>
        <v>5.085</v>
      </c>
      <c r="U23" s="43" t="str">
        <f aca="false">IF(OR($A23="",NOT(ISNUMBER(Q23))),"",TEXT(Q23,"yyyymmdd")&amp;"|"&amp;IF(R23=1,"F",TEXT(T23,"0.000")))</f>
        <v>20310509|5.085</v>
      </c>
      <c r="V23" s="43" t="str">
        <f aca="false">IF(U23="","",O23&amp;"|"&amp;U23)</f>
        <v>BNP|20310509|5.085</v>
      </c>
      <c r="W23" s="43" t="str">
        <f aca="false">IF($A23="","",IFERROR(IF(VLOOKUP(O23,매핑!$A$4:$E$92,3,0)="","미분류",VLOOKUP(O23,매핑!$A$4:$E$92,3,0)),"미분류"))</f>
        <v>프랑스</v>
      </c>
      <c r="X23" s="89" t="n">
        <f aca="false">IF($A23="",0,IF(O23="T",1,0))</f>
        <v>0</v>
      </c>
      <c r="Y23" s="89" t="n">
        <f aca="false">IF($A23="",0,IF(AND(C23="USD",X23=0,ISNUMBER(E23),ISNUMBER(K23)),IF(K23&gt;=설정!$C$8,1,0),0))</f>
        <v>1</v>
      </c>
      <c r="Z23" s="43" t="str">
        <f aca="false">IF($A23="","",N23&amp;"|"&amp;L23)</f>
        <v>유럽|금융기관</v>
      </c>
      <c r="AA23" s="92" t="n">
        <f aca="false">IF(Y23=1,LN(K23),0)</f>
        <v>1.18356599454827</v>
      </c>
      <c r="AB23" s="93" t="n">
        <f aca="false">IF(Y23=1,E23,0)</f>
        <v>86.834</v>
      </c>
      <c r="AC23" s="89" t="n">
        <f aca="false">IF(Y23=1,COUNTIFS($Z$2:$Z$601,Z23,$Y$2:$Y$601,1),0)</f>
        <v>32</v>
      </c>
      <c r="AD23" s="89" t="n">
        <f aca="false">IF(Y23=1,COUNTIFS($N$2:$N$601,N23,$Y$2:$Y$601,1),0)</f>
        <v>32</v>
      </c>
      <c r="AE23" s="43" t="str">
        <f aca="false">IF(Y23&lt;&gt;1,"",IF(AND(AC23&gt;=설정!$C$7,ISNUMBER(MATCH(Z23,피어커브!$A:$A,0))),Z23,IF(AND(AD23&gt;=설정!$C$7,ISNUMBER(MATCH(N23&amp;"|전체",피어커브!$A:$A,0))),N23&amp;"|전체","전체|전체")))</f>
        <v>유럽|금융기관</v>
      </c>
      <c r="AF23" s="93" t="n">
        <f aca="false">IF(AE23="","",INDEX(피어커브!$K:$K,MATCH(AE23,피어커브!$A:$A,0)))</f>
        <v>43.3660967921697</v>
      </c>
      <c r="AG23" s="93" t="n">
        <f aca="false">IF(AE23="","",INDEX(피어커브!$J:$J,MATCH(AE23,피어커브!$A:$A,0)))</f>
        <v>30.582858826536</v>
      </c>
      <c r="AH23" s="93" t="n">
        <f aca="false">IF(AE23="","",INDEX(피어커브!$L:$L,MATCH(AE23,피어커브!$A:$A,0)))</f>
        <v>10.9882810943096</v>
      </c>
      <c r="AI23" s="93" t="n">
        <f aca="false">IF(AE23="","",AF23+AG23*AA23)</f>
        <v>79.5629285153282</v>
      </c>
      <c r="AJ23" s="96" t="n">
        <f aca="false">IF(AE23="","",E23-AI23)</f>
        <v>7.27107148467178</v>
      </c>
      <c r="AK23" s="95" t="n">
        <f aca="false">IF(AE23="","",IF(ISNUMBER(AH23),IF(AH23&gt;0,AJ23/AH23,""),""))</f>
        <v>0.661711456256537</v>
      </c>
      <c r="AL23" s="43" t="str">
        <f aca="false">IF(AK23="","-",IF(AK23&gt;=설정!$C$6,"Cheap",IF(AK23&lt;=-설정!$C$6,"Rich","Fair")))</f>
        <v>Fair</v>
      </c>
      <c r="AM23" s="96" t="n">
        <f aca="false">IF(AE23="","",AJ23-AVERAGEIFS($AJ$2:$AJ$601,$B$2:$B$601,B23,$Y$2:$Y$601,1))</f>
        <v>-5.7099631118185</v>
      </c>
      <c r="AN23" s="93" t="n">
        <f aca="false">IF(AE23="",0,IF(K23&gt;1+설정!$C$8,AG23*(AA23-LN(K23-1)),0))</f>
        <v>11.1795589043602</v>
      </c>
      <c r="AO23" s="99" t="n">
        <f aca="false">IF($A23="",0,SUMIFS(보유분석!$AA$2:$AA$801,보유분석!$AB$2:$AB$801,ROW(),보유분석!$AC$2:$AC$801,1))</f>
        <v>0</v>
      </c>
      <c r="AP23" s="43" t="str">
        <f aca="false">IF($A23="","",TRIM(IF(R23=1,"FRN ","")&amp;IF(IFERROR(VLOOKUP(M23,설정!$A$15:$D$47,4,0),0)&gt;=10,IF(IFERROR(VLOOKUP(M23,설정!$A$15:$D$47,4,0),0)&lt;99,"BBB0미만 ",""),"")&amp;IF(OR(M23="",M23="NR"),"등급미입력 ","")&amp;IF(C23&lt;&gt;"USD","비USD ","")))</f>
        <v/>
      </c>
      <c r="AQ23" s="90" t="n">
        <f aca="false">IF(AND(Y23=1,AL23="Cheap"),IF(AND(ISERROR(SEARCH("FRN",AP23)),ISERROR(SEARCH("BBB0미만",AP23))),AK23+ROW()/1000000000,-999),-999)</f>
        <v>-999</v>
      </c>
      <c r="AR23" s="92" t="n">
        <f aca="false">IF(AND(ISNUMBER(D23),ISNUMBER(K23)),D23+AN23*MAX(K23-1,0)/100,"")</f>
        <v>6.1373288047728</v>
      </c>
      <c r="AS23" s="93" t="n">
        <f aca="false">IF(AND(ISNUMBER(E23),ISNUMBER(K23)),IF(K23&gt;0,(E23+AN23*MAX(K23-1,0))/K23,""),"")</f>
        <v>34.3438090867361</v>
      </c>
      <c r="AT23" s="90" t="n">
        <f aca="false">IFERROR(IF(AND(Y23=1,ROW()&lt;&gt;스왑분석!$C$12+1,ABS(K23-INDEX($K$2:$K$601,스왑분석!$C$12))&lt;=스왑분석!$C$5,ISERROR(SEARCH("FRN",AP23)),ISERROR(SEARCH("BBB0미만",AP23))),IF(AND(OR(스왑분석!$C$6="N",L23=INDEX($L$2:$L$601,스왑분석!$C$12)),OR(스왑분석!$C$7="N",N23=INDEX($N$2:$N$601,스왑분석!$C$12)),OR(스왑분석!$C$8="N",AO23=0),E23-INDEX($E$2:$E$601,스왑분석!$C$12)&gt;=스왑분석!$C$9),E23-INDEX($E$2:$E$601,스왑분석!$C$12)+ROW()/1000000000,-999),-999),-999)</f>
        <v>38.342000023</v>
      </c>
      <c r="AU23" s="90" t="n">
        <f aca="false">IF(AND(Y23=1,AO23&gt;0,AL23="Rich"),-AK23+ROW()/1000000000,-999)</f>
        <v>-999</v>
      </c>
    </row>
    <row r="24" customFormat="false" ht="15" hidden="false" customHeight="false" outlineLevel="0" collapsed="false">
      <c r="A24" s="83" t="str">
        <f aca="false">IFERROR(IF(INDEX(원자료_시장!$A$1:$BZ$1000,설정!$L$6+ROW()-1,설정!$L$24)&amp;""="0","",INDEX(원자료_시장!$A$1:$BZ$1000,설정!$L$6+ROW()-1,설정!$L$24)),"")</f>
        <v>AVGO 5.15 11/15/31</v>
      </c>
      <c r="B24" s="83" t="str">
        <f aca="false">IFERROR(IF(INDEX(원자료_시장!$A$1:$BZ$1000,설정!$L$6+ROW()-1,설정!$L$37)&amp;""="0","",INDEX(원자료_시장!$A$1:$BZ$1000,설정!$L$6+ROW()-1,설정!$L$37)),"")</f>
        <v>BROADCOM INC</v>
      </c>
      <c r="C24" s="83" t="str">
        <f aca="false">IFERROR(IF(INDEX(원자료_시장!$A$1:$BZ$1000,설정!$L$6+ROW()-1,설정!$L$25)&amp;""="0","",INDEX(원자료_시장!$A$1:$BZ$1000,설정!$L$6+ROW()-1,설정!$L$25)),"")</f>
        <v>USD</v>
      </c>
      <c r="D24" s="85" t="n">
        <f aca="false">IFERROR(IF(ISNUMBER(INDEX(원자료_시장!$A$1:$BZ$1000,설정!$L$6+ROW()-1,설정!$L$26)),INDEX(원자료_시장!$A$1:$BZ$1000,설정!$L$6+ROW()-1,설정!$L$26),""),"")</f>
        <v>5.807</v>
      </c>
      <c r="E24" s="97" t="n">
        <f aca="false">IFERROR(IF(ISNUMBER(INDEX(원자료_시장!$A$1:$BZ$1000,설정!$L$6+ROW()-1,설정!$L$27)),INDEX(원자료_시장!$A$1:$BZ$1000,설정!$L$6+ROW()-1,설정!$L$27),""),"")</f>
        <v>72.018</v>
      </c>
      <c r="F24" s="97" t="n">
        <f aca="false">IFERROR(IF(ISNUMBER(INDEX(원자료_시장!$A$1:$BZ$1000,설정!$L$6+ROW()-1,설정!$L$28)),INDEX(원자료_시장!$A$1:$BZ$1000,설정!$L$6+ROW()-1,설정!$L$28),""),"")</f>
        <v>105.103</v>
      </c>
      <c r="G24" s="97" t="n">
        <f aca="false">IFERROR(IF(ISNUMBER(INDEX(원자료_시장!$A$1:$BZ$1000,설정!$L$6+ROW()-1,설정!$L$29)),INDEX(원자료_시장!$A$1:$BZ$1000,설정!$L$6+ROW()-1,설정!$L$29),""),"")</f>
        <v>-2.3</v>
      </c>
      <c r="H24" s="97" t="n">
        <f aca="false">IFERROR(IF(ISNUMBER(INDEX(원자료_시장!$A$1:$BZ$1000,설정!$L$6+ROW()-1,설정!$L$30)),INDEX(원자료_시장!$A$1:$BZ$1000,설정!$L$6+ROW()-1,설정!$L$30),""),"")</f>
        <v>2.7</v>
      </c>
      <c r="I24" s="97" t="n">
        <f aca="false">IFERROR(IF(ISNUMBER(INDEX(원자료_시장!$A$1:$BZ$1000,설정!$L$6+ROW()-1,설정!$L$31)),INDEX(원자료_시장!$A$1:$BZ$1000,설정!$L$6+ROW()-1,설정!$L$31),""),"")</f>
        <v>-10.2</v>
      </c>
      <c r="J24" s="97" t="n">
        <f aca="false">IFERROR(IF(ISNUMBER(INDEX(원자료_시장!$A$1:$BZ$1000,설정!$L$6+ROW()-1,설정!$L$32)),INDEX(원자료_시장!$A$1:$BZ$1000,설정!$L$6+ROW()-1,설정!$L$32),""),"")</f>
        <v>15.1</v>
      </c>
      <c r="K24" s="85" t="n">
        <f aca="false">IFERROR(IF(ISNUMBER(INDEX(원자료_시장!$A$1:$BZ$1000,설정!$L$6+ROW()-1,설정!$L$33)),INDEX(원자료_시장!$A$1:$BZ$1000,설정!$L$6+ROW()-1,설정!$L$33),""),"")</f>
        <v>4.466</v>
      </c>
      <c r="L24" s="83" t="str">
        <f aca="false">IFERROR(IF(INDEX(원자료_시장!$A$1:$BZ$1000,설정!$L$6+ROW()-1,설정!$L$34)&amp;""="0","",INDEX(원자료_시장!$A$1:$BZ$1000,설정!$L$6+ROW()-1,설정!$L$34)),"")</f>
        <v>기술</v>
      </c>
      <c r="M24" s="83" t="str">
        <f aca="false">IFERROR(IF(INDEX(원자료_시장!$A$1:$BZ$1000,설정!$L$6+ROW()-1,설정!$L$35)&amp;""="0","",INDEX(원자료_시장!$A$1:$BZ$1000,설정!$L$6+ROW()-1,설정!$L$35)),"")</f>
        <v>A-</v>
      </c>
      <c r="N24" s="83" t="str">
        <f aca="false">IFERROR(IF(INDEX(원자료_시장!$A$1:$BZ$1000,설정!$L$6+ROW()-1,설정!$L$36)&amp;""="0","",INDEX(원자료_시장!$A$1:$BZ$1000,설정!$L$6+ROW()-1,설정!$L$36)),"")</f>
        <v>미국</v>
      </c>
      <c r="O24" s="43" t="str">
        <f aca="false">IF($A24="","",UPPER(LEFT($A24,FIND(" ",$A24&amp;" ")-1)))</f>
        <v>AVGO</v>
      </c>
      <c r="P24" s="43" t="str">
        <f aca="false">IF($A24="","",TRIM(RIGHT(SUBSTITUTE(TRIM($A24)," ",REPT(" ",30)),30)))</f>
        <v>11/15/31</v>
      </c>
      <c r="Q24" s="98" t="n">
        <f aca="false">IF($A24="","",IFERROR(DATE(IF(LEN(P24)=8,2000+VALUE(RIGHT(P24,2)),VALUE(RIGHT(P24,4))),VALUE(LEFT(P24,2)),VALUE(MID(P24,4,2))),""))</f>
        <v>48167</v>
      </c>
      <c r="R24" s="89" t="n">
        <f aca="false">IF($A24="",0,IF(ISNUMBER(SEARCH("Float",$A24)),1,0))</f>
        <v>0</v>
      </c>
      <c r="S24" s="43" t="str">
        <f aca="false">IF($A24="","",TRIM(MID($A24,LEN(O24)+2,LEN($A24)-LEN(O24)-LEN(P24)-1)))</f>
        <v>5.15</v>
      </c>
      <c r="T24" s="92" t="n">
        <f aca="false">IF(OR($A24="",R24=1),"",IFERROR(IF(ISNUMBER(FIND("/",S24)),IF(ISNUMBER(FIND(" ",S24)),VALUE(LEFT(S24,FIND(" ",S24)-1))+VALUE(MID(S24,FIND(" ",S24)+1,FIND("/",S24)-FIND(" ",S24)-1))/VALUE(MID(S24,FIND("/",S24)+1,9)),VALUE(LEFT(S24,FIND("/",S24)-1))/VALUE(MID(S24,FIND("/",S24)+1,9))),VALUE(S24)),""))</f>
        <v>5.15</v>
      </c>
      <c r="U24" s="43" t="str">
        <f aca="false">IF(OR($A24="",NOT(ISNUMBER(Q24))),"",TEXT(Q24,"yyyymmdd")&amp;"|"&amp;IF(R24=1,"F",TEXT(T24,"0.000")))</f>
        <v>20311115|5.150</v>
      </c>
      <c r="V24" s="43" t="str">
        <f aca="false">IF(U24="","",O24&amp;"|"&amp;U24)</f>
        <v>AVGO|20311115|5.150</v>
      </c>
      <c r="W24" s="43" t="str">
        <f aca="false">IF($A24="","",IFERROR(IF(VLOOKUP(O24,매핑!$A$4:$E$92,3,0)="","미분류",VLOOKUP(O24,매핑!$A$4:$E$92,3,0)),"미분류"))</f>
        <v>미국</v>
      </c>
      <c r="X24" s="89" t="n">
        <f aca="false">IF($A24="",0,IF(O24="T",1,0))</f>
        <v>0</v>
      </c>
      <c r="Y24" s="89" t="n">
        <f aca="false">IF($A24="",0,IF(AND(C24="USD",X24=0,ISNUMBER(E24),ISNUMBER(K24)),IF(K24&gt;=설정!$C$8,1,0),0))</f>
        <v>1</v>
      </c>
      <c r="Z24" s="43" t="str">
        <f aca="false">IF($A24="","",N24&amp;"|"&amp;L24)</f>
        <v>미국|기술</v>
      </c>
      <c r="AA24" s="92" t="n">
        <f aca="false">IF(Y24=1,LN(K24),0)</f>
        <v>1.49649315341797</v>
      </c>
      <c r="AB24" s="93" t="n">
        <f aca="false">IF(Y24=1,E24,0)</f>
        <v>72.018</v>
      </c>
      <c r="AC24" s="89" t="n">
        <f aca="false">IF(Y24=1,COUNTIFS($Z$2:$Z$601,Z24,$Y$2:$Y$601,1),0)</f>
        <v>1</v>
      </c>
      <c r="AD24" s="89" t="n">
        <f aca="false">IF(Y24=1,COUNTIFS($N$2:$N$601,N24,$Y$2:$Y$601,1),0)</f>
        <v>49</v>
      </c>
      <c r="AE24" s="43" t="str">
        <f aca="false">IF(Y24&lt;&gt;1,"",IF(AND(AC24&gt;=설정!$C$7,ISNUMBER(MATCH(Z24,피어커브!$A:$A,0))),Z24,IF(AND(AD24&gt;=설정!$C$7,ISNUMBER(MATCH(N24&amp;"|전체",피어커브!$A:$A,0))),N24&amp;"|전체","전체|전체")))</f>
        <v>미국|전체</v>
      </c>
      <c r="AF24" s="93" t="n">
        <f aca="false">IF(AE24="","",INDEX(피어커브!$K:$K,MATCH(AE24,피어커브!$A:$A,0)))</f>
        <v>38.8850847635948</v>
      </c>
      <c r="AG24" s="93" t="n">
        <f aca="false">IF(AE24="","",INDEX(피어커브!$J:$J,MATCH(AE24,피어커브!$A:$A,0)))</f>
        <v>28.847242144067</v>
      </c>
      <c r="AH24" s="93" t="n">
        <f aca="false">IF(AE24="","",INDEX(피어커브!$L:$L,MATCH(AE24,피어커브!$A:$A,0)))</f>
        <v>15.5242902098058</v>
      </c>
      <c r="AI24" s="93" t="n">
        <f aca="false">IF(AE24="","",AF24+AG24*AA24)</f>
        <v>82.0547851271813</v>
      </c>
      <c r="AJ24" s="96" t="n">
        <f aca="false">IF(AE24="","",E24-AI24)</f>
        <v>-10.0367851271812</v>
      </c>
      <c r="AK24" s="95" t="n">
        <f aca="false">IF(AE24="","",IF(ISNUMBER(AH24),IF(AH24&gt;0,AJ24/AH24,""),""))</f>
        <v>-0.646521354054666</v>
      </c>
      <c r="AL24" s="43" t="str">
        <f aca="false">IF(AK24="","-",IF(AK24&gt;=설정!$C$6,"Cheap",IF(AK24&lt;=-설정!$C$6,"Rich","Fair")))</f>
        <v>Fair</v>
      </c>
      <c r="AM24" s="96" t="n">
        <f aca="false">IF(AE24="","",AJ24-AVERAGEIFS($AJ$2:$AJ$601,$B$2:$B$601,B24,$Y$2:$Y$601,1))</f>
        <v>0</v>
      </c>
      <c r="AN24" s="93" t="n">
        <f aca="false">IF(AE24="",0,IF(K24&gt;1+설정!$C$8,AG24*(AA24-LN(K24-1)),0))</f>
        <v>7.3125440129816</v>
      </c>
      <c r="AO24" s="99" t="n">
        <f aca="false">IF($A24="",0,SUMIFS(보유분석!$AA$2:$AA$801,보유분석!$AB$2:$AB$801,ROW(),보유분석!$AC$2:$AC$801,1))</f>
        <v>9.7195</v>
      </c>
      <c r="AP24" s="43" t="str">
        <f aca="false">IF($A24="","",TRIM(IF(R24=1,"FRN ","")&amp;IF(IFERROR(VLOOKUP(M24,설정!$A$15:$D$47,4,0),0)&gt;=10,IF(IFERROR(VLOOKUP(M24,설정!$A$15:$D$47,4,0),0)&lt;99,"BBB0미만 ",""),"")&amp;IF(OR(M24="",M24="NR"),"등급미입력 ","")&amp;IF(C24&lt;&gt;"USD","비USD ","")))</f>
        <v/>
      </c>
      <c r="AQ24" s="90" t="n">
        <f aca="false">IF(AND(Y24=1,AL24="Cheap"),IF(AND(ISERROR(SEARCH("FRN",AP24)),ISERROR(SEARCH("BBB0미만",AP24))),AK24+ROW()/1000000000,-999),-999)</f>
        <v>-999</v>
      </c>
      <c r="AR24" s="92" t="n">
        <f aca="false">IF(AND(ISNUMBER(D24),ISNUMBER(K24)),D24+AN24*MAX(K24-1,0)/100,"")</f>
        <v>6.06045277548994</v>
      </c>
      <c r="AS24" s="93" t="n">
        <f aca="false">IF(AND(ISNUMBER(E24),ISNUMBER(K24)),IF(K24&gt;0,(E24+AN24*MAX(K24-1,0))/K24,""),"")</f>
        <v>21.8010025859817</v>
      </c>
      <c r="AT24" s="90" t="n">
        <f aca="false">IFERROR(IF(AND(Y24=1,ROW()&lt;&gt;스왑분석!$C$12+1,ABS(K24-INDEX($K$2:$K$601,스왑분석!$C$12))&lt;=스왑분석!$C$5,ISERROR(SEARCH("FRN",AP24)),ISERROR(SEARCH("BBB0미만",AP24))),IF(AND(OR(스왑분석!$C$6="N",L24=INDEX($L$2:$L$601,스왑분석!$C$12)),OR(스왑분석!$C$7="N",N24=INDEX($N$2:$N$601,스왑분석!$C$12)),OR(스왑분석!$C$8="N",AO24=0),E24-INDEX($E$2:$E$601,스왑분석!$C$12)&gt;=스왑분석!$C$9),E24-INDEX($E$2:$E$601,스왑분석!$C$12)+ROW()/1000000000,-999),-999),-999)</f>
        <v>-999</v>
      </c>
      <c r="AU24" s="90" t="n">
        <f aca="false">IF(AND(Y24=1,AO24&gt;0,AL24="Rich"),-AK24+ROW()/1000000000,-999)</f>
        <v>-999</v>
      </c>
    </row>
    <row r="25" customFormat="false" ht="15" hidden="false" customHeight="false" outlineLevel="0" collapsed="false">
      <c r="A25" s="83" t="str">
        <f aca="false">IFERROR(IF(INDEX(원자료_시장!$A$1:$BZ$1000,설정!$L$6+ROW()-1,설정!$L$24)&amp;""="0","",INDEX(원자료_시장!$A$1:$BZ$1000,설정!$L$6+ROW()-1,설정!$L$24)),"")</f>
        <v>ACAFP 4 1/8 01/10/27</v>
      </c>
      <c r="B25" s="83" t="str">
        <f aca="false">IFERROR(IF(INDEX(원자료_시장!$A$1:$BZ$1000,설정!$L$6+ROW()-1,설정!$L$37)&amp;""="0","",INDEX(원자료_시장!$A$1:$BZ$1000,설정!$L$6+ROW()-1,설정!$L$37)),"")</f>
        <v>CREDIT AGRICOLE LONDON</v>
      </c>
      <c r="C25" s="83" t="str">
        <f aca="false">IFERROR(IF(INDEX(원자료_시장!$A$1:$BZ$1000,설정!$L$6+ROW()-1,설정!$L$25)&amp;""="0","",INDEX(원자료_시장!$A$1:$BZ$1000,설정!$L$6+ROW()-1,설정!$L$25)),"")</f>
        <v>USD</v>
      </c>
      <c r="D25" s="85" t="n">
        <f aca="false">IFERROR(IF(ISNUMBER(INDEX(원자료_시장!$A$1:$BZ$1000,설정!$L$6+ROW()-1,설정!$L$26)),INDEX(원자료_시장!$A$1:$BZ$1000,설정!$L$6+ROW()-1,설정!$L$26),""),"")</f>
        <v>4.649</v>
      </c>
      <c r="E25" s="97" t="n">
        <f aca="false">IFERROR(IF(ISNUMBER(INDEX(원자료_시장!$A$1:$BZ$1000,설정!$L$6+ROW()-1,설정!$L$27)),INDEX(원자료_시장!$A$1:$BZ$1000,설정!$L$6+ROW()-1,설정!$L$27),""),"")</f>
        <v>-24.054</v>
      </c>
      <c r="F25" s="97" t="n">
        <f aca="false">IFERROR(IF(ISNUMBER(INDEX(원자료_시장!$A$1:$BZ$1000,설정!$L$6+ROW()-1,설정!$L$28)),INDEX(원자료_시장!$A$1:$BZ$1000,설정!$L$6+ROW()-1,설정!$L$28),""),"")</f>
        <v>59.064</v>
      </c>
      <c r="G25" s="97" t="n">
        <f aca="false">IFERROR(IF(ISNUMBER(INDEX(원자료_시장!$A$1:$BZ$1000,설정!$L$6+ROW()-1,설정!$L$29)),INDEX(원자료_시장!$A$1:$BZ$1000,설정!$L$6+ROW()-1,설정!$L$29),""),"")</f>
        <v>-0.2</v>
      </c>
      <c r="H25" s="97" t="n">
        <f aca="false">IFERROR(IF(ISNUMBER(INDEX(원자료_시장!$A$1:$BZ$1000,설정!$L$6+ROW()-1,설정!$L$30)),INDEX(원자료_시장!$A$1:$BZ$1000,설정!$L$6+ROW()-1,설정!$L$30),""),"")</f>
        <v>6.5</v>
      </c>
      <c r="I25" s="97" t="n">
        <f aca="false">IFERROR(IF(ISNUMBER(INDEX(원자료_시장!$A$1:$BZ$1000,설정!$L$6+ROW()-1,설정!$L$31)),INDEX(원자료_시장!$A$1:$BZ$1000,설정!$L$6+ROW()-1,설정!$L$31),""),"")</f>
        <v>-18</v>
      </c>
      <c r="J25" s="97" t="n">
        <f aca="false">IFERROR(IF(ISNUMBER(INDEX(원자료_시장!$A$1:$BZ$1000,설정!$L$6+ROW()-1,설정!$L$32)),INDEX(원자료_시장!$A$1:$BZ$1000,설정!$L$6+ROW()-1,설정!$L$32),""),"")</f>
        <v>-43</v>
      </c>
      <c r="K25" s="85" t="n">
        <f aca="false">IFERROR(IF(ISNUMBER(INDEX(원자료_시장!$A$1:$BZ$1000,설정!$L$6+ROW()-1,설정!$L$33)),INDEX(원자료_시장!$A$1:$BZ$1000,설정!$L$6+ROW()-1,설정!$L$33),""),"")</f>
        <v>0.272</v>
      </c>
      <c r="L25" s="83" t="str">
        <f aca="false">IFERROR(IF(INDEX(원자료_시장!$A$1:$BZ$1000,설정!$L$6+ROW()-1,설정!$L$34)&amp;""="0","",INDEX(원자료_시장!$A$1:$BZ$1000,설정!$L$6+ROW()-1,설정!$L$34)),"")</f>
        <v>금융기관</v>
      </c>
      <c r="M25" s="83" t="str">
        <f aca="false">IFERROR(IF(INDEX(원자료_시장!$A$1:$BZ$1000,설정!$L$6+ROW()-1,설정!$L$35)&amp;""="0","",INDEX(원자료_시장!$A$1:$BZ$1000,설정!$L$6+ROW()-1,설정!$L$35)),"")</f>
        <v>A-</v>
      </c>
      <c r="N25" s="83" t="str">
        <f aca="false">IFERROR(IF(INDEX(원자료_시장!$A$1:$BZ$1000,설정!$L$6+ROW()-1,설정!$L$36)&amp;""="0","",INDEX(원자료_시장!$A$1:$BZ$1000,설정!$L$6+ROW()-1,설정!$L$36)),"")</f>
        <v>유럽</v>
      </c>
      <c r="O25" s="43" t="str">
        <f aca="false">IF($A25="","",UPPER(LEFT($A25,FIND(" ",$A25&amp;" ")-1)))</f>
        <v>ACAFP</v>
      </c>
      <c r="P25" s="43" t="str">
        <f aca="false">IF($A25="","",TRIM(RIGHT(SUBSTITUTE(TRIM($A25)," ",REPT(" ",30)),30)))</f>
        <v>01/10/27</v>
      </c>
      <c r="Q25" s="98" t="n">
        <f aca="false">IF($A25="","",IFERROR(DATE(IF(LEN(P25)=8,2000+VALUE(RIGHT(P25,2)),VALUE(RIGHT(P25,4))),VALUE(LEFT(P25,2)),VALUE(MID(P25,4,2))),""))</f>
        <v>46397</v>
      </c>
      <c r="R25" s="89" t="n">
        <f aca="false">IF($A25="",0,IF(ISNUMBER(SEARCH("Float",$A25)),1,0))</f>
        <v>0</v>
      </c>
      <c r="S25" s="43" t="str">
        <f aca="false">IF($A25="","",TRIM(MID($A25,LEN(O25)+2,LEN($A25)-LEN(O25)-LEN(P25)-1)))</f>
        <v>4 1/8</v>
      </c>
      <c r="T25" s="92" t="n">
        <f aca="false">IF(OR($A25="",R25=1),"",IFERROR(IF(ISNUMBER(FIND("/",S25)),IF(ISNUMBER(FIND(" ",S25)),VALUE(LEFT(S25,FIND(" ",S25)-1))+VALUE(MID(S25,FIND(" ",S25)+1,FIND("/",S25)-FIND(" ",S25)-1))/VALUE(MID(S25,FIND("/",S25)+1,9)),VALUE(LEFT(S25,FIND("/",S25)-1))/VALUE(MID(S25,FIND("/",S25)+1,9))),VALUE(S25)),""))</f>
        <v>4.125</v>
      </c>
      <c r="U25" s="43" t="str">
        <f aca="false">IF(OR($A25="",NOT(ISNUMBER(Q25))),"",TEXT(Q25,"yyyymmdd")&amp;"|"&amp;IF(R25=1,"F",TEXT(T25,"0.000")))</f>
        <v>20270110|4.125</v>
      </c>
      <c r="V25" s="43" t="str">
        <f aca="false">IF(U25="","",O25&amp;"|"&amp;U25)</f>
        <v>ACAFP|20270110|4.125</v>
      </c>
      <c r="W25" s="43" t="str">
        <f aca="false">IF($A25="","",IFERROR(IF(VLOOKUP(O25,매핑!$A$4:$E$92,3,0)="","미분류",VLOOKUP(O25,매핑!$A$4:$E$92,3,0)),"미분류"))</f>
        <v>프랑스</v>
      </c>
      <c r="X25" s="89" t="n">
        <f aca="false">IF($A25="",0,IF(O25="T",1,0))</f>
        <v>0</v>
      </c>
      <c r="Y25" s="89" t="n">
        <f aca="false">IF($A25="",0,IF(AND(C25="USD",X25=0,ISNUMBER(E25),ISNUMBER(K25)),IF(K25&gt;=설정!$C$8,1,0),0))</f>
        <v>0</v>
      </c>
      <c r="Z25" s="43" t="str">
        <f aca="false">IF($A25="","",N25&amp;"|"&amp;L25)</f>
        <v>유럽|금융기관</v>
      </c>
      <c r="AA25" s="92" t="n">
        <f aca="false">IF(Y25=1,LN(K25),0)</f>
        <v>0</v>
      </c>
      <c r="AB25" s="93" t="n">
        <f aca="false">IF(Y25=1,E25,0)</f>
        <v>0</v>
      </c>
      <c r="AC25" s="89" t="n">
        <f aca="false">IF(Y25=1,COUNTIFS($Z$2:$Z$601,Z25,$Y$2:$Y$601,1),0)</f>
        <v>0</v>
      </c>
      <c r="AD25" s="89" t="n">
        <f aca="false">IF(Y25=1,COUNTIFS($N$2:$N$601,N25,$Y$2:$Y$601,1),0)</f>
        <v>0</v>
      </c>
      <c r="AE25" s="43" t="str">
        <f aca="false">IF(Y25&lt;&gt;1,"",IF(AND(AC25&gt;=설정!$C$7,ISNUMBER(MATCH(Z25,피어커브!$A:$A,0))),Z25,IF(AND(AD25&gt;=설정!$C$7,ISNUMBER(MATCH(N25&amp;"|전체",피어커브!$A:$A,0))),N25&amp;"|전체","전체|전체")))</f>
        <v/>
      </c>
      <c r="AF25" s="93" t="str">
        <f aca="false">IF(AE25="","",INDEX(피어커브!$K:$K,MATCH(AE25,피어커브!$A:$A,0)))</f>
        <v/>
      </c>
      <c r="AG25" s="93" t="str">
        <f aca="false">IF(AE25="","",INDEX(피어커브!$J:$J,MATCH(AE25,피어커브!$A:$A,0)))</f>
        <v/>
      </c>
      <c r="AH25" s="93" t="str">
        <f aca="false">IF(AE25="","",INDEX(피어커브!$L:$L,MATCH(AE25,피어커브!$A:$A,0)))</f>
        <v/>
      </c>
      <c r="AI25" s="93" t="str">
        <f aca="false">IF(AE25="","",AF25+AG25*AA25)</f>
        <v/>
      </c>
      <c r="AJ25" s="96" t="str">
        <f aca="false">IF(AE25="","",E25-AI25)</f>
        <v/>
      </c>
      <c r="AK25" s="95" t="str">
        <f aca="false">IF(AE25="","",IF(ISNUMBER(AH25),IF(AH25&gt;0,AJ25/AH25,""),""))</f>
        <v/>
      </c>
      <c r="AL25" s="43" t="str">
        <f aca="false">IF(AK25="","-",IF(AK25&gt;=설정!$C$6,"Cheap",IF(AK25&lt;=-설정!$C$6,"Rich","Fair")))</f>
        <v>-</v>
      </c>
      <c r="AM25" s="96" t="str">
        <f aca="false">IF(AE25="","",AJ25-AVERAGEIFS($AJ$2:$AJ$601,$B$2:$B$601,B25,$Y$2:$Y$601,1))</f>
        <v/>
      </c>
      <c r="AN25" s="93" t="n">
        <f aca="false">IF(AE25="",0,IF(K25&gt;1+설정!$C$8,AG25*(AA25-LN(K25-1)),0))</f>
        <v>0</v>
      </c>
      <c r="AO25" s="99" t="n">
        <f aca="false">IF($A25="",0,SUMIFS(보유분석!$AA$2:$AA$801,보유분석!$AB$2:$AB$801,ROW(),보유분석!$AC$2:$AC$801,1))</f>
        <v>0</v>
      </c>
      <c r="AP25" s="43" t="str">
        <f aca="false">IF($A25="","",TRIM(IF(R25=1,"FRN ","")&amp;IF(IFERROR(VLOOKUP(M25,설정!$A$15:$D$47,4,0),0)&gt;=10,IF(IFERROR(VLOOKUP(M25,설정!$A$15:$D$47,4,0),0)&lt;99,"BBB0미만 ",""),"")&amp;IF(OR(M25="",M25="NR"),"등급미입력 ","")&amp;IF(C25&lt;&gt;"USD","비USD ","")))</f>
        <v/>
      </c>
      <c r="AQ25" s="90" t="n">
        <f aca="false">IF(AND(Y25=1,AL25="Cheap"),IF(AND(ISERROR(SEARCH("FRN",AP25)),ISERROR(SEARCH("BBB0미만",AP25))),AK25+ROW()/1000000000,-999),-999)</f>
        <v>-999</v>
      </c>
      <c r="AR25" s="92" t="n">
        <f aca="false">IF(AND(ISNUMBER(D25),ISNUMBER(K25)),D25+AN25*MAX(K25-1,0)/100,"")</f>
        <v>4.649</v>
      </c>
      <c r="AS25" s="93" t="n">
        <f aca="false">IF(AND(ISNUMBER(E25),ISNUMBER(K25)),IF(K25&gt;0,(E25+AN25*MAX(K25-1,0))/K25,""),"")</f>
        <v>-88.4338235294118</v>
      </c>
      <c r="AT25" s="90" t="n">
        <f aca="false">IFERROR(IF(AND(Y25=1,ROW()&lt;&gt;스왑분석!$C$12+1,ABS(K25-INDEX($K$2:$K$601,스왑분석!$C$12))&lt;=스왑분석!$C$5,ISERROR(SEARCH("FRN",AP25)),ISERROR(SEARCH("BBB0미만",AP25))),IF(AND(OR(스왑분석!$C$6="N",L25=INDEX($L$2:$L$601,스왑분석!$C$12)),OR(스왑분석!$C$7="N",N25=INDEX($N$2:$N$601,스왑분석!$C$12)),OR(스왑분석!$C$8="N",AO25=0),E25-INDEX($E$2:$E$601,스왑분석!$C$12)&gt;=스왑분석!$C$9),E25-INDEX($E$2:$E$601,스왑분석!$C$12)+ROW()/1000000000,-999),-999),-999)</f>
        <v>-999</v>
      </c>
      <c r="AU25" s="90" t="n">
        <f aca="false">IF(AND(Y25=1,AO25&gt;0,AL25="Rich"),-AK25+ROW()/1000000000,-999)</f>
        <v>-999</v>
      </c>
    </row>
    <row r="26" customFormat="false" ht="15" hidden="false" customHeight="false" outlineLevel="0" collapsed="false">
      <c r="A26" s="83" t="str">
        <f aca="false">IFERROR(IF(INDEX(원자료_시장!$A$1:$BZ$1000,설정!$L$6+ROW()-1,설정!$L$24)&amp;""="0","",INDEX(원자료_시장!$A$1:$BZ$1000,설정!$L$6+ROW()-1,설정!$L$24)),"")</f>
        <v>EIBKOR 1 3/8 02/09/31</v>
      </c>
      <c r="B26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26" s="83" t="str">
        <f aca="false">IFERROR(IF(INDEX(원자료_시장!$A$1:$BZ$1000,설정!$L$6+ROW()-1,설정!$L$25)&amp;""="0","",INDEX(원자료_시장!$A$1:$BZ$1000,설정!$L$6+ROW()-1,설정!$L$25)),"")</f>
        <v>USD</v>
      </c>
      <c r="D26" s="85" t="n">
        <f aca="false">IFERROR(IF(ISNUMBER(INDEX(원자료_시장!$A$1:$BZ$1000,설정!$L$6+ROW()-1,설정!$L$26)),INDEX(원자료_시장!$A$1:$BZ$1000,설정!$L$6+ROW()-1,설정!$L$26),""),"")</f>
        <v>5.186</v>
      </c>
      <c r="E26" s="97" t="n">
        <f aca="false">IFERROR(IF(ISNUMBER(INDEX(원자료_시장!$A$1:$BZ$1000,설정!$L$6+ROW()-1,설정!$L$27)),INDEX(원자료_시장!$A$1:$BZ$1000,설정!$L$6+ROW()-1,설정!$L$27),""),"")</f>
        <v>9.941</v>
      </c>
      <c r="F26" s="97" t="n">
        <f aca="false">IFERROR(IF(ISNUMBER(INDEX(원자료_시장!$A$1:$BZ$1000,설정!$L$6+ROW()-1,설정!$L$28)),INDEX(원자료_시장!$A$1:$BZ$1000,설정!$L$6+ROW()-1,설정!$L$28),""),"")</f>
        <v>43.755</v>
      </c>
      <c r="G26" s="97" t="n">
        <f aca="false">IFERROR(IF(ISNUMBER(INDEX(원자료_시장!$A$1:$BZ$1000,설정!$L$6+ROW()-1,설정!$L$29)),INDEX(원자료_시장!$A$1:$BZ$1000,설정!$L$6+ROW()-1,설정!$L$29),""),"")</f>
        <v>-1.2</v>
      </c>
      <c r="H26" s="97" t="n">
        <f aca="false">IFERROR(IF(ISNUMBER(INDEX(원자료_시장!$A$1:$BZ$1000,설정!$L$6+ROW()-1,설정!$L$30)),INDEX(원자료_시장!$A$1:$BZ$1000,설정!$L$6+ROW()-1,설정!$L$30),""),"")</f>
        <v>5.5</v>
      </c>
      <c r="I26" s="97" t="n">
        <f aca="false">IFERROR(IF(ISNUMBER(INDEX(원자료_시장!$A$1:$BZ$1000,설정!$L$6+ROW()-1,설정!$L$31)),INDEX(원자료_시장!$A$1:$BZ$1000,설정!$L$6+ROW()-1,설정!$L$31),""),"")</f>
        <v>-7.4</v>
      </c>
      <c r="J26" s="97" t="n">
        <f aca="false">IFERROR(IF(ISNUMBER(INDEX(원자료_시장!$A$1:$BZ$1000,설정!$L$6+ROW()-1,설정!$L$32)),INDEX(원자료_시장!$A$1:$BZ$1000,설정!$L$6+ROW()-1,설정!$L$32),""),"")</f>
        <v>-6.8</v>
      </c>
      <c r="K26" s="85" t="n">
        <f aca="false">IFERROR(IF(ISNUMBER(INDEX(원자료_시장!$A$1:$BZ$1000,설정!$L$6+ROW()-1,설정!$L$33)),INDEX(원자료_시장!$A$1:$BZ$1000,설정!$L$6+ROW()-1,설정!$L$33),""),"")</f>
        <v>4.219</v>
      </c>
      <c r="L26" s="83" t="str">
        <f aca="false">IFERROR(IF(INDEX(원자료_시장!$A$1:$BZ$1000,설정!$L$6+ROW()-1,설정!$L$34)&amp;""="0","",INDEX(원자료_시장!$A$1:$BZ$1000,설정!$L$6+ROW()-1,설정!$L$34)),"")</f>
        <v>정부</v>
      </c>
      <c r="M26" s="83" t="str">
        <f aca="false">IFERROR(IF(INDEX(원자료_시장!$A$1:$BZ$1000,설정!$L$6+ROW()-1,설정!$L$35)&amp;""="0","",INDEX(원자료_시장!$A$1:$BZ$1000,설정!$L$6+ROW()-1,설정!$L$35)),"")</f>
        <v>AA</v>
      </c>
      <c r="N26" s="83" t="str">
        <f aca="false">IFERROR(IF(INDEX(원자료_시장!$A$1:$BZ$1000,설정!$L$6+ROW()-1,설정!$L$36)&amp;""="0","",INDEX(원자료_시장!$A$1:$BZ$1000,설정!$L$6+ROW()-1,설정!$L$36)),"")</f>
        <v>아시아/기타</v>
      </c>
      <c r="O26" s="43" t="str">
        <f aca="false">IF($A26="","",UPPER(LEFT($A26,FIND(" ",$A26&amp;" ")-1)))</f>
        <v>EIBKOR</v>
      </c>
      <c r="P26" s="43" t="str">
        <f aca="false">IF($A26="","",TRIM(RIGHT(SUBSTITUTE(TRIM($A26)," ",REPT(" ",30)),30)))</f>
        <v>02/09/31</v>
      </c>
      <c r="Q26" s="98" t="n">
        <f aca="false">IF($A26="","",IFERROR(DATE(IF(LEN(P26)=8,2000+VALUE(RIGHT(P26,2)),VALUE(RIGHT(P26,4))),VALUE(LEFT(P26,2)),VALUE(MID(P26,4,2))),""))</f>
        <v>47888</v>
      </c>
      <c r="R26" s="89" t="n">
        <f aca="false">IF($A26="",0,IF(ISNUMBER(SEARCH("Float",$A26)),1,0))</f>
        <v>0</v>
      </c>
      <c r="S26" s="43" t="str">
        <f aca="false">IF($A26="","",TRIM(MID($A26,LEN(O26)+2,LEN($A26)-LEN(O26)-LEN(P26)-1)))</f>
        <v>1 3/8</v>
      </c>
      <c r="T26" s="92" t="n">
        <f aca="false">IF(OR($A26="",R26=1),"",IFERROR(IF(ISNUMBER(FIND("/",S26)),IF(ISNUMBER(FIND(" ",S26)),VALUE(LEFT(S26,FIND(" ",S26)-1))+VALUE(MID(S26,FIND(" ",S26)+1,FIND("/",S26)-FIND(" ",S26)-1))/VALUE(MID(S26,FIND("/",S26)+1,9)),VALUE(LEFT(S26,FIND("/",S26)-1))/VALUE(MID(S26,FIND("/",S26)+1,9))),VALUE(S26)),""))</f>
        <v>1.375</v>
      </c>
      <c r="U26" s="43" t="str">
        <f aca="false">IF(OR($A26="",NOT(ISNUMBER(Q26))),"",TEXT(Q26,"yyyymmdd")&amp;"|"&amp;IF(R26=1,"F",TEXT(T26,"0.000")))</f>
        <v>20310209|1.375</v>
      </c>
      <c r="V26" s="43" t="str">
        <f aca="false">IF(U26="","",O26&amp;"|"&amp;U26)</f>
        <v>EIBKOR|20310209|1.375</v>
      </c>
      <c r="W26" s="43" t="str">
        <f aca="false">IF($A26="","",IFERROR(IF(VLOOKUP(O26,매핑!$A$4:$E$92,3,0)="","미분류",VLOOKUP(O26,매핑!$A$4:$E$92,3,0)),"미분류"))</f>
        <v>한국</v>
      </c>
      <c r="X26" s="89" t="n">
        <f aca="false">IF($A26="",0,IF(O26="T",1,0))</f>
        <v>0</v>
      </c>
      <c r="Y26" s="89" t="n">
        <f aca="false">IF($A26="",0,IF(AND(C26="USD",X26=0,ISNUMBER(E26),ISNUMBER(K26)),IF(K26&gt;=설정!$C$8,1,0),0))</f>
        <v>1</v>
      </c>
      <c r="Z26" s="43" t="str">
        <f aca="false">IF($A26="","",N26&amp;"|"&amp;L26)</f>
        <v>아시아/기타|정부</v>
      </c>
      <c r="AA26" s="92" t="n">
        <f aca="false">IF(Y26=1,LN(K26),0)</f>
        <v>1.4395981331422</v>
      </c>
      <c r="AB26" s="93" t="n">
        <f aca="false">IF(Y26=1,E26,0)</f>
        <v>9.941</v>
      </c>
      <c r="AC26" s="89" t="n">
        <f aca="false">IF(Y26=1,COUNTIFS($Z$2:$Z$601,Z26,$Y$2:$Y$601,1),0)</f>
        <v>51</v>
      </c>
      <c r="AD26" s="89" t="n">
        <f aca="false">IF(Y26=1,COUNTIFS($N$2:$N$601,N26,$Y$2:$Y$601,1),0)</f>
        <v>137</v>
      </c>
      <c r="AE26" s="43" t="str">
        <f aca="false">IF(Y26&lt;&gt;1,"",IF(AND(AC26&gt;=설정!$C$7,ISNUMBER(MATCH(Z26,피어커브!$A:$A,0))),Z26,IF(AND(AD26&gt;=설정!$C$7,ISNUMBER(MATCH(N26&amp;"|전체",피어커브!$A:$A,0))),N26&amp;"|전체","전체|전체")))</f>
        <v>아시아/기타|정부</v>
      </c>
      <c r="AF26" s="93" t="n">
        <f aca="false">IF(AE26="","",INDEX(피어커브!$K:$K,MATCH(AE26,피어커브!$A:$A,0)))</f>
        <v>-1.54860147302313</v>
      </c>
      <c r="AG26" s="93" t="n">
        <f aca="false">IF(AE26="","",INDEX(피어커브!$J:$J,MATCH(AE26,피어커브!$A:$A,0)))</f>
        <v>19.8674994409945</v>
      </c>
      <c r="AH26" s="93" t="n">
        <f aca="false">IF(AE26="","",INDEX(피어커브!$L:$L,MATCH(AE26,피어커브!$A:$A,0)))</f>
        <v>13.6930241146778</v>
      </c>
      <c r="AI26" s="93" t="n">
        <f aca="false">IF(AE26="","",AF26+AG26*AA26)</f>
        <v>27.0526136324364</v>
      </c>
      <c r="AJ26" s="96" t="n">
        <f aca="false">IF(AE26="","",E26-AI26)</f>
        <v>-17.1116136324364</v>
      </c>
      <c r="AK26" s="95" t="n">
        <f aca="false">IF(AE26="","",IF(ISNUMBER(AH26),IF(AH26&gt;0,AJ26/AH26,""),""))</f>
        <v>-1.24965920523678</v>
      </c>
      <c r="AL26" s="43" t="str">
        <f aca="false">IF(AK26="","-",IF(AK26&gt;=설정!$C$6,"Cheap",IF(AK26&lt;=-설정!$C$6,"Rich","Fair")))</f>
        <v>Rich</v>
      </c>
      <c r="AM26" s="96" t="n">
        <f aca="false">IF(AE26="","",AJ26-AVERAGEIFS($AJ$2:$AJ$601,$B$2:$B$601,B26,$Y$2:$Y$601,1))</f>
        <v>-5.48542457304457</v>
      </c>
      <c r="AN26" s="93" t="n">
        <f aca="false">IF(AE26="",0,IF(K26&gt;1+설정!$C$8,AG26*(AA26-LN(K26-1)),0))</f>
        <v>5.37470258732494</v>
      </c>
      <c r="AO26" s="99" t="n">
        <f aca="false">IF($A26="",0,SUMIFS(보유분석!$AA$2:$AA$801,보유분석!$AB$2:$AB$801,ROW(),보유분석!$AC$2:$AC$801,1))</f>
        <v>0</v>
      </c>
      <c r="AP26" s="43" t="str">
        <f aca="false">IF($A26="","",TRIM(IF(R26=1,"FRN ","")&amp;IF(IFERROR(VLOOKUP(M26,설정!$A$15:$D$47,4,0),0)&gt;=10,IF(IFERROR(VLOOKUP(M26,설정!$A$15:$D$47,4,0),0)&lt;99,"BBB0미만 ",""),"")&amp;IF(OR(M26="",M26="NR"),"등급미입력 ","")&amp;IF(C26&lt;&gt;"USD","비USD ","")))</f>
        <v/>
      </c>
      <c r="AQ26" s="90" t="n">
        <f aca="false">IF(AND(Y26=1,AL26="Cheap"),IF(AND(ISERROR(SEARCH("FRN",AP26)),ISERROR(SEARCH("BBB0미만",AP26))),AK26+ROW()/1000000000,-999),-999)</f>
        <v>-999</v>
      </c>
      <c r="AR26" s="92" t="n">
        <f aca="false">IF(AND(ISNUMBER(D26),ISNUMBER(K26)),D26+AN26*MAX(K26-1,0)/100,"")</f>
        <v>5.35901167628599</v>
      </c>
      <c r="AS26" s="93" t="n">
        <f aca="false">IF(AND(ISNUMBER(E26),ISNUMBER(K26)),IF(K26&gt;0,(E26+AN26*MAX(K26-1,0))/K26,""),"")</f>
        <v>6.45702005892368</v>
      </c>
      <c r="AT26" s="90" t="n">
        <f aca="false">IFERROR(IF(AND(Y26=1,ROW()&lt;&gt;스왑분석!$C$12+1,ABS(K26-INDEX($K$2:$K$601,스왑분석!$C$12))&lt;=스왑분석!$C$5,ISERROR(SEARCH("FRN",AP26)),ISERROR(SEARCH("BBB0미만",AP26))),IF(AND(OR(스왑분석!$C$6="N",L26=INDEX($L$2:$L$601,스왑분석!$C$12)),OR(스왑분석!$C$7="N",N26=INDEX($N$2:$N$601,스왑분석!$C$12)),OR(스왑분석!$C$8="N",AO26=0),E26-INDEX($E$2:$E$601,스왑분석!$C$12)&gt;=스왑분석!$C$9),E26-INDEX($E$2:$E$601,스왑분석!$C$12)+ROW()/1000000000,-999),-999),-999)</f>
        <v>-999</v>
      </c>
      <c r="AU26" s="90" t="n">
        <f aca="false">IF(AND(Y26=1,AO26&gt;0,AL26="Rich"),-AK26+ROW()/1000000000,-999)</f>
        <v>-999</v>
      </c>
    </row>
    <row r="27" customFormat="false" ht="15" hidden="false" customHeight="false" outlineLevel="0" collapsed="false">
      <c r="A27" s="83" t="str">
        <f aca="false">IFERROR(IF(INDEX(원자료_시장!$A$1:$BZ$1000,설정!$L$6+ROW()-1,설정!$L$24)&amp;""="0","",INDEX(원자료_시장!$A$1:$BZ$1000,설정!$L$6+ROW()-1,설정!$L$24)),"")</f>
        <v>EIBKOR 1 5/8 01/18/27</v>
      </c>
      <c r="B27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27" s="83" t="str">
        <f aca="false">IFERROR(IF(INDEX(원자료_시장!$A$1:$BZ$1000,설정!$L$6+ROW()-1,설정!$L$25)&amp;""="0","",INDEX(원자료_시장!$A$1:$BZ$1000,설정!$L$6+ROW()-1,설정!$L$25)),"")</f>
        <v>USD</v>
      </c>
      <c r="D27" s="85" t="n">
        <f aca="false">IFERROR(IF(ISNUMBER(INDEX(원자료_시장!$A$1:$BZ$1000,설정!$L$6+ROW()-1,설정!$L$26)),INDEX(원자료_시장!$A$1:$BZ$1000,설정!$L$6+ROW()-1,설정!$L$26),""),"")</f>
        <v>4.483</v>
      </c>
      <c r="E27" s="97" t="n">
        <f aca="false">IFERROR(IF(ISNUMBER(INDEX(원자료_시장!$A$1:$BZ$1000,설정!$L$6+ROW()-1,설정!$L$27)),INDEX(원자료_시장!$A$1:$BZ$1000,설정!$L$6+ROW()-1,설정!$L$27),""),"")</f>
        <v>-40.584</v>
      </c>
      <c r="F27" s="97" t="n">
        <f aca="false">IFERROR(IF(ISNUMBER(INDEX(원자료_시장!$A$1:$BZ$1000,설정!$L$6+ROW()-1,설정!$L$28)),INDEX(원자료_시장!$A$1:$BZ$1000,설정!$L$6+ROW()-1,설정!$L$28),""),"")</f>
        <v>41.008</v>
      </c>
      <c r="G27" s="97" t="n">
        <f aca="false">IFERROR(IF(ISNUMBER(INDEX(원자료_시장!$A$1:$BZ$1000,설정!$L$6+ROW()-1,설정!$L$29)),INDEX(원자료_시장!$A$1:$BZ$1000,설정!$L$6+ROW()-1,설정!$L$29),""),"")</f>
        <v>-0.3</v>
      </c>
      <c r="H27" s="97" t="n">
        <f aca="false">IFERROR(IF(ISNUMBER(INDEX(원자료_시장!$A$1:$BZ$1000,설정!$L$6+ROW()-1,설정!$L$30)),INDEX(원자료_시장!$A$1:$BZ$1000,설정!$L$6+ROW()-1,설정!$L$30),""),"")</f>
        <v>-3</v>
      </c>
      <c r="I27" s="97" t="n">
        <f aca="false">IFERROR(IF(ISNUMBER(INDEX(원자료_시장!$A$1:$BZ$1000,설정!$L$6+ROW()-1,설정!$L$31)),INDEX(원자료_시장!$A$1:$BZ$1000,설정!$L$6+ROW()-1,설정!$L$31),""),"")</f>
        <v>-29.9</v>
      </c>
      <c r="J27" s="97" t="n">
        <f aca="false">IFERROR(IF(ISNUMBER(INDEX(원자료_시장!$A$1:$BZ$1000,설정!$L$6+ROW()-1,설정!$L$32)),INDEX(원자료_시장!$A$1:$BZ$1000,설정!$L$6+ROW()-1,설정!$L$32),""),"")</f>
        <v>-44.5</v>
      </c>
      <c r="K27" s="85" t="n">
        <f aca="false">IFERROR(IF(ISNUMBER(INDEX(원자료_시장!$A$1:$BZ$1000,설정!$L$6+ROW()-1,설정!$L$33)),INDEX(원자료_시장!$A$1:$BZ$1000,설정!$L$6+ROW()-1,설정!$L$33),""),"")</f>
        <v>0.294</v>
      </c>
      <c r="L27" s="83" t="str">
        <f aca="false">IFERROR(IF(INDEX(원자료_시장!$A$1:$BZ$1000,설정!$L$6+ROW()-1,설정!$L$34)&amp;""="0","",INDEX(원자료_시장!$A$1:$BZ$1000,설정!$L$6+ROW()-1,설정!$L$34)),"")</f>
        <v>정부</v>
      </c>
      <c r="M27" s="83" t="str">
        <f aca="false">IFERROR(IF(INDEX(원자료_시장!$A$1:$BZ$1000,설정!$L$6+ROW()-1,설정!$L$35)&amp;""="0","",INDEX(원자료_시장!$A$1:$BZ$1000,설정!$L$6+ROW()-1,설정!$L$35)),"")</f>
        <v>AA</v>
      </c>
      <c r="N27" s="83" t="str">
        <f aca="false">IFERROR(IF(INDEX(원자료_시장!$A$1:$BZ$1000,설정!$L$6+ROW()-1,설정!$L$36)&amp;""="0","",INDEX(원자료_시장!$A$1:$BZ$1000,설정!$L$6+ROW()-1,설정!$L$36)),"")</f>
        <v>아시아/기타</v>
      </c>
      <c r="O27" s="43" t="str">
        <f aca="false">IF($A27="","",UPPER(LEFT($A27,FIND(" ",$A27&amp;" ")-1)))</f>
        <v>EIBKOR</v>
      </c>
      <c r="P27" s="43" t="str">
        <f aca="false">IF($A27="","",TRIM(RIGHT(SUBSTITUTE(TRIM($A27)," ",REPT(" ",30)),30)))</f>
        <v>01/18/27</v>
      </c>
      <c r="Q27" s="98" t="n">
        <f aca="false">IF($A27="","",IFERROR(DATE(IF(LEN(P27)=8,2000+VALUE(RIGHT(P27,2)),VALUE(RIGHT(P27,4))),VALUE(LEFT(P27,2)),VALUE(MID(P27,4,2))),""))</f>
        <v>46405</v>
      </c>
      <c r="R27" s="89" t="n">
        <f aca="false">IF($A27="",0,IF(ISNUMBER(SEARCH("Float",$A27)),1,0))</f>
        <v>0</v>
      </c>
      <c r="S27" s="43" t="str">
        <f aca="false">IF($A27="","",TRIM(MID($A27,LEN(O27)+2,LEN($A27)-LEN(O27)-LEN(P27)-1)))</f>
        <v>1 5/8</v>
      </c>
      <c r="T27" s="92" t="n">
        <f aca="false">IF(OR($A27="",R27=1),"",IFERROR(IF(ISNUMBER(FIND("/",S27)),IF(ISNUMBER(FIND(" ",S27)),VALUE(LEFT(S27,FIND(" ",S27)-1))+VALUE(MID(S27,FIND(" ",S27)+1,FIND("/",S27)-FIND(" ",S27)-1))/VALUE(MID(S27,FIND("/",S27)+1,9)),VALUE(LEFT(S27,FIND("/",S27)-1))/VALUE(MID(S27,FIND("/",S27)+1,9))),VALUE(S27)),""))</f>
        <v>1.625</v>
      </c>
      <c r="U27" s="43" t="str">
        <f aca="false">IF(OR($A27="",NOT(ISNUMBER(Q27))),"",TEXT(Q27,"yyyymmdd")&amp;"|"&amp;IF(R27=1,"F",TEXT(T27,"0.000")))</f>
        <v>20270118|1.625</v>
      </c>
      <c r="V27" s="43" t="str">
        <f aca="false">IF(U27="","",O27&amp;"|"&amp;U27)</f>
        <v>EIBKOR|20270118|1.625</v>
      </c>
      <c r="W27" s="43" t="str">
        <f aca="false">IF($A27="","",IFERROR(IF(VLOOKUP(O27,매핑!$A$4:$E$92,3,0)="","미분류",VLOOKUP(O27,매핑!$A$4:$E$92,3,0)),"미분류"))</f>
        <v>한국</v>
      </c>
      <c r="X27" s="89" t="n">
        <f aca="false">IF($A27="",0,IF(O27="T",1,0))</f>
        <v>0</v>
      </c>
      <c r="Y27" s="89" t="n">
        <f aca="false">IF($A27="",0,IF(AND(C27="USD",X27=0,ISNUMBER(E27),ISNUMBER(K27)),IF(K27&gt;=설정!$C$8,1,0),0))</f>
        <v>0</v>
      </c>
      <c r="Z27" s="43" t="str">
        <f aca="false">IF($A27="","",N27&amp;"|"&amp;L27)</f>
        <v>아시아/기타|정부</v>
      </c>
      <c r="AA27" s="92" t="n">
        <f aca="false">IF(Y27=1,LN(K27),0)</f>
        <v>0</v>
      </c>
      <c r="AB27" s="93" t="n">
        <f aca="false">IF(Y27=1,E27,0)</f>
        <v>0</v>
      </c>
      <c r="AC27" s="89" t="n">
        <f aca="false">IF(Y27=1,COUNTIFS($Z$2:$Z$601,Z27,$Y$2:$Y$601,1),0)</f>
        <v>0</v>
      </c>
      <c r="AD27" s="89" t="n">
        <f aca="false">IF(Y27=1,COUNTIFS($N$2:$N$601,N27,$Y$2:$Y$601,1),0)</f>
        <v>0</v>
      </c>
      <c r="AE27" s="43" t="str">
        <f aca="false">IF(Y27&lt;&gt;1,"",IF(AND(AC27&gt;=설정!$C$7,ISNUMBER(MATCH(Z27,피어커브!$A:$A,0))),Z27,IF(AND(AD27&gt;=설정!$C$7,ISNUMBER(MATCH(N27&amp;"|전체",피어커브!$A:$A,0))),N27&amp;"|전체","전체|전체")))</f>
        <v/>
      </c>
      <c r="AF27" s="93" t="str">
        <f aca="false">IF(AE27="","",INDEX(피어커브!$K:$K,MATCH(AE27,피어커브!$A:$A,0)))</f>
        <v/>
      </c>
      <c r="AG27" s="93" t="str">
        <f aca="false">IF(AE27="","",INDEX(피어커브!$J:$J,MATCH(AE27,피어커브!$A:$A,0)))</f>
        <v/>
      </c>
      <c r="AH27" s="93" t="str">
        <f aca="false">IF(AE27="","",INDEX(피어커브!$L:$L,MATCH(AE27,피어커브!$A:$A,0)))</f>
        <v/>
      </c>
      <c r="AI27" s="93" t="str">
        <f aca="false">IF(AE27="","",AF27+AG27*AA27)</f>
        <v/>
      </c>
      <c r="AJ27" s="96" t="str">
        <f aca="false">IF(AE27="","",E27-AI27)</f>
        <v/>
      </c>
      <c r="AK27" s="95" t="str">
        <f aca="false">IF(AE27="","",IF(ISNUMBER(AH27),IF(AH27&gt;0,AJ27/AH27,""),""))</f>
        <v/>
      </c>
      <c r="AL27" s="43" t="str">
        <f aca="false">IF(AK27="","-",IF(AK27&gt;=설정!$C$6,"Cheap",IF(AK27&lt;=-설정!$C$6,"Rich","Fair")))</f>
        <v>-</v>
      </c>
      <c r="AM27" s="96" t="str">
        <f aca="false">IF(AE27="","",AJ27-AVERAGEIFS($AJ$2:$AJ$601,$B$2:$B$601,B27,$Y$2:$Y$601,1))</f>
        <v/>
      </c>
      <c r="AN27" s="93" t="n">
        <f aca="false">IF(AE27="",0,IF(K27&gt;1+설정!$C$8,AG27*(AA27-LN(K27-1)),0))</f>
        <v>0</v>
      </c>
      <c r="AO27" s="99" t="n">
        <f aca="false">IF($A27="",0,SUMIFS(보유분석!$AA$2:$AA$801,보유분석!$AB$2:$AB$801,ROW(),보유분석!$AC$2:$AC$801,1))</f>
        <v>0</v>
      </c>
      <c r="AP27" s="43" t="str">
        <f aca="false">IF($A27="","",TRIM(IF(R27=1,"FRN ","")&amp;IF(IFERROR(VLOOKUP(M27,설정!$A$15:$D$47,4,0),0)&gt;=10,IF(IFERROR(VLOOKUP(M27,설정!$A$15:$D$47,4,0),0)&lt;99,"BBB0미만 ",""),"")&amp;IF(OR(M27="",M27="NR"),"등급미입력 ","")&amp;IF(C27&lt;&gt;"USD","비USD ","")))</f>
        <v/>
      </c>
      <c r="AQ27" s="90" t="n">
        <f aca="false">IF(AND(Y27=1,AL27="Cheap"),IF(AND(ISERROR(SEARCH("FRN",AP27)),ISERROR(SEARCH("BBB0미만",AP27))),AK27+ROW()/1000000000,-999),-999)</f>
        <v>-999</v>
      </c>
      <c r="AR27" s="92" t="n">
        <f aca="false">IF(AND(ISNUMBER(D27),ISNUMBER(K27)),D27+AN27*MAX(K27-1,0)/100,"")</f>
        <v>4.483</v>
      </c>
      <c r="AS27" s="93" t="n">
        <f aca="false">IF(AND(ISNUMBER(E27),ISNUMBER(K27)),IF(K27&gt;0,(E27+AN27*MAX(K27-1,0))/K27,""),"")</f>
        <v>-138.040816326531</v>
      </c>
      <c r="AT27" s="90" t="n">
        <f aca="false">IFERROR(IF(AND(Y27=1,ROW()&lt;&gt;스왑분석!$C$12+1,ABS(K27-INDEX($K$2:$K$601,스왑분석!$C$12))&lt;=스왑분석!$C$5,ISERROR(SEARCH("FRN",AP27)),ISERROR(SEARCH("BBB0미만",AP27))),IF(AND(OR(스왑분석!$C$6="N",L27=INDEX($L$2:$L$601,스왑분석!$C$12)),OR(스왑분석!$C$7="N",N27=INDEX($N$2:$N$601,스왑분석!$C$12)),OR(스왑분석!$C$8="N",AO27=0),E27-INDEX($E$2:$E$601,스왑분석!$C$12)&gt;=스왑분석!$C$9),E27-INDEX($E$2:$E$601,스왑분석!$C$12)+ROW()/1000000000,-999),-999),-999)</f>
        <v>-999</v>
      </c>
      <c r="AU27" s="90" t="n">
        <f aca="false">IF(AND(Y27=1,AO27&gt;0,AL27="Rich"),-AK27+ROW()/1000000000,-999)</f>
        <v>-999</v>
      </c>
    </row>
    <row r="28" customFormat="false" ht="15" hidden="false" customHeight="false" outlineLevel="0" collapsed="false">
      <c r="A28" s="83" t="str">
        <f aca="false">IFERROR(IF(INDEX(원자료_시장!$A$1:$BZ$1000,설정!$L$6+ROW()-1,설정!$L$24)&amp;""="0","",INDEX(원자료_시장!$A$1:$BZ$1000,설정!$L$6+ROW()-1,설정!$L$24)),"")</f>
        <v>EIBKOR 5 1/8 09/18/28</v>
      </c>
      <c r="B28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28" s="83" t="str">
        <f aca="false">IFERROR(IF(INDEX(원자료_시장!$A$1:$BZ$1000,설정!$L$6+ROW()-1,설정!$L$25)&amp;""="0","",INDEX(원자료_시장!$A$1:$BZ$1000,설정!$L$6+ROW()-1,설정!$L$25)),"")</f>
        <v>USD</v>
      </c>
      <c r="D28" s="85" t="n">
        <f aca="false">IFERROR(IF(ISNUMBER(INDEX(원자료_시장!$A$1:$BZ$1000,설정!$L$6+ROW()-1,설정!$L$26)),INDEX(원자료_시장!$A$1:$BZ$1000,설정!$L$6+ROW()-1,설정!$L$26),""),"")</f>
        <v>5.03</v>
      </c>
      <c r="E28" s="97" t="n">
        <f aca="false">IFERROR(IF(ISNUMBER(INDEX(원자료_시장!$A$1:$BZ$1000,설정!$L$6+ROW()-1,설정!$L$27)),INDEX(원자료_시장!$A$1:$BZ$1000,설정!$L$6+ROW()-1,설정!$L$27),""),"")</f>
        <v>14.114</v>
      </c>
      <c r="F28" s="97" t="n">
        <f aca="false">IFERROR(IF(ISNUMBER(INDEX(원자료_시장!$A$1:$BZ$1000,설정!$L$6+ROW()-1,설정!$L$28)),INDEX(원자료_시장!$A$1:$BZ$1000,설정!$L$6+ROW()-1,설정!$L$28),""),"")</f>
        <v>34.435</v>
      </c>
      <c r="G28" s="97" t="n">
        <f aca="false">IFERROR(IF(ISNUMBER(INDEX(원자료_시장!$A$1:$BZ$1000,설정!$L$6+ROW()-1,설정!$L$29)),INDEX(원자료_시장!$A$1:$BZ$1000,설정!$L$6+ROW()-1,설정!$L$29),""),"")</f>
        <v>-1</v>
      </c>
      <c r="H28" s="97" t="n">
        <f aca="false">IFERROR(IF(ISNUMBER(INDEX(원자료_시장!$A$1:$BZ$1000,설정!$L$6+ROW()-1,설정!$L$30)),INDEX(원자료_시장!$A$1:$BZ$1000,설정!$L$6+ROW()-1,설정!$L$30),""),"")</f>
        <v>11</v>
      </c>
      <c r="I28" s="97" t="n">
        <f aca="false">IFERROR(IF(ISNUMBER(INDEX(원자료_시장!$A$1:$BZ$1000,설정!$L$6+ROW()-1,설정!$L$31)),INDEX(원자료_시장!$A$1:$BZ$1000,설정!$L$6+ROW()-1,설정!$L$31),""),"")</f>
        <v>5.1</v>
      </c>
      <c r="J28" s="97" t="n">
        <f aca="false">IFERROR(IF(ISNUMBER(INDEX(원자료_시장!$A$1:$BZ$1000,설정!$L$6+ROW()-1,설정!$L$32)),INDEX(원자료_시장!$A$1:$BZ$1000,설정!$L$6+ROW()-1,설정!$L$32),""),"")</f>
        <v>-0.7</v>
      </c>
      <c r="K28" s="85" t="n">
        <f aca="false">IFERROR(IF(ISNUMBER(INDEX(원자료_시장!$A$1:$BZ$1000,설정!$L$6+ROW()-1,설정!$L$33)),INDEX(원자료_시장!$A$1:$BZ$1000,설정!$L$6+ROW()-1,설정!$L$33),""),"")</f>
        <v>1.887</v>
      </c>
      <c r="L28" s="83" t="str">
        <f aca="false">IFERROR(IF(INDEX(원자료_시장!$A$1:$BZ$1000,설정!$L$6+ROW()-1,설정!$L$34)&amp;""="0","",INDEX(원자료_시장!$A$1:$BZ$1000,설정!$L$6+ROW()-1,설정!$L$34)),"")</f>
        <v>정부</v>
      </c>
      <c r="M28" s="83" t="str">
        <f aca="false">IFERROR(IF(INDEX(원자료_시장!$A$1:$BZ$1000,설정!$L$6+ROW()-1,설정!$L$35)&amp;""="0","",INDEX(원자료_시장!$A$1:$BZ$1000,설정!$L$6+ROW()-1,설정!$L$35)),"")</f>
        <v>AA</v>
      </c>
      <c r="N28" s="83" t="str">
        <f aca="false">IFERROR(IF(INDEX(원자료_시장!$A$1:$BZ$1000,설정!$L$6+ROW()-1,설정!$L$36)&amp;""="0","",INDEX(원자료_시장!$A$1:$BZ$1000,설정!$L$6+ROW()-1,설정!$L$36)),"")</f>
        <v>아시아/기타</v>
      </c>
      <c r="O28" s="43" t="str">
        <f aca="false">IF($A28="","",UPPER(LEFT($A28,FIND(" ",$A28&amp;" ")-1)))</f>
        <v>EIBKOR</v>
      </c>
      <c r="P28" s="43" t="str">
        <f aca="false">IF($A28="","",TRIM(RIGHT(SUBSTITUTE(TRIM($A28)," ",REPT(" ",30)),30)))</f>
        <v>09/18/28</v>
      </c>
      <c r="Q28" s="98" t="n">
        <f aca="false">IF($A28="","",IFERROR(DATE(IF(LEN(P28)=8,2000+VALUE(RIGHT(P28,2)),VALUE(RIGHT(P28,4))),VALUE(LEFT(P28,2)),VALUE(MID(P28,4,2))),""))</f>
        <v>47014</v>
      </c>
      <c r="R28" s="89" t="n">
        <f aca="false">IF($A28="",0,IF(ISNUMBER(SEARCH("Float",$A28)),1,0))</f>
        <v>0</v>
      </c>
      <c r="S28" s="43" t="str">
        <f aca="false">IF($A28="","",TRIM(MID($A28,LEN(O28)+2,LEN($A28)-LEN(O28)-LEN(P28)-1)))</f>
        <v>5 1/8</v>
      </c>
      <c r="T28" s="92" t="n">
        <f aca="false">IF(OR($A28="",R28=1),"",IFERROR(IF(ISNUMBER(FIND("/",S28)),IF(ISNUMBER(FIND(" ",S28)),VALUE(LEFT(S28,FIND(" ",S28)-1))+VALUE(MID(S28,FIND(" ",S28)+1,FIND("/",S28)-FIND(" ",S28)-1))/VALUE(MID(S28,FIND("/",S28)+1,9)),VALUE(LEFT(S28,FIND("/",S28)-1))/VALUE(MID(S28,FIND("/",S28)+1,9))),VALUE(S28)),""))</f>
        <v>5.125</v>
      </c>
      <c r="U28" s="43" t="str">
        <f aca="false">IF(OR($A28="",NOT(ISNUMBER(Q28))),"",TEXT(Q28,"yyyymmdd")&amp;"|"&amp;IF(R28=1,"F",TEXT(T28,"0.000")))</f>
        <v>20280918|5.125</v>
      </c>
      <c r="V28" s="43" t="str">
        <f aca="false">IF(U28="","",O28&amp;"|"&amp;U28)</f>
        <v>EIBKOR|20280918|5.125</v>
      </c>
      <c r="W28" s="43" t="str">
        <f aca="false">IF($A28="","",IFERROR(IF(VLOOKUP(O28,매핑!$A$4:$E$92,3,0)="","미분류",VLOOKUP(O28,매핑!$A$4:$E$92,3,0)),"미분류"))</f>
        <v>한국</v>
      </c>
      <c r="X28" s="89" t="n">
        <f aca="false">IF($A28="",0,IF(O28="T",1,0))</f>
        <v>0</v>
      </c>
      <c r="Y28" s="89" t="n">
        <f aca="false">IF($A28="",0,IF(AND(C28="USD",X28=0,ISNUMBER(E28),ISNUMBER(K28)),IF(K28&gt;=설정!$C$8,1,0),0))</f>
        <v>1</v>
      </c>
      <c r="Z28" s="43" t="str">
        <f aca="false">IF($A28="","",N28&amp;"|"&amp;L28)</f>
        <v>아시아/기타|정부</v>
      </c>
      <c r="AA28" s="92" t="n">
        <f aca="false">IF(Y28=1,LN(K28),0)</f>
        <v>0.634988266386413</v>
      </c>
      <c r="AB28" s="93" t="n">
        <f aca="false">IF(Y28=1,E28,0)</f>
        <v>14.114</v>
      </c>
      <c r="AC28" s="89" t="n">
        <f aca="false">IF(Y28=1,COUNTIFS($Z$2:$Z$601,Z28,$Y$2:$Y$601,1),0)</f>
        <v>51</v>
      </c>
      <c r="AD28" s="89" t="n">
        <f aca="false">IF(Y28=1,COUNTIFS($N$2:$N$601,N28,$Y$2:$Y$601,1),0)</f>
        <v>137</v>
      </c>
      <c r="AE28" s="43" t="str">
        <f aca="false">IF(Y28&lt;&gt;1,"",IF(AND(AC28&gt;=설정!$C$7,ISNUMBER(MATCH(Z28,피어커브!$A:$A,0))),Z28,IF(AND(AD28&gt;=설정!$C$7,ISNUMBER(MATCH(N28&amp;"|전체",피어커브!$A:$A,0))),N28&amp;"|전체","전체|전체")))</f>
        <v>아시아/기타|정부</v>
      </c>
      <c r="AF28" s="93" t="n">
        <f aca="false">IF(AE28="","",INDEX(피어커브!$K:$K,MATCH(AE28,피어커브!$A:$A,0)))</f>
        <v>-1.54860147302313</v>
      </c>
      <c r="AG28" s="93" t="n">
        <f aca="false">IF(AE28="","",INDEX(피어커브!$J:$J,MATCH(AE28,피어커브!$A:$A,0)))</f>
        <v>19.8674994409945</v>
      </c>
      <c r="AH28" s="93" t="n">
        <f aca="false">IF(AE28="","",INDEX(피어커브!$L:$L,MATCH(AE28,피어커브!$A:$A,0)))</f>
        <v>13.6930241146778</v>
      </c>
      <c r="AI28" s="93" t="n">
        <f aca="false">IF(AE28="","",AF28+AG28*AA28)</f>
        <v>11.067027554447</v>
      </c>
      <c r="AJ28" s="96" t="n">
        <f aca="false">IF(AE28="","",E28-AI28)</f>
        <v>3.04697244555297</v>
      </c>
      <c r="AK28" s="95" t="n">
        <f aca="false">IF(AE28="","",IF(ISNUMBER(AH28),IF(AH28&gt;0,AJ28/AH28,""),""))</f>
        <v>0.22252005254901</v>
      </c>
      <c r="AL28" s="43" t="str">
        <f aca="false">IF(AK28="","-",IF(AK28&gt;=설정!$C$6,"Cheap",IF(AK28&lt;=-설정!$C$6,"Rich","Fair")))</f>
        <v>Fair</v>
      </c>
      <c r="AM28" s="96" t="n">
        <f aca="false">IF(AE28="","",AJ28-AVERAGEIFS($AJ$2:$AJ$601,$B$2:$B$601,B28,$Y$2:$Y$601,1))</f>
        <v>14.6731615049448</v>
      </c>
      <c r="AN28" s="93" t="n">
        <f aca="false">IF(AE28="",0,IF(K28&gt;1+설정!$C$8,AG28*(AA28-LN(K28-1)),0))</f>
        <v>14.9979467795817</v>
      </c>
      <c r="AO28" s="99" t="n">
        <f aca="false">IF($A28="",0,SUMIFS(보유분석!$AA$2:$AA$801,보유분석!$AB$2:$AB$801,ROW(),보유분석!$AC$2:$AC$801,1))</f>
        <v>0</v>
      </c>
      <c r="AP28" s="43" t="str">
        <f aca="false">IF($A28="","",TRIM(IF(R28=1,"FRN ","")&amp;IF(IFERROR(VLOOKUP(M28,설정!$A$15:$D$47,4,0),0)&gt;=10,IF(IFERROR(VLOOKUP(M28,설정!$A$15:$D$47,4,0),0)&lt;99,"BBB0미만 ",""),"")&amp;IF(OR(M28="",M28="NR"),"등급미입력 ","")&amp;IF(C28&lt;&gt;"USD","비USD ","")))</f>
        <v/>
      </c>
      <c r="AQ28" s="90" t="n">
        <f aca="false">IF(AND(Y28=1,AL28="Cheap"),IF(AND(ISERROR(SEARCH("FRN",AP28)),ISERROR(SEARCH("BBB0미만",AP28))),AK28+ROW()/1000000000,-999),-999)</f>
        <v>-999</v>
      </c>
      <c r="AR28" s="92" t="n">
        <f aca="false">IF(AND(ISNUMBER(D28),ISNUMBER(K28)),D28+AN28*MAX(K28-1,0)/100,"")</f>
        <v>5.16303178793489</v>
      </c>
      <c r="AS28" s="93" t="n">
        <f aca="false">IF(AND(ISNUMBER(E28),ISNUMBER(K28)),IF(K28&gt;0,(E28+AN28*MAX(K28-1,0))/K28,""),"")</f>
        <v>14.5295065148325</v>
      </c>
      <c r="AT28" s="90" t="n">
        <f aca="false">IFERROR(IF(AND(Y28=1,ROW()&lt;&gt;스왑분석!$C$12+1,ABS(K28-INDEX($K$2:$K$601,스왑분석!$C$12))&lt;=스왑분석!$C$5,ISERROR(SEARCH("FRN",AP28)),ISERROR(SEARCH("BBB0미만",AP28))),IF(AND(OR(스왑분석!$C$6="N",L28=INDEX($L$2:$L$601,스왑분석!$C$12)),OR(스왑분석!$C$7="N",N28=INDEX($N$2:$N$601,스왑분석!$C$12)),OR(스왑분석!$C$8="N",AO28=0),E28-INDEX($E$2:$E$601,스왑분석!$C$12)&gt;=스왑분석!$C$9),E28-INDEX($E$2:$E$601,스왑분석!$C$12)+ROW()/1000000000,-999),-999),-999)</f>
        <v>-999</v>
      </c>
      <c r="AU28" s="90" t="n">
        <f aca="false">IF(AND(Y28=1,AO28&gt;0,AL28="Rich"),-AK28+ROW()/1000000000,-999)</f>
        <v>-999</v>
      </c>
    </row>
    <row r="29" customFormat="false" ht="15" hidden="false" customHeight="false" outlineLevel="0" collapsed="false">
      <c r="A29" s="83" t="str">
        <f aca="false">IFERROR(IF(INDEX(원자료_시장!$A$1:$BZ$1000,설정!$L$6+ROW()-1,설정!$L$24)&amp;""="0","",INDEX(원자료_시장!$A$1:$BZ$1000,설정!$L$6+ROW()-1,설정!$L$24)),"")</f>
        <v>EIBKOR 5 1/8 09/18/33</v>
      </c>
      <c r="B29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29" s="83" t="str">
        <f aca="false">IFERROR(IF(INDEX(원자료_시장!$A$1:$BZ$1000,설정!$L$6+ROW()-1,설정!$L$25)&amp;""="0","",INDEX(원자료_시장!$A$1:$BZ$1000,설정!$L$6+ROW()-1,설정!$L$25)),"")</f>
        <v>USD</v>
      </c>
      <c r="D29" s="85" t="n">
        <f aca="false">IFERROR(IF(ISNUMBER(INDEX(원자료_시장!$A$1:$BZ$1000,설정!$L$6+ROW()-1,설정!$L$26)),INDEX(원자료_시장!$A$1:$BZ$1000,설정!$L$6+ROW()-1,설정!$L$26),""),"")</f>
        <v>5.452</v>
      </c>
      <c r="E29" s="97" t="n">
        <f aca="false">IFERROR(IF(ISNUMBER(INDEX(원자료_시장!$A$1:$BZ$1000,설정!$L$6+ROW()-1,설정!$L$27)),INDEX(원자료_시장!$A$1:$BZ$1000,설정!$L$6+ROW()-1,설정!$L$27),""),"")</f>
        <v>16.446</v>
      </c>
      <c r="F29" s="97" t="n">
        <f aca="false">IFERROR(IF(ISNUMBER(INDEX(원자료_시장!$A$1:$BZ$1000,설정!$L$6+ROW()-1,설정!$L$28)),INDEX(원자료_시장!$A$1:$BZ$1000,설정!$L$6+ROW()-1,설정!$L$28),""),"")</f>
        <v>67.029</v>
      </c>
      <c r="G29" s="97" t="n">
        <f aca="false">IFERROR(IF(ISNUMBER(INDEX(원자료_시장!$A$1:$BZ$1000,설정!$L$6+ROW()-1,설정!$L$29)),INDEX(원자료_시장!$A$1:$BZ$1000,설정!$L$6+ROW()-1,설정!$L$29),""),"")</f>
        <v>-0.9</v>
      </c>
      <c r="H29" s="97" t="n">
        <f aca="false">IFERROR(IF(ISNUMBER(INDEX(원자료_시장!$A$1:$BZ$1000,설정!$L$6+ROW()-1,설정!$L$30)),INDEX(원자료_시장!$A$1:$BZ$1000,설정!$L$6+ROW()-1,설정!$L$30),""),"")</f>
        <v>1.1</v>
      </c>
      <c r="I29" s="97" t="n">
        <f aca="false">IFERROR(IF(ISNUMBER(INDEX(원자료_시장!$A$1:$BZ$1000,설정!$L$6+ROW()-1,설정!$L$31)),INDEX(원자료_시장!$A$1:$BZ$1000,설정!$L$6+ROW()-1,설정!$L$31),""),"")</f>
        <v>2.9</v>
      </c>
      <c r="J29" s="97" t="n">
        <f aca="false">IFERROR(IF(ISNUMBER(INDEX(원자료_시장!$A$1:$BZ$1000,설정!$L$6+ROW()-1,설정!$L$32)),INDEX(원자료_시장!$A$1:$BZ$1000,설정!$L$6+ROW()-1,설정!$L$32),""),"")</f>
        <v>6.3</v>
      </c>
      <c r="K29" s="85" t="n">
        <f aca="false">IFERROR(IF(ISNUMBER(INDEX(원자료_시장!$A$1:$BZ$1000,설정!$L$6+ROW()-1,설정!$L$33)),INDEX(원자료_시장!$A$1:$BZ$1000,설정!$L$6+ROW()-1,설정!$L$33),""),"")</f>
        <v>5.919</v>
      </c>
      <c r="L29" s="83" t="str">
        <f aca="false">IFERROR(IF(INDEX(원자료_시장!$A$1:$BZ$1000,설정!$L$6+ROW()-1,설정!$L$34)&amp;""="0","",INDEX(원자료_시장!$A$1:$BZ$1000,설정!$L$6+ROW()-1,설정!$L$34)),"")</f>
        <v>정부</v>
      </c>
      <c r="M29" s="83" t="str">
        <f aca="false">IFERROR(IF(INDEX(원자료_시장!$A$1:$BZ$1000,설정!$L$6+ROW()-1,설정!$L$35)&amp;""="0","",INDEX(원자료_시장!$A$1:$BZ$1000,설정!$L$6+ROW()-1,설정!$L$35)),"")</f>
        <v>AA</v>
      </c>
      <c r="N29" s="83" t="str">
        <f aca="false">IFERROR(IF(INDEX(원자료_시장!$A$1:$BZ$1000,설정!$L$6+ROW()-1,설정!$L$36)&amp;""="0","",INDEX(원자료_시장!$A$1:$BZ$1000,설정!$L$6+ROW()-1,설정!$L$36)),"")</f>
        <v>아시아/기타</v>
      </c>
      <c r="O29" s="43" t="str">
        <f aca="false">IF($A29="","",UPPER(LEFT($A29,FIND(" ",$A29&amp;" ")-1)))</f>
        <v>EIBKOR</v>
      </c>
      <c r="P29" s="43" t="str">
        <f aca="false">IF($A29="","",TRIM(RIGHT(SUBSTITUTE(TRIM($A29)," ",REPT(" ",30)),30)))</f>
        <v>09/18/33</v>
      </c>
      <c r="Q29" s="98" t="n">
        <f aca="false">IF($A29="","",IFERROR(DATE(IF(LEN(P29)=8,2000+VALUE(RIGHT(P29,2)),VALUE(RIGHT(P29,4))),VALUE(LEFT(P29,2)),VALUE(MID(P29,4,2))),""))</f>
        <v>48840</v>
      </c>
      <c r="R29" s="89" t="n">
        <f aca="false">IF($A29="",0,IF(ISNUMBER(SEARCH("Float",$A29)),1,0))</f>
        <v>0</v>
      </c>
      <c r="S29" s="43" t="str">
        <f aca="false">IF($A29="","",TRIM(MID($A29,LEN(O29)+2,LEN($A29)-LEN(O29)-LEN(P29)-1)))</f>
        <v>5 1/8</v>
      </c>
      <c r="T29" s="92" t="n">
        <f aca="false">IF(OR($A29="",R29=1),"",IFERROR(IF(ISNUMBER(FIND("/",S29)),IF(ISNUMBER(FIND(" ",S29)),VALUE(LEFT(S29,FIND(" ",S29)-1))+VALUE(MID(S29,FIND(" ",S29)+1,FIND("/",S29)-FIND(" ",S29)-1))/VALUE(MID(S29,FIND("/",S29)+1,9)),VALUE(LEFT(S29,FIND("/",S29)-1))/VALUE(MID(S29,FIND("/",S29)+1,9))),VALUE(S29)),""))</f>
        <v>5.125</v>
      </c>
      <c r="U29" s="43" t="str">
        <f aca="false">IF(OR($A29="",NOT(ISNUMBER(Q29))),"",TEXT(Q29,"yyyymmdd")&amp;"|"&amp;IF(R29=1,"F",TEXT(T29,"0.000")))</f>
        <v>20330918|5.125</v>
      </c>
      <c r="V29" s="43" t="str">
        <f aca="false">IF(U29="","",O29&amp;"|"&amp;U29)</f>
        <v>EIBKOR|20330918|5.125</v>
      </c>
      <c r="W29" s="43" t="str">
        <f aca="false">IF($A29="","",IFERROR(IF(VLOOKUP(O29,매핑!$A$4:$E$92,3,0)="","미분류",VLOOKUP(O29,매핑!$A$4:$E$92,3,0)),"미분류"))</f>
        <v>한국</v>
      </c>
      <c r="X29" s="89" t="n">
        <f aca="false">IF($A29="",0,IF(O29="T",1,0))</f>
        <v>0</v>
      </c>
      <c r="Y29" s="89" t="n">
        <f aca="false">IF($A29="",0,IF(AND(C29="USD",X29=0,ISNUMBER(E29),ISNUMBER(K29)),IF(K29&gt;=설정!$C$8,1,0),0))</f>
        <v>1</v>
      </c>
      <c r="Z29" s="43" t="str">
        <f aca="false">IF($A29="","",N29&amp;"|"&amp;L29)</f>
        <v>아시아/기타|정부</v>
      </c>
      <c r="AA29" s="92" t="n">
        <f aca="false">IF(Y29=1,LN(K29),0)</f>
        <v>1.77816751570859</v>
      </c>
      <c r="AB29" s="93" t="n">
        <f aca="false">IF(Y29=1,E29,0)</f>
        <v>16.446</v>
      </c>
      <c r="AC29" s="89" t="n">
        <f aca="false">IF(Y29=1,COUNTIFS($Z$2:$Z$601,Z29,$Y$2:$Y$601,1),0)</f>
        <v>51</v>
      </c>
      <c r="AD29" s="89" t="n">
        <f aca="false">IF(Y29=1,COUNTIFS($N$2:$N$601,N29,$Y$2:$Y$601,1),0)</f>
        <v>137</v>
      </c>
      <c r="AE29" s="43" t="str">
        <f aca="false">IF(Y29&lt;&gt;1,"",IF(AND(AC29&gt;=설정!$C$7,ISNUMBER(MATCH(Z29,피어커브!$A:$A,0))),Z29,IF(AND(AD29&gt;=설정!$C$7,ISNUMBER(MATCH(N29&amp;"|전체",피어커브!$A:$A,0))),N29&amp;"|전체","전체|전체")))</f>
        <v>아시아/기타|정부</v>
      </c>
      <c r="AF29" s="93" t="n">
        <f aca="false">IF(AE29="","",INDEX(피어커브!$K:$K,MATCH(AE29,피어커브!$A:$A,0)))</f>
        <v>-1.54860147302313</v>
      </c>
      <c r="AG29" s="93" t="n">
        <f aca="false">IF(AE29="","",INDEX(피어커브!$J:$J,MATCH(AE29,피어커브!$A:$A,0)))</f>
        <v>19.8674994409945</v>
      </c>
      <c r="AH29" s="93" t="n">
        <f aca="false">IF(AE29="","",INDEX(피어커브!$L:$L,MATCH(AE29,피어커브!$A:$A,0)))</f>
        <v>13.6930241146778</v>
      </c>
      <c r="AI29" s="93" t="n">
        <f aca="false">IF(AE29="","",AF29+AG29*AA29)</f>
        <v>33.7791406513119</v>
      </c>
      <c r="AJ29" s="96" t="n">
        <f aca="false">IF(AE29="","",E29-AI29)</f>
        <v>-17.3331406513119</v>
      </c>
      <c r="AK29" s="95" t="n">
        <f aca="false">IF(AE29="","",IF(ISNUMBER(AH29),IF(AH29&gt;0,AJ29/AH29,""),""))</f>
        <v>-1.2658372983315</v>
      </c>
      <c r="AL29" s="43" t="str">
        <f aca="false">IF(AK29="","-",IF(AK29&gt;=설정!$C$6,"Cheap",IF(AK29&lt;=-설정!$C$6,"Rich","Fair")))</f>
        <v>Rich</v>
      </c>
      <c r="AM29" s="96" t="n">
        <f aca="false">IF(AE29="","",AJ29-AVERAGEIFS($AJ$2:$AJ$601,$B$2:$B$601,B29,$Y$2:$Y$601,1))</f>
        <v>-5.70695159192012</v>
      </c>
      <c r="AN29" s="93" t="n">
        <f aca="false">IF(AE29="",0,IF(K29&gt;1+설정!$C$8,AG29*(AA29-LN(K29-1)),0))</f>
        <v>3.67672430528575</v>
      </c>
      <c r="AO29" s="99" t="n">
        <f aca="false">IF($A29="",0,SUMIFS(보유분석!$AA$2:$AA$801,보유분석!$AB$2:$AB$801,ROW(),보유분석!$AC$2:$AC$801,1))</f>
        <v>0</v>
      </c>
      <c r="AP29" s="43" t="str">
        <f aca="false">IF($A29="","",TRIM(IF(R29=1,"FRN ","")&amp;IF(IFERROR(VLOOKUP(M29,설정!$A$15:$D$47,4,0),0)&gt;=10,IF(IFERROR(VLOOKUP(M29,설정!$A$15:$D$47,4,0),0)&lt;99,"BBB0미만 ",""),"")&amp;IF(OR(M29="",M29="NR"),"등급미입력 ","")&amp;IF(C29&lt;&gt;"USD","비USD ","")))</f>
        <v/>
      </c>
      <c r="AQ29" s="90" t="n">
        <f aca="false">IF(AND(Y29=1,AL29="Cheap"),IF(AND(ISERROR(SEARCH("FRN",AP29)),ISERROR(SEARCH("BBB0미만",AP29))),AK29+ROW()/1000000000,-999),-999)</f>
        <v>-999</v>
      </c>
      <c r="AR29" s="92" t="n">
        <f aca="false">IF(AND(ISNUMBER(D29),ISNUMBER(K29)),D29+AN29*MAX(K29-1,0)/100,"")</f>
        <v>5.63285806857701</v>
      </c>
      <c r="AS29" s="93" t="n">
        <f aca="false">IF(AND(ISNUMBER(E29),ISNUMBER(K29)),IF(K29&gt;0,(E29+AN29*MAX(K29-1,0))/K29,""),"")</f>
        <v>5.83406096599098</v>
      </c>
      <c r="AT29" s="90" t="n">
        <f aca="false">IFERROR(IF(AND(Y29=1,ROW()&lt;&gt;스왑분석!$C$12+1,ABS(K29-INDEX($K$2:$K$601,스왑분석!$C$12))&lt;=스왑분석!$C$5,ISERROR(SEARCH("FRN",AP29)),ISERROR(SEARCH("BBB0미만",AP29))),IF(AND(OR(스왑분석!$C$6="N",L29=INDEX($L$2:$L$601,스왑분석!$C$12)),OR(스왑분석!$C$7="N",N29=INDEX($N$2:$N$601,스왑분석!$C$12)),OR(스왑분석!$C$8="N",AO29=0),E29-INDEX($E$2:$E$601,스왑분석!$C$12)&gt;=스왑분석!$C$9),E29-INDEX($E$2:$E$601,스왑분석!$C$12)+ROW()/1000000000,-999),-999),-999)</f>
        <v>-999</v>
      </c>
      <c r="AU29" s="90" t="n">
        <f aca="false">IF(AND(Y29=1,AO29&gt;0,AL29="Rich"),-AK29+ROW()/1000000000,-999)</f>
        <v>-999</v>
      </c>
    </row>
    <row r="30" customFormat="false" ht="15" hidden="false" customHeight="false" outlineLevel="0" collapsed="false">
      <c r="A30" s="83" t="str">
        <f aca="false">IFERROR(IF(INDEX(원자료_시장!$A$1:$BZ$1000,설정!$L$6+ROW()-1,설정!$L$24)&amp;""="0","",INDEX(원자료_시장!$A$1:$BZ$1000,설정!$L$6+ROW()-1,설정!$L$24)),"")</f>
        <v>EIBKOR 4 1/2 01/11/29</v>
      </c>
      <c r="B30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30" s="83" t="str">
        <f aca="false">IFERROR(IF(INDEX(원자료_시장!$A$1:$BZ$1000,설정!$L$6+ROW()-1,설정!$L$25)&amp;""="0","",INDEX(원자료_시장!$A$1:$BZ$1000,설정!$L$6+ROW()-1,설정!$L$25)),"")</f>
        <v>USD</v>
      </c>
      <c r="D30" s="85" t="n">
        <f aca="false">IFERROR(IF(ISNUMBER(INDEX(원자료_시장!$A$1:$BZ$1000,설정!$L$6+ROW()-1,설정!$L$26)),INDEX(원자료_시장!$A$1:$BZ$1000,설정!$L$6+ROW()-1,설정!$L$26),""),"")</f>
        <v>5.066</v>
      </c>
      <c r="E30" s="97" t="n">
        <f aca="false">IFERROR(IF(ISNUMBER(INDEX(원자료_시장!$A$1:$BZ$1000,설정!$L$6+ROW()-1,설정!$L$27)),INDEX(원자료_시장!$A$1:$BZ$1000,설정!$L$6+ROW()-1,설정!$L$27),""),"")</f>
        <v>6.534</v>
      </c>
      <c r="F30" s="97" t="n">
        <f aca="false">IFERROR(IF(ISNUMBER(INDEX(원자료_시장!$A$1:$BZ$1000,설정!$L$6+ROW()-1,설정!$L$28)),INDEX(원자료_시장!$A$1:$BZ$1000,설정!$L$6+ROW()-1,설정!$L$28),""),"")</f>
        <v>36.162</v>
      </c>
      <c r="G30" s="97" t="n">
        <f aca="false">IFERROR(IF(ISNUMBER(INDEX(원자료_시장!$A$1:$BZ$1000,설정!$L$6+ROW()-1,설정!$L$29)),INDEX(원자료_시장!$A$1:$BZ$1000,설정!$L$6+ROW()-1,설정!$L$29),""),"")</f>
        <v>-1</v>
      </c>
      <c r="H30" s="97" t="n">
        <f aca="false">IFERROR(IF(ISNUMBER(INDEX(원자료_시장!$A$1:$BZ$1000,설정!$L$6+ROW()-1,설정!$L$30)),INDEX(원자료_시장!$A$1:$BZ$1000,설정!$L$6+ROW()-1,설정!$L$30),""),"")</f>
        <v>5.5</v>
      </c>
      <c r="I30" s="97" t="n">
        <f aca="false">IFERROR(IF(ISNUMBER(INDEX(원자료_시장!$A$1:$BZ$1000,설정!$L$6+ROW()-1,설정!$L$31)),INDEX(원자료_시장!$A$1:$BZ$1000,설정!$L$6+ROW()-1,설정!$L$31),""),"")</f>
        <v>-2.3</v>
      </c>
      <c r="J30" s="97" t="n">
        <f aca="false">IFERROR(IF(ISNUMBER(INDEX(원자료_시장!$A$1:$BZ$1000,설정!$L$6+ROW()-1,설정!$L$32)),INDEX(원자료_시장!$A$1:$BZ$1000,설정!$L$6+ROW()-1,설정!$L$32),""),"")</f>
        <v>-5.8</v>
      </c>
      <c r="K30" s="85" t="n">
        <f aca="false">IFERROR(IF(ISNUMBER(INDEX(원자료_시장!$A$1:$BZ$1000,설정!$L$6+ROW()-1,설정!$L$33)),INDEX(원자료_시장!$A$1:$BZ$1000,설정!$L$6+ROW()-1,설정!$L$33),""),"")</f>
        <v>2.167</v>
      </c>
      <c r="L30" s="83" t="str">
        <f aca="false">IFERROR(IF(INDEX(원자료_시장!$A$1:$BZ$1000,설정!$L$6+ROW()-1,설정!$L$34)&amp;""="0","",INDEX(원자료_시장!$A$1:$BZ$1000,설정!$L$6+ROW()-1,설정!$L$34)),"")</f>
        <v>정부</v>
      </c>
      <c r="M30" s="83" t="str">
        <f aca="false">IFERROR(IF(INDEX(원자료_시장!$A$1:$BZ$1000,설정!$L$6+ROW()-1,설정!$L$35)&amp;""="0","",INDEX(원자료_시장!$A$1:$BZ$1000,설정!$L$6+ROW()-1,설정!$L$35)),"")</f>
        <v>AA</v>
      </c>
      <c r="N30" s="83" t="str">
        <f aca="false">IFERROR(IF(INDEX(원자료_시장!$A$1:$BZ$1000,설정!$L$6+ROW()-1,설정!$L$36)&amp;""="0","",INDEX(원자료_시장!$A$1:$BZ$1000,설정!$L$6+ROW()-1,설정!$L$36)),"")</f>
        <v>아시아/기타</v>
      </c>
      <c r="O30" s="43" t="str">
        <f aca="false">IF($A30="","",UPPER(LEFT($A30,FIND(" ",$A30&amp;" ")-1)))</f>
        <v>EIBKOR</v>
      </c>
      <c r="P30" s="43" t="str">
        <f aca="false">IF($A30="","",TRIM(RIGHT(SUBSTITUTE(TRIM($A30)," ",REPT(" ",30)),30)))</f>
        <v>01/11/29</v>
      </c>
      <c r="Q30" s="98" t="n">
        <f aca="false">IF($A30="","",IFERROR(DATE(IF(LEN(P30)=8,2000+VALUE(RIGHT(P30,2)),VALUE(RIGHT(P30,4))),VALUE(LEFT(P30,2)),VALUE(MID(P30,4,2))),""))</f>
        <v>47129</v>
      </c>
      <c r="R30" s="89" t="n">
        <f aca="false">IF($A30="",0,IF(ISNUMBER(SEARCH("Float",$A30)),1,0))</f>
        <v>0</v>
      </c>
      <c r="S30" s="43" t="str">
        <f aca="false">IF($A30="","",TRIM(MID($A30,LEN(O30)+2,LEN($A30)-LEN(O30)-LEN(P30)-1)))</f>
        <v>4 1/2</v>
      </c>
      <c r="T30" s="92" t="n">
        <f aca="false">IF(OR($A30="",R30=1),"",IFERROR(IF(ISNUMBER(FIND("/",S30)),IF(ISNUMBER(FIND(" ",S30)),VALUE(LEFT(S30,FIND(" ",S30)-1))+VALUE(MID(S30,FIND(" ",S30)+1,FIND("/",S30)-FIND(" ",S30)-1))/VALUE(MID(S30,FIND("/",S30)+1,9)),VALUE(LEFT(S30,FIND("/",S30)-1))/VALUE(MID(S30,FIND("/",S30)+1,9))),VALUE(S30)),""))</f>
        <v>4.5</v>
      </c>
      <c r="U30" s="43" t="str">
        <f aca="false">IF(OR($A30="",NOT(ISNUMBER(Q30))),"",TEXT(Q30,"yyyymmdd")&amp;"|"&amp;IF(R30=1,"F",TEXT(T30,"0.000")))</f>
        <v>20290111|4.500</v>
      </c>
      <c r="V30" s="43" t="str">
        <f aca="false">IF(U30="","",O30&amp;"|"&amp;U30)</f>
        <v>EIBKOR|20290111|4.500</v>
      </c>
      <c r="W30" s="43" t="str">
        <f aca="false">IF($A30="","",IFERROR(IF(VLOOKUP(O30,매핑!$A$4:$E$92,3,0)="","미분류",VLOOKUP(O30,매핑!$A$4:$E$92,3,0)),"미분류"))</f>
        <v>한국</v>
      </c>
      <c r="X30" s="89" t="n">
        <f aca="false">IF($A30="",0,IF(O30="T",1,0))</f>
        <v>0</v>
      </c>
      <c r="Y30" s="89" t="n">
        <f aca="false">IF($A30="",0,IF(AND(C30="USD",X30=0,ISNUMBER(E30),ISNUMBER(K30)),IF(K30&gt;=설정!$C$8,1,0),0))</f>
        <v>1</v>
      </c>
      <c r="Z30" s="43" t="str">
        <f aca="false">IF($A30="","",N30&amp;"|"&amp;L30)</f>
        <v>아시아/기타|정부</v>
      </c>
      <c r="AA30" s="92" t="n">
        <f aca="false">IF(Y30=1,LN(K30),0)</f>
        <v>0.773343722554222</v>
      </c>
      <c r="AB30" s="93" t="n">
        <f aca="false">IF(Y30=1,E30,0)</f>
        <v>6.534</v>
      </c>
      <c r="AC30" s="89" t="n">
        <f aca="false">IF(Y30=1,COUNTIFS($Z$2:$Z$601,Z30,$Y$2:$Y$601,1),0)</f>
        <v>51</v>
      </c>
      <c r="AD30" s="89" t="n">
        <f aca="false">IF(Y30=1,COUNTIFS($N$2:$N$601,N30,$Y$2:$Y$601,1),0)</f>
        <v>137</v>
      </c>
      <c r="AE30" s="43" t="str">
        <f aca="false">IF(Y30&lt;&gt;1,"",IF(AND(AC30&gt;=설정!$C$7,ISNUMBER(MATCH(Z30,피어커브!$A:$A,0))),Z30,IF(AND(AD30&gt;=설정!$C$7,ISNUMBER(MATCH(N30&amp;"|전체",피어커브!$A:$A,0))),N30&amp;"|전체","전체|전체")))</f>
        <v>아시아/기타|정부</v>
      </c>
      <c r="AF30" s="93" t="n">
        <f aca="false">IF(AE30="","",INDEX(피어커브!$K:$K,MATCH(AE30,피어커브!$A:$A,0)))</f>
        <v>-1.54860147302313</v>
      </c>
      <c r="AG30" s="93" t="n">
        <f aca="false">IF(AE30="","",INDEX(피어커브!$J:$J,MATCH(AE30,피어커브!$A:$A,0)))</f>
        <v>19.8674994409945</v>
      </c>
      <c r="AH30" s="93" t="n">
        <f aca="false">IF(AE30="","",INDEX(피어커브!$L:$L,MATCH(AE30,피어커브!$A:$A,0)))</f>
        <v>13.6930241146778</v>
      </c>
      <c r="AI30" s="93" t="n">
        <f aca="false">IF(AE30="","",AF30+AG30*AA30)</f>
        <v>13.8158045025195</v>
      </c>
      <c r="AJ30" s="96" t="n">
        <f aca="false">IF(AE30="","",E30-AI30)</f>
        <v>-7.28180450251952</v>
      </c>
      <c r="AK30" s="95" t="n">
        <f aca="false">IF(AE30="","",IF(ISNUMBER(AH30),IF(AH30&gt;0,AJ30/AH30,""),""))</f>
        <v>-0.531789357963228</v>
      </c>
      <c r="AL30" s="43" t="str">
        <f aca="false">IF(AK30="","-",IF(AK30&gt;=설정!$C$6,"Cheap",IF(AK30&lt;=-설정!$C$6,"Rich","Fair")))</f>
        <v>Fair</v>
      </c>
      <c r="AM30" s="96" t="n">
        <f aca="false">IF(AE30="","",AJ30-AVERAGEIFS($AJ$2:$AJ$601,$B$2:$B$601,B30,$Y$2:$Y$601,1))</f>
        <v>4.34438455687226</v>
      </c>
      <c r="AN30" s="93" t="n">
        <f aca="false">IF(AE30="",0,IF(K30&gt;1+설정!$C$8,AG30*(AA30-LN(K30-1)),0))</f>
        <v>12.2961418125979</v>
      </c>
      <c r="AO30" s="99" t="n">
        <f aca="false">IF($A30="",0,SUMIFS(보유분석!$AA$2:$AA$801,보유분석!$AB$2:$AB$801,ROW(),보유분석!$AC$2:$AC$801,1))</f>
        <v>1.976572</v>
      </c>
      <c r="AP30" s="43" t="str">
        <f aca="false">IF($A30="","",TRIM(IF(R30=1,"FRN ","")&amp;IF(IFERROR(VLOOKUP(M30,설정!$A$15:$D$47,4,0),0)&gt;=10,IF(IFERROR(VLOOKUP(M30,설정!$A$15:$D$47,4,0),0)&lt;99,"BBB0미만 ",""),"")&amp;IF(OR(M30="",M30="NR"),"등급미입력 ","")&amp;IF(C30&lt;&gt;"USD","비USD ","")))</f>
        <v/>
      </c>
      <c r="AQ30" s="90" t="n">
        <f aca="false">IF(AND(Y30=1,AL30="Cheap"),IF(AND(ISERROR(SEARCH("FRN",AP30)),ISERROR(SEARCH("BBB0미만",AP30))),AK30+ROW()/1000000000,-999),-999)</f>
        <v>-999</v>
      </c>
      <c r="AR30" s="92" t="n">
        <f aca="false">IF(AND(ISNUMBER(D30),ISNUMBER(K30)),D30+AN30*MAX(K30-1,0)/100,"")</f>
        <v>5.20949597495302</v>
      </c>
      <c r="AS30" s="93" t="n">
        <f aca="false">IF(AND(ISNUMBER(E30),ISNUMBER(K30)),IF(K30&gt;0,(E30+AN30*MAX(K30-1,0))/K30,""),"")</f>
        <v>9.63710082847333</v>
      </c>
      <c r="AT30" s="90" t="n">
        <f aca="false">IFERROR(IF(AND(Y30=1,ROW()&lt;&gt;스왑분석!$C$12+1,ABS(K30-INDEX($K$2:$K$601,스왑분석!$C$12))&lt;=스왑분석!$C$5,ISERROR(SEARCH("FRN",AP30)),ISERROR(SEARCH("BBB0미만",AP30))),IF(AND(OR(스왑분석!$C$6="N",L30=INDEX($L$2:$L$601,스왑분석!$C$12)),OR(스왑분석!$C$7="N",N30=INDEX($N$2:$N$601,스왑분석!$C$12)),OR(스왑분석!$C$8="N",AO30=0),E30-INDEX($E$2:$E$601,스왑분석!$C$12)&gt;=스왑분석!$C$9),E30-INDEX($E$2:$E$601,스왑분석!$C$12)+ROW()/1000000000,-999),-999),-999)</f>
        <v>-999</v>
      </c>
      <c r="AU30" s="90" t="n">
        <f aca="false">IF(AND(Y30=1,AO30&gt;0,AL30="Rich"),-AK30+ROW()/1000000000,-999)</f>
        <v>-999</v>
      </c>
    </row>
    <row r="31" customFormat="false" ht="15" hidden="false" customHeight="false" outlineLevel="0" collapsed="false">
      <c r="A31" s="83" t="str">
        <f aca="false">IFERROR(IF(INDEX(원자료_시장!$A$1:$BZ$1000,설정!$L$6+ROW()-1,설정!$L$24)&amp;""="0","",INDEX(원자료_시장!$A$1:$BZ$1000,설정!$L$6+ROW()-1,설정!$L$24)),"")</f>
        <v>EIBKOR 4 09/11/27</v>
      </c>
      <c r="B31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31" s="83" t="str">
        <f aca="false">IFERROR(IF(INDEX(원자료_시장!$A$1:$BZ$1000,설정!$L$6+ROW()-1,설정!$L$25)&amp;""="0","",INDEX(원자료_시장!$A$1:$BZ$1000,설정!$L$6+ROW()-1,설정!$L$25)),"")</f>
        <v>USD</v>
      </c>
      <c r="D31" s="85" t="n">
        <f aca="false">IFERROR(IF(ISNUMBER(INDEX(원자료_시장!$A$1:$BZ$1000,설정!$L$6+ROW()-1,설정!$L$26)),INDEX(원자료_시장!$A$1:$BZ$1000,설정!$L$6+ROW()-1,설정!$L$26),""),"")</f>
        <v>4.71</v>
      </c>
      <c r="E31" s="97" t="n">
        <f aca="false">IFERROR(IF(ISNUMBER(INDEX(원자료_시장!$A$1:$BZ$1000,설정!$L$6+ROW()-1,설정!$L$27)),INDEX(원자료_시장!$A$1:$BZ$1000,설정!$L$6+ROW()-1,설정!$L$27),""),"")</f>
        <v>-17.91</v>
      </c>
      <c r="F31" s="97" t="n">
        <f aca="false">IFERROR(IF(ISNUMBER(INDEX(원자료_시장!$A$1:$BZ$1000,설정!$L$6+ROW()-1,설정!$L$28)),INDEX(원자료_시장!$A$1:$BZ$1000,설정!$L$6+ROW()-1,설정!$L$28),""),"")</f>
        <v>24.06</v>
      </c>
      <c r="G31" s="97" t="n">
        <f aca="false">IFERROR(IF(ISNUMBER(INDEX(원자료_시장!$A$1:$BZ$1000,설정!$L$6+ROW()-1,설정!$L$29)),INDEX(원자료_시장!$A$1:$BZ$1000,설정!$L$6+ROW()-1,설정!$L$29),""),"")</f>
        <v>0.9</v>
      </c>
      <c r="H31" s="97" t="n">
        <f aca="false">IFERROR(IF(ISNUMBER(INDEX(원자료_시장!$A$1:$BZ$1000,설정!$L$6+ROW()-1,설정!$L$30)),INDEX(원자료_시장!$A$1:$BZ$1000,설정!$L$6+ROW()-1,설정!$L$30),""),"")</f>
        <v>15.8</v>
      </c>
      <c r="I31" s="97" t="n">
        <f aca="false">IFERROR(IF(ISNUMBER(INDEX(원자료_시장!$A$1:$BZ$1000,설정!$L$6+ROW()-1,설정!$L$31)),INDEX(원자료_시장!$A$1:$BZ$1000,설정!$L$6+ROW()-1,설정!$L$31),""),"")</f>
        <v>-14.3</v>
      </c>
      <c r="J31" s="97" t="n">
        <f aca="false">IFERROR(IF(ISNUMBER(INDEX(원자료_시장!$A$1:$BZ$1000,설정!$L$6+ROW()-1,설정!$L$32)),INDEX(원자료_시장!$A$1:$BZ$1000,설정!$L$6+ROW()-1,설정!$L$32),""),"")</f>
        <v>-31</v>
      </c>
      <c r="K31" s="85" t="n">
        <f aca="false">IFERROR(IF(ISNUMBER(INDEX(원자료_시장!$A$1:$BZ$1000,설정!$L$6+ROW()-1,설정!$L$33)),INDEX(원자료_시장!$A$1:$BZ$1000,설정!$L$6+ROW()-1,설정!$L$33),""),"")</f>
        <v>0.932</v>
      </c>
      <c r="L31" s="83" t="str">
        <f aca="false">IFERROR(IF(INDEX(원자료_시장!$A$1:$BZ$1000,설정!$L$6+ROW()-1,설정!$L$34)&amp;""="0","",INDEX(원자료_시장!$A$1:$BZ$1000,설정!$L$6+ROW()-1,설정!$L$34)),"")</f>
        <v>정부</v>
      </c>
      <c r="M31" s="83" t="str">
        <f aca="false">IFERROR(IF(INDEX(원자료_시장!$A$1:$BZ$1000,설정!$L$6+ROW()-1,설정!$L$35)&amp;""="0","",INDEX(원자료_시장!$A$1:$BZ$1000,설정!$L$6+ROW()-1,설정!$L$35)),"")</f>
        <v>AA</v>
      </c>
      <c r="N31" s="83" t="str">
        <f aca="false">IFERROR(IF(INDEX(원자료_시장!$A$1:$BZ$1000,설정!$L$6+ROW()-1,설정!$L$36)&amp;""="0","",INDEX(원자료_시장!$A$1:$BZ$1000,설정!$L$6+ROW()-1,설정!$L$36)),"")</f>
        <v>아시아/기타</v>
      </c>
      <c r="O31" s="43" t="str">
        <f aca="false">IF($A31="","",UPPER(LEFT($A31,FIND(" ",$A31&amp;" ")-1)))</f>
        <v>EIBKOR</v>
      </c>
      <c r="P31" s="43" t="str">
        <f aca="false">IF($A31="","",TRIM(RIGHT(SUBSTITUTE(TRIM($A31)," ",REPT(" ",30)),30)))</f>
        <v>09/11/27</v>
      </c>
      <c r="Q31" s="98" t="n">
        <f aca="false">IF($A31="","",IFERROR(DATE(IF(LEN(P31)=8,2000+VALUE(RIGHT(P31,2)),VALUE(RIGHT(P31,4))),VALUE(LEFT(P31,2)),VALUE(MID(P31,4,2))),""))</f>
        <v>46641</v>
      </c>
      <c r="R31" s="89" t="n">
        <f aca="false">IF($A31="",0,IF(ISNUMBER(SEARCH("Float",$A31)),1,0))</f>
        <v>0</v>
      </c>
      <c r="S31" s="43" t="str">
        <f aca="false">IF($A31="","",TRIM(MID($A31,LEN(O31)+2,LEN($A31)-LEN(O31)-LEN(P31)-1)))</f>
        <v>4</v>
      </c>
      <c r="T31" s="92" t="n">
        <f aca="false">IF(OR($A31="",R31=1),"",IFERROR(IF(ISNUMBER(FIND("/",S31)),IF(ISNUMBER(FIND(" ",S31)),VALUE(LEFT(S31,FIND(" ",S31)-1))+VALUE(MID(S31,FIND(" ",S31)+1,FIND("/",S31)-FIND(" ",S31)-1))/VALUE(MID(S31,FIND("/",S31)+1,9)),VALUE(LEFT(S31,FIND("/",S31)-1))/VALUE(MID(S31,FIND("/",S31)+1,9))),VALUE(S31)),""))</f>
        <v>4</v>
      </c>
      <c r="U31" s="43" t="str">
        <f aca="false">IF(OR($A31="",NOT(ISNUMBER(Q31))),"",TEXT(Q31,"yyyymmdd")&amp;"|"&amp;IF(R31=1,"F",TEXT(T31,"0.000")))</f>
        <v>20270911|4.000</v>
      </c>
      <c r="V31" s="43" t="str">
        <f aca="false">IF(U31="","",O31&amp;"|"&amp;U31)</f>
        <v>EIBKOR|20270911|4.000</v>
      </c>
      <c r="W31" s="43" t="str">
        <f aca="false">IF($A31="","",IFERROR(IF(VLOOKUP(O31,매핑!$A$4:$E$92,3,0)="","미분류",VLOOKUP(O31,매핑!$A$4:$E$92,3,0)),"미분류"))</f>
        <v>한국</v>
      </c>
      <c r="X31" s="89" t="n">
        <f aca="false">IF($A31="",0,IF(O31="T",1,0))</f>
        <v>0</v>
      </c>
      <c r="Y31" s="89" t="n">
        <f aca="false">IF($A31="",0,IF(AND(C31="USD",X31=0,ISNUMBER(E31),ISNUMBER(K31)),IF(K31&gt;=설정!$C$8,1,0),0))</f>
        <v>1</v>
      </c>
      <c r="Z31" s="43" t="str">
        <f aca="false">IF($A31="","",N31&amp;"|"&amp;L31)</f>
        <v>아시아/기타|정부</v>
      </c>
      <c r="AA31" s="92" t="n">
        <f aca="false">IF(Y31=1,LN(K31),0)</f>
        <v>-0.0704224642965458</v>
      </c>
      <c r="AB31" s="93" t="n">
        <f aca="false">IF(Y31=1,E31,0)</f>
        <v>-17.91</v>
      </c>
      <c r="AC31" s="89" t="n">
        <f aca="false">IF(Y31=1,COUNTIFS($Z$2:$Z$601,Z31,$Y$2:$Y$601,1),0)</f>
        <v>51</v>
      </c>
      <c r="AD31" s="89" t="n">
        <f aca="false">IF(Y31=1,COUNTIFS($N$2:$N$601,N31,$Y$2:$Y$601,1),0)</f>
        <v>137</v>
      </c>
      <c r="AE31" s="43" t="str">
        <f aca="false">IF(Y31&lt;&gt;1,"",IF(AND(AC31&gt;=설정!$C$7,ISNUMBER(MATCH(Z31,피어커브!$A:$A,0))),Z31,IF(AND(AD31&gt;=설정!$C$7,ISNUMBER(MATCH(N31&amp;"|전체",피어커브!$A:$A,0))),N31&amp;"|전체","전체|전체")))</f>
        <v>아시아/기타|정부</v>
      </c>
      <c r="AF31" s="93" t="n">
        <f aca="false">IF(AE31="","",INDEX(피어커브!$K:$K,MATCH(AE31,피어커브!$A:$A,0)))</f>
        <v>-1.54860147302313</v>
      </c>
      <c r="AG31" s="93" t="n">
        <f aca="false">IF(AE31="","",INDEX(피어커브!$J:$J,MATCH(AE31,피어커브!$A:$A,0)))</f>
        <v>19.8674994409945</v>
      </c>
      <c r="AH31" s="93" t="n">
        <f aca="false">IF(AE31="","",INDEX(피어커브!$L:$L,MATCH(AE31,피어커브!$A:$A,0)))</f>
        <v>13.6930241146778</v>
      </c>
      <c r="AI31" s="93" t="n">
        <f aca="false">IF(AE31="","",AF31+AG31*AA31)</f>
        <v>-2.94771974306821</v>
      </c>
      <c r="AJ31" s="96" t="n">
        <f aca="false">IF(AE31="","",E31-AI31)</f>
        <v>-14.9622802569318</v>
      </c>
      <c r="AK31" s="95" t="n">
        <f aca="false">IF(AE31="","",IF(ISNUMBER(AH31),IF(AH31&gt;0,AJ31/AH31,""),""))</f>
        <v>-1.09269363229219</v>
      </c>
      <c r="AL31" s="43" t="str">
        <f aca="false">IF(AK31="","-",IF(AK31&gt;=설정!$C$6,"Cheap",IF(AK31&lt;=-설정!$C$6,"Rich","Fair")))</f>
        <v>Rich</v>
      </c>
      <c r="AM31" s="96" t="n">
        <f aca="false">IF(AE31="","",AJ31-AVERAGEIFS($AJ$2:$AJ$601,$B$2:$B$601,B31,$Y$2:$Y$601,1))</f>
        <v>-3.33609119754001</v>
      </c>
      <c r="AN31" s="93" t="n">
        <f aca="false">IF(AE31="",0,IF(K31&gt;1+설정!$C$8,AG31*(AA31-LN(K31-1)),0))</f>
        <v>0</v>
      </c>
      <c r="AO31" s="99" t="n">
        <f aca="false">IF($A31="",0,SUMIFS(보유분석!$AA$2:$AA$801,보유분석!$AB$2:$AB$801,ROW(),보유분석!$AC$2:$AC$801,1))</f>
        <v>0</v>
      </c>
      <c r="AP31" s="43" t="str">
        <f aca="false">IF($A31="","",TRIM(IF(R31=1,"FRN ","")&amp;IF(IFERROR(VLOOKUP(M31,설정!$A$15:$D$47,4,0),0)&gt;=10,IF(IFERROR(VLOOKUP(M31,설정!$A$15:$D$47,4,0),0)&lt;99,"BBB0미만 ",""),"")&amp;IF(OR(M31="",M31="NR"),"등급미입력 ","")&amp;IF(C31&lt;&gt;"USD","비USD ","")))</f>
        <v/>
      </c>
      <c r="AQ31" s="90" t="n">
        <f aca="false">IF(AND(Y31=1,AL31="Cheap"),IF(AND(ISERROR(SEARCH("FRN",AP31)),ISERROR(SEARCH("BBB0미만",AP31))),AK31+ROW()/1000000000,-999),-999)</f>
        <v>-999</v>
      </c>
      <c r="AR31" s="92" t="n">
        <f aca="false">IF(AND(ISNUMBER(D31),ISNUMBER(K31)),D31+AN31*MAX(K31-1,0)/100,"")</f>
        <v>4.71</v>
      </c>
      <c r="AS31" s="93" t="n">
        <f aca="false">IF(AND(ISNUMBER(E31),ISNUMBER(K31)),IF(K31&gt;0,(E31+AN31*MAX(K31-1,0))/K31,""),"")</f>
        <v>-19.2167381974249</v>
      </c>
      <c r="AT31" s="90" t="n">
        <f aca="false">IFERROR(IF(AND(Y31=1,ROW()&lt;&gt;스왑분석!$C$12+1,ABS(K31-INDEX($K$2:$K$601,스왑분석!$C$12))&lt;=스왑분석!$C$5,ISERROR(SEARCH("FRN",AP31)),ISERROR(SEARCH("BBB0미만",AP31))),IF(AND(OR(스왑분석!$C$6="N",L31=INDEX($L$2:$L$601,스왑분석!$C$12)),OR(스왑분석!$C$7="N",N31=INDEX($N$2:$N$601,스왑분석!$C$12)),OR(스왑분석!$C$8="N",AO31=0),E31-INDEX($E$2:$E$601,스왑분석!$C$12)&gt;=스왑분석!$C$9),E31-INDEX($E$2:$E$601,스왑분석!$C$12)+ROW()/1000000000,-999),-999),-999)</f>
        <v>-999</v>
      </c>
      <c r="AU31" s="90" t="n">
        <f aca="false">IF(AND(Y31=1,AO31&gt;0,AL31="Rich"),-AK31+ROW()/1000000000,-999)</f>
        <v>-999</v>
      </c>
    </row>
    <row r="32" customFormat="false" ht="15" hidden="false" customHeight="false" outlineLevel="0" collapsed="false">
      <c r="A32" s="83" t="str">
        <f aca="false">IFERROR(IF(INDEX(원자료_시장!$A$1:$BZ$1000,설정!$L$6+ROW()-1,설정!$L$24)&amp;""="0","",INDEX(원자료_시장!$A$1:$BZ$1000,설정!$L$6+ROW()-1,설정!$L$24)),"")</f>
        <v>EIBKOR 4 09/11/29</v>
      </c>
      <c r="B32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32" s="83" t="str">
        <f aca="false">IFERROR(IF(INDEX(원자료_시장!$A$1:$BZ$1000,설정!$L$6+ROW()-1,설정!$L$25)&amp;""="0","",INDEX(원자료_시장!$A$1:$BZ$1000,설정!$L$6+ROW()-1,설정!$L$25)),"")</f>
        <v>USD</v>
      </c>
      <c r="D32" s="85" t="n">
        <f aca="false">IFERROR(IF(ISNUMBER(INDEX(원자료_시장!$A$1:$BZ$1000,설정!$L$6+ROW()-1,설정!$L$26)),INDEX(원자료_시장!$A$1:$BZ$1000,설정!$L$6+ROW()-1,설정!$L$26),""),"")</f>
        <v>4.951</v>
      </c>
      <c r="E32" s="97" t="n">
        <f aca="false">IFERROR(IF(ISNUMBER(INDEX(원자료_시장!$A$1:$BZ$1000,설정!$L$6+ROW()-1,설정!$L$27)),INDEX(원자료_시장!$A$1:$BZ$1000,설정!$L$6+ROW()-1,설정!$L$27),""),"")</f>
        <v>-4.883</v>
      </c>
      <c r="F32" s="97" t="n">
        <f aca="false">IFERROR(IF(ISNUMBER(INDEX(원자료_시장!$A$1:$BZ$1000,설정!$L$6+ROW()-1,설정!$L$28)),INDEX(원자료_시장!$A$1:$BZ$1000,설정!$L$6+ROW()-1,설정!$L$28),""),"")</f>
        <v>21.77</v>
      </c>
      <c r="G32" s="97" t="n">
        <f aca="false">IFERROR(IF(ISNUMBER(INDEX(원자료_시장!$A$1:$BZ$1000,설정!$L$6+ROW()-1,설정!$L$29)),INDEX(원자료_시장!$A$1:$BZ$1000,설정!$L$6+ROW()-1,설정!$L$29),""),"")</f>
        <v>-2.2</v>
      </c>
      <c r="H32" s="97" t="n">
        <f aca="false">IFERROR(IF(ISNUMBER(INDEX(원자료_시장!$A$1:$BZ$1000,설정!$L$6+ROW()-1,설정!$L$30)),INDEX(원자료_시장!$A$1:$BZ$1000,설정!$L$6+ROW()-1,설정!$L$30),""),"")</f>
        <v>3</v>
      </c>
      <c r="I32" s="97" t="n">
        <f aca="false">IFERROR(IF(ISNUMBER(INDEX(원자료_시장!$A$1:$BZ$1000,설정!$L$6+ROW()-1,설정!$L$31)),INDEX(원자료_시장!$A$1:$BZ$1000,설정!$L$6+ROW()-1,설정!$L$31),""),"")</f>
        <v>-11.8</v>
      </c>
      <c r="J32" s="97" t="n">
        <f aca="false">IFERROR(IF(ISNUMBER(INDEX(원자료_시장!$A$1:$BZ$1000,설정!$L$6+ROW()-1,설정!$L$32)),INDEX(원자료_시장!$A$1:$BZ$1000,설정!$L$6+ROW()-1,설정!$L$32),""),"")</f>
        <v>-19.2</v>
      </c>
      <c r="K32" s="85" t="n">
        <f aca="false">IFERROR(IF(ISNUMBER(INDEX(원자료_시장!$A$1:$BZ$1000,설정!$L$6+ROW()-1,설정!$L$33)),INDEX(원자료_시장!$A$1:$BZ$1000,설정!$L$6+ROW()-1,설정!$L$33),""),"")</f>
        <v>2.796</v>
      </c>
      <c r="L32" s="83" t="str">
        <f aca="false">IFERROR(IF(INDEX(원자료_시장!$A$1:$BZ$1000,설정!$L$6+ROW()-1,설정!$L$34)&amp;""="0","",INDEX(원자료_시장!$A$1:$BZ$1000,설정!$L$6+ROW()-1,설정!$L$34)),"")</f>
        <v>정부</v>
      </c>
      <c r="M32" s="83" t="str">
        <f aca="false">IFERROR(IF(INDEX(원자료_시장!$A$1:$BZ$1000,설정!$L$6+ROW()-1,설정!$L$35)&amp;""="0","",INDEX(원자료_시장!$A$1:$BZ$1000,설정!$L$6+ROW()-1,설정!$L$35)),"")</f>
        <v>AA</v>
      </c>
      <c r="N32" s="83" t="str">
        <f aca="false">IFERROR(IF(INDEX(원자료_시장!$A$1:$BZ$1000,설정!$L$6+ROW()-1,설정!$L$36)&amp;""="0","",INDEX(원자료_시장!$A$1:$BZ$1000,설정!$L$6+ROW()-1,설정!$L$36)),"")</f>
        <v>아시아/기타</v>
      </c>
      <c r="O32" s="43" t="str">
        <f aca="false">IF($A32="","",UPPER(LEFT($A32,FIND(" ",$A32&amp;" ")-1)))</f>
        <v>EIBKOR</v>
      </c>
      <c r="P32" s="43" t="str">
        <f aca="false">IF($A32="","",TRIM(RIGHT(SUBSTITUTE(TRIM($A32)," ",REPT(" ",30)),30)))</f>
        <v>09/11/29</v>
      </c>
      <c r="Q32" s="98" t="n">
        <f aca="false">IF($A32="","",IFERROR(DATE(IF(LEN(P32)=8,2000+VALUE(RIGHT(P32,2)),VALUE(RIGHT(P32,4))),VALUE(LEFT(P32,2)),VALUE(MID(P32,4,2))),""))</f>
        <v>47372</v>
      </c>
      <c r="R32" s="89" t="n">
        <f aca="false">IF($A32="",0,IF(ISNUMBER(SEARCH("Float",$A32)),1,0))</f>
        <v>0</v>
      </c>
      <c r="S32" s="43" t="str">
        <f aca="false">IF($A32="","",TRIM(MID($A32,LEN(O32)+2,LEN($A32)-LEN(O32)-LEN(P32)-1)))</f>
        <v>4</v>
      </c>
      <c r="T32" s="92" t="n">
        <f aca="false">IF(OR($A32="",R32=1),"",IFERROR(IF(ISNUMBER(FIND("/",S32)),IF(ISNUMBER(FIND(" ",S32)),VALUE(LEFT(S32,FIND(" ",S32)-1))+VALUE(MID(S32,FIND(" ",S32)+1,FIND("/",S32)-FIND(" ",S32)-1))/VALUE(MID(S32,FIND("/",S32)+1,9)),VALUE(LEFT(S32,FIND("/",S32)-1))/VALUE(MID(S32,FIND("/",S32)+1,9))),VALUE(S32)),""))</f>
        <v>4</v>
      </c>
      <c r="U32" s="43" t="str">
        <f aca="false">IF(OR($A32="",NOT(ISNUMBER(Q32))),"",TEXT(Q32,"yyyymmdd")&amp;"|"&amp;IF(R32=1,"F",TEXT(T32,"0.000")))</f>
        <v>20290911|4.000</v>
      </c>
      <c r="V32" s="43" t="str">
        <f aca="false">IF(U32="","",O32&amp;"|"&amp;U32)</f>
        <v>EIBKOR|20290911|4.000</v>
      </c>
      <c r="W32" s="43" t="str">
        <f aca="false">IF($A32="","",IFERROR(IF(VLOOKUP(O32,매핑!$A$4:$E$92,3,0)="","미분류",VLOOKUP(O32,매핑!$A$4:$E$92,3,0)),"미분류"))</f>
        <v>한국</v>
      </c>
      <c r="X32" s="89" t="n">
        <f aca="false">IF($A32="",0,IF(O32="T",1,0))</f>
        <v>0</v>
      </c>
      <c r="Y32" s="89" t="n">
        <f aca="false">IF($A32="",0,IF(AND(C32="USD",X32=0,ISNUMBER(E32),ISNUMBER(K32)),IF(K32&gt;=설정!$C$8,1,0),0))</f>
        <v>1</v>
      </c>
      <c r="Z32" s="43" t="str">
        <f aca="false">IF($A32="","",N32&amp;"|"&amp;L32)</f>
        <v>아시아/기타|정부</v>
      </c>
      <c r="AA32" s="92" t="n">
        <f aca="false">IF(Y32=1,LN(K32),0)</f>
        <v>1.02818982437156</v>
      </c>
      <c r="AB32" s="93" t="n">
        <f aca="false">IF(Y32=1,E32,0)</f>
        <v>-4.883</v>
      </c>
      <c r="AC32" s="89" t="n">
        <f aca="false">IF(Y32=1,COUNTIFS($Z$2:$Z$601,Z32,$Y$2:$Y$601,1),0)</f>
        <v>51</v>
      </c>
      <c r="AD32" s="89" t="n">
        <f aca="false">IF(Y32=1,COUNTIFS($N$2:$N$601,N32,$Y$2:$Y$601,1),0)</f>
        <v>137</v>
      </c>
      <c r="AE32" s="43" t="str">
        <f aca="false">IF(Y32&lt;&gt;1,"",IF(AND(AC32&gt;=설정!$C$7,ISNUMBER(MATCH(Z32,피어커브!$A:$A,0))),Z32,IF(AND(AD32&gt;=설정!$C$7,ISNUMBER(MATCH(N32&amp;"|전체",피어커브!$A:$A,0))),N32&amp;"|전체","전체|전체")))</f>
        <v>아시아/기타|정부</v>
      </c>
      <c r="AF32" s="93" t="n">
        <f aca="false">IF(AE32="","",INDEX(피어커브!$K:$K,MATCH(AE32,피어커브!$A:$A,0)))</f>
        <v>-1.54860147302313</v>
      </c>
      <c r="AG32" s="93" t="n">
        <f aca="false">IF(AE32="","",INDEX(피어커브!$J:$J,MATCH(AE32,피어커브!$A:$A,0)))</f>
        <v>19.8674994409945</v>
      </c>
      <c r="AH32" s="93" t="n">
        <f aca="false">IF(AE32="","",INDEX(피어커브!$L:$L,MATCH(AE32,피어커브!$A:$A,0)))</f>
        <v>13.6930241146778</v>
      </c>
      <c r="AI32" s="93" t="n">
        <f aca="false">IF(AE32="","",AF32+AG32*AA32)</f>
        <v>18.8789592879152</v>
      </c>
      <c r="AJ32" s="96" t="n">
        <f aca="false">IF(AE32="","",E32-AI32)</f>
        <v>-23.7619592879152</v>
      </c>
      <c r="AK32" s="95" t="n">
        <f aca="false">IF(AE32="","",IF(ISNUMBER(AH32),IF(AH32&gt;0,AJ32/AH32,""),""))</f>
        <v>-1.73533319512994</v>
      </c>
      <c r="AL32" s="43" t="str">
        <f aca="false">IF(AK32="","-",IF(AK32&gt;=설정!$C$6,"Cheap",IF(AK32&lt;=-설정!$C$6,"Rich","Fair")))</f>
        <v>Rich</v>
      </c>
      <c r="AM32" s="96" t="n">
        <f aca="false">IF(AE32="","",AJ32-AVERAGEIFS($AJ$2:$AJ$601,$B$2:$B$601,B32,$Y$2:$Y$601,1))</f>
        <v>-12.1357702285234</v>
      </c>
      <c r="AN32" s="93" t="n">
        <f aca="false">IF(AE32="",0,IF(K32&gt;1+설정!$C$8,AG32*(AA32-LN(K32-1)),0))</f>
        <v>8.7939086516796</v>
      </c>
      <c r="AO32" s="99" t="n">
        <f aca="false">IF($A32="",0,SUMIFS(보유분석!$AA$2:$AA$801,보유분석!$AB$2:$AB$801,ROW(),보유분석!$AC$2:$AC$801,1))</f>
        <v>0</v>
      </c>
      <c r="AP32" s="43" t="str">
        <f aca="false">IF($A32="","",TRIM(IF(R32=1,"FRN ","")&amp;IF(IFERROR(VLOOKUP(M32,설정!$A$15:$D$47,4,0),0)&gt;=10,IF(IFERROR(VLOOKUP(M32,설정!$A$15:$D$47,4,0),0)&lt;99,"BBB0미만 ",""),"")&amp;IF(OR(M32="",M32="NR"),"등급미입력 ","")&amp;IF(C32&lt;&gt;"USD","비USD ","")))</f>
        <v/>
      </c>
      <c r="AQ32" s="90" t="n">
        <f aca="false">IF(AND(Y32=1,AL32="Cheap"),IF(AND(ISERROR(SEARCH("FRN",AP32)),ISERROR(SEARCH("BBB0미만",AP32))),AK32+ROW()/1000000000,-999),-999)</f>
        <v>-999</v>
      </c>
      <c r="AR32" s="92" t="n">
        <f aca="false">IF(AND(ISNUMBER(D32),ISNUMBER(K32)),D32+AN32*MAX(K32-1,0)/100,"")</f>
        <v>5.10893859938417</v>
      </c>
      <c r="AS32" s="93" t="n">
        <f aca="false">IF(AND(ISNUMBER(E32),ISNUMBER(K32)),IF(K32&gt;0,(E32+AN32*MAX(K32-1,0))/K32,""),"")</f>
        <v>3.90231042146515</v>
      </c>
      <c r="AT32" s="90" t="n">
        <f aca="false">IFERROR(IF(AND(Y32=1,ROW()&lt;&gt;스왑분석!$C$12+1,ABS(K32-INDEX($K$2:$K$601,스왑분석!$C$12))&lt;=스왑분석!$C$5,ISERROR(SEARCH("FRN",AP32)),ISERROR(SEARCH("BBB0미만",AP32))),IF(AND(OR(스왑분석!$C$6="N",L32=INDEX($L$2:$L$601,스왑분석!$C$12)),OR(스왑분석!$C$7="N",N32=INDEX($N$2:$N$601,스왑분석!$C$12)),OR(스왑분석!$C$8="N",AO32=0),E32-INDEX($E$2:$E$601,스왑분석!$C$12)&gt;=스왑분석!$C$9),E32-INDEX($E$2:$E$601,스왑분석!$C$12)+ROW()/1000000000,-999),-999),-999)</f>
        <v>-999</v>
      </c>
      <c r="AU32" s="90" t="n">
        <f aca="false">IF(AND(Y32=1,AO32&gt;0,AL32="Rich"),-AK32+ROW()/1000000000,-999)</f>
        <v>-999</v>
      </c>
    </row>
    <row r="33" customFormat="false" ht="15" hidden="false" customHeight="false" outlineLevel="0" collapsed="false">
      <c r="A33" s="83" t="str">
        <f aca="false">IFERROR(IF(INDEX(원자료_시장!$A$1:$BZ$1000,설정!$L$6+ROW()-1,설정!$L$24)&amp;""="0","",INDEX(원자료_시장!$A$1:$BZ$1000,설정!$L$6+ROW()-1,설정!$L$24)),"")</f>
        <v>EIBKOR 4 7/8 01/14/30</v>
      </c>
      <c r="B33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33" s="83" t="str">
        <f aca="false">IFERROR(IF(INDEX(원자료_시장!$A$1:$BZ$1000,설정!$L$6+ROW()-1,설정!$L$25)&amp;""="0","",INDEX(원자료_시장!$A$1:$BZ$1000,설정!$L$6+ROW()-1,설정!$L$25)),"")</f>
        <v>USD</v>
      </c>
      <c r="D33" s="85" t="n">
        <f aca="false">IFERROR(IF(ISNUMBER(INDEX(원자료_시장!$A$1:$BZ$1000,설정!$L$6+ROW()-1,설정!$L$26)),INDEX(원자료_시장!$A$1:$BZ$1000,설정!$L$6+ROW()-1,설정!$L$26),""),"")</f>
        <v>5.234</v>
      </c>
      <c r="E33" s="97" t="n">
        <f aca="false">IFERROR(IF(ISNUMBER(INDEX(원자료_시장!$A$1:$BZ$1000,설정!$L$6+ROW()-1,설정!$L$27)),INDEX(원자료_시장!$A$1:$BZ$1000,설정!$L$6+ROW()-1,설정!$L$27),""),"")</f>
        <v>14.706</v>
      </c>
      <c r="F33" s="97" t="n">
        <f aca="false">IFERROR(IF(ISNUMBER(INDEX(원자료_시장!$A$1:$BZ$1000,설정!$L$6+ROW()-1,설정!$L$28)),INDEX(원자료_시장!$A$1:$BZ$1000,설정!$L$6+ROW()-1,설정!$L$28),""),"")</f>
        <v>49.501</v>
      </c>
      <c r="G33" s="97" t="n">
        <f aca="false">IFERROR(IF(ISNUMBER(INDEX(원자료_시장!$A$1:$BZ$1000,설정!$L$6+ROW()-1,설정!$L$29)),INDEX(원자료_시장!$A$1:$BZ$1000,설정!$L$6+ROW()-1,설정!$L$29),""),"")</f>
        <v>-3.2</v>
      </c>
      <c r="H33" s="97" t="n">
        <f aca="false">IFERROR(IF(ISNUMBER(INDEX(원자료_시장!$A$1:$BZ$1000,설정!$L$6+ROW()-1,설정!$L$30)),INDEX(원자료_시장!$A$1:$BZ$1000,설정!$L$6+ROW()-1,설정!$L$30),""),"")</f>
        <v>16.3</v>
      </c>
      <c r="I33" s="97" t="n">
        <f aca="false">IFERROR(IF(ISNUMBER(INDEX(원자료_시장!$A$1:$BZ$1000,설정!$L$6+ROW()-1,설정!$L$31)),INDEX(원자료_시장!$A$1:$BZ$1000,설정!$L$6+ROW()-1,설정!$L$31),""),"")</f>
        <v>8.5</v>
      </c>
      <c r="J33" s="97" t="n">
        <f aca="false">IFERROR(IF(ISNUMBER(INDEX(원자료_시장!$A$1:$BZ$1000,설정!$L$6+ROW()-1,설정!$L$32)),INDEX(원자료_시장!$A$1:$BZ$1000,설정!$L$6+ROW()-1,설정!$L$32),""),"")</f>
        <v>-0.5</v>
      </c>
      <c r="K33" s="85" t="n">
        <f aca="false">IFERROR(IF(ISNUMBER(INDEX(원자료_시장!$A$1:$BZ$1000,설정!$L$6+ROW()-1,설정!$L$33)),INDEX(원자료_시장!$A$1:$BZ$1000,설정!$L$6+ROW()-1,설정!$L$33),""),"")</f>
        <v>3.042</v>
      </c>
      <c r="L33" s="83" t="str">
        <f aca="false">IFERROR(IF(INDEX(원자료_시장!$A$1:$BZ$1000,설정!$L$6+ROW()-1,설정!$L$34)&amp;""="0","",INDEX(원자료_시장!$A$1:$BZ$1000,설정!$L$6+ROW()-1,설정!$L$34)),"")</f>
        <v>정부</v>
      </c>
      <c r="M33" s="83" t="str">
        <f aca="false">IFERROR(IF(INDEX(원자료_시장!$A$1:$BZ$1000,설정!$L$6+ROW()-1,설정!$L$35)&amp;""="0","",INDEX(원자료_시장!$A$1:$BZ$1000,설정!$L$6+ROW()-1,설정!$L$35)),"")</f>
        <v>AA</v>
      </c>
      <c r="N33" s="83" t="str">
        <f aca="false">IFERROR(IF(INDEX(원자료_시장!$A$1:$BZ$1000,설정!$L$6+ROW()-1,설정!$L$36)&amp;""="0","",INDEX(원자료_시장!$A$1:$BZ$1000,설정!$L$6+ROW()-1,설정!$L$36)),"")</f>
        <v>아시아/기타</v>
      </c>
      <c r="O33" s="43" t="str">
        <f aca="false">IF($A33="","",UPPER(LEFT($A33,FIND(" ",$A33&amp;" ")-1)))</f>
        <v>EIBKOR</v>
      </c>
      <c r="P33" s="43" t="str">
        <f aca="false">IF($A33="","",TRIM(RIGHT(SUBSTITUTE(TRIM($A33)," ",REPT(" ",30)),30)))</f>
        <v>01/14/30</v>
      </c>
      <c r="Q33" s="98" t="n">
        <f aca="false">IF($A33="","",IFERROR(DATE(IF(LEN(P33)=8,2000+VALUE(RIGHT(P33,2)),VALUE(RIGHT(P33,4))),VALUE(LEFT(P33,2)),VALUE(MID(P33,4,2))),""))</f>
        <v>47497</v>
      </c>
      <c r="R33" s="89" t="n">
        <f aca="false">IF($A33="",0,IF(ISNUMBER(SEARCH("Float",$A33)),1,0))</f>
        <v>0</v>
      </c>
      <c r="S33" s="43" t="str">
        <f aca="false">IF($A33="","",TRIM(MID($A33,LEN(O33)+2,LEN($A33)-LEN(O33)-LEN(P33)-1)))</f>
        <v>4 7/8</v>
      </c>
      <c r="T33" s="92" t="n">
        <f aca="false">IF(OR($A33="",R33=1),"",IFERROR(IF(ISNUMBER(FIND("/",S33)),IF(ISNUMBER(FIND(" ",S33)),VALUE(LEFT(S33,FIND(" ",S33)-1))+VALUE(MID(S33,FIND(" ",S33)+1,FIND("/",S33)-FIND(" ",S33)-1))/VALUE(MID(S33,FIND("/",S33)+1,9)),VALUE(LEFT(S33,FIND("/",S33)-1))/VALUE(MID(S33,FIND("/",S33)+1,9))),VALUE(S33)),""))</f>
        <v>4.875</v>
      </c>
      <c r="U33" s="43" t="str">
        <f aca="false">IF(OR($A33="",NOT(ISNUMBER(Q33))),"",TEXT(Q33,"yyyymmdd")&amp;"|"&amp;IF(R33=1,"F",TEXT(T33,"0.000")))</f>
        <v>20300114|4.875</v>
      </c>
      <c r="V33" s="43" t="str">
        <f aca="false">IF(U33="","",O33&amp;"|"&amp;U33)</f>
        <v>EIBKOR|20300114|4.875</v>
      </c>
      <c r="W33" s="43" t="str">
        <f aca="false">IF($A33="","",IFERROR(IF(VLOOKUP(O33,매핑!$A$4:$E$92,3,0)="","미분류",VLOOKUP(O33,매핑!$A$4:$E$92,3,0)),"미분류"))</f>
        <v>한국</v>
      </c>
      <c r="X33" s="89" t="n">
        <f aca="false">IF($A33="",0,IF(O33="T",1,0))</f>
        <v>0</v>
      </c>
      <c r="Y33" s="89" t="n">
        <f aca="false">IF($A33="",0,IF(AND(C33="USD",X33=0,ISNUMBER(E33),ISNUMBER(K33)),IF(K33&gt;=설정!$C$8,1,0),0))</f>
        <v>1</v>
      </c>
      <c r="Z33" s="43" t="str">
        <f aca="false">IF($A33="","",N33&amp;"|"&amp;L33)</f>
        <v>아시아/기타|정부</v>
      </c>
      <c r="AA33" s="92" t="n">
        <f aca="false">IF(Y33=1,LN(K33),0)</f>
        <v>1.1125151938371</v>
      </c>
      <c r="AB33" s="93" t="n">
        <f aca="false">IF(Y33=1,E33,0)</f>
        <v>14.706</v>
      </c>
      <c r="AC33" s="89" t="n">
        <f aca="false">IF(Y33=1,COUNTIFS($Z$2:$Z$601,Z33,$Y$2:$Y$601,1),0)</f>
        <v>51</v>
      </c>
      <c r="AD33" s="89" t="n">
        <f aca="false">IF(Y33=1,COUNTIFS($N$2:$N$601,N33,$Y$2:$Y$601,1),0)</f>
        <v>137</v>
      </c>
      <c r="AE33" s="43" t="str">
        <f aca="false">IF(Y33&lt;&gt;1,"",IF(AND(AC33&gt;=설정!$C$7,ISNUMBER(MATCH(Z33,피어커브!$A:$A,0))),Z33,IF(AND(AD33&gt;=설정!$C$7,ISNUMBER(MATCH(N33&amp;"|전체",피어커브!$A:$A,0))),N33&amp;"|전체","전체|전체")))</f>
        <v>아시아/기타|정부</v>
      </c>
      <c r="AF33" s="93" t="n">
        <f aca="false">IF(AE33="","",INDEX(피어커브!$K:$K,MATCH(AE33,피어커브!$A:$A,0)))</f>
        <v>-1.54860147302313</v>
      </c>
      <c r="AG33" s="93" t="n">
        <f aca="false">IF(AE33="","",INDEX(피어커브!$J:$J,MATCH(AE33,피어커브!$A:$A,0)))</f>
        <v>19.8674994409945</v>
      </c>
      <c r="AH33" s="93" t="n">
        <f aca="false">IF(AE33="","",INDEX(피어커브!$L:$L,MATCH(AE33,피어커브!$A:$A,0)))</f>
        <v>13.6930241146778</v>
      </c>
      <c r="AI33" s="93" t="n">
        <f aca="false">IF(AE33="","",AF33+AG33*AA33)</f>
        <v>20.5542935186334</v>
      </c>
      <c r="AJ33" s="96" t="n">
        <f aca="false">IF(AE33="","",E33-AI33)</f>
        <v>-5.84829351863342</v>
      </c>
      <c r="AK33" s="95" t="n">
        <f aca="false">IF(AE33="","",IF(ISNUMBER(AH33),IF(AH33&gt;0,AJ33/AH33,""),""))</f>
        <v>-0.427100213192827</v>
      </c>
      <c r="AL33" s="43" t="str">
        <f aca="false">IF(AK33="","-",IF(AK33&gt;=설정!$C$6,"Cheap",IF(AK33&lt;=-설정!$C$6,"Rich","Fair")))</f>
        <v>Fair</v>
      </c>
      <c r="AM33" s="96" t="n">
        <f aca="false">IF(AE33="","",AJ33-AVERAGEIFS($AJ$2:$AJ$601,$B$2:$B$601,B33,$Y$2:$Y$601,1))</f>
        <v>5.77789554075837</v>
      </c>
      <c r="AN33" s="93" t="n">
        <f aca="false">IF(AE33="",0,IF(K33&gt;1+설정!$C$8,AG33*(AA33-LN(K33-1)),0))</f>
        <v>7.91889668376355</v>
      </c>
      <c r="AO33" s="99" t="n">
        <f aca="false">IF($A33="",0,SUMIFS(보유분석!$AA$2:$AA$801,보유분석!$AB$2:$AB$801,ROW(),보유분석!$AC$2:$AC$801,1))</f>
        <v>0</v>
      </c>
      <c r="AP33" s="43" t="str">
        <f aca="false">IF($A33="","",TRIM(IF(R33=1,"FRN ","")&amp;IF(IFERROR(VLOOKUP(M33,설정!$A$15:$D$47,4,0),0)&gt;=10,IF(IFERROR(VLOOKUP(M33,설정!$A$15:$D$47,4,0),0)&lt;99,"BBB0미만 ",""),"")&amp;IF(OR(M33="",M33="NR"),"등급미입력 ","")&amp;IF(C33&lt;&gt;"USD","비USD ","")))</f>
        <v/>
      </c>
      <c r="AQ33" s="90" t="n">
        <f aca="false">IF(AND(Y33=1,AL33="Cheap"),IF(AND(ISERROR(SEARCH("FRN",AP33)),ISERROR(SEARCH("BBB0미만",AP33))),AK33+ROW()/1000000000,-999),-999)</f>
        <v>-999</v>
      </c>
      <c r="AR33" s="92" t="n">
        <f aca="false">IF(AND(ISNUMBER(D33),ISNUMBER(K33)),D33+AN33*MAX(K33-1,0)/100,"")</f>
        <v>5.39570387028245</v>
      </c>
      <c r="AS33" s="93" t="n">
        <f aca="false">IF(AND(ISNUMBER(E33),ISNUMBER(K33)),IF(K33&gt;0,(E33+AN33*MAX(K33-1,0))/K33,""),"")</f>
        <v>10.1500286088906</v>
      </c>
      <c r="AT33" s="90" t="n">
        <f aca="false">IFERROR(IF(AND(Y33=1,ROW()&lt;&gt;스왑분석!$C$12+1,ABS(K33-INDEX($K$2:$K$601,스왑분석!$C$12))&lt;=스왑분석!$C$5,ISERROR(SEARCH("FRN",AP33)),ISERROR(SEARCH("BBB0미만",AP33))),IF(AND(OR(스왑분석!$C$6="N",L33=INDEX($L$2:$L$601,스왑분석!$C$12)),OR(스왑분석!$C$7="N",N33=INDEX($N$2:$N$601,스왑분석!$C$12)),OR(스왑분석!$C$8="N",AO33=0),E33-INDEX($E$2:$E$601,스왑분석!$C$12)&gt;=스왑분석!$C$9),E33-INDEX($E$2:$E$601,스왑분석!$C$12)+ROW()/1000000000,-999),-999),-999)</f>
        <v>-999</v>
      </c>
      <c r="AU33" s="90" t="n">
        <f aca="false">IF(AND(Y33=1,AO33&gt;0,AL33="Rich"),-AK33+ROW()/1000000000,-999)</f>
        <v>-999</v>
      </c>
    </row>
    <row r="34" customFormat="false" ht="15" hidden="false" customHeight="false" outlineLevel="0" collapsed="false">
      <c r="A34" s="83" t="str">
        <f aca="false">IFERROR(IF(INDEX(원자료_시장!$A$1:$BZ$1000,설정!$L$6+ROW()-1,설정!$L$24)&amp;""="0","",INDEX(원자료_시장!$A$1:$BZ$1000,설정!$L$6+ROW()-1,설정!$L$24)),"")</f>
        <v>EIBKOR 3 3/4 09/22/30</v>
      </c>
      <c r="B34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34" s="83" t="str">
        <f aca="false">IFERROR(IF(INDEX(원자료_시장!$A$1:$BZ$1000,설정!$L$6+ROW()-1,설정!$L$25)&amp;""="0","",INDEX(원자료_시장!$A$1:$BZ$1000,설정!$L$6+ROW()-1,설정!$L$25)),"")</f>
        <v>USD</v>
      </c>
      <c r="D34" s="85" t="n">
        <f aca="false">IFERROR(IF(ISNUMBER(INDEX(원자료_시장!$A$1:$BZ$1000,설정!$L$6+ROW()-1,설정!$L$26)),INDEX(원자료_시장!$A$1:$BZ$1000,설정!$L$6+ROW()-1,설정!$L$26),""),"")</f>
        <v>5.153</v>
      </c>
      <c r="E34" s="97" t="n">
        <f aca="false">IFERROR(IF(ISNUMBER(INDEX(원자료_시장!$A$1:$BZ$1000,설정!$L$6+ROW()-1,설정!$L$27)),INDEX(원자료_시장!$A$1:$BZ$1000,설정!$L$6+ROW()-1,설정!$L$27),""),"")</f>
        <v>6.612</v>
      </c>
      <c r="F34" s="97" t="n">
        <f aca="false">IFERROR(IF(ISNUMBER(INDEX(원자료_시장!$A$1:$BZ$1000,설정!$L$6+ROW()-1,설정!$L$28)),INDEX(원자료_시장!$A$1:$BZ$1000,설정!$L$6+ROW()-1,설정!$L$28),""),"")</f>
        <v>40.769</v>
      </c>
      <c r="G34" s="97" t="n">
        <f aca="false">IFERROR(IF(ISNUMBER(INDEX(원자료_시장!$A$1:$BZ$1000,설정!$L$6+ROW()-1,설정!$L$29)),INDEX(원자료_시장!$A$1:$BZ$1000,설정!$L$6+ROW()-1,설정!$L$29),""),"")</f>
        <v>0.7</v>
      </c>
      <c r="H34" s="97" t="n">
        <f aca="false">IFERROR(IF(ISNUMBER(INDEX(원자료_시장!$A$1:$BZ$1000,설정!$L$6+ROW()-1,설정!$L$30)),INDEX(원자료_시장!$A$1:$BZ$1000,설정!$L$6+ROW()-1,설정!$L$30),""),"")</f>
        <v>-3.6</v>
      </c>
      <c r="I34" s="97" t="n">
        <f aca="false">IFERROR(IF(ISNUMBER(INDEX(원자료_시장!$A$1:$BZ$1000,설정!$L$6+ROW()-1,설정!$L$31)),INDEX(원자료_시장!$A$1:$BZ$1000,설정!$L$6+ROW()-1,설정!$L$31),""),"")</f>
        <v>-7.5</v>
      </c>
      <c r="J34" s="97" t="n">
        <f aca="false">IFERROR(IF(ISNUMBER(INDEX(원자료_시장!$A$1:$BZ$1000,설정!$L$6+ROW()-1,설정!$L$32)),INDEX(원자료_시장!$A$1:$BZ$1000,설정!$L$6+ROW()-1,설정!$L$32),""),"")</f>
        <v>-8.6</v>
      </c>
      <c r="K34" s="85" t="n">
        <f aca="false">IFERROR(IF(ISNUMBER(INDEX(원자료_시장!$A$1:$BZ$1000,설정!$L$6+ROW()-1,설정!$L$33)),INDEX(원자료_시장!$A$1:$BZ$1000,설정!$L$6+ROW()-1,설정!$L$33),""),"")</f>
        <v>3.716</v>
      </c>
      <c r="L34" s="83" t="str">
        <f aca="false">IFERROR(IF(INDEX(원자료_시장!$A$1:$BZ$1000,설정!$L$6+ROW()-1,설정!$L$34)&amp;""="0","",INDEX(원자료_시장!$A$1:$BZ$1000,설정!$L$6+ROW()-1,설정!$L$34)),"")</f>
        <v>정부</v>
      </c>
      <c r="M34" s="83" t="str">
        <f aca="false">IFERROR(IF(INDEX(원자료_시장!$A$1:$BZ$1000,설정!$L$6+ROW()-1,설정!$L$35)&amp;""="0","",INDEX(원자료_시장!$A$1:$BZ$1000,설정!$L$6+ROW()-1,설정!$L$35)),"")</f>
        <v>AA</v>
      </c>
      <c r="N34" s="83" t="str">
        <f aca="false">IFERROR(IF(INDEX(원자료_시장!$A$1:$BZ$1000,설정!$L$6+ROW()-1,설정!$L$36)&amp;""="0","",INDEX(원자료_시장!$A$1:$BZ$1000,설정!$L$6+ROW()-1,설정!$L$36)),"")</f>
        <v>아시아/기타</v>
      </c>
      <c r="O34" s="43" t="str">
        <f aca="false">IF($A34="","",UPPER(LEFT($A34,FIND(" ",$A34&amp;" ")-1)))</f>
        <v>EIBKOR</v>
      </c>
      <c r="P34" s="43" t="str">
        <f aca="false">IF($A34="","",TRIM(RIGHT(SUBSTITUTE(TRIM($A34)," ",REPT(" ",30)),30)))</f>
        <v>09/22/30</v>
      </c>
      <c r="Q34" s="98" t="n">
        <f aca="false">IF($A34="","",IFERROR(DATE(IF(LEN(P34)=8,2000+VALUE(RIGHT(P34,2)),VALUE(RIGHT(P34,4))),VALUE(LEFT(P34,2)),VALUE(MID(P34,4,2))),""))</f>
        <v>47748</v>
      </c>
      <c r="R34" s="89" t="n">
        <f aca="false">IF($A34="",0,IF(ISNUMBER(SEARCH("Float",$A34)),1,0))</f>
        <v>0</v>
      </c>
      <c r="S34" s="43" t="str">
        <f aca="false">IF($A34="","",TRIM(MID($A34,LEN(O34)+2,LEN($A34)-LEN(O34)-LEN(P34)-1)))</f>
        <v>3 3/4</v>
      </c>
      <c r="T34" s="92" t="n">
        <f aca="false">IF(OR($A34="",R34=1),"",IFERROR(IF(ISNUMBER(FIND("/",S34)),IF(ISNUMBER(FIND(" ",S34)),VALUE(LEFT(S34,FIND(" ",S34)-1))+VALUE(MID(S34,FIND(" ",S34)+1,FIND("/",S34)-FIND(" ",S34)-1))/VALUE(MID(S34,FIND("/",S34)+1,9)),VALUE(LEFT(S34,FIND("/",S34)-1))/VALUE(MID(S34,FIND("/",S34)+1,9))),VALUE(S34)),""))</f>
        <v>3.75</v>
      </c>
      <c r="U34" s="43" t="str">
        <f aca="false">IF(OR($A34="",NOT(ISNUMBER(Q34))),"",TEXT(Q34,"yyyymmdd")&amp;"|"&amp;IF(R34=1,"F",TEXT(T34,"0.000")))</f>
        <v>20300922|3.750</v>
      </c>
      <c r="V34" s="43" t="str">
        <f aca="false">IF(U34="","",O34&amp;"|"&amp;U34)</f>
        <v>EIBKOR|20300922|3.750</v>
      </c>
      <c r="W34" s="43" t="str">
        <f aca="false">IF($A34="","",IFERROR(IF(VLOOKUP(O34,매핑!$A$4:$E$92,3,0)="","미분류",VLOOKUP(O34,매핑!$A$4:$E$92,3,0)),"미분류"))</f>
        <v>한국</v>
      </c>
      <c r="X34" s="89" t="n">
        <f aca="false">IF($A34="",0,IF(O34="T",1,0))</f>
        <v>0</v>
      </c>
      <c r="Y34" s="89" t="n">
        <f aca="false">IF($A34="",0,IF(AND(C34="USD",X34=0,ISNUMBER(E34),ISNUMBER(K34)),IF(K34&gt;=설정!$C$8,1,0),0))</f>
        <v>1</v>
      </c>
      <c r="Z34" s="43" t="str">
        <f aca="false">IF($A34="","",N34&amp;"|"&amp;L34)</f>
        <v>아시아/기타|정부</v>
      </c>
      <c r="AA34" s="92" t="n">
        <f aca="false">IF(Y34=1,LN(K34),0)</f>
        <v>1.31264782095159</v>
      </c>
      <c r="AB34" s="93" t="n">
        <f aca="false">IF(Y34=1,E34,0)</f>
        <v>6.612</v>
      </c>
      <c r="AC34" s="89" t="n">
        <f aca="false">IF(Y34=1,COUNTIFS($Z$2:$Z$601,Z34,$Y$2:$Y$601,1),0)</f>
        <v>51</v>
      </c>
      <c r="AD34" s="89" t="n">
        <f aca="false">IF(Y34=1,COUNTIFS($N$2:$N$601,N34,$Y$2:$Y$601,1),0)</f>
        <v>137</v>
      </c>
      <c r="AE34" s="43" t="str">
        <f aca="false">IF(Y34&lt;&gt;1,"",IF(AND(AC34&gt;=설정!$C$7,ISNUMBER(MATCH(Z34,피어커브!$A:$A,0))),Z34,IF(AND(AD34&gt;=설정!$C$7,ISNUMBER(MATCH(N34&amp;"|전체",피어커브!$A:$A,0))),N34&amp;"|전체","전체|전체")))</f>
        <v>아시아/기타|정부</v>
      </c>
      <c r="AF34" s="93" t="n">
        <f aca="false">IF(AE34="","",INDEX(피어커브!$K:$K,MATCH(AE34,피어커브!$A:$A,0)))</f>
        <v>-1.54860147302313</v>
      </c>
      <c r="AG34" s="93" t="n">
        <f aca="false">IF(AE34="","",INDEX(피어커브!$J:$J,MATCH(AE34,피어커브!$A:$A,0)))</f>
        <v>19.8674994409945</v>
      </c>
      <c r="AH34" s="93" t="n">
        <f aca="false">IF(AE34="","",INDEX(피어커브!$L:$L,MATCH(AE34,피어커브!$A:$A,0)))</f>
        <v>13.6930241146778</v>
      </c>
      <c r="AI34" s="93" t="n">
        <f aca="false">IF(AE34="","",AF34+AG34*AA34)</f>
        <v>24.5304283759553</v>
      </c>
      <c r="AJ34" s="96" t="n">
        <f aca="false">IF(AE34="","",E34-AI34)</f>
        <v>-17.9184283759553</v>
      </c>
      <c r="AK34" s="95" t="n">
        <f aca="false">IF(AE34="","",IF(ISNUMBER(AH34),IF(AH34&gt;0,AJ34/AH34,""),""))</f>
        <v>-1.30858079456299</v>
      </c>
      <c r="AL34" s="43" t="str">
        <f aca="false">IF(AK34="","-",IF(AK34&gt;=설정!$C$6,"Cheap",IF(AK34&lt;=-설정!$C$6,"Rich","Fair")))</f>
        <v>Rich</v>
      </c>
      <c r="AM34" s="96" t="n">
        <f aca="false">IF(AE34="","",AJ34-AVERAGEIFS($AJ$2:$AJ$601,$B$2:$B$601,B34,$Y$2:$Y$601,1))</f>
        <v>-6.29223931656356</v>
      </c>
      <c r="AN34" s="93" t="n">
        <f aca="false">IF(AE34="",0,IF(K34&gt;1+설정!$C$8,AG34*(AA34-LN(K34-1)),0))</f>
        <v>6.22821494137026</v>
      </c>
      <c r="AO34" s="99" t="n">
        <f aca="false">IF($A34="",0,SUMIFS(보유분석!$AA$2:$AA$801,보유분석!$AB$2:$AB$801,ROW(),보유분석!$AC$2:$AC$801,1))</f>
        <v>0</v>
      </c>
      <c r="AP34" s="43" t="str">
        <f aca="false">IF($A34="","",TRIM(IF(R34=1,"FRN ","")&amp;IF(IFERROR(VLOOKUP(M34,설정!$A$15:$D$47,4,0),0)&gt;=10,IF(IFERROR(VLOOKUP(M34,설정!$A$15:$D$47,4,0),0)&lt;99,"BBB0미만 ",""),"")&amp;IF(OR(M34="",M34="NR"),"등급미입력 ","")&amp;IF(C34&lt;&gt;"USD","비USD ","")))</f>
        <v/>
      </c>
      <c r="AQ34" s="90" t="n">
        <f aca="false">IF(AND(Y34=1,AL34="Cheap"),IF(AND(ISERROR(SEARCH("FRN",AP34)),ISERROR(SEARCH("BBB0미만",AP34))),AK34+ROW()/1000000000,-999),-999)</f>
        <v>-999</v>
      </c>
      <c r="AR34" s="92" t="n">
        <f aca="false">IF(AND(ISNUMBER(D34),ISNUMBER(K34)),D34+AN34*MAX(K34-1,0)/100,"")</f>
        <v>5.32215831780762</v>
      </c>
      <c r="AS34" s="93" t="n">
        <f aca="false">IF(AND(ISNUMBER(E34),ISNUMBER(K34)),IF(K34&gt;0,(E34+AN34*MAX(K34-1,0))/K34,""),"")</f>
        <v>6.33149402065706</v>
      </c>
      <c r="AT34" s="90" t="n">
        <f aca="false">IFERROR(IF(AND(Y34=1,ROW()&lt;&gt;스왑분석!$C$12+1,ABS(K34-INDEX($K$2:$K$601,스왑분석!$C$12))&lt;=스왑분석!$C$5,ISERROR(SEARCH("FRN",AP34)),ISERROR(SEARCH("BBB0미만",AP34))),IF(AND(OR(스왑분석!$C$6="N",L34=INDEX($L$2:$L$601,스왑분석!$C$12)),OR(스왑분석!$C$7="N",N34=INDEX($N$2:$N$601,스왑분석!$C$12)),OR(스왑분석!$C$8="N",AO34=0),E34-INDEX($E$2:$E$601,스왑분석!$C$12)&gt;=스왑분석!$C$9),E34-INDEX($E$2:$E$601,스왑분석!$C$12)+ROW()/1000000000,-999),-999),-999)</f>
        <v>-999</v>
      </c>
      <c r="AU34" s="90" t="n">
        <f aca="false">IF(AND(Y34=1,AO34&gt;0,AL34="Rich"),-AK34+ROW()/1000000000,-999)</f>
        <v>-999</v>
      </c>
    </row>
    <row r="35" customFormat="false" ht="15" hidden="false" customHeight="false" outlineLevel="0" collapsed="false">
      <c r="A35" s="83" t="str">
        <f aca="false">IFERROR(IF(INDEX(원자료_시장!$A$1:$BZ$1000,설정!$L$6+ROW()-1,설정!$L$24)&amp;""="0","",INDEX(원자료_시장!$A$1:$BZ$1000,설정!$L$6+ROW()-1,설정!$L$24)),"")</f>
        <v>EIBKOR 3 3/4 01/13/29</v>
      </c>
      <c r="B35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35" s="83" t="str">
        <f aca="false">IFERROR(IF(INDEX(원자료_시장!$A$1:$BZ$1000,설정!$L$6+ROW()-1,설정!$L$25)&amp;""="0","",INDEX(원자료_시장!$A$1:$BZ$1000,설정!$L$6+ROW()-1,설정!$L$25)),"")</f>
        <v>USD</v>
      </c>
      <c r="D35" s="85" t="n">
        <f aca="false">IFERROR(IF(ISNUMBER(INDEX(원자료_시장!$A$1:$BZ$1000,설정!$L$6+ROW()-1,설정!$L$26)),INDEX(원자료_시장!$A$1:$BZ$1000,설정!$L$6+ROW()-1,설정!$L$26),""),"")</f>
        <v>5.02</v>
      </c>
      <c r="E35" s="97" t="n">
        <f aca="false">IFERROR(IF(ISNUMBER(INDEX(원자료_시장!$A$1:$BZ$1000,설정!$L$6+ROW()-1,설정!$L$27)),INDEX(원자료_시장!$A$1:$BZ$1000,설정!$L$6+ROW()-1,설정!$L$27),""),"")</f>
        <v>1.952</v>
      </c>
      <c r="F35" s="97" t="n">
        <f aca="false">IFERROR(IF(ISNUMBER(INDEX(원자료_시장!$A$1:$BZ$1000,설정!$L$6+ROW()-1,설정!$L$28)),INDEX(원자료_시장!$A$1:$BZ$1000,설정!$L$6+ROW()-1,설정!$L$28),""),"")</f>
        <v>31.556</v>
      </c>
      <c r="G35" s="97" t="n">
        <f aca="false">IFERROR(IF(ISNUMBER(INDEX(원자료_시장!$A$1:$BZ$1000,설정!$L$6+ROW()-1,설정!$L$29)),INDEX(원자료_시장!$A$1:$BZ$1000,설정!$L$6+ROW()-1,설정!$L$29),""),"")</f>
        <v>-4</v>
      </c>
      <c r="H35" s="97" t="n">
        <f aca="false">IFERROR(IF(ISNUMBER(INDEX(원자료_시장!$A$1:$BZ$1000,설정!$L$6+ROW()-1,설정!$L$30)),INDEX(원자료_시장!$A$1:$BZ$1000,설정!$L$6+ROW()-1,설정!$L$30),""),"")</f>
        <v>2.1</v>
      </c>
      <c r="I35" s="97" t="n">
        <f aca="false">IFERROR(IF(ISNUMBER(INDEX(원자료_시장!$A$1:$BZ$1000,설정!$L$6+ROW()-1,설정!$L$31)),INDEX(원자료_시장!$A$1:$BZ$1000,설정!$L$6+ROW()-1,설정!$L$31),""),"")</f>
        <v>-5.6</v>
      </c>
      <c r="J35" s="97" t="n">
        <f aca="false">IFERROR(IF(ISNUMBER(INDEX(원자료_시장!$A$1:$BZ$1000,설정!$L$6+ROW()-1,설정!$L$32)),INDEX(원자료_시장!$A$1:$BZ$1000,설정!$L$6+ROW()-1,설정!$L$32),""),"")</f>
        <v>-12.6</v>
      </c>
      <c r="K35" s="85" t="n">
        <f aca="false">IFERROR(IF(ISNUMBER(INDEX(원자료_시장!$A$1:$BZ$1000,설정!$L$6+ROW()-1,설정!$L$33)),INDEX(원자료_시장!$A$1:$BZ$1000,설정!$L$6+ROW()-1,설정!$L$33),""),"")</f>
        <v>2.189</v>
      </c>
      <c r="L35" s="83" t="str">
        <f aca="false">IFERROR(IF(INDEX(원자료_시장!$A$1:$BZ$1000,설정!$L$6+ROW()-1,설정!$L$34)&amp;""="0","",INDEX(원자료_시장!$A$1:$BZ$1000,설정!$L$6+ROW()-1,설정!$L$34)),"")</f>
        <v>정부</v>
      </c>
      <c r="M35" s="83" t="str">
        <f aca="false">IFERROR(IF(INDEX(원자료_시장!$A$1:$BZ$1000,설정!$L$6+ROW()-1,설정!$L$35)&amp;""="0","",INDEX(원자료_시장!$A$1:$BZ$1000,설정!$L$6+ROW()-1,설정!$L$35)),"")</f>
        <v>AA</v>
      </c>
      <c r="N35" s="83" t="str">
        <f aca="false">IFERROR(IF(INDEX(원자료_시장!$A$1:$BZ$1000,설정!$L$6+ROW()-1,설정!$L$36)&amp;""="0","",INDEX(원자료_시장!$A$1:$BZ$1000,설정!$L$6+ROW()-1,설정!$L$36)),"")</f>
        <v>아시아/기타</v>
      </c>
      <c r="O35" s="43" t="str">
        <f aca="false">IF($A35="","",UPPER(LEFT($A35,FIND(" ",$A35&amp;" ")-1)))</f>
        <v>EIBKOR</v>
      </c>
      <c r="P35" s="43" t="str">
        <f aca="false">IF($A35="","",TRIM(RIGHT(SUBSTITUTE(TRIM($A35)," ",REPT(" ",30)),30)))</f>
        <v>01/13/29</v>
      </c>
      <c r="Q35" s="98" t="n">
        <f aca="false">IF($A35="","",IFERROR(DATE(IF(LEN(P35)=8,2000+VALUE(RIGHT(P35,2)),VALUE(RIGHT(P35,4))),VALUE(LEFT(P35,2)),VALUE(MID(P35,4,2))),""))</f>
        <v>47131</v>
      </c>
      <c r="R35" s="89" t="n">
        <f aca="false">IF($A35="",0,IF(ISNUMBER(SEARCH("Float",$A35)),1,0))</f>
        <v>0</v>
      </c>
      <c r="S35" s="43" t="str">
        <f aca="false">IF($A35="","",TRIM(MID($A35,LEN(O35)+2,LEN($A35)-LEN(O35)-LEN(P35)-1)))</f>
        <v>3 3/4</v>
      </c>
      <c r="T35" s="92" t="n">
        <f aca="false">IF(OR($A35="",R35=1),"",IFERROR(IF(ISNUMBER(FIND("/",S35)),IF(ISNUMBER(FIND(" ",S35)),VALUE(LEFT(S35,FIND(" ",S35)-1))+VALUE(MID(S35,FIND(" ",S35)+1,FIND("/",S35)-FIND(" ",S35)-1))/VALUE(MID(S35,FIND("/",S35)+1,9)),VALUE(LEFT(S35,FIND("/",S35)-1))/VALUE(MID(S35,FIND("/",S35)+1,9))),VALUE(S35)),""))</f>
        <v>3.75</v>
      </c>
      <c r="U35" s="43" t="str">
        <f aca="false">IF(OR($A35="",NOT(ISNUMBER(Q35))),"",TEXT(Q35,"yyyymmdd")&amp;"|"&amp;IF(R35=1,"F",TEXT(T35,"0.000")))</f>
        <v>20290113|3.750</v>
      </c>
      <c r="V35" s="43" t="str">
        <f aca="false">IF(U35="","",O35&amp;"|"&amp;U35)</f>
        <v>EIBKOR|20290113|3.750</v>
      </c>
      <c r="W35" s="43" t="str">
        <f aca="false">IF($A35="","",IFERROR(IF(VLOOKUP(O35,매핑!$A$4:$E$92,3,0)="","미분류",VLOOKUP(O35,매핑!$A$4:$E$92,3,0)),"미분류"))</f>
        <v>한국</v>
      </c>
      <c r="X35" s="89" t="n">
        <f aca="false">IF($A35="",0,IF(O35="T",1,0))</f>
        <v>0</v>
      </c>
      <c r="Y35" s="89" t="n">
        <f aca="false">IF($A35="",0,IF(AND(C35="USD",X35=0,ISNUMBER(E35),ISNUMBER(K35)),IF(K35&gt;=설정!$C$8,1,0),0))</f>
        <v>1</v>
      </c>
      <c r="Z35" s="43" t="str">
        <f aca="false">IF($A35="","",N35&amp;"|"&amp;L35)</f>
        <v>아시아/기타|정부</v>
      </c>
      <c r="AA35" s="92" t="n">
        <f aca="false">IF(Y35=1,LN(K35),0)</f>
        <v>0.783444818540726</v>
      </c>
      <c r="AB35" s="93" t="n">
        <f aca="false">IF(Y35=1,E35,0)</f>
        <v>1.952</v>
      </c>
      <c r="AC35" s="89" t="n">
        <f aca="false">IF(Y35=1,COUNTIFS($Z$2:$Z$601,Z35,$Y$2:$Y$601,1),0)</f>
        <v>51</v>
      </c>
      <c r="AD35" s="89" t="n">
        <f aca="false">IF(Y35=1,COUNTIFS($N$2:$N$601,N35,$Y$2:$Y$601,1),0)</f>
        <v>137</v>
      </c>
      <c r="AE35" s="43" t="str">
        <f aca="false">IF(Y35&lt;&gt;1,"",IF(AND(AC35&gt;=설정!$C$7,ISNUMBER(MATCH(Z35,피어커브!$A:$A,0))),Z35,IF(AND(AD35&gt;=설정!$C$7,ISNUMBER(MATCH(N35&amp;"|전체",피어커브!$A:$A,0))),N35&amp;"|전체","전체|전체")))</f>
        <v>아시아/기타|정부</v>
      </c>
      <c r="AF35" s="93" t="n">
        <f aca="false">IF(AE35="","",INDEX(피어커브!$K:$K,MATCH(AE35,피어커브!$A:$A,0)))</f>
        <v>-1.54860147302313</v>
      </c>
      <c r="AG35" s="93" t="n">
        <f aca="false">IF(AE35="","",INDEX(피어커브!$J:$J,MATCH(AE35,피어커브!$A:$A,0)))</f>
        <v>19.8674994409945</v>
      </c>
      <c r="AH35" s="93" t="n">
        <f aca="false">IF(AE35="","",INDEX(피어커브!$L:$L,MATCH(AE35,피어커브!$A:$A,0)))</f>
        <v>13.6930241146778</v>
      </c>
      <c r="AI35" s="93" t="n">
        <f aca="false">IF(AE35="","",AF35+AG35*AA35)</f>
        <v>14.0164880213848</v>
      </c>
      <c r="AJ35" s="96" t="n">
        <f aca="false">IF(AE35="","",E35-AI35)</f>
        <v>-12.0644880213848</v>
      </c>
      <c r="AK35" s="95" t="n">
        <f aca="false">IF(AE35="","",IF(ISNUMBER(AH35),IF(AH35&gt;0,AJ35/AH35,""),""))</f>
        <v>-0.881068193581333</v>
      </c>
      <c r="AL35" s="43" t="str">
        <f aca="false">IF(AK35="","-",IF(AK35&gt;=설정!$C$6,"Cheap",IF(AK35&lt;=-설정!$C$6,"Rich","Fair")))</f>
        <v>Fair</v>
      </c>
      <c r="AM35" s="96" t="n">
        <f aca="false">IF(AE35="","",AJ35-AVERAGEIFS($AJ$2:$AJ$601,$B$2:$B$601,B35,$Y$2:$Y$601,1))</f>
        <v>-0.438298961993038</v>
      </c>
      <c r="AN35" s="93" t="n">
        <f aca="false">IF(AE35="",0,IF(K35&gt;1+설정!$C$8,AG35*(AA35-LN(K35-1)),0))</f>
        <v>12.1257746588523</v>
      </c>
      <c r="AO35" s="99" t="n">
        <f aca="false">IF($A35="",0,SUMIFS(보유분석!$AA$2:$AA$801,보유분석!$AB$2:$AB$801,ROW(),보유분석!$AC$2:$AC$801,1))</f>
        <v>0</v>
      </c>
      <c r="AP35" s="43" t="str">
        <f aca="false">IF($A35="","",TRIM(IF(R35=1,"FRN ","")&amp;IF(IFERROR(VLOOKUP(M35,설정!$A$15:$D$47,4,0),0)&gt;=10,IF(IFERROR(VLOOKUP(M35,설정!$A$15:$D$47,4,0),0)&lt;99,"BBB0미만 ",""),"")&amp;IF(OR(M35="",M35="NR"),"등급미입력 ","")&amp;IF(C35&lt;&gt;"USD","비USD ","")))</f>
        <v/>
      </c>
      <c r="AQ35" s="90" t="n">
        <f aca="false">IF(AND(Y35=1,AL35="Cheap"),IF(AND(ISERROR(SEARCH("FRN",AP35)),ISERROR(SEARCH("BBB0미만",AP35))),AK35+ROW()/1000000000,-999),-999)</f>
        <v>-999</v>
      </c>
      <c r="AR35" s="92" t="n">
        <f aca="false">IF(AND(ISNUMBER(D35),ISNUMBER(K35)),D35+AN35*MAX(K35-1,0)/100,"")</f>
        <v>5.16417546069375</v>
      </c>
      <c r="AS35" s="93" t="n">
        <f aca="false">IF(AND(ISNUMBER(E35),ISNUMBER(K35)),IF(K35&gt;0,(E35+AN35*MAX(K35-1,0))/K35,""),"")</f>
        <v>7.47809322493167</v>
      </c>
      <c r="AT35" s="90" t="n">
        <f aca="false">IFERROR(IF(AND(Y35=1,ROW()&lt;&gt;스왑분석!$C$12+1,ABS(K35-INDEX($K$2:$K$601,스왑분석!$C$12))&lt;=스왑분석!$C$5,ISERROR(SEARCH("FRN",AP35)),ISERROR(SEARCH("BBB0미만",AP35))),IF(AND(OR(스왑분석!$C$6="N",L35=INDEX($L$2:$L$601,스왑분석!$C$12)),OR(스왑분석!$C$7="N",N35=INDEX($N$2:$N$601,스왑분석!$C$12)),OR(스왑분석!$C$8="N",AO35=0),E35-INDEX($E$2:$E$601,스왑분석!$C$12)&gt;=스왑분석!$C$9),E35-INDEX($E$2:$E$601,스왑분석!$C$12)+ROW()/1000000000,-999),-999),-999)</f>
        <v>-999</v>
      </c>
      <c r="AU35" s="90" t="n">
        <f aca="false">IF(AND(Y35=1,AO35&gt;0,AL35="Rich"),-AK35+ROW()/1000000000,-999)</f>
        <v>-999</v>
      </c>
    </row>
    <row r="36" customFormat="false" ht="15" hidden="false" customHeight="false" outlineLevel="0" collapsed="false">
      <c r="A36" s="83" t="str">
        <f aca="false">IFERROR(IF(INDEX(원자료_시장!$A$1:$BZ$1000,설정!$L$6+ROW()-1,설정!$L$24)&amp;""="0","",INDEX(원자료_시장!$A$1:$BZ$1000,설정!$L$6+ROW()-1,설정!$L$24)),"")</f>
        <v>EIBKOR 3 7/8 01/13/31</v>
      </c>
      <c r="B36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36" s="83" t="str">
        <f aca="false">IFERROR(IF(INDEX(원자료_시장!$A$1:$BZ$1000,설정!$L$6+ROW()-1,설정!$L$25)&amp;""="0","",INDEX(원자료_시장!$A$1:$BZ$1000,설정!$L$6+ROW()-1,설정!$L$25)),"")</f>
        <v>USD</v>
      </c>
      <c r="D36" s="85" t="n">
        <f aca="false">IFERROR(IF(ISNUMBER(INDEX(원자료_시장!$A$1:$BZ$1000,설정!$L$6+ROW()-1,설정!$L$26)),INDEX(원자료_시장!$A$1:$BZ$1000,설정!$L$6+ROW()-1,설정!$L$26),""),"")</f>
        <v>5.268</v>
      </c>
      <c r="E36" s="97" t="n">
        <f aca="false">IFERROR(IF(ISNUMBER(INDEX(원자료_시장!$A$1:$BZ$1000,설정!$L$6+ROW()-1,설정!$L$27)),INDEX(원자료_시장!$A$1:$BZ$1000,설정!$L$6+ROW()-1,설정!$L$27),""),"")</f>
        <v>18.153</v>
      </c>
      <c r="F36" s="97" t="n">
        <f aca="false">IFERROR(IF(ISNUMBER(INDEX(원자료_시장!$A$1:$BZ$1000,설정!$L$6+ROW()-1,설정!$L$28)),INDEX(원자료_시장!$A$1:$BZ$1000,설정!$L$6+ROW()-1,설정!$L$28),""),"")</f>
        <v>52.033</v>
      </c>
      <c r="G36" s="97" t="n">
        <f aca="false">IFERROR(IF(ISNUMBER(INDEX(원자료_시장!$A$1:$BZ$1000,설정!$L$6+ROW()-1,설정!$L$29)),INDEX(원자료_시장!$A$1:$BZ$1000,설정!$L$6+ROW()-1,설정!$L$29),""),"")</f>
        <v>-2</v>
      </c>
      <c r="H36" s="97" t="n">
        <f aca="false">IFERROR(IF(ISNUMBER(INDEX(원자료_시장!$A$1:$BZ$1000,설정!$L$6+ROW()-1,설정!$L$30)),INDEX(원자료_시장!$A$1:$BZ$1000,설정!$L$6+ROW()-1,설정!$L$30),""),"")</f>
        <v>9.3</v>
      </c>
      <c r="I36" s="97" t="n">
        <f aca="false">IFERROR(IF(ISNUMBER(INDEX(원자료_시장!$A$1:$BZ$1000,설정!$L$6+ROW()-1,설정!$L$31)),INDEX(원자료_시장!$A$1:$BZ$1000,설정!$L$6+ROW()-1,설정!$L$31),""),"")</f>
        <v>4.3</v>
      </c>
      <c r="J36" s="97" t="n">
        <f aca="false">IFERROR(IF(ISNUMBER(INDEX(원자료_시장!$A$1:$BZ$1000,설정!$L$6+ROW()-1,설정!$L$32)),INDEX(원자료_시장!$A$1:$BZ$1000,설정!$L$6+ROW()-1,설정!$L$32),""),"")</f>
        <v>1.8</v>
      </c>
      <c r="K36" s="85" t="n">
        <f aca="false">IFERROR(IF(ISNUMBER(INDEX(원자료_시장!$A$1:$BZ$1000,설정!$L$6+ROW()-1,설정!$L$33)),INDEX(원자료_시장!$A$1:$BZ$1000,설정!$L$6+ROW()-1,설정!$L$33),""),"")</f>
        <v>3.942</v>
      </c>
      <c r="L36" s="83" t="str">
        <f aca="false">IFERROR(IF(INDEX(원자료_시장!$A$1:$BZ$1000,설정!$L$6+ROW()-1,설정!$L$34)&amp;""="0","",INDEX(원자료_시장!$A$1:$BZ$1000,설정!$L$6+ROW()-1,설정!$L$34)),"")</f>
        <v>정부</v>
      </c>
      <c r="M36" s="83" t="str">
        <f aca="false">IFERROR(IF(INDEX(원자료_시장!$A$1:$BZ$1000,설정!$L$6+ROW()-1,설정!$L$35)&amp;""="0","",INDEX(원자료_시장!$A$1:$BZ$1000,설정!$L$6+ROW()-1,설정!$L$35)),"")</f>
        <v>AA</v>
      </c>
      <c r="N36" s="83" t="str">
        <f aca="false">IFERROR(IF(INDEX(원자료_시장!$A$1:$BZ$1000,설정!$L$6+ROW()-1,설정!$L$36)&amp;""="0","",INDEX(원자료_시장!$A$1:$BZ$1000,설정!$L$6+ROW()-1,설정!$L$36)),"")</f>
        <v>아시아/기타</v>
      </c>
      <c r="O36" s="43" t="str">
        <f aca="false">IF($A36="","",UPPER(LEFT($A36,FIND(" ",$A36&amp;" ")-1)))</f>
        <v>EIBKOR</v>
      </c>
      <c r="P36" s="43" t="str">
        <f aca="false">IF($A36="","",TRIM(RIGHT(SUBSTITUTE(TRIM($A36)," ",REPT(" ",30)),30)))</f>
        <v>01/13/31</v>
      </c>
      <c r="Q36" s="98" t="n">
        <f aca="false">IF($A36="","",IFERROR(DATE(IF(LEN(P36)=8,2000+VALUE(RIGHT(P36,2)),VALUE(RIGHT(P36,4))),VALUE(LEFT(P36,2)),VALUE(MID(P36,4,2))),""))</f>
        <v>47861</v>
      </c>
      <c r="R36" s="89" t="n">
        <f aca="false">IF($A36="",0,IF(ISNUMBER(SEARCH("Float",$A36)),1,0))</f>
        <v>0</v>
      </c>
      <c r="S36" s="43" t="str">
        <f aca="false">IF($A36="","",TRIM(MID($A36,LEN(O36)+2,LEN($A36)-LEN(O36)-LEN(P36)-1)))</f>
        <v>3 7/8</v>
      </c>
      <c r="T36" s="92" t="n">
        <f aca="false">IF(OR($A36="",R36=1),"",IFERROR(IF(ISNUMBER(FIND("/",S36)),IF(ISNUMBER(FIND(" ",S36)),VALUE(LEFT(S36,FIND(" ",S36)-1))+VALUE(MID(S36,FIND(" ",S36)+1,FIND("/",S36)-FIND(" ",S36)-1))/VALUE(MID(S36,FIND("/",S36)+1,9)),VALUE(LEFT(S36,FIND("/",S36)-1))/VALUE(MID(S36,FIND("/",S36)+1,9))),VALUE(S36)),""))</f>
        <v>3.875</v>
      </c>
      <c r="U36" s="43" t="str">
        <f aca="false">IF(OR($A36="",NOT(ISNUMBER(Q36))),"",TEXT(Q36,"yyyymmdd")&amp;"|"&amp;IF(R36=1,"F",TEXT(T36,"0.000")))</f>
        <v>20310113|3.875</v>
      </c>
      <c r="V36" s="43" t="str">
        <f aca="false">IF(U36="","",O36&amp;"|"&amp;U36)</f>
        <v>EIBKOR|20310113|3.875</v>
      </c>
      <c r="W36" s="43" t="str">
        <f aca="false">IF($A36="","",IFERROR(IF(VLOOKUP(O36,매핑!$A$4:$E$92,3,0)="","미분류",VLOOKUP(O36,매핑!$A$4:$E$92,3,0)),"미분류"))</f>
        <v>한국</v>
      </c>
      <c r="X36" s="89" t="n">
        <f aca="false">IF($A36="",0,IF(O36="T",1,0))</f>
        <v>0</v>
      </c>
      <c r="Y36" s="89" t="n">
        <f aca="false">IF($A36="",0,IF(AND(C36="USD",X36=0,ISNUMBER(E36),ISNUMBER(K36)),IF(K36&gt;=설정!$C$8,1,0),0))</f>
        <v>1</v>
      </c>
      <c r="Z36" s="43" t="str">
        <f aca="false">IF($A36="","",N36&amp;"|"&amp;L36)</f>
        <v>아시아/기타|정부</v>
      </c>
      <c r="AA36" s="92" t="n">
        <f aca="false">IF(Y36=1,LN(K36),0)</f>
        <v>1.37168820873053</v>
      </c>
      <c r="AB36" s="93" t="n">
        <f aca="false">IF(Y36=1,E36,0)</f>
        <v>18.153</v>
      </c>
      <c r="AC36" s="89" t="n">
        <f aca="false">IF(Y36=1,COUNTIFS($Z$2:$Z$601,Z36,$Y$2:$Y$601,1),0)</f>
        <v>51</v>
      </c>
      <c r="AD36" s="89" t="n">
        <f aca="false">IF(Y36=1,COUNTIFS($N$2:$N$601,N36,$Y$2:$Y$601,1),0)</f>
        <v>137</v>
      </c>
      <c r="AE36" s="43" t="str">
        <f aca="false">IF(Y36&lt;&gt;1,"",IF(AND(AC36&gt;=설정!$C$7,ISNUMBER(MATCH(Z36,피어커브!$A:$A,0))),Z36,IF(AND(AD36&gt;=설정!$C$7,ISNUMBER(MATCH(N36&amp;"|전체",피어커브!$A:$A,0))),N36&amp;"|전체","전체|전체")))</f>
        <v>아시아/기타|정부</v>
      </c>
      <c r="AF36" s="93" t="n">
        <f aca="false">IF(AE36="","",INDEX(피어커브!$K:$K,MATCH(AE36,피어커브!$A:$A,0)))</f>
        <v>-1.54860147302313</v>
      </c>
      <c r="AG36" s="93" t="n">
        <f aca="false">IF(AE36="","",INDEX(피어커브!$J:$J,MATCH(AE36,피어커브!$A:$A,0)))</f>
        <v>19.8674994409945</v>
      </c>
      <c r="AH36" s="93" t="n">
        <f aca="false">IF(AE36="","",INDEX(피어커브!$L:$L,MATCH(AE36,피어커브!$A:$A,0)))</f>
        <v>13.6930241146778</v>
      </c>
      <c r="AI36" s="93" t="n">
        <f aca="false">IF(AE36="","",AF36+AG36*AA36)</f>
        <v>25.7034132471495</v>
      </c>
      <c r="AJ36" s="96" t="n">
        <f aca="false">IF(AE36="","",E36-AI36)</f>
        <v>-7.55041324714946</v>
      </c>
      <c r="AK36" s="95" t="n">
        <f aca="false">IF(AE36="","",IF(ISNUMBER(AH36),IF(AH36&gt;0,AJ36/AH36,""),""))</f>
        <v>-0.551405824156552</v>
      </c>
      <c r="AL36" s="43" t="str">
        <f aca="false">IF(AK36="","-",IF(AK36&gt;=설정!$C$6,"Cheap",IF(AK36&lt;=-설정!$C$6,"Rich","Fair")))</f>
        <v>Fair</v>
      </c>
      <c r="AM36" s="96" t="n">
        <f aca="false">IF(AE36="","",AJ36-AVERAGEIFS($AJ$2:$AJ$601,$B$2:$B$601,B36,$Y$2:$Y$601,1))</f>
        <v>4.07577581224232</v>
      </c>
      <c r="AN36" s="93" t="n">
        <f aca="false">IF(AE36="",0,IF(K36&gt;1+설정!$C$8,AG36*(AA36-LN(K36-1)),0))</f>
        <v>5.8132022547434</v>
      </c>
      <c r="AO36" s="99" t="n">
        <f aca="false">IF($A36="",0,SUMIFS(보유분석!$AA$2:$AA$801,보유분석!$AB$2:$AB$801,ROW(),보유분석!$AC$2:$AC$801,1))</f>
        <v>0</v>
      </c>
      <c r="AP36" s="43" t="str">
        <f aca="false">IF($A36="","",TRIM(IF(R36=1,"FRN ","")&amp;IF(IFERROR(VLOOKUP(M36,설정!$A$15:$D$47,4,0),0)&gt;=10,IF(IFERROR(VLOOKUP(M36,설정!$A$15:$D$47,4,0),0)&lt;99,"BBB0미만 ",""),"")&amp;IF(OR(M36="",M36="NR"),"등급미입력 ","")&amp;IF(C36&lt;&gt;"USD","비USD ","")))</f>
        <v/>
      </c>
      <c r="AQ36" s="90" t="n">
        <f aca="false">IF(AND(Y36=1,AL36="Cheap"),IF(AND(ISERROR(SEARCH("FRN",AP36)),ISERROR(SEARCH("BBB0미만",AP36))),AK36+ROW()/1000000000,-999),-999)</f>
        <v>-999</v>
      </c>
      <c r="AR36" s="92" t="n">
        <f aca="false">IF(AND(ISNUMBER(D36),ISNUMBER(K36)),D36+AN36*MAX(K36-1,0)/100,"")</f>
        <v>5.43902441033455</v>
      </c>
      <c r="AS36" s="93" t="n">
        <f aca="false">IF(AND(ISNUMBER(E36),ISNUMBER(K36)),IF(K36&gt;0,(E36+AN36*MAX(K36-1,0))/K36,""),"")</f>
        <v>8.94354161173391</v>
      </c>
      <c r="AT36" s="90" t="n">
        <f aca="false">IFERROR(IF(AND(Y36=1,ROW()&lt;&gt;스왑분석!$C$12+1,ABS(K36-INDEX($K$2:$K$601,스왑분석!$C$12))&lt;=스왑분석!$C$5,ISERROR(SEARCH("FRN",AP36)),ISERROR(SEARCH("BBB0미만",AP36))),IF(AND(OR(스왑분석!$C$6="N",L36=INDEX($L$2:$L$601,스왑분석!$C$12)),OR(스왑분석!$C$7="N",N36=INDEX($N$2:$N$601,스왑분석!$C$12)),OR(스왑분석!$C$8="N",AO36=0),E36-INDEX($E$2:$E$601,스왑분석!$C$12)&gt;=스왑분석!$C$9),E36-INDEX($E$2:$E$601,스왑분석!$C$12)+ROW()/1000000000,-999),-999),-999)</f>
        <v>-999</v>
      </c>
      <c r="AU36" s="90" t="n">
        <f aca="false">IF(AND(Y36=1,AO36&gt;0,AL36="Rich"),-AK36+ROW()/1000000000,-999)</f>
        <v>-999</v>
      </c>
    </row>
    <row r="37" customFormat="false" ht="15" hidden="false" customHeight="false" outlineLevel="0" collapsed="false">
      <c r="A37" s="83" t="str">
        <f aca="false">IFERROR(IF(INDEX(원자료_시장!$A$1:$BZ$1000,설정!$L$6+ROW()-1,설정!$L$24)&amp;""="0","",INDEX(원자료_시장!$A$1:$BZ$1000,설정!$L$6+ROW()-1,설정!$L$24)),"")</f>
        <v>EIBKOR 4 3/8 01/13/36</v>
      </c>
      <c r="B37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37" s="83" t="str">
        <f aca="false">IFERROR(IF(INDEX(원자료_시장!$A$1:$BZ$1000,설정!$L$6+ROW()-1,설정!$L$25)&amp;""="0","",INDEX(원자료_시장!$A$1:$BZ$1000,설정!$L$6+ROW()-1,설정!$L$25)),"")</f>
        <v>USD</v>
      </c>
      <c r="D37" s="85" t="n">
        <f aca="false">IFERROR(IF(ISNUMBER(INDEX(원자료_시장!$A$1:$BZ$1000,설정!$L$6+ROW()-1,설정!$L$26)),INDEX(원자료_시장!$A$1:$BZ$1000,설정!$L$6+ROW()-1,설정!$L$26),""),"")</f>
        <v>5.611</v>
      </c>
      <c r="E37" s="97" t="n">
        <f aca="false">IFERROR(IF(ISNUMBER(INDEX(원자료_시장!$A$1:$BZ$1000,설정!$L$6+ROW()-1,설정!$L$27)),INDEX(원자료_시장!$A$1:$BZ$1000,설정!$L$6+ROW()-1,설정!$L$27),""),"")</f>
        <v>32.403</v>
      </c>
      <c r="F37" s="97" t="n">
        <f aca="false">IFERROR(IF(ISNUMBER(INDEX(원자료_시장!$A$1:$BZ$1000,설정!$L$6+ROW()-1,설정!$L$28)),INDEX(원자료_시장!$A$1:$BZ$1000,설정!$L$6+ROW()-1,설정!$L$28),""),"")</f>
        <v>78.738</v>
      </c>
      <c r="G37" s="97" t="n">
        <f aca="false">IFERROR(IF(ISNUMBER(INDEX(원자료_시장!$A$1:$BZ$1000,설정!$L$6+ROW()-1,설정!$L$29)),INDEX(원자료_시장!$A$1:$BZ$1000,설정!$L$6+ROW()-1,설정!$L$29),""),"")</f>
        <v>-0.2</v>
      </c>
      <c r="H37" s="97" t="n">
        <f aca="false">IFERROR(IF(ISNUMBER(INDEX(원자료_시장!$A$1:$BZ$1000,설정!$L$6+ROW()-1,설정!$L$30)),INDEX(원자료_시장!$A$1:$BZ$1000,설정!$L$6+ROW()-1,설정!$L$30),""),"")</f>
        <v>3.4</v>
      </c>
      <c r="I37" s="97" t="n">
        <f aca="false">IFERROR(IF(ISNUMBER(INDEX(원자료_시장!$A$1:$BZ$1000,설정!$L$6+ROW()-1,설정!$L$31)),INDEX(원자료_시장!$A$1:$BZ$1000,설정!$L$6+ROW()-1,설정!$L$31),""),"")</f>
        <v>1</v>
      </c>
      <c r="J37" s="97" t="n">
        <f aca="false">IFERROR(IF(ISNUMBER(INDEX(원자료_시장!$A$1:$BZ$1000,설정!$L$6+ROW()-1,설정!$L$32)),INDEX(원자료_시장!$A$1:$BZ$1000,설정!$L$6+ROW()-1,설정!$L$32),""),"")</f>
        <v>2.9</v>
      </c>
      <c r="K37" s="85" t="n">
        <f aca="false">IFERROR(IF(ISNUMBER(INDEX(원자료_시장!$A$1:$BZ$1000,설정!$L$6+ROW()-1,설정!$L$33)),INDEX(원자료_시장!$A$1:$BZ$1000,설정!$L$6+ROW()-1,설정!$L$33),""),"")</f>
        <v>7.559</v>
      </c>
      <c r="L37" s="83" t="str">
        <f aca="false">IFERROR(IF(INDEX(원자료_시장!$A$1:$BZ$1000,설정!$L$6+ROW()-1,설정!$L$34)&amp;""="0","",INDEX(원자료_시장!$A$1:$BZ$1000,설정!$L$6+ROW()-1,설정!$L$34)),"")</f>
        <v>정부</v>
      </c>
      <c r="M37" s="83" t="str">
        <f aca="false">IFERROR(IF(INDEX(원자료_시장!$A$1:$BZ$1000,설정!$L$6+ROW()-1,설정!$L$35)&amp;""="0","",INDEX(원자료_시장!$A$1:$BZ$1000,설정!$L$6+ROW()-1,설정!$L$35)),"")</f>
        <v>AA</v>
      </c>
      <c r="N37" s="83" t="str">
        <f aca="false">IFERROR(IF(INDEX(원자료_시장!$A$1:$BZ$1000,설정!$L$6+ROW()-1,설정!$L$36)&amp;""="0","",INDEX(원자료_시장!$A$1:$BZ$1000,설정!$L$6+ROW()-1,설정!$L$36)),"")</f>
        <v>아시아/기타</v>
      </c>
      <c r="O37" s="43" t="str">
        <f aca="false">IF($A37="","",UPPER(LEFT($A37,FIND(" ",$A37&amp;" ")-1)))</f>
        <v>EIBKOR</v>
      </c>
      <c r="P37" s="43" t="str">
        <f aca="false">IF($A37="","",TRIM(RIGHT(SUBSTITUTE(TRIM($A37)," ",REPT(" ",30)),30)))</f>
        <v>01/13/36</v>
      </c>
      <c r="Q37" s="98" t="n">
        <f aca="false">IF($A37="","",IFERROR(DATE(IF(LEN(P37)=8,2000+VALUE(RIGHT(P37,2)),VALUE(RIGHT(P37,4))),VALUE(LEFT(P37,2)),VALUE(MID(P37,4,2))),""))</f>
        <v>49687</v>
      </c>
      <c r="R37" s="89" t="n">
        <f aca="false">IF($A37="",0,IF(ISNUMBER(SEARCH("Float",$A37)),1,0))</f>
        <v>0</v>
      </c>
      <c r="S37" s="43" t="str">
        <f aca="false">IF($A37="","",TRIM(MID($A37,LEN(O37)+2,LEN($A37)-LEN(O37)-LEN(P37)-1)))</f>
        <v>4 3/8</v>
      </c>
      <c r="T37" s="92" t="n">
        <f aca="false">IF(OR($A37="",R37=1),"",IFERROR(IF(ISNUMBER(FIND("/",S37)),IF(ISNUMBER(FIND(" ",S37)),VALUE(LEFT(S37,FIND(" ",S37)-1))+VALUE(MID(S37,FIND(" ",S37)+1,FIND("/",S37)-FIND(" ",S37)-1))/VALUE(MID(S37,FIND("/",S37)+1,9)),VALUE(LEFT(S37,FIND("/",S37)-1))/VALUE(MID(S37,FIND("/",S37)+1,9))),VALUE(S37)),""))</f>
        <v>4.375</v>
      </c>
      <c r="U37" s="43" t="str">
        <f aca="false">IF(OR($A37="",NOT(ISNUMBER(Q37))),"",TEXT(Q37,"yyyymmdd")&amp;"|"&amp;IF(R37=1,"F",TEXT(T37,"0.000")))</f>
        <v>20360113|4.375</v>
      </c>
      <c r="V37" s="43" t="str">
        <f aca="false">IF(U37="","",O37&amp;"|"&amp;U37)</f>
        <v>EIBKOR|20360113|4.375</v>
      </c>
      <c r="W37" s="43" t="str">
        <f aca="false">IF($A37="","",IFERROR(IF(VLOOKUP(O37,매핑!$A$4:$E$92,3,0)="","미분류",VLOOKUP(O37,매핑!$A$4:$E$92,3,0)),"미분류"))</f>
        <v>한국</v>
      </c>
      <c r="X37" s="89" t="n">
        <f aca="false">IF($A37="",0,IF(O37="T",1,0))</f>
        <v>0</v>
      </c>
      <c r="Y37" s="89" t="n">
        <f aca="false">IF($A37="",0,IF(AND(C37="USD",X37=0,ISNUMBER(E37),ISNUMBER(K37)),IF(K37&gt;=설정!$C$8,1,0),0))</f>
        <v>1</v>
      </c>
      <c r="Z37" s="43" t="str">
        <f aca="false">IF($A37="","",N37&amp;"|"&amp;L37)</f>
        <v>아시아/기타|정부</v>
      </c>
      <c r="AA37" s="92" t="n">
        <f aca="false">IF(Y37=1,LN(K37),0)</f>
        <v>2.02273890631004</v>
      </c>
      <c r="AB37" s="93" t="n">
        <f aca="false">IF(Y37=1,E37,0)</f>
        <v>32.403</v>
      </c>
      <c r="AC37" s="89" t="n">
        <f aca="false">IF(Y37=1,COUNTIFS($Z$2:$Z$601,Z37,$Y$2:$Y$601,1),0)</f>
        <v>51</v>
      </c>
      <c r="AD37" s="89" t="n">
        <f aca="false">IF(Y37=1,COUNTIFS($N$2:$N$601,N37,$Y$2:$Y$601,1),0)</f>
        <v>137</v>
      </c>
      <c r="AE37" s="43" t="str">
        <f aca="false">IF(Y37&lt;&gt;1,"",IF(AND(AC37&gt;=설정!$C$7,ISNUMBER(MATCH(Z37,피어커브!$A:$A,0))),Z37,IF(AND(AD37&gt;=설정!$C$7,ISNUMBER(MATCH(N37&amp;"|전체",피어커브!$A:$A,0))),N37&amp;"|전체","전체|전체")))</f>
        <v>아시아/기타|정부</v>
      </c>
      <c r="AF37" s="93" t="n">
        <f aca="false">IF(AE37="","",INDEX(피어커브!$K:$K,MATCH(AE37,피어커브!$A:$A,0)))</f>
        <v>-1.54860147302313</v>
      </c>
      <c r="AG37" s="93" t="n">
        <f aca="false">IF(AE37="","",INDEX(피어커브!$J:$J,MATCH(AE37,피어커브!$A:$A,0)))</f>
        <v>19.8674994409945</v>
      </c>
      <c r="AH37" s="93" t="n">
        <f aca="false">IF(AE37="","",INDEX(피어커브!$L:$L,MATCH(AE37,피어커브!$A:$A,0)))</f>
        <v>13.6930241146778</v>
      </c>
      <c r="AI37" s="93" t="n">
        <f aca="false">IF(AE37="","",AF37+AG37*AA37)</f>
        <v>38.6381626173695</v>
      </c>
      <c r="AJ37" s="96" t="n">
        <f aca="false">IF(AE37="","",E37-AI37)</f>
        <v>-6.23516261736951</v>
      </c>
      <c r="AK37" s="95" t="n">
        <f aca="false">IF(AE37="","",IF(ISNUMBER(AH37),IF(AH37&gt;0,AJ37/AH37,""),""))</f>
        <v>-0.455353219650429</v>
      </c>
      <c r="AL37" s="43" t="str">
        <f aca="false">IF(AK37="","-",IF(AK37&gt;=설정!$C$6,"Cheap",IF(AK37&lt;=-설정!$C$6,"Rich","Fair")))</f>
        <v>Fair</v>
      </c>
      <c r="AM37" s="96" t="n">
        <f aca="false">IF(AE37="","",AJ37-AVERAGEIFS($AJ$2:$AJ$601,$B$2:$B$601,B37,$Y$2:$Y$601,1))</f>
        <v>5.39102644202227</v>
      </c>
      <c r="AN37" s="93" t="n">
        <f aca="false">IF(AE37="",0,IF(K37&gt;1+설정!$C$8,AG37*(AA37-LN(K37-1)),0))</f>
        <v>2.81921315074074</v>
      </c>
      <c r="AO37" s="99" t="n">
        <f aca="false">IF($A37="",0,SUMIFS(보유분석!$AA$2:$AA$801,보유분석!$AB$2:$AB$801,ROW(),보유분석!$AC$2:$AC$801,1))</f>
        <v>0</v>
      </c>
      <c r="AP37" s="43" t="str">
        <f aca="false">IF($A37="","",TRIM(IF(R37=1,"FRN ","")&amp;IF(IFERROR(VLOOKUP(M37,설정!$A$15:$D$47,4,0),0)&gt;=10,IF(IFERROR(VLOOKUP(M37,설정!$A$15:$D$47,4,0),0)&lt;99,"BBB0미만 ",""),"")&amp;IF(OR(M37="",M37="NR"),"등급미입력 ","")&amp;IF(C37&lt;&gt;"USD","비USD ","")))</f>
        <v/>
      </c>
      <c r="AQ37" s="90" t="n">
        <f aca="false">IF(AND(Y37=1,AL37="Cheap"),IF(AND(ISERROR(SEARCH("FRN",AP37)),ISERROR(SEARCH("BBB0미만",AP37))),AK37+ROW()/1000000000,-999),-999)</f>
        <v>-999</v>
      </c>
      <c r="AR37" s="92" t="n">
        <f aca="false">IF(AND(ISNUMBER(D37),ISNUMBER(K37)),D37+AN37*MAX(K37-1,0)/100,"")</f>
        <v>5.79591219055709</v>
      </c>
      <c r="AS37" s="93" t="n">
        <f aca="false">IF(AND(ISNUMBER(E37),ISNUMBER(K37)),IF(K37&gt;0,(E37+AN37*MAX(K37-1,0))/K37,""),"")</f>
        <v>6.7329301568605</v>
      </c>
      <c r="AT37" s="90" t="n">
        <f aca="false">IFERROR(IF(AND(Y37=1,ROW()&lt;&gt;스왑분석!$C$12+1,ABS(K37-INDEX($K$2:$K$601,스왑분석!$C$12))&lt;=스왑분석!$C$5,ISERROR(SEARCH("FRN",AP37)),ISERROR(SEARCH("BBB0미만",AP37))),IF(AND(OR(스왑분석!$C$6="N",L37=INDEX($L$2:$L$601,스왑분석!$C$12)),OR(스왑분석!$C$7="N",N37=INDEX($N$2:$N$601,스왑분석!$C$12)),OR(스왑분석!$C$8="N",AO37=0),E37-INDEX($E$2:$E$601,스왑분석!$C$12)&gt;=스왑분석!$C$9),E37-INDEX($E$2:$E$601,스왑분석!$C$12)+ROW()/1000000000,-999),-999),-999)</f>
        <v>-999</v>
      </c>
      <c r="AU37" s="90" t="n">
        <f aca="false">IF(AND(Y37=1,AO37&gt;0,AL37="Rich"),-AK37+ROW()/1000000000,-999)</f>
        <v>-999</v>
      </c>
    </row>
    <row r="38" customFormat="false" ht="15" hidden="false" customHeight="false" outlineLevel="0" collapsed="false">
      <c r="A38" s="83" t="str">
        <f aca="false">IFERROR(IF(INDEX(원자료_시장!$A$1:$BZ$1000,설정!$L$6+ROW()-1,설정!$L$24)&amp;""="0","",INDEX(원자료_시장!$A$1:$BZ$1000,설정!$L$6+ROW()-1,설정!$L$24)),"")</f>
        <v>EIBKOR 4 3/8 07/20/29</v>
      </c>
      <c r="B38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38" s="83" t="str">
        <f aca="false">IFERROR(IF(INDEX(원자료_시장!$A$1:$BZ$1000,설정!$L$6+ROW()-1,설정!$L$25)&amp;""="0","",INDEX(원자료_시장!$A$1:$BZ$1000,설정!$L$6+ROW()-1,설정!$L$25)),"")</f>
        <v>USD</v>
      </c>
      <c r="D38" s="85" t="n">
        <f aca="false">IFERROR(IF(ISNUMBER(INDEX(원자료_시장!$A$1:$BZ$1000,설정!$L$6+ROW()-1,설정!$L$26)),INDEX(원자료_시장!$A$1:$BZ$1000,설정!$L$6+ROW()-1,설정!$L$26),""),"")</f>
        <v>5.029</v>
      </c>
      <c r="E38" s="97" t="n">
        <f aca="false">IFERROR(IF(ISNUMBER(INDEX(원자료_시장!$A$1:$BZ$1000,설정!$L$6+ROW()-1,설정!$L$27)),INDEX(원자료_시장!$A$1:$BZ$1000,설정!$L$6+ROW()-1,설정!$L$27),""),"")</f>
        <v>2.838</v>
      </c>
      <c r="F38" s="97" t="n">
        <f aca="false">IFERROR(IF(ISNUMBER(INDEX(원자료_시장!$A$1:$BZ$1000,설정!$L$6+ROW()-1,설정!$L$28)),INDEX(원자료_시장!$A$1:$BZ$1000,설정!$L$6+ROW()-1,설정!$L$28),""),"")</f>
        <v>30.14</v>
      </c>
      <c r="G38" s="97" t="n">
        <f aca="false">IFERROR(IF(ISNUMBER(INDEX(원자료_시장!$A$1:$BZ$1000,설정!$L$6+ROW()-1,설정!$L$29)),INDEX(원자료_시장!$A$1:$BZ$1000,설정!$L$6+ROW()-1,설정!$L$29),""),"")</f>
        <v>-2.1</v>
      </c>
      <c r="H38" s="97" t="n">
        <f aca="false">IFERROR(IF(ISNUMBER(INDEX(원자료_시장!$A$1:$BZ$1000,설정!$L$6+ROW()-1,설정!$L$30)),INDEX(원자료_시장!$A$1:$BZ$1000,설정!$L$6+ROW()-1,설정!$L$30),""),"")</f>
        <v>14.2</v>
      </c>
      <c r="I38" s="97" t="n">
        <f aca="false">IFERROR(IF(ISNUMBER(INDEX(원자료_시장!$A$1:$BZ$1000,설정!$L$6+ROW()-1,설정!$L$31)),INDEX(원자료_시장!$A$1:$BZ$1000,설정!$L$6+ROW()-1,설정!$L$31),""),"")</f>
        <v>-6</v>
      </c>
      <c r="J38" s="97" t="n">
        <f aca="false">IFERROR(IF(ISNUMBER(INDEX(원자료_시장!$A$1:$BZ$1000,설정!$L$6+ROW()-1,설정!$L$32)),INDEX(원자료_시장!$A$1:$BZ$1000,설정!$L$6+ROW()-1,설정!$L$32),""),"")</f>
        <v>-14.9</v>
      </c>
      <c r="K38" s="85" t="n">
        <f aca="false">IFERROR(IF(ISNUMBER(INDEX(원자료_시장!$A$1:$BZ$1000,설정!$L$6+ROW()-1,설정!$L$33)),INDEX(원자료_시장!$A$1:$BZ$1000,설정!$L$6+ROW()-1,설정!$L$33),""),"")</f>
        <v>2.642</v>
      </c>
      <c r="L38" s="83" t="str">
        <f aca="false">IFERROR(IF(INDEX(원자료_시장!$A$1:$BZ$1000,설정!$L$6+ROW()-1,설정!$L$34)&amp;""="0","",INDEX(원자료_시장!$A$1:$BZ$1000,설정!$L$6+ROW()-1,설정!$L$34)),"")</f>
        <v>정부</v>
      </c>
      <c r="M38" s="83" t="str">
        <f aca="false">IFERROR(IF(INDEX(원자료_시장!$A$1:$BZ$1000,설정!$L$6+ROW()-1,설정!$L$35)&amp;""="0","",INDEX(원자료_시장!$A$1:$BZ$1000,설정!$L$6+ROW()-1,설정!$L$35)),"")</f>
        <v>AA</v>
      </c>
      <c r="N38" s="83" t="str">
        <f aca="false">IFERROR(IF(INDEX(원자료_시장!$A$1:$BZ$1000,설정!$L$6+ROW()-1,설정!$L$36)&amp;""="0","",INDEX(원자료_시장!$A$1:$BZ$1000,설정!$L$6+ROW()-1,설정!$L$36)),"")</f>
        <v>아시아/기타</v>
      </c>
      <c r="O38" s="43" t="str">
        <f aca="false">IF($A38="","",UPPER(LEFT($A38,FIND(" ",$A38&amp;" ")-1)))</f>
        <v>EIBKOR</v>
      </c>
      <c r="P38" s="43" t="str">
        <f aca="false">IF($A38="","",TRIM(RIGHT(SUBSTITUTE(TRIM($A38)," ",REPT(" ",30)),30)))</f>
        <v>07/20/29</v>
      </c>
      <c r="Q38" s="98" t="n">
        <f aca="false">IF($A38="","",IFERROR(DATE(IF(LEN(P38)=8,2000+VALUE(RIGHT(P38,2)),VALUE(RIGHT(P38,4))),VALUE(LEFT(P38,2)),VALUE(MID(P38,4,2))),""))</f>
        <v>47319</v>
      </c>
      <c r="R38" s="89" t="n">
        <f aca="false">IF($A38="",0,IF(ISNUMBER(SEARCH("Float",$A38)),1,0))</f>
        <v>0</v>
      </c>
      <c r="S38" s="43" t="str">
        <f aca="false">IF($A38="","",TRIM(MID($A38,LEN(O38)+2,LEN($A38)-LEN(O38)-LEN(P38)-1)))</f>
        <v>4 3/8</v>
      </c>
      <c r="T38" s="92" t="n">
        <f aca="false">IF(OR($A38="",R38=1),"",IFERROR(IF(ISNUMBER(FIND("/",S38)),IF(ISNUMBER(FIND(" ",S38)),VALUE(LEFT(S38,FIND(" ",S38)-1))+VALUE(MID(S38,FIND(" ",S38)+1,FIND("/",S38)-FIND(" ",S38)-1))/VALUE(MID(S38,FIND("/",S38)+1,9)),VALUE(LEFT(S38,FIND("/",S38)-1))/VALUE(MID(S38,FIND("/",S38)+1,9))),VALUE(S38)),""))</f>
        <v>4.375</v>
      </c>
      <c r="U38" s="43" t="str">
        <f aca="false">IF(OR($A38="",NOT(ISNUMBER(Q38))),"",TEXT(Q38,"yyyymmdd")&amp;"|"&amp;IF(R38=1,"F",TEXT(T38,"0.000")))</f>
        <v>20290720|4.375</v>
      </c>
      <c r="V38" s="43" t="str">
        <f aca="false">IF(U38="","",O38&amp;"|"&amp;U38)</f>
        <v>EIBKOR|20290720|4.375</v>
      </c>
      <c r="W38" s="43" t="str">
        <f aca="false">IF($A38="","",IFERROR(IF(VLOOKUP(O38,매핑!$A$4:$E$92,3,0)="","미분류",VLOOKUP(O38,매핑!$A$4:$E$92,3,0)),"미분류"))</f>
        <v>한국</v>
      </c>
      <c r="X38" s="89" t="n">
        <f aca="false">IF($A38="",0,IF(O38="T",1,0))</f>
        <v>0</v>
      </c>
      <c r="Y38" s="89" t="n">
        <f aca="false">IF($A38="",0,IF(AND(C38="USD",X38=0,ISNUMBER(E38),ISNUMBER(K38)),IF(K38&gt;=설정!$C$8,1,0),0))</f>
        <v>1</v>
      </c>
      <c r="Z38" s="43" t="str">
        <f aca="false">IF($A38="","",N38&amp;"|"&amp;L38)</f>
        <v>아시아/기타|정부</v>
      </c>
      <c r="AA38" s="92" t="n">
        <f aca="false">IF(Y38=1,LN(K38),0)</f>
        <v>0.971536206100134</v>
      </c>
      <c r="AB38" s="93" t="n">
        <f aca="false">IF(Y38=1,E38,0)</f>
        <v>2.838</v>
      </c>
      <c r="AC38" s="89" t="n">
        <f aca="false">IF(Y38=1,COUNTIFS($Z$2:$Z$601,Z38,$Y$2:$Y$601,1),0)</f>
        <v>51</v>
      </c>
      <c r="AD38" s="89" t="n">
        <f aca="false">IF(Y38=1,COUNTIFS($N$2:$N$601,N38,$Y$2:$Y$601,1),0)</f>
        <v>137</v>
      </c>
      <c r="AE38" s="43" t="str">
        <f aca="false">IF(Y38&lt;&gt;1,"",IF(AND(AC38&gt;=설정!$C$7,ISNUMBER(MATCH(Z38,피어커브!$A:$A,0))),Z38,IF(AND(AD38&gt;=설정!$C$7,ISNUMBER(MATCH(N38&amp;"|전체",피어커브!$A:$A,0))),N38&amp;"|전체","전체|전체")))</f>
        <v>아시아/기타|정부</v>
      </c>
      <c r="AF38" s="93" t="n">
        <f aca="false">IF(AE38="","",INDEX(피어커브!$K:$K,MATCH(AE38,피어커브!$A:$A,0)))</f>
        <v>-1.54860147302313</v>
      </c>
      <c r="AG38" s="93" t="n">
        <f aca="false">IF(AE38="","",INDEX(피어커브!$J:$J,MATCH(AE38,피어커브!$A:$A,0)))</f>
        <v>19.8674994409945</v>
      </c>
      <c r="AH38" s="93" t="n">
        <f aca="false">IF(AE38="","",INDEX(피어커브!$L:$L,MATCH(AE38,피어커브!$A:$A,0)))</f>
        <v>13.6930241146778</v>
      </c>
      <c r="AI38" s="93" t="n">
        <f aca="false">IF(AE38="","",AF38+AG38*AA38)</f>
        <v>17.7533935585772</v>
      </c>
      <c r="AJ38" s="96" t="n">
        <f aca="false">IF(AE38="","",E38-AI38)</f>
        <v>-14.9153935585772</v>
      </c>
      <c r="AK38" s="95" t="n">
        <f aca="false">IF(AE38="","",IF(ISNUMBER(AH38),IF(AH38&gt;0,AJ38/AH38,""),""))</f>
        <v>-1.0892695020225</v>
      </c>
      <c r="AL38" s="43" t="str">
        <f aca="false">IF(AK38="","-",IF(AK38&gt;=설정!$C$6,"Cheap",IF(AK38&lt;=-설정!$C$6,"Rich","Fair")))</f>
        <v>Rich</v>
      </c>
      <c r="AM38" s="96" t="n">
        <f aca="false">IF(AE38="","",AJ38-AVERAGEIFS($AJ$2:$AJ$601,$B$2:$B$601,B38,$Y$2:$Y$601,1))</f>
        <v>-3.28920449918546</v>
      </c>
      <c r="AN38" s="93" t="n">
        <f aca="false">IF(AE38="",0,IF(K38&gt;1+설정!$C$8,AG38*(AA38-LN(K38-1)),0))</f>
        <v>9.44940382717634</v>
      </c>
      <c r="AO38" s="99" t="n">
        <f aca="false">IF($A38="",0,SUMIFS(보유분석!$AA$2:$AA$801,보유분석!$AB$2:$AB$801,ROW(),보유분석!$AC$2:$AC$801,1))</f>
        <v>0</v>
      </c>
      <c r="AP38" s="43" t="str">
        <f aca="false">IF($A38="","",TRIM(IF(R38=1,"FRN ","")&amp;IF(IFERROR(VLOOKUP(M38,설정!$A$15:$D$47,4,0),0)&gt;=10,IF(IFERROR(VLOOKUP(M38,설정!$A$15:$D$47,4,0),0)&lt;99,"BBB0미만 ",""),"")&amp;IF(OR(M38="",M38="NR"),"등급미입력 ","")&amp;IF(C38&lt;&gt;"USD","비USD ","")))</f>
        <v/>
      </c>
      <c r="AQ38" s="90" t="n">
        <f aca="false">IF(AND(Y38=1,AL38="Cheap"),IF(AND(ISERROR(SEARCH("FRN",AP38)),ISERROR(SEARCH("BBB0미만",AP38))),AK38+ROW()/1000000000,-999),-999)</f>
        <v>-999</v>
      </c>
      <c r="AR38" s="92" t="n">
        <f aca="false">IF(AND(ISNUMBER(D38),ISNUMBER(K38)),D38+AN38*MAX(K38-1,0)/100,"")</f>
        <v>5.18415921084224</v>
      </c>
      <c r="AS38" s="93" t="n">
        <f aca="false">IF(AND(ISNUMBER(E38),ISNUMBER(K38)),IF(K38&gt;0,(E38+AN38*MAX(K38-1,0))/K38,""),"")</f>
        <v>6.94697997131853</v>
      </c>
      <c r="AT38" s="90" t="n">
        <f aca="false">IFERROR(IF(AND(Y38=1,ROW()&lt;&gt;스왑분석!$C$12+1,ABS(K38-INDEX($K$2:$K$601,스왑분석!$C$12))&lt;=스왑분석!$C$5,ISERROR(SEARCH("FRN",AP38)),ISERROR(SEARCH("BBB0미만",AP38))),IF(AND(OR(스왑분석!$C$6="N",L38=INDEX($L$2:$L$601,스왑분석!$C$12)),OR(스왑분석!$C$7="N",N38=INDEX($N$2:$N$601,스왑분석!$C$12)),OR(스왑분석!$C$8="N",AO38=0),E38-INDEX($E$2:$E$601,스왑분석!$C$12)&gt;=스왑분석!$C$9),E38-INDEX($E$2:$E$601,스왑분석!$C$12)+ROW()/1000000000,-999),-999),-999)</f>
        <v>-999</v>
      </c>
      <c r="AU38" s="90" t="n">
        <f aca="false">IF(AND(Y38=1,AO38&gt;0,AL38="Rich"),-AK38+ROW()/1000000000,-999)</f>
        <v>-999</v>
      </c>
    </row>
    <row r="39" customFormat="false" ht="15" hidden="false" customHeight="false" outlineLevel="0" collapsed="false">
      <c r="A39" s="83" t="str">
        <f aca="false">IFERROR(IF(INDEX(원자료_시장!$A$1:$BZ$1000,설정!$L$6+ROW()-1,설정!$L$24)&amp;""="0","",INDEX(원자료_시장!$A$1:$BZ$1000,설정!$L$6+ROW()-1,설정!$L$24)),"")</f>
        <v>EIBKOR 4 1/2 07/20/31</v>
      </c>
      <c r="B39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39" s="83" t="str">
        <f aca="false">IFERROR(IF(INDEX(원자료_시장!$A$1:$BZ$1000,설정!$L$6+ROW()-1,설정!$L$25)&amp;""="0","",INDEX(원자료_시장!$A$1:$BZ$1000,설정!$L$6+ROW()-1,설정!$L$25)),"")</f>
        <v>USD</v>
      </c>
      <c r="D39" s="85" t="n">
        <f aca="false">IFERROR(IF(ISNUMBER(INDEX(원자료_시장!$A$1:$BZ$1000,설정!$L$6+ROW()-1,설정!$L$26)),INDEX(원자료_시장!$A$1:$BZ$1000,설정!$L$6+ROW()-1,설정!$L$26),""),"")</f>
        <v>5.238</v>
      </c>
      <c r="E39" s="97" t="n">
        <f aca="false">IFERROR(IF(ISNUMBER(INDEX(원자료_시장!$A$1:$BZ$1000,설정!$L$6+ROW()-1,설정!$L$27)),INDEX(원자료_시장!$A$1:$BZ$1000,설정!$L$6+ROW()-1,설정!$L$27),""),"")</f>
        <v>15.142</v>
      </c>
      <c r="F39" s="97" t="n">
        <f aca="false">IFERROR(IF(ISNUMBER(INDEX(원자료_시장!$A$1:$BZ$1000,설정!$L$6+ROW()-1,설정!$L$28)),INDEX(원자료_시장!$A$1:$BZ$1000,설정!$L$6+ROW()-1,설정!$L$28),""),"")</f>
        <v>48.563</v>
      </c>
      <c r="G39" s="97" t="n">
        <f aca="false">IFERROR(IF(ISNUMBER(INDEX(원자료_시장!$A$1:$BZ$1000,설정!$L$6+ROW()-1,설정!$L$29)),INDEX(원자료_시장!$A$1:$BZ$1000,설정!$L$6+ROW()-1,설정!$L$29),""),"")</f>
        <v>-1.8</v>
      </c>
      <c r="H39" s="97" t="n">
        <f aca="false">IFERROR(IF(ISNUMBER(INDEX(원자료_시장!$A$1:$BZ$1000,설정!$L$6+ROW()-1,설정!$L$30)),INDEX(원자료_시장!$A$1:$BZ$1000,설정!$L$6+ROW()-1,설정!$L$30),""),"")</f>
        <v>9.5</v>
      </c>
      <c r="I39" s="97" t="n">
        <f aca="false">IFERROR(IF(ISNUMBER(INDEX(원자료_시장!$A$1:$BZ$1000,설정!$L$6+ROW()-1,설정!$L$31)),INDEX(원자료_시장!$A$1:$BZ$1000,설정!$L$6+ROW()-1,설정!$L$31),""),"")</f>
        <v>-2.4</v>
      </c>
      <c r="J39" s="97" t="n">
        <f aca="false">IFERROR(IF(ISNUMBER(INDEX(원자료_시장!$A$1:$BZ$1000,설정!$L$6+ROW()-1,설정!$L$32)),INDEX(원자료_시장!$A$1:$BZ$1000,설정!$L$6+ROW()-1,설정!$L$32),""),"")</f>
        <v>-6.1</v>
      </c>
      <c r="K39" s="85" t="n">
        <f aca="false">IFERROR(IF(ISNUMBER(INDEX(원자료_시장!$A$1:$BZ$1000,설정!$L$6+ROW()-1,설정!$L$33)),INDEX(원자료_시장!$A$1:$BZ$1000,설정!$L$6+ROW()-1,설정!$L$33),""),"")</f>
        <v>4.323</v>
      </c>
      <c r="L39" s="83" t="str">
        <f aca="false">IFERROR(IF(INDEX(원자료_시장!$A$1:$BZ$1000,설정!$L$6+ROW()-1,설정!$L$34)&amp;""="0","",INDEX(원자료_시장!$A$1:$BZ$1000,설정!$L$6+ROW()-1,설정!$L$34)),"")</f>
        <v>정부</v>
      </c>
      <c r="M39" s="83" t="str">
        <f aca="false">IFERROR(IF(INDEX(원자료_시장!$A$1:$BZ$1000,설정!$L$6+ROW()-1,설정!$L$35)&amp;""="0","",INDEX(원자료_시장!$A$1:$BZ$1000,설정!$L$6+ROW()-1,설정!$L$35)),"")</f>
        <v>AA</v>
      </c>
      <c r="N39" s="83" t="str">
        <f aca="false">IFERROR(IF(INDEX(원자료_시장!$A$1:$BZ$1000,설정!$L$6+ROW()-1,설정!$L$36)&amp;""="0","",INDEX(원자료_시장!$A$1:$BZ$1000,설정!$L$6+ROW()-1,설정!$L$36)),"")</f>
        <v>아시아/기타</v>
      </c>
      <c r="O39" s="43" t="str">
        <f aca="false">IF($A39="","",UPPER(LEFT($A39,FIND(" ",$A39&amp;" ")-1)))</f>
        <v>EIBKOR</v>
      </c>
      <c r="P39" s="43" t="str">
        <f aca="false">IF($A39="","",TRIM(RIGHT(SUBSTITUTE(TRIM($A39)," ",REPT(" ",30)),30)))</f>
        <v>07/20/31</v>
      </c>
      <c r="Q39" s="98" t="n">
        <f aca="false">IF($A39="","",IFERROR(DATE(IF(LEN(P39)=8,2000+VALUE(RIGHT(P39,2)),VALUE(RIGHT(P39,4))),VALUE(LEFT(P39,2)),VALUE(MID(P39,4,2))),""))</f>
        <v>48049</v>
      </c>
      <c r="R39" s="89" t="n">
        <f aca="false">IF($A39="",0,IF(ISNUMBER(SEARCH("Float",$A39)),1,0))</f>
        <v>0</v>
      </c>
      <c r="S39" s="43" t="str">
        <f aca="false">IF($A39="","",TRIM(MID($A39,LEN(O39)+2,LEN($A39)-LEN(O39)-LEN(P39)-1)))</f>
        <v>4 1/2</v>
      </c>
      <c r="T39" s="92" t="n">
        <f aca="false">IF(OR($A39="",R39=1),"",IFERROR(IF(ISNUMBER(FIND("/",S39)),IF(ISNUMBER(FIND(" ",S39)),VALUE(LEFT(S39,FIND(" ",S39)-1))+VALUE(MID(S39,FIND(" ",S39)+1,FIND("/",S39)-FIND(" ",S39)-1))/VALUE(MID(S39,FIND("/",S39)+1,9)),VALUE(LEFT(S39,FIND("/",S39)-1))/VALUE(MID(S39,FIND("/",S39)+1,9))),VALUE(S39)),""))</f>
        <v>4.5</v>
      </c>
      <c r="U39" s="43" t="str">
        <f aca="false">IF(OR($A39="",NOT(ISNUMBER(Q39))),"",TEXT(Q39,"yyyymmdd")&amp;"|"&amp;IF(R39=1,"F",TEXT(T39,"0.000")))</f>
        <v>20310720|4.500</v>
      </c>
      <c r="V39" s="43" t="str">
        <f aca="false">IF(U39="","",O39&amp;"|"&amp;U39)</f>
        <v>EIBKOR|20310720|4.500</v>
      </c>
      <c r="W39" s="43" t="str">
        <f aca="false">IF($A39="","",IFERROR(IF(VLOOKUP(O39,매핑!$A$4:$E$92,3,0)="","미분류",VLOOKUP(O39,매핑!$A$4:$E$92,3,0)),"미분류"))</f>
        <v>한국</v>
      </c>
      <c r="X39" s="89" t="n">
        <f aca="false">IF($A39="",0,IF(O39="T",1,0))</f>
        <v>0</v>
      </c>
      <c r="Y39" s="89" t="n">
        <f aca="false">IF($A39="",0,IF(AND(C39="USD",X39=0,ISNUMBER(E39),ISNUMBER(K39)),IF(K39&gt;=설정!$C$8,1,0),0))</f>
        <v>1</v>
      </c>
      <c r="Z39" s="43" t="str">
        <f aca="false">IF($A39="","",N39&amp;"|"&amp;L39)</f>
        <v>아시아/기타|정부</v>
      </c>
      <c r="AA39" s="92" t="n">
        <f aca="false">IF(Y39=1,LN(K39),0)</f>
        <v>1.46394960568549</v>
      </c>
      <c r="AB39" s="93" t="n">
        <f aca="false">IF(Y39=1,E39,0)</f>
        <v>15.142</v>
      </c>
      <c r="AC39" s="89" t="n">
        <f aca="false">IF(Y39=1,COUNTIFS($Z$2:$Z$601,Z39,$Y$2:$Y$601,1),0)</f>
        <v>51</v>
      </c>
      <c r="AD39" s="89" t="n">
        <f aca="false">IF(Y39=1,COUNTIFS($N$2:$N$601,N39,$Y$2:$Y$601,1),0)</f>
        <v>137</v>
      </c>
      <c r="AE39" s="43" t="str">
        <f aca="false">IF(Y39&lt;&gt;1,"",IF(AND(AC39&gt;=설정!$C$7,ISNUMBER(MATCH(Z39,피어커브!$A:$A,0))),Z39,IF(AND(AD39&gt;=설정!$C$7,ISNUMBER(MATCH(N39&amp;"|전체",피어커브!$A:$A,0))),N39&amp;"|전체","전체|전체")))</f>
        <v>아시아/기타|정부</v>
      </c>
      <c r="AF39" s="93" t="n">
        <f aca="false">IF(AE39="","",INDEX(피어커브!$K:$K,MATCH(AE39,피어커브!$A:$A,0)))</f>
        <v>-1.54860147302313</v>
      </c>
      <c r="AG39" s="93" t="n">
        <f aca="false">IF(AE39="","",INDEX(피어커브!$J:$J,MATCH(AE39,피어커브!$A:$A,0)))</f>
        <v>19.8674994409945</v>
      </c>
      <c r="AH39" s="93" t="n">
        <f aca="false">IF(AE39="","",INDEX(피어커브!$L:$L,MATCH(AE39,피어커브!$A:$A,0)))</f>
        <v>13.6930241146778</v>
      </c>
      <c r="AI39" s="93" t="n">
        <f aca="false">IF(AE39="","",AF39+AG39*AA39)</f>
        <v>27.5364164995776</v>
      </c>
      <c r="AJ39" s="96" t="n">
        <f aca="false">IF(AE39="","",E39-AI39)</f>
        <v>-12.3944164995776</v>
      </c>
      <c r="AK39" s="95" t="n">
        <f aca="false">IF(AE39="","",IF(ISNUMBER(AH39),IF(AH39&gt;0,AJ39/AH39,""),""))</f>
        <v>-0.905162832970681</v>
      </c>
      <c r="AL39" s="43" t="str">
        <f aca="false">IF(AK39="","-",IF(AK39&gt;=설정!$C$6,"Cheap",IF(AK39&lt;=-설정!$C$6,"Rich","Fair")))</f>
        <v>Fair</v>
      </c>
      <c r="AM39" s="96" t="n">
        <f aca="false">IF(AE39="","",AJ39-AVERAGEIFS($AJ$2:$AJ$601,$B$2:$B$601,B39,$Y$2:$Y$601,1))</f>
        <v>-0.768227440185846</v>
      </c>
      <c r="AN39" s="93" t="n">
        <f aca="false">IF(AE39="",0,IF(K39&gt;1+설정!$C$8,AG39*(AA39-LN(K39-1)),0))</f>
        <v>5.22677386503521</v>
      </c>
      <c r="AO39" s="99" t="n">
        <f aca="false">IF($A39="",0,SUMIFS(보유분석!$AA$2:$AA$801,보유분석!$AB$2:$AB$801,ROW(),보유분석!$AC$2:$AC$801,1))</f>
        <v>0</v>
      </c>
      <c r="AP39" s="43" t="str">
        <f aca="false">IF($A39="","",TRIM(IF(R39=1,"FRN ","")&amp;IF(IFERROR(VLOOKUP(M39,설정!$A$15:$D$47,4,0),0)&gt;=10,IF(IFERROR(VLOOKUP(M39,설정!$A$15:$D$47,4,0),0)&lt;99,"BBB0미만 ",""),"")&amp;IF(OR(M39="",M39="NR"),"등급미입력 ","")&amp;IF(C39&lt;&gt;"USD","비USD ","")))</f>
        <v/>
      </c>
      <c r="AQ39" s="90" t="n">
        <f aca="false">IF(AND(Y39=1,AL39="Cheap"),IF(AND(ISERROR(SEARCH("FRN",AP39)),ISERROR(SEARCH("BBB0미만",AP39))),AK39+ROW()/1000000000,-999),-999)</f>
        <v>-999</v>
      </c>
      <c r="AR39" s="92" t="n">
        <f aca="false">IF(AND(ISNUMBER(D39),ISNUMBER(K39)),D39+AN39*MAX(K39-1,0)/100,"")</f>
        <v>5.41168569553512</v>
      </c>
      <c r="AS39" s="93" t="n">
        <f aca="false">IF(AND(ISNUMBER(E39),ISNUMBER(K39)),IF(K39&gt;0,(E39+AN39*MAX(K39-1,0))/K39,""),"")</f>
        <v>7.52037232327366</v>
      </c>
      <c r="AT39" s="90" t="n">
        <f aca="false">IFERROR(IF(AND(Y39=1,ROW()&lt;&gt;스왑분석!$C$12+1,ABS(K39-INDEX($K$2:$K$601,스왑분석!$C$12))&lt;=스왑분석!$C$5,ISERROR(SEARCH("FRN",AP39)),ISERROR(SEARCH("BBB0미만",AP39))),IF(AND(OR(스왑분석!$C$6="N",L39=INDEX($L$2:$L$601,스왑분석!$C$12)),OR(스왑분석!$C$7="N",N39=INDEX($N$2:$N$601,스왑분석!$C$12)),OR(스왑분석!$C$8="N",AO39=0),E39-INDEX($E$2:$E$601,스왑분석!$C$12)&gt;=스왑분석!$C$9),E39-INDEX($E$2:$E$601,스왑분석!$C$12)+ROW()/1000000000,-999),-999),-999)</f>
        <v>-999</v>
      </c>
      <c r="AU39" s="90" t="n">
        <f aca="false">IF(AND(Y39=1,AO39&gt;0,AL39="Rich"),-AK39+ROW()/1000000000,-999)</f>
        <v>-999</v>
      </c>
    </row>
    <row r="40" customFormat="false" ht="15" hidden="false" customHeight="false" outlineLevel="0" collapsed="false">
      <c r="A40" s="83" t="str">
        <f aca="false">IFERROR(IF(INDEX(원자료_시장!$A$1:$BZ$1000,설정!$L$6+ROW()-1,설정!$L$24)&amp;""="0","",INDEX(원자료_시장!$A$1:$BZ$1000,설정!$L$6+ROW()-1,설정!$L$24)),"")</f>
        <v>GS 4.692 10/23/30</v>
      </c>
      <c r="B40" s="83" t="str">
        <f aca="false">IFERROR(IF(INDEX(원자료_시장!$A$1:$BZ$1000,설정!$L$6+ROW()-1,설정!$L$37)&amp;""="0","",INDEX(원자료_시장!$A$1:$BZ$1000,설정!$L$6+ROW()-1,설정!$L$37)),"")</f>
        <v>GOLDMAN SACHS GROUP INC</v>
      </c>
      <c r="C40" s="83" t="str">
        <f aca="false">IFERROR(IF(INDEX(원자료_시장!$A$1:$BZ$1000,설정!$L$6+ROW()-1,설정!$L$25)&amp;""="0","",INDEX(원자료_시장!$A$1:$BZ$1000,설정!$L$6+ROW()-1,설정!$L$25)),"")</f>
        <v>USD</v>
      </c>
      <c r="D40" s="85" t="n">
        <f aca="false">IFERROR(IF(ISNUMBER(INDEX(원자료_시장!$A$1:$BZ$1000,설정!$L$6+ROW()-1,설정!$L$26)),INDEX(원자료_시장!$A$1:$BZ$1000,설정!$L$6+ROW()-1,설정!$L$26),""),"")</f>
        <v>5.63</v>
      </c>
      <c r="E40" s="97" t="n">
        <f aca="false">IFERROR(IF(ISNUMBER(INDEX(원자료_시장!$A$1:$BZ$1000,설정!$L$6+ROW()-1,설정!$L$27)),INDEX(원자료_시장!$A$1:$BZ$1000,설정!$L$6+ROW()-1,설정!$L$27),""),"")</f>
        <v>80.467</v>
      </c>
      <c r="F40" s="97" t="n">
        <f aca="false">IFERROR(IF(ISNUMBER(INDEX(원자료_시장!$A$1:$BZ$1000,설정!$L$6+ROW()-1,설정!$L$28)),INDEX(원자료_시장!$A$1:$BZ$1000,설정!$L$6+ROW()-1,설정!$L$28),""),"")</f>
        <v>106.819</v>
      </c>
      <c r="G40" s="97" t="n">
        <f aca="false">IFERROR(IF(ISNUMBER(INDEX(원자료_시장!$A$1:$BZ$1000,설정!$L$6+ROW()-1,설정!$L$29)),INDEX(원자료_시장!$A$1:$BZ$1000,설정!$L$6+ROW()-1,설정!$L$29),""),"")</f>
        <v>-3.3</v>
      </c>
      <c r="H40" s="97" t="n">
        <f aca="false">IFERROR(IF(ISNUMBER(INDEX(원자료_시장!$A$1:$BZ$1000,설정!$L$6+ROW()-1,설정!$L$30)),INDEX(원자료_시장!$A$1:$BZ$1000,설정!$L$6+ROW()-1,설정!$L$30),""),"")</f>
        <v>7</v>
      </c>
      <c r="I40" s="97" t="n">
        <f aca="false">IFERROR(IF(ISNUMBER(INDEX(원자료_시장!$A$1:$BZ$1000,설정!$L$6+ROW()-1,설정!$L$31)),INDEX(원자료_시장!$A$1:$BZ$1000,설정!$L$6+ROW()-1,설정!$L$31),""),"")</f>
        <v>1.1</v>
      </c>
      <c r="J40" s="97" t="n">
        <f aca="false">IFERROR(IF(ISNUMBER(INDEX(원자료_시장!$A$1:$BZ$1000,설정!$L$6+ROW()-1,설정!$L$32)),INDEX(원자료_시장!$A$1:$BZ$1000,설정!$L$6+ROW()-1,설정!$L$32),""),"")</f>
        <v>-3</v>
      </c>
      <c r="K40" s="85" t="n">
        <f aca="false">IFERROR(IF(ISNUMBER(INDEX(원자료_시장!$A$1:$BZ$1000,설정!$L$6+ROW()-1,설정!$L$33)),INDEX(원자료_시장!$A$1:$BZ$1000,설정!$L$6+ROW()-1,설정!$L$33),""),"")</f>
        <v>2.822</v>
      </c>
      <c r="L40" s="83" t="str">
        <f aca="false">IFERROR(IF(INDEX(원자료_시장!$A$1:$BZ$1000,설정!$L$6+ROW()-1,설정!$L$34)&amp;""="0","",INDEX(원자료_시장!$A$1:$BZ$1000,설정!$L$6+ROW()-1,설정!$L$34)),"")</f>
        <v>금융기관</v>
      </c>
      <c r="M40" s="83" t="str">
        <f aca="false">IFERROR(IF(INDEX(원자료_시장!$A$1:$BZ$1000,설정!$L$6+ROW()-1,설정!$L$35)&amp;""="0","",INDEX(원자료_시장!$A$1:$BZ$1000,설정!$L$6+ROW()-1,설정!$L$35)),"")</f>
        <v>BBB+</v>
      </c>
      <c r="N40" s="83" t="str">
        <f aca="false">IFERROR(IF(INDEX(원자료_시장!$A$1:$BZ$1000,설정!$L$6+ROW()-1,설정!$L$36)&amp;""="0","",INDEX(원자료_시장!$A$1:$BZ$1000,설정!$L$6+ROW()-1,설정!$L$36)),"")</f>
        <v>미국</v>
      </c>
      <c r="O40" s="43" t="str">
        <f aca="false">IF($A40="","",UPPER(LEFT($A40,FIND(" ",$A40&amp;" ")-1)))</f>
        <v>GS</v>
      </c>
      <c r="P40" s="43" t="str">
        <f aca="false">IF($A40="","",TRIM(RIGHT(SUBSTITUTE(TRIM($A40)," ",REPT(" ",30)),30)))</f>
        <v>10/23/30</v>
      </c>
      <c r="Q40" s="98" t="n">
        <f aca="false">IF($A40="","",IFERROR(DATE(IF(LEN(P40)=8,2000+VALUE(RIGHT(P40,2)),VALUE(RIGHT(P40,4))),VALUE(LEFT(P40,2)),VALUE(MID(P40,4,2))),""))</f>
        <v>47779</v>
      </c>
      <c r="R40" s="89" t="n">
        <f aca="false">IF($A40="",0,IF(ISNUMBER(SEARCH("Float",$A40)),1,0))</f>
        <v>0</v>
      </c>
      <c r="S40" s="43" t="str">
        <f aca="false">IF($A40="","",TRIM(MID($A40,LEN(O40)+2,LEN($A40)-LEN(O40)-LEN(P40)-1)))</f>
        <v>4.692</v>
      </c>
      <c r="T40" s="92" t="n">
        <f aca="false">IF(OR($A40="",R40=1),"",IFERROR(IF(ISNUMBER(FIND("/",S40)),IF(ISNUMBER(FIND(" ",S40)),VALUE(LEFT(S40,FIND(" ",S40)-1))+VALUE(MID(S40,FIND(" ",S40)+1,FIND("/",S40)-FIND(" ",S40)-1))/VALUE(MID(S40,FIND("/",S40)+1,9)),VALUE(LEFT(S40,FIND("/",S40)-1))/VALUE(MID(S40,FIND("/",S40)+1,9))),VALUE(S40)),""))</f>
        <v>4.692</v>
      </c>
      <c r="U40" s="43" t="str">
        <f aca="false">IF(OR($A40="",NOT(ISNUMBER(Q40))),"",TEXT(Q40,"yyyymmdd")&amp;"|"&amp;IF(R40=1,"F",TEXT(T40,"0.000")))</f>
        <v>20301023|4.692</v>
      </c>
      <c r="V40" s="43" t="str">
        <f aca="false">IF(U40="","",O40&amp;"|"&amp;U40)</f>
        <v>GS|20301023|4.692</v>
      </c>
      <c r="W40" s="43" t="str">
        <f aca="false">IF($A40="","",IFERROR(IF(VLOOKUP(O40,매핑!$A$4:$E$92,3,0)="","미분류",VLOOKUP(O40,매핑!$A$4:$E$92,3,0)),"미분류"))</f>
        <v>미국</v>
      </c>
      <c r="X40" s="89" t="n">
        <f aca="false">IF($A40="",0,IF(O40="T",1,0))</f>
        <v>0</v>
      </c>
      <c r="Y40" s="89" t="n">
        <f aca="false">IF($A40="",0,IF(AND(C40="USD",X40=0,ISNUMBER(E40),ISNUMBER(K40)),IF(K40&gt;=설정!$C$8,1,0),0))</f>
        <v>1</v>
      </c>
      <c r="Z40" s="43" t="str">
        <f aca="false">IF($A40="","",N40&amp;"|"&amp;L40)</f>
        <v>미국|금융기관</v>
      </c>
      <c r="AA40" s="92" t="n">
        <f aca="false">IF(Y40=1,LN(K40),0)</f>
        <v>1.03744585343062</v>
      </c>
      <c r="AB40" s="93" t="n">
        <f aca="false">IF(Y40=1,E40,0)</f>
        <v>80.467</v>
      </c>
      <c r="AC40" s="89" t="n">
        <f aca="false">IF(Y40=1,COUNTIFS($Z$2:$Z$601,Z40,$Y$2:$Y$601,1),0)</f>
        <v>28</v>
      </c>
      <c r="AD40" s="89" t="n">
        <f aca="false">IF(Y40=1,COUNTIFS($N$2:$N$601,N40,$Y$2:$Y$601,1),0)</f>
        <v>49</v>
      </c>
      <c r="AE40" s="43" t="str">
        <f aca="false">IF(Y40&lt;&gt;1,"",IF(AND(AC40&gt;=설정!$C$7,ISNUMBER(MATCH(Z40,피어커브!$A:$A,0))),Z40,IF(AND(AD40&gt;=설정!$C$7,ISNUMBER(MATCH(N40&amp;"|전체",피어커브!$A:$A,0))),N40&amp;"|전체","전체|전체")))</f>
        <v>미국|금융기관</v>
      </c>
      <c r="AF40" s="93" t="n">
        <f aca="false">IF(AE40="","",INDEX(피어커브!$K:$K,MATCH(AE40,피어커브!$A:$A,0)))</f>
        <v>47.5387798885896</v>
      </c>
      <c r="AG40" s="93" t="n">
        <f aca="false">IF(AE40="","",INDEX(피어커브!$J:$J,MATCH(AE40,피어커브!$A:$A,0)))</f>
        <v>20.73676364145</v>
      </c>
      <c r="AH40" s="93" t="n">
        <f aca="false">IF(AE40="","",INDEX(피어커브!$L:$L,MATCH(AE40,피어커브!$A:$A,0)))</f>
        <v>13.6771810277023</v>
      </c>
      <c r="AI40" s="93" t="n">
        <f aca="false">IF(AE40="","",AF40+AG40*AA40)</f>
        <v>69.0520493419828</v>
      </c>
      <c r="AJ40" s="96" t="n">
        <f aca="false">IF(AE40="","",E40-AI40)</f>
        <v>11.4149506580172</v>
      </c>
      <c r="AK40" s="95" t="n">
        <f aca="false">IF(AE40="","",IF(ISNUMBER(AH40),IF(AH40&gt;0,AJ40/AH40,""),""))</f>
        <v>0.834598199358252</v>
      </c>
      <c r="AL40" s="43" t="str">
        <f aca="false">IF(AK40="","-",IF(AK40&gt;=설정!$C$6,"Cheap",IF(AK40&lt;=-설정!$C$6,"Rich","Fair")))</f>
        <v>Fair</v>
      </c>
      <c r="AM40" s="96" t="n">
        <f aca="false">IF(AE40="","",AJ40-AVERAGEIFS($AJ$2:$AJ$601,$B$2:$B$601,B40,$Y$2:$Y$601,1))</f>
        <v>0.491052874799857</v>
      </c>
      <c r="AN40" s="93" t="n">
        <f aca="false">IF(AE40="",0,IF(K40&gt;1+설정!$C$8,AG40*(AA40-LN(K40-1)),0))</f>
        <v>9.07256332961359</v>
      </c>
      <c r="AO40" s="99" t="n">
        <f aca="false">IF($A40="",0,SUMIFS(보유분석!$AA$2:$AA$801,보유분석!$AB$2:$AB$801,ROW(),보유분석!$AC$2:$AC$801,1))</f>
        <v>0</v>
      </c>
      <c r="AP40" s="43" t="str">
        <f aca="false">IF($A40="","",TRIM(IF(R40=1,"FRN ","")&amp;IF(IFERROR(VLOOKUP(M40,설정!$A$15:$D$47,4,0),0)&gt;=10,IF(IFERROR(VLOOKUP(M40,설정!$A$15:$D$47,4,0),0)&lt;99,"BBB0미만 ",""),"")&amp;IF(OR(M40="",M40="NR"),"등급미입력 ","")&amp;IF(C40&lt;&gt;"USD","비USD ","")))</f>
        <v/>
      </c>
      <c r="AQ40" s="90" t="n">
        <f aca="false">IF(AND(Y40=1,AL40="Cheap"),IF(AND(ISERROR(SEARCH("FRN",AP40)),ISERROR(SEARCH("BBB0미만",AP40))),AK40+ROW()/1000000000,-999),-999)</f>
        <v>-999</v>
      </c>
      <c r="AR40" s="92" t="n">
        <f aca="false">IF(AND(ISNUMBER(D40),ISNUMBER(K40)),D40+AN40*MAX(K40-1,0)/100,"")</f>
        <v>5.79530210386556</v>
      </c>
      <c r="AS40" s="93" t="n">
        <f aca="false">IF(AND(ISNUMBER(E40),ISNUMBER(K40)),IF(K40&gt;0,(E40+AN40*MAX(K40-1,0))/K40,""),"")</f>
        <v>34.3717967351368</v>
      </c>
      <c r="AT40" s="90" t="n">
        <f aca="false">IFERROR(IF(AND(Y40=1,ROW()&lt;&gt;스왑분석!$C$12+1,ABS(K40-INDEX($K$2:$K$601,스왑분석!$C$12))&lt;=스왑분석!$C$5,ISERROR(SEARCH("FRN",AP40)),ISERROR(SEARCH("BBB0미만",AP40))),IF(AND(OR(스왑분석!$C$6="N",L40=INDEX($L$2:$L$601,스왑분석!$C$12)),OR(스왑분석!$C$7="N",N40=INDEX($N$2:$N$601,스왑분석!$C$12)),OR(스왑분석!$C$8="N",AO40=0),E40-INDEX($E$2:$E$601,스왑분석!$C$12)&gt;=스왑분석!$C$9),E40-INDEX($E$2:$E$601,스왑분석!$C$12)+ROW()/1000000000,-999),-999),-999)</f>
        <v>31.97500004</v>
      </c>
      <c r="AU40" s="90" t="n">
        <f aca="false">IF(AND(Y40=1,AO40&gt;0,AL40="Rich"),-AK40+ROW()/1000000000,-999)</f>
        <v>-999</v>
      </c>
    </row>
    <row r="41" customFormat="false" ht="15" hidden="false" customHeight="false" outlineLevel="0" collapsed="false">
      <c r="A41" s="83" t="str">
        <f aca="false">IFERROR(IF(INDEX(원자료_시장!$A$1:$BZ$1000,설정!$L$6+ROW()-1,설정!$L$24)&amp;""="0","",INDEX(원자료_시장!$A$1:$BZ$1000,설정!$L$6+ROW()-1,설정!$L$24)),"")</f>
        <v>GS 5.207 01/28/31</v>
      </c>
      <c r="B41" s="83" t="str">
        <f aca="false">IFERROR(IF(INDEX(원자료_시장!$A$1:$BZ$1000,설정!$L$6+ROW()-1,설정!$L$37)&amp;""="0","",INDEX(원자료_시장!$A$1:$BZ$1000,설정!$L$6+ROW()-1,설정!$L$37)),"")</f>
        <v>GOLDMAN SACHS GROUP INC</v>
      </c>
      <c r="C41" s="83" t="str">
        <f aca="false">IFERROR(IF(INDEX(원자료_시장!$A$1:$BZ$1000,설정!$L$6+ROW()-1,설정!$L$25)&amp;""="0","",INDEX(원자료_시장!$A$1:$BZ$1000,설정!$L$6+ROW()-1,설정!$L$25)),"")</f>
        <v>USD</v>
      </c>
      <c r="D41" s="85" t="n">
        <f aca="false">IFERROR(IF(ISNUMBER(INDEX(원자료_시장!$A$1:$BZ$1000,설정!$L$6+ROW()-1,설정!$L$26)),INDEX(원자료_시장!$A$1:$BZ$1000,설정!$L$6+ROW()-1,설정!$L$26),""),"")</f>
        <v>5.697</v>
      </c>
      <c r="E41" s="97" t="n">
        <f aca="false">IFERROR(IF(ISNUMBER(INDEX(원자료_시장!$A$1:$BZ$1000,설정!$L$6+ROW()-1,설정!$L$27)),INDEX(원자료_시장!$A$1:$BZ$1000,설정!$L$6+ROW()-1,설정!$L$27),""),"")</f>
        <v>80.286</v>
      </c>
      <c r="F41" s="97" t="n">
        <f aca="false">IFERROR(IF(ISNUMBER(INDEX(원자료_시장!$A$1:$BZ$1000,설정!$L$6+ROW()-1,설정!$L$28)),INDEX(원자료_시장!$A$1:$BZ$1000,설정!$L$6+ROW()-1,설정!$L$28),""),"")</f>
        <v>115.045</v>
      </c>
      <c r="G41" s="97" t="n">
        <f aca="false">IFERROR(IF(ISNUMBER(INDEX(원자료_시장!$A$1:$BZ$1000,설정!$L$6+ROW()-1,설정!$L$29)),INDEX(원자료_시장!$A$1:$BZ$1000,설정!$L$6+ROW()-1,설정!$L$29),""),"")</f>
        <v>-1.1</v>
      </c>
      <c r="H41" s="97" t="n">
        <f aca="false">IFERROR(IF(ISNUMBER(INDEX(원자료_시장!$A$1:$BZ$1000,설정!$L$6+ROW()-1,설정!$L$30)),INDEX(원자료_시장!$A$1:$BZ$1000,설정!$L$6+ROW()-1,설정!$L$30),""),"")</f>
        <v>6.4</v>
      </c>
      <c r="I41" s="97" t="n">
        <f aca="false">IFERROR(IF(ISNUMBER(INDEX(원자료_시장!$A$1:$BZ$1000,설정!$L$6+ROW()-1,설정!$L$31)),INDEX(원자료_시장!$A$1:$BZ$1000,설정!$L$6+ROW()-1,설정!$L$31),""),"")</f>
        <v>2.8</v>
      </c>
      <c r="J41" s="97" t="n">
        <f aca="false">IFERROR(IF(ISNUMBER(INDEX(원자료_시장!$A$1:$BZ$1000,설정!$L$6+ROW()-1,설정!$L$32)),INDEX(원자료_시장!$A$1:$BZ$1000,설정!$L$6+ROW()-1,설정!$L$32),""),"")</f>
        <v>-3.3</v>
      </c>
      <c r="K41" s="85" t="n">
        <f aca="false">IFERROR(IF(ISNUMBER(INDEX(원자료_시장!$A$1:$BZ$1000,설정!$L$6+ROW()-1,설정!$L$33)),INDEX(원자료_시장!$A$1:$BZ$1000,설정!$L$6+ROW()-1,설정!$L$33),""),"")</f>
        <v>3.063</v>
      </c>
      <c r="L41" s="83" t="str">
        <f aca="false">IFERROR(IF(INDEX(원자료_시장!$A$1:$BZ$1000,설정!$L$6+ROW()-1,설정!$L$34)&amp;""="0","",INDEX(원자료_시장!$A$1:$BZ$1000,설정!$L$6+ROW()-1,설정!$L$34)),"")</f>
        <v>금융기관</v>
      </c>
      <c r="M41" s="83" t="str">
        <f aca="false">IFERROR(IF(INDEX(원자료_시장!$A$1:$BZ$1000,설정!$L$6+ROW()-1,설정!$L$35)&amp;""="0","",INDEX(원자료_시장!$A$1:$BZ$1000,설정!$L$6+ROW()-1,설정!$L$35)),"")</f>
        <v>BBB+</v>
      </c>
      <c r="N41" s="83" t="str">
        <f aca="false">IFERROR(IF(INDEX(원자료_시장!$A$1:$BZ$1000,설정!$L$6+ROW()-1,설정!$L$36)&amp;""="0","",INDEX(원자료_시장!$A$1:$BZ$1000,설정!$L$6+ROW()-1,설정!$L$36)),"")</f>
        <v>미국</v>
      </c>
      <c r="O41" s="43" t="str">
        <f aca="false">IF($A41="","",UPPER(LEFT($A41,FIND(" ",$A41&amp;" ")-1)))</f>
        <v>GS</v>
      </c>
      <c r="P41" s="43" t="str">
        <f aca="false">IF($A41="","",TRIM(RIGHT(SUBSTITUTE(TRIM($A41)," ",REPT(" ",30)),30)))</f>
        <v>01/28/31</v>
      </c>
      <c r="Q41" s="98" t="n">
        <f aca="false">IF($A41="","",IFERROR(DATE(IF(LEN(P41)=8,2000+VALUE(RIGHT(P41,2)),VALUE(RIGHT(P41,4))),VALUE(LEFT(P41,2)),VALUE(MID(P41,4,2))),""))</f>
        <v>47876</v>
      </c>
      <c r="R41" s="89" t="n">
        <f aca="false">IF($A41="",0,IF(ISNUMBER(SEARCH("Float",$A41)),1,0))</f>
        <v>0</v>
      </c>
      <c r="S41" s="43" t="str">
        <f aca="false">IF($A41="","",TRIM(MID($A41,LEN(O41)+2,LEN($A41)-LEN(O41)-LEN(P41)-1)))</f>
        <v>5.207</v>
      </c>
      <c r="T41" s="92" t="n">
        <f aca="false">IF(OR($A41="",R41=1),"",IFERROR(IF(ISNUMBER(FIND("/",S41)),IF(ISNUMBER(FIND(" ",S41)),VALUE(LEFT(S41,FIND(" ",S41)-1))+VALUE(MID(S41,FIND(" ",S41)+1,FIND("/",S41)-FIND(" ",S41)-1))/VALUE(MID(S41,FIND("/",S41)+1,9)),VALUE(LEFT(S41,FIND("/",S41)-1))/VALUE(MID(S41,FIND("/",S41)+1,9))),VALUE(S41)),""))</f>
        <v>5.207</v>
      </c>
      <c r="U41" s="43" t="str">
        <f aca="false">IF(OR($A41="",NOT(ISNUMBER(Q41))),"",TEXT(Q41,"yyyymmdd")&amp;"|"&amp;IF(R41=1,"F",TEXT(T41,"0.000")))</f>
        <v>20310128|5.207</v>
      </c>
      <c r="V41" s="43" t="str">
        <f aca="false">IF(U41="","",O41&amp;"|"&amp;U41)</f>
        <v>GS|20310128|5.207</v>
      </c>
      <c r="W41" s="43" t="str">
        <f aca="false">IF($A41="","",IFERROR(IF(VLOOKUP(O41,매핑!$A$4:$E$92,3,0)="","미분류",VLOOKUP(O41,매핑!$A$4:$E$92,3,0)),"미분류"))</f>
        <v>미국</v>
      </c>
      <c r="X41" s="89" t="n">
        <f aca="false">IF($A41="",0,IF(O41="T",1,0))</f>
        <v>0</v>
      </c>
      <c r="Y41" s="89" t="n">
        <f aca="false">IF($A41="",0,IF(AND(C41="USD",X41=0,ISNUMBER(E41),ISNUMBER(K41)),IF(K41&gt;=설정!$C$8,1,0),0))</f>
        <v>1</v>
      </c>
      <c r="Z41" s="43" t="str">
        <f aca="false">IF($A41="","",N41&amp;"|"&amp;L41)</f>
        <v>미국|금융기관</v>
      </c>
      <c r="AA41" s="92" t="n">
        <f aca="false">IF(Y41=1,LN(K41),0)</f>
        <v>1.11939482785064</v>
      </c>
      <c r="AB41" s="93" t="n">
        <f aca="false">IF(Y41=1,E41,0)</f>
        <v>80.286</v>
      </c>
      <c r="AC41" s="89" t="n">
        <f aca="false">IF(Y41=1,COUNTIFS($Z$2:$Z$601,Z41,$Y$2:$Y$601,1),0)</f>
        <v>28</v>
      </c>
      <c r="AD41" s="89" t="n">
        <f aca="false">IF(Y41=1,COUNTIFS($N$2:$N$601,N41,$Y$2:$Y$601,1),0)</f>
        <v>49</v>
      </c>
      <c r="AE41" s="43" t="str">
        <f aca="false">IF(Y41&lt;&gt;1,"",IF(AND(AC41&gt;=설정!$C$7,ISNUMBER(MATCH(Z41,피어커브!$A:$A,0))),Z41,IF(AND(AD41&gt;=설정!$C$7,ISNUMBER(MATCH(N41&amp;"|전체",피어커브!$A:$A,0))),N41&amp;"|전체","전체|전체")))</f>
        <v>미국|금융기관</v>
      </c>
      <c r="AF41" s="93" t="n">
        <f aca="false">IF(AE41="","",INDEX(피어커브!$K:$K,MATCH(AE41,피어커브!$A:$A,0)))</f>
        <v>47.5387798885896</v>
      </c>
      <c r="AG41" s="93" t="n">
        <f aca="false">IF(AE41="","",INDEX(피어커브!$J:$J,MATCH(AE41,피어커브!$A:$A,0)))</f>
        <v>20.73676364145</v>
      </c>
      <c r="AH41" s="93" t="n">
        <f aca="false">IF(AE41="","",INDEX(피어커브!$L:$L,MATCH(AE41,피어커브!$A:$A,0)))</f>
        <v>13.6771810277023</v>
      </c>
      <c r="AI41" s="93" t="n">
        <f aca="false">IF(AE41="","",AF41+AG41*AA41)</f>
        <v>70.7514058551899</v>
      </c>
      <c r="AJ41" s="96" t="n">
        <f aca="false">IF(AE41="","",E41-AI41)</f>
        <v>9.53459414481007</v>
      </c>
      <c r="AK41" s="95" t="n">
        <f aca="false">IF(AE41="","",IF(ISNUMBER(AH41),IF(AH41&gt;0,AJ41/AH41,""),""))</f>
        <v>0.697116907753018</v>
      </c>
      <c r="AL41" s="43" t="str">
        <f aca="false">IF(AK41="","-",IF(AK41&gt;=설정!$C$6,"Cheap",IF(AK41&lt;=-설정!$C$6,"Rich","Fair")))</f>
        <v>Fair</v>
      </c>
      <c r="AM41" s="96" t="n">
        <f aca="false">IF(AE41="","",AJ41-AVERAGEIFS($AJ$2:$AJ$601,$B$2:$B$601,B41,$Y$2:$Y$601,1))</f>
        <v>-1.38930363840725</v>
      </c>
      <c r="AN41" s="93" t="n">
        <f aca="false">IF(AE41="",0,IF(K41&gt;1+설정!$C$8,AG41*(AA41-LN(K41-1)),0))</f>
        <v>8.19586561699359</v>
      </c>
      <c r="AO41" s="99" t="n">
        <f aca="false">IF($A41="",0,SUMIFS(보유분석!$AA$2:$AA$801,보유분석!$AB$2:$AB$801,ROW(),보유분석!$AC$2:$AC$801,1))</f>
        <v>0.980722</v>
      </c>
      <c r="AP41" s="43" t="str">
        <f aca="false">IF($A41="","",TRIM(IF(R41=1,"FRN ","")&amp;IF(IFERROR(VLOOKUP(M41,설정!$A$15:$D$47,4,0),0)&gt;=10,IF(IFERROR(VLOOKUP(M41,설정!$A$15:$D$47,4,0),0)&lt;99,"BBB0미만 ",""),"")&amp;IF(OR(M41="",M41="NR"),"등급미입력 ","")&amp;IF(C41&lt;&gt;"USD","비USD ","")))</f>
        <v/>
      </c>
      <c r="AQ41" s="90" t="n">
        <f aca="false">IF(AND(Y41=1,AL41="Cheap"),IF(AND(ISERROR(SEARCH("FRN",AP41)),ISERROR(SEARCH("BBB0미만",AP41))),AK41+ROW()/1000000000,-999),-999)</f>
        <v>-999</v>
      </c>
      <c r="AR41" s="92" t="n">
        <f aca="false">IF(AND(ISNUMBER(D41),ISNUMBER(K41)),D41+AN41*MAX(K41-1,0)/100,"")</f>
        <v>5.86608070767858</v>
      </c>
      <c r="AS41" s="93" t="n">
        <f aca="false">IF(AND(ISNUMBER(E41),ISNUMBER(K41)),IF(K41&gt;0,(E41+AN41*MAX(K41-1,0))/K41,""),"")</f>
        <v>31.7316587554221</v>
      </c>
      <c r="AT41" s="90" t="n">
        <f aca="false">IFERROR(IF(AND(Y41=1,ROW()&lt;&gt;스왑분석!$C$12+1,ABS(K41-INDEX($K$2:$K$601,스왑분석!$C$12))&lt;=스왑분석!$C$5,ISERROR(SEARCH("FRN",AP41)),ISERROR(SEARCH("BBB0미만",AP41))),IF(AND(OR(스왑분석!$C$6="N",L41=INDEX($L$2:$L$601,스왑분석!$C$12)),OR(스왑분석!$C$7="N",N41=INDEX($N$2:$N$601,스왑분석!$C$12)),OR(스왑분석!$C$8="N",AO41=0),E41-INDEX($E$2:$E$601,스왑분석!$C$12)&gt;=스왑분석!$C$9),E41-INDEX($E$2:$E$601,스왑분석!$C$12)+ROW()/1000000000,-999),-999),-999)</f>
        <v>31.794000041</v>
      </c>
      <c r="AU41" s="90" t="n">
        <f aca="false">IF(AND(Y41=1,AO41&gt;0,AL41="Rich"),-AK41+ROW()/1000000000,-999)</f>
        <v>-999</v>
      </c>
    </row>
    <row r="42" customFormat="false" ht="15" hidden="false" customHeight="false" outlineLevel="0" collapsed="false">
      <c r="A42" s="83" t="str">
        <f aca="false">IFERROR(IF(INDEX(원자료_시장!$A$1:$BZ$1000,설정!$L$6+ROW()-1,설정!$L$24)&amp;""="0","",INDEX(원자료_시장!$A$1:$BZ$1000,설정!$L$6+ROW()-1,설정!$L$24)),"")</f>
        <v>GS 4.369 10/21/31</v>
      </c>
      <c r="B42" s="83" t="str">
        <f aca="false">IFERROR(IF(INDEX(원자료_시장!$A$1:$BZ$1000,설정!$L$6+ROW()-1,설정!$L$37)&amp;""="0","",INDEX(원자료_시장!$A$1:$BZ$1000,설정!$L$6+ROW()-1,설정!$L$37)),"")</f>
        <v>GOLDMAN SACHS GROUP INC</v>
      </c>
      <c r="C42" s="83" t="str">
        <f aca="false">IFERROR(IF(INDEX(원자료_시장!$A$1:$BZ$1000,설정!$L$6+ROW()-1,설정!$L$25)&amp;""="0","",INDEX(원자료_시장!$A$1:$BZ$1000,설정!$L$6+ROW()-1,설정!$L$25)),"")</f>
        <v>USD</v>
      </c>
      <c r="D42" s="85" t="n">
        <f aca="false">IFERROR(IF(ISNUMBER(INDEX(원자료_시장!$A$1:$BZ$1000,설정!$L$6+ROW()-1,설정!$L$26)),INDEX(원자료_시장!$A$1:$BZ$1000,설정!$L$6+ROW()-1,설정!$L$26),""),"")</f>
        <v>5.764</v>
      </c>
      <c r="E42" s="97" t="n">
        <f aca="false">IFERROR(IF(ISNUMBER(INDEX(원자료_시장!$A$1:$BZ$1000,설정!$L$6+ROW()-1,설정!$L$27)),INDEX(원자료_시장!$A$1:$BZ$1000,설정!$L$6+ROW()-1,설정!$L$27),""),"")</f>
        <v>85.393</v>
      </c>
      <c r="F42" s="97" t="n">
        <f aca="false">IFERROR(IF(ISNUMBER(INDEX(원자료_시장!$A$1:$BZ$1000,설정!$L$6+ROW()-1,설정!$L$28)),INDEX(원자료_시장!$A$1:$BZ$1000,설정!$L$6+ROW()-1,설정!$L$28),""),"")</f>
        <v>119.478</v>
      </c>
      <c r="G42" s="97" t="n">
        <f aca="false">IFERROR(IF(ISNUMBER(INDEX(원자료_시장!$A$1:$BZ$1000,설정!$L$6+ROW()-1,설정!$L$29)),INDEX(원자료_시장!$A$1:$BZ$1000,설정!$L$6+ROW()-1,설정!$L$29),""),"")</f>
        <v>-0.9</v>
      </c>
      <c r="H42" s="97" t="n">
        <f aca="false">IFERROR(IF(ISNUMBER(INDEX(원자료_시장!$A$1:$BZ$1000,설정!$L$6+ROW()-1,설정!$L$30)),INDEX(원자료_시장!$A$1:$BZ$1000,설정!$L$6+ROW()-1,설정!$L$30),""),"")</f>
        <v>8.7</v>
      </c>
      <c r="I42" s="97" t="n">
        <f aca="false">IFERROR(IF(ISNUMBER(INDEX(원자료_시장!$A$1:$BZ$1000,설정!$L$6+ROW()-1,설정!$L$31)),INDEX(원자료_시장!$A$1:$BZ$1000,설정!$L$6+ROW()-1,설정!$L$31),""),"")</f>
        <v>1.3</v>
      </c>
      <c r="J42" s="97" t="n">
        <f aca="false">IFERROR(IF(ISNUMBER(INDEX(원자료_시장!$A$1:$BZ$1000,설정!$L$6+ROW()-1,설정!$L$32)),INDEX(원자료_시장!$A$1:$BZ$1000,설정!$L$6+ROW()-1,설정!$L$32),""),"")</f>
        <v>-0.8</v>
      </c>
      <c r="K42" s="85" t="n">
        <f aca="false">IFERROR(IF(ISNUMBER(INDEX(원자료_시장!$A$1:$BZ$1000,설정!$L$6+ROW()-1,설정!$L$33)),INDEX(원자료_시장!$A$1:$BZ$1000,설정!$L$6+ROW()-1,설정!$L$33),""),"")</f>
        <v>3.672</v>
      </c>
      <c r="L42" s="83" t="str">
        <f aca="false">IFERROR(IF(INDEX(원자료_시장!$A$1:$BZ$1000,설정!$L$6+ROW()-1,설정!$L$34)&amp;""="0","",INDEX(원자료_시장!$A$1:$BZ$1000,설정!$L$6+ROW()-1,설정!$L$34)),"")</f>
        <v>금융기관</v>
      </c>
      <c r="M42" s="83" t="str">
        <f aca="false">IFERROR(IF(INDEX(원자료_시장!$A$1:$BZ$1000,설정!$L$6+ROW()-1,설정!$L$35)&amp;""="0","",INDEX(원자료_시장!$A$1:$BZ$1000,설정!$L$6+ROW()-1,설정!$L$35)),"")</f>
        <v>BBB+</v>
      </c>
      <c r="N42" s="83" t="str">
        <f aca="false">IFERROR(IF(INDEX(원자료_시장!$A$1:$BZ$1000,설정!$L$6+ROW()-1,설정!$L$36)&amp;""="0","",INDEX(원자료_시장!$A$1:$BZ$1000,설정!$L$6+ROW()-1,설정!$L$36)),"")</f>
        <v>미국</v>
      </c>
      <c r="O42" s="43" t="str">
        <f aca="false">IF($A42="","",UPPER(LEFT($A42,FIND(" ",$A42&amp;" ")-1)))</f>
        <v>GS</v>
      </c>
      <c r="P42" s="43" t="str">
        <f aca="false">IF($A42="","",TRIM(RIGHT(SUBSTITUTE(TRIM($A42)," ",REPT(" ",30)),30)))</f>
        <v>10/21/31</v>
      </c>
      <c r="Q42" s="98" t="n">
        <f aca="false">IF($A42="","",IFERROR(DATE(IF(LEN(P42)=8,2000+VALUE(RIGHT(P42,2)),VALUE(RIGHT(P42,4))),VALUE(LEFT(P42,2)),VALUE(MID(P42,4,2))),""))</f>
        <v>48142</v>
      </c>
      <c r="R42" s="89" t="n">
        <f aca="false">IF($A42="",0,IF(ISNUMBER(SEARCH("Float",$A42)),1,0))</f>
        <v>0</v>
      </c>
      <c r="S42" s="43" t="str">
        <f aca="false">IF($A42="","",TRIM(MID($A42,LEN(O42)+2,LEN($A42)-LEN(O42)-LEN(P42)-1)))</f>
        <v>4.369</v>
      </c>
      <c r="T42" s="92" t="n">
        <f aca="false">IF(OR($A42="",R42=1),"",IFERROR(IF(ISNUMBER(FIND("/",S42)),IF(ISNUMBER(FIND(" ",S42)),VALUE(LEFT(S42,FIND(" ",S42)-1))+VALUE(MID(S42,FIND(" ",S42)+1,FIND("/",S42)-FIND(" ",S42)-1))/VALUE(MID(S42,FIND("/",S42)+1,9)),VALUE(LEFT(S42,FIND("/",S42)-1))/VALUE(MID(S42,FIND("/",S42)+1,9))),VALUE(S42)),""))</f>
        <v>4.369</v>
      </c>
      <c r="U42" s="43" t="str">
        <f aca="false">IF(OR($A42="",NOT(ISNUMBER(Q42))),"",TEXT(Q42,"yyyymmdd")&amp;"|"&amp;IF(R42=1,"F",TEXT(T42,"0.000")))</f>
        <v>20311021|4.369</v>
      </c>
      <c r="V42" s="43" t="str">
        <f aca="false">IF(U42="","",O42&amp;"|"&amp;U42)</f>
        <v>GS|20311021|4.369</v>
      </c>
      <c r="W42" s="43" t="str">
        <f aca="false">IF($A42="","",IFERROR(IF(VLOOKUP(O42,매핑!$A$4:$E$92,3,0)="","미분류",VLOOKUP(O42,매핑!$A$4:$E$92,3,0)),"미분류"))</f>
        <v>미국</v>
      </c>
      <c r="X42" s="89" t="n">
        <f aca="false">IF($A42="",0,IF(O42="T",1,0))</f>
        <v>0</v>
      </c>
      <c r="Y42" s="89" t="n">
        <f aca="false">IF($A42="",0,IF(AND(C42="USD",X42=0,ISNUMBER(E42),ISNUMBER(K42)),IF(K42&gt;=설정!$C$8,1,0),0))</f>
        <v>1</v>
      </c>
      <c r="Z42" s="43" t="str">
        <f aca="false">IF($A42="","",N42&amp;"|"&amp;L42)</f>
        <v>미국|금융기관</v>
      </c>
      <c r="AA42" s="92" t="n">
        <f aca="false">IF(Y42=1,LN(K42),0)</f>
        <v>1.30073647275824</v>
      </c>
      <c r="AB42" s="93" t="n">
        <f aca="false">IF(Y42=1,E42,0)</f>
        <v>85.393</v>
      </c>
      <c r="AC42" s="89" t="n">
        <f aca="false">IF(Y42=1,COUNTIFS($Z$2:$Z$601,Z42,$Y$2:$Y$601,1),0)</f>
        <v>28</v>
      </c>
      <c r="AD42" s="89" t="n">
        <f aca="false">IF(Y42=1,COUNTIFS($N$2:$N$601,N42,$Y$2:$Y$601,1),0)</f>
        <v>49</v>
      </c>
      <c r="AE42" s="43" t="str">
        <f aca="false">IF(Y42&lt;&gt;1,"",IF(AND(AC42&gt;=설정!$C$7,ISNUMBER(MATCH(Z42,피어커브!$A:$A,0))),Z42,IF(AND(AD42&gt;=설정!$C$7,ISNUMBER(MATCH(N42&amp;"|전체",피어커브!$A:$A,0))),N42&amp;"|전체","전체|전체")))</f>
        <v>미국|금융기관</v>
      </c>
      <c r="AF42" s="93" t="n">
        <f aca="false">IF(AE42="","",INDEX(피어커브!$K:$K,MATCH(AE42,피어커브!$A:$A,0)))</f>
        <v>47.5387798885896</v>
      </c>
      <c r="AG42" s="93" t="n">
        <f aca="false">IF(AE42="","",INDEX(피어커브!$J:$J,MATCH(AE42,피어커브!$A:$A,0)))</f>
        <v>20.73676364145</v>
      </c>
      <c r="AH42" s="93" t="n">
        <f aca="false">IF(AE42="","",INDEX(피어커브!$L:$L,MATCH(AE42,피어커브!$A:$A,0)))</f>
        <v>13.6771810277023</v>
      </c>
      <c r="AI42" s="93" t="n">
        <f aca="false">IF(AE42="","",AF42+AG42*AA42)</f>
        <v>74.5118446839907</v>
      </c>
      <c r="AJ42" s="96" t="n">
        <f aca="false">IF(AE42="","",E42-AI42)</f>
        <v>10.8811553160093</v>
      </c>
      <c r="AK42" s="95" t="n">
        <f aca="false">IF(AE42="","",IF(ISNUMBER(AH42),IF(AH42&gt;0,AJ42/AH42,""),""))</f>
        <v>0.795570029669869</v>
      </c>
      <c r="AL42" s="43" t="str">
        <f aca="false">IF(AK42="","-",IF(AK42&gt;=설정!$C$6,"Cheap",IF(AK42&lt;=-설정!$C$6,"Rich","Fair")))</f>
        <v>Fair</v>
      </c>
      <c r="AM42" s="96" t="n">
        <f aca="false">IF(AE42="","",AJ42-AVERAGEIFS($AJ$2:$AJ$601,$B$2:$B$601,B42,$Y$2:$Y$601,1))</f>
        <v>-0.0427424672080345</v>
      </c>
      <c r="AN42" s="93" t="n">
        <f aca="false">IF(AE42="",0,IF(K42&gt;1+설정!$C$8,AG42*(AA42-LN(K42-1)),0))</f>
        <v>6.59240829410611</v>
      </c>
      <c r="AO42" s="99" t="n">
        <f aca="false">IF($A42="",0,SUMIFS(보유분석!$AA$2:$AA$801,보유분석!$AB$2:$AB$801,ROW(),보유분석!$AC$2:$AC$801,1))</f>
        <v>0</v>
      </c>
      <c r="AP42" s="43" t="str">
        <f aca="false">IF($A42="","",TRIM(IF(R42=1,"FRN ","")&amp;IF(IFERROR(VLOOKUP(M42,설정!$A$15:$D$47,4,0),0)&gt;=10,IF(IFERROR(VLOOKUP(M42,설정!$A$15:$D$47,4,0),0)&lt;99,"BBB0미만 ",""),"")&amp;IF(OR(M42="",M42="NR"),"등급미입력 ","")&amp;IF(C42&lt;&gt;"USD","비USD ","")))</f>
        <v/>
      </c>
      <c r="AQ42" s="90" t="n">
        <f aca="false">IF(AND(Y42=1,AL42="Cheap"),IF(AND(ISERROR(SEARCH("FRN",AP42)),ISERROR(SEARCH("BBB0미만",AP42))),AK42+ROW()/1000000000,-999),-999)</f>
        <v>-999</v>
      </c>
      <c r="AR42" s="92" t="n">
        <f aca="false">IF(AND(ISNUMBER(D42),ISNUMBER(K42)),D42+AN42*MAX(K42-1,0)/100,"")</f>
        <v>5.94014914961852</v>
      </c>
      <c r="AS42" s="93" t="n">
        <f aca="false">IF(AND(ISNUMBER(E42),ISNUMBER(K42)),IF(K42&gt;0,(E42+AN42*MAX(K42-1,0))/K42,""),"")</f>
        <v>28.0522644231622</v>
      </c>
      <c r="AT42" s="90" t="n">
        <f aca="false">IFERROR(IF(AND(Y42=1,ROW()&lt;&gt;스왑분석!$C$12+1,ABS(K42-INDEX($K$2:$K$601,스왑분석!$C$12))&lt;=스왑분석!$C$5,ISERROR(SEARCH("FRN",AP42)),ISERROR(SEARCH("BBB0미만",AP42))),IF(AND(OR(스왑분석!$C$6="N",L42=INDEX($L$2:$L$601,스왑분석!$C$12)),OR(스왑분석!$C$7="N",N42=INDEX($N$2:$N$601,스왑분석!$C$12)),OR(스왑분석!$C$8="N",AO42=0),E42-INDEX($E$2:$E$601,스왑분석!$C$12)&gt;=스왑분석!$C$9),E42-INDEX($E$2:$E$601,스왑분석!$C$12)+ROW()/1000000000,-999),-999),-999)</f>
        <v>36.901000042</v>
      </c>
      <c r="AU42" s="90" t="n">
        <f aca="false">IF(AND(Y42=1,AO42&gt;0,AL42="Rich"),-AK42+ROW()/1000000000,-999)</f>
        <v>-999</v>
      </c>
    </row>
    <row r="43" customFormat="false" ht="15" hidden="false" customHeight="false" outlineLevel="0" collapsed="false">
      <c r="A43" s="83" t="str">
        <f aca="false">IFERROR(IF(INDEX(원자료_시장!$A$1:$BZ$1000,설정!$L$6+ROW()-1,설정!$L$24)&amp;""="0","",INDEX(원자료_시장!$A$1:$BZ$1000,설정!$L$6+ROW()-1,설정!$L$24)),"")</f>
        <v>GS 4.972 06/03/32</v>
      </c>
      <c r="B43" s="83" t="str">
        <f aca="false">IFERROR(IF(INDEX(원자료_시장!$A$1:$BZ$1000,설정!$L$6+ROW()-1,설정!$L$37)&amp;""="0","",INDEX(원자료_시장!$A$1:$BZ$1000,설정!$L$6+ROW()-1,설정!$L$37)),"")</f>
        <v>GOLDMAN SACHS GROUP INC</v>
      </c>
      <c r="C43" s="83" t="str">
        <f aca="false">IFERROR(IF(INDEX(원자료_시장!$A$1:$BZ$1000,설정!$L$6+ROW()-1,설정!$L$25)&amp;""="0","",INDEX(원자료_시장!$A$1:$BZ$1000,설정!$L$6+ROW()-1,설정!$L$25)),"")</f>
        <v>USD</v>
      </c>
      <c r="D43" s="85" t="n">
        <f aca="false">IFERROR(IF(ISNUMBER(INDEX(원자료_시장!$A$1:$BZ$1000,설정!$L$6+ROW()-1,설정!$L$26)),INDEX(원자료_시장!$A$1:$BZ$1000,설정!$L$6+ROW()-1,설정!$L$26),""),"")</f>
        <v>5.847</v>
      </c>
      <c r="E43" s="97" t="n">
        <f aca="false">IFERROR(IF(ISNUMBER(INDEX(원자료_시장!$A$1:$BZ$1000,설정!$L$6+ROW()-1,설정!$L$27)),INDEX(원자료_시장!$A$1:$BZ$1000,설정!$L$6+ROW()-1,설정!$L$27),""),"")</f>
        <v>93.025</v>
      </c>
      <c r="F43" s="97" t="n">
        <f aca="false">IFERROR(IF(ISNUMBER(INDEX(원자료_시장!$A$1:$BZ$1000,설정!$L$6+ROW()-1,설정!$L$28)),INDEX(원자료_시장!$A$1:$BZ$1000,설정!$L$6+ROW()-1,설정!$L$28),""),"")</f>
        <v>126.561</v>
      </c>
      <c r="G43" s="97" t="n">
        <f aca="false">IFERROR(IF(ISNUMBER(INDEX(원자료_시장!$A$1:$BZ$1000,설정!$L$6+ROW()-1,설정!$L$29)),INDEX(원자료_시장!$A$1:$BZ$1000,설정!$L$6+ROW()-1,설정!$L$29),""),"")</f>
        <v>-1.7</v>
      </c>
      <c r="H43" s="97" t="n">
        <f aca="false">IFERROR(IF(ISNUMBER(INDEX(원자료_시장!$A$1:$BZ$1000,설정!$L$6+ROW()-1,설정!$L$30)),INDEX(원자료_시장!$A$1:$BZ$1000,설정!$L$6+ROW()-1,설정!$L$30),""),"")</f>
        <v>5.5</v>
      </c>
      <c r="I43" s="97" t="n">
        <f aca="false">IFERROR(IF(ISNUMBER(INDEX(원자료_시장!$A$1:$BZ$1000,설정!$L$6+ROW()-1,설정!$L$31)),INDEX(원자료_시장!$A$1:$BZ$1000,설정!$L$6+ROW()-1,설정!$L$31),""),"")</f>
        <v>1</v>
      </c>
      <c r="J43" s="97" t="n">
        <f aca="false">IFERROR(IF(ISNUMBER(INDEX(원자료_시장!$A$1:$BZ$1000,설정!$L$6+ROW()-1,설정!$L$32)),INDEX(원자료_시장!$A$1:$BZ$1000,설정!$L$6+ROW()-1,설정!$L$32),""),"")</f>
        <v>3.2</v>
      </c>
      <c r="K43" s="85" t="n">
        <f aca="false">IFERROR(IF(ISNUMBER(INDEX(원자료_시장!$A$1:$BZ$1000,설정!$L$6+ROW()-1,설정!$L$33)),INDEX(원자료_시장!$A$1:$BZ$1000,설정!$L$6+ROW()-1,설정!$L$33),""),"")</f>
        <v>4.143</v>
      </c>
      <c r="L43" s="83" t="str">
        <f aca="false">IFERROR(IF(INDEX(원자료_시장!$A$1:$BZ$1000,설정!$L$6+ROW()-1,설정!$L$34)&amp;""="0","",INDEX(원자료_시장!$A$1:$BZ$1000,설정!$L$6+ROW()-1,설정!$L$34)),"")</f>
        <v>금융기관</v>
      </c>
      <c r="M43" s="83" t="str">
        <f aca="false">IFERROR(IF(INDEX(원자료_시장!$A$1:$BZ$1000,설정!$L$6+ROW()-1,설정!$L$35)&amp;""="0","",INDEX(원자료_시장!$A$1:$BZ$1000,설정!$L$6+ROW()-1,설정!$L$35)),"")</f>
        <v>BBB+</v>
      </c>
      <c r="N43" s="83" t="str">
        <f aca="false">IFERROR(IF(INDEX(원자료_시장!$A$1:$BZ$1000,설정!$L$6+ROW()-1,설정!$L$36)&amp;""="0","",INDEX(원자료_시장!$A$1:$BZ$1000,설정!$L$6+ROW()-1,설정!$L$36)),"")</f>
        <v>미국</v>
      </c>
      <c r="O43" s="43" t="str">
        <f aca="false">IF($A43="","",UPPER(LEFT($A43,FIND(" ",$A43&amp;" ")-1)))</f>
        <v>GS</v>
      </c>
      <c r="P43" s="43" t="str">
        <f aca="false">IF($A43="","",TRIM(RIGHT(SUBSTITUTE(TRIM($A43)," ",REPT(" ",30)),30)))</f>
        <v>06/03/32</v>
      </c>
      <c r="Q43" s="98" t="n">
        <f aca="false">IF($A43="","",IFERROR(DATE(IF(LEN(P43)=8,2000+VALUE(RIGHT(P43,2)),VALUE(RIGHT(P43,4))),VALUE(LEFT(P43,2)),VALUE(MID(P43,4,2))),""))</f>
        <v>48368</v>
      </c>
      <c r="R43" s="89" t="n">
        <f aca="false">IF($A43="",0,IF(ISNUMBER(SEARCH("Float",$A43)),1,0))</f>
        <v>0</v>
      </c>
      <c r="S43" s="43" t="str">
        <f aca="false">IF($A43="","",TRIM(MID($A43,LEN(O43)+2,LEN($A43)-LEN(O43)-LEN(P43)-1)))</f>
        <v>4.972</v>
      </c>
      <c r="T43" s="92" t="n">
        <f aca="false">IF(OR($A43="",R43=1),"",IFERROR(IF(ISNUMBER(FIND("/",S43)),IF(ISNUMBER(FIND(" ",S43)),VALUE(LEFT(S43,FIND(" ",S43)-1))+VALUE(MID(S43,FIND(" ",S43)+1,FIND("/",S43)-FIND(" ",S43)-1))/VALUE(MID(S43,FIND("/",S43)+1,9)),VALUE(LEFT(S43,FIND("/",S43)-1))/VALUE(MID(S43,FIND("/",S43)+1,9))),VALUE(S43)),""))</f>
        <v>4.972</v>
      </c>
      <c r="U43" s="43" t="str">
        <f aca="false">IF(OR($A43="",NOT(ISNUMBER(Q43))),"",TEXT(Q43,"yyyymmdd")&amp;"|"&amp;IF(R43=1,"F",TEXT(T43,"0.000")))</f>
        <v>20320603|4.972</v>
      </c>
      <c r="V43" s="43" t="str">
        <f aca="false">IF(U43="","",O43&amp;"|"&amp;U43)</f>
        <v>GS|20320603|4.972</v>
      </c>
      <c r="W43" s="43" t="str">
        <f aca="false">IF($A43="","",IFERROR(IF(VLOOKUP(O43,매핑!$A$4:$E$92,3,0)="","미분류",VLOOKUP(O43,매핑!$A$4:$E$92,3,0)),"미분류"))</f>
        <v>미국</v>
      </c>
      <c r="X43" s="89" t="n">
        <f aca="false">IF($A43="",0,IF(O43="T",1,0))</f>
        <v>0</v>
      </c>
      <c r="Y43" s="89" t="n">
        <f aca="false">IF($A43="",0,IF(AND(C43="USD",X43=0,ISNUMBER(E43),ISNUMBER(K43)),IF(K43&gt;=설정!$C$8,1,0),0))</f>
        <v>1</v>
      </c>
      <c r="Z43" s="43" t="str">
        <f aca="false">IF($A43="","",N43&amp;"|"&amp;L43)</f>
        <v>미국|금융기관</v>
      </c>
      <c r="AA43" s="92" t="n">
        <f aca="false">IF(Y43=1,LN(K43),0)</f>
        <v>1.42142016309526</v>
      </c>
      <c r="AB43" s="93" t="n">
        <f aca="false">IF(Y43=1,E43,0)</f>
        <v>93.025</v>
      </c>
      <c r="AC43" s="89" t="n">
        <f aca="false">IF(Y43=1,COUNTIFS($Z$2:$Z$601,Z43,$Y$2:$Y$601,1),0)</f>
        <v>28</v>
      </c>
      <c r="AD43" s="89" t="n">
        <f aca="false">IF(Y43=1,COUNTIFS($N$2:$N$601,N43,$Y$2:$Y$601,1),0)</f>
        <v>49</v>
      </c>
      <c r="AE43" s="43" t="str">
        <f aca="false">IF(Y43&lt;&gt;1,"",IF(AND(AC43&gt;=설정!$C$7,ISNUMBER(MATCH(Z43,피어커브!$A:$A,0))),Z43,IF(AND(AD43&gt;=설정!$C$7,ISNUMBER(MATCH(N43&amp;"|전체",피어커브!$A:$A,0))),N43&amp;"|전체","전체|전체")))</f>
        <v>미국|금융기관</v>
      </c>
      <c r="AF43" s="93" t="n">
        <f aca="false">IF(AE43="","",INDEX(피어커브!$K:$K,MATCH(AE43,피어커브!$A:$A,0)))</f>
        <v>47.5387798885896</v>
      </c>
      <c r="AG43" s="93" t="n">
        <f aca="false">IF(AE43="","",INDEX(피어커브!$J:$J,MATCH(AE43,피어커브!$A:$A,0)))</f>
        <v>20.73676364145</v>
      </c>
      <c r="AH43" s="93" t="n">
        <f aca="false">IF(AE43="","",INDEX(피어커브!$L:$L,MATCH(AE43,피어커브!$A:$A,0)))</f>
        <v>13.6771810277023</v>
      </c>
      <c r="AI43" s="93" t="n">
        <f aca="false">IF(AE43="","",AF43+AG43*AA43)</f>
        <v>77.0144338458875</v>
      </c>
      <c r="AJ43" s="96" t="n">
        <f aca="false">IF(AE43="","",E43-AI43)</f>
        <v>16.0105661541126</v>
      </c>
      <c r="AK43" s="95" t="n">
        <f aca="false">IF(AE43="","",IF(ISNUMBER(AH43),IF(AH43&gt;0,AJ43/AH43,""),""))</f>
        <v>1.17060424379001</v>
      </c>
      <c r="AL43" s="43" t="str">
        <f aca="false">IF(AK43="","-",IF(AK43&gt;=설정!$C$6,"Cheap",IF(AK43&lt;=-설정!$C$6,"Rich","Fair")))</f>
        <v>Cheap</v>
      </c>
      <c r="AM43" s="96" t="n">
        <f aca="false">IF(AE43="","",AJ43-AVERAGEIFS($AJ$2:$AJ$601,$B$2:$B$601,B43,$Y$2:$Y$601,1))</f>
        <v>5.08666837089523</v>
      </c>
      <c r="AN43" s="93" t="n">
        <f aca="false">IF(AE43="",0,IF(K43&gt;1+설정!$C$8,AG43*(AA43-LN(K43-1)),0))</f>
        <v>5.72837346603357</v>
      </c>
      <c r="AO43" s="99" t="n">
        <f aca="false">IF($A43="",0,SUMIFS(보유분석!$AA$2:$AA$801,보유분석!$AB$2:$AB$801,ROW(),보유분석!$AC$2:$AC$801,1))</f>
        <v>19.18604</v>
      </c>
      <c r="AP43" s="43" t="str">
        <f aca="false">IF($A43="","",TRIM(IF(R43=1,"FRN ","")&amp;IF(IFERROR(VLOOKUP(M43,설정!$A$15:$D$47,4,0),0)&gt;=10,IF(IFERROR(VLOOKUP(M43,설정!$A$15:$D$47,4,0),0)&lt;99,"BBB0미만 ",""),"")&amp;IF(OR(M43="",M43="NR"),"등급미입력 ","")&amp;IF(C43&lt;&gt;"USD","비USD ","")))</f>
        <v/>
      </c>
      <c r="AQ43" s="90" t="n">
        <f aca="false">IF(AND(Y43=1,AL43="Cheap"),IF(AND(ISERROR(SEARCH("FRN",AP43)),ISERROR(SEARCH("BBB0미만",AP43))),AK43+ROW()/1000000000,-999),-999)</f>
        <v>1.17060428679001</v>
      </c>
      <c r="AR43" s="92" t="n">
        <f aca="false">IF(AND(ISNUMBER(D43),ISNUMBER(K43)),D43+AN43*MAX(K43-1,0)/100,"")</f>
        <v>6.02704277803744</v>
      </c>
      <c r="AS43" s="93" t="n">
        <f aca="false">IF(AND(ISNUMBER(E43),ISNUMBER(K43)),IF(K43&gt;0,(E43+AN43*MAX(K43-1,0))/K43,""),"")</f>
        <v>26.7992463924073</v>
      </c>
      <c r="AT43" s="90" t="n">
        <f aca="false">IFERROR(IF(AND(Y43=1,ROW()&lt;&gt;스왑분석!$C$12+1,ABS(K43-INDEX($K$2:$K$601,스왑분석!$C$12))&lt;=스왑분석!$C$5,ISERROR(SEARCH("FRN",AP43)),ISERROR(SEARCH("BBB0미만",AP43))),IF(AND(OR(스왑분석!$C$6="N",L43=INDEX($L$2:$L$601,스왑분석!$C$12)),OR(스왑분석!$C$7="N",N43=INDEX($N$2:$N$601,스왑분석!$C$12)),OR(스왑분석!$C$8="N",AO43=0),E43-INDEX($E$2:$E$601,스왑분석!$C$12)&gt;=스왑분석!$C$9),E43-INDEX($E$2:$E$601,스왑분석!$C$12)+ROW()/1000000000,-999),-999),-999)</f>
        <v>44.533000043</v>
      </c>
      <c r="AU43" s="90" t="n">
        <f aca="false">IF(AND(Y43=1,AO43&gt;0,AL43="Rich"),-AK43+ROW()/1000000000,-999)</f>
        <v>-999</v>
      </c>
    </row>
    <row r="44" customFormat="false" ht="15" hidden="false" customHeight="false" outlineLevel="0" collapsed="false">
      <c r="A44" s="83" t="str">
        <f aca="false">IFERROR(IF(INDEX(원자료_시장!$A$1:$BZ$1000,설정!$L$6+ROW()-1,설정!$L$24)&amp;""="0","",INDEX(원자료_시장!$A$1:$BZ$1000,설정!$L$6+ROW()-1,설정!$L$24)),"")</f>
        <v>GS 3.814 04/23/29</v>
      </c>
      <c r="B44" s="83" t="str">
        <f aca="false">IFERROR(IF(INDEX(원자료_시장!$A$1:$BZ$1000,설정!$L$6+ROW()-1,설정!$L$37)&amp;""="0","",INDEX(원자료_시장!$A$1:$BZ$1000,설정!$L$6+ROW()-1,설정!$L$37)),"")</f>
        <v>GOLDMAN SACHS GROUP INC</v>
      </c>
      <c r="C44" s="83" t="str">
        <f aca="false">IFERROR(IF(INDEX(원자료_시장!$A$1:$BZ$1000,설정!$L$6+ROW()-1,설정!$L$25)&amp;""="0","",INDEX(원자료_시장!$A$1:$BZ$1000,설정!$L$6+ROW()-1,설정!$L$25)),"")</f>
        <v>USD</v>
      </c>
      <c r="D44" s="85" t="n">
        <f aca="false">IFERROR(IF(ISNUMBER(INDEX(원자료_시장!$A$1:$BZ$1000,설정!$L$6+ROW()-1,설정!$L$26)),INDEX(원자료_시장!$A$1:$BZ$1000,설정!$L$6+ROW()-1,설정!$L$26),""),"")</f>
        <v>5.508</v>
      </c>
      <c r="E44" s="97" t="n">
        <f aca="false">IFERROR(IF(ISNUMBER(INDEX(원자료_시장!$A$1:$BZ$1000,설정!$L$6+ROW()-1,설정!$L$27)),INDEX(원자료_시장!$A$1:$BZ$1000,설정!$L$6+ROW()-1,설정!$L$27),""),"")</f>
        <v>59.085</v>
      </c>
      <c r="F44" s="97" t="n">
        <f aca="false">IFERROR(IF(ISNUMBER(INDEX(원자료_시장!$A$1:$BZ$1000,설정!$L$6+ROW()-1,설정!$L$28)),INDEX(원자료_시장!$A$1:$BZ$1000,설정!$L$6+ROW()-1,설정!$L$28),""),"")</f>
        <v>85.698</v>
      </c>
      <c r="G44" s="97" t="n">
        <f aca="false">IFERROR(IF(ISNUMBER(INDEX(원자료_시장!$A$1:$BZ$1000,설정!$L$6+ROW()-1,설정!$L$29)),INDEX(원자료_시장!$A$1:$BZ$1000,설정!$L$6+ROW()-1,설정!$L$29),""),"")</f>
        <v>1.8</v>
      </c>
      <c r="H44" s="97" t="n">
        <f aca="false">IFERROR(IF(ISNUMBER(INDEX(원자료_시장!$A$1:$BZ$1000,설정!$L$6+ROW()-1,설정!$L$30)),INDEX(원자료_시장!$A$1:$BZ$1000,설정!$L$6+ROW()-1,설정!$L$30),""),"")</f>
        <v>8.7</v>
      </c>
      <c r="I44" s="97" t="n">
        <f aca="false">IFERROR(IF(ISNUMBER(INDEX(원자료_시장!$A$1:$BZ$1000,설정!$L$6+ROW()-1,설정!$L$31)),INDEX(원자료_시장!$A$1:$BZ$1000,설정!$L$6+ROW()-1,설정!$L$31),""),"")</f>
        <v>-2.8</v>
      </c>
      <c r="J44" s="97" t="n">
        <f aca="false">IFERROR(IF(ISNUMBER(INDEX(원자료_시장!$A$1:$BZ$1000,설정!$L$6+ROW()-1,설정!$L$32)),INDEX(원자료_시장!$A$1:$BZ$1000,설정!$L$6+ROW()-1,설정!$L$32),""),"")</f>
        <v>-10.4</v>
      </c>
      <c r="K44" s="85" t="n">
        <f aca="false">IFERROR(IF(ISNUMBER(INDEX(원자료_시장!$A$1:$BZ$1000,설정!$L$6+ROW()-1,설정!$L$33)),INDEX(원자료_시장!$A$1:$BZ$1000,설정!$L$6+ROW()-1,설정!$L$33),""),"")</f>
        <v>1.502</v>
      </c>
      <c r="L44" s="83" t="str">
        <f aca="false">IFERROR(IF(INDEX(원자료_시장!$A$1:$BZ$1000,설정!$L$6+ROW()-1,설정!$L$34)&amp;""="0","",INDEX(원자료_시장!$A$1:$BZ$1000,설정!$L$6+ROW()-1,설정!$L$34)),"")</f>
        <v>금융기관</v>
      </c>
      <c r="M44" s="83" t="str">
        <f aca="false">IFERROR(IF(INDEX(원자료_시장!$A$1:$BZ$1000,설정!$L$6+ROW()-1,설정!$L$35)&amp;""="0","",INDEX(원자료_시장!$A$1:$BZ$1000,설정!$L$6+ROW()-1,설정!$L$35)),"")</f>
        <v>BBB+</v>
      </c>
      <c r="N44" s="83" t="str">
        <f aca="false">IFERROR(IF(INDEX(원자료_시장!$A$1:$BZ$1000,설정!$L$6+ROW()-1,설정!$L$36)&amp;""="0","",INDEX(원자료_시장!$A$1:$BZ$1000,설정!$L$6+ROW()-1,설정!$L$36)),"")</f>
        <v>미국</v>
      </c>
      <c r="O44" s="43" t="str">
        <f aca="false">IF($A44="","",UPPER(LEFT($A44,FIND(" ",$A44&amp;" ")-1)))</f>
        <v>GS</v>
      </c>
      <c r="P44" s="43" t="str">
        <f aca="false">IF($A44="","",TRIM(RIGHT(SUBSTITUTE(TRIM($A44)," ",REPT(" ",30)),30)))</f>
        <v>04/23/29</v>
      </c>
      <c r="Q44" s="98" t="n">
        <f aca="false">IF($A44="","",IFERROR(DATE(IF(LEN(P44)=8,2000+VALUE(RIGHT(P44,2)),VALUE(RIGHT(P44,4))),VALUE(LEFT(P44,2)),VALUE(MID(P44,4,2))),""))</f>
        <v>47231</v>
      </c>
      <c r="R44" s="89" t="n">
        <f aca="false">IF($A44="",0,IF(ISNUMBER(SEARCH("Float",$A44)),1,0))</f>
        <v>0</v>
      </c>
      <c r="S44" s="43" t="str">
        <f aca="false">IF($A44="","",TRIM(MID($A44,LEN(O44)+2,LEN($A44)-LEN(O44)-LEN(P44)-1)))</f>
        <v>3.814</v>
      </c>
      <c r="T44" s="92" t="n">
        <f aca="false">IF(OR($A44="",R44=1),"",IFERROR(IF(ISNUMBER(FIND("/",S44)),IF(ISNUMBER(FIND(" ",S44)),VALUE(LEFT(S44,FIND(" ",S44)-1))+VALUE(MID(S44,FIND(" ",S44)+1,FIND("/",S44)-FIND(" ",S44)-1))/VALUE(MID(S44,FIND("/",S44)+1,9)),VALUE(LEFT(S44,FIND("/",S44)-1))/VALUE(MID(S44,FIND("/",S44)+1,9))),VALUE(S44)),""))</f>
        <v>3.814</v>
      </c>
      <c r="U44" s="43" t="str">
        <f aca="false">IF(OR($A44="",NOT(ISNUMBER(Q44))),"",TEXT(Q44,"yyyymmdd")&amp;"|"&amp;IF(R44=1,"F",TEXT(T44,"0.000")))</f>
        <v>20290423|3.814</v>
      </c>
      <c r="V44" s="43" t="str">
        <f aca="false">IF(U44="","",O44&amp;"|"&amp;U44)</f>
        <v>GS|20290423|3.814</v>
      </c>
      <c r="W44" s="43" t="str">
        <f aca="false">IF($A44="","",IFERROR(IF(VLOOKUP(O44,매핑!$A$4:$E$92,3,0)="","미분류",VLOOKUP(O44,매핑!$A$4:$E$92,3,0)),"미분류"))</f>
        <v>미국</v>
      </c>
      <c r="X44" s="89" t="n">
        <f aca="false">IF($A44="",0,IF(O44="T",1,0))</f>
        <v>0</v>
      </c>
      <c r="Y44" s="89" t="n">
        <f aca="false">IF($A44="",0,IF(AND(C44="USD",X44=0,ISNUMBER(E44),ISNUMBER(K44)),IF(K44&gt;=설정!$C$8,1,0),0))</f>
        <v>1</v>
      </c>
      <c r="Z44" s="43" t="str">
        <f aca="false">IF($A44="","",N44&amp;"|"&amp;L44)</f>
        <v>미국|금융기관</v>
      </c>
      <c r="AA44" s="92" t="n">
        <f aca="false">IF(Y44=1,LN(K44),0)</f>
        <v>0.406797553341943</v>
      </c>
      <c r="AB44" s="93" t="n">
        <f aca="false">IF(Y44=1,E44,0)</f>
        <v>59.085</v>
      </c>
      <c r="AC44" s="89" t="n">
        <f aca="false">IF(Y44=1,COUNTIFS($Z$2:$Z$601,Z44,$Y$2:$Y$601,1),0)</f>
        <v>28</v>
      </c>
      <c r="AD44" s="89" t="n">
        <f aca="false">IF(Y44=1,COUNTIFS($N$2:$N$601,N44,$Y$2:$Y$601,1),0)</f>
        <v>49</v>
      </c>
      <c r="AE44" s="43" t="str">
        <f aca="false">IF(Y44&lt;&gt;1,"",IF(AND(AC44&gt;=설정!$C$7,ISNUMBER(MATCH(Z44,피어커브!$A:$A,0))),Z44,IF(AND(AD44&gt;=설정!$C$7,ISNUMBER(MATCH(N44&amp;"|전체",피어커브!$A:$A,0))),N44&amp;"|전체","전체|전체")))</f>
        <v>미국|금융기관</v>
      </c>
      <c r="AF44" s="93" t="n">
        <f aca="false">IF(AE44="","",INDEX(피어커브!$K:$K,MATCH(AE44,피어커브!$A:$A,0)))</f>
        <v>47.5387798885896</v>
      </c>
      <c r="AG44" s="93" t="n">
        <f aca="false">IF(AE44="","",INDEX(피어커브!$J:$J,MATCH(AE44,피어커브!$A:$A,0)))</f>
        <v>20.73676364145</v>
      </c>
      <c r="AH44" s="93" t="n">
        <f aca="false">IF(AE44="","",INDEX(피어커브!$L:$L,MATCH(AE44,피어커브!$A:$A,0)))</f>
        <v>13.6771810277023</v>
      </c>
      <c r="AI44" s="93" t="n">
        <f aca="false">IF(AE44="","",AF44+AG44*AA44)</f>
        <v>55.9744446021616</v>
      </c>
      <c r="AJ44" s="96" t="n">
        <f aca="false">IF(AE44="","",E44-AI44)</f>
        <v>3.11055539783837</v>
      </c>
      <c r="AK44" s="95" t="n">
        <f aca="false">IF(AE44="","",IF(ISNUMBER(AH44),IF(AH44&gt;0,AJ44/AH44,""),""))</f>
        <v>0.227426645266896</v>
      </c>
      <c r="AL44" s="43" t="str">
        <f aca="false">IF(AK44="","-",IF(AK44&gt;=설정!$C$6,"Cheap",IF(AK44&lt;=-설정!$C$6,"Rich","Fair")))</f>
        <v>Fair</v>
      </c>
      <c r="AM44" s="96" t="n">
        <f aca="false">IF(AE44="","",AJ44-AVERAGEIFS($AJ$2:$AJ$601,$B$2:$B$601,B44,$Y$2:$Y$601,1))</f>
        <v>-7.81334238537895</v>
      </c>
      <c r="AN44" s="93" t="n">
        <f aca="false">IF(AE44="",0,IF(K44&gt;1+설정!$C$8,AG44*(AA44-LN(K44-1)),0))</f>
        <v>22.7265123640631</v>
      </c>
      <c r="AO44" s="99" t="n">
        <f aca="false">IF($A44="",0,SUMIFS(보유분석!$AA$2:$AA$801,보유분석!$AB$2:$AB$801,ROW(),보유분석!$AC$2:$AC$801,1))</f>
        <v>1.4635515</v>
      </c>
      <c r="AP44" s="43" t="str">
        <f aca="false">IF($A44="","",TRIM(IF(R44=1,"FRN ","")&amp;IF(IFERROR(VLOOKUP(M44,설정!$A$15:$D$47,4,0),0)&gt;=10,IF(IFERROR(VLOOKUP(M44,설정!$A$15:$D$47,4,0),0)&lt;99,"BBB0미만 ",""),"")&amp;IF(OR(M44="",M44="NR"),"등급미입력 ","")&amp;IF(C44&lt;&gt;"USD","비USD ","")))</f>
        <v/>
      </c>
      <c r="AQ44" s="90" t="n">
        <f aca="false">IF(AND(Y44=1,AL44="Cheap"),IF(AND(ISERROR(SEARCH("FRN",AP44)),ISERROR(SEARCH("BBB0미만",AP44))),AK44+ROW()/1000000000,-999),-999)</f>
        <v>-999</v>
      </c>
      <c r="AR44" s="92" t="n">
        <f aca="false">IF(AND(ISNUMBER(D44),ISNUMBER(K44)),D44+AN44*MAX(K44-1,0)/100,"")</f>
        <v>5.6220870920676</v>
      </c>
      <c r="AS44" s="93" t="n">
        <f aca="false">IF(AND(ISNUMBER(E44),ISNUMBER(K44)),IF(K44&gt;0,(E44+AN44*MAX(K44-1,0))/K44,""),"")</f>
        <v>46.93322849984</v>
      </c>
      <c r="AT44" s="90" t="n">
        <f aca="false">IFERROR(IF(AND(Y44=1,ROW()&lt;&gt;스왑분석!$C$12+1,ABS(K44-INDEX($K$2:$K$601,스왑분석!$C$12))&lt;=스왑분석!$C$5,ISERROR(SEARCH("FRN",AP44)),ISERROR(SEARCH("BBB0미만",AP44))),IF(AND(OR(스왑분석!$C$6="N",L44=INDEX($L$2:$L$601,스왑분석!$C$12)),OR(스왑분석!$C$7="N",N44=INDEX($N$2:$N$601,스왑분석!$C$12)),OR(스왑분석!$C$8="N",AO44=0),E44-INDEX($E$2:$E$601,스왑분석!$C$12)&gt;=스왑분석!$C$9),E44-INDEX($E$2:$E$601,스왑분석!$C$12)+ROW()/1000000000,-999),-999),-999)</f>
        <v>-999</v>
      </c>
      <c r="AU44" s="90" t="n">
        <f aca="false">IF(AND(Y44=1,AO44&gt;0,AL44="Rich"),-AK44+ROW()/1000000000,-999)</f>
        <v>-999</v>
      </c>
    </row>
    <row r="45" customFormat="false" ht="15" hidden="false" customHeight="false" outlineLevel="0" collapsed="false">
      <c r="A45" s="83" t="str">
        <f aca="false">IFERROR(IF(INDEX(원자료_시장!$A$1:$BZ$1000,설정!$L$6+ROW()-1,설정!$L$24)&amp;""="0","",INDEX(원자료_시장!$A$1:$BZ$1000,설정!$L$6+ROW()-1,설정!$L$24)),"")</f>
        <v>GS 4.516 01/21/32</v>
      </c>
      <c r="B45" s="83" t="str">
        <f aca="false">IFERROR(IF(INDEX(원자료_시장!$A$1:$BZ$1000,설정!$L$6+ROW()-1,설정!$L$37)&amp;""="0","",INDEX(원자료_시장!$A$1:$BZ$1000,설정!$L$6+ROW()-1,설정!$L$37)),"")</f>
        <v>GOLDMAN SACHS GROUP INC</v>
      </c>
      <c r="C45" s="83" t="str">
        <f aca="false">IFERROR(IF(INDEX(원자료_시장!$A$1:$BZ$1000,설정!$L$6+ROW()-1,설정!$L$25)&amp;""="0","",INDEX(원자료_시장!$A$1:$BZ$1000,설정!$L$6+ROW()-1,설정!$L$25)),"")</f>
        <v>USD</v>
      </c>
      <c r="D45" s="85" t="n">
        <f aca="false">IFERROR(IF(ISNUMBER(INDEX(원자료_시장!$A$1:$BZ$1000,설정!$L$6+ROW()-1,설정!$L$26)),INDEX(원자료_시장!$A$1:$BZ$1000,설정!$L$6+ROW()-1,설정!$L$26),""),"")</f>
        <v>5.798</v>
      </c>
      <c r="E45" s="97" t="n">
        <f aca="false">IFERROR(IF(ISNUMBER(INDEX(원자료_시장!$A$1:$BZ$1000,설정!$L$6+ROW()-1,설정!$L$27)),INDEX(원자료_시장!$A$1:$BZ$1000,설정!$L$6+ROW()-1,설정!$L$27),""),"")</f>
        <v>90.411</v>
      </c>
      <c r="F45" s="97" t="n">
        <f aca="false">IFERROR(IF(ISNUMBER(INDEX(원자료_시장!$A$1:$BZ$1000,설정!$L$6+ROW()-1,설정!$L$28)),INDEX(원자료_시장!$A$1:$BZ$1000,설정!$L$6+ROW()-1,설정!$L$28),""),"")</f>
        <v>124.271</v>
      </c>
      <c r="G45" s="97" t="n">
        <f aca="false">IFERROR(IF(ISNUMBER(INDEX(원자료_시장!$A$1:$BZ$1000,설정!$L$6+ROW()-1,설정!$L$29)),INDEX(원자료_시장!$A$1:$BZ$1000,설정!$L$6+ROW()-1,설정!$L$29),""),"")</f>
        <v>-2.5</v>
      </c>
      <c r="H45" s="97" t="n">
        <f aca="false">IFERROR(IF(ISNUMBER(INDEX(원자료_시장!$A$1:$BZ$1000,설정!$L$6+ROW()-1,설정!$L$30)),INDEX(원자료_시장!$A$1:$BZ$1000,설정!$L$6+ROW()-1,설정!$L$30),""),"")</f>
        <v>3.8</v>
      </c>
      <c r="I45" s="97" t="n">
        <f aca="false">IFERROR(IF(ISNUMBER(INDEX(원자료_시장!$A$1:$BZ$1000,설정!$L$6+ROW()-1,설정!$L$31)),INDEX(원자료_시장!$A$1:$BZ$1000,설정!$L$6+ROW()-1,설정!$L$31),""),"")</f>
        <v>0.7</v>
      </c>
      <c r="J45" s="97" t="n">
        <f aca="false">IFERROR(IF(ISNUMBER(INDEX(원자료_시장!$A$1:$BZ$1000,설정!$L$6+ROW()-1,설정!$L$32)),INDEX(원자료_시장!$A$1:$BZ$1000,설정!$L$6+ROW()-1,설정!$L$32),""),"")</f>
        <v>0.3</v>
      </c>
      <c r="K45" s="85" t="n">
        <f aca="false">IFERROR(IF(ISNUMBER(INDEX(원자료_시장!$A$1:$BZ$1000,설정!$L$6+ROW()-1,설정!$L$33)),INDEX(원자료_시장!$A$1:$BZ$1000,설정!$L$6+ROW()-1,설정!$L$33),""),"")</f>
        <v>3.911</v>
      </c>
      <c r="L45" s="83" t="str">
        <f aca="false">IFERROR(IF(INDEX(원자료_시장!$A$1:$BZ$1000,설정!$L$6+ROW()-1,설정!$L$34)&amp;""="0","",INDEX(원자료_시장!$A$1:$BZ$1000,설정!$L$6+ROW()-1,설정!$L$34)),"")</f>
        <v>금융기관</v>
      </c>
      <c r="M45" s="83" t="str">
        <f aca="false">IFERROR(IF(INDEX(원자료_시장!$A$1:$BZ$1000,설정!$L$6+ROW()-1,설정!$L$35)&amp;""="0","",INDEX(원자료_시장!$A$1:$BZ$1000,설정!$L$6+ROW()-1,설정!$L$35)),"")</f>
        <v>BBB+</v>
      </c>
      <c r="N45" s="83" t="str">
        <f aca="false">IFERROR(IF(INDEX(원자료_시장!$A$1:$BZ$1000,설정!$L$6+ROW()-1,설정!$L$36)&amp;""="0","",INDEX(원자료_시장!$A$1:$BZ$1000,설정!$L$6+ROW()-1,설정!$L$36)),"")</f>
        <v>미국</v>
      </c>
      <c r="O45" s="43" t="str">
        <f aca="false">IF($A45="","",UPPER(LEFT($A45,FIND(" ",$A45&amp;" ")-1)))</f>
        <v>GS</v>
      </c>
      <c r="P45" s="43" t="str">
        <f aca="false">IF($A45="","",TRIM(RIGHT(SUBSTITUTE(TRIM($A45)," ",REPT(" ",30)),30)))</f>
        <v>01/21/32</v>
      </c>
      <c r="Q45" s="98" t="n">
        <f aca="false">IF($A45="","",IFERROR(DATE(IF(LEN(P45)=8,2000+VALUE(RIGHT(P45,2)),VALUE(RIGHT(P45,4))),VALUE(LEFT(P45,2)),VALUE(MID(P45,4,2))),""))</f>
        <v>48234</v>
      </c>
      <c r="R45" s="89" t="n">
        <f aca="false">IF($A45="",0,IF(ISNUMBER(SEARCH("Float",$A45)),1,0))</f>
        <v>0</v>
      </c>
      <c r="S45" s="43" t="str">
        <f aca="false">IF($A45="","",TRIM(MID($A45,LEN(O45)+2,LEN($A45)-LEN(O45)-LEN(P45)-1)))</f>
        <v>4.516</v>
      </c>
      <c r="T45" s="92" t="n">
        <f aca="false">IF(OR($A45="",R45=1),"",IFERROR(IF(ISNUMBER(FIND("/",S45)),IF(ISNUMBER(FIND(" ",S45)),VALUE(LEFT(S45,FIND(" ",S45)-1))+VALUE(MID(S45,FIND(" ",S45)+1,FIND("/",S45)-FIND(" ",S45)-1))/VALUE(MID(S45,FIND("/",S45)+1,9)),VALUE(LEFT(S45,FIND("/",S45)-1))/VALUE(MID(S45,FIND("/",S45)+1,9))),VALUE(S45)),""))</f>
        <v>4.516</v>
      </c>
      <c r="U45" s="43" t="str">
        <f aca="false">IF(OR($A45="",NOT(ISNUMBER(Q45))),"",TEXT(Q45,"yyyymmdd")&amp;"|"&amp;IF(R45=1,"F",TEXT(T45,"0.000")))</f>
        <v>20320121|4.516</v>
      </c>
      <c r="V45" s="43" t="str">
        <f aca="false">IF(U45="","",O45&amp;"|"&amp;U45)</f>
        <v>GS|20320121|4.516</v>
      </c>
      <c r="W45" s="43" t="str">
        <f aca="false">IF($A45="","",IFERROR(IF(VLOOKUP(O45,매핑!$A$4:$E$92,3,0)="","미분류",VLOOKUP(O45,매핑!$A$4:$E$92,3,0)),"미분류"))</f>
        <v>미국</v>
      </c>
      <c r="X45" s="89" t="n">
        <f aca="false">IF($A45="",0,IF(O45="T",1,0))</f>
        <v>0</v>
      </c>
      <c r="Y45" s="89" t="n">
        <f aca="false">IF($A45="",0,IF(AND(C45="USD",X45=0,ISNUMBER(E45),ISNUMBER(K45)),IF(K45&gt;=설정!$C$8,1,0),0))</f>
        <v>1</v>
      </c>
      <c r="Z45" s="43" t="str">
        <f aca="false">IF($A45="","",N45&amp;"|"&amp;L45)</f>
        <v>미국|금융기관</v>
      </c>
      <c r="AA45" s="92" t="n">
        <f aca="false">IF(Y45=1,LN(K45),0)</f>
        <v>1.36379309577338</v>
      </c>
      <c r="AB45" s="93" t="n">
        <f aca="false">IF(Y45=1,E45,0)</f>
        <v>90.411</v>
      </c>
      <c r="AC45" s="89" t="n">
        <f aca="false">IF(Y45=1,COUNTIFS($Z$2:$Z$601,Z45,$Y$2:$Y$601,1),0)</f>
        <v>28</v>
      </c>
      <c r="AD45" s="89" t="n">
        <f aca="false">IF(Y45=1,COUNTIFS($N$2:$N$601,N45,$Y$2:$Y$601,1),0)</f>
        <v>49</v>
      </c>
      <c r="AE45" s="43" t="str">
        <f aca="false">IF(Y45&lt;&gt;1,"",IF(AND(AC45&gt;=설정!$C$7,ISNUMBER(MATCH(Z45,피어커브!$A:$A,0))),Z45,IF(AND(AD45&gt;=설정!$C$7,ISNUMBER(MATCH(N45&amp;"|전체",피어커브!$A:$A,0))),N45&amp;"|전체","전체|전체")))</f>
        <v>미국|금융기관</v>
      </c>
      <c r="AF45" s="93" t="n">
        <f aca="false">IF(AE45="","",INDEX(피어커브!$K:$K,MATCH(AE45,피어커브!$A:$A,0)))</f>
        <v>47.5387798885896</v>
      </c>
      <c r="AG45" s="93" t="n">
        <f aca="false">IF(AE45="","",INDEX(피어커브!$J:$J,MATCH(AE45,피어커브!$A:$A,0)))</f>
        <v>20.73676364145</v>
      </c>
      <c r="AH45" s="93" t="n">
        <f aca="false">IF(AE45="","",INDEX(피어커브!$L:$L,MATCH(AE45,피어커브!$A:$A,0)))</f>
        <v>13.6771810277023</v>
      </c>
      <c r="AI45" s="93" t="n">
        <f aca="false">IF(AE45="","",AF45+AG45*AA45)</f>
        <v>75.8194349714836</v>
      </c>
      <c r="AJ45" s="96" t="n">
        <f aca="false">IF(AE45="","",E45-AI45)</f>
        <v>14.5915650285165</v>
      </c>
      <c r="AK45" s="95" t="n">
        <f aca="false">IF(AE45="","",IF(ISNUMBER(AH45),IF(AH45&gt;0,AJ45/AH45,""),""))</f>
        <v>1.06685471216343</v>
      </c>
      <c r="AL45" s="43" t="str">
        <f aca="false">IF(AK45="","-",IF(AK45&gt;=설정!$C$6,"Cheap",IF(AK45&lt;=-설정!$C$6,"Rich","Fair")))</f>
        <v>Cheap</v>
      </c>
      <c r="AM45" s="96" t="n">
        <f aca="false">IF(AE45="","",AJ45-AVERAGEIFS($AJ$2:$AJ$601,$B$2:$B$601,B45,$Y$2:$Y$601,1))</f>
        <v>3.66766724529914</v>
      </c>
      <c r="AN45" s="93" t="n">
        <f aca="false">IF(AE45="",0,IF(K45&gt;1+설정!$C$8,AG45*(AA45-LN(K45-1)),0))</f>
        <v>6.12349229401586</v>
      </c>
      <c r="AO45" s="99" t="n">
        <f aca="false">IF($A45="",0,SUMIFS(보유분석!$AA$2:$AA$801,보유분석!$AB$2:$AB$801,ROW(),보유분석!$AC$2:$AC$801,1))</f>
        <v>0</v>
      </c>
      <c r="AP45" s="43" t="str">
        <f aca="false">IF($A45="","",TRIM(IF(R45=1,"FRN ","")&amp;IF(IFERROR(VLOOKUP(M45,설정!$A$15:$D$47,4,0),0)&gt;=10,IF(IFERROR(VLOOKUP(M45,설정!$A$15:$D$47,4,0),0)&lt;99,"BBB0미만 ",""),"")&amp;IF(OR(M45="",M45="NR"),"등급미입력 ","")&amp;IF(C45&lt;&gt;"USD","비USD ","")))</f>
        <v/>
      </c>
      <c r="AQ45" s="90" t="n">
        <f aca="false">IF(AND(Y45=1,AL45="Cheap"),IF(AND(ISERROR(SEARCH("FRN",AP45)),ISERROR(SEARCH("BBB0미만",AP45))),AK45+ROW()/1000000000,-999),-999)</f>
        <v>1.06685475716343</v>
      </c>
      <c r="AR45" s="92" t="n">
        <f aca="false">IF(AND(ISNUMBER(D45),ISNUMBER(K45)),D45+AN45*MAX(K45-1,0)/100,"")</f>
        <v>5.9762548606788</v>
      </c>
      <c r="AS45" s="93" t="n">
        <f aca="false">IF(AND(ISNUMBER(E45),ISNUMBER(K45)),IF(K45&gt;0,(E45+AN45*MAX(K45-1,0))/K45,""),"")</f>
        <v>27.6748877698492</v>
      </c>
      <c r="AT45" s="90" t="n">
        <f aca="false">IFERROR(IF(AND(Y45=1,ROW()&lt;&gt;스왑분석!$C$12+1,ABS(K45-INDEX($K$2:$K$601,스왑분석!$C$12))&lt;=스왑분석!$C$5,ISERROR(SEARCH("FRN",AP45)),ISERROR(SEARCH("BBB0미만",AP45))),IF(AND(OR(스왑분석!$C$6="N",L45=INDEX($L$2:$L$601,스왑분석!$C$12)),OR(스왑분석!$C$7="N",N45=INDEX($N$2:$N$601,스왑분석!$C$12)),OR(스왑분석!$C$8="N",AO45=0),E45-INDEX($E$2:$E$601,스왑분석!$C$12)&gt;=스왑분석!$C$9),E45-INDEX($E$2:$E$601,스왑분석!$C$12)+ROW()/1000000000,-999),-999),-999)</f>
        <v>41.919000045</v>
      </c>
      <c r="AU45" s="90" t="n">
        <f aca="false">IF(AND(Y45=1,AO45&gt;0,AL45="Rich"),-AK45+ROW()/1000000000,-999)</f>
        <v>-999</v>
      </c>
    </row>
    <row r="46" customFormat="false" ht="15" hidden="false" customHeight="false" outlineLevel="0" collapsed="false">
      <c r="A46" s="83" t="str">
        <f aca="false">IFERROR(IF(INDEX(원자료_시장!$A$1:$BZ$1000,설정!$L$6+ROW()-1,설정!$L$24)&amp;""="0","",INDEX(원자료_시장!$A$1:$BZ$1000,설정!$L$6+ROW()-1,설정!$L$24)),"")</f>
        <v>HSBC 4.583 06/19/29</v>
      </c>
      <c r="B46" s="83" t="str">
        <f aca="false">IFERROR(IF(INDEX(원자료_시장!$A$1:$BZ$1000,설정!$L$6+ROW()-1,설정!$L$37)&amp;""="0","",INDEX(원자료_시장!$A$1:$BZ$1000,설정!$L$6+ROW()-1,설정!$L$37)),"")</f>
        <v>HSBC HOLDINGS PLC</v>
      </c>
      <c r="C46" s="83" t="str">
        <f aca="false">IFERROR(IF(INDEX(원자료_시장!$A$1:$BZ$1000,설정!$L$6+ROW()-1,설정!$L$25)&amp;""="0","",INDEX(원자료_시장!$A$1:$BZ$1000,설정!$L$6+ROW()-1,설정!$L$25)),"")</f>
        <v>USD</v>
      </c>
      <c r="D46" s="85" t="n">
        <f aca="false">IFERROR(IF(ISNUMBER(INDEX(원자료_시장!$A$1:$BZ$1000,설정!$L$6+ROW()-1,설정!$L$26)),INDEX(원자료_시장!$A$1:$BZ$1000,설정!$L$6+ROW()-1,설정!$L$26),""),"")</f>
        <v>5.611</v>
      </c>
      <c r="E46" s="97" t="n">
        <f aca="false">IFERROR(IF(ISNUMBER(INDEX(원자료_시장!$A$1:$BZ$1000,설정!$L$6+ROW()-1,설정!$L$27)),INDEX(원자료_시장!$A$1:$BZ$1000,설정!$L$6+ROW()-1,설정!$L$27),""),"")</f>
        <v>54.426</v>
      </c>
      <c r="F46" s="97" t="n">
        <f aca="false">IFERROR(IF(ISNUMBER(INDEX(원자료_시장!$A$1:$BZ$1000,설정!$L$6+ROW()-1,설정!$L$28)),INDEX(원자료_시장!$A$1:$BZ$1000,설정!$L$6+ROW()-1,설정!$L$28),""),"")</f>
        <v>78.615</v>
      </c>
      <c r="G46" s="97" t="n">
        <f aca="false">IFERROR(IF(ISNUMBER(INDEX(원자료_시장!$A$1:$BZ$1000,설정!$L$6+ROW()-1,설정!$L$29)),INDEX(원자료_시장!$A$1:$BZ$1000,설정!$L$6+ROW()-1,설정!$L$29),""),"")</f>
        <v>0.7</v>
      </c>
      <c r="H46" s="97" t="n">
        <f aca="false">IFERROR(IF(ISNUMBER(INDEX(원자료_시장!$A$1:$BZ$1000,설정!$L$6+ROW()-1,설정!$L$30)),INDEX(원자료_시장!$A$1:$BZ$1000,설정!$L$6+ROW()-1,설정!$L$30),""),"")</f>
        <v>9.9</v>
      </c>
      <c r="I46" s="97" t="n">
        <f aca="false">IFERROR(IF(ISNUMBER(INDEX(원자료_시장!$A$1:$BZ$1000,설정!$L$6+ROW()-1,설정!$L$31)),INDEX(원자료_시장!$A$1:$BZ$1000,설정!$L$6+ROW()-1,설정!$L$31),""),"")</f>
        <v>-2.7</v>
      </c>
      <c r="J46" s="97" t="n">
        <f aca="false">IFERROR(IF(ISNUMBER(INDEX(원자료_시장!$A$1:$BZ$1000,설정!$L$6+ROW()-1,설정!$L$32)),INDEX(원자료_시장!$A$1:$BZ$1000,설정!$L$6+ROW()-1,설정!$L$32),""),"")</f>
        <v>-13.8</v>
      </c>
      <c r="K46" s="85" t="n">
        <f aca="false">IFERROR(IF(ISNUMBER(INDEX(원자료_시장!$A$1:$BZ$1000,설정!$L$6+ROW()-1,설정!$L$33)),INDEX(원자료_시장!$A$1:$BZ$1000,설정!$L$6+ROW()-1,설정!$L$33),""),"")</f>
        <v>1.647</v>
      </c>
      <c r="L46" s="83" t="str">
        <f aca="false">IFERROR(IF(INDEX(원자료_시장!$A$1:$BZ$1000,설정!$L$6+ROW()-1,설정!$L$34)&amp;""="0","",INDEX(원자료_시장!$A$1:$BZ$1000,설정!$L$6+ROW()-1,설정!$L$34)),"")</f>
        <v>금융기관</v>
      </c>
      <c r="M46" s="83" t="str">
        <f aca="false">IFERROR(IF(INDEX(원자료_시장!$A$1:$BZ$1000,설정!$L$6+ROW()-1,설정!$L$35)&amp;""="0","",INDEX(원자료_시장!$A$1:$BZ$1000,설정!$L$6+ROW()-1,설정!$L$35)),"")</f>
        <v>A-</v>
      </c>
      <c r="N46" s="83" t="str">
        <f aca="false">IFERROR(IF(INDEX(원자료_시장!$A$1:$BZ$1000,설정!$L$6+ROW()-1,설정!$L$36)&amp;""="0","",INDEX(원자료_시장!$A$1:$BZ$1000,설정!$L$6+ROW()-1,설정!$L$36)),"")</f>
        <v>유럽</v>
      </c>
      <c r="O46" s="43" t="str">
        <f aca="false">IF($A46="","",UPPER(LEFT($A46,FIND(" ",$A46&amp;" ")-1)))</f>
        <v>HSBC</v>
      </c>
      <c r="P46" s="43" t="str">
        <f aca="false">IF($A46="","",TRIM(RIGHT(SUBSTITUTE(TRIM($A46)," ",REPT(" ",30)),30)))</f>
        <v>06/19/29</v>
      </c>
      <c r="Q46" s="98" t="n">
        <f aca="false">IF($A46="","",IFERROR(DATE(IF(LEN(P46)=8,2000+VALUE(RIGHT(P46,2)),VALUE(RIGHT(P46,4))),VALUE(LEFT(P46,2)),VALUE(MID(P46,4,2))),""))</f>
        <v>47288</v>
      </c>
      <c r="R46" s="89" t="n">
        <f aca="false">IF($A46="",0,IF(ISNUMBER(SEARCH("Float",$A46)),1,0))</f>
        <v>0</v>
      </c>
      <c r="S46" s="43" t="str">
        <f aca="false">IF($A46="","",TRIM(MID($A46,LEN(O46)+2,LEN($A46)-LEN(O46)-LEN(P46)-1)))</f>
        <v>4.583</v>
      </c>
      <c r="T46" s="92" t="n">
        <f aca="false">IF(OR($A46="",R46=1),"",IFERROR(IF(ISNUMBER(FIND("/",S46)),IF(ISNUMBER(FIND(" ",S46)),VALUE(LEFT(S46,FIND(" ",S46)-1))+VALUE(MID(S46,FIND(" ",S46)+1,FIND("/",S46)-FIND(" ",S46)-1))/VALUE(MID(S46,FIND("/",S46)+1,9)),VALUE(LEFT(S46,FIND("/",S46)-1))/VALUE(MID(S46,FIND("/",S46)+1,9))),VALUE(S46)),""))</f>
        <v>4.583</v>
      </c>
      <c r="U46" s="43" t="str">
        <f aca="false">IF(OR($A46="",NOT(ISNUMBER(Q46))),"",TEXT(Q46,"yyyymmdd")&amp;"|"&amp;IF(R46=1,"F",TEXT(T46,"0.000")))</f>
        <v>20290619|4.583</v>
      </c>
      <c r="V46" s="43" t="str">
        <f aca="false">IF(U46="","",O46&amp;"|"&amp;U46)</f>
        <v>HSBC|20290619|4.583</v>
      </c>
      <c r="W46" s="43" t="str">
        <f aca="false">IF($A46="","",IFERROR(IF(VLOOKUP(O46,매핑!$A$4:$E$92,3,0)="","미분류",VLOOKUP(O46,매핑!$A$4:$E$92,3,0)),"미분류"))</f>
        <v>영국</v>
      </c>
      <c r="X46" s="89" t="n">
        <f aca="false">IF($A46="",0,IF(O46="T",1,0))</f>
        <v>0</v>
      </c>
      <c r="Y46" s="89" t="n">
        <f aca="false">IF($A46="",0,IF(AND(C46="USD",X46=0,ISNUMBER(E46),ISNUMBER(K46)),IF(K46&gt;=설정!$C$8,1,0),0))</f>
        <v>1</v>
      </c>
      <c r="Z46" s="43" t="str">
        <f aca="false">IF($A46="","",N46&amp;"|"&amp;L46)</f>
        <v>유럽|금융기관</v>
      </c>
      <c r="AA46" s="92" t="n">
        <f aca="false">IF(Y46=1,LN(K46),0)</f>
        <v>0.498955451195503</v>
      </c>
      <c r="AB46" s="93" t="n">
        <f aca="false">IF(Y46=1,E46,0)</f>
        <v>54.426</v>
      </c>
      <c r="AC46" s="89" t="n">
        <f aca="false">IF(Y46=1,COUNTIFS($Z$2:$Z$601,Z46,$Y$2:$Y$601,1),0)</f>
        <v>32</v>
      </c>
      <c r="AD46" s="89" t="n">
        <f aca="false">IF(Y46=1,COUNTIFS($N$2:$N$601,N46,$Y$2:$Y$601,1),0)</f>
        <v>32</v>
      </c>
      <c r="AE46" s="43" t="str">
        <f aca="false">IF(Y46&lt;&gt;1,"",IF(AND(AC46&gt;=설정!$C$7,ISNUMBER(MATCH(Z46,피어커브!$A:$A,0))),Z46,IF(AND(AD46&gt;=설정!$C$7,ISNUMBER(MATCH(N46&amp;"|전체",피어커브!$A:$A,0))),N46&amp;"|전체","전체|전체")))</f>
        <v>유럽|금융기관</v>
      </c>
      <c r="AF46" s="93" t="n">
        <f aca="false">IF(AE46="","",INDEX(피어커브!$K:$K,MATCH(AE46,피어커브!$A:$A,0)))</f>
        <v>43.3660967921697</v>
      </c>
      <c r="AG46" s="93" t="n">
        <f aca="false">IF(AE46="","",INDEX(피어커브!$J:$J,MATCH(AE46,피어커브!$A:$A,0)))</f>
        <v>30.582858826536</v>
      </c>
      <c r="AH46" s="93" t="n">
        <f aca="false">IF(AE46="","",INDEX(피어커브!$L:$L,MATCH(AE46,피어커브!$A:$A,0)))</f>
        <v>10.9882810943096</v>
      </c>
      <c r="AI46" s="93" t="n">
        <f aca="false">IF(AE46="","",AF46+AG46*AA46)</f>
        <v>58.6255809168123</v>
      </c>
      <c r="AJ46" s="96" t="n">
        <f aca="false">IF(AE46="","",E46-AI46)</f>
        <v>-4.19958091681233</v>
      </c>
      <c r="AK46" s="95" t="n">
        <f aca="false">IF(AE46="","",IF(ISNUMBER(AH46),IF(AH46&gt;0,AJ46/AH46,""),""))</f>
        <v>-0.382187248466653</v>
      </c>
      <c r="AL46" s="43" t="str">
        <f aca="false">IF(AK46="","-",IF(AK46&gt;=설정!$C$6,"Cheap",IF(AK46&lt;=-설정!$C$6,"Rich","Fair")))</f>
        <v>Fair</v>
      </c>
      <c r="AM46" s="96" t="n">
        <f aca="false">IF(AE46="","",AJ46-AVERAGEIFS($AJ$2:$AJ$601,$B$2:$B$601,B46,$Y$2:$Y$601,1))</f>
        <v>-0.0283195079192975</v>
      </c>
      <c r="AN46" s="93" t="n">
        <f aca="false">IF(AE46="",0,IF(K46&gt;1+설정!$C$8,AG46*(AA46-LN(K46-1)),0))</f>
        <v>28.5755356288377</v>
      </c>
      <c r="AO46" s="99" t="n">
        <f aca="false">IF($A46="",0,SUMIFS(보유분석!$AA$2:$AA$801,보유분석!$AB$2:$AB$801,ROW(),보유분석!$AC$2:$AC$801,1))</f>
        <v>9.86388</v>
      </c>
      <c r="AP46" s="43" t="str">
        <f aca="false">IF($A46="","",TRIM(IF(R46=1,"FRN ","")&amp;IF(IFERROR(VLOOKUP(M46,설정!$A$15:$D$47,4,0),0)&gt;=10,IF(IFERROR(VLOOKUP(M46,설정!$A$15:$D$47,4,0),0)&lt;99,"BBB0미만 ",""),"")&amp;IF(OR(M46="",M46="NR"),"등급미입력 ","")&amp;IF(C46&lt;&gt;"USD","비USD ","")))</f>
        <v/>
      </c>
      <c r="AQ46" s="90" t="n">
        <f aca="false">IF(AND(Y46=1,AL46="Cheap"),IF(AND(ISERROR(SEARCH("FRN",AP46)),ISERROR(SEARCH("BBB0미만",AP46))),AK46+ROW()/1000000000,-999),-999)</f>
        <v>-999</v>
      </c>
      <c r="AR46" s="92" t="n">
        <f aca="false">IF(AND(ISNUMBER(D46),ISNUMBER(K46)),D46+AN46*MAX(K46-1,0)/100,"")</f>
        <v>5.79588371551858</v>
      </c>
      <c r="AS46" s="93" t="n">
        <f aca="false">IF(AND(ISNUMBER(E46),ISNUMBER(K46)),IF(K46&gt;0,(E46+AN46*MAX(K46-1,0))/K46,""),"")</f>
        <v>44.271020978663</v>
      </c>
      <c r="AT46" s="90" t="n">
        <f aca="false">IFERROR(IF(AND(Y46=1,ROW()&lt;&gt;스왑분석!$C$12+1,ABS(K46-INDEX($K$2:$K$601,스왑분석!$C$12))&lt;=스왑분석!$C$5,ISERROR(SEARCH("FRN",AP46)),ISERROR(SEARCH("BBB0미만",AP46))),IF(AND(OR(스왑분석!$C$6="N",L46=INDEX($L$2:$L$601,스왑분석!$C$12)),OR(스왑분석!$C$7="N",N46=INDEX($N$2:$N$601,스왑분석!$C$12)),OR(스왑분석!$C$8="N",AO46=0),E46-INDEX($E$2:$E$601,스왑분석!$C$12)&gt;=스왑분석!$C$9),E46-INDEX($E$2:$E$601,스왑분석!$C$12)+ROW()/1000000000,-999),-999),-999)</f>
        <v>-999</v>
      </c>
      <c r="AU46" s="90" t="n">
        <f aca="false">IF(AND(Y46=1,AO46&gt;0,AL46="Rich"),-AK46+ROW()/1000000000,-999)</f>
        <v>-999</v>
      </c>
    </row>
    <row r="47" customFormat="false" ht="15" hidden="false" customHeight="false" outlineLevel="0" collapsed="false">
      <c r="A47" s="83" t="str">
        <f aca="false">IFERROR(IF(INDEX(원자료_시장!$A$1:$BZ$1000,설정!$L$6+ROW()-1,설정!$L$24)&amp;""="0","",INDEX(원자료_시장!$A$1:$BZ$1000,설정!$L$6+ROW()-1,설정!$L$24)),"")</f>
        <v>HSBC 3.973 05/22/30</v>
      </c>
      <c r="B47" s="83" t="str">
        <f aca="false">IFERROR(IF(INDEX(원자료_시장!$A$1:$BZ$1000,설정!$L$6+ROW()-1,설정!$L$37)&amp;""="0","",INDEX(원자료_시장!$A$1:$BZ$1000,설정!$L$6+ROW()-1,설정!$L$37)),"")</f>
        <v>HSBC HOLDINGS PLC</v>
      </c>
      <c r="C47" s="83" t="str">
        <f aca="false">IFERROR(IF(INDEX(원자료_시장!$A$1:$BZ$1000,설정!$L$6+ROW()-1,설정!$L$25)&amp;""="0","",INDEX(원자료_시장!$A$1:$BZ$1000,설정!$L$6+ROW()-1,설정!$L$25)),"")</f>
        <v>USD</v>
      </c>
      <c r="D47" s="85" t="n">
        <f aca="false">IFERROR(IF(ISNUMBER(INDEX(원자료_시장!$A$1:$BZ$1000,설정!$L$6+ROW()-1,설정!$L$26)),INDEX(원자료_시장!$A$1:$BZ$1000,설정!$L$6+ROW()-1,설정!$L$26),""),"")</f>
        <v>5.791</v>
      </c>
      <c r="E47" s="97" t="n">
        <f aca="false">IFERROR(IF(ISNUMBER(INDEX(원자료_시장!$A$1:$BZ$1000,설정!$L$6+ROW()-1,설정!$L$27)),INDEX(원자료_시장!$A$1:$BZ$1000,설정!$L$6+ROW()-1,설정!$L$27),""),"")</f>
        <v>71.253</v>
      </c>
      <c r="F47" s="97" t="n">
        <f aca="false">IFERROR(IF(ISNUMBER(INDEX(원자료_시장!$A$1:$BZ$1000,설정!$L$6+ROW()-1,설정!$L$28)),INDEX(원자료_시장!$A$1:$BZ$1000,설정!$L$6+ROW()-1,설정!$L$28),""),"")</f>
        <v>99.277</v>
      </c>
      <c r="G47" s="97" t="n">
        <f aca="false">IFERROR(IF(ISNUMBER(INDEX(원자료_시장!$A$1:$BZ$1000,설정!$L$6+ROW()-1,설정!$L$29)),INDEX(원자료_시장!$A$1:$BZ$1000,설정!$L$6+ROW()-1,설정!$L$29),""),"")</f>
        <v>-2.8</v>
      </c>
      <c r="H47" s="97" t="n">
        <f aca="false">IFERROR(IF(ISNUMBER(INDEX(원자료_시장!$A$1:$BZ$1000,설정!$L$6+ROW()-1,설정!$L$30)),INDEX(원자료_시장!$A$1:$BZ$1000,설정!$L$6+ROW()-1,설정!$L$30),""),"")</f>
        <v>5.4</v>
      </c>
      <c r="I47" s="97" t="n">
        <f aca="false">IFERROR(IF(ISNUMBER(INDEX(원자료_시장!$A$1:$BZ$1000,설정!$L$6+ROW()-1,설정!$L$31)),INDEX(원자료_시장!$A$1:$BZ$1000,설정!$L$6+ROW()-1,설정!$L$31),""),"")</f>
        <v>-3.3</v>
      </c>
      <c r="J47" s="97" t="n">
        <f aca="false">IFERROR(IF(ISNUMBER(INDEX(원자료_시장!$A$1:$BZ$1000,설정!$L$6+ROW()-1,설정!$L$32)),INDEX(원자료_시장!$A$1:$BZ$1000,설정!$L$6+ROW()-1,설정!$L$32),""),"")</f>
        <v>-10.8</v>
      </c>
      <c r="K47" s="85" t="n">
        <f aca="false">IFERROR(IF(ISNUMBER(INDEX(원자료_시장!$A$1:$BZ$1000,설정!$L$6+ROW()-1,설정!$L$33)),INDEX(원자료_시장!$A$1:$BZ$1000,설정!$L$6+ROW()-1,설정!$L$33),""),"")</f>
        <v>2.492</v>
      </c>
      <c r="L47" s="83" t="str">
        <f aca="false">IFERROR(IF(INDEX(원자료_시장!$A$1:$BZ$1000,설정!$L$6+ROW()-1,설정!$L$34)&amp;""="0","",INDEX(원자료_시장!$A$1:$BZ$1000,설정!$L$6+ROW()-1,설정!$L$34)),"")</f>
        <v>금융기관</v>
      </c>
      <c r="M47" s="83" t="str">
        <f aca="false">IFERROR(IF(INDEX(원자료_시장!$A$1:$BZ$1000,설정!$L$6+ROW()-1,설정!$L$35)&amp;""="0","",INDEX(원자료_시장!$A$1:$BZ$1000,설정!$L$6+ROW()-1,설정!$L$35)),"")</f>
        <v>A-</v>
      </c>
      <c r="N47" s="83" t="str">
        <f aca="false">IFERROR(IF(INDEX(원자료_시장!$A$1:$BZ$1000,설정!$L$6+ROW()-1,설정!$L$36)&amp;""="0","",INDEX(원자료_시장!$A$1:$BZ$1000,설정!$L$6+ROW()-1,설정!$L$36)),"")</f>
        <v>유럽</v>
      </c>
      <c r="O47" s="43" t="str">
        <f aca="false">IF($A47="","",UPPER(LEFT($A47,FIND(" ",$A47&amp;" ")-1)))</f>
        <v>HSBC</v>
      </c>
      <c r="P47" s="43" t="str">
        <f aca="false">IF($A47="","",TRIM(RIGHT(SUBSTITUTE(TRIM($A47)," ",REPT(" ",30)),30)))</f>
        <v>05/22/30</v>
      </c>
      <c r="Q47" s="98" t="n">
        <f aca="false">IF($A47="","",IFERROR(DATE(IF(LEN(P47)=8,2000+VALUE(RIGHT(P47,2)),VALUE(RIGHT(P47,4))),VALUE(LEFT(P47,2)),VALUE(MID(P47,4,2))),""))</f>
        <v>47625</v>
      </c>
      <c r="R47" s="89" t="n">
        <f aca="false">IF($A47="",0,IF(ISNUMBER(SEARCH("Float",$A47)),1,0))</f>
        <v>0</v>
      </c>
      <c r="S47" s="43" t="str">
        <f aca="false">IF($A47="","",TRIM(MID($A47,LEN(O47)+2,LEN($A47)-LEN(O47)-LEN(P47)-1)))</f>
        <v>3.973</v>
      </c>
      <c r="T47" s="92" t="n">
        <f aca="false">IF(OR($A47="",R47=1),"",IFERROR(IF(ISNUMBER(FIND("/",S47)),IF(ISNUMBER(FIND(" ",S47)),VALUE(LEFT(S47,FIND(" ",S47)-1))+VALUE(MID(S47,FIND(" ",S47)+1,FIND("/",S47)-FIND(" ",S47)-1))/VALUE(MID(S47,FIND("/",S47)+1,9)),VALUE(LEFT(S47,FIND("/",S47)-1))/VALUE(MID(S47,FIND("/",S47)+1,9))),VALUE(S47)),""))</f>
        <v>3.973</v>
      </c>
      <c r="U47" s="43" t="str">
        <f aca="false">IF(OR($A47="",NOT(ISNUMBER(Q47))),"",TEXT(Q47,"yyyymmdd")&amp;"|"&amp;IF(R47=1,"F",TEXT(T47,"0.000")))</f>
        <v>20300522|3.973</v>
      </c>
      <c r="V47" s="43" t="str">
        <f aca="false">IF(U47="","",O47&amp;"|"&amp;U47)</f>
        <v>HSBC|20300522|3.973</v>
      </c>
      <c r="W47" s="43" t="str">
        <f aca="false">IF($A47="","",IFERROR(IF(VLOOKUP(O47,매핑!$A$4:$E$92,3,0)="","미분류",VLOOKUP(O47,매핑!$A$4:$E$92,3,0)),"미분류"))</f>
        <v>영국</v>
      </c>
      <c r="X47" s="89" t="n">
        <f aca="false">IF($A47="",0,IF(O47="T",1,0))</f>
        <v>0</v>
      </c>
      <c r="Y47" s="89" t="n">
        <f aca="false">IF($A47="",0,IF(AND(C47="USD",X47=0,ISNUMBER(E47),ISNUMBER(K47)),IF(K47&gt;=설정!$C$8,1,0),0))</f>
        <v>1</v>
      </c>
      <c r="Z47" s="43" t="str">
        <f aca="false">IF($A47="","",N47&amp;"|"&amp;L47)</f>
        <v>유럽|금융기관</v>
      </c>
      <c r="AA47" s="92" t="n">
        <f aca="false">IF(Y47=1,LN(K47),0)</f>
        <v>0.913085600925207</v>
      </c>
      <c r="AB47" s="93" t="n">
        <f aca="false">IF(Y47=1,E47,0)</f>
        <v>71.253</v>
      </c>
      <c r="AC47" s="89" t="n">
        <f aca="false">IF(Y47=1,COUNTIFS($Z$2:$Z$601,Z47,$Y$2:$Y$601,1),0)</f>
        <v>32</v>
      </c>
      <c r="AD47" s="89" t="n">
        <f aca="false">IF(Y47=1,COUNTIFS($N$2:$N$601,N47,$Y$2:$Y$601,1),0)</f>
        <v>32</v>
      </c>
      <c r="AE47" s="43" t="str">
        <f aca="false">IF(Y47&lt;&gt;1,"",IF(AND(AC47&gt;=설정!$C$7,ISNUMBER(MATCH(Z47,피어커브!$A:$A,0))),Z47,IF(AND(AD47&gt;=설정!$C$7,ISNUMBER(MATCH(N47&amp;"|전체",피어커브!$A:$A,0))),N47&amp;"|전체","전체|전체")))</f>
        <v>유럽|금융기관</v>
      </c>
      <c r="AF47" s="93" t="n">
        <f aca="false">IF(AE47="","",INDEX(피어커브!$K:$K,MATCH(AE47,피어커브!$A:$A,0)))</f>
        <v>43.3660967921697</v>
      </c>
      <c r="AG47" s="93" t="n">
        <f aca="false">IF(AE47="","",INDEX(피어커브!$J:$J,MATCH(AE47,피어커브!$A:$A,0)))</f>
        <v>30.582858826536</v>
      </c>
      <c r="AH47" s="93" t="n">
        <f aca="false">IF(AE47="","",INDEX(피어커브!$L:$L,MATCH(AE47,피어커브!$A:$A,0)))</f>
        <v>10.9882810943096</v>
      </c>
      <c r="AI47" s="93" t="n">
        <f aca="false">IF(AE47="","",AF47+AG47*AA47)</f>
        <v>71.2908648218081</v>
      </c>
      <c r="AJ47" s="96" t="n">
        <f aca="false">IF(AE47="","",E47-AI47)</f>
        <v>-0.0378648218080713</v>
      </c>
      <c r="AK47" s="95" t="n">
        <f aca="false">IF(AE47="","",IF(ISNUMBER(AH47),IF(AH47&gt;0,AJ47/AH47,""),""))</f>
        <v>-0.00344592766448976</v>
      </c>
      <c r="AL47" s="43" t="str">
        <f aca="false">IF(AK47="","-",IF(AK47&gt;=설정!$C$6,"Cheap",IF(AK47&lt;=-설정!$C$6,"Rich","Fair")))</f>
        <v>Fair</v>
      </c>
      <c r="AM47" s="96" t="n">
        <f aca="false">IF(AE47="","",AJ47-AVERAGEIFS($AJ$2:$AJ$601,$B$2:$B$601,B47,$Y$2:$Y$601,1))</f>
        <v>4.13339658708496</v>
      </c>
      <c r="AN47" s="93" t="n">
        <f aca="false">IF(AE47="",0,IF(K47&gt;1+설정!$C$8,AG47*(AA47-LN(K47-1)),0))</f>
        <v>15.6880309586264</v>
      </c>
      <c r="AO47" s="99" t="n">
        <f aca="false">IF($A47="",0,SUMIFS(보유분석!$AA$2:$AA$801,보유분석!$AB$2:$AB$801,ROW(),보유분석!$AC$2:$AC$801,1))</f>
        <v>4.79029</v>
      </c>
      <c r="AP47" s="43" t="str">
        <f aca="false">IF($A47="","",TRIM(IF(R47=1,"FRN ","")&amp;IF(IFERROR(VLOOKUP(M47,설정!$A$15:$D$47,4,0),0)&gt;=10,IF(IFERROR(VLOOKUP(M47,설정!$A$15:$D$47,4,0),0)&lt;99,"BBB0미만 ",""),"")&amp;IF(OR(M47="",M47="NR"),"등급미입력 ","")&amp;IF(C47&lt;&gt;"USD","비USD ","")))</f>
        <v/>
      </c>
      <c r="AQ47" s="90" t="n">
        <f aca="false">IF(AND(Y47=1,AL47="Cheap"),IF(AND(ISERROR(SEARCH("FRN",AP47)),ISERROR(SEARCH("BBB0미만",AP47))),AK47+ROW()/1000000000,-999),-999)</f>
        <v>-999</v>
      </c>
      <c r="AR47" s="92" t="n">
        <f aca="false">IF(AND(ISNUMBER(D47),ISNUMBER(K47)),D47+AN47*MAX(K47-1,0)/100,"")</f>
        <v>6.02506542190271</v>
      </c>
      <c r="AS47" s="93" t="n">
        <f aca="false">IF(AND(ISNUMBER(E47),ISNUMBER(K47)),IF(K47&gt;0,(E47+AN47*MAX(K47-1,0))/K47,""),"")</f>
        <v>37.9853700603012</v>
      </c>
      <c r="AT47" s="90" t="n">
        <f aca="false">IFERROR(IF(AND(Y47=1,ROW()&lt;&gt;스왑분석!$C$12+1,ABS(K47-INDEX($K$2:$K$601,스왑분석!$C$12))&lt;=스왑분석!$C$5,ISERROR(SEARCH("FRN",AP47)),ISERROR(SEARCH("BBB0미만",AP47))),IF(AND(OR(스왑분석!$C$6="N",L47=INDEX($L$2:$L$601,스왑분석!$C$12)),OR(스왑분석!$C$7="N",N47=INDEX($N$2:$N$601,스왑분석!$C$12)),OR(스왑분석!$C$8="N",AO47=0),E47-INDEX($E$2:$E$601,스왑분석!$C$12)&gt;=스왑분석!$C$9),E47-INDEX($E$2:$E$601,스왑분석!$C$12)+ROW()/1000000000,-999),-999),-999)</f>
        <v>22.761000047</v>
      </c>
      <c r="AU47" s="90" t="n">
        <f aca="false">IF(AND(Y47=1,AO47&gt;0,AL47="Rich"),-AK47+ROW()/1000000000,-999)</f>
        <v>-999</v>
      </c>
    </row>
    <row r="48" customFormat="false" ht="15" hidden="false" customHeight="false" outlineLevel="0" collapsed="false">
      <c r="A48" s="83" t="str">
        <f aca="false">IFERROR(IF(INDEX(원자료_시장!$A$1:$BZ$1000,설정!$L$6+ROW()-1,설정!$L$24)&amp;""="0","",INDEX(원자료_시장!$A$1:$BZ$1000,설정!$L$6+ROW()-1,설정!$L$24)),"")</f>
        <v>HSBC 4.95 03/31/30</v>
      </c>
      <c r="B48" s="83" t="str">
        <f aca="false">IFERROR(IF(INDEX(원자료_시장!$A$1:$BZ$1000,설정!$L$6+ROW()-1,설정!$L$37)&amp;""="0","",INDEX(원자료_시장!$A$1:$BZ$1000,설정!$L$6+ROW()-1,설정!$L$37)),"")</f>
        <v>HSBC HOLDINGS PLC</v>
      </c>
      <c r="C48" s="83" t="str">
        <f aca="false">IFERROR(IF(INDEX(원자료_시장!$A$1:$BZ$1000,설정!$L$6+ROW()-1,설정!$L$25)&amp;""="0","",INDEX(원자료_시장!$A$1:$BZ$1000,설정!$L$6+ROW()-1,설정!$L$25)),"")</f>
        <v>USD</v>
      </c>
      <c r="D48" s="85" t="n">
        <f aca="false">IFERROR(IF(ISNUMBER(INDEX(원자료_시장!$A$1:$BZ$1000,설정!$L$6+ROW()-1,설정!$L$26)),INDEX(원자료_시장!$A$1:$BZ$1000,설정!$L$6+ROW()-1,설정!$L$26),""),"")</f>
        <v>5.572</v>
      </c>
      <c r="E48" s="97" t="n">
        <f aca="false">IFERROR(IF(ISNUMBER(INDEX(원자료_시장!$A$1:$BZ$1000,설정!$L$6+ROW()-1,설정!$L$27)),INDEX(원자료_시장!$A$1:$BZ$1000,설정!$L$6+ROW()-1,설정!$L$27),""),"")</f>
        <v>48.492</v>
      </c>
      <c r="F48" s="97" t="n">
        <f aca="false">IFERROR(IF(ISNUMBER(INDEX(원자료_시장!$A$1:$BZ$1000,설정!$L$6+ROW()-1,설정!$L$28)),INDEX(원자료_시장!$A$1:$BZ$1000,설정!$L$6+ROW()-1,설정!$L$28),""),"")</f>
        <v>83.094</v>
      </c>
      <c r="G48" s="97" t="n">
        <f aca="false">IFERROR(IF(ISNUMBER(INDEX(원자료_시장!$A$1:$BZ$1000,설정!$L$6+ROW()-1,설정!$L$29)),INDEX(원자료_시장!$A$1:$BZ$1000,설정!$L$6+ROW()-1,설정!$L$29),""),"")</f>
        <v>-0.9</v>
      </c>
      <c r="H48" s="97" t="n">
        <f aca="false">IFERROR(IF(ISNUMBER(INDEX(원자료_시장!$A$1:$BZ$1000,설정!$L$6+ROW()-1,설정!$L$30)),INDEX(원자료_시장!$A$1:$BZ$1000,설정!$L$6+ROW()-1,설정!$L$30),""),"")</f>
        <v>1.7</v>
      </c>
      <c r="I48" s="97" t="n">
        <f aca="false">IFERROR(IF(ISNUMBER(INDEX(원자료_시장!$A$1:$BZ$1000,설정!$L$6+ROW()-1,설정!$L$31)),INDEX(원자료_시장!$A$1:$BZ$1000,설정!$L$6+ROW()-1,설정!$L$31),""),"")</f>
        <v>4.6</v>
      </c>
      <c r="J48" s="97" t="n">
        <f aca="false">IFERROR(IF(ISNUMBER(INDEX(원자료_시장!$A$1:$BZ$1000,설정!$L$6+ROW()-1,설정!$L$32)),INDEX(원자료_시장!$A$1:$BZ$1000,설정!$L$6+ROW()-1,설정!$L$32),""),"")</f>
        <v>3.1</v>
      </c>
      <c r="K48" s="85" t="n">
        <f aca="false">IFERROR(IF(ISNUMBER(INDEX(원자료_시장!$A$1:$BZ$1000,설정!$L$6+ROW()-1,설정!$L$33)),INDEX(원자료_시장!$A$1:$BZ$1000,설정!$L$6+ROW()-1,설정!$L$33),""),"")</f>
        <v>3.248</v>
      </c>
      <c r="L48" s="83" t="str">
        <f aca="false">IFERROR(IF(INDEX(원자료_시장!$A$1:$BZ$1000,설정!$L$6+ROW()-1,설정!$L$34)&amp;""="0","",INDEX(원자료_시장!$A$1:$BZ$1000,설정!$L$6+ROW()-1,설정!$L$34)),"")</f>
        <v>금융기관</v>
      </c>
      <c r="M48" s="83" t="str">
        <f aca="false">IFERROR(IF(INDEX(원자료_시장!$A$1:$BZ$1000,설정!$L$6+ROW()-1,설정!$L$35)&amp;""="0","",INDEX(원자료_시장!$A$1:$BZ$1000,설정!$L$6+ROW()-1,설정!$L$35)),"")</f>
        <v>A-</v>
      </c>
      <c r="N48" s="83" t="str">
        <f aca="false">IFERROR(IF(INDEX(원자료_시장!$A$1:$BZ$1000,설정!$L$6+ROW()-1,설정!$L$36)&amp;""="0","",INDEX(원자료_시장!$A$1:$BZ$1000,설정!$L$6+ROW()-1,설정!$L$36)),"")</f>
        <v>유럽</v>
      </c>
      <c r="O48" s="43" t="str">
        <f aca="false">IF($A48="","",UPPER(LEFT($A48,FIND(" ",$A48&amp;" ")-1)))</f>
        <v>HSBC</v>
      </c>
      <c r="P48" s="43" t="str">
        <f aca="false">IF($A48="","",TRIM(RIGHT(SUBSTITUTE(TRIM($A48)," ",REPT(" ",30)),30)))</f>
        <v>03/31/30</v>
      </c>
      <c r="Q48" s="98" t="n">
        <f aca="false">IF($A48="","",IFERROR(DATE(IF(LEN(P48)=8,2000+VALUE(RIGHT(P48,2)),VALUE(RIGHT(P48,4))),VALUE(LEFT(P48,2)),VALUE(MID(P48,4,2))),""))</f>
        <v>47573</v>
      </c>
      <c r="R48" s="89" t="n">
        <f aca="false">IF($A48="",0,IF(ISNUMBER(SEARCH("Float",$A48)),1,0))</f>
        <v>0</v>
      </c>
      <c r="S48" s="43" t="str">
        <f aca="false">IF($A48="","",TRIM(MID($A48,LEN(O48)+2,LEN($A48)-LEN(O48)-LEN(P48)-1)))</f>
        <v>4.95</v>
      </c>
      <c r="T48" s="92" t="n">
        <f aca="false">IF(OR($A48="",R48=1),"",IFERROR(IF(ISNUMBER(FIND("/",S48)),IF(ISNUMBER(FIND(" ",S48)),VALUE(LEFT(S48,FIND(" ",S48)-1))+VALUE(MID(S48,FIND(" ",S48)+1,FIND("/",S48)-FIND(" ",S48)-1))/VALUE(MID(S48,FIND("/",S48)+1,9)),VALUE(LEFT(S48,FIND("/",S48)-1))/VALUE(MID(S48,FIND("/",S48)+1,9))),VALUE(S48)),""))</f>
        <v>4.95</v>
      </c>
      <c r="U48" s="43" t="str">
        <f aca="false">IF(OR($A48="",NOT(ISNUMBER(Q48))),"",TEXT(Q48,"yyyymmdd")&amp;"|"&amp;IF(R48=1,"F",TEXT(T48,"0.000")))</f>
        <v>20300331|4.950</v>
      </c>
      <c r="V48" s="43" t="str">
        <f aca="false">IF(U48="","",O48&amp;"|"&amp;U48)</f>
        <v>HSBC|20300331|4.950</v>
      </c>
      <c r="W48" s="43" t="str">
        <f aca="false">IF($A48="","",IFERROR(IF(VLOOKUP(O48,매핑!$A$4:$E$92,3,0)="","미분류",VLOOKUP(O48,매핑!$A$4:$E$92,3,0)),"미분류"))</f>
        <v>영국</v>
      </c>
      <c r="X48" s="89" t="n">
        <f aca="false">IF($A48="",0,IF(O48="T",1,0))</f>
        <v>0</v>
      </c>
      <c r="Y48" s="89" t="n">
        <f aca="false">IF($A48="",0,IF(AND(C48="USD",X48=0,ISNUMBER(E48),ISNUMBER(K48)),IF(K48&gt;=설정!$C$8,1,0),0))</f>
        <v>1</v>
      </c>
      <c r="Z48" s="43" t="str">
        <f aca="false">IF($A48="","",N48&amp;"|"&amp;L48)</f>
        <v>유럽|금융기관</v>
      </c>
      <c r="AA48" s="92" t="n">
        <f aca="false">IF(Y48=1,LN(K48),0)</f>
        <v>1.17803942229943</v>
      </c>
      <c r="AB48" s="93" t="n">
        <f aca="false">IF(Y48=1,E48,0)</f>
        <v>48.492</v>
      </c>
      <c r="AC48" s="89" t="n">
        <f aca="false">IF(Y48=1,COUNTIFS($Z$2:$Z$601,Z48,$Y$2:$Y$601,1),0)</f>
        <v>32</v>
      </c>
      <c r="AD48" s="89" t="n">
        <f aca="false">IF(Y48=1,COUNTIFS($N$2:$N$601,N48,$Y$2:$Y$601,1),0)</f>
        <v>32</v>
      </c>
      <c r="AE48" s="43" t="str">
        <f aca="false">IF(Y48&lt;&gt;1,"",IF(AND(AC48&gt;=설정!$C$7,ISNUMBER(MATCH(Z48,피어커브!$A:$A,0))),Z48,IF(AND(AD48&gt;=설정!$C$7,ISNUMBER(MATCH(N48&amp;"|전체",피어커브!$A:$A,0))),N48&amp;"|전체","전체|전체")))</f>
        <v>유럽|금융기관</v>
      </c>
      <c r="AF48" s="93" t="n">
        <f aca="false">IF(AE48="","",INDEX(피어커브!$K:$K,MATCH(AE48,피어커브!$A:$A,0)))</f>
        <v>43.3660967921697</v>
      </c>
      <c r="AG48" s="93" t="n">
        <f aca="false">IF(AE48="","",INDEX(피어커브!$J:$J,MATCH(AE48,피어커브!$A:$A,0)))</f>
        <v>30.582858826536</v>
      </c>
      <c r="AH48" s="93" t="n">
        <f aca="false">IF(AE48="","",INDEX(피어커브!$L:$L,MATCH(AE48,피어커브!$A:$A,0)))</f>
        <v>10.9882810943096</v>
      </c>
      <c r="AI48" s="93" t="n">
        <f aca="false">IF(AE48="","",AF48+AG48*AA48)</f>
        <v>79.3939101364472</v>
      </c>
      <c r="AJ48" s="96" t="n">
        <f aca="false">IF(AE48="","",E48-AI48)</f>
        <v>-30.9019101364472</v>
      </c>
      <c r="AK48" s="95" t="n">
        <f aca="false">IF(AE48="","",IF(ISNUMBER(AH48),IF(AH48&gt;0,AJ48/AH48,""),""))</f>
        <v>-2.81226061394171</v>
      </c>
      <c r="AL48" s="43" t="str">
        <f aca="false">IF(AK48="","-",IF(AK48&gt;=설정!$C$6,"Cheap",IF(AK48&lt;=-설정!$C$6,"Rich","Fair")))</f>
        <v>Rich</v>
      </c>
      <c r="AM48" s="96" t="n">
        <f aca="false">IF(AE48="","",AJ48-AVERAGEIFS($AJ$2:$AJ$601,$B$2:$B$601,B48,$Y$2:$Y$601,1))</f>
        <v>-26.7306487275542</v>
      </c>
      <c r="AN48" s="93" t="n">
        <f aca="false">IF(AE48="",0,IF(K48&gt;1+설정!$C$8,AG48*(AA48-LN(K48-1)),0))</f>
        <v>11.2544458762442</v>
      </c>
      <c r="AO48" s="99" t="n">
        <f aca="false">IF($A48="",0,SUMIFS(보유분석!$AA$2:$AA$801,보유분석!$AB$2:$AB$801,ROW(),보유분석!$AC$2:$AC$801,1))</f>
        <v>9.80794</v>
      </c>
      <c r="AP48" s="43" t="str">
        <f aca="false">IF($A48="","",TRIM(IF(R48=1,"FRN ","")&amp;IF(IFERROR(VLOOKUP(M48,설정!$A$15:$D$47,4,0),0)&gt;=10,IF(IFERROR(VLOOKUP(M48,설정!$A$15:$D$47,4,0),0)&lt;99,"BBB0미만 ",""),"")&amp;IF(OR(M48="",M48="NR"),"등급미입력 ","")&amp;IF(C48&lt;&gt;"USD","비USD ","")))</f>
        <v/>
      </c>
      <c r="AQ48" s="90" t="n">
        <f aca="false">IF(AND(Y48=1,AL48="Cheap"),IF(AND(ISERROR(SEARCH("FRN",AP48)),ISERROR(SEARCH("BBB0미만",AP48))),AK48+ROW()/1000000000,-999),-999)</f>
        <v>-999</v>
      </c>
      <c r="AR48" s="92" t="n">
        <f aca="false">IF(AND(ISNUMBER(D48),ISNUMBER(K48)),D48+AN48*MAX(K48-1,0)/100,"")</f>
        <v>5.82499994329797</v>
      </c>
      <c r="AS48" s="93" t="n">
        <f aca="false">IF(AND(ISNUMBER(E48),ISNUMBER(K48)),IF(K48&gt;0,(E48+AN48*MAX(K48-1,0))/K48,""),"")</f>
        <v>22.719210076908</v>
      </c>
      <c r="AT48" s="90" t="n">
        <f aca="false">IFERROR(IF(AND(Y48=1,ROW()&lt;&gt;스왑분석!$C$12+1,ABS(K48-INDEX($K$2:$K$601,스왑분석!$C$12))&lt;=스왑분석!$C$5,ISERROR(SEARCH("FRN",AP48)),ISERROR(SEARCH("BBB0미만",AP48))),IF(AND(OR(스왑분석!$C$6="N",L48=INDEX($L$2:$L$601,스왑분석!$C$12)),OR(스왑분석!$C$7="N",N48=INDEX($N$2:$N$601,스왑분석!$C$12)),OR(스왑분석!$C$8="N",AO48=0),E48-INDEX($E$2:$E$601,스왑분석!$C$12)&gt;=스왑분석!$C$9),E48-INDEX($E$2:$E$601,스왑분석!$C$12)+ROW()/1000000000,-999),-999),-999)</f>
        <v>-999</v>
      </c>
      <c r="AU48" s="90" t="n">
        <f aca="false">IF(AND(Y48=1,AO48&gt;0,AL48="Rich"),-AK48+ROW()/1000000000,-999)</f>
        <v>2.81226066194171</v>
      </c>
    </row>
    <row r="49" customFormat="false" ht="15" hidden="false" customHeight="false" outlineLevel="0" collapsed="false">
      <c r="A49" s="83" t="str">
        <f aca="false">IFERROR(IF(INDEX(원자료_시장!$A$1:$BZ$1000,설정!$L$6+ROW()-1,설정!$L$24)&amp;""="0","",INDEX(원자료_시장!$A$1:$BZ$1000,설정!$L$6+ROW()-1,설정!$L$24)),"")</f>
        <v>HSBC 2.206 08/17/29</v>
      </c>
      <c r="B49" s="83" t="str">
        <f aca="false">IFERROR(IF(INDEX(원자료_시장!$A$1:$BZ$1000,설정!$L$6+ROW()-1,설정!$L$37)&amp;""="0","",INDEX(원자료_시장!$A$1:$BZ$1000,설정!$L$6+ROW()-1,설정!$L$37)),"")</f>
        <v>HSBC HOLDINGS PLC</v>
      </c>
      <c r="C49" s="83" t="str">
        <f aca="false">IFERROR(IF(INDEX(원자료_시장!$A$1:$BZ$1000,설정!$L$6+ROW()-1,설정!$L$25)&amp;""="0","",INDEX(원자료_시장!$A$1:$BZ$1000,설정!$L$6+ROW()-1,설정!$L$25)),"")</f>
        <v>USD</v>
      </c>
      <c r="D49" s="85" t="n">
        <f aca="false">IFERROR(IF(ISNUMBER(INDEX(원자료_시장!$A$1:$BZ$1000,설정!$L$6+ROW()-1,설정!$L$26)),INDEX(원자료_시장!$A$1:$BZ$1000,설정!$L$6+ROW()-1,설정!$L$26),""),"")</f>
        <v>5.408</v>
      </c>
      <c r="E49" s="97" t="n">
        <f aca="false">IFERROR(IF(ISNUMBER(INDEX(원자료_시장!$A$1:$BZ$1000,설정!$L$6+ROW()-1,설정!$L$27)),INDEX(원자료_시장!$A$1:$BZ$1000,설정!$L$6+ROW()-1,설정!$L$27),""),"")</f>
        <v>62.799</v>
      </c>
      <c r="F49" s="97" t="n">
        <f aca="false">IFERROR(IF(ISNUMBER(INDEX(원자료_시장!$A$1:$BZ$1000,설정!$L$6+ROW()-1,설정!$L$28)),INDEX(원자료_시장!$A$1:$BZ$1000,설정!$L$6+ROW()-1,설정!$L$28),""),"")</f>
        <v>84.48</v>
      </c>
      <c r="G49" s="97" t="n">
        <f aca="false">IFERROR(IF(ISNUMBER(INDEX(원자료_시장!$A$1:$BZ$1000,설정!$L$6+ROW()-1,설정!$L$29)),INDEX(원자료_시장!$A$1:$BZ$1000,설정!$L$6+ROW()-1,설정!$L$29),""),"")</f>
        <v>0.6</v>
      </c>
      <c r="H49" s="97" t="n">
        <f aca="false">IFERROR(IF(ISNUMBER(INDEX(원자료_시장!$A$1:$BZ$1000,설정!$L$6+ROW()-1,설정!$L$30)),INDEX(원자료_시장!$A$1:$BZ$1000,설정!$L$6+ROW()-1,설정!$L$30),""),"")</f>
        <v>8.2</v>
      </c>
      <c r="I49" s="97" t="n">
        <f aca="false">IFERROR(IF(ISNUMBER(INDEX(원자료_시장!$A$1:$BZ$1000,설정!$L$6+ROW()-1,설정!$L$31)),INDEX(원자료_시장!$A$1:$BZ$1000,설정!$L$6+ROW()-1,설정!$L$31),""),"")</f>
        <v>-5.7</v>
      </c>
      <c r="J49" s="97" t="n">
        <f aca="false">IFERROR(IF(ISNUMBER(INDEX(원자료_시장!$A$1:$BZ$1000,설정!$L$6+ROW()-1,설정!$L$32)),INDEX(원자료_시장!$A$1:$BZ$1000,설정!$L$6+ROW()-1,설정!$L$32),""),"")</f>
        <v>-17.4</v>
      </c>
      <c r="K49" s="85" t="n">
        <f aca="false">IFERROR(IF(ISNUMBER(INDEX(원자료_시장!$A$1:$BZ$1000,설정!$L$6+ROW()-1,설정!$L$33)),INDEX(원자료_시장!$A$1:$BZ$1000,설정!$L$6+ROW()-1,설정!$L$33),""),"")</f>
        <v>1.841</v>
      </c>
      <c r="L49" s="83" t="str">
        <f aca="false">IFERROR(IF(INDEX(원자료_시장!$A$1:$BZ$1000,설정!$L$6+ROW()-1,설정!$L$34)&amp;""="0","",INDEX(원자료_시장!$A$1:$BZ$1000,설정!$L$6+ROW()-1,설정!$L$34)),"")</f>
        <v>금융기관</v>
      </c>
      <c r="M49" s="83" t="str">
        <f aca="false">IFERROR(IF(INDEX(원자료_시장!$A$1:$BZ$1000,설정!$L$6+ROW()-1,설정!$L$35)&amp;""="0","",INDEX(원자료_시장!$A$1:$BZ$1000,설정!$L$6+ROW()-1,설정!$L$35)),"")</f>
        <v>A-</v>
      </c>
      <c r="N49" s="83" t="str">
        <f aca="false">IFERROR(IF(INDEX(원자료_시장!$A$1:$BZ$1000,설정!$L$6+ROW()-1,설정!$L$36)&amp;""="0","",INDEX(원자료_시장!$A$1:$BZ$1000,설정!$L$6+ROW()-1,설정!$L$36)),"")</f>
        <v>유럽</v>
      </c>
      <c r="O49" s="43" t="str">
        <f aca="false">IF($A49="","",UPPER(LEFT($A49,FIND(" ",$A49&amp;" ")-1)))</f>
        <v>HSBC</v>
      </c>
      <c r="P49" s="43" t="str">
        <f aca="false">IF($A49="","",TRIM(RIGHT(SUBSTITUTE(TRIM($A49)," ",REPT(" ",30)),30)))</f>
        <v>08/17/29</v>
      </c>
      <c r="Q49" s="98" t="n">
        <f aca="false">IF($A49="","",IFERROR(DATE(IF(LEN(P49)=8,2000+VALUE(RIGHT(P49,2)),VALUE(RIGHT(P49,4))),VALUE(LEFT(P49,2)),VALUE(MID(P49,4,2))),""))</f>
        <v>47347</v>
      </c>
      <c r="R49" s="89" t="n">
        <f aca="false">IF($A49="",0,IF(ISNUMBER(SEARCH("Float",$A49)),1,0))</f>
        <v>0</v>
      </c>
      <c r="S49" s="43" t="str">
        <f aca="false">IF($A49="","",TRIM(MID($A49,LEN(O49)+2,LEN($A49)-LEN(O49)-LEN(P49)-1)))</f>
        <v>2.206</v>
      </c>
      <c r="T49" s="92" t="n">
        <f aca="false">IF(OR($A49="",R49=1),"",IFERROR(IF(ISNUMBER(FIND("/",S49)),IF(ISNUMBER(FIND(" ",S49)),VALUE(LEFT(S49,FIND(" ",S49)-1))+VALUE(MID(S49,FIND(" ",S49)+1,FIND("/",S49)-FIND(" ",S49)-1))/VALUE(MID(S49,FIND("/",S49)+1,9)),VALUE(LEFT(S49,FIND("/",S49)-1))/VALUE(MID(S49,FIND("/",S49)+1,9))),VALUE(S49)),""))</f>
        <v>2.206</v>
      </c>
      <c r="U49" s="43" t="str">
        <f aca="false">IF(OR($A49="",NOT(ISNUMBER(Q49))),"",TEXT(Q49,"yyyymmdd")&amp;"|"&amp;IF(R49=1,"F",TEXT(T49,"0.000")))</f>
        <v>20290817|2.206</v>
      </c>
      <c r="V49" s="43" t="str">
        <f aca="false">IF(U49="","",O49&amp;"|"&amp;U49)</f>
        <v>HSBC|20290817|2.206</v>
      </c>
      <c r="W49" s="43" t="str">
        <f aca="false">IF($A49="","",IFERROR(IF(VLOOKUP(O49,매핑!$A$4:$E$92,3,0)="","미분류",VLOOKUP(O49,매핑!$A$4:$E$92,3,0)),"미분류"))</f>
        <v>영국</v>
      </c>
      <c r="X49" s="89" t="n">
        <f aca="false">IF($A49="",0,IF(O49="T",1,0))</f>
        <v>0</v>
      </c>
      <c r="Y49" s="89" t="n">
        <f aca="false">IF($A49="",0,IF(AND(C49="USD",X49=0,ISNUMBER(E49),ISNUMBER(K49)),IF(K49&gt;=설정!$C$8,1,0),0))</f>
        <v>1</v>
      </c>
      <c r="Z49" s="43" t="str">
        <f aca="false">IF($A49="","",N49&amp;"|"&amp;L49)</f>
        <v>유럽|금융기관</v>
      </c>
      <c r="AA49" s="92" t="n">
        <f aca="false">IF(Y49=1,LN(K49),0)</f>
        <v>0.610308902250941</v>
      </c>
      <c r="AB49" s="93" t="n">
        <f aca="false">IF(Y49=1,E49,0)</f>
        <v>62.799</v>
      </c>
      <c r="AC49" s="89" t="n">
        <f aca="false">IF(Y49=1,COUNTIFS($Z$2:$Z$601,Z49,$Y$2:$Y$601,1),0)</f>
        <v>32</v>
      </c>
      <c r="AD49" s="89" t="n">
        <f aca="false">IF(Y49=1,COUNTIFS($N$2:$N$601,N49,$Y$2:$Y$601,1),0)</f>
        <v>32</v>
      </c>
      <c r="AE49" s="43" t="str">
        <f aca="false">IF(Y49&lt;&gt;1,"",IF(AND(AC49&gt;=설정!$C$7,ISNUMBER(MATCH(Z49,피어커브!$A:$A,0))),Z49,IF(AND(AD49&gt;=설정!$C$7,ISNUMBER(MATCH(N49&amp;"|전체",피어커브!$A:$A,0))),N49&amp;"|전체","전체|전체")))</f>
        <v>유럽|금융기관</v>
      </c>
      <c r="AF49" s="93" t="n">
        <f aca="false">IF(AE49="","",INDEX(피어커브!$K:$K,MATCH(AE49,피어커브!$A:$A,0)))</f>
        <v>43.3660967921697</v>
      </c>
      <c r="AG49" s="93" t="n">
        <f aca="false">IF(AE49="","",INDEX(피어커브!$J:$J,MATCH(AE49,피어커브!$A:$A,0)))</f>
        <v>30.582858826536</v>
      </c>
      <c r="AH49" s="93" t="n">
        <f aca="false">IF(AE49="","",INDEX(피어커브!$L:$L,MATCH(AE49,피어커브!$A:$A,0)))</f>
        <v>10.9882810943096</v>
      </c>
      <c r="AI49" s="93" t="n">
        <f aca="false">IF(AE49="","",AF49+AG49*AA49)</f>
        <v>62.0310877902884</v>
      </c>
      <c r="AJ49" s="96" t="n">
        <f aca="false">IF(AE49="","",E49-AI49)</f>
        <v>0.767912209711632</v>
      </c>
      <c r="AK49" s="95" t="n">
        <f aca="false">IF(AE49="","",IF(ISNUMBER(AH49),IF(AH49&gt;0,AJ49/AH49,""),""))</f>
        <v>0.0698846528516006</v>
      </c>
      <c r="AL49" s="43" t="str">
        <f aca="false">IF(AK49="","-",IF(AK49&gt;=설정!$C$6,"Cheap",IF(AK49&lt;=-설정!$C$6,"Rich","Fair")))</f>
        <v>Fair</v>
      </c>
      <c r="AM49" s="96" t="n">
        <f aca="false">IF(AE49="","",AJ49-AVERAGEIFS($AJ$2:$AJ$601,$B$2:$B$601,B49,$Y$2:$Y$601,1))</f>
        <v>4.93917361860467</v>
      </c>
      <c r="AN49" s="93" t="n">
        <f aca="false">IF(AE49="",0,IF(K49&gt;1+설정!$C$8,AG49*(AA49-LN(K49-1)),0))</f>
        <v>23.9608295121688</v>
      </c>
      <c r="AO49" s="99" t="n">
        <f aca="false">IF($A49="",0,SUMIFS(보유분석!$AA$2:$AA$801,보유분석!$AB$2:$AB$801,ROW(),보유분석!$AC$2:$AC$801,1))</f>
        <v>4.708855</v>
      </c>
      <c r="AP49" s="43" t="str">
        <f aca="false">IF($A49="","",TRIM(IF(R49=1,"FRN ","")&amp;IF(IFERROR(VLOOKUP(M49,설정!$A$15:$D$47,4,0),0)&gt;=10,IF(IFERROR(VLOOKUP(M49,설정!$A$15:$D$47,4,0),0)&lt;99,"BBB0미만 ",""),"")&amp;IF(OR(M49="",M49="NR"),"등급미입력 ","")&amp;IF(C49&lt;&gt;"USD","비USD ","")))</f>
        <v/>
      </c>
      <c r="AQ49" s="90" t="n">
        <f aca="false">IF(AND(Y49=1,AL49="Cheap"),IF(AND(ISERROR(SEARCH("FRN",AP49)),ISERROR(SEARCH("BBB0미만",AP49))),AK49+ROW()/1000000000,-999),-999)</f>
        <v>-999</v>
      </c>
      <c r="AR49" s="92" t="n">
        <f aca="false">IF(AND(ISNUMBER(D49),ISNUMBER(K49)),D49+AN49*MAX(K49-1,0)/100,"")</f>
        <v>5.60951057619734</v>
      </c>
      <c r="AS49" s="93" t="n">
        <f aca="false">IF(AND(ISNUMBER(E49),ISNUMBER(K49)),IF(K49&gt;0,(E49+AN49*MAX(K49-1,0))/K49,""),"")</f>
        <v>45.0570655185953</v>
      </c>
      <c r="AT49" s="90" t="n">
        <f aca="false">IFERROR(IF(AND(Y49=1,ROW()&lt;&gt;스왑분석!$C$12+1,ABS(K49-INDEX($K$2:$K$601,스왑분석!$C$12))&lt;=스왑분석!$C$5,ISERROR(SEARCH("FRN",AP49)),ISERROR(SEARCH("BBB0미만",AP49))),IF(AND(OR(스왑분석!$C$6="N",L49=INDEX($L$2:$L$601,스왑분석!$C$12)),OR(스왑분석!$C$7="N",N49=INDEX($N$2:$N$601,스왑분석!$C$12)),OR(스왑분석!$C$8="N",AO49=0),E49-INDEX($E$2:$E$601,스왑분석!$C$12)&gt;=스왑분석!$C$9),E49-INDEX($E$2:$E$601,스왑분석!$C$12)+ROW()/1000000000,-999),-999),-999)</f>
        <v>-999</v>
      </c>
      <c r="AU49" s="90" t="n">
        <f aca="false">IF(AND(Y49=1,AO49&gt;0,AL49="Rich"),-AK49+ROW()/1000000000,-999)</f>
        <v>-999</v>
      </c>
    </row>
    <row r="50" customFormat="false" ht="15" hidden="false" customHeight="false" outlineLevel="0" collapsed="false">
      <c r="A50" s="83" t="str">
        <f aca="false">IFERROR(IF(INDEX(원자료_시장!$A$1:$BZ$1000,설정!$L$6+ROW()-1,설정!$L$24)&amp;""="0","",INDEX(원자료_시장!$A$1:$BZ$1000,설정!$L$6+ROW()-1,설정!$L$24)),"")</f>
        <v>HSBC 5.733 05/17/32</v>
      </c>
      <c r="B50" s="83" t="str">
        <f aca="false">IFERROR(IF(INDEX(원자료_시장!$A$1:$BZ$1000,설정!$L$6+ROW()-1,설정!$L$37)&amp;""="0","",INDEX(원자료_시장!$A$1:$BZ$1000,설정!$L$6+ROW()-1,설정!$L$37)),"")</f>
        <v>HSBC HOLDINGS PLC</v>
      </c>
      <c r="C50" s="83" t="str">
        <f aca="false">IFERROR(IF(INDEX(원자료_시장!$A$1:$BZ$1000,설정!$L$6+ROW()-1,설정!$L$25)&amp;""="0","",INDEX(원자료_시장!$A$1:$BZ$1000,설정!$L$6+ROW()-1,설정!$L$25)),"")</f>
        <v>USD</v>
      </c>
      <c r="D50" s="85" t="n">
        <f aca="false">IFERROR(IF(ISNUMBER(INDEX(원자료_시장!$A$1:$BZ$1000,설정!$L$6+ROW()-1,설정!$L$26)),INDEX(원자료_시장!$A$1:$BZ$1000,설정!$L$6+ROW()-1,설정!$L$26),""),"")</f>
        <v>5.894</v>
      </c>
      <c r="E50" s="97" t="n">
        <f aca="false">IFERROR(IF(ISNUMBER(INDEX(원자료_시장!$A$1:$BZ$1000,설정!$L$6+ROW()-1,설정!$L$27)),INDEX(원자료_시장!$A$1:$BZ$1000,설정!$L$6+ROW()-1,설정!$L$27),""),"")</f>
        <v>89.19</v>
      </c>
      <c r="F50" s="97" t="n">
        <f aca="false">IFERROR(IF(ISNUMBER(INDEX(원자료_시장!$A$1:$BZ$1000,설정!$L$6+ROW()-1,설정!$L$28)),INDEX(원자료_시장!$A$1:$BZ$1000,설정!$L$6+ROW()-1,설정!$L$28),""),"")</f>
        <v>122.767</v>
      </c>
      <c r="G50" s="97" t="n">
        <f aca="false">IFERROR(IF(ISNUMBER(INDEX(원자료_시장!$A$1:$BZ$1000,설정!$L$6+ROW()-1,설정!$L$29)),INDEX(원자료_시장!$A$1:$BZ$1000,설정!$L$6+ROW()-1,설정!$L$29),""),"")</f>
        <v>-0.6</v>
      </c>
      <c r="H50" s="97" t="n">
        <f aca="false">IFERROR(IF(ISNUMBER(INDEX(원자료_시장!$A$1:$BZ$1000,설정!$L$6+ROW()-1,설정!$L$30)),INDEX(원자료_시장!$A$1:$BZ$1000,설정!$L$6+ROW()-1,설정!$L$30),""),"")</f>
        <v>5.3</v>
      </c>
      <c r="I50" s="97" t="n">
        <f aca="false">IFERROR(IF(ISNUMBER(INDEX(원자료_시장!$A$1:$BZ$1000,설정!$L$6+ROW()-1,설정!$L$31)),INDEX(원자료_시장!$A$1:$BZ$1000,설정!$L$6+ROW()-1,설정!$L$31),""),"")</f>
        <v>-0.7</v>
      </c>
      <c r="J50" s="97" t="n">
        <f aca="false">IFERROR(IF(ISNUMBER(INDEX(원자료_시장!$A$1:$BZ$1000,설정!$L$6+ROW()-1,설정!$L$32)),INDEX(원자료_시장!$A$1:$BZ$1000,설정!$L$6+ROW()-1,설정!$L$32),""),"")</f>
        <v>0.3</v>
      </c>
      <c r="K50" s="85" t="n">
        <f aca="false">IFERROR(IF(ISNUMBER(INDEX(원자료_시장!$A$1:$BZ$1000,설정!$L$6+ROW()-1,설정!$L$33)),INDEX(원자료_시장!$A$1:$BZ$1000,설정!$L$6+ROW()-1,설정!$L$33),""),"")</f>
        <v>4.039</v>
      </c>
      <c r="L50" s="83" t="str">
        <f aca="false">IFERROR(IF(INDEX(원자료_시장!$A$1:$BZ$1000,설정!$L$6+ROW()-1,설정!$L$34)&amp;""="0","",INDEX(원자료_시장!$A$1:$BZ$1000,설정!$L$6+ROW()-1,설정!$L$34)),"")</f>
        <v>금융기관</v>
      </c>
      <c r="M50" s="83" t="str">
        <f aca="false">IFERROR(IF(INDEX(원자료_시장!$A$1:$BZ$1000,설정!$L$6+ROW()-1,설정!$L$35)&amp;""="0","",INDEX(원자료_시장!$A$1:$BZ$1000,설정!$L$6+ROW()-1,설정!$L$35)),"")</f>
        <v>A-</v>
      </c>
      <c r="N50" s="83" t="str">
        <f aca="false">IFERROR(IF(INDEX(원자료_시장!$A$1:$BZ$1000,설정!$L$6+ROW()-1,설정!$L$36)&amp;""="0","",INDEX(원자료_시장!$A$1:$BZ$1000,설정!$L$6+ROW()-1,설정!$L$36)),"")</f>
        <v>유럽</v>
      </c>
      <c r="O50" s="43" t="str">
        <f aca="false">IF($A50="","",UPPER(LEFT($A50,FIND(" ",$A50&amp;" ")-1)))</f>
        <v>HSBC</v>
      </c>
      <c r="P50" s="43" t="str">
        <f aca="false">IF($A50="","",TRIM(RIGHT(SUBSTITUTE(TRIM($A50)," ",REPT(" ",30)),30)))</f>
        <v>05/17/32</v>
      </c>
      <c r="Q50" s="98" t="n">
        <f aca="false">IF($A50="","",IFERROR(DATE(IF(LEN(P50)=8,2000+VALUE(RIGHT(P50,2)),VALUE(RIGHT(P50,4))),VALUE(LEFT(P50,2)),VALUE(MID(P50,4,2))),""))</f>
        <v>48351</v>
      </c>
      <c r="R50" s="89" t="n">
        <f aca="false">IF($A50="",0,IF(ISNUMBER(SEARCH("Float",$A50)),1,0))</f>
        <v>0</v>
      </c>
      <c r="S50" s="43" t="str">
        <f aca="false">IF($A50="","",TRIM(MID($A50,LEN(O50)+2,LEN($A50)-LEN(O50)-LEN(P50)-1)))</f>
        <v>5.733</v>
      </c>
      <c r="T50" s="92" t="n">
        <f aca="false">IF(OR($A50="",R50=1),"",IFERROR(IF(ISNUMBER(FIND("/",S50)),IF(ISNUMBER(FIND(" ",S50)),VALUE(LEFT(S50,FIND(" ",S50)-1))+VALUE(MID(S50,FIND(" ",S50)+1,FIND("/",S50)-FIND(" ",S50)-1))/VALUE(MID(S50,FIND("/",S50)+1,9)),VALUE(LEFT(S50,FIND("/",S50)-1))/VALUE(MID(S50,FIND("/",S50)+1,9))),VALUE(S50)),""))</f>
        <v>5.733</v>
      </c>
      <c r="U50" s="43" t="str">
        <f aca="false">IF(OR($A50="",NOT(ISNUMBER(Q50))),"",TEXT(Q50,"yyyymmdd")&amp;"|"&amp;IF(R50=1,"F",TEXT(T50,"0.000")))</f>
        <v>20320517|5.733</v>
      </c>
      <c r="V50" s="43" t="str">
        <f aca="false">IF(U50="","",O50&amp;"|"&amp;U50)</f>
        <v>HSBC|20320517|5.733</v>
      </c>
      <c r="W50" s="43" t="str">
        <f aca="false">IF($A50="","",IFERROR(IF(VLOOKUP(O50,매핑!$A$4:$E$92,3,0)="","미분류",VLOOKUP(O50,매핑!$A$4:$E$92,3,0)),"미분류"))</f>
        <v>영국</v>
      </c>
      <c r="X50" s="89" t="n">
        <f aca="false">IF($A50="",0,IF(O50="T",1,0))</f>
        <v>0</v>
      </c>
      <c r="Y50" s="89" t="n">
        <f aca="false">IF($A50="",0,IF(AND(C50="USD",X50=0,ISNUMBER(E50),ISNUMBER(K50)),IF(K50&gt;=설정!$C$8,1,0),0))</f>
        <v>1</v>
      </c>
      <c r="Z50" s="43" t="str">
        <f aca="false">IF($A50="","",N50&amp;"|"&amp;L50)</f>
        <v>유럽|금융기관</v>
      </c>
      <c r="AA50" s="92" t="n">
        <f aca="false">IF(Y50=1,LN(K50),0)</f>
        <v>1.39599713658128</v>
      </c>
      <c r="AB50" s="93" t="n">
        <f aca="false">IF(Y50=1,E50,0)</f>
        <v>89.19</v>
      </c>
      <c r="AC50" s="89" t="n">
        <f aca="false">IF(Y50=1,COUNTIFS($Z$2:$Z$601,Z50,$Y$2:$Y$601,1),0)</f>
        <v>32</v>
      </c>
      <c r="AD50" s="89" t="n">
        <f aca="false">IF(Y50=1,COUNTIFS($N$2:$N$601,N50,$Y$2:$Y$601,1),0)</f>
        <v>32</v>
      </c>
      <c r="AE50" s="43" t="str">
        <f aca="false">IF(Y50&lt;&gt;1,"",IF(AND(AC50&gt;=설정!$C$7,ISNUMBER(MATCH(Z50,피어커브!$A:$A,0))),Z50,IF(AND(AD50&gt;=설정!$C$7,ISNUMBER(MATCH(N50&amp;"|전체",피어커브!$A:$A,0))),N50&amp;"|전체","전체|전체")))</f>
        <v>유럽|금융기관</v>
      </c>
      <c r="AF50" s="93" t="n">
        <f aca="false">IF(AE50="","",INDEX(피어커브!$K:$K,MATCH(AE50,피어커브!$A:$A,0)))</f>
        <v>43.3660967921697</v>
      </c>
      <c r="AG50" s="93" t="n">
        <f aca="false">IF(AE50="","",INDEX(피어커브!$J:$J,MATCH(AE50,피어커브!$A:$A,0)))</f>
        <v>30.582858826536</v>
      </c>
      <c r="AH50" s="93" t="n">
        <f aca="false">IF(AE50="","",INDEX(피어커브!$L:$L,MATCH(AE50,피어커브!$A:$A,0)))</f>
        <v>10.9882810943096</v>
      </c>
      <c r="AI50" s="93" t="n">
        <f aca="false">IF(AE50="","",AF50+AG50*AA50)</f>
        <v>86.0596801424834</v>
      </c>
      <c r="AJ50" s="96" t="n">
        <f aca="false">IF(AE50="","",E50-AI50)</f>
        <v>3.13031985751664</v>
      </c>
      <c r="AK50" s="95" t="n">
        <f aca="false">IF(AE50="","",IF(ISNUMBER(AH50),IF(AH50&gt;0,AJ50/AH50,""),""))</f>
        <v>0.284878028751713</v>
      </c>
      <c r="AL50" s="43" t="str">
        <f aca="false">IF(AK50="","-",IF(AK50&gt;=설정!$C$6,"Cheap",IF(AK50&lt;=-설정!$C$6,"Rich","Fair")))</f>
        <v>Fair</v>
      </c>
      <c r="AM50" s="96" t="n">
        <f aca="false">IF(AE50="","",AJ50-AVERAGEIFS($AJ$2:$AJ$601,$B$2:$B$601,B50,$Y$2:$Y$601,1))</f>
        <v>7.30158126640967</v>
      </c>
      <c r="AN50" s="93" t="n">
        <f aca="false">IF(AE50="",0,IF(K50&gt;1+설정!$C$8,AG50*(AA50-LN(K50-1)),0))</f>
        <v>8.69986372698072</v>
      </c>
      <c r="AO50" s="99" t="n">
        <f aca="false">IF($A50="",0,SUMIFS(보유분석!$AA$2:$AA$801,보유분석!$AB$2:$AB$801,ROW(),보유분석!$AC$2:$AC$801,1))</f>
        <v>11.89956</v>
      </c>
      <c r="AP50" s="43" t="str">
        <f aca="false">IF($A50="","",TRIM(IF(R50=1,"FRN ","")&amp;IF(IFERROR(VLOOKUP(M50,설정!$A$15:$D$47,4,0),0)&gt;=10,IF(IFERROR(VLOOKUP(M50,설정!$A$15:$D$47,4,0),0)&lt;99,"BBB0미만 ",""),"")&amp;IF(OR(M50="",M50="NR"),"등급미입력 ","")&amp;IF(C50&lt;&gt;"USD","비USD ","")))</f>
        <v/>
      </c>
      <c r="AQ50" s="90" t="n">
        <f aca="false">IF(AND(Y50=1,AL50="Cheap"),IF(AND(ISERROR(SEARCH("FRN",AP50)),ISERROR(SEARCH("BBB0미만",AP50))),AK50+ROW()/1000000000,-999),-999)</f>
        <v>-999</v>
      </c>
      <c r="AR50" s="92" t="n">
        <f aca="false">IF(AND(ISNUMBER(D50),ISNUMBER(K50)),D50+AN50*MAX(K50-1,0)/100,"")</f>
        <v>6.15838885866294</v>
      </c>
      <c r="AS50" s="93" t="n">
        <f aca="false">IF(AND(ISNUMBER(E50),ISNUMBER(K50)),IF(K50&gt;0,(E50+AN50*MAX(K50-1,0))/K50,""),"")</f>
        <v>28.6280975157946</v>
      </c>
      <c r="AT50" s="90" t="n">
        <f aca="false">IFERROR(IF(AND(Y50=1,ROW()&lt;&gt;스왑분석!$C$12+1,ABS(K50-INDEX($K$2:$K$601,스왑분석!$C$12))&lt;=스왑분석!$C$5,ISERROR(SEARCH("FRN",AP50)),ISERROR(SEARCH("BBB0미만",AP50))),IF(AND(OR(스왑분석!$C$6="N",L50=INDEX($L$2:$L$601,스왑분석!$C$12)),OR(스왑분석!$C$7="N",N50=INDEX($N$2:$N$601,스왑분석!$C$12)),OR(스왑분석!$C$8="N",AO50=0),E50-INDEX($E$2:$E$601,스왑분석!$C$12)&gt;=스왑분석!$C$9),E50-INDEX($E$2:$E$601,스왑분석!$C$12)+ROW()/1000000000,-999),-999),-999)</f>
        <v>40.69800005</v>
      </c>
      <c r="AU50" s="90" t="n">
        <f aca="false">IF(AND(Y50=1,AO50&gt;0,AL50="Rich"),-AK50+ROW()/1000000000,-999)</f>
        <v>-999</v>
      </c>
    </row>
    <row r="51" customFormat="false" ht="15" hidden="false" customHeight="false" outlineLevel="0" collapsed="false">
      <c r="A51" s="83" t="str">
        <f aca="false">IFERROR(IF(INDEX(원자료_시장!$A$1:$BZ$1000,설정!$L$6+ROW()-1,설정!$L$24)&amp;""="0","",INDEX(원자료_시장!$A$1:$BZ$1000,설정!$L$6+ROW()-1,설정!$L$24)),"")</f>
        <v>HSBC 5.13 11/19/28</v>
      </c>
      <c r="B51" s="83" t="str">
        <f aca="false">IFERROR(IF(INDEX(원자료_시장!$A$1:$BZ$1000,설정!$L$6+ROW()-1,설정!$L$37)&amp;""="0","",INDEX(원자료_시장!$A$1:$BZ$1000,설정!$L$6+ROW()-1,설정!$L$37)),"")</f>
        <v>HSBC HOLDINGS PLC</v>
      </c>
      <c r="C51" s="83" t="str">
        <f aca="false">IFERROR(IF(INDEX(원자료_시장!$A$1:$BZ$1000,설정!$L$6+ROW()-1,설정!$L$25)&amp;""="0","",INDEX(원자료_시장!$A$1:$BZ$1000,설정!$L$6+ROW()-1,설정!$L$25)),"")</f>
        <v>USD</v>
      </c>
      <c r="D51" s="85" t="n">
        <f aca="false">IFERROR(IF(ISNUMBER(INDEX(원자료_시장!$A$1:$BZ$1000,설정!$L$6+ROW()-1,설정!$L$26)),INDEX(원자료_시장!$A$1:$BZ$1000,설정!$L$6+ROW()-1,설정!$L$26),""),"")</f>
        <v>5.118</v>
      </c>
      <c r="E51" s="97" t="n">
        <f aca="false">IFERROR(IF(ISNUMBER(INDEX(원자료_시장!$A$1:$BZ$1000,설정!$L$6+ROW()-1,설정!$L$27)),INDEX(원자료_시장!$A$1:$BZ$1000,설정!$L$6+ROW()-1,설정!$L$27),""),"")</f>
        <v>37.054</v>
      </c>
      <c r="F51" s="97" t="n">
        <f aca="false">IFERROR(IF(ISNUMBER(INDEX(원자료_시장!$A$1:$BZ$1000,설정!$L$6+ROW()-1,설정!$L$28)),INDEX(원자료_시장!$A$1:$BZ$1000,설정!$L$6+ROW()-1,설정!$L$28),""),"")</f>
        <v>73.176</v>
      </c>
      <c r="G51" s="97" t="n">
        <f aca="false">IFERROR(IF(ISNUMBER(INDEX(원자료_시장!$A$1:$BZ$1000,설정!$L$6+ROW()-1,설정!$L$29)),INDEX(원자료_시장!$A$1:$BZ$1000,설정!$L$6+ROW()-1,설정!$L$29),""),"")</f>
        <v>0.6</v>
      </c>
      <c r="H51" s="97" t="n">
        <f aca="false">IFERROR(IF(ISNUMBER(INDEX(원자료_시장!$A$1:$BZ$1000,설정!$L$6+ROW()-1,설정!$L$30)),INDEX(원자료_시장!$A$1:$BZ$1000,설정!$L$6+ROW()-1,설정!$L$30),""),"")</f>
        <v>6.8</v>
      </c>
      <c r="I51" s="97" t="n">
        <f aca="false">IFERROR(IF(ISNUMBER(INDEX(원자료_시장!$A$1:$BZ$1000,설정!$L$6+ROW()-1,설정!$L$31)),INDEX(원자료_시장!$A$1:$BZ$1000,설정!$L$6+ROW()-1,설정!$L$31),""),"")</f>
        <v>-15.9</v>
      </c>
      <c r="J51" s="97" t="n">
        <f aca="false">IFERROR(IF(ISNUMBER(INDEX(원자료_시장!$A$1:$BZ$1000,설정!$L$6+ROW()-1,설정!$L$32)),INDEX(원자료_시장!$A$1:$BZ$1000,설정!$L$6+ROW()-1,설정!$L$32),""),"")</f>
        <v>-29.4</v>
      </c>
      <c r="K51" s="85" t="n">
        <f aca="false">IFERROR(IF(ISNUMBER(INDEX(원자료_시장!$A$1:$BZ$1000,설정!$L$6+ROW()-1,설정!$L$33)),INDEX(원자료_시장!$A$1:$BZ$1000,설정!$L$6+ROW()-1,설정!$L$33),""),"")</f>
        <v>1.093</v>
      </c>
      <c r="L51" s="83" t="str">
        <f aca="false">IFERROR(IF(INDEX(원자료_시장!$A$1:$BZ$1000,설정!$L$6+ROW()-1,설정!$L$34)&amp;""="0","",INDEX(원자료_시장!$A$1:$BZ$1000,설정!$L$6+ROW()-1,설정!$L$34)),"")</f>
        <v>금융기관</v>
      </c>
      <c r="M51" s="83" t="str">
        <f aca="false">IFERROR(IF(INDEX(원자료_시장!$A$1:$BZ$1000,설정!$L$6+ROW()-1,설정!$L$35)&amp;""="0","",INDEX(원자료_시장!$A$1:$BZ$1000,설정!$L$6+ROW()-1,설정!$L$35)),"")</f>
        <v>A-</v>
      </c>
      <c r="N51" s="83" t="str">
        <f aca="false">IFERROR(IF(INDEX(원자료_시장!$A$1:$BZ$1000,설정!$L$6+ROW()-1,설정!$L$36)&amp;""="0","",INDEX(원자료_시장!$A$1:$BZ$1000,설정!$L$6+ROW()-1,설정!$L$36)),"")</f>
        <v>유럽</v>
      </c>
      <c r="O51" s="43" t="str">
        <f aca="false">IF($A51="","",UPPER(LEFT($A51,FIND(" ",$A51&amp;" ")-1)))</f>
        <v>HSBC</v>
      </c>
      <c r="P51" s="43" t="str">
        <f aca="false">IF($A51="","",TRIM(RIGHT(SUBSTITUTE(TRIM($A51)," ",REPT(" ",30)),30)))</f>
        <v>11/19/28</v>
      </c>
      <c r="Q51" s="98" t="n">
        <f aca="false">IF($A51="","",IFERROR(DATE(IF(LEN(P51)=8,2000+VALUE(RIGHT(P51,2)),VALUE(RIGHT(P51,4))),VALUE(LEFT(P51,2)),VALUE(MID(P51,4,2))),""))</f>
        <v>47076</v>
      </c>
      <c r="R51" s="89" t="n">
        <f aca="false">IF($A51="",0,IF(ISNUMBER(SEARCH("Float",$A51)),1,0))</f>
        <v>0</v>
      </c>
      <c r="S51" s="43" t="str">
        <f aca="false">IF($A51="","",TRIM(MID($A51,LEN(O51)+2,LEN($A51)-LEN(O51)-LEN(P51)-1)))</f>
        <v>5.13</v>
      </c>
      <c r="T51" s="92" t="n">
        <f aca="false">IF(OR($A51="",R51=1),"",IFERROR(IF(ISNUMBER(FIND("/",S51)),IF(ISNUMBER(FIND(" ",S51)),VALUE(LEFT(S51,FIND(" ",S51)-1))+VALUE(MID(S51,FIND(" ",S51)+1,FIND("/",S51)-FIND(" ",S51)-1))/VALUE(MID(S51,FIND("/",S51)+1,9)),VALUE(LEFT(S51,FIND("/",S51)-1))/VALUE(MID(S51,FIND("/",S51)+1,9))),VALUE(S51)),""))</f>
        <v>5.13</v>
      </c>
      <c r="U51" s="43" t="str">
        <f aca="false">IF(OR($A51="",NOT(ISNUMBER(Q51))),"",TEXT(Q51,"yyyymmdd")&amp;"|"&amp;IF(R51=1,"F",TEXT(T51,"0.000")))</f>
        <v>20281119|5.130</v>
      </c>
      <c r="V51" s="43" t="str">
        <f aca="false">IF(U51="","",O51&amp;"|"&amp;U51)</f>
        <v>HSBC|20281119|5.130</v>
      </c>
      <c r="W51" s="43" t="str">
        <f aca="false">IF($A51="","",IFERROR(IF(VLOOKUP(O51,매핑!$A$4:$E$92,3,0)="","미분류",VLOOKUP(O51,매핑!$A$4:$E$92,3,0)),"미분류"))</f>
        <v>영국</v>
      </c>
      <c r="X51" s="89" t="n">
        <f aca="false">IF($A51="",0,IF(O51="T",1,0))</f>
        <v>0</v>
      </c>
      <c r="Y51" s="89" t="n">
        <f aca="false">IF($A51="",0,IF(AND(C51="USD",X51=0,ISNUMBER(E51),ISNUMBER(K51)),IF(K51&gt;=설정!$C$8,1,0),0))</f>
        <v>1</v>
      </c>
      <c r="Z51" s="43" t="str">
        <f aca="false">IF($A51="","",N51&amp;"|"&amp;L51)</f>
        <v>유럽|금융기관</v>
      </c>
      <c r="AA51" s="92" t="n">
        <f aca="false">IF(Y51=1,LN(K51),0)</f>
        <v>0.0889262091944015</v>
      </c>
      <c r="AB51" s="93" t="n">
        <f aca="false">IF(Y51=1,E51,0)</f>
        <v>37.054</v>
      </c>
      <c r="AC51" s="89" t="n">
        <f aca="false">IF(Y51=1,COUNTIFS($Z$2:$Z$601,Z51,$Y$2:$Y$601,1),0)</f>
        <v>32</v>
      </c>
      <c r="AD51" s="89" t="n">
        <f aca="false">IF(Y51=1,COUNTIFS($N$2:$N$601,N51,$Y$2:$Y$601,1),0)</f>
        <v>32</v>
      </c>
      <c r="AE51" s="43" t="str">
        <f aca="false">IF(Y51&lt;&gt;1,"",IF(AND(AC51&gt;=설정!$C$7,ISNUMBER(MATCH(Z51,피어커브!$A:$A,0))),Z51,IF(AND(AD51&gt;=설정!$C$7,ISNUMBER(MATCH(N51&amp;"|전체",피어커브!$A:$A,0))),N51&amp;"|전체","전체|전체")))</f>
        <v>유럽|금융기관</v>
      </c>
      <c r="AF51" s="93" t="n">
        <f aca="false">IF(AE51="","",INDEX(피어커브!$K:$K,MATCH(AE51,피어커브!$A:$A,0)))</f>
        <v>43.3660967921697</v>
      </c>
      <c r="AG51" s="93" t="n">
        <f aca="false">IF(AE51="","",INDEX(피어커브!$J:$J,MATCH(AE51,피어커브!$A:$A,0)))</f>
        <v>30.582858826536</v>
      </c>
      <c r="AH51" s="93" t="n">
        <f aca="false">IF(AE51="","",INDEX(피어커브!$L:$L,MATCH(AE51,피어커브!$A:$A,0)))</f>
        <v>10.9882810943096</v>
      </c>
      <c r="AI51" s="93" t="n">
        <f aca="false">IF(AE51="","",AF51+AG51*AA51)</f>
        <v>46.0857144939411</v>
      </c>
      <c r="AJ51" s="96" t="n">
        <f aca="false">IF(AE51="","",E51-AI51)</f>
        <v>-9.03171449394106</v>
      </c>
      <c r="AK51" s="95" t="n">
        <f aca="false">IF(AE51="","",IF(ISNUMBER(AH51),IF(AH51&gt;0,AJ51/AH51,""),""))</f>
        <v>-0.821940612587553</v>
      </c>
      <c r="AL51" s="43" t="str">
        <f aca="false">IF(AK51="","-",IF(AK51&gt;=설정!$C$6,"Cheap",IF(AK51&lt;=-설정!$C$6,"Rich","Fair")))</f>
        <v>Fair</v>
      </c>
      <c r="AM51" s="96" t="n">
        <f aca="false">IF(AE51="","",AJ51-AVERAGEIFS($AJ$2:$AJ$601,$B$2:$B$601,B51,$Y$2:$Y$601,1))</f>
        <v>-4.86045308504803</v>
      </c>
      <c r="AN51" s="93" t="n">
        <f aca="false">IF(AE51="",0,IF(K51&gt;1+설정!$C$8,AG51*(AA51-LN(K51-1)),0))</f>
        <v>0</v>
      </c>
      <c r="AO51" s="99" t="n">
        <f aca="false">IF($A51="",0,SUMIFS(보유분석!$AA$2:$AA$801,보유분석!$AB$2:$AB$801,ROW(),보유분석!$AC$2:$AC$801,1))</f>
        <v>0</v>
      </c>
      <c r="AP51" s="43" t="str">
        <f aca="false">IF($A51="","",TRIM(IF(R51=1,"FRN ","")&amp;IF(IFERROR(VLOOKUP(M51,설정!$A$15:$D$47,4,0),0)&gt;=10,IF(IFERROR(VLOOKUP(M51,설정!$A$15:$D$47,4,0),0)&lt;99,"BBB0미만 ",""),"")&amp;IF(OR(M51="",M51="NR"),"등급미입력 ","")&amp;IF(C51&lt;&gt;"USD","비USD ","")))</f>
        <v/>
      </c>
      <c r="AQ51" s="90" t="n">
        <f aca="false">IF(AND(Y51=1,AL51="Cheap"),IF(AND(ISERROR(SEARCH("FRN",AP51)),ISERROR(SEARCH("BBB0미만",AP51))),AK51+ROW()/1000000000,-999),-999)</f>
        <v>-999</v>
      </c>
      <c r="AR51" s="92" t="n">
        <f aca="false">IF(AND(ISNUMBER(D51),ISNUMBER(K51)),D51+AN51*MAX(K51-1,0)/100,"")</f>
        <v>5.118</v>
      </c>
      <c r="AS51" s="93" t="n">
        <f aca="false">IF(AND(ISNUMBER(E51),ISNUMBER(K51)),IF(K51&gt;0,(E51+AN51*MAX(K51-1,0))/K51,""),"")</f>
        <v>33.9011893870082</v>
      </c>
      <c r="AT51" s="90" t="n">
        <f aca="false">IFERROR(IF(AND(Y51=1,ROW()&lt;&gt;스왑분석!$C$12+1,ABS(K51-INDEX($K$2:$K$601,스왑분석!$C$12))&lt;=스왑분석!$C$5,ISERROR(SEARCH("FRN",AP51)),ISERROR(SEARCH("BBB0미만",AP51))),IF(AND(OR(스왑분석!$C$6="N",L51=INDEX($L$2:$L$601,스왑분석!$C$12)),OR(스왑분석!$C$7="N",N51=INDEX($N$2:$N$601,스왑분석!$C$12)),OR(스왑분석!$C$8="N",AO51=0),E51-INDEX($E$2:$E$601,스왑분석!$C$12)&gt;=스왑분석!$C$9),E51-INDEX($E$2:$E$601,스왑분석!$C$12)+ROW()/1000000000,-999),-999),-999)</f>
        <v>-999</v>
      </c>
      <c r="AU51" s="90" t="n">
        <f aca="false">IF(AND(Y51=1,AO51&gt;0,AL51="Rich"),-AK51+ROW()/1000000000,-999)</f>
        <v>-999</v>
      </c>
    </row>
    <row r="52" customFormat="false" ht="15" hidden="false" customHeight="false" outlineLevel="0" collapsed="false">
      <c r="A52" s="83" t="str">
        <f aca="false">IFERROR(IF(INDEX(원자료_시장!$A$1:$BZ$1000,설정!$L$6+ROW()-1,설정!$L$24)&amp;""="0","",INDEX(원자료_시장!$A$1:$BZ$1000,설정!$L$6+ROW()-1,설정!$L$24)),"")</f>
        <v>HSBC 5.286 11/19/30</v>
      </c>
      <c r="B52" s="83" t="str">
        <f aca="false">IFERROR(IF(INDEX(원자료_시장!$A$1:$BZ$1000,설정!$L$6+ROW()-1,설정!$L$37)&amp;""="0","",INDEX(원자료_시장!$A$1:$BZ$1000,설정!$L$6+ROW()-1,설정!$L$37)),"")</f>
        <v>HSBC HOLDINGS PLC</v>
      </c>
      <c r="C52" s="83" t="str">
        <f aca="false">IFERROR(IF(INDEX(원자료_시장!$A$1:$BZ$1000,설정!$L$6+ROW()-1,설정!$L$25)&amp;""="0","",INDEX(원자료_시장!$A$1:$BZ$1000,설정!$L$6+ROW()-1,설정!$L$25)),"")</f>
        <v>USD</v>
      </c>
      <c r="D52" s="85" t="n">
        <f aca="false">IFERROR(IF(ISNUMBER(INDEX(원자료_시장!$A$1:$BZ$1000,설정!$L$6+ROW()-1,설정!$L$26)),INDEX(원자료_시장!$A$1:$BZ$1000,설정!$L$6+ROW()-1,설정!$L$26),""),"")</f>
        <v>5.644</v>
      </c>
      <c r="E52" s="97" t="n">
        <f aca="false">IFERROR(IF(ISNUMBER(INDEX(원자료_시장!$A$1:$BZ$1000,설정!$L$6+ROW()-1,설정!$L$27)),INDEX(원자료_시장!$A$1:$BZ$1000,설정!$L$6+ROW()-1,설정!$L$27),""),"")</f>
        <v>77.115</v>
      </c>
      <c r="F52" s="97" t="n">
        <f aca="false">IFERROR(IF(ISNUMBER(INDEX(원자료_시장!$A$1:$BZ$1000,설정!$L$6+ROW()-1,설정!$L$28)),INDEX(원자료_시장!$A$1:$BZ$1000,설정!$L$6+ROW()-1,설정!$L$28),""),"")</f>
        <v>103.398</v>
      </c>
      <c r="G52" s="97" t="n">
        <f aca="false">IFERROR(IF(ISNUMBER(INDEX(원자료_시장!$A$1:$BZ$1000,설정!$L$6+ROW()-1,설정!$L$29)),INDEX(원자료_시장!$A$1:$BZ$1000,설정!$L$6+ROW()-1,설정!$L$29),""),"")</f>
        <v>-0.4</v>
      </c>
      <c r="H52" s="97" t="n">
        <f aca="false">IFERROR(IF(ISNUMBER(INDEX(원자료_시장!$A$1:$BZ$1000,설정!$L$6+ROW()-1,설정!$L$30)),INDEX(원자료_시장!$A$1:$BZ$1000,설정!$L$6+ROW()-1,설정!$L$30),""),"")</f>
        <v>5.5</v>
      </c>
      <c r="I52" s="97" t="n">
        <f aca="false">IFERROR(IF(ISNUMBER(INDEX(원자료_시장!$A$1:$BZ$1000,설정!$L$6+ROW()-1,설정!$L$31)),INDEX(원자료_시장!$A$1:$BZ$1000,설정!$L$6+ROW()-1,설정!$L$31),""),"")</f>
        <v>-5.9</v>
      </c>
      <c r="J52" s="97" t="n">
        <f aca="false">IFERROR(IF(ISNUMBER(INDEX(원자료_시장!$A$1:$BZ$1000,설정!$L$6+ROW()-1,설정!$L$32)),INDEX(원자료_시장!$A$1:$BZ$1000,설정!$L$6+ROW()-1,설정!$L$32),""),"")</f>
        <v>-7.4</v>
      </c>
      <c r="K52" s="85" t="n">
        <f aca="false">IFERROR(IF(ISNUMBER(INDEX(원자료_시장!$A$1:$BZ$1000,설정!$L$6+ROW()-1,설정!$L$33)),INDEX(원자료_시장!$A$1:$BZ$1000,설정!$L$6+ROW()-1,설정!$L$33),""),"")</f>
        <v>2.869</v>
      </c>
      <c r="L52" s="83" t="str">
        <f aca="false">IFERROR(IF(INDEX(원자료_시장!$A$1:$BZ$1000,설정!$L$6+ROW()-1,설정!$L$34)&amp;""="0","",INDEX(원자료_시장!$A$1:$BZ$1000,설정!$L$6+ROW()-1,설정!$L$34)),"")</f>
        <v>금융기관</v>
      </c>
      <c r="M52" s="83" t="str">
        <f aca="false">IFERROR(IF(INDEX(원자료_시장!$A$1:$BZ$1000,설정!$L$6+ROW()-1,설정!$L$35)&amp;""="0","",INDEX(원자료_시장!$A$1:$BZ$1000,설정!$L$6+ROW()-1,설정!$L$35)),"")</f>
        <v>A-</v>
      </c>
      <c r="N52" s="83" t="str">
        <f aca="false">IFERROR(IF(INDEX(원자료_시장!$A$1:$BZ$1000,설정!$L$6+ROW()-1,설정!$L$36)&amp;""="0","",INDEX(원자료_시장!$A$1:$BZ$1000,설정!$L$6+ROW()-1,설정!$L$36)),"")</f>
        <v>유럽</v>
      </c>
      <c r="O52" s="43" t="str">
        <f aca="false">IF($A52="","",UPPER(LEFT($A52,FIND(" ",$A52&amp;" ")-1)))</f>
        <v>HSBC</v>
      </c>
      <c r="P52" s="43" t="str">
        <f aca="false">IF($A52="","",TRIM(RIGHT(SUBSTITUTE(TRIM($A52)," ",REPT(" ",30)),30)))</f>
        <v>11/19/30</v>
      </c>
      <c r="Q52" s="98" t="n">
        <f aca="false">IF($A52="","",IFERROR(DATE(IF(LEN(P52)=8,2000+VALUE(RIGHT(P52,2)),VALUE(RIGHT(P52,4))),VALUE(LEFT(P52,2)),VALUE(MID(P52,4,2))),""))</f>
        <v>47806</v>
      </c>
      <c r="R52" s="89" t="n">
        <f aca="false">IF($A52="",0,IF(ISNUMBER(SEARCH("Float",$A52)),1,0))</f>
        <v>0</v>
      </c>
      <c r="S52" s="43" t="str">
        <f aca="false">IF($A52="","",TRIM(MID($A52,LEN(O52)+2,LEN($A52)-LEN(O52)-LEN(P52)-1)))</f>
        <v>5.286</v>
      </c>
      <c r="T52" s="92" t="n">
        <f aca="false">IF(OR($A52="",R52=1),"",IFERROR(IF(ISNUMBER(FIND("/",S52)),IF(ISNUMBER(FIND(" ",S52)),VALUE(LEFT(S52,FIND(" ",S52)-1))+VALUE(MID(S52,FIND(" ",S52)+1,FIND("/",S52)-FIND(" ",S52)-1))/VALUE(MID(S52,FIND("/",S52)+1,9)),VALUE(LEFT(S52,FIND("/",S52)-1))/VALUE(MID(S52,FIND("/",S52)+1,9))),VALUE(S52)),""))</f>
        <v>5.286</v>
      </c>
      <c r="U52" s="43" t="str">
        <f aca="false">IF(OR($A52="",NOT(ISNUMBER(Q52))),"",TEXT(Q52,"yyyymmdd")&amp;"|"&amp;IF(R52=1,"F",TEXT(T52,"0.000")))</f>
        <v>20301119|5.286</v>
      </c>
      <c r="V52" s="43" t="str">
        <f aca="false">IF(U52="","",O52&amp;"|"&amp;U52)</f>
        <v>HSBC|20301119|5.286</v>
      </c>
      <c r="W52" s="43" t="str">
        <f aca="false">IF($A52="","",IFERROR(IF(VLOOKUP(O52,매핑!$A$4:$E$92,3,0)="","미분류",VLOOKUP(O52,매핑!$A$4:$E$92,3,0)),"미분류"))</f>
        <v>영국</v>
      </c>
      <c r="X52" s="89" t="n">
        <f aca="false">IF($A52="",0,IF(O52="T",1,0))</f>
        <v>0</v>
      </c>
      <c r="Y52" s="89" t="n">
        <f aca="false">IF($A52="",0,IF(AND(C52="USD",X52=0,ISNUMBER(E52),ISNUMBER(K52)),IF(K52&gt;=설정!$C$8,1,0),0))</f>
        <v>1</v>
      </c>
      <c r="Z52" s="43" t="str">
        <f aca="false">IF($A52="","",N52&amp;"|"&amp;L52)</f>
        <v>유럽|금융기관</v>
      </c>
      <c r="AA52" s="92" t="n">
        <f aca="false">IF(Y52=1,LN(K52),0)</f>
        <v>1.05396353699923</v>
      </c>
      <c r="AB52" s="93" t="n">
        <f aca="false">IF(Y52=1,E52,0)</f>
        <v>77.115</v>
      </c>
      <c r="AC52" s="89" t="n">
        <f aca="false">IF(Y52=1,COUNTIFS($Z$2:$Z$601,Z52,$Y$2:$Y$601,1),0)</f>
        <v>32</v>
      </c>
      <c r="AD52" s="89" t="n">
        <f aca="false">IF(Y52=1,COUNTIFS($N$2:$N$601,N52,$Y$2:$Y$601,1),0)</f>
        <v>32</v>
      </c>
      <c r="AE52" s="43" t="str">
        <f aca="false">IF(Y52&lt;&gt;1,"",IF(AND(AC52&gt;=설정!$C$7,ISNUMBER(MATCH(Z52,피어커브!$A:$A,0))),Z52,IF(AND(AD52&gt;=설정!$C$7,ISNUMBER(MATCH(N52&amp;"|전체",피어커브!$A:$A,0))),N52&amp;"|전체","전체|전체")))</f>
        <v>유럽|금융기관</v>
      </c>
      <c r="AF52" s="93" t="n">
        <f aca="false">IF(AE52="","",INDEX(피어커브!$K:$K,MATCH(AE52,피어커브!$A:$A,0)))</f>
        <v>43.3660967921697</v>
      </c>
      <c r="AG52" s="93" t="n">
        <f aca="false">IF(AE52="","",INDEX(피어커브!$J:$J,MATCH(AE52,피어커브!$A:$A,0)))</f>
        <v>30.582858826536</v>
      </c>
      <c r="AH52" s="93" t="n">
        <f aca="false">IF(AE52="","",INDEX(피어커브!$L:$L,MATCH(AE52,피어커브!$A:$A,0)))</f>
        <v>10.9882810943096</v>
      </c>
      <c r="AI52" s="93" t="n">
        <f aca="false">IF(AE52="","",AF52+AG52*AA52)</f>
        <v>75.5993148525336</v>
      </c>
      <c r="AJ52" s="96" t="n">
        <f aca="false">IF(AE52="","",E52-AI52)</f>
        <v>1.51568514746636</v>
      </c>
      <c r="AK52" s="95" t="n">
        <f aca="false">IF(AE52="","",IF(ISNUMBER(AH52),IF(AH52&gt;0,AJ52/AH52,""),""))</f>
        <v>0.137936510220081</v>
      </c>
      <c r="AL52" s="43" t="str">
        <f aca="false">IF(AK52="","-",IF(AK52&gt;=설정!$C$6,"Cheap",IF(AK52&lt;=-설정!$C$6,"Rich","Fair")))</f>
        <v>Fair</v>
      </c>
      <c r="AM52" s="96" t="n">
        <f aca="false">IF(AE52="","",AJ52-AVERAGEIFS($AJ$2:$AJ$601,$B$2:$B$601,B52,$Y$2:$Y$601,1))</f>
        <v>5.68694655635939</v>
      </c>
      <c r="AN52" s="93" t="n">
        <f aca="false">IF(AE52="",0,IF(K52&gt;1+설정!$C$8,AG52*(AA52-LN(K52-1)),0))</f>
        <v>13.1065902394437</v>
      </c>
      <c r="AO52" s="99" t="n">
        <f aca="false">IF($A52="",0,SUMIFS(보유분석!$AA$2:$AA$801,보유분석!$AB$2:$AB$801,ROW(),보유분석!$AC$2:$AC$801,1))</f>
        <v>6.904982</v>
      </c>
      <c r="AP52" s="43" t="str">
        <f aca="false">IF($A52="","",TRIM(IF(R52=1,"FRN ","")&amp;IF(IFERROR(VLOOKUP(M52,설정!$A$15:$D$47,4,0),0)&gt;=10,IF(IFERROR(VLOOKUP(M52,설정!$A$15:$D$47,4,0),0)&lt;99,"BBB0미만 ",""),"")&amp;IF(OR(M52="",M52="NR"),"등급미입력 ","")&amp;IF(C52&lt;&gt;"USD","비USD ","")))</f>
        <v/>
      </c>
      <c r="AQ52" s="90" t="n">
        <f aca="false">IF(AND(Y52=1,AL52="Cheap"),IF(AND(ISERROR(SEARCH("FRN",AP52)),ISERROR(SEARCH("BBB0미만",AP52))),AK52+ROW()/1000000000,-999),-999)</f>
        <v>-999</v>
      </c>
      <c r="AR52" s="92" t="n">
        <f aca="false">IF(AND(ISNUMBER(D52),ISNUMBER(K52)),D52+AN52*MAX(K52-1,0)/100,"")</f>
        <v>5.8889621715752</v>
      </c>
      <c r="AS52" s="93" t="n">
        <f aca="false">IF(AND(ISNUMBER(E52),ISNUMBER(K52)),IF(K52&gt;0,(E52+AN52*MAX(K52-1,0))/K52,""),"")</f>
        <v>35.4169456805578</v>
      </c>
      <c r="AT52" s="90" t="n">
        <f aca="false">IFERROR(IF(AND(Y52=1,ROW()&lt;&gt;스왑분석!$C$12+1,ABS(K52-INDEX($K$2:$K$601,스왑분석!$C$12))&lt;=스왑분석!$C$5,ISERROR(SEARCH("FRN",AP52)),ISERROR(SEARCH("BBB0미만",AP52))),IF(AND(OR(스왑분석!$C$6="N",L52=INDEX($L$2:$L$601,스왑분석!$C$12)),OR(스왑분석!$C$7="N",N52=INDEX($N$2:$N$601,스왑분석!$C$12)),OR(스왑분석!$C$8="N",AO52=0),E52-INDEX($E$2:$E$601,스왑분석!$C$12)&gt;=스왑분석!$C$9),E52-INDEX($E$2:$E$601,스왑분석!$C$12)+ROW()/1000000000,-999),-999),-999)</f>
        <v>28.623000052</v>
      </c>
      <c r="AU52" s="90" t="n">
        <f aca="false">IF(AND(Y52=1,AO52&gt;0,AL52="Rich"),-AK52+ROW()/1000000000,-999)</f>
        <v>-999</v>
      </c>
    </row>
    <row r="53" customFormat="false" ht="15" hidden="false" customHeight="false" outlineLevel="0" collapsed="false">
      <c r="A53" s="83" t="str">
        <f aca="false">IFERROR(IF(INDEX(원자료_시장!$A$1:$BZ$1000,설정!$L$6+ROW()-1,설정!$L$24)&amp;""="0","",INDEX(원자료_시장!$A$1:$BZ$1000,설정!$L$6+ROW()-1,설정!$L$24)),"")</f>
        <v>HSBC 5.13 03/03/31</v>
      </c>
      <c r="B53" s="83" t="str">
        <f aca="false">IFERROR(IF(INDEX(원자료_시장!$A$1:$BZ$1000,설정!$L$6+ROW()-1,설정!$L$37)&amp;""="0","",INDEX(원자료_시장!$A$1:$BZ$1000,설정!$L$6+ROW()-1,설정!$L$37)),"")</f>
        <v>HSBC HOLDINGS PLC</v>
      </c>
      <c r="C53" s="83" t="str">
        <f aca="false">IFERROR(IF(INDEX(원자료_시장!$A$1:$BZ$1000,설정!$L$6+ROW()-1,설정!$L$25)&amp;""="0","",INDEX(원자료_시장!$A$1:$BZ$1000,설정!$L$6+ROW()-1,설정!$L$25)),"")</f>
        <v>USD</v>
      </c>
      <c r="D53" s="85" t="n">
        <f aca="false">IFERROR(IF(ISNUMBER(INDEX(원자료_시장!$A$1:$BZ$1000,설정!$L$6+ROW()-1,설정!$L$26)),INDEX(원자료_시장!$A$1:$BZ$1000,설정!$L$6+ROW()-1,설정!$L$26),""),"")</f>
        <v>5.72</v>
      </c>
      <c r="E53" s="97" t="n">
        <f aca="false">IFERROR(IF(ISNUMBER(INDEX(원자료_시장!$A$1:$BZ$1000,설정!$L$6+ROW()-1,설정!$L$27)),INDEX(원자료_시장!$A$1:$BZ$1000,설정!$L$6+ROW()-1,설정!$L$27),""),"")</f>
        <v>77.335</v>
      </c>
      <c r="F53" s="97" t="n">
        <f aca="false">IFERROR(IF(ISNUMBER(INDEX(원자료_시장!$A$1:$BZ$1000,설정!$L$6+ROW()-1,설정!$L$28)),INDEX(원자료_시장!$A$1:$BZ$1000,설정!$L$6+ROW()-1,설정!$L$28),""),"")</f>
        <v>112.007</v>
      </c>
      <c r="G53" s="97" t="n">
        <f aca="false">IFERROR(IF(ISNUMBER(INDEX(원자료_시장!$A$1:$BZ$1000,설정!$L$6+ROW()-1,설정!$L$29)),INDEX(원자료_시장!$A$1:$BZ$1000,설정!$L$6+ROW()-1,설정!$L$29),""),"")</f>
        <v>-0.9</v>
      </c>
      <c r="H53" s="97" t="n">
        <f aca="false">IFERROR(IF(ISNUMBER(INDEX(원자료_시장!$A$1:$BZ$1000,설정!$L$6+ROW()-1,설정!$L$30)),INDEX(원자료_시장!$A$1:$BZ$1000,설정!$L$6+ROW()-1,설정!$L$30),""),"")</f>
        <v>4.9</v>
      </c>
      <c r="I53" s="97" t="n">
        <f aca="false">IFERROR(IF(ISNUMBER(INDEX(원자료_시장!$A$1:$BZ$1000,설정!$L$6+ROW()-1,설정!$L$31)),INDEX(원자료_시장!$A$1:$BZ$1000,설정!$L$6+ROW()-1,설정!$L$31),""),"")</f>
        <v>-1.5</v>
      </c>
      <c r="J53" s="97" t="n">
        <f aca="false">IFERROR(IF(ISNUMBER(INDEX(원자료_시장!$A$1:$BZ$1000,설정!$L$6+ROW()-1,설정!$L$32)),INDEX(원자료_시장!$A$1:$BZ$1000,설정!$L$6+ROW()-1,설정!$L$32),""),"")</f>
        <v>-7.6</v>
      </c>
      <c r="K53" s="85" t="n">
        <f aca="false">IFERROR(IF(ISNUMBER(INDEX(원자료_시장!$A$1:$BZ$1000,설정!$L$6+ROW()-1,설정!$L$33)),INDEX(원자료_시장!$A$1:$BZ$1000,설정!$L$6+ROW()-1,설정!$L$33),""),"")</f>
        <v>3.164</v>
      </c>
      <c r="L53" s="83" t="str">
        <f aca="false">IFERROR(IF(INDEX(원자료_시장!$A$1:$BZ$1000,설정!$L$6+ROW()-1,설정!$L$34)&amp;""="0","",INDEX(원자료_시장!$A$1:$BZ$1000,설정!$L$6+ROW()-1,설정!$L$34)),"")</f>
        <v>금융기관</v>
      </c>
      <c r="M53" s="83" t="str">
        <f aca="false">IFERROR(IF(INDEX(원자료_시장!$A$1:$BZ$1000,설정!$L$6+ROW()-1,설정!$L$35)&amp;""="0","",INDEX(원자료_시장!$A$1:$BZ$1000,설정!$L$6+ROW()-1,설정!$L$35)),"")</f>
        <v>A-</v>
      </c>
      <c r="N53" s="83" t="str">
        <f aca="false">IFERROR(IF(INDEX(원자료_시장!$A$1:$BZ$1000,설정!$L$6+ROW()-1,설정!$L$36)&amp;""="0","",INDEX(원자료_시장!$A$1:$BZ$1000,설정!$L$6+ROW()-1,설정!$L$36)),"")</f>
        <v>유럽</v>
      </c>
      <c r="O53" s="43" t="str">
        <f aca="false">IF($A53="","",UPPER(LEFT($A53,FIND(" ",$A53&amp;" ")-1)))</f>
        <v>HSBC</v>
      </c>
      <c r="P53" s="43" t="str">
        <f aca="false">IF($A53="","",TRIM(RIGHT(SUBSTITUTE(TRIM($A53)," ",REPT(" ",30)),30)))</f>
        <v>03/03/31</v>
      </c>
      <c r="Q53" s="98" t="n">
        <f aca="false">IF($A53="","",IFERROR(DATE(IF(LEN(P53)=8,2000+VALUE(RIGHT(P53,2)),VALUE(RIGHT(P53,4))),VALUE(LEFT(P53,2)),VALUE(MID(P53,4,2))),""))</f>
        <v>47910</v>
      </c>
      <c r="R53" s="89" t="n">
        <f aca="false">IF($A53="",0,IF(ISNUMBER(SEARCH("Float",$A53)),1,0))</f>
        <v>0</v>
      </c>
      <c r="S53" s="43" t="str">
        <f aca="false">IF($A53="","",TRIM(MID($A53,LEN(O53)+2,LEN($A53)-LEN(O53)-LEN(P53)-1)))</f>
        <v>5.13</v>
      </c>
      <c r="T53" s="92" t="n">
        <f aca="false">IF(OR($A53="",R53=1),"",IFERROR(IF(ISNUMBER(FIND("/",S53)),IF(ISNUMBER(FIND(" ",S53)),VALUE(LEFT(S53,FIND(" ",S53)-1))+VALUE(MID(S53,FIND(" ",S53)+1,FIND("/",S53)-FIND(" ",S53)-1))/VALUE(MID(S53,FIND("/",S53)+1,9)),VALUE(LEFT(S53,FIND("/",S53)-1))/VALUE(MID(S53,FIND("/",S53)+1,9))),VALUE(S53)),""))</f>
        <v>5.13</v>
      </c>
      <c r="U53" s="43" t="str">
        <f aca="false">IF(OR($A53="",NOT(ISNUMBER(Q53))),"",TEXT(Q53,"yyyymmdd")&amp;"|"&amp;IF(R53=1,"F",TEXT(T53,"0.000")))</f>
        <v>20310303|5.130</v>
      </c>
      <c r="V53" s="43" t="str">
        <f aca="false">IF(U53="","",O53&amp;"|"&amp;U53)</f>
        <v>HSBC|20310303|5.130</v>
      </c>
      <c r="W53" s="43" t="str">
        <f aca="false">IF($A53="","",IFERROR(IF(VLOOKUP(O53,매핑!$A$4:$E$92,3,0)="","미분류",VLOOKUP(O53,매핑!$A$4:$E$92,3,0)),"미분류"))</f>
        <v>영국</v>
      </c>
      <c r="X53" s="89" t="n">
        <f aca="false">IF($A53="",0,IF(O53="T",1,0))</f>
        <v>0</v>
      </c>
      <c r="Y53" s="89" t="n">
        <f aca="false">IF($A53="",0,IF(AND(C53="USD",X53=0,ISNUMBER(E53),ISNUMBER(K53)),IF(K53&gt;=설정!$C$8,1,0),0))</f>
        <v>1</v>
      </c>
      <c r="Z53" s="43" t="str">
        <f aca="false">IF($A53="","",N53&amp;"|"&amp;L53)</f>
        <v>유럽|금융기관</v>
      </c>
      <c r="AA53" s="92" t="n">
        <f aca="false">IF(Y53=1,LN(K53),0)</f>
        <v>1.15183704990541</v>
      </c>
      <c r="AB53" s="93" t="n">
        <f aca="false">IF(Y53=1,E53,0)</f>
        <v>77.335</v>
      </c>
      <c r="AC53" s="89" t="n">
        <f aca="false">IF(Y53=1,COUNTIFS($Z$2:$Z$601,Z53,$Y$2:$Y$601,1),0)</f>
        <v>32</v>
      </c>
      <c r="AD53" s="89" t="n">
        <f aca="false">IF(Y53=1,COUNTIFS($N$2:$N$601,N53,$Y$2:$Y$601,1),0)</f>
        <v>32</v>
      </c>
      <c r="AE53" s="43" t="str">
        <f aca="false">IF(Y53&lt;&gt;1,"",IF(AND(AC53&gt;=설정!$C$7,ISNUMBER(MATCH(Z53,피어커브!$A:$A,0))),Z53,IF(AND(AD53&gt;=설정!$C$7,ISNUMBER(MATCH(N53&amp;"|전체",피어커브!$A:$A,0))),N53&amp;"|전체","전체|전체")))</f>
        <v>유럽|금융기관</v>
      </c>
      <c r="AF53" s="93" t="n">
        <f aca="false">IF(AE53="","",INDEX(피어커브!$K:$K,MATCH(AE53,피어커브!$A:$A,0)))</f>
        <v>43.3660967921697</v>
      </c>
      <c r="AG53" s="93" t="n">
        <f aca="false">IF(AE53="","",INDEX(피어커브!$J:$J,MATCH(AE53,피어커브!$A:$A,0)))</f>
        <v>30.582858826536</v>
      </c>
      <c r="AH53" s="93" t="n">
        <f aca="false">IF(AE53="","",INDEX(피어커브!$L:$L,MATCH(AE53,피어커브!$A:$A,0)))</f>
        <v>10.9882810943096</v>
      </c>
      <c r="AI53" s="93" t="n">
        <f aca="false">IF(AE53="","",AF53+AG53*AA53)</f>
        <v>78.5925666806005</v>
      </c>
      <c r="AJ53" s="96" t="n">
        <f aca="false">IF(AE53="","",E53-AI53)</f>
        <v>-1.25756668060048</v>
      </c>
      <c r="AK53" s="95" t="n">
        <f aca="false">IF(AE53="","",IF(ISNUMBER(AH53),IF(AH53&gt;0,AJ53/AH53,""),""))</f>
        <v>-0.11444616949704</v>
      </c>
      <c r="AL53" s="43" t="str">
        <f aca="false">IF(AK53="","-",IF(AK53&gt;=설정!$C$6,"Cheap",IF(AK53&lt;=-설정!$C$6,"Rich","Fair")))</f>
        <v>Fair</v>
      </c>
      <c r="AM53" s="96" t="n">
        <f aca="false">IF(AE53="","",AJ53-AVERAGEIFS($AJ$2:$AJ$601,$B$2:$B$601,B53,$Y$2:$Y$601,1))</f>
        <v>2.91369472829256</v>
      </c>
      <c r="AN53" s="93" t="n">
        <f aca="false">IF(AE53="",0,IF(K53&gt;1+설정!$C$8,AG53*(AA53-LN(K53-1)),0))</f>
        <v>11.6177763144858</v>
      </c>
      <c r="AO53" s="99" t="n">
        <f aca="false">IF($A53="",0,SUMIFS(보유분석!$AA$2:$AA$801,보유분석!$AB$2:$AB$801,ROW(),보유분석!$AC$2:$AC$801,1))</f>
        <v>12.718745</v>
      </c>
      <c r="AP53" s="43" t="str">
        <f aca="false">IF($A53="","",TRIM(IF(R53=1,"FRN ","")&amp;IF(IFERROR(VLOOKUP(M53,설정!$A$15:$D$47,4,0),0)&gt;=10,IF(IFERROR(VLOOKUP(M53,설정!$A$15:$D$47,4,0),0)&lt;99,"BBB0미만 ",""),"")&amp;IF(OR(M53="",M53="NR"),"등급미입력 ","")&amp;IF(C53&lt;&gt;"USD","비USD ","")))</f>
        <v/>
      </c>
      <c r="AQ53" s="90" t="n">
        <f aca="false">IF(AND(Y53=1,AL53="Cheap"),IF(AND(ISERROR(SEARCH("FRN",AP53)),ISERROR(SEARCH("BBB0미만",AP53))),AK53+ROW()/1000000000,-999),-999)</f>
        <v>-999</v>
      </c>
      <c r="AR53" s="92" t="n">
        <f aca="false">IF(AND(ISNUMBER(D53),ISNUMBER(K53)),D53+AN53*MAX(K53-1,0)/100,"")</f>
        <v>5.97140867944547</v>
      </c>
      <c r="AS53" s="93" t="n">
        <f aca="false">IF(AND(ISNUMBER(E53),ISNUMBER(K53)),IF(K53&gt;0,(E53+AN53*MAX(K53-1,0))/K53,""),"")</f>
        <v>32.3880745716015</v>
      </c>
      <c r="AT53" s="90" t="n">
        <f aca="false">IFERROR(IF(AND(Y53=1,ROW()&lt;&gt;스왑분석!$C$12+1,ABS(K53-INDEX($K$2:$K$601,스왑분석!$C$12))&lt;=스왑분석!$C$5,ISERROR(SEARCH("FRN",AP53)),ISERROR(SEARCH("BBB0미만",AP53))),IF(AND(OR(스왑분석!$C$6="N",L53=INDEX($L$2:$L$601,스왑분석!$C$12)),OR(스왑분석!$C$7="N",N53=INDEX($N$2:$N$601,스왑분석!$C$12)),OR(스왑분석!$C$8="N",AO53=0),E53-INDEX($E$2:$E$601,스왑분석!$C$12)&gt;=스왑분석!$C$9),E53-INDEX($E$2:$E$601,스왑분석!$C$12)+ROW()/1000000000,-999),-999),-999)</f>
        <v>28.843000053</v>
      </c>
      <c r="AU53" s="90" t="n">
        <f aca="false">IF(AND(Y53=1,AO53&gt;0,AL53="Rich"),-AK53+ROW()/1000000000,-999)</f>
        <v>-999</v>
      </c>
    </row>
    <row r="54" customFormat="false" ht="15" hidden="false" customHeight="false" outlineLevel="0" collapsed="false">
      <c r="A54" s="83" t="str">
        <f aca="false">IFERROR(IF(INDEX(원자료_시장!$A$1:$BZ$1000,설정!$L$6+ROW()-1,설정!$L$24)&amp;""="0","",INDEX(원자료_시장!$A$1:$BZ$1000,설정!$L$6+ROW()-1,설정!$L$24)),"")</f>
        <v>HSBC 5.24 05/13/31</v>
      </c>
      <c r="B54" s="83" t="str">
        <f aca="false">IFERROR(IF(INDEX(원자료_시장!$A$1:$BZ$1000,설정!$L$6+ROW()-1,설정!$L$37)&amp;""="0","",INDEX(원자료_시장!$A$1:$BZ$1000,설정!$L$6+ROW()-1,설정!$L$37)),"")</f>
        <v>HSBC HOLDINGS PLC</v>
      </c>
      <c r="C54" s="83" t="str">
        <f aca="false">IFERROR(IF(INDEX(원자료_시장!$A$1:$BZ$1000,설정!$L$6+ROW()-1,설정!$L$25)&amp;""="0","",INDEX(원자료_시장!$A$1:$BZ$1000,설정!$L$6+ROW()-1,설정!$L$25)),"")</f>
        <v>USD</v>
      </c>
      <c r="D54" s="85" t="n">
        <f aca="false">IFERROR(IF(ISNUMBER(INDEX(원자료_시장!$A$1:$BZ$1000,설정!$L$6+ROW()-1,설정!$L$26)),INDEX(원자료_시장!$A$1:$BZ$1000,설정!$L$6+ROW()-1,설정!$L$26),""),"")</f>
        <v>5.783</v>
      </c>
      <c r="E54" s="97" t="n">
        <f aca="false">IFERROR(IF(ISNUMBER(INDEX(원자료_시장!$A$1:$BZ$1000,설정!$L$6+ROW()-1,설정!$L$27)),INDEX(원자료_시장!$A$1:$BZ$1000,설정!$L$6+ROW()-1,설정!$L$27),""),"")</f>
        <v>76.917</v>
      </c>
      <c r="F54" s="97" t="n">
        <f aca="false">IFERROR(IF(ISNUMBER(INDEX(원자료_시장!$A$1:$BZ$1000,설정!$L$6+ROW()-1,설정!$L$28)),INDEX(원자료_시장!$A$1:$BZ$1000,설정!$L$6+ROW()-1,설정!$L$28),""),"")</f>
        <v>111.409</v>
      </c>
      <c r="G54" s="97" t="n">
        <f aca="false">IFERROR(IF(ISNUMBER(INDEX(원자료_시장!$A$1:$BZ$1000,설정!$L$6+ROW()-1,설정!$L$29)),INDEX(원자료_시장!$A$1:$BZ$1000,설정!$L$6+ROW()-1,설정!$L$29),""),"")</f>
        <v>-1.8</v>
      </c>
      <c r="H54" s="97" t="n">
        <f aca="false">IFERROR(IF(ISNUMBER(INDEX(원자료_시장!$A$1:$BZ$1000,설정!$L$6+ROW()-1,설정!$L$30)),INDEX(원자료_시장!$A$1:$BZ$1000,설정!$L$6+ROW()-1,설정!$L$30),""),"")</f>
        <v>5.2</v>
      </c>
      <c r="I54" s="97" t="n">
        <f aca="false">IFERROR(IF(ISNUMBER(INDEX(원자료_시장!$A$1:$BZ$1000,설정!$L$6+ROW()-1,설정!$L$31)),INDEX(원자료_시장!$A$1:$BZ$1000,설정!$L$6+ROW()-1,설정!$L$31),""),"")</f>
        <v>-1.3</v>
      </c>
      <c r="J54" s="97" t="n">
        <f aca="false">IFERROR(IF(ISNUMBER(INDEX(원자료_시장!$A$1:$BZ$1000,설정!$L$6+ROW()-1,설정!$L$32)),INDEX(원자료_시장!$A$1:$BZ$1000,설정!$L$6+ROW()-1,설정!$L$32),""),"")</f>
        <v>-6.4</v>
      </c>
      <c r="K54" s="85" t="n">
        <f aca="false">IFERROR(IF(ISNUMBER(INDEX(원자료_시장!$A$1:$BZ$1000,설정!$L$6+ROW()-1,설정!$L$33)),INDEX(원자료_시장!$A$1:$BZ$1000,설정!$L$6+ROW()-1,설정!$L$33),""),"")</f>
        <v>3.27</v>
      </c>
      <c r="L54" s="83" t="str">
        <f aca="false">IFERROR(IF(INDEX(원자료_시장!$A$1:$BZ$1000,설정!$L$6+ROW()-1,설정!$L$34)&amp;""="0","",INDEX(원자료_시장!$A$1:$BZ$1000,설정!$L$6+ROW()-1,설정!$L$34)),"")</f>
        <v>금융기관</v>
      </c>
      <c r="M54" s="83" t="str">
        <f aca="false">IFERROR(IF(INDEX(원자료_시장!$A$1:$BZ$1000,설정!$L$6+ROW()-1,설정!$L$35)&amp;""="0","",INDEX(원자료_시장!$A$1:$BZ$1000,설정!$L$6+ROW()-1,설정!$L$35)),"")</f>
        <v>A-</v>
      </c>
      <c r="N54" s="83" t="str">
        <f aca="false">IFERROR(IF(INDEX(원자료_시장!$A$1:$BZ$1000,설정!$L$6+ROW()-1,설정!$L$36)&amp;""="0","",INDEX(원자료_시장!$A$1:$BZ$1000,설정!$L$6+ROW()-1,설정!$L$36)),"")</f>
        <v>유럽</v>
      </c>
      <c r="O54" s="43" t="str">
        <f aca="false">IF($A54="","",UPPER(LEFT($A54,FIND(" ",$A54&amp;" ")-1)))</f>
        <v>HSBC</v>
      </c>
      <c r="P54" s="43" t="str">
        <f aca="false">IF($A54="","",TRIM(RIGHT(SUBSTITUTE(TRIM($A54)," ",REPT(" ",30)),30)))</f>
        <v>05/13/31</v>
      </c>
      <c r="Q54" s="98" t="n">
        <f aca="false">IF($A54="","",IFERROR(DATE(IF(LEN(P54)=8,2000+VALUE(RIGHT(P54,2)),VALUE(RIGHT(P54,4))),VALUE(LEFT(P54,2)),VALUE(MID(P54,4,2))),""))</f>
        <v>47981</v>
      </c>
      <c r="R54" s="89" t="n">
        <f aca="false">IF($A54="",0,IF(ISNUMBER(SEARCH("Float",$A54)),1,0))</f>
        <v>0</v>
      </c>
      <c r="S54" s="43" t="str">
        <f aca="false">IF($A54="","",TRIM(MID($A54,LEN(O54)+2,LEN($A54)-LEN(O54)-LEN(P54)-1)))</f>
        <v>5.24</v>
      </c>
      <c r="T54" s="92" t="n">
        <f aca="false">IF(OR($A54="",R54=1),"",IFERROR(IF(ISNUMBER(FIND("/",S54)),IF(ISNUMBER(FIND(" ",S54)),VALUE(LEFT(S54,FIND(" ",S54)-1))+VALUE(MID(S54,FIND(" ",S54)+1,FIND("/",S54)-FIND(" ",S54)-1))/VALUE(MID(S54,FIND("/",S54)+1,9)),VALUE(LEFT(S54,FIND("/",S54)-1))/VALUE(MID(S54,FIND("/",S54)+1,9))),VALUE(S54)),""))</f>
        <v>5.24</v>
      </c>
      <c r="U54" s="43" t="str">
        <f aca="false">IF(OR($A54="",NOT(ISNUMBER(Q54))),"",TEXT(Q54,"yyyymmdd")&amp;"|"&amp;IF(R54=1,"F",TEXT(T54,"0.000")))</f>
        <v>20310513|5.240</v>
      </c>
      <c r="V54" s="43" t="str">
        <f aca="false">IF(U54="","",O54&amp;"|"&amp;U54)</f>
        <v>HSBC|20310513|5.240</v>
      </c>
      <c r="W54" s="43" t="str">
        <f aca="false">IF($A54="","",IFERROR(IF(VLOOKUP(O54,매핑!$A$4:$E$92,3,0)="","미분류",VLOOKUP(O54,매핑!$A$4:$E$92,3,0)),"미분류"))</f>
        <v>영국</v>
      </c>
      <c r="X54" s="89" t="n">
        <f aca="false">IF($A54="",0,IF(O54="T",1,0))</f>
        <v>0</v>
      </c>
      <c r="Y54" s="89" t="n">
        <f aca="false">IF($A54="",0,IF(AND(C54="USD",X54=0,ISNUMBER(E54),ISNUMBER(K54)),IF(K54&gt;=설정!$C$8,1,0),0))</f>
        <v>1</v>
      </c>
      <c r="Z54" s="43" t="str">
        <f aca="false">IF($A54="","",N54&amp;"|"&amp;L54)</f>
        <v>유럽|금융기관</v>
      </c>
      <c r="AA54" s="92" t="n">
        <f aca="false">IF(Y54=1,LN(K54),0)</f>
        <v>1.18478998490916</v>
      </c>
      <c r="AB54" s="93" t="n">
        <f aca="false">IF(Y54=1,E54,0)</f>
        <v>76.917</v>
      </c>
      <c r="AC54" s="89" t="n">
        <f aca="false">IF(Y54=1,COUNTIFS($Z$2:$Z$601,Z54,$Y$2:$Y$601,1),0)</f>
        <v>32</v>
      </c>
      <c r="AD54" s="89" t="n">
        <f aca="false">IF(Y54=1,COUNTIFS($N$2:$N$601,N54,$Y$2:$Y$601,1),0)</f>
        <v>32</v>
      </c>
      <c r="AE54" s="43" t="str">
        <f aca="false">IF(Y54&lt;&gt;1,"",IF(AND(AC54&gt;=설정!$C$7,ISNUMBER(MATCH(Z54,피어커브!$A:$A,0))),Z54,IF(AND(AD54&gt;=설정!$C$7,ISNUMBER(MATCH(N54&amp;"|전체",피어커브!$A:$A,0))),N54&amp;"|전체","전체|전체")))</f>
        <v>유럽|금융기관</v>
      </c>
      <c r="AF54" s="93" t="n">
        <f aca="false">IF(AE54="","",INDEX(피어커브!$K:$K,MATCH(AE54,피어커브!$A:$A,0)))</f>
        <v>43.3660967921697</v>
      </c>
      <c r="AG54" s="93" t="n">
        <f aca="false">IF(AE54="","",INDEX(피어커브!$J:$J,MATCH(AE54,피어커브!$A:$A,0)))</f>
        <v>30.582858826536</v>
      </c>
      <c r="AH54" s="93" t="n">
        <f aca="false">IF(AE54="","",INDEX(피어커브!$L:$L,MATCH(AE54,피어커브!$A:$A,0)))</f>
        <v>10.9882810943096</v>
      </c>
      <c r="AI54" s="93" t="n">
        <f aca="false">IF(AE54="","",AF54+AG54*AA54)</f>
        <v>79.6003616397403</v>
      </c>
      <c r="AJ54" s="96" t="n">
        <f aca="false">IF(AE54="","",E54-AI54)</f>
        <v>-2.68336163974033</v>
      </c>
      <c r="AK54" s="95" t="n">
        <f aca="false">IF(AE54="","",IF(ISNUMBER(AH54),IF(AH54&gt;0,AJ54/AH54,""),""))</f>
        <v>-0.244202129223827</v>
      </c>
      <c r="AL54" s="43" t="str">
        <f aca="false">IF(AK54="","-",IF(AK54&gt;=설정!$C$6,"Cheap",IF(AK54&lt;=-설정!$C$6,"Rich","Fair")))</f>
        <v>Fair</v>
      </c>
      <c r="AM54" s="96" t="n">
        <f aca="false">IF(AE54="","",AJ54-AVERAGEIFS($AJ$2:$AJ$601,$B$2:$B$601,B54,$Y$2:$Y$601,1))</f>
        <v>1.48789976915271</v>
      </c>
      <c r="AN54" s="93" t="n">
        <f aca="false">IF(AE54="",0,IF(K54&gt;1+설정!$C$8,AG54*(AA54-LN(K54-1)),0))</f>
        <v>11.1630539921692</v>
      </c>
      <c r="AO54" s="99" t="n">
        <f aca="false">IF($A54="",0,SUMIFS(보유분석!$AA$2:$AA$801,보유분석!$AB$2:$AB$801,ROW(),보유분석!$AC$2:$AC$801,1))</f>
        <v>17.655948</v>
      </c>
      <c r="AP54" s="43" t="str">
        <f aca="false">IF($A54="","",TRIM(IF(R54=1,"FRN ","")&amp;IF(IFERROR(VLOOKUP(M54,설정!$A$15:$D$47,4,0),0)&gt;=10,IF(IFERROR(VLOOKUP(M54,설정!$A$15:$D$47,4,0),0)&lt;99,"BBB0미만 ",""),"")&amp;IF(OR(M54="",M54="NR"),"등급미입력 ","")&amp;IF(C54&lt;&gt;"USD","비USD ","")))</f>
        <v/>
      </c>
      <c r="AQ54" s="90" t="n">
        <f aca="false">IF(AND(Y54=1,AL54="Cheap"),IF(AND(ISERROR(SEARCH("FRN",AP54)),ISERROR(SEARCH("BBB0미만",AP54))),AK54+ROW()/1000000000,-999),-999)</f>
        <v>-999</v>
      </c>
      <c r="AR54" s="92" t="n">
        <f aca="false">IF(AND(ISNUMBER(D54),ISNUMBER(K54)),D54+AN54*MAX(K54-1,0)/100,"")</f>
        <v>6.03640132562224</v>
      </c>
      <c r="AS54" s="93" t="n">
        <f aca="false">IF(AND(ISNUMBER(E54),ISNUMBER(K54)),IF(K54&gt;0,(E54+AN54*MAX(K54-1,0))/K54,""),"")</f>
        <v>31.2712943615364</v>
      </c>
      <c r="AT54" s="90" t="n">
        <f aca="false">IFERROR(IF(AND(Y54=1,ROW()&lt;&gt;스왑분석!$C$12+1,ABS(K54-INDEX($K$2:$K$601,스왑분석!$C$12))&lt;=스왑분석!$C$5,ISERROR(SEARCH("FRN",AP54)),ISERROR(SEARCH("BBB0미만",AP54))),IF(AND(OR(스왑분석!$C$6="N",L54=INDEX($L$2:$L$601,스왑분석!$C$12)),OR(스왑분석!$C$7="N",N54=INDEX($N$2:$N$601,스왑분석!$C$12)),OR(스왑분석!$C$8="N",AO54=0),E54-INDEX($E$2:$E$601,스왑분석!$C$12)&gt;=스왑분석!$C$9),E54-INDEX($E$2:$E$601,스왑분석!$C$12)+ROW()/1000000000,-999),-999),-999)</f>
        <v>28.425000054</v>
      </c>
      <c r="AU54" s="90" t="n">
        <f aca="false">IF(AND(Y54=1,AO54&gt;0,AL54="Rich"),-AK54+ROW()/1000000000,-999)</f>
        <v>-999</v>
      </c>
    </row>
    <row r="55" customFormat="false" ht="15" hidden="false" customHeight="false" outlineLevel="0" collapsed="false">
      <c r="A55" s="83" t="str">
        <f aca="false">IFERROR(IF(INDEX(원자료_시장!$A$1:$BZ$1000,설정!$L$6+ROW()-1,설정!$L$24)&amp;""="0","",INDEX(원자료_시장!$A$1:$BZ$1000,설정!$L$6+ROW()-1,설정!$L$24)),"")</f>
        <v>HSBC 4.675 03/10/32</v>
      </c>
      <c r="B55" s="83" t="str">
        <f aca="false">IFERROR(IF(INDEX(원자료_시장!$A$1:$BZ$1000,설정!$L$6+ROW()-1,설정!$L$37)&amp;""="0","",INDEX(원자료_시장!$A$1:$BZ$1000,설정!$L$6+ROW()-1,설정!$L$37)),"")</f>
        <v>HSBC HOLDINGS PLC</v>
      </c>
      <c r="C55" s="83" t="str">
        <f aca="false">IFERROR(IF(INDEX(원자료_시장!$A$1:$BZ$1000,설정!$L$6+ROW()-1,설정!$L$25)&amp;""="0","",INDEX(원자료_시장!$A$1:$BZ$1000,설정!$L$6+ROW()-1,설정!$L$25)),"")</f>
        <v>USD</v>
      </c>
      <c r="D55" s="85" t="n">
        <f aca="false">IFERROR(IF(ISNUMBER(INDEX(원자료_시장!$A$1:$BZ$1000,설정!$L$6+ROW()-1,설정!$L$26)),INDEX(원자료_시장!$A$1:$BZ$1000,설정!$L$6+ROW()-1,설정!$L$26),""),"")</f>
        <v>5.818</v>
      </c>
      <c r="E55" s="97" t="n">
        <f aca="false">IFERROR(IF(ISNUMBER(INDEX(원자료_시장!$A$1:$BZ$1000,설정!$L$6+ROW()-1,설정!$L$27)),INDEX(원자료_시장!$A$1:$BZ$1000,설정!$L$6+ROW()-1,설정!$L$27),""),"")</f>
        <v>87.03</v>
      </c>
      <c r="F55" s="97" t="n">
        <f aca="false">IFERROR(IF(ISNUMBER(INDEX(원자료_시장!$A$1:$BZ$1000,설정!$L$6+ROW()-1,설정!$L$28)),INDEX(원자료_시장!$A$1:$BZ$1000,설정!$L$6+ROW()-1,설정!$L$28),""),"")</f>
        <v>120.773</v>
      </c>
      <c r="G55" s="97" t="n">
        <f aca="false">IFERROR(IF(ISNUMBER(INDEX(원자료_시장!$A$1:$BZ$1000,설정!$L$6+ROW()-1,설정!$L$29)),INDEX(원자료_시장!$A$1:$BZ$1000,설정!$L$6+ROW()-1,설정!$L$29),""),"")</f>
        <v>-2</v>
      </c>
      <c r="H55" s="97" t="n">
        <f aca="false">IFERROR(IF(ISNUMBER(INDEX(원자료_시장!$A$1:$BZ$1000,설정!$L$6+ROW()-1,설정!$L$30)),INDEX(원자료_시장!$A$1:$BZ$1000,설정!$L$6+ROW()-1,설정!$L$30),""),"")</f>
        <v>4.5</v>
      </c>
      <c r="I55" s="97" t="n">
        <f aca="false">IFERROR(IF(ISNUMBER(INDEX(원자료_시장!$A$1:$BZ$1000,설정!$L$6+ROW()-1,설정!$L$31)),INDEX(원자료_시장!$A$1:$BZ$1000,설정!$L$6+ROW()-1,설정!$L$31),""),"")</f>
        <v>-1.2</v>
      </c>
      <c r="J55" s="97" t="n">
        <f aca="false">IFERROR(IF(ISNUMBER(INDEX(원자료_시장!$A$1:$BZ$1000,설정!$L$6+ROW()-1,설정!$L$32)),INDEX(원자료_시장!$A$1:$BZ$1000,설정!$L$6+ROW()-1,설정!$L$32),""),"")</f>
        <v>-2.9</v>
      </c>
      <c r="K55" s="85" t="n">
        <f aca="false">IFERROR(IF(ISNUMBER(INDEX(원자료_시장!$A$1:$BZ$1000,설정!$L$6+ROW()-1,설정!$L$33)),INDEX(원자료_시장!$A$1:$BZ$1000,설정!$L$6+ROW()-1,설정!$L$33),""),"")</f>
        <v>4.037</v>
      </c>
      <c r="L55" s="83" t="str">
        <f aca="false">IFERROR(IF(INDEX(원자료_시장!$A$1:$BZ$1000,설정!$L$6+ROW()-1,설정!$L$34)&amp;""="0","",INDEX(원자료_시장!$A$1:$BZ$1000,설정!$L$6+ROW()-1,설정!$L$34)),"")</f>
        <v>금융기관</v>
      </c>
      <c r="M55" s="83" t="str">
        <f aca="false">IFERROR(IF(INDEX(원자료_시장!$A$1:$BZ$1000,설정!$L$6+ROW()-1,설정!$L$35)&amp;""="0","",INDEX(원자료_시장!$A$1:$BZ$1000,설정!$L$6+ROW()-1,설정!$L$35)),"")</f>
        <v>A-</v>
      </c>
      <c r="N55" s="83" t="str">
        <f aca="false">IFERROR(IF(INDEX(원자료_시장!$A$1:$BZ$1000,설정!$L$6+ROW()-1,설정!$L$36)&amp;""="0","",INDEX(원자료_시장!$A$1:$BZ$1000,설정!$L$6+ROW()-1,설정!$L$36)),"")</f>
        <v>유럽</v>
      </c>
      <c r="O55" s="43" t="str">
        <f aca="false">IF($A55="","",UPPER(LEFT($A55,FIND(" ",$A55&amp;" ")-1)))</f>
        <v>HSBC</v>
      </c>
      <c r="P55" s="43" t="str">
        <f aca="false">IF($A55="","",TRIM(RIGHT(SUBSTITUTE(TRIM($A55)," ",REPT(" ",30)),30)))</f>
        <v>03/10/32</v>
      </c>
      <c r="Q55" s="98" t="n">
        <f aca="false">IF($A55="","",IFERROR(DATE(IF(LEN(P55)=8,2000+VALUE(RIGHT(P55,2)),VALUE(RIGHT(P55,4))),VALUE(LEFT(P55,2)),VALUE(MID(P55,4,2))),""))</f>
        <v>48283</v>
      </c>
      <c r="R55" s="89" t="n">
        <f aca="false">IF($A55="",0,IF(ISNUMBER(SEARCH("Float",$A55)),1,0))</f>
        <v>0</v>
      </c>
      <c r="S55" s="43" t="str">
        <f aca="false">IF($A55="","",TRIM(MID($A55,LEN(O55)+2,LEN($A55)-LEN(O55)-LEN(P55)-1)))</f>
        <v>4.675</v>
      </c>
      <c r="T55" s="92" t="n">
        <f aca="false">IF(OR($A55="",R55=1),"",IFERROR(IF(ISNUMBER(FIND("/",S55)),IF(ISNUMBER(FIND(" ",S55)),VALUE(LEFT(S55,FIND(" ",S55)-1))+VALUE(MID(S55,FIND(" ",S55)+1,FIND("/",S55)-FIND(" ",S55)-1))/VALUE(MID(S55,FIND("/",S55)+1,9)),VALUE(LEFT(S55,FIND("/",S55)-1))/VALUE(MID(S55,FIND("/",S55)+1,9))),VALUE(S55)),""))</f>
        <v>4.675</v>
      </c>
      <c r="U55" s="43" t="str">
        <f aca="false">IF(OR($A55="",NOT(ISNUMBER(Q55))),"",TEXT(Q55,"yyyymmdd")&amp;"|"&amp;IF(R55=1,"F",TEXT(T55,"0.000")))</f>
        <v>20320310|4.675</v>
      </c>
      <c r="V55" s="43" t="str">
        <f aca="false">IF(U55="","",O55&amp;"|"&amp;U55)</f>
        <v>HSBC|20320310|4.675</v>
      </c>
      <c r="W55" s="43" t="str">
        <f aca="false">IF($A55="","",IFERROR(IF(VLOOKUP(O55,매핑!$A$4:$E$92,3,0)="","미분류",VLOOKUP(O55,매핑!$A$4:$E$92,3,0)),"미분류"))</f>
        <v>영국</v>
      </c>
      <c r="X55" s="89" t="n">
        <f aca="false">IF($A55="",0,IF(O55="T",1,0))</f>
        <v>0</v>
      </c>
      <c r="Y55" s="89" t="n">
        <f aca="false">IF($A55="",0,IF(AND(C55="USD",X55=0,ISNUMBER(E55),ISNUMBER(K55)),IF(K55&gt;=설정!$C$8,1,0),0))</f>
        <v>1</v>
      </c>
      <c r="Z55" s="43" t="str">
        <f aca="false">IF($A55="","",N55&amp;"|"&amp;L55)</f>
        <v>유럽|금융기관</v>
      </c>
      <c r="AA55" s="92" t="n">
        <f aca="false">IF(Y55=1,LN(K55),0)</f>
        <v>1.3955018418708</v>
      </c>
      <c r="AB55" s="93" t="n">
        <f aca="false">IF(Y55=1,E55,0)</f>
        <v>87.03</v>
      </c>
      <c r="AC55" s="89" t="n">
        <f aca="false">IF(Y55=1,COUNTIFS($Z$2:$Z$601,Z55,$Y$2:$Y$601,1),0)</f>
        <v>32</v>
      </c>
      <c r="AD55" s="89" t="n">
        <f aca="false">IF(Y55=1,COUNTIFS($N$2:$N$601,N55,$Y$2:$Y$601,1),0)</f>
        <v>32</v>
      </c>
      <c r="AE55" s="43" t="str">
        <f aca="false">IF(Y55&lt;&gt;1,"",IF(AND(AC55&gt;=설정!$C$7,ISNUMBER(MATCH(Z55,피어커브!$A:$A,0))),Z55,IF(AND(AD55&gt;=설정!$C$7,ISNUMBER(MATCH(N55&amp;"|전체",피어커브!$A:$A,0))),N55&amp;"|전체","전체|전체")))</f>
        <v>유럽|금융기관</v>
      </c>
      <c r="AF55" s="93" t="n">
        <f aca="false">IF(AE55="","",INDEX(피어커브!$K:$K,MATCH(AE55,피어커브!$A:$A,0)))</f>
        <v>43.3660967921697</v>
      </c>
      <c r="AG55" s="93" t="n">
        <f aca="false">IF(AE55="","",INDEX(피어커브!$J:$J,MATCH(AE55,피어커브!$A:$A,0)))</f>
        <v>30.582858826536</v>
      </c>
      <c r="AH55" s="93" t="n">
        <f aca="false">IF(AE55="","",INDEX(피어커브!$L:$L,MATCH(AE55,피어커브!$A:$A,0)))</f>
        <v>10.9882810943096</v>
      </c>
      <c r="AI55" s="93" t="n">
        <f aca="false">IF(AE55="","",AF55+AG55*AA55)</f>
        <v>86.0445326142755</v>
      </c>
      <c r="AJ55" s="96" t="n">
        <f aca="false">IF(AE55="","",E55-AI55)</f>
        <v>0.985467385724547</v>
      </c>
      <c r="AK55" s="95" t="n">
        <f aca="false">IF(AE55="","",IF(ISNUMBER(AH55),IF(AH55&gt;0,AJ55/AH55,""),""))</f>
        <v>0.0896834889157397</v>
      </c>
      <c r="AL55" s="43" t="str">
        <f aca="false">IF(AK55="","-",IF(AK55&gt;=설정!$C$6,"Cheap",IF(AK55&lt;=-설정!$C$6,"Rich","Fair")))</f>
        <v>Fair</v>
      </c>
      <c r="AM55" s="96" t="n">
        <f aca="false">IF(AE55="","",AJ55-AVERAGEIFS($AJ$2:$AJ$601,$B$2:$B$601,B55,$Y$2:$Y$601,1))</f>
        <v>5.15672879461758</v>
      </c>
      <c r="AN55" s="93" t="n">
        <f aca="false">IF(AE55="",0,IF(K55&gt;1+설정!$C$8,AG55*(AA55-LN(K55-1)),0))</f>
        <v>8.70484974711455</v>
      </c>
      <c r="AO55" s="99" t="n">
        <f aca="false">IF($A55="",0,SUMIFS(보유분석!$AA$2:$AA$801,보유분석!$AB$2:$AB$801,ROW(),보유분석!$AC$2:$AC$801,1))</f>
        <v>9.51209</v>
      </c>
      <c r="AP55" s="43" t="str">
        <f aca="false">IF($A55="","",TRIM(IF(R55=1,"FRN ","")&amp;IF(IFERROR(VLOOKUP(M55,설정!$A$15:$D$47,4,0),0)&gt;=10,IF(IFERROR(VLOOKUP(M55,설정!$A$15:$D$47,4,0),0)&lt;99,"BBB0미만 ",""),"")&amp;IF(OR(M55="",M55="NR"),"등급미입력 ","")&amp;IF(C55&lt;&gt;"USD","비USD ","")))</f>
        <v/>
      </c>
      <c r="AQ55" s="90" t="n">
        <f aca="false">IF(AND(Y55=1,AL55="Cheap"),IF(AND(ISERROR(SEARCH("FRN",AP55)),ISERROR(SEARCH("BBB0미만",AP55))),AK55+ROW()/1000000000,-999),-999)</f>
        <v>-999</v>
      </c>
      <c r="AR55" s="92" t="n">
        <f aca="false">IF(AND(ISNUMBER(D55),ISNUMBER(K55)),D55+AN55*MAX(K55-1,0)/100,"")</f>
        <v>6.08236628681987</v>
      </c>
      <c r="AS55" s="93" t="n">
        <f aca="false">IF(AND(ISNUMBER(E55),ISNUMBER(K55)),IF(K55&gt;0,(E55+AN55*MAX(K55-1,0))/K55,""),"")</f>
        <v>28.1066704686616</v>
      </c>
      <c r="AT55" s="90" t="n">
        <f aca="false">IFERROR(IF(AND(Y55=1,ROW()&lt;&gt;스왑분석!$C$12+1,ABS(K55-INDEX($K$2:$K$601,스왑분석!$C$12))&lt;=스왑분석!$C$5,ISERROR(SEARCH("FRN",AP55)),ISERROR(SEARCH("BBB0미만",AP55))),IF(AND(OR(스왑분석!$C$6="N",L55=INDEX($L$2:$L$601,스왑분석!$C$12)),OR(스왑분석!$C$7="N",N55=INDEX($N$2:$N$601,스왑분석!$C$12)),OR(스왑분석!$C$8="N",AO55=0),E55-INDEX($E$2:$E$601,스왑분석!$C$12)&gt;=스왑분석!$C$9),E55-INDEX($E$2:$E$601,스왑분석!$C$12)+ROW()/1000000000,-999),-999),-999)</f>
        <v>38.538000055</v>
      </c>
      <c r="AU55" s="90" t="n">
        <f aca="false">IF(AND(Y55=1,AO55&gt;0,AL55="Rich"),-AK55+ROW()/1000000000,-999)</f>
        <v>-999</v>
      </c>
    </row>
    <row r="56" customFormat="false" ht="15" hidden="false" customHeight="false" outlineLevel="0" collapsed="false">
      <c r="A56" s="83" t="str">
        <f aca="false">IFERROR(IF(INDEX(원자료_시장!$A$1:$BZ$1000,설정!$L$6+ROW()-1,설정!$L$24)&amp;""="0","",INDEX(원자료_시장!$A$1:$BZ$1000,설정!$L$6+ROW()-1,설정!$L$24)),"")</f>
        <v>HYNMTR 6 3/8 04/08/30</v>
      </c>
      <c r="B56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56" s="83" t="str">
        <f aca="false">IFERROR(IF(INDEX(원자료_시장!$A$1:$BZ$1000,설정!$L$6+ROW()-1,설정!$L$25)&amp;""="0","",INDEX(원자료_시장!$A$1:$BZ$1000,설정!$L$6+ROW()-1,설정!$L$25)),"")</f>
        <v>USD</v>
      </c>
      <c r="D56" s="85" t="n">
        <f aca="false">IFERROR(IF(ISNUMBER(INDEX(원자료_시장!$A$1:$BZ$1000,설정!$L$6+ROW()-1,설정!$L$26)),INDEX(원자료_시장!$A$1:$BZ$1000,설정!$L$6+ROW()-1,설정!$L$26),""),"")</f>
        <v>5.864</v>
      </c>
      <c r="E56" s="97" t="n">
        <f aca="false">IFERROR(IF(ISNUMBER(INDEX(원자료_시장!$A$1:$BZ$1000,설정!$L$6+ROW()-1,설정!$L$27)),INDEX(원자료_시장!$A$1:$BZ$1000,설정!$L$6+ROW()-1,설정!$L$27),""),"")</f>
        <v>74.592</v>
      </c>
      <c r="F56" s="97" t="n">
        <f aca="false">IFERROR(IF(ISNUMBER(INDEX(원자료_시장!$A$1:$BZ$1000,설정!$L$6+ROW()-1,설정!$L$28)),INDEX(원자료_시장!$A$1:$BZ$1000,설정!$L$6+ROW()-1,설정!$L$28),""),"")</f>
        <v>109.401</v>
      </c>
      <c r="G56" s="97" t="n">
        <f aca="false">IFERROR(IF(ISNUMBER(INDEX(원자료_시장!$A$1:$BZ$1000,설정!$L$6+ROW()-1,설정!$L$29)),INDEX(원자료_시장!$A$1:$BZ$1000,설정!$L$6+ROW()-1,설정!$L$29),""),"")</f>
        <v>-0.8</v>
      </c>
      <c r="H56" s="97" t="n">
        <f aca="false">IFERROR(IF(ISNUMBER(INDEX(원자료_시장!$A$1:$BZ$1000,설정!$L$6+ROW()-1,설정!$L$30)),INDEX(원자료_시장!$A$1:$BZ$1000,설정!$L$6+ROW()-1,설정!$L$30),""),"")</f>
        <v>1.6</v>
      </c>
      <c r="I56" s="97" t="n">
        <f aca="false">IFERROR(IF(ISNUMBER(INDEX(원자료_시장!$A$1:$BZ$1000,설정!$L$6+ROW()-1,설정!$L$31)),INDEX(원자료_시장!$A$1:$BZ$1000,설정!$L$6+ROW()-1,설정!$L$31),""),"")</f>
        <v>0</v>
      </c>
      <c r="J56" s="97" t="n">
        <f aca="false">IFERROR(IF(ISNUMBER(INDEX(원자료_시장!$A$1:$BZ$1000,설정!$L$6+ROW()-1,설정!$L$32)),INDEX(원자료_시장!$A$1:$BZ$1000,설정!$L$6+ROW()-1,설정!$L$32),""),"")</f>
        <v>-3.5</v>
      </c>
      <c r="K56" s="85" t="n">
        <f aca="false">IFERROR(IF(ISNUMBER(INDEX(원자료_시장!$A$1:$BZ$1000,설정!$L$6+ROW()-1,설정!$L$33)),INDEX(원자료_시장!$A$1:$BZ$1000,설정!$L$6+ROW()-1,설정!$L$33),""),"")</f>
        <v>2.913</v>
      </c>
      <c r="L56" s="83" t="str">
        <f aca="false">IFERROR(IF(INDEX(원자료_시장!$A$1:$BZ$1000,설정!$L$6+ROW()-1,설정!$L$34)&amp;""="0","",INDEX(원자료_시장!$A$1:$BZ$1000,설정!$L$6+ROW()-1,설정!$L$34)),"")</f>
        <v>자유 소비재</v>
      </c>
      <c r="M56" s="83" t="str">
        <f aca="false">IFERROR(IF(INDEX(원자료_시장!$A$1:$BZ$1000,설정!$L$6+ROW()-1,설정!$L$35)&amp;""="0","",INDEX(원자료_시장!$A$1:$BZ$1000,설정!$L$6+ROW()-1,설정!$L$35)),"")</f>
        <v>A-</v>
      </c>
      <c r="N56" s="83" t="str">
        <f aca="false">IFERROR(IF(INDEX(원자료_시장!$A$1:$BZ$1000,설정!$L$6+ROW()-1,설정!$L$36)&amp;""="0","",INDEX(원자료_시장!$A$1:$BZ$1000,설정!$L$6+ROW()-1,설정!$L$36)),"")</f>
        <v>미국</v>
      </c>
      <c r="O56" s="43" t="str">
        <f aca="false">IF($A56="","",UPPER(LEFT($A56,FIND(" ",$A56&amp;" ")-1)))</f>
        <v>HYNMTR</v>
      </c>
      <c r="P56" s="43" t="str">
        <f aca="false">IF($A56="","",TRIM(RIGHT(SUBSTITUTE(TRIM($A56)," ",REPT(" ",30)),30)))</f>
        <v>04/08/30</v>
      </c>
      <c r="Q56" s="98" t="n">
        <f aca="false">IF($A56="","",IFERROR(DATE(IF(LEN(P56)=8,2000+VALUE(RIGHT(P56,2)),VALUE(RIGHT(P56,4))),VALUE(LEFT(P56,2)),VALUE(MID(P56,4,2))),""))</f>
        <v>47581</v>
      </c>
      <c r="R56" s="89" t="n">
        <f aca="false">IF($A56="",0,IF(ISNUMBER(SEARCH("Float",$A56)),1,0))</f>
        <v>0</v>
      </c>
      <c r="S56" s="43" t="str">
        <f aca="false">IF($A56="","",TRIM(MID($A56,LEN(O56)+2,LEN($A56)-LEN(O56)-LEN(P56)-1)))</f>
        <v>6 3/8</v>
      </c>
      <c r="T56" s="92" t="n">
        <f aca="false">IF(OR($A56="",R56=1),"",IFERROR(IF(ISNUMBER(FIND("/",S56)),IF(ISNUMBER(FIND(" ",S56)),VALUE(LEFT(S56,FIND(" ",S56)-1))+VALUE(MID(S56,FIND(" ",S56)+1,FIND("/",S56)-FIND(" ",S56)-1))/VALUE(MID(S56,FIND("/",S56)+1,9)),VALUE(LEFT(S56,FIND("/",S56)-1))/VALUE(MID(S56,FIND("/",S56)+1,9))),VALUE(S56)),""))</f>
        <v>6.375</v>
      </c>
      <c r="U56" s="43" t="str">
        <f aca="false">IF(OR($A56="",NOT(ISNUMBER(Q56))),"",TEXT(Q56,"yyyymmdd")&amp;"|"&amp;IF(R56=1,"F",TEXT(T56,"0.000")))</f>
        <v>20300408|6.375</v>
      </c>
      <c r="V56" s="43" t="str">
        <f aca="false">IF(U56="","",O56&amp;"|"&amp;U56)</f>
        <v>HYNMTR|20300408|6.375</v>
      </c>
      <c r="W56" s="43" t="str">
        <f aca="false">IF($A56="","",IFERROR(IF(VLOOKUP(O56,매핑!$A$4:$E$92,3,0)="","미분류",VLOOKUP(O56,매핑!$A$4:$E$92,3,0)),"미분류"))</f>
        <v>미국</v>
      </c>
      <c r="X56" s="89" t="n">
        <f aca="false">IF($A56="",0,IF(O56="T",1,0))</f>
        <v>0</v>
      </c>
      <c r="Y56" s="89" t="n">
        <f aca="false">IF($A56="",0,IF(AND(C56="USD",X56=0,ISNUMBER(E56),ISNUMBER(K56)),IF(K56&gt;=설정!$C$8,1,0),0))</f>
        <v>1</v>
      </c>
      <c r="Z56" s="43" t="str">
        <f aca="false">IF($A56="","",N56&amp;"|"&amp;L56)</f>
        <v>미국|자유 소비재</v>
      </c>
      <c r="AA56" s="92" t="n">
        <f aca="false">IF(Y56=1,LN(K56),0)</f>
        <v>1.0691834779773</v>
      </c>
      <c r="AB56" s="93" t="n">
        <f aca="false">IF(Y56=1,E56,0)</f>
        <v>74.592</v>
      </c>
      <c r="AC56" s="89" t="n">
        <f aca="false">IF(Y56=1,COUNTIFS($Z$2:$Z$601,Z56,$Y$2:$Y$601,1),0)</f>
        <v>18</v>
      </c>
      <c r="AD56" s="89" t="n">
        <f aca="false">IF(Y56=1,COUNTIFS($N$2:$N$601,N56,$Y$2:$Y$601,1),0)</f>
        <v>49</v>
      </c>
      <c r="AE56" s="43" t="str">
        <f aca="false">IF(Y56&lt;&gt;1,"",IF(AND(AC56&gt;=설정!$C$7,ISNUMBER(MATCH(Z56,피어커브!$A:$A,0))),Z56,IF(AND(AD56&gt;=설정!$C$7,ISNUMBER(MATCH(N56&amp;"|전체",피어커브!$A:$A,0))),N56&amp;"|전체","전체|전체")))</f>
        <v>미국|자유 소비재</v>
      </c>
      <c r="AF56" s="93" t="n">
        <f aca="false">IF(AE56="","",INDEX(피어커브!$K:$K,MATCH(AE56,피어커브!$A:$A,0)))</f>
        <v>26.8569188281613</v>
      </c>
      <c r="AG56" s="93" t="n">
        <f aca="false">IF(AE56="","",INDEX(피어커브!$J:$J,MATCH(AE56,피어커브!$A:$A,0)))</f>
        <v>40.2545310700915</v>
      </c>
      <c r="AH56" s="93" t="n">
        <f aca="false">IF(AE56="","",INDEX(피어커브!$L:$L,MATCH(AE56,피어커브!$A:$A,0)))</f>
        <v>4.33725635148027</v>
      </c>
      <c r="AI56" s="93" t="n">
        <f aca="false">IF(AE56="","",AF56+AG56*AA56)</f>
        <v>69.8963983620268</v>
      </c>
      <c r="AJ56" s="96" t="n">
        <f aca="false">IF(AE56="","",E56-AI56)</f>
        <v>4.69560163797317</v>
      </c>
      <c r="AK56" s="95" t="n">
        <f aca="false">IF(AE56="","",IF(ISNUMBER(AH56),IF(AH56&gt;0,AJ56/AH56,""),""))</f>
        <v>1.08262026900268</v>
      </c>
      <c r="AL56" s="43" t="str">
        <f aca="false">IF(AK56="","-",IF(AK56&gt;=설정!$C$6,"Cheap",IF(AK56&lt;=-설정!$C$6,"Rich","Fair")))</f>
        <v>Cheap</v>
      </c>
      <c r="AM56" s="96" t="n">
        <f aca="false">IF(AE56="","",AJ56-AVERAGEIFS($AJ$2:$AJ$601,$B$2:$B$601,B56,$Y$2:$Y$601,1))</f>
        <v>4.69560163797317</v>
      </c>
      <c r="AN56" s="93" t="n">
        <f aca="false">IF(AE56="",0,IF(K56&gt;1+설정!$C$8,AG56*(AA56-LN(K56-1)),0))</f>
        <v>16.9274645614995</v>
      </c>
      <c r="AO56" s="99" t="n">
        <f aca="false">IF($A56="",0,SUMIFS(보유분석!$AA$2:$AA$801,보유분석!$AB$2:$AB$801,ROW(),보유분석!$AC$2:$AC$801,1))</f>
        <v>10.688202</v>
      </c>
      <c r="AP56" s="43" t="str">
        <f aca="false">IF($A56="","",TRIM(IF(R56=1,"FRN ","")&amp;IF(IFERROR(VLOOKUP(M56,설정!$A$15:$D$47,4,0),0)&gt;=10,IF(IFERROR(VLOOKUP(M56,설정!$A$15:$D$47,4,0),0)&lt;99,"BBB0미만 ",""),"")&amp;IF(OR(M56="",M56="NR"),"등급미입력 ","")&amp;IF(C56&lt;&gt;"USD","비USD ","")))</f>
        <v/>
      </c>
      <c r="AQ56" s="90" t="n">
        <f aca="false">IF(AND(Y56=1,AL56="Cheap"),IF(AND(ISERROR(SEARCH("FRN",AP56)),ISERROR(SEARCH("BBB0미만",AP56))),AK56+ROW()/1000000000,-999),-999)</f>
        <v>1.08262032500268</v>
      </c>
      <c r="AR56" s="92" t="n">
        <f aca="false">IF(AND(ISNUMBER(D56),ISNUMBER(K56)),D56+AN56*MAX(K56-1,0)/100,"")</f>
        <v>6.18782239706149</v>
      </c>
      <c r="AS56" s="93" t="n">
        <f aca="false">IF(AND(ISNUMBER(E56),ISNUMBER(K56)),IF(K56&gt;0,(E56+AN56*MAX(K56-1,0))/K56,""),"")</f>
        <v>36.7230483028317</v>
      </c>
      <c r="AT56" s="90" t="n">
        <f aca="false">IFERROR(IF(AND(Y56=1,ROW()&lt;&gt;스왑분석!$C$12+1,ABS(K56-INDEX($K$2:$K$601,스왑분석!$C$12))&lt;=스왑분석!$C$5,ISERROR(SEARCH("FRN",AP56)),ISERROR(SEARCH("BBB0미만",AP56))),IF(AND(OR(스왑분석!$C$6="N",L56=INDEX($L$2:$L$601,스왑분석!$C$12)),OR(스왑분석!$C$7="N",N56=INDEX($N$2:$N$601,스왑분석!$C$12)),OR(스왑분석!$C$8="N",AO56=0),E56-INDEX($E$2:$E$601,스왑분석!$C$12)&gt;=스왑분석!$C$9),E56-INDEX($E$2:$E$601,스왑분석!$C$12)+ROW()/1000000000,-999),-999),-999)</f>
        <v>26.100000056</v>
      </c>
      <c r="AU56" s="90" t="n">
        <f aca="false">IF(AND(Y56=1,AO56&gt;0,AL56="Rich"),-AK56+ROW()/1000000000,-999)</f>
        <v>-999</v>
      </c>
    </row>
    <row r="57" customFormat="false" ht="15" hidden="false" customHeight="false" outlineLevel="0" collapsed="false">
      <c r="A57" s="83" t="str">
        <f aca="false">IFERROR(IF(INDEX(원자료_시장!$A$1:$BZ$1000,설정!$L$6+ROW()-1,설정!$L$24)&amp;""="0","",INDEX(원자료_시장!$A$1:$BZ$1000,설정!$L$6+ROW()-1,설정!$L$24)),"")</f>
        <v>HYNMTR 5.8 04/01/30</v>
      </c>
      <c r="B57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57" s="83" t="str">
        <f aca="false">IFERROR(IF(INDEX(원자료_시장!$A$1:$BZ$1000,설정!$L$6+ROW()-1,설정!$L$25)&amp;""="0","",INDEX(원자료_시장!$A$1:$BZ$1000,설정!$L$6+ROW()-1,설정!$L$25)),"")</f>
        <v>USD</v>
      </c>
      <c r="D57" s="85" t="n">
        <f aca="false">IFERROR(IF(ISNUMBER(INDEX(원자료_시장!$A$1:$BZ$1000,설정!$L$6+ROW()-1,설정!$L$26)),INDEX(원자료_시장!$A$1:$BZ$1000,설정!$L$6+ROW()-1,설정!$L$26),""),"")</f>
        <v>5.816</v>
      </c>
      <c r="E57" s="97" t="n">
        <f aca="false">IFERROR(IF(ISNUMBER(INDEX(원자료_시장!$A$1:$BZ$1000,설정!$L$6+ROW()-1,설정!$L$27)),INDEX(원자료_시장!$A$1:$BZ$1000,설정!$L$6+ROW()-1,설정!$L$27),""),"")</f>
        <v>72.883</v>
      </c>
      <c r="F57" s="97" t="n">
        <f aca="false">IFERROR(IF(ISNUMBER(INDEX(원자료_시장!$A$1:$BZ$1000,설정!$L$6+ROW()-1,설정!$L$28)),INDEX(원자료_시장!$A$1:$BZ$1000,설정!$L$6+ROW()-1,설정!$L$28),""),"")</f>
        <v>107.481</v>
      </c>
      <c r="G57" s="97" t="n">
        <f aca="false">IFERROR(IF(ISNUMBER(INDEX(원자료_시장!$A$1:$BZ$1000,설정!$L$6+ROW()-1,설정!$L$29)),INDEX(원자료_시장!$A$1:$BZ$1000,설정!$L$6+ROW()-1,설정!$L$29),""),"")</f>
        <v>-0.6</v>
      </c>
      <c r="H57" s="97" t="n">
        <f aca="false">IFERROR(IF(ISNUMBER(INDEX(원자료_시장!$A$1:$BZ$1000,설정!$L$6+ROW()-1,설정!$L$30)),INDEX(원자료_시장!$A$1:$BZ$1000,설정!$L$6+ROW()-1,설정!$L$30),""),"")</f>
        <v>2.6</v>
      </c>
      <c r="I57" s="97" t="n">
        <f aca="false">IFERROR(IF(ISNUMBER(INDEX(원자료_시장!$A$1:$BZ$1000,설정!$L$6+ROW()-1,설정!$L$31)),INDEX(원자료_시장!$A$1:$BZ$1000,설정!$L$6+ROW()-1,설정!$L$31),""),"")</f>
        <v>-0.8</v>
      </c>
      <c r="J57" s="97" t="n">
        <f aca="false">IFERROR(IF(ISNUMBER(INDEX(원자료_시장!$A$1:$BZ$1000,설정!$L$6+ROW()-1,설정!$L$32)),INDEX(원자료_시장!$A$1:$BZ$1000,설정!$L$6+ROW()-1,설정!$L$32),""),"")</f>
        <v>0.5</v>
      </c>
      <c r="K57" s="85" t="n">
        <f aca="false">IFERROR(IF(ISNUMBER(INDEX(원자료_시장!$A$1:$BZ$1000,설정!$L$6+ROW()-1,설정!$L$33)),INDEX(원자료_시장!$A$1:$BZ$1000,설정!$L$6+ROW()-1,설정!$L$33),""),"")</f>
        <v>3.215</v>
      </c>
      <c r="L57" s="83" t="str">
        <f aca="false">IFERROR(IF(INDEX(원자료_시장!$A$1:$BZ$1000,설정!$L$6+ROW()-1,설정!$L$34)&amp;""="0","",INDEX(원자료_시장!$A$1:$BZ$1000,설정!$L$6+ROW()-1,설정!$L$34)),"")</f>
        <v>자유 소비재</v>
      </c>
      <c r="M57" s="83" t="str">
        <f aca="false">IFERROR(IF(INDEX(원자료_시장!$A$1:$BZ$1000,설정!$L$6+ROW()-1,설정!$L$35)&amp;""="0","",INDEX(원자료_시장!$A$1:$BZ$1000,설정!$L$6+ROW()-1,설정!$L$35)),"")</f>
        <v>A-</v>
      </c>
      <c r="N57" s="83" t="str">
        <f aca="false">IFERROR(IF(INDEX(원자료_시장!$A$1:$BZ$1000,설정!$L$6+ROW()-1,설정!$L$36)&amp;""="0","",INDEX(원자료_시장!$A$1:$BZ$1000,설정!$L$6+ROW()-1,설정!$L$36)),"")</f>
        <v>미국</v>
      </c>
      <c r="O57" s="43" t="str">
        <f aca="false">IF($A57="","",UPPER(LEFT($A57,FIND(" ",$A57&amp;" ")-1)))</f>
        <v>HYNMTR</v>
      </c>
      <c r="P57" s="43" t="str">
        <f aca="false">IF($A57="","",TRIM(RIGHT(SUBSTITUTE(TRIM($A57)," ",REPT(" ",30)),30)))</f>
        <v>04/01/30</v>
      </c>
      <c r="Q57" s="98" t="n">
        <f aca="false">IF($A57="","",IFERROR(DATE(IF(LEN(P57)=8,2000+VALUE(RIGHT(P57,2)),VALUE(RIGHT(P57,4))),VALUE(LEFT(P57,2)),VALUE(MID(P57,4,2))),""))</f>
        <v>47574</v>
      </c>
      <c r="R57" s="89" t="n">
        <f aca="false">IF($A57="",0,IF(ISNUMBER(SEARCH("Float",$A57)),1,0))</f>
        <v>0</v>
      </c>
      <c r="S57" s="43" t="str">
        <f aca="false">IF($A57="","",TRIM(MID($A57,LEN(O57)+2,LEN($A57)-LEN(O57)-LEN(P57)-1)))</f>
        <v>5.8</v>
      </c>
      <c r="T57" s="92" t="n">
        <f aca="false">IF(OR($A57="",R57=1),"",IFERROR(IF(ISNUMBER(FIND("/",S57)),IF(ISNUMBER(FIND(" ",S57)),VALUE(LEFT(S57,FIND(" ",S57)-1))+VALUE(MID(S57,FIND(" ",S57)+1,FIND("/",S57)-FIND(" ",S57)-1))/VALUE(MID(S57,FIND("/",S57)+1,9)),VALUE(LEFT(S57,FIND("/",S57)-1))/VALUE(MID(S57,FIND("/",S57)+1,9))),VALUE(S57)),""))</f>
        <v>5.8</v>
      </c>
      <c r="U57" s="43" t="str">
        <f aca="false">IF(OR($A57="",NOT(ISNUMBER(Q57))),"",TEXT(Q57,"yyyymmdd")&amp;"|"&amp;IF(R57=1,"F",TEXT(T57,"0.000")))</f>
        <v>20300401|5.800</v>
      </c>
      <c r="V57" s="43" t="str">
        <f aca="false">IF(U57="","",O57&amp;"|"&amp;U57)</f>
        <v>HYNMTR|20300401|5.800</v>
      </c>
      <c r="W57" s="43" t="str">
        <f aca="false">IF($A57="","",IFERROR(IF(VLOOKUP(O57,매핑!$A$4:$E$92,3,0)="","미분류",VLOOKUP(O57,매핑!$A$4:$E$92,3,0)),"미분류"))</f>
        <v>미국</v>
      </c>
      <c r="X57" s="89" t="n">
        <f aca="false">IF($A57="",0,IF(O57="T",1,0))</f>
        <v>0</v>
      </c>
      <c r="Y57" s="89" t="n">
        <f aca="false">IF($A57="",0,IF(AND(C57="USD",X57=0,ISNUMBER(E57),ISNUMBER(K57)),IF(K57&gt;=설정!$C$8,1,0),0))</f>
        <v>1</v>
      </c>
      <c r="Z57" s="43" t="str">
        <f aca="false">IF($A57="","",N57&amp;"|"&amp;L57)</f>
        <v>미국|자유 소비재</v>
      </c>
      <c r="AA57" s="92" t="n">
        <f aca="false">IF(Y57=1,LN(K57),0)</f>
        <v>1.16782735768958</v>
      </c>
      <c r="AB57" s="93" t="n">
        <f aca="false">IF(Y57=1,E57,0)</f>
        <v>72.883</v>
      </c>
      <c r="AC57" s="89" t="n">
        <f aca="false">IF(Y57=1,COUNTIFS($Z$2:$Z$601,Z57,$Y$2:$Y$601,1),0)</f>
        <v>18</v>
      </c>
      <c r="AD57" s="89" t="n">
        <f aca="false">IF(Y57=1,COUNTIFS($N$2:$N$601,N57,$Y$2:$Y$601,1),0)</f>
        <v>49</v>
      </c>
      <c r="AE57" s="43" t="str">
        <f aca="false">IF(Y57&lt;&gt;1,"",IF(AND(AC57&gt;=설정!$C$7,ISNUMBER(MATCH(Z57,피어커브!$A:$A,0))),Z57,IF(AND(AD57&gt;=설정!$C$7,ISNUMBER(MATCH(N57&amp;"|전체",피어커브!$A:$A,0))),N57&amp;"|전체","전체|전체")))</f>
        <v>미국|자유 소비재</v>
      </c>
      <c r="AF57" s="93" t="n">
        <f aca="false">IF(AE57="","",INDEX(피어커브!$K:$K,MATCH(AE57,피어커브!$A:$A,0)))</f>
        <v>26.8569188281613</v>
      </c>
      <c r="AG57" s="93" t="n">
        <f aca="false">IF(AE57="","",INDEX(피어커브!$J:$J,MATCH(AE57,피어커브!$A:$A,0)))</f>
        <v>40.2545310700915</v>
      </c>
      <c r="AH57" s="93" t="n">
        <f aca="false">IF(AE57="","",INDEX(피어커브!$L:$L,MATCH(AE57,피어커브!$A:$A,0)))</f>
        <v>4.33725635148027</v>
      </c>
      <c r="AI57" s="93" t="n">
        <f aca="false">IF(AE57="","",AF57+AG57*AA57)</f>
        <v>73.8672614827794</v>
      </c>
      <c r="AJ57" s="96" t="n">
        <f aca="false">IF(AE57="","",E57-AI57)</f>
        <v>-0.984261482779374</v>
      </c>
      <c r="AK57" s="95" t="n">
        <f aca="false">IF(AE57="","",IF(ISNUMBER(AH57),IF(AH57&gt;0,AJ57/AH57,""),""))</f>
        <v>-0.226931821183097</v>
      </c>
      <c r="AL57" s="43" t="str">
        <f aca="false">IF(AK57="","-",IF(AK57&gt;=설정!$C$6,"Cheap",IF(AK57&lt;=-설정!$C$6,"Rich","Fair")))</f>
        <v>Fair</v>
      </c>
      <c r="AM57" s="96" t="n">
        <f aca="false">IF(AE57="","",AJ57-AVERAGEIFS($AJ$2:$AJ$601,$B$2:$B$601,B57,$Y$2:$Y$601,1))</f>
        <v>-0.984261482779372</v>
      </c>
      <c r="AN57" s="93" t="n">
        <f aca="false">IF(AE57="",0,IF(K57&gt;1+설정!$C$8,AG57*(AA57-LN(K57-1)),0))</f>
        <v>14.9978300694792</v>
      </c>
      <c r="AO57" s="99" t="n">
        <f aca="false">IF($A57="",0,SUMIFS(보유분석!$AA$2:$AA$801,보유분석!$AB$2:$AB$801,ROW(),보유분석!$AC$2:$AC$801,1))</f>
        <v>15.014085</v>
      </c>
      <c r="AP57" s="43" t="str">
        <f aca="false">IF($A57="","",TRIM(IF(R57=1,"FRN ","")&amp;IF(IFERROR(VLOOKUP(M57,설정!$A$15:$D$47,4,0),0)&gt;=10,IF(IFERROR(VLOOKUP(M57,설정!$A$15:$D$47,4,0),0)&lt;99,"BBB0미만 ",""),"")&amp;IF(OR(M57="",M57="NR"),"등급미입력 ","")&amp;IF(C57&lt;&gt;"USD","비USD ","")))</f>
        <v/>
      </c>
      <c r="AQ57" s="90" t="n">
        <f aca="false">IF(AND(Y57=1,AL57="Cheap"),IF(AND(ISERROR(SEARCH("FRN",AP57)),ISERROR(SEARCH("BBB0미만",AP57))),AK57+ROW()/1000000000,-999),-999)</f>
        <v>-999</v>
      </c>
      <c r="AR57" s="92" t="n">
        <f aca="false">IF(AND(ISNUMBER(D57),ISNUMBER(K57)),D57+AN57*MAX(K57-1,0)/100,"")</f>
        <v>6.14820193603897</v>
      </c>
      <c r="AS57" s="93" t="n">
        <f aca="false">IF(AND(ISNUMBER(E57),ISNUMBER(K57)),IF(K57&gt;0,(E57+AN57*MAX(K57-1,0))/K57,""),"")</f>
        <v>33.0025485548667</v>
      </c>
      <c r="AT57" s="90" t="n">
        <f aca="false">IFERROR(IF(AND(Y57=1,ROW()&lt;&gt;스왑분석!$C$12+1,ABS(K57-INDEX($K$2:$K$601,스왑분석!$C$12))&lt;=스왑분석!$C$5,ISERROR(SEARCH("FRN",AP57)),ISERROR(SEARCH("BBB0미만",AP57))),IF(AND(OR(스왑분석!$C$6="N",L57=INDEX($L$2:$L$601,스왑분석!$C$12)),OR(스왑분석!$C$7="N",N57=INDEX($N$2:$N$601,스왑분석!$C$12)),OR(스왑분석!$C$8="N",AO57=0),E57-INDEX($E$2:$E$601,스왑분석!$C$12)&gt;=스왑분석!$C$9),E57-INDEX($E$2:$E$601,스왑분석!$C$12)+ROW()/1000000000,-999),-999),-999)</f>
        <v>24.391000057</v>
      </c>
      <c r="AU57" s="90" t="n">
        <f aca="false">IF(AND(Y57=1,AO57&gt;0,AL57="Rich"),-AK57+ROW()/1000000000,-999)</f>
        <v>-999</v>
      </c>
    </row>
    <row r="58" customFormat="false" ht="15" hidden="false" customHeight="false" outlineLevel="0" collapsed="false">
      <c r="A58" s="83" t="str">
        <f aca="false">IFERROR(IF(INDEX(원자료_시장!$A$1:$BZ$1000,설정!$L$6+ROW()-1,설정!$L$24)&amp;""="0","",INDEX(원자료_시장!$A$1:$BZ$1000,설정!$L$6+ROW()-1,설정!$L$24)),"")</f>
        <v>HYNMTR 5.7 06/26/30</v>
      </c>
      <c r="B58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58" s="83" t="str">
        <f aca="false">IFERROR(IF(INDEX(원자료_시장!$A$1:$BZ$1000,설정!$L$6+ROW()-1,설정!$L$25)&amp;""="0","",INDEX(원자료_시장!$A$1:$BZ$1000,설정!$L$6+ROW()-1,설정!$L$25)),"")</f>
        <v>USD</v>
      </c>
      <c r="D58" s="85" t="n">
        <f aca="false">IFERROR(IF(ISNUMBER(INDEX(원자료_시장!$A$1:$BZ$1000,설정!$L$6+ROW()-1,설정!$L$26)),INDEX(원자료_시장!$A$1:$BZ$1000,설정!$L$6+ROW()-1,설정!$L$26),""),"")</f>
        <v>5.817</v>
      </c>
      <c r="E58" s="97" t="n">
        <f aca="false">IFERROR(IF(ISNUMBER(INDEX(원자료_시장!$A$1:$BZ$1000,설정!$L$6+ROW()-1,설정!$L$27)),INDEX(원자료_시장!$A$1:$BZ$1000,설정!$L$6+ROW()-1,설정!$L$27),""),"")</f>
        <v>72.998</v>
      </c>
      <c r="F58" s="97" t="n">
        <f aca="false">IFERROR(IF(ISNUMBER(INDEX(원자료_시장!$A$1:$BZ$1000,설정!$L$6+ROW()-1,설정!$L$28)),INDEX(원자료_시장!$A$1:$BZ$1000,설정!$L$6+ROW()-1,설정!$L$28),""),"")</f>
        <v>107.378</v>
      </c>
      <c r="G58" s="97" t="n">
        <f aca="false">IFERROR(IF(ISNUMBER(INDEX(원자료_시장!$A$1:$BZ$1000,설정!$L$6+ROW()-1,설정!$L$29)),INDEX(원자료_시장!$A$1:$BZ$1000,설정!$L$6+ROW()-1,설정!$L$29),""),"")</f>
        <v>-0.8</v>
      </c>
      <c r="H58" s="97" t="n">
        <f aca="false">IFERROR(IF(ISNUMBER(INDEX(원자료_시장!$A$1:$BZ$1000,설정!$L$6+ROW()-1,설정!$L$30)),INDEX(원자료_시장!$A$1:$BZ$1000,설정!$L$6+ROW()-1,설정!$L$30),""),"")</f>
        <v>-0.7</v>
      </c>
      <c r="I58" s="97" t="n">
        <f aca="false">IFERROR(IF(ISNUMBER(INDEX(원자료_시장!$A$1:$BZ$1000,설정!$L$6+ROW()-1,설정!$L$31)),INDEX(원자료_시장!$A$1:$BZ$1000,설정!$L$6+ROW()-1,설정!$L$31),""),"")</f>
        <v>1.5</v>
      </c>
      <c r="J58" s="97" t="n">
        <f aca="false">IFERROR(IF(ISNUMBER(INDEX(원자료_시장!$A$1:$BZ$1000,설정!$L$6+ROW()-1,설정!$L$32)),INDEX(원자료_시장!$A$1:$BZ$1000,설정!$L$6+ROW()-1,설정!$L$32),""),"")</f>
        <v>-2.3</v>
      </c>
      <c r="K58" s="85" t="n">
        <f aca="false">IFERROR(IF(ISNUMBER(INDEX(원자료_시장!$A$1:$BZ$1000,설정!$L$6+ROW()-1,설정!$L$33)),INDEX(원자료_시장!$A$1:$BZ$1000,설정!$L$6+ROW()-1,설정!$L$33),""),"")</f>
        <v>3.365</v>
      </c>
      <c r="L58" s="83" t="str">
        <f aca="false">IFERROR(IF(INDEX(원자료_시장!$A$1:$BZ$1000,설정!$L$6+ROW()-1,설정!$L$34)&amp;""="0","",INDEX(원자료_시장!$A$1:$BZ$1000,설정!$L$6+ROW()-1,설정!$L$34)),"")</f>
        <v>자유 소비재</v>
      </c>
      <c r="M58" s="83" t="str">
        <f aca="false">IFERROR(IF(INDEX(원자료_시장!$A$1:$BZ$1000,설정!$L$6+ROW()-1,설정!$L$35)&amp;""="0","",INDEX(원자료_시장!$A$1:$BZ$1000,설정!$L$6+ROW()-1,설정!$L$35)),"")</f>
        <v>A-</v>
      </c>
      <c r="N58" s="83" t="str">
        <f aca="false">IFERROR(IF(INDEX(원자료_시장!$A$1:$BZ$1000,설정!$L$6+ROW()-1,설정!$L$36)&amp;""="0","",INDEX(원자료_시장!$A$1:$BZ$1000,설정!$L$6+ROW()-1,설정!$L$36)),"")</f>
        <v>미국</v>
      </c>
      <c r="O58" s="43" t="str">
        <f aca="false">IF($A58="","",UPPER(LEFT($A58,FIND(" ",$A58&amp;" ")-1)))</f>
        <v>HYNMTR</v>
      </c>
      <c r="P58" s="43" t="str">
        <f aca="false">IF($A58="","",TRIM(RIGHT(SUBSTITUTE(TRIM($A58)," ",REPT(" ",30)),30)))</f>
        <v>06/26/30</v>
      </c>
      <c r="Q58" s="98" t="n">
        <f aca="false">IF($A58="","",IFERROR(DATE(IF(LEN(P58)=8,2000+VALUE(RIGHT(P58,2)),VALUE(RIGHT(P58,4))),VALUE(LEFT(P58,2)),VALUE(MID(P58,4,2))),""))</f>
        <v>47660</v>
      </c>
      <c r="R58" s="89" t="n">
        <f aca="false">IF($A58="",0,IF(ISNUMBER(SEARCH("Float",$A58)),1,0))</f>
        <v>0</v>
      </c>
      <c r="S58" s="43" t="str">
        <f aca="false">IF($A58="","",TRIM(MID($A58,LEN(O58)+2,LEN($A58)-LEN(O58)-LEN(P58)-1)))</f>
        <v>5.7</v>
      </c>
      <c r="T58" s="92" t="n">
        <f aca="false">IF(OR($A58="",R58=1),"",IFERROR(IF(ISNUMBER(FIND("/",S58)),IF(ISNUMBER(FIND(" ",S58)),VALUE(LEFT(S58,FIND(" ",S58)-1))+VALUE(MID(S58,FIND(" ",S58)+1,FIND("/",S58)-FIND(" ",S58)-1))/VALUE(MID(S58,FIND("/",S58)+1,9)),VALUE(LEFT(S58,FIND("/",S58)-1))/VALUE(MID(S58,FIND("/",S58)+1,9))),VALUE(S58)),""))</f>
        <v>5.7</v>
      </c>
      <c r="U58" s="43" t="str">
        <f aca="false">IF(OR($A58="",NOT(ISNUMBER(Q58))),"",TEXT(Q58,"yyyymmdd")&amp;"|"&amp;IF(R58=1,"F",TEXT(T58,"0.000")))</f>
        <v>20300626|5.700</v>
      </c>
      <c r="V58" s="43" t="str">
        <f aca="false">IF(U58="","",O58&amp;"|"&amp;U58)</f>
        <v>HYNMTR|20300626|5.700</v>
      </c>
      <c r="W58" s="43" t="str">
        <f aca="false">IF($A58="","",IFERROR(IF(VLOOKUP(O58,매핑!$A$4:$E$92,3,0)="","미분류",VLOOKUP(O58,매핑!$A$4:$E$92,3,0)),"미분류"))</f>
        <v>미국</v>
      </c>
      <c r="X58" s="89" t="n">
        <f aca="false">IF($A58="",0,IF(O58="T",1,0))</f>
        <v>0</v>
      </c>
      <c r="Y58" s="89" t="n">
        <f aca="false">IF($A58="",0,IF(AND(C58="USD",X58=0,ISNUMBER(E58),ISNUMBER(K58)),IF(K58&gt;=설정!$C$8,1,0),0))</f>
        <v>1</v>
      </c>
      <c r="Z58" s="43" t="str">
        <f aca="false">IF($A58="","",N58&amp;"|"&amp;L58)</f>
        <v>미국|자유 소비재</v>
      </c>
      <c r="AA58" s="92" t="n">
        <f aca="false">IF(Y58=1,LN(K58),0)</f>
        <v>1.21342796309669</v>
      </c>
      <c r="AB58" s="93" t="n">
        <f aca="false">IF(Y58=1,E58,0)</f>
        <v>72.998</v>
      </c>
      <c r="AC58" s="89" t="n">
        <f aca="false">IF(Y58=1,COUNTIFS($Z$2:$Z$601,Z58,$Y$2:$Y$601,1),0)</f>
        <v>18</v>
      </c>
      <c r="AD58" s="89" t="n">
        <f aca="false">IF(Y58=1,COUNTIFS($N$2:$N$601,N58,$Y$2:$Y$601,1),0)</f>
        <v>49</v>
      </c>
      <c r="AE58" s="43" t="str">
        <f aca="false">IF(Y58&lt;&gt;1,"",IF(AND(AC58&gt;=설정!$C$7,ISNUMBER(MATCH(Z58,피어커브!$A:$A,0))),Z58,IF(AND(AD58&gt;=설정!$C$7,ISNUMBER(MATCH(N58&amp;"|전체",피어커브!$A:$A,0))),N58&amp;"|전체","전체|전체")))</f>
        <v>미국|자유 소비재</v>
      </c>
      <c r="AF58" s="93" t="n">
        <f aca="false">IF(AE58="","",INDEX(피어커브!$K:$K,MATCH(AE58,피어커브!$A:$A,0)))</f>
        <v>26.8569188281613</v>
      </c>
      <c r="AG58" s="93" t="n">
        <f aca="false">IF(AE58="","",INDEX(피어커브!$J:$J,MATCH(AE58,피어커브!$A:$A,0)))</f>
        <v>40.2545310700915</v>
      </c>
      <c r="AH58" s="93" t="n">
        <f aca="false">IF(AE58="","",INDEX(피어커브!$L:$L,MATCH(AE58,피어커브!$A:$A,0)))</f>
        <v>4.33725635148027</v>
      </c>
      <c r="AI58" s="93" t="n">
        <f aca="false">IF(AE58="","",AF58+AG58*AA58)</f>
        <v>75.7028924699548</v>
      </c>
      <c r="AJ58" s="96" t="n">
        <f aca="false">IF(AE58="","",E58-AI58)</f>
        <v>-2.70489246995479</v>
      </c>
      <c r="AK58" s="95" t="n">
        <f aca="false">IF(AE58="","",IF(ISNUMBER(AH58),IF(AH58&gt;0,AJ58/AH58,""),""))</f>
        <v>-0.623641364668618</v>
      </c>
      <c r="AL58" s="43" t="str">
        <f aca="false">IF(AK58="","-",IF(AK58&gt;=설정!$C$6,"Cheap",IF(AK58&lt;=-설정!$C$6,"Rich","Fair")))</f>
        <v>Fair</v>
      </c>
      <c r="AM58" s="96" t="n">
        <f aca="false">IF(AE58="","",AJ58-AVERAGEIFS($AJ$2:$AJ$601,$B$2:$B$601,B58,$Y$2:$Y$601,1))</f>
        <v>-2.70489246995478</v>
      </c>
      <c r="AN58" s="93" t="n">
        <f aca="false">IF(AE58="",0,IF(K58&gt;1+설정!$C$8,AG58*(AA58-LN(K58-1)),0))</f>
        <v>14.1957580130011</v>
      </c>
      <c r="AO58" s="99" t="n">
        <f aca="false">IF($A58="",0,SUMIFS(보유분석!$AA$2:$AA$801,보유분석!$AB$2:$AB$801,ROW(),보유분석!$AC$2:$AC$801,1))</f>
        <v>8.1786226</v>
      </c>
      <c r="AP58" s="43" t="str">
        <f aca="false">IF($A58="","",TRIM(IF(R58=1,"FRN ","")&amp;IF(IFERROR(VLOOKUP(M58,설정!$A$15:$D$47,4,0),0)&gt;=10,IF(IFERROR(VLOOKUP(M58,설정!$A$15:$D$47,4,0),0)&lt;99,"BBB0미만 ",""),"")&amp;IF(OR(M58="",M58="NR"),"등급미입력 ","")&amp;IF(C58&lt;&gt;"USD","비USD ","")))</f>
        <v/>
      </c>
      <c r="AQ58" s="90" t="n">
        <f aca="false">IF(AND(Y58=1,AL58="Cheap"),IF(AND(ISERROR(SEARCH("FRN",AP58)),ISERROR(SEARCH("BBB0미만",AP58))),AK58+ROW()/1000000000,-999),-999)</f>
        <v>-999</v>
      </c>
      <c r="AR58" s="92" t="n">
        <f aca="false">IF(AND(ISNUMBER(D58),ISNUMBER(K58)),D58+AN58*MAX(K58-1,0)/100,"")</f>
        <v>6.15272967700748</v>
      </c>
      <c r="AS58" s="93" t="n">
        <f aca="false">IF(AND(ISNUMBER(E58),ISNUMBER(K58)),IF(K58&gt;0,(E58+AN58*MAX(K58-1,0))/K58,""),"")</f>
        <v>31.6704213078002</v>
      </c>
      <c r="AT58" s="90" t="n">
        <f aca="false">IFERROR(IF(AND(Y58=1,ROW()&lt;&gt;스왑분석!$C$12+1,ABS(K58-INDEX($K$2:$K$601,스왑분석!$C$12))&lt;=스왑분석!$C$5,ISERROR(SEARCH("FRN",AP58)),ISERROR(SEARCH("BBB0미만",AP58))),IF(AND(OR(스왑분석!$C$6="N",L58=INDEX($L$2:$L$601,스왑분석!$C$12)),OR(스왑분석!$C$7="N",N58=INDEX($N$2:$N$601,스왑분석!$C$12)),OR(스왑분석!$C$8="N",AO58=0),E58-INDEX($E$2:$E$601,스왑분석!$C$12)&gt;=스왑분석!$C$9),E58-INDEX($E$2:$E$601,스왑분석!$C$12)+ROW()/1000000000,-999),-999),-999)</f>
        <v>24.506000058</v>
      </c>
      <c r="AU58" s="90" t="n">
        <f aca="false">IF(AND(Y58=1,AO58&gt;0,AL58="Rich"),-AK58+ROW()/1000000000,-999)</f>
        <v>-999</v>
      </c>
    </row>
    <row r="59" customFormat="false" ht="15" hidden="false" customHeight="false" outlineLevel="0" collapsed="false">
      <c r="A59" s="83" t="str">
        <f aca="false">IFERROR(IF(INDEX(원자료_시장!$A$1:$BZ$1000,설정!$L$6+ROW()-1,설정!$L$24)&amp;""="0","",INDEX(원자료_시장!$A$1:$BZ$1000,설정!$L$6+ROW()-1,설정!$L$24)),"")</f>
        <v>HYNMTR 6.2 09/21/30</v>
      </c>
      <c r="B59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59" s="83" t="str">
        <f aca="false">IFERROR(IF(INDEX(원자료_시장!$A$1:$BZ$1000,설정!$L$6+ROW()-1,설정!$L$25)&amp;""="0","",INDEX(원자료_시장!$A$1:$BZ$1000,설정!$L$6+ROW()-1,설정!$L$25)),"")</f>
        <v>USD</v>
      </c>
      <c r="D59" s="85" t="n">
        <f aca="false">IFERROR(IF(ISNUMBER(INDEX(원자료_시장!$A$1:$BZ$1000,설정!$L$6+ROW()-1,설정!$L$26)),INDEX(원자료_시장!$A$1:$BZ$1000,설정!$L$6+ROW()-1,설정!$L$26),""),"")</f>
        <v>5.851</v>
      </c>
      <c r="E59" s="97" t="n">
        <f aca="false">IFERROR(IF(ISNUMBER(INDEX(원자료_시장!$A$1:$BZ$1000,설정!$L$6+ROW()-1,설정!$L$27)),INDEX(원자료_시장!$A$1:$BZ$1000,설정!$L$6+ROW()-1,설정!$L$27),""),"")</f>
        <v>75.317</v>
      </c>
      <c r="F59" s="97" t="n">
        <f aca="false">IFERROR(IF(ISNUMBER(INDEX(원자료_시장!$A$1:$BZ$1000,설정!$L$6+ROW()-1,설정!$L$28)),INDEX(원자료_시장!$A$1:$BZ$1000,설정!$L$6+ROW()-1,설정!$L$28),""),"")</f>
        <v>109.633</v>
      </c>
      <c r="G59" s="97" t="n">
        <f aca="false">IFERROR(IF(ISNUMBER(INDEX(원자료_시장!$A$1:$BZ$1000,설정!$L$6+ROW()-1,설정!$L$29)),INDEX(원자료_시장!$A$1:$BZ$1000,설정!$L$6+ROW()-1,설정!$L$29),""),"")</f>
        <v>0.2</v>
      </c>
      <c r="H59" s="97" t="n">
        <f aca="false">IFERROR(IF(ISNUMBER(INDEX(원자료_시장!$A$1:$BZ$1000,설정!$L$6+ROW()-1,설정!$L$30)),INDEX(원자료_시장!$A$1:$BZ$1000,설정!$L$6+ROW()-1,설정!$L$30),""),"")</f>
        <v>2.2</v>
      </c>
      <c r="I59" s="97" t="n">
        <f aca="false">IFERROR(IF(ISNUMBER(INDEX(원자료_시장!$A$1:$BZ$1000,설정!$L$6+ROW()-1,설정!$L$31)),INDEX(원자료_시장!$A$1:$BZ$1000,설정!$L$6+ROW()-1,설정!$L$31),""),"")</f>
        <v>-0.8</v>
      </c>
      <c r="J59" s="97" t="n">
        <f aca="false">IFERROR(IF(ISNUMBER(INDEX(원자료_시장!$A$1:$BZ$1000,설정!$L$6+ROW()-1,설정!$L$32)),INDEX(원자료_시장!$A$1:$BZ$1000,설정!$L$6+ROW()-1,설정!$L$32),""),"")</f>
        <v>-3.7</v>
      </c>
      <c r="K59" s="85" t="n">
        <f aca="false">IFERROR(IF(ISNUMBER(INDEX(원자료_시장!$A$1:$BZ$1000,설정!$L$6+ROW()-1,설정!$L$33)),INDEX(원자료_시장!$A$1:$BZ$1000,설정!$L$6+ROW()-1,설정!$L$33),""),"")</f>
        <v>3.441</v>
      </c>
      <c r="L59" s="83" t="str">
        <f aca="false">IFERROR(IF(INDEX(원자료_시장!$A$1:$BZ$1000,설정!$L$6+ROW()-1,설정!$L$34)&amp;""="0","",INDEX(원자료_시장!$A$1:$BZ$1000,설정!$L$6+ROW()-1,설정!$L$34)),"")</f>
        <v>자유 소비재</v>
      </c>
      <c r="M59" s="83" t="str">
        <f aca="false">IFERROR(IF(INDEX(원자료_시장!$A$1:$BZ$1000,설정!$L$6+ROW()-1,설정!$L$35)&amp;""="0","",INDEX(원자료_시장!$A$1:$BZ$1000,설정!$L$6+ROW()-1,설정!$L$35)),"")</f>
        <v>A-</v>
      </c>
      <c r="N59" s="83" t="str">
        <f aca="false">IFERROR(IF(INDEX(원자료_시장!$A$1:$BZ$1000,설정!$L$6+ROW()-1,설정!$L$36)&amp;""="0","",INDEX(원자료_시장!$A$1:$BZ$1000,설정!$L$6+ROW()-1,설정!$L$36)),"")</f>
        <v>미국</v>
      </c>
      <c r="O59" s="43" t="str">
        <f aca="false">IF($A59="","",UPPER(LEFT($A59,FIND(" ",$A59&amp;" ")-1)))</f>
        <v>HYNMTR</v>
      </c>
      <c r="P59" s="43" t="str">
        <f aca="false">IF($A59="","",TRIM(RIGHT(SUBSTITUTE(TRIM($A59)," ",REPT(" ",30)),30)))</f>
        <v>09/21/30</v>
      </c>
      <c r="Q59" s="98" t="n">
        <f aca="false">IF($A59="","",IFERROR(DATE(IF(LEN(P59)=8,2000+VALUE(RIGHT(P59,2)),VALUE(RIGHT(P59,4))),VALUE(LEFT(P59,2)),VALUE(MID(P59,4,2))),""))</f>
        <v>47747</v>
      </c>
      <c r="R59" s="89" t="n">
        <f aca="false">IF($A59="",0,IF(ISNUMBER(SEARCH("Float",$A59)),1,0))</f>
        <v>0</v>
      </c>
      <c r="S59" s="43" t="str">
        <f aca="false">IF($A59="","",TRIM(MID($A59,LEN(O59)+2,LEN($A59)-LEN(O59)-LEN(P59)-1)))</f>
        <v>6.2</v>
      </c>
      <c r="T59" s="92" t="n">
        <f aca="false">IF(OR($A59="",R59=1),"",IFERROR(IF(ISNUMBER(FIND("/",S59)),IF(ISNUMBER(FIND(" ",S59)),VALUE(LEFT(S59,FIND(" ",S59)-1))+VALUE(MID(S59,FIND(" ",S59)+1,FIND("/",S59)-FIND(" ",S59)-1))/VALUE(MID(S59,FIND("/",S59)+1,9)),VALUE(LEFT(S59,FIND("/",S59)-1))/VALUE(MID(S59,FIND("/",S59)+1,9))),VALUE(S59)),""))</f>
        <v>6.2</v>
      </c>
      <c r="U59" s="43" t="str">
        <f aca="false">IF(OR($A59="",NOT(ISNUMBER(Q59))),"",TEXT(Q59,"yyyymmdd")&amp;"|"&amp;IF(R59=1,"F",TEXT(T59,"0.000")))</f>
        <v>20300921|6.200</v>
      </c>
      <c r="V59" s="43" t="str">
        <f aca="false">IF(U59="","",O59&amp;"|"&amp;U59)</f>
        <v>HYNMTR|20300921|6.200</v>
      </c>
      <c r="W59" s="43" t="str">
        <f aca="false">IF($A59="","",IFERROR(IF(VLOOKUP(O59,매핑!$A$4:$E$92,3,0)="","미분류",VLOOKUP(O59,매핑!$A$4:$E$92,3,0)),"미분류"))</f>
        <v>미국</v>
      </c>
      <c r="X59" s="89" t="n">
        <f aca="false">IF($A59="",0,IF(O59="T",1,0))</f>
        <v>0</v>
      </c>
      <c r="Y59" s="89" t="n">
        <f aca="false">IF($A59="",0,IF(AND(C59="USD",X59=0,ISNUMBER(E59),ISNUMBER(K59)),IF(K59&gt;=설정!$C$8,1,0),0))</f>
        <v>1</v>
      </c>
      <c r="Z59" s="43" t="str">
        <f aca="false">IF($A59="","",N59&amp;"|"&amp;L59)</f>
        <v>미국|자유 소비재</v>
      </c>
      <c r="AA59" s="92" t="n">
        <f aca="false">IF(Y59=1,LN(K59),0)</f>
        <v>1.23576212681534</v>
      </c>
      <c r="AB59" s="93" t="n">
        <f aca="false">IF(Y59=1,E59,0)</f>
        <v>75.317</v>
      </c>
      <c r="AC59" s="89" t="n">
        <f aca="false">IF(Y59=1,COUNTIFS($Z$2:$Z$601,Z59,$Y$2:$Y$601,1),0)</f>
        <v>18</v>
      </c>
      <c r="AD59" s="89" t="n">
        <f aca="false">IF(Y59=1,COUNTIFS($N$2:$N$601,N59,$Y$2:$Y$601,1),0)</f>
        <v>49</v>
      </c>
      <c r="AE59" s="43" t="str">
        <f aca="false">IF(Y59&lt;&gt;1,"",IF(AND(AC59&gt;=설정!$C$7,ISNUMBER(MATCH(Z59,피어커브!$A:$A,0))),Z59,IF(AND(AD59&gt;=설정!$C$7,ISNUMBER(MATCH(N59&amp;"|전체",피어커브!$A:$A,0))),N59&amp;"|전체","전체|전체")))</f>
        <v>미국|자유 소비재</v>
      </c>
      <c r="AF59" s="93" t="n">
        <f aca="false">IF(AE59="","",INDEX(피어커브!$K:$K,MATCH(AE59,피어커브!$A:$A,0)))</f>
        <v>26.8569188281613</v>
      </c>
      <c r="AG59" s="93" t="n">
        <f aca="false">IF(AE59="","",INDEX(피어커브!$J:$J,MATCH(AE59,피어커브!$A:$A,0)))</f>
        <v>40.2545310700915</v>
      </c>
      <c r="AH59" s="93" t="n">
        <f aca="false">IF(AE59="","",INDEX(피어커브!$L:$L,MATCH(AE59,피어커브!$A:$A,0)))</f>
        <v>4.33725635148027</v>
      </c>
      <c r="AI59" s="93" t="n">
        <f aca="false">IF(AE59="","",AF59+AG59*AA59)</f>
        <v>76.6019437572918</v>
      </c>
      <c r="AJ59" s="96" t="n">
        <f aca="false">IF(AE59="","",E59-AI59)</f>
        <v>-1.2849437572918</v>
      </c>
      <c r="AK59" s="95" t="n">
        <f aca="false">IF(AE59="","",IF(ISNUMBER(AH59),IF(AH59&gt;0,AJ59/AH59,""),""))</f>
        <v>-0.296257277219332</v>
      </c>
      <c r="AL59" s="43" t="str">
        <f aca="false">IF(AK59="","-",IF(AK59&gt;=설정!$C$6,"Cheap",IF(AK59&lt;=-설정!$C$6,"Rich","Fair")))</f>
        <v>Fair</v>
      </c>
      <c r="AM59" s="96" t="n">
        <f aca="false">IF(AE59="","",AJ59-AVERAGEIFS($AJ$2:$AJ$601,$B$2:$B$601,B59,$Y$2:$Y$601,1))</f>
        <v>-1.2849437572918</v>
      </c>
      <c r="AN59" s="93" t="n">
        <f aca="false">IF(AE59="",0,IF(K59&gt;1+설정!$C$8,AG59*(AA59-LN(K59-1)),0))</f>
        <v>13.8215677625919</v>
      </c>
      <c r="AO59" s="99" t="n">
        <f aca="false">IF($A59="",0,SUMIFS(보유분석!$AA$2:$AA$801,보유분석!$AB$2:$AB$801,ROW(),보유분석!$AC$2:$AC$801,1))</f>
        <v>7.4997002</v>
      </c>
      <c r="AP59" s="43" t="str">
        <f aca="false">IF($A59="","",TRIM(IF(R59=1,"FRN ","")&amp;IF(IFERROR(VLOOKUP(M59,설정!$A$15:$D$47,4,0),0)&gt;=10,IF(IFERROR(VLOOKUP(M59,설정!$A$15:$D$47,4,0),0)&lt;99,"BBB0미만 ",""),"")&amp;IF(OR(M59="",M59="NR"),"등급미입력 ","")&amp;IF(C59&lt;&gt;"USD","비USD ","")))</f>
        <v/>
      </c>
      <c r="AQ59" s="90" t="n">
        <f aca="false">IF(AND(Y59=1,AL59="Cheap"),IF(AND(ISERROR(SEARCH("FRN",AP59)),ISERROR(SEARCH("BBB0미만",AP59))),AK59+ROW()/1000000000,-999),-999)</f>
        <v>-999</v>
      </c>
      <c r="AR59" s="92" t="n">
        <f aca="false">IF(AND(ISNUMBER(D59),ISNUMBER(K59)),D59+AN59*MAX(K59-1,0)/100,"")</f>
        <v>6.18838446908487</v>
      </c>
      <c r="AS59" s="93" t="n">
        <f aca="false">IF(AND(ISNUMBER(E59),ISNUMBER(K59)),IF(K59&gt;0,(E59+AN59*MAX(K59-1,0))/K59,""),"")</f>
        <v>31.6929517316149</v>
      </c>
      <c r="AT59" s="90" t="n">
        <f aca="false">IFERROR(IF(AND(Y59=1,ROW()&lt;&gt;스왑분석!$C$12+1,ABS(K59-INDEX($K$2:$K$601,스왑분석!$C$12))&lt;=스왑분석!$C$5,ISERROR(SEARCH("FRN",AP59)),ISERROR(SEARCH("BBB0미만",AP59))),IF(AND(OR(스왑분석!$C$6="N",L59=INDEX($L$2:$L$601,스왑분석!$C$12)),OR(스왑분석!$C$7="N",N59=INDEX($N$2:$N$601,스왑분석!$C$12)),OR(스왑분석!$C$8="N",AO59=0),E59-INDEX($E$2:$E$601,스왑분석!$C$12)&gt;=스왑분석!$C$9),E59-INDEX($E$2:$E$601,스왑분석!$C$12)+ROW()/1000000000,-999),-999),-999)</f>
        <v>26.825000059</v>
      </c>
      <c r="AU59" s="90" t="n">
        <f aca="false">IF(AND(Y59=1,AO59&gt;0,AL59="Rich"),-AK59+ROW()/1000000000,-999)</f>
        <v>-999</v>
      </c>
    </row>
    <row r="60" customFormat="false" ht="15" hidden="false" customHeight="false" outlineLevel="0" collapsed="false">
      <c r="A60" s="83" t="str">
        <f aca="false">IFERROR(IF(INDEX(원자료_시장!$A$1:$BZ$1000,설정!$L$6+ROW()-1,설정!$L$24)&amp;""="0","",INDEX(원자료_시장!$A$1:$BZ$1000,설정!$L$6+ROW()-1,설정!$L$24)),"")</f>
        <v>HYNMTR 5.3 01/08/29</v>
      </c>
      <c r="B60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60" s="83" t="str">
        <f aca="false">IFERROR(IF(INDEX(원자료_시장!$A$1:$BZ$1000,설정!$L$6+ROW()-1,설정!$L$25)&amp;""="0","",INDEX(원자료_시장!$A$1:$BZ$1000,설정!$L$6+ROW()-1,설정!$L$25)),"")</f>
        <v>USD</v>
      </c>
      <c r="D60" s="85" t="n">
        <f aca="false">IFERROR(IF(ISNUMBER(INDEX(원자료_시장!$A$1:$BZ$1000,설정!$L$6+ROW()-1,설정!$L$26)),INDEX(원자료_시장!$A$1:$BZ$1000,설정!$L$6+ROW()-1,설정!$L$26),""),"")</f>
        <v>5.636</v>
      </c>
      <c r="E60" s="97" t="n">
        <f aca="false">IFERROR(IF(ISNUMBER(INDEX(원자료_시장!$A$1:$BZ$1000,설정!$L$6+ROW()-1,설정!$L$27)),INDEX(원자료_시장!$A$1:$BZ$1000,설정!$L$6+ROW()-1,설정!$L$27),""),"")</f>
        <v>63.535</v>
      </c>
      <c r="F60" s="97" t="n">
        <f aca="false">IFERROR(IF(ISNUMBER(INDEX(원자료_시장!$A$1:$BZ$1000,설정!$L$6+ROW()-1,설정!$L$28)),INDEX(원자료_시장!$A$1:$BZ$1000,설정!$L$6+ROW()-1,설정!$L$28),""),"")</f>
        <v>93.2</v>
      </c>
      <c r="G60" s="97" t="n">
        <f aca="false">IFERROR(IF(ISNUMBER(INDEX(원자료_시장!$A$1:$BZ$1000,설정!$L$6+ROW()-1,설정!$L$29)),INDEX(원자료_시장!$A$1:$BZ$1000,설정!$L$6+ROW()-1,설정!$L$29),""),"")</f>
        <v>0.6</v>
      </c>
      <c r="H60" s="97" t="n">
        <f aca="false">IFERROR(IF(ISNUMBER(INDEX(원자료_시장!$A$1:$BZ$1000,설정!$L$6+ROW()-1,설정!$L$30)),INDEX(원자료_시장!$A$1:$BZ$1000,설정!$L$6+ROW()-1,설정!$L$30),""),"")</f>
        <v>2.9</v>
      </c>
      <c r="I60" s="97" t="n">
        <f aca="false">IFERROR(IF(ISNUMBER(INDEX(원자료_시장!$A$1:$BZ$1000,설정!$L$6+ROW()-1,설정!$L$31)),INDEX(원자료_시장!$A$1:$BZ$1000,설정!$L$6+ROW()-1,설정!$L$31),""),"")</f>
        <v>0.2</v>
      </c>
      <c r="J60" s="97" t="n">
        <f aca="false">IFERROR(IF(ISNUMBER(INDEX(원자료_시장!$A$1:$BZ$1000,설정!$L$6+ROW()-1,설정!$L$32)),INDEX(원자료_시장!$A$1:$BZ$1000,설정!$L$6+ROW()-1,설정!$L$32),""),"")</f>
        <v>-2.2</v>
      </c>
      <c r="K60" s="85" t="n">
        <f aca="false">IFERROR(IF(ISNUMBER(INDEX(원자료_시장!$A$1:$BZ$1000,설정!$L$6+ROW()-1,설정!$L$33)),INDEX(원자료_시장!$A$1:$BZ$1000,설정!$L$6+ROW()-1,설정!$L$33),""),"")</f>
        <v>2.14</v>
      </c>
      <c r="L60" s="83" t="str">
        <f aca="false">IFERROR(IF(INDEX(원자료_시장!$A$1:$BZ$1000,설정!$L$6+ROW()-1,설정!$L$34)&amp;""="0","",INDEX(원자료_시장!$A$1:$BZ$1000,설정!$L$6+ROW()-1,설정!$L$34)),"")</f>
        <v>자유 소비재</v>
      </c>
      <c r="M60" s="83" t="str">
        <f aca="false">IFERROR(IF(INDEX(원자료_시장!$A$1:$BZ$1000,설정!$L$6+ROW()-1,설정!$L$35)&amp;""="0","",INDEX(원자료_시장!$A$1:$BZ$1000,설정!$L$6+ROW()-1,설정!$L$35)),"")</f>
        <v>A-</v>
      </c>
      <c r="N60" s="83" t="str">
        <f aca="false">IFERROR(IF(INDEX(원자료_시장!$A$1:$BZ$1000,설정!$L$6+ROW()-1,설정!$L$36)&amp;""="0","",INDEX(원자료_시장!$A$1:$BZ$1000,설정!$L$6+ROW()-1,설정!$L$36)),"")</f>
        <v>미국</v>
      </c>
      <c r="O60" s="43" t="str">
        <f aca="false">IF($A60="","",UPPER(LEFT($A60,FIND(" ",$A60&amp;" ")-1)))</f>
        <v>HYNMTR</v>
      </c>
      <c r="P60" s="43" t="str">
        <f aca="false">IF($A60="","",TRIM(RIGHT(SUBSTITUTE(TRIM($A60)," ",REPT(" ",30)),30)))</f>
        <v>01/08/29</v>
      </c>
      <c r="Q60" s="98" t="n">
        <f aca="false">IF($A60="","",IFERROR(DATE(IF(LEN(P60)=8,2000+VALUE(RIGHT(P60,2)),VALUE(RIGHT(P60,4))),VALUE(LEFT(P60,2)),VALUE(MID(P60,4,2))),""))</f>
        <v>47126</v>
      </c>
      <c r="R60" s="89" t="n">
        <f aca="false">IF($A60="",0,IF(ISNUMBER(SEARCH("Float",$A60)),1,0))</f>
        <v>0</v>
      </c>
      <c r="S60" s="43" t="str">
        <f aca="false">IF($A60="","",TRIM(MID($A60,LEN(O60)+2,LEN($A60)-LEN(O60)-LEN(P60)-1)))</f>
        <v>5.3</v>
      </c>
      <c r="T60" s="92" t="n">
        <f aca="false">IF(OR($A60="",R60=1),"",IFERROR(IF(ISNUMBER(FIND("/",S60)),IF(ISNUMBER(FIND(" ",S60)),VALUE(LEFT(S60,FIND(" ",S60)-1))+VALUE(MID(S60,FIND(" ",S60)+1,FIND("/",S60)-FIND(" ",S60)-1))/VALUE(MID(S60,FIND("/",S60)+1,9)),VALUE(LEFT(S60,FIND("/",S60)-1))/VALUE(MID(S60,FIND("/",S60)+1,9))),VALUE(S60)),""))</f>
        <v>5.3</v>
      </c>
      <c r="U60" s="43" t="str">
        <f aca="false">IF(OR($A60="",NOT(ISNUMBER(Q60))),"",TEXT(Q60,"yyyymmdd")&amp;"|"&amp;IF(R60=1,"F",TEXT(T60,"0.000")))</f>
        <v>20290108|5.300</v>
      </c>
      <c r="V60" s="43" t="str">
        <f aca="false">IF(U60="","",O60&amp;"|"&amp;U60)</f>
        <v>HYNMTR|20290108|5.300</v>
      </c>
      <c r="W60" s="43" t="str">
        <f aca="false">IF($A60="","",IFERROR(IF(VLOOKUP(O60,매핑!$A$4:$E$92,3,0)="","미분류",VLOOKUP(O60,매핑!$A$4:$E$92,3,0)),"미분류"))</f>
        <v>미국</v>
      </c>
      <c r="X60" s="89" t="n">
        <f aca="false">IF($A60="",0,IF(O60="T",1,0))</f>
        <v>0</v>
      </c>
      <c r="Y60" s="89" t="n">
        <f aca="false">IF($A60="",0,IF(AND(C60="USD",X60=0,ISNUMBER(E60),ISNUMBER(K60)),IF(K60&gt;=설정!$C$8,1,0),0))</f>
        <v>1</v>
      </c>
      <c r="Z60" s="43" t="str">
        <f aca="false">IF($A60="","",N60&amp;"|"&amp;L60)</f>
        <v>미국|자유 소비재</v>
      </c>
      <c r="AA60" s="92" t="n">
        <f aca="false">IF(Y60=1,LN(K60),0)</f>
        <v>0.76080582903376</v>
      </c>
      <c r="AB60" s="93" t="n">
        <f aca="false">IF(Y60=1,E60,0)</f>
        <v>63.535</v>
      </c>
      <c r="AC60" s="89" t="n">
        <f aca="false">IF(Y60=1,COUNTIFS($Z$2:$Z$601,Z60,$Y$2:$Y$601,1),0)</f>
        <v>18</v>
      </c>
      <c r="AD60" s="89" t="n">
        <f aca="false">IF(Y60=1,COUNTIFS($N$2:$N$601,N60,$Y$2:$Y$601,1),0)</f>
        <v>49</v>
      </c>
      <c r="AE60" s="43" t="str">
        <f aca="false">IF(Y60&lt;&gt;1,"",IF(AND(AC60&gt;=설정!$C$7,ISNUMBER(MATCH(Z60,피어커브!$A:$A,0))),Z60,IF(AND(AD60&gt;=설정!$C$7,ISNUMBER(MATCH(N60&amp;"|전체",피어커브!$A:$A,0))),N60&amp;"|전체","전체|전체")))</f>
        <v>미국|자유 소비재</v>
      </c>
      <c r="AF60" s="93" t="n">
        <f aca="false">IF(AE60="","",INDEX(피어커브!$K:$K,MATCH(AE60,피어커브!$A:$A,0)))</f>
        <v>26.8569188281613</v>
      </c>
      <c r="AG60" s="93" t="n">
        <f aca="false">IF(AE60="","",INDEX(피어커브!$J:$J,MATCH(AE60,피어커브!$A:$A,0)))</f>
        <v>40.2545310700915</v>
      </c>
      <c r="AH60" s="93" t="n">
        <f aca="false">IF(AE60="","",INDEX(피어커브!$L:$L,MATCH(AE60,피어커브!$A:$A,0)))</f>
        <v>4.33725635148027</v>
      </c>
      <c r="AI60" s="93" t="n">
        <f aca="false">IF(AE60="","",AF60+AG60*AA60)</f>
        <v>57.4828007113074</v>
      </c>
      <c r="AJ60" s="96" t="n">
        <f aca="false">IF(AE60="","",E60-AI60)</f>
        <v>6.05219928869256</v>
      </c>
      <c r="AK60" s="95" t="n">
        <f aca="false">IF(AE60="","",IF(ISNUMBER(AH60),IF(AH60&gt;0,AJ60/AH60,""),""))</f>
        <v>1.39539810383285</v>
      </c>
      <c r="AL60" s="43" t="str">
        <f aca="false">IF(AK60="","-",IF(AK60&gt;=설정!$C$6,"Cheap",IF(AK60&lt;=-설정!$C$6,"Rich","Fair")))</f>
        <v>Cheap</v>
      </c>
      <c r="AM60" s="96" t="n">
        <f aca="false">IF(AE60="","",AJ60-AVERAGEIFS($AJ$2:$AJ$601,$B$2:$B$601,B60,$Y$2:$Y$601,1))</f>
        <v>6.05219928869256</v>
      </c>
      <c r="AN60" s="93" t="n">
        <f aca="false">IF(AE60="",0,IF(K60&gt;1+설정!$C$8,AG60*(AA60-LN(K60-1)),0))</f>
        <v>25.3514006230475</v>
      </c>
      <c r="AO60" s="99" t="n">
        <f aca="false">IF($A60="",0,SUMIFS(보유분석!$AA$2:$AA$801,보유분석!$AB$2:$AB$801,ROW(),보유분석!$AC$2:$AC$801,1))</f>
        <v>11.926428</v>
      </c>
      <c r="AP60" s="43" t="str">
        <f aca="false">IF($A60="","",TRIM(IF(R60=1,"FRN ","")&amp;IF(IFERROR(VLOOKUP(M60,설정!$A$15:$D$47,4,0),0)&gt;=10,IF(IFERROR(VLOOKUP(M60,설정!$A$15:$D$47,4,0),0)&lt;99,"BBB0미만 ",""),"")&amp;IF(OR(M60="",M60="NR"),"등급미입력 ","")&amp;IF(C60&lt;&gt;"USD","비USD ","")))</f>
        <v/>
      </c>
      <c r="AQ60" s="90" t="n">
        <f aca="false">IF(AND(Y60=1,AL60="Cheap"),IF(AND(ISERROR(SEARCH("FRN",AP60)),ISERROR(SEARCH("BBB0미만",AP60))),AK60+ROW()/1000000000,-999),-999)</f>
        <v>1.39539816383285</v>
      </c>
      <c r="AR60" s="92" t="n">
        <f aca="false">IF(AND(ISNUMBER(D60),ISNUMBER(K60)),D60+AN60*MAX(K60-1,0)/100,"")</f>
        <v>5.92500596710274</v>
      </c>
      <c r="AS60" s="93" t="n">
        <f aca="false">IF(AND(ISNUMBER(E60),ISNUMBER(K60)),IF(K60&gt;0,(E60+AN60*MAX(K60-1,0))/K60,""),"")</f>
        <v>43.1942040702216</v>
      </c>
      <c r="AT60" s="90" t="n">
        <f aca="false">IFERROR(IF(AND(Y60=1,ROW()&lt;&gt;스왑분석!$C$12+1,ABS(K60-INDEX($K$2:$K$601,스왑분석!$C$12))&lt;=스왑분석!$C$5,ISERROR(SEARCH("FRN",AP60)),ISERROR(SEARCH("BBB0미만",AP60))),IF(AND(OR(스왑분석!$C$6="N",L60=INDEX($L$2:$L$601,스왑분석!$C$12)),OR(스왑분석!$C$7="N",N60=INDEX($N$2:$N$601,스왑분석!$C$12)),OR(스왑분석!$C$8="N",AO60=0),E60-INDEX($E$2:$E$601,스왑분석!$C$12)&gt;=스왑분석!$C$9),E60-INDEX($E$2:$E$601,스왑분석!$C$12)+ROW()/1000000000,-999),-999),-999)</f>
        <v>-999</v>
      </c>
      <c r="AU60" s="90" t="n">
        <f aca="false">IF(AND(Y60=1,AO60&gt;0,AL60="Rich"),-AK60+ROW()/1000000000,-999)</f>
        <v>-999</v>
      </c>
    </row>
    <row r="61" customFormat="false" ht="15" hidden="false" customHeight="false" outlineLevel="0" collapsed="false">
      <c r="A61" s="83" t="str">
        <f aca="false">IFERROR(IF(INDEX(원자료_시장!$A$1:$BZ$1000,설정!$L$6+ROW()-1,설정!$L$24)&amp;""="0","",INDEX(원자료_시장!$A$1:$BZ$1000,설정!$L$6+ROW()-1,설정!$L$24)),"")</f>
        <v>HYNMTR 5.275 06/24/27</v>
      </c>
      <c r="B61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61" s="83" t="str">
        <f aca="false">IFERROR(IF(INDEX(원자료_시장!$A$1:$BZ$1000,설정!$L$6+ROW()-1,설정!$L$25)&amp;""="0","",INDEX(원자료_시장!$A$1:$BZ$1000,설정!$L$6+ROW()-1,설정!$L$25)),"")</f>
        <v>USD</v>
      </c>
      <c r="D61" s="85" t="n">
        <f aca="false">IFERROR(IF(ISNUMBER(INDEX(원자료_시장!$A$1:$BZ$1000,설정!$L$6+ROW()-1,설정!$L$26)),INDEX(원자료_시장!$A$1:$BZ$1000,설정!$L$6+ROW()-1,설정!$L$26),""),"")</f>
        <v>4.975</v>
      </c>
      <c r="E61" s="97" t="n">
        <f aca="false">IFERROR(IF(ISNUMBER(INDEX(원자료_시장!$A$1:$BZ$1000,설정!$L$6+ROW()-1,설정!$L$27)),INDEX(원자료_시장!$A$1:$BZ$1000,설정!$L$6+ROW()-1,설정!$L$27),""),"")</f>
        <v>8.629</v>
      </c>
      <c r="F61" s="97" t="n">
        <f aca="false">IFERROR(IF(ISNUMBER(INDEX(원자료_시장!$A$1:$BZ$1000,설정!$L$6+ROW()-1,설정!$L$28)),INDEX(원자료_시장!$A$1:$BZ$1000,설정!$L$6+ROW()-1,설정!$L$28),""),"")</f>
        <v>63.952</v>
      </c>
      <c r="G61" s="97" t="n">
        <f aca="false">IFERROR(IF(ISNUMBER(INDEX(원자료_시장!$A$1:$BZ$1000,설정!$L$6+ROW()-1,설정!$L$29)),INDEX(원자료_시장!$A$1:$BZ$1000,설정!$L$6+ROW()-1,설정!$L$29),""),"")</f>
        <v>-5.9</v>
      </c>
      <c r="H61" s="97" t="n">
        <f aca="false">IFERROR(IF(ISNUMBER(INDEX(원자료_시장!$A$1:$BZ$1000,설정!$L$6+ROW()-1,설정!$L$30)),INDEX(원자료_시장!$A$1:$BZ$1000,설정!$L$6+ROW()-1,설정!$L$30),""),"")</f>
        <v>16.2</v>
      </c>
      <c r="I61" s="97" t="n">
        <f aca="false">IFERROR(IF(ISNUMBER(INDEX(원자료_시장!$A$1:$BZ$1000,설정!$L$6+ROW()-1,설정!$L$31)),INDEX(원자료_시장!$A$1:$BZ$1000,설정!$L$6+ROW()-1,설정!$L$31),""),"")</f>
        <v>0.6</v>
      </c>
      <c r="J61" s="97" t="n">
        <f aca="false">IFERROR(IF(ISNUMBER(INDEX(원자료_시장!$A$1:$BZ$1000,설정!$L$6+ROW()-1,설정!$L$32)),INDEX(원자료_시장!$A$1:$BZ$1000,설정!$L$6+ROW()-1,설정!$L$32),""),"")</f>
        <v>-27.6</v>
      </c>
      <c r="K61" s="85" t="n">
        <f aca="false">IFERROR(IF(ISNUMBER(INDEX(원자료_시장!$A$1:$BZ$1000,설정!$L$6+ROW()-1,설정!$L$33)),INDEX(원자료_시장!$A$1:$BZ$1000,설정!$L$6+ROW()-1,설정!$L$33),""),"")</f>
        <v>0.715</v>
      </c>
      <c r="L61" s="83" t="str">
        <f aca="false">IFERROR(IF(INDEX(원자료_시장!$A$1:$BZ$1000,설정!$L$6+ROW()-1,설정!$L$34)&amp;""="0","",INDEX(원자료_시장!$A$1:$BZ$1000,설정!$L$6+ROW()-1,설정!$L$34)),"")</f>
        <v>자유 소비재</v>
      </c>
      <c r="M61" s="83" t="str">
        <f aca="false">IFERROR(IF(INDEX(원자료_시장!$A$1:$BZ$1000,설정!$L$6+ROW()-1,설정!$L$35)&amp;""="0","",INDEX(원자료_시장!$A$1:$BZ$1000,설정!$L$6+ROW()-1,설정!$L$35)),"")</f>
        <v>A-</v>
      </c>
      <c r="N61" s="83" t="str">
        <f aca="false">IFERROR(IF(INDEX(원자료_시장!$A$1:$BZ$1000,설정!$L$6+ROW()-1,설정!$L$36)&amp;""="0","",INDEX(원자료_시장!$A$1:$BZ$1000,설정!$L$6+ROW()-1,설정!$L$36)),"")</f>
        <v>미국</v>
      </c>
      <c r="O61" s="43" t="str">
        <f aca="false">IF($A61="","",UPPER(LEFT($A61,FIND(" ",$A61&amp;" ")-1)))</f>
        <v>HYNMTR</v>
      </c>
      <c r="P61" s="43" t="str">
        <f aca="false">IF($A61="","",TRIM(RIGHT(SUBSTITUTE(TRIM($A61)," ",REPT(" ",30)),30)))</f>
        <v>06/24/27</v>
      </c>
      <c r="Q61" s="98" t="n">
        <f aca="false">IF($A61="","",IFERROR(DATE(IF(LEN(P61)=8,2000+VALUE(RIGHT(P61,2)),VALUE(RIGHT(P61,4))),VALUE(LEFT(P61,2)),VALUE(MID(P61,4,2))),""))</f>
        <v>46562</v>
      </c>
      <c r="R61" s="89" t="n">
        <f aca="false">IF($A61="",0,IF(ISNUMBER(SEARCH("Float",$A61)),1,0))</f>
        <v>0</v>
      </c>
      <c r="S61" s="43" t="str">
        <f aca="false">IF($A61="","",TRIM(MID($A61,LEN(O61)+2,LEN($A61)-LEN(O61)-LEN(P61)-1)))</f>
        <v>5.275</v>
      </c>
      <c r="T61" s="92" t="n">
        <f aca="false">IF(OR($A61="",R61=1),"",IFERROR(IF(ISNUMBER(FIND("/",S61)),IF(ISNUMBER(FIND(" ",S61)),VALUE(LEFT(S61,FIND(" ",S61)-1))+VALUE(MID(S61,FIND(" ",S61)+1,FIND("/",S61)-FIND(" ",S61)-1))/VALUE(MID(S61,FIND("/",S61)+1,9)),VALUE(LEFT(S61,FIND("/",S61)-1))/VALUE(MID(S61,FIND("/",S61)+1,9))),VALUE(S61)),""))</f>
        <v>5.275</v>
      </c>
      <c r="U61" s="43" t="str">
        <f aca="false">IF(OR($A61="",NOT(ISNUMBER(Q61))),"",TEXT(Q61,"yyyymmdd")&amp;"|"&amp;IF(R61=1,"F",TEXT(T61,"0.000")))</f>
        <v>20270624|5.275</v>
      </c>
      <c r="V61" s="43" t="str">
        <f aca="false">IF(U61="","",O61&amp;"|"&amp;U61)</f>
        <v>HYNMTR|20270624|5.275</v>
      </c>
      <c r="W61" s="43" t="str">
        <f aca="false">IF($A61="","",IFERROR(IF(VLOOKUP(O61,매핑!$A$4:$E$92,3,0)="","미분류",VLOOKUP(O61,매핑!$A$4:$E$92,3,0)),"미분류"))</f>
        <v>미국</v>
      </c>
      <c r="X61" s="89" t="n">
        <f aca="false">IF($A61="",0,IF(O61="T",1,0))</f>
        <v>0</v>
      </c>
      <c r="Y61" s="89" t="n">
        <f aca="false">IF($A61="",0,IF(AND(C61="USD",X61=0,ISNUMBER(E61),ISNUMBER(K61)),IF(K61&gt;=설정!$C$8,1,0),0))</f>
        <v>1</v>
      </c>
      <c r="Z61" s="43" t="str">
        <f aca="false">IF($A61="","",N61&amp;"|"&amp;L61)</f>
        <v>미국|자유 소비재</v>
      </c>
      <c r="AA61" s="92" t="n">
        <f aca="false">IF(Y61=1,LN(K61),0)</f>
        <v>-0.335472736288129</v>
      </c>
      <c r="AB61" s="93" t="n">
        <f aca="false">IF(Y61=1,E61,0)</f>
        <v>8.629</v>
      </c>
      <c r="AC61" s="89" t="n">
        <f aca="false">IF(Y61=1,COUNTIFS($Z$2:$Z$601,Z61,$Y$2:$Y$601,1),0)</f>
        <v>18</v>
      </c>
      <c r="AD61" s="89" t="n">
        <f aca="false">IF(Y61=1,COUNTIFS($N$2:$N$601,N61,$Y$2:$Y$601,1),0)</f>
        <v>49</v>
      </c>
      <c r="AE61" s="43" t="str">
        <f aca="false">IF(Y61&lt;&gt;1,"",IF(AND(AC61&gt;=설정!$C$7,ISNUMBER(MATCH(Z61,피어커브!$A:$A,0))),Z61,IF(AND(AD61&gt;=설정!$C$7,ISNUMBER(MATCH(N61&amp;"|전체",피어커브!$A:$A,0))),N61&amp;"|전체","전체|전체")))</f>
        <v>미국|자유 소비재</v>
      </c>
      <c r="AF61" s="93" t="n">
        <f aca="false">IF(AE61="","",INDEX(피어커브!$K:$K,MATCH(AE61,피어커브!$A:$A,0)))</f>
        <v>26.8569188281613</v>
      </c>
      <c r="AG61" s="93" t="n">
        <f aca="false">IF(AE61="","",INDEX(피어커브!$J:$J,MATCH(AE61,피어커브!$A:$A,0)))</f>
        <v>40.2545310700915</v>
      </c>
      <c r="AH61" s="93" t="n">
        <f aca="false">IF(AE61="","",INDEX(피어커브!$L:$L,MATCH(AE61,피어커브!$A:$A,0)))</f>
        <v>4.33725635148027</v>
      </c>
      <c r="AI61" s="93" t="n">
        <f aca="false">IF(AE61="","",AF61+AG61*AA61)</f>
        <v>13.3526211420821</v>
      </c>
      <c r="AJ61" s="96" t="n">
        <f aca="false">IF(AE61="","",E61-AI61)</f>
        <v>-4.72362114208215</v>
      </c>
      <c r="AK61" s="95" t="n">
        <f aca="false">IF(AE61="","",IF(ISNUMBER(AH61),IF(AH61&gt;0,AJ61/AH61,""),""))</f>
        <v>-1.08908045992486</v>
      </c>
      <c r="AL61" s="43" t="str">
        <f aca="false">IF(AK61="","-",IF(AK61&gt;=설정!$C$6,"Cheap",IF(AK61&lt;=-설정!$C$6,"Rich","Fair")))</f>
        <v>Rich</v>
      </c>
      <c r="AM61" s="96" t="n">
        <f aca="false">IF(AE61="","",AJ61-AVERAGEIFS($AJ$2:$AJ$601,$B$2:$B$601,B61,$Y$2:$Y$601,1))</f>
        <v>-4.72362114208215</v>
      </c>
      <c r="AN61" s="93" t="n">
        <f aca="false">IF(AE61="",0,IF(K61&gt;1+설정!$C$8,AG61*(AA61-LN(K61-1)),0))</f>
        <v>0</v>
      </c>
      <c r="AO61" s="99" t="n">
        <f aca="false">IF($A61="",0,SUMIFS(보유분석!$AA$2:$AA$801,보유분석!$AB$2:$AB$801,ROW(),보유분석!$AC$2:$AC$801,1))</f>
        <v>10.01376</v>
      </c>
      <c r="AP61" s="43" t="str">
        <f aca="false">IF($A61="","",TRIM(IF(R61=1,"FRN ","")&amp;IF(IFERROR(VLOOKUP(M61,설정!$A$15:$D$47,4,0),0)&gt;=10,IF(IFERROR(VLOOKUP(M61,설정!$A$15:$D$47,4,0),0)&lt;99,"BBB0미만 ",""),"")&amp;IF(OR(M61="",M61="NR"),"등급미입력 ","")&amp;IF(C61&lt;&gt;"USD","비USD ","")))</f>
        <v/>
      </c>
      <c r="AQ61" s="90" t="n">
        <f aca="false">IF(AND(Y61=1,AL61="Cheap"),IF(AND(ISERROR(SEARCH("FRN",AP61)),ISERROR(SEARCH("BBB0미만",AP61))),AK61+ROW()/1000000000,-999),-999)</f>
        <v>-999</v>
      </c>
      <c r="AR61" s="92" t="n">
        <f aca="false">IF(AND(ISNUMBER(D61),ISNUMBER(K61)),D61+AN61*MAX(K61-1,0)/100,"")</f>
        <v>4.975</v>
      </c>
      <c r="AS61" s="93" t="n">
        <f aca="false">IF(AND(ISNUMBER(E61),ISNUMBER(K61)),IF(K61&gt;0,(E61+AN61*MAX(K61-1,0))/K61,""),"")</f>
        <v>12.0685314685315</v>
      </c>
      <c r="AT61" s="90" t="n">
        <f aca="false">IFERROR(IF(AND(Y61=1,ROW()&lt;&gt;스왑분석!$C$12+1,ABS(K61-INDEX($K$2:$K$601,스왑분석!$C$12))&lt;=스왑분석!$C$5,ISERROR(SEARCH("FRN",AP61)),ISERROR(SEARCH("BBB0미만",AP61))),IF(AND(OR(스왑분석!$C$6="N",L61=INDEX($L$2:$L$601,스왑분석!$C$12)),OR(스왑분석!$C$7="N",N61=INDEX($N$2:$N$601,스왑분석!$C$12)),OR(스왑분석!$C$8="N",AO61=0),E61-INDEX($E$2:$E$601,스왑분석!$C$12)&gt;=스왑분석!$C$9),E61-INDEX($E$2:$E$601,스왑분석!$C$12)+ROW()/1000000000,-999),-999),-999)</f>
        <v>-999</v>
      </c>
      <c r="AU61" s="90" t="n">
        <f aca="false">IF(AND(Y61=1,AO61&gt;0,AL61="Rich"),-AK61+ROW()/1000000000,-999)</f>
        <v>1.08908052092486</v>
      </c>
    </row>
    <row r="62" customFormat="false" ht="15" hidden="false" customHeight="false" outlineLevel="0" collapsed="false">
      <c r="A62" s="83" t="str">
        <f aca="false">IFERROR(IF(INDEX(원자료_시장!$A$1:$BZ$1000,설정!$L$6+ROW()-1,설정!$L$24)&amp;""="0","",INDEX(원자료_시장!$A$1:$BZ$1000,설정!$L$6+ROW()-1,설정!$L$24)),"")</f>
        <v>HYNMTR 5.4 06/24/31</v>
      </c>
      <c r="B62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62" s="83" t="str">
        <f aca="false">IFERROR(IF(INDEX(원자료_시장!$A$1:$BZ$1000,설정!$L$6+ROW()-1,설정!$L$25)&amp;""="0","",INDEX(원자료_시장!$A$1:$BZ$1000,설정!$L$6+ROW()-1,설정!$L$25)),"")</f>
        <v>USD</v>
      </c>
      <c r="D62" s="85" t="n">
        <f aca="false">IFERROR(IF(ISNUMBER(INDEX(원자료_시장!$A$1:$BZ$1000,설정!$L$6+ROW()-1,설정!$L$26)),INDEX(원자료_시장!$A$1:$BZ$1000,설정!$L$6+ROW()-1,설정!$L$26),""),"")</f>
        <v>5.958</v>
      </c>
      <c r="E62" s="97" t="n">
        <f aca="false">IFERROR(IF(ISNUMBER(INDEX(원자료_시장!$A$1:$BZ$1000,설정!$L$6+ROW()-1,설정!$L$27)),INDEX(원자료_시장!$A$1:$BZ$1000,설정!$L$6+ROW()-1,설정!$L$27),""),"")</f>
        <v>87.089</v>
      </c>
      <c r="F62" s="97" t="n">
        <f aca="false">IFERROR(IF(ISNUMBER(INDEX(원자료_시장!$A$1:$BZ$1000,설정!$L$6+ROW()-1,설정!$L$28)),INDEX(원자료_시장!$A$1:$BZ$1000,설정!$L$6+ROW()-1,설정!$L$28),""),"")</f>
        <v>120.573</v>
      </c>
      <c r="G62" s="97" t="n">
        <f aca="false">IFERROR(IF(ISNUMBER(INDEX(원자료_시장!$A$1:$BZ$1000,설정!$L$6+ROW()-1,설정!$L$29)),INDEX(원자료_시장!$A$1:$BZ$1000,설정!$L$6+ROW()-1,설정!$L$29),""),"")</f>
        <v>-0.3</v>
      </c>
      <c r="H62" s="97" t="n">
        <f aca="false">IFERROR(IF(ISNUMBER(INDEX(원자료_시장!$A$1:$BZ$1000,설정!$L$6+ROW()-1,설정!$L$30)),INDEX(원자료_시장!$A$1:$BZ$1000,설정!$L$6+ROW()-1,설정!$L$30),""),"")</f>
        <v>4.7</v>
      </c>
      <c r="I62" s="97" t="n">
        <f aca="false">IFERROR(IF(ISNUMBER(INDEX(원자료_시장!$A$1:$BZ$1000,설정!$L$6+ROW()-1,설정!$L$31)),INDEX(원자료_시장!$A$1:$BZ$1000,설정!$L$6+ROW()-1,설정!$L$31),""),"")</f>
        <v>7.1</v>
      </c>
      <c r="J62" s="97" t="n">
        <f aca="false">IFERROR(IF(ISNUMBER(INDEX(원자료_시장!$A$1:$BZ$1000,설정!$L$6+ROW()-1,설정!$L$32)),INDEX(원자료_시장!$A$1:$BZ$1000,설정!$L$6+ROW()-1,설정!$L$32),""),"")</f>
        <v>3.1</v>
      </c>
      <c r="K62" s="85" t="n">
        <f aca="false">IFERROR(IF(ISNUMBER(INDEX(원자료_시장!$A$1:$BZ$1000,설정!$L$6+ROW()-1,설정!$L$33)),INDEX(원자료_시장!$A$1:$BZ$1000,설정!$L$6+ROW()-1,설정!$L$33),""),"")</f>
        <v>4.168</v>
      </c>
      <c r="L62" s="83" t="str">
        <f aca="false">IFERROR(IF(INDEX(원자료_시장!$A$1:$BZ$1000,설정!$L$6+ROW()-1,설정!$L$34)&amp;""="0","",INDEX(원자료_시장!$A$1:$BZ$1000,설정!$L$6+ROW()-1,설정!$L$34)),"")</f>
        <v>자유 소비재</v>
      </c>
      <c r="M62" s="83" t="str">
        <f aca="false">IFERROR(IF(INDEX(원자료_시장!$A$1:$BZ$1000,설정!$L$6+ROW()-1,설정!$L$35)&amp;""="0","",INDEX(원자료_시장!$A$1:$BZ$1000,설정!$L$6+ROW()-1,설정!$L$35)),"")</f>
        <v>A-</v>
      </c>
      <c r="N62" s="83" t="str">
        <f aca="false">IFERROR(IF(INDEX(원자료_시장!$A$1:$BZ$1000,설정!$L$6+ROW()-1,설정!$L$36)&amp;""="0","",INDEX(원자료_시장!$A$1:$BZ$1000,설정!$L$6+ROW()-1,설정!$L$36)),"")</f>
        <v>미국</v>
      </c>
      <c r="O62" s="43" t="str">
        <f aca="false">IF($A62="","",UPPER(LEFT($A62,FIND(" ",$A62&amp;" ")-1)))</f>
        <v>HYNMTR</v>
      </c>
      <c r="P62" s="43" t="str">
        <f aca="false">IF($A62="","",TRIM(RIGHT(SUBSTITUTE(TRIM($A62)," ",REPT(" ",30)),30)))</f>
        <v>06/24/31</v>
      </c>
      <c r="Q62" s="98" t="n">
        <f aca="false">IF($A62="","",IFERROR(DATE(IF(LEN(P62)=8,2000+VALUE(RIGHT(P62,2)),VALUE(RIGHT(P62,4))),VALUE(LEFT(P62,2)),VALUE(MID(P62,4,2))),""))</f>
        <v>48023</v>
      </c>
      <c r="R62" s="89" t="n">
        <f aca="false">IF($A62="",0,IF(ISNUMBER(SEARCH("Float",$A62)),1,0))</f>
        <v>0</v>
      </c>
      <c r="S62" s="43" t="str">
        <f aca="false">IF($A62="","",TRIM(MID($A62,LEN(O62)+2,LEN($A62)-LEN(O62)-LEN(P62)-1)))</f>
        <v>5.4</v>
      </c>
      <c r="T62" s="92" t="n">
        <f aca="false">IF(OR($A62="",R62=1),"",IFERROR(IF(ISNUMBER(FIND("/",S62)),IF(ISNUMBER(FIND(" ",S62)),VALUE(LEFT(S62,FIND(" ",S62)-1))+VALUE(MID(S62,FIND(" ",S62)+1,FIND("/",S62)-FIND(" ",S62)-1))/VALUE(MID(S62,FIND("/",S62)+1,9)),VALUE(LEFT(S62,FIND("/",S62)-1))/VALUE(MID(S62,FIND("/",S62)+1,9))),VALUE(S62)),""))</f>
        <v>5.4</v>
      </c>
      <c r="U62" s="43" t="str">
        <f aca="false">IF(OR($A62="",NOT(ISNUMBER(Q62))),"",TEXT(Q62,"yyyymmdd")&amp;"|"&amp;IF(R62=1,"F",TEXT(T62,"0.000")))</f>
        <v>20310624|5.400</v>
      </c>
      <c r="V62" s="43" t="str">
        <f aca="false">IF(U62="","",O62&amp;"|"&amp;U62)</f>
        <v>HYNMTR|20310624|5.400</v>
      </c>
      <c r="W62" s="43" t="str">
        <f aca="false">IF($A62="","",IFERROR(IF(VLOOKUP(O62,매핑!$A$4:$E$92,3,0)="","미분류",VLOOKUP(O62,매핑!$A$4:$E$92,3,0)),"미분류"))</f>
        <v>미국</v>
      </c>
      <c r="X62" s="89" t="n">
        <f aca="false">IF($A62="",0,IF(O62="T",1,0))</f>
        <v>0</v>
      </c>
      <c r="Y62" s="89" t="n">
        <f aca="false">IF($A62="",0,IF(AND(C62="USD",X62=0,ISNUMBER(E62),ISNUMBER(K62)),IF(K62&gt;=설정!$C$8,1,0),0))</f>
        <v>1</v>
      </c>
      <c r="Z62" s="43" t="str">
        <f aca="false">IF($A62="","",N62&amp;"|"&amp;L62)</f>
        <v>미국|자유 소비재</v>
      </c>
      <c r="AA62" s="92" t="n">
        <f aca="false">IF(Y62=1,LN(K62),0)</f>
        <v>1.42743630445107</v>
      </c>
      <c r="AB62" s="93" t="n">
        <f aca="false">IF(Y62=1,E62,0)</f>
        <v>87.089</v>
      </c>
      <c r="AC62" s="89" t="n">
        <f aca="false">IF(Y62=1,COUNTIFS($Z$2:$Z$601,Z62,$Y$2:$Y$601,1),0)</f>
        <v>18</v>
      </c>
      <c r="AD62" s="89" t="n">
        <f aca="false">IF(Y62=1,COUNTIFS($N$2:$N$601,N62,$Y$2:$Y$601,1),0)</f>
        <v>49</v>
      </c>
      <c r="AE62" s="43" t="str">
        <f aca="false">IF(Y62&lt;&gt;1,"",IF(AND(AC62&gt;=설정!$C$7,ISNUMBER(MATCH(Z62,피어커브!$A:$A,0))),Z62,IF(AND(AD62&gt;=설정!$C$7,ISNUMBER(MATCH(N62&amp;"|전체",피어커브!$A:$A,0))),N62&amp;"|전체","전체|전체")))</f>
        <v>미국|자유 소비재</v>
      </c>
      <c r="AF62" s="93" t="n">
        <f aca="false">IF(AE62="","",INDEX(피어커브!$K:$K,MATCH(AE62,피어커브!$A:$A,0)))</f>
        <v>26.8569188281613</v>
      </c>
      <c r="AG62" s="93" t="n">
        <f aca="false">IF(AE62="","",INDEX(피어커브!$J:$J,MATCH(AE62,피어커브!$A:$A,0)))</f>
        <v>40.2545310700915</v>
      </c>
      <c r="AH62" s="93" t="n">
        <f aca="false">IF(AE62="","",INDEX(피어커브!$L:$L,MATCH(AE62,피어커브!$A:$A,0)))</f>
        <v>4.33725635148027</v>
      </c>
      <c r="AI62" s="93" t="n">
        <f aca="false">IF(AE62="","",AF62+AG62*AA62)</f>
        <v>84.3176978962632</v>
      </c>
      <c r="AJ62" s="96" t="n">
        <f aca="false">IF(AE62="","",E62-AI62)</f>
        <v>2.77130210373679</v>
      </c>
      <c r="AK62" s="95" t="n">
        <f aca="false">IF(AE62="","",IF(ISNUMBER(AH62),IF(AH62&gt;0,AJ62/AH62,""),""))</f>
        <v>0.638952803145003</v>
      </c>
      <c r="AL62" s="43" t="str">
        <f aca="false">IF(AK62="","-",IF(AK62&gt;=설정!$C$6,"Cheap",IF(AK62&lt;=-설정!$C$6,"Rich","Fair")))</f>
        <v>Fair</v>
      </c>
      <c r="AM62" s="96" t="n">
        <f aca="false">IF(AE62="","",AJ62-AVERAGEIFS($AJ$2:$AJ$601,$B$2:$B$601,B62,$Y$2:$Y$601,1))</f>
        <v>2.77130210373679</v>
      </c>
      <c r="AN62" s="93" t="n">
        <f aca="false">IF(AE62="",0,IF(K62&gt;1+설정!$C$8,AG62*(AA62-LN(K62-1)),0))</f>
        <v>11.0432602124568</v>
      </c>
      <c r="AO62" s="99" t="n">
        <f aca="false">IF($A62="",0,SUMIFS(보유분석!$AA$2:$AA$801,보유분석!$AB$2:$AB$801,ROW(),보유분석!$AC$2:$AC$801,1))</f>
        <v>12.735554</v>
      </c>
      <c r="AP62" s="43" t="str">
        <f aca="false">IF($A62="","",TRIM(IF(R62=1,"FRN ","")&amp;IF(IFERROR(VLOOKUP(M62,설정!$A$15:$D$47,4,0),0)&gt;=10,IF(IFERROR(VLOOKUP(M62,설정!$A$15:$D$47,4,0),0)&lt;99,"BBB0미만 ",""),"")&amp;IF(OR(M62="",M62="NR"),"등급미입력 ","")&amp;IF(C62&lt;&gt;"USD","비USD ","")))</f>
        <v/>
      </c>
      <c r="AQ62" s="90" t="n">
        <f aca="false">IF(AND(Y62=1,AL62="Cheap"),IF(AND(ISERROR(SEARCH("FRN",AP62)),ISERROR(SEARCH("BBB0미만",AP62))),AK62+ROW()/1000000000,-999),-999)</f>
        <v>-999</v>
      </c>
      <c r="AR62" s="92" t="n">
        <f aca="false">IF(AND(ISNUMBER(D62),ISNUMBER(K62)),D62+AN62*MAX(K62-1,0)/100,"")</f>
        <v>6.30785048353063</v>
      </c>
      <c r="AS62" s="93" t="n">
        <f aca="false">IF(AND(ISNUMBER(E62),ISNUMBER(K62)),IF(K62&gt;0,(E62+AN62*MAX(K62-1,0))/K62,""),"")</f>
        <v>29.2883993169537</v>
      </c>
      <c r="AT62" s="90" t="n">
        <f aca="false">IFERROR(IF(AND(Y62=1,ROW()&lt;&gt;스왑분석!$C$12+1,ABS(K62-INDEX($K$2:$K$601,스왑분석!$C$12))&lt;=스왑분석!$C$5,ISERROR(SEARCH("FRN",AP62)),ISERROR(SEARCH("BBB0미만",AP62))),IF(AND(OR(스왑분석!$C$6="N",L62=INDEX($L$2:$L$601,스왑분석!$C$12)),OR(스왑분석!$C$7="N",N62=INDEX($N$2:$N$601,스왑분석!$C$12)),OR(스왑분석!$C$8="N",AO62=0),E62-INDEX($E$2:$E$601,스왑분석!$C$12)&gt;=스왑분석!$C$9),E62-INDEX($E$2:$E$601,스왑분석!$C$12)+ROW()/1000000000,-999),-999),-999)</f>
        <v>38.597000062</v>
      </c>
      <c r="AU62" s="90" t="n">
        <f aca="false">IF(AND(Y62=1,AO62&gt;0,AL62="Rich"),-AK62+ROW()/1000000000,-999)</f>
        <v>-999</v>
      </c>
    </row>
    <row r="63" customFormat="false" ht="15" hidden="false" customHeight="false" outlineLevel="0" collapsed="false">
      <c r="A63" s="83" t="str">
        <f aca="false">IFERROR(IF(INDEX(원자료_시장!$A$1:$BZ$1000,설정!$L$6+ROW()-1,설정!$L$24)&amp;""="0","",INDEX(원자료_시장!$A$1:$BZ$1000,설정!$L$6+ROW()-1,설정!$L$24)),"")</f>
        <v>HYNMTR 4.3 09/24/27</v>
      </c>
      <c r="B63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63" s="83" t="str">
        <f aca="false">IFERROR(IF(INDEX(원자료_시장!$A$1:$BZ$1000,설정!$L$6+ROW()-1,설정!$L$25)&amp;""="0","",INDEX(원자료_시장!$A$1:$BZ$1000,설정!$L$6+ROW()-1,설정!$L$25)),"")</f>
        <v>USD</v>
      </c>
      <c r="D63" s="85" t="n">
        <f aca="false">IFERROR(IF(ISNUMBER(INDEX(원자료_시장!$A$1:$BZ$1000,설정!$L$6+ROW()-1,설정!$L$26)),INDEX(원자료_시장!$A$1:$BZ$1000,설정!$L$6+ROW()-1,설정!$L$26),""),"")</f>
        <v>5.097</v>
      </c>
      <c r="E63" s="97" t="n">
        <f aca="false">IFERROR(IF(ISNUMBER(INDEX(원자료_시장!$A$1:$BZ$1000,설정!$L$6+ROW()-1,설정!$L$27)),INDEX(원자료_시장!$A$1:$BZ$1000,설정!$L$6+ROW()-1,설정!$L$27),""),"")</f>
        <v>20.834</v>
      </c>
      <c r="F63" s="97" t="n">
        <f aca="false">IFERROR(IF(ISNUMBER(INDEX(원자료_시장!$A$1:$BZ$1000,설정!$L$6+ROW()-1,설정!$L$28)),INDEX(원자료_시장!$A$1:$BZ$1000,설정!$L$6+ROW()-1,설정!$L$28),""),"")</f>
        <v>60.794</v>
      </c>
      <c r="G63" s="97" t="n">
        <f aca="false">IFERROR(IF(ISNUMBER(INDEX(원자료_시장!$A$1:$BZ$1000,설정!$L$6+ROW()-1,설정!$L$29)),INDEX(원자료_시장!$A$1:$BZ$1000,설정!$L$6+ROW()-1,설정!$L$29),""),"")</f>
        <v>-0.6</v>
      </c>
      <c r="H63" s="97" t="n">
        <f aca="false">IFERROR(IF(ISNUMBER(INDEX(원자료_시장!$A$1:$BZ$1000,설정!$L$6+ROW()-1,설정!$L$30)),INDEX(원자료_시장!$A$1:$BZ$1000,설정!$L$6+ROW()-1,설정!$L$30),""),"")</f>
        <v>7.3</v>
      </c>
      <c r="I63" s="97" t="n">
        <f aca="false">IFERROR(IF(ISNUMBER(INDEX(원자료_시장!$A$1:$BZ$1000,설정!$L$6+ROW()-1,설정!$L$31)),INDEX(원자료_시장!$A$1:$BZ$1000,설정!$L$6+ROW()-1,설정!$L$31),""),"")</f>
        <v>2.7</v>
      </c>
      <c r="J63" s="97" t="n">
        <f aca="false">IFERROR(IF(ISNUMBER(INDEX(원자료_시장!$A$1:$BZ$1000,설정!$L$6+ROW()-1,설정!$L$32)),INDEX(원자료_시장!$A$1:$BZ$1000,설정!$L$6+ROW()-1,설정!$L$32),""),"")</f>
        <v>-23.7</v>
      </c>
      <c r="K63" s="85" t="n">
        <f aca="false">IFERROR(IF(ISNUMBER(INDEX(원자료_시장!$A$1:$BZ$1000,설정!$L$6+ROW()-1,설정!$L$33)),INDEX(원자료_시장!$A$1:$BZ$1000,설정!$L$6+ROW()-1,설정!$L$33),""),"")</f>
        <v>0.967</v>
      </c>
      <c r="L63" s="83" t="str">
        <f aca="false">IFERROR(IF(INDEX(원자료_시장!$A$1:$BZ$1000,설정!$L$6+ROW()-1,설정!$L$34)&amp;""="0","",INDEX(원자료_시장!$A$1:$BZ$1000,설정!$L$6+ROW()-1,설정!$L$34)),"")</f>
        <v>자유 소비재</v>
      </c>
      <c r="M63" s="83" t="str">
        <f aca="false">IFERROR(IF(INDEX(원자료_시장!$A$1:$BZ$1000,설정!$L$6+ROW()-1,설정!$L$35)&amp;""="0","",INDEX(원자료_시장!$A$1:$BZ$1000,설정!$L$6+ROW()-1,설정!$L$35)),"")</f>
        <v>A-</v>
      </c>
      <c r="N63" s="83" t="str">
        <f aca="false">IFERROR(IF(INDEX(원자료_시장!$A$1:$BZ$1000,설정!$L$6+ROW()-1,설정!$L$36)&amp;""="0","",INDEX(원자료_시장!$A$1:$BZ$1000,설정!$L$6+ROW()-1,설정!$L$36)),"")</f>
        <v>미국</v>
      </c>
      <c r="O63" s="43" t="str">
        <f aca="false">IF($A63="","",UPPER(LEFT($A63,FIND(" ",$A63&amp;" ")-1)))</f>
        <v>HYNMTR</v>
      </c>
      <c r="P63" s="43" t="str">
        <f aca="false">IF($A63="","",TRIM(RIGHT(SUBSTITUTE(TRIM($A63)," ",REPT(" ",30)),30)))</f>
        <v>09/24/27</v>
      </c>
      <c r="Q63" s="98" t="n">
        <f aca="false">IF($A63="","",IFERROR(DATE(IF(LEN(P63)=8,2000+VALUE(RIGHT(P63,2)),VALUE(RIGHT(P63,4))),VALUE(LEFT(P63,2)),VALUE(MID(P63,4,2))),""))</f>
        <v>46654</v>
      </c>
      <c r="R63" s="89" t="n">
        <f aca="false">IF($A63="",0,IF(ISNUMBER(SEARCH("Float",$A63)),1,0))</f>
        <v>0</v>
      </c>
      <c r="S63" s="43" t="str">
        <f aca="false">IF($A63="","",TRIM(MID($A63,LEN(O63)+2,LEN($A63)-LEN(O63)-LEN(P63)-1)))</f>
        <v>4.3</v>
      </c>
      <c r="T63" s="92" t="n">
        <f aca="false">IF(OR($A63="",R63=1),"",IFERROR(IF(ISNUMBER(FIND("/",S63)),IF(ISNUMBER(FIND(" ",S63)),VALUE(LEFT(S63,FIND(" ",S63)-1))+VALUE(MID(S63,FIND(" ",S63)+1,FIND("/",S63)-FIND(" ",S63)-1))/VALUE(MID(S63,FIND("/",S63)+1,9)),VALUE(LEFT(S63,FIND("/",S63)-1))/VALUE(MID(S63,FIND("/",S63)+1,9))),VALUE(S63)),""))</f>
        <v>4.3</v>
      </c>
      <c r="U63" s="43" t="str">
        <f aca="false">IF(OR($A63="",NOT(ISNUMBER(Q63))),"",TEXT(Q63,"yyyymmdd")&amp;"|"&amp;IF(R63=1,"F",TEXT(T63,"0.000")))</f>
        <v>20270924|4.300</v>
      </c>
      <c r="V63" s="43" t="str">
        <f aca="false">IF(U63="","",O63&amp;"|"&amp;U63)</f>
        <v>HYNMTR|20270924|4.300</v>
      </c>
      <c r="W63" s="43" t="str">
        <f aca="false">IF($A63="","",IFERROR(IF(VLOOKUP(O63,매핑!$A$4:$E$92,3,0)="","미분류",VLOOKUP(O63,매핑!$A$4:$E$92,3,0)),"미분류"))</f>
        <v>미국</v>
      </c>
      <c r="X63" s="89" t="n">
        <f aca="false">IF($A63="",0,IF(O63="T",1,0))</f>
        <v>0</v>
      </c>
      <c r="Y63" s="89" t="n">
        <f aca="false">IF($A63="",0,IF(AND(C63="USD",X63=0,ISNUMBER(E63),ISNUMBER(K63)),IF(K63&gt;=설정!$C$8,1,0),0))</f>
        <v>1</v>
      </c>
      <c r="Z63" s="43" t="str">
        <f aca="false">IF($A63="","",N63&amp;"|"&amp;L63)</f>
        <v>미국|자유 소비재</v>
      </c>
      <c r="AA63" s="92" t="n">
        <f aca="false">IF(Y63=1,LN(K63),0)</f>
        <v>-0.0335567835288428</v>
      </c>
      <c r="AB63" s="93" t="n">
        <f aca="false">IF(Y63=1,E63,0)</f>
        <v>20.834</v>
      </c>
      <c r="AC63" s="89" t="n">
        <f aca="false">IF(Y63=1,COUNTIFS($Z$2:$Z$601,Z63,$Y$2:$Y$601,1),0)</f>
        <v>18</v>
      </c>
      <c r="AD63" s="89" t="n">
        <f aca="false">IF(Y63=1,COUNTIFS($N$2:$N$601,N63,$Y$2:$Y$601,1),0)</f>
        <v>49</v>
      </c>
      <c r="AE63" s="43" t="str">
        <f aca="false">IF(Y63&lt;&gt;1,"",IF(AND(AC63&gt;=설정!$C$7,ISNUMBER(MATCH(Z63,피어커브!$A:$A,0))),Z63,IF(AND(AD63&gt;=설정!$C$7,ISNUMBER(MATCH(N63&amp;"|전체",피어커브!$A:$A,0))),N63&amp;"|전체","전체|전체")))</f>
        <v>미국|자유 소비재</v>
      </c>
      <c r="AF63" s="93" t="n">
        <f aca="false">IF(AE63="","",INDEX(피어커브!$K:$K,MATCH(AE63,피어커브!$A:$A,0)))</f>
        <v>26.8569188281613</v>
      </c>
      <c r="AG63" s="93" t="n">
        <f aca="false">IF(AE63="","",INDEX(피어커브!$J:$J,MATCH(AE63,피어커브!$A:$A,0)))</f>
        <v>40.2545310700915</v>
      </c>
      <c r="AH63" s="93" t="n">
        <f aca="false">IF(AE63="","",INDEX(피어커브!$L:$L,MATCH(AE63,피어커브!$A:$A,0)))</f>
        <v>4.33725635148027</v>
      </c>
      <c r="AI63" s="93" t="n">
        <f aca="false">IF(AE63="","",AF63+AG63*AA63)</f>
        <v>25.5061062429871</v>
      </c>
      <c r="AJ63" s="96" t="n">
        <f aca="false">IF(AE63="","",E63-AI63)</f>
        <v>-4.67210624298712</v>
      </c>
      <c r="AK63" s="95" t="n">
        <f aca="false">IF(AE63="","",IF(ISNUMBER(AH63),IF(AH63&gt;0,AJ63/AH63,""),""))</f>
        <v>-1.07720315894922</v>
      </c>
      <c r="AL63" s="43" t="str">
        <f aca="false">IF(AK63="","-",IF(AK63&gt;=설정!$C$6,"Cheap",IF(AK63&lt;=-설정!$C$6,"Rich","Fair")))</f>
        <v>Rich</v>
      </c>
      <c r="AM63" s="96" t="n">
        <f aca="false">IF(AE63="","",AJ63-AVERAGEIFS($AJ$2:$AJ$601,$B$2:$B$601,B63,$Y$2:$Y$601,1))</f>
        <v>-4.67210624298712</v>
      </c>
      <c r="AN63" s="93" t="n">
        <f aca="false">IF(AE63="",0,IF(K63&gt;1+설정!$C$8,AG63*(AA63-LN(K63-1)),0))</f>
        <v>0</v>
      </c>
      <c r="AO63" s="99" t="n">
        <f aca="false">IF($A63="",0,SUMIFS(보유분석!$AA$2:$AA$801,보유분석!$AB$2:$AB$801,ROW(),보유분석!$AC$2:$AC$801,1))</f>
        <v>0</v>
      </c>
      <c r="AP63" s="43" t="str">
        <f aca="false">IF($A63="","",TRIM(IF(R63=1,"FRN ","")&amp;IF(IFERROR(VLOOKUP(M63,설정!$A$15:$D$47,4,0),0)&gt;=10,IF(IFERROR(VLOOKUP(M63,설정!$A$15:$D$47,4,0),0)&lt;99,"BBB0미만 ",""),"")&amp;IF(OR(M63="",M63="NR"),"등급미입력 ","")&amp;IF(C63&lt;&gt;"USD","비USD ","")))</f>
        <v/>
      </c>
      <c r="AQ63" s="90" t="n">
        <f aca="false">IF(AND(Y63=1,AL63="Cheap"),IF(AND(ISERROR(SEARCH("FRN",AP63)),ISERROR(SEARCH("BBB0미만",AP63))),AK63+ROW()/1000000000,-999),-999)</f>
        <v>-999</v>
      </c>
      <c r="AR63" s="92" t="n">
        <f aca="false">IF(AND(ISNUMBER(D63),ISNUMBER(K63)),D63+AN63*MAX(K63-1,0)/100,"")</f>
        <v>5.097</v>
      </c>
      <c r="AS63" s="93" t="n">
        <f aca="false">IF(AND(ISNUMBER(E63),ISNUMBER(K63)),IF(K63&gt;0,(E63+AN63*MAX(K63-1,0))/K63,""),"")</f>
        <v>21.5449844881076</v>
      </c>
      <c r="AT63" s="90" t="n">
        <f aca="false">IFERROR(IF(AND(Y63=1,ROW()&lt;&gt;스왑분석!$C$12+1,ABS(K63-INDEX($K$2:$K$601,스왑분석!$C$12))&lt;=스왑분석!$C$5,ISERROR(SEARCH("FRN",AP63)),ISERROR(SEARCH("BBB0미만",AP63))),IF(AND(OR(스왑분석!$C$6="N",L63=INDEX($L$2:$L$601,스왑분석!$C$12)),OR(스왑분석!$C$7="N",N63=INDEX($N$2:$N$601,스왑분석!$C$12)),OR(스왑분석!$C$8="N",AO63=0),E63-INDEX($E$2:$E$601,스왑분석!$C$12)&gt;=스왑분석!$C$9),E63-INDEX($E$2:$E$601,스왑분석!$C$12)+ROW()/1000000000,-999),-999),-999)</f>
        <v>-999</v>
      </c>
      <c r="AU63" s="90" t="n">
        <f aca="false">IF(AND(Y63=1,AO63&gt;0,AL63="Rich"),-AK63+ROW()/1000000000,-999)</f>
        <v>-999</v>
      </c>
    </row>
    <row r="64" customFormat="false" ht="15" hidden="false" customHeight="false" outlineLevel="0" collapsed="false">
      <c r="A64" s="83" t="str">
        <f aca="false">IFERROR(IF(INDEX(원자료_시장!$A$1:$BZ$1000,설정!$L$6+ROW()-1,설정!$L$24)&amp;""="0","",INDEX(원자료_시장!$A$1:$BZ$1000,설정!$L$6+ROW()-1,설정!$L$24)),"")</f>
        <v>HYNMTR 4.55 09/26/29</v>
      </c>
      <c r="B64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64" s="83" t="str">
        <f aca="false">IFERROR(IF(INDEX(원자료_시장!$A$1:$BZ$1000,설정!$L$6+ROW()-1,설정!$L$25)&amp;""="0","",INDEX(원자료_시장!$A$1:$BZ$1000,설정!$L$6+ROW()-1,설정!$L$25)),"")</f>
        <v>USD</v>
      </c>
      <c r="D64" s="85" t="n">
        <f aca="false">IFERROR(IF(ISNUMBER(INDEX(원자료_시장!$A$1:$BZ$1000,설정!$L$6+ROW()-1,설정!$L$26)),INDEX(원자료_시장!$A$1:$BZ$1000,설정!$L$6+ROW()-1,설정!$L$26),""),"")</f>
        <v>5.637</v>
      </c>
      <c r="E64" s="97" t="n">
        <f aca="false">IFERROR(IF(ISNUMBER(INDEX(원자료_시장!$A$1:$BZ$1000,설정!$L$6+ROW()-1,설정!$L$27)),INDEX(원자료_시장!$A$1:$BZ$1000,설정!$L$6+ROW()-1,설정!$L$27),""),"")</f>
        <v>63.64</v>
      </c>
      <c r="F64" s="97" t="n">
        <f aca="false">IFERROR(IF(ISNUMBER(INDEX(원자료_시장!$A$1:$BZ$1000,설정!$L$6+ROW()-1,설정!$L$28)),INDEX(원자료_시장!$A$1:$BZ$1000,설정!$L$6+ROW()-1,설정!$L$28),""),"")</f>
        <v>90.109</v>
      </c>
      <c r="G64" s="97" t="n">
        <f aca="false">IFERROR(IF(ISNUMBER(INDEX(원자료_시장!$A$1:$BZ$1000,설정!$L$6+ROW()-1,설정!$L$29)),INDEX(원자료_시장!$A$1:$BZ$1000,설정!$L$6+ROW()-1,설정!$L$29),""),"")</f>
        <v>0.1</v>
      </c>
      <c r="H64" s="97" t="n">
        <f aca="false">IFERROR(IF(ISNUMBER(INDEX(원자료_시장!$A$1:$BZ$1000,설정!$L$6+ROW()-1,설정!$L$30)),INDEX(원자료_시장!$A$1:$BZ$1000,설정!$L$6+ROW()-1,설정!$L$30),""),"")</f>
        <v>2.5</v>
      </c>
      <c r="I64" s="97" t="n">
        <f aca="false">IFERROR(IF(ISNUMBER(INDEX(원자료_시장!$A$1:$BZ$1000,설정!$L$6+ROW()-1,설정!$L$31)),INDEX(원자료_시장!$A$1:$BZ$1000,설정!$L$6+ROW()-1,설정!$L$31),""),"")</f>
        <v>1.8</v>
      </c>
      <c r="J64" s="97" t="n">
        <f aca="false">IFERROR(IF(ISNUMBER(INDEX(원자료_시장!$A$1:$BZ$1000,설정!$L$6+ROW()-1,설정!$L$32)),INDEX(원자료_시장!$A$1:$BZ$1000,설정!$L$6+ROW()-1,설정!$L$32),""),"")</f>
        <v>-1.9</v>
      </c>
      <c r="K64" s="85" t="n">
        <f aca="false">IFERROR(IF(ISNUMBER(INDEX(원자료_시장!$A$1:$BZ$1000,설정!$L$6+ROW()-1,설정!$L$33)),INDEX(원자료_시장!$A$1:$BZ$1000,설정!$L$6+ROW()-1,설정!$L$33),""),"")</f>
        <v>2.818</v>
      </c>
      <c r="L64" s="83" t="str">
        <f aca="false">IFERROR(IF(INDEX(원자료_시장!$A$1:$BZ$1000,설정!$L$6+ROW()-1,설정!$L$34)&amp;""="0","",INDEX(원자료_시장!$A$1:$BZ$1000,설정!$L$6+ROW()-1,설정!$L$34)),"")</f>
        <v>자유 소비재</v>
      </c>
      <c r="M64" s="83" t="str">
        <f aca="false">IFERROR(IF(INDEX(원자료_시장!$A$1:$BZ$1000,설정!$L$6+ROW()-1,설정!$L$35)&amp;""="0","",INDEX(원자료_시장!$A$1:$BZ$1000,설정!$L$6+ROW()-1,설정!$L$35)),"")</f>
        <v>A-</v>
      </c>
      <c r="N64" s="83" t="str">
        <f aca="false">IFERROR(IF(INDEX(원자료_시장!$A$1:$BZ$1000,설정!$L$6+ROW()-1,설정!$L$36)&amp;""="0","",INDEX(원자료_시장!$A$1:$BZ$1000,설정!$L$6+ROW()-1,설정!$L$36)),"")</f>
        <v>미국</v>
      </c>
      <c r="O64" s="43" t="str">
        <f aca="false">IF($A64="","",UPPER(LEFT($A64,FIND(" ",$A64&amp;" ")-1)))</f>
        <v>HYNMTR</v>
      </c>
      <c r="P64" s="43" t="str">
        <f aca="false">IF($A64="","",TRIM(RIGHT(SUBSTITUTE(TRIM($A64)," ",REPT(" ",30)),30)))</f>
        <v>09/26/29</v>
      </c>
      <c r="Q64" s="98" t="n">
        <f aca="false">IF($A64="","",IFERROR(DATE(IF(LEN(P64)=8,2000+VALUE(RIGHT(P64,2)),VALUE(RIGHT(P64,4))),VALUE(LEFT(P64,2)),VALUE(MID(P64,4,2))),""))</f>
        <v>47387</v>
      </c>
      <c r="R64" s="89" t="n">
        <f aca="false">IF($A64="",0,IF(ISNUMBER(SEARCH("Float",$A64)),1,0))</f>
        <v>0</v>
      </c>
      <c r="S64" s="43" t="str">
        <f aca="false">IF($A64="","",TRIM(MID($A64,LEN(O64)+2,LEN($A64)-LEN(O64)-LEN(P64)-1)))</f>
        <v>4.55</v>
      </c>
      <c r="T64" s="92" t="n">
        <f aca="false">IF(OR($A64="",R64=1),"",IFERROR(IF(ISNUMBER(FIND("/",S64)),IF(ISNUMBER(FIND(" ",S64)),VALUE(LEFT(S64,FIND(" ",S64)-1))+VALUE(MID(S64,FIND(" ",S64)+1,FIND("/",S64)-FIND(" ",S64)-1))/VALUE(MID(S64,FIND("/",S64)+1,9)),VALUE(LEFT(S64,FIND("/",S64)-1))/VALUE(MID(S64,FIND("/",S64)+1,9))),VALUE(S64)),""))</f>
        <v>4.55</v>
      </c>
      <c r="U64" s="43" t="str">
        <f aca="false">IF(OR($A64="",NOT(ISNUMBER(Q64))),"",TEXT(Q64,"yyyymmdd")&amp;"|"&amp;IF(R64=1,"F",TEXT(T64,"0.000")))</f>
        <v>20290926|4.550</v>
      </c>
      <c r="V64" s="43" t="str">
        <f aca="false">IF(U64="","",O64&amp;"|"&amp;U64)</f>
        <v>HYNMTR|20290926|4.550</v>
      </c>
      <c r="W64" s="43" t="str">
        <f aca="false">IF($A64="","",IFERROR(IF(VLOOKUP(O64,매핑!$A$4:$E$92,3,0)="","미분류",VLOOKUP(O64,매핑!$A$4:$E$92,3,0)),"미분류"))</f>
        <v>미국</v>
      </c>
      <c r="X64" s="89" t="n">
        <f aca="false">IF($A64="",0,IF(O64="T",1,0))</f>
        <v>0</v>
      </c>
      <c r="Y64" s="89" t="n">
        <f aca="false">IF($A64="",0,IF(AND(C64="USD",X64=0,ISNUMBER(E64),ISNUMBER(K64)),IF(K64&gt;=설정!$C$8,1,0),0))</f>
        <v>1</v>
      </c>
      <c r="Z64" s="43" t="str">
        <f aca="false">IF($A64="","",N64&amp;"|"&amp;L64)</f>
        <v>미국|자유 소비재</v>
      </c>
      <c r="AA64" s="92" t="n">
        <f aca="false">IF(Y64=1,LN(K64),0)</f>
        <v>1.03602741347649</v>
      </c>
      <c r="AB64" s="93" t="n">
        <f aca="false">IF(Y64=1,E64,0)</f>
        <v>63.64</v>
      </c>
      <c r="AC64" s="89" t="n">
        <f aca="false">IF(Y64=1,COUNTIFS($Z$2:$Z$601,Z64,$Y$2:$Y$601,1),0)</f>
        <v>18</v>
      </c>
      <c r="AD64" s="89" t="n">
        <f aca="false">IF(Y64=1,COUNTIFS($N$2:$N$601,N64,$Y$2:$Y$601,1),0)</f>
        <v>49</v>
      </c>
      <c r="AE64" s="43" t="str">
        <f aca="false">IF(Y64&lt;&gt;1,"",IF(AND(AC64&gt;=설정!$C$7,ISNUMBER(MATCH(Z64,피어커브!$A:$A,0))),Z64,IF(AND(AD64&gt;=설정!$C$7,ISNUMBER(MATCH(N64&amp;"|전체",피어커브!$A:$A,0))),N64&amp;"|전체","전체|전체")))</f>
        <v>미국|자유 소비재</v>
      </c>
      <c r="AF64" s="93" t="n">
        <f aca="false">IF(AE64="","",INDEX(피어커브!$K:$K,MATCH(AE64,피어커브!$A:$A,0)))</f>
        <v>26.8569188281613</v>
      </c>
      <c r="AG64" s="93" t="n">
        <f aca="false">IF(AE64="","",INDEX(피어커브!$J:$J,MATCH(AE64,피어커브!$A:$A,0)))</f>
        <v>40.2545310700915</v>
      </c>
      <c r="AH64" s="93" t="n">
        <f aca="false">IF(AE64="","",INDEX(피어커브!$L:$L,MATCH(AE64,피어커브!$A:$A,0)))</f>
        <v>4.33725635148027</v>
      </c>
      <c r="AI64" s="93" t="n">
        <f aca="false">IF(AE64="","",AF64+AG64*AA64)</f>
        <v>68.561716533417</v>
      </c>
      <c r="AJ64" s="96" t="n">
        <f aca="false">IF(AE64="","",E64-AI64)</f>
        <v>-4.92171653341704</v>
      </c>
      <c r="AK64" s="95" t="n">
        <f aca="false">IF(AE64="","",IF(ISNUMBER(AH64),IF(AH64&gt;0,AJ64/AH64,""),""))</f>
        <v>-1.13475343271728</v>
      </c>
      <c r="AL64" s="43" t="str">
        <f aca="false">IF(AK64="","-",IF(AK64&gt;=설정!$C$6,"Cheap",IF(AK64&lt;=-설정!$C$6,"Rich","Fair")))</f>
        <v>Rich</v>
      </c>
      <c r="AM64" s="96" t="n">
        <f aca="false">IF(AE64="","",AJ64-AVERAGEIFS($AJ$2:$AJ$601,$B$2:$B$601,B64,$Y$2:$Y$601,1))</f>
        <v>-4.92171653341704</v>
      </c>
      <c r="AN64" s="93" t="n">
        <f aca="false">IF(AE64="",0,IF(K64&gt;1+설정!$C$8,AG64*(AA64-LN(K64-1)),0))</f>
        <v>17.6431752378815</v>
      </c>
      <c r="AO64" s="99" t="n">
        <f aca="false">IF($A64="",0,SUMIFS(보유분석!$AA$2:$AA$801,보유분석!$AB$2:$AB$801,ROW(),보유분석!$AC$2:$AC$801,1))</f>
        <v>0</v>
      </c>
      <c r="AP64" s="43" t="str">
        <f aca="false">IF($A64="","",TRIM(IF(R64=1,"FRN ","")&amp;IF(IFERROR(VLOOKUP(M64,설정!$A$15:$D$47,4,0),0)&gt;=10,IF(IFERROR(VLOOKUP(M64,설정!$A$15:$D$47,4,0),0)&lt;99,"BBB0미만 ",""),"")&amp;IF(OR(M64="",M64="NR"),"등급미입력 ","")&amp;IF(C64&lt;&gt;"USD","비USD ","")))</f>
        <v/>
      </c>
      <c r="AQ64" s="90" t="n">
        <f aca="false">IF(AND(Y64=1,AL64="Cheap"),IF(AND(ISERROR(SEARCH("FRN",AP64)),ISERROR(SEARCH("BBB0미만",AP64))),AK64+ROW()/1000000000,-999),-999)</f>
        <v>-999</v>
      </c>
      <c r="AR64" s="92" t="n">
        <f aca="false">IF(AND(ISNUMBER(D64),ISNUMBER(K64)),D64+AN64*MAX(K64-1,0)/100,"")</f>
        <v>5.95775292582469</v>
      </c>
      <c r="AS64" s="93" t="n">
        <f aca="false">IF(AND(ISNUMBER(E64),ISNUMBER(K64)),IF(K64&gt;0,(E64+AN64*MAX(K64-1,0))/K64,""),"")</f>
        <v>33.9656822506985</v>
      </c>
      <c r="AT64" s="90" t="n">
        <f aca="false">IFERROR(IF(AND(Y64=1,ROW()&lt;&gt;스왑분석!$C$12+1,ABS(K64-INDEX($K$2:$K$601,스왑분석!$C$12))&lt;=스왑분석!$C$5,ISERROR(SEARCH("FRN",AP64)),ISERROR(SEARCH("BBB0미만",AP64))),IF(AND(OR(스왑분석!$C$6="N",L64=INDEX($L$2:$L$601,스왑분석!$C$12)),OR(스왑분석!$C$7="N",N64=INDEX($N$2:$N$601,스왑분석!$C$12)),OR(스왑분석!$C$8="N",AO64=0),E64-INDEX($E$2:$E$601,스왑분석!$C$12)&gt;=스왑분석!$C$9),E64-INDEX($E$2:$E$601,스왑분석!$C$12)+ROW()/1000000000,-999),-999),-999)</f>
        <v>15.148000064</v>
      </c>
      <c r="AU64" s="90" t="n">
        <f aca="false">IF(AND(Y64=1,AO64&gt;0,AL64="Rich"),-AK64+ROW()/1000000000,-999)</f>
        <v>-999</v>
      </c>
    </row>
    <row r="65" customFormat="false" ht="15" hidden="false" customHeight="false" outlineLevel="0" collapsed="false">
      <c r="A65" s="83" t="str">
        <f aca="false">IFERROR(IF(INDEX(원자료_시장!$A$1:$BZ$1000,설정!$L$6+ROW()-1,설정!$L$24)&amp;""="0","",INDEX(원자료_시장!$A$1:$BZ$1000,설정!$L$6+ROW()-1,설정!$L$24)),"")</f>
        <v>HYNMTR 4 3/4 09/26/31</v>
      </c>
      <c r="B65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65" s="83" t="str">
        <f aca="false">IFERROR(IF(INDEX(원자료_시장!$A$1:$BZ$1000,설정!$L$6+ROW()-1,설정!$L$25)&amp;""="0","",INDEX(원자료_시장!$A$1:$BZ$1000,설정!$L$6+ROW()-1,설정!$L$25)),"")</f>
        <v>USD</v>
      </c>
      <c r="D65" s="85" t="n">
        <f aca="false">IFERROR(IF(ISNUMBER(INDEX(원자료_시장!$A$1:$BZ$1000,설정!$L$6+ROW()-1,설정!$L$26)),INDEX(원자료_시장!$A$1:$BZ$1000,설정!$L$6+ROW()-1,설정!$L$26),""),"")</f>
        <v>5.935</v>
      </c>
      <c r="E65" s="97" t="n">
        <f aca="false">IFERROR(IF(ISNUMBER(INDEX(원자료_시장!$A$1:$BZ$1000,설정!$L$6+ROW()-1,설정!$L$27)),INDEX(원자료_시장!$A$1:$BZ$1000,설정!$L$6+ROW()-1,설정!$L$27),""),"")</f>
        <v>84.819</v>
      </c>
      <c r="F65" s="97" t="n">
        <f aca="false">IFERROR(IF(ISNUMBER(INDEX(원자료_시장!$A$1:$BZ$1000,설정!$L$6+ROW()-1,설정!$L$28)),INDEX(원자료_시장!$A$1:$BZ$1000,설정!$L$6+ROW()-1,설정!$L$28),""),"")</f>
        <v>118.073</v>
      </c>
      <c r="G65" s="97" t="n">
        <f aca="false">IFERROR(IF(ISNUMBER(INDEX(원자료_시장!$A$1:$BZ$1000,설정!$L$6+ROW()-1,설정!$L$29)),INDEX(원자료_시장!$A$1:$BZ$1000,설정!$L$6+ROW()-1,설정!$L$29),""),"")</f>
        <v>-0.1</v>
      </c>
      <c r="H65" s="97" t="n">
        <f aca="false">IFERROR(IF(ISNUMBER(INDEX(원자료_시장!$A$1:$BZ$1000,설정!$L$6+ROW()-1,설정!$L$30)),INDEX(원자료_시장!$A$1:$BZ$1000,설정!$L$6+ROW()-1,설정!$L$30),""),"")</f>
        <v>2.5</v>
      </c>
      <c r="I65" s="97" t="n">
        <f aca="false">IFERROR(IF(ISNUMBER(INDEX(원자료_시장!$A$1:$BZ$1000,설정!$L$6+ROW()-1,설정!$L$31)),INDEX(원자료_시장!$A$1:$BZ$1000,설정!$L$6+ROW()-1,설정!$L$31),""),"")</f>
        <v>5.9</v>
      </c>
      <c r="J65" s="97" t="n">
        <f aca="false">IFERROR(IF(ISNUMBER(INDEX(원자료_시장!$A$1:$BZ$1000,설정!$L$6+ROW()-1,설정!$L$32)),INDEX(원자료_시장!$A$1:$BZ$1000,설정!$L$6+ROW()-1,설정!$L$32),""),"")</f>
        <v>3</v>
      </c>
      <c r="K65" s="85" t="n">
        <f aca="false">IFERROR(IF(ISNUMBER(INDEX(원자료_시장!$A$1:$BZ$1000,설정!$L$6+ROW()-1,설정!$L$33)),INDEX(원자료_시장!$A$1:$BZ$1000,설정!$L$6+ROW()-1,설정!$L$33),""),"")</f>
        <v>4.477</v>
      </c>
      <c r="L65" s="83" t="str">
        <f aca="false">IFERROR(IF(INDEX(원자료_시장!$A$1:$BZ$1000,설정!$L$6+ROW()-1,설정!$L$34)&amp;""="0","",INDEX(원자료_시장!$A$1:$BZ$1000,설정!$L$6+ROW()-1,설정!$L$34)),"")</f>
        <v>자유 소비재</v>
      </c>
      <c r="M65" s="83" t="str">
        <f aca="false">IFERROR(IF(INDEX(원자료_시장!$A$1:$BZ$1000,설정!$L$6+ROW()-1,설정!$L$35)&amp;""="0","",INDEX(원자료_시장!$A$1:$BZ$1000,설정!$L$6+ROW()-1,설정!$L$35)),"")</f>
        <v>A-</v>
      </c>
      <c r="N65" s="83" t="str">
        <f aca="false">IFERROR(IF(INDEX(원자료_시장!$A$1:$BZ$1000,설정!$L$6+ROW()-1,설정!$L$36)&amp;""="0","",INDEX(원자료_시장!$A$1:$BZ$1000,설정!$L$6+ROW()-1,설정!$L$36)),"")</f>
        <v>미국</v>
      </c>
      <c r="O65" s="43" t="str">
        <f aca="false">IF($A65="","",UPPER(LEFT($A65,FIND(" ",$A65&amp;" ")-1)))</f>
        <v>HYNMTR</v>
      </c>
      <c r="P65" s="43" t="str">
        <f aca="false">IF($A65="","",TRIM(RIGHT(SUBSTITUTE(TRIM($A65)," ",REPT(" ",30)),30)))</f>
        <v>09/26/31</v>
      </c>
      <c r="Q65" s="98" t="n">
        <f aca="false">IF($A65="","",IFERROR(DATE(IF(LEN(P65)=8,2000+VALUE(RIGHT(P65,2)),VALUE(RIGHT(P65,4))),VALUE(LEFT(P65,2)),VALUE(MID(P65,4,2))),""))</f>
        <v>48117</v>
      </c>
      <c r="R65" s="89" t="n">
        <f aca="false">IF($A65="",0,IF(ISNUMBER(SEARCH("Float",$A65)),1,0))</f>
        <v>0</v>
      </c>
      <c r="S65" s="43" t="str">
        <f aca="false">IF($A65="","",TRIM(MID($A65,LEN(O65)+2,LEN($A65)-LEN(O65)-LEN(P65)-1)))</f>
        <v>4 3/4</v>
      </c>
      <c r="T65" s="92" t="n">
        <f aca="false">IF(OR($A65="",R65=1),"",IFERROR(IF(ISNUMBER(FIND("/",S65)),IF(ISNUMBER(FIND(" ",S65)),VALUE(LEFT(S65,FIND(" ",S65)-1))+VALUE(MID(S65,FIND(" ",S65)+1,FIND("/",S65)-FIND(" ",S65)-1))/VALUE(MID(S65,FIND("/",S65)+1,9)),VALUE(LEFT(S65,FIND("/",S65)-1))/VALUE(MID(S65,FIND("/",S65)+1,9))),VALUE(S65)),""))</f>
        <v>4.75</v>
      </c>
      <c r="U65" s="43" t="str">
        <f aca="false">IF(OR($A65="",NOT(ISNUMBER(Q65))),"",TEXT(Q65,"yyyymmdd")&amp;"|"&amp;IF(R65=1,"F",TEXT(T65,"0.000")))</f>
        <v>20310926|4.750</v>
      </c>
      <c r="V65" s="43" t="str">
        <f aca="false">IF(U65="","",O65&amp;"|"&amp;U65)</f>
        <v>HYNMTR|20310926|4.750</v>
      </c>
      <c r="W65" s="43" t="str">
        <f aca="false">IF($A65="","",IFERROR(IF(VLOOKUP(O65,매핑!$A$4:$E$92,3,0)="","미분류",VLOOKUP(O65,매핑!$A$4:$E$92,3,0)),"미분류"))</f>
        <v>미국</v>
      </c>
      <c r="X65" s="89" t="n">
        <f aca="false">IF($A65="",0,IF(O65="T",1,0))</f>
        <v>0</v>
      </c>
      <c r="Y65" s="89" t="n">
        <f aca="false">IF($A65="",0,IF(AND(C65="USD",X65=0,ISNUMBER(E65),ISNUMBER(K65)),IF(K65&gt;=설정!$C$8,1,0),0))</f>
        <v>1</v>
      </c>
      <c r="Z65" s="43" t="str">
        <f aca="false">IF($A65="","",N65&amp;"|"&amp;L65)</f>
        <v>미국|자유 소비재</v>
      </c>
      <c r="AA65" s="92" t="n">
        <f aca="false">IF(Y65=1,LN(K65),0)</f>
        <v>1.49895317925883</v>
      </c>
      <c r="AB65" s="93" t="n">
        <f aca="false">IF(Y65=1,E65,0)</f>
        <v>84.819</v>
      </c>
      <c r="AC65" s="89" t="n">
        <f aca="false">IF(Y65=1,COUNTIFS($Z$2:$Z$601,Z65,$Y$2:$Y$601,1),0)</f>
        <v>18</v>
      </c>
      <c r="AD65" s="89" t="n">
        <f aca="false">IF(Y65=1,COUNTIFS($N$2:$N$601,N65,$Y$2:$Y$601,1),0)</f>
        <v>49</v>
      </c>
      <c r="AE65" s="43" t="str">
        <f aca="false">IF(Y65&lt;&gt;1,"",IF(AND(AC65&gt;=설정!$C$7,ISNUMBER(MATCH(Z65,피어커브!$A:$A,0))),Z65,IF(AND(AD65&gt;=설정!$C$7,ISNUMBER(MATCH(N65&amp;"|전체",피어커브!$A:$A,0))),N65&amp;"|전체","전체|전체")))</f>
        <v>미국|자유 소비재</v>
      </c>
      <c r="AF65" s="93" t="n">
        <f aca="false">IF(AE65="","",INDEX(피어커브!$K:$K,MATCH(AE65,피어커브!$A:$A,0)))</f>
        <v>26.8569188281613</v>
      </c>
      <c r="AG65" s="93" t="n">
        <f aca="false">IF(AE65="","",INDEX(피어커브!$J:$J,MATCH(AE65,피어커브!$A:$A,0)))</f>
        <v>40.2545310700915</v>
      </c>
      <c r="AH65" s="93" t="n">
        <f aca="false">IF(AE65="","",INDEX(피어커브!$L:$L,MATCH(AE65,피어커브!$A:$A,0)))</f>
        <v>4.33725635148027</v>
      </c>
      <c r="AI65" s="93" t="n">
        <f aca="false">IF(AE65="","",AF65+AG65*AA65)</f>
        <v>87.1965761552481</v>
      </c>
      <c r="AJ65" s="96" t="n">
        <f aca="false">IF(AE65="","",E65-AI65)</f>
        <v>-2.37757615524814</v>
      </c>
      <c r="AK65" s="95" t="n">
        <f aca="false">IF(AE65="","",IF(ISNUMBER(AH65),IF(AH65&gt;0,AJ65/AH65,""),""))</f>
        <v>-0.548175150965354</v>
      </c>
      <c r="AL65" s="43" t="str">
        <f aca="false">IF(AK65="","-",IF(AK65&gt;=설정!$C$6,"Cheap",IF(AK65&lt;=-설정!$C$6,"Rich","Fair")))</f>
        <v>Fair</v>
      </c>
      <c r="AM65" s="96" t="n">
        <f aca="false">IF(AE65="","",AJ65-AVERAGEIFS($AJ$2:$AJ$601,$B$2:$B$601,B65,$Y$2:$Y$601,1))</f>
        <v>-2.37757615524813</v>
      </c>
      <c r="AN65" s="93" t="n">
        <f aca="false">IF(AE65="",0,IF(K65&gt;1+설정!$C$8,AG65*(AA65-LN(K65-1)),0))</f>
        <v>10.1756742598516</v>
      </c>
      <c r="AO65" s="99" t="n">
        <f aca="false">IF($A65="",0,SUMIFS(보유분석!$AA$2:$AA$801,보유분석!$AB$2:$AB$801,ROW(),보유분석!$AC$2:$AC$801,1))</f>
        <v>5.235813</v>
      </c>
      <c r="AP65" s="43" t="str">
        <f aca="false">IF($A65="","",TRIM(IF(R65=1,"FRN ","")&amp;IF(IFERROR(VLOOKUP(M65,설정!$A$15:$D$47,4,0),0)&gt;=10,IF(IFERROR(VLOOKUP(M65,설정!$A$15:$D$47,4,0),0)&lt;99,"BBB0미만 ",""),"")&amp;IF(OR(M65="",M65="NR"),"등급미입력 ","")&amp;IF(C65&lt;&gt;"USD","비USD ","")))</f>
        <v/>
      </c>
      <c r="AQ65" s="90" t="n">
        <f aca="false">IF(AND(Y65=1,AL65="Cheap"),IF(AND(ISERROR(SEARCH("FRN",AP65)),ISERROR(SEARCH("BBB0미만",AP65))),AK65+ROW()/1000000000,-999),-999)</f>
        <v>-999</v>
      </c>
      <c r="AR65" s="92" t="n">
        <f aca="false">IF(AND(ISNUMBER(D65),ISNUMBER(K65)),D65+AN65*MAX(K65-1,0)/100,"")</f>
        <v>6.28880819401504</v>
      </c>
      <c r="AS65" s="93" t="n">
        <f aca="false">IF(AND(ISNUMBER(E65),ISNUMBER(K65)),IF(K65&gt;0,(E65+AN65*MAX(K65-1,0))/K65,""),"")</f>
        <v>26.8482956000679</v>
      </c>
      <c r="AT65" s="90" t="n">
        <f aca="false">IFERROR(IF(AND(Y65=1,ROW()&lt;&gt;스왑분석!$C$12+1,ABS(K65-INDEX($K$2:$K$601,스왑분석!$C$12))&lt;=스왑분석!$C$5,ISERROR(SEARCH("FRN",AP65)),ISERROR(SEARCH("BBB0미만",AP65))),IF(AND(OR(스왑분석!$C$6="N",L65=INDEX($L$2:$L$601,스왑분석!$C$12)),OR(스왑분석!$C$7="N",N65=INDEX($N$2:$N$601,스왑분석!$C$12)),OR(스왑분석!$C$8="N",AO65=0),E65-INDEX($E$2:$E$601,스왑분석!$C$12)&gt;=스왑분석!$C$9),E65-INDEX($E$2:$E$601,스왑분석!$C$12)+ROW()/1000000000,-999),-999),-999)</f>
        <v>-999</v>
      </c>
      <c r="AU65" s="90" t="n">
        <f aca="false">IF(AND(Y65=1,AO65&gt;0,AL65="Rich"),-AK65+ROW()/1000000000,-999)</f>
        <v>-999</v>
      </c>
    </row>
    <row r="66" customFormat="false" ht="15" hidden="false" customHeight="false" outlineLevel="0" collapsed="false">
      <c r="A66" s="83" t="str">
        <f aca="false">IFERROR(IF(INDEX(원자료_시장!$A$1:$BZ$1000,설정!$L$6+ROW()-1,설정!$L$24)&amp;""="0","",INDEX(원자료_시장!$A$1:$BZ$1000,설정!$L$6+ROW()-1,설정!$L$24)),"")</f>
        <v>HYNMTR 5 01/07/28</v>
      </c>
      <c r="B66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66" s="83" t="str">
        <f aca="false">IFERROR(IF(INDEX(원자료_시장!$A$1:$BZ$1000,설정!$L$6+ROW()-1,설정!$L$25)&amp;""="0","",INDEX(원자료_시장!$A$1:$BZ$1000,설정!$L$6+ROW()-1,설정!$L$25)),"")</f>
        <v>USD</v>
      </c>
      <c r="D66" s="85" t="n">
        <f aca="false">IFERROR(IF(ISNUMBER(INDEX(원자료_시장!$A$1:$BZ$1000,설정!$L$6+ROW()-1,설정!$L$26)),INDEX(원자료_시장!$A$1:$BZ$1000,설정!$L$6+ROW()-1,설정!$L$26),""),"")</f>
        <v>5.295</v>
      </c>
      <c r="E66" s="97" t="n">
        <f aca="false">IFERROR(IF(ISNUMBER(INDEX(원자료_시장!$A$1:$BZ$1000,설정!$L$6+ROW()-1,설정!$L$27)),INDEX(원자료_시장!$A$1:$BZ$1000,설정!$L$6+ROW()-1,설정!$L$27),""),"")</f>
        <v>40.564</v>
      </c>
      <c r="F66" s="97" t="n">
        <f aca="false">IFERROR(IF(ISNUMBER(INDEX(원자료_시장!$A$1:$BZ$1000,설정!$L$6+ROW()-1,설정!$L$28)),INDEX(원자료_시장!$A$1:$BZ$1000,설정!$L$6+ROW()-1,설정!$L$28),""),"")</f>
        <v>73.484</v>
      </c>
      <c r="G66" s="97" t="n">
        <f aca="false">IFERROR(IF(ISNUMBER(INDEX(원자료_시장!$A$1:$BZ$1000,설정!$L$6+ROW()-1,설정!$L$29)),INDEX(원자료_시장!$A$1:$BZ$1000,설정!$L$6+ROW()-1,설정!$L$29),""),"")</f>
        <v>0.1</v>
      </c>
      <c r="H66" s="97" t="n">
        <f aca="false">IFERROR(IF(ISNUMBER(INDEX(원자료_시장!$A$1:$BZ$1000,설정!$L$6+ROW()-1,설정!$L$30)),INDEX(원자료_시장!$A$1:$BZ$1000,설정!$L$6+ROW()-1,설정!$L$30),""),"")</f>
        <v>7</v>
      </c>
      <c r="I66" s="97" t="n">
        <f aca="false">IFERROR(IF(ISNUMBER(INDEX(원자료_시장!$A$1:$BZ$1000,설정!$L$6+ROW()-1,설정!$L$31)),INDEX(원자료_시장!$A$1:$BZ$1000,설정!$L$6+ROW()-1,설정!$L$31),""),"")</f>
        <v>-3.9</v>
      </c>
      <c r="J66" s="97" t="n">
        <f aca="false">IFERROR(IF(ISNUMBER(INDEX(원자료_시장!$A$1:$BZ$1000,설정!$L$6+ROW()-1,설정!$L$32)),INDEX(원자료_시장!$A$1:$BZ$1000,설정!$L$6+ROW()-1,설정!$L$32),""),"")</f>
        <v>-12.7</v>
      </c>
      <c r="K66" s="85" t="n">
        <f aca="false">IFERROR(IF(ISNUMBER(INDEX(원자료_시장!$A$1:$BZ$1000,설정!$L$6+ROW()-1,설정!$L$33)),INDEX(원자료_시장!$A$1:$BZ$1000,설정!$L$6+ROW()-1,설정!$L$33),""),"")</f>
        <v>1.228</v>
      </c>
      <c r="L66" s="83" t="str">
        <f aca="false">IFERROR(IF(INDEX(원자료_시장!$A$1:$BZ$1000,설정!$L$6+ROW()-1,설정!$L$34)&amp;""="0","",INDEX(원자료_시장!$A$1:$BZ$1000,설정!$L$6+ROW()-1,설정!$L$34)),"")</f>
        <v>자유 소비재</v>
      </c>
      <c r="M66" s="83" t="str">
        <f aca="false">IFERROR(IF(INDEX(원자료_시장!$A$1:$BZ$1000,설정!$L$6+ROW()-1,설정!$L$35)&amp;""="0","",INDEX(원자료_시장!$A$1:$BZ$1000,설정!$L$6+ROW()-1,설정!$L$35)),"")</f>
        <v>A-</v>
      </c>
      <c r="N66" s="83" t="str">
        <f aca="false">IFERROR(IF(INDEX(원자료_시장!$A$1:$BZ$1000,설정!$L$6+ROW()-1,설정!$L$36)&amp;""="0","",INDEX(원자료_시장!$A$1:$BZ$1000,설정!$L$6+ROW()-1,설정!$L$36)),"")</f>
        <v>미국</v>
      </c>
      <c r="O66" s="43" t="str">
        <f aca="false">IF($A66="","",UPPER(LEFT($A66,FIND(" ",$A66&amp;" ")-1)))</f>
        <v>HYNMTR</v>
      </c>
      <c r="P66" s="43" t="str">
        <f aca="false">IF($A66="","",TRIM(RIGHT(SUBSTITUTE(TRIM($A66)," ",REPT(" ",30)),30)))</f>
        <v>01/07/28</v>
      </c>
      <c r="Q66" s="98" t="n">
        <f aca="false">IF($A66="","",IFERROR(DATE(IF(LEN(P66)=8,2000+VALUE(RIGHT(P66,2)),VALUE(RIGHT(P66,4))),VALUE(LEFT(P66,2)),VALUE(MID(P66,4,2))),""))</f>
        <v>46759</v>
      </c>
      <c r="R66" s="89" t="n">
        <f aca="false">IF($A66="",0,IF(ISNUMBER(SEARCH("Float",$A66)),1,0))</f>
        <v>0</v>
      </c>
      <c r="S66" s="43" t="str">
        <f aca="false">IF($A66="","",TRIM(MID($A66,LEN(O66)+2,LEN($A66)-LEN(O66)-LEN(P66)-1)))</f>
        <v>5</v>
      </c>
      <c r="T66" s="92" t="n">
        <f aca="false">IF(OR($A66="",R66=1),"",IFERROR(IF(ISNUMBER(FIND("/",S66)),IF(ISNUMBER(FIND(" ",S66)),VALUE(LEFT(S66,FIND(" ",S66)-1))+VALUE(MID(S66,FIND(" ",S66)+1,FIND("/",S66)-FIND(" ",S66)-1))/VALUE(MID(S66,FIND("/",S66)+1,9)),VALUE(LEFT(S66,FIND("/",S66)-1))/VALUE(MID(S66,FIND("/",S66)+1,9))),VALUE(S66)),""))</f>
        <v>5</v>
      </c>
      <c r="U66" s="43" t="str">
        <f aca="false">IF(OR($A66="",NOT(ISNUMBER(Q66))),"",TEXT(Q66,"yyyymmdd")&amp;"|"&amp;IF(R66=1,"F",TEXT(T66,"0.000")))</f>
        <v>20280107|5.000</v>
      </c>
      <c r="V66" s="43" t="str">
        <f aca="false">IF(U66="","",O66&amp;"|"&amp;U66)</f>
        <v>HYNMTR|20280107|5.000</v>
      </c>
      <c r="W66" s="43" t="str">
        <f aca="false">IF($A66="","",IFERROR(IF(VLOOKUP(O66,매핑!$A$4:$E$92,3,0)="","미분류",VLOOKUP(O66,매핑!$A$4:$E$92,3,0)),"미분류"))</f>
        <v>미국</v>
      </c>
      <c r="X66" s="89" t="n">
        <f aca="false">IF($A66="",0,IF(O66="T",1,0))</f>
        <v>0</v>
      </c>
      <c r="Y66" s="89" t="n">
        <f aca="false">IF($A66="",0,IF(AND(C66="USD",X66=0,ISNUMBER(E66),ISNUMBER(K66)),IF(K66&gt;=설정!$C$8,1,0),0))</f>
        <v>1</v>
      </c>
      <c r="Z66" s="43" t="str">
        <f aca="false">IF($A66="","",N66&amp;"|"&amp;L66)</f>
        <v>미국|자유 소비재</v>
      </c>
      <c r="AA66" s="92" t="n">
        <f aca="false">IF(Y66=1,LN(K66),0)</f>
        <v>0.205386829724951</v>
      </c>
      <c r="AB66" s="93" t="n">
        <f aca="false">IF(Y66=1,E66,0)</f>
        <v>40.564</v>
      </c>
      <c r="AC66" s="89" t="n">
        <f aca="false">IF(Y66=1,COUNTIFS($Z$2:$Z$601,Z66,$Y$2:$Y$601,1),0)</f>
        <v>18</v>
      </c>
      <c r="AD66" s="89" t="n">
        <f aca="false">IF(Y66=1,COUNTIFS($N$2:$N$601,N66,$Y$2:$Y$601,1),0)</f>
        <v>49</v>
      </c>
      <c r="AE66" s="43" t="str">
        <f aca="false">IF(Y66&lt;&gt;1,"",IF(AND(AC66&gt;=설정!$C$7,ISNUMBER(MATCH(Z66,피어커브!$A:$A,0))),Z66,IF(AND(AD66&gt;=설정!$C$7,ISNUMBER(MATCH(N66&amp;"|전체",피어커브!$A:$A,0))),N66&amp;"|전체","전체|전체")))</f>
        <v>미국|자유 소비재</v>
      </c>
      <c r="AF66" s="93" t="n">
        <f aca="false">IF(AE66="","",INDEX(피어커브!$K:$K,MATCH(AE66,피어커브!$A:$A,0)))</f>
        <v>26.8569188281613</v>
      </c>
      <c r="AG66" s="93" t="n">
        <f aca="false">IF(AE66="","",INDEX(피어커브!$J:$J,MATCH(AE66,피어커브!$A:$A,0)))</f>
        <v>40.2545310700915</v>
      </c>
      <c r="AH66" s="93" t="n">
        <f aca="false">IF(AE66="","",INDEX(피어커브!$L:$L,MATCH(AE66,피어커브!$A:$A,0)))</f>
        <v>4.33725635148027</v>
      </c>
      <c r="AI66" s="93" t="n">
        <f aca="false">IF(AE66="","",AF66+AG66*AA66)</f>
        <v>35.1246693467119</v>
      </c>
      <c r="AJ66" s="96" t="n">
        <f aca="false">IF(AE66="","",E66-AI66)</f>
        <v>5.43933065328814</v>
      </c>
      <c r="AK66" s="95" t="n">
        <f aca="false">IF(AE66="","",IF(ISNUMBER(AH66),IF(AH66&gt;0,AJ66/AH66,""),""))</f>
        <v>1.25409480383417</v>
      </c>
      <c r="AL66" s="43" t="str">
        <f aca="false">IF(AK66="","-",IF(AK66&gt;=설정!$C$6,"Cheap",IF(AK66&lt;=-설정!$C$6,"Rich","Fair")))</f>
        <v>Cheap</v>
      </c>
      <c r="AM66" s="96" t="n">
        <f aca="false">IF(AE66="","",AJ66-AVERAGEIFS($AJ$2:$AJ$601,$B$2:$B$601,B66,$Y$2:$Y$601,1))</f>
        <v>5.43933065328814</v>
      </c>
      <c r="AN66" s="93" t="n">
        <f aca="false">IF(AE66="",0,IF(K66&gt;1+설정!$C$8,AG66*(AA66-LN(K66-1)),0))</f>
        <v>0</v>
      </c>
      <c r="AO66" s="99" t="n">
        <f aca="false">IF($A66="",0,SUMIFS(보유분석!$AA$2:$AA$801,보유분석!$AB$2:$AB$801,ROW(),보유분석!$AC$2:$AC$801,1))</f>
        <v>9.96459</v>
      </c>
      <c r="AP66" s="43" t="str">
        <f aca="false">IF($A66="","",TRIM(IF(R66=1,"FRN ","")&amp;IF(IFERROR(VLOOKUP(M66,설정!$A$15:$D$47,4,0),0)&gt;=10,IF(IFERROR(VLOOKUP(M66,설정!$A$15:$D$47,4,0),0)&lt;99,"BBB0미만 ",""),"")&amp;IF(OR(M66="",M66="NR"),"등급미입력 ","")&amp;IF(C66&lt;&gt;"USD","비USD ","")))</f>
        <v/>
      </c>
      <c r="AQ66" s="90" t="n">
        <f aca="false">IF(AND(Y66=1,AL66="Cheap"),IF(AND(ISERROR(SEARCH("FRN",AP66)),ISERROR(SEARCH("BBB0미만",AP66))),AK66+ROW()/1000000000,-999),-999)</f>
        <v>1.25409486983417</v>
      </c>
      <c r="AR66" s="92" t="n">
        <f aca="false">IF(AND(ISNUMBER(D66),ISNUMBER(K66)),D66+AN66*MAX(K66-1,0)/100,"")</f>
        <v>5.295</v>
      </c>
      <c r="AS66" s="93" t="n">
        <f aca="false">IF(AND(ISNUMBER(E66),ISNUMBER(K66)),IF(K66&gt;0,(E66+AN66*MAX(K66-1,0))/K66,""),"")</f>
        <v>33.0325732899023</v>
      </c>
      <c r="AT66" s="90" t="n">
        <f aca="false">IFERROR(IF(AND(Y66=1,ROW()&lt;&gt;스왑분석!$C$12+1,ABS(K66-INDEX($K$2:$K$601,스왑분석!$C$12))&lt;=스왑분석!$C$5,ISERROR(SEARCH("FRN",AP66)),ISERROR(SEARCH("BBB0미만",AP66))),IF(AND(OR(스왑분석!$C$6="N",L66=INDEX($L$2:$L$601,스왑분석!$C$12)),OR(스왑분석!$C$7="N",N66=INDEX($N$2:$N$601,스왑분석!$C$12)),OR(스왑분석!$C$8="N",AO66=0),E66-INDEX($E$2:$E$601,스왑분석!$C$12)&gt;=스왑분석!$C$9),E66-INDEX($E$2:$E$601,스왑분석!$C$12)+ROW()/1000000000,-999),-999),-999)</f>
        <v>-999</v>
      </c>
      <c r="AU66" s="90" t="n">
        <f aca="false">IF(AND(Y66=1,AO66&gt;0,AL66="Rich"),-AK66+ROW()/1000000000,-999)</f>
        <v>-999</v>
      </c>
    </row>
    <row r="67" customFormat="false" ht="15" hidden="false" customHeight="false" outlineLevel="0" collapsed="false">
      <c r="A67" s="83" t="str">
        <f aca="false">IFERROR(IF(INDEX(원자료_시장!$A$1:$BZ$1000,설정!$L$6+ROW()-1,설정!$L$24)&amp;""="0","",INDEX(원자료_시장!$A$1:$BZ$1000,설정!$L$6+ROW()-1,설정!$L$24)),"")</f>
        <v>HYNMTR 5.3 01/08/30</v>
      </c>
      <c r="B67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67" s="83" t="str">
        <f aca="false">IFERROR(IF(INDEX(원자료_시장!$A$1:$BZ$1000,설정!$L$6+ROW()-1,설정!$L$25)&amp;""="0","",INDEX(원자료_시장!$A$1:$BZ$1000,설정!$L$6+ROW()-1,설정!$L$25)),"")</f>
        <v>USD</v>
      </c>
      <c r="D67" s="85" t="n">
        <f aca="false">IFERROR(IF(ISNUMBER(INDEX(원자료_시장!$A$1:$BZ$1000,설정!$L$6+ROW()-1,설정!$L$26)),INDEX(원자료_시장!$A$1:$BZ$1000,설정!$L$6+ROW()-1,설정!$L$26),""),"")</f>
        <v>5.781</v>
      </c>
      <c r="E67" s="97" t="n">
        <f aca="false">IFERROR(IF(ISNUMBER(INDEX(원자료_시장!$A$1:$BZ$1000,설정!$L$6+ROW()-1,설정!$L$27)),INDEX(원자료_시장!$A$1:$BZ$1000,설정!$L$6+ROW()-1,설정!$L$27),""),"")</f>
        <v>69.464</v>
      </c>
      <c r="F67" s="97" t="n">
        <f aca="false">IFERROR(IF(ISNUMBER(INDEX(원자료_시장!$A$1:$BZ$1000,설정!$L$6+ROW()-1,설정!$L$28)),INDEX(원자료_시장!$A$1:$BZ$1000,설정!$L$6+ROW()-1,설정!$L$28),""),"")</f>
        <v>104.274</v>
      </c>
      <c r="G67" s="97" t="n">
        <f aca="false">IFERROR(IF(ISNUMBER(INDEX(원자료_시장!$A$1:$BZ$1000,설정!$L$6+ROW()-1,설정!$L$29)),INDEX(원자료_시장!$A$1:$BZ$1000,설정!$L$6+ROW()-1,설정!$L$29),""),"")</f>
        <v>0.3</v>
      </c>
      <c r="H67" s="97" t="n">
        <f aca="false">IFERROR(IF(ISNUMBER(INDEX(원자료_시장!$A$1:$BZ$1000,설정!$L$6+ROW()-1,설정!$L$30)),INDEX(원자료_시장!$A$1:$BZ$1000,설정!$L$6+ROW()-1,설정!$L$30),""),"")</f>
        <v>2.8</v>
      </c>
      <c r="I67" s="97" t="n">
        <f aca="false">IFERROR(IF(ISNUMBER(INDEX(원자료_시장!$A$1:$BZ$1000,설정!$L$6+ROW()-1,설정!$L$31)),INDEX(원자료_시장!$A$1:$BZ$1000,설정!$L$6+ROW()-1,설정!$L$31),""),"")</f>
        <v>7.2</v>
      </c>
      <c r="J67" s="97" t="n">
        <f aca="false">IFERROR(IF(ISNUMBER(INDEX(원자료_시장!$A$1:$BZ$1000,설정!$L$6+ROW()-1,설정!$L$32)),INDEX(원자료_시장!$A$1:$BZ$1000,설정!$L$6+ROW()-1,설정!$L$32),""),"")</f>
        <v>2.7</v>
      </c>
      <c r="K67" s="85" t="n">
        <f aca="false">IFERROR(IF(ISNUMBER(INDEX(원자료_시장!$A$1:$BZ$1000,설정!$L$6+ROW()-1,설정!$L$33)),INDEX(원자료_시장!$A$1:$BZ$1000,설정!$L$6+ROW()-1,설정!$L$33),""),"")</f>
        <v>3.005</v>
      </c>
      <c r="L67" s="83" t="str">
        <f aca="false">IFERROR(IF(INDEX(원자료_시장!$A$1:$BZ$1000,설정!$L$6+ROW()-1,설정!$L$34)&amp;""="0","",INDEX(원자료_시장!$A$1:$BZ$1000,설정!$L$6+ROW()-1,설정!$L$34)),"")</f>
        <v>자유 소비재</v>
      </c>
      <c r="M67" s="83" t="str">
        <f aca="false">IFERROR(IF(INDEX(원자료_시장!$A$1:$BZ$1000,설정!$L$6+ROW()-1,설정!$L$35)&amp;""="0","",INDEX(원자료_시장!$A$1:$BZ$1000,설정!$L$6+ROW()-1,설정!$L$35)),"")</f>
        <v>A-</v>
      </c>
      <c r="N67" s="83" t="str">
        <f aca="false">IFERROR(IF(INDEX(원자료_시장!$A$1:$BZ$1000,설정!$L$6+ROW()-1,설정!$L$36)&amp;""="0","",INDEX(원자료_시장!$A$1:$BZ$1000,설정!$L$6+ROW()-1,설정!$L$36)),"")</f>
        <v>미국</v>
      </c>
      <c r="O67" s="43" t="str">
        <f aca="false">IF($A67="","",UPPER(LEFT($A67,FIND(" ",$A67&amp;" ")-1)))</f>
        <v>HYNMTR</v>
      </c>
      <c r="P67" s="43" t="str">
        <f aca="false">IF($A67="","",TRIM(RIGHT(SUBSTITUTE(TRIM($A67)," ",REPT(" ",30)),30)))</f>
        <v>01/08/30</v>
      </c>
      <c r="Q67" s="98" t="n">
        <f aca="false">IF($A67="","",IFERROR(DATE(IF(LEN(P67)=8,2000+VALUE(RIGHT(P67,2)),VALUE(RIGHT(P67,4))),VALUE(LEFT(P67,2)),VALUE(MID(P67,4,2))),""))</f>
        <v>47491</v>
      </c>
      <c r="R67" s="89" t="n">
        <f aca="false">IF($A67="",0,IF(ISNUMBER(SEARCH("Float",$A67)),1,0))</f>
        <v>0</v>
      </c>
      <c r="S67" s="43" t="str">
        <f aca="false">IF($A67="","",TRIM(MID($A67,LEN(O67)+2,LEN($A67)-LEN(O67)-LEN(P67)-1)))</f>
        <v>5.3</v>
      </c>
      <c r="T67" s="92" t="n">
        <f aca="false">IF(OR($A67="",R67=1),"",IFERROR(IF(ISNUMBER(FIND("/",S67)),IF(ISNUMBER(FIND(" ",S67)),VALUE(LEFT(S67,FIND(" ",S67)-1))+VALUE(MID(S67,FIND(" ",S67)+1,FIND("/",S67)-FIND(" ",S67)-1))/VALUE(MID(S67,FIND("/",S67)+1,9)),VALUE(LEFT(S67,FIND("/",S67)-1))/VALUE(MID(S67,FIND("/",S67)+1,9))),VALUE(S67)),""))</f>
        <v>5.3</v>
      </c>
      <c r="U67" s="43" t="str">
        <f aca="false">IF(OR($A67="",NOT(ISNUMBER(Q67))),"",TEXT(Q67,"yyyymmdd")&amp;"|"&amp;IF(R67=1,"F",TEXT(T67,"0.000")))</f>
        <v>20300108|5.300</v>
      </c>
      <c r="V67" s="43" t="str">
        <f aca="false">IF(U67="","",O67&amp;"|"&amp;U67)</f>
        <v>HYNMTR|20300108|5.300</v>
      </c>
      <c r="W67" s="43" t="str">
        <f aca="false">IF($A67="","",IFERROR(IF(VLOOKUP(O67,매핑!$A$4:$E$92,3,0)="","미분류",VLOOKUP(O67,매핑!$A$4:$E$92,3,0)),"미분류"))</f>
        <v>미국</v>
      </c>
      <c r="X67" s="89" t="n">
        <f aca="false">IF($A67="",0,IF(O67="T",1,0))</f>
        <v>0</v>
      </c>
      <c r="Y67" s="89" t="n">
        <f aca="false">IF($A67="",0,IF(AND(C67="USD",X67=0,ISNUMBER(E67),ISNUMBER(K67)),IF(K67&gt;=설정!$C$8,1,0),0))</f>
        <v>1</v>
      </c>
      <c r="Z67" s="43" t="str">
        <f aca="false">IF($A67="","",N67&amp;"|"&amp;L67)</f>
        <v>미국|자유 소비재</v>
      </c>
      <c r="AA67" s="92" t="n">
        <f aca="false">IF(Y67=1,LN(K67),0)</f>
        <v>1.10027756798717</v>
      </c>
      <c r="AB67" s="93" t="n">
        <f aca="false">IF(Y67=1,E67,0)</f>
        <v>69.464</v>
      </c>
      <c r="AC67" s="89" t="n">
        <f aca="false">IF(Y67=1,COUNTIFS($Z$2:$Z$601,Z67,$Y$2:$Y$601,1),0)</f>
        <v>18</v>
      </c>
      <c r="AD67" s="89" t="n">
        <f aca="false">IF(Y67=1,COUNTIFS($N$2:$N$601,N67,$Y$2:$Y$601,1),0)</f>
        <v>49</v>
      </c>
      <c r="AE67" s="43" t="str">
        <f aca="false">IF(Y67&lt;&gt;1,"",IF(AND(AC67&gt;=설정!$C$7,ISNUMBER(MATCH(Z67,피어커브!$A:$A,0))),Z67,IF(AND(AD67&gt;=설정!$C$7,ISNUMBER(MATCH(N67&amp;"|전체",피어커브!$A:$A,0))),N67&amp;"|전체","전체|전체")))</f>
        <v>미국|자유 소비재</v>
      </c>
      <c r="AF67" s="93" t="n">
        <f aca="false">IF(AE67="","",INDEX(피어커브!$K:$K,MATCH(AE67,피어커브!$A:$A,0)))</f>
        <v>26.8569188281613</v>
      </c>
      <c r="AG67" s="93" t="n">
        <f aca="false">IF(AE67="","",INDEX(피어커브!$J:$J,MATCH(AE67,피어커브!$A:$A,0)))</f>
        <v>40.2545310700915</v>
      </c>
      <c r="AH67" s="93" t="n">
        <f aca="false">IF(AE67="","",INDEX(피어커브!$L:$L,MATCH(AE67,피어커브!$A:$A,0)))</f>
        <v>4.33725635148027</v>
      </c>
      <c r="AI67" s="93" t="n">
        <f aca="false">IF(AE67="","",AF67+AG67*AA67)</f>
        <v>71.1480763744255</v>
      </c>
      <c r="AJ67" s="96" t="n">
        <f aca="false">IF(AE67="","",E67-AI67)</f>
        <v>-1.68407637442549</v>
      </c>
      <c r="AK67" s="95" t="n">
        <f aca="false">IF(AE67="","",IF(ISNUMBER(AH67),IF(AH67&gt;0,AJ67/AH67,""),""))</f>
        <v>-0.38828149363381</v>
      </c>
      <c r="AL67" s="43" t="str">
        <f aca="false">IF(AK67="","-",IF(AK67&gt;=설정!$C$6,"Cheap",IF(AK67&lt;=-설정!$C$6,"Rich","Fair")))</f>
        <v>Fair</v>
      </c>
      <c r="AM67" s="96" t="n">
        <f aca="false">IF(AE67="","",AJ67-AVERAGEIFS($AJ$2:$AJ$601,$B$2:$B$601,B67,$Y$2:$Y$601,1))</f>
        <v>-1.68407637442549</v>
      </c>
      <c r="AN67" s="93" t="n">
        <f aca="false">IF(AE67="",0,IF(K67&gt;1+설정!$C$8,AG67*(AA67-LN(K67-1)),0))</f>
        <v>16.2883320887353</v>
      </c>
      <c r="AO67" s="99" t="n">
        <f aca="false">IF($A67="",0,SUMIFS(보유분석!$AA$2:$AA$801,보유분석!$AB$2:$AB$801,ROW(),보유분석!$AC$2:$AC$801,1))</f>
        <v>47.930319</v>
      </c>
      <c r="AP67" s="43" t="str">
        <f aca="false">IF($A67="","",TRIM(IF(R67=1,"FRN ","")&amp;IF(IFERROR(VLOOKUP(M67,설정!$A$15:$D$47,4,0),0)&gt;=10,IF(IFERROR(VLOOKUP(M67,설정!$A$15:$D$47,4,0),0)&lt;99,"BBB0미만 ",""),"")&amp;IF(OR(M67="",M67="NR"),"등급미입력 ","")&amp;IF(C67&lt;&gt;"USD","비USD ","")))</f>
        <v/>
      </c>
      <c r="AQ67" s="90" t="n">
        <f aca="false">IF(AND(Y67=1,AL67="Cheap"),IF(AND(ISERROR(SEARCH("FRN",AP67)),ISERROR(SEARCH("BBB0미만",AP67))),AK67+ROW()/1000000000,-999),-999)</f>
        <v>-999</v>
      </c>
      <c r="AR67" s="92" t="n">
        <f aca="false">IF(AND(ISNUMBER(D67),ISNUMBER(K67)),D67+AN67*MAX(K67-1,0)/100,"")</f>
        <v>6.10758105837914</v>
      </c>
      <c r="AS67" s="93" t="n">
        <f aca="false">IF(AND(ISNUMBER(E67),ISNUMBER(K67)),IF(K67&gt;0,(E67+AN67*MAX(K67-1,0))/K67,""),"")</f>
        <v>33.9840618428999</v>
      </c>
      <c r="AT67" s="90" t="n">
        <f aca="false">IFERROR(IF(AND(Y67=1,ROW()&lt;&gt;스왑분석!$C$12+1,ABS(K67-INDEX($K$2:$K$601,스왑분석!$C$12))&lt;=스왑분석!$C$5,ISERROR(SEARCH("FRN",AP67)),ISERROR(SEARCH("BBB0미만",AP67))),IF(AND(OR(스왑분석!$C$6="N",L67=INDEX($L$2:$L$601,스왑분석!$C$12)),OR(스왑분석!$C$7="N",N67=INDEX($N$2:$N$601,스왑분석!$C$12)),OR(스왑분석!$C$8="N",AO67=0),E67-INDEX($E$2:$E$601,스왑분석!$C$12)&gt;=스왑분석!$C$9),E67-INDEX($E$2:$E$601,스왑분석!$C$12)+ROW()/1000000000,-999),-999),-999)</f>
        <v>20.972000067</v>
      </c>
      <c r="AU67" s="90" t="n">
        <f aca="false">IF(AND(Y67=1,AO67&gt;0,AL67="Rich"),-AK67+ROW()/1000000000,-999)</f>
        <v>-999</v>
      </c>
    </row>
    <row r="68" customFormat="false" ht="15" hidden="false" customHeight="false" outlineLevel="0" collapsed="false">
      <c r="A68" s="83" t="str">
        <f aca="false">IFERROR(IF(INDEX(원자료_시장!$A$1:$BZ$1000,설정!$L$6+ROW()-1,설정!$L$24)&amp;""="0","",INDEX(원자료_시장!$A$1:$BZ$1000,설정!$L$6+ROW()-1,설정!$L$24)),"")</f>
        <v>HYNMTR 5.15 03/27/30</v>
      </c>
      <c r="B68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68" s="83" t="str">
        <f aca="false">IFERROR(IF(INDEX(원자료_시장!$A$1:$BZ$1000,설정!$L$6+ROW()-1,설정!$L$25)&amp;""="0","",INDEX(원자료_시장!$A$1:$BZ$1000,설정!$L$6+ROW()-1,설정!$L$25)),"")</f>
        <v>USD</v>
      </c>
      <c r="D68" s="85" t="n">
        <f aca="false">IFERROR(IF(ISNUMBER(INDEX(원자료_시장!$A$1:$BZ$1000,설정!$L$6+ROW()-1,설정!$L$26)),INDEX(원자료_시장!$A$1:$BZ$1000,설정!$L$6+ROW()-1,설정!$L$26),""),"")</f>
        <v>5.828</v>
      </c>
      <c r="E68" s="97" t="n">
        <f aca="false">IFERROR(IF(ISNUMBER(INDEX(원자료_시장!$A$1:$BZ$1000,설정!$L$6+ROW()-1,설정!$L$27)),INDEX(원자료_시장!$A$1:$BZ$1000,설정!$L$6+ROW()-1,설정!$L$27),""),"")</f>
        <v>74.094</v>
      </c>
      <c r="F68" s="97" t="n">
        <f aca="false">IFERROR(IF(ISNUMBER(INDEX(원자료_시장!$A$1:$BZ$1000,설정!$L$6+ROW()-1,설정!$L$28)),INDEX(원자료_시장!$A$1:$BZ$1000,설정!$L$6+ROW()-1,설정!$L$28),""),"")</f>
        <v>108.706</v>
      </c>
      <c r="G68" s="97" t="n">
        <f aca="false">IFERROR(IF(ISNUMBER(INDEX(원자료_시장!$A$1:$BZ$1000,설정!$L$6+ROW()-1,설정!$L$29)),INDEX(원자료_시장!$A$1:$BZ$1000,설정!$L$6+ROW()-1,설정!$L$29),""),"")</f>
        <v>-0.2</v>
      </c>
      <c r="H68" s="97" t="n">
        <f aca="false">IFERROR(IF(ISNUMBER(INDEX(원자료_시장!$A$1:$BZ$1000,설정!$L$6+ROW()-1,설정!$L$30)),INDEX(원자료_시장!$A$1:$BZ$1000,설정!$L$6+ROW()-1,설정!$L$30),""),"")</f>
        <v>2.7</v>
      </c>
      <c r="I68" s="97" t="n">
        <f aca="false">IFERROR(IF(ISNUMBER(INDEX(원자료_시장!$A$1:$BZ$1000,설정!$L$6+ROW()-1,설정!$L$31)),INDEX(원자료_시장!$A$1:$BZ$1000,설정!$L$6+ROW()-1,설정!$L$31),""),"")</f>
        <v>5.1</v>
      </c>
      <c r="J68" s="97" t="n">
        <f aca="false">IFERROR(IF(ISNUMBER(INDEX(원자료_시장!$A$1:$BZ$1000,설정!$L$6+ROW()-1,설정!$L$32)),INDEX(원자료_시장!$A$1:$BZ$1000,설정!$L$6+ROW()-1,설정!$L$32),""),"")</f>
        <v>2.8</v>
      </c>
      <c r="K68" s="85" t="n">
        <f aca="false">IFERROR(IF(ISNUMBER(INDEX(원자료_시장!$A$1:$BZ$1000,설정!$L$6+ROW()-1,설정!$L$33)),INDEX(원자료_시장!$A$1:$BZ$1000,설정!$L$6+ROW()-1,설정!$L$33),""),"")</f>
        <v>3.23</v>
      </c>
      <c r="L68" s="83" t="str">
        <f aca="false">IFERROR(IF(INDEX(원자료_시장!$A$1:$BZ$1000,설정!$L$6+ROW()-1,설정!$L$34)&amp;""="0","",INDEX(원자료_시장!$A$1:$BZ$1000,설정!$L$6+ROW()-1,설정!$L$34)),"")</f>
        <v>자유 소비재</v>
      </c>
      <c r="M68" s="83" t="str">
        <f aca="false">IFERROR(IF(INDEX(원자료_시장!$A$1:$BZ$1000,설정!$L$6+ROW()-1,설정!$L$35)&amp;""="0","",INDEX(원자료_시장!$A$1:$BZ$1000,설정!$L$6+ROW()-1,설정!$L$35)),"")</f>
        <v>A-</v>
      </c>
      <c r="N68" s="83" t="str">
        <f aca="false">IFERROR(IF(INDEX(원자료_시장!$A$1:$BZ$1000,설정!$L$6+ROW()-1,설정!$L$36)&amp;""="0","",INDEX(원자료_시장!$A$1:$BZ$1000,설정!$L$6+ROW()-1,설정!$L$36)),"")</f>
        <v>미국</v>
      </c>
      <c r="O68" s="43" t="str">
        <f aca="false">IF($A68="","",UPPER(LEFT($A68,FIND(" ",$A68&amp;" ")-1)))</f>
        <v>HYNMTR</v>
      </c>
      <c r="P68" s="43" t="str">
        <f aca="false">IF($A68="","",TRIM(RIGHT(SUBSTITUTE(TRIM($A68)," ",REPT(" ",30)),30)))</f>
        <v>03/27/30</v>
      </c>
      <c r="Q68" s="98" t="n">
        <f aca="false">IF($A68="","",IFERROR(DATE(IF(LEN(P68)=8,2000+VALUE(RIGHT(P68,2)),VALUE(RIGHT(P68,4))),VALUE(LEFT(P68,2)),VALUE(MID(P68,4,2))),""))</f>
        <v>47569</v>
      </c>
      <c r="R68" s="89" t="n">
        <f aca="false">IF($A68="",0,IF(ISNUMBER(SEARCH("Float",$A68)),1,0))</f>
        <v>0</v>
      </c>
      <c r="S68" s="43" t="str">
        <f aca="false">IF($A68="","",TRIM(MID($A68,LEN(O68)+2,LEN($A68)-LEN(O68)-LEN(P68)-1)))</f>
        <v>5.15</v>
      </c>
      <c r="T68" s="92" t="n">
        <f aca="false">IF(OR($A68="",R68=1),"",IFERROR(IF(ISNUMBER(FIND("/",S68)),IF(ISNUMBER(FIND(" ",S68)),VALUE(LEFT(S68,FIND(" ",S68)-1))+VALUE(MID(S68,FIND(" ",S68)+1,FIND("/",S68)-FIND(" ",S68)-1))/VALUE(MID(S68,FIND("/",S68)+1,9)),VALUE(LEFT(S68,FIND("/",S68)-1))/VALUE(MID(S68,FIND("/",S68)+1,9))),VALUE(S68)),""))</f>
        <v>5.15</v>
      </c>
      <c r="U68" s="43" t="str">
        <f aca="false">IF(OR($A68="",NOT(ISNUMBER(Q68))),"",TEXT(Q68,"yyyymmdd")&amp;"|"&amp;IF(R68=1,"F",TEXT(T68,"0.000")))</f>
        <v>20300327|5.150</v>
      </c>
      <c r="V68" s="43" t="str">
        <f aca="false">IF(U68="","",O68&amp;"|"&amp;U68)</f>
        <v>HYNMTR|20300327|5.150</v>
      </c>
      <c r="W68" s="43" t="str">
        <f aca="false">IF($A68="","",IFERROR(IF(VLOOKUP(O68,매핑!$A$4:$E$92,3,0)="","미분류",VLOOKUP(O68,매핑!$A$4:$E$92,3,0)),"미분류"))</f>
        <v>미국</v>
      </c>
      <c r="X68" s="89" t="n">
        <f aca="false">IF($A68="",0,IF(O68="T",1,0))</f>
        <v>0</v>
      </c>
      <c r="Y68" s="89" t="n">
        <f aca="false">IF($A68="",0,IF(AND(C68="USD",X68=0,ISNUMBER(E68),ISNUMBER(K68)),IF(K68&gt;=설정!$C$8,1,0),0))</f>
        <v>1</v>
      </c>
      <c r="Z68" s="43" t="str">
        <f aca="false">IF($A68="","",N68&amp;"|"&amp;L68)</f>
        <v>미국|자유 소비재</v>
      </c>
      <c r="AA68" s="92" t="n">
        <f aca="false">IF(Y68=1,LN(K68),0)</f>
        <v>1.17248213723457</v>
      </c>
      <c r="AB68" s="93" t="n">
        <f aca="false">IF(Y68=1,E68,0)</f>
        <v>74.094</v>
      </c>
      <c r="AC68" s="89" t="n">
        <f aca="false">IF(Y68=1,COUNTIFS($Z$2:$Z$601,Z68,$Y$2:$Y$601,1),0)</f>
        <v>18</v>
      </c>
      <c r="AD68" s="89" t="n">
        <f aca="false">IF(Y68=1,COUNTIFS($N$2:$N$601,N68,$Y$2:$Y$601,1),0)</f>
        <v>49</v>
      </c>
      <c r="AE68" s="43" t="str">
        <f aca="false">IF(Y68&lt;&gt;1,"",IF(AND(AC68&gt;=설정!$C$7,ISNUMBER(MATCH(Z68,피어커브!$A:$A,0))),Z68,IF(AND(AD68&gt;=설정!$C$7,ISNUMBER(MATCH(N68&amp;"|전체",피어커브!$A:$A,0))),N68&amp;"|전체","전체|전체")))</f>
        <v>미국|자유 소비재</v>
      </c>
      <c r="AF68" s="93" t="n">
        <f aca="false">IF(AE68="","",INDEX(피어커브!$K:$K,MATCH(AE68,피어커브!$A:$A,0)))</f>
        <v>26.8569188281613</v>
      </c>
      <c r="AG68" s="93" t="n">
        <f aca="false">IF(AE68="","",INDEX(피어커브!$J:$J,MATCH(AE68,피어커브!$A:$A,0)))</f>
        <v>40.2545310700915</v>
      </c>
      <c r="AH68" s="93" t="n">
        <f aca="false">IF(AE68="","",INDEX(피어커브!$L:$L,MATCH(AE68,피어커브!$A:$A,0)))</f>
        <v>4.33725635148027</v>
      </c>
      <c r="AI68" s="93" t="n">
        <f aca="false">IF(AE68="","",AF68+AG68*AA68)</f>
        <v>74.0546374505973</v>
      </c>
      <c r="AJ68" s="96" t="n">
        <f aca="false">IF(AE68="","",E68-AI68)</f>
        <v>0.0393625494027106</v>
      </c>
      <c r="AK68" s="95" t="n">
        <f aca="false">IF(AE68="","",IF(ISNUMBER(AH68),IF(AH68&gt;0,AJ68/AH68,""),""))</f>
        <v>0.00907544913486067</v>
      </c>
      <c r="AL68" s="43" t="str">
        <f aca="false">IF(AK68="","-",IF(AK68&gt;=설정!$C$6,"Cheap",IF(AK68&lt;=-설정!$C$6,"Rich","Fair")))</f>
        <v>Fair</v>
      </c>
      <c r="AM68" s="96" t="n">
        <f aca="false">IF(AE68="","",AJ68-AVERAGEIFS($AJ$2:$AJ$601,$B$2:$B$601,B68,$Y$2:$Y$601,1))</f>
        <v>0.0393625494027126</v>
      </c>
      <c r="AN68" s="93" t="n">
        <f aca="false">IF(AE68="",0,IF(K68&gt;1+설정!$C$8,AG68*(AA68-LN(K68-1)),0))</f>
        <v>14.9135208817897</v>
      </c>
      <c r="AO68" s="99" t="n">
        <f aca="false">IF($A68="",0,SUMIFS(보유분석!$AA$2:$AA$801,보유분석!$AB$2:$AB$801,ROW(),보유분석!$AC$2:$AC$801,1))</f>
        <v>16.6651</v>
      </c>
      <c r="AP68" s="43" t="str">
        <f aca="false">IF($A68="","",TRIM(IF(R68=1,"FRN ","")&amp;IF(IFERROR(VLOOKUP(M68,설정!$A$15:$D$47,4,0),0)&gt;=10,IF(IFERROR(VLOOKUP(M68,설정!$A$15:$D$47,4,0),0)&lt;99,"BBB0미만 ",""),"")&amp;IF(OR(M68="",M68="NR"),"등급미입력 ","")&amp;IF(C68&lt;&gt;"USD","비USD ","")))</f>
        <v/>
      </c>
      <c r="AQ68" s="90" t="n">
        <f aca="false">IF(AND(Y68=1,AL68="Cheap"),IF(AND(ISERROR(SEARCH("FRN",AP68)),ISERROR(SEARCH("BBB0미만",AP68))),AK68+ROW()/1000000000,-999),-999)</f>
        <v>-999</v>
      </c>
      <c r="AR68" s="92" t="n">
        <f aca="false">IF(AND(ISNUMBER(D68),ISNUMBER(K68)),D68+AN68*MAX(K68-1,0)/100,"")</f>
        <v>6.16057151566391</v>
      </c>
      <c r="AS68" s="93" t="n">
        <f aca="false">IF(AND(ISNUMBER(E68),ISNUMBER(K68)),IF(K68&gt;0,(E68+AN68*MAX(K68-1,0))/K68,""),"")</f>
        <v>33.2356506397495</v>
      </c>
      <c r="AT68" s="90" t="n">
        <f aca="false">IFERROR(IF(AND(Y68=1,ROW()&lt;&gt;스왑분석!$C$12+1,ABS(K68-INDEX($K$2:$K$601,스왑분석!$C$12))&lt;=스왑분석!$C$5,ISERROR(SEARCH("FRN",AP68)),ISERROR(SEARCH("BBB0미만",AP68))),IF(AND(OR(스왑분석!$C$6="N",L68=INDEX($L$2:$L$601,스왑분석!$C$12)),OR(스왑분석!$C$7="N",N68=INDEX($N$2:$N$601,스왑분석!$C$12)),OR(스왑분석!$C$8="N",AO68=0),E68-INDEX($E$2:$E$601,스왑분석!$C$12)&gt;=스왑분석!$C$9),E68-INDEX($E$2:$E$601,스왑분석!$C$12)+ROW()/1000000000,-999),-999),-999)</f>
        <v>25.602000068</v>
      </c>
      <c r="AU68" s="90" t="n">
        <f aca="false">IF(AND(Y68=1,AO68&gt;0,AL68="Rich"),-AK68+ROW()/1000000000,-999)</f>
        <v>-999</v>
      </c>
    </row>
    <row r="69" customFormat="false" ht="15" hidden="false" customHeight="false" outlineLevel="0" collapsed="false">
      <c r="A69" s="83" t="str">
        <f aca="false">IFERROR(IF(INDEX(원자료_시장!$A$1:$BZ$1000,설정!$L$6+ROW()-1,설정!$L$24)&amp;""="0","",INDEX(원자료_시장!$A$1:$BZ$1000,설정!$L$6+ROW()-1,설정!$L$24)),"")</f>
        <v>HYNMTR 5.1 06/24/30</v>
      </c>
      <c r="B69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69" s="83" t="str">
        <f aca="false">IFERROR(IF(INDEX(원자료_시장!$A$1:$BZ$1000,설정!$L$6+ROW()-1,설정!$L$25)&amp;""="0","",INDEX(원자료_시장!$A$1:$BZ$1000,설정!$L$6+ROW()-1,설정!$L$25)),"")</f>
        <v>USD</v>
      </c>
      <c r="D69" s="85" t="n">
        <f aca="false">IFERROR(IF(ISNUMBER(INDEX(원자료_시장!$A$1:$BZ$1000,설정!$L$6+ROW()-1,설정!$L$26)),INDEX(원자료_시장!$A$1:$BZ$1000,설정!$L$6+ROW()-1,설정!$L$26),""),"")</f>
        <v>5.846</v>
      </c>
      <c r="E69" s="97" t="n">
        <f aca="false">IFERROR(IF(ISNUMBER(INDEX(원자료_시장!$A$1:$BZ$1000,설정!$L$6+ROW()-1,설정!$L$27)),INDEX(원자료_시장!$A$1:$BZ$1000,설정!$L$6+ROW()-1,설정!$L$27),""),"")</f>
        <v>75.882</v>
      </c>
      <c r="F69" s="97" t="n">
        <f aca="false">IFERROR(IF(ISNUMBER(INDEX(원자료_시장!$A$1:$BZ$1000,설정!$L$6+ROW()-1,설정!$L$28)),INDEX(원자료_시장!$A$1:$BZ$1000,설정!$L$6+ROW()-1,설정!$L$28),""),"")</f>
        <v>110.268</v>
      </c>
      <c r="G69" s="97" t="n">
        <f aca="false">IFERROR(IF(ISNUMBER(INDEX(원자료_시장!$A$1:$BZ$1000,설정!$L$6+ROW()-1,설정!$L$29)),INDEX(원자료_시장!$A$1:$BZ$1000,설정!$L$6+ROW()-1,설정!$L$29),""),"")</f>
        <v>0.5</v>
      </c>
      <c r="H69" s="97" t="n">
        <f aca="false">IFERROR(IF(ISNUMBER(INDEX(원자료_시장!$A$1:$BZ$1000,설정!$L$6+ROW()-1,설정!$L$30)),INDEX(원자료_시장!$A$1:$BZ$1000,설정!$L$6+ROW()-1,설정!$L$30),""),"")</f>
        <v>3.4</v>
      </c>
      <c r="I69" s="97" t="n">
        <f aca="false">IFERROR(IF(ISNUMBER(INDEX(원자료_시장!$A$1:$BZ$1000,설정!$L$6+ROW()-1,설정!$L$31)),INDEX(원자료_시장!$A$1:$BZ$1000,설정!$L$6+ROW()-1,설정!$L$31),""),"")</f>
        <v>4.3</v>
      </c>
      <c r="J69" s="97" t="n">
        <f aca="false">IFERROR(IF(ISNUMBER(INDEX(원자료_시장!$A$1:$BZ$1000,설정!$L$6+ROW()-1,설정!$L$32)),INDEX(원자료_시장!$A$1:$BZ$1000,설정!$L$6+ROW()-1,설정!$L$32),""),"")</f>
        <v>3.5</v>
      </c>
      <c r="K69" s="85" t="n">
        <f aca="false">IFERROR(IF(ISNUMBER(INDEX(원자료_시장!$A$1:$BZ$1000,설정!$L$6+ROW()-1,설정!$L$33)),INDEX(원자료_시장!$A$1:$BZ$1000,설정!$L$6+ROW()-1,설정!$L$33),""),"")</f>
        <v>3.391</v>
      </c>
      <c r="L69" s="83" t="str">
        <f aca="false">IFERROR(IF(INDEX(원자료_시장!$A$1:$BZ$1000,설정!$L$6+ROW()-1,설정!$L$34)&amp;""="0","",INDEX(원자료_시장!$A$1:$BZ$1000,설정!$L$6+ROW()-1,설정!$L$34)),"")</f>
        <v>자유 소비재</v>
      </c>
      <c r="M69" s="83" t="str">
        <f aca="false">IFERROR(IF(INDEX(원자료_시장!$A$1:$BZ$1000,설정!$L$6+ROW()-1,설정!$L$35)&amp;""="0","",INDEX(원자료_시장!$A$1:$BZ$1000,설정!$L$6+ROW()-1,설정!$L$35)),"")</f>
        <v>A-</v>
      </c>
      <c r="N69" s="83" t="str">
        <f aca="false">IFERROR(IF(INDEX(원자료_시장!$A$1:$BZ$1000,설정!$L$6+ROW()-1,설정!$L$36)&amp;""="0","",INDEX(원자료_시장!$A$1:$BZ$1000,설정!$L$6+ROW()-1,설정!$L$36)),"")</f>
        <v>미국</v>
      </c>
      <c r="O69" s="43" t="str">
        <f aca="false">IF($A69="","",UPPER(LEFT($A69,FIND(" ",$A69&amp;" ")-1)))</f>
        <v>HYNMTR</v>
      </c>
      <c r="P69" s="43" t="str">
        <f aca="false">IF($A69="","",TRIM(RIGHT(SUBSTITUTE(TRIM($A69)," ",REPT(" ",30)),30)))</f>
        <v>06/24/30</v>
      </c>
      <c r="Q69" s="98" t="n">
        <f aca="false">IF($A69="","",IFERROR(DATE(IF(LEN(P69)=8,2000+VALUE(RIGHT(P69,2)),VALUE(RIGHT(P69,4))),VALUE(LEFT(P69,2)),VALUE(MID(P69,4,2))),""))</f>
        <v>47658</v>
      </c>
      <c r="R69" s="89" t="n">
        <f aca="false">IF($A69="",0,IF(ISNUMBER(SEARCH("Float",$A69)),1,0))</f>
        <v>0</v>
      </c>
      <c r="S69" s="43" t="str">
        <f aca="false">IF($A69="","",TRIM(MID($A69,LEN(O69)+2,LEN($A69)-LEN(O69)-LEN(P69)-1)))</f>
        <v>5.1</v>
      </c>
      <c r="T69" s="92" t="n">
        <f aca="false">IF(OR($A69="",R69=1),"",IFERROR(IF(ISNUMBER(FIND("/",S69)),IF(ISNUMBER(FIND(" ",S69)),VALUE(LEFT(S69,FIND(" ",S69)-1))+VALUE(MID(S69,FIND(" ",S69)+1,FIND("/",S69)-FIND(" ",S69)-1))/VALUE(MID(S69,FIND("/",S69)+1,9)),VALUE(LEFT(S69,FIND("/",S69)-1))/VALUE(MID(S69,FIND("/",S69)+1,9))),VALUE(S69)),""))</f>
        <v>5.1</v>
      </c>
      <c r="U69" s="43" t="str">
        <f aca="false">IF(OR($A69="",NOT(ISNUMBER(Q69))),"",TEXT(Q69,"yyyymmdd")&amp;"|"&amp;IF(R69=1,"F",TEXT(T69,"0.000")))</f>
        <v>20300624|5.100</v>
      </c>
      <c r="V69" s="43" t="str">
        <f aca="false">IF(U69="","",O69&amp;"|"&amp;U69)</f>
        <v>HYNMTR|20300624|5.100</v>
      </c>
      <c r="W69" s="43" t="str">
        <f aca="false">IF($A69="","",IFERROR(IF(VLOOKUP(O69,매핑!$A$4:$E$92,3,0)="","미분류",VLOOKUP(O69,매핑!$A$4:$E$92,3,0)),"미분류"))</f>
        <v>미국</v>
      </c>
      <c r="X69" s="89" t="n">
        <f aca="false">IF($A69="",0,IF(O69="T",1,0))</f>
        <v>0</v>
      </c>
      <c r="Y69" s="89" t="n">
        <f aca="false">IF($A69="",0,IF(AND(C69="USD",X69=0,ISNUMBER(E69),ISNUMBER(K69)),IF(K69&gt;=설정!$C$8,1,0),0))</f>
        <v>1</v>
      </c>
      <c r="Z69" s="43" t="str">
        <f aca="false">IF($A69="","",N69&amp;"|"&amp;L69)</f>
        <v>미국|자유 소비재</v>
      </c>
      <c r="AA69" s="92" t="n">
        <f aca="false">IF(Y69=1,LN(K69),0)</f>
        <v>1.2211248631435</v>
      </c>
      <c r="AB69" s="93" t="n">
        <f aca="false">IF(Y69=1,E69,0)</f>
        <v>75.882</v>
      </c>
      <c r="AC69" s="89" t="n">
        <f aca="false">IF(Y69=1,COUNTIFS($Z$2:$Z$601,Z69,$Y$2:$Y$601,1),0)</f>
        <v>18</v>
      </c>
      <c r="AD69" s="89" t="n">
        <f aca="false">IF(Y69=1,COUNTIFS($N$2:$N$601,N69,$Y$2:$Y$601,1),0)</f>
        <v>49</v>
      </c>
      <c r="AE69" s="43" t="str">
        <f aca="false">IF(Y69&lt;&gt;1,"",IF(AND(AC69&gt;=설정!$C$7,ISNUMBER(MATCH(Z69,피어커브!$A:$A,0))),Z69,IF(AND(AD69&gt;=설정!$C$7,ISNUMBER(MATCH(N69&amp;"|전체",피어커브!$A:$A,0))),N69&amp;"|전체","전체|전체")))</f>
        <v>미국|자유 소비재</v>
      </c>
      <c r="AF69" s="93" t="n">
        <f aca="false">IF(AE69="","",INDEX(피어커브!$K:$K,MATCH(AE69,피어커브!$A:$A,0)))</f>
        <v>26.8569188281613</v>
      </c>
      <c r="AG69" s="93" t="n">
        <f aca="false">IF(AE69="","",INDEX(피어커브!$J:$J,MATCH(AE69,피어커브!$A:$A,0)))</f>
        <v>40.2545310700915</v>
      </c>
      <c r="AH69" s="93" t="n">
        <f aca="false">IF(AE69="","",INDEX(피어커브!$L:$L,MATCH(AE69,피어커브!$A:$A,0)))</f>
        <v>4.33725635148027</v>
      </c>
      <c r="AI69" s="93" t="n">
        <f aca="false">IF(AE69="","",AF69+AG69*AA69)</f>
        <v>76.0127275720325</v>
      </c>
      <c r="AJ69" s="96" t="n">
        <f aca="false">IF(AE69="","",E69-AI69)</f>
        <v>-0.130727572032512</v>
      </c>
      <c r="AK69" s="95" t="n">
        <f aca="false">IF(AE69="","",IF(ISNUMBER(AH69),IF(AH69&gt;0,AJ69/AH69,""),""))</f>
        <v>-0.0301406145818188</v>
      </c>
      <c r="AL69" s="43" t="str">
        <f aca="false">IF(AK69="","-",IF(AK69&gt;=설정!$C$6,"Cheap",IF(AK69&lt;=-설정!$C$6,"Rich","Fair")))</f>
        <v>Fair</v>
      </c>
      <c r="AM69" s="96" t="n">
        <f aca="false">IF(AE69="","",AJ69-AVERAGEIFS($AJ$2:$AJ$601,$B$2:$B$601,B69,$Y$2:$Y$601,1))</f>
        <v>-0.13072757203251</v>
      </c>
      <c r="AN69" s="93" t="n">
        <f aca="false">IF(AE69="",0,IF(K69&gt;1+설정!$C$8,AG69*(AA69-LN(K69-1)),0))</f>
        <v>14.0654634959447</v>
      </c>
      <c r="AO69" s="99" t="n">
        <f aca="false">IF($A69="",0,SUMIFS(보유분석!$AA$2:$AA$801,보유분석!$AB$2:$AB$801,ROW(),보유분석!$AC$2:$AC$801,1))</f>
        <v>0.488495</v>
      </c>
      <c r="AP69" s="43" t="str">
        <f aca="false">IF($A69="","",TRIM(IF(R69=1,"FRN ","")&amp;IF(IFERROR(VLOOKUP(M69,설정!$A$15:$D$47,4,0),0)&gt;=10,IF(IFERROR(VLOOKUP(M69,설정!$A$15:$D$47,4,0),0)&lt;99,"BBB0미만 ",""),"")&amp;IF(OR(M69="",M69="NR"),"등급미입력 ","")&amp;IF(C69&lt;&gt;"USD","비USD ","")))</f>
        <v/>
      </c>
      <c r="AQ69" s="90" t="n">
        <f aca="false">IF(AND(Y69=1,AL69="Cheap"),IF(AND(ISERROR(SEARCH("FRN",AP69)),ISERROR(SEARCH("BBB0미만",AP69))),AK69+ROW()/1000000000,-999),-999)</f>
        <v>-999</v>
      </c>
      <c r="AR69" s="92" t="n">
        <f aca="false">IF(AND(ISNUMBER(D69),ISNUMBER(K69)),D69+AN69*MAX(K69-1,0)/100,"")</f>
        <v>6.18230523218804</v>
      </c>
      <c r="AS69" s="93" t="n">
        <f aca="false">IF(AND(ISNUMBER(E69),ISNUMBER(K69)),IF(K69&gt;0,(E69+AN69*MAX(K69-1,0))/K69,""),"")</f>
        <v>32.2950525564151</v>
      </c>
      <c r="AT69" s="90" t="n">
        <f aca="false">IFERROR(IF(AND(Y69=1,ROW()&lt;&gt;스왑분석!$C$12+1,ABS(K69-INDEX($K$2:$K$601,스왑분석!$C$12))&lt;=스왑분석!$C$5,ISERROR(SEARCH("FRN",AP69)),ISERROR(SEARCH("BBB0미만",AP69))),IF(AND(OR(스왑분석!$C$6="N",L69=INDEX($L$2:$L$601,스왑분석!$C$12)),OR(스왑분석!$C$7="N",N69=INDEX($N$2:$N$601,스왑분석!$C$12)),OR(스왑분석!$C$8="N",AO69=0),E69-INDEX($E$2:$E$601,스왑분석!$C$12)&gt;=스왑분석!$C$9),E69-INDEX($E$2:$E$601,스왑분석!$C$12)+ROW()/1000000000,-999),-999),-999)</f>
        <v>27.390000069</v>
      </c>
      <c r="AU69" s="90" t="n">
        <f aca="false">IF(AND(Y69=1,AO69&gt;0,AL69="Rich"),-AK69+ROW()/1000000000,-999)</f>
        <v>-999</v>
      </c>
    </row>
    <row r="70" customFormat="false" ht="15" hidden="false" customHeight="false" outlineLevel="0" collapsed="false">
      <c r="A70" s="83" t="str">
        <f aca="false">IFERROR(IF(INDEX(원자료_시장!$A$1:$BZ$1000,설정!$L$6+ROW()-1,설정!$L$24)&amp;""="0","",INDEX(원자료_시장!$A$1:$BZ$1000,설정!$L$6+ROW()-1,설정!$L$24)),"")</f>
        <v>HYNMTR 4 1/2 09/18/30</v>
      </c>
      <c r="B70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70" s="83" t="str">
        <f aca="false">IFERROR(IF(INDEX(원자료_시장!$A$1:$BZ$1000,설정!$L$6+ROW()-1,설정!$L$25)&amp;""="0","",INDEX(원자료_시장!$A$1:$BZ$1000,설정!$L$6+ROW()-1,설정!$L$25)),"")</f>
        <v>USD</v>
      </c>
      <c r="D70" s="85" t="n">
        <f aca="false">IFERROR(IF(ISNUMBER(INDEX(원자료_시장!$A$1:$BZ$1000,설정!$L$6+ROW()-1,설정!$L$26)),INDEX(원자료_시장!$A$1:$BZ$1000,설정!$L$6+ROW()-1,설정!$L$26),""),"")</f>
        <v>5.865</v>
      </c>
      <c r="E70" s="97" t="n">
        <f aca="false">IFERROR(IF(ISNUMBER(INDEX(원자료_시장!$A$1:$BZ$1000,설정!$L$6+ROW()-1,설정!$L$27)),INDEX(원자료_시장!$A$1:$BZ$1000,설정!$L$6+ROW()-1,설정!$L$27),""),"")</f>
        <v>77.781</v>
      </c>
      <c r="F70" s="97" t="n">
        <f aca="false">IFERROR(IF(ISNUMBER(INDEX(원자료_시장!$A$1:$BZ$1000,설정!$L$6+ROW()-1,설정!$L$28)),INDEX(원자료_시장!$A$1:$BZ$1000,설정!$L$6+ROW()-1,설정!$L$28),""),"")</f>
        <v>111.947</v>
      </c>
      <c r="G70" s="97" t="n">
        <f aca="false">IFERROR(IF(ISNUMBER(INDEX(원자료_시장!$A$1:$BZ$1000,설정!$L$6+ROW()-1,설정!$L$29)),INDEX(원자료_시장!$A$1:$BZ$1000,설정!$L$6+ROW()-1,설정!$L$29),""),"")</f>
        <v>-0.8</v>
      </c>
      <c r="H70" s="97" t="n">
        <f aca="false">IFERROR(IF(ISNUMBER(INDEX(원자료_시장!$A$1:$BZ$1000,설정!$L$6+ROW()-1,설정!$L$30)),INDEX(원자료_시장!$A$1:$BZ$1000,설정!$L$6+ROW()-1,설정!$L$30),""),"")</f>
        <v>1.5</v>
      </c>
      <c r="I70" s="97" t="n">
        <f aca="false">IFERROR(IF(ISNUMBER(INDEX(원자료_시장!$A$1:$BZ$1000,설정!$L$6+ROW()-1,설정!$L$31)),INDEX(원자료_시장!$A$1:$BZ$1000,설정!$L$6+ROW()-1,설정!$L$31),""),"")</f>
        <v>3.3</v>
      </c>
      <c r="J70" s="97" t="n">
        <f aca="false">IFERROR(IF(ISNUMBER(INDEX(원자료_시장!$A$1:$BZ$1000,설정!$L$6+ROW()-1,설정!$L$32)),INDEX(원자료_시장!$A$1:$BZ$1000,설정!$L$6+ROW()-1,설정!$L$32),""),"")</f>
        <v>1.4</v>
      </c>
      <c r="K70" s="85" t="n">
        <f aca="false">IFERROR(IF(ISNUMBER(INDEX(원자료_시장!$A$1:$BZ$1000,설정!$L$6+ROW()-1,설정!$L$33)),INDEX(원자료_시장!$A$1:$BZ$1000,설정!$L$6+ROW()-1,설정!$L$33),""),"")</f>
        <v>3.657</v>
      </c>
      <c r="L70" s="83" t="str">
        <f aca="false">IFERROR(IF(INDEX(원자료_시장!$A$1:$BZ$1000,설정!$L$6+ROW()-1,설정!$L$34)&amp;""="0","",INDEX(원자료_시장!$A$1:$BZ$1000,설정!$L$6+ROW()-1,설정!$L$34)),"")</f>
        <v>자유 소비재</v>
      </c>
      <c r="M70" s="83" t="str">
        <f aca="false">IFERROR(IF(INDEX(원자료_시장!$A$1:$BZ$1000,설정!$L$6+ROW()-1,설정!$L$35)&amp;""="0","",INDEX(원자료_시장!$A$1:$BZ$1000,설정!$L$6+ROW()-1,설정!$L$35)),"")</f>
        <v>A-</v>
      </c>
      <c r="N70" s="83" t="str">
        <f aca="false">IFERROR(IF(INDEX(원자료_시장!$A$1:$BZ$1000,설정!$L$6+ROW()-1,설정!$L$36)&amp;""="0","",INDEX(원자료_시장!$A$1:$BZ$1000,설정!$L$6+ROW()-1,설정!$L$36)),"")</f>
        <v>미국</v>
      </c>
      <c r="O70" s="43" t="str">
        <f aca="false">IF($A70="","",UPPER(LEFT($A70,FIND(" ",$A70&amp;" ")-1)))</f>
        <v>HYNMTR</v>
      </c>
      <c r="P70" s="43" t="str">
        <f aca="false">IF($A70="","",TRIM(RIGHT(SUBSTITUTE(TRIM($A70)," ",REPT(" ",30)),30)))</f>
        <v>09/18/30</v>
      </c>
      <c r="Q70" s="98" t="n">
        <f aca="false">IF($A70="","",IFERROR(DATE(IF(LEN(P70)=8,2000+VALUE(RIGHT(P70,2)),VALUE(RIGHT(P70,4))),VALUE(LEFT(P70,2)),VALUE(MID(P70,4,2))),""))</f>
        <v>47744</v>
      </c>
      <c r="R70" s="89" t="n">
        <f aca="false">IF($A70="",0,IF(ISNUMBER(SEARCH("Float",$A70)),1,0))</f>
        <v>0</v>
      </c>
      <c r="S70" s="43" t="str">
        <f aca="false">IF($A70="","",TRIM(MID($A70,LEN(O70)+2,LEN($A70)-LEN(O70)-LEN(P70)-1)))</f>
        <v>4 1/2</v>
      </c>
      <c r="T70" s="92" t="n">
        <f aca="false">IF(OR($A70="",R70=1),"",IFERROR(IF(ISNUMBER(FIND("/",S70)),IF(ISNUMBER(FIND(" ",S70)),VALUE(LEFT(S70,FIND(" ",S70)-1))+VALUE(MID(S70,FIND(" ",S70)+1,FIND("/",S70)-FIND(" ",S70)-1))/VALUE(MID(S70,FIND("/",S70)+1,9)),VALUE(LEFT(S70,FIND("/",S70)-1))/VALUE(MID(S70,FIND("/",S70)+1,9))),VALUE(S70)),""))</f>
        <v>4.5</v>
      </c>
      <c r="U70" s="43" t="str">
        <f aca="false">IF(OR($A70="",NOT(ISNUMBER(Q70))),"",TEXT(Q70,"yyyymmdd")&amp;"|"&amp;IF(R70=1,"F",TEXT(T70,"0.000")))</f>
        <v>20300918|4.500</v>
      </c>
      <c r="V70" s="43" t="str">
        <f aca="false">IF(U70="","",O70&amp;"|"&amp;U70)</f>
        <v>HYNMTR|20300918|4.500</v>
      </c>
      <c r="W70" s="43" t="str">
        <f aca="false">IF($A70="","",IFERROR(IF(VLOOKUP(O70,매핑!$A$4:$E$92,3,0)="","미분류",VLOOKUP(O70,매핑!$A$4:$E$92,3,0)),"미분류"))</f>
        <v>미국</v>
      </c>
      <c r="X70" s="89" t="n">
        <f aca="false">IF($A70="",0,IF(O70="T",1,0))</f>
        <v>0</v>
      </c>
      <c r="Y70" s="89" t="n">
        <f aca="false">IF($A70="",0,IF(AND(C70="USD",X70=0,ISNUMBER(E70),ISNUMBER(K70)),IF(K70&gt;=설정!$C$8,1,0),0))</f>
        <v>1</v>
      </c>
      <c r="Z70" s="43" t="str">
        <f aca="false">IF($A70="","",N70&amp;"|"&amp;L70)</f>
        <v>미국|자유 소비재</v>
      </c>
      <c r="AA70" s="92" t="n">
        <f aca="false">IF(Y70=1,LN(K70),0)</f>
        <v>1.29664313916724</v>
      </c>
      <c r="AB70" s="93" t="n">
        <f aca="false">IF(Y70=1,E70,0)</f>
        <v>77.781</v>
      </c>
      <c r="AC70" s="89" t="n">
        <f aca="false">IF(Y70=1,COUNTIFS($Z$2:$Z$601,Z70,$Y$2:$Y$601,1),0)</f>
        <v>18</v>
      </c>
      <c r="AD70" s="89" t="n">
        <f aca="false">IF(Y70=1,COUNTIFS($N$2:$N$601,N70,$Y$2:$Y$601,1),0)</f>
        <v>49</v>
      </c>
      <c r="AE70" s="43" t="str">
        <f aca="false">IF(Y70&lt;&gt;1,"",IF(AND(AC70&gt;=설정!$C$7,ISNUMBER(MATCH(Z70,피어커브!$A:$A,0))),Z70,IF(AND(AD70&gt;=설정!$C$7,ISNUMBER(MATCH(N70&amp;"|전체",피어커브!$A:$A,0))),N70&amp;"|전체","전체|전체")))</f>
        <v>미국|자유 소비재</v>
      </c>
      <c r="AF70" s="93" t="n">
        <f aca="false">IF(AE70="","",INDEX(피어커브!$K:$K,MATCH(AE70,피어커브!$A:$A,0)))</f>
        <v>26.8569188281613</v>
      </c>
      <c r="AG70" s="93" t="n">
        <f aca="false">IF(AE70="","",INDEX(피어커브!$J:$J,MATCH(AE70,피어커브!$A:$A,0)))</f>
        <v>40.2545310700915</v>
      </c>
      <c r="AH70" s="93" t="n">
        <f aca="false">IF(AE70="","",INDEX(피어커브!$L:$L,MATCH(AE70,피어커브!$A:$A,0)))</f>
        <v>4.33725635148027</v>
      </c>
      <c r="AI70" s="93" t="n">
        <f aca="false">IF(AE70="","",AF70+AG70*AA70)</f>
        <v>79.05268036059</v>
      </c>
      <c r="AJ70" s="96" t="n">
        <f aca="false">IF(AE70="","",E70-AI70)</f>
        <v>-1.27168036059</v>
      </c>
      <c r="AK70" s="95" t="n">
        <f aca="false">IF(AE70="","",IF(ISNUMBER(AH70),IF(AH70&gt;0,AJ70/AH70,""),""))</f>
        <v>-0.293199261822738</v>
      </c>
      <c r="AL70" s="43" t="str">
        <f aca="false">IF(AK70="","-",IF(AK70&gt;=설정!$C$6,"Cheap",IF(AK70&lt;=-설정!$C$6,"Rich","Fair")))</f>
        <v>Fair</v>
      </c>
      <c r="AM70" s="96" t="n">
        <f aca="false">IF(AE70="","",AJ70-AVERAGEIFS($AJ$2:$AJ$601,$B$2:$B$601,B70,$Y$2:$Y$601,1))</f>
        <v>-1.27168036059</v>
      </c>
      <c r="AN70" s="93" t="n">
        <f aca="false">IF(AE70="",0,IF(K70&gt;1+설정!$C$8,AG70*(AA70-LN(K70-1)),0))</f>
        <v>12.8591276935059</v>
      </c>
      <c r="AO70" s="99" t="n">
        <f aca="false">IF($A70="",0,SUMIFS(보유분석!$AA$2:$AA$801,보유분석!$AB$2:$AB$801,ROW(),보유분석!$AC$2:$AC$801,1))</f>
        <v>0.477081</v>
      </c>
      <c r="AP70" s="43" t="str">
        <f aca="false">IF($A70="","",TRIM(IF(R70=1,"FRN ","")&amp;IF(IFERROR(VLOOKUP(M70,설정!$A$15:$D$47,4,0),0)&gt;=10,IF(IFERROR(VLOOKUP(M70,설정!$A$15:$D$47,4,0),0)&lt;99,"BBB0미만 ",""),"")&amp;IF(OR(M70="",M70="NR"),"등급미입력 ","")&amp;IF(C70&lt;&gt;"USD","비USD ","")))</f>
        <v/>
      </c>
      <c r="AQ70" s="90" t="n">
        <f aca="false">IF(AND(Y70=1,AL70="Cheap"),IF(AND(ISERROR(SEARCH("FRN",AP70)),ISERROR(SEARCH("BBB0미만",AP70))),AK70+ROW()/1000000000,-999),-999)</f>
        <v>-999</v>
      </c>
      <c r="AR70" s="92" t="n">
        <f aca="false">IF(AND(ISNUMBER(D70),ISNUMBER(K70)),D70+AN70*MAX(K70-1,0)/100,"")</f>
        <v>6.20666702281645</v>
      </c>
      <c r="AS70" s="93" t="n">
        <f aca="false">IF(AND(ISNUMBER(E70),ISNUMBER(K70)),IF(K70&gt;0,(E70+AN70*MAX(K70-1,0))/K70,""),"")</f>
        <v>30.61189561981</v>
      </c>
      <c r="AT70" s="90" t="n">
        <f aca="false">IFERROR(IF(AND(Y70=1,ROW()&lt;&gt;스왑분석!$C$12+1,ABS(K70-INDEX($K$2:$K$601,스왑분석!$C$12))&lt;=스왑분석!$C$5,ISERROR(SEARCH("FRN",AP70)),ISERROR(SEARCH("BBB0미만",AP70))),IF(AND(OR(스왑분석!$C$6="N",L70=INDEX($L$2:$L$601,스왑분석!$C$12)),OR(스왑분석!$C$7="N",N70=INDEX($N$2:$N$601,스왑분석!$C$12)),OR(스왑분석!$C$8="N",AO70=0),E70-INDEX($E$2:$E$601,스왑분석!$C$12)&gt;=스왑분석!$C$9),E70-INDEX($E$2:$E$601,스왑분석!$C$12)+ROW()/1000000000,-999),-999),-999)</f>
        <v>29.28900007</v>
      </c>
      <c r="AU70" s="90" t="n">
        <f aca="false">IF(AND(Y70=1,AO70&gt;0,AL70="Rich"),-AK70+ROW()/1000000000,-999)</f>
        <v>-999</v>
      </c>
    </row>
    <row r="71" customFormat="false" ht="15" hidden="false" customHeight="false" outlineLevel="0" collapsed="false">
      <c r="A71" s="83" t="str">
        <f aca="false">IFERROR(IF(INDEX(원자료_시장!$A$1:$BZ$1000,설정!$L$6+ROW()-1,설정!$L$24)&amp;""="0","",INDEX(원자료_시장!$A$1:$BZ$1000,설정!$L$6+ROW()-1,설정!$L$24)),"")</f>
        <v>HYNMTR 4 1/4 01/08/29</v>
      </c>
      <c r="B71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71" s="83" t="str">
        <f aca="false">IFERROR(IF(INDEX(원자료_시장!$A$1:$BZ$1000,설정!$L$6+ROW()-1,설정!$L$25)&amp;""="0","",INDEX(원자료_시장!$A$1:$BZ$1000,설정!$L$6+ROW()-1,설정!$L$25)),"")</f>
        <v>USD</v>
      </c>
      <c r="D71" s="85" t="n">
        <f aca="false">IFERROR(IF(ISNUMBER(INDEX(원자료_시장!$A$1:$BZ$1000,설정!$L$6+ROW()-1,설정!$L$26)),INDEX(원자료_시장!$A$1:$BZ$1000,설정!$L$6+ROW()-1,설정!$L$26),""),"")</f>
        <v>5.68</v>
      </c>
      <c r="E71" s="97" t="n">
        <f aca="false">IFERROR(IF(ISNUMBER(INDEX(원자료_시장!$A$1:$BZ$1000,설정!$L$6+ROW()-1,설정!$L$27)),INDEX(원자료_시장!$A$1:$BZ$1000,설정!$L$6+ROW()-1,설정!$L$27),""),"")</f>
        <v>68.024</v>
      </c>
      <c r="F71" s="97" t="n">
        <f aca="false">IFERROR(IF(ISNUMBER(INDEX(원자료_시장!$A$1:$BZ$1000,설정!$L$6+ROW()-1,설정!$L$28)),INDEX(원자료_시장!$A$1:$BZ$1000,설정!$L$6+ROW()-1,설정!$L$28),""),"")</f>
        <v>97.688</v>
      </c>
      <c r="G71" s="97" t="n">
        <f aca="false">IFERROR(IF(ISNUMBER(INDEX(원자료_시장!$A$1:$BZ$1000,설정!$L$6+ROW()-1,설정!$L$29)),INDEX(원자료_시장!$A$1:$BZ$1000,설정!$L$6+ROW()-1,설정!$L$29),""),"")</f>
        <v>0.5</v>
      </c>
      <c r="H71" s="97" t="n">
        <f aca="false">IFERROR(IF(ISNUMBER(INDEX(원자료_시장!$A$1:$BZ$1000,설정!$L$6+ROW()-1,설정!$L$30)),INDEX(원자료_시장!$A$1:$BZ$1000,설정!$L$6+ROW()-1,설정!$L$30),""),"")</f>
        <v>6.2</v>
      </c>
      <c r="I71" s="97" t="n">
        <f aca="false">IFERROR(IF(ISNUMBER(INDEX(원자료_시장!$A$1:$BZ$1000,설정!$L$6+ROW()-1,설정!$L$31)),INDEX(원자료_시장!$A$1:$BZ$1000,설정!$L$6+ROW()-1,설정!$L$31),""),"")</f>
        <v>9.3</v>
      </c>
      <c r="J71" s="97" t="n">
        <f aca="false">IFERROR(IF(ISNUMBER(INDEX(원자료_시장!$A$1:$BZ$1000,설정!$L$6+ROW()-1,설정!$L$32)),INDEX(원자료_시장!$A$1:$BZ$1000,설정!$L$6+ROW()-1,설정!$L$32),""),"")</f>
        <v>6.4</v>
      </c>
      <c r="K71" s="85" t="n">
        <f aca="false">IFERROR(IF(ISNUMBER(INDEX(원자료_시장!$A$1:$BZ$1000,설정!$L$6+ROW()-1,설정!$L$33)),INDEX(원자료_시장!$A$1:$BZ$1000,설정!$L$6+ROW()-1,설정!$L$33),""),"")</f>
        <v>2.163</v>
      </c>
      <c r="L71" s="83" t="str">
        <f aca="false">IFERROR(IF(INDEX(원자료_시장!$A$1:$BZ$1000,설정!$L$6+ROW()-1,설정!$L$34)&amp;""="0","",INDEX(원자료_시장!$A$1:$BZ$1000,설정!$L$6+ROW()-1,설정!$L$34)),"")</f>
        <v>자유 소비재</v>
      </c>
      <c r="M71" s="83" t="str">
        <f aca="false">IFERROR(IF(INDEX(원자료_시장!$A$1:$BZ$1000,설정!$L$6+ROW()-1,설정!$L$35)&amp;""="0","",INDEX(원자료_시장!$A$1:$BZ$1000,설정!$L$6+ROW()-1,설정!$L$35)),"")</f>
        <v>A-</v>
      </c>
      <c r="N71" s="83" t="str">
        <f aca="false">IFERROR(IF(INDEX(원자료_시장!$A$1:$BZ$1000,설정!$L$6+ROW()-1,설정!$L$36)&amp;""="0","",INDEX(원자료_시장!$A$1:$BZ$1000,설정!$L$6+ROW()-1,설정!$L$36)),"")</f>
        <v>미국</v>
      </c>
      <c r="O71" s="43" t="str">
        <f aca="false">IF($A71="","",UPPER(LEFT($A71,FIND(" ",$A71&amp;" ")-1)))</f>
        <v>HYNMTR</v>
      </c>
      <c r="P71" s="43" t="str">
        <f aca="false">IF($A71="","",TRIM(RIGHT(SUBSTITUTE(TRIM($A71)," ",REPT(" ",30)),30)))</f>
        <v>01/08/29</v>
      </c>
      <c r="Q71" s="98" t="n">
        <f aca="false">IF($A71="","",IFERROR(DATE(IF(LEN(P71)=8,2000+VALUE(RIGHT(P71,2)),VALUE(RIGHT(P71,4))),VALUE(LEFT(P71,2)),VALUE(MID(P71,4,2))),""))</f>
        <v>47126</v>
      </c>
      <c r="R71" s="89" t="n">
        <f aca="false">IF($A71="",0,IF(ISNUMBER(SEARCH("Float",$A71)),1,0))</f>
        <v>0</v>
      </c>
      <c r="S71" s="43" t="str">
        <f aca="false">IF($A71="","",TRIM(MID($A71,LEN(O71)+2,LEN($A71)-LEN(O71)-LEN(P71)-1)))</f>
        <v>4 1/4</v>
      </c>
      <c r="T71" s="92" t="n">
        <f aca="false">IF(OR($A71="",R71=1),"",IFERROR(IF(ISNUMBER(FIND("/",S71)),IF(ISNUMBER(FIND(" ",S71)),VALUE(LEFT(S71,FIND(" ",S71)-1))+VALUE(MID(S71,FIND(" ",S71)+1,FIND("/",S71)-FIND(" ",S71)-1))/VALUE(MID(S71,FIND("/",S71)+1,9)),VALUE(LEFT(S71,FIND("/",S71)-1))/VALUE(MID(S71,FIND("/",S71)+1,9))),VALUE(S71)),""))</f>
        <v>4.25</v>
      </c>
      <c r="U71" s="43" t="str">
        <f aca="false">IF(OR($A71="",NOT(ISNUMBER(Q71))),"",TEXT(Q71,"yyyymmdd")&amp;"|"&amp;IF(R71=1,"F",TEXT(T71,"0.000")))</f>
        <v>20290108|4.250</v>
      </c>
      <c r="V71" s="43" t="str">
        <f aca="false">IF(U71="","",O71&amp;"|"&amp;U71)</f>
        <v>HYNMTR|20290108|4.250</v>
      </c>
      <c r="W71" s="43" t="str">
        <f aca="false">IF($A71="","",IFERROR(IF(VLOOKUP(O71,매핑!$A$4:$E$92,3,0)="","미분류",VLOOKUP(O71,매핑!$A$4:$E$92,3,0)),"미분류"))</f>
        <v>미국</v>
      </c>
      <c r="X71" s="89" t="n">
        <f aca="false">IF($A71="",0,IF(O71="T",1,0))</f>
        <v>0</v>
      </c>
      <c r="Y71" s="89" t="n">
        <f aca="false">IF($A71="",0,IF(AND(C71="USD",X71=0,ISNUMBER(E71),ISNUMBER(K71)),IF(K71&gt;=설정!$C$8,1,0),0))</f>
        <v>1</v>
      </c>
      <c r="Z71" s="43" t="str">
        <f aca="false">IF($A71="","",N71&amp;"|"&amp;L71)</f>
        <v>미국|자유 소비재</v>
      </c>
      <c r="AA71" s="92" t="n">
        <f aca="false">IF(Y71=1,LN(K71),0)</f>
        <v>0.771496146970922</v>
      </c>
      <c r="AB71" s="93" t="n">
        <f aca="false">IF(Y71=1,E71,0)</f>
        <v>68.024</v>
      </c>
      <c r="AC71" s="89" t="n">
        <f aca="false">IF(Y71=1,COUNTIFS($Z$2:$Z$601,Z71,$Y$2:$Y$601,1),0)</f>
        <v>18</v>
      </c>
      <c r="AD71" s="89" t="n">
        <f aca="false">IF(Y71=1,COUNTIFS($N$2:$N$601,N71,$Y$2:$Y$601,1),0)</f>
        <v>49</v>
      </c>
      <c r="AE71" s="43" t="str">
        <f aca="false">IF(Y71&lt;&gt;1,"",IF(AND(AC71&gt;=설정!$C$7,ISNUMBER(MATCH(Z71,피어커브!$A:$A,0))),Z71,IF(AND(AD71&gt;=설정!$C$7,ISNUMBER(MATCH(N71&amp;"|전체",피어커브!$A:$A,0))),N71&amp;"|전체","전체|전체")))</f>
        <v>미국|자유 소비재</v>
      </c>
      <c r="AF71" s="93" t="n">
        <f aca="false">IF(AE71="","",INDEX(피어커브!$K:$K,MATCH(AE71,피어커브!$A:$A,0)))</f>
        <v>26.8569188281613</v>
      </c>
      <c r="AG71" s="93" t="n">
        <f aca="false">IF(AE71="","",INDEX(피어커브!$J:$J,MATCH(AE71,피어커브!$A:$A,0)))</f>
        <v>40.2545310700915</v>
      </c>
      <c r="AH71" s="93" t="n">
        <f aca="false">IF(AE71="","",INDEX(피어커브!$L:$L,MATCH(AE71,피어커브!$A:$A,0)))</f>
        <v>4.33725635148027</v>
      </c>
      <c r="AI71" s="93" t="n">
        <f aca="false">IF(AE71="","",AF71+AG71*AA71)</f>
        <v>57.9131344468581</v>
      </c>
      <c r="AJ71" s="96" t="n">
        <f aca="false">IF(AE71="","",E71-AI71)</f>
        <v>10.1108655531419</v>
      </c>
      <c r="AK71" s="95" t="n">
        <f aca="false">IF(AE71="","",IF(ISNUMBER(AH71),IF(AH71&gt;0,AJ71/AH71,""),""))</f>
        <v>2.33116623362398</v>
      </c>
      <c r="AL71" s="43" t="str">
        <f aca="false">IF(AK71="","-",IF(AK71&gt;=설정!$C$6,"Cheap",IF(AK71&lt;=-설정!$C$6,"Rich","Fair")))</f>
        <v>Cheap</v>
      </c>
      <c r="AM71" s="96" t="n">
        <f aca="false">IF(AE71="","",AJ71-AVERAGEIFS($AJ$2:$AJ$601,$B$2:$B$601,B71,$Y$2:$Y$601,1))</f>
        <v>10.1108655531419</v>
      </c>
      <c r="AN71" s="93" t="n">
        <f aca="false">IF(AE71="",0,IF(K71&gt;1+설정!$C$8,AG71*(AA71-LN(K71-1)),0))</f>
        <v>24.9776657542476</v>
      </c>
      <c r="AO71" s="99" t="n">
        <f aca="false">IF($A71="",0,SUMIFS(보유분석!$AA$2:$AA$801,보유분석!$AB$2:$AB$801,ROW(),보유분석!$AC$2:$AC$801,1))</f>
        <v>0.971293</v>
      </c>
      <c r="AP71" s="43" t="str">
        <f aca="false">IF($A71="","",TRIM(IF(R71=1,"FRN ","")&amp;IF(IFERROR(VLOOKUP(M71,설정!$A$15:$D$47,4,0),0)&gt;=10,IF(IFERROR(VLOOKUP(M71,설정!$A$15:$D$47,4,0),0)&lt;99,"BBB0미만 ",""),"")&amp;IF(OR(M71="",M71="NR"),"등급미입력 ","")&amp;IF(C71&lt;&gt;"USD","비USD ","")))</f>
        <v/>
      </c>
      <c r="AQ71" s="90" t="n">
        <f aca="false">IF(AND(Y71=1,AL71="Cheap"),IF(AND(ISERROR(SEARCH("FRN",AP71)),ISERROR(SEARCH("BBB0미만",AP71))),AK71+ROW()/1000000000,-999),-999)</f>
        <v>2.33116630462398</v>
      </c>
      <c r="AR71" s="92" t="n">
        <f aca="false">IF(AND(ISNUMBER(D71),ISNUMBER(K71)),D71+AN71*MAX(K71-1,0)/100,"")</f>
        <v>5.9704902527219</v>
      </c>
      <c r="AS71" s="93" t="n">
        <f aca="false">IF(AND(ISNUMBER(E71),ISNUMBER(K71)),IF(K71&gt;0,(E71+AN71*MAX(K71-1,0))/K71,""),"")</f>
        <v>44.8788836209847</v>
      </c>
      <c r="AT71" s="90" t="n">
        <f aca="false">IFERROR(IF(AND(Y71=1,ROW()&lt;&gt;스왑분석!$C$12+1,ABS(K71-INDEX($K$2:$K$601,스왑분석!$C$12))&lt;=스왑분석!$C$5,ISERROR(SEARCH("FRN",AP71)),ISERROR(SEARCH("BBB0미만",AP71))),IF(AND(OR(스왑분석!$C$6="N",L71=INDEX($L$2:$L$601,스왑분석!$C$12)),OR(스왑분석!$C$7="N",N71=INDEX($N$2:$N$601,스왑분석!$C$12)),OR(스왑분석!$C$8="N",AO71=0),E71-INDEX($E$2:$E$601,스왑분석!$C$12)&gt;=스왑분석!$C$9),E71-INDEX($E$2:$E$601,스왑분석!$C$12)+ROW()/1000000000,-999),-999),-999)</f>
        <v>-999</v>
      </c>
      <c r="AU71" s="90" t="n">
        <f aca="false">IF(AND(Y71=1,AO71&gt;0,AL71="Rich"),-AK71+ROW()/1000000000,-999)</f>
        <v>-999</v>
      </c>
    </row>
    <row r="72" customFormat="false" ht="15" hidden="false" customHeight="false" outlineLevel="0" collapsed="false">
      <c r="A72" s="83" t="str">
        <f aca="false">IFERROR(IF(INDEX(원자료_시장!$A$1:$BZ$1000,설정!$L$6+ROW()-1,설정!$L$24)&amp;""="0","",INDEX(원자료_시장!$A$1:$BZ$1000,설정!$L$6+ROW()-1,설정!$L$24)),"")</f>
        <v>HYNMTR 4.55 01/08/31</v>
      </c>
      <c r="B72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72" s="83" t="str">
        <f aca="false">IFERROR(IF(INDEX(원자료_시장!$A$1:$BZ$1000,설정!$L$6+ROW()-1,설정!$L$25)&amp;""="0","",INDEX(원자료_시장!$A$1:$BZ$1000,설정!$L$6+ROW()-1,설정!$L$25)),"")</f>
        <v>USD</v>
      </c>
      <c r="D72" s="85" t="n">
        <f aca="false">IFERROR(IF(ISNUMBER(INDEX(원자료_시장!$A$1:$BZ$1000,설정!$L$6+ROW()-1,설정!$L$26)),INDEX(원자료_시장!$A$1:$BZ$1000,설정!$L$6+ROW()-1,설정!$L$26),""),"")</f>
        <v>5.863</v>
      </c>
      <c r="E72" s="97" t="n">
        <f aca="false">IFERROR(IF(ISNUMBER(INDEX(원자료_시장!$A$1:$BZ$1000,설정!$L$6+ROW()-1,설정!$L$27)),INDEX(원자료_시장!$A$1:$BZ$1000,설정!$L$6+ROW()-1,설정!$L$27),""),"")</f>
        <v>77.629</v>
      </c>
      <c r="F72" s="97" t="n">
        <f aca="false">IFERROR(IF(ISNUMBER(INDEX(원자료_시장!$A$1:$BZ$1000,설정!$L$6+ROW()-1,설정!$L$28)),INDEX(원자료_시장!$A$1:$BZ$1000,설정!$L$6+ROW()-1,설정!$L$28),""),"")</f>
        <v>111.521</v>
      </c>
      <c r="G72" s="97" t="n">
        <f aca="false">IFERROR(IF(ISNUMBER(INDEX(원자료_시장!$A$1:$BZ$1000,설정!$L$6+ROW()-1,설정!$L$29)),INDEX(원자료_시장!$A$1:$BZ$1000,설정!$L$6+ROW()-1,설정!$L$29),""),"")</f>
        <v>-0.9</v>
      </c>
      <c r="H72" s="97" t="n">
        <f aca="false">IFERROR(IF(ISNUMBER(INDEX(원자료_시장!$A$1:$BZ$1000,설정!$L$6+ROW()-1,설정!$L$30)),INDEX(원자료_시장!$A$1:$BZ$1000,설정!$L$6+ROW()-1,설정!$L$30),""),"")</f>
        <v>3.3</v>
      </c>
      <c r="I72" s="97" t="n">
        <f aca="false">IFERROR(IF(ISNUMBER(INDEX(원자료_시장!$A$1:$BZ$1000,설정!$L$6+ROW()-1,설정!$L$31)),INDEX(원자료_시장!$A$1:$BZ$1000,설정!$L$6+ROW()-1,설정!$L$31),""),"")</f>
        <v>6.8</v>
      </c>
      <c r="J72" s="97" t="n">
        <f aca="false">IFERROR(IF(ISNUMBER(INDEX(원자료_시장!$A$1:$BZ$1000,설정!$L$6+ROW()-1,설정!$L$32)),INDEX(원자료_시장!$A$1:$BZ$1000,설정!$L$6+ROW()-1,설정!$L$32),""),"")</f>
        <v>1.9</v>
      </c>
      <c r="K72" s="85" t="n">
        <f aca="false">IFERROR(IF(ISNUMBER(INDEX(원자료_시장!$A$1:$BZ$1000,설정!$L$6+ROW()-1,설정!$L$33)),INDEX(원자료_시장!$A$1:$BZ$1000,설정!$L$6+ROW()-1,설정!$L$33),""),"")</f>
        <v>3.874</v>
      </c>
      <c r="L72" s="83" t="str">
        <f aca="false">IFERROR(IF(INDEX(원자료_시장!$A$1:$BZ$1000,설정!$L$6+ROW()-1,설정!$L$34)&amp;""="0","",INDEX(원자료_시장!$A$1:$BZ$1000,설정!$L$6+ROW()-1,설정!$L$34)),"")</f>
        <v>자유 소비재</v>
      </c>
      <c r="M72" s="83" t="str">
        <f aca="false">IFERROR(IF(INDEX(원자료_시장!$A$1:$BZ$1000,설정!$L$6+ROW()-1,설정!$L$35)&amp;""="0","",INDEX(원자료_시장!$A$1:$BZ$1000,설정!$L$6+ROW()-1,설정!$L$35)),"")</f>
        <v>A-</v>
      </c>
      <c r="N72" s="83" t="str">
        <f aca="false">IFERROR(IF(INDEX(원자료_시장!$A$1:$BZ$1000,설정!$L$6+ROW()-1,설정!$L$36)&amp;""="0","",INDEX(원자료_시장!$A$1:$BZ$1000,설정!$L$6+ROW()-1,설정!$L$36)),"")</f>
        <v>미국</v>
      </c>
      <c r="O72" s="43" t="str">
        <f aca="false">IF($A72="","",UPPER(LEFT($A72,FIND(" ",$A72&amp;" ")-1)))</f>
        <v>HYNMTR</v>
      </c>
      <c r="P72" s="43" t="str">
        <f aca="false">IF($A72="","",TRIM(RIGHT(SUBSTITUTE(TRIM($A72)," ",REPT(" ",30)),30)))</f>
        <v>01/08/31</v>
      </c>
      <c r="Q72" s="98" t="n">
        <f aca="false">IF($A72="","",IFERROR(DATE(IF(LEN(P72)=8,2000+VALUE(RIGHT(P72,2)),VALUE(RIGHT(P72,4))),VALUE(LEFT(P72,2)),VALUE(MID(P72,4,2))),""))</f>
        <v>47856</v>
      </c>
      <c r="R72" s="89" t="n">
        <f aca="false">IF($A72="",0,IF(ISNUMBER(SEARCH("Float",$A72)),1,0))</f>
        <v>0</v>
      </c>
      <c r="S72" s="43" t="str">
        <f aca="false">IF($A72="","",TRIM(MID($A72,LEN(O72)+2,LEN($A72)-LEN(O72)-LEN(P72)-1)))</f>
        <v>4.55</v>
      </c>
      <c r="T72" s="92" t="n">
        <f aca="false">IF(OR($A72="",R72=1),"",IFERROR(IF(ISNUMBER(FIND("/",S72)),IF(ISNUMBER(FIND(" ",S72)),VALUE(LEFT(S72,FIND(" ",S72)-1))+VALUE(MID(S72,FIND(" ",S72)+1,FIND("/",S72)-FIND(" ",S72)-1))/VALUE(MID(S72,FIND("/",S72)+1,9)),VALUE(LEFT(S72,FIND("/",S72)-1))/VALUE(MID(S72,FIND("/",S72)+1,9))),VALUE(S72)),""))</f>
        <v>4.55</v>
      </c>
      <c r="U72" s="43" t="str">
        <f aca="false">IF(OR($A72="",NOT(ISNUMBER(Q72))),"",TEXT(Q72,"yyyymmdd")&amp;"|"&amp;IF(R72=1,"F",TEXT(T72,"0.000")))</f>
        <v>20310108|4.550</v>
      </c>
      <c r="V72" s="43" t="str">
        <f aca="false">IF(U72="","",O72&amp;"|"&amp;U72)</f>
        <v>HYNMTR|20310108|4.550</v>
      </c>
      <c r="W72" s="43" t="str">
        <f aca="false">IF($A72="","",IFERROR(IF(VLOOKUP(O72,매핑!$A$4:$E$92,3,0)="","미분류",VLOOKUP(O72,매핑!$A$4:$E$92,3,0)),"미분류"))</f>
        <v>미국</v>
      </c>
      <c r="X72" s="89" t="n">
        <f aca="false">IF($A72="",0,IF(O72="T",1,0))</f>
        <v>0</v>
      </c>
      <c r="Y72" s="89" t="n">
        <f aca="false">IF($A72="",0,IF(AND(C72="USD",X72=0,ISNUMBER(E72),ISNUMBER(K72)),IF(K72&gt;=설정!$C$8,1,0),0))</f>
        <v>1</v>
      </c>
      <c r="Z72" s="43" t="str">
        <f aca="false">IF($A72="","",N72&amp;"|"&amp;L72)</f>
        <v>미국|자유 소비재</v>
      </c>
      <c r="AA72" s="92" t="n">
        <f aca="false">IF(Y72=1,LN(K72),0)</f>
        <v>1.3542875649848</v>
      </c>
      <c r="AB72" s="93" t="n">
        <f aca="false">IF(Y72=1,E72,0)</f>
        <v>77.629</v>
      </c>
      <c r="AC72" s="89" t="n">
        <f aca="false">IF(Y72=1,COUNTIFS($Z$2:$Z$601,Z72,$Y$2:$Y$601,1),0)</f>
        <v>18</v>
      </c>
      <c r="AD72" s="89" t="n">
        <f aca="false">IF(Y72=1,COUNTIFS($N$2:$N$601,N72,$Y$2:$Y$601,1),0)</f>
        <v>49</v>
      </c>
      <c r="AE72" s="43" t="str">
        <f aca="false">IF(Y72&lt;&gt;1,"",IF(AND(AC72&gt;=설정!$C$7,ISNUMBER(MATCH(Z72,피어커브!$A:$A,0))),Z72,IF(AND(AD72&gt;=설정!$C$7,ISNUMBER(MATCH(N72&amp;"|전체",피어커브!$A:$A,0))),N72&amp;"|전체","전체|전체")))</f>
        <v>미국|자유 소비재</v>
      </c>
      <c r="AF72" s="93" t="n">
        <f aca="false">IF(AE72="","",INDEX(피어커브!$K:$K,MATCH(AE72,피어커브!$A:$A,0)))</f>
        <v>26.8569188281613</v>
      </c>
      <c r="AG72" s="93" t="n">
        <f aca="false">IF(AE72="","",INDEX(피어커브!$J:$J,MATCH(AE72,피어커브!$A:$A,0)))</f>
        <v>40.2545310700915</v>
      </c>
      <c r="AH72" s="93" t="n">
        <f aca="false">IF(AE72="","",INDEX(피어커브!$L:$L,MATCH(AE72,피어커브!$A:$A,0)))</f>
        <v>4.33725635148027</v>
      </c>
      <c r="AI72" s="93" t="n">
        <f aca="false">IF(AE72="","",AF72+AG72*AA72)</f>
        <v>81.3731296906806</v>
      </c>
      <c r="AJ72" s="96" t="n">
        <f aca="false">IF(AE72="","",E72-AI72)</f>
        <v>-3.74412969068055</v>
      </c>
      <c r="AK72" s="95" t="n">
        <f aca="false">IF(AE72="","",IF(ISNUMBER(AH72),IF(AH72&gt;0,AJ72/AH72,""),""))</f>
        <v>-0.863248419568908</v>
      </c>
      <c r="AL72" s="43" t="str">
        <f aca="false">IF(AK72="","-",IF(AK72&gt;=설정!$C$6,"Cheap",IF(AK72&lt;=-설정!$C$6,"Rich","Fair")))</f>
        <v>Fair</v>
      </c>
      <c r="AM72" s="96" t="n">
        <f aca="false">IF(AE72="","",AJ72-AVERAGEIFS($AJ$2:$AJ$601,$B$2:$B$601,B72,$Y$2:$Y$601,1))</f>
        <v>-3.74412969068055</v>
      </c>
      <c r="AN72" s="93" t="n">
        <f aca="false">IF(AE72="",0,IF(K72&gt;1+설정!$C$8,AG72*(AA72-LN(K72-1)),0))</f>
        <v>12.019309686943</v>
      </c>
      <c r="AO72" s="99" t="n">
        <f aca="false">IF($A72="",0,SUMIFS(보유분석!$AA$2:$AA$801,보유분석!$AB$2:$AB$801,ROW(),보유분석!$AC$2:$AC$801,1))</f>
        <v>3.809608</v>
      </c>
      <c r="AP72" s="43" t="str">
        <f aca="false">IF($A72="","",TRIM(IF(R72=1,"FRN ","")&amp;IF(IFERROR(VLOOKUP(M72,설정!$A$15:$D$47,4,0),0)&gt;=10,IF(IFERROR(VLOOKUP(M72,설정!$A$15:$D$47,4,0),0)&lt;99,"BBB0미만 ",""),"")&amp;IF(OR(M72="",M72="NR"),"등급미입력 ","")&amp;IF(C72&lt;&gt;"USD","비USD ","")))</f>
        <v/>
      </c>
      <c r="AQ72" s="90" t="n">
        <f aca="false">IF(AND(Y72=1,AL72="Cheap"),IF(AND(ISERROR(SEARCH("FRN",AP72)),ISERROR(SEARCH("BBB0미만",AP72))),AK72+ROW()/1000000000,-999),-999)</f>
        <v>-999</v>
      </c>
      <c r="AR72" s="92" t="n">
        <f aca="false">IF(AND(ISNUMBER(D72),ISNUMBER(K72)),D72+AN72*MAX(K72-1,0)/100,"")</f>
        <v>6.20843496040274</v>
      </c>
      <c r="AS72" s="93" t="n">
        <f aca="false">IF(AND(ISNUMBER(E72),ISNUMBER(K72)),IF(K72&gt;0,(E72+AN72*MAX(K72-1,0))/K72,""),"")</f>
        <v>28.9552132267099</v>
      </c>
      <c r="AT72" s="90" t="n">
        <f aca="false">IFERROR(IF(AND(Y72=1,ROW()&lt;&gt;스왑분석!$C$12+1,ABS(K72-INDEX($K$2:$K$601,스왑분석!$C$12))&lt;=스왑분석!$C$5,ISERROR(SEARCH("FRN",AP72)),ISERROR(SEARCH("BBB0미만",AP72))),IF(AND(OR(스왑분석!$C$6="N",L72=INDEX($L$2:$L$601,스왑분석!$C$12)),OR(스왑분석!$C$7="N",N72=INDEX($N$2:$N$601,스왑분석!$C$12)),OR(스왑분석!$C$8="N",AO72=0),E72-INDEX($E$2:$E$601,스왑분석!$C$12)&gt;=스왑분석!$C$9),E72-INDEX($E$2:$E$601,스왑분석!$C$12)+ROW()/1000000000,-999),-999),-999)</f>
        <v>29.137000072</v>
      </c>
      <c r="AU72" s="90" t="n">
        <f aca="false">IF(AND(Y72=1,AO72&gt;0,AL72="Rich"),-AK72+ROW()/1000000000,-999)</f>
        <v>-999</v>
      </c>
    </row>
    <row r="73" customFormat="false" ht="15" hidden="false" customHeight="false" outlineLevel="0" collapsed="false">
      <c r="A73" s="83" t="str">
        <f aca="false">IFERROR(IF(INDEX(원자료_시장!$A$1:$BZ$1000,설정!$L$6+ROW()-1,설정!$L$24)&amp;""="0","",INDEX(원자료_시장!$A$1:$BZ$1000,설정!$L$6+ROW()-1,설정!$L$24)),"")</f>
        <v>HYNMTR 5 06/18/31</v>
      </c>
      <c r="B73" s="83" t="str">
        <f aca="false">IFERROR(IF(INDEX(원자료_시장!$A$1:$BZ$1000,설정!$L$6+ROW()-1,설정!$L$37)&amp;""="0","",INDEX(원자료_시장!$A$1:$BZ$1000,설정!$L$6+ROW()-1,설정!$L$37)),"")</f>
        <v>HYUNDAI CAPITAL AMERICA</v>
      </c>
      <c r="C73" s="83" t="str">
        <f aca="false">IFERROR(IF(INDEX(원자료_시장!$A$1:$BZ$1000,설정!$L$6+ROW()-1,설정!$L$25)&amp;""="0","",INDEX(원자료_시장!$A$1:$BZ$1000,설정!$L$6+ROW()-1,설정!$L$25)),"")</f>
        <v>USD</v>
      </c>
      <c r="D73" s="85" t="n">
        <f aca="false">IFERROR(IF(ISNUMBER(INDEX(원자료_시장!$A$1:$BZ$1000,설정!$L$6+ROW()-1,설정!$L$26)),INDEX(원자료_시장!$A$1:$BZ$1000,설정!$L$6+ROW()-1,설정!$L$26),""),"")</f>
        <v>5.925</v>
      </c>
      <c r="E73" s="97" t="n">
        <f aca="false">IFERROR(IF(ISNUMBER(INDEX(원자료_시장!$A$1:$BZ$1000,설정!$L$6+ROW()-1,설정!$L$27)),INDEX(원자료_시장!$A$1:$BZ$1000,설정!$L$6+ROW()-1,설정!$L$27),""),"")</f>
        <v>83.863</v>
      </c>
      <c r="F73" s="97" t="n">
        <f aca="false">IFERROR(IF(ISNUMBER(INDEX(원자료_시장!$A$1:$BZ$1000,설정!$L$6+ROW()-1,설정!$L$28)),INDEX(원자료_시장!$A$1:$BZ$1000,설정!$L$6+ROW()-1,설정!$L$28),""),"")</f>
        <v>117.362</v>
      </c>
      <c r="G73" s="97" t="n">
        <f aca="false">IFERROR(IF(ISNUMBER(INDEX(원자료_시장!$A$1:$BZ$1000,설정!$L$6+ROW()-1,설정!$L$29)),INDEX(원자료_시장!$A$1:$BZ$1000,설정!$L$6+ROW()-1,설정!$L$29),""),"")</f>
        <v>0.1</v>
      </c>
      <c r="H73" s="97" t="n">
        <f aca="false">IFERROR(IF(ISNUMBER(INDEX(원자료_시장!$A$1:$BZ$1000,설정!$L$6+ROW()-1,설정!$L$30)),INDEX(원자료_시장!$A$1:$BZ$1000,설정!$L$6+ROW()-1,설정!$L$30),""),"")</f>
        <v>4.6</v>
      </c>
      <c r="I73" s="97" t="n">
        <f aca="false">IFERROR(IF(ISNUMBER(INDEX(원자료_시장!$A$1:$BZ$1000,설정!$L$6+ROW()-1,설정!$L$31)),INDEX(원자료_시장!$A$1:$BZ$1000,설정!$L$6+ROW()-1,설정!$L$31),""),"")</f>
        <v>5</v>
      </c>
      <c r="J73" s="97" t="n">
        <f aca="false">IFERROR(IF(ISNUMBER(INDEX(원자료_시장!$A$1:$BZ$1000,설정!$L$6+ROW()-1,설정!$L$32)),INDEX(원자료_시장!$A$1:$BZ$1000,설정!$L$6+ROW()-1,설정!$L$32),""),"")</f>
        <v>2.2</v>
      </c>
      <c r="K73" s="85" t="n">
        <f aca="false">IFERROR(IF(ISNUMBER(INDEX(원자료_시장!$A$1:$BZ$1000,설정!$L$6+ROW()-1,설정!$L$33)),INDEX(원자료_시장!$A$1:$BZ$1000,설정!$L$6+ROW()-1,설정!$L$33),""),"")</f>
        <v>4.184</v>
      </c>
      <c r="L73" s="83" t="str">
        <f aca="false">IFERROR(IF(INDEX(원자료_시장!$A$1:$BZ$1000,설정!$L$6+ROW()-1,설정!$L$34)&amp;""="0","",INDEX(원자료_시장!$A$1:$BZ$1000,설정!$L$6+ROW()-1,설정!$L$34)),"")</f>
        <v>자유 소비재</v>
      </c>
      <c r="M73" s="83" t="str">
        <f aca="false">IFERROR(IF(INDEX(원자료_시장!$A$1:$BZ$1000,설정!$L$6+ROW()-1,설정!$L$35)&amp;""="0","",INDEX(원자료_시장!$A$1:$BZ$1000,설정!$L$6+ROW()-1,설정!$L$35)),"")</f>
        <v>A-</v>
      </c>
      <c r="N73" s="83" t="str">
        <f aca="false">IFERROR(IF(INDEX(원자료_시장!$A$1:$BZ$1000,설정!$L$6+ROW()-1,설정!$L$36)&amp;""="0","",INDEX(원자료_시장!$A$1:$BZ$1000,설정!$L$6+ROW()-1,설정!$L$36)),"")</f>
        <v>미국</v>
      </c>
      <c r="O73" s="43" t="str">
        <f aca="false">IF($A73="","",UPPER(LEFT($A73,FIND(" ",$A73&amp;" ")-1)))</f>
        <v>HYNMTR</v>
      </c>
      <c r="P73" s="43" t="str">
        <f aca="false">IF($A73="","",TRIM(RIGHT(SUBSTITUTE(TRIM($A73)," ",REPT(" ",30)),30)))</f>
        <v>06/18/31</v>
      </c>
      <c r="Q73" s="98" t="n">
        <f aca="false">IF($A73="","",IFERROR(DATE(IF(LEN(P73)=8,2000+VALUE(RIGHT(P73,2)),VALUE(RIGHT(P73,4))),VALUE(LEFT(P73,2)),VALUE(MID(P73,4,2))),""))</f>
        <v>48017</v>
      </c>
      <c r="R73" s="89" t="n">
        <f aca="false">IF($A73="",0,IF(ISNUMBER(SEARCH("Float",$A73)),1,0))</f>
        <v>0</v>
      </c>
      <c r="S73" s="43" t="str">
        <f aca="false">IF($A73="","",TRIM(MID($A73,LEN(O73)+2,LEN($A73)-LEN(O73)-LEN(P73)-1)))</f>
        <v>5</v>
      </c>
      <c r="T73" s="92" t="n">
        <f aca="false">IF(OR($A73="",R73=1),"",IFERROR(IF(ISNUMBER(FIND("/",S73)),IF(ISNUMBER(FIND(" ",S73)),VALUE(LEFT(S73,FIND(" ",S73)-1))+VALUE(MID(S73,FIND(" ",S73)+1,FIND("/",S73)-FIND(" ",S73)-1))/VALUE(MID(S73,FIND("/",S73)+1,9)),VALUE(LEFT(S73,FIND("/",S73)-1))/VALUE(MID(S73,FIND("/",S73)+1,9))),VALUE(S73)),""))</f>
        <v>5</v>
      </c>
      <c r="U73" s="43" t="str">
        <f aca="false">IF(OR($A73="",NOT(ISNUMBER(Q73))),"",TEXT(Q73,"yyyymmdd")&amp;"|"&amp;IF(R73=1,"F",TEXT(T73,"0.000")))</f>
        <v>20310618|5.000</v>
      </c>
      <c r="V73" s="43" t="str">
        <f aca="false">IF(U73="","",O73&amp;"|"&amp;U73)</f>
        <v>HYNMTR|20310618|5.000</v>
      </c>
      <c r="W73" s="43" t="str">
        <f aca="false">IF($A73="","",IFERROR(IF(VLOOKUP(O73,매핑!$A$4:$E$92,3,0)="","미분류",VLOOKUP(O73,매핑!$A$4:$E$92,3,0)),"미분류"))</f>
        <v>미국</v>
      </c>
      <c r="X73" s="89" t="n">
        <f aca="false">IF($A73="",0,IF(O73="T",1,0))</f>
        <v>0</v>
      </c>
      <c r="Y73" s="89" t="n">
        <f aca="false">IF($A73="",0,IF(AND(C73="USD",X73=0,ISNUMBER(E73),ISNUMBER(K73)),IF(K73&gt;=설정!$C$8,1,0),0))</f>
        <v>1</v>
      </c>
      <c r="Z73" s="43" t="str">
        <f aca="false">IF($A73="","",N73&amp;"|"&amp;L73)</f>
        <v>미국|자유 소비재</v>
      </c>
      <c r="AA73" s="92" t="n">
        <f aca="false">IF(Y73=1,LN(K73),0)</f>
        <v>1.43126772676262</v>
      </c>
      <c r="AB73" s="93" t="n">
        <f aca="false">IF(Y73=1,E73,0)</f>
        <v>83.863</v>
      </c>
      <c r="AC73" s="89" t="n">
        <f aca="false">IF(Y73=1,COUNTIFS($Z$2:$Z$601,Z73,$Y$2:$Y$601,1),0)</f>
        <v>18</v>
      </c>
      <c r="AD73" s="89" t="n">
        <f aca="false">IF(Y73=1,COUNTIFS($N$2:$N$601,N73,$Y$2:$Y$601,1),0)</f>
        <v>49</v>
      </c>
      <c r="AE73" s="43" t="str">
        <f aca="false">IF(Y73&lt;&gt;1,"",IF(AND(AC73&gt;=설정!$C$7,ISNUMBER(MATCH(Z73,피어커브!$A:$A,0))),Z73,IF(AND(AD73&gt;=설정!$C$7,ISNUMBER(MATCH(N73&amp;"|전체",피어커브!$A:$A,0))),N73&amp;"|전체","전체|전체")))</f>
        <v>미국|자유 소비재</v>
      </c>
      <c r="AF73" s="93" t="n">
        <f aca="false">IF(AE73="","",INDEX(피어커브!$K:$K,MATCH(AE73,피어커브!$A:$A,0)))</f>
        <v>26.8569188281613</v>
      </c>
      <c r="AG73" s="93" t="n">
        <f aca="false">IF(AE73="","",INDEX(피어커브!$J:$J,MATCH(AE73,피어커브!$A:$A,0)))</f>
        <v>40.2545310700915</v>
      </c>
      <c r="AH73" s="93" t="n">
        <f aca="false">IF(AE73="","",INDEX(피어커브!$L:$L,MATCH(AE73,피어커브!$A:$A,0)))</f>
        <v>4.33725635148027</v>
      </c>
      <c r="AI73" s="93" t="n">
        <f aca="false">IF(AE73="","",AF73+AG73*AA73)</f>
        <v>84.4719300047464</v>
      </c>
      <c r="AJ73" s="96" t="n">
        <f aca="false">IF(AE73="","",E73-AI73)</f>
        <v>-0.608930004746384</v>
      </c>
      <c r="AK73" s="95" t="n">
        <f aca="false">IF(AE73="","",IF(ISNUMBER(AH73),IF(AH73&gt;0,AJ73/AH73,""),""))</f>
        <v>-0.14039520733852</v>
      </c>
      <c r="AL73" s="43" t="str">
        <f aca="false">IF(AK73="","-",IF(AK73&gt;=설정!$C$6,"Cheap",IF(AK73&lt;=-설정!$C$6,"Rich","Fair")))</f>
        <v>Fair</v>
      </c>
      <c r="AM73" s="96" t="n">
        <f aca="false">IF(AE73="","",AJ73-AVERAGEIFS($AJ$2:$AJ$601,$B$2:$B$601,B73,$Y$2:$Y$601,1))</f>
        <v>-0.608930004746382</v>
      </c>
      <c r="AN73" s="93" t="n">
        <f aca="false">IF(AE73="",0,IF(K73&gt;1+설정!$C$8,AG73*(AA73-LN(K73-1)),0))</f>
        <v>10.9946982846363</v>
      </c>
      <c r="AO73" s="99" t="n">
        <f aca="false">IF($A73="",0,SUMIFS(보유분석!$AA$2:$AA$801,보유분석!$AB$2:$AB$801,ROW(),보유분석!$AC$2:$AC$801,1))</f>
        <v>0.964765</v>
      </c>
      <c r="AP73" s="43" t="str">
        <f aca="false">IF($A73="","",TRIM(IF(R73=1,"FRN ","")&amp;IF(IFERROR(VLOOKUP(M73,설정!$A$15:$D$47,4,0),0)&gt;=10,IF(IFERROR(VLOOKUP(M73,설정!$A$15:$D$47,4,0),0)&lt;99,"BBB0미만 ",""),"")&amp;IF(OR(M73="",M73="NR"),"등급미입력 ","")&amp;IF(C73&lt;&gt;"USD","비USD ","")))</f>
        <v/>
      </c>
      <c r="AQ73" s="90" t="n">
        <f aca="false">IF(AND(Y73=1,AL73="Cheap"),IF(AND(ISERROR(SEARCH("FRN",AP73)),ISERROR(SEARCH("BBB0미만",AP73))),AK73+ROW()/1000000000,-999),-999)</f>
        <v>-999</v>
      </c>
      <c r="AR73" s="92" t="n">
        <f aca="false">IF(AND(ISNUMBER(D73),ISNUMBER(K73)),D73+AN73*MAX(K73-1,0)/100,"")</f>
        <v>6.27507119338282</v>
      </c>
      <c r="AS73" s="93" t="n">
        <f aca="false">IF(AND(ISNUMBER(E73),ISNUMBER(K73)),IF(K73&gt;0,(E73+AN73*MAX(K73-1,0))/K73,""),"")</f>
        <v>28.4106403772185</v>
      </c>
      <c r="AT73" s="90" t="n">
        <f aca="false">IFERROR(IF(AND(Y73=1,ROW()&lt;&gt;스왑분석!$C$12+1,ABS(K73-INDEX($K$2:$K$601,스왑분석!$C$12))&lt;=스왑분석!$C$5,ISERROR(SEARCH("FRN",AP73)),ISERROR(SEARCH("BBB0미만",AP73))),IF(AND(OR(스왑분석!$C$6="N",L73=INDEX($L$2:$L$601,스왑분석!$C$12)),OR(스왑분석!$C$7="N",N73=INDEX($N$2:$N$601,스왑분석!$C$12)),OR(스왑분석!$C$8="N",AO73=0),E73-INDEX($E$2:$E$601,스왑분석!$C$12)&gt;=스왑분석!$C$9),E73-INDEX($E$2:$E$601,스왑분석!$C$12)+ROW()/1000000000,-999),-999),-999)</f>
        <v>35.371000073</v>
      </c>
      <c r="AU73" s="90" t="n">
        <f aca="false">IF(AND(Y73=1,AO73&gt;0,AL73="Rich"),-AK73+ROW()/1000000000,-999)</f>
        <v>-999</v>
      </c>
    </row>
    <row r="74" customFormat="false" ht="15" hidden="false" customHeight="false" outlineLevel="0" collapsed="false">
      <c r="A74" s="83" t="str">
        <f aca="false">IFERROR(IF(INDEX(원자료_시장!$A$1:$BZ$1000,설정!$L$6+ROW()-1,설정!$L$24)&amp;""="0","",INDEX(원자료_시장!$A$1:$BZ$1000,설정!$L$6+ROW()-1,설정!$L$24)),"")</f>
        <v>INDKOR 5 3/8 10/04/28</v>
      </c>
      <c r="B74" s="83" t="str">
        <f aca="false">IFERROR(IF(INDEX(원자료_시장!$A$1:$BZ$1000,설정!$L$6+ROW()-1,설정!$L$37)&amp;""="0","",INDEX(원자료_시장!$A$1:$BZ$1000,설정!$L$6+ROW()-1,설정!$L$37)),"")</f>
        <v>INDUSTRIAL BANK OF KOREA</v>
      </c>
      <c r="C74" s="83" t="str">
        <f aca="false">IFERROR(IF(INDEX(원자료_시장!$A$1:$BZ$1000,설정!$L$6+ROW()-1,설정!$L$25)&amp;""="0","",INDEX(원자료_시장!$A$1:$BZ$1000,설정!$L$6+ROW()-1,설정!$L$25)),"")</f>
        <v>USD</v>
      </c>
      <c r="D74" s="85" t="n">
        <f aca="false">IFERROR(IF(ISNUMBER(INDEX(원자료_시장!$A$1:$BZ$1000,설정!$L$6+ROW()-1,설정!$L$26)),INDEX(원자료_시장!$A$1:$BZ$1000,설정!$L$6+ROW()-1,설정!$L$26),""),"")</f>
        <v>4.988</v>
      </c>
      <c r="E74" s="97" t="n">
        <f aca="false">IFERROR(IF(ISNUMBER(INDEX(원자료_시장!$A$1:$BZ$1000,설정!$L$6+ROW()-1,설정!$L$27)),INDEX(원자료_시장!$A$1:$BZ$1000,설정!$L$6+ROW()-1,설정!$L$27),""),"")</f>
        <v>9.837</v>
      </c>
      <c r="F74" s="97" t="n">
        <f aca="false">IFERROR(IF(ISNUMBER(INDEX(원자료_시장!$A$1:$BZ$1000,설정!$L$6+ROW()-1,설정!$L$28)),INDEX(원자료_시장!$A$1:$BZ$1000,설정!$L$6+ROW()-1,설정!$L$28),""),"")</f>
        <v>29.569</v>
      </c>
      <c r="G74" s="97" t="n">
        <f aca="false">IFERROR(IF(ISNUMBER(INDEX(원자료_시장!$A$1:$BZ$1000,설정!$L$6+ROW()-1,설정!$L$29)),INDEX(원자료_시장!$A$1:$BZ$1000,설정!$L$6+ROW()-1,설정!$L$29),""),"")</f>
        <v>-0.8</v>
      </c>
      <c r="H74" s="97" t="n">
        <f aca="false">IFERROR(IF(ISNUMBER(INDEX(원자료_시장!$A$1:$BZ$1000,설정!$L$6+ROW()-1,설정!$L$30)),INDEX(원자료_시장!$A$1:$BZ$1000,설정!$L$6+ROW()-1,설정!$L$30),""),"")</f>
        <v>9.7</v>
      </c>
      <c r="I74" s="97" t="n">
        <f aca="false">IFERROR(IF(ISNUMBER(INDEX(원자료_시장!$A$1:$BZ$1000,설정!$L$6+ROW()-1,설정!$L$31)),INDEX(원자료_시장!$A$1:$BZ$1000,설정!$L$6+ROW()-1,설정!$L$31),""),"")</f>
        <v>0.1</v>
      </c>
      <c r="J74" s="97" t="n">
        <f aca="false">IFERROR(IF(ISNUMBER(INDEX(원자료_시장!$A$1:$BZ$1000,설정!$L$6+ROW()-1,설정!$L$32)),INDEX(원자료_시장!$A$1:$BZ$1000,설정!$L$6+ROW()-1,설정!$L$32),""),"")</f>
        <v>-8.6</v>
      </c>
      <c r="K74" s="85" t="n">
        <f aca="false">IFERROR(IF(ISNUMBER(INDEX(원자료_시장!$A$1:$BZ$1000,설정!$L$6+ROW()-1,설정!$L$33)),INDEX(원자료_시장!$A$1:$BZ$1000,설정!$L$6+ROW()-1,설정!$L$33),""),"")</f>
        <v>1.879</v>
      </c>
      <c r="L74" s="83" t="str">
        <f aca="false">IFERROR(IF(INDEX(원자료_시장!$A$1:$BZ$1000,설정!$L$6+ROW()-1,설정!$L$34)&amp;""="0","",INDEX(원자료_시장!$A$1:$BZ$1000,설정!$L$6+ROW()-1,설정!$L$34)),"")</f>
        <v>정부</v>
      </c>
      <c r="M74" s="83" t="n">
        <f aca="false">IFERROR(IF(INDEX(원자료_시장!$A$1:$BZ$1000,설정!$L$6+ROW()-1,설정!$L$35)&amp;""="0","",INDEX(원자료_시장!$A$1:$BZ$1000,설정!$L$6+ROW()-1,설정!$L$35)),"")</f>
        <v>0</v>
      </c>
      <c r="N74" s="83" t="str">
        <f aca="false">IFERROR(IF(INDEX(원자료_시장!$A$1:$BZ$1000,설정!$L$6+ROW()-1,설정!$L$36)&amp;""="0","",INDEX(원자료_시장!$A$1:$BZ$1000,설정!$L$6+ROW()-1,설정!$L$36)),"")</f>
        <v>아시아/기타</v>
      </c>
      <c r="O74" s="43" t="str">
        <f aca="false">IF($A74="","",UPPER(LEFT($A74,FIND(" ",$A74&amp;" ")-1)))</f>
        <v>INDKOR</v>
      </c>
      <c r="P74" s="43" t="str">
        <f aca="false">IF($A74="","",TRIM(RIGHT(SUBSTITUTE(TRIM($A74)," ",REPT(" ",30)),30)))</f>
        <v>10/04/28</v>
      </c>
      <c r="Q74" s="98" t="n">
        <f aca="false">IF($A74="","",IFERROR(DATE(IF(LEN(P74)=8,2000+VALUE(RIGHT(P74,2)),VALUE(RIGHT(P74,4))),VALUE(LEFT(P74,2)),VALUE(MID(P74,4,2))),""))</f>
        <v>47030</v>
      </c>
      <c r="R74" s="89" t="n">
        <f aca="false">IF($A74="",0,IF(ISNUMBER(SEARCH("Float",$A74)),1,0))</f>
        <v>0</v>
      </c>
      <c r="S74" s="43" t="str">
        <f aca="false">IF($A74="","",TRIM(MID($A74,LEN(O74)+2,LEN($A74)-LEN(O74)-LEN(P74)-1)))</f>
        <v>5 3/8</v>
      </c>
      <c r="T74" s="92" t="n">
        <f aca="false">IF(OR($A74="",R74=1),"",IFERROR(IF(ISNUMBER(FIND("/",S74)),IF(ISNUMBER(FIND(" ",S74)),VALUE(LEFT(S74,FIND(" ",S74)-1))+VALUE(MID(S74,FIND(" ",S74)+1,FIND("/",S74)-FIND(" ",S74)-1))/VALUE(MID(S74,FIND("/",S74)+1,9)),VALUE(LEFT(S74,FIND("/",S74)-1))/VALUE(MID(S74,FIND("/",S74)+1,9))),VALUE(S74)),""))</f>
        <v>5.375</v>
      </c>
      <c r="U74" s="43" t="str">
        <f aca="false">IF(OR($A74="",NOT(ISNUMBER(Q74))),"",TEXT(Q74,"yyyymmdd")&amp;"|"&amp;IF(R74=1,"F",TEXT(T74,"0.000")))</f>
        <v>20281004|5.375</v>
      </c>
      <c r="V74" s="43" t="str">
        <f aca="false">IF(U74="","",O74&amp;"|"&amp;U74)</f>
        <v>INDKOR|20281004|5.375</v>
      </c>
      <c r="W74" s="43" t="str">
        <f aca="false">IF($A74="","",IFERROR(IF(VLOOKUP(O74,매핑!$A$4:$E$92,3,0)="","미분류",VLOOKUP(O74,매핑!$A$4:$E$92,3,0)),"미분류"))</f>
        <v>한국</v>
      </c>
      <c r="X74" s="89" t="n">
        <f aca="false">IF($A74="",0,IF(O74="T",1,0))</f>
        <v>0</v>
      </c>
      <c r="Y74" s="89" t="n">
        <f aca="false">IF($A74="",0,IF(AND(C74="USD",X74=0,ISNUMBER(E74),ISNUMBER(K74)),IF(K74&gt;=설정!$C$8,1,0),0))</f>
        <v>1</v>
      </c>
      <c r="Z74" s="43" t="str">
        <f aca="false">IF($A74="","",N74&amp;"|"&amp;L74)</f>
        <v>아시아/기타|정부</v>
      </c>
      <c r="AA74" s="92" t="n">
        <f aca="false">IF(Y74=1,LN(K74),0)</f>
        <v>0.630739720431328</v>
      </c>
      <c r="AB74" s="93" t="n">
        <f aca="false">IF(Y74=1,E74,0)</f>
        <v>9.837</v>
      </c>
      <c r="AC74" s="89" t="n">
        <f aca="false">IF(Y74=1,COUNTIFS($Z$2:$Z$601,Z74,$Y$2:$Y$601,1),0)</f>
        <v>51</v>
      </c>
      <c r="AD74" s="89" t="n">
        <f aca="false">IF(Y74=1,COUNTIFS($N$2:$N$601,N74,$Y$2:$Y$601,1),0)</f>
        <v>137</v>
      </c>
      <c r="AE74" s="43" t="str">
        <f aca="false">IF(Y74&lt;&gt;1,"",IF(AND(AC74&gt;=설정!$C$7,ISNUMBER(MATCH(Z74,피어커브!$A:$A,0))),Z74,IF(AND(AD74&gt;=설정!$C$7,ISNUMBER(MATCH(N74&amp;"|전체",피어커브!$A:$A,0))),N74&amp;"|전체","전체|전체")))</f>
        <v>아시아/기타|정부</v>
      </c>
      <c r="AF74" s="93" t="n">
        <f aca="false">IF(AE74="","",INDEX(피어커브!$K:$K,MATCH(AE74,피어커브!$A:$A,0)))</f>
        <v>-1.54860147302313</v>
      </c>
      <c r="AG74" s="93" t="n">
        <f aca="false">IF(AE74="","",INDEX(피어커브!$J:$J,MATCH(AE74,피어커브!$A:$A,0)))</f>
        <v>19.8674994409945</v>
      </c>
      <c r="AH74" s="93" t="n">
        <f aca="false">IF(AE74="","",INDEX(피어커브!$L:$L,MATCH(AE74,피어커브!$A:$A,0)))</f>
        <v>13.6930241146778</v>
      </c>
      <c r="AI74" s="93" t="n">
        <f aca="false">IF(AE74="","",AF74+AG74*AA74)</f>
        <v>10.9826195700593</v>
      </c>
      <c r="AJ74" s="96" t="n">
        <f aca="false">IF(AE74="","",E74-AI74)</f>
        <v>-1.14561957005934</v>
      </c>
      <c r="AK74" s="95" t="n">
        <f aca="false">IF(AE74="","",IF(ISNUMBER(AH74),IF(AH74&gt;0,AJ74/AH74,""),""))</f>
        <v>-0.0836644674299034</v>
      </c>
      <c r="AL74" s="43" t="str">
        <f aca="false">IF(AK74="","-",IF(AK74&gt;=설정!$C$6,"Cheap",IF(AK74&lt;=-설정!$C$6,"Rich","Fair")))</f>
        <v>Fair</v>
      </c>
      <c r="AM74" s="96" t="n">
        <f aca="false">IF(AE74="","",AJ74-AVERAGEIFS($AJ$2:$AJ$601,$B$2:$B$601,B74,$Y$2:$Y$601,1))</f>
        <v>3.01435034304397</v>
      </c>
      <c r="AN74" s="93" t="n">
        <f aca="false">IF(AE74="",0,IF(K74&gt;1+설정!$C$8,AG74*(AA74-LN(K74-1)),0))</f>
        <v>15.0935400214047</v>
      </c>
      <c r="AO74" s="99" t="n">
        <f aca="false">IF($A74="",0,SUMIFS(보유분석!$AA$2:$AA$801,보유분석!$AB$2:$AB$801,ROW(),보유분석!$AC$2:$AC$801,1))</f>
        <v>0</v>
      </c>
      <c r="AP74" s="43" t="str">
        <f aca="false">IF($A74="","",TRIM(IF(R74=1,"FRN ","")&amp;IF(IFERROR(VLOOKUP(M74,설정!$A$15:$D$47,4,0),0)&gt;=10,IF(IFERROR(VLOOKUP(M74,설정!$A$15:$D$47,4,0),0)&lt;99,"BBB0미만 ",""),"")&amp;IF(OR(M74="",M74="NR"),"등급미입력 ","")&amp;IF(C74&lt;&gt;"USD","비USD ","")))</f>
        <v>등급미입력</v>
      </c>
      <c r="AQ74" s="90" t="n">
        <f aca="false">IF(AND(Y74=1,AL74="Cheap"),IF(AND(ISERROR(SEARCH("FRN",AP74)),ISERROR(SEARCH("BBB0미만",AP74))),AK74+ROW()/1000000000,-999),-999)</f>
        <v>-999</v>
      </c>
      <c r="AR74" s="92" t="n">
        <f aca="false">IF(AND(ISNUMBER(D74),ISNUMBER(K74)),D74+AN74*MAX(K74-1,0)/100,"")</f>
        <v>5.12067221678815</v>
      </c>
      <c r="AS74" s="93" t="n">
        <f aca="false">IF(AND(ISNUMBER(E74),ISNUMBER(K74)),IF(K74&gt;0,(E74+AN74*MAX(K74-1,0))/K74,""),"")</f>
        <v>12.296020052589</v>
      </c>
      <c r="AT74" s="90" t="n">
        <f aca="false">IFERROR(IF(AND(Y74=1,ROW()&lt;&gt;스왑분석!$C$12+1,ABS(K74-INDEX($K$2:$K$601,스왑분석!$C$12))&lt;=스왑분석!$C$5,ISERROR(SEARCH("FRN",AP74)),ISERROR(SEARCH("BBB0미만",AP74))),IF(AND(OR(스왑분석!$C$6="N",L74=INDEX($L$2:$L$601,스왑분석!$C$12)),OR(스왑분석!$C$7="N",N74=INDEX($N$2:$N$601,스왑분석!$C$12)),OR(스왑분석!$C$8="N",AO74=0),E74-INDEX($E$2:$E$601,스왑분석!$C$12)&gt;=스왑분석!$C$9),E74-INDEX($E$2:$E$601,스왑분석!$C$12)+ROW()/1000000000,-999),-999),-999)</f>
        <v>-999</v>
      </c>
      <c r="AU74" s="90" t="n">
        <f aca="false">IF(AND(Y74=1,AO74&gt;0,AL74="Rich"),-AK74+ROW()/1000000000,-999)</f>
        <v>-999</v>
      </c>
    </row>
    <row r="75" customFormat="false" ht="15" hidden="false" customHeight="false" outlineLevel="0" collapsed="false">
      <c r="A75" s="83" t="str">
        <f aca="false">IFERROR(IF(INDEX(원자료_시장!$A$1:$BZ$1000,설정!$L$6+ROW()-1,설정!$L$24)&amp;""="0","",INDEX(원자료_시장!$A$1:$BZ$1000,설정!$L$6+ROW()-1,설정!$L$24)),"")</f>
        <v>INDKOR 4 09/30/29</v>
      </c>
      <c r="B75" s="83" t="str">
        <f aca="false">IFERROR(IF(INDEX(원자료_시장!$A$1:$BZ$1000,설정!$L$6+ROW()-1,설정!$L$37)&amp;""="0","",INDEX(원자료_시장!$A$1:$BZ$1000,설정!$L$6+ROW()-1,설정!$L$37)),"")</f>
        <v>INDUSTRIAL BANK OF KOREA</v>
      </c>
      <c r="C75" s="83" t="str">
        <f aca="false">IFERROR(IF(INDEX(원자료_시장!$A$1:$BZ$1000,설정!$L$6+ROW()-1,설정!$L$25)&amp;""="0","",INDEX(원자료_시장!$A$1:$BZ$1000,설정!$L$6+ROW()-1,설정!$L$25)),"")</f>
        <v>USD</v>
      </c>
      <c r="D75" s="85" t="n">
        <f aca="false">IFERROR(IF(ISNUMBER(INDEX(원자료_시장!$A$1:$BZ$1000,설정!$L$6+ROW()-1,설정!$L$26)),INDEX(원자료_시장!$A$1:$BZ$1000,설정!$L$6+ROW()-1,설정!$L$26),""),"")</f>
        <v>5.116</v>
      </c>
      <c r="E75" s="97" t="n">
        <f aca="false">IFERROR(IF(ISNUMBER(INDEX(원자료_시장!$A$1:$BZ$1000,설정!$L$6+ROW()-1,설정!$L$27)),INDEX(원자료_시장!$A$1:$BZ$1000,설정!$L$6+ROW()-1,설정!$L$27),""),"")</f>
        <v>11.572</v>
      </c>
      <c r="F75" s="97" t="n">
        <f aca="false">IFERROR(IF(ISNUMBER(INDEX(원자료_시장!$A$1:$BZ$1000,설정!$L$6+ROW()-1,설정!$L$28)),INDEX(원자료_시장!$A$1:$BZ$1000,설정!$L$6+ROW()-1,설정!$L$28),""),"")</f>
        <v>37.991</v>
      </c>
      <c r="G75" s="97" t="n">
        <f aca="false">IFERROR(IF(ISNUMBER(INDEX(원자료_시장!$A$1:$BZ$1000,설정!$L$6+ROW()-1,설정!$L$29)),INDEX(원자료_시장!$A$1:$BZ$1000,설정!$L$6+ROW()-1,설정!$L$29),""),"")</f>
        <v>-1.8</v>
      </c>
      <c r="H75" s="97" t="n">
        <f aca="false">IFERROR(IF(ISNUMBER(INDEX(원자료_시장!$A$1:$BZ$1000,설정!$L$6+ROW()-1,설정!$L$30)),INDEX(원자료_시장!$A$1:$BZ$1000,설정!$L$6+ROW()-1,설정!$L$30),""),"")</f>
        <v>-0.2</v>
      </c>
      <c r="I75" s="97" t="n">
        <f aca="false">IFERROR(IF(ISNUMBER(INDEX(원자료_시장!$A$1:$BZ$1000,설정!$L$6+ROW()-1,설정!$L$31)),INDEX(원자료_시장!$A$1:$BZ$1000,설정!$L$6+ROW()-1,설정!$L$31),""),"")</f>
        <v>-3.8</v>
      </c>
      <c r="J75" s="97" t="n">
        <f aca="false">IFERROR(IF(ISNUMBER(INDEX(원자료_시장!$A$1:$BZ$1000,설정!$L$6+ROW()-1,설정!$L$32)),INDEX(원자료_시장!$A$1:$BZ$1000,설정!$L$6+ROW()-1,설정!$L$32),""),"")</f>
        <v>-8.3</v>
      </c>
      <c r="K75" s="85" t="n">
        <f aca="false">IFERROR(IF(ISNUMBER(INDEX(원자료_시장!$A$1:$BZ$1000,설정!$L$6+ROW()-1,설정!$L$33)),INDEX(원자료_시장!$A$1:$BZ$1000,설정!$L$6+ROW()-1,설정!$L$33),""),"")</f>
        <v>2.848</v>
      </c>
      <c r="L75" s="83" t="str">
        <f aca="false">IFERROR(IF(INDEX(원자료_시장!$A$1:$BZ$1000,설정!$L$6+ROW()-1,설정!$L$34)&amp;""="0","",INDEX(원자료_시장!$A$1:$BZ$1000,설정!$L$6+ROW()-1,설정!$L$34)),"")</f>
        <v>정부</v>
      </c>
      <c r="M75" s="83" t="n">
        <f aca="false">IFERROR(IF(INDEX(원자료_시장!$A$1:$BZ$1000,설정!$L$6+ROW()-1,설정!$L$35)&amp;""="0","",INDEX(원자료_시장!$A$1:$BZ$1000,설정!$L$6+ROW()-1,설정!$L$35)),"")</f>
        <v>0</v>
      </c>
      <c r="N75" s="83" t="str">
        <f aca="false">IFERROR(IF(INDEX(원자료_시장!$A$1:$BZ$1000,설정!$L$6+ROW()-1,설정!$L$36)&amp;""="0","",INDEX(원자료_시장!$A$1:$BZ$1000,설정!$L$6+ROW()-1,설정!$L$36)),"")</f>
        <v>아시아/기타</v>
      </c>
      <c r="O75" s="43" t="str">
        <f aca="false">IF($A75="","",UPPER(LEFT($A75,FIND(" ",$A75&amp;" ")-1)))</f>
        <v>INDKOR</v>
      </c>
      <c r="P75" s="43" t="str">
        <f aca="false">IF($A75="","",TRIM(RIGHT(SUBSTITUTE(TRIM($A75)," ",REPT(" ",30)),30)))</f>
        <v>09/30/29</v>
      </c>
      <c r="Q75" s="98" t="n">
        <f aca="false">IF($A75="","",IFERROR(DATE(IF(LEN(P75)=8,2000+VALUE(RIGHT(P75,2)),VALUE(RIGHT(P75,4))),VALUE(LEFT(P75,2)),VALUE(MID(P75,4,2))),""))</f>
        <v>47391</v>
      </c>
      <c r="R75" s="89" t="n">
        <f aca="false">IF($A75="",0,IF(ISNUMBER(SEARCH("Float",$A75)),1,0))</f>
        <v>0</v>
      </c>
      <c r="S75" s="43" t="str">
        <f aca="false">IF($A75="","",TRIM(MID($A75,LEN(O75)+2,LEN($A75)-LEN(O75)-LEN(P75)-1)))</f>
        <v>4</v>
      </c>
      <c r="T75" s="92" t="n">
        <f aca="false">IF(OR($A75="",R75=1),"",IFERROR(IF(ISNUMBER(FIND("/",S75)),IF(ISNUMBER(FIND(" ",S75)),VALUE(LEFT(S75,FIND(" ",S75)-1))+VALUE(MID(S75,FIND(" ",S75)+1,FIND("/",S75)-FIND(" ",S75)-1))/VALUE(MID(S75,FIND("/",S75)+1,9)),VALUE(LEFT(S75,FIND("/",S75)-1))/VALUE(MID(S75,FIND("/",S75)+1,9))),VALUE(S75)),""))</f>
        <v>4</v>
      </c>
      <c r="U75" s="43" t="str">
        <f aca="false">IF(OR($A75="",NOT(ISNUMBER(Q75))),"",TEXT(Q75,"yyyymmdd")&amp;"|"&amp;IF(R75=1,"F",TEXT(T75,"0.000")))</f>
        <v>20290930|4.000</v>
      </c>
      <c r="V75" s="43" t="str">
        <f aca="false">IF(U75="","",O75&amp;"|"&amp;U75)</f>
        <v>INDKOR|20290930|4.000</v>
      </c>
      <c r="W75" s="43" t="str">
        <f aca="false">IF($A75="","",IFERROR(IF(VLOOKUP(O75,매핑!$A$4:$E$92,3,0)="","미분류",VLOOKUP(O75,매핑!$A$4:$E$92,3,0)),"미분류"))</f>
        <v>한국</v>
      </c>
      <c r="X75" s="89" t="n">
        <f aca="false">IF($A75="",0,IF(O75="T",1,0))</f>
        <v>0</v>
      </c>
      <c r="Y75" s="89" t="n">
        <f aca="false">IF($A75="",0,IF(AND(C75="USD",X75=0,ISNUMBER(E75),ISNUMBER(K75)),IF(K75&gt;=설정!$C$8,1,0),0))</f>
        <v>1</v>
      </c>
      <c r="Z75" s="43" t="str">
        <f aca="false">IF($A75="","",N75&amp;"|"&amp;L75)</f>
        <v>아시아/기타|정부</v>
      </c>
      <c r="AA75" s="92" t="n">
        <f aca="false">IF(Y75=1,LN(K75),0)</f>
        <v>1.04661699354973</v>
      </c>
      <c r="AB75" s="93" t="n">
        <f aca="false">IF(Y75=1,E75,0)</f>
        <v>11.572</v>
      </c>
      <c r="AC75" s="89" t="n">
        <f aca="false">IF(Y75=1,COUNTIFS($Z$2:$Z$601,Z75,$Y$2:$Y$601,1),0)</f>
        <v>51</v>
      </c>
      <c r="AD75" s="89" t="n">
        <f aca="false">IF(Y75=1,COUNTIFS($N$2:$N$601,N75,$Y$2:$Y$601,1),0)</f>
        <v>137</v>
      </c>
      <c r="AE75" s="43" t="str">
        <f aca="false">IF(Y75&lt;&gt;1,"",IF(AND(AC75&gt;=설정!$C$7,ISNUMBER(MATCH(Z75,피어커브!$A:$A,0))),Z75,IF(AND(AD75&gt;=설정!$C$7,ISNUMBER(MATCH(N75&amp;"|전체",피어커브!$A:$A,0))),N75&amp;"|전체","전체|전체")))</f>
        <v>아시아/기타|정부</v>
      </c>
      <c r="AF75" s="93" t="n">
        <f aca="false">IF(AE75="","",INDEX(피어커브!$K:$K,MATCH(AE75,피어커브!$A:$A,0)))</f>
        <v>-1.54860147302313</v>
      </c>
      <c r="AG75" s="93" t="n">
        <f aca="false">IF(AE75="","",INDEX(피어커브!$J:$J,MATCH(AE75,피어커브!$A:$A,0)))</f>
        <v>19.8674994409945</v>
      </c>
      <c r="AH75" s="93" t="n">
        <f aca="false">IF(AE75="","",INDEX(피어커브!$L:$L,MATCH(AE75,피어커브!$A:$A,0)))</f>
        <v>13.6930241146778</v>
      </c>
      <c r="AI75" s="93" t="n">
        <f aca="false">IF(AE75="","",AF75+AG75*AA75)</f>
        <v>19.2450610612615</v>
      </c>
      <c r="AJ75" s="96" t="n">
        <f aca="false">IF(AE75="","",E75-AI75)</f>
        <v>-7.67306106126151</v>
      </c>
      <c r="AK75" s="95" t="n">
        <f aca="false">IF(AE75="","",IF(ISNUMBER(AH75),IF(AH75&gt;0,AJ75/AH75,""),""))</f>
        <v>-0.560362780128066</v>
      </c>
      <c r="AL75" s="43" t="str">
        <f aca="false">IF(AK75="","-",IF(AK75&gt;=설정!$C$6,"Cheap",IF(AK75&lt;=-설정!$C$6,"Rich","Fair")))</f>
        <v>Fair</v>
      </c>
      <c r="AM75" s="96" t="n">
        <f aca="false">IF(AE75="","",AJ75-AVERAGEIFS($AJ$2:$AJ$601,$B$2:$B$601,B75,$Y$2:$Y$601,1))</f>
        <v>-3.5130911481582</v>
      </c>
      <c r="AN75" s="93" t="n">
        <f aca="false">IF(AE75="",0,IF(K75&gt;1+설정!$C$8,AG75*(AA75-LN(K75-1)),0))</f>
        <v>8.59295218963385</v>
      </c>
      <c r="AO75" s="99" t="n">
        <f aca="false">IF($A75="",0,SUMIFS(보유분석!$AA$2:$AA$801,보유분석!$AB$2:$AB$801,ROW(),보유분석!$AC$2:$AC$801,1))</f>
        <v>0</v>
      </c>
      <c r="AP75" s="43" t="str">
        <f aca="false">IF($A75="","",TRIM(IF(R75=1,"FRN ","")&amp;IF(IFERROR(VLOOKUP(M75,설정!$A$15:$D$47,4,0),0)&gt;=10,IF(IFERROR(VLOOKUP(M75,설정!$A$15:$D$47,4,0),0)&lt;99,"BBB0미만 ",""),"")&amp;IF(OR(M75="",M75="NR"),"등급미입력 ","")&amp;IF(C75&lt;&gt;"USD","비USD ","")))</f>
        <v>등급미입력</v>
      </c>
      <c r="AQ75" s="90" t="n">
        <f aca="false">IF(AND(Y75=1,AL75="Cheap"),IF(AND(ISERROR(SEARCH("FRN",AP75)),ISERROR(SEARCH("BBB0미만",AP75))),AK75+ROW()/1000000000,-999),-999)</f>
        <v>-999</v>
      </c>
      <c r="AR75" s="92" t="n">
        <f aca="false">IF(AND(ISNUMBER(D75),ISNUMBER(K75)),D75+AN75*MAX(K75-1,0)/100,"")</f>
        <v>5.27479775646443</v>
      </c>
      <c r="AS75" s="93" t="n">
        <f aca="false">IF(AND(ISNUMBER(E75),ISNUMBER(K75)),IF(K75&gt;0,(E75+AN75*MAX(K75-1,0))/K75,""),"")</f>
        <v>9.63896616799275</v>
      </c>
      <c r="AT75" s="90" t="n">
        <f aca="false">IFERROR(IF(AND(Y75=1,ROW()&lt;&gt;스왑분석!$C$12+1,ABS(K75-INDEX($K$2:$K$601,스왑분석!$C$12))&lt;=스왑분석!$C$5,ISERROR(SEARCH("FRN",AP75)),ISERROR(SEARCH("BBB0미만",AP75))),IF(AND(OR(스왑분석!$C$6="N",L75=INDEX($L$2:$L$601,스왑분석!$C$12)),OR(스왑분석!$C$7="N",N75=INDEX($N$2:$N$601,스왑분석!$C$12)),OR(스왑분석!$C$8="N",AO75=0),E75-INDEX($E$2:$E$601,스왑분석!$C$12)&gt;=스왑분석!$C$9),E75-INDEX($E$2:$E$601,스왑분석!$C$12)+ROW()/1000000000,-999),-999),-999)</f>
        <v>-999</v>
      </c>
      <c r="AU75" s="90" t="n">
        <f aca="false">IF(AND(Y75=1,AO75&gt;0,AL75="Rich"),-AK75+ROW()/1000000000,-999)</f>
        <v>-999</v>
      </c>
    </row>
    <row r="76" customFormat="false" ht="15" hidden="false" customHeight="false" outlineLevel="0" collapsed="false">
      <c r="A76" s="83" t="str">
        <f aca="false">IFERROR(IF(INDEX(원자료_시장!$A$1:$BZ$1000,설정!$L$6+ROW()-1,설정!$L$24)&amp;""="0","",INDEX(원자료_시장!$A$1:$BZ$1000,설정!$L$6+ROW()-1,설정!$L$24)),"")</f>
        <v>INDKOR 4 3/8 06/24/30</v>
      </c>
      <c r="B76" s="83" t="str">
        <f aca="false">IFERROR(IF(INDEX(원자료_시장!$A$1:$BZ$1000,설정!$L$6+ROW()-1,설정!$L$37)&amp;""="0","",INDEX(원자료_시장!$A$1:$BZ$1000,설정!$L$6+ROW()-1,설정!$L$37)),"")</f>
        <v>INDUSTRIAL BANK OF KOREA</v>
      </c>
      <c r="C76" s="83" t="str">
        <f aca="false">IFERROR(IF(INDEX(원자료_시장!$A$1:$BZ$1000,설정!$L$6+ROW()-1,설정!$L$25)&amp;""="0","",INDEX(원자료_시장!$A$1:$BZ$1000,설정!$L$6+ROW()-1,설정!$L$25)),"")</f>
        <v>USD</v>
      </c>
      <c r="D76" s="85" t="n">
        <f aca="false">IFERROR(IF(ISNUMBER(INDEX(원자료_시장!$A$1:$BZ$1000,설정!$L$6+ROW()-1,설정!$L$26)),INDEX(원자료_시장!$A$1:$BZ$1000,설정!$L$6+ROW()-1,설정!$L$26),""),"")</f>
        <v>5.28</v>
      </c>
      <c r="E76" s="97" t="n">
        <f aca="false">IFERROR(IF(ISNUMBER(INDEX(원자료_시장!$A$1:$BZ$1000,설정!$L$6+ROW()-1,설정!$L$27)),INDEX(원자료_시장!$A$1:$BZ$1000,설정!$L$6+ROW()-1,설정!$L$27),""),"")</f>
        <v>19.307</v>
      </c>
      <c r="F76" s="97" t="n">
        <f aca="false">IFERROR(IF(ISNUMBER(INDEX(원자료_시장!$A$1:$BZ$1000,설정!$L$6+ROW()-1,설정!$L$28)),INDEX(원자료_시장!$A$1:$BZ$1000,설정!$L$6+ROW()-1,설정!$L$28),""),"")</f>
        <v>53.692</v>
      </c>
      <c r="G76" s="97" t="n">
        <f aca="false">IFERROR(IF(ISNUMBER(INDEX(원자료_시장!$A$1:$BZ$1000,설정!$L$6+ROW()-1,설정!$L$29)),INDEX(원자료_시장!$A$1:$BZ$1000,설정!$L$6+ROW()-1,설정!$L$29),""),"")</f>
        <v>-2</v>
      </c>
      <c r="H76" s="97" t="n">
        <f aca="false">IFERROR(IF(ISNUMBER(INDEX(원자료_시장!$A$1:$BZ$1000,설정!$L$6+ROW()-1,설정!$L$30)),INDEX(원자료_시장!$A$1:$BZ$1000,설정!$L$6+ROW()-1,설정!$L$30),""),"")</f>
        <v>15.2</v>
      </c>
      <c r="I76" s="97" t="n">
        <f aca="false">IFERROR(IF(ISNUMBER(INDEX(원자료_시장!$A$1:$BZ$1000,설정!$L$6+ROW()-1,설정!$L$31)),INDEX(원자료_시장!$A$1:$BZ$1000,설정!$L$6+ROW()-1,설정!$L$31),""),"")</f>
        <v>2.8</v>
      </c>
      <c r="J76" s="97" t="n">
        <f aca="false">IFERROR(IF(ISNUMBER(INDEX(원자료_시장!$A$1:$BZ$1000,설정!$L$6+ROW()-1,설정!$L$32)),INDEX(원자료_시장!$A$1:$BZ$1000,설정!$L$6+ROW()-1,설정!$L$32),""),"")</f>
        <v>1.6</v>
      </c>
      <c r="K76" s="85" t="n">
        <f aca="false">IFERROR(IF(ISNUMBER(INDEX(원자료_시장!$A$1:$BZ$1000,설정!$L$6+ROW()-1,설정!$L$33)),INDEX(원자료_시장!$A$1:$BZ$1000,설정!$L$6+ROW()-1,설정!$L$33),""),"")</f>
        <v>3.435</v>
      </c>
      <c r="L76" s="83" t="str">
        <f aca="false">IFERROR(IF(INDEX(원자료_시장!$A$1:$BZ$1000,설정!$L$6+ROW()-1,설정!$L$34)&amp;""="0","",INDEX(원자료_시장!$A$1:$BZ$1000,설정!$L$6+ROW()-1,설정!$L$34)),"")</f>
        <v>정부</v>
      </c>
      <c r="M76" s="83" t="n">
        <f aca="false">IFERROR(IF(INDEX(원자료_시장!$A$1:$BZ$1000,설정!$L$6+ROW()-1,설정!$L$35)&amp;""="0","",INDEX(원자료_시장!$A$1:$BZ$1000,설정!$L$6+ROW()-1,설정!$L$35)),"")</f>
        <v>0</v>
      </c>
      <c r="N76" s="83" t="str">
        <f aca="false">IFERROR(IF(INDEX(원자료_시장!$A$1:$BZ$1000,설정!$L$6+ROW()-1,설정!$L$36)&amp;""="0","",INDEX(원자료_시장!$A$1:$BZ$1000,설정!$L$6+ROW()-1,설정!$L$36)),"")</f>
        <v>아시아/기타</v>
      </c>
      <c r="O76" s="43" t="str">
        <f aca="false">IF($A76="","",UPPER(LEFT($A76,FIND(" ",$A76&amp;" ")-1)))</f>
        <v>INDKOR</v>
      </c>
      <c r="P76" s="43" t="str">
        <f aca="false">IF($A76="","",TRIM(RIGHT(SUBSTITUTE(TRIM($A76)," ",REPT(" ",30)),30)))</f>
        <v>06/24/30</v>
      </c>
      <c r="Q76" s="98" t="n">
        <f aca="false">IF($A76="","",IFERROR(DATE(IF(LEN(P76)=8,2000+VALUE(RIGHT(P76,2)),VALUE(RIGHT(P76,4))),VALUE(LEFT(P76,2)),VALUE(MID(P76,4,2))),""))</f>
        <v>47658</v>
      </c>
      <c r="R76" s="89" t="n">
        <f aca="false">IF($A76="",0,IF(ISNUMBER(SEARCH("Float",$A76)),1,0))</f>
        <v>0</v>
      </c>
      <c r="S76" s="43" t="str">
        <f aca="false">IF($A76="","",TRIM(MID($A76,LEN(O76)+2,LEN($A76)-LEN(O76)-LEN(P76)-1)))</f>
        <v>4 3/8</v>
      </c>
      <c r="T76" s="92" t="n">
        <f aca="false">IF(OR($A76="",R76=1),"",IFERROR(IF(ISNUMBER(FIND("/",S76)),IF(ISNUMBER(FIND(" ",S76)),VALUE(LEFT(S76,FIND(" ",S76)-1))+VALUE(MID(S76,FIND(" ",S76)+1,FIND("/",S76)-FIND(" ",S76)-1))/VALUE(MID(S76,FIND("/",S76)+1,9)),VALUE(LEFT(S76,FIND("/",S76)-1))/VALUE(MID(S76,FIND("/",S76)+1,9))),VALUE(S76)),""))</f>
        <v>4.375</v>
      </c>
      <c r="U76" s="43" t="str">
        <f aca="false">IF(OR($A76="",NOT(ISNUMBER(Q76))),"",TEXT(Q76,"yyyymmdd")&amp;"|"&amp;IF(R76=1,"F",TEXT(T76,"0.000")))</f>
        <v>20300624|4.375</v>
      </c>
      <c r="V76" s="43" t="str">
        <f aca="false">IF(U76="","",O76&amp;"|"&amp;U76)</f>
        <v>INDKOR|20300624|4.375</v>
      </c>
      <c r="W76" s="43" t="str">
        <f aca="false">IF($A76="","",IFERROR(IF(VLOOKUP(O76,매핑!$A$4:$E$92,3,0)="","미분류",VLOOKUP(O76,매핑!$A$4:$E$92,3,0)),"미분류"))</f>
        <v>한국</v>
      </c>
      <c r="X76" s="89" t="n">
        <f aca="false">IF($A76="",0,IF(O76="T",1,0))</f>
        <v>0</v>
      </c>
      <c r="Y76" s="89" t="n">
        <f aca="false">IF($A76="",0,IF(AND(C76="USD",X76=0,ISNUMBER(E76),ISNUMBER(K76)),IF(K76&gt;=설정!$C$8,1,0),0))</f>
        <v>1</v>
      </c>
      <c r="Z76" s="43" t="str">
        <f aca="false">IF($A76="","",N76&amp;"|"&amp;L76)</f>
        <v>아시아/기타|정부</v>
      </c>
      <c r="AA76" s="92" t="n">
        <f aca="false">IF(Y76=1,LN(K76),0)</f>
        <v>1.23401692567431</v>
      </c>
      <c r="AB76" s="93" t="n">
        <f aca="false">IF(Y76=1,E76,0)</f>
        <v>19.307</v>
      </c>
      <c r="AC76" s="89" t="n">
        <f aca="false">IF(Y76=1,COUNTIFS($Z$2:$Z$601,Z76,$Y$2:$Y$601,1),0)</f>
        <v>51</v>
      </c>
      <c r="AD76" s="89" t="n">
        <f aca="false">IF(Y76=1,COUNTIFS($N$2:$N$601,N76,$Y$2:$Y$601,1),0)</f>
        <v>137</v>
      </c>
      <c r="AE76" s="43" t="str">
        <f aca="false">IF(Y76&lt;&gt;1,"",IF(AND(AC76&gt;=설정!$C$7,ISNUMBER(MATCH(Z76,피어커브!$A:$A,0))),Z76,IF(AND(AD76&gt;=설정!$C$7,ISNUMBER(MATCH(N76&amp;"|전체",피어커브!$A:$A,0))),N76&amp;"|전체","전체|전체")))</f>
        <v>아시아/기타|정부</v>
      </c>
      <c r="AF76" s="93" t="n">
        <f aca="false">IF(AE76="","",INDEX(피어커브!$K:$K,MATCH(AE76,피어커브!$A:$A,0)))</f>
        <v>-1.54860147302313</v>
      </c>
      <c r="AG76" s="93" t="n">
        <f aca="false">IF(AE76="","",INDEX(피어커브!$J:$J,MATCH(AE76,피어커브!$A:$A,0)))</f>
        <v>19.8674994409945</v>
      </c>
      <c r="AH76" s="93" t="n">
        <f aca="false">IF(AE76="","",INDEX(피어커브!$L:$L,MATCH(AE76,피어커브!$A:$A,0)))</f>
        <v>13.6930241146778</v>
      </c>
      <c r="AI76" s="93" t="n">
        <f aca="false">IF(AE76="","",AF76+AG76*AA76)</f>
        <v>22.9682291079891</v>
      </c>
      <c r="AJ76" s="96" t="n">
        <f aca="false">IF(AE76="","",E76-AI76)</f>
        <v>-3.66122910798909</v>
      </c>
      <c r="AK76" s="95" t="n">
        <f aca="false">IF(AE76="","",IF(ISNUMBER(AH76),IF(AH76&gt;0,AJ76/AH76,""),""))</f>
        <v>-0.267379147026006</v>
      </c>
      <c r="AL76" s="43" t="str">
        <f aca="false">IF(AK76="","-",IF(AK76&gt;=설정!$C$6,"Cheap",IF(AK76&lt;=-설정!$C$6,"Rich","Fair")))</f>
        <v>Fair</v>
      </c>
      <c r="AM76" s="96" t="n">
        <f aca="false">IF(AE76="","",AJ76-AVERAGEIFS($AJ$2:$AJ$601,$B$2:$B$601,B76,$Y$2:$Y$601,1))</f>
        <v>0.498740805114225</v>
      </c>
      <c r="AN76" s="93" t="n">
        <f aca="false">IF(AE76="",0,IF(K76&gt;1+설정!$C$8,AG76*(AA76-LN(K76-1)),0))</f>
        <v>6.83581389304707</v>
      </c>
      <c r="AO76" s="99" t="n">
        <f aca="false">IF($A76="",0,SUMIFS(보유분석!$AA$2:$AA$801,보유분석!$AB$2:$AB$801,ROW(),보유분석!$AC$2:$AC$801,1))</f>
        <v>0</v>
      </c>
      <c r="AP76" s="43" t="str">
        <f aca="false">IF($A76="","",TRIM(IF(R76=1,"FRN ","")&amp;IF(IFERROR(VLOOKUP(M76,설정!$A$15:$D$47,4,0),0)&gt;=10,IF(IFERROR(VLOOKUP(M76,설정!$A$15:$D$47,4,0),0)&lt;99,"BBB0미만 ",""),"")&amp;IF(OR(M76="",M76="NR"),"등급미입력 ","")&amp;IF(C76&lt;&gt;"USD","비USD ","")))</f>
        <v>등급미입력</v>
      </c>
      <c r="AQ76" s="90" t="n">
        <f aca="false">IF(AND(Y76=1,AL76="Cheap"),IF(AND(ISERROR(SEARCH("FRN",AP76)),ISERROR(SEARCH("BBB0미만",AP76))),AK76+ROW()/1000000000,-999),-999)</f>
        <v>-999</v>
      </c>
      <c r="AR76" s="92" t="n">
        <f aca="false">IF(AND(ISNUMBER(D76),ISNUMBER(K76)),D76+AN76*MAX(K76-1,0)/100,"")</f>
        <v>5.4464520682957</v>
      </c>
      <c r="AS76" s="93" t="n">
        <f aca="false">IF(AND(ISNUMBER(E76),ISNUMBER(K76)),IF(K76&gt;0,(E76+AN76*MAX(K76-1,0))/K76,""),"")</f>
        <v>10.4664357582444</v>
      </c>
      <c r="AT76" s="90" t="n">
        <f aca="false">IFERROR(IF(AND(Y76=1,ROW()&lt;&gt;스왑분석!$C$12+1,ABS(K76-INDEX($K$2:$K$601,스왑분석!$C$12))&lt;=스왑분석!$C$5,ISERROR(SEARCH("FRN",AP76)),ISERROR(SEARCH("BBB0미만",AP76))),IF(AND(OR(스왑분석!$C$6="N",L76=INDEX($L$2:$L$601,스왑분석!$C$12)),OR(스왑분석!$C$7="N",N76=INDEX($N$2:$N$601,스왑분석!$C$12)),OR(스왑분석!$C$8="N",AO76=0),E76-INDEX($E$2:$E$601,스왑분석!$C$12)&gt;=스왑분석!$C$9),E76-INDEX($E$2:$E$601,스왑분석!$C$12)+ROW()/1000000000,-999),-999),-999)</f>
        <v>-999</v>
      </c>
      <c r="AU76" s="90" t="n">
        <f aca="false">IF(AND(Y76=1,AO76&gt;0,AL76="Rich"),-AK76+ROW()/1000000000,-999)</f>
        <v>-999</v>
      </c>
    </row>
    <row r="77" customFormat="false" ht="15" hidden="false" customHeight="false" outlineLevel="0" collapsed="false">
      <c r="A77" s="83" t="str">
        <f aca="false">IFERROR(IF(INDEX(원자료_시장!$A$1:$BZ$1000,설정!$L$6+ROW()-1,설정!$L$24)&amp;""="0","",INDEX(원자료_시장!$A$1:$BZ$1000,설정!$L$6+ROW()-1,설정!$L$24)),"")</f>
        <v>INTNED 4.803 03/23/32</v>
      </c>
      <c r="B77" s="83" t="str">
        <f aca="false">IFERROR(IF(INDEX(원자료_시장!$A$1:$BZ$1000,설정!$L$6+ROW()-1,설정!$L$37)&amp;""="0","",INDEX(원자료_시장!$A$1:$BZ$1000,설정!$L$6+ROW()-1,설정!$L$37)),"")</f>
        <v>ING GROEP NV</v>
      </c>
      <c r="C77" s="83" t="str">
        <f aca="false">IFERROR(IF(INDEX(원자료_시장!$A$1:$BZ$1000,설정!$L$6+ROW()-1,설정!$L$25)&amp;""="0","",INDEX(원자료_시장!$A$1:$BZ$1000,설정!$L$6+ROW()-1,설정!$L$25)),"")</f>
        <v>USD</v>
      </c>
      <c r="D77" s="85" t="n">
        <f aca="false">IFERROR(IF(ISNUMBER(INDEX(원자료_시장!$A$1:$BZ$1000,설정!$L$6+ROW()-1,설정!$L$26)),INDEX(원자료_시장!$A$1:$BZ$1000,설정!$L$6+ROW()-1,설정!$L$26),""),"")</f>
        <v>5.798</v>
      </c>
      <c r="E77" s="97" t="n">
        <f aca="false">IFERROR(IF(ISNUMBER(INDEX(원자료_시장!$A$1:$BZ$1000,설정!$L$6+ROW()-1,설정!$L$27)),INDEX(원자료_시장!$A$1:$BZ$1000,설정!$L$6+ROW()-1,설정!$L$27),""),"")</f>
        <v>83.476</v>
      </c>
      <c r="F77" s="97" t="n">
        <f aca="false">IFERROR(IF(ISNUMBER(INDEX(원자료_시장!$A$1:$BZ$1000,설정!$L$6+ROW()-1,설정!$L$28)),INDEX(원자료_시장!$A$1:$BZ$1000,설정!$L$6+ROW()-1,설정!$L$28),""),"")</f>
        <v>117.187</v>
      </c>
      <c r="G77" s="97" t="n">
        <f aca="false">IFERROR(IF(ISNUMBER(INDEX(원자료_시장!$A$1:$BZ$1000,설정!$L$6+ROW()-1,설정!$L$29)),INDEX(원자료_시장!$A$1:$BZ$1000,설정!$L$6+ROW()-1,설정!$L$29),""),"")</f>
        <v>-0.6</v>
      </c>
      <c r="H77" s="97" t="n">
        <f aca="false">IFERROR(IF(ISNUMBER(INDEX(원자료_시장!$A$1:$BZ$1000,설정!$L$6+ROW()-1,설정!$L$30)),INDEX(원자료_시장!$A$1:$BZ$1000,설정!$L$6+ROW()-1,설정!$L$30),""),"")</f>
        <v>3.6</v>
      </c>
      <c r="I77" s="97" t="n">
        <f aca="false">IFERROR(IF(ISNUMBER(INDEX(원자료_시장!$A$1:$BZ$1000,설정!$L$6+ROW()-1,설정!$L$31)),INDEX(원자료_시장!$A$1:$BZ$1000,설정!$L$6+ROW()-1,설정!$L$31),""),"")</f>
        <v>0.2</v>
      </c>
      <c r="J77" s="97" t="n">
        <f aca="false">IFERROR(IF(ISNUMBER(INDEX(원자료_시장!$A$1:$BZ$1000,설정!$L$6+ROW()-1,설정!$L$32)),INDEX(원자료_시장!$A$1:$BZ$1000,설정!$L$6+ROW()-1,설정!$L$32),""),"")</f>
        <v>-1</v>
      </c>
      <c r="K77" s="85" t="n">
        <f aca="false">IFERROR(IF(ISNUMBER(INDEX(원자료_시장!$A$1:$BZ$1000,설정!$L$6+ROW()-1,설정!$L$33)),INDEX(원자료_시장!$A$1:$BZ$1000,설정!$L$6+ROW()-1,설정!$L$33),""),"")</f>
        <v>4.064</v>
      </c>
      <c r="L77" s="83" t="str">
        <f aca="false">IFERROR(IF(INDEX(원자료_시장!$A$1:$BZ$1000,설정!$L$6+ROW()-1,설정!$L$34)&amp;""="0","",INDEX(원자료_시장!$A$1:$BZ$1000,설정!$L$6+ROW()-1,설정!$L$34)),"")</f>
        <v>금융기관</v>
      </c>
      <c r="M77" s="83" t="str">
        <f aca="false">IFERROR(IF(INDEX(원자료_시장!$A$1:$BZ$1000,설정!$L$6+ROW()-1,설정!$L$35)&amp;""="0","",INDEX(원자료_시장!$A$1:$BZ$1000,설정!$L$6+ROW()-1,설정!$L$35)),"")</f>
        <v>A-</v>
      </c>
      <c r="N77" s="83" t="str">
        <f aca="false">IFERROR(IF(INDEX(원자료_시장!$A$1:$BZ$1000,설정!$L$6+ROW()-1,설정!$L$36)&amp;""="0","",INDEX(원자료_시장!$A$1:$BZ$1000,설정!$L$6+ROW()-1,설정!$L$36)),"")</f>
        <v>유럽</v>
      </c>
      <c r="O77" s="43" t="str">
        <f aca="false">IF($A77="","",UPPER(LEFT($A77,FIND(" ",$A77&amp;" ")-1)))</f>
        <v>INTNED</v>
      </c>
      <c r="P77" s="43" t="str">
        <f aca="false">IF($A77="","",TRIM(RIGHT(SUBSTITUTE(TRIM($A77)," ",REPT(" ",30)),30)))</f>
        <v>03/23/32</v>
      </c>
      <c r="Q77" s="98" t="n">
        <f aca="false">IF($A77="","",IFERROR(DATE(IF(LEN(P77)=8,2000+VALUE(RIGHT(P77,2)),VALUE(RIGHT(P77,4))),VALUE(LEFT(P77,2)),VALUE(MID(P77,4,2))),""))</f>
        <v>48296</v>
      </c>
      <c r="R77" s="89" t="n">
        <f aca="false">IF($A77="",0,IF(ISNUMBER(SEARCH("Float",$A77)),1,0))</f>
        <v>0</v>
      </c>
      <c r="S77" s="43" t="str">
        <f aca="false">IF($A77="","",TRIM(MID($A77,LEN(O77)+2,LEN($A77)-LEN(O77)-LEN(P77)-1)))</f>
        <v>4.803</v>
      </c>
      <c r="T77" s="92" t="n">
        <f aca="false">IF(OR($A77="",R77=1),"",IFERROR(IF(ISNUMBER(FIND("/",S77)),IF(ISNUMBER(FIND(" ",S77)),VALUE(LEFT(S77,FIND(" ",S77)-1))+VALUE(MID(S77,FIND(" ",S77)+1,FIND("/",S77)-FIND(" ",S77)-1))/VALUE(MID(S77,FIND("/",S77)+1,9)),VALUE(LEFT(S77,FIND("/",S77)-1))/VALUE(MID(S77,FIND("/",S77)+1,9))),VALUE(S77)),""))</f>
        <v>4.803</v>
      </c>
      <c r="U77" s="43" t="str">
        <f aca="false">IF(OR($A77="",NOT(ISNUMBER(Q77))),"",TEXT(Q77,"yyyymmdd")&amp;"|"&amp;IF(R77=1,"F",TEXT(T77,"0.000")))</f>
        <v>20320323|4.803</v>
      </c>
      <c r="V77" s="43" t="str">
        <f aca="false">IF(U77="","",O77&amp;"|"&amp;U77)</f>
        <v>INTNED|20320323|4.803</v>
      </c>
      <c r="W77" s="43" t="str">
        <f aca="false">IF($A77="","",IFERROR(IF(VLOOKUP(O77,매핑!$A$4:$E$92,3,0)="","미분류",VLOOKUP(O77,매핑!$A$4:$E$92,3,0)),"미분류"))</f>
        <v>네덜란드</v>
      </c>
      <c r="X77" s="89" t="n">
        <f aca="false">IF($A77="",0,IF(O77="T",1,0))</f>
        <v>0</v>
      </c>
      <c r="Y77" s="89" t="n">
        <f aca="false">IF($A77="",0,IF(AND(C77="USD",X77=0,ISNUMBER(E77),ISNUMBER(K77)),IF(K77&gt;=설정!$C$8,1,0),0))</f>
        <v>1</v>
      </c>
      <c r="Z77" s="43" t="str">
        <f aca="false">IF($A77="","",N77&amp;"|"&amp;L77)</f>
        <v>유럽|금융기관</v>
      </c>
      <c r="AA77" s="92" t="n">
        <f aca="false">IF(Y77=1,LN(K77),0)</f>
        <v>1.40216771027618</v>
      </c>
      <c r="AB77" s="93" t="n">
        <f aca="false">IF(Y77=1,E77,0)</f>
        <v>83.476</v>
      </c>
      <c r="AC77" s="89" t="n">
        <f aca="false">IF(Y77=1,COUNTIFS($Z$2:$Z$601,Z77,$Y$2:$Y$601,1),0)</f>
        <v>32</v>
      </c>
      <c r="AD77" s="89" t="n">
        <f aca="false">IF(Y77=1,COUNTIFS($N$2:$N$601,N77,$Y$2:$Y$601,1),0)</f>
        <v>32</v>
      </c>
      <c r="AE77" s="43" t="str">
        <f aca="false">IF(Y77&lt;&gt;1,"",IF(AND(AC77&gt;=설정!$C$7,ISNUMBER(MATCH(Z77,피어커브!$A:$A,0))),Z77,IF(AND(AD77&gt;=설정!$C$7,ISNUMBER(MATCH(N77&amp;"|전체",피어커브!$A:$A,0))),N77&amp;"|전체","전체|전체")))</f>
        <v>유럽|금융기관</v>
      </c>
      <c r="AF77" s="93" t="n">
        <f aca="false">IF(AE77="","",INDEX(피어커브!$K:$K,MATCH(AE77,피어커브!$A:$A,0)))</f>
        <v>43.3660967921697</v>
      </c>
      <c r="AG77" s="93" t="n">
        <f aca="false">IF(AE77="","",INDEX(피어커브!$J:$J,MATCH(AE77,피어커브!$A:$A,0)))</f>
        <v>30.582858826536</v>
      </c>
      <c r="AH77" s="93" t="n">
        <f aca="false">IF(AE77="","",INDEX(피어커브!$L:$L,MATCH(AE77,피어커브!$A:$A,0)))</f>
        <v>10.9882810943096</v>
      </c>
      <c r="AI77" s="93" t="n">
        <f aca="false">IF(AE77="","",AF77+AG77*AA77)</f>
        <v>86.2483939266734</v>
      </c>
      <c r="AJ77" s="96" t="n">
        <f aca="false">IF(AE77="","",E77-AI77)</f>
        <v>-2.77239392667337</v>
      </c>
      <c r="AK77" s="95" t="n">
        <f aca="false">IF(AE77="","",IF(ISNUMBER(AH77),IF(AH77&gt;0,AJ77/AH77,""),""))</f>
        <v>-0.252304605504594</v>
      </c>
      <c r="AL77" s="43" t="str">
        <f aca="false">IF(AK77="","-",IF(AK77&gt;=설정!$C$6,"Cheap",IF(AK77&lt;=-설정!$C$6,"Rich","Fair")))</f>
        <v>Fair</v>
      </c>
      <c r="AM77" s="96" t="n">
        <f aca="false">IF(AE77="","",AJ77-AVERAGEIFS($AJ$2:$AJ$601,$B$2:$B$601,B77,$Y$2:$Y$601,1))</f>
        <v>0</v>
      </c>
      <c r="AN77" s="93" t="n">
        <f aca="false">IF(AE77="",0,IF(K77&gt;1+설정!$C$8,AG77*(AA77-LN(K77-1)),0))</f>
        <v>8.63802016323609</v>
      </c>
      <c r="AO77" s="99" t="n">
        <f aca="false">IF($A77="",0,SUMIFS(보유분석!$AA$2:$AA$801,보유분석!$AB$2:$AB$801,ROW(),보유분석!$AC$2:$AC$801,1))</f>
        <v>9.5834</v>
      </c>
      <c r="AP77" s="43" t="str">
        <f aca="false">IF($A77="","",TRIM(IF(R77=1,"FRN ","")&amp;IF(IFERROR(VLOOKUP(M77,설정!$A$15:$D$47,4,0),0)&gt;=10,IF(IFERROR(VLOOKUP(M77,설정!$A$15:$D$47,4,0),0)&lt;99,"BBB0미만 ",""),"")&amp;IF(OR(M77="",M77="NR"),"등급미입력 ","")&amp;IF(C77&lt;&gt;"USD","비USD ","")))</f>
        <v/>
      </c>
      <c r="AQ77" s="90" t="n">
        <f aca="false">IF(AND(Y77=1,AL77="Cheap"),IF(AND(ISERROR(SEARCH("FRN",AP77)),ISERROR(SEARCH("BBB0미만",AP77))),AK77+ROW()/1000000000,-999),-999)</f>
        <v>-999</v>
      </c>
      <c r="AR77" s="92" t="n">
        <f aca="false">IF(AND(ISNUMBER(D77),ISNUMBER(K77)),D77+AN77*MAX(K77-1,0)/100,"")</f>
        <v>6.06266893780155</v>
      </c>
      <c r="AS77" s="93" t="n">
        <f aca="false">IF(AND(ISNUMBER(E77),ISNUMBER(K77)),IF(K77&gt;0,(E77+AN77*MAX(K77-1,0))/K77,""),"")</f>
        <v>27.0528774065343</v>
      </c>
      <c r="AT77" s="90" t="n">
        <f aca="false">IFERROR(IF(AND(Y77=1,ROW()&lt;&gt;스왑분석!$C$12+1,ABS(K77-INDEX($K$2:$K$601,스왑분석!$C$12))&lt;=스왑분석!$C$5,ISERROR(SEARCH("FRN",AP77)),ISERROR(SEARCH("BBB0미만",AP77))),IF(AND(OR(스왑분석!$C$6="N",L77=INDEX($L$2:$L$601,스왑분석!$C$12)),OR(스왑분석!$C$7="N",N77=INDEX($N$2:$N$601,스왑분석!$C$12)),OR(스왑분석!$C$8="N",AO77=0),E77-INDEX($E$2:$E$601,스왑분석!$C$12)&gt;=스왑분석!$C$9),E77-INDEX($E$2:$E$601,스왑분석!$C$12)+ROW()/1000000000,-999),-999),-999)</f>
        <v>34.984000077</v>
      </c>
      <c r="AU77" s="90" t="n">
        <f aca="false">IF(AND(Y77=1,AO77&gt;0,AL77="Rich"),-AK77+ROW()/1000000000,-999)</f>
        <v>-999</v>
      </c>
    </row>
    <row r="78" customFormat="false" ht="15" hidden="false" customHeight="false" outlineLevel="0" collapsed="false">
      <c r="A78" s="83" t="str">
        <f aca="false">IFERROR(IF(INDEX(원자료_시장!$A$1:$BZ$1000,설정!$L$6+ROW()-1,설정!$L$24)&amp;""="0","",INDEX(원자료_시장!$A$1:$BZ$1000,설정!$L$6+ROW()-1,설정!$L$24)),"")</f>
        <v>JPM 4.995 07/22/30</v>
      </c>
      <c r="B78" s="83" t="str">
        <f aca="false">IFERROR(IF(INDEX(원자료_시장!$A$1:$BZ$1000,설정!$L$6+ROW()-1,설정!$L$37)&amp;""="0","",INDEX(원자료_시장!$A$1:$BZ$1000,설정!$L$6+ROW()-1,설정!$L$37)),"")</f>
        <v>JPMORGAN CHASE &amp; CO</v>
      </c>
      <c r="C78" s="83" t="str">
        <f aca="false">IFERROR(IF(INDEX(원자료_시장!$A$1:$BZ$1000,설정!$L$6+ROW()-1,설정!$L$25)&amp;""="0","",INDEX(원자료_시장!$A$1:$BZ$1000,설정!$L$6+ROW()-1,설정!$L$25)),"")</f>
        <v>USD</v>
      </c>
      <c r="D78" s="85" t="n">
        <f aca="false">IFERROR(IF(ISNUMBER(INDEX(원자료_시장!$A$1:$BZ$1000,설정!$L$6+ROW()-1,설정!$L$26)),INDEX(원자료_시장!$A$1:$BZ$1000,설정!$L$6+ROW()-1,설정!$L$26),""),"")</f>
        <v>5.49</v>
      </c>
      <c r="E78" s="97" t="n">
        <f aca="false">IFERROR(IF(ISNUMBER(INDEX(원자료_시장!$A$1:$BZ$1000,설정!$L$6+ROW()-1,설정!$L$27)),INDEX(원자료_시장!$A$1:$BZ$1000,설정!$L$6+ROW()-1,설정!$L$27),""),"")</f>
        <v>63.856</v>
      </c>
      <c r="F78" s="97" t="n">
        <f aca="false">IFERROR(IF(ISNUMBER(INDEX(원자료_시장!$A$1:$BZ$1000,설정!$L$6+ROW()-1,설정!$L$28)),INDEX(원자료_시장!$A$1:$BZ$1000,설정!$L$6+ROW()-1,설정!$L$28),""),"")</f>
        <v>91.133</v>
      </c>
      <c r="G78" s="97" t="n">
        <f aca="false">IFERROR(IF(ISNUMBER(INDEX(원자료_시장!$A$1:$BZ$1000,설정!$L$6+ROW()-1,설정!$L$29)),INDEX(원자료_시장!$A$1:$BZ$1000,설정!$L$6+ROW()-1,설정!$L$29),""),"")</f>
        <v>-0.1</v>
      </c>
      <c r="H78" s="97" t="n">
        <f aca="false">IFERROR(IF(ISNUMBER(INDEX(원자료_시장!$A$1:$BZ$1000,설정!$L$6+ROW()-1,설정!$L$30)),INDEX(원자료_시장!$A$1:$BZ$1000,설정!$L$6+ROW()-1,설정!$L$30),""),"")</f>
        <v>8</v>
      </c>
      <c r="I78" s="97" t="n">
        <f aca="false">IFERROR(IF(ISNUMBER(INDEX(원자료_시장!$A$1:$BZ$1000,설정!$L$6+ROW()-1,설정!$L$31)),INDEX(원자료_시장!$A$1:$BZ$1000,설정!$L$6+ROW()-1,설정!$L$31),""),"")</f>
        <v>-2.9</v>
      </c>
      <c r="J78" s="97" t="n">
        <f aca="false">IFERROR(IF(ISNUMBER(INDEX(원자료_시장!$A$1:$BZ$1000,설정!$L$6+ROW()-1,설정!$L$32)),INDEX(원자료_시장!$A$1:$BZ$1000,설정!$L$6+ROW()-1,설정!$L$32),""),"")</f>
        <v>-11.3</v>
      </c>
      <c r="K78" s="85" t="n">
        <f aca="false">IFERROR(IF(ISNUMBER(INDEX(원자료_시장!$A$1:$BZ$1000,설정!$L$6+ROW()-1,설정!$L$33)),INDEX(원자료_시장!$A$1:$BZ$1000,설정!$L$6+ROW()-1,설정!$L$33),""),"")</f>
        <v>2.627</v>
      </c>
      <c r="L78" s="83" t="str">
        <f aca="false">IFERROR(IF(INDEX(원자료_시장!$A$1:$BZ$1000,설정!$L$6+ROW()-1,설정!$L$34)&amp;""="0","",INDEX(원자료_시장!$A$1:$BZ$1000,설정!$L$6+ROW()-1,설정!$L$34)),"")</f>
        <v>금융기관</v>
      </c>
      <c r="M78" s="83" t="str">
        <f aca="false">IFERROR(IF(INDEX(원자료_시장!$A$1:$BZ$1000,설정!$L$6+ROW()-1,설정!$L$35)&amp;""="0","",INDEX(원자료_시장!$A$1:$BZ$1000,설정!$L$6+ROW()-1,설정!$L$35)),"")</f>
        <v>A</v>
      </c>
      <c r="N78" s="83" t="str">
        <f aca="false">IFERROR(IF(INDEX(원자료_시장!$A$1:$BZ$1000,설정!$L$6+ROW()-1,설정!$L$36)&amp;""="0","",INDEX(원자료_시장!$A$1:$BZ$1000,설정!$L$6+ROW()-1,설정!$L$36)),"")</f>
        <v>미국</v>
      </c>
      <c r="O78" s="43" t="str">
        <f aca="false">IF($A78="","",UPPER(LEFT($A78,FIND(" ",$A78&amp;" ")-1)))</f>
        <v>JPM</v>
      </c>
      <c r="P78" s="43" t="str">
        <f aca="false">IF($A78="","",TRIM(RIGHT(SUBSTITUTE(TRIM($A78)," ",REPT(" ",30)),30)))</f>
        <v>07/22/30</v>
      </c>
      <c r="Q78" s="98" t="n">
        <f aca="false">IF($A78="","",IFERROR(DATE(IF(LEN(P78)=8,2000+VALUE(RIGHT(P78,2)),VALUE(RIGHT(P78,4))),VALUE(LEFT(P78,2)),VALUE(MID(P78,4,2))),""))</f>
        <v>47686</v>
      </c>
      <c r="R78" s="89" t="n">
        <f aca="false">IF($A78="",0,IF(ISNUMBER(SEARCH("Float",$A78)),1,0))</f>
        <v>0</v>
      </c>
      <c r="S78" s="43" t="str">
        <f aca="false">IF($A78="","",TRIM(MID($A78,LEN(O78)+2,LEN($A78)-LEN(O78)-LEN(P78)-1)))</f>
        <v>4.995</v>
      </c>
      <c r="T78" s="92" t="n">
        <f aca="false">IF(OR($A78="",R78=1),"",IFERROR(IF(ISNUMBER(FIND("/",S78)),IF(ISNUMBER(FIND(" ",S78)),VALUE(LEFT(S78,FIND(" ",S78)-1))+VALUE(MID(S78,FIND(" ",S78)+1,FIND("/",S78)-FIND(" ",S78)-1))/VALUE(MID(S78,FIND("/",S78)+1,9)),VALUE(LEFT(S78,FIND("/",S78)-1))/VALUE(MID(S78,FIND("/",S78)+1,9))),VALUE(S78)),""))</f>
        <v>4.995</v>
      </c>
      <c r="U78" s="43" t="str">
        <f aca="false">IF(OR($A78="",NOT(ISNUMBER(Q78))),"",TEXT(Q78,"yyyymmdd")&amp;"|"&amp;IF(R78=1,"F",TEXT(T78,"0.000")))</f>
        <v>20300722|4.995</v>
      </c>
      <c r="V78" s="43" t="str">
        <f aca="false">IF(U78="","",O78&amp;"|"&amp;U78)</f>
        <v>JPM|20300722|4.995</v>
      </c>
      <c r="W78" s="43" t="str">
        <f aca="false">IF($A78="","",IFERROR(IF(VLOOKUP(O78,매핑!$A$4:$E$92,3,0)="","미분류",VLOOKUP(O78,매핑!$A$4:$E$92,3,0)),"미분류"))</f>
        <v>미국</v>
      </c>
      <c r="X78" s="89" t="n">
        <f aca="false">IF($A78="",0,IF(O78="T",1,0))</f>
        <v>0</v>
      </c>
      <c r="Y78" s="89" t="n">
        <f aca="false">IF($A78="",0,IF(AND(C78="USD",X78=0,ISNUMBER(E78),ISNUMBER(K78)),IF(K78&gt;=설정!$C$8,1,0),0))</f>
        <v>1</v>
      </c>
      <c r="Z78" s="43" t="str">
        <f aca="false">IF($A78="","",N78&amp;"|"&amp;L78)</f>
        <v>미국|금융기관</v>
      </c>
      <c r="AA78" s="92" t="n">
        <f aca="false">IF(Y78=1,LN(K78),0)</f>
        <v>0.965842510703403</v>
      </c>
      <c r="AB78" s="93" t="n">
        <f aca="false">IF(Y78=1,E78,0)</f>
        <v>63.856</v>
      </c>
      <c r="AC78" s="89" t="n">
        <f aca="false">IF(Y78=1,COUNTIFS($Z$2:$Z$601,Z78,$Y$2:$Y$601,1),0)</f>
        <v>28</v>
      </c>
      <c r="AD78" s="89" t="n">
        <f aca="false">IF(Y78=1,COUNTIFS($N$2:$N$601,N78,$Y$2:$Y$601,1),0)</f>
        <v>49</v>
      </c>
      <c r="AE78" s="43" t="str">
        <f aca="false">IF(Y78&lt;&gt;1,"",IF(AND(AC78&gt;=설정!$C$7,ISNUMBER(MATCH(Z78,피어커브!$A:$A,0))),Z78,IF(AND(AD78&gt;=설정!$C$7,ISNUMBER(MATCH(N78&amp;"|전체",피어커브!$A:$A,0))),N78&amp;"|전체","전체|전체")))</f>
        <v>미국|금융기관</v>
      </c>
      <c r="AF78" s="93" t="n">
        <f aca="false">IF(AE78="","",INDEX(피어커브!$K:$K,MATCH(AE78,피어커브!$A:$A,0)))</f>
        <v>47.5387798885896</v>
      </c>
      <c r="AG78" s="93" t="n">
        <f aca="false">IF(AE78="","",INDEX(피어커브!$J:$J,MATCH(AE78,피어커브!$A:$A,0)))</f>
        <v>20.73676364145</v>
      </c>
      <c r="AH78" s="93" t="n">
        <f aca="false">IF(AE78="","",INDEX(피어커브!$L:$L,MATCH(AE78,피어커브!$A:$A,0)))</f>
        <v>13.6771810277023</v>
      </c>
      <c r="AI78" s="93" t="n">
        <f aca="false">IF(AE78="","",AF78+AG78*AA78)</f>
        <v>67.5672277479107</v>
      </c>
      <c r="AJ78" s="96" t="n">
        <f aca="false">IF(AE78="","",E78-AI78)</f>
        <v>-3.71122774791073</v>
      </c>
      <c r="AK78" s="95" t="n">
        <f aca="false">IF(AE78="","",IF(ISNUMBER(AH78),IF(AH78&gt;0,AJ78/AH78,""),""))</f>
        <v>-0.271344492727988</v>
      </c>
      <c r="AL78" s="43" t="str">
        <f aca="false">IF(AK78="","-",IF(AK78&gt;=설정!$C$6,"Cheap",IF(AK78&lt;=-설정!$C$6,"Rich","Fair")))</f>
        <v>Fair</v>
      </c>
      <c r="AM78" s="96" t="n">
        <f aca="false">IF(AE78="","",AJ78-AVERAGEIFS($AJ$2:$AJ$601,$B$2:$B$601,B78,$Y$2:$Y$601,1))</f>
        <v>0.629304401401176</v>
      </c>
      <c r="AN78" s="93" t="n">
        <f aca="false">IF(AE78="",0,IF(K78&gt;1+설정!$C$8,AG78*(AA78-LN(K78-1)),0))</f>
        <v>9.93508055981982</v>
      </c>
      <c r="AO78" s="99" t="n">
        <f aca="false">IF($A78="",0,SUMIFS(보유분석!$AA$2:$AA$801,보유분석!$AB$2:$AB$801,ROW(),보유분석!$AC$2:$AC$801,1))</f>
        <v>6.888413</v>
      </c>
      <c r="AP78" s="43" t="str">
        <f aca="false">IF($A78="","",TRIM(IF(R78=1,"FRN ","")&amp;IF(IFERROR(VLOOKUP(M78,설정!$A$15:$D$47,4,0),0)&gt;=10,IF(IFERROR(VLOOKUP(M78,설정!$A$15:$D$47,4,0),0)&lt;99,"BBB0미만 ",""),"")&amp;IF(OR(M78="",M78="NR"),"등급미입력 ","")&amp;IF(C78&lt;&gt;"USD","비USD ","")))</f>
        <v/>
      </c>
      <c r="AQ78" s="90" t="n">
        <f aca="false">IF(AND(Y78=1,AL78="Cheap"),IF(AND(ISERROR(SEARCH("FRN",AP78)),ISERROR(SEARCH("BBB0미만",AP78))),AK78+ROW()/1000000000,-999),-999)</f>
        <v>-999</v>
      </c>
      <c r="AR78" s="92" t="n">
        <f aca="false">IF(AND(ISNUMBER(D78),ISNUMBER(K78)),D78+AN78*MAX(K78-1,0)/100,"")</f>
        <v>5.65164376070827</v>
      </c>
      <c r="AS78" s="93" t="n">
        <f aca="false">IF(AND(ISNUMBER(E78),ISNUMBER(K78)),IF(K78&gt;0,(E78+AN78*MAX(K78-1,0))/K78,""),"")</f>
        <v>30.4607446025226</v>
      </c>
      <c r="AT78" s="90" t="n">
        <f aca="false">IFERROR(IF(AND(Y78=1,ROW()&lt;&gt;스왑분석!$C$12+1,ABS(K78-INDEX($K$2:$K$601,스왑분석!$C$12))&lt;=스왑분석!$C$5,ISERROR(SEARCH("FRN",AP78)),ISERROR(SEARCH("BBB0미만",AP78))),IF(AND(OR(스왑분석!$C$6="N",L78=INDEX($L$2:$L$601,스왑분석!$C$12)),OR(스왑분석!$C$7="N",N78=INDEX($N$2:$N$601,스왑분석!$C$12)),OR(스왑분석!$C$8="N",AO78=0),E78-INDEX($E$2:$E$601,스왑분석!$C$12)&gt;=스왑분석!$C$9),E78-INDEX($E$2:$E$601,스왑분석!$C$12)+ROW()/1000000000,-999),-999),-999)</f>
        <v>15.364000078</v>
      </c>
      <c r="AU78" s="90" t="n">
        <f aca="false">IF(AND(Y78=1,AO78&gt;0,AL78="Rich"),-AK78+ROW()/1000000000,-999)</f>
        <v>-999</v>
      </c>
    </row>
    <row r="79" customFormat="false" ht="15" hidden="false" customHeight="false" outlineLevel="0" collapsed="false">
      <c r="A79" s="83" t="str">
        <f aca="false">IFERROR(IF(INDEX(원자료_시장!$A$1:$BZ$1000,설정!$L$6+ROW()-1,설정!$L$24)&amp;""="0","",INDEX(원자료_시장!$A$1:$BZ$1000,설정!$L$6+ROW()-1,설정!$L$24)),"")</f>
        <v>JPM 5.14 01/24/31</v>
      </c>
      <c r="B79" s="83" t="str">
        <f aca="false">IFERROR(IF(INDEX(원자료_시장!$A$1:$BZ$1000,설정!$L$6+ROW()-1,설정!$L$37)&amp;""="0","",INDEX(원자료_시장!$A$1:$BZ$1000,설정!$L$6+ROW()-1,설정!$L$37)),"")</f>
        <v>JPMORGAN CHASE &amp; CO</v>
      </c>
      <c r="C79" s="83" t="str">
        <f aca="false">IFERROR(IF(INDEX(원자료_시장!$A$1:$BZ$1000,설정!$L$6+ROW()-1,설정!$L$25)&amp;""="0","",INDEX(원자료_시장!$A$1:$BZ$1000,설정!$L$6+ROW()-1,설정!$L$25)),"")</f>
        <v>USD</v>
      </c>
      <c r="D79" s="85" t="n">
        <f aca="false">IFERROR(IF(ISNUMBER(INDEX(원자료_시장!$A$1:$BZ$1000,설정!$L$6+ROW()-1,설정!$L$26)),INDEX(원자료_시장!$A$1:$BZ$1000,설정!$L$6+ROW()-1,설정!$L$26),""),"")</f>
        <v>5.545</v>
      </c>
      <c r="E79" s="97" t="n">
        <f aca="false">IFERROR(IF(ISNUMBER(INDEX(원자료_시장!$A$1:$BZ$1000,설정!$L$6+ROW()-1,설정!$L$27)),INDEX(원자료_시장!$A$1:$BZ$1000,설정!$L$6+ROW()-1,설정!$L$27),""),"")</f>
        <v>62.856</v>
      </c>
      <c r="F79" s="97" t="n">
        <f aca="false">IFERROR(IF(ISNUMBER(INDEX(원자료_시장!$A$1:$BZ$1000,설정!$L$6+ROW()-1,설정!$L$28)),INDEX(원자료_시장!$A$1:$BZ$1000,설정!$L$6+ROW()-1,설정!$L$28),""),"")</f>
        <v>97.625</v>
      </c>
      <c r="G79" s="97" t="n">
        <f aca="false">IFERROR(IF(ISNUMBER(INDEX(원자료_시장!$A$1:$BZ$1000,설정!$L$6+ROW()-1,설정!$L$29)),INDEX(원자료_시장!$A$1:$BZ$1000,설정!$L$6+ROW()-1,설정!$L$29),""),"")</f>
        <v>-1.6</v>
      </c>
      <c r="H79" s="97" t="n">
        <f aca="false">IFERROR(IF(ISNUMBER(INDEX(원자료_시장!$A$1:$BZ$1000,설정!$L$6+ROW()-1,설정!$L$30)),INDEX(원자료_시장!$A$1:$BZ$1000,설정!$L$6+ROW()-1,설정!$L$30),""),"")</f>
        <v>3.5</v>
      </c>
      <c r="I79" s="97" t="n">
        <f aca="false">IFERROR(IF(ISNUMBER(INDEX(원자료_시장!$A$1:$BZ$1000,설정!$L$6+ROW()-1,설정!$L$31)),INDEX(원자료_시장!$A$1:$BZ$1000,설정!$L$6+ROW()-1,설정!$L$31),""),"")</f>
        <v>-0.5</v>
      </c>
      <c r="J79" s="97" t="n">
        <f aca="false">IFERROR(IF(ISNUMBER(INDEX(원자료_시장!$A$1:$BZ$1000,설정!$L$6+ROW()-1,설정!$L$32)),INDEX(원자료_시장!$A$1:$BZ$1000,설정!$L$6+ROW()-1,설정!$L$32),""),"")</f>
        <v>-10.6</v>
      </c>
      <c r="K79" s="85" t="n">
        <f aca="false">IFERROR(IF(ISNUMBER(INDEX(원자료_시장!$A$1:$BZ$1000,설정!$L$6+ROW()-1,설정!$L$33)),INDEX(원자료_시장!$A$1:$BZ$1000,설정!$L$6+ROW()-1,설정!$L$33),""),"")</f>
        <v>3.056</v>
      </c>
      <c r="L79" s="83" t="str">
        <f aca="false">IFERROR(IF(INDEX(원자료_시장!$A$1:$BZ$1000,설정!$L$6+ROW()-1,설정!$L$34)&amp;""="0","",INDEX(원자료_시장!$A$1:$BZ$1000,설정!$L$6+ROW()-1,설정!$L$34)),"")</f>
        <v>금융기관</v>
      </c>
      <c r="M79" s="83" t="str">
        <f aca="false">IFERROR(IF(INDEX(원자료_시장!$A$1:$BZ$1000,설정!$L$6+ROW()-1,설정!$L$35)&amp;""="0","",INDEX(원자료_시장!$A$1:$BZ$1000,설정!$L$6+ROW()-1,설정!$L$35)),"")</f>
        <v>A</v>
      </c>
      <c r="N79" s="83" t="str">
        <f aca="false">IFERROR(IF(INDEX(원자료_시장!$A$1:$BZ$1000,설정!$L$6+ROW()-1,설정!$L$36)&amp;""="0","",INDEX(원자료_시장!$A$1:$BZ$1000,설정!$L$6+ROW()-1,설정!$L$36)),"")</f>
        <v>미국</v>
      </c>
      <c r="O79" s="43" t="str">
        <f aca="false">IF($A79="","",UPPER(LEFT($A79,FIND(" ",$A79&amp;" ")-1)))</f>
        <v>JPM</v>
      </c>
      <c r="P79" s="43" t="str">
        <f aca="false">IF($A79="","",TRIM(RIGHT(SUBSTITUTE(TRIM($A79)," ",REPT(" ",30)),30)))</f>
        <v>01/24/31</v>
      </c>
      <c r="Q79" s="98" t="n">
        <f aca="false">IF($A79="","",IFERROR(DATE(IF(LEN(P79)=8,2000+VALUE(RIGHT(P79,2)),VALUE(RIGHT(P79,4))),VALUE(LEFT(P79,2)),VALUE(MID(P79,4,2))),""))</f>
        <v>47872</v>
      </c>
      <c r="R79" s="89" t="n">
        <f aca="false">IF($A79="",0,IF(ISNUMBER(SEARCH("Float",$A79)),1,0))</f>
        <v>0</v>
      </c>
      <c r="S79" s="43" t="str">
        <f aca="false">IF($A79="","",TRIM(MID($A79,LEN(O79)+2,LEN($A79)-LEN(O79)-LEN(P79)-1)))</f>
        <v>5.14</v>
      </c>
      <c r="T79" s="92" t="n">
        <f aca="false">IF(OR($A79="",R79=1),"",IFERROR(IF(ISNUMBER(FIND("/",S79)),IF(ISNUMBER(FIND(" ",S79)),VALUE(LEFT(S79,FIND(" ",S79)-1))+VALUE(MID(S79,FIND(" ",S79)+1,FIND("/",S79)-FIND(" ",S79)-1))/VALUE(MID(S79,FIND("/",S79)+1,9)),VALUE(LEFT(S79,FIND("/",S79)-1))/VALUE(MID(S79,FIND("/",S79)+1,9))),VALUE(S79)),""))</f>
        <v>5.14</v>
      </c>
      <c r="U79" s="43" t="str">
        <f aca="false">IF(OR($A79="",NOT(ISNUMBER(Q79))),"",TEXT(Q79,"yyyymmdd")&amp;"|"&amp;IF(R79=1,"F",TEXT(T79,"0.000")))</f>
        <v>20310124|5.140</v>
      </c>
      <c r="V79" s="43" t="str">
        <f aca="false">IF(U79="","",O79&amp;"|"&amp;U79)</f>
        <v>JPM|20310124|5.140</v>
      </c>
      <c r="W79" s="43" t="str">
        <f aca="false">IF($A79="","",IFERROR(IF(VLOOKUP(O79,매핑!$A$4:$E$92,3,0)="","미분류",VLOOKUP(O79,매핑!$A$4:$E$92,3,0)),"미분류"))</f>
        <v>미국</v>
      </c>
      <c r="X79" s="89" t="n">
        <f aca="false">IF($A79="",0,IF(O79="T",1,0))</f>
        <v>0</v>
      </c>
      <c r="Y79" s="89" t="n">
        <f aca="false">IF($A79="",0,IF(AND(C79="USD",X79=0,ISNUMBER(E79),ISNUMBER(K79)),IF(K79&gt;=설정!$C$8,1,0),0))</f>
        <v>1</v>
      </c>
      <c r="Z79" s="43" t="str">
        <f aca="false">IF($A79="","",N79&amp;"|"&amp;L79)</f>
        <v>미국|금융기관</v>
      </c>
      <c r="AA79" s="92" t="n">
        <f aca="false">IF(Y79=1,LN(K79),0)</f>
        <v>1.11710687130427</v>
      </c>
      <c r="AB79" s="93" t="n">
        <f aca="false">IF(Y79=1,E79,0)</f>
        <v>62.856</v>
      </c>
      <c r="AC79" s="89" t="n">
        <f aca="false">IF(Y79=1,COUNTIFS($Z$2:$Z$601,Z79,$Y$2:$Y$601,1),0)</f>
        <v>28</v>
      </c>
      <c r="AD79" s="89" t="n">
        <f aca="false">IF(Y79=1,COUNTIFS($N$2:$N$601,N79,$Y$2:$Y$601,1),0)</f>
        <v>49</v>
      </c>
      <c r="AE79" s="43" t="str">
        <f aca="false">IF(Y79&lt;&gt;1,"",IF(AND(AC79&gt;=설정!$C$7,ISNUMBER(MATCH(Z79,피어커브!$A:$A,0))),Z79,IF(AND(AD79&gt;=설정!$C$7,ISNUMBER(MATCH(N79&amp;"|전체",피어커브!$A:$A,0))),N79&amp;"|전체","전체|전체")))</f>
        <v>미국|금융기관</v>
      </c>
      <c r="AF79" s="93" t="n">
        <f aca="false">IF(AE79="","",INDEX(피어커브!$K:$K,MATCH(AE79,피어커브!$A:$A,0)))</f>
        <v>47.5387798885896</v>
      </c>
      <c r="AG79" s="93" t="n">
        <f aca="false">IF(AE79="","",INDEX(피어커브!$J:$J,MATCH(AE79,피어커브!$A:$A,0)))</f>
        <v>20.73676364145</v>
      </c>
      <c r="AH79" s="93" t="n">
        <f aca="false">IF(AE79="","",INDEX(피어커브!$L:$L,MATCH(AE79,피어커브!$A:$A,0)))</f>
        <v>13.6771810277023</v>
      </c>
      <c r="AI79" s="93" t="n">
        <f aca="false">IF(AE79="","",AF79+AG79*AA79)</f>
        <v>70.7039610410661</v>
      </c>
      <c r="AJ79" s="96" t="n">
        <f aca="false">IF(AE79="","",E79-AI79)</f>
        <v>-7.84796104106606</v>
      </c>
      <c r="AK79" s="95" t="n">
        <f aca="false">IF(AE79="","",IF(ISNUMBER(AH79),IF(AH79&gt;0,AJ79/AH79,""),""))</f>
        <v>-0.57379960279611</v>
      </c>
      <c r="AL79" s="43" t="str">
        <f aca="false">IF(AK79="","-",IF(AK79&gt;=설정!$C$6,"Cheap",IF(AK79&lt;=-설정!$C$6,"Rich","Fair")))</f>
        <v>Fair</v>
      </c>
      <c r="AM79" s="96" t="n">
        <f aca="false">IF(AE79="","",AJ79-AVERAGEIFS($AJ$2:$AJ$601,$B$2:$B$601,B79,$Y$2:$Y$601,1))</f>
        <v>-3.50742889175416</v>
      </c>
      <c r="AN79" s="93" t="n">
        <f aca="false">IF(AE79="",0,IF(K79&gt;1+설정!$C$8,AG79*(AA79-LN(K79-1)),0))</f>
        <v>8.21890270878546</v>
      </c>
      <c r="AO79" s="99" t="n">
        <f aca="false">IF($A79="",0,SUMIFS(보유분석!$AA$2:$AA$801,보유분석!$AB$2:$AB$801,ROW(),보유분석!$AC$2:$AC$801,1))</f>
        <v>0.983287</v>
      </c>
      <c r="AP79" s="43" t="str">
        <f aca="false">IF($A79="","",TRIM(IF(R79=1,"FRN ","")&amp;IF(IFERROR(VLOOKUP(M79,설정!$A$15:$D$47,4,0),0)&gt;=10,IF(IFERROR(VLOOKUP(M79,설정!$A$15:$D$47,4,0),0)&lt;99,"BBB0미만 ",""),"")&amp;IF(OR(M79="",M79="NR"),"등급미입력 ","")&amp;IF(C79&lt;&gt;"USD","비USD ","")))</f>
        <v/>
      </c>
      <c r="AQ79" s="90" t="n">
        <f aca="false">IF(AND(Y79=1,AL79="Cheap"),IF(AND(ISERROR(SEARCH("FRN",AP79)),ISERROR(SEARCH("BBB0미만",AP79))),AK79+ROW()/1000000000,-999),-999)</f>
        <v>-999</v>
      </c>
      <c r="AR79" s="92" t="n">
        <f aca="false">IF(AND(ISNUMBER(D79),ISNUMBER(K79)),D79+AN79*MAX(K79-1,0)/100,"")</f>
        <v>5.71398063969263</v>
      </c>
      <c r="AS79" s="93" t="n">
        <f aca="false">IF(AND(ISNUMBER(E79),ISNUMBER(K79)),IF(K79&gt;0,(E79+AN79*MAX(K79-1,0))/K79,""),"")</f>
        <v>26.0975340213557</v>
      </c>
      <c r="AT79" s="90" t="n">
        <f aca="false">IFERROR(IF(AND(Y79=1,ROW()&lt;&gt;스왑분석!$C$12+1,ABS(K79-INDEX($K$2:$K$601,스왑분석!$C$12))&lt;=스왑분석!$C$5,ISERROR(SEARCH("FRN",AP79)),ISERROR(SEARCH("BBB0미만",AP79))),IF(AND(OR(스왑분석!$C$6="N",L79=INDEX($L$2:$L$601,스왑분석!$C$12)),OR(스왑분석!$C$7="N",N79=INDEX($N$2:$N$601,스왑분석!$C$12)),OR(스왑분석!$C$8="N",AO79=0),E79-INDEX($E$2:$E$601,스왑분석!$C$12)&gt;=스왑분석!$C$9),E79-INDEX($E$2:$E$601,스왑분석!$C$12)+ROW()/1000000000,-999),-999),-999)</f>
        <v>14.364000079</v>
      </c>
      <c r="AU79" s="90" t="n">
        <f aca="false">IF(AND(Y79=1,AO79&gt;0,AL79="Rich"),-AK79+ROW()/1000000000,-999)</f>
        <v>-999</v>
      </c>
    </row>
    <row r="80" customFormat="false" ht="15" hidden="false" customHeight="false" outlineLevel="0" collapsed="false">
      <c r="A80" s="83" t="str">
        <f aca="false">IFERROR(IF(INDEX(원자료_시장!$A$1:$BZ$1000,설정!$L$6+ROW()-1,설정!$L$24)&amp;""="0","",INDEX(원자료_시장!$A$1:$BZ$1000,설정!$L$6+ROW()-1,설정!$L$24)),"")</f>
        <v>JPM 4.255 10/22/31</v>
      </c>
      <c r="B80" s="83" t="str">
        <f aca="false">IFERROR(IF(INDEX(원자료_시장!$A$1:$BZ$1000,설정!$L$6+ROW()-1,설정!$L$37)&amp;""="0","",INDEX(원자료_시장!$A$1:$BZ$1000,설정!$L$6+ROW()-1,설정!$L$37)),"")</f>
        <v>JPMORGAN CHASE &amp; CO</v>
      </c>
      <c r="C80" s="83" t="str">
        <f aca="false">IFERROR(IF(INDEX(원자료_시장!$A$1:$BZ$1000,설정!$L$6+ROW()-1,설정!$L$25)&amp;""="0","",INDEX(원자료_시장!$A$1:$BZ$1000,설정!$L$6+ROW()-1,설정!$L$25)),"")</f>
        <v>USD</v>
      </c>
      <c r="D80" s="85" t="n">
        <f aca="false">IFERROR(IF(ISNUMBER(INDEX(원자료_시장!$A$1:$BZ$1000,설정!$L$6+ROW()-1,설정!$L$26)),INDEX(원자료_시장!$A$1:$BZ$1000,설정!$L$6+ROW()-1,설정!$L$26),""),"")</f>
        <v>5.61</v>
      </c>
      <c r="E80" s="97" t="n">
        <f aca="false">IFERROR(IF(ISNUMBER(INDEX(원자료_시장!$A$1:$BZ$1000,설정!$L$6+ROW()-1,설정!$L$27)),INDEX(원자료_시장!$A$1:$BZ$1000,설정!$L$6+ROW()-1,설정!$L$27),""),"")</f>
        <v>69.456</v>
      </c>
      <c r="F80" s="97" t="n">
        <f aca="false">IFERROR(IF(ISNUMBER(INDEX(원자료_시장!$A$1:$BZ$1000,설정!$L$6+ROW()-1,설정!$L$28)),INDEX(원자료_시장!$A$1:$BZ$1000,설정!$L$6+ROW()-1,설정!$L$28),""),"")</f>
        <v>103.539</v>
      </c>
      <c r="G80" s="97" t="n">
        <f aca="false">IFERROR(IF(ISNUMBER(INDEX(원자료_시장!$A$1:$BZ$1000,설정!$L$6+ROW()-1,설정!$L$29)),INDEX(원자료_시장!$A$1:$BZ$1000,설정!$L$6+ROW()-1,설정!$L$29),""),"")</f>
        <v>-1.4</v>
      </c>
      <c r="H80" s="97" t="n">
        <f aca="false">IFERROR(IF(ISNUMBER(INDEX(원자료_시장!$A$1:$BZ$1000,설정!$L$6+ROW()-1,설정!$L$30)),INDEX(원자료_시장!$A$1:$BZ$1000,설정!$L$6+ROW()-1,설정!$L$30),""),"")</f>
        <v>5.4</v>
      </c>
      <c r="I80" s="97" t="n">
        <f aca="false">IFERROR(IF(ISNUMBER(INDEX(원자료_시장!$A$1:$BZ$1000,설정!$L$6+ROW()-1,설정!$L$31)),INDEX(원자료_시장!$A$1:$BZ$1000,설정!$L$6+ROW()-1,설정!$L$31),""),"")</f>
        <v>0.7</v>
      </c>
      <c r="J80" s="97" t="n">
        <f aca="false">IFERROR(IF(ISNUMBER(INDEX(원자료_시장!$A$1:$BZ$1000,설정!$L$6+ROW()-1,설정!$L$32)),INDEX(원자료_시장!$A$1:$BZ$1000,설정!$L$6+ROW()-1,설정!$L$32),""),"")</f>
        <v>-4.6</v>
      </c>
      <c r="K80" s="85" t="n">
        <f aca="false">IFERROR(IF(ISNUMBER(INDEX(원자료_시장!$A$1:$BZ$1000,설정!$L$6+ROW()-1,설정!$L$33)),INDEX(원자료_시장!$A$1:$BZ$1000,설정!$L$6+ROW()-1,설정!$L$33),""),"")</f>
        <v>3.685</v>
      </c>
      <c r="L80" s="83" t="str">
        <f aca="false">IFERROR(IF(INDEX(원자료_시장!$A$1:$BZ$1000,설정!$L$6+ROW()-1,설정!$L$34)&amp;""="0","",INDEX(원자료_시장!$A$1:$BZ$1000,설정!$L$6+ROW()-1,설정!$L$34)),"")</f>
        <v>금융기관</v>
      </c>
      <c r="M80" s="83" t="str">
        <f aca="false">IFERROR(IF(INDEX(원자료_시장!$A$1:$BZ$1000,설정!$L$6+ROW()-1,설정!$L$35)&amp;""="0","",INDEX(원자료_시장!$A$1:$BZ$1000,설정!$L$6+ROW()-1,설정!$L$35)),"")</f>
        <v>A</v>
      </c>
      <c r="N80" s="83" t="str">
        <f aca="false">IFERROR(IF(INDEX(원자료_시장!$A$1:$BZ$1000,설정!$L$6+ROW()-1,설정!$L$36)&amp;""="0","",INDEX(원자료_시장!$A$1:$BZ$1000,설정!$L$6+ROW()-1,설정!$L$36)),"")</f>
        <v>미국</v>
      </c>
      <c r="O80" s="43" t="str">
        <f aca="false">IF($A80="","",UPPER(LEFT($A80,FIND(" ",$A80&amp;" ")-1)))</f>
        <v>JPM</v>
      </c>
      <c r="P80" s="43" t="str">
        <f aca="false">IF($A80="","",TRIM(RIGHT(SUBSTITUTE(TRIM($A80)," ",REPT(" ",30)),30)))</f>
        <v>10/22/31</v>
      </c>
      <c r="Q80" s="98" t="n">
        <f aca="false">IF($A80="","",IFERROR(DATE(IF(LEN(P80)=8,2000+VALUE(RIGHT(P80,2)),VALUE(RIGHT(P80,4))),VALUE(LEFT(P80,2)),VALUE(MID(P80,4,2))),""))</f>
        <v>48143</v>
      </c>
      <c r="R80" s="89" t="n">
        <f aca="false">IF($A80="",0,IF(ISNUMBER(SEARCH("Float",$A80)),1,0))</f>
        <v>0</v>
      </c>
      <c r="S80" s="43" t="str">
        <f aca="false">IF($A80="","",TRIM(MID($A80,LEN(O80)+2,LEN($A80)-LEN(O80)-LEN(P80)-1)))</f>
        <v>4.255</v>
      </c>
      <c r="T80" s="92" t="n">
        <f aca="false">IF(OR($A80="",R80=1),"",IFERROR(IF(ISNUMBER(FIND("/",S80)),IF(ISNUMBER(FIND(" ",S80)),VALUE(LEFT(S80,FIND(" ",S80)-1))+VALUE(MID(S80,FIND(" ",S80)+1,FIND("/",S80)-FIND(" ",S80)-1))/VALUE(MID(S80,FIND("/",S80)+1,9)),VALUE(LEFT(S80,FIND("/",S80)-1))/VALUE(MID(S80,FIND("/",S80)+1,9))),VALUE(S80)),""))</f>
        <v>4.255</v>
      </c>
      <c r="U80" s="43" t="str">
        <f aca="false">IF(OR($A80="",NOT(ISNUMBER(Q80))),"",TEXT(Q80,"yyyymmdd")&amp;"|"&amp;IF(R80=1,"F",TEXT(T80,"0.000")))</f>
        <v>20311022|4.255</v>
      </c>
      <c r="V80" s="43" t="str">
        <f aca="false">IF(U80="","",O80&amp;"|"&amp;U80)</f>
        <v>JPM|20311022|4.255</v>
      </c>
      <c r="W80" s="43" t="str">
        <f aca="false">IF($A80="","",IFERROR(IF(VLOOKUP(O80,매핑!$A$4:$E$92,3,0)="","미분류",VLOOKUP(O80,매핑!$A$4:$E$92,3,0)),"미분류"))</f>
        <v>미국</v>
      </c>
      <c r="X80" s="89" t="n">
        <f aca="false">IF($A80="",0,IF(O80="T",1,0))</f>
        <v>0</v>
      </c>
      <c r="Y80" s="89" t="n">
        <f aca="false">IF($A80="",0,IF(AND(C80="USD",X80=0,ISNUMBER(E80),ISNUMBER(K80)),IF(K80&gt;=설정!$C$8,1,0),0))</f>
        <v>1</v>
      </c>
      <c r="Z80" s="43" t="str">
        <f aca="false">IF($A80="","",N80&amp;"|"&amp;L80)</f>
        <v>미국|금융기관</v>
      </c>
      <c r="AA80" s="92" t="n">
        <f aca="false">IF(Y80=1,LN(K80),0)</f>
        <v>1.3042705256413</v>
      </c>
      <c r="AB80" s="93" t="n">
        <f aca="false">IF(Y80=1,E80,0)</f>
        <v>69.456</v>
      </c>
      <c r="AC80" s="89" t="n">
        <f aca="false">IF(Y80=1,COUNTIFS($Z$2:$Z$601,Z80,$Y$2:$Y$601,1),0)</f>
        <v>28</v>
      </c>
      <c r="AD80" s="89" t="n">
        <f aca="false">IF(Y80=1,COUNTIFS($N$2:$N$601,N80,$Y$2:$Y$601,1),0)</f>
        <v>49</v>
      </c>
      <c r="AE80" s="43" t="str">
        <f aca="false">IF(Y80&lt;&gt;1,"",IF(AND(AC80&gt;=설정!$C$7,ISNUMBER(MATCH(Z80,피어커브!$A:$A,0))),Z80,IF(AND(AD80&gt;=설정!$C$7,ISNUMBER(MATCH(N80&amp;"|전체",피어커브!$A:$A,0))),N80&amp;"|전체","전체|전체")))</f>
        <v>미국|금융기관</v>
      </c>
      <c r="AF80" s="93" t="n">
        <f aca="false">IF(AE80="","",INDEX(피어커브!$K:$K,MATCH(AE80,피어커브!$A:$A,0)))</f>
        <v>47.5387798885896</v>
      </c>
      <c r="AG80" s="93" t="n">
        <f aca="false">IF(AE80="","",INDEX(피어커브!$J:$J,MATCH(AE80,피어커브!$A:$A,0)))</f>
        <v>20.73676364145</v>
      </c>
      <c r="AH80" s="93" t="n">
        <f aca="false">IF(AE80="","",INDEX(피어커브!$L:$L,MATCH(AE80,피어커브!$A:$A,0)))</f>
        <v>13.6771810277023</v>
      </c>
      <c r="AI80" s="93" t="n">
        <f aca="false">IF(AE80="","",AF80+AG80*AA80)</f>
        <v>74.585129503323</v>
      </c>
      <c r="AJ80" s="96" t="n">
        <f aca="false">IF(AE80="","",E80-AI80)</f>
        <v>-5.12912950332303</v>
      </c>
      <c r="AK80" s="95" t="n">
        <f aca="false">IF(AE80="","",IF(ISNUMBER(AH80),IF(AH80&gt;0,AJ80/AH80,""),""))</f>
        <v>-0.375013644473543</v>
      </c>
      <c r="AL80" s="43" t="str">
        <f aca="false">IF(AK80="","-",IF(AK80&gt;=설정!$C$6,"Cheap",IF(AK80&lt;=-설정!$C$6,"Rich","Fair")))</f>
        <v>Fair</v>
      </c>
      <c r="AM80" s="96" t="n">
        <f aca="false">IF(AE80="","",AJ80-AVERAGEIFS($AJ$2:$AJ$601,$B$2:$B$601,B80,$Y$2:$Y$601,1))</f>
        <v>-0.788597354011119</v>
      </c>
      <c r="AN80" s="93" t="n">
        <f aca="false">IF(AE80="",0,IF(K80&gt;1+설정!$C$8,AG80*(AA80-LN(K80-1)),0))</f>
        <v>6.56504780579443</v>
      </c>
      <c r="AO80" s="99" t="n">
        <f aca="false">IF($A80="",0,SUMIFS(보유분석!$AA$2:$AA$801,보유분석!$AB$2:$AB$801,ROW(),보유분석!$AC$2:$AC$801,1))</f>
        <v>0.473115</v>
      </c>
      <c r="AP80" s="43" t="str">
        <f aca="false">IF($A80="","",TRIM(IF(R80=1,"FRN ","")&amp;IF(IFERROR(VLOOKUP(M80,설정!$A$15:$D$47,4,0),0)&gt;=10,IF(IFERROR(VLOOKUP(M80,설정!$A$15:$D$47,4,0),0)&lt;99,"BBB0미만 ",""),"")&amp;IF(OR(M80="",M80="NR"),"등급미입력 ","")&amp;IF(C80&lt;&gt;"USD","비USD ","")))</f>
        <v/>
      </c>
      <c r="AQ80" s="90" t="n">
        <f aca="false">IF(AND(Y80=1,AL80="Cheap"),IF(AND(ISERROR(SEARCH("FRN",AP80)),ISERROR(SEARCH("BBB0미만",AP80))),AK80+ROW()/1000000000,-999),-999)</f>
        <v>-999</v>
      </c>
      <c r="AR80" s="92" t="n">
        <f aca="false">IF(AND(ISNUMBER(D80),ISNUMBER(K80)),D80+AN80*MAX(K80-1,0)/100,"")</f>
        <v>5.78627153358558</v>
      </c>
      <c r="AS80" s="93" t="n">
        <f aca="false">IF(AND(ISNUMBER(E80),ISNUMBER(K80)),IF(K80&gt;0,(E80+AN80*MAX(K80-1,0))/K80,""),"")</f>
        <v>23.6317919561894</v>
      </c>
      <c r="AT80" s="90" t="n">
        <f aca="false">IFERROR(IF(AND(Y80=1,ROW()&lt;&gt;스왑분석!$C$12+1,ABS(K80-INDEX($K$2:$K$601,스왑분석!$C$12))&lt;=스왑분석!$C$5,ISERROR(SEARCH("FRN",AP80)),ISERROR(SEARCH("BBB0미만",AP80))),IF(AND(OR(스왑분석!$C$6="N",L80=INDEX($L$2:$L$601,스왑분석!$C$12)),OR(스왑분석!$C$7="N",N80=INDEX($N$2:$N$601,스왑분석!$C$12)),OR(스왑분석!$C$8="N",AO80=0),E80-INDEX($E$2:$E$601,스왑분석!$C$12)&gt;=스왑분석!$C$9),E80-INDEX($E$2:$E$601,스왑분석!$C$12)+ROW()/1000000000,-999),-999),-999)</f>
        <v>20.96400008</v>
      </c>
      <c r="AU80" s="90" t="n">
        <f aca="false">IF(AND(Y80=1,AO80&gt;0,AL80="Rich"),-AK80+ROW()/1000000000,-999)</f>
        <v>-999</v>
      </c>
    </row>
    <row r="81" customFormat="false" ht="15" hidden="false" customHeight="false" outlineLevel="0" collapsed="false">
      <c r="A81" s="83" t="str">
        <f aca="false">IFERROR(IF(INDEX(원자료_시장!$A$1:$BZ$1000,설정!$L$6+ROW()-1,설정!$L$24)&amp;""="0","",INDEX(원자료_시장!$A$1:$BZ$1000,설정!$L$6+ROW()-1,설정!$L$24)),"")</f>
        <v>JPM 4.81 10/22/36</v>
      </c>
      <c r="B81" s="83" t="str">
        <f aca="false">IFERROR(IF(INDEX(원자료_시장!$A$1:$BZ$1000,설정!$L$6+ROW()-1,설정!$L$37)&amp;""="0","",INDEX(원자료_시장!$A$1:$BZ$1000,설정!$L$6+ROW()-1,설정!$L$37)),"")</f>
        <v>JPMORGAN CHASE &amp; CO</v>
      </c>
      <c r="C81" s="83" t="str">
        <f aca="false">IFERROR(IF(INDEX(원자료_시장!$A$1:$BZ$1000,설정!$L$6+ROW()-1,설정!$L$25)&amp;""="0","",INDEX(원자료_시장!$A$1:$BZ$1000,설정!$L$6+ROW()-1,설정!$L$25)),"")</f>
        <v>USD</v>
      </c>
      <c r="D81" s="85" t="n">
        <f aca="false">IFERROR(IF(ISNUMBER(INDEX(원자료_시장!$A$1:$BZ$1000,설정!$L$6+ROW()-1,설정!$L$26)),INDEX(원자료_시장!$A$1:$BZ$1000,설정!$L$6+ROW()-1,설정!$L$26),""),"")</f>
        <v>6.043</v>
      </c>
      <c r="E81" s="97" t="n">
        <f aca="false">IFERROR(IF(ISNUMBER(INDEX(원자료_시장!$A$1:$BZ$1000,설정!$L$6+ROW()-1,설정!$L$27)),INDEX(원자료_시장!$A$1:$BZ$1000,설정!$L$6+ROW()-1,설정!$L$27),""),"")</f>
        <v>83.783</v>
      </c>
      <c r="F81" s="97" t="n">
        <f aca="false">IFERROR(IF(ISNUMBER(INDEX(원자료_시장!$A$1:$BZ$1000,설정!$L$6+ROW()-1,설정!$L$28)),INDEX(원자료_시장!$A$1:$BZ$1000,설정!$L$6+ROW()-1,설정!$L$28),""),"")</f>
        <v>130.583</v>
      </c>
      <c r="G81" s="97" t="n">
        <f aca="false">IFERROR(IF(ISNUMBER(INDEX(원자료_시장!$A$1:$BZ$1000,설정!$L$6+ROW()-1,설정!$L$29)),INDEX(원자료_시장!$A$1:$BZ$1000,설정!$L$6+ROW()-1,설정!$L$29),""),"")</f>
        <v>-0.5</v>
      </c>
      <c r="H81" s="97" t="n">
        <f aca="false">IFERROR(IF(ISNUMBER(INDEX(원자료_시장!$A$1:$BZ$1000,설정!$L$6+ROW()-1,설정!$L$30)),INDEX(원자료_시장!$A$1:$BZ$1000,설정!$L$6+ROW()-1,설정!$L$30),""),"")</f>
        <v>2.8</v>
      </c>
      <c r="I81" s="97" t="n">
        <f aca="false">IFERROR(IF(ISNUMBER(INDEX(원자료_시장!$A$1:$BZ$1000,설정!$L$6+ROW()-1,설정!$L$31)),INDEX(원자료_시장!$A$1:$BZ$1000,설정!$L$6+ROW()-1,설정!$L$31),""),"")</f>
        <v>2.4</v>
      </c>
      <c r="J81" s="97" t="n">
        <f aca="false">IFERROR(IF(ISNUMBER(INDEX(원자료_시장!$A$1:$BZ$1000,설정!$L$6+ROW()-1,설정!$L$32)),INDEX(원자료_시장!$A$1:$BZ$1000,설정!$L$6+ROW()-1,설정!$L$32),""),"")</f>
        <v>4.9</v>
      </c>
      <c r="K81" s="85" t="n">
        <f aca="false">IFERROR(IF(ISNUMBER(INDEX(원자료_시장!$A$1:$BZ$1000,설정!$L$6+ROW()-1,설정!$L$33)),INDEX(원자료_시장!$A$1:$BZ$1000,설정!$L$6+ROW()-1,설정!$L$33),""),"")</f>
        <v>7.184</v>
      </c>
      <c r="L81" s="83" t="str">
        <f aca="false">IFERROR(IF(INDEX(원자료_시장!$A$1:$BZ$1000,설정!$L$6+ROW()-1,설정!$L$34)&amp;""="0","",INDEX(원자료_시장!$A$1:$BZ$1000,설정!$L$6+ROW()-1,설정!$L$34)),"")</f>
        <v>금융기관</v>
      </c>
      <c r="M81" s="83" t="str">
        <f aca="false">IFERROR(IF(INDEX(원자료_시장!$A$1:$BZ$1000,설정!$L$6+ROW()-1,설정!$L$35)&amp;""="0","",INDEX(원자료_시장!$A$1:$BZ$1000,설정!$L$6+ROW()-1,설정!$L$35)),"")</f>
        <v>A</v>
      </c>
      <c r="N81" s="83" t="str">
        <f aca="false">IFERROR(IF(INDEX(원자료_시장!$A$1:$BZ$1000,설정!$L$6+ROW()-1,설정!$L$36)&amp;""="0","",INDEX(원자료_시장!$A$1:$BZ$1000,설정!$L$6+ROW()-1,설정!$L$36)),"")</f>
        <v>미국</v>
      </c>
      <c r="O81" s="43" t="str">
        <f aca="false">IF($A81="","",UPPER(LEFT($A81,FIND(" ",$A81&amp;" ")-1)))</f>
        <v>JPM</v>
      </c>
      <c r="P81" s="43" t="str">
        <f aca="false">IF($A81="","",TRIM(RIGHT(SUBSTITUTE(TRIM($A81)," ",REPT(" ",30)),30)))</f>
        <v>10/22/36</v>
      </c>
      <c r="Q81" s="98" t="n">
        <f aca="false">IF($A81="","",IFERROR(DATE(IF(LEN(P81)=8,2000+VALUE(RIGHT(P81,2)),VALUE(RIGHT(P81,4))),VALUE(LEFT(P81,2)),VALUE(MID(P81,4,2))),""))</f>
        <v>49970</v>
      </c>
      <c r="R81" s="89" t="n">
        <f aca="false">IF($A81="",0,IF(ISNUMBER(SEARCH("Float",$A81)),1,0))</f>
        <v>0</v>
      </c>
      <c r="S81" s="43" t="str">
        <f aca="false">IF($A81="","",TRIM(MID($A81,LEN(O81)+2,LEN($A81)-LEN(O81)-LEN(P81)-1)))</f>
        <v>4.81</v>
      </c>
      <c r="T81" s="92" t="n">
        <f aca="false">IF(OR($A81="",R81=1),"",IFERROR(IF(ISNUMBER(FIND("/",S81)),IF(ISNUMBER(FIND(" ",S81)),VALUE(LEFT(S81,FIND(" ",S81)-1))+VALUE(MID(S81,FIND(" ",S81)+1,FIND("/",S81)-FIND(" ",S81)-1))/VALUE(MID(S81,FIND("/",S81)+1,9)),VALUE(LEFT(S81,FIND("/",S81)-1))/VALUE(MID(S81,FIND("/",S81)+1,9))),VALUE(S81)),""))</f>
        <v>4.81</v>
      </c>
      <c r="U81" s="43" t="str">
        <f aca="false">IF(OR($A81="",NOT(ISNUMBER(Q81))),"",TEXT(Q81,"yyyymmdd")&amp;"|"&amp;IF(R81=1,"F",TEXT(T81,"0.000")))</f>
        <v>20361022|4.810</v>
      </c>
      <c r="V81" s="43" t="str">
        <f aca="false">IF(U81="","",O81&amp;"|"&amp;U81)</f>
        <v>JPM|20361022|4.810</v>
      </c>
      <c r="W81" s="43" t="str">
        <f aca="false">IF($A81="","",IFERROR(IF(VLOOKUP(O81,매핑!$A$4:$E$92,3,0)="","미분류",VLOOKUP(O81,매핑!$A$4:$E$92,3,0)),"미분류"))</f>
        <v>미국</v>
      </c>
      <c r="X81" s="89" t="n">
        <f aca="false">IF($A81="",0,IF(O81="T",1,0))</f>
        <v>0</v>
      </c>
      <c r="Y81" s="89" t="n">
        <f aca="false">IF($A81="",0,IF(AND(C81="USD",X81=0,ISNUMBER(E81),ISNUMBER(K81)),IF(K81&gt;=설정!$C$8,1,0),0))</f>
        <v>1</v>
      </c>
      <c r="Z81" s="43" t="str">
        <f aca="false">IF($A81="","",N81&amp;"|"&amp;L81)</f>
        <v>미국|금융기관</v>
      </c>
      <c r="AA81" s="92" t="n">
        <f aca="false">IF(Y81=1,LN(K81),0)</f>
        <v>1.9718563309999</v>
      </c>
      <c r="AB81" s="93" t="n">
        <f aca="false">IF(Y81=1,E81,0)</f>
        <v>83.783</v>
      </c>
      <c r="AC81" s="89" t="n">
        <f aca="false">IF(Y81=1,COUNTIFS($Z$2:$Z$601,Z81,$Y$2:$Y$601,1),0)</f>
        <v>28</v>
      </c>
      <c r="AD81" s="89" t="n">
        <f aca="false">IF(Y81=1,COUNTIFS($N$2:$N$601,N81,$Y$2:$Y$601,1),0)</f>
        <v>49</v>
      </c>
      <c r="AE81" s="43" t="str">
        <f aca="false">IF(Y81&lt;&gt;1,"",IF(AND(AC81&gt;=설정!$C$7,ISNUMBER(MATCH(Z81,피어커브!$A:$A,0))),Z81,IF(AND(AD81&gt;=설정!$C$7,ISNUMBER(MATCH(N81&amp;"|전체",피어커브!$A:$A,0))),N81&amp;"|전체","전체|전체")))</f>
        <v>미국|금융기관</v>
      </c>
      <c r="AF81" s="93" t="n">
        <f aca="false">IF(AE81="","",INDEX(피어커브!$K:$K,MATCH(AE81,피어커브!$A:$A,0)))</f>
        <v>47.5387798885896</v>
      </c>
      <c r="AG81" s="93" t="n">
        <f aca="false">IF(AE81="","",INDEX(피어커브!$J:$J,MATCH(AE81,피어커브!$A:$A,0)))</f>
        <v>20.73676364145</v>
      </c>
      <c r="AH81" s="93" t="n">
        <f aca="false">IF(AE81="","",INDEX(피어커브!$L:$L,MATCH(AE81,피어커브!$A:$A,0)))</f>
        <v>13.6771810277023</v>
      </c>
      <c r="AI81" s="93" t="n">
        <f aca="false">IF(AE81="","",AF81+AG81*AA81)</f>
        <v>88.4286985594314</v>
      </c>
      <c r="AJ81" s="96" t="n">
        <f aca="false">IF(AE81="","",E81-AI81)</f>
        <v>-4.64569855943135</v>
      </c>
      <c r="AK81" s="95" t="n">
        <f aca="false">IF(AE81="","",IF(ISNUMBER(AH81),IF(AH81&gt;0,AJ81/AH81,""),""))</f>
        <v>-0.339667841642351</v>
      </c>
      <c r="AL81" s="43" t="str">
        <f aca="false">IF(AK81="","-",IF(AK81&gt;=설정!$C$6,"Cheap",IF(AK81&lt;=-설정!$C$6,"Rich","Fair")))</f>
        <v>Fair</v>
      </c>
      <c r="AM81" s="96" t="n">
        <f aca="false">IF(AE81="","",AJ81-AVERAGEIFS($AJ$2:$AJ$601,$B$2:$B$601,B81,$Y$2:$Y$601,1))</f>
        <v>-0.305166410119443</v>
      </c>
      <c r="AN81" s="93" t="n">
        <f aca="false">IF(AE81="",0,IF(K81&gt;1+설정!$C$8,AG81*(AA81-LN(K81-1)),0))</f>
        <v>3.10825464780127</v>
      </c>
      <c r="AO81" s="99" t="n">
        <f aca="false">IF($A81="",0,SUMIFS(보유분석!$AA$2:$AA$801,보유분석!$AB$2:$AB$801,ROW(),보유분석!$AC$2:$AC$801,1))</f>
        <v>1.824514</v>
      </c>
      <c r="AP81" s="43" t="str">
        <f aca="false">IF($A81="","",TRIM(IF(R81=1,"FRN ","")&amp;IF(IFERROR(VLOOKUP(M81,설정!$A$15:$D$47,4,0),0)&gt;=10,IF(IFERROR(VLOOKUP(M81,설정!$A$15:$D$47,4,0),0)&lt;99,"BBB0미만 ",""),"")&amp;IF(OR(M81="",M81="NR"),"등급미입력 ","")&amp;IF(C81&lt;&gt;"USD","비USD ","")))</f>
        <v/>
      </c>
      <c r="AQ81" s="90" t="n">
        <f aca="false">IF(AND(Y81=1,AL81="Cheap"),IF(AND(ISERROR(SEARCH("FRN",AP81)),ISERROR(SEARCH("BBB0미만",AP81))),AK81+ROW()/1000000000,-999),-999)</f>
        <v>-999</v>
      </c>
      <c r="AR81" s="92" t="n">
        <f aca="false">IF(AND(ISNUMBER(D81),ISNUMBER(K81)),D81+AN81*MAX(K81-1,0)/100,"")</f>
        <v>6.23521446742003</v>
      </c>
      <c r="AS81" s="93" t="n">
        <f aca="false">IF(AND(ISNUMBER(E81),ISNUMBER(K81)),IF(K81&gt;0,(E81+AN81*MAX(K81-1,0))/K81,""),"")</f>
        <v>14.3380354596329</v>
      </c>
      <c r="AT81" s="90" t="n">
        <f aca="false">IFERROR(IF(AND(Y81=1,ROW()&lt;&gt;스왑분석!$C$12+1,ABS(K81-INDEX($K$2:$K$601,스왑분석!$C$12))&lt;=스왑분석!$C$5,ISERROR(SEARCH("FRN",AP81)),ISERROR(SEARCH("BBB0미만",AP81))),IF(AND(OR(스왑분석!$C$6="N",L81=INDEX($L$2:$L$601,스왑분석!$C$12)),OR(스왑분석!$C$7="N",N81=INDEX($N$2:$N$601,스왑분석!$C$12)),OR(스왑분석!$C$8="N",AO81=0),E81-INDEX($E$2:$E$601,스왑분석!$C$12)&gt;=스왑분석!$C$9),E81-INDEX($E$2:$E$601,스왑분석!$C$12)+ROW()/1000000000,-999),-999),-999)</f>
        <v>-999</v>
      </c>
      <c r="AU81" s="90" t="n">
        <f aca="false">IF(AND(Y81=1,AO81&gt;0,AL81="Rich"),-AK81+ROW()/1000000000,-999)</f>
        <v>-999</v>
      </c>
    </row>
    <row r="82" customFormat="false" ht="15" hidden="false" customHeight="false" outlineLevel="0" collapsed="false">
      <c r="A82" s="83" t="str">
        <f aca="false">IFERROR(IF(INDEX(원자료_시장!$A$1:$BZ$1000,설정!$L$6+ROW()-1,설정!$L$24)&amp;""="0","",INDEX(원자료_시장!$A$1:$BZ$1000,설정!$L$6+ROW()-1,설정!$L$24)),"")</f>
        <v>JPM 4.347 01/22/32</v>
      </c>
      <c r="B82" s="83" t="str">
        <f aca="false">IFERROR(IF(INDEX(원자료_시장!$A$1:$BZ$1000,설정!$L$6+ROW()-1,설정!$L$37)&amp;""="0","",INDEX(원자료_시장!$A$1:$BZ$1000,설정!$L$6+ROW()-1,설정!$L$37)),"")</f>
        <v>JPMORGAN CHASE &amp; CO</v>
      </c>
      <c r="C82" s="83" t="str">
        <f aca="false">IFERROR(IF(INDEX(원자료_시장!$A$1:$BZ$1000,설정!$L$6+ROW()-1,설정!$L$25)&amp;""="0","",INDEX(원자료_시장!$A$1:$BZ$1000,설정!$L$6+ROW()-1,설정!$L$25)),"")</f>
        <v>USD</v>
      </c>
      <c r="D82" s="85" t="n">
        <f aca="false">IFERROR(IF(ISNUMBER(INDEX(원자료_시장!$A$1:$BZ$1000,설정!$L$6+ROW()-1,설정!$L$26)),INDEX(원자료_시장!$A$1:$BZ$1000,설정!$L$6+ROW()-1,설정!$L$26),""),"")</f>
        <v>5.635</v>
      </c>
      <c r="E82" s="97" t="n">
        <f aca="false">IFERROR(IF(ISNUMBER(INDEX(원자료_시장!$A$1:$BZ$1000,설정!$L$6+ROW()-1,설정!$L$27)),INDEX(원자료_시장!$A$1:$BZ$1000,설정!$L$6+ROW()-1,설정!$L$27),""),"")</f>
        <v>73.371</v>
      </c>
      <c r="F82" s="97" t="n">
        <f aca="false">IFERROR(IF(ISNUMBER(INDEX(원자료_시장!$A$1:$BZ$1000,설정!$L$6+ROW()-1,설정!$L$28)),INDEX(원자료_시장!$A$1:$BZ$1000,설정!$L$6+ROW()-1,설정!$L$28),""),"")</f>
        <v>107.228</v>
      </c>
      <c r="G82" s="97" t="n">
        <f aca="false">IFERROR(IF(ISNUMBER(INDEX(원자료_시장!$A$1:$BZ$1000,설정!$L$6+ROW()-1,설정!$L$29)),INDEX(원자료_시장!$A$1:$BZ$1000,설정!$L$6+ROW()-1,설정!$L$29),""),"")</f>
        <v>-1.7</v>
      </c>
      <c r="H82" s="97" t="n">
        <f aca="false">IFERROR(IF(ISNUMBER(INDEX(원자료_시장!$A$1:$BZ$1000,설정!$L$6+ROW()-1,설정!$L$30)),INDEX(원자료_시장!$A$1:$BZ$1000,설정!$L$6+ROW()-1,설정!$L$30),""),"")</f>
        <v>4.1</v>
      </c>
      <c r="I82" s="97" t="n">
        <f aca="false">IFERROR(IF(ISNUMBER(INDEX(원자료_시장!$A$1:$BZ$1000,설정!$L$6+ROW()-1,설정!$L$31)),INDEX(원자료_시장!$A$1:$BZ$1000,설정!$L$6+ROW()-1,설정!$L$31),""),"")</f>
        <v>0.5</v>
      </c>
      <c r="J82" s="97" t="n">
        <f aca="false">IFERROR(IF(ISNUMBER(INDEX(원자료_시장!$A$1:$BZ$1000,설정!$L$6+ROW()-1,설정!$L$32)),INDEX(원자료_시장!$A$1:$BZ$1000,설정!$L$6+ROW()-1,설정!$L$32),""),"")</f>
        <v>-3.3</v>
      </c>
      <c r="K82" s="85" t="n">
        <f aca="false">IFERROR(IF(ISNUMBER(INDEX(원자료_시장!$A$1:$BZ$1000,설정!$L$6+ROW()-1,설정!$L$33)),INDEX(원자료_시장!$A$1:$BZ$1000,설정!$L$6+ROW()-1,설정!$L$33),""),"")</f>
        <v>3.928</v>
      </c>
      <c r="L82" s="83" t="str">
        <f aca="false">IFERROR(IF(INDEX(원자료_시장!$A$1:$BZ$1000,설정!$L$6+ROW()-1,설정!$L$34)&amp;""="0","",INDEX(원자료_시장!$A$1:$BZ$1000,설정!$L$6+ROW()-1,설정!$L$34)),"")</f>
        <v>금융기관</v>
      </c>
      <c r="M82" s="83" t="str">
        <f aca="false">IFERROR(IF(INDEX(원자료_시장!$A$1:$BZ$1000,설정!$L$6+ROW()-1,설정!$L$35)&amp;""="0","",INDEX(원자료_시장!$A$1:$BZ$1000,설정!$L$6+ROW()-1,설정!$L$35)),"")</f>
        <v>A</v>
      </c>
      <c r="N82" s="83" t="str">
        <f aca="false">IFERROR(IF(INDEX(원자료_시장!$A$1:$BZ$1000,설정!$L$6+ROW()-1,설정!$L$36)&amp;""="0","",INDEX(원자료_시장!$A$1:$BZ$1000,설정!$L$6+ROW()-1,설정!$L$36)),"")</f>
        <v>미국</v>
      </c>
      <c r="O82" s="43" t="str">
        <f aca="false">IF($A82="","",UPPER(LEFT($A82,FIND(" ",$A82&amp;" ")-1)))</f>
        <v>JPM</v>
      </c>
      <c r="P82" s="43" t="str">
        <f aca="false">IF($A82="","",TRIM(RIGHT(SUBSTITUTE(TRIM($A82)," ",REPT(" ",30)),30)))</f>
        <v>01/22/32</v>
      </c>
      <c r="Q82" s="98" t="n">
        <f aca="false">IF($A82="","",IFERROR(DATE(IF(LEN(P82)=8,2000+VALUE(RIGHT(P82,2)),VALUE(RIGHT(P82,4))),VALUE(LEFT(P82,2)),VALUE(MID(P82,4,2))),""))</f>
        <v>48235</v>
      </c>
      <c r="R82" s="89" t="n">
        <f aca="false">IF($A82="",0,IF(ISNUMBER(SEARCH("Float",$A82)),1,0))</f>
        <v>0</v>
      </c>
      <c r="S82" s="43" t="str">
        <f aca="false">IF($A82="","",TRIM(MID($A82,LEN(O82)+2,LEN($A82)-LEN(O82)-LEN(P82)-1)))</f>
        <v>4.347</v>
      </c>
      <c r="T82" s="92" t="n">
        <f aca="false">IF(OR($A82="",R82=1),"",IFERROR(IF(ISNUMBER(FIND("/",S82)),IF(ISNUMBER(FIND(" ",S82)),VALUE(LEFT(S82,FIND(" ",S82)-1))+VALUE(MID(S82,FIND(" ",S82)+1,FIND("/",S82)-FIND(" ",S82)-1))/VALUE(MID(S82,FIND("/",S82)+1,9)),VALUE(LEFT(S82,FIND("/",S82)-1))/VALUE(MID(S82,FIND("/",S82)+1,9))),VALUE(S82)),""))</f>
        <v>4.347</v>
      </c>
      <c r="U82" s="43" t="str">
        <f aca="false">IF(OR($A82="",NOT(ISNUMBER(Q82))),"",TEXT(Q82,"yyyymmdd")&amp;"|"&amp;IF(R82=1,"F",TEXT(T82,"0.000")))</f>
        <v>20320122|4.347</v>
      </c>
      <c r="V82" s="43" t="str">
        <f aca="false">IF(U82="","",O82&amp;"|"&amp;U82)</f>
        <v>JPM|20320122|4.347</v>
      </c>
      <c r="W82" s="43" t="str">
        <f aca="false">IF($A82="","",IFERROR(IF(VLOOKUP(O82,매핑!$A$4:$E$92,3,0)="","미분류",VLOOKUP(O82,매핑!$A$4:$E$92,3,0)),"미분류"))</f>
        <v>미국</v>
      </c>
      <c r="X82" s="89" t="n">
        <f aca="false">IF($A82="",0,IF(O82="T",1,0))</f>
        <v>0</v>
      </c>
      <c r="Y82" s="89" t="n">
        <f aca="false">IF($A82="",0,IF(AND(C82="USD",X82=0,ISNUMBER(E82),ISNUMBER(K82)),IF(K82&gt;=설정!$C$8,1,0),0))</f>
        <v>1</v>
      </c>
      <c r="Z82" s="43" t="str">
        <f aca="false">IF($A82="","",N82&amp;"|"&amp;L82)</f>
        <v>미국|금융기관</v>
      </c>
      <c r="AA82" s="92" t="n">
        <f aca="false">IF(Y82=1,LN(K82),0)</f>
        <v>1.36813039049222</v>
      </c>
      <c r="AB82" s="93" t="n">
        <f aca="false">IF(Y82=1,E82,0)</f>
        <v>73.371</v>
      </c>
      <c r="AC82" s="89" t="n">
        <f aca="false">IF(Y82=1,COUNTIFS($Z$2:$Z$601,Z82,$Y$2:$Y$601,1),0)</f>
        <v>28</v>
      </c>
      <c r="AD82" s="89" t="n">
        <f aca="false">IF(Y82=1,COUNTIFS($N$2:$N$601,N82,$Y$2:$Y$601,1),0)</f>
        <v>49</v>
      </c>
      <c r="AE82" s="43" t="str">
        <f aca="false">IF(Y82&lt;&gt;1,"",IF(AND(AC82&gt;=설정!$C$7,ISNUMBER(MATCH(Z82,피어커브!$A:$A,0))),Z82,IF(AND(AD82&gt;=설정!$C$7,ISNUMBER(MATCH(N82&amp;"|전체",피어커브!$A:$A,0))),N82&amp;"|전체","전체|전체")))</f>
        <v>미국|금융기관</v>
      </c>
      <c r="AF82" s="93" t="n">
        <f aca="false">IF(AE82="","",INDEX(피어커브!$K:$K,MATCH(AE82,피어커브!$A:$A,0)))</f>
        <v>47.5387798885896</v>
      </c>
      <c r="AG82" s="93" t="n">
        <f aca="false">IF(AE82="","",INDEX(피어커브!$J:$J,MATCH(AE82,피어커브!$A:$A,0)))</f>
        <v>20.73676364145</v>
      </c>
      <c r="AH82" s="93" t="n">
        <f aca="false">IF(AE82="","",INDEX(피어커브!$L:$L,MATCH(AE82,피어커브!$A:$A,0)))</f>
        <v>13.6771810277023</v>
      </c>
      <c r="AI82" s="93" t="n">
        <f aca="false">IF(AE82="","",AF82+AG82*AA82)</f>
        <v>75.9093764269115</v>
      </c>
      <c r="AJ82" s="96" t="n">
        <f aca="false">IF(AE82="","",E82-AI82)</f>
        <v>-2.5383764269115</v>
      </c>
      <c r="AK82" s="95" t="n">
        <f aca="false">IF(AE82="","",IF(ISNUMBER(AH82),IF(AH82&gt;0,AJ82/AH82,""),""))</f>
        <v>-0.185592076449831</v>
      </c>
      <c r="AL82" s="43" t="str">
        <f aca="false">IF(AK82="","-",IF(AK82&gt;=설정!$C$6,"Cheap",IF(AK82&lt;=-설정!$C$6,"Rich","Fair")))</f>
        <v>Fair</v>
      </c>
      <c r="AM82" s="96" t="n">
        <f aca="false">IF(AE82="","",AJ82-AVERAGEIFS($AJ$2:$AJ$601,$B$2:$B$601,B82,$Y$2:$Y$601,1))</f>
        <v>1.80215572240041</v>
      </c>
      <c r="AN82" s="93" t="n">
        <f aca="false">IF(AE82="",0,IF(K82&gt;1+설정!$C$8,AG82*(AA82-LN(K82-1)),0))</f>
        <v>6.09268499863752</v>
      </c>
      <c r="AO82" s="99" t="n">
        <f aca="false">IF($A82="",0,SUMIFS(보유분석!$AA$2:$AA$801,보유분석!$AB$2:$AB$801,ROW(),보유분석!$AC$2:$AC$801,1))</f>
        <v>4.7281</v>
      </c>
      <c r="AP82" s="43" t="str">
        <f aca="false">IF($A82="","",TRIM(IF(R82=1,"FRN ","")&amp;IF(IFERROR(VLOOKUP(M82,설정!$A$15:$D$47,4,0),0)&gt;=10,IF(IFERROR(VLOOKUP(M82,설정!$A$15:$D$47,4,0),0)&lt;99,"BBB0미만 ",""),"")&amp;IF(OR(M82="",M82="NR"),"등급미입력 ","")&amp;IF(C82&lt;&gt;"USD","비USD ","")))</f>
        <v/>
      </c>
      <c r="AQ82" s="90" t="n">
        <f aca="false">IF(AND(Y82=1,AL82="Cheap"),IF(AND(ISERROR(SEARCH("FRN",AP82)),ISERROR(SEARCH("BBB0미만",AP82))),AK82+ROW()/1000000000,-999),-999)</f>
        <v>-999</v>
      </c>
      <c r="AR82" s="92" t="n">
        <f aca="false">IF(AND(ISNUMBER(D82),ISNUMBER(K82)),D82+AN82*MAX(K82-1,0)/100,"")</f>
        <v>5.81339381676011</v>
      </c>
      <c r="AS82" s="93" t="n">
        <f aca="false">IF(AND(ISNUMBER(E82),ISNUMBER(K82)),IF(K82&gt;0,(E82+AN82*MAX(K82-1,0))/K82,""),"")</f>
        <v>23.220565599799</v>
      </c>
      <c r="AT82" s="90" t="n">
        <f aca="false">IFERROR(IF(AND(Y82=1,ROW()&lt;&gt;스왑분석!$C$12+1,ABS(K82-INDEX($K$2:$K$601,스왑분석!$C$12))&lt;=스왑분석!$C$5,ISERROR(SEARCH("FRN",AP82)),ISERROR(SEARCH("BBB0미만",AP82))),IF(AND(OR(스왑분석!$C$6="N",L82=INDEX($L$2:$L$601,스왑분석!$C$12)),OR(스왑분석!$C$7="N",N82=INDEX($N$2:$N$601,스왑분석!$C$12)),OR(스왑분석!$C$8="N",AO82=0),E82-INDEX($E$2:$E$601,스왑분석!$C$12)&gt;=스왑분석!$C$9),E82-INDEX($E$2:$E$601,스왑분석!$C$12)+ROW()/1000000000,-999),-999),-999)</f>
        <v>24.879000082</v>
      </c>
      <c r="AU82" s="90" t="n">
        <f aca="false">IF(AND(Y82=1,AO82&gt;0,AL82="Rich"),-AK82+ROW()/1000000000,-999)</f>
        <v>-999</v>
      </c>
    </row>
    <row r="83" customFormat="false" ht="15" hidden="false" customHeight="false" outlineLevel="0" collapsed="false">
      <c r="A83" s="83" t="str">
        <f aca="false">IFERROR(IF(INDEX(원자료_시장!$A$1:$BZ$1000,설정!$L$6+ROW()-1,설정!$L$24)&amp;""="0","",INDEX(원자료_시장!$A$1:$BZ$1000,설정!$L$6+ROW()-1,설정!$L$24)),"")</f>
        <v>JPM 4.898 01/22/37</v>
      </c>
      <c r="B83" s="83" t="str">
        <f aca="false">IFERROR(IF(INDEX(원자료_시장!$A$1:$BZ$1000,설정!$L$6+ROW()-1,설정!$L$37)&amp;""="0","",INDEX(원자료_시장!$A$1:$BZ$1000,설정!$L$6+ROW()-1,설정!$L$37)),"")</f>
        <v>JPMORGAN CHASE &amp; CO</v>
      </c>
      <c r="C83" s="83" t="str">
        <f aca="false">IFERROR(IF(INDEX(원자료_시장!$A$1:$BZ$1000,설정!$L$6+ROW()-1,설정!$L$25)&amp;""="0","",INDEX(원자료_시장!$A$1:$BZ$1000,설정!$L$6+ROW()-1,설정!$L$25)),"")</f>
        <v>USD</v>
      </c>
      <c r="D83" s="85" t="n">
        <f aca="false">IFERROR(IF(ISNUMBER(INDEX(원자료_시장!$A$1:$BZ$1000,설정!$L$6+ROW()-1,설정!$L$26)),INDEX(원자료_시장!$A$1:$BZ$1000,설정!$L$6+ROW()-1,설정!$L$26),""),"")</f>
        <v>6.066</v>
      </c>
      <c r="E83" s="97" t="n">
        <f aca="false">IFERROR(IF(ISNUMBER(INDEX(원자료_시장!$A$1:$BZ$1000,설정!$L$6+ROW()-1,설정!$L$27)),INDEX(원자료_시장!$A$1:$BZ$1000,설정!$L$6+ROW()-1,설정!$L$27),""),"")</f>
        <v>86.903</v>
      </c>
      <c r="F83" s="97" t="n">
        <f aca="false">IFERROR(IF(ISNUMBER(INDEX(원자료_시장!$A$1:$BZ$1000,설정!$L$6+ROW()-1,설정!$L$28)),INDEX(원자료_시장!$A$1:$BZ$1000,설정!$L$6+ROW()-1,설정!$L$28),""),"")</f>
        <v>133.187</v>
      </c>
      <c r="G83" s="97" t="n">
        <f aca="false">IFERROR(IF(ISNUMBER(INDEX(원자료_시장!$A$1:$BZ$1000,설정!$L$6+ROW()-1,설정!$L$29)),INDEX(원자료_시장!$A$1:$BZ$1000,설정!$L$6+ROW()-1,설정!$L$29),""),"")</f>
        <v>-0.4</v>
      </c>
      <c r="H83" s="97" t="n">
        <f aca="false">IFERROR(IF(ISNUMBER(INDEX(원자료_시장!$A$1:$BZ$1000,설정!$L$6+ROW()-1,설정!$L$30)),INDEX(원자료_시장!$A$1:$BZ$1000,설정!$L$6+ROW()-1,설정!$L$30),""),"")</f>
        <v>3.8</v>
      </c>
      <c r="I83" s="97" t="n">
        <f aca="false">IFERROR(IF(ISNUMBER(INDEX(원자료_시장!$A$1:$BZ$1000,설정!$L$6+ROW()-1,설정!$L$31)),INDEX(원자료_시장!$A$1:$BZ$1000,설정!$L$6+ROW()-1,설정!$L$31),""),"")</f>
        <v>2.3</v>
      </c>
      <c r="J83" s="97" t="n">
        <f aca="false">IFERROR(IF(ISNUMBER(INDEX(원자료_시장!$A$1:$BZ$1000,설정!$L$6+ROW()-1,설정!$L$32)),INDEX(원자료_시장!$A$1:$BZ$1000,설정!$L$6+ROW()-1,설정!$L$32),""),"")</f>
        <v>4</v>
      </c>
      <c r="K83" s="85" t="n">
        <f aca="false">IFERROR(IF(ISNUMBER(INDEX(원자료_시장!$A$1:$BZ$1000,설정!$L$6+ROW()-1,설정!$L$33)),INDEX(원자료_시장!$A$1:$BZ$1000,설정!$L$6+ROW()-1,설정!$L$33),""),"")</f>
        <v>7.411</v>
      </c>
      <c r="L83" s="83" t="str">
        <f aca="false">IFERROR(IF(INDEX(원자료_시장!$A$1:$BZ$1000,설정!$L$6+ROW()-1,설정!$L$34)&amp;""="0","",INDEX(원자료_시장!$A$1:$BZ$1000,설정!$L$6+ROW()-1,설정!$L$34)),"")</f>
        <v>금융기관</v>
      </c>
      <c r="M83" s="83" t="str">
        <f aca="false">IFERROR(IF(INDEX(원자료_시장!$A$1:$BZ$1000,설정!$L$6+ROW()-1,설정!$L$35)&amp;""="0","",INDEX(원자료_시장!$A$1:$BZ$1000,설정!$L$6+ROW()-1,설정!$L$35)),"")</f>
        <v>A</v>
      </c>
      <c r="N83" s="83" t="str">
        <f aca="false">IFERROR(IF(INDEX(원자료_시장!$A$1:$BZ$1000,설정!$L$6+ROW()-1,설정!$L$36)&amp;""="0","",INDEX(원자료_시장!$A$1:$BZ$1000,설정!$L$6+ROW()-1,설정!$L$36)),"")</f>
        <v>미국</v>
      </c>
      <c r="O83" s="43" t="str">
        <f aca="false">IF($A83="","",UPPER(LEFT($A83,FIND(" ",$A83&amp;" ")-1)))</f>
        <v>JPM</v>
      </c>
      <c r="P83" s="43" t="str">
        <f aca="false">IF($A83="","",TRIM(RIGHT(SUBSTITUTE(TRIM($A83)," ",REPT(" ",30)),30)))</f>
        <v>01/22/37</v>
      </c>
      <c r="Q83" s="98" t="n">
        <f aca="false">IF($A83="","",IFERROR(DATE(IF(LEN(P83)=8,2000+VALUE(RIGHT(P83,2)),VALUE(RIGHT(P83,4))),VALUE(LEFT(P83,2)),VALUE(MID(P83,4,2))),""))</f>
        <v>50062</v>
      </c>
      <c r="R83" s="89" t="n">
        <f aca="false">IF($A83="",0,IF(ISNUMBER(SEARCH("Float",$A83)),1,0))</f>
        <v>0</v>
      </c>
      <c r="S83" s="43" t="str">
        <f aca="false">IF($A83="","",TRIM(MID($A83,LEN(O83)+2,LEN($A83)-LEN(O83)-LEN(P83)-1)))</f>
        <v>4.898</v>
      </c>
      <c r="T83" s="92" t="n">
        <f aca="false">IF(OR($A83="",R83=1),"",IFERROR(IF(ISNUMBER(FIND("/",S83)),IF(ISNUMBER(FIND(" ",S83)),VALUE(LEFT(S83,FIND(" ",S83)-1))+VALUE(MID(S83,FIND(" ",S83)+1,FIND("/",S83)-FIND(" ",S83)-1))/VALUE(MID(S83,FIND("/",S83)+1,9)),VALUE(LEFT(S83,FIND("/",S83)-1))/VALUE(MID(S83,FIND("/",S83)+1,9))),VALUE(S83)),""))</f>
        <v>4.898</v>
      </c>
      <c r="U83" s="43" t="str">
        <f aca="false">IF(OR($A83="",NOT(ISNUMBER(Q83))),"",TEXT(Q83,"yyyymmdd")&amp;"|"&amp;IF(R83=1,"F",TEXT(T83,"0.000")))</f>
        <v>20370122|4.898</v>
      </c>
      <c r="V83" s="43" t="str">
        <f aca="false">IF(U83="","",O83&amp;"|"&amp;U83)</f>
        <v>JPM|20370122|4.898</v>
      </c>
      <c r="W83" s="43" t="str">
        <f aca="false">IF($A83="","",IFERROR(IF(VLOOKUP(O83,매핑!$A$4:$E$92,3,0)="","미분류",VLOOKUP(O83,매핑!$A$4:$E$92,3,0)),"미분류"))</f>
        <v>미국</v>
      </c>
      <c r="X83" s="89" t="n">
        <f aca="false">IF($A83="",0,IF(O83="T",1,0))</f>
        <v>0</v>
      </c>
      <c r="Y83" s="89" t="n">
        <f aca="false">IF($A83="",0,IF(AND(C83="USD",X83=0,ISNUMBER(E83),ISNUMBER(K83)),IF(K83&gt;=설정!$C$8,1,0),0))</f>
        <v>1</v>
      </c>
      <c r="Z83" s="43" t="str">
        <f aca="false">IF($A83="","",N83&amp;"|"&amp;L83)</f>
        <v>미국|금융기관</v>
      </c>
      <c r="AA83" s="92" t="n">
        <f aca="false">IF(Y83=1,LN(K83),0)</f>
        <v>2.00296538296922</v>
      </c>
      <c r="AB83" s="93" t="n">
        <f aca="false">IF(Y83=1,E83,0)</f>
        <v>86.903</v>
      </c>
      <c r="AC83" s="89" t="n">
        <f aca="false">IF(Y83=1,COUNTIFS($Z$2:$Z$601,Z83,$Y$2:$Y$601,1),0)</f>
        <v>28</v>
      </c>
      <c r="AD83" s="89" t="n">
        <f aca="false">IF(Y83=1,COUNTIFS($N$2:$N$601,N83,$Y$2:$Y$601,1),0)</f>
        <v>49</v>
      </c>
      <c r="AE83" s="43" t="str">
        <f aca="false">IF(Y83&lt;&gt;1,"",IF(AND(AC83&gt;=설정!$C$7,ISNUMBER(MATCH(Z83,피어커브!$A:$A,0))),Z83,IF(AND(AD83&gt;=설정!$C$7,ISNUMBER(MATCH(N83&amp;"|전체",피어커브!$A:$A,0))),N83&amp;"|전체","전체|전체")))</f>
        <v>미국|금융기관</v>
      </c>
      <c r="AF83" s="93" t="n">
        <f aca="false">IF(AE83="","",INDEX(피어커브!$K:$K,MATCH(AE83,피어커브!$A:$A,0)))</f>
        <v>47.5387798885896</v>
      </c>
      <c r="AG83" s="93" t="n">
        <f aca="false">IF(AE83="","",INDEX(피어커브!$J:$J,MATCH(AE83,피어커브!$A:$A,0)))</f>
        <v>20.73676364145</v>
      </c>
      <c r="AH83" s="93" t="n">
        <f aca="false">IF(AE83="","",INDEX(피어커브!$L:$L,MATCH(AE83,피어커브!$A:$A,0)))</f>
        <v>13.6771810277023</v>
      </c>
      <c r="AI83" s="93" t="n">
        <f aca="false">IF(AE83="","",AF83+AG83*AA83)</f>
        <v>89.0737996172288</v>
      </c>
      <c r="AJ83" s="96" t="n">
        <f aca="false">IF(AE83="","",E83-AI83)</f>
        <v>-2.17079961722878</v>
      </c>
      <c r="AK83" s="95" t="n">
        <f aca="false">IF(AE83="","",IF(ISNUMBER(AH83),IF(AH83&gt;0,AJ83/AH83,""),""))</f>
        <v>-0.158716888577548</v>
      </c>
      <c r="AL83" s="43" t="str">
        <f aca="false">IF(AK83="","-",IF(AK83&gt;=설정!$C$6,"Cheap",IF(AK83&lt;=-설정!$C$6,"Rich","Fair")))</f>
        <v>Fair</v>
      </c>
      <c r="AM83" s="96" t="n">
        <f aca="false">IF(AE83="","",AJ83-AVERAGEIFS($AJ$2:$AJ$601,$B$2:$B$601,B83,$Y$2:$Y$601,1))</f>
        <v>2.16973253208313</v>
      </c>
      <c r="AN83" s="93" t="n">
        <f aca="false">IF(AE83="",0,IF(K83&gt;1+설정!$C$8,AG83*(AA83-LN(K83-1)),0))</f>
        <v>3.00579633602187</v>
      </c>
      <c r="AO83" s="99" t="n">
        <f aca="false">IF($A83="",0,SUMIFS(보유분석!$AA$2:$AA$801,보유분석!$AB$2:$AB$801,ROW(),보유분석!$AC$2:$AC$801,1))</f>
        <v>0.915781</v>
      </c>
      <c r="AP83" s="43" t="str">
        <f aca="false">IF($A83="","",TRIM(IF(R83=1,"FRN ","")&amp;IF(IFERROR(VLOOKUP(M83,설정!$A$15:$D$47,4,0),0)&gt;=10,IF(IFERROR(VLOOKUP(M83,설정!$A$15:$D$47,4,0),0)&lt;99,"BBB0미만 ",""),"")&amp;IF(OR(M83="",M83="NR"),"등급미입력 ","")&amp;IF(C83&lt;&gt;"USD","비USD ","")))</f>
        <v/>
      </c>
      <c r="AQ83" s="90" t="n">
        <f aca="false">IF(AND(Y83=1,AL83="Cheap"),IF(AND(ISERROR(SEARCH("FRN",AP83)),ISERROR(SEARCH("BBB0미만",AP83))),AK83+ROW()/1000000000,-999),-999)</f>
        <v>-999</v>
      </c>
      <c r="AR83" s="92" t="n">
        <f aca="false">IF(AND(ISNUMBER(D83),ISNUMBER(K83)),D83+AN83*MAX(K83-1,0)/100,"")</f>
        <v>6.25870160310236</v>
      </c>
      <c r="AS83" s="93" t="n">
        <f aca="false">IF(AND(ISNUMBER(E83),ISNUMBER(K83)),IF(K83&gt;0,(E83+AN83*MAX(K83-1,0))/K83,""),"")</f>
        <v>14.3264283241447</v>
      </c>
      <c r="AT83" s="90" t="n">
        <f aca="false">IFERROR(IF(AND(Y83=1,ROW()&lt;&gt;스왑분석!$C$12+1,ABS(K83-INDEX($K$2:$K$601,스왑분석!$C$12))&lt;=스왑분석!$C$5,ISERROR(SEARCH("FRN",AP83)),ISERROR(SEARCH("BBB0미만",AP83))),IF(AND(OR(스왑분석!$C$6="N",L83=INDEX($L$2:$L$601,스왑분석!$C$12)),OR(스왑분석!$C$7="N",N83=INDEX($N$2:$N$601,스왑분석!$C$12)),OR(스왑분석!$C$8="N",AO83=0),E83-INDEX($E$2:$E$601,스왑분석!$C$12)&gt;=스왑분석!$C$9),E83-INDEX($E$2:$E$601,스왑분석!$C$12)+ROW()/1000000000,-999),-999),-999)</f>
        <v>-999</v>
      </c>
      <c r="AU83" s="90" t="n">
        <f aca="false">IF(AND(Y83=1,AO83&gt;0,AL83="Rich"),-AK83+ROW()/1000000000,-999)</f>
        <v>-999</v>
      </c>
    </row>
    <row r="84" customFormat="false" ht="15" hidden="false" customHeight="false" outlineLevel="0" collapsed="false">
      <c r="A84" s="83" t="str">
        <f aca="false">IFERROR(IF(INDEX(원자료_시장!$A$1:$BZ$1000,설정!$L$6+ROW()-1,설정!$L$24)&amp;""="0","",INDEX(원자료_시장!$A$1:$BZ$1000,설정!$L$6+ROW()-1,설정!$L$24)),"")</f>
        <v>CITNAT 2 1/2 11/04/30</v>
      </c>
      <c r="B84" s="83" t="str">
        <f aca="false">IFERROR(IF(INDEX(원자료_시장!$A$1:$BZ$1000,설정!$L$6+ROW()-1,설정!$L$37)&amp;""="0","",INDEX(원자료_시장!$A$1:$BZ$1000,설정!$L$6+ROW()-1,설정!$L$37)),"")</f>
        <v>KOOKMIN BANK</v>
      </c>
      <c r="C84" s="83" t="str">
        <f aca="false">IFERROR(IF(INDEX(원자료_시장!$A$1:$BZ$1000,설정!$L$6+ROW()-1,설정!$L$25)&amp;""="0","",INDEX(원자료_시장!$A$1:$BZ$1000,설정!$L$6+ROW()-1,설정!$L$25)),"")</f>
        <v>USD</v>
      </c>
      <c r="D84" s="85" t="n">
        <f aca="false">IFERROR(IF(ISNUMBER(INDEX(원자료_시장!$A$1:$BZ$1000,설정!$L$6+ROW()-1,설정!$L$26)),INDEX(원자료_시장!$A$1:$BZ$1000,설정!$L$6+ROW()-1,설정!$L$26),""),"")</f>
        <v>5.839</v>
      </c>
      <c r="E84" s="97" t="n">
        <f aca="false">IFERROR(IF(ISNUMBER(INDEX(원자료_시장!$A$1:$BZ$1000,설정!$L$6+ROW()-1,설정!$L$27)),INDEX(원자료_시장!$A$1:$BZ$1000,설정!$L$6+ROW()-1,설정!$L$27),""),"")</f>
        <v>75.23</v>
      </c>
      <c r="F84" s="97" t="n">
        <f aca="false">IFERROR(IF(ISNUMBER(INDEX(원자료_시장!$A$1:$BZ$1000,설정!$L$6+ROW()-1,설정!$L$28)),INDEX(원자료_시장!$A$1:$BZ$1000,설정!$L$6+ROW()-1,설정!$L$28),""),"")</f>
        <v>109.281</v>
      </c>
      <c r="G84" s="97" t="n">
        <f aca="false">IFERROR(IF(ISNUMBER(INDEX(원자료_시장!$A$1:$BZ$1000,설정!$L$6+ROW()-1,설정!$L$29)),INDEX(원자료_시장!$A$1:$BZ$1000,설정!$L$6+ROW()-1,설정!$L$29),""),"")</f>
        <v>-0.1</v>
      </c>
      <c r="H84" s="97" t="n">
        <f aca="false">IFERROR(IF(ISNUMBER(INDEX(원자료_시장!$A$1:$BZ$1000,설정!$L$6+ROW()-1,설정!$L$30)),INDEX(원자료_시장!$A$1:$BZ$1000,설정!$L$6+ROW()-1,설정!$L$30),""),"")</f>
        <v>1.4</v>
      </c>
      <c r="I84" s="97" t="n">
        <f aca="false">IFERROR(IF(ISNUMBER(INDEX(원자료_시장!$A$1:$BZ$1000,설정!$L$6+ROW()-1,설정!$L$31)),INDEX(원자료_시장!$A$1:$BZ$1000,설정!$L$6+ROW()-1,설정!$L$31),""),"")</f>
        <v>1.6</v>
      </c>
      <c r="J84" s="97" t="n">
        <f aca="false">IFERROR(IF(ISNUMBER(INDEX(원자료_시장!$A$1:$BZ$1000,설정!$L$6+ROW()-1,설정!$L$32)),INDEX(원자료_시장!$A$1:$BZ$1000,설정!$L$6+ROW()-1,설정!$L$32),""),"")</f>
        <v>0.3</v>
      </c>
      <c r="K84" s="85" t="n">
        <f aca="false">IFERROR(IF(ISNUMBER(INDEX(원자료_시장!$A$1:$BZ$1000,설정!$L$6+ROW()-1,설정!$L$33)),INDEX(원자료_시장!$A$1:$BZ$1000,설정!$L$6+ROW()-1,설정!$L$33),""),"")</f>
        <v>3.853</v>
      </c>
      <c r="L84" s="83" t="str">
        <f aca="false">IFERROR(IF(INDEX(원자료_시장!$A$1:$BZ$1000,설정!$L$6+ROW()-1,설정!$L$34)&amp;""="0","",INDEX(원자료_시장!$A$1:$BZ$1000,설정!$L$6+ROW()-1,설정!$L$34)),"")</f>
        <v>금융기관</v>
      </c>
      <c r="M84" s="83" t="str">
        <f aca="false">IFERROR(IF(INDEX(원자료_시장!$A$1:$BZ$1000,설정!$L$6+ROW()-1,설정!$L$35)&amp;""="0","",INDEX(원자료_시장!$A$1:$BZ$1000,설정!$L$6+ROW()-1,설정!$L$35)),"")</f>
        <v>BBB+</v>
      </c>
      <c r="N84" s="83" t="str">
        <f aca="false">IFERROR(IF(INDEX(원자료_시장!$A$1:$BZ$1000,설정!$L$6+ROW()-1,설정!$L$36)&amp;""="0","",INDEX(원자료_시장!$A$1:$BZ$1000,설정!$L$6+ROW()-1,설정!$L$36)),"")</f>
        <v>아시아/기타</v>
      </c>
      <c r="O84" s="43" t="str">
        <f aca="false">IF($A84="","",UPPER(LEFT($A84,FIND(" ",$A84&amp;" ")-1)))</f>
        <v>CITNAT</v>
      </c>
      <c r="P84" s="43" t="str">
        <f aca="false">IF($A84="","",TRIM(RIGHT(SUBSTITUTE(TRIM($A84)," ",REPT(" ",30)),30)))</f>
        <v>11/04/30</v>
      </c>
      <c r="Q84" s="98" t="n">
        <f aca="false">IF($A84="","",IFERROR(DATE(IF(LEN(P84)=8,2000+VALUE(RIGHT(P84,2)),VALUE(RIGHT(P84,4))),VALUE(LEFT(P84,2)),VALUE(MID(P84,4,2))),""))</f>
        <v>47791</v>
      </c>
      <c r="R84" s="89" t="n">
        <f aca="false">IF($A84="",0,IF(ISNUMBER(SEARCH("Float",$A84)),1,0))</f>
        <v>0</v>
      </c>
      <c r="S84" s="43" t="str">
        <f aca="false">IF($A84="","",TRIM(MID($A84,LEN(O84)+2,LEN($A84)-LEN(O84)-LEN(P84)-1)))</f>
        <v>2 1/2</v>
      </c>
      <c r="T84" s="92" t="n">
        <f aca="false">IF(OR($A84="",R84=1),"",IFERROR(IF(ISNUMBER(FIND("/",S84)),IF(ISNUMBER(FIND(" ",S84)),VALUE(LEFT(S84,FIND(" ",S84)-1))+VALUE(MID(S84,FIND(" ",S84)+1,FIND("/",S84)-FIND(" ",S84)-1))/VALUE(MID(S84,FIND("/",S84)+1,9)),VALUE(LEFT(S84,FIND("/",S84)-1))/VALUE(MID(S84,FIND("/",S84)+1,9))),VALUE(S84)),""))</f>
        <v>2.5</v>
      </c>
      <c r="U84" s="43" t="str">
        <f aca="false">IF(OR($A84="",NOT(ISNUMBER(Q84))),"",TEXT(Q84,"yyyymmdd")&amp;"|"&amp;IF(R84=1,"F",TEXT(T84,"0.000")))</f>
        <v>20301104|2.500</v>
      </c>
      <c r="V84" s="43" t="str">
        <f aca="false">IF(U84="","",O84&amp;"|"&amp;U84)</f>
        <v>CITNAT|20301104|2.500</v>
      </c>
      <c r="W84" s="43" t="str">
        <f aca="false">IF($A84="","",IFERROR(IF(VLOOKUP(O84,매핑!$A$4:$E$92,3,0)="","미분류",VLOOKUP(O84,매핑!$A$4:$E$92,3,0)),"미분류"))</f>
        <v>한국</v>
      </c>
      <c r="X84" s="89" t="n">
        <f aca="false">IF($A84="",0,IF(O84="T",1,0))</f>
        <v>0</v>
      </c>
      <c r="Y84" s="89" t="n">
        <f aca="false">IF($A84="",0,IF(AND(C84="USD",X84=0,ISNUMBER(E84),ISNUMBER(K84)),IF(K84&gt;=설정!$C$8,1,0),0))</f>
        <v>1</v>
      </c>
      <c r="Z84" s="43" t="str">
        <f aca="false">IF($A84="","",N84&amp;"|"&amp;L84)</f>
        <v>아시아/기타|금융기관</v>
      </c>
      <c r="AA84" s="92" t="n">
        <f aca="false">IF(Y84=1,LN(K84),0)</f>
        <v>1.34885206564402</v>
      </c>
      <c r="AB84" s="93" t="n">
        <f aca="false">IF(Y84=1,E84,0)</f>
        <v>75.23</v>
      </c>
      <c r="AC84" s="89" t="n">
        <f aca="false">IF(Y84=1,COUNTIFS($Z$2:$Z$601,Z84,$Y$2:$Y$601,1),0)</f>
        <v>42</v>
      </c>
      <c r="AD84" s="89" t="n">
        <f aca="false">IF(Y84=1,COUNTIFS($N$2:$N$601,N84,$Y$2:$Y$601,1),0)</f>
        <v>137</v>
      </c>
      <c r="AE84" s="43" t="str">
        <f aca="false">IF(Y84&lt;&gt;1,"",IF(AND(AC84&gt;=설정!$C$7,ISNUMBER(MATCH(Z84,피어커브!$A:$A,0))),Z84,IF(AND(AD84&gt;=설정!$C$7,ISNUMBER(MATCH(N84&amp;"|전체",피어커브!$A:$A,0))),N84&amp;"|전체","전체|전체")))</f>
        <v>아시아/기타|금융기관</v>
      </c>
      <c r="AF84" s="93" t="n">
        <f aca="false">IF(AE84="","",INDEX(피어커브!$K:$K,MATCH(AE84,피어커브!$A:$A,0)))</f>
        <v>50.117430292991</v>
      </c>
      <c r="AG84" s="93" t="n">
        <f aca="false">IF(AE84="","",INDEX(피어커브!$J:$J,MATCH(AE84,피어커브!$A:$A,0)))</f>
        <v>13.9183160321618</v>
      </c>
      <c r="AH84" s="93" t="n">
        <f aca="false">IF(AE84="","",INDEX(피어커브!$L:$L,MATCH(AE84,피어커브!$A:$A,0)))</f>
        <v>20.4735875466442</v>
      </c>
      <c r="AI84" s="93" t="n">
        <f aca="false">IF(AE84="","",AF84+AG84*AA84)</f>
        <v>68.8911796232588</v>
      </c>
      <c r="AJ84" s="96" t="n">
        <f aca="false">IF(AE84="","",E84-AI84)</f>
        <v>6.33882037674123</v>
      </c>
      <c r="AK84" s="95" t="n">
        <f aca="false">IF(AE84="","",IF(ISNUMBER(AH84),IF(AH84&gt;0,AJ84/AH84,""),""))</f>
        <v>0.309609654990839</v>
      </c>
      <c r="AL84" s="43" t="str">
        <f aca="false">IF(AK84="","-",IF(AK84&gt;=설정!$C$6,"Cheap",IF(AK84&lt;=-설정!$C$6,"Rich","Fair")))</f>
        <v>Fair</v>
      </c>
      <c r="AM84" s="96" t="n">
        <f aca="false">IF(AE84="","",AJ84-AVERAGEIFS($AJ$2:$AJ$601,$B$2:$B$601,B84,$Y$2:$Y$601,1))</f>
        <v>15.1809444179246</v>
      </c>
      <c r="AN84" s="93" t="n">
        <f aca="false">IF(AE84="",0,IF(K84&gt;1+설정!$C$8,AG84*(AA84-LN(K84-1)),0))</f>
        <v>4.1821894279753</v>
      </c>
      <c r="AO84" s="99" t="n">
        <f aca="false">IF($A84="",0,SUMIFS(보유분석!$AA$2:$AA$801,보유분석!$AB$2:$AB$801,ROW(),보유분석!$AC$2:$AC$801,1))</f>
        <v>9.259992</v>
      </c>
      <c r="AP84" s="43" t="str">
        <f aca="false">IF($A84="","",TRIM(IF(R84=1,"FRN ","")&amp;IF(IFERROR(VLOOKUP(M84,설정!$A$15:$D$47,4,0),0)&gt;=10,IF(IFERROR(VLOOKUP(M84,설정!$A$15:$D$47,4,0),0)&lt;99,"BBB0미만 ",""),"")&amp;IF(OR(M84="",M84="NR"),"등급미입력 ","")&amp;IF(C84&lt;&gt;"USD","비USD ","")))</f>
        <v/>
      </c>
      <c r="AQ84" s="90" t="n">
        <f aca="false">IF(AND(Y84=1,AL84="Cheap"),IF(AND(ISERROR(SEARCH("FRN",AP84)),ISERROR(SEARCH("BBB0미만",AP84))),AK84+ROW()/1000000000,-999),-999)</f>
        <v>-999</v>
      </c>
      <c r="AR84" s="92" t="n">
        <f aca="false">IF(AND(ISNUMBER(D84),ISNUMBER(K84)),D84+AN84*MAX(K84-1,0)/100,"")</f>
        <v>5.95831786438014</v>
      </c>
      <c r="AS84" s="93" t="n">
        <f aca="false">IF(AND(ISNUMBER(E84),ISNUMBER(K84)),IF(K84&gt;0,(E84+AN84*MAX(K84-1,0))/K84,""),"")</f>
        <v>22.6217976740238</v>
      </c>
      <c r="AT84" s="90" t="n">
        <f aca="false">IFERROR(IF(AND(Y84=1,ROW()&lt;&gt;스왑분석!$C$12+1,ABS(K84-INDEX($K$2:$K$601,스왑분석!$C$12))&lt;=스왑분석!$C$5,ISERROR(SEARCH("FRN",AP84)),ISERROR(SEARCH("BBB0미만",AP84))),IF(AND(OR(스왑분석!$C$6="N",L84=INDEX($L$2:$L$601,스왑분석!$C$12)),OR(스왑분석!$C$7="N",N84=INDEX($N$2:$N$601,스왑분석!$C$12)),OR(스왑분석!$C$8="N",AO84=0),E84-INDEX($E$2:$E$601,스왑분석!$C$12)&gt;=스왑분석!$C$9),E84-INDEX($E$2:$E$601,스왑분석!$C$12)+ROW()/1000000000,-999),-999),-999)</f>
        <v>26.738000084</v>
      </c>
      <c r="AU84" s="90" t="n">
        <f aca="false">IF(AND(Y84=1,AO84&gt;0,AL84="Rich"),-AK84+ROW()/1000000000,-999)</f>
        <v>-999</v>
      </c>
    </row>
    <row r="85" customFormat="false" ht="15" hidden="false" customHeight="false" outlineLevel="0" collapsed="false">
      <c r="A85" s="83" t="str">
        <f aca="false">IFERROR(IF(INDEX(원자료_시장!$A$1:$BZ$1000,설정!$L$6+ROW()-1,설정!$L$24)&amp;""="0","",INDEX(원자료_시장!$A$1:$BZ$1000,설정!$L$6+ROW()-1,설정!$L$24)),"")</f>
        <v>KDB 4 1/2 02/15/29</v>
      </c>
      <c r="B85" s="83" t="str">
        <f aca="false">IFERROR(IF(INDEX(원자료_시장!$A$1:$BZ$1000,설정!$L$6+ROW()-1,설정!$L$37)&amp;""="0","",INDEX(원자료_시장!$A$1:$BZ$1000,설정!$L$6+ROW()-1,설정!$L$37)),"")</f>
        <v>KOREA DEVELOPMENT BANK</v>
      </c>
      <c r="C85" s="83" t="str">
        <f aca="false">IFERROR(IF(INDEX(원자료_시장!$A$1:$BZ$1000,설정!$L$6+ROW()-1,설정!$L$25)&amp;""="0","",INDEX(원자료_시장!$A$1:$BZ$1000,설정!$L$6+ROW()-1,설정!$L$25)),"")</f>
        <v>USD</v>
      </c>
      <c r="D85" s="85" t="n">
        <f aca="false">IFERROR(IF(ISNUMBER(INDEX(원자료_시장!$A$1:$BZ$1000,설정!$L$6+ROW()-1,설정!$L$26)),INDEX(원자료_시장!$A$1:$BZ$1000,설정!$L$6+ROW()-1,설정!$L$26),""),"")</f>
        <v>5.062</v>
      </c>
      <c r="E85" s="97" t="n">
        <f aca="false">IFERROR(IF(ISNUMBER(INDEX(원자료_시장!$A$1:$BZ$1000,설정!$L$6+ROW()-1,설정!$L$27)),INDEX(원자료_시장!$A$1:$BZ$1000,설정!$L$6+ROW()-1,설정!$L$27),""),"")</f>
        <v>6.195</v>
      </c>
      <c r="F85" s="97" t="n">
        <f aca="false">IFERROR(IF(ISNUMBER(INDEX(원자료_시장!$A$1:$BZ$1000,설정!$L$6+ROW()-1,설정!$L$28)),INDEX(원자료_시장!$A$1:$BZ$1000,설정!$L$6+ROW()-1,설정!$L$28),""),"")</f>
        <v>35.394</v>
      </c>
      <c r="G85" s="97" t="n">
        <f aca="false">IFERROR(IF(ISNUMBER(INDEX(원자료_시장!$A$1:$BZ$1000,설정!$L$6+ROW()-1,설정!$L$29)),INDEX(원자료_시장!$A$1:$BZ$1000,설정!$L$6+ROW()-1,설정!$L$29),""),"")</f>
        <v>-0.4</v>
      </c>
      <c r="H85" s="97" t="n">
        <f aca="false">IFERROR(IF(ISNUMBER(INDEX(원자료_시장!$A$1:$BZ$1000,설정!$L$6+ROW()-1,설정!$L$30)),INDEX(원자료_시장!$A$1:$BZ$1000,설정!$L$6+ROW()-1,설정!$L$30),""),"")</f>
        <v>9.8</v>
      </c>
      <c r="I85" s="97" t="n">
        <f aca="false">IFERROR(IF(ISNUMBER(INDEX(원자료_시장!$A$1:$BZ$1000,설정!$L$6+ROW()-1,설정!$L$31)),INDEX(원자료_시장!$A$1:$BZ$1000,설정!$L$6+ROW()-1,설정!$L$31),""),"")</f>
        <v>-0.9</v>
      </c>
      <c r="J85" s="97" t="n">
        <f aca="false">IFERROR(IF(ISNUMBER(INDEX(원자료_시장!$A$1:$BZ$1000,설정!$L$6+ROW()-1,설정!$L$32)),INDEX(원자료_시장!$A$1:$BZ$1000,설정!$L$6+ROW()-1,설정!$L$32),""),"")</f>
        <v>-7.5</v>
      </c>
      <c r="K85" s="85" t="n">
        <f aca="false">IFERROR(IF(ISNUMBER(INDEX(원자료_시장!$A$1:$BZ$1000,설정!$L$6+ROW()-1,설정!$L$33)),INDEX(원자료_시장!$A$1:$BZ$1000,설정!$L$6+ROW()-1,설정!$L$33),""),"")</f>
        <v>2.261</v>
      </c>
      <c r="L85" s="83" t="str">
        <f aca="false">IFERROR(IF(INDEX(원자료_시장!$A$1:$BZ$1000,설정!$L$6+ROW()-1,설정!$L$34)&amp;""="0","",INDEX(원자료_시장!$A$1:$BZ$1000,설정!$L$6+ROW()-1,설정!$L$34)),"")</f>
        <v>정부</v>
      </c>
      <c r="M85" s="83" t="str">
        <f aca="false">IFERROR(IF(INDEX(원자료_시장!$A$1:$BZ$1000,설정!$L$6+ROW()-1,설정!$L$35)&amp;""="0","",INDEX(원자료_시장!$A$1:$BZ$1000,설정!$L$6+ROW()-1,설정!$L$35)),"")</f>
        <v>AA</v>
      </c>
      <c r="N85" s="83" t="str">
        <f aca="false">IFERROR(IF(INDEX(원자료_시장!$A$1:$BZ$1000,설정!$L$6+ROW()-1,설정!$L$36)&amp;""="0","",INDEX(원자료_시장!$A$1:$BZ$1000,설정!$L$6+ROW()-1,설정!$L$36)),"")</f>
        <v>아시아/기타</v>
      </c>
      <c r="O85" s="43" t="str">
        <f aca="false">IF($A85="","",UPPER(LEFT($A85,FIND(" ",$A85&amp;" ")-1)))</f>
        <v>KDB</v>
      </c>
      <c r="P85" s="43" t="str">
        <f aca="false">IF($A85="","",TRIM(RIGHT(SUBSTITUTE(TRIM($A85)," ",REPT(" ",30)),30)))</f>
        <v>02/15/29</v>
      </c>
      <c r="Q85" s="98" t="n">
        <f aca="false">IF($A85="","",IFERROR(DATE(IF(LEN(P85)=8,2000+VALUE(RIGHT(P85,2)),VALUE(RIGHT(P85,4))),VALUE(LEFT(P85,2)),VALUE(MID(P85,4,2))),""))</f>
        <v>47164</v>
      </c>
      <c r="R85" s="89" t="n">
        <f aca="false">IF($A85="",0,IF(ISNUMBER(SEARCH("Float",$A85)),1,0))</f>
        <v>0</v>
      </c>
      <c r="S85" s="43" t="str">
        <f aca="false">IF($A85="","",TRIM(MID($A85,LEN(O85)+2,LEN($A85)-LEN(O85)-LEN(P85)-1)))</f>
        <v>4 1/2</v>
      </c>
      <c r="T85" s="92" t="n">
        <f aca="false">IF(OR($A85="",R85=1),"",IFERROR(IF(ISNUMBER(FIND("/",S85)),IF(ISNUMBER(FIND(" ",S85)),VALUE(LEFT(S85,FIND(" ",S85)-1))+VALUE(MID(S85,FIND(" ",S85)+1,FIND("/",S85)-FIND(" ",S85)-1))/VALUE(MID(S85,FIND("/",S85)+1,9)),VALUE(LEFT(S85,FIND("/",S85)-1))/VALUE(MID(S85,FIND("/",S85)+1,9))),VALUE(S85)),""))</f>
        <v>4.5</v>
      </c>
      <c r="U85" s="43" t="str">
        <f aca="false">IF(OR($A85="",NOT(ISNUMBER(Q85))),"",TEXT(Q85,"yyyymmdd")&amp;"|"&amp;IF(R85=1,"F",TEXT(T85,"0.000")))</f>
        <v>20290215|4.500</v>
      </c>
      <c r="V85" s="43" t="str">
        <f aca="false">IF(U85="","",O85&amp;"|"&amp;U85)</f>
        <v>KDB|20290215|4.500</v>
      </c>
      <c r="W85" s="43" t="str">
        <f aca="false">IF($A85="","",IFERROR(IF(VLOOKUP(O85,매핑!$A$4:$E$92,3,0)="","미분류",VLOOKUP(O85,매핑!$A$4:$E$92,3,0)),"미분류"))</f>
        <v>한국</v>
      </c>
      <c r="X85" s="89" t="n">
        <f aca="false">IF($A85="",0,IF(O85="T",1,0))</f>
        <v>0</v>
      </c>
      <c r="Y85" s="89" t="n">
        <f aca="false">IF($A85="",0,IF(AND(C85="USD",X85=0,ISNUMBER(E85),ISNUMBER(K85)),IF(K85&gt;=설정!$C$8,1,0),0))</f>
        <v>1</v>
      </c>
      <c r="Z85" s="43" t="str">
        <f aca="false">IF($A85="","",N85&amp;"|"&amp;L85)</f>
        <v>아시아/기타|정부</v>
      </c>
      <c r="AA85" s="92" t="n">
        <f aca="false">IF(Y85=1,LN(K85),0)</f>
        <v>0.815807193295833</v>
      </c>
      <c r="AB85" s="93" t="n">
        <f aca="false">IF(Y85=1,E85,0)</f>
        <v>6.195</v>
      </c>
      <c r="AC85" s="89" t="n">
        <f aca="false">IF(Y85=1,COUNTIFS($Z$2:$Z$601,Z85,$Y$2:$Y$601,1),0)</f>
        <v>51</v>
      </c>
      <c r="AD85" s="89" t="n">
        <f aca="false">IF(Y85=1,COUNTIFS($N$2:$N$601,N85,$Y$2:$Y$601,1),0)</f>
        <v>137</v>
      </c>
      <c r="AE85" s="43" t="str">
        <f aca="false">IF(Y85&lt;&gt;1,"",IF(AND(AC85&gt;=설정!$C$7,ISNUMBER(MATCH(Z85,피어커브!$A:$A,0))),Z85,IF(AND(AD85&gt;=설정!$C$7,ISNUMBER(MATCH(N85&amp;"|전체",피어커브!$A:$A,0))),N85&amp;"|전체","전체|전체")))</f>
        <v>아시아/기타|정부</v>
      </c>
      <c r="AF85" s="93" t="n">
        <f aca="false">IF(AE85="","",INDEX(피어커브!$K:$K,MATCH(AE85,피어커브!$A:$A,0)))</f>
        <v>-1.54860147302313</v>
      </c>
      <c r="AG85" s="93" t="n">
        <f aca="false">IF(AE85="","",INDEX(피어커브!$J:$J,MATCH(AE85,피어커브!$A:$A,0)))</f>
        <v>19.8674994409945</v>
      </c>
      <c r="AH85" s="93" t="n">
        <f aca="false">IF(AE85="","",INDEX(피어커브!$L:$L,MATCH(AE85,피어커브!$A:$A,0)))</f>
        <v>13.6930241146778</v>
      </c>
      <c r="AI85" s="93" t="n">
        <f aca="false">IF(AE85="","",AF85+AG85*AA85)</f>
        <v>14.6594474837412</v>
      </c>
      <c r="AJ85" s="96" t="n">
        <f aca="false">IF(AE85="","",E85-AI85)</f>
        <v>-8.46444748374116</v>
      </c>
      <c r="AK85" s="95" t="n">
        <f aca="false">IF(AE85="","",IF(ISNUMBER(AH85),IF(AH85&gt;0,AJ85/AH85,""),""))</f>
        <v>-0.61815764091644</v>
      </c>
      <c r="AL85" s="43" t="str">
        <f aca="false">IF(AK85="","-",IF(AK85&gt;=설정!$C$6,"Cheap",IF(AK85&lt;=-설정!$C$6,"Rich","Fair")))</f>
        <v>Fair</v>
      </c>
      <c r="AM85" s="96" t="n">
        <f aca="false">IF(AE85="","",AJ85-AVERAGEIFS($AJ$2:$AJ$601,$B$2:$B$601,B85,$Y$2:$Y$601,1))</f>
        <v>-4.05936686910183</v>
      </c>
      <c r="AN85" s="93" t="n">
        <f aca="false">IF(AE85="",0,IF(K85&gt;1+설정!$C$8,AG85*(AA85-LN(K85-1)),0))</f>
        <v>11.600675366795</v>
      </c>
      <c r="AO85" s="99" t="n">
        <f aca="false">IF($A85="",0,SUMIFS(보유분석!$AA$2:$AA$801,보유분석!$AB$2:$AB$801,ROW(),보유분석!$AC$2:$AC$801,1))</f>
        <v>0.987419</v>
      </c>
      <c r="AP85" s="43" t="str">
        <f aca="false">IF($A85="","",TRIM(IF(R85=1,"FRN ","")&amp;IF(IFERROR(VLOOKUP(M85,설정!$A$15:$D$47,4,0),0)&gt;=10,IF(IFERROR(VLOOKUP(M85,설정!$A$15:$D$47,4,0),0)&lt;99,"BBB0미만 ",""),"")&amp;IF(OR(M85="",M85="NR"),"등급미입력 ","")&amp;IF(C85&lt;&gt;"USD","비USD ","")))</f>
        <v/>
      </c>
      <c r="AQ85" s="90" t="n">
        <f aca="false">IF(AND(Y85=1,AL85="Cheap"),IF(AND(ISERROR(SEARCH("FRN",AP85)),ISERROR(SEARCH("BBB0미만",AP85))),AK85+ROW()/1000000000,-999),-999)</f>
        <v>-999</v>
      </c>
      <c r="AR85" s="92" t="n">
        <f aca="false">IF(AND(ISNUMBER(D85),ISNUMBER(K85)),D85+AN85*MAX(K85-1,0)/100,"")</f>
        <v>5.20828451637529</v>
      </c>
      <c r="AS85" s="93" t="n">
        <f aca="false">IF(AND(ISNUMBER(E85),ISNUMBER(K85)),IF(K85&gt;0,(E85+AN85*MAX(K85-1,0))/K85,""),"")</f>
        <v>9.20984150266632</v>
      </c>
      <c r="AT85" s="90" t="n">
        <f aca="false">IFERROR(IF(AND(Y85=1,ROW()&lt;&gt;스왑분석!$C$12+1,ABS(K85-INDEX($K$2:$K$601,스왑분석!$C$12))&lt;=스왑분석!$C$5,ISERROR(SEARCH("FRN",AP85)),ISERROR(SEARCH("BBB0미만",AP85))),IF(AND(OR(스왑분석!$C$6="N",L85=INDEX($L$2:$L$601,스왑분석!$C$12)),OR(스왑분석!$C$7="N",N85=INDEX($N$2:$N$601,스왑분석!$C$12)),OR(스왑분석!$C$8="N",AO85=0),E85-INDEX($E$2:$E$601,스왑분석!$C$12)&gt;=스왑분석!$C$9),E85-INDEX($E$2:$E$601,스왑분석!$C$12)+ROW()/1000000000,-999),-999),-999)</f>
        <v>-999</v>
      </c>
      <c r="AU85" s="90" t="n">
        <f aca="false">IF(AND(Y85=1,AO85&gt;0,AL85="Rich"),-AK85+ROW()/1000000000,-999)</f>
        <v>-999</v>
      </c>
    </row>
    <row r="86" customFormat="false" ht="15" hidden="false" customHeight="false" outlineLevel="0" collapsed="false">
      <c r="A86" s="83" t="str">
        <f aca="false">IFERROR(IF(INDEX(원자료_시장!$A$1:$BZ$1000,설정!$L$6+ROW()-1,설정!$L$24)&amp;""="0","",INDEX(원자료_시장!$A$1:$BZ$1000,설정!$L$6+ROW()-1,설정!$L$24)),"")</f>
        <v>KDB 4 5/8 02/03/28</v>
      </c>
      <c r="B86" s="83" t="str">
        <f aca="false">IFERROR(IF(INDEX(원자료_시장!$A$1:$BZ$1000,설정!$L$6+ROW()-1,설정!$L$37)&amp;""="0","",INDEX(원자료_시장!$A$1:$BZ$1000,설정!$L$6+ROW()-1,설정!$L$37)),"")</f>
        <v>KOREA DEVELOPMENT BANK</v>
      </c>
      <c r="C86" s="83" t="str">
        <f aca="false">IFERROR(IF(INDEX(원자료_시장!$A$1:$BZ$1000,설정!$L$6+ROW()-1,설정!$L$25)&amp;""="0","",INDEX(원자료_시장!$A$1:$BZ$1000,설정!$L$6+ROW()-1,설정!$L$25)),"")</f>
        <v>USD</v>
      </c>
      <c r="D86" s="85" t="n">
        <f aca="false">IFERROR(IF(ISNUMBER(INDEX(원자료_시장!$A$1:$BZ$1000,설정!$L$6+ROW()-1,설정!$L$26)),INDEX(원자료_시장!$A$1:$BZ$1000,설정!$L$6+ROW()-1,설정!$L$26),""),"")</f>
        <v>5.008</v>
      </c>
      <c r="E86" s="97" t="n">
        <f aca="false">IFERROR(IF(ISNUMBER(INDEX(원자료_시장!$A$1:$BZ$1000,설정!$L$6+ROW()-1,설정!$L$27)),INDEX(원자료_시장!$A$1:$BZ$1000,설정!$L$6+ROW()-1,설정!$L$27),""),"")</f>
        <v>11.933</v>
      </c>
      <c r="F86" s="97" t="n">
        <f aca="false">IFERROR(IF(ISNUMBER(INDEX(원자료_시장!$A$1:$BZ$1000,설정!$L$6+ROW()-1,설정!$L$28)),INDEX(원자료_시장!$A$1:$BZ$1000,설정!$L$6+ROW()-1,설정!$L$28),""),"")</f>
        <v>43.089</v>
      </c>
      <c r="G86" s="97" t="n">
        <f aca="false">IFERROR(IF(ISNUMBER(INDEX(원자료_시장!$A$1:$BZ$1000,설정!$L$6+ROW()-1,설정!$L$29)),INDEX(원자료_시장!$A$1:$BZ$1000,설정!$L$6+ROW()-1,설정!$L$29),""),"")</f>
        <v>0.7</v>
      </c>
      <c r="H86" s="97" t="n">
        <f aca="false">IFERROR(IF(ISNUMBER(INDEX(원자료_시장!$A$1:$BZ$1000,설정!$L$6+ROW()-1,설정!$L$30)),INDEX(원자료_시장!$A$1:$BZ$1000,설정!$L$6+ROW()-1,설정!$L$30),""),"")</f>
        <v>20</v>
      </c>
      <c r="I86" s="97" t="n">
        <f aca="false">IFERROR(IF(ISNUMBER(INDEX(원자료_시장!$A$1:$BZ$1000,설정!$L$6+ROW()-1,설정!$L$31)),INDEX(원자료_시장!$A$1:$BZ$1000,설정!$L$6+ROW()-1,설정!$L$31),""),"")</f>
        <v>1.3</v>
      </c>
      <c r="J86" s="97" t="n">
        <f aca="false">IFERROR(IF(ISNUMBER(INDEX(원자료_시장!$A$1:$BZ$1000,설정!$L$6+ROW()-1,설정!$L$32)),INDEX(원자료_시장!$A$1:$BZ$1000,설정!$L$6+ROW()-1,설정!$L$32),""),"")</f>
        <v>-3.3</v>
      </c>
      <c r="K86" s="85" t="n">
        <f aca="false">IFERROR(IF(ISNUMBER(INDEX(원자료_시장!$A$1:$BZ$1000,설정!$L$6+ROW()-1,설정!$L$33)),INDEX(원자료_시장!$A$1:$BZ$1000,설정!$L$6+ROW()-1,설정!$L$33),""),"")</f>
        <v>1.302</v>
      </c>
      <c r="L86" s="83" t="str">
        <f aca="false">IFERROR(IF(INDEX(원자료_시장!$A$1:$BZ$1000,설정!$L$6+ROW()-1,설정!$L$34)&amp;""="0","",INDEX(원자료_시장!$A$1:$BZ$1000,설정!$L$6+ROW()-1,설정!$L$34)),"")</f>
        <v>정부</v>
      </c>
      <c r="M86" s="83" t="str">
        <f aca="false">IFERROR(IF(INDEX(원자료_시장!$A$1:$BZ$1000,설정!$L$6+ROW()-1,설정!$L$35)&amp;""="0","",INDEX(원자료_시장!$A$1:$BZ$1000,설정!$L$6+ROW()-1,설정!$L$35)),"")</f>
        <v>AA</v>
      </c>
      <c r="N86" s="83" t="str">
        <f aca="false">IFERROR(IF(INDEX(원자료_시장!$A$1:$BZ$1000,설정!$L$6+ROW()-1,설정!$L$36)&amp;""="0","",INDEX(원자료_시장!$A$1:$BZ$1000,설정!$L$6+ROW()-1,설정!$L$36)),"")</f>
        <v>아시아/기타</v>
      </c>
      <c r="O86" s="43" t="str">
        <f aca="false">IF($A86="","",UPPER(LEFT($A86,FIND(" ",$A86&amp;" ")-1)))</f>
        <v>KDB</v>
      </c>
      <c r="P86" s="43" t="str">
        <f aca="false">IF($A86="","",TRIM(RIGHT(SUBSTITUTE(TRIM($A86)," ",REPT(" ",30)),30)))</f>
        <v>02/03/28</v>
      </c>
      <c r="Q86" s="98" t="n">
        <f aca="false">IF($A86="","",IFERROR(DATE(IF(LEN(P86)=8,2000+VALUE(RIGHT(P86,2)),VALUE(RIGHT(P86,4))),VALUE(LEFT(P86,2)),VALUE(MID(P86,4,2))),""))</f>
        <v>46786</v>
      </c>
      <c r="R86" s="89" t="n">
        <f aca="false">IF($A86="",0,IF(ISNUMBER(SEARCH("Float",$A86)),1,0))</f>
        <v>0</v>
      </c>
      <c r="S86" s="43" t="str">
        <f aca="false">IF($A86="","",TRIM(MID($A86,LEN(O86)+2,LEN($A86)-LEN(O86)-LEN(P86)-1)))</f>
        <v>4 5/8</v>
      </c>
      <c r="T86" s="92" t="n">
        <f aca="false">IF(OR($A86="",R86=1),"",IFERROR(IF(ISNUMBER(FIND("/",S86)),IF(ISNUMBER(FIND(" ",S86)),VALUE(LEFT(S86,FIND(" ",S86)-1))+VALUE(MID(S86,FIND(" ",S86)+1,FIND("/",S86)-FIND(" ",S86)-1))/VALUE(MID(S86,FIND("/",S86)+1,9)),VALUE(LEFT(S86,FIND("/",S86)-1))/VALUE(MID(S86,FIND("/",S86)+1,9))),VALUE(S86)),""))</f>
        <v>4.625</v>
      </c>
      <c r="U86" s="43" t="str">
        <f aca="false">IF(OR($A86="",NOT(ISNUMBER(Q86))),"",TEXT(Q86,"yyyymmdd")&amp;"|"&amp;IF(R86=1,"F",TEXT(T86,"0.000")))</f>
        <v>20280203|4.625</v>
      </c>
      <c r="V86" s="43" t="str">
        <f aca="false">IF(U86="","",O86&amp;"|"&amp;U86)</f>
        <v>KDB|20280203|4.625</v>
      </c>
      <c r="W86" s="43" t="str">
        <f aca="false">IF($A86="","",IFERROR(IF(VLOOKUP(O86,매핑!$A$4:$E$92,3,0)="","미분류",VLOOKUP(O86,매핑!$A$4:$E$92,3,0)),"미분류"))</f>
        <v>한국</v>
      </c>
      <c r="X86" s="89" t="n">
        <f aca="false">IF($A86="",0,IF(O86="T",1,0))</f>
        <v>0</v>
      </c>
      <c r="Y86" s="89" t="n">
        <f aca="false">IF($A86="",0,IF(AND(C86="USD",X86=0,ISNUMBER(E86),ISNUMBER(K86)),IF(K86&gt;=설정!$C$8,1,0),0))</f>
        <v>1</v>
      </c>
      <c r="Z86" s="43" t="str">
        <f aca="false">IF($A86="","",N86&amp;"|"&amp;L86)</f>
        <v>아시아/기타|정부</v>
      </c>
      <c r="AA86" s="92" t="n">
        <f aca="false">IF(Y86=1,LN(K86),0)</f>
        <v>0.263901543786378</v>
      </c>
      <c r="AB86" s="93" t="n">
        <f aca="false">IF(Y86=1,E86,0)</f>
        <v>11.933</v>
      </c>
      <c r="AC86" s="89" t="n">
        <f aca="false">IF(Y86=1,COUNTIFS($Z$2:$Z$601,Z86,$Y$2:$Y$601,1),0)</f>
        <v>51</v>
      </c>
      <c r="AD86" s="89" t="n">
        <f aca="false">IF(Y86=1,COUNTIFS($N$2:$N$601,N86,$Y$2:$Y$601,1),0)</f>
        <v>137</v>
      </c>
      <c r="AE86" s="43" t="str">
        <f aca="false">IF(Y86&lt;&gt;1,"",IF(AND(AC86&gt;=설정!$C$7,ISNUMBER(MATCH(Z86,피어커브!$A:$A,0))),Z86,IF(AND(AD86&gt;=설정!$C$7,ISNUMBER(MATCH(N86&amp;"|전체",피어커브!$A:$A,0))),N86&amp;"|전체","전체|전체")))</f>
        <v>아시아/기타|정부</v>
      </c>
      <c r="AF86" s="93" t="n">
        <f aca="false">IF(AE86="","",INDEX(피어커브!$K:$K,MATCH(AE86,피어커브!$A:$A,0)))</f>
        <v>-1.54860147302313</v>
      </c>
      <c r="AG86" s="93" t="n">
        <f aca="false">IF(AE86="","",INDEX(피어커브!$J:$J,MATCH(AE86,피어커브!$A:$A,0)))</f>
        <v>19.8674994409945</v>
      </c>
      <c r="AH86" s="93" t="n">
        <f aca="false">IF(AE86="","",INDEX(피어커브!$L:$L,MATCH(AE86,피어커브!$A:$A,0)))</f>
        <v>13.6930241146778</v>
      </c>
      <c r="AI86" s="93" t="n">
        <f aca="false">IF(AE86="","",AF86+AG86*AA86)</f>
        <v>3.69446230063033</v>
      </c>
      <c r="AJ86" s="96" t="n">
        <f aca="false">IF(AE86="","",E86-AI86)</f>
        <v>8.23853769936967</v>
      </c>
      <c r="AK86" s="95" t="n">
        <f aca="false">IF(AE86="","",IF(ISNUMBER(AH86),IF(AH86&gt;0,AJ86/AH86,""),""))</f>
        <v>0.601659474954012</v>
      </c>
      <c r="AL86" s="43" t="str">
        <f aca="false">IF(AK86="","-",IF(AK86&gt;=설정!$C$6,"Cheap",IF(AK86&lt;=-설정!$C$6,"Rich","Fair")))</f>
        <v>Fair</v>
      </c>
      <c r="AM86" s="96" t="n">
        <f aca="false">IF(AE86="","",AJ86-AVERAGEIFS($AJ$2:$AJ$601,$B$2:$B$601,B86,$Y$2:$Y$601,1))</f>
        <v>12.643618314009</v>
      </c>
      <c r="AN86" s="93" t="n">
        <f aca="false">IF(AE86="",0,IF(K86&gt;1+설정!$C$8,AG86*(AA86-LN(K86-1)),0))</f>
        <v>0</v>
      </c>
      <c r="AO86" s="99" t="n">
        <f aca="false">IF($A86="",0,SUMIFS(보유분석!$AA$2:$AA$801,보유분석!$AB$2:$AB$801,ROW(),보유분석!$AC$2:$AC$801,1))</f>
        <v>0</v>
      </c>
      <c r="AP86" s="43" t="str">
        <f aca="false">IF($A86="","",TRIM(IF(R86=1,"FRN ","")&amp;IF(IFERROR(VLOOKUP(M86,설정!$A$15:$D$47,4,0),0)&gt;=10,IF(IFERROR(VLOOKUP(M86,설정!$A$15:$D$47,4,0),0)&lt;99,"BBB0미만 ",""),"")&amp;IF(OR(M86="",M86="NR"),"등급미입력 ","")&amp;IF(C86&lt;&gt;"USD","비USD ","")))</f>
        <v/>
      </c>
      <c r="AQ86" s="90" t="n">
        <f aca="false">IF(AND(Y86=1,AL86="Cheap"),IF(AND(ISERROR(SEARCH("FRN",AP86)),ISERROR(SEARCH("BBB0미만",AP86))),AK86+ROW()/1000000000,-999),-999)</f>
        <v>-999</v>
      </c>
      <c r="AR86" s="92" t="n">
        <f aca="false">IF(AND(ISNUMBER(D86),ISNUMBER(K86)),D86+AN86*MAX(K86-1,0)/100,"")</f>
        <v>5.008</v>
      </c>
      <c r="AS86" s="93" t="n">
        <f aca="false">IF(AND(ISNUMBER(E86),ISNUMBER(K86)),IF(K86&gt;0,(E86+AN86*MAX(K86-1,0))/K86,""),"")</f>
        <v>9.16513056835638</v>
      </c>
      <c r="AT86" s="90" t="n">
        <f aca="false">IFERROR(IF(AND(Y86=1,ROW()&lt;&gt;스왑분석!$C$12+1,ABS(K86-INDEX($K$2:$K$601,스왑분석!$C$12))&lt;=스왑분석!$C$5,ISERROR(SEARCH("FRN",AP86)),ISERROR(SEARCH("BBB0미만",AP86))),IF(AND(OR(스왑분석!$C$6="N",L86=INDEX($L$2:$L$601,스왑분석!$C$12)),OR(스왑분석!$C$7="N",N86=INDEX($N$2:$N$601,스왑분석!$C$12)),OR(스왑분석!$C$8="N",AO86=0),E86-INDEX($E$2:$E$601,스왑분석!$C$12)&gt;=스왑분석!$C$9),E86-INDEX($E$2:$E$601,스왑분석!$C$12)+ROW()/1000000000,-999),-999),-999)</f>
        <v>-999</v>
      </c>
      <c r="AU86" s="90" t="n">
        <f aca="false">IF(AND(Y86=1,AO86&gt;0,AL86="Rich"),-AK86+ROW()/1000000000,-999)</f>
        <v>-999</v>
      </c>
    </row>
    <row r="87" customFormat="false" ht="15" hidden="false" customHeight="false" outlineLevel="0" collapsed="false">
      <c r="A87" s="83" t="str">
        <f aca="false">IFERROR(IF(INDEX(원자료_시장!$A$1:$BZ$1000,설정!$L$6+ROW()-1,설정!$L$24)&amp;""="0","",INDEX(원자료_시장!$A$1:$BZ$1000,설정!$L$6+ROW()-1,설정!$L$24)),"")</f>
        <v>KDB 4 7/8 02/03/30</v>
      </c>
      <c r="B87" s="83" t="str">
        <f aca="false">IFERROR(IF(INDEX(원자료_시장!$A$1:$BZ$1000,설정!$L$6+ROW()-1,설정!$L$37)&amp;""="0","",INDEX(원자료_시장!$A$1:$BZ$1000,설정!$L$6+ROW()-1,설정!$L$37)),"")</f>
        <v>KOREA DEVELOPMENT BANK</v>
      </c>
      <c r="C87" s="83" t="str">
        <f aca="false">IFERROR(IF(INDEX(원자료_시장!$A$1:$BZ$1000,설정!$L$6+ROW()-1,설정!$L$25)&amp;""="0","",INDEX(원자료_시장!$A$1:$BZ$1000,설정!$L$6+ROW()-1,설정!$L$25)),"")</f>
        <v>USD</v>
      </c>
      <c r="D87" s="85" t="n">
        <f aca="false">IFERROR(IF(ISNUMBER(INDEX(원자료_시장!$A$1:$BZ$1000,설정!$L$6+ROW()-1,설정!$L$26)),INDEX(원자료_시장!$A$1:$BZ$1000,설정!$L$6+ROW()-1,설정!$L$26),""),"")</f>
        <v>5.266</v>
      </c>
      <c r="E87" s="97" t="n">
        <f aca="false">IFERROR(IF(ISNUMBER(INDEX(원자료_시장!$A$1:$BZ$1000,설정!$L$6+ROW()-1,설정!$L$27)),INDEX(원자료_시장!$A$1:$BZ$1000,설정!$L$6+ROW()-1,설정!$L$27),""),"")</f>
        <v>17.919</v>
      </c>
      <c r="F87" s="97" t="n">
        <f aca="false">IFERROR(IF(ISNUMBER(INDEX(원자료_시장!$A$1:$BZ$1000,설정!$L$6+ROW()-1,설정!$L$28)),INDEX(원자료_시장!$A$1:$BZ$1000,설정!$L$6+ROW()-1,설정!$L$28),""),"")</f>
        <v>52.663</v>
      </c>
      <c r="G87" s="97" t="n">
        <f aca="false">IFERROR(IF(ISNUMBER(INDEX(원자료_시장!$A$1:$BZ$1000,설정!$L$6+ROW()-1,설정!$L$29)),INDEX(원자료_시장!$A$1:$BZ$1000,설정!$L$6+ROW()-1,설정!$L$29),""),"")</f>
        <v>0.6</v>
      </c>
      <c r="H87" s="97" t="n">
        <f aca="false">IFERROR(IF(ISNUMBER(INDEX(원자료_시장!$A$1:$BZ$1000,설정!$L$6+ROW()-1,설정!$L$30)),INDEX(원자료_시장!$A$1:$BZ$1000,설정!$L$6+ROW()-1,설정!$L$30),""),"")</f>
        <v>3.6</v>
      </c>
      <c r="I87" s="97" t="n">
        <f aca="false">IFERROR(IF(ISNUMBER(INDEX(원자료_시장!$A$1:$BZ$1000,설정!$L$6+ROW()-1,설정!$L$31)),INDEX(원자료_시장!$A$1:$BZ$1000,설정!$L$6+ROW()-1,설정!$L$31),""),"")</f>
        <v>2.4</v>
      </c>
      <c r="J87" s="97" t="n">
        <f aca="false">IFERROR(IF(ISNUMBER(INDEX(원자료_시장!$A$1:$BZ$1000,설정!$L$6+ROW()-1,설정!$L$32)),INDEX(원자료_시장!$A$1:$BZ$1000,설정!$L$6+ROW()-1,설정!$L$32),""),"")</f>
        <v>2</v>
      </c>
      <c r="K87" s="85" t="n">
        <f aca="false">IFERROR(IF(ISNUMBER(INDEX(원자료_시장!$A$1:$BZ$1000,설정!$L$6+ROW()-1,설정!$L$33)),INDEX(원자료_시장!$A$1:$BZ$1000,설정!$L$6+ROW()-1,설정!$L$33),""),"")</f>
        <v>3.094</v>
      </c>
      <c r="L87" s="83" t="str">
        <f aca="false">IFERROR(IF(INDEX(원자료_시장!$A$1:$BZ$1000,설정!$L$6+ROW()-1,설정!$L$34)&amp;""="0","",INDEX(원자료_시장!$A$1:$BZ$1000,설정!$L$6+ROW()-1,설정!$L$34)),"")</f>
        <v>정부</v>
      </c>
      <c r="M87" s="83" t="str">
        <f aca="false">IFERROR(IF(INDEX(원자료_시장!$A$1:$BZ$1000,설정!$L$6+ROW()-1,설정!$L$35)&amp;""="0","",INDEX(원자료_시장!$A$1:$BZ$1000,설정!$L$6+ROW()-1,설정!$L$35)),"")</f>
        <v>AA</v>
      </c>
      <c r="N87" s="83" t="str">
        <f aca="false">IFERROR(IF(INDEX(원자료_시장!$A$1:$BZ$1000,설정!$L$6+ROW()-1,설정!$L$36)&amp;""="0","",INDEX(원자료_시장!$A$1:$BZ$1000,설정!$L$6+ROW()-1,설정!$L$36)),"")</f>
        <v>아시아/기타</v>
      </c>
      <c r="O87" s="43" t="str">
        <f aca="false">IF($A87="","",UPPER(LEFT($A87,FIND(" ",$A87&amp;" ")-1)))</f>
        <v>KDB</v>
      </c>
      <c r="P87" s="43" t="str">
        <f aca="false">IF($A87="","",TRIM(RIGHT(SUBSTITUTE(TRIM($A87)," ",REPT(" ",30)),30)))</f>
        <v>02/03/30</v>
      </c>
      <c r="Q87" s="98" t="n">
        <f aca="false">IF($A87="","",IFERROR(DATE(IF(LEN(P87)=8,2000+VALUE(RIGHT(P87,2)),VALUE(RIGHT(P87,4))),VALUE(LEFT(P87,2)),VALUE(MID(P87,4,2))),""))</f>
        <v>47517</v>
      </c>
      <c r="R87" s="89" t="n">
        <f aca="false">IF($A87="",0,IF(ISNUMBER(SEARCH("Float",$A87)),1,0))</f>
        <v>0</v>
      </c>
      <c r="S87" s="43" t="str">
        <f aca="false">IF($A87="","",TRIM(MID($A87,LEN(O87)+2,LEN($A87)-LEN(O87)-LEN(P87)-1)))</f>
        <v>4 7/8</v>
      </c>
      <c r="T87" s="92" t="n">
        <f aca="false">IF(OR($A87="",R87=1),"",IFERROR(IF(ISNUMBER(FIND("/",S87)),IF(ISNUMBER(FIND(" ",S87)),VALUE(LEFT(S87,FIND(" ",S87)-1))+VALUE(MID(S87,FIND(" ",S87)+1,FIND("/",S87)-FIND(" ",S87)-1))/VALUE(MID(S87,FIND("/",S87)+1,9)),VALUE(LEFT(S87,FIND("/",S87)-1))/VALUE(MID(S87,FIND("/",S87)+1,9))),VALUE(S87)),""))</f>
        <v>4.875</v>
      </c>
      <c r="U87" s="43" t="str">
        <f aca="false">IF(OR($A87="",NOT(ISNUMBER(Q87))),"",TEXT(Q87,"yyyymmdd")&amp;"|"&amp;IF(R87=1,"F",TEXT(T87,"0.000")))</f>
        <v>20300203|4.875</v>
      </c>
      <c r="V87" s="43" t="str">
        <f aca="false">IF(U87="","",O87&amp;"|"&amp;U87)</f>
        <v>KDB|20300203|4.875</v>
      </c>
      <c r="W87" s="43" t="str">
        <f aca="false">IF($A87="","",IFERROR(IF(VLOOKUP(O87,매핑!$A$4:$E$92,3,0)="","미분류",VLOOKUP(O87,매핑!$A$4:$E$92,3,0)),"미분류"))</f>
        <v>한국</v>
      </c>
      <c r="X87" s="89" t="n">
        <f aca="false">IF($A87="",0,IF(O87="T",1,0))</f>
        <v>0</v>
      </c>
      <c r="Y87" s="89" t="n">
        <f aca="false">IF($A87="",0,IF(AND(C87="USD",X87=0,ISNUMBER(E87),ISNUMBER(K87)),IF(K87&gt;=설정!$C$8,1,0),0))</f>
        <v>1</v>
      </c>
      <c r="Z87" s="43" t="str">
        <f aca="false">IF($A87="","",N87&amp;"|"&amp;L87)</f>
        <v>아시아/기타|정부</v>
      </c>
      <c r="AA87" s="92" t="n">
        <f aca="false">IF(Y87=1,LN(K87),0)</f>
        <v>1.12946475215087</v>
      </c>
      <c r="AB87" s="93" t="n">
        <f aca="false">IF(Y87=1,E87,0)</f>
        <v>17.919</v>
      </c>
      <c r="AC87" s="89" t="n">
        <f aca="false">IF(Y87=1,COUNTIFS($Z$2:$Z$601,Z87,$Y$2:$Y$601,1),0)</f>
        <v>51</v>
      </c>
      <c r="AD87" s="89" t="n">
        <f aca="false">IF(Y87=1,COUNTIFS($N$2:$N$601,N87,$Y$2:$Y$601,1),0)</f>
        <v>137</v>
      </c>
      <c r="AE87" s="43" t="str">
        <f aca="false">IF(Y87&lt;&gt;1,"",IF(AND(AC87&gt;=설정!$C$7,ISNUMBER(MATCH(Z87,피어커브!$A:$A,0))),Z87,IF(AND(AD87&gt;=설정!$C$7,ISNUMBER(MATCH(N87&amp;"|전체",피어커브!$A:$A,0))),N87&amp;"|전체","전체|전체")))</f>
        <v>아시아/기타|정부</v>
      </c>
      <c r="AF87" s="93" t="n">
        <f aca="false">IF(AE87="","",INDEX(피어커브!$K:$K,MATCH(AE87,피어커브!$A:$A,0)))</f>
        <v>-1.54860147302313</v>
      </c>
      <c r="AG87" s="93" t="n">
        <f aca="false">IF(AE87="","",INDEX(피어커브!$J:$J,MATCH(AE87,피어커브!$A:$A,0)))</f>
        <v>19.8674994409945</v>
      </c>
      <c r="AH87" s="93" t="n">
        <f aca="false">IF(AE87="","",INDEX(피어커브!$L:$L,MATCH(AE87,피어커브!$A:$A,0)))</f>
        <v>13.6930241146778</v>
      </c>
      <c r="AI87" s="93" t="n">
        <f aca="false">IF(AE87="","",AF87+AG87*AA87)</f>
        <v>20.8910388589574</v>
      </c>
      <c r="AJ87" s="96" t="n">
        <f aca="false">IF(AE87="","",E87-AI87)</f>
        <v>-2.97203885895741</v>
      </c>
      <c r="AK87" s="95" t="n">
        <f aca="false">IF(AE87="","",IF(ISNUMBER(AH87),IF(AH87&gt;0,AJ87/AH87,""),""))</f>
        <v>-0.217047661208135</v>
      </c>
      <c r="AL87" s="43" t="str">
        <f aca="false">IF(AK87="","-",IF(AK87&gt;=설정!$C$6,"Cheap",IF(AK87&lt;=-설정!$C$6,"Rich","Fair")))</f>
        <v>Fair</v>
      </c>
      <c r="AM87" s="96" t="n">
        <f aca="false">IF(AE87="","",AJ87-AVERAGEIFS($AJ$2:$AJ$601,$B$2:$B$601,B87,$Y$2:$Y$601,1))</f>
        <v>1.43304175568192</v>
      </c>
      <c r="AN87" s="93" t="n">
        <f aca="false">IF(AE87="",0,IF(K87&gt;1+설정!$C$8,AG87*(AA87-LN(K87-1)),0))</f>
        <v>7.75604608106062</v>
      </c>
      <c r="AO87" s="99" t="n">
        <f aca="false">IF($A87="",0,SUMIFS(보유분석!$AA$2:$AA$801,보유분석!$AB$2:$AB$801,ROW(),보유분석!$AC$2:$AC$801,1))</f>
        <v>0</v>
      </c>
      <c r="AP87" s="43" t="str">
        <f aca="false">IF($A87="","",TRIM(IF(R87=1,"FRN ","")&amp;IF(IFERROR(VLOOKUP(M87,설정!$A$15:$D$47,4,0),0)&gt;=10,IF(IFERROR(VLOOKUP(M87,설정!$A$15:$D$47,4,0),0)&lt;99,"BBB0미만 ",""),"")&amp;IF(OR(M87="",M87="NR"),"등급미입력 ","")&amp;IF(C87&lt;&gt;"USD","비USD ","")))</f>
        <v/>
      </c>
      <c r="AQ87" s="90" t="n">
        <f aca="false">IF(AND(Y87=1,AL87="Cheap"),IF(AND(ISERROR(SEARCH("FRN",AP87)),ISERROR(SEARCH("BBB0미만",AP87))),AK87+ROW()/1000000000,-999),-999)</f>
        <v>-999</v>
      </c>
      <c r="AR87" s="92" t="n">
        <f aca="false">IF(AND(ISNUMBER(D87),ISNUMBER(K87)),D87+AN87*MAX(K87-1,0)/100,"")</f>
        <v>5.42841160493741</v>
      </c>
      <c r="AS87" s="93" t="n">
        <f aca="false">IF(AND(ISNUMBER(E87),ISNUMBER(K87)),IF(K87&gt;0,(E87+AN87*MAX(K87-1,0))/K87,""),"")</f>
        <v>11.0407758544735</v>
      </c>
      <c r="AT87" s="90" t="n">
        <f aca="false">IFERROR(IF(AND(Y87=1,ROW()&lt;&gt;스왑분석!$C$12+1,ABS(K87-INDEX($K$2:$K$601,스왑분석!$C$12))&lt;=스왑분석!$C$5,ISERROR(SEARCH("FRN",AP87)),ISERROR(SEARCH("BBB0미만",AP87))),IF(AND(OR(스왑분석!$C$6="N",L87=INDEX($L$2:$L$601,스왑분석!$C$12)),OR(스왑분석!$C$7="N",N87=INDEX($N$2:$N$601,스왑분석!$C$12)),OR(스왑분석!$C$8="N",AO87=0),E87-INDEX($E$2:$E$601,스왑분석!$C$12)&gt;=스왑분석!$C$9),E87-INDEX($E$2:$E$601,스왑분석!$C$12)+ROW()/1000000000,-999),-999),-999)</f>
        <v>-999</v>
      </c>
      <c r="AU87" s="90" t="n">
        <f aca="false">IF(AND(Y87=1,AO87&gt;0,AL87="Rich"),-AK87+ROW()/1000000000,-999)</f>
        <v>-999</v>
      </c>
    </row>
    <row r="88" customFormat="false" ht="15" hidden="false" customHeight="false" outlineLevel="0" collapsed="false">
      <c r="A88" s="83" t="str">
        <f aca="false">IFERROR(IF(INDEX(원자료_시장!$A$1:$BZ$1000,설정!$L$6+ROW()-1,설정!$L$24)&amp;""="0","",INDEX(원자료_시장!$A$1:$BZ$1000,설정!$L$6+ROW()-1,설정!$L$24)),"")</f>
        <v>KDB 3 3/4 09/16/30</v>
      </c>
      <c r="B88" s="83" t="str">
        <f aca="false">IFERROR(IF(INDEX(원자료_시장!$A$1:$BZ$1000,설정!$L$6+ROW()-1,설정!$L$37)&amp;""="0","",INDEX(원자료_시장!$A$1:$BZ$1000,설정!$L$6+ROW()-1,설정!$L$37)),"")</f>
        <v>KOREA DEVELOPMENT BANK</v>
      </c>
      <c r="C88" s="83" t="str">
        <f aca="false">IFERROR(IF(INDEX(원자료_시장!$A$1:$BZ$1000,설정!$L$6+ROW()-1,설정!$L$25)&amp;""="0","",INDEX(원자료_시장!$A$1:$BZ$1000,설정!$L$6+ROW()-1,설정!$L$25)),"")</f>
        <v>USD</v>
      </c>
      <c r="D88" s="85" t="n">
        <f aca="false">IFERROR(IF(ISNUMBER(INDEX(원자료_시장!$A$1:$BZ$1000,설정!$L$6+ROW()-1,설정!$L$26)),INDEX(원자료_시장!$A$1:$BZ$1000,설정!$L$6+ROW()-1,설정!$L$26),""),"")</f>
        <v>5.239</v>
      </c>
      <c r="E88" s="97" t="n">
        <f aca="false">IFERROR(IF(ISNUMBER(INDEX(원자료_시장!$A$1:$BZ$1000,설정!$L$6+ROW()-1,설정!$L$27)),INDEX(원자료_시장!$A$1:$BZ$1000,설정!$L$6+ROW()-1,설정!$L$27),""),"")</f>
        <v>15.182</v>
      </c>
      <c r="F88" s="97" t="n">
        <f aca="false">IFERROR(IF(ISNUMBER(INDEX(원자료_시장!$A$1:$BZ$1000,설정!$L$6+ROW()-1,설정!$L$28)),INDEX(원자료_시장!$A$1:$BZ$1000,설정!$L$6+ROW()-1,설정!$L$28),""),"")</f>
        <v>49.354</v>
      </c>
      <c r="G88" s="97" t="n">
        <f aca="false">IFERROR(IF(ISNUMBER(INDEX(원자료_시장!$A$1:$BZ$1000,설정!$L$6+ROW()-1,설정!$L$29)),INDEX(원자료_시장!$A$1:$BZ$1000,설정!$L$6+ROW()-1,설정!$L$29),""),"")</f>
        <v>-1.1</v>
      </c>
      <c r="H88" s="97" t="n">
        <f aca="false">IFERROR(IF(ISNUMBER(INDEX(원자료_시장!$A$1:$BZ$1000,설정!$L$6+ROW()-1,설정!$L$30)),INDEX(원자료_시장!$A$1:$BZ$1000,설정!$L$6+ROW()-1,설정!$L$30),""),"")</f>
        <v>6</v>
      </c>
      <c r="I88" s="97" t="n">
        <f aca="false">IFERROR(IF(ISNUMBER(INDEX(원자료_시장!$A$1:$BZ$1000,설정!$L$6+ROW()-1,설정!$L$31)),INDEX(원자료_시장!$A$1:$BZ$1000,설정!$L$6+ROW()-1,설정!$L$31),""),"")</f>
        <v>-0.6</v>
      </c>
      <c r="J88" s="97" t="n">
        <f aca="false">IFERROR(IF(ISNUMBER(INDEX(원자료_시장!$A$1:$BZ$1000,설정!$L$6+ROW()-1,설정!$L$32)),INDEX(원자료_시장!$A$1:$BZ$1000,설정!$L$6+ROW()-1,설정!$L$32),""),"")</f>
        <v>-0.6</v>
      </c>
      <c r="K88" s="85" t="n">
        <f aca="false">IFERROR(IF(ISNUMBER(INDEX(원자료_시장!$A$1:$BZ$1000,설정!$L$6+ROW()-1,설정!$L$33)),INDEX(원자료_시장!$A$1:$BZ$1000,설정!$L$6+ROW()-1,설정!$L$33),""),"")</f>
        <v>3.699</v>
      </c>
      <c r="L88" s="83" t="str">
        <f aca="false">IFERROR(IF(INDEX(원자료_시장!$A$1:$BZ$1000,설정!$L$6+ROW()-1,설정!$L$34)&amp;""="0","",INDEX(원자료_시장!$A$1:$BZ$1000,설정!$L$6+ROW()-1,설정!$L$34)),"")</f>
        <v>정부</v>
      </c>
      <c r="M88" s="83" t="str">
        <f aca="false">IFERROR(IF(INDEX(원자료_시장!$A$1:$BZ$1000,설정!$L$6+ROW()-1,설정!$L$35)&amp;""="0","",INDEX(원자료_시장!$A$1:$BZ$1000,설정!$L$6+ROW()-1,설정!$L$35)),"")</f>
        <v>AA</v>
      </c>
      <c r="N88" s="83" t="str">
        <f aca="false">IFERROR(IF(INDEX(원자료_시장!$A$1:$BZ$1000,설정!$L$6+ROW()-1,설정!$L$36)&amp;""="0","",INDEX(원자료_시장!$A$1:$BZ$1000,설정!$L$6+ROW()-1,설정!$L$36)),"")</f>
        <v>아시아/기타</v>
      </c>
      <c r="O88" s="43" t="str">
        <f aca="false">IF($A88="","",UPPER(LEFT($A88,FIND(" ",$A88&amp;" ")-1)))</f>
        <v>KDB</v>
      </c>
      <c r="P88" s="43" t="str">
        <f aca="false">IF($A88="","",TRIM(RIGHT(SUBSTITUTE(TRIM($A88)," ",REPT(" ",30)),30)))</f>
        <v>09/16/30</v>
      </c>
      <c r="Q88" s="98" t="n">
        <f aca="false">IF($A88="","",IFERROR(DATE(IF(LEN(P88)=8,2000+VALUE(RIGHT(P88,2)),VALUE(RIGHT(P88,4))),VALUE(LEFT(P88,2)),VALUE(MID(P88,4,2))),""))</f>
        <v>47742</v>
      </c>
      <c r="R88" s="89" t="n">
        <f aca="false">IF($A88="",0,IF(ISNUMBER(SEARCH("Float",$A88)),1,0))</f>
        <v>0</v>
      </c>
      <c r="S88" s="43" t="str">
        <f aca="false">IF($A88="","",TRIM(MID($A88,LEN(O88)+2,LEN($A88)-LEN(O88)-LEN(P88)-1)))</f>
        <v>3 3/4</v>
      </c>
      <c r="T88" s="92" t="n">
        <f aca="false">IF(OR($A88="",R88=1),"",IFERROR(IF(ISNUMBER(FIND("/",S88)),IF(ISNUMBER(FIND(" ",S88)),VALUE(LEFT(S88,FIND(" ",S88)-1))+VALUE(MID(S88,FIND(" ",S88)+1,FIND("/",S88)-FIND(" ",S88)-1))/VALUE(MID(S88,FIND("/",S88)+1,9)),VALUE(LEFT(S88,FIND("/",S88)-1))/VALUE(MID(S88,FIND("/",S88)+1,9))),VALUE(S88)),""))</f>
        <v>3.75</v>
      </c>
      <c r="U88" s="43" t="str">
        <f aca="false">IF(OR($A88="",NOT(ISNUMBER(Q88))),"",TEXT(Q88,"yyyymmdd")&amp;"|"&amp;IF(R88=1,"F",TEXT(T88,"0.000")))</f>
        <v>20300916|3.750</v>
      </c>
      <c r="V88" s="43" t="str">
        <f aca="false">IF(U88="","",O88&amp;"|"&amp;U88)</f>
        <v>KDB|20300916|3.750</v>
      </c>
      <c r="W88" s="43" t="str">
        <f aca="false">IF($A88="","",IFERROR(IF(VLOOKUP(O88,매핑!$A$4:$E$92,3,0)="","미분류",VLOOKUP(O88,매핑!$A$4:$E$92,3,0)),"미분류"))</f>
        <v>한국</v>
      </c>
      <c r="X88" s="89" t="n">
        <f aca="false">IF($A88="",0,IF(O88="T",1,0))</f>
        <v>0</v>
      </c>
      <c r="Y88" s="89" t="n">
        <f aca="false">IF($A88="",0,IF(AND(C88="USD",X88=0,ISNUMBER(E88),ISNUMBER(K88)),IF(K88&gt;=설정!$C$8,1,0),0))</f>
        <v>1</v>
      </c>
      <c r="Z88" s="43" t="str">
        <f aca="false">IF($A88="","",N88&amp;"|"&amp;L88)</f>
        <v>아시아/기타|정부</v>
      </c>
      <c r="AA88" s="92" t="n">
        <f aca="false">IF(Y88=1,LN(K88),0)</f>
        <v>1.30806251285032</v>
      </c>
      <c r="AB88" s="93" t="n">
        <f aca="false">IF(Y88=1,E88,0)</f>
        <v>15.182</v>
      </c>
      <c r="AC88" s="89" t="n">
        <f aca="false">IF(Y88=1,COUNTIFS($Z$2:$Z$601,Z88,$Y$2:$Y$601,1),0)</f>
        <v>51</v>
      </c>
      <c r="AD88" s="89" t="n">
        <f aca="false">IF(Y88=1,COUNTIFS($N$2:$N$601,N88,$Y$2:$Y$601,1),0)</f>
        <v>137</v>
      </c>
      <c r="AE88" s="43" t="str">
        <f aca="false">IF(Y88&lt;&gt;1,"",IF(AND(AC88&gt;=설정!$C$7,ISNUMBER(MATCH(Z88,피어커브!$A:$A,0))),Z88,IF(AND(AD88&gt;=설정!$C$7,ISNUMBER(MATCH(N88&amp;"|전체",피어커브!$A:$A,0))),N88&amp;"|전체","전체|전체")))</f>
        <v>아시아/기타|정부</v>
      </c>
      <c r="AF88" s="93" t="n">
        <f aca="false">IF(AE88="","",INDEX(피어커브!$K:$K,MATCH(AE88,피어커브!$A:$A,0)))</f>
        <v>-1.54860147302313</v>
      </c>
      <c r="AG88" s="93" t="n">
        <f aca="false">IF(AE88="","",INDEX(피어커브!$J:$J,MATCH(AE88,피어커브!$A:$A,0)))</f>
        <v>19.8674994409945</v>
      </c>
      <c r="AH88" s="93" t="n">
        <f aca="false">IF(AE88="","",INDEX(피어커브!$L:$L,MATCH(AE88,피어커브!$A:$A,0)))</f>
        <v>13.6930241146778</v>
      </c>
      <c r="AI88" s="93" t="n">
        <f aca="false">IF(AE88="","",AF88+AG88*AA88)</f>
        <v>24.4393297698165</v>
      </c>
      <c r="AJ88" s="96" t="n">
        <f aca="false">IF(AE88="","",E88-AI88)</f>
        <v>-9.25732976981647</v>
      </c>
      <c r="AK88" s="95" t="n">
        <f aca="false">IF(AE88="","",IF(ISNUMBER(AH88),IF(AH88&gt;0,AJ88/AH88,""),""))</f>
        <v>-0.676061744453759</v>
      </c>
      <c r="AL88" s="43" t="str">
        <f aca="false">IF(AK88="","-",IF(AK88&gt;=설정!$C$6,"Cheap",IF(AK88&lt;=-설정!$C$6,"Rich","Fair")))</f>
        <v>Fair</v>
      </c>
      <c r="AM88" s="96" t="n">
        <f aca="false">IF(AE88="","",AJ88-AVERAGEIFS($AJ$2:$AJ$601,$B$2:$B$601,B88,$Y$2:$Y$601,1))</f>
        <v>-4.85224915517714</v>
      </c>
      <c r="AN88" s="93" t="n">
        <f aca="false">IF(AE88="",0,IF(K88&gt;1+설정!$C$8,AG88*(AA88-LN(K88-1)),0))</f>
        <v>6.26186189390808</v>
      </c>
      <c r="AO88" s="99" t="n">
        <f aca="false">IF($A88="",0,SUMIFS(보유분석!$AA$2:$AA$801,보유분석!$AB$2:$AB$801,ROW(),보유분석!$AC$2:$AC$801,1))</f>
        <v>0</v>
      </c>
      <c r="AP88" s="43" t="str">
        <f aca="false">IF($A88="","",TRIM(IF(R88=1,"FRN ","")&amp;IF(IFERROR(VLOOKUP(M88,설정!$A$15:$D$47,4,0),0)&gt;=10,IF(IFERROR(VLOOKUP(M88,설정!$A$15:$D$47,4,0),0)&lt;99,"BBB0미만 ",""),"")&amp;IF(OR(M88="",M88="NR"),"등급미입력 ","")&amp;IF(C88&lt;&gt;"USD","비USD ","")))</f>
        <v/>
      </c>
      <c r="AQ88" s="90" t="n">
        <f aca="false">IF(AND(Y88=1,AL88="Cheap"),IF(AND(ISERROR(SEARCH("FRN",AP88)),ISERROR(SEARCH("BBB0미만",AP88))),AK88+ROW()/1000000000,-999),-999)</f>
        <v>-999</v>
      </c>
      <c r="AR88" s="92" t="n">
        <f aca="false">IF(AND(ISNUMBER(D88),ISNUMBER(K88)),D88+AN88*MAX(K88-1,0)/100,"")</f>
        <v>5.40800765251658</v>
      </c>
      <c r="AS88" s="93" t="n">
        <f aca="false">IF(AND(ISNUMBER(E88),ISNUMBER(K88)),IF(K88&gt;0,(E88+AN88*MAX(K88-1,0))/K88,""),"")</f>
        <v>8.67336178741765</v>
      </c>
      <c r="AT88" s="90" t="n">
        <f aca="false">IFERROR(IF(AND(Y88=1,ROW()&lt;&gt;스왑분석!$C$12+1,ABS(K88-INDEX($K$2:$K$601,스왑분석!$C$12))&lt;=스왑분석!$C$5,ISERROR(SEARCH("FRN",AP88)),ISERROR(SEARCH("BBB0미만",AP88))),IF(AND(OR(스왑분석!$C$6="N",L88=INDEX($L$2:$L$601,스왑분석!$C$12)),OR(스왑분석!$C$7="N",N88=INDEX($N$2:$N$601,스왑분석!$C$12)),OR(스왑분석!$C$8="N",AO88=0),E88-INDEX($E$2:$E$601,스왑분석!$C$12)&gt;=스왑분석!$C$9),E88-INDEX($E$2:$E$601,스왑분석!$C$12)+ROW()/1000000000,-999),-999),-999)</f>
        <v>-999</v>
      </c>
      <c r="AU88" s="90" t="n">
        <f aca="false">IF(AND(Y88=1,AO88&gt;0,AL88="Rich"),-AK88+ROW()/1000000000,-999)</f>
        <v>-999</v>
      </c>
    </row>
    <row r="89" customFormat="false" ht="15" hidden="false" customHeight="false" outlineLevel="0" collapsed="false">
      <c r="A89" s="83" t="str">
        <f aca="false">IFERROR(IF(INDEX(원자료_시장!$A$1:$BZ$1000,설정!$L$6+ROW()-1,설정!$L$24)&amp;""="0","",INDEX(원자료_시장!$A$1:$BZ$1000,설정!$L$6+ROW()-1,설정!$L$24)),"")</f>
        <v>KDB 3 3/4 01/28/29</v>
      </c>
      <c r="B89" s="83" t="str">
        <f aca="false">IFERROR(IF(INDEX(원자료_시장!$A$1:$BZ$1000,설정!$L$6+ROW()-1,설정!$L$37)&amp;""="0","",INDEX(원자료_시장!$A$1:$BZ$1000,설정!$L$6+ROW()-1,설정!$L$37)),"")</f>
        <v>KOREA DEVELOPMENT BANK</v>
      </c>
      <c r="C89" s="83" t="str">
        <f aca="false">IFERROR(IF(INDEX(원자료_시장!$A$1:$BZ$1000,설정!$L$6+ROW()-1,설정!$L$25)&amp;""="0","",INDEX(원자료_시장!$A$1:$BZ$1000,설정!$L$6+ROW()-1,설정!$L$25)),"")</f>
        <v>USD</v>
      </c>
      <c r="D89" s="85" t="n">
        <f aca="false">IFERROR(IF(ISNUMBER(INDEX(원자료_시장!$A$1:$BZ$1000,설정!$L$6+ROW()-1,설정!$L$26)),INDEX(원자료_시장!$A$1:$BZ$1000,설정!$L$6+ROW()-1,설정!$L$26),""),"")</f>
        <v>5.073</v>
      </c>
      <c r="E89" s="97" t="n">
        <f aca="false">IFERROR(IF(ISNUMBER(INDEX(원자료_시장!$A$1:$BZ$1000,설정!$L$6+ROW()-1,설정!$L$27)),INDEX(원자료_시장!$A$1:$BZ$1000,설정!$L$6+ROW()-1,설정!$L$27),""),"")</f>
        <v>7.298</v>
      </c>
      <c r="F89" s="97" t="n">
        <f aca="false">IFERROR(IF(ISNUMBER(INDEX(원자료_시장!$A$1:$BZ$1000,설정!$L$6+ROW()-1,설정!$L$28)),INDEX(원자료_시장!$A$1:$BZ$1000,설정!$L$6+ROW()-1,설정!$L$28),""),"")</f>
        <v>36.717</v>
      </c>
      <c r="G89" s="97" t="n">
        <f aca="false">IFERROR(IF(ISNUMBER(INDEX(원자료_시장!$A$1:$BZ$1000,설정!$L$6+ROW()-1,설정!$L$29)),INDEX(원자료_시장!$A$1:$BZ$1000,설정!$L$6+ROW()-1,설정!$L$29),""),"")</f>
        <v>-1.1</v>
      </c>
      <c r="H89" s="97" t="n">
        <f aca="false">IFERROR(IF(ISNUMBER(INDEX(원자료_시장!$A$1:$BZ$1000,설정!$L$6+ROW()-1,설정!$L$30)),INDEX(원자료_시장!$A$1:$BZ$1000,설정!$L$6+ROW()-1,설정!$L$30),""),"")</f>
        <v>1.2</v>
      </c>
      <c r="I89" s="97" t="n">
        <f aca="false">IFERROR(IF(ISNUMBER(INDEX(원자료_시장!$A$1:$BZ$1000,설정!$L$6+ROW()-1,설정!$L$31)),INDEX(원자료_시장!$A$1:$BZ$1000,설정!$L$6+ROW()-1,설정!$L$31),""),"")</f>
        <v>0.7</v>
      </c>
      <c r="J89" s="97" t="n">
        <f aca="false">IFERROR(IF(ISNUMBER(INDEX(원자료_시장!$A$1:$BZ$1000,설정!$L$6+ROW()-1,설정!$L$32)),INDEX(원자료_시장!$A$1:$BZ$1000,설정!$L$6+ROW()-1,설정!$L$32),""),"")</f>
        <v>-7.2</v>
      </c>
      <c r="K89" s="85" t="n">
        <f aca="false">IFERROR(IF(ISNUMBER(INDEX(원자료_시장!$A$1:$BZ$1000,설정!$L$6+ROW()-1,설정!$L$33)),INDEX(원자료_시장!$A$1:$BZ$1000,설정!$L$6+ROW()-1,설정!$L$33),""),"")</f>
        <v>2.23</v>
      </c>
      <c r="L89" s="83" t="str">
        <f aca="false">IFERROR(IF(INDEX(원자료_시장!$A$1:$BZ$1000,설정!$L$6+ROW()-1,설정!$L$34)&amp;""="0","",INDEX(원자료_시장!$A$1:$BZ$1000,설정!$L$6+ROW()-1,설정!$L$34)),"")</f>
        <v>정부</v>
      </c>
      <c r="M89" s="83" t="str">
        <f aca="false">IFERROR(IF(INDEX(원자료_시장!$A$1:$BZ$1000,설정!$L$6+ROW()-1,설정!$L$35)&amp;""="0","",INDEX(원자료_시장!$A$1:$BZ$1000,설정!$L$6+ROW()-1,설정!$L$35)),"")</f>
        <v>AA</v>
      </c>
      <c r="N89" s="83" t="str">
        <f aca="false">IFERROR(IF(INDEX(원자료_시장!$A$1:$BZ$1000,설정!$L$6+ROW()-1,설정!$L$36)&amp;""="0","",INDEX(원자료_시장!$A$1:$BZ$1000,설정!$L$6+ROW()-1,설정!$L$36)),"")</f>
        <v>아시아/기타</v>
      </c>
      <c r="O89" s="43" t="str">
        <f aca="false">IF($A89="","",UPPER(LEFT($A89,FIND(" ",$A89&amp;" ")-1)))</f>
        <v>KDB</v>
      </c>
      <c r="P89" s="43" t="str">
        <f aca="false">IF($A89="","",TRIM(RIGHT(SUBSTITUTE(TRIM($A89)," ",REPT(" ",30)),30)))</f>
        <v>01/28/29</v>
      </c>
      <c r="Q89" s="98" t="n">
        <f aca="false">IF($A89="","",IFERROR(DATE(IF(LEN(P89)=8,2000+VALUE(RIGHT(P89,2)),VALUE(RIGHT(P89,4))),VALUE(LEFT(P89,2)),VALUE(MID(P89,4,2))),""))</f>
        <v>47146</v>
      </c>
      <c r="R89" s="89" t="n">
        <f aca="false">IF($A89="",0,IF(ISNUMBER(SEARCH("Float",$A89)),1,0))</f>
        <v>0</v>
      </c>
      <c r="S89" s="43" t="str">
        <f aca="false">IF($A89="","",TRIM(MID($A89,LEN(O89)+2,LEN($A89)-LEN(O89)-LEN(P89)-1)))</f>
        <v>3 3/4</v>
      </c>
      <c r="T89" s="92" t="n">
        <f aca="false">IF(OR($A89="",R89=1),"",IFERROR(IF(ISNUMBER(FIND("/",S89)),IF(ISNUMBER(FIND(" ",S89)),VALUE(LEFT(S89,FIND(" ",S89)-1))+VALUE(MID(S89,FIND(" ",S89)+1,FIND("/",S89)-FIND(" ",S89)-1))/VALUE(MID(S89,FIND("/",S89)+1,9)),VALUE(LEFT(S89,FIND("/",S89)-1))/VALUE(MID(S89,FIND("/",S89)+1,9))),VALUE(S89)),""))</f>
        <v>3.75</v>
      </c>
      <c r="U89" s="43" t="str">
        <f aca="false">IF(OR($A89="",NOT(ISNUMBER(Q89))),"",TEXT(Q89,"yyyymmdd")&amp;"|"&amp;IF(R89=1,"F",TEXT(T89,"0.000")))</f>
        <v>20290128|3.750</v>
      </c>
      <c r="V89" s="43" t="str">
        <f aca="false">IF(U89="","",O89&amp;"|"&amp;U89)</f>
        <v>KDB|20290128|3.750</v>
      </c>
      <c r="W89" s="43" t="str">
        <f aca="false">IF($A89="","",IFERROR(IF(VLOOKUP(O89,매핑!$A$4:$E$92,3,0)="","미분류",VLOOKUP(O89,매핑!$A$4:$E$92,3,0)),"미분류"))</f>
        <v>한국</v>
      </c>
      <c r="X89" s="89" t="n">
        <f aca="false">IF($A89="",0,IF(O89="T",1,0))</f>
        <v>0</v>
      </c>
      <c r="Y89" s="89" t="n">
        <f aca="false">IF($A89="",0,IF(AND(C89="USD",X89=0,ISNUMBER(E89),ISNUMBER(K89)),IF(K89&gt;=설정!$C$8,1,0),0))</f>
        <v>1</v>
      </c>
      <c r="Z89" s="43" t="str">
        <f aca="false">IF($A89="","",N89&amp;"|"&amp;L89)</f>
        <v>아시아/기타|정부</v>
      </c>
      <c r="AA89" s="92" t="n">
        <f aca="false">IF(Y89=1,LN(K89),0)</f>
        <v>0.802001585472027</v>
      </c>
      <c r="AB89" s="93" t="n">
        <f aca="false">IF(Y89=1,E89,0)</f>
        <v>7.298</v>
      </c>
      <c r="AC89" s="89" t="n">
        <f aca="false">IF(Y89=1,COUNTIFS($Z$2:$Z$601,Z89,$Y$2:$Y$601,1),0)</f>
        <v>51</v>
      </c>
      <c r="AD89" s="89" t="n">
        <f aca="false">IF(Y89=1,COUNTIFS($N$2:$N$601,N89,$Y$2:$Y$601,1),0)</f>
        <v>137</v>
      </c>
      <c r="AE89" s="43" t="str">
        <f aca="false">IF(Y89&lt;&gt;1,"",IF(AND(AC89&gt;=설정!$C$7,ISNUMBER(MATCH(Z89,피어커브!$A:$A,0))),Z89,IF(AND(AD89&gt;=설정!$C$7,ISNUMBER(MATCH(N89&amp;"|전체",피어커브!$A:$A,0))),N89&amp;"|전체","전체|전체")))</f>
        <v>아시아/기타|정부</v>
      </c>
      <c r="AF89" s="93" t="n">
        <f aca="false">IF(AE89="","",INDEX(피어커브!$K:$K,MATCH(AE89,피어커브!$A:$A,0)))</f>
        <v>-1.54860147302313</v>
      </c>
      <c r="AG89" s="93" t="n">
        <f aca="false">IF(AE89="","",INDEX(피어커브!$J:$J,MATCH(AE89,피어커브!$A:$A,0)))</f>
        <v>19.8674994409945</v>
      </c>
      <c r="AH89" s="93" t="n">
        <f aca="false">IF(AE89="","",INDEX(피어커브!$L:$L,MATCH(AE89,피어커브!$A:$A,0)))</f>
        <v>13.6930241146778</v>
      </c>
      <c r="AI89" s="93" t="n">
        <f aca="false">IF(AE89="","",AF89+AG89*AA89)</f>
        <v>14.3851645780191</v>
      </c>
      <c r="AJ89" s="96" t="n">
        <f aca="false">IF(AE89="","",E89-AI89)</f>
        <v>-7.08716457801912</v>
      </c>
      <c r="AK89" s="95" t="n">
        <f aca="false">IF(AE89="","",IF(ISNUMBER(AH89),IF(AH89&gt;0,AJ89/AH89,""),""))</f>
        <v>-0.517574826325052</v>
      </c>
      <c r="AL89" s="43" t="str">
        <f aca="false">IF(AK89="","-",IF(AK89&gt;=설정!$C$6,"Cheap",IF(AK89&lt;=-설정!$C$6,"Rich","Fair")))</f>
        <v>Fair</v>
      </c>
      <c r="AM89" s="96" t="n">
        <f aca="false">IF(AE89="","",AJ89-AVERAGEIFS($AJ$2:$AJ$601,$B$2:$B$601,B89,$Y$2:$Y$601,1))</f>
        <v>-2.68208396337979</v>
      </c>
      <c r="AN89" s="93" t="n">
        <f aca="false">IF(AE89="",0,IF(K89&gt;1+설정!$C$8,AG89*(AA89-LN(K89-1)),0))</f>
        <v>11.8209121565212</v>
      </c>
      <c r="AO89" s="99" t="n">
        <f aca="false">IF($A89="",0,SUMIFS(보유분석!$AA$2:$AA$801,보유분석!$AB$2:$AB$801,ROW(),보유분석!$AC$2:$AC$801,1))</f>
        <v>0</v>
      </c>
      <c r="AP89" s="43" t="str">
        <f aca="false">IF($A89="","",TRIM(IF(R89=1,"FRN ","")&amp;IF(IFERROR(VLOOKUP(M89,설정!$A$15:$D$47,4,0),0)&gt;=10,IF(IFERROR(VLOOKUP(M89,설정!$A$15:$D$47,4,0),0)&lt;99,"BBB0미만 ",""),"")&amp;IF(OR(M89="",M89="NR"),"등급미입력 ","")&amp;IF(C89&lt;&gt;"USD","비USD ","")))</f>
        <v/>
      </c>
      <c r="AQ89" s="90" t="n">
        <f aca="false">IF(AND(Y89=1,AL89="Cheap"),IF(AND(ISERROR(SEARCH("FRN",AP89)),ISERROR(SEARCH("BBB0미만",AP89))),AK89+ROW()/1000000000,-999),-999)</f>
        <v>-999</v>
      </c>
      <c r="AR89" s="92" t="n">
        <f aca="false">IF(AND(ISNUMBER(D89),ISNUMBER(K89)),D89+AN89*MAX(K89-1,0)/100,"")</f>
        <v>5.21839721952521</v>
      </c>
      <c r="AS89" s="93" t="n">
        <f aca="false">IF(AND(ISNUMBER(E89),ISNUMBER(K89)),IF(K89&gt;0,(E89+AN89*MAX(K89-1,0))/K89,""),"")</f>
        <v>9.79270042713949</v>
      </c>
      <c r="AT89" s="90" t="n">
        <f aca="false">IFERROR(IF(AND(Y89=1,ROW()&lt;&gt;스왑분석!$C$12+1,ABS(K89-INDEX($K$2:$K$601,스왑분석!$C$12))&lt;=스왑분석!$C$5,ISERROR(SEARCH("FRN",AP89)),ISERROR(SEARCH("BBB0미만",AP89))),IF(AND(OR(스왑분석!$C$6="N",L89=INDEX($L$2:$L$601,스왑분석!$C$12)),OR(스왑분석!$C$7="N",N89=INDEX($N$2:$N$601,스왑분석!$C$12)),OR(스왑분석!$C$8="N",AO89=0),E89-INDEX($E$2:$E$601,스왑분석!$C$12)&gt;=스왑분석!$C$9),E89-INDEX($E$2:$E$601,스왑분석!$C$12)+ROW()/1000000000,-999),-999),-999)</f>
        <v>-999</v>
      </c>
      <c r="AU89" s="90" t="n">
        <f aca="false">IF(AND(Y89=1,AO89&gt;0,AL89="Rich"),-AK89+ROW()/1000000000,-999)</f>
        <v>-999</v>
      </c>
    </row>
    <row r="90" customFormat="false" ht="15" hidden="false" customHeight="false" outlineLevel="0" collapsed="false">
      <c r="A90" s="83" t="str">
        <f aca="false">IFERROR(IF(INDEX(원자료_시장!$A$1:$BZ$1000,설정!$L$6+ROW()-1,설정!$L$24)&amp;""="0","",INDEX(원자료_시장!$A$1:$BZ$1000,설정!$L$6+ROW()-1,설정!$L$24)),"")</f>
        <v>KDB 4 01/28/31</v>
      </c>
      <c r="B90" s="83" t="str">
        <f aca="false">IFERROR(IF(INDEX(원자료_시장!$A$1:$BZ$1000,설정!$L$6+ROW()-1,설정!$L$37)&amp;""="0","",INDEX(원자료_시장!$A$1:$BZ$1000,설정!$L$6+ROW()-1,설정!$L$37)),"")</f>
        <v>KOREA DEVELOPMENT BANK</v>
      </c>
      <c r="C90" s="83" t="str">
        <f aca="false">IFERROR(IF(INDEX(원자료_시장!$A$1:$BZ$1000,설정!$L$6+ROW()-1,설정!$L$25)&amp;""="0","",INDEX(원자료_시장!$A$1:$BZ$1000,설정!$L$6+ROW()-1,설정!$L$25)),"")</f>
        <v>USD</v>
      </c>
      <c r="D90" s="85" t="n">
        <f aca="false">IFERROR(IF(ISNUMBER(INDEX(원자료_시장!$A$1:$BZ$1000,설정!$L$6+ROW()-1,설정!$L$26)),INDEX(원자료_시장!$A$1:$BZ$1000,설정!$L$6+ROW()-1,설정!$L$26),""),"")</f>
        <v>5.277</v>
      </c>
      <c r="E90" s="97" t="n">
        <f aca="false">IFERROR(IF(ISNUMBER(INDEX(원자료_시장!$A$1:$BZ$1000,설정!$L$6+ROW()-1,설정!$L$27)),INDEX(원자료_시장!$A$1:$BZ$1000,설정!$L$6+ROW()-1,설정!$L$27),""),"")</f>
        <v>18.976</v>
      </c>
      <c r="F90" s="97" t="n">
        <f aca="false">IFERROR(IF(ISNUMBER(INDEX(원자료_시장!$A$1:$BZ$1000,설정!$L$6+ROW()-1,설정!$L$28)),INDEX(원자료_시장!$A$1:$BZ$1000,설정!$L$6+ROW()-1,설정!$L$28),""),"")</f>
        <v>52.819</v>
      </c>
      <c r="G90" s="97" t="n">
        <f aca="false">IFERROR(IF(ISNUMBER(INDEX(원자료_시장!$A$1:$BZ$1000,설정!$L$6+ROW()-1,설정!$L$29)),INDEX(원자료_시장!$A$1:$BZ$1000,설정!$L$6+ROW()-1,설정!$L$29),""),"")</f>
        <v>0.9</v>
      </c>
      <c r="H90" s="97" t="n">
        <f aca="false">IFERROR(IF(ISNUMBER(INDEX(원자료_시장!$A$1:$BZ$1000,설정!$L$6+ROW()-1,설정!$L$30)),INDEX(원자료_시장!$A$1:$BZ$1000,설정!$L$6+ROW()-1,설정!$L$30),""),"")</f>
        <v>7.3</v>
      </c>
      <c r="I90" s="97" t="n">
        <f aca="false">IFERROR(IF(ISNUMBER(INDEX(원자료_시장!$A$1:$BZ$1000,설정!$L$6+ROW()-1,설정!$L$31)),INDEX(원자료_시장!$A$1:$BZ$1000,설정!$L$6+ROW()-1,설정!$L$31),""),"")</f>
        <v>5.3</v>
      </c>
      <c r="J90" s="97" t="n">
        <f aca="false">IFERROR(IF(ISNUMBER(INDEX(원자료_시장!$A$1:$BZ$1000,설정!$L$6+ROW()-1,설정!$L$32)),INDEX(원자료_시장!$A$1:$BZ$1000,설정!$L$6+ROW()-1,설정!$L$32),""),"")</f>
        <v>1.7</v>
      </c>
      <c r="K90" s="85" t="n">
        <f aca="false">IFERROR(IF(ISNUMBER(INDEX(원자료_시장!$A$1:$BZ$1000,설정!$L$6+ROW()-1,설정!$L$33)),INDEX(원자료_시장!$A$1:$BZ$1000,설정!$L$6+ROW()-1,설정!$L$33),""),"")</f>
        <v>3.974</v>
      </c>
      <c r="L90" s="83" t="str">
        <f aca="false">IFERROR(IF(INDEX(원자료_시장!$A$1:$BZ$1000,설정!$L$6+ROW()-1,설정!$L$34)&amp;""="0","",INDEX(원자료_시장!$A$1:$BZ$1000,설정!$L$6+ROW()-1,설정!$L$34)),"")</f>
        <v>정부</v>
      </c>
      <c r="M90" s="83" t="str">
        <f aca="false">IFERROR(IF(INDEX(원자료_시장!$A$1:$BZ$1000,설정!$L$6+ROW()-1,설정!$L$35)&amp;""="0","",INDEX(원자료_시장!$A$1:$BZ$1000,설정!$L$6+ROW()-1,설정!$L$35)),"")</f>
        <v>AA</v>
      </c>
      <c r="N90" s="83" t="str">
        <f aca="false">IFERROR(IF(INDEX(원자료_시장!$A$1:$BZ$1000,설정!$L$6+ROW()-1,설정!$L$36)&amp;""="0","",INDEX(원자료_시장!$A$1:$BZ$1000,설정!$L$6+ROW()-1,설정!$L$36)),"")</f>
        <v>아시아/기타</v>
      </c>
      <c r="O90" s="43" t="str">
        <f aca="false">IF($A90="","",UPPER(LEFT($A90,FIND(" ",$A90&amp;" ")-1)))</f>
        <v>KDB</v>
      </c>
      <c r="P90" s="43" t="str">
        <f aca="false">IF($A90="","",TRIM(RIGHT(SUBSTITUTE(TRIM($A90)," ",REPT(" ",30)),30)))</f>
        <v>01/28/31</v>
      </c>
      <c r="Q90" s="98" t="n">
        <f aca="false">IF($A90="","",IFERROR(DATE(IF(LEN(P90)=8,2000+VALUE(RIGHT(P90,2)),VALUE(RIGHT(P90,4))),VALUE(LEFT(P90,2)),VALUE(MID(P90,4,2))),""))</f>
        <v>47876</v>
      </c>
      <c r="R90" s="89" t="n">
        <f aca="false">IF($A90="",0,IF(ISNUMBER(SEARCH("Float",$A90)),1,0))</f>
        <v>0</v>
      </c>
      <c r="S90" s="43" t="str">
        <f aca="false">IF($A90="","",TRIM(MID($A90,LEN(O90)+2,LEN($A90)-LEN(O90)-LEN(P90)-1)))</f>
        <v>4</v>
      </c>
      <c r="T90" s="92" t="n">
        <f aca="false">IF(OR($A90="",R90=1),"",IFERROR(IF(ISNUMBER(FIND("/",S90)),IF(ISNUMBER(FIND(" ",S90)),VALUE(LEFT(S90,FIND(" ",S90)-1))+VALUE(MID(S90,FIND(" ",S90)+1,FIND("/",S90)-FIND(" ",S90)-1))/VALUE(MID(S90,FIND("/",S90)+1,9)),VALUE(LEFT(S90,FIND("/",S90)-1))/VALUE(MID(S90,FIND("/",S90)+1,9))),VALUE(S90)),""))</f>
        <v>4</v>
      </c>
      <c r="U90" s="43" t="str">
        <f aca="false">IF(OR($A90="",NOT(ISNUMBER(Q90))),"",TEXT(Q90,"yyyymmdd")&amp;"|"&amp;IF(R90=1,"F",TEXT(T90,"0.000")))</f>
        <v>20310128|4.000</v>
      </c>
      <c r="V90" s="43" t="str">
        <f aca="false">IF(U90="","",O90&amp;"|"&amp;U90)</f>
        <v>KDB|20310128|4.000</v>
      </c>
      <c r="W90" s="43" t="str">
        <f aca="false">IF($A90="","",IFERROR(IF(VLOOKUP(O90,매핑!$A$4:$E$92,3,0)="","미분류",VLOOKUP(O90,매핑!$A$4:$E$92,3,0)),"미분류"))</f>
        <v>한국</v>
      </c>
      <c r="X90" s="89" t="n">
        <f aca="false">IF($A90="",0,IF(O90="T",1,0))</f>
        <v>0</v>
      </c>
      <c r="Y90" s="89" t="n">
        <f aca="false">IF($A90="",0,IF(AND(C90="USD",X90=0,ISNUMBER(E90),ISNUMBER(K90)),IF(K90&gt;=설정!$C$8,1,0),0))</f>
        <v>1</v>
      </c>
      <c r="Z90" s="43" t="str">
        <f aca="false">IF($A90="","",N90&amp;"|"&amp;L90)</f>
        <v>아시아/기타|정부</v>
      </c>
      <c r="AA90" s="92" t="n">
        <f aca="false">IF(Y90=1,LN(K90),0)</f>
        <v>1.37977314412963</v>
      </c>
      <c r="AB90" s="93" t="n">
        <f aca="false">IF(Y90=1,E90,0)</f>
        <v>18.976</v>
      </c>
      <c r="AC90" s="89" t="n">
        <f aca="false">IF(Y90=1,COUNTIFS($Z$2:$Z$601,Z90,$Y$2:$Y$601,1),0)</f>
        <v>51</v>
      </c>
      <c r="AD90" s="89" t="n">
        <f aca="false">IF(Y90=1,COUNTIFS($N$2:$N$601,N90,$Y$2:$Y$601,1),0)</f>
        <v>137</v>
      </c>
      <c r="AE90" s="43" t="str">
        <f aca="false">IF(Y90&lt;&gt;1,"",IF(AND(AC90&gt;=설정!$C$7,ISNUMBER(MATCH(Z90,피어커브!$A:$A,0))),Z90,IF(AND(AD90&gt;=설정!$C$7,ISNUMBER(MATCH(N90&amp;"|전체",피어커브!$A:$A,0))),N90&amp;"|전체","전체|전체")))</f>
        <v>아시아/기타|정부</v>
      </c>
      <c r="AF90" s="93" t="n">
        <f aca="false">IF(AE90="","",INDEX(피어커브!$K:$K,MATCH(AE90,피어커브!$A:$A,0)))</f>
        <v>-1.54860147302313</v>
      </c>
      <c r="AG90" s="93" t="n">
        <f aca="false">IF(AE90="","",INDEX(피어커브!$J:$J,MATCH(AE90,피어커브!$A:$A,0)))</f>
        <v>19.8674994409945</v>
      </c>
      <c r="AH90" s="93" t="n">
        <f aca="false">IF(AE90="","",INDEX(피어커브!$L:$L,MATCH(AE90,피어커브!$A:$A,0)))</f>
        <v>13.6930241146778</v>
      </c>
      <c r="AI90" s="93" t="n">
        <f aca="false">IF(AE90="","",AF90+AG90*AA90)</f>
        <v>25.8640406966715</v>
      </c>
      <c r="AJ90" s="96" t="n">
        <f aca="false">IF(AE90="","",E90-AI90)</f>
        <v>-6.88804069667149</v>
      </c>
      <c r="AK90" s="95" t="n">
        <f aca="false">IF(AE90="","",IF(ISNUMBER(AH90),IF(AH90&gt;0,AJ90/AH90,""),""))</f>
        <v>-0.503032831826248</v>
      </c>
      <c r="AL90" s="43" t="str">
        <f aca="false">IF(AK90="","-",IF(AK90&gt;=설정!$C$6,"Cheap",IF(AK90&lt;=-설정!$C$6,"Rich","Fair")))</f>
        <v>Fair</v>
      </c>
      <c r="AM90" s="96" t="n">
        <f aca="false">IF(AE90="","",AJ90-AVERAGEIFS($AJ$2:$AJ$601,$B$2:$B$601,B90,$Y$2:$Y$601,1))</f>
        <v>-2.48296008203216</v>
      </c>
      <c r="AN90" s="93" t="n">
        <f aca="false">IF(AE90="",0,IF(K90&gt;1+설정!$C$8,AG90*(AA90-LN(K90-1)),0))</f>
        <v>5.75889860806481</v>
      </c>
      <c r="AO90" s="99" t="n">
        <f aca="false">IF($A90="",0,SUMIFS(보유분석!$AA$2:$AA$801,보유분석!$AB$2:$AB$801,ROW(),보유분석!$AC$2:$AC$801,1))</f>
        <v>0</v>
      </c>
      <c r="AP90" s="43" t="str">
        <f aca="false">IF($A90="","",TRIM(IF(R90=1,"FRN ","")&amp;IF(IFERROR(VLOOKUP(M90,설정!$A$15:$D$47,4,0),0)&gt;=10,IF(IFERROR(VLOOKUP(M90,설정!$A$15:$D$47,4,0),0)&lt;99,"BBB0미만 ",""),"")&amp;IF(OR(M90="",M90="NR"),"등급미입력 ","")&amp;IF(C90&lt;&gt;"USD","비USD ","")))</f>
        <v/>
      </c>
      <c r="AQ90" s="90" t="n">
        <f aca="false">IF(AND(Y90=1,AL90="Cheap"),IF(AND(ISERROR(SEARCH("FRN",AP90)),ISERROR(SEARCH("BBB0미만",AP90))),AK90+ROW()/1000000000,-999),-999)</f>
        <v>-999</v>
      </c>
      <c r="AR90" s="92" t="n">
        <f aca="false">IF(AND(ISNUMBER(D90),ISNUMBER(K90)),D90+AN90*MAX(K90-1,0)/100,"")</f>
        <v>5.44826964460385</v>
      </c>
      <c r="AS90" s="93" t="n">
        <f aca="false">IF(AND(ISNUMBER(E90),ISNUMBER(K90)),IF(K90&gt;0,(E90+AN90*MAX(K90-1,0))/K90,""),"")</f>
        <v>9.0847922648175</v>
      </c>
      <c r="AT90" s="90" t="n">
        <f aca="false">IFERROR(IF(AND(Y90=1,ROW()&lt;&gt;스왑분석!$C$12+1,ABS(K90-INDEX($K$2:$K$601,스왑분석!$C$12))&lt;=스왑분석!$C$5,ISERROR(SEARCH("FRN",AP90)),ISERROR(SEARCH("BBB0미만",AP90))),IF(AND(OR(스왑분석!$C$6="N",L90=INDEX($L$2:$L$601,스왑분석!$C$12)),OR(스왑분석!$C$7="N",N90=INDEX($N$2:$N$601,스왑분석!$C$12)),OR(스왑분석!$C$8="N",AO90=0),E90-INDEX($E$2:$E$601,스왑분석!$C$12)&gt;=스왑분석!$C$9),E90-INDEX($E$2:$E$601,스왑분석!$C$12)+ROW()/1000000000,-999),-999),-999)</f>
        <v>-999</v>
      </c>
      <c r="AU90" s="90" t="n">
        <f aca="false">IF(AND(Y90=1,AO90&gt;0,AL90="Rich"),-AK90+ROW()/1000000000,-999)</f>
        <v>-999</v>
      </c>
    </row>
    <row r="91" customFormat="false" ht="15" hidden="false" customHeight="false" outlineLevel="0" collapsed="false">
      <c r="A91" s="83" t="str">
        <f aca="false">IFERROR(IF(INDEX(원자료_시장!$A$1:$BZ$1000,설정!$L$6+ROW()-1,설정!$L$24)&amp;""="0","",INDEX(원자료_시장!$A$1:$BZ$1000,설정!$L$6+ROW()-1,설정!$L$24)),"")</f>
        <v>KORELE 7.95 04/01/2096</v>
      </c>
      <c r="B91" s="83" t="str">
        <f aca="false">IFERROR(IF(INDEX(원자료_시장!$A$1:$BZ$1000,설정!$L$6+ROW()-1,설정!$L$37)&amp;""="0","",INDEX(원자료_시장!$A$1:$BZ$1000,설정!$L$6+ROW()-1,설정!$L$37)),"")</f>
        <v>KOREA ELECTRIC POWER CO</v>
      </c>
      <c r="C91" s="83" t="str">
        <f aca="false">IFERROR(IF(INDEX(원자료_시장!$A$1:$BZ$1000,설정!$L$6+ROW()-1,설정!$L$25)&amp;""="0","",INDEX(원자료_시장!$A$1:$BZ$1000,설정!$L$6+ROW()-1,설정!$L$25)),"")</f>
        <v>USD</v>
      </c>
      <c r="D91" s="85" t="n">
        <f aca="false">IFERROR(IF(ISNUMBER(INDEX(원자료_시장!$A$1:$BZ$1000,설정!$L$6+ROW()-1,설정!$L$26)),INDEX(원자료_시장!$A$1:$BZ$1000,설정!$L$6+ROW()-1,설정!$L$26),""),"")</f>
        <v>6.279</v>
      </c>
      <c r="E91" s="97" t="n">
        <f aca="false">IFERROR(IF(ISNUMBER(INDEX(원자료_시장!$A$1:$BZ$1000,설정!$L$6+ROW()-1,설정!$L$27)),INDEX(원자료_시장!$A$1:$BZ$1000,설정!$L$6+ROW()-1,설정!$L$27),""),"")</f>
        <v>64.761</v>
      </c>
      <c r="F91" s="97" t="n">
        <f aca="false">IFERROR(IF(ISNUMBER(INDEX(원자료_시장!$A$1:$BZ$1000,설정!$L$6+ROW()-1,설정!$L$28)),INDEX(원자료_시장!$A$1:$BZ$1000,설정!$L$6+ROW()-1,설정!$L$28),""),"")</f>
        <v>164.767</v>
      </c>
      <c r="G91" s="97" t="n">
        <f aca="false">IFERROR(IF(ISNUMBER(INDEX(원자료_시장!$A$1:$BZ$1000,설정!$L$6+ROW()-1,설정!$L$29)),INDEX(원자료_시장!$A$1:$BZ$1000,설정!$L$6+ROW()-1,설정!$L$29),""),"")</f>
        <v>-0.2</v>
      </c>
      <c r="H91" s="97" t="n">
        <f aca="false">IFERROR(IF(ISNUMBER(INDEX(원자료_시장!$A$1:$BZ$1000,설정!$L$6+ROW()-1,설정!$L$30)),INDEX(원자료_시장!$A$1:$BZ$1000,설정!$L$6+ROW()-1,설정!$L$30),""),"")</f>
        <v>0.7</v>
      </c>
      <c r="I91" s="97" t="n">
        <f aca="false">IFERROR(IF(ISNUMBER(INDEX(원자료_시장!$A$1:$BZ$1000,설정!$L$6+ROW()-1,설정!$L$31)),INDEX(원자료_시장!$A$1:$BZ$1000,설정!$L$6+ROW()-1,설정!$L$31),""),"")</f>
        <v>16.8</v>
      </c>
      <c r="J91" s="97" t="n">
        <f aca="false">IFERROR(IF(ISNUMBER(INDEX(원자료_시장!$A$1:$BZ$1000,설정!$L$6+ROW()-1,설정!$L$32)),INDEX(원자료_시장!$A$1:$BZ$1000,설정!$L$6+ROW()-1,설정!$L$32),""),"")</f>
        <v>-0.5</v>
      </c>
      <c r="K91" s="85" t="n">
        <f aca="false">IFERROR(IF(ISNUMBER(INDEX(원자료_시장!$A$1:$BZ$1000,설정!$L$6+ROW()-1,설정!$L$33)),INDEX(원자료_시장!$A$1:$BZ$1000,설정!$L$6+ROW()-1,설정!$L$33),""),"")</f>
        <v>16.047</v>
      </c>
      <c r="L91" s="83" t="str">
        <f aca="false">IFERROR(IF(INDEX(원자료_시장!$A$1:$BZ$1000,설정!$L$6+ROW()-1,설정!$L$34)&amp;""="0","",INDEX(원자료_시장!$A$1:$BZ$1000,설정!$L$6+ROW()-1,설정!$L$34)),"")</f>
        <v>정부</v>
      </c>
      <c r="M91" s="83" t="str">
        <f aca="false">IFERROR(IF(INDEX(원자료_시장!$A$1:$BZ$1000,설정!$L$6+ROW()-1,설정!$L$35)&amp;""="0","",INDEX(원자료_시장!$A$1:$BZ$1000,설정!$L$6+ROW()-1,설정!$L$35)),"")</f>
        <v>AA</v>
      </c>
      <c r="N91" s="83" t="str">
        <f aca="false">IFERROR(IF(INDEX(원자료_시장!$A$1:$BZ$1000,설정!$L$6+ROW()-1,설정!$L$36)&amp;""="0","",INDEX(원자료_시장!$A$1:$BZ$1000,설정!$L$6+ROW()-1,설정!$L$36)),"")</f>
        <v>아시아/기타</v>
      </c>
      <c r="O91" s="43" t="str">
        <f aca="false">IF($A91="","",UPPER(LEFT($A91,FIND(" ",$A91&amp;" ")-1)))</f>
        <v>KORELE</v>
      </c>
      <c r="P91" s="43" t="str">
        <f aca="false">IF($A91="","",TRIM(RIGHT(SUBSTITUTE(TRIM($A91)," ",REPT(" ",30)),30)))</f>
        <v>04/01/2096</v>
      </c>
      <c r="Q91" s="98" t="n">
        <f aca="false">IF($A91="","",IFERROR(DATE(IF(LEN(P91)=8,2000+VALUE(RIGHT(P91,2)),VALUE(RIGHT(P91,4))),VALUE(LEFT(P91,2)),VALUE(MID(P91,4,2))),""))</f>
        <v>71681</v>
      </c>
      <c r="R91" s="89" t="n">
        <f aca="false">IF($A91="",0,IF(ISNUMBER(SEARCH("Float",$A91)),1,0))</f>
        <v>0</v>
      </c>
      <c r="S91" s="43" t="str">
        <f aca="false">IF($A91="","",TRIM(MID($A91,LEN(O91)+2,LEN($A91)-LEN(O91)-LEN(P91)-1)))</f>
        <v>7.95</v>
      </c>
      <c r="T91" s="92" t="n">
        <f aca="false">IF(OR($A91="",R91=1),"",IFERROR(IF(ISNUMBER(FIND("/",S91)),IF(ISNUMBER(FIND(" ",S91)),VALUE(LEFT(S91,FIND(" ",S91)-1))+VALUE(MID(S91,FIND(" ",S91)+1,FIND("/",S91)-FIND(" ",S91)-1))/VALUE(MID(S91,FIND("/",S91)+1,9)),VALUE(LEFT(S91,FIND("/",S91)-1))/VALUE(MID(S91,FIND("/",S91)+1,9))),VALUE(S91)),""))</f>
        <v>7.95</v>
      </c>
      <c r="U91" s="43" t="str">
        <f aca="false">IF(OR($A91="",NOT(ISNUMBER(Q91))),"",TEXT(Q91,"yyyymmdd")&amp;"|"&amp;IF(R91=1,"F",TEXT(T91,"0.000")))</f>
        <v>20960401|7.950</v>
      </c>
      <c r="V91" s="43" t="str">
        <f aca="false">IF(U91="","",O91&amp;"|"&amp;U91)</f>
        <v>KORELE|20960401|7.950</v>
      </c>
      <c r="W91" s="43" t="str">
        <f aca="false">IF($A91="","",IFERROR(IF(VLOOKUP(O91,매핑!$A$4:$E$92,3,0)="","미분류",VLOOKUP(O91,매핑!$A$4:$E$92,3,0)),"미분류"))</f>
        <v>한국</v>
      </c>
      <c r="X91" s="89" t="n">
        <f aca="false">IF($A91="",0,IF(O91="T",1,0))</f>
        <v>0</v>
      </c>
      <c r="Y91" s="89" t="n">
        <f aca="false">IF($A91="",0,IF(AND(C91="USD",X91=0,ISNUMBER(E91),ISNUMBER(K91)),IF(K91&gt;=설정!$C$8,1,0),0))</f>
        <v>1</v>
      </c>
      <c r="Z91" s="43" t="str">
        <f aca="false">IF($A91="","",N91&amp;"|"&amp;L91)</f>
        <v>아시아/기타|정부</v>
      </c>
      <c r="AA91" s="92" t="n">
        <f aca="false">IF(Y91=1,LN(K91),0)</f>
        <v>2.77552191621722</v>
      </c>
      <c r="AB91" s="93" t="n">
        <f aca="false">IF(Y91=1,E91,0)</f>
        <v>64.761</v>
      </c>
      <c r="AC91" s="89" t="n">
        <f aca="false">IF(Y91=1,COUNTIFS($Z$2:$Z$601,Z91,$Y$2:$Y$601,1),0)</f>
        <v>51</v>
      </c>
      <c r="AD91" s="89" t="n">
        <f aca="false">IF(Y91=1,COUNTIFS($N$2:$N$601,N91,$Y$2:$Y$601,1),0)</f>
        <v>137</v>
      </c>
      <c r="AE91" s="43" t="str">
        <f aca="false">IF(Y91&lt;&gt;1,"",IF(AND(AC91&gt;=설정!$C$7,ISNUMBER(MATCH(Z91,피어커브!$A:$A,0))),Z91,IF(AND(AD91&gt;=설정!$C$7,ISNUMBER(MATCH(N91&amp;"|전체",피어커브!$A:$A,0))),N91&amp;"|전체","전체|전체")))</f>
        <v>아시아/기타|정부</v>
      </c>
      <c r="AF91" s="93" t="n">
        <f aca="false">IF(AE91="","",INDEX(피어커브!$K:$K,MATCH(AE91,피어커브!$A:$A,0)))</f>
        <v>-1.54860147302313</v>
      </c>
      <c r="AG91" s="93" t="n">
        <f aca="false">IF(AE91="","",INDEX(피어커브!$J:$J,MATCH(AE91,피어커브!$A:$A,0)))</f>
        <v>19.8674994409945</v>
      </c>
      <c r="AH91" s="93" t="n">
        <f aca="false">IF(AE91="","",INDEX(피어커브!$L:$L,MATCH(AE91,피어커브!$A:$A,0)))</f>
        <v>13.6930241146778</v>
      </c>
      <c r="AI91" s="93" t="n">
        <f aca="false">IF(AE91="","",AF91+AG91*AA91)</f>
        <v>53.5940786458907</v>
      </c>
      <c r="AJ91" s="96" t="n">
        <f aca="false">IF(AE91="","",E91-AI91)</f>
        <v>11.1669213541093</v>
      </c>
      <c r="AK91" s="95" t="n">
        <f aca="false">IF(AE91="","",IF(ISNUMBER(AH91),IF(AH91&gt;0,AJ91/AH91,""),""))</f>
        <v>0.815519001543223</v>
      </c>
      <c r="AL91" s="43" t="str">
        <f aca="false">IF(AK91="","-",IF(AK91&gt;=설정!$C$6,"Cheap",IF(AK91&lt;=-설정!$C$6,"Rich","Fair")))</f>
        <v>Fair</v>
      </c>
      <c r="AM91" s="96" t="n">
        <f aca="false">IF(AE91="","",AJ91-AVERAGEIFS($AJ$2:$AJ$601,$B$2:$B$601,B91,$Y$2:$Y$601,1))</f>
        <v>-1.9036120736188</v>
      </c>
      <c r="AN91" s="93" t="n">
        <f aca="false">IF(AE91="",0,IF(K91&gt;1+설정!$C$8,AG91*(AA91-LN(K91-1)),0))</f>
        <v>1.27834008818303</v>
      </c>
      <c r="AO91" s="99" t="n">
        <f aca="false">IF($A91="",0,SUMIFS(보유분석!$AA$2:$AA$801,보유분석!$AB$2:$AB$801,ROW(),보유분석!$AC$2:$AC$801,1))</f>
        <v>3.64442224</v>
      </c>
      <c r="AP91" s="43" t="str">
        <f aca="false">IF($A91="","",TRIM(IF(R91=1,"FRN ","")&amp;IF(IFERROR(VLOOKUP(M91,설정!$A$15:$D$47,4,0),0)&gt;=10,IF(IFERROR(VLOOKUP(M91,설정!$A$15:$D$47,4,0),0)&lt;99,"BBB0미만 ",""),"")&amp;IF(OR(M91="",M91="NR"),"등급미입력 ","")&amp;IF(C91&lt;&gt;"USD","비USD ","")))</f>
        <v/>
      </c>
      <c r="AQ91" s="90" t="n">
        <f aca="false">IF(AND(Y91=1,AL91="Cheap"),IF(AND(ISERROR(SEARCH("FRN",AP91)),ISERROR(SEARCH("BBB0미만",AP91))),AK91+ROW()/1000000000,-999),-999)</f>
        <v>-999</v>
      </c>
      <c r="AR91" s="92" t="n">
        <f aca="false">IF(AND(ISNUMBER(D91),ISNUMBER(K91)),D91+AN91*MAX(K91-1,0)/100,"")</f>
        <v>6.4713518330689</v>
      </c>
      <c r="AS91" s="93" t="n">
        <f aca="false">IF(AND(ISNUMBER(E91),ISNUMBER(K91)),IF(K91&gt;0,(E91+AN91*MAX(K91-1,0))/K91,""),"")</f>
        <v>5.23438544942295</v>
      </c>
      <c r="AT91" s="90" t="n">
        <f aca="false">IFERROR(IF(AND(Y91=1,ROW()&lt;&gt;스왑분석!$C$12+1,ABS(K91-INDEX($K$2:$K$601,스왑분석!$C$12))&lt;=스왑분석!$C$5,ISERROR(SEARCH("FRN",AP91)),ISERROR(SEARCH("BBB0미만",AP91))),IF(AND(OR(스왑분석!$C$6="N",L91=INDEX($L$2:$L$601,스왑분석!$C$12)),OR(스왑분석!$C$7="N",N91=INDEX($N$2:$N$601,스왑분석!$C$12)),OR(스왑분석!$C$8="N",AO91=0),E91-INDEX($E$2:$E$601,스왑분석!$C$12)&gt;=스왑분석!$C$9),E91-INDEX($E$2:$E$601,스왑분석!$C$12)+ROW()/1000000000,-999),-999),-999)</f>
        <v>-999</v>
      </c>
      <c r="AU91" s="90" t="n">
        <f aca="false">IF(AND(Y91=1,AO91&gt;0,AL91="Rich"),-AK91+ROW()/1000000000,-999)</f>
        <v>-999</v>
      </c>
    </row>
    <row r="92" customFormat="false" ht="15" hidden="false" customHeight="false" outlineLevel="0" collapsed="false">
      <c r="A92" s="83" t="str">
        <f aca="false">IFERROR(IF(INDEX(원자료_시장!$A$1:$BZ$1000,설정!$L$6+ROW()-1,설정!$L$24)&amp;""="0","",INDEX(원자료_시장!$A$1:$BZ$1000,설정!$L$6+ROW()-1,설정!$L$24)),"")</f>
        <v>KORELE 7 02/01/27</v>
      </c>
      <c r="B92" s="83" t="str">
        <f aca="false">IFERROR(IF(INDEX(원자료_시장!$A$1:$BZ$1000,설정!$L$6+ROW()-1,설정!$L$37)&amp;""="0","",INDEX(원자료_시장!$A$1:$BZ$1000,설정!$L$6+ROW()-1,설정!$L$37)),"")</f>
        <v>KOREA ELECTRIC POWER</v>
      </c>
      <c r="C92" s="83" t="str">
        <f aca="false">IFERROR(IF(INDEX(원자료_시장!$A$1:$BZ$1000,설정!$L$6+ROW()-1,설정!$L$25)&amp;""="0","",INDEX(원자료_시장!$A$1:$BZ$1000,설정!$L$6+ROW()-1,설정!$L$25)),"")</f>
        <v>USD</v>
      </c>
      <c r="D92" s="85" t="n">
        <f aca="false">IFERROR(IF(ISNUMBER(INDEX(원자료_시장!$A$1:$BZ$1000,설정!$L$6+ROW()-1,설정!$L$26)),INDEX(원자료_시장!$A$1:$BZ$1000,설정!$L$6+ROW()-1,설정!$L$26),""),"")</f>
        <v>4.617</v>
      </c>
      <c r="E92" s="97" t="n">
        <f aca="false">IFERROR(IF(ISNUMBER(INDEX(원자료_시장!$A$1:$BZ$1000,설정!$L$6+ROW()-1,설정!$L$27)),INDEX(원자료_시장!$A$1:$BZ$1000,설정!$L$6+ROW()-1,설정!$L$27),""),"")</f>
        <v>-27.202</v>
      </c>
      <c r="F92" s="97" t="n">
        <f aca="false">IFERROR(IF(ISNUMBER(INDEX(원자료_시장!$A$1:$BZ$1000,설정!$L$6+ROW()-1,설정!$L$28)),INDEX(원자료_시장!$A$1:$BZ$1000,설정!$L$6+ROW()-1,설정!$L$28),""),"")</f>
        <v>51.725</v>
      </c>
      <c r="G92" s="97" t="n">
        <f aca="false">IFERROR(IF(ISNUMBER(INDEX(원자료_시장!$A$1:$BZ$1000,설정!$L$6+ROW()-1,설정!$L$29)),INDEX(원자료_시장!$A$1:$BZ$1000,설정!$L$6+ROW()-1,설정!$L$29),""),"")</f>
        <v>-0.4</v>
      </c>
      <c r="H92" s="97" t="n">
        <f aca="false">IFERROR(IF(ISNUMBER(INDEX(원자료_시장!$A$1:$BZ$1000,설정!$L$6+ROW()-1,설정!$L$30)),INDEX(원자료_시장!$A$1:$BZ$1000,설정!$L$6+ROW()-1,설정!$L$30),""),"")</f>
        <v>14.7</v>
      </c>
      <c r="I92" s="97" t="n">
        <f aca="false">IFERROR(IF(ISNUMBER(INDEX(원자료_시장!$A$1:$BZ$1000,설정!$L$6+ROW()-1,설정!$L$31)),INDEX(원자료_시장!$A$1:$BZ$1000,설정!$L$6+ROW()-1,설정!$L$31),""),"")</f>
        <v>-24.6</v>
      </c>
      <c r="J92" s="97" t="n">
        <f aca="false">IFERROR(IF(ISNUMBER(INDEX(원자료_시장!$A$1:$BZ$1000,설정!$L$6+ROW()-1,설정!$L$32)),INDEX(원자료_시장!$A$1:$BZ$1000,설정!$L$6+ROW()-1,설정!$L$32),""),"")</f>
        <v>-40.6</v>
      </c>
      <c r="K92" s="85" t="n">
        <f aca="false">IFERROR(IF(ISNUMBER(INDEX(원자료_시장!$A$1:$BZ$1000,설정!$L$6+ROW()-1,설정!$L$33)),INDEX(원자료_시장!$A$1:$BZ$1000,설정!$L$6+ROW()-1,설정!$L$33),""),"")</f>
        <v>0.331</v>
      </c>
      <c r="L92" s="83" t="str">
        <f aca="false">IFERROR(IF(INDEX(원자료_시장!$A$1:$BZ$1000,설정!$L$6+ROW()-1,설정!$L$34)&amp;""="0","",INDEX(원자료_시장!$A$1:$BZ$1000,설정!$L$6+ROW()-1,설정!$L$34)),"")</f>
        <v>정부</v>
      </c>
      <c r="M92" s="83" t="str">
        <f aca="false">IFERROR(IF(INDEX(원자료_시장!$A$1:$BZ$1000,설정!$L$6+ROW()-1,설정!$L$35)&amp;""="0","",INDEX(원자료_시장!$A$1:$BZ$1000,설정!$L$6+ROW()-1,설정!$L$35)),"")</f>
        <v>AA</v>
      </c>
      <c r="N92" s="83" t="str">
        <f aca="false">IFERROR(IF(INDEX(원자료_시장!$A$1:$BZ$1000,설정!$L$6+ROW()-1,설정!$L$36)&amp;""="0","",INDEX(원자료_시장!$A$1:$BZ$1000,설정!$L$6+ROW()-1,설정!$L$36)),"")</f>
        <v>아시아/기타</v>
      </c>
      <c r="O92" s="43" t="str">
        <f aca="false">IF($A92="","",UPPER(LEFT($A92,FIND(" ",$A92&amp;" ")-1)))</f>
        <v>KORELE</v>
      </c>
      <c r="P92" s="43" t="str">
        <f aca="false">IF($A92="","",TRIM(RIGHT(SUBSTITUTE(TRIM($A92)," ",REPT(" ",30)),30)))</f>
        <v>02/01/27</v>
      </c>
      <c r="Q92" s="98" t="n">
        <f aca="false">IF($A92="","",IFERROR(DATE(IF(LEN(P92)=8,2000+VALUE(RIGHT(P92,2)),VALUE(RIGHT(P92,4))),VALUE(LEFT(P92,2)),VALUE(MID(P92,4,2))),""))</f>
        <v>46419</v>
      </c>
      <c r="R92" s="89" t="n">
        <f aca="false">IF($A92="",0,IF(ISNUMBER(SEARCH("Float",$A92)),1,0))</f>
        <v>0</v>
      </c>
      <c r="S92" s="43" t="str">
        <f aca="false">IF($A92="","",TRIM(MID($A92,LEN(O92)+2,LEN($A92)-LEN(O92)-LEN(P92)-1)))</f>
        <v>7</v>
      </c>
      <c r="T92" s="92" t="n">
        <f aca="false">IF(OR($A92="",R92=1),"",IFERROR(IF(ISNUMBER(FIND("/",S92)),IF(ISNUMBER(FIND(" ",S92)),VALUE(LEFT(S92,FIND(" ",S92)-1))+VALUE(MID(S92,FIND(" ",S92)+1,FIND("/",S92)-FIND(" ",S92)-1))/VALUE(MID(S92,FIND("/",S92)+1,9)),VALUE(LEFT(S92,FIND("/",S92)-1))/VALUE(MID(S92,FIND("/",S92)+1,9))),VALUE(S92)),""))</f>
        <v>7</v>
      </c>
      <c r="U92" s="43" t="str">
        <f aca="false">IF(OR($A92="",NOT(ISNUMBER(Q92))),"",TEXT(Q92,"yyyymmdd")&amp;"|"&amp;IF(R92=1,"F",TEXT(T92,"0.000")))</f>
        <v>20270201|7.000</v>
      </c>
      <c r="V92" s="43" t="str">
        <f aca="false">IF(U92="","",O92&amp;"|"&amp;U92)</f>
        <v>KORELE|20270201|7.000</v>
      </c>
      <c r="W92" s="43" t="str">
        <f aca="false">IF($A92="","",IFERROR(IF(VLOOKUP(O92,매핑!$A$4:$E$92,3,0)="","미분류",VLOOKUP(O92,매핑!$A$4:$E$92,3,0)),"미분류"))</f>
        <v>한국</v>
      </c>
      <c r="X92" s="89" t="n">
        <f aca="false">IF($A92="",0,IF(O92="T",1,0))</f>
        <v>0</v>
      </c>
      <c r="Y92" s="89" t="n">
        <f aca="false">IF($A92="",0,IF(AND(C92="USD",X92=0,ISNUMBER(E92),ISNUMBER(K92)),IF(K92&gt;=설정!$C$8,1,0),0))</f>
        <v>0</v>
      </c>
      <c r="Z92" s="43" t="str">
        <f aca="false">IF($A92="","",N92&amp;"|"&amp;L92)</f>
        <v>아시아/기타|정부</v>
      </c>
      <c r="AA92" s="92" t="n">
        <f aca="false">IF(Y92=1,LN(K92),0)</f>
        <v>0</v>
      </c>
      <c r="AB92" s="93" t="n">
        <f aca="false">IF(Y92=1,E92,0)</f>
        <v>0</v>
      </c>
      <c r="AC92" s="89" t="n">
        <f aca="false">IF(Y92=1,COUNTIFS($Z$2:$Z$601,Z92,$Y$2:$Y$601,1),0)</f>
        <v>0</v>
      </c>
      <c r="AD92" s="89" t="n">
        <f aca="false">IF(Y92=1,COUNTIFS($N$2:$N$601,N92,$Y$2:$Y$601,1),0)</f>
        <v>0</v>
      </c>
      <c r="AE92" s="43" t="str">
        <f aca="false">IF(Y92&lt;&gt;1,"",IF(AND(AC92&gt;=설정!$C$7,ISNUMBER(MATCH(Z92,피어커브!$A:$A,0))),Z92,IF(AND(AD92&gt;=설정!$C$7,ISNUMBER(MATCH(N92&amp;"|전체",피어커브!$A:$A,0))),N92&amp;"|전체","전체|전체")))</f>
        <v/>
      </c>
      <c r="AF92" s="93" t="str">
        <f aca="false">IF(AE92="","",INDEX(피어커브!$K:$K,MATCH(AE92,피어커브!$A:$A,0)))</f>
        <v/>
      </c>
      <c r="AG92" s="93" t="str">
        <f aca="false">IF(AE92="","",INDEX(피어커브!$J:$J,MATCH(AE92,피어커브!$A:$A,0)))</f>
        <v/>
      </c>
      <c r="AH92" s="93" t="str">
        <f aca="false">IF(AE92="","",INDEX(피어커브!$L:$L,MATCH(AE92,피어커브!$A:$A,0)))</f>
        <v/>
      </c>
      <c r="AI92" s="93" t="str">
        <f aca="false">IF(AE92="","",AF92+AG92*AA92)</f>
        <v/>
      </c>
      <c r="AJ92" s="96" t="str">
        <f aca="false">IF(AE92="","",E92-AI92)</f>
        <v/>
      </c>
      <c r="AK92" s="95" t="str">
        <f aca="false">IF(AE92="","",IF(ISNUMBER(AH92),IF(AH92&gt;0,AJ92/AH92,""),""))</f>
        <v/>
      </c>
      <c r="AL92" s="43" t="str">
        <f aca="false">IF(AK92="","-",IF(AK92&gt;=설정!$C$6,"Cheap",IF(AK92&lt;=-설정!$C$6,"Rich","Fair")))</f>
        <v>-</v>
      </c>
      <c r="AM92" s="96" t="str">
        <f aca="false">IF(AE92="","",AJ92-AVERAGEIFS($AJ$2:$AJ$601,$B$2:$B$601,B92,$Y$2:$Y$601,1))</f>
        <v/>
      </c>
      <c r="AN92" s="93" t="n">
        <f aca="false">IF(AE92="",0,IF(K92&gt;1+설정!$C$8,AG92*(AA92-LN(K92-1)),0))</f>
        <v>0</v>
      </c>
      <c r="AO92" s="99" t="n">
        <f aca="false">IF($A92="",0,SUMIFS(보유분석!$AA$2:$AA$801,보유분석!$AB$2:$AB$801,ROW(),보유분석!$AC$2:$AC$801,1))</f>
        <v>0</v>
      </c>
      <c r="AP92" s="43" t="str">
        <f aca="false">IF($A92="","",TRIM(IF(R92=1,"FRN ","")&amp;IF(IFERROR(VLOOKUP(M92,설정!$A$15:$D$47,4,0),0)&gt;=10,IF(IFERROR(VLOOKUP(M92,설정!$A$15:$D$47,4,0),0)&lt;99,"BBB0미만 ",""),"")&amp;IF(OR(M92="",M92="NR"),"등급미입력 ","")&amp;IF(C92&lt;&gt;"USD","비USD ","")))</f>
        <v/>
      </c>
      <c r="AQ92" s="90" t="n">
        <f aca="false">IF(AND(Y92=1,AL92="Cheap"),IF(AND(ISERROR(SEARCH("FRN",AP92)),ISERROR(SEARCH("BBB0미만",AP92))),AK92+ROW()/1000000000,-999),-999)</f>
        <v>-999</v>
      </c>
      <c r="AR92" s="92" t="n">
        <f aca="false">IF(AND(ISNUMBER(D92),ISNUMBER(K92)),D92+AN92*MAX(K92-1,0)/100,"")</f>
        <v>4.617</v>
      </c>
      <c r="AS92" s="93" t="n">
        <f aca="false">IF(AND(ISNUMBER(E92),ISNUMBER(K92)),IF(K92&gt;0,(E92+AN92*MAX(K92-1,0))/K92,""),"")</f>
        <v>-82.1812688821752</v>
      </c>
      <c r="AT92" s="90" t="n">
        <f aca="false">IFERROR(IF(AND(Y92=1,ROW()&lt;&gt;스왑분석!$C$12+1,ABS(K92-INDEX($K$2:$K$601,스왑분석!$C$12))&lt;=스왑분석!$C$5,ISERROR(SEARCH("FRN",AP92)),ISERROR(SEARCH("BBB0미만",AP92))),IF(AND(OR(스왑분석!$C$6="N",L92=INDEX($L$2:$L$601,스왑분석!$C$12)),OR(스왑분석!$C$7="N",N92=INDEX($N$2:$N$601,스왑분석!$C$12)),OR(스왑분석!$C$8="N",AO92=0),E92-INDEX($E$2:$E$601,스왑분석!$C$12)&gt;=스왑분석!$C$9),E92-INDEX($E$2:$E$601,스왑분석!$C$12)+ROW()/1000000000,-999),-999),-999)</f>
        <v>-999</v>
      </c>
      <c r="AU92" s="90" t="n">
        <f aca="false">IF(AND(Y92=1,AO92&gt;0,AL92="Rich"),-AK92+ROW()/1000000000,-999)</f>
        <v>-999</v>
      </c>
    </row>
    <row r="93" customFormat="false" ht="15" hidden="false" customHeight="false" outlineLevel="0" collapsed="false">
      <c r="A93" s="83" t="str">
        <f aca="false">IFERROR(IF(INDEX(원자료_시장!$A$1:$BZ$1000,설정!$L$6+ROW()-1,설정!$L$24)&amp;""="0","",INDEX(원자료_시장!$A$1:$BZ$1000,설정!$L$6+ROW()-1,설정!$L$24)),"")</f>
        <v>KOREA 3 5/8 10/29/30</v>
      </c>
      <c r="B93" s="83" t="str">
        <f aca="false">IFERROR(IF(INDEX(원자료_시장!$A$1:$BZ$1000,설정!$L$6+ROW()-1,설정!$L$37)&amp;""="0","",INDEX(원자료_시장!$A$1:$BZ$1000,설정!$L$6+ROW()-1,설정!$L$37)),"")</f>
        <v>REPUBLIC OF KOREA</v>
      </c>
      <c r="C93" s="83" t="str">
        <f aca="false">IFERROR(IF(INDEX(원자료_시장!$A$1:$BZ$1000,설정!$L$6+ROW()-1,설정!$L$25)&amp;""="0","",INDEX(원자료_시장!$A$1:$BZ$1000,설정!$L$6+ROW()-1,설정!$L$25)),"")</f>
        <v>USD</v>
      </c>
      <c r="D93" s="85" t="n">
        <f aca="false">IFERROR(IF(ISNUMBER(INDEX(원자료_시장!$A$1:$BZ$1000,설정!$L$6+ROW()-1,설정!$L$26)),INDEX(원자료_시장!$A$1:$BZ$1000,설정!$L$6+ROW()-1,설정!$L$26),""),"")</f>
        <v>5.127</v>
      </c>
      <c r="E93" s="97" t="n">
        <f aca="false">IFERROR(IF(ISNUMBER(INDEX(원자료_시장!$A$1:$BZ$1000,설정!$L$6+ROW()-1,설정!$L$27)),INDEX(원자료_시장!$A$1:$BZ$1000,설정!$L$6+ROW()-1,설정!$L$27),""),"")</f>
        <v>4.069</v>
      </c>
      <c r="F93" s="97" t="n">
        <f aca="false">IFERROR(IF(ISNUMBER(INDEX(원자료_시장!$A$1:$BZ$1000,설정!$L$6+ROW()-1,설정!$L$28)),INDEX(원자료_시장!$A$1:$BZ$1000,설정!$L$6+ROW()-1,설정!$L$28),""),"")</f>
        <v>38.134</v>
      </c>
      <c r="G93" s="97" t="n">
        <f aca="false">IFERROR(IF(ISNUMBER(INDEX(원자료_시장!$A$1:$BZ$1000,설정!$L$6+ROW()-1,설정!$L$29)),INDEX(원자료_시장!$A$1:$BZ$1000,설정!$L$6+ROW()-1,설정!$L$29),""),"")</f>
        <v>-1.8</v>
      </c>
      <c r="H93" s="97" t="n">
        <f aca="false">IFERROR(IF(ISNUMBER(INDEX(원자료_시장!$A$1:$BZ$1000,설정!$L$6+ROW()-1,설정!$L$30)),INDEX(원자료_시장!$A$1:$BZ$1000,설정!$L$6+ROW()-1,설정!$L$30),""),"")</f>
        <v>6.4</v>
      </c>
      <c r="I93" s="97" t="n">
        <f aca="false">IFERROR(IF(ISNUMBER(INDEX(원자료_시장!$A$1:$BZ$1000,설정!$L$6+ROW()-1,설정!$L$31)),INDEX(원자료_시장!$A$1:$BZ$1000,설정!$L$6+ROW()-1,설정!$L$31),""),"")</f>
        <v>2.1</v>
      </c>
      <c r="J93" s="97" t="n">
        <f aca="false">IFERROR(IF(ISNUMBER(INDEX(원자료_시장!$A$1:$BZ$1000,설정!$L$6+ROW()-1,설정!$L$32)),INDEX(원자료_시장!$A$1:$BZ$1000,설정!$L$6+ROW()-1,설정!$L$32),""),"")</f>
        <v>1</v>
      </c>
      <c r="K93" s="85" t="n">
        <f aca="false">IFERROR(IF(ISNUMBER(INDEX(원자료_시장!$A$1:$BZ$1000,설정!$L$6+ROW()-1,설정!$L$33)),INDEX(원자료_시장!$A$1:$BZ$1000,설정!$L$6+ROW()-1,설정!$L$33),""),"")</f>
        <v>3.756</v>
      </c>
      <c r="L93" s="83" t="str">
        <f aca="false">IFERROR(IF(INDEX(원자료_시장!$A$1:$BZ$1000,설정!$L$6+ROW()-1,설정!$L$34)&amp;""="0","",INDEX(원자료_시장!$A$1:$BZ$1000,설정!$L$6+ROW()-1,설정!$L$34)),"")</f>
        <v>정부</v>
      </c>
      <c r="M93" s="83" t="str">
        <f aca="false">IFERROR(IF(INDEX(원자료_시장!$A$1:$BZ$1000,설정!$L$6+ROW()-1,설정!$L$35)&amp;""="0","",INDEX(원자료_시장!$A$1:$BZ$1000,설정!$L$6+ROW()-1,설정!$L$35)),"")</f>
        <v>AA</v>
      </c>
      <c r="N93" s="83" t="str">
        <f aca="false">IFERROR(IF(INDEX(원자료_시장!$A$1:$BZ$1000,설정!$L$6+ROW()-1,설정!$L$36)&amp;""="0","",INDEX(원자료_시장!$A$1:$BZ$1000,설정!$L$6+ROW()-1,설정!$L$36)),"")</f>
        <v>아시아/기타</v>
      </c>
      <c r="O93" s="43" t="str">
        <f aca="false">IF($A93="","",UPPER(LEFT($A93,FIND(" ",$A93&amp;" ")-1)))</f>
        <v>KOREA</v>
      </c>
      <c r="P93" s="43" t="str">
        <f aca="false">IF($A93="","",TRIM(RIGHT(SUBSTITUTE(TRIM($A93)," ",REPT(" ",30)),30)))</f>
        <v>10/29/30</v>
      </c>
      <c r="Q93" s="98" t="n">
        <f aca="false">IF($A93="","",IFERROR(DATE(IF(LEN(P93)=8,2000+VALUE(RIGHT(P93,2)),VALUE(RIGHT(P93,4))),VALUE(LEFT(P93,2)),VALUE(MID(P93,4,2))),""))</f>
        <v>47785</v>
      </c>
      <c r="R93" s="89" t="n">
        <f aca="false">IF($A93="",0,IF(ISNUMBER(SEARCH("Float",$A93)),1,0))</f>
        <v>0</v>
      </c>
      <c r="S93" s="43" t="str">
        <f aca="false">IF($A93="","",TRIM(MID($A93,LEN(O93)+2,LEN($A93)-LEN(O93)-LEN(P93)-1)))</f>
        <v>3 5/8</v>
      </c>
      <c r="T93" s="92" t="n">
        <f aca="false">IF(OR($A93="",R93=1),"",IFERROR(IF(ISNUMBER(FIND("/",S93)),IF(ISNUMBER(FIND(" ",S93)),VALUE(LEFT(S93,FIND(" ",S93)-1))+VALUE(MID(S93,FIND(" ",S93)+1,FIND("/",S93)-FIND(" ",S93)-1))/VALUE(MID(S93,FIND("/",S93)+1,9)),VALUE(LEFT(S93,FIND("/",S93)-1))/VALUE(MID(S93,FIND("/",S93)+1,9))),VALUE(S93)),""))</f>
        <v>3.625</v>
      </c>
      <c r="U93" s="43" t="str">
        <f aca="false">IF(OR($A93="",NOT(ISNUMBER(Q93))),"",TEXT(Q93,"yyyymmdd")&amp;"|"&amp;IF(R93=1,"F",TEXT(T93,"0.000")))</f>
        <v>20301029|3.625</v>
      </c>
      <c r="V93" s="43" t="str">
        <f aca="false">IF(U93="","",O93&amp;"|"&amp;U93)</f>
        <v>KOREA|20301029|3.625</v>
      </c>
      <c r="W93" s="43" t="str">
        <f aca="false">IF($A93="","",IFERROR(IF(VLOOKUP(O93,매핑!$A$4:$E$92,3,0)="","미분류",VLOOKUP(O93,매핑!$A$4:$E$92,3,0)),"미분류"))</f>
        <v>한국</v>
      </c>
      <c r="X93" s="89" t="n">
        <f aca="false">IF($A93="",0,IF(O93="T",1,0))</f>
        <v>0</v>
      </c>
      <c r="Y93" s="89" t="n">
        <f aca="false">IF($A93="",0,IF(AND(C93="USD",X93=0,ISNUMBER(E93),ISNUMBER(K93)),IF(K93&gt;=설정!$C$8,1,0),0))</f>
        <v>1</v>
      </c>
      <c r="Z93" s="43" t="str">
        <f aca="false">IF($A93="","",N93&amp;"|"&amp;L93)</f>
        <v>아시아/기타|정부</v>
      </c>
      <c r="AA93" s="92" t="n">
        <f aca="false">IF(Y93=1,LN(K93),0)</f>
        <v>1.32335456134602</v>
      </c>
      <c r="AB93" s="93" t="n">
        <f aca="false">IF(Y93=1,E93,0)</f>
        <v>4.069</v>
      </c>
      <c r="AC93" s="89" t="n">
        <f aca="false">IF(Y93=1,COUNTIFS($Z$2:$Z$601,Z93,$Y$2:$Y$601,1),0)</f>
        <v>51</v>
      </c>
      <c r="AD93" s="89" t="n">
        <f aca="false">IF(Y93=1,COUNTIFS($N$2:$N$601,N93,$Y$2:$Y$601,1),0)</f>
        <v>137</v>
      </c>
      <c r="AE93" s="43" t="str">
        <f aca="false">IF(Y93&lt;&gt;1,"",IF(AND(AC93&gt;=설정!$C$7,ISNUMBER(MATCH(Z93,피어커브!$A:$A,0))),Z93,IF(AND(AD93&gt;=설정!$C$7,ISNUMBER(MATCH(N93&amp;"|전체",피어커브!$A:$A,0))),N93&amp;"|전체","전체|전체")))</f>
        <v>아시아/기타|정부</v>
      </c>
      <c r="AF93" s="93" t="n">
        <f aca="false">IF(AE93="","",INDEX(피어커브!$K:$K,MATCH(AE93,피어커브!$A:$A,0)))</f>
        <v>-1.54860147302313</v>
      </c>
      <c r="AG93" s="93" t="n">
        <f aca="false">IF(AE93="","",INDEX(피어커브!$J:$J,MATCH(AE93,피어커브!$A:$A,0)))</f>
        <v>19.8674994409945</v>
      </c>
      <c r="AH93" s="93" t="n">
        <f aca="false">IF(AE93="","",INDEX(피어커브!$L:$L,MATCH(AE93,피어커브!$A:$A,0)))</f>
        <v>13.6930241146778</v>
      </c>
      <c r="AI93" s="93" t="n">
        <f aca="false">IF(AE93="","",AF93+AG93*AA93)</f>
        <v>24.7431445347564</v>
      </c>
      <c r="AJ93" s="96" t="n">
        <f aca="false">IF(AE93="","",E93-AI93)</f>
        <v>-20.6741445347564</v>
      </c>
      <c r="AK93" s="95" t="n">
        <f aca="false">IF(AE93="","",IF(ISNUMBER(AH93),IF(AH93&gt;0,AJ93/AH93,""),""))</f>
        <v>-1.50983043348295</v>
      </c>
      <c r="AL93" s="43" t="str">
        <f aca="false">IF(AK93="","-",IF(AK93&gt;=설정!$C$6,"Cheap",IF(AK93&lt;=-설정!$C$6,"Rich","Fair")))</f>
        <v>Rich</v>
      </c>
      <c r="AM93" s="96" t="n">
        <f aca="false">IF(AE93="","",AJ93-AVERAGEIFS($AJ$2:$AJ$601,$B$2:$B$601,B93,$Y$2:$Y$601,1))</f>
        <v>-0.959316311197973</v>
      </c>
      <c r="AN93" s="93" t="n">
        <f aca="false">IF(AE93="",0,IF(K93&gt;1+설정!$C$8,AG93*(AA93-LN(K93-1)),0))</f>
        <v>6.15046540825263</v>
      </c>
      <c r="AO93" s="99" t="n">
        <f aca="false">IF($A93="",0,SUMIFS(보유분석!$AA$2:$AA$801,보유분석!$AB$2:$AB$801,ROW(),보유분석!$AC$2:$AC$801,1))</f>
        <v>0.473181</v>
      </c>
      <c r="AP93" s="43" t="str">
        <f aca="false">IF($A93="","",TRIM(IF(R93=1,"FRN ","")&amp;IF(IFERROR(VLOOKUP(M93,설정!$A$15:$D$47,4,0),0)&gt;=10,IF(IFERROR(VLOOKUP(M93,설정!$A$15:$D$47,4,0),0)&lt;99,"BBB0미만 ",""),"")&amp;IF(OR(M93="",M93="NR"),"등급미입력 ","")&amp;IF(C93&lt;&gt;"USD","비USD ","")))</f>
        <v/>
      </c>
      <c r="AQ93" s="90" t="n">
        <f aca="false">IF(AND(Y93=1,AL93="Cheap"),IF(AND(ISERROR(SEARCH("FRN",AP93)),ISERROR(SEARCH("BBB0미만",AP93))),AK93+ROW()/1000000000,-999),-999)</f>
        <v>-999</v>
      </c>
      <c r="AR93" s="92" t="n">
        <f aca="false">IF(AND(ISNUMBER(D93),ISNUMBER(K93)),D93+AN93*MAX(K93-1,0)/100,"")</f>
        <v>5.29650682665144</v>
      </c>
      <c r="AS93" s="93" t="n">
        <f aca="false">IF(AND(ISNUMBER(E93),ISNUMBER(K93)),IF(K93&gt;0,(E93+AN93*MAX(K93-1,0))/K93,""),"")</f>
        <v>5.59629463928228</v>
      </c>
      <c r="AT93" s="90" t="n">
        <f aca="false">IFERROR(IF(AND(Y93=1,ROW()&lt;&gt;스왑분석!$C$12+1,ABS(K93-INDEX($K$2:$K$601,스왑분석!$C$12))&lt;=스왑분석!$C$5,ISERROR(SEARCH("FRN",AP93)),ISERROR(SEARCH("BBB0미만",AP93))),IF(AND(OR(스왑분석!$C$6="N",L93=INDEX($L$2:$L$601,스왑분석!$C$12)),OR(스왑분석!$C$7="N",N93=INDEX($N$2:$N$601,스왑분석!$C$12)),OR(스왑분석!$C$8="N",AO93=0),E93-INDEX($E$2:$E$601,스왑분석!$C$12)&gt;=스왑분석!$C$9),E93-INDEX($E$2:$E$601,스왑분석!$C$12)+ROW()/1000000000,-999),-999),-999)</f>
        <v>-999</v>
      </c>
      <c r="AU93" s="90" t="n">
        <f aca="false">IF(AND(Y93=1,AO93&gt;0,AL93="Rich"),-AK93+ROW()/1000000000,-999)</f>
        <v>1.50983052648295</v>
      </c>
    </row>
    <row r="94" customFormat="false" ht="15" hidden="false" customHeight="false" outlineLevel="0" collapsed="false">
      <c r="A94" s="83" t="str">
        <f aca="false">IFERROR(IF(INDEX(원자료_시장!$A$1:$BZ$1000,설정!$L$6+ROW()-1,설정!$L$24)&amp;""="0","",INDEX(원자료_시장!$A$1:$BZ$1000,설정!$L$6+ROW()-1,설정!$L$24)),"")</f>
        <v>KOREA 3 7/8 02/12/31</v>
      </c>
      <c r="B94" s="83" t="str">
        <f aca="false">IFERROR(IF(INDEX(원자료_시장!$A$1:$BZ$1000,설정!$L$6+ROW()-1,설정!$L$37)&amp;""="0","",INDEX(원자료_시장!$A$1:$BZ$1000,설정!$L$6+ROW()-1,설정!$L$37)),"")</f>
        <v>REPUBLIC OF KOREA</v>
      </c>
      <c r="C94" s="83" t="str">
        <f aca="false">IFERROR(IF(INDEX(원자료_시장!$A$1:$BZ$1000,설정!$L$6+ROW()-1,설정!$L$25)&amp;""="0","",INDEX(원자료_시장!$A$1:$BZ$1000,설정!$L$6+ROW()-1,설정!$L$25)),"")</f>
        <v>USD</v>
      </c>
      <c r="D94" s="85" t="n">
        <f aca="false">IFERROR(IF(ISNUMBER(INDEX(원자료_시장!$A$1:$BZ$1000,설정!$L$6+ROW()-1,설정!$L$26)),INDEX(원자료_시장!$A$1:$BZ$1000,설정!$L$6+ROW()-1,설정!$L$26),""),"")</f>
        <v>5.16</v>
      </c>
      <c r="E94" s="97" t="n">
        <f aca="false">IFERROR(IF(ISNUMBER(INDEX(원자료_시장!$A$1:$BZ$1000,설정!$L$6+ROW()-1,설정!$L$27)),INDEX(원자료_시장!$A$1:$BZ$1000,설정!$L$6+ROW()-1,설정!$L$27),""),"")</f>
        <v>7.352</v>
      </c>
      <c r="F94" s="97" t="n">
        <f aca="false">IFERROR(IF(ISNUMBER(INDEX(원자료_시장!$A$1:$BZ$1000,설정!$L$6+ROW()-1,설정!$L$28)),INDEX(원자료_시장!$A$1:$BZ$1000,설정!$L$6+ROW()-1,설정!$L$28),""),"")</f>
        <v>41.159</v>
      </c>
      <c r="G94" s="97" t="n">
        <f aca="false">IFERROR(IF(ISNUMBER(INDEX(원자료_시장!$A$1:$BZ$1000,설정!$L$6+ROW()-1,설정!$L$29)),INDEX(원자료_시장!$A$1:$BZ$1000,설정!$L$6+ROW()-1,설정!$L$29),""),"")</f>
        <v>4</v>
      </c>
      <c r="H94" s="97" t="n">
        <f aca="false">IFERROR(IF(ISNUMBER(INDEX(원자료_시장!$A$1:$BZ$1000,설정!$L$6+ROW()-1,설정!$L$30)),INDEX(원자료_시장!$A$1:$BZ$1000,설정!$L$6+ROW()-1,설정!$L$30),""),"")</f>
        <v>10.4</v>
      </c>
      <c r="I94" s="97" t="n">
        <f aca="false">IFERROR(IF(ISNUMBER(INDEX(원자료_시장!$A$1:$BZ$1000,설정!$L$6+ROW()-1,설정!$L$31)),INDEX(원자료_시장!$A$1:$BZ$1000,설정!$L$6+ROW()-1,설정!$L$31),""),"")</f>
        <v>-1.4</v>
      </c>
      <c r="J94" s="97" t="n">
        <f aca="false">IFERROR(IF(ISNUMBER(INDEX(원자료_시장!$A$1:$BZ$1000,설정!$L$6+ROW()-1,설정!$L$32)),INDEX(원자료_시장!$A$1:$BZ$1000,설정!$L$6+ROW()-1,설정!$L$32),""),"")</f>
        <v>1.6</v>
      </c>
      <c r="K94" s="85" t="n">
        <f aca="false">IFERROR(IF(ISNUMBER(INDEX(원자료_시장!$A$1:$BZ$1000,설정!$L$6+ROW()-1,설정!$L$33)),INDEX(원자료_시장!$A$1:$BZ$1000,설정!$L$6+ROW()-1,설정!$L$33),""),"")</f>
        <v>4.023</v>
      </c>
      <c r="L94" s="83" t="str">
        <f aca="false">IFERROR(IF(INDEX(원자료_시장!$A$1:$BZ$1000,설정!$L$6+ROW()-1,설정!$L$34)&amp;""="0","",INDEX(원자료_시장!$A$1:$BZ$1000,설정!$L$6+ROW()-1,설정!$L$34)),"")</f>
        <v>정부</v>
      </c>
      <c r="M94" s="83" t="str">
        <f aca="false">IFERROR(IF(INDEX(원자료_시장!$A$1:$BZ$1000,설정!$L$6+ROW()-1,설정!$L$35)&amp;""="0","",INDEX(원자료_시장!$A$1:$BZ$1000,설정!$L$6+ROW()-1,설정!$L$35)),"")</f>
        <v>AA</v>
      </c>
      <c r="N94" s="83" t="str">
        <f aca="false">IFERROR(IF(INDEX(원자료_시장!$A$1:$BZ$1000,설정!$L$6+ROW()-1,설정!$L$36)&amp;""="0","",INDEX(원자료_시장!$A$1:$BZ$1000,설정!$L$6+ROW()-1,설정!$L$36)),"")</f>
        <v>아시아/기타</v>
      </c>
      <c r="O94" s="43" t="str">
        <f aca="false">IF($A94="","",UPPER(LEFT($A94,FIND(" ",$A94&amp;" ")-1)))</f>
        <v>KOREA</v>
      </c>
      <c r="P94" s="43" t="str">
        <f aca="false">IF($A94="","",TRIM(RIGHT(SUBSTITUTE(TRIM($A94)," ",REPT(" ",30)),30)))</f>
        <v>02/12/31</v>
      </c>
      <c r="Q94" s="98" t="n">
        <f aca="false">IF($A94="","",IFERROR(DATE(IF(LEN(P94)=8,2000+VALUE(RIGHT(P94,2)),VALUE(RIGHT(P94,4))),VALUE(LEFT(P94,2)),VALUE(MID(P94,4,2))),""))</f>
        <v>47891</v>
      </c>
      <c r="R94" s="89" t="n">
        <f aca="false">IF($A94="",0,IF(ISNUMBER(SEARCH("Float",$A94)),1,0))</f>
        <v>0</v>
      </c>
      <c r="S94" s="43" t="str">
        <f aca="false">IF($A94="","",TRIM(MID($A94,LEN(O94)+2,LEN($A94)-LEN(O94)-LEN(P94)-1)))</f>
        <v>3 7/8</v>
      </c>
      <c r="T94" s="92" t="n">
        <f aca="false">IF(OR($A94="",R94=1),"",IFERROR(IF(ISNUMBER(FIND("/",S94)),IF(ISNUMBER(FIND(" ",S94)),VALUE(LEFT(S94,FIND(" ",S94)-1))+VALUE(MID(S94,FIND(" ",S94)+1,FIND("/",S94)-FIND(" ",S94)-1))/VALUE(MID(S94,FIND("/",S94)+1,9)),VALUE(LEFT(S94,FIND("/",S94)-1))/VALUE(MID(S94,FIND("/",S94)+1,9))),VALUE(S94)),""))</f>
        <v>3.875</v>
      </c>
      <c r="U94" s="43" t="str">
        <f aca="false">IF(OR($A94="",NOT(ISNUMBER(Q94))),"",TEXT(Q94,"yyyymmdd")&amp;"|"&amp;IF(R94=1,"F",TEXT(T94,"0.000")))</f>
        <v>20310212|3.875</v>
      </c>
      <c r="V94" s="43" t="str">
        <f aca="false">IF(U94="","",O94&amp;"|"&amp;U94)</f>
        <v>KOREA|20310212|3.875</v>
      </c>
      <c r="W94" s="43" t="str">
        <f aca="false">IF($A94="","",IFERROR(IF(VLOOKUP(O94,매핑!$A$4:$E$92,3,0)="","미분류",VLOOKUP(O94,매핑!$A$4:$E$92,3,0)),"미분류"))</f>
        <v>한국</v>
      </c>
      <c r="X94" s="89" t="n">
        <f aca="false">IF($A94="",0,IF(O94="T",1,0))</f>
        <v>0</v>
      </c>
      <c r="Y94" s="89" t="n">
        <f aca="false">IF($A94="",0,IF(AND(C94="USD",X94=0,ISNUMBER(E94),ISNUMBER(K94)),IF(K94&gt;=설정!$C$8,1,0),0))</f>
        <v>1</v>
      </c>
      <c r="Z94" s="43" t="str">
        <f aca="false">IF($A94="","",N94&amp;"|"&amp;L94)</f>
        <v>아시아/기타|정부</v>
      </c>
      <c r="AA94" s="92" t="n">
        <f aca="false">IF(Y94=1,LN(K94),0)</f>
        <v>1.39202789296765</v>
      </c>
      <c r="AB94" s="93" t="n">
        <f aca="false">IF(Y94=1,E94,0)</f>
        <v>7.352</v>
      </c>
      <c r="AC94" s="89" t="n">
        <f aca="false">IF(Y94=1,COUNTIFS($Z$2:$Z$601,Z94,$Y$2:$Y$601,1),0)</f>
        <v>51</v>
      </c>
      <c r="AD94" s="89" t="n">
        <f aca="false">IF(Y94=1,COUNTIFS($N$2:$N$601,N94,$Y$2:$Y$601,1),0)</f>
        <v>137</v>
      </c>
      <c r="AE94" s="43" t="str">
        <f aca="false">IF(Y94&lt;&gt;1,"",IF(AND(AC94&gt;=설정!$C$7,ISNUMBER(MATCH(Z94,피어커브!$A:$A,0))),Z94,IF(AND(AD94&gt;=설정!$C$7,ISNUMBER(MATCH(N94&amp;"|전체",피어커브!$A:$A,0))),N94&amp;"|전체","전체|전체")))</f>
        <v>아시아/기타|정부</v>
      </c>
      <c r="AF94" s="93" t="n">
        <f aca="false">IF(AE94="","",INDEX(피어커브!$K:$K,MATCH(AE94,피어커브!$A:$A,0)))</f>
        <v>-1.54860147302313</v>
      </c>
      <c r="AG94" s="93" t="n">
        <f aca="false">IF(AE94="","",INDEX(피어커브!$J:$J,MATCH(AE94,피어커브!$A:$A,0)))</f>
        <v>19.8674994409945</v>
      </c>
      <c r="AH94" s="93" t="n">
        <f aca="false">IF(AE94="","",INDEX(피어커브!$L:$L,MATCH(AE94,피어커브!$A:$A,0)))</f>
        <v>13.6930241146778</v>
      </c>
      <c r="AI94" s="93" t="n">
        <f aca="false">IF(AE94="","",AF94+AG94*AA94)</f>
        <v>26.1075119123605</v>
      </c>
      <c r="AJ94" s="96" t="n">
        <f aca="false">IF(AE94="","",E94-AI94)</f>
        <v>-18.7555119123605</v>
      </c>
      <c r="AK94" s="95" t="n">
        <f aca="false">IF(AE94="","",IF(ISNUMBER(AH94),IF(AH94&gt;0,AJ94/AH94,""),""))</f>
        <v>-1.36971291040495</v>
      </c>
      <c r="AL94" s="43" t="str">
        <f aca="false">IF(AK94="","-",IF(AK94&gt;=설정!$C$6,"Cheap",IF(AK94&lt;=-설정!$C$6,"Rich","Fair")))</f>
        <v>Rich</v>
      </c>
      <c r="AM94" s="96" t="n">
        <f aca="false">IF(AE94="","",AJ94-AVERAGEIFS($AJ$2:$AJ$601,$B$2:$B$601,B94,$Y$2:$Y$601,1))</f>
        <v>0.959316311197973</v>
      </c>
      <c r="AN94" s="93" t="n">
        <f aca="false">IF(AE94="",0,IF(K94&gt;1+설정!$C$8,AG94*(AA94-LN(K94-1)),0))</f>
        <v>5.67769777517998</v>
      </c>
      <c r="AO94" s="99" t="n">
        <f aca="false">IF($A94="",0,SUMIFS(보유분석!$AA$2:$AA$801,보유분석!$AB$2:$AB$801,ROW(),보유분석!$AC$2:$AC$801,1))</f>
        <v>0.476007</v>
      </c>
      <c r="AP94" s="43" t="str">
        <f aca="false">IF($A94="","",TRIM(IF(R94=1,"FRN ","")&amp;IF(IFERROR(VLOOKUP(M94,설정!$A$15:$D$47,4,0),0)&gt;=10,IF(IFERROR(VLOOKUP(M94,설정!$A$15:$D$47,4,0),0)&lt;99,"BBB0미만 ",""),"")&amp;IF(OR(M94="",M94="NR"),"등급미입력 ","")&amp;IF(C94&lt;&gt;"USD","비USD ","")))</f>
        <v/>
      </c>
      <c r="AQ94" s="90" t="n">
        <f aca="false">IF(AND(Y94=1,AL94="Cheap"),IF(AND(ISERROR(SEARCH("FRN",AP94)),ISERROR(SEARCH("BBB0미만",AP94))),AK94+ROW()/1000000000,-999),-999)</f>
        <v>-999</v>
      </c>
      <c r="AR94" s="92" t="n">
        <f aca="false">IF(AND(ISNUMBER(D94),ISNUMBER(K94)),D94+AN94*MAX(K94-1,0)/100,"")</f>
        <v>5.33163680374369</v>
      </c>
      <c r="AS94" s="93" t="n">
        <f aca="false">IF(AND(ISNUMBER(E94),ISNUMBER(K94)),IF(K94&gt;0,(E94+AN94*MAX(K94-1,0))/K94,""),"")</f>
        <v>6.09388028197094</v>
      </c>
      <c r="AT94" s="90" t="n">
        <f aca="false">IFERROR(IF(AND(Y94=1,ROW()&lt;&gt;스왑분석!$C$12+1,ABS(K94-INDEX($K$2:$K$601,스왑분석!$C$12))&lt;=스왑분석!$C$5,ISERROR(SEARCH("FRN",AP94)),ISERROR(SEARCH("BBB0미만",AP94))),IF(AND(OR(스왑분석!$C$6="N",L94=INDEX($L$2:$L$601,스왑분석!$C$12)),OR(스왑분석!$C$7="N",N94=INDEX($N$2:$N$601,스왑분석!$C$12)),OR(스왑분석!$C$8="N",AO94=0),E94-INDEX($E$2:$E$601,스왑분석!$C$12)&gt;=스왑분석!$C$9),E94-INDEX($E$2:$E$601,스왑분석!$C$12)+ROW()/1000000000,-999),-999),-999)</f>
        <v>-999</v>
      </c>
      <c r="AU94" s="90" t="n">
        <f aca="false">IF(AND(Y94=1,AO94&gt;0,AL94="Rich"),-AK94+ROW()/1000000000,-999)</f>
        <v>1.36971300440495</v>
      </c>
    </row>
    <row r="95" customFormat="false" ht="15" hidden="false" customHeight="false" outlineLevel="0" collapsed="false">
      <c r="A95" s="83" t="str">
        <f aca="false">IFERROR(IF(INDEX(원자료_시장!$A$1:$BZ$1000,설정!$L$6+ROW()-1,설정!$L$24)&amp;""="0","",INDEX(원자료_시장!$A$1:$BZ$1000,설정!$L$6+ROW()-1,설정!$L$24)),"")</f>
        <v>KORGAS 5 07/08/29</v>
      </c>
      <c r="B95" s="83" t="str">
        <f aca="false">IFERROR(IF(INDEX(원자료_시장!$A$1:$BZ$1000,설정!$L$6+ROW()-1,설정!$L$37)&amp;""="0","",INDEX(원자료_시장!$A$1:$BZ$1000,설정!$L$6+ROW()-1,설정!$L$37)),"")</f>
        <v>KOREA GAS CORP</v>
      </c>
      <c r="C95" s="83" t="str">
        <f aca="false">IFERROR(IF(INDEX(원자료_시장!$A$1:$BZ$1000,설정!$L$6+ROW()-1,설정!$L$25)&amp;""="0","",INDEX(원자료_시장!$A$1:$BZ$1000,설정!$L$6+ROW()-1,설정!$L$25)),"")</f>
        <v>USD</v>
      </c>
      <c r="D95" s="85" t="n">
        <f aca="false">IFERROR(IF(ISNUMBER(INDEX(원자료_시장!$A$1:$BZ$1000,설정!$L$6+ROW()-1,설정!$L$26)),INDEX(원자료_시장!$A$1:$BZ$1000,설정!$L$6+ROW()-1,설정!$L$26),""),"")</f>
        <v>5.192</v>
      </c>
      <c r="E95" s="97" t="n">
        <f aca="false">IFERROR(IF(ISNUMBER(INDEX(원자료_시장!$A$1:$BZ$1000,설정!$L$6+ROW()-1,설정!$L$27)),INDEX(원자료_시장!$A$1:$BZ$1000,설정!$L$6+ROW()-1,설정!$L$27),""),"")</f>
        <v>19.199</v>
      </c>
      <c r="F95" s="97" t="n">
        <f aca="false">IFERROR(IF(ISNUMBER(INDEX(원자료_시장!$A$1:$BZ$1000,설정!$L$6+ROW()-1,설정!$L$28)),INDEX(원자료_시장!$A$1:$BZ$1000,설정!$L$6+ROW()-1,설정!$L$28),""),"")</f>
        <v>46.647</v>
      </c>
      <c r="G95" s="97" t="n">
        <f aca="false">IFERROR(IF(ISNUMBER(INDEX(원자료_시장!$A$1:$BZ$1000,설정!$L$6+ROW()-1,설정!$L$29)),INDEX(원자료_시장!$A$1:$BZ$1000,설정!$L$6+ROW()-1,설정!$L$29),""),"")</f>
        <v>-2.9</v>
      </c>
      <c r="H95" s="97" t="n">
        <f aca="false">IFERROR(IF(ISNUMBER(INDEX(원자료_시장!$A$1:$BZ$1000,설정!$L$6+ROW()-1,설정!$L$30)),INDEX(원자료_시장!$A$1:$BZ$1000,설정!$L$6+ROW()-1,설정!$L$30),""),"")</f>
        <v>17.3</v>
      </c>
      <c r="I95" s="97" t="n">
        <f aca="false">IFERROR(IF(ISNUMBER(INDEX(원자료_시장!$A$1:$BZ$1000,설정!$L$6+ROW()-1,설정!$L$31)),INDEX(원자료_시장!$A$1:$BZ$1000,설정!$L$6+ROW()-1,설정!$L$31),""),"")</f>
        <v>-0.1</v>
      </c>
      <c r="J95" s="97" t="n">
        <f aca="false">IFERROR(IF(ISNUMBER(INDEX(원자료_시장!$A$1:$BZ$1000,설정!$L$6+ROW()-1,설정!$L$32)),INDEX(원자료_시장!$A$1:$BZ$1000,설정!$L$6+ROW()-1,설정!$L$32),""),"")</f>
        <v>-8.2</v>
      </c>
      <c r="K95" s="85" t="n">
        <f aca="false">IFERROR(IF(ISNUMBER(INDEX(원자료_시장!$A$1:$BZ$1000,설정!$L$6+ROW()-1,설정!$L$33)),INDEX(원자료_시장!$A$1:$BZ$1000,설정!$L$6+ROW()-1,설정!$L$33),""),"")</f>
        <v>2.589</v>
      </c>
      <c r="L95" s="83" t="str">
        <f aca="false">IFERROR(IF(INDEX(원자료_시장!$A$1:$BZ$1000,설정!$L$6+ROW()-1,설정!$L$34)&amp;""="0","",INDEX(원자료_시장!$A$1:$BZ$1000,설정!$L$6+ROW()-1,설정!$L$34)),"")</f>
        <v>정부</v>
      </c>
      <c r="M95" s="83" t="str">
        <f aca="false">IFERROR(IF(INDEX(원자료_시장!$A$1:$BZ$1000,설정!$L$6+ROW()-1,설정!$L$35)&amp;""="0","",INDEX(원자료_시장!$A$1:$BZ$1000,설정!$L$6+ROW()-1,설정!$L$35)),"")</f>
        <v>AA</v>
      </c>
      <c r="N95" s="83" t="str">
        <f aca="false">IFERROR(IF(INDEX(원자료_시장!$A$1:$BZ$1000,설정!$L$6+ROW()-1,설정!$L$36)&amp;""="0","",INDEX(원자료_시장!$A$1:$BZ$1000,설정!$L$6+ROW()-1,설정!$L$36)),"")</f>
        <v>아시아/기타</v>
      </c>
      <c r="O95" s="43" t="str">
        <f aca="false">IF($A95="","",UPPER(LEFT($A95,FIND(" ",$A95&amp;" ")-1)))</f>
        <v>KORGAS</v>
      </c>
      <c r="P95" s="43" t="str">
        <f aca="false">IF($A95="","",TRIM(RIGHT(SUBSTITUTE(TRIM($A95)," ",REPT(" ",30)),30)))</f>
        <v>07/08/29</v>
      </c>
      <c r="Q95" s="98" t="n">
        <f aca="false">IF($A95="","",IFERROR(DATE(IF(LEN(P95)=8,2000+VALUE(RIGHT(P95,2)),VALUE(RIGHT(P95,4))),VALUE(LEFT(P95,2)),VALUE(MID(P95,4,2))),""))</f>
        <v>47307</v>
      </c>
      <c r="R95" s="89" t="n">
        <f aca="false">IF($A95="",0,IF(ISNUMBER(SEARCH("Float",$A95)),1,0))</f>
        <v>0</v>
      </c>
      <c r="S95" s="43" t="str">
        <f aca="false">IF($A95="","",TRIM(MID($A95,LEN(O95)+2,LEN($A95)-LEN(O95)-LEN(P95)-1)))</f>
        <v>5</v>
      </c>
      <c r="T95" s="92" t="n">
        <f aca="false">IF(OR($A95="",R95=1),"",IFERROR(IF(ISNUMBER(FIND("/",S95)),IF(ISNUMBER(FIND(" ",S95)),VALUE(LEFT(S95,FIND(" ",S95)-1))+VALUE(MID(S95,FIND(" ",S95)+1,FIND("/",S95)-FIND(" ",S95)-1))/VALUE(MID(S95,FIND("/",S95)+1,9)),VALUE(LEFT(S95,FIND("/",S95)-1))/VALUE(MID(S95,FIND("/",S95)+1,9))),VALUE(S95)),""))</f>
        <v>5</v>
      </c>
      <c r="U95" s="43" t="str">
        <f aca="false">IF(OR($A95="",NOT(ISNUMBER(Q95))),"",TEXT(Q95,"yyyymmdd")&amp;"|"&amp;IF(R95=1,"F",TEXT(T95,"0.000")))</f>
        <v>20290708|5.000</v>
      </c>
      <c r="V95" s="43" t="str">
        <f aca="false">IF(U95="","",O95&amp;"|"&amp;U95)</f>
        <v>KORGAS|20290708|5.000</v>
      </c>
      <c r="W95" s="43" t="str">
        <f aca="false">IF($A95="","",IFERROR(IF(VLOOKUP(O95,매핑!$A$4:$E$92,3,0)="","미분류",VLOOKUP(O95,매핑!$A$4:$E$92,3,0)),"미분류"))</f>
        <v>한국</v>
      </c>
      <c r="X95" s="89" t="n">
        <f aca="false">IF($A95="",0,IF(O95="T",1,0))</f>
        <v>0</v>
      </c>
      <c r="Y95" s="89" t="n">
        <f aca="false">IF($A95="",0,IF(AND(C95="USD",X95=0,ISNUMBER(E95),ISNUMBER(K95)),IF(K95&gt;=설정!$C$8,1,0),0))</f>
        <v>1</v>
      </c>
      <c r="Z95" s="43" t="str">
        <f aca="false">IF($A95="","",N95&amp;"|"&amp;L95)</f>
        <v>아시아/기타|정부</v>
      </c>
      <c r="AA95" s="92" t="n">
        <f aca="false">IF(Y95=1,LN(K95),0)</f>
        <v>0.951271700769401</v>
      </c>
      <c r="AB95" s="93" t="n">
        <f aca="false">IF(Y95=1,E95,0)</f>
        <v>19.199</v>
      </c>
      <c r="AC95" s="89" t="n">
        <f aca="false">IF(Y95=1,COUNTIFS($Z$2:$Z$601,Z95,$Y$2:$Y$601,1),0)</f>
        <v>51</v>
      </c>
      <c r="AD95" s="89" t="n">
        <f aca="false">IF(Y95=1,COUNTIFS($N$2:$N$601,N95,$Y$2:$Y$601,1),0)</f>
        <v>137</v>
      </c>
      <c r="AE95" s="43" t="str">
        <f aca="false">IF(Y95&lt;&gt;1,"",IF(AND(AC95&gt;=설정!$C$7,ISNUMBER(MATCH(Z95,피어커브!$A:$A,0))),Z95,IF(AND(AD95&gt;=설정!$C$7,ISNUMBER(MATCH(N95&amp;"|전체",피어커브!$A:$A,0))),N95&amp;"|전체","전체|전체")))</f>
        <v>아시아/기타|정부</v>
      </c>
      <c r="AF95" s="93" t="n">
        <f aca="false">IF(AE95="","",INDEX(피어커브!$K:$K,MATCH(AE95,피어커브!$A:$A,0)))</f>
        <v>-1.54860147302313</v>
      </c>
      <c r="AG95" s="93" t="n">
        <f aca="false">IF(AE95="","",INDEX(피어커브!$J:$J,MATCH(AE95,피어커브!$A:$A,0)))</f>
        <v>19.8674994409945</v>
      </c>
      <c r="AH95" s="93" t="n">
        <f aca="false">IF(AE95="","",INDEX(피어커브!$L:$L,MATCH(AE95,피어커브!$A:$A,0)))</f>
        <v>13.6930241146778</v>
      </c>
      <c r="AI95" s="93" t="n">
        <f aca="false">IF(AE95="","",AF95+AG95*AA95)</f>
        <v>17.3507885102469</v>
      </c>
      <c r="AJ95" s="96" t="n">
        <f aca="false">IF(AE95="","",E95-AI95)</f>
        <v>1.84821148975313</v>
      </c>
      <c r="AK95" s="95" t="n">
        <f aca="false">IF(AE95="","",IF(ISNUMBER(AH95),IF(AH95&gt;0,AJ95/AH95,""),""))</f>
        <v>0.134974675738137</v>
      </c>
      <c r="AL95" s="43" t="str">
        <f aca="false">IF(AK95="","-",IF(AK95&gt;=설정!$C$6,"Cheap",IF(AK95&lt;=-설정!$C$6,"Rich","Fair")))</f>
        <v>Fair</v>
      </c>
      <c r="AM95" s="96" t="n">
        <f aca="false">IF(AE95="","",AJ95-AVERAGEIFS($AJ$2:$AJ$601,$B$2:$B$601,B95,$Y$2:$Y$601,1))</f>
        <v>-6.19655759364999</v>
      </c>
      <c r="AN95" s="93" t="n">
        <f aca="false">IF(AE95="",0,IF(K95&gt;1+설정!$C$8,AG95*(AA95-LN(K95-1)),0))</f>
        <v>9.69865388865756</v>
      </c>
      <c r="AO95" s="99" t="n">
        <f aca="false">IF($A95="",0,SUMIFS(보유분석!$AA$2:$AA$801,보유분석!$AB$2:$AB$801,ROW(),보유분석!$AC$2:$AC$801,1))</f>
        <v>0</v>
      </c>
      <c r="AP95" s="43" t="str">
        <f aca="false">IF($A95="","",TRIM(IF(R95=1,"FRN ","")&amp;IF(IFERROR(VLOOKUP(M95,설정!$A$15:$D$47,4,0),0)&gt;=10,IF(IFERROR(VLOOKUP(M95,설정!$A$15:$D$47,4,0),0)&lt;99,"BBB0미만 ",""),"")&amp;IF(OR(M95="",M95="NR"),"등급미입력 ","")&amp;IF(C95&lt;&gt;"USD","비USD ","")))</f>
        <v/>
      </c>
      <c r="AQ95" s="90" t="n">
        <f aca="false">IF(AND(Y95=1,AL95="Cheap"),IF(AND(ISERROR(SEARCH("FRN",AP95)),ISERROR(SEARCH("BBB0미만",AP95))),AK95+ROW()/1000000000,-999),-999)</f>
        <v>-999</v>
      </c>
      <c r="AR95" s="92" t="n">
        <f aca="false">IF(AND(ISNUMBER(D95),ISNUMBER(K95)),D95+AN95*MAX(K95-1,0)/100,"")</f>
        <v>5.34611161029077</v>
      </c>
      <c r="AS95" s="93" t="n">
        <f aca="false">IF(AND(ISNUMBER(E95),ISNUMBER(K95)),IF(K95&gt;0,(E95+AN95*MAX(K95-1,0))/K95,""),"")</f>
        <v>13.3681579872835</v>
      </c>
      <c r="AT95" s="90" t="n">
        <f aca="false">IFERROR(IF(AND(Y95=1,ROW()&lt;&gt;스왑분석!$C$12+1,ABS(K95-INDEX($K$2:$K$601,스왑분석!$C$12))&lt;=스왑분석!$C$5,ISERROR(SEARCH("FRN",AP95)),ISERROR(SEARCH("BBB0미만",AP95))),IF(AND(OR(스왑분석!$C$6="N",L95=INDEX($L$2:$L$601,스왑분석!$C$12)),OR(스왑분석!$C$7="N",N95=INDEX($N$2:$N$601,스왑분석!$C$12)),OR(스왑분석!$C$8="N",AO95=0),E95-INDEX($E$2:$E$601,스왑분석!$C$12)&gt;=스왑분석!$C$9),E95-INDEX($E$2:$E$601,스왑분석!$C$12)+ROW()/1000000000,-999),-999),-999)</f>
        <v>-999</v>
      </c>
      <c r="AU95" s="90" t="n">
        <f aca="false">IF(AND(Y95=1,AO95&gt;0,AL95="Rich"),-AK95+ROW()/1000000000,-999)</f>
        <v>-999</v>
      </c>
    </row>
    <row r="96" customFormat="false" ht="15" hidden="false" customHeight="false" outlineLevel="0" collapsed="false">
      <c r="A96" s="83" t="str">
        <f aca="false">IFERROR(IF(INDEX(원자료_시장!$A$1:$BZ$1000,설정!$L$6+ROW()-1,설정!$L$24)&amp;""="0","",INDEX(원자료_시장!$A$1:$BZ$1000,설정!$L$6+ROW()-1,설정!$L$24)),"")</f>
        <v>MUFG 4.505 01/14/32</v>
      </c>
      <c r="B96" s="83" t="str">
        <f aca="false">IFERROR(IF(INDEX(원자료_시장!$A$1:$BZ$1000,설정!$L$6+ROW()-1,설정!$L$37)&amp;""="0","",INDEX(원자료_시장!$A$1:$BZ$1000,설정!$L$6+ROW()-1,설정!$L$37)),"")</f>
        <v>MITSUBISHI UFJ FIN GRP</v>
      </c>
      <c r="C96" s="83" t="str">
        <f aca="false">IFERROR(IF(INDEX(원자료_시장!$A$1:$BZ$1000,설정!$L$6+ROW()-1,설정!$L$25)&amp;""="0","",INDEX(원자료_시장!$A$1:$BZ$1000,설정!$L$6+ROW()-1,설정!$L$25)),"")</f>
        <v>USD</v>
      </c>
      <c r="D96" s="85" t="n">
        <f aca="false">IFERROR(IF(ISNUMBER(INDEX(원자료_시장!$A$1:$BZ$1000,설정!$L$6+ROW()-1,설정!$L$26)),INDEX(원자료_시장!$A$1:$BZ$1000,설정!$L$6+ROW()-1,설정!$L$26),""),"")</f>
        <v>5.781</v>
      </c>
      <c r="E96" s="97" t="n">
        <f aca="false">IFERROR(IF(ISNUMBER(INDEX(원자료_시장!$A$1:$BZ$1000,설정!$L$6+ROW()-1,설정!$L$27)),INDEX(원자료_시장!$A$1:$BZ$1000,설정!$L$6+ROW()-1,설정!$L$27),""),"")</f>
        <v>78.554</v>
      </c>
      <c r="F96" s="97" t="n">
        <f aca="false">IFERROR(IF(ISNUMBER(INDEX(원자료_시장!$A$1:$BZ$1000,설정!$L$6+ROW()-1,설정!$L$28)),INDEX(원자료_시장!$A$1:$BZ$1000,설정!$L$6+ROW()-1,설정!$L$28),""),"")</f>
        <v>112.431</v>
      </c>
      <c r="G96" s="97" t="n">
        <f aca="false">IFERROR(IF(ISNUMBER(INDEX(원자료_시장!$A$1:$BZ$1000,설정!$L$6+ROW()-1,설정!$L$29)),INDEX(원자료_시장!$A$1:$BZ$1000,설정!$L$6+ROW()-1,설정!$L$29),""),"")</f>
        <v>-1.5</v>
      </c>
      <c r="H96" s="97" t="n">
        <f aca="false">IFERROR(IF(ISNUMBER(INDEX(원자료_시장!$A$1:$BZ$1000,설정!$L$6+ROW()-1,설정!$L$30)),INDEX(원자료_시장!$A$1:$BZ$1000,설정!$L$6+ROW()-1,설정!$L$30),""),"")</f>
        <v>4.8</v>
      </c>
      <c r="I96" s="97" t="n">
        <f aca="false">IFERROR(IF(ISNUMBER(INDEX(원자료_시장!$A$1:$BZ$1000,설정!$L$6+ROW()-1,설정!$L$31)),INDEX(원자료_시장!$A$1:$BZ$1000,설정!$L$6+ROW()-1,설정!$L$31),""),"")</f>
        <v>1.3</v>
      </c>
      <c r="J96" s="97" t="n">
        <f aca="false">IFERROR(IF(ISNUMBER(INDEX(원자료_시장!$A$1:$BZ$1000,설정!$L$6+ROW()-1,설정!$L$32)),INDEX(원자료_시장!$A$1:$BZ$1000,설정!$L$6+ROW()-1,설정!$L$32),""),"")</f>
        <v>-0.2</v>
      </c>
      <c r="K96" s="85" t="n">
        <f aca="false">IFERROR(IF(ISNUMBER(INDEX(원자료_시장!$A$1:$BZ$1000,설정!$L$6+ROW()-1,설정!$L$33)),INDEX(원자료_시장!$A$1:$BZ$1000,설정!$L$6+ROW()-1,설정!$L$33),""),"")</f>
        <v>3.894</v>
      </c>
      <c r="L96" s="83" t="str">
        <f aca="false">IFERROR(IF(INDEX(원자료_시장!$A$1:$BZ$1000,설정!$L$6+ROW()-1,설정!$L$34)&amp;""="0","",INDEX(원자료_시장!$A$1:$BZ$1000,설정!$L$6+ROW()-1,설정!$L$34)),"")</f>
        <v>금융기관</v>
      </c>
      <c r="M96" s="83" t="str">
        <f aca="false">IFERROR(IF(INDEX(원자료_시장!$A$1:$BZ$1000,설정!$L$6+ROW()-1,설정!$L$35)&amp;""="0","",INDEX(원자료_시장!$A$1:$BZ$1000,설정!$L$6+ROW()-1,설정!$L$35)),"")</f>
        <v>A-</v>
      </c>
      <c r="N96" s="83" t="str">
        <f aca="false">IFERROR(IF(INDEX(원자료_시장!$A$1:$BZ$1000,설정!$L$6+ROW()-1,설정!$L$36)&amp;""="0","",INDEX(원자료_시장!$A$1:$BZ$1000,설정!$L$6+ROW()-1,설정!$L$36)),"")</f>
        <v>아시아/기타</v>
      </c>
      <c r="O96" s="43" t="str">
        <f aca="false">IF($A96="","",UPPER(LEFT($A96,FIND(" ",$A96&amp;" ")-1)))</f>
        <v>MUFG</v>
      </c>
      <c r="P96" s="43" t="str">
        <f aca="false">IF($A96="","",TRIM(RIGHT(SUBSTITUTE(TRIM($A96)," ",REPT(" ",30)),30)))</f>
        <v>01/14/32</v>
      </c>
      <c r="Q96" s="98" t="n">
        <f aca="false">IF($A96="","",IFERROR(DATE(IF(LEN(P96)=8,2000+VALUE(RIGHT(P96,2)),VALUE(RIGHT(P96,4))),VALUE(LEFT(P96,2)),VALUE(MID(P96,4,2))),""))</f>
        <v>48227</v>
      </c>
      <c r="R96" s="89" t="n">
        <f aca="false">IF($A96="",0,IF(ISNUMBER(SEARCH("Float",$A96)),1,0))</f>
        <v>0</v>
      </c>
      <c r="S96" s="43" t="str">
        <f aca="false">IF($A96="","",TRIM(MID($A96,LEN(O96)+2,LEN($A96)-LEN(O96)-LEN(P96)-1)))</f>
        <v>4.505</v>
      </c>
      <c r="T96" s="92" t="n">
        <f aca="false">IF(OR($A96="",R96=1),"",IFERROR(IF(ISNUMBER(FIND("/",S96)),IF(ISNUMBER(FIND(" ",S96)),VALUE(LEFT(S96,FIND(" ",S96)-1))+VALUE(MID(S96,FIND(" ",S96)+1,FIND("/",S96)-FIND(" ",S96)-1))/VALUE(MID(S96,FIND("/",S96)+1,9)),VALUE(LEFT(S96,FIND("/",S96)-1))/VALUE(MID(S96,FIND("/",S96)+1,9))),VALUE(S96)),""))</f>
        <v>4.505</v>
      </c>
      <c r="U96" s="43" t="str">
        <f aca="false">IF(OR($A96="",NOT(ISNUMBER(Q96))),"",TEXT(Q96,"yyyymmdd")&amp;"|"&amp;IF(R96=1,"F",TEXT(T96,"0.000")))</f>
        <v>20320114|4.505</v>
      </c>
      <c r="V96" s="43" t="str">
        <f aca="false">IF(U96="","",O96&amp;"|"&amp;U96)</f>
        <v>MUFG|20320114|4.505</v>
      </c>
      <c r="W96" s="43" t="str">
        <f aca="false">IF($A96="","",IFERROR(IF(VLOOKUP(O96,매핑!$A$4:$E$92,3,0)="","미분류",VLOOKUP(O96,매핑!$A$4:$E$92,3,0)),"미분류"))</f>
        <v>일본</v>
      </c>
      <c r="X96" s="89" t="n">
        <f aca="false">IF($A96="",0,IF(O96="T",1,0))</f>
        <v>0</v>
      </c>
      <c r="Y96" s="89" t="n">
        <f aca="false">IF($A96="",0,IF(AND(C96="USD",X96=0,ISNUMBER(E96),ISNUMBER(K96)),IF(K96&gt;=설정!$C$8,1,0),0))</f>
        <v>1</v>
      </c>
      <c r="Z96" s="43" t="str">
        <f aca="false">IF($A96="","",N96&amp;"|"&amp;L96)</f>
        <v>아시아/기타|금융기관</v>
      </c>
      <c r="AA96" s="92" t="n">
        <f aca="false">IF(Y96=1,LN(K96),0)</f>
        <v>1.35943690695001</v>
      </c>
      <c r="AB96" s="93" t="n">
        <f aca="false">IF(Y96=1,E96,0)</f>
        <v>78.554</v>
      </c>
      <c r="AC96" s="89" t="n">
        <f aca="false">IF(Y96=1,COUNTIFS($Z$2:$Z$601,Z96,$Y$2:$Y$601,1),0)</f>
        <v>42</v>
      </c>
      <c r="AD96" s="89" t="n">
        <f aca="false">IF(Y96=1,COUNTIFS($N$2:$N$601,N96,$Y$2:$Y$601,1),0)</f>
        <v>137</v>
      </c>
      <c r="AE96" s="43" t="str">
        <f aca="false">IF(Y96&lt;&gt;1,"",IF(AND(AC96&gt;=설정!$C$7,ISNUMBER(MATCH(Z96,피어커브!$A:$A,0))),Z96,IF(AND(AD96&gt;=설정!$C$7,ISNUMBER(MATCH(N96&amp;"|전체",피어커브!$A:$A,0))),N96&amp;"|전체","전체|전체")))</f>
        <v>아시아/기타|금융기관</v>
      </c>
      <c r="AF96" s="93" t="n">
        <f aca="false">IF(AE96="","",INDEX(피어커브!$K:$K,MATCH(AE96,피어커브!$A:$A,0)))</f>
        <v>50.117430292991</v>
      </c>
      <c r="AG96" s="93" t="n">
        <f aca="false">IF(AE96="","",INDEX(피어커브!$J:$J,MATCH(AE96,피어커브!$A:$A,0)))</f>
        <v>13.9183160321618</v>
      </c>
      <c r="AH96" s="93" t="n">
        <f aca="false">IF(AE96="","",INDEX(피어커브!$L:$L,MATCH(AE96,피어커브!$A:$A,0)))</f>
        <v>20.4735875466442</v>
      </c>
      <c r="AI96" s="93" t="n">
        <f aca="false">IF(AE96="","",AF96+AG96*AA96)</f>
        <v>69.0385027897058</v>
      </c>
      <c r="AJ96" s="96" t="n">
        <f aca="false">IF(AE96="","",E96-AI96)</f>
        <v>9.51549721029421</v>
      </c>
      <c r="AK96" s="95" t="n">
        <f aca="false">IF(AE96="","",IF(ISNUMBER(AH96),IF(AH96&gt;0,AJ96/AH96,""),""))</f>
        <v>0.46476941027631</v>
      </c>
      <c r="AL96" s="43" t="str">
        <f aca="false">IF(AK96="","-",IF(AK96&gt;=설정!$C$6,"Cheap",IF(AK96&lt;=-설정!$C$6,"Rich","Fair")))</f>
        <v>Fair</v>
      </c>
      <c r="AM96" s="96" t="n">
        <f aca="false">IF(AE96="","",AJ96-AVERAGEIFS($AJ$2:$AJ$601,$B$2:$B$601,B96,$Y$2:$Y$601,1))</f>
        <v>0</v>
      </c>
      <c r="AN96" s="93" t="n">
        <f aca="false">IF(AE96="",0,IF(K96&gt;1+설정!$C$8,AG96*(AA96-LN(K96-1)),0))</f>
        <v>4.1309183229989</v>
      </c>
      <c r="AO96" s="99" t="n">
        <f aca="false">IF($A96="",0,SUMIFS(보유분석!$AA$2:$AA$801,보유분석!$AB$2:$AB$801,ROW(),보유분석!$AC$2:$AC$801,1))</f>
        <v>4.750755</v>
      </c>
      <c r="AP96" s="43" t="str">
        <f aca="false">IF($A96="","",TRIM(IF(R96=1,"FRN ","")&amp;IF(IFERROR(VLOOKUP(M96,설정!$A$15:$D$47,4,0),0)&gt;=10,IF(IFERROR(VLOOKUP(M96,설정!$A$15:$D$47,4,0),0)&lt;99,"BBB0미만 ",""),"")&amp;IF(OR(M96="",M96="NR"),"등급미입력 ","")&amp;IF(C96&lt;&gt;"USD","비USD ","")))</f>
        <v/>
      </c>
      <c r="AQ96" s="90" t="n">
        <f aca="false">IF(AND(Y96=1,AL96="Cheap"),IF(AND(ISERROR(SEARCH("FRN",AP96)),ISERROR(SEARCH("BBB0미만",AP96))),AK96+ROW()/1000000000,-999),-999)</f>
        <v>-999</v>
      </c>
      <c r="AR96" s="92" t="n">
        <f aca="false">IF(AND(ISNUMBER(D96),ISNUMBER(K96)),D96+AN96*MAX(K96-1,0)/100,"")</f>
        <v>5.90054877626759</v>
      </c>
      <c r="AS96" s="93" t="n">
        <f aca="false">IF(AND(ISNUMBER(E96),ISNUMBER(K96)),IF(K96&gt;0,(E96+AN96*MAX(K96-1,0))/K96,""),"")</f>
        <v>23.2431632323469</v>
      </c>
      <c r="AT96" s="90" t="n">
        <f aca="false">IFERROR(IF(AND(Y96=1,ROW()&lt;&gt;스왑분석!$C$12+1,ABS(K96-INDEX($K$2:$K$601,스왑분석!$C$12))&lt;=스왑분석!$C$5,ISERROR(SEARCH("FRN",AP96)),ISERROR(SEARCH("BBB0미만",AP96))),IF(AND(OR(스왑분석!$C$6="N",L96=INDEX($L$2:$L$601,스왑분석!$C$12)),OR(스왑분석!$C$7="N",N96=INDEX($N$2:$N$601,스왑분석!$C$12)),OR(스왑분석!$C$8="N",AO96=0),E96-INDEX($E$2:$E$601,스왑분석!$C$12)&gt;=스왑분석!$C$9),E96-INDEX($E$2:$E$601,스왑분석!$C$12)+ROW()/1000000000,-999),-999),-999)</f>
        <v>30.062000096</v>
      </c>
      <c r="AU96" s="90" t="n">
        <f aca="false">IF(AND(Y96=1,AO96&gt;0,AL96="Rich"),-AK96+ROW()/1000000000,-999)</f>
        <v>-999</v>
      </c>
    </row>
    <row r="97" customFormat="false" ht="15" hidden="false" customHeight="false" outlineLevel="0" collapsed="false">
      <c r="A97" s="83" t="str">
        <f aca="false">IFERROR(IF(INDEX(원자료_시장!$A$1:$BZ$1000,설정!$L$6+ROW()-1,설정!$L$24)&amp;""="0","",INDEX(원자료_시장!$A$1:$BZ$1000,설정!$L$6+ROW()-1,설정!$L$24)),"")</f>
        <v>MIZUHO 5.382 07/10/30</v>
      </c>
      <c r="B97" s="83" t="str">
        <f aca="false">IFERROR(IF(INDEX(원자료_시장!$A$1:$BZ$1000,설정!$L$6+ROW()-1,설정!$L$37)&amp;""="0","",INDEX(원자료_시장!$A$1:$BZ$1000,설정!$L$6+ROW()-1,설정!$L$37)),"")</f>
        <v>MIZUHO FINANCIAL GROUP</v>
      </c>
      <c r="C97" s="83" t="str">
        <f aca="false">IFERROR(IF(INDEX(원자료_시장!$A$1:$BZ$1000,설정!$L$6+ROW()-1,설정!$L$25)&amp;""="0","",INDEX(원자료_시장!$A$1:$BZ$1000,설정!$L$6+ROW()-1,설정!$L$25)),"")</f>
        <v>USD</v>
      </c>
      <c r="D97" s="85" t="n">
        <f aca="false">IFERROR(IF(ISNUMBER(INDEX(원자료_시장!$A$1:$BZ$1000,설정!$L$6+ROW()-1,설정!$L$26)),INDEX(원자료_시장!$A$1:$BZ$1000,설정!$L$6+ROW()-1,설정!$L$26),""),"")</f>
        <v>5.617</v>
      </c>
      <c r="E97" s="97" t="n">
        <f aca="false">IFERROR(IF(ISNUMBER(INDEX(원자료_시장!$A$1:$BZ$1000,설정!$L$6+ROW()-1,설정!$L$27)),INDEX(원자료_시장!$A$1:$BZ$1000,설정!$L$6+ROW()-1,설정!$L$27),""),"")</f>
        <v>61.583</v>
      </c>
      <c r="F97" s="97" t="n">
        <f aca="false">IFERROR(IF(ISNUMBER(INDEX(원자료_시장!$A$1:$BZ$1000,설정!$L$6+ROW()-1,설정!$L$28)),INDEX(원자료_시장!$A$1:$BZ$1000,설정!$L$6+ROW()-1,설정!$L$28),""),"")</f>
        <v>89.007</v>
      </c>
      <c r="G97" s="97" t="n">
        <f aca="false">IFERROR(IF(ISNUMBER(INDEX(원자료_시장!$A$1:$BZ$1000,설정!$L$6+ROW()-1,설정!$L$29)),INDEX(원자료_시장!$A$1:$BZ$1000,설정!$L$6+ROW()-1,설정!$L$29),""),"")</f>
        <v>-2.3</v>
      </c>
      <c r="H97" s="97" t="n">
        <f aca="false">IFERROR(IF(ISNUMBER(INDEX(원자료_시장!$A$1:$BZ$1000,설정!$L$6+ROW()-1,설정!$L$30)),INDEX(원자료_시장!$A$1:$BZ$1000,설정!$L$6+ROW()-1,설정!$L$30),""),"")</f>
        <v>5.9</v>
      </c>
      <c r="I97" s="97" t="n">
        <f aca="false">IFERROR(IF(ISNUMBER(INDEX(원자료_시장!$A$1:$BZ$1000,설정!$L$6+ROW()-1,설정!$L$31)),INDEX(원자료_시장!$A$1:$BZ$1000,설정!$L$6+ROW()-1,설정!$L$31),""),"")</f>
        <v>-3</v>
      </c>
      <c r="J97" s="97" t="n">
        <f aca="false">IFERROR(IF(ISNUMBER(INDEX(원자료_시장!$A$1:$BZ$1000,설정!$L$6+ROW()-1,설정!$L$32)),INDEX(원자료_시장!$A$1:$BZ$1000,설정!$L$6+ROW()-1,설정!$L$32),""),"")</f>
        <v>-6.4</v>
      </c>
      <c r="K97" s="85" t="n">
        <f aca="false">IFERROR(IF(ISNUMBER(INDEX(원자료_시장!$A$1:$BZ$1000,설정!$L$6+ROW()-1,설정!$L$33)),INDEX(원자료_시장!$A$1:$BZ$1000,설정!$L$6+ROW()-1,설정!$L$33),""),"")</f>
        <v>2.582</v>
      </c>
      <c r="L97" s="83" t="str">
        <f aca="false">IFERROR(IF(INDEX(원자료_시장!$A$1:$BZ$1000,설정!$L$6+ROW()-1,설정!$L$34)&amp;""="0","",INDEX(원자료_시장!$A$1:$BZ$1000,설정!$L$6+ROW()-1,설정!$L$34)),"")</f>
        <v>금융기관</v>
      </c>
      <c r="M97" s="83" t="str">
        <f aca="false">IFERROR(IF(INDEX(원자료_시장!$A$1:$BZ$1000,설정!$L$6+ROW()-1,설정!$L$35)&amp;""="0","",INDEX(원자료_시장!$A$1:$BZ$1000,설정!$L$6+ROW()-1,설정!$L$35)),"")</f>
        <v>A-</v>
      </c>
      <c r="N97" s="83" t="str">
        <f aca="false">IFERROR(IF(INDEX(원자료_시장!$A$1:$BZ$1000,설정!$L$6+ROW()-1,설정!$L$36)&amp;""="0","",INDEX(원자료_시장!$A$1:$BZ$1000,설정!$L$6+ROW()-1,설정!$L$36)),"")</f>
        <v>아시아/기타</v>
      </c>
      <c r="O97" s="43" t="str">
        <f aca="false">IF($A97="","",UPPER(LEFT($A97,FIND(" ",$A97&amp;" ")-1)))</f>
        <v>MIZUHO</v>
      </c>
      <c r="P97" s="43" t="str">
        <f aca="false">IF($A97="","",TRIM(RIGHT(SUBSTITUTE(TRIM($A97)," ",REPT(" ",30)),30)))</f>
        <v>07/10/30</v>
      </c>
      <c r="Q97" s="98" t="n">
        <f aca="false">IF($A97="","",IFERROR(DATE(IF(LEN(P97)=8,2000+VALUE(RIGHT(P97,2)),VALUE(RIGHT(P97,4))),VALUE(LEFT(P97,2)),VALUE(MID(P97,4,2))),""))</f>
        <v>47674</v>
      </c>
      <c r="R97" s="89" t="n">
        <f aca="false">IF($A97="",0,IF(ISNUMBER(SEARCH("Float",$A97)),1,0))</f>
        <v>0</v>
      </c>
      <c r="S97" s="43" t="str">
        <f aca="false">IF($A97="","",TRIM(MID($A97,LEN(O97)+2,LEN($A97)-LEN(O97)-LEN(P97)-1)))</f>
        <v>5.382</v>
      </c>
      <c r="T97" s="92" t="n">
        <f aca="false">IF(OR($A97="",R97=1),"",IFERROR(IF(ISNUMBER(FIND("/",S97)),IF(ISNUMBER(FIND(" ",S97)),VALUE(LEFT(S97,FIND(" ",S97)-1))+VALUE(MID(S97,FIND(" ",S97)+1,FIND("/",S97)-FIND(" ",S97)-1))/VALUE(MID(S97,FIND("/",S97)+1,9)),VALUE(LEFT(S97,FIND("/",S97)-1))/VALUE(MID(S97,FIND("/",S97)+1,9))),VALUE(S97)),""))</f>
        <v>5.382</v>
      </c>
      <c r="U97" s="43" t="str">
        <f aca="false">IF(OR($A97="",NOT(ISNUMBER(Q97))),"",TEXT(Q97,"yyyymmdd")&amp;"|"&amp;IF(R97=1,"F",TEXT(T97,"0.000")))</f>
        <v>20300710|5.382</v>
      </c>
      <c r="V97" s="43" t="str">
        <f aca="false">IF(U97="","",O97&amp;"|"&amp;U97)</f>
        <v>MIZUHO|20300710|5.382</v>
      </c>
      <c r="W97" s="43" t="str">
        <f aca="false">IF($A97="","",IFERROR(IF(VLOOKUP(O97,매핑!$A$4:$E$92,3,0)="","미분류",VLOOKUP(O97,매핑!$A$4:$E$92,3,0)),"미분류"))</f>
        <v>일본</v>
      </c>
      <c r="X97" s="89" t="n">
        <f aca="false">IF($A97="",0,IF(O97="T",1,0))</f>
        <v>0</v>
      </c>
      <c r="Y97" s="89" t="n">
        <f aca="false">IF($A97="",0,IF(AND(C97="USD",X97=0,ISNUMBER(E97),ISNUMBER(K97)),IF(K97&gt;=설정!$C$8,1,0),0))</f>
        <v>1</v>
      </c>
      <c r="Z97" s="43" t="str">
        <f aca="false">IF($A97="","",N97&amp;"|"&amp;L97)</f>
        <v>아시아/기타|금융기관</v>
      </c>
      <c r="AA97" s="92" t="n">
        <f aca="false">IF(Y97=1,LN(K97),0)</f>
        <v>0.948564292424451</v>
      </c>
      <c r="AB97" s="93" t="n">
        <f aca="false">IF(Y97=1,E97,0)</f>
        <v>61.583</v>
      </c>
      <c r="AC97" s="89" t="n">
        <f aca="false">IF(Y97=1,COUNTIFS($Z$2:$Z$601,Z97,$Y$2:$Y$601,1),0)</f>
        <v>42</v>
      </c>
      <c r="AD97" s="89" t="n">
        <f aca="false">IF(Y97=1,COUNTIFS($N$2:$N$601,N97,$Y$2:$Y$601,1),0)</f>
        <v>137</v>
      </c>
      <c r="AE97" s="43" t="str">
        <f aca="false">IF(Y97&lt;&gt;1,"",IF(AND(AC97&gt;=설정!$C$7,ISNUMBER(MATCH(Z97,피어커브!$A:$A,0))),Z97,IF(AND(AD97&gt;=설정!$C$7,ISNUMBER(MATCH(N97&amp;"|전체",피어커브!$A:$A,0))),N97&amp;"|전체","전체|전체")))</f>
        <v>아시아/기타|금융기관</v>
      </c>
      <c r="AF97" s="93" t="n">
        <f aca="false">IF(AE97="","",INDEX(피어커브!$K:$K,MATCH(AE97,피어커브!$A:$A,0)))</f>
        <v>50.117430292991</v>
      </c>
      <c r="AG97" s="93" t="n">
        <f aca="false">IF(AE97="","",INDEX(피어커브!$J:$J,MATCH(AE97,피어커브!$A:$A,0)))</f>
        <v>13.9183160321618</v>
      </c>
      <c r="AH97" s="93" t="n">
        <f aca="false">IF(AE97="","",INDEX(피어커브!$L:$L,MATCH(AE97,피어커브!$A:$A,0)))</f>
        <v>20.4735875466442</v>
      </c>
      <c r="AI97" s="93" t="n">
        <f aca="false">IF(AE97="","",AF97+AG97*AA97)</f>
        <v>63.3198478917785</v>
      </c>
      <c r="AJ97" s="96" t="n">
        <f aca="false">IF(AE97="","",E97-AI97)</f>
        <v>-1.73684789177848</v>
      </c>
      <c r="AK97" s="95" t="n">
        <f aca="false">IF(AE97="","",IF(ISNUMBER(AH97),IF(AH97&gt;0,AJ97/AH97,""),""))</f>
        <v>-0.0848335880471115</v>
      </c>
      <c r="AL97" s="43" t="str">
        <f aca="false">IF(AK97="","-",IF(AK97&gt;=설정!$C$6,"Cheap",IF(AK97&lt;=-설정!$C$6,"Rich","Fair")))</f>
        <v>Fair</v>
      </c>
      <c r="AM97" s="96" t="n">
        <f aca="false">IF(AE97="","",AJ97-AVERAGEIFS($AJ$2:$AJ$601,$B$2:$B$601,B97,$Y$2:$Y$601,1))</f>
        <v>-0.469633716927852</v>
      </c>
      <c r="AN97" s="93" t="n">
        <f aca="false">IF(AE97="",0,IF(K97&gt;1+설정!$C$8,AG97*(AA97-LN(K97-1)),0))</f>
        <v>6.81822703648631</v>
      </c>
      <c r="AO97" s="99" t="n">
        <f aca="false">IF($A97="",0,SUMIFS(보유분석!$AA$2:$AA$801,보유분석!$AB$2:$AB$801,ROW(),보유분석!$AC$2:$AC$801,1))</f>
        <v>0</v>
      </c>
      <c r="AP97" s="43" t="str">
        <f aca="false">IF($A97="","",TRIM(IF(R97=1,"FRN ","")&amp;IF(IFERROR(VLOOKUP(M97,설정!$A$15:$D$47,4,0),0)&gt;=10,IF(IFERROR(VLOOKUP(M97,설정!$A$15:$D$47,4,0),0)&lt;99,"BBB0미만 ",""),"")&amp;IF(OR(M97="",M97="NR"),"등급미입력 ","")&amp;IF(C97&lt;&gt;"USD","비USD ","")))</f>
        <v/>
      </c>
      <c r="AQ97" s="90" t="n">
        <f aca="false">IF(AND(Y97=1,AL97="Cheap"),IF(AND(ISERROR(SEARCH("FRN",AP97)),ISERROR(SEARCH("BBB0미만",AP97))),AK97+ROW()/1000000000,-999),-999)</f>
        <v>-999</v>
      </c>
      <c r="AR97" s="92" t="n">
        <f aca="false">IF(AND(ISNUMBER(D97),ISNUMBER(K97)),D97+AN97*MAX(K97-1,0)/100,"")</f>
        <v>5.72486435171721</v>
      </c>
      <c r="AS97" s="93" t="n">
        <f aca="false">IF(AND(ISNUMBER(E97),ISNUMBER(K97)),IF(K97&gt;0,(E97+AN97*MAX(K97-1,0))/K97,""),"")</f>
        <v>28.0284411974134</v>
      </c>
      <c r="AT97" s="90" t="n">
        <f aca="false">IFERROR(IF(AND(Y97=1,ROW()&lt;&gt;스왑분석!$C$12+1,ABS(K97-INDEX($K$2:$K$601,스왑분석!$C$12))&lt;=스왑분석!$C$5,ISERROR(SEARCH("FRN",AP97)),ISERROR(SEARCH("BBB0미만",AP97))),IF(AND(OR(스왑분석!$C$6="N",L97=INDEX($L$2:$L$601,스왑분석!$C$12)),OR(스왑분석!$C$7="N",N97=INDEX($N$2:$N$601,스왑분석!$C$12)),OR(스왑분석!$C$8="N",AO97=0),E97-INDEX($E$2:$E$601,스왑분석!$C$12)&gt;=스왑분석!$C$9),E97-INDEX($E$2:$E$601,스왑분석!$C$12)+ROW()/1000000000,-999),-999),-999)</f>
        <v>13.091000097</v>
      </c>
      <c r="AU97" s="90" t="n">
        <f aca="false">IF(AND(Y97=1,AO97&gt;0,AL97="Rich"),-AK97+ROW()/1000000000,-999)</f>
        <v>-999</v>
      </c>
    </row>
    <row r="98" customFormat="false" ht="15" hidden="false" customHeight="false" outlineLevel="0" collapsed="false">
      <c r="A98" s="83" t="str">
        <f aca="false">IFERROR(IF(INDEX(원자료_시장!$A$1:$BZ$1000,설정!$L$6+ROW()-1,설정!$L$24)&amp;""="0","",INDEX(원자료_시장!$A$1:$BZ$1000,설정!$L$6+ROW()-1,설정!$L$24)),"")</f>
        <v>MIZUHO 4.711 07/08/31</v>
      </c>
      <c r="B98" s="83" t="str">
        <f aca="false">IFERROR(IF(INDEX(원자료_시장!$A$1:$BZ$1000,설정!$L$6+ROW()-1,설정!$L$37)&amp;""="0","",INDEX(원자료_시장!$A$1:$BZ$1000,설정!$L$6+ROW()-1,설정!$L$37)),"")</f>
        <v>MIZUHO FINANCIAL GROUP</v>
      </c>
      <c r="C98" s="83" t="str">
        <f aca="false">IFERROR(IF(INDEX(원자료_시장!$A$1:$BZ$1000,설정!$L$6+ROW()-1,설정!$L$25)&amp;""="0","",INDEX(원자료_시장!$A$1:$BZ$1000,설정!$L$6+ROW()-1,설정!$L$25)),"")</f>
        <v>USD</v>
      </c>
      <c r="D98" s="85" t="n">
        <f aca="false">IFERROR(IF(ISNUMBER(INDEX(원자료_시장!$A$1:$BZ$1000,설정!$L$6+ROW()-1,설정!$L$26)),INDEX(원자료_시장!$A$1:$BZ$1000,설정!$L$6+ROW()-1,설정!$L$26),""),"")</f>
        <v>5.696</v>
      </c>
      <c r="E98" s="97" t="n">
        <f aca="false">IFERROR(IF(ISNUMBER(INDEX(원자료_시장!$A$1:$BZ$1000,설정!$L$6+ROW()-1,설정!$L$27)),INDEX(원자료_시장!$A$1:$BZ$1000,설정!$L$6+ROW()-1,설정!$L$27),""),"")</f>
        <v>66.564</v>
      </c>
      <c r="F98" s="97" t="n">
        <f aca="false">IFERROR(IF(ISNUMBER(INDEX(원자료_시장!$A$1:$BZ$1000,설정!$L$6+ROW()-1,설정!$L$28)),INDEX(원자료_시장!$A$1:$BZ$1000,설정!$L$6+ROW()-1,설정!$L$28),""),"")</f>
        <v>100.913</v>
      </c>
      <c r="G98" s="97" t="n">
        <f aca="false">IFERROR(IF(ISNUMBER(INDEX(원자료_시장!$A$1:$BZ$1000,설정!$L$6+ROW()-1,설정!$L$29)),INDEX(원자료_시장!$A$1:$BZ$1000,설정!$L$6+ROW()-1,설정!$L$29),""),"")</f>
        <v>-1.7</v>
      </c>
      <c r="H98" s="97" t="n">
        <f aca="false">IFERROR(IF(ISNUMBER(INDEX(원자료_시장!$A$1:$BZ$1000,설정!$L$6+ROW()-1,설정!$L$30)),INDEX(원자료_시장!$A$1:$BZ$1000,설정!$L$6+ROW()-1,설정!$L$30),""),"")</f>
        <v>4.8</v>
      </c>
      <c r="I98" s="97" t="n">
        <f aca="false">IFERROR(IF(ISNUMBER(INDEX(원자료_시장!$A$1:$BZ$1000,설정!$L$6+ROW()-1,설정!$L$31)),INDEX(원자료_시장!$A$1:$BZ$1000,설정!$L$6+ROW()-1,설정!$L$31),""),"")</f>
        <v>-0.8</v>
      </c>
      <c r="J98" s="97" t="n">
        <f aca="false">IFERROR(IF(ISNUMBER(INDEX(원자료_시장!$A$1:$BZ$1000,설정!$L$6+ROW()-1,설정!$L$32)),INDEX(원자료_시장!$A$1:$BZ$1000,설정!$L$6+ROW()-1,설정!$L$32),""),"")</f>
        <v>-4.3</v>
      </c>
      <c r="K98" s="85" t="n">
        <f aca="false">IFERROR(IF(ISNUMBER(INDEX(원자료_시장!$A$1:$BZ$1000,설정!$L$6+ROW()-1,설정!$L$33)),INDEX(원자료_시장!$A$1:$BZ$1000,설정!$L$6+ROW()-1,설정!$L$33),""),"")</f>
        <v>3.452</v>
      </c>
      <c r="L98" s="83" t="str">
        <f aca="false">IFERROR(IF(INDEX(원자료_시장!$A$1:$BZ$1000,설정!$L$6+ROW()-1,설정!$L$34)&amp;""="0","",INDEX(원자료_시장!$A$1:$BZ$1000,설정!$L$6+ROW()-1,설정!$L$34)),"")</f>
        <v>금융기관</v>
      </c>
      <c r="M98" s="83" t="str">
        <f aca="false">IFERROR(IF(INDEX(원자료_시장!$A$1:$BZ$1000,설정!$L$6+ROW()-1,설정!$L$35)&amp;""="0","",INDEX(원자료_시장!$A$1:$BZ$1000,설정!$L$6+ROW()-1,설정!$L$35)),"")</f>
        <v>A-</v>
      </c>
      <c r="N98" s="83" t="str">
        <f aca="false">IFERROR(IF(INDEX(원자료_시장!$A$1:$BZ$1000,설정!$L$6+ROW()-1,설정!$L$36)&amp;""="0","",INDEX(원자료_시장!$A$1:$BZ$1000,설정!$L$6+ROW()-1,설정!$L$36)),"")</f>
        <v>아시아/기타</v>
      </c>
      <c r="O98" s="43" t="str">
        <f aca="false">IF($A98="","",UPPER(LEFT($A98,FIND(" ",$A98&amp;" ")-1)))</f>
        <v>MIZUHO</v>
      </c>
      <c r="P98" s="43" t="str">
        <f aca="false">IF($A98="","",TRIM(RIGHT(SUBSTITUTE(TRIM($A98)," ",REPT(" ",30)),30)))</f>
        <v>07/08/31</v>
      </c>
      <c r="Q98" s="98" t="n">
        <f aca="false">IF($A98="","",IFERROR(DATE(IF(LEN(P98)=8,2000+VALUE(RIGHT(P98,2)),VALUE(RIGHT(P98,4))),VALUE(LEFT(P98,2)),VALUE(MID(P98,4,2))),""))</f>
        <v>48037</v>
      </c>
      <c r="R98" s="89" t="n">
        <f aca="false">IF($A98="",0,IF(ISNUMBER(SEARCH("Float",$A98)),1,0))</f>
        <v>0</v>
      </c>
      <c r="S98" s="43" t="str">
        <f aca="false">IF($A98="","",TRIM(MID($A98,LEN(O98)+2,LEN($A98)-LEN(O98)-LEN(P98)-1)))</f>
        <v>4.711</v>
      </c>
      <c r="T98" s="92" t="n">
        <f aca="false">IF(OR($A98="",R98=1),"",IFERROR(IF(ISNUMBER(FIND("/",S98)),IF(ISNUMBER(FIND(" ",S98)),VALUE(LEFT(S98,FIND(" ",S98)-1))+VALUE(MID(S98,FIND(" ",S98)+1,FIND("/",S98)-FIND(" ",S98)-1))/VALUE(MID(S98,FIND("/",S98)+1,9)),VALUE(LEFT(S98,FIND("/",S98)-1))/VALUE(MID(S98,FIND("/",S98)+1,9))),VALUE(S98)),""))</f>
        <v>4.711</v>
      </c>
      <c r="U98" s="43" t="str">
        <f aca="false">IF(OR($A98="",NOT(ISNUMBER(Q98))),"",TEXT(Q98,"yyyymmdd")&amp;"|"&amp;IF(R98=1,"F",TEXT(T98,"0.000")))</f>
        <v>20310708|4.711</v>
      </c>
      <c r="V98" s="43" t="str">
        <f aca="false">IF(U98="","",O98&amp;"|"&amp;U98)</f>
        <v>MIZUHO|20310708|4.711</v>
      </c>
      <c r="W98" s="43" t="str">
        <f aca="false">IF($A98="","",IFERROR(IF(VLOOKUP(O98,매핑!$A$4:$E$92,3,0)="","미분류",VLOOKUP(O98,매핑!$A$4:$E$92,3,0)),"미분류"))</f>
        <v>일본</v>
      </c>
      <c r="X98" s="89" t="n">
        <f aca="false">IF($A98="",0,IF(O98="T",1,0))</f>
        <v>0</v>
      </c>
      <c r="Y98" s="89" t="n">
        <f aca="false">IF($A98="",0,IF(AND(C98="USD",X98=0,ISNUMBER(E98),ISNUMBER(K98)),IF(K98&gt;=설정!$C$8,1,0),0))</f>
        <v>1</v>
      </c>
      <c r="Z98" s="43" t="str">
        <f aca="false">IF($A98="","",N98&amp;"|"&amp;L98)</f>
        <v>아시아/기타|금융기관</v>
      </c>
      <c r="AA98" s="92" t="n">
        <f aca="false">IF(Y98=1,LN(K98),0)</f>
        <v>1.23895377322118</v>
      </c>
      <c r="AB98" s="93" t="n">
        <f aca="false">IF(Y98=1,E98,0)</f>
        <v>66.564</v>
      </c>
      <c r="AC98" s="89" t="n">
        <f aca="false">IF(Y98=1,COUNTIFS($Z$2:$Z$601,Z98,$Y$2:$Y$601,1),0)</f>
        <v>42</v>
      </c>
      <c r="AD98" s="89" t="n">
        <f aca="false">IF(Y98=1,COUNTIFS($N$2:$N$601,N98,$Y$2:$Y$601,1),0)</f>
        <v>137</v>
      </c>
      <c r="AE98" s="43" t="str">
        <f aca="false">IF(Y98&lt;&gt;1,"",IF(AND(AC98&gt;=설정!$C$7,ISNUMBER(MATCH(Z98,피어커브!$A:$A,0))),Z98,IF(AND(AD98&gt;=설정!$C$7,ISNUMBER(MATCH(N98&amp;"|전체",피어커브!$A:$A,0))),N98&amp;"|전체","전체|전체")))</f>
        <v>아시아/기타|금융기관</v>
      </c>
      <c r="AF98" s="93" t="n">
        <f aca="false">IF(AE98="","",INDEX(피어커브!$K:$K,MATCH(AE98,피어커브!$A:$A,0)))</f>
        <v>50.117430292991</v>
      </c>
      <c r="AG98" s="93" t="n">
        <f aca="false">IF(AE98="","",INDEX(피어커브!$J:$J,MATCH(AE98,피어커브!$A:$A,0)))</f>
        <v>13.9183160321618</v>
      </c>
      <c r="AH98" s="93" t="n">
        <f aca="false">IF(AE98="","",INDEX(피어커브!$L:$L,MATCH(AE98,피어커브!$A:$A,0)))</f>
        <v>20.4735875466442</v>
      </c>
      <c r="AI98" s="93" t="n">
        <f aca="false">IF(AE98="","",AF98+AG98*AA98)</f>
        <v>67.3615804579228</v>
      </c>
      <c r="AJ98" s="96" t="n">
        <f aca="false">IF(AE98="","",E98-AI98)</f>
        <v>-0.797580457922777</v>
      </c>
      <c r="AK98" s="95" t="n">
        <f aca="false">IF(AE98="","",IF(ISNUMBER(AH98),IF(AH98&gt;0,AJ98/AH98,""),""))</f>
        <v>-0.0389565559092016</v>
      </c>
      <c r="AL98" s="43" t="str">
        <f aca="false">IF(AK98="","-",IF(AK98&gt;=설정!$C$6,"Cheap",IF(AK98&lt;=-설정!$C$6,"Rich","Fair")))</f>
        <v>Fair</v>
      </c>
      <c r="AM98" s="96" t="n">
        <f aca="false">IF(AE98="","",AJ98-AVERAGEIFS($AJ$2:$AJ$601,$B$2:$B$601,B98,$Y$2:$Y$601,1))</f>
        <v>0.469633716927852</v>
      </c>
      <c r="AN98" s="93" t="n">
        <f aca="false">IF(AE98="",0,IF(K98&gt;1+설정!$C$8,AG98*(AA98-LN(K98-1)),0))</f>
        <v>4.76075659086253</v>
      </c>
      <c r="AO98" s="99" t="n">
        <f aca="false">IF($A98="",0,SUMIFS(보유분석!$AA$2:$AA$801,보유분석!$AB$2:$AB$801,ROW(),보유분석!$AC$2:$AC$801,1))</f>
        <v>0.966183</v>
      </c>
      <c r="AP98" s="43" t="str">
        <f aca="false">IF($A98="","",TRIM(IF(R98=1,"FRN ","")&amp;IF(IFERROR(VLOOKUP(M98,설정!$A$15:$D$47,4,0),0)&gt;=10,IF(IFERROR(VLOOKUP(M98,설정!$A$15:$D$47,4,0),0)&lt;99,"BBB0미만 ",""),"")&amp;IF(OR(M98="",M98="NR"),"등급미입력 ","")&amp;IF(C98&lt;&gt;"USD","비USD ","")))</f>
        <v/>
      </c>
      <c r="AQ98" s="90" t="n">
        <f aca="false">IF(AND(Y98=1,AL98="Cheap"),IF(AND(ISERROR(SEARCH("FRN",AP98)),ISERROR(SEARCH("BBB0미만",AP98))),AK98+ROW()/1000000000,-999),-999)</f>
        <v>-999</v>
      </c>
      <c r="AR98" s="92" t="n">
        <f aca="false">IF(AND(ISNUMBER(D98),ISNUMBER(K98)),D98+AN98*MAX(K98-1,0)/100,"")</f>
        <v>5.81273375160795</v>
      </c>
      <c r="AS98" s="93" t="n">
        <f aca="false">IF(AND(ISNUMBER(E98),ISNUMBER(K98)),IF(K98&gt;0,(E98+AN98*MAX(K98-1,0))/K98,""),"")</f>
        <v>22.6643612864412</v>
      </c>
      <c r="AT98" s="90" t="n">
        <f aca="false">IFERROR(IF(AND(Y98=1,ROW()&lt;&gt;스왑분석!$C$12+1,ABS(K98-INDEX($K$2:$K$601,스왑분석!$C$12))&lt;=스왑분석!$C$5,ISERROR(SEARCH("FRN",AP98)),ISERROR(SEARCH("BBB0미만",AP98))),IF(AND(OR(스왑분석!$C$6="N",L98=INDEX($L$2:$L$601,스왑분석!$C$12)),OR(스왑분석!$C$7="N",N98=INDEX($N$2:$N$601,스왑분석!$C$12)),OR(스왑분석!$C$8="N",AO98=0),E98-INDEX($E$2:$E$601,스왑분석!$C$12)&gt;=스왑분석!$C$9),E98-INDEX($E$2:$E$601,스왑분석!$C$12)+ROW()/1000000000,-999),-999),-999)</f>
        <v>18.072000098</v>
      </c>
      <c r="AU98" s="90" t="n">
        <f aca="false">IF(AND(Y98=1,AO98&gt;0,AL98="Rich"),-AK98+ROW()/1000000000,-999)</f>
        <v>-999</v>
      </c>
    </row>
    <row r="99" customFormat="false" ht="15" hidden="false" customHeight="false" outlineLevel="0" collapsed="false">
      <c r="A99" s="83" t="str">
        <f aca="false">IFERROR(IF(INDEX(원자료_시장!$A$1:$BZ$1000,설정!$L$6+ROW()-1,설정!$L$24)&amp;""="0","",INDEX(원자료_시장!$A$1:$BZ$1000,설정!$L$6+ROW()-1,설정!$L$24)),"")</f>
        <v>MS 4.994 04/12/29</v>
      </c>
      <c r="B99" s="83" t="str">
        <f aca="false">IFERROR(IF(INDEX(원자료_시장!$A$1:$BZ$1000,설정!$L$6+ROW()-1,설정!$L$37)&amp;""="0","",INDEX(원자료_시장!$A$1:$BZ$1000,설정!$L$6+ROW()-1,설정!$L$37)),"")</f>
        <v>MORGAN STANLEY</v>
      </c>
      <c r="C99" s="83" t="str">
        <f aca="false">IFERROR(IF(INDEX(원자료_시장!$A$1:$BZ$1000,설정!$L$6+ROW()-1,설정!$L$25)&amp;""="0","",INDEX(원자료_시장!$A$1:$BZ$1000,설정!$L$6+ROW()-1,설정!$L$25)),"")</f>
        <v>USD</v>
      </c>
      <c r="D99" s="85" t="n">
        <f aca="false">IFERROR(IF(ISNUMBER(INDEX(원자료_시장!$A$1:$BZ$1000,설정!$L$6+ROW()-1,설정!$L$26)),INDEX(원자료_시장!$A$1:$BZ$1000,설정!$L$6+ROW()-1,설정!$L$26),""),"")</f>
        <v>5.365</v>
      </c>
      <c r="E99" s="97" t="n">
        <f aca="false">IFERROR(IF(ISNUMBER(INDEX(원자료_시장!$A$1:$BZ$1000,설정!$L$6+ROW()-1,설정!$L$27)),INDEX(원자료_시장!$A$1:$BZ$1000,설정!$L$6+ROW()-1,설정!$L$27),""),"")</f>
        <v>51.913</v>
      </c>
      <c r="F99" s="97" t="n">
        <f aca="false">IFERROR(IF(ISNUMBER(INDEX(원자료_시장!$A$1:$BZ$1000,설정!$L$6+ROW()-1,설정!$L$28)),INDEX(원자료_시장!$A$1:$BZ$1000,설정!$L$6+ROW()-1,설정!$L$28),""),"")</f>
        <v>78.994</v>
      </c>
      <c r="G99" s="97" t="n">
        <f aca="false">IFERROR(IF(ISNUMBER(INDEX(원자료_시장!$A$1:$BZ$1000,설정!$L$6+ROW()-1,설정!$L$29)),INDEX(원자료_시장!$A$1:$BZ$1000,설정!$L$6+ROW()-1,설정!$L$29),""),"")</f>
        <v>0.1</v>
      </c>
      <c r="H99" s="97" t="n">
        <f aca="false">IFERROR(IF(ISNUMBER(INDEX(원자료_시장!$A$1:$BZ$1000,설정!$L$6+ROW()-1,설정!$L$30)),INDEX(원자료_시장!$A$1:$BZ$1000,설정!$L$6+ROW()-1,설정!$L$30),""),"")</f>
        <v>7.5</v>
      </c>
      <c r="I99" s="97" t="n">
        <f aca="false">IFERROR(IF(ISNUMBER(INDEX(원자료_시장!$A$1:$BZ$1000,설정!$L$6+ROW()-1,설정!$L$31)),INDEX(원자료_시장!$A$1:$BZ$1000,설정!$L$6+ROW()-1,설정!$L$31),""),"")</f>
        <v>-6.2</v>
      </c>
      <c r="J99" s="97" t="n">
        <f aca="false">IFERROR(IF(ISNUMBER(INDEX(원자료_시장!$A$1:$BZ$1000,설정!$L$6+ROW()-1,설정!$L$32)),INDEX(원자료_시장!$A$1:$BZ$1000,설정!$L$6+ROW()-1,설정!$L$32),""),"")</f>
        <v>-17</v>
      </c>
      <c r="K99" s="85" t="n">
        <f aca="false">IFERROR(IF(ISNUMBER(INDEX(원자료_시장!$A$1:$BZ$1000,설정!$L$6+ROW()-1,설정!$L$33)),INDEX(원자료_시장!$A$1:$BZ$1000,설정!$L$6+ROW()-1,설정!$L$33),""),"")</f>
        <v>1.456</v>
      </c>
      <c r="L99" s="83" t="str">
        <f aca="false">IFERROR(IF(INDEX(원자료_시장!$A$1:$BZ$1000,설정!$L$6+ROW()-1,설정!$L$34)&amp;""="0","",INDEX(원자료_시장!$A$1:$BZ$1000,설정!$L$6+ROW()-1,설정!$L$34)),"")</f>
        <v>금융기관</v>
      </c>
      <c r="M99" s="83" t="str">
        <f aca="false">IFERROR(IF(INDEX(원자료_시장!$A$1:$BZ$1000,설정!$L$6+ROW()-1,설정!$L$35)&amp;""="0","",INDEX(원자료_시장!$A$1:$BZ$1000,설정!$L$6+ROW()-1,설정!$L$35)),"")</f>
        <v>A-</v>
      </c>
      <c r="N99" s="83" t="str">
        <f aca="false">IFERROR(IF(INDEX(원자료_시장!$A$1:$BZ$1000,설정!$L$6+ROW()-1,설정!$L$36)&amp;""="0","",INDEX(원자료_시장!$A$1:$BZ$1000,설정!$L$6+ROW()-1,설정!$L$36)),"")</f>
        <v>미국</v>
      </c>
      <c r="O99" s="43" t="str">
        <f aca="false">IF($A99="","",UPPER(LEFT($A99,FIND(" ",$A99&amp;" ")-1)))</f>
        <v>MS</v>
      </c>
      <c r="P99" s="43" t="str">
        <f aca="false">IF($A99="","",TRIM(RIGHT(SUBSTITUTE(TRIM($A99)," ",REPT(" ",30)),30)))</f>
        <v>04/12/29</v>
      </c>
      <c r="Q99" s="98" t="n">
        <f aca="false">IF($A99="","",IFERROR(DATE(IF(LEN(P99)=8,2000+VALUE(RIGHT(P99,2)),VALUE(RIGHT(P99,4))),VALUE(LEFT(P99,2)),VALUE(MID(P99,4,2))),""))</f>
        <v>47220</v>
      </c>
      <c r="R99" s="89" t="n">
        <f aca="false">IF($A99="",0,IF(ISNUMBER(SEARCH("Float",$A99)),1,0))</f>
        <v>0</v>
      </c>
      <c r="S99" s="43" t="str">
        <f aca="false">IF($A99="","",TRIM(MID($A99,LEN(O99)+2,LEN($A99)-LEN(O99)-LEN(P99)-1)))</f>
        <v>4.994</v>
      </c>
      <c r="T99" s="92" t="n">
        <f aca="false">IF(OR($A99="",R99=1),"",IFERROR(IF(ISNUMBER(FIND("/",S99)),IF(ISNUMBER(FIND(" ",S99)),VALUE(LEFT(S99,FIND(" ",S99)-1))+VALUE(MID(S99,FIND(" ",S99)+1,FIND("/",S99)-FIND(" ",S99)-1))/VALUE(MID(S99,FIND("/",S99)+1,9)),VALUE(LEFT(S99,FIND("/",S99)-1))/VALUE(MID(S99,FIND("/",S99)+1,9))),VALUE(S99)),""))</f>
        <v>4.994</v>
      </c>
      <c r="U99" s="43" t="str">
        <f aca="false">IF(OR($A99="",NOT(ISNUMBER(Q99))),"",TEXT(Q99,"yyyymmdd")&amp;"|"&amp;IF(R99=1,"F",TEXT(T99,"0.000")))</f>
        <v>20290412|4.994</v>
      </c>
      <c r="V99" s="43" t="str">
        <f aca="false">IF(U99="","",O99&amp;"|"&amp;U99)</f>
        <v>MS|20290412|4.994</v>
      </c>
      <c r="W99" s="43" t="str">
        <f aca="false">IF($A99="","",IFERROR(IF(VLOOKUP(O99,매핑!$A$4:$E$92,3,0)="","미분류",VLOOKUP(O99,매핑!$A$4:$E$92,3,0)),"미분류"))</f>
        <v>미국</v>
      </c>
      <c r="X99" s="89" t="n">
        <f aca="false">IF($A99="",0,IF(O99="T",1,0))</f>
        <v>0</v>
      </c>
      <c r="Y99" s="89" t="n">
        <f aca="false">IF($A99="",0,IF(AND(C99="USD",X99=0,ISNUMBER(E99),ISNUMBER(K99)),IF(K99&gt;=설정!$C$8,1,0),0))</f>
        <v>1</v>
      </c>
      <c r="Z99" s="43" t="str">
        <f aca="false">IF($A99="","",N99&amp;"|"&amp;L99)</f>
        <v>미국|금융기관</v>
      </c>
      <c r="AA99" s="92" t="n">
        <f aca="false">IF(Y99=1,LN(K99),0)</f>
        <v>0.375692949774494</v>
      </c>
      <c r="AB99" s="93" t="n">
        <f aca="false">IF(Y99=1,E99,0)</f>
        <v>51.913</v>
      </c>
      <c r="AC99" s="89" t="n">
        <f aca="false">IF(Y99=1,COUNTIFS($Z$2:$Z$601,Z99,$Y$2:$Y$601,1),0)</f>
        <v>28</v>
      </c>
      <c r="AD99" s="89" t="n">
        <f aca="false">IF(Y99=1,COUNTIFS($N$2:$N$601,N99,$Y$2:$Y$601,1),0)</f>
        <v>49</v>
      </c>
      <c r="AE99" s="43" t="str">
        <f aca="false">IF(Y99&lt;&gt;1,"",IF(AND(AC99&gt;=설정!$C$7,ISNUMBER(MATCH(Z99,피어커브!$A:$A,0))),Z99,IF(AND(AD99&gt;=설정!$C$7,ISNUMBER(MATCH(N99&amp;"|전체",피어커브!$A:$A,0))),N99&amp;"|전체","전체|전체")))</f>
        <v>미국|금융기관</v>
      </c>
      <c r="AF99" s="93" t="n">
        <f aca="false">IF(AE99="","",INDEX(피어커브!$K:$K,MATCH(AE99,피어커브!$A:$A,0)))</f>
        <v>47.5387798885896</v>
      </c>
      <c r="AG99" s="93" t="n">
        <f aca="false">IF(AE99="","",INDEX(피어커브!$J:$J,MATCH(AE99,피어커브!$A:$A,0)))</f>
        <v>20.73676364145</v>
      </c>
      <c r="AH99" s="93" t="n">
        <f aca="false">IF(AE99="","",INDEX(피어커브!$L:$L,MATCH(AE99,피어커브!$A:$A,0)))</f>
        <v>13.6771810277023</v>
      </c>
      <c r="AI99" s="93" t="n">
        <f aca="false">IF(AE99="","",AF99+AG99*AA99)</f>
        <v>55.3294357898225</v>
      </c>
      <c r="AJ99" s="96" t="n">
        <f aca="false">IF(AE99="","",E99-AI99)</f>
        <v>-3.41643578982245</v>
      </c>
      <c r="AK99" s="95" t="n">
        <f aca="false">IF(AE99="","",IF(ISNUMBER(AH99),IF(AH99&gt;0,AJ99/AH99,""),""))</f>
        <v>-0.249790931545226</v>
      </c>
      <c r="AL99" s="43" t="str">
        <f aca="false">IF(AK99="","-",IF(AK99&gt;=설정!$C$6,"Cheap",IF(AK99&lt;=-설정!$C$6,"Rich","Fair")))</f>
        <v>Fair</v>
      </c>
      <c r="AM99" s="96" t="n">
        <f aca="false">IF(AE99="","",AJ99-AVERAGEIFS($AJ$2:$AJ$601,$B$2:$B$601,B99,$Y$2:$Y$601,1))</f>
        <v>-7.943334989581</v>
      </c>
      <c r="AN99" s="93" t="n">
        <f aca="false">IF(AE99="",0,IF(K99&gt;1+설정!$C$8,AG99*(AA99-LN(K99-1)),0))</f>
        <v>0</v>
      </c>
      <c r="AO99" s="99" t="n">
        <f aca="false">IF($A99="",0,SUMIFS(보유분석!$AA$2:$AA$801,보유분석!$AB$2:$AB$801,ROW(),보유분석!$AC$2:$AC$801,1))</f>
        <v>9.94182</v>
      </c>
      <c r="AP99" s="43" t="str">
        <f aca="false">IF($A99="","",TRIM(IF(R99=1,"FRN ","")&amp;IF(IFERROR(VLOOKUP(M99,설정!$A$15:$D$47,4,0),0)&gt;=10,IF(IFERROR(VLOOKUP(M99,설정!$A$15:$D$47,4,0),0)&lt;99,"BBB0미만 ",""),"")&amp;IF(OR(M99="",M99="NR"),"등급미입력 ","")&amp;IF(C99&lt;&gt;"USD","비USD ","")))</f>
        <v/>
      </c>
      <c r="AQ99" s="90" t="n">
        <f aca="false">IF(AND(Y99=1,AL99="Cheap"),IF(AND(ISERROR(SEARCH("FRN",AP99)),ISERROR(SEARCH("BBB0미만",AP99))),AK99+ROW()/1000000000,-999),-999)</f>
        <v>-999</v>
      </c>
      <c r="AR99" s="92" t="n">
        <f aca="false">IF(AND(ISNUMBER(D99),ISNUMBER(K99)),D99+AN99*MAX(K99-1,0)/100,"")</f>
        <v>5.365</v>
      </c>
      <c r="AS99" s="93" t="n">
        <f aca="false">IF(AND(ISNUMBER(E99),ISNUMBER(K99)),IF(K99&gt;0,(E99+AN99*MAX(K99-1,0))/K99,""),"")</f>
        <v>35.654532967033</v>
      </c>
      <c r="AT99" s="90" t="n">
        <f aca="false">IFERROR(IF(AND(Y99=1,ROW()&lt;&gt;스왑분석!$C$12+1,ABS(K99-INDEX($K$2:$K$601,스왑분석!$C$12))&lt;=스왑분석!$C$5,ISERROR(SEARCH("FRN",AP99)),ISERROR(SEARCH("BBB0미만",AP99))),IF(AND(OR(스왑분석!$C$6="N",L99=INDEX($L$2:$L$601,스왑분석!$C$12)),OR(스왑분석!$C$7="N",N99=INDEX($N$2:$N$601,스왑분석!$C$12)),OR(스왑분석!$C$8="N",AO99=0),E99-INDEX($E$2:$E$601,스왑분석!$C$12)&gt;=스왑분석!$C$9),E99-INDEX($E$2:$E$601,스왑분석!$C$12)+ROW()/1000000000,-999),-999),-999)</f>
        <v>-999</v>
      </c>
      <c r="AU99" s="90" t="n">
        <f aca="false">IF(AND(Y99=1,AO99&gt;0,AL99="Rich"),-AK99+ROW()/1000000000,-999)</f>
        <v>-999</v>
      </c>
    </row>
    <row r="100" customFormat="false" ht="15" hidden="false" customHeight="false" outlineLevel="0" collapsed="false">
      <c r="A100" s="83" t="str">
        <f aca="false">IFERROR(IF(INDEX(원자료_시장!$A$1:$BZ$1000,설정!$L$6+ROW()-1,설정!$L$24)&amp;""="0","",INDEX(원자료_시장!$A$1:$BZ$1000,설정!$L$6+ROW()-1,설정!$L$24)),"")</f>
        <v>MS 4.238 01/09/30</v>
      </c>
      <c r="B100" s="83" t="str">
        <f aca="false">IFERROR(IF(INDEX(원자료_시장!$A$1:$BZ$1000,설정!$L$6+ROW()-1,설정!$L$37)&amp;""="0","",INDEX(원자료_시장!$A$1:$BZ$1000,설정!$L$6+ROW()-1,설정!$L$37)),"")</f>
        <v>MORGAN STANLEY</v>
      </c>
      <c r="C100" s="83" t="str">
        <f aca="false">IFERROR(IF(INDEX(원자료_시장!$A$1:$BZ$1000,설정!$L$6+ROW()-1,설정!$L$25)&amp;""="0","",INDEX(원자료_시장!$A$1:$BZ$1000,설정!$L$6+ROW()-1,설정!$L$25)),"")</f>
        <v>USD</v>
      </c>
      <c r="D100" s="85" t="n">
        <f aca="false">IFERROR(IF(ISNUMBER(INDEX(원자료_시장!$A$1:$BZ$1000,설정!$L$6+ROW()-1,설정!$L$26)),INDEX(원자료_시장!$A$1:$BZ$1000,설정!$L$6+ROW()-1,설정!$L$26),""),"")</f>
        <v>5.399</v>
      </c>
      <c r="E100" s="97" t="n">
        <f aca="false">IFERROR(IF(ISNUMBER(INDEX(원자료_시장!$A$1:$BZ$1000,설정!$L$6+ROW()-1,설정!$L$27)),INDEX(원자료_시장!$A$1:$BZ$1000,설정!$L$6+ROW()-1,설정!$L$27),""),"")</f>
        <v>68.575</v>
      </c>
      <c r="F100" s="97" t="n">
        <f aca="false">IFERROR(IF(ISNUMBER(INDEX(원자료_시장!$A$1:$BZ$1000,설정!$L$6+ROW()-1,설정!$L$28)),INDEX(원자료_시장!$A$1:$BZ$1000,설정!$L$6+ROW()-1,설정!$L$28),""),"")</f>
        <v>98.227</v>
      </c>
      <c r="G100" s="97" t="n">
        <f aca="false">IFERROR(IF(ISNUMBER(INDEX(원자료_시장!$A$1:$BZ$1000,설정!$L$6+ROW()-1,설정!$L$29)),INDEX(원자료_시장!$A$1:$BZ$1000,설정!$L$6+ROW()-1,설정!$L$29),""),"")</f>
        <v>0.5</v>
      </c>
      <c r="H100" s="97" t="n">
        <f aca="false">IFERROR(IF(ISNUMBER(INDEX(원자료_시장!$A$1:$BZ$1000,설정!$L$6+ROW()-1,설정!$L$30)),INDEX(원자료_시장!$A$1:$BZ$1000,설정!$L$6+ROW()-1,설정!$L$30),""),"")</f>
        <v>7.2</v>
      </c>
      <c r="I100" s="97" t="n">
        <f aca="false">IFERROR(IF(ISNUMBER(INDEX(원자료_시장!$A$1:$BZ$1000,설정!$L$6+ROW()-1,설정!$L$31)),INDEX(원자료_시장!$A$1:$BZ$1000,설정!$L$6+ROW()-1,설정!$L$31),""),"")</f>
        <v>-2.8</v>
      </c>
      <c r="J100" s="97" t="n">
        <f aca="false">IFERROR(IF(ISNUMBER(INDEX(원자료_시장!$A$1:$BZ$1000,설정!$L$6+ROW()-1,설정!$L$32)),INDEX(원자료_시장!$A$1:$BZ$1000,설정!$L$6+ROW()-1,설정!$L$32),""),"")</f>
        <v>-14.2</v>
      </c>
      <c r="K100" s="85" t="n">
        <f aca="false">IFERROR(IF(ISNUMBER(INDEX(원자료_시장!$A$1:$BZ$1000,설정!$L$6+ROW()-1,설정!$L$33)),INDEX(원자료_시장!$A$1:$BZ$1000,설정!$L$6+ROW()-1,설정!$L$33),""),"")</f>
        <v>2.166</v>
      </c>
      <c r="L100" s="83" t="str">
        <f aca="false">IFERROR(IF(INDEX(원자료_시장!$A$1:$BZ$1000,설정!$L$6+ROW()-1,설정!$L$34)&amp;""="0","",INDEX(원자료_시장!$A$1:$BZ$1000,설정!$L$6+ROW()-1,설정!$L$34)),"")</f>
        <v>금융기관</v>
      </c>
      <c r="M100" s="83" t="str">
        <f aca="false">IFERROR(IF(INDEX(원자료_시장!$A$1:$BZ$1000,설정!$L$6+ROW()-1,설정!$L$35)&amp;""="0","",INDEX(원자료_시장!$A$1:$BZ$1000,설정!$L$6+ROW()-1,설정!$L$35)),"")</f>
        <v>A-</v>
      </c>
      <c r="N100" s="83" t="str">
        <f aca="false">IFERROR(IF(INDEX(원자료_시장!$A$1:$BZ$1000,설정!$L$6+ROW()-1,설정!$L$36)&amp;""="0","",INDEX(원자료_시장!$A$1:$BZ$1000,설정!$L$6+ROW()-1,설정!$L$36)),"")</f>
        <v>미국</v>
      </c>
      <c r="O100" s="43" t="str">
        <f aca="false">IF($A100="","",UPPER(LEFT($A100,FIND(" ",$A100&amp;" ")-1)))</f>
        <v>MS</v>
      </c>
      <c r="P100" s="43" t="str">
        <f aca="false">IF($A100="","",TRIM(RIGHT(SUBSTITUTE(TRIM($A100)," ",REPT(" ",30)),30)))</f>
        <v>01/09/30</v>
      </c>
      <c r="Q100" s="98" t="n">
        <f aca="false">IF($A100="","",IFERROR(DATE(IF(LEN(P100)=8,2000+VALUE(RIGHT(P100,2)),VALUE(RIGHT(P100,4))),VALUE(LEFT(P100,2)),VALUE(MID(P100,4,2))),""))</f>
        <v>47492</v>
      </c>
      <c r="R100" s="89" t="n">
        <f aca="false">IF($A100="",0,IF(ISNUMBER(SEARCH("Float",$A100)),1,0))</f>
        <v>0</v>
      </c>
      <c r="S100" s="43" t="str">
        <f aca="false">IF($A100="","",TRIM(MID($A100,LEN(O100)+2,LEN($A100)-LEN(O100)-LEN(P100)-1)))</f>
        <v>4.238</v>
      </c>
      <c r="T100" s="92" t="n">
        <f aca="false">IF(OR($A100="",R100=1),"",IFERROR(IF(ISNUMBER(FIND("/",S100)),IF(ISNUMBER(FIND(" ",S100)),VALUE(LEFT(S100,FIND(" ",S100)-1))+VALUE(MID(S100,FIND(" ",S100)+1,FIND("/",S100)-FIND(" ",S100)-1))/VALUE(MID(S100,FIND("/",S100)+1,9)),VALUE(LEFT(S100,FIND("/",S100)-1))/VALUE(MID(S100,FIND("/",S100)+1,9))),VALUE(S100)),""))</f>
        <v>4.238</v>
      </c>
      <c r="U100" s="43" t="str">
        <f aca="false">IF(OR($A100="",NOT(ISNUMBER(Q100))),"",TEXT(Q100,"yyyymmdd")&amp;"|"&amp;IF(R100=1,"F",TEXT(T100,"0.000")))</f>
        <v>20300109|4.238</v>
      </c>
      <c r="V100" s="43" t="str">
        <f aca="false">IF(U100="","",O100&amp;"|"&amp;U100)</f>
        <v>MS|20300109|4.238</v>
      </c>
      <c r="W100" s="43" t="str">
        <f aca="false">IF($A100="","",IFERROR(IF(VLOOKUP(O100,매핑!$A$4:$E$92,3,0)="","미분류",VLOOKUP(O100,매핑!$A$4:$E$92,3,0)),"미분류"))</f>
        <v>미국</v>
      </c>
      <c r="X100" s="89" t="n">
        <f aca="false">IF($A100="",0,IF(O100="T",1,0))</f>
        <v>0</v>
      </c>
      <c r="Y100" s="89" t="n">
        <f aca="false">IF($A100="",0,IF(AND(C100="USD",X100=0,ISNUMBER(E100),ISNUMBER(K100)),IF(K100&gt;=설정!$C$8,1,0),0))</f>
        <v>1</v>
      </c>
      <c r="Z100" s="43" t="str">
        <f aca="false">IF($A100="","",N100&amp;"|"&amp;L100)</f>
        <v>미국|금융기관</v>
      </c>
      <c r="AA100" s="92" t="n">
        <f aca="false">IF(Y100=1,LN(K100),0)</f>
        <v>0.772882148578799</v>
      </c>
      <c r="AB100" s="93" t="n">
        <f aca="false">IF(Y100=1,E100,0)</f>
        <v>68.575</v>
      </c>
      <c r="AC100" s="89" t="n">
        <f aca="false">IF(Y100=1,COUNTIFS($Z$2:$Z$601,Z100,$Y$2:$Y$601,1),0)</f>
        <v>28</v>
      </c>
      <c r="AD100" s="89" t="n">
        <f aca="false">IF(Y100=1,COUNTIFS($N$2:$N$601,N100,$Y$2:$Y$601,1),0)</f>
        <v>49</v>
      </c>
      <c r="AE100" s="43" t="str">
        <f aca="false">IF(Y100&lt;&gt;1,"",IF(AND(AC100&gt;=설정!$C$7,ISNUMBER(MATCH(Z100,피어커브!$A:$A,0))),Z100,IF(AND(AD100&gt;=설정!$C$7,ISNUMBER(MATCH(N100&amp;"|전체",피어커브!$A:$A,0))),N100&amp;"|전체","전체|전체")))</f>
        <v>미국|금융기관</v>
      </c>
      <c r="AF100" s="93" t="n">
        <f aca="false">IF(AE100="","",INDEX(피어커브!$K:$K,MATCH(AE100,피어커브!$A:$A,0)))</f>
        <v>47.5387798885896</v>
      </c>
      <c r="AG100" s="93" t="n">
        <f aca="false">IF(AE100="","",INDEX(피어커브!$J:$J,MATCH(AE100,피어커브!$A:$A,0)))</f>
        <v>20.73676364145</v>
      </c>
      <c r="AH100" s="93" t="n">
        <f aca="false">IF(AE100="","",INDEX(피어커브!$L:$L,MATCH(AE100,피어커브!$A:$A,0)))</f>
        <v>13.6771810277023</v>
      </c>
      <c r="AI100" s="93" t="n">
        <f aca="false">IF(AE100="","",AF100+AG100*AA100)</f>
        <v>63.5658543263642</v>
      </c>
      <c r="AJ100" s="96" t="n">
        <f aca="false">IF(AE100="","",E100-AI100)</f>
        <v>5.00914567363579</v>
      </c>
      <c r="AK100" s="95" t="n">
        <f aca="false">IF(AE100="","",IF(ISNUMBER(AH100),IF(AH100&gt;0,AJ100/AH100,""),""))</f>
        <v>0.366241088970751</v>
      </c>
      <c r="AL100" s="43" t="str">
        <f aca="false">IF(AK100="","-",IF(AK100&gt;=설정!$C$6,"Cheap",IF(AK100&lt;=-설정!$C$6,"Rich","Fair")))</f>
        <v>Fair</v>
      </c>
      <c r="AM100" s="96" t="n">
        <f aca="false">IF(AE100="","",AJ100-AVERAGEIFS($AJ$2:$AJ$601,$B$2:$B$601,B100,$Y$2:$Y$601,1))</f>
        <v>0.482246473877233</v>
      </c>
      <c r="AN100" s="93" t="n">
        <f aca="false">IF(AE100="",0,IF(K100&gt;1+설정!$C$8,AG100*(AA100-LN(K100-1)),0))</f>
        <v>12.842341191136</v>
      </c>
      <c r="AO100" s="99" t="n">
        <f aca="false">IF($A100="",0,SUMIFS(보유분석!$AA$2:$AA$801,보유분석!$AB$2:$AB$801,ROW(),보유분석!$AC$2:$AC$801,1))</f>
        <v>9.70378</v>
      </c>
      <c r="AP100" s="43" t="str">
        <f aca="false">IF($A100="","",TRIM(IF(R100=1,"FRN ","")&amp;IF(IFERROR(VLOOKUP(M100,설정!$A$15:$D$47,4,0),0)&gt;=10,IF(IFERROR(VLOOKUP(M100,설정!$A$15:$D$47,4,0),0)&lt;99,"BBB0미만 ",""),"")&amp;IF(OR(M100="",M100="NR"),"등급미입력 ","")&amp;IF(C100&lt;&gt;"USD","비USD ","")))</f>
        <v/>
      </c>
      <c r="AQ100" s="90" t="n">
        <f aca="false">IF(AND(Y100=1,AL100="Cheap"),IF(AND(ISERROR(SEARCH("FRN",AP100)),ISERROR(SEARCH("BBB0미만",AP100))),AK100+ROW()/1000000000,-999),-999)</f>
        <v>-999</v>
      </c>
      <c r="AR100" s="92" t="n">
        <f aca="false">IF(AND(ISNUMBER(D100),ISNUMBER(K100)),D100+AN100*MAX(K100-1,0)/100,"")</f>
        <v>5.54874169828865</v>
      </c>
      <c r="AS100" s="93" t="n">
        <f aca="false">IF(AND(ISNUMBER(E100),ISNUMBER(K100)),IF(K100&gt;0,(E100+AN100*MAX(K100-1,0))/K100,""),"")</f>
        <v>38.573023928377</v>
      </c>
      <c r="AT100" s="90" t="n">
        <f aca="false">IFERROR(IF(AND(Y100=1,ROW()&lt;&gt;스왑분석!$C$12+1,ABS(K100-INDEX($K$2:$K$601,스왑분석!$C$12))&lt;=스왑분석!$C$5,ISERROR(SEARCH("FRN",AP100)),ISERROR(SEARCH("BBB0미만",AP100))),IF(AND(OR(스왑분석!$C$6="N",L100=INDEX($L$2:$L$601,스왑분석!$C$12)),OR(스왑분석!$C$7="N",N100=INDEX($N$2:$N$601,스왑분석!$C$12)),OR(스왑분석!$C$8="N",AO100=0),E100-INDEX($E$2:$E$601,스왑분석!$C$12)&gt;=스왑분석!$C$9),E100-INDEX($E$2:$E$601,스왑분석!$C$12)+ROW()/1000000000,-999),-999),-999)</f>
        <v>-999</v>
      </c>
      <c r="AU100" s="90" t="n">
        <f aca="false">IF(AND(Y100=1,AO100&gt;0,AL100="Rich"),-AK100+ROW()/1000000000,-999)</f>
        <v>-999</v>
      </c>
    </row>
    <row r="101" customFormat="false" ht="15" hidden="false" customHeight="false" outlineLevel="0" collapsed="false">
      <c r="A101" s="83" t="str">
        <f aca="false">IFERROR(IF(INDEX(원자료_시장!$A$1:$BZ$1000,설정!$L$6+ROW()-1,설정!$L$24)&amp;""="0","",INDEX(원자료_시장!$A$1:$BZ$1000,설정!$L$6+ROW()-1,설정!$L$24)),"")</f>
        <v>MS 4.493 01/16/32</v>
      </c>
      <c r="B101" s="83" t="str">
        <f aca="false">IFERROR(IF(INDEX(원자료_시장!$A$1:$BZ$1000,설정!$L$6+ROW()-1,설정!$L$37)&amp;""="0","",INDEX(원자료_시장!$A$1:$BZ$1000,설정!$L$6+ROW()-1,설정!$L$37)),"")</f>
        <v>MORGAN STANLEY</v>
      </c>
      <c r="C101" s="83" t="str">
        <f aca="false">IFERROR(IF(INDEX(원자료_시장!$A$1:$BZ$1000,설정!$L$6+ROW()-1,설정!$L$25)&amp;""="0","",INDEX(원자료_시장!$A$1:$BZ$1000,설정!$L$6+ROW()-1,설정!$L$25)),"")</f>
        <v>USD</v>
      </c>
      <c r="D101" s="85" t="n">
        <f aca="false">IFERROR(IF(ISNUMBER(INDEX(원자료_시장!$A$1:$BZ$1000,설정!$L$6+ROW()-1,설정!$L$26)),INDEX(원자료_시장!$A$1:$BZ$1000,설정!$L$6+ROW()-1,설정!$L$26),""),"")</f>
        <v>5.778</v>
      </c>
      <c r="E101" s="97" t="n">
        <f aca="false">IFERROR(IF(ISNUMBER(INDEX(원자료_시장!$A$1:$BZ$1000,설정!$L$6+ROW()-1,설정!$L$27)),INDEX(원자료_시장!$A$1:$BZ$1000,설정!$L$6+ROW()-1,설정!$L$27),""),"")</f>
        <v>88.048</v>
      </c>
      <c r="F101" s="97" t="n">
        <f aca="false">IFERROR(IF(ISNUMBER(INDEX(원자료_시장!$A$1:$BZ$1000,설정!$L$6+ROW()-1,설정!$L$28)),INDEX(원자료_시장!$A$1:$BZ$1000,설정!$L$6+ROW()-1,설정!$L$28),""),"")</f>
        <v>121.921</v>
      </c>
      <c r="G101" s="97" t="n">
        <f aca="false">IFERROR(IF(ISNUMBER(INDEX(원자료_시장!$A$1:$BZ$1000,설정!$L$6+ROW()-1,설정!$L$29)),INDEX(원자료_시장!$A$1:$BZ$1000,설정!$L$6+ROW()-1,설정!$L$29),""),"")</f>
        <v>0.2</v>
      </c>
      <c r="H101" s="97" t="n">
        <f aca="false">IFERROR(IF(ISNUMBER(INDEX(원자료_시장!$A$1:$BZ$1000,설정!$L$6+ROW()-1,설정!$L$30)),INDEX(원자료_시장!$A$1:$BZ$1000,설정!$L$6+ROW()-1,설정!$L$30),""),"")</f>
        <v>5.6</v>
      </c>
      <c r="I101" s="97" t="n">
        <f aca="false">IFERROR(IF(ISNUMBER(INDEX(원자료_시장!$A$1:$BZ$1000,설정!$L$6+ROW()-1,설정!$L$31)),INDEX(원자료_시장!$A$1:$BZ$1000,설정!$L$6+ROW()-1,설정!$L$31),""),"")</f>
        <v>1.9</v>
      </c>
      <c r="J101" s="97" t="n">
        <f aca="false">IFERROR(IF(ISNUMBER(INDEX(원자료_시장!$A$1:$BZ$1000,설정!$L$6+ROW()-1,설정!$L$32)),INDEX(원자료_시장!$A$1:$BZ$1000,설정!$L$6+ROW()-1,설정!$L$32),""),"")</f>
        <v>-1.2</v>
      </c>
      <c r="K101" s="85" t="n">
        <f aca="false">IFERROR(IF(ISNUMBER(INDEX(원자료_시장!$A$1:$BZ$1000,설정!$L$6+ROW()-1,설정!$L$33)),INDEX(원자료_시장!$A$1:$BZ$1000,설정!$L$6+ROW()-1,설정!$L$33),""),"")</f>
        <v>3.899</v>
      </c>
      <c r="L101" s="83" t="str">
        <f aca="false">IFERROR(IF(INDEX(원자료_시장!$A$1:$BZ$1000,설정!$L$6+ROW()-1,설정!$L$34)&amp;""="0","",INDEX(원자료_시장!$A$1:$BZ$1000,설정!$L$6+ROW()-1,설정!$L$34)),"")</f>
        <v>금융기관</v>
      </c>
      <c r="M101" s="83" t="str">
        <f aca="false">IFERROR(IF(INDEX(원자료_시장!$A$1:$BZ$1000,설정!$L$6+ROW()-1,설정!$L$35)&amp;""="0","",INDEX(원자료_시장!$A$1:$BZ$1000,설정!$L$6+ROW()-1,설정!$L$35)),"")</f>
        <v>A-</v>
      </c>
      <c r="N101" s="83" t="str">
        <f aca="false">IFERROR(IF(INDEX(원자료_시장!$A$1:$BZ$1000,설정!$L$6+ROW()-1,설정!$L$36)&amp;""="0","",INDEX(원자료_시장!$A$1:$BZ$1000,설정!$L$6+ROW()-1,설정!$L$36)),"")</f>
        <v>미국</v>
      </c>
      <c r="O101" s="43" t="str">
        <f aca="false">IF($A101="","",UPPER(LEFT($A101,FIND(" ",$A101&amp;" ")-1)))</f>
        <v>MS</v>
      </c>
      <c r="P101" s="43" t="str">
        <f aca="false">IF($A101="","",TRIM(RIGHT(SUBSTITUTE(TRIM($A101)," ",REPT(" ",30)),30)))</f>
        <v>01/16/32</v>
      </c>
      <c r="Q101" s="98" t="n">
        <f aca="false">IF($A101="","",IFERROR(DATE(IF(LEN(P101)=8,2000+VALUE(RIGHT(P101,2)),VALUE(RIGHT(P101,4))),VALUE(LEFT(P101,2)),VALUE(MID(P101,4,2))),""))</f>
        <v>48229</v>
      </c>
      <c r="R101" s="89" t="n">
        <f aca="false">IF($A101="",0,IF(ISNUMBER(SEARCH("Float",$A101)),1,0))</f>
        <v>0</v>
      </c>
      <c r="S101" s="43" t="str">
        <f aca="false">IF($A101="","",TRIM(MID($A101,LEN(O101)+2,LEN($A101)-LEN(O101)-LEN(P101)-1)))</f>
        <v>4.493</v>
      </c>
      <c r="T101" s="92" t="n">
        <f aca="false">IF(OR($A101="",R101=1),"",IFERROR(IF(ISNUMBER(FIND("/",S101)),IF(ISNUMBER(FIND(" ",S101)),VALUE(LEFT(S101,FIND(" ",S101)-1))+VALUE(MID(S101,FIND(" ",S101)+1,FIND("/",S101)-FIND(" ",S101)-1))/VALUE(MID(S101,FIND("/",S101)+1,9)),VALUE(LEFT(S101,FIND("/",S101)-1))/VALUE(MID(S101,FIND("/",S101)+1,9))),VALUE(S101)),""))</f>
        <v>4.493</v>
      </c>
      <c r="U101" s="43" t="str">
        <f aca="false">IF(OR($A101="",NOT(ISNUMBER(Q101))),"",TEXT(Q101,"yyyymmdd")&amp;"|"&amp;IF(R101=1,"F",TEXT(T101,"0.000")))</f>
        <v>20320116|4.493</v>
      </c>
      <c r="V101" s="43" t="str">
        <f aca="false">IF(U101="","",O101&amp;"|"&amp;U101)</f>
        <v>MS|20320116|4.493</v>
      </c>
      <c r="W101" s="43" t="str">
        <f aca="false">IF($A101="","",IFERROR(IF(VLOOKUP(O101,매핑!$A$4:$E$92,3,0)="","미분류",VLOOKUP(O101,매핑!$A$4:$E$92,3,0)),"미분류"))</f>
        <v>미국</v>
      </c>
      <c r="X101" s="89" t="n">
        <f aca="false">IF($A101="",0,IF(O101="T",1,0))</f>
        <v>0</v>
      </c>
      <c r="Y101" s="89" t="n">
        <f aca="false">IF($A101="",0,IF(AND(C101="USD",X101=0,ISNUMBER(E101),ISNUMBER(K101)),IF(K101&gt;=설정!$C$8,1,0),0))</f>
        <v>1</v>
      </c>
      <c r="Z101" s="43" t="str">
        <f aca="false">IF($A101="","",N101&amp;"|"&amp;L101)</f>
        <v>미국|금융기관</v>
      </c>
      <c r="AA101" s="92" t="n">
        <f aca="false">IF(Y101=1,LN(K101),0)</f>
        <v>1.36072011000046</v>
      </c>
      <c r="AB101" s="93" t="n">
        <f aca="false">IF(Y101=1,E101,0)</f>
        <v>88.048</v>
      </c>
      <c r="AC101" s="89" t="n">
        <f aca="false">IF(Y101=1,COUNTIFS($Z$2:$Z$601,Z101,$Y$2:$Y$601,1),0)</f>
        <v>28</v>
      </c>
      <c r="AD101" s="89" t="n">
        <f aca="false">IF(Y101=1,COUNTIFS($N$2:$N$601,N101,$Y$2:$Y$601,1),0)</f>
        <v>49</v>
      </c>
      <c r="AE101" s="43" t="str">
        <f aca="false">IF(Y101&lt;&gt;1,"",IF(AND(AC101&gt;=설정!$C$7,ISNUMBER(MATCH(Z101,피어커브!$A:$A,0))),Z101,IF(AND(AD101&gt;=설정!$C$7,ISNUMBER(MATCH(N101&amp;"|전체",피어커브!$A:$A,0))),N101&amp;"|전체","전체|전체")))</f>
        <v>미국|금융기관</v>
      </c>
      <c r="AF101" s="93" t="n">
        <f aca="false">IF(AE101="","",INDEX(피어커브!$K:$K,MATCH(AE101,피어커브!$A:$A,0)))</f>
        <v>47.5387798885896</v>
      </c>
      <c r="AG101" s="93" t="n">
        <f aca="false">IF(AE101="","",INDEX(피어커브!$J:$J,MATCH(AE101,피어커브!$A:$A,0)))</f>
        <v>20.73676364145</v>
      </c>
      <c r="AH101" s="93" t="n">
        <f aca="false">IF(AE101="","",INDEX(피어커브!$L:$L,MATCH(AE101,피어커브!$A:$A,0)))</f>
        <v>13.6771810277023</v>
      </c>
      <c r="AI101" s="93" t="n">
        <f aca="false">IF(AE101="","",AF101+AG101*AA101)</f>
        <v>75.755711191837</v>
      </c>
      <c r="AJ101" s="96" t="n">
        <f aca="false">IF(AE101="","",E101-AI101)</f>
        <v>12.292288808163</v>
      </c>
      <c r="AK101" s="95" t="n">
        <f aca="false">IF(AE101="","",IF(ISNUMBER(AH101),IF(AH101&gt;0,AJ101/AH101,""),""))</f>
        <v>0.89874432335623</v>
      </c>
      <c r="AL101" s="43" t="str">
        <f aca="false">IF(AK101="","-",IF(AK101&gt;=설정!$C$6,"Cheap",IF(AK101&lt;=-설정!$C$6,"Rich","Fair")))</f>
        <v>Fair</v>
      </c>
      <c r="AM101" s="96" t="n">
        <f aca="false">IF(AE101="","",AJ101-AVERAGEIFS($AJ$2:$AJ$601,$B$2:$B$601,B101,$Y$2:$Y$601,1))</f>
        <v>7.76538960840441</v>
      </c>
      <c r="AN101" s="93" t="n">
        <f aca="false">IF(AE101="",0,IF(K101&gt;1+설정!$C$8,AG101*(AA101-LN(K101-1)),0))</f>
        <v>6.14542824502056</v>
      </c>
      <c r="AO101" s="99" t="n">
        <f aca="false">IF($A101="",0,SUMIFS(보유분석!$AA$2:$AA$801,보유분석!$AB$2:$AB$801,ROW(),보유분석!$AC$2:$AC$801,1))</f>
        <v>0</v>
      </c>
      <c r="AP101" s="43" t="str">
        <f aca="false">IF($A101="","",TRIM(IF(R101=1,"FRN ","")&amp;IF(IFERROR(VLOOKUP(M101,설정!$A$15:$D$47,4,0),0)&gt;=10,IF(IFERROR(VLOOKUP(M101,설정!$A$15:$D$47,4,0),0)&lt;99,"BBB0미만 ",""),"")&amp;IF(OR(M101="",M101="NR"),"등급미입력 ","")&amp;IF(C101&lt;&gt;"USD","비USD ","")))</f>
        <v/>
      </c>
      <c r="AQ101" s="90" t="n">
        <f aca="false">IF(AND(Y101=1,AL101="Cheap"),IF(AND(ISERROR(SEARCH("FRN",AP101)),ISERROR(SEARCH("BBB0미만",AP101))),AK101+ROW()/1000000000,-999),-999)</f>
        <v>-999</v>
      </c>
      <c r="AR101" s="92" t="n">
        <f aca="false">IF(AND(ISNUMBER(D101),ISNUMBER(K101)),D101+AN101*MAX(K101-1,0)/100,"")</f>
        <v>5.95615596482315</v>
      </c>
      <c r="AS101" s="93" t="n">
        <f aca="false">IF(AND(ISNUMBER(E101),ISNUMBER(K101)),IF(K101&gt;0,(E101+AN101*MAX(K101-1,0))/K101,""),"")</f>
        <v>27.1514738349101</v>
      </c>
      <c r="AT101" s="90" t="n">
        <f aca="false">IFERROR(IF(AND(Y101=1,ROW()&lt;&gt;스왑분석!$C$12+1,ABS(K101-INDEX($K$2:$K$601,스왑분석!$C$12))&lt;=스왑분석!$C$5,ISERROR(SEARCH("FRN",AP101)),ISERROR(SEARCH("BBB0미만",AP101))),IF(AND(OR(스왑분석!$C$6="N",L101=INDEX($L$2:$L$601,스왑분석!$C$12)),OR(스왑분석!$C$7="N",N101=INDEX($N$2:$N$601,스왑분석!$C$12)),OR(스왑분석!$C$8="N",AO101=0),E101-INDEX($E$2:$E$601,스왑분석!$C$12)&gt;=스왑분석!$C$9),E101-INDEX($E$2:$E$601,스왑분석!$C$12)+ROW()/1000000000,-999),-999),-999)</f>
        <v>39.556000101</v>
      </c>
      <c r="AU101" s="90" t="n">
        <f aca="false">IF(AND(Y101=1,AO101&gt;0,AL101="Rich"),-AK101+ROW()/1000000000,-999)</f>
        <v>-999</v>
      </c>
    </row>
    <row r="102" customFormat="false" ht="15" hidden="false" customHeight="false" outlineLevel="0" collapsed="false">
      <c r="A102" s="83" t="str">
        <f aca="false">IFERROR(IF(INDEX(원자료_시장!$A$1:$BZ$1000,설정!$L$6+ROW()-1,설정!$L$24)&amp;""="0","",INDEX(원자료_시장!$A$1:$BZ$1000,설정!$L$6+ROW()-1,설정!$L$24)),"")</f>
        <v>MS 4.555 04/10/30</v>
      </c>
      <c r="B102" s="83" t="str">
        <f aca="false">IFERROR(IF(INDEX(원자료_시장!$A$1:$BZ$1000,설정!$L$6+ROW()-1,설정!$L$37)&amp;""="0","",INDEX(원자료_시장!$A$1:$BZ$1000,설정!$L$6+ROW()-1,설정!$L$37)),"")</f>
        <v>MORGAN STANLEY</v>
      </c>
      <c r="C102" s="83" t="str">
        <f aca="false">IFERROR(IF(INDEX(원자료_시장!$A$1:$BZ$1000,설정!$L$6+ROW()-1,설정!$L$25)&amp;""="0","",INDEX(원자료_시장!$A$1:$BZ$1000,설정!$L$6+ROW()-1,설정!$L$25)),"")</f>
        <v>USD</v>
      </c>
      <c r="D102" s="85" t="n">
        <f aca="false">IFERROR(IF(ISNUMBER(INDEX(원자료_시장!$A$1:$BZ$1000,설정!$L$6+ROW()-1,설정!$L$26)),INDEX(원자료_시장!$A$1:$BZ$1000,설정!$L$6+ROW()-1,설정!$L$26),""),"")</f>
        <v>5.474</v>
      </c>
      <c r="E102" s="97" t="n">
        <f aca="false">IFERROR(IF(ISNUMBER(INDEX(원자료_시장!$A$1:$BZ$1000,설정!$L$6+ROW()-1,설정!$L$27)),INDEX(원자료_시장!$A$1:$BZ$1000,설정!$L$6+ROW()-1,설정!$L$27),""),"")</f>
        <v>69.638</v>
      </c>
      <c r="F102" s="97" t="n">
        <f aca="false">IFERROR(IF(ISNUMBER(INDEX(원자료_시장!$A$1:$BZ$1000,설정!$L$6+ROW()-1,설정!$L$28)),INDEX(원자료_시장!$A$1:$BZ$1000,설정!$L$6+ROW()-1,설정!$L$28),""),"")</f>
        <v>98.176</v>
      </c>
      <c r="G102" s="97" t="n">
        <f aca="false">IFERROR(IF(ISNUMBER(INDEX(원자료_시장!$A$1:$BZ$1000,설정!$L$6+ROW()-1,설정!$L$29)),INDEX(원자료_시장!$A$1:$BZ$1000,설정!$L$6+ROW()-1,설정!$L$29),""),"")</f>
        <v>-1</v>
      </c>
      <c r="H102" s="97" t="n">
        <f aca="false">IFERROR(IF(ISNUMBER(INDEX(원자료_시장!$A$1:$BZ$1000,설정!$L$6+ROW()-1,설정!$L$30)),INDEX(원자료_시장!$A$1:$BZ$1000,설정!$L$6+ROW()-1,설정!$L$30),""),"")</f>
        <v>6.3</v>
      </c>
      <c r="I102" s="97" t="n">
        <f aca="false">IFERROR(IF(ISNUMBER(INDEX(원자료_시장!$A$1:$BZ$1000,설정!$L$6+ROW()-1,설정!$L$31)),INDEX(원자료_시장!$A$1:$BZ$1000,설정!$L$6+ROW()-1,설정!$L$31),""),"")</f>
        <v>-3.6</v>
      </c>
      <c r="J102" s="97" t="n">
        <f aca="false">IFERROR(IF(ISNUMBER(INDEX(원자료_시장!$A$1:$BZ$1000,설정!$L$6+ROW()-1,설정!$L$32)),INDEX(원자료_시장!$A$1:$BZ$1000,설정!$L$6+ROW()-1,설정!$L$32),""),"")</f>
        <v>-11.9</v>
      </c>
      <c r="K102" s="85" t="n">
        <f aca="false">IFERROR(IF(ISNUMBER(INDEX(원자료_시장!$A$1:$BZ$1000,설정!$L$6+ROW()-1,설정!$L$33)),INDEX(원자료_시장!$A$1:$BZ$1000,설정!$L$6+ROW()-1,설정!$L$33),""),"")</f>
        <v>2.359</v>
      </c>
      <c r="L102" s="83" t="str">
        <f aca="false">IFERROR(IF(INDEX(원자료_시장!$A$1:$BZ$1000,설정!$L$6+ROW()-1,설정!$L$34)&amp;""="0","",INDEX(원자료_시장!$A$1:$BZ$1000,설정!$L$6+ROW()-1,설정!$L$34)),"")</f>
        <v>금융기관</v>
      </c>
      <c r="M102" s="83" t="str">
        <f aca="false">IFERROR(IF(INDEX(원자료_시장!$A$1:$BZ$1000,설정!$L$6+ROW()-1,설정!$L$35)&amp;""="0","",INDEX(원자료_시장!$A$1:$BZ$1000,설정!$L$6+ROW()-1,설정!$L$35)),"")</f>
        <v>A-</v>
      </c>
      <c r="N102" s="83" t="str">
        <f aca="false">IFERROR(IF(INDEX(원자료_시장!$A$1:$BZ$1000,설정!$L$6+ROW()-1,설정!$L$36)&amp;""="0","",INDEX(원자료_시장!$A$1:$BZ$1000,설정!$L$6+ROW()-1,설정!$L$36)),"")</f>
        <v>미국</v>
      </c>
      <c r="O102" s="43" t="str">
        <f aca="false">IF($A102="","",UPPER(LEFT($A102,FIND(" ",$A102&amp;" ")-1)))</f>
        <v>MS</v>
      </c>
      <c r="P102" s="43" t="str">
        <f aca="false">IF($A102="","",TRIM(RIGHT(SUBSTITUTE(TRIM($A102)," ",REPT(" ",30)),30)))</f>
        <v>04/10/30</v>
      </c>
      <c r="Q102" s="98" t="n">
        <f aca="false">IF($A102="","",IFERROR(DATE(IF(LEN(P102)=8,2000+VALUE(RIGHT(P102,2)),VALUE(RIGHT(P102,4))),VALUE(LEFT(P102,2)),VALUE(MID(P102,4,2))),""))</f>
        <v>47583</v>
      </c>
      <c r="R102" s="89" t="n">
        <f aca="false">IF($A102="",0,IF(ISNUMBER(SEARCH("Float",$A102)),1,0))</f>
        <v>0</v>
      </c>
      <c r="S102" s="43" t="str">
        <f aca="false">IF($A102="","",TRIM(MID($A102,LEN(O102)+2,LEN($A102)-LEN(O102)-LEN(P102)-1)))</f>
        <v>4.555</v>
      </c>
      <c r="T102" s="92" t="n">
        <f aca="false">IF(OR($A102="",R102=1),"",IFERROR(IF(ISNUMBER(FIND("/",S102)),IF(ISNUMBER(FIND(" ",S102)),VALUE(LEFT(S102,FIND(" ",S102)-1))+VALUE(MID(S102,FIND(" ",S102)+1,FIND("/",S102)-FIND(" ",S102)-1))/VALUE(MID(S102,FIND("/",S102)+1,9)),VALUE(LEFT(S102,FIND("/",S102)-1))/VALUE(MID(S102,FIND("/",S102)+1,9))),VALUE(S102)),""))</f>
        <v>4.555</v>
      </c>
      <c r="U102" s="43" t="str">
        <f aca="false">IF(OR($A102="",NOT(ISNUMBER(Q102))),"",TEXT(Q102,"yyyymmdd")&amp;"|"&amp;IF(R102=1,"F",TEXT(T102,"0.000")))</f>
        <v>20300410|4.555</v>
      </c>
      <c r="V102" s="43" t="str">
        <f aca="false">IF(U102="","",O102&amp;"|"&amp;U102)</f>
        <v>MS|20300410|4.555</v>
      </c>
      <c r="W102" s="43" t="str">
        <f aca="false">IF($A102="","",IFERROR(IF(VLOOKUP(O102,매핑!$A$4:$E$92,3,0)="","미분류",VLOOKUP(O102,매핑!$A$4:$E$92,3,0)),"미분류"))</f>
        <v>미국</v>
      </c>
      <c r="X102" s="89" t="n">
        <f aca="false">IF($A102="",0,IF(O102="T",1,0))</f>
        <v>0</v>
      </c>
      <c r="Y102" s="89" t="n">
        <f aca="false">IF($A102="",0,IF(AND(C102="USD",X102=0,ISNUMBER(E102),ISNUMBER(K102)),IF(K102&gt;=설정!$C$8,1,0),0))</f>
        <v>1</v>
      </c>
      <c r="Z102" s="43" t="str">
        <f aca="false">IF($A102="","",N102&amp;"|"&amp;L102)</f>
        <v>미국|금융기관</v>
      </c>
      <c r="AA102" s="92" t="n">
        <f aca="false">IF(Y102=1,LN(K102),0)</f>
        <v>0.858237800425538</v>
      </c>
      <c r="AB102" s="93" t="n">
        <f aca="false">IF(Y102=1,E102,0)</f>
        <v>69.638</v>
      </c>
      <c r="AC102" s="89" t="n">
        <f aca="false">IF(Y102=1,COUNTIFS($Z$2:$Z$601,Z102,$Y$2:$Y$601,1),0)</f>
        <v>28</v>
      </c>
      <c r="AD102" s="89" t="n">
        <f aca="false">IF(Y102=1,COUNTIFS($N$2:$N$601,N102,$Y$2:$Y$601,1),0)</f>
        <v>49</v>
      </c>
      <c r="AE102" s="43" t="str">
        <f aca="false">IF(Y102&lt;&gt;1,"",IF(AND(AC102&gt;=설정!$C$7,ISNUMBER(MATCH(Z102,피어커브!$A:$A,0))),Z102,IF(AND(AD102&gt;=설정!$C$7,ISNUMBER(MATCH(N102&amp;"|전체",피어커브!$A:$A,0))),N102&amp;"|전체","전체|전체")))</f>
        <v>미국|금융기관</v>
      </c>
      <c r="AF102" s="93" t="n">
        <f aca="false">IF(AE102="","",INDEX(피어커브!$K:$K,MATCH(AE102,피어커브!$A:$A,0)))</f>
        <v>47.5387798885896</v>
      </c>
      <c r="AG102" s="93" t="n">
        <f aca="false">IF(AE102="","",INDEX(피어커브!$J:$J,MATCH(AE102,피어커브!$A:$A,0)))</f>
        <v>20.73676364145</v>
      </c>
      <c r="AH102" s="93" t="n">
        <f aca="false">IF(AE102="","",INDEX(피어커브!$L:$L,MATCH(AE102,피어커브!$A:$A,0)))</f>
        <v>13.6771810277023</v>
      </c>
      <c r="AI102" s="93" t="n">
        <f aca="false">IF(AE102="","",AF102+AG102*AA102)</f>
        <v>65.335854304172</v>
      </c>
      <c r="AJ102" s="96" t="n">
        <f aca="false">IF(AE102="","",E102-AI102)</f>
        <v>4.30214569582806</v>
      </c>
      <c r="AK102" s="95" t="n">
        <f aca="false">IF(AE102="","",IF(ISNUMBER(AH102),IF(AH102&gt;0,AJ102/AH102,""),""))</f>
        <v>0.314549152132616</v>
      </c>
      <c r="AL102" s="43" t="str">
        <f aca="false">IF(AK102="","-",IF(AK102&gt;=설정!$C$6,"Cheap",IF(AK102&lt;=-설정!$C$6,"Rich","Fair")))</f>
        <v>Fair</v>
      </c>
      <c r="AM102" s="96" t="n">
        <f aca="false">IF(AE102="","",AJ102-AVERAGEIFS($AJ$2:$AJ$601,$B$2:$B$601,B102,$Y$2:$Y$601,1))</f>
        <v>-0.224753503930494</v>
      </c>
      <c r="AN102" s="93" t="n">
        <f aca="false">IF(AE102="",0,IF(K102&gt;1+설정!$C$8,AG102*(AA102-LN(K102-1)),0))</f>
        <v>11.4360901023634</v>
      </c>
      <c r="AO102" s="99" t="n">
        <f aca="false">IF($A102="",0,SUMIFS(보유분석!$AA$2:$AA$801,보유분석!$AB$2:$AB$801,ROW(),보유분석!$AC$2:$AC$801,1))</f>
        <v>9.74348</v>
      </c>
      <c r="AP102" s="43" t="str">
        <f aca="false">IF($A102="","",TRIM(IF(R102=1,"FRN ","")&amp;IF(IFERROR(VLOOKUP(M102,설정!$A$15:$D$47,4,0),0)&gt;=10,IF(IFERROR(VLOOKUP(M102,설정!$A$15:$D$47,4,0),0)&lt;99,"BBB0미만 ",""),"")&amp;IF(OR(M102="",M102="NR"),"등급미입력 ","")&amp;IF(C102&lt;&gt;"USD","비USD ","")))</f>
        <v/>
      </c>
      <c r="AQ102" s="90" t="n">
        <f aca="false">IF(AND(Y102=1,AL102="Cheap"),IF(AND(ISERROR(SEARCH("FRN",AP102)),ISERROR(SEARCH("BBB0미만",AP102))),AK102+ROW()/1000000000,-999),-999)</f>
        <v>-999</v>
      </c>
      <c r="AR102" s="92" t="n">
        <f aca="false">IF(AND(ISNUMBER(D102),ISNUMBER(K102)),D102+AN102*MAX(K102-1,0)/100,"")</f>
        <v>5.62941646449112</v>
      </c>
      <c r="AS102" s="93" t="n">
        <f aca="false">IF(AND(ISNUMBER(E102),ISNUMBER(K102)),IF(K102&gt;0,(E102+AN102*MAX(K102-1,0))/K102,""),"")</f>
        <v>36.1083706863552</v>
      </c>
      <c r="AT102" s="90" t="n">
        <f aca="false">IFERROR(IF(AND(Y102=1,ROW()&lt;&gt;스왑분석!$C$12+1,ABS(K102-INDEX($K$2:$K$601,스왑분석!$C$12))&lt;=스왑분석!$C$5,ISERROR(SEARCH("FRN",AP102)),ISERROR(SEARCH("BBB0미만",AP102))),IF(AND(OR(스왑분석!$C$6="N",L102=INDEX($L$2:$L$601,스왑분석!$C$12)),OR(스왑분석!$C$7="N",N102=INDEX($N$2:$N$601,스왑분석!$C$12)),OR(스왑분석!$C$8="N",AO102=0),E102-INDEX($E$2:$E$601,스왑분석!$C$12)&gt;=스왑분석!$C$9),E102-INDEX($E$2:$E$601,스왑분석!$C$12)+ROW()/1000000000,-999),-999),-999)</f>
        <v>21.146000102</v>
      </c>
      <c r="AU102" s="90" t="n">
        <f aca="false">IF(AND(Y102=1,AO102&gt;0,AL102="Rich"),-AK102+ROW()/1000000000,-999)</f>
        <v>-999</v>
      </c>
    </row>
    <row r="103" customFormat="false" ht="15" hidden="false" customHeight="false" outlineLevel="0" collapsed="false">
      <c r="A103" s="83" t="str">
        <f aca="false">IFERROR(IF(INDEX(원자료_시장!$A$1:$BZ$1000,설정!$L$6+ROW()-1,설정!$L$24)&amp;""="0","",INDEX(원자료_시장!$A$1:$BZ$1000,설정!$L$6+ROW()-1,설정!$L$24)),"")</f>
        <v>MS 4.868 07/12/29</v>
      </c>
      <c r="B103" s="83" t="str">
        <f aca="false">IFERROR(IF(INDEX(원자료_시장!$A$1:$BZ$1000,설정!$L$6+ROW()-1,설정!$L$37)&amp;""="0","",INDEX(원자료_시장!$A$1:$BZ$1000,설정!$L$6+ROW()-1,설정!$L$37)),"")</f>
        <v>MORGAN STANLEY</v>
      </c>
      <c r="C103" s="83" t="str">
        <f aca="false">IFERROR(IF(INDEX(원자료_시장!$A$1:$BZ$1000,설정!$L$6+ROW()-1,설정!$L$25)&amp;""="0","",INDEX(원자료_시장!$A$1:$BZ$1000,설정!$L$6+ROW()-1,설정!$L$25)),"")</f>
        <v>USD</v>
      </c>
      <c r="D103" s="85" t="n">
        <f aca="false">IFERROR(IF(ISNUMBER(INDEX(원자료_시장!$A$1:$BZ$1000,설정!$L$6+ROW()-1,설정!$L$26)),INDEX(원자료_시장!$A$1:$BZ$1000,설정!$L$6+ROW()-1,설정!$L$26),""),"")</f>
        <v>5.255</v>
      </c>
      <c r="E103" s="97" t="n">
        <f aca="false">IFERROR(IF(ISNUMBER(INDEX(원자료_시장!$A$1:$BZ$1000,설정!$L$6+ROW()-1,설정!$L$27)),INDEX(원자료_시장!$A$1:$BZ$1000,설정!$L$6+ROW()-1,설정!$L$27),""),"")</f>
        <v>63.087</v>
      </c>
      <c r="F103" s="97" t="n">
        <f aca="false">IFERROR(IF(ISNUMBER(INDEX(원자료_시장!$A$1:$BZ$1000,설정!$L$6+ROW()-1,설정!$L$28)),INDEX(원자료_시장!$A$1:$BZ$1000,설정!$L$6+ROW()-1,설정!$L$28),""),"")</f>
        <v>86.298</v>
      </c>
      <c r="G103" s="97" t="n">
        <f aca="false">IFERROR(IF(ISNUMBER(INDEX(원자료_시장!$A$1:$BZ$1000,설정!$L$6+ROW()-1,설정!$L$29)),INDEX(원자료_시장!$A$1:$BZ$1000,설정!$L$6+ROW()-1,설정!$L$29),""),"")</f>
        <v>-0.2</v>
      </c>
      <c r="H103" s="97" t="n">
        <f aca="false">IFERROR(IF(ISNUMBER(INDEX(원자료_시장!$A$1:$BZ$1000,설정!$L$6+ROW()-1,설정!$L$30)),INDEX(원자료_시장!$A$1:$BZ$1000,설정!$L$6+ROW()-1,설정!$L$30),""),"")</f>
        <v>7.5</v>
      </c>
      <c r="I103" s="97" t="n">
        <f aca="false">IFERROR(IF(ISNUMBER(INDEX(원자료_시장!$A$1:$BZ$1000,설정!$L$6+ROW()-1,설정!$L$31)),INDEX(원자료_시장!$A$1:$BZ$1000,설정!$L$6+ROW()-1,설정!$L$31),""),"")</f>
        <v>-3</v>
      </c>
      <c r="J103" s="97" t="n">
        <f aca="false">IFERROR(IF(ISNUMBER(INDEX(원자료_시장!$A$1:$BZ$1000,설정!$L$6+ROW()-1,설정!$L$32)),INDEX(원자료_시장!$A$1:$BZ$1000,설정!$L$6+ROW()-1,설정!$L$32),""),"")</f>
        <v>-22.9</v>
      </c>
      <c r="K103" s="85" t="n">
        <f aca="false">IFERROR(IF(ISNUMBER(INDEX(원자료_시장!$A$1:$BZ$1000,설정!$L$6+ROW()-1,설정!$L$33)),INDEX(원자료_시장!$A$1:$BZ$1000,설정!$L$6+ROW()-1,설정!$L$33),""),"")</f>
        <v>1.708</v>
      </c>
      <c r="L103" s="83" t="str">
        <f aca="false">IFERROR(IF(INDEX(원자료_시장!$A$1:$BZ$1000,설정!$L$6+ROW()-1,설정!$L$34)&amp;""="0","",INDEX(원자료_시장!$A$1:$BZ$1000,설정!$L$6+ROW()-1,설정!$L$34)),"")</f>
        <v>금융기관</v>
      </c>
      <c r="M103" s="83" t="str">
        <f aca="false">IFERROR(IF(INDEX(원자료_시장!$A$1:$BZ$1000,설정!$L$6+ROW()-1,설정!$L$35)&amp;""="0","",INDEX(원자료_시장!$A$1:$BZ$1000,설정!$L$6+ROW()-1,설정!$L$35)),"")</f>
        <v>A-</v>
      </c>
      <c r="N103" s="83" t="str">
        <f aca="false">IFERROR(IF(INDEX(원자료_시장!$A$1:$BZ$1000,설정!$L$6+ROW()-1,설정!$L$36)&amp;""="0","",INDEX(원자료_시장!$A$1:$BZ$1000,설정!$L$6+ROW()-1,설정!$L$36)),"")</f>
        <v>미국</v>
      </c>
      <c r="O103" s="43" t="str">
        <f aca="false">IF($A103="","",UPPER(LEFT($A103,FIND(" ",$A103&amp;" ")-1)))</f>
        <v>MS</v>
      </c>
      <c r="P103" s="43" t="str">
        <f aca="false">IF($A103="","",TRIM(RIGHT(SUBSTITUTE(TRIM($A103)," ",REPT(" ",30)),30)))</f>
        <v>07/12/29</v>
      </c>
      <c r="Q103" s="98" t="n">
        <f aca="false">IF($A103="","",IFERROR(DATE(IF(LEN(P103)=8,2000+VALUE(RIGHT(P103,2)),VALUE(RIGHT(P103,4))),VALUE(LEFT(P103,2)),VALUE(MID(P103,4,2))),""))</f>
        <v>47311</v>
      </c>
      <c r="R103" s="89" t="n">
        <f aca="false">IF($A103="",0,IF(ISNUMBER(SEARCH("Float",$A103)),1,0))</f>
        <v>0</v>
      </c>
      <c r="S103" s="43" t="str">
        <f aca="false">IF($A103="","",TRIM(MID($A103,LEN(O103)+2,LEN($A103)-LEN(O103)-LEN(P103)-1)))</f>
        <v>4.868</v>
      </c>
      <c r="T103" s="92" t="n">
        <f aca="false">IF(OR($A103="",R103=1),"",IFERROR(IF(ISNUMBER(FIND("/",S103)),IF(ISNUMBER(FIND(" ",S103)),VALUE(LEFT(S103,FIND(" ",S103)-1))+VALUE(MID(S103,FIND(" ",S103)+1,FIND("/",S103)-FIND(" ",S103)-1))/VALUE(MID(S103,FIND("/",S103)+1,9)),VALUE(LEFT(S103,FIND("/",S103)-1))/VALUE(MID(S103,FIND("/",S103)+1,9))),VALUE(S103)),""))</f>
        <v>4.868</v>
      </c>
      <c r="U103" s="43" t="str">
        <f aca="false">IF(OR($A103="",NOT(ISNUMBER(Q103))),"",TEXT(Q103,"yyyymmdd")&amp;"|"&amp;IF(R103=1,"F",TEXT(T103,"0.000")))</f>
        <v>20290712|4.868</v>
      </c>
      <c r="V103" s="43" t="str">
        <f aca="false">IF(U103="","",O103&amp;"|"&amp;U103)</f>
        <v>MS|20290712|4.868</v>
      </c>
      <c r="W103" s="43" t="str">
        <f aca="false">IF($A103="","",IFERROR(IF(VLOOKUP(O103,매핑!$A$4:$E$92,3,0)="","미분류",VLOOKUP(O103,매핑!$A$4:$E$92,3,0)),"미분류"))</f>
        <v>미국</v>
      </c>
      <c r="X103" s="89" t="n">
        <f aca="false">IF($A103="",0,IF(O103="T",1,0))</f>
        <v>0</v>
      </c>
      <c r="Y103" s="89" t="n">
        <f aca="false">IF($A103="",0,IF(AND(C103="USD",X103=0,ISNUMBER(E103),ISNUMBER(K103)),IF(K103&gt;=설정!$C$8,1,0),0))</f>
        <v>1</v>
      </c>
      <c r="Z103" s="43" t="str">
        <f aca="false">IF($A103="","",N103&amp;"|"&amp;L103)</f>
        <v>미국|금융기관</v>
      </c>
      <c r="AA103" s="92" t="n">
        <f aca="false">IF(Y103=1,LN(K103),0)</f>
        <v>0.535323095366378</v>
      </c>
      <c r="AB103" s="93" t="n">
        <f aca="false">IF(Y103=1,E103,0)</f>
        <v>63.087</v>
      </c>
      <c r="AC103" s="89" t="n">
        <f aca="false">IF(Y103=1,COUNTIFS($Z$2:$Z$601,Z103,$Y$2:$Y$601,1),0)</f>
        <v>28</v>
      </c>
      <c r="AD103" s="89" t="n">
        <f aca="false">IF(Y103=1,COUNTIFS($N$2:$N$601,N103,$Y$2:$Y$601,1),0)</f>
        <v>49</v>
      </c>
      <c r="AE103" s="43" t="str">
        <f aca="false">IF(Y103&lt;&gt;1,"",IF(AND(AC103&gt;=설정!$C$7,ISNUMBER(MATCH(Z103,피어커브!$A:$A,0))),Z103,IF(AND(AD103&gt;=설정!$C$7,ISNUMBER(MATCH(N103&amp;"|전체",피어커브!$A:$A,0))),N103&amp;"|전체","전체|전체")))</f>
        <v>미국|금융기관</v>
      </c>
      <c r="AF103" s="93" t="n">
        <f aca="false">IF(AE103="","",INDEX(피어커브!$K:$K,MATCH(AE103,피어커브!$A:$A,0)))</f>
        <v>47.5387798885896</v>
      </c>
      <c r="AG103" s="93" t="n">
        <f aca="false">IF(AE103="","",INDEX(피어커브!$J:$J,MATCH(AE103,피어커브!$A:$A,0)))</f>
        <v>20.73676364145</v>
      </c>
      <c r="AH103" s="93" t="n">
        <f aca="false">IF(AE103="","",INDEX(피어커브!$L:$L,MATCH(AE103,피어커브!$A:$A,0)))</f>
        <v>13.6771810277023</v>
      </c>
      <c r="AI103" s="93" t="n">
        <f aca="false">IF(AE103="","",AF103+AG103*AA103)</f>
        <v>58.6396483890116</v>
      </c>
      <c r="AJ103" s="96" t="n">
        <f aca="false">IF(AE103="","",E103-AI103)</f>
        <v>4.44735161098841</v>
      </c>
      <c r="AK103" s="95" t="n">
        <f aca="false">IF(AE103="","",IF(ISNUMBER(AH103),IF(AH103&gt;0,AJ103/AH103,""),""))</f>
        <v>0.325165807338557</v>
      </c>
      <c r="AL103" s="43" t="str">
        <f aca="false">IF(AK103="","-",IF(AK103&gt;=설정!$C$6,"Cheap",IF(AK103&lt;=-설정!$C$6,"Rich","Fair")))</f>
        <v>Fair</v>
      </c>
      <c r="AM103" s="96" t="n">
        <f aca="false">IF(AE103="","",AJ103-AVERAGEIFS($AJ$2:$AJ$601,$B$2:$B$601,B103,$Y$2:$Y$601,1))</f>
        <v>-0.0795475887701471</v>
      </c>
      <c r="AN103" s="93" t="n">
        <f aca="false">IF(AE103="",0,IF(K103&gt;1+설정!$C$8,AG103*(AA103-LN(K103-1)),0))</f>
        <v>18.2615049324969</v>
      </c>
      <c r="AO103" s="99" t="n">
        <f aca="false">IF($A103="",0,SUMIFS(보유분석!$AA$2:$AA$801,보유분석!$AB$2:$AB$801,ROW(),보유분석!$AC$2:$AC$801,1))</f>
        <v>19.78174</v>
      </c>
      <c r="AP103" s="43" t="str">
        <f aca="false">IF($A103="","",TRIM(IF(R103=1,"FRN ","")&amp;IF(IFERROR(VLOOKUP(M103,설정!$A$15:$D$47,4,0),0)&gt;=10,IF(IFERROR(VLOOKUP(M103,설정!$A$15:$D$47,4,0),0)&lt;99,"BBB0미만 ",""),"")&amp;IF(OR(M103="",M103="NR"),"등급미입력 ","")&amp;IF(C103&lt;&gt;"USD","비USD ","")))</f>
        <v/>
      </c>
      <c r="AQ103" s="90" t="n">
        <f aca="false">IF(AND(Y103=1,AL103="Cheap"),IF(AND(ISERROR(SEARCH("FRN",AP103)),ISERROR(SEARCH("BBB0미만",AP103))),AK103+ROW()/1000000000,-999),-999)</f>
        <v>-999</v>
      </c>
      <c r="AR103" s="92" t="n">
        <f aca="false">IF(AND(ISNUMBER(D103),ISNUMBER(K103)),D103+AN103*MAX(K103-1,0)/100,"")</f>
        <v>5.38429145492208</v>
      </c>
      <c r="AS103" s="93" t="n">
        <f aca="false">IF(AND(ISNUMBER(E103),ISNUMBER(K103)),IF(K103&gt;0,(E103+AN103*MAX(K103-1,0))/K103,""),"")</f>
        <v>44.5059399837282</v>
      </c>
      <c r="AT103" s="90" t="n">
        <f aca="false">IFERROR(IF(AND(Y103=1,ROW()&lt;&gt;스왑분석!$C$12+1,ABS(K103-INDEX($K$2:$K$601,스왑분석!$C$12))&lt;=스왑분석!$C$5,ISERROR(SEARCH("FRN",AP103)),ISERROR(SEARCH("BBB0미만",AP103))),IF(AND(OR(스왑분석!$C$6="N",L103=INDEX($L$2:$L$601,스왑분석!$C$12)),OR(스왑분석!$C$7="N",N103=INDEX($N$2:$N$601,스왑분석!$C$12)),OR(스왑분석!$C$8="N",AO103=0),E103-INDEX($E$2:$E$601,스왑분석!$C$12)&gt;=스왑분석!$C$9),E103-INDEX($E$2:$E$601,스왑분석!$C$12)+ROW()/1000000000,-999),-999),-999)</f>
        <v>-999</v>
      </c>
      <c r="AU103" s="90" t="n">
        <f aca="false">IF(AND(Y103=1,AO103&gt;0,AL103="Rich"),-AK103+ROW()/1000000000,-999)</f>
        <v>-999</v>
      </c>
    </row>
    <row r="104" customFormat="false" ht="15" hidden="false" customHeight="false" outlineLevel="0" collapsed="false">
      <c r="A104" s="83" t="str">
        <f aca="false">IFERROR(IF(INDEX(원자료_시장!$A$1:$BZ$1000,설정!$L$6+ROW()-1,설정!$L$24)&amp;""="0","",INDEX(원자료_시장!$A$1:$BZ$1000,설정!$L$6+ROW()-1,설정!$L$24)),"")</f>
        <v>MS 4.788 05/10/30</v>
      </c>
      <c r="B104" s="83" t="str">
        <f aca="false">IFERROR(IF(INDEX(원자료_시장!$A$1:$BZ$1000,설정!$L$6+ROW()-1,설정!$L$37)&amp;""="0","",INDEX(원자료_시장!$A$1:$BZ$1000,설정!$L$6+ROW()-1,설정!$L$37)),"")</f>
        <v>MORGAN STANLEY BANK NA</v>
      </c>
      <c r="C104" s="83" t="str">
        <f aca="false">IFERROR(IF(INDEX(원자료_시장!$A$1:$BZ$1000,설정!$L$6+ROW()-1,설정!$L$25)&amp;""="0","",INDEX(원자료_시장!$A$1:$BZ$1000,설정!$L$6+ROW()-1,설정!$L$25)),"")</f>
        <v>USD</v>
      </c>
      <c r="D104" s="85" t="n">
        <f aca="false">IFERROR(IF(ISNUMBER(INDEX(원자료_시장!$A$1:$BZ$1000,설정!$L$6+ROW()-1,설정!$L$26)),INDEX(원자료_시장!$A$1:$BZ$1000,설정!$L$6+ROW()-1,설정!$L$26),""),"")</f>
        <v>5.456</v>
      </c>
      <c r="E104" s="97" t="n">
        <f aca="false">IFERROR(IF(ISNUMBER(INDEX(원자료_시장!$A$1:$BZ$1000,설정!$L$6+ROW()-1,설정!$L$27)),INDEX(원자료_시장!$A$1:$BZ$1000,설정!$L$6+ROW()-1,설정!$L$27),""),"")</f>
        <v>65.866</v>
      </c>
      <c r="F104" s="97" t="n">
        <f aca="false">IFERROR(IF(ISNUMBER(INDEX(원자료_시장!$A$1:$BZ$1000,설정!$L$6+ROW()-1,설정!$L$28)),INDEX(원자료_시장!$A$1:$BZ$1000,설정!$L$6+ROW()-1,설정!$L$28),""),"")</f>
        <v>94.037</v>
      </c>
      <c r="G104" s="97" t="n">
        <f aca="false">IFERROR(IF(ISNUMBER(INDEX(원자료_시장!$A$1:$BZ$1000,설정!$L$6+ROW()-1,설정!$L$29)),INDEX(원자료_시장!$A$1:$BZ$1000,설정!$L$6+ROW()-1,설정!$L$29),""),"")</f>
        <v>-1.1</v>
      </c>
      <c r="H104" s="97" t="n">
        <f aca="false">IFERROR(IF(ISNUMBER(INDEX(원자료_시장!$A$1:$BZ$1000,설정!$L$6+ROW()-1,설정!$L$30)),INDEX(원자료_시장!$A$1:$BZ$1000,설정!$L$6+ROW()-1,설정!$L$30),""),"")</f>
        <v>6.1</v>
      </c>
      <c r="I104" s="97" t="n">
        <f aca="false">IFERROR(IF(ISNUMBER(INDEX(원자료_시장!$A$1:$BZ$1000,설정!$L$6+ROW()-1,설정!$L$31)),INDEX(원자료_시장!$A$1:$BZ$1000,설정!$L$6+ROW()-1,설정!$L$31),""),"")</f>
        <v>-3.9</v>
      </c>
      <c r="J104" s="97" t="n">
        <f aca="false">IFERROR(IF(ISNUMBER(INDEX(원자료_시장!$A$1:$BZ$1000,설정!$L$6+ROW()-1,설정!$L$32)),INDEX(원자료_시장!$A$1:$BZ$1000,설정!$L$6+ROW()-1,설정!$L$32),""),"")</f>
        <v>-11.3</v>
      </c>
      <c r="K104" s="85" t="n">
        <f aca="false">IFERROR(IF(ISNUMBER(INDEX(원자료_시장!$A$1:$BZ$1000,설정!$L$6+ROW()-1,설정!$L$33)),INDEX(원자료_시장!$A$1:$BZ$1000,설정!$L$6+ROW()-1,설정!$L$33),""),"")</f>
        <v>2.432</v>
      </c>
      <c r="L104" s="83" t="str">
        <f aca="false">IFERROR(IF(INDEX(원자료_시장!$A$1:$BZ$1000,설정!$L$6+ROW()-1,설정!$L$34)&amp;""="0","",INDEX(원자료_시장!$A$1:$BZ$1000,설정!$L$6+ROW()-1,설정!$L$34)),"")</f>
        <v>금융기관</v>
      </c>
      <c r="M104" s="83" t="str">
        <f aca="false">IFERROR(IF(INDEX(원자료_시장!$A$1:$BZ$1000,설정!$L$6+ROW()-1,설정!$L$35)&amp;""="0","",INDEX(원자료_시장!$A$1:$BZ$1000,설정!$L$6+ROW()-1,설정!$L$35)),"")</f>
        <v>A+</v>
      </c>
      <c r="N104" s="83" t="str">
        <f aca="false">IFERROR(IF(INDEX(원자료_시장!$A$1:$BZ$1000,설정!$L$6+ROW()-1,설정!$L$36)&amp;""="0","",INDEX(원자료_시장!$A$1:$BZ$1000,설정!$L$6+ROW()-1,설정!$L$36)),"")</f>
        <v>미국</v>
      </c>
      <c r="O104" s="43" t="str">
        <f aca="false">IF($A104="","",UPPER(LEFT($A104,FIND(" ",$A104&amp;" ")-1)))</f>
        <v>MS</v>
      </c>
      <c r="P104" s="43" t="str">
        <f aca="false">IF($A104="","",TRIM(RIGHT(SUBSTITUTE(TRIM($A104)," ",REPT(" ",30)),30)))</f>
        <v>05/10/30</v>
      </c>
      <c r="Q104" s="98" t="n">
        <f aca="false">IF($A104="","",IFERROR(DATE(IF(LEN(P104)=8,2000+VALUE(RIGHT(P104,2)),VALUE(RIGHT(P104,4))),VALUE(LEFT(P104,2)),VALUE(MID(P104,4,2))),""))</f>
        <v>47613</v>
      </c>
      <c r="R104" s="89" t="n">
        <f aca="false">IF($A104="",0,IF(ISNUMBER(SEARCH("Float",$A104)),1,0))</f>
        <v>0</v>
      </c>
      <c r="S104" s="43" t="str">
        <f aca="false">IF($A104="","",TRIM(MID($A104,LEN(O104)+2,LEN($A104)-LEN(O104)-LEN(P104)-1)))</f>
        <v>4.788</v>
      </c>
      <c r="T104" s="92" t="n">
        <f aca="false">IF(OR($A104="",R104=1),"",IFERROR(IF(ISNUMBER(FIND("/",S104)),IF(ISNUMBER(FIND(" ",S104)),VALUE(LEFT(S104,FIND(" ",S104)-1))+VALUE(MID(S104,FIND(" ",S104)+1,FIND("/",S104)-FIND(" ",S104)-1))/VALUE(MID(S104,FIND("/",S104)+1,9)),VALUE(LEFT(S104,FIND("/",S104)-1))/VALUE(MID(S104,FIND("/",S104)+1,9))),VALUE(S104)),""))</f>
        <v>4.788</v>
      </c>
      <c r="U104" s="43" t="str">
        <f aca="false">IF(OR($A104="",NOT(ISNUMBER(Q104))),"",TEXT(Q104,"yyyymmdd")&amp;"|"&amp;IF(R104=1,"F",TEXT(T104,"0.000")))</f>
        <v>20300510|4.788</v>
      </c>
      <c r="V104" s="43" t="str">
        <f aca="false">IF(U104="","",O104&amp;"|"&amp;U104)</f>
        <v>MS|20300510|4.788</v>
      </c>
      <c r="W104" s="43" t="str">
        <f aca="false">IF($A104="","",IFERROR(IF(VLOOKUP(O104,매핑!$A$4:$E$92,3,0)="","미분류",VLOOKUP(O104,매핑!$A$4:$E$92,3,0)),"미분류"))</f>
        <v>미국</v>
      </c>
      <c r="X104" s="89" t="n">
        <f aca="false">IF($A104="",0,IF(O104="T",1,0))</f>
        <v>0</v>
      </c>
      <c r="Y104" s="89" t="n">
        <f aca="false">IF($A104="",0,IF(AND(C104="USD",X104=0,ISNUMBER(E104),ISNUMBER(K104)),IF(K104&gt;=설정!$C$8,1,0),0))</f>
        <v>1</v>
      </c>
      <c r="Z104" s="43" t="str">
        <f aca="false">IF($A104="","",N104&amp;"|"&amp;L104)</f>
        <v>미국|금융기관</v>
      </c>
      <c r="AA104" s="92" t="n">
        <f aca="false">IF(Y104=1,LN(K104),0)</f>
        <v>0.888713964103921</v>
      </c>
      <c r="AB104" s="93" t="n">
        <f aca="false">IF(Y104=1,E104,0)</f>
        <v>65.866</v>
      </c>
      <c r="AC104" s="89" t="n">
        <f aca="false">IF(Y104=1,COUNTIFS($Z$2:$Z$601,Z104,$Y$2:$Y$601,1),0)</f>
        <v>28</v>
      </c>
      <c r="AD104" s="89" t="n">
        <f aca="false">IF(Y104=1,COUNTIFS($N$2:$N$601,N104,$Y$2:$Y$601,1),0)</f>
        <v>49</v>
      </c>
      <c r="AE104" s="43" t="str">
        <f aca="false">IF(Y104&lt;&gt;1,"",IF(AND(AC104&gt;=설정!$C$7,ISNUMBER(MATCH(Z104,피어커브!$A:$A,0))),Z104,IF(AND(AD104&gt;=설정!$C$7,ISNUMBER(MATCH(N104&amp;"|전체",피어커브!$A:$A,0))),N104&amp;"|전체","전체|전체")))</f>
        <v>미국|금융기관</v>
      </c>
      <c r="AF104" s="93" t="n">
        <f aca="false">IF(AE104="","",INDEX(피어커브!$K:$K,MATCH(AE104,피어커브!$A:$A,0)))</f>
        <v>47.5387798885896</v>
      </c>
      <c r="AG104" s="93" t="n">
        <f aca="false">IF(AE104="","",INDEX(피어커브!$J:$J,MATCH(AE104,피어커브!$A:$A,0)))</f>
        <v>20.73676364145</v>
      </c>
      <c r="AH104" s="93" t="n">
        <f aca="false">IF(AE104="","",INDEX(피어커브!$L:$L,MATCH(AE104,피어커브!$A:$A,0)))</f>
        <v>13.6771810277023</v>
      </c>
      <c r="AI104" s="93" t="n">
        <f aca="false">IF(AE104="","",AF104+AG104*AA104)</f>
        <v>65.9678313070687</v>
      </c>
      <c r="AJ104" s="96" t="n">
        <f aca="false">IF(AE104="","",E104-AI104)</f>
        <v>-0.101831307068707</v>
      </c>
      <c r="AK104" s="95" t="n">
        <f aca="false">IF(AE104="","",IF(ISNUMBER(AH104),IF(AH104&gt;0,AJ104/AH104,""),""))</f>
        <v>-0.00744534322258761</v>
      </c>
      <c r="AL104" s="43" t="str">
        <f aca="false">IF(AK104="","-",IF(AK104&gt;=설정!$C$6,"Cheap",IF(AK104&lt;=-설정!$C$6,"Rich","Fair")))</f>
        <v>Fair</v>
      </c>
      <c r="AM104" s="96" t="n">
        <f aca="false">IF(AE104="","",AJ104-AVERAGEIFS($AJ$2:$AJ$601,$B$2:$B$601,B104,$Y$2:$Y$601,1))</f>
        <v>0</v>
      </c>
      <c r="AN104" s="93" t="n">
        <f aca="false">IF(AE104="",0,IF(K104&gt;1+설정!$C$8,AG104*(AA104-LN(K104-1)),0))</f>
        <v>10.9830588029506</v>
      </c>
      <c r="AO104" s="99" t="n">
        <f aca="false">IF($A104="",0,SUMIFS(보유분석!$AA$2:$AA$801,보유분석!$AB$2:$AB$801,ROW(),보유분석!$AC$2:$AC$801,1))</f>
        <v>0.490014</v>
      </c>
      <c r="AP104" s="43" t="str">
        <f aca="false">IF($A104="","",TRIM(IF(R104=1,"FRN ","")&amp;IF(IFERROR(VLOOKUP(M104,설정!$A$15:$D$47,4,0),0)&gt;=10,IF(IFERROR(VLOOKUP(M104,설정!$A$15:$D$47,4,0),0)&lt;99,"BBB0미만 ",""),"")&amp;IF(OR(M104="",M104="NR"),"등급미입력 ","")&amp;IF(C104&lt;&gt;"USD","비USD ","")))</f>
        <v/>
      </c>
      <c r="AQ104" s="90" t="n">
        <f aca="false">IF(AND(Y104=1,AL104="Cheap"),IF(AND(ISERROR(SEARCH("FRN",AP104)),ISERROR(SEARCH("BBB0미만",AP104))),AK104+ROW()/1000000000,-999),-999)</f>
        <v>-999</v>
      </c>
      <c r="AR104" s="92" t="n">
        <f aca="false">IF(AND(ISNUMBER(D104),ISNUMBER(K104)),D104+AN104*MAX(K104-1,0)/100,"")</f>
        <v>5.61327740205825</v>
      </c>
      <c r="AS104" s="93" t="n">
        <f aca="false">IF(AND(ISNUMBER(E104),ISNUMBER(K104)),IF(K104&gt;0,(E104+AN104*MAX(K104-1,0))/K104,""),"")</f>
        <v>33.5500576504216</v>
      </c>
      <c r="AT104" s="90" t="n">
        <f aca="false">IFERROR(IF(AND(Y104=1,ROW()&lt;&gt;스왑분석!$C$12+1,ABS(K104-INDEX($K$2:$K$601,스왑분석!$C$12))&lt;=스왑분석!$C$5,ISERROR(SEARCH("FRN",AP104)),ISERROR(SEARCH("BBB0미만",AP104))),IF(AND(OR(스왑분석!$C$6="N",L104=INDEX($L$2:$L$601,스왑분석!$C$12)),OR(스왑분석!$C$7="N",N104=INDEX($N$2:$N$601,스왑분석!$C$12)),OR(스왑분석!$C$8="N",AO104=0),E104-INDEX($E$2:$E$601,스왑분석!$C$12)&gt;=스왑분석!$C$9),E104-INDEX($E$2:$E$601,스왑분석!$C$12)+ROW()/1000000000,-999),-999),-999)</f>
        <v>17.374000104</v>
      </c>
      <c r="AU104" s="90" t="n">
        <f aca="false">IF(AND(Y104=1,AO104&gt;0,AL104="Rich"),-AK104+ROW()/1000000000,-999)</f>
        <v>-999</v>
      </c>
    </row>
    <row r="105" customFormat="false" ht="15" hidden="false" customHeight="false" outlineLevel="0" collapsed="false">
      <c r="A105" s="83" t="str">
        <f aca="false">IFERROR(IF(INDEX(원자료_시장!$A$1:$BZ$1000,설정!$L$6+ROW()-1,설정!$L$24)&amp;""="0","",INDEX(원자료_시장!$A$1:$BZ$1000,설정!$L$6+ROW()-1,설정!$L$24)),"")</f>
        <v>NOMURA 2.172 07/14/28</v>
      </c>
      <c r="B105" s="83" t="str">
        <f aca="false">IFERROR(IF(INDEX(원자료_시장!$A$1:$BZ$1000,설정!$L$6+ROW()-1,설정!$L$37)&amp;""="0","",INDEX(원자료_시장!$A$1:$BZ$1000,설정!$L$6+ROW()-1,설정!$L$37)),"")</f>
        <v>NOMURA HOLDINGS INC</v>
      </c>
      <c r="C105" s="83" t="str">
        <f aca="false">IFERROR(IF(INDEX(원자료_시장!$A$1:$BZ$1000,설정!$L$6+ROW()-1,설정!$L$25)&amp;""="0","",INDEX(원자료_시장!$A$1:$BZ$1000,설정!$L$6+ROW()-1,설정!$L$25)),"")</f>
        <v>USD</v>
      </c>
      <c r="D105" s="85" t="n">
        <f aca="false">IFERROR(IF(ISNUMBER(INDEX(원자료_시장!$A$1:$BZ$1000,설정!$L$6+ROW()-1,설정!$L$26)),INDEX(원자료_시장!$A$1:$BZ$1000,설정!$L$6+ROW()-1,설정!$L$26),""),"")</f>
        <v>5.449</v>
      </c>
      <c r="E105" s="97" t="n">
        <f aca="false">IFERROR(IF(ISNUMBER(INDEX(원자료_시장!$A$1:$BZ$1000,설정!$L$6+ROW()-1,설정!$L$27)),INDEX(원자료_시장!$A$1:$BZ$1000,설정!$L$6+ROW()-1,설정!$L$27),""),"")</f>
        <v>56.009</v>
      </c>
      <c r="F105" s="97" t="n">
        <f aca="false">IFERROR(IF(ISNUMBER(INDEX(원자료_시장!$A$1:$BZ$1000,설정!$L$6+ROW()-1,설정!$L$28)),INDEX(원자료_시장!$A$1:$BZ$1000,설정!$L$6+ROW()-1,설정!$L$28),""),"")</f>
        <v>79.136</v>
      </c>
      <c r="G105" s="97" t="n">
        <f aca="false">IFERROR(IF(ISNUMBER(INDEX(원자료_시장!$A$1:$BZ$1000,설정!$L$6+ROW()-1,설정!$L$29)),INDEX(원자료_시장!$A$1:$BZ$1000,설정!$L$6+ROW()-1,설정!$L$29),""),"")</f>
        <v>1.6</v>
      </c>
      <c r="H105" s="97" t="n">
        <f aca="false">IFERROR(IF(ISNUMBER(INDEX(원자료_시장!$A$1:$BZ$1000,설정!$L$6+ROW()-1,설정!$L$30)),INDEX(원자료_시장!$A$1:$BZ$1000,설정!$L$6+ROW()-1,설정!$L$30),""),"")</f>
        <v>7.3</v>
      </c>
      <c r="I105" s="97" t="n">
        <f aca="false">IFERROR(IF(ISNUMBER(INDEX(원자료_시장!$A$1:$BZ$1000,설정!$L$6+ROW()-1,설정!$L$31)),INDEX(원자료_시장!$A$1:$BZ$1000,설정!$L$6+ROW()-1,설정!$L$31),""),"")</f>
        <v>3.9</v>
      </c>
      <c r="J105" s="97" t="n">
        <f aca="false">IFERROR(IF(ISNUMBER(INDEX(원자료_시장!$A$1:$BZ$1000,설정!$L$6+ROW()-1,설정!$L$32)),INDEX(원자료_시장!$A$1:$BZ$1000,설정!$L$6+ROW()-1,설정!$L$32),""),"")</f>
        <v>2.2</v>
      </c>
      <c r="K105" s="85" t="n">
        <f aca="false">IFERROR(IF(ISNUMBER(INDEX(원자료_시장!$A$1:$BZ$1000,설정!$L$6+ROW()-1,설정!$L$33)),INDEX(원자료_시장!$A$1:$BZ$1000,설정!$L$6+ROW()-1,설정!$L$33),""),"")</f>
        <v>1.75</v>
      </c>
      <c r="L105" s="83" t="str">
        <f aca="false">IFERROR(IF(INDEX(원자료_시장!$A$1:$BZ$1000,설정!$L$6+ROW()-1,설정!$L$34)&amp;""="0","",INDEX(원자료_시장!$A$1:$BZ$1000,설정!$L$6+ROW()-1,설정!$L$34)),"")</f>
        <v>금융기관</v>
      </c>
      <c r="M105" s="83" t="str">
        <f aca="false">IFERROR(IF(INDEX(원자료_시장!$A$1:$BZ$1000,설정!$L$6+ROW()-1,설정!$L$35)&amp;""="0","",INDEX(원자료_시장!$A$1:$BZ$1000,설정!$L$6+ROW()-1,설정!$L$35)),"")</f>
        <v>BBB+</v>
      </c>
      <c r="N105" s="83" t="str">
        <f aca="false">IFERROR(IF(INDEX(원자료_시장!$A$1:$BZ$1000,설정!$L$6+ROW()-1,설정!$L$36)&amp;""="0","",INDEX(원자료_시장!$A$1:$BZ$1000,설정!$L$6+ROW()-1,설정!$L$36)),"")</f>
        <v>아시아/기타</v>
      </c>
      <c r="O105" s="43" t="str">
        <f aca="false">IF($A105="","",UPPER(LEFT($A105,FIND(" ",$A105&amp;" ")-1)))</f>
        <v>NOMURA</v>
      </c>
      <c r="P105" s="43" t="str">
        <f aca="false">IF($A105="","",TRIM(RIGHT(SUBSTITUTE(TRIM($A105)," ",REPT(" ",30)),30)))</f>
        <v>07/14/28</v>
      </c>
      <c r="Q105" s="98" t="n">
        <f aca="false">IF($A105="","",IFERROR(DATE(IF(LEN(P105)=8,2000+VALUE(RIGHT(P105,2)),VALUE(RIGHT(P105,4))),VALUE(LEFT(P105,2)),VALUE(MID(P105,4,2))),""))</f>
        <v>46948</v>
      </c>
      <c r="R105" s="89" t="n">
        <f aca="false">IF($A105="",0,IF(ISNUMBER(SEARCH("Float",$A105)),1,0))</f>
        <v>0</v>
      </c>
      <c r="S105" s="43" t="str">
        <f aca="false">IF($A105="","",TRIM(MID($A105,LEN(O105)+2,LEN($A105)-LEN(O105)-LEN(P105)-1)))</f>
        <v>2.172</v>
      </c>
      <c r="T105" s="92" t="n">
        <f aca="false">IF(OR($A105="",R105=1),"",IFERROR(IF(ISNUMBER(FIND("/",S105)),IF(ISNUMBER(FIND(" ",S105)),VALUE(LEFT(S105,FIND(" ",S105)-1))+VALUE(MID(S105,FIND(" ",S105)+1,FIND("/",S105)-FIND(" ",S105)-1))/VALUE(MID(S105,FIND("/",S105)+1,9)),VALUE(LEFT(S105,FIND("/",S105)-1))/VALUE(MID(S105,FIND("/",S105)+1,9))),VALUE(S105)),""))</f>
        <v>2.172</v>
      </c>
      <c r="U105" s="43" t="str">
        <f aca="false">IF(OR($A105="",NOT(ISNUMBER(Q105))),"",TEXT(Q105,"yyyymmdd")&amp;"|"&amp;IF(R105=1,"F",TEXT(T105,"0.000")))</f>
        <v>20280714|2.172</v>
      </c>
      <c r="V105" s="43" t="str">
        <f aca="false">IF(U105="","",O105&amp;"|"&amp;U105)</f>
        <v>NOMURA|20280714|2.172</v>
      </c>
      <c r="W105" s="43" t="str">
        <f aca="false">IF($A105="","",IFERROR(IF(VLOOKUP(O105,매핑!$A$4:$E$92,3,0)="","미분류",VLOOKUP(O105,매핑!$A$4:$E$92,3,0)),"미분류"))</f>
        <v>일본</v>
      </c>
      <c r="X105" s="89" t="n">
        <f aca="false">IF($A105="",0,IF(O105="T",1,0))</f>
        <v>0</v>
      </c>
      <c r="Y105" s="89" t="n">
        <f aca="false">IF($A105="",0,IF(AND(C105="USD",X105=0,ISNUMBER(E105),ISNUMBER(K105)),IF(K105&gt;=설정!$C$8,1,0),0))</f>
        <v>1</v>
      </c>
      <c r="Z105" s="43" t="str">
        <f aca="false">IF($A105="","",N105&amp;"|"&amp;L105)</f>
        <v>아시아/기타|금융기관</v>
      </c>
      <c r="AA105" s="92" t="n">
        <f aca="false">IF(Y105=1,LN(K105),0)</f>
        <v>0.559615787935423</v>
      </c>
      <c r="AB105" s="93" t="n">
        <f aca="false">IF(Y105=1,E105,0)</f>
        <v>56.009</v>
      </c>
      <c r="AC105" s="89" t="n">
        <f aca="false">IF(Y105=1,COUNTIFS($Z$2:$Z$601,Z105,$Y$2:$Y$601,1),0)</f>
        <v>42</v>
      </c>
      <c r="AD105" s="89" t="n">
        <f aca="false">IF(Y105=1,COUNTIFS($N$2:$N$601,N105,$Y$2:$Y$601,1),0)</f>
        <v>137</v>
      </c>
      <c r="AE105" s="43" t="str">
        <f aca="false">IF(Y105&lt;&gt;1,"",IF(AND(AC105&gt;=설정!$C$7,ISNUMBER(MATCH(Z105,피어커브!$A:$A,0))),Z105,IF(AND(AD105&gt;=설정!$C$7,ISNUMBER(MATCH(N105&amp;"|전체",피어커브!$A:$A,0))),N105&amp;"|전체","전체|전체")))</f>
        <v>아시아/기타|금융기관</v>
      </c>
      <c r="AF105" s="93" t="n">
        <f aca="false">IF(AE105="","",INDEX(피어커브!$K:$K,MATCH(AE105,피어커브!$A:$A,0)))</f>
        <v>50.117430292991</v>
      </c>
      <c r="AG105" s="93" t="n">
        <f aca="false">IF(AE105="","",INDEX(피어커브!$J:$J,MATCH(AE105,피어커브!$A:$A,0)))</f>
        <v>13.9183160321618</v>
      </c>
      <c r="AH105" s="93" t="n">
        <f aca="false">IF(AE105="","",INDEX(피어커브!$L:$L,MATCH(AE105,피어커브!$A:$A,0)))</f>
        <v>20.4735875466442</v>
      </c>
      <c r="AI105" s="93" t="n">
        <f aca="false">IF(AE105="","",AF105+AG105*AA105)</f>
        <v>57.9063396860635</v>
      </c>
      <c r="AJ105" s="96" t="n">
        <f aca="false">IF(AE105="","",E105-AI105)</f>
        <v>-1.89733968606348</v>
      </c>
      <c r="AK105" s="95" t="n">
        <f aca="false">IF(AE105="","",IF(ISNUMBER(AH105),IF(AH105&gt;0,AJ105/AH105,""),""))</f>
        <v>-0.0926725558840555</v>
      </c>
      <c r="AL105" s="43" t="str">
        <f aca="false">IF(AK105="","-",IF(AK105&gt;=설정!$C$6,"Cheap",IF(AK105&lt;=-설정!$C$6,"Rich","Fair")))</f>
        <v>Fair</v>
      </c>
      <c r="AM105" s="96" t="n">
        <f aca="false">IF(AE105="","",AJ105-AVERAGEIFS($AJ$2:$AJ$601,$B$2:$B$601,B105,$Y$2:$Y$601,1))</f>
        <v>-7.65711834230356</v>
      </c>
      <c r="AN105" s="93" t="n">
        <f aca="false">IF(AE105="",0,IF(K105&gt;1+설정!$C$8,AG105*(AA105-LN(K105-1)),0))</f>
        <v>11.7929593942436</v>
      </c>
      <c r="AO105" s="99" t="n">
        <f aca="false">IF($A105="",0,SUMIFS(보유분석!$AA$2:$AA$801,보유분석!$AB$2:$AB$801,ROW(),보유분석!$AC$2:$AC$801,1))</f>
        <v>26.53496569</v>
      </c>
      <c r="AP105" s="43" t="str">
        <f aca="false">IF($A105="","",TRIM(IF(R105=1,"FRN ","")&amp;IF(IFERROR(VLOOKUP(M105,설정!$A$15:$D$47,4,0),0)&gt;=10,IF(IFERROR(VLOOKUP(M105,설정!$A$15:$D$47,4,0),0)&lt;99,"BBB0미만 ",""),"")&amp;IF(OR(M105="",M105="NR"),"등급미입력 ","")&amp;IF(C105&lt;&gt;"USD","비USD ","")))</f>
        <v/>
      </c>
      <c r="AQ105" s="90" t="n">
        <f aca="false">IF(AND(Y105=1,AL105="Cheap"),IF(AND(ISERROR(SEARCH("FRN",AP105)),ISERROR(SEARCH("BBB0미만",AP105))),AK105+ROW()/1000000000,-999),-999)</f>
        <v>-999</v>
      </c>
      <c r="AR105" s="92" t="n">
        <f aca="false">IF(AND(ISNUMBER(D105),ISNUMBER(K105)),D105+AN105*MAX(K105-1,0)/100,"")</f>
        <v>5.53744719545683</v>
      </c>
      <c r="AS105" s="93" t="n">
        <f aca="false">IF(AND(ISNUMBER(E105),ISNUMBER(K105)),IF(K105&gt;0,(E105+AN105*MAX(K105-1,0))/K105,""),"")</f>
        <v>37.0592683118187</v>
      </c>
      <c r="AT105" s="90" t="n">
        <f aca="false">IFERROR(IF(AND(Y105=1,ROW()&lt;&gt;스왑분석!$C$12+1,ABS(K105-INDEX($K$2:$K$601,스왑분석!$C$12))&lt;=스왑분석!$C$5,ISERROR(SEARCH("FRN",AP105)),ISERROR(SEARCH("BBB0미만",AP105))),IF(AND(OR(스왑분석!$C$6="N",L105=INDEX($L$2:$L$601,스왑분석!$C$12)),OR(스왑분석!$C$7="N",N105=INDEX($N$2:$N$601,스왑분석!$C$12)),OR(스왑분석!$C$8="N",AO105=0),E105-INDEX($E$2:$E$601,스왑분석!$C$12)&gt;=스왑분석!$C$9),E105-INDEX($E$2:$E$601,스왑분석!$C$12)+ROW()/1000000000,-999),-999),-999)</f>
        <v>-999</v>
      </c>
      <c r="AU105" s="90" t="n">
        <f aca="false">IF(AND(Y105=1,AO105&gt;0,AL105="Rich"),-AK105+ROW()/1000000000,-999)</f>
        <v>-999</v>
      </c>
    </row>
    <row r="106" customFormat="false" ht="15" hidden="false" customHeight="false" outlineLevel="0" collapsed="false">
      <c r="A106" s="83" t="str">
        <f aca="false">IFERROR(IF(INDEX(원자료_시장!$A$1:$BZ$1000,설정!$L$6+ROW()-1,설정!$L$24)&amp;""="0","",INDEX(원자료_시장!$A$1:$BZ$1000,설정!$L$6+ROW()-1,설정!$L$24)),"")</f>
        <v>NOMURA 6.07 07/12/28</v>
      </c>
      <c r="B106" s="83" t="str">
        <f aca="false">IFERROR(IF(INDEX(원자료_시장!$A$1:$BZ$1000,설정!$L$6+ROW()-1,설정!$L$37)&amp;""="0","",INDEX(원자료_시장!$A$1:$BZ$1000,설정!$L$6+ROW()-1,설정!$L$37)),"")</f>
        <v>NOMURA HOLDINGS INC</v>
      </c>
      <c r="C106" s="83" t="str">
        <f aca="false">IFERROR(IF(INDEX(원자료_시장!$A$1:$BZ$1000,설정!$L$6+ROW()-1,설정!$L$25)&amp;""="0","",INDEX(원자료_시장!$A$1:$BZ$1000,설정!$L$6+ROW()-1,설정!$L$25)),"")</f>
        <v>USD</v>
      </c>
      <c r="D106" s="85" t="n">
        <f aca="false">IFERROR(IF(ISNUMBER(INDEX(원자료_시장!$A$1:$BZ$1000,설정!$L$6+ROW()-1,설정!$L$26)),INDEX(원자료_시장!$A$1:$BZ$1000,설정!$L$6+ROW()-1,설정!$L$26),""),"")</f>
        <v>5.436</v>
      </c>
      <c r="E106" s="97" t="n">
        <f aca="false">IFERROR(IF(ISNUMBER(INDEX(원자료_시장!$A$1:$BZ$1000,설정!$L$6+ROW()-1,설정!$L$27)),INDEX(원자료_시장!$A$1:$BZ$1000,설정!$L$6+ROW()-1,설정!$L$27),""),"")</f>
        <v>54.694</v>
      </c>
      <c r="F106" s="97" t="n">
        <f aca="false">IFERROR(IF(ISNUMBER(INDEX(원자료_시장!$A$1:$BZ$1000,설정!$L$6+ROW()-1,설정!$L$28)),INDEX(원자료_시장!$A$1:$BZ$1000,설정!$L$6+ROW()-1,설정!$L$28),""),"")</f>
        <v>77.905</v>
      </c>
      <c r="G106" s="97" t="n">
        <f aca="false">IFERROR(IF(ISNUMBER(INDEX(원자료_시장!$A$1:$BZ$1000,설정!$L$6+ROW()-1,설정!$L$29)),INDEX(원자료_시장!$A$1:$BZ$1000,설정!$L$6+ROW()-1,설정!$L$29),""),"")</f>
        <v>1.4</v>
      </c>
      <c r="H106" s="97" t="n">
        <f aca="false">IFERROR(IF(ISNUMBER(INDEX(원자료_시장!$A$1:$BZ$1000,설정!$L$6+ROW()-1,설정!$L$30)),INDEX(원자료_시장!$A$1:$BZ$1000,설정!$L$6+ROW()-1,설정!$L$30),""),"")</f>
        <v>6.4</v>
      </c>
      <c r="I106" s="97" t="n">
        <f aca="false">IFERROR(IF(ISNUMBER(INDEX(원자료_시장!$A$1:$BZ$1000,설정!$L$6+ROW()-1,설정!$L$31)),INDEX(원자료_시장!$A$1:$BZ$1000,설정!$L$6+ROW()-1,설정!$L$31),""),"")</f>
        <v>4.2</v>
      </c>
      <c r="J106" s="97" t="n">
        <f aca="false">IFERROR(IF(ISNUMBER(INDEX(원자료_시장!$A$1:$BZ$1000,설정!$L$6+ROW()-1,설정!$L$32)),INDEX(원자료_시장!$A$1:$BZ$1000,설정!$L$6+ROW()-1,설정!$L$32),""),"")</f>
        <v>-0.3</v>
      </c>
      <c r="K106" s="85" t="n">
        <f aca="false">IFERROR(IF(ISNUMBER(INDEX(원자료_시장!$A$1:$BZ$1000,설정!$L$6+ROW()-1,설정!$L$33)),INDEX(원자료_시장!$A$1:$BZ$1000,설정!$L$6+ROW()-1,설정!$L$33),""),"")</f>
        <v>1.692</v>
      </c>
      <c r="L106" s="83" t="str">
        <f aca="false">IFERROR(IF(INDEX(원자료_시장!$A$1:$BZ$1000,설정!$L$6+ROW()-1,설정!$L$34)&amp;""="0","",INDEX(원자료_시장!$A$1:$BZ$1000,설정!$L$6+ROW()-1,설정!$L$34)),"")</f>
        <v>금융기관</v>
      </c>
      <c r="M106" s="83" t="str">
        <f aca="false">IFERROR(IF(INDEX(원자료_시장!$A$1:$BZ$1000,설정!$L$6+ROW()-1,설정!$L$35)&amp;""="0","",INDEX(원자료_시장!$A$1:$BZ$1000,설정!$L$6+ROW()-1,설정!$L$35)),"")</f>
        <v>BBB+</v>
      </c>
      <c r="N106" s="83" t="str">
        <f aca="false">IFERROR(IF(INDEX(원자료_시장!$A$1:$BZ$1000,설정!$L$6+ROW()-1,설정!$L$36)&amp;""="0","",INDEX(원자료_시장!$A$1:$BZ$1000,설정!$L$6+ROW()-1,설정!$L$36)),"")</f>
        <v>아시아/기타</v>
      </c>
      <c r="O106" s="43" t="str">
        <f aca="false">IF($A106="","",UPPER(LEFT($A106,FIND(" ",$A106&amp;" ")-1)))</f>
        <v>NOMURA</v>
      </c>
      <c r="P106" s="43" t="str">
        <f aca="false">IF($A106="","",TRIM(RIGHT(SUBSTITUTE(TRIM($A106)," ",REPT(" ",30)),30)))</f>
        <v>07/12/28</v>
      </c>
      <c r="Q106" s="98" t="n">
        <f aca="false">IF($A106="","",IFERROR(DATE(IF(LEN(P106)=8,2000+VALUE(RIGHT(P106,2)),VALUE(RIGHT(P106,4))),VALUE(LEFT(P106,2)),VALUE(MID(P106,4,2))),""))</f>
        <v>46946</v>
      </c>
      <c r="R106" s="89" t="n">
        <f aca="false">IF($A106="",0,IF(ISNUMBER(SEARCH("Float",$A106)),1,0))</f>
        <v>0</v>
      </c>
      <c r="S106" s="43" t="str">
        <f aca="false">IF($A106="","",TRIM(MID($A106,LEN(O106)+2,LEN($A106)-LEN(O106)-LEN(P106)-1)))</f>
        <v>6.07</v>
      </c>
      <c r="T106" s="92" t="n">
        <f aca="false">IF(OR($A106="",R106=1),"",IFERROR(IF(ISNUMBER(FIND("/",S106)),IF(ISNUMBER(FIND(" ",S106)),VALUE(LEFT(S106,FIND(" ",S106)-1))+VALUE(MID(S106,FIND(" ",S106)+1,FIND("/",S106)-FIND(" ",S106)-1))/VALUE(MID(S106,FIND("/",S106)+1,9)),VALUE(LEFT(S106,FIND("/",S106)-1))/VALUE(MID(S106,FIND("/",S106)+1,9))),VALUE(S106)),""))</f>
        <v>6.07</v>
      </c>
      <c r="U106" s="43" t="str">
        <f aca="false">IF(OR($A106="",NOT(ISNUMBER(Q106))),"",TEXT(Q106,"yyyymmdd")&amp;"|"&amp;IF(R106=1,"F",TEXT(T106,"0.000")))</f>
        <v>20280712|6.070</v>
      </c>
      <c r="V106" s="43" t="str">
        <f aca="false">IF(U106="","",O106&amp;"|"&amp;U106)</f>
        <v>NOMURA|20280712|6.070</v>
      </c>
      <c r="W106" s="43" t="str">
        <f aca="false">IF($A106="","",IFERROR(IF(VLOOKUP(O106,매핑!$A$4:$E$92,3,0)="","미분류",VLOOKUP(O106,매핑!$A$4:$E$92,3,0)),"미분류"))</f>
        <v>일본</v>
      </c>
      <c r="X106" s="89" t="n">
        <f aca="false">IF($A106="",0,IF(O106="T",1,0))</f>
        <v>0</v>
      </c>
      <c r="Y106" s="89" t="n">
        <f aca="false">IF($A106="",0,IF(AND(C106="USD",X106=0,ISNUMBER(E106),ISNUMBER(K106)),IF(K106&gt;=설정!$C$8,1,0),0))</f>
        <v>1</v>
      </c>
      <c r="Z106" s="43" t="str">
        <f aca="false">IF($A106="","",N106&amp;"|"&amp;L106)</f>
        <v>아시아/기타|금융기관</v>
      </c>
      <c r="AA106" s="92" t="n">
        <f aca="false">IF(Y106=1,LN(K106),0)</f>
        <v>0.525911261184032</v>
      </c>
      <c r="AB106" s="93" t="n">
        <f aca="false">IF(Y106=1,E106,0)</f>
        <v>54.694</v>
      </c>
      <c r="AC106" s="89" t="n">
        <f aca="false">IF(Y106=1,COUNTIFS($Z$2:$Z$601,Z106,$Y$2:$Y$601,1),0)</f>
        <v>42</v>
      </c>
      <c r="AD106" s="89" t="n">
        <f aca="false">IF(Y106=1,COUNTIFS($N$2:$N$601,N106,$Y$2:$Y$601,1),0)</f>
        <v>137</v>
      </c>
      <c r="AE106" s="43" t="str">
        <f aca="false">IF(Y106&lt;&gt;1,"",IF(AND(AC106&gt;=설정!$C$7,ISNUMBER(MATCH(Z106,피어커브!$A:$A,0))),Z106,IF(AND(AD106&gt;=설정!$C$7,ISNUMBER(MATCH(N106&amp;"|전체",피어커브!$A:$A,0))),N106&amp;"|전체","전체|전체")))</f>
        <v>아시아/기타|금융기관</v>
      </c>
      <c r="AF106" s="93" t="n">
        <f aca="false">IF(AE106="","",INDEX(피어커브!$K:$K,MATCH(AE106,피어커브!$A:$A,0)))</f>
        <v>50.117430292991</v>
      </c>
      <c r="AG106" s="93" t="n">
        <f aca="false">IF(AE106="","",INDEX(피어커브!$J:$J,MATCH(AE106,피어커브!$A:$A,0)))</f>
        <v>13.9183160321618</v>
      </c>
      <c r="AH106" s="93" t="n">
        <f aca="false">IF(AE106="","",INDEX(피어커브!$L:$L,MATCH(AE106,피어커브!$A:$A,0)))</f>
        <v>20.4735875466442</v>
      </c>
      <c r="AI106" s="93" t="n">
        <f aca="false">IF(AE106="","",AF106+AG106*AA106)</f>
        <v>57.4372294310232</v>
      </c>
      <c r="AJ106" s="96" t="n">
        <f aca="false">IF(AE106="","",E106-AI106)</f>
        <v>-2.74322943102317</v>
      </c>
      <c r="AK106" s="95" t="n">
        <f aca="false">IF(AE106="","",IF(ISNUMBER(AH106),IF(AH106&gt;0,AJ106/AH106,""),""))</f>
        <v>-0.13398870250626</v>
      </c>
      <c r="AL106" s="43" t="str">
        <f aca="false">IF(AK106="","-",IF(AK106&gt;=설정!$C$6,"Cheap",IF(AK106&lt;=-설정!$C$6,"Rich","Fair")))</f>
        <v>Fair</v>
      </c>
      <c r="AM106" s="96" t="n">
        <f aca="false">IF(AE106="","",AJ106-AVERAGEIFS($AJ$2:$AJ$601,$B$2:$B$601,B106,$Y$2:$Y$601,1))</f>
        <v>-8.50300808726325</v>
      </c>
      <c r="AN106" s="93" t="n">
        <f aca="false">IF(AE106="",0,IF(K106&gt;1+설정!$C$8,AG106*(AA106-LN(K106-1)),0))</f>
        <v>12.444096133966</v>
      </c>
      <c r="AO106" s="99" t="n">
        <f aca="false">IF($A106="",0,SUMIFS(보유분석!$AA$2:$AA$801,보유분석!$AB$2:$AB$801,ROW(),보유분석!$AC$2:$AC$801,1))</f>
        <v>0</v>
      </c>
      <c r="AP106" s="43" t="str">
        <f aca="false">IF($A106="","",TRIM(IF(R106=1,"FRN ","")&amp;IF(IFERROR(VLOOKUP(M106,설정!$A$15:$D$47,4,0),0)&gt;=10,IF(IFERROR(VLOOKUP(M106,설정!$A$15:$D$47,4,0),0)&lt;99,"BBB0미만 ",""),"")&amp;IF(OR(M106="",M106="NR"),"등급미입력 ","")&amp;IF(C106&lt;&gt;"USD","비USD ","")))</f>
        <v/>
      </c>
      <c r="AQ106" s="90" t="n">
        <f aca="false">IF(AND(Y106=1,AL106="Cheap"),IF(AND(ISERROR(SEARCH("FRN",AP106)),ISERROR(SEARCH("BBB0미만",AP106))),AK106+ROW()/1000000000,-999),-999)</f>
        <v>-999</v>
      </c>
      <c r="AR106" s="92" t="n">
        <f aca="false">IF(AND(ISNUMBER(D106),ISNUMBER(K106)),D106+AN106*MAX(K106-1,0)/100,"")</f>
        <v>5.52211314524705</v>
      </c>
      <c r="AS106" s="93" t="n">
        <f aca="false">IF(AND(ISNUMBER(E106),ISNUMBER(K106)),IF(K106&gt;0,(E106+AN106*MAX(K106-1,0))/K106,""),"")</f>
        <v>37.4144884897781</v>
      </c>
      <c r="AT106" s="90" t="n">
        <f aca="false">IFERROR(IF(AND(Y106=1,ROW()&lt;&gt;스왑분석!$C$12+1,ABS(K106-INDEX($K$2:$K$601,스왑분석!$C$12))&lt;=스왑분석!$C$5,ISERROR(SEARCH("FRN",AP106)),ISERROR(SEARCH("BBB0미만",AP106))),IF(AND(OR(스왑분석!$C$6="N",L106=INDEX($L$2:$L$601,스왑분석!$C$12)),OR(스왑분석!$C$7="N",N106=INDEX($N$2:$N$601,스왑분석!$C$12)),OR(스왑분석!$C$8="N",AO106=0),E106-INDEX($E$2:$E$601,스왑분석!$C$12)&gt;=스왑분석!$C$9),E106-INDEX($E$2:$E$601,스왑분석!$C$12)+ROW()/1000000000,-999),-999),-999)</f>
        <v>-999</v>
      </c>
      <c r="AU106" s="90" t="n">
        <f aca="false">IF(AND(Y106=1,AO106&gt;0,AL106="Rich"),-AK106+ROW()/1000000000,-999)</f>
        <v>-999</v>
      </c>
    </row>
    <row r="107" customFormat="false" ht="15" hidden="false" customHeight="false" outlineLevel="0" collapsed="false">
      <c r="A107" s="83" t="str">
        <f aca="false">IFERROR(IF(INDEX(원자료_시장!$A$1:$BZ$1000,설정!$L$6+ROW()-1,설정!$L$24)&amp;""="0","",INDEX(원자료_시장!$A$1:$BZ$1000,설정!$L$6+ROW()-1,설정!$L$24)),"")</f>
        <v>NOMURA 5.491 06/29/35</v>
      </c>
      <c r="B107" s="83" t="str">
        <f aca="false">IFERROR(IF(INDEX(원자료_시장!$A$1:$BZ$1000,설정!$L$6+ROW()-1,설정!$L$37)&amp;""="0","",INDEX(원자료_시장!$A$1:$BZ$1000,설정!$L$6+ROW()-1,설정!$L$37)),"")</f>
        <v>NOMURA HOLDINGS INC</v>
      </c>
      <c r="C107" s="83" t="str">
        <f aca="false">IFERROR(IF(INDEX(원자료_시장!$A$1:$BZ$1000,설정!$L$6+ROW()-1,설정!$L$25)&amp;""="0","",INDEX(원자료_시장!$A$1:$BZ$1000,설정!$L$6+ROW()-1,설정!$L$25)),"")</f>
        <v>USD</v>
      </c>
      <c r="D107" s="85" t="n">
        <f aca="false">IFERROR(IF(ISNUMBER(INDEX(원자료_시장!$A$1:$BZ$1000,설정!$L$6+ROW()-1,설정!$L$26)),INDEX(원자료_시장!$A$1:$BZ$1000,설정!$L$6+ROW()-1,설정!$L$26),""),"")</f>
        <v>6.135</v>
      </c>
      <c r="E107" s="97" t="n">
        <f aca="false">IFERROR(IF(ISNUMBER(INDEX(원자료_시장!$A$1:$BZ$1000,설정!$L$6+ROW()-1,설정!$L$27)),INDEX(원자료_시장!$A$1:$BZ$1000,설정!$L$6+ROW()-1,설정!$L$27),""),"")</f>
        <v>84.802</v>
      </c>
      <c r="F107" s="97" t="n">
        <f aca="false">IFERROR(IF(ISNUMBER(INDEX(원자료_시장!$A$1:$BZ$1000,설정!$L$6+ROW()-1,설정!$L$28)),INDEX(원자료_시장!$A$1:$BZ$1000,설정!$L$6+ROW()-1,설정!$L$28),""),"")</f>
        <v>132.247</v>
      </c>
      <c r="G107" s="97" t="n">
        <f aca="false">IFERROR(IF(ISNUMBER(INDEX(원자료_시장!$A$1:$BZ$1000,설정!$L$6+ROW()-1,설정!$L$29)),INDEX(원자료_시장!$A$1:$BZ$1000,설정!$L$6+ROW()-1,설정!$L$29),""),"")</f>
        <v>0.2</v>
      </c>
      <c r="H107" s="97" t="n">
        <f aca="false">IFERROR(IF(ISNUMBER(INDEX(원자료_시장!$A$1:$BZ$1000,설정!$L$6+ROW()-1,설정!$L$30)),INDEX(원자료_시장!$A$1:$BZ$1000,설정!$L$6+ROW()-1,설정!$L$30),""),"")</f>
        <v>3.2</v>
      </c>
      <c r="I107" s="97" t="n">
        <f aca="false">IFERROR(IF(ISNUMBER(INDEX(원자료_시장!$A$1:$BZ$1000,설정!$L$6+ROW()-1,설정!$L$31)),INDEX(원자료_시장!$A$1:$BZ$1000,설정!$L$6+ROW()-1,설정!$L$31),""),"")</f>
        <v>4.7</v>
      </c>
      <c r="J107" s="97" t="n">
        <f aca="false">IFERROR(IF(ISNUMBER(INDEX(원자료_시장!$A$1:$BZ$1000,설정!$L$6+ROW()-1,설정!$L$32)),INDEX(원자료_시장!$A$1:$BZ$1000,설정!$L$6+ROW()-1,설정!$L$32),""),"")</f>
        <v>3.2</v>
      </c>
      <c r="K107" s="85" t="n">
        <f aca="false">IFERROR(IF(ISNUMBER(INDEX(원자료_시장!$A$1:$BZ$1000,설정!$L$6+ROW()-1,설정!$L$33)),INDEX(원자료_시장!$A$1:$BZ$1000,설정!$L$6+ROW()-1,설정!$L$33),""),"")</f>
        <v>6.914</v>
      </c>
      <c r="L107" s="83" t="str">
        <f aca="false">IFERROR(IF(INDEX(원자료_시장!$A$1:$BZ$1000,설정!$L$6+ROW()-1,설정!$L$34)&amp;""="0","",INDEX(원자료_시장!$A$1:$BZ$1000,설정!$L$6+ROW()-1,설정!$L$34)),"")</f>
        <v>금융기관</v>
      </c>
      <c r="M107" s="83" t="str">
        <f aca="false">IFERROR(IF(INDEX(원자료_시장!$A$1:$BZ$1000,설정!$L$6+ROW()-1,설정!$L$35)&amp;""="0","",INDEX(원자료_시장!$A$1:$BZ$1000,설정!$L$6+ROW()-1,설정!$L$35)),"")</f>
        <v>BBB+</v>
      </c>
      <c r="N107" s="83" t="str">
        <f aca="false">IFERROR(IF(INDEX(원자료_시장!$A$1:$BZ$1000,설정!$L$6+ROW()-1,설정!$L$36)&amp;""="0","",INDEX(원자료_시장!$A$1:$BZ$1000,설정!$L$6+ROW()-1,설정!$L$36)),"")</f>
        <v>아시아/기타</v>
      </c>
      <c r="O107" s="43" t="str">
        <f aca="false">IF($A107="","",UPPER(LEFT($A107,FIND(" ",$A107&amp;" ")-1)))</f>
        <v>NOMURA</v>
      </c>
      <c r="P107" s="43" t="str">
        <f aca="false">IF($A107="","",TRIM(RIGHT(SUBSTITUTE(TRIM($A107)," ",REPT(" ",30)),30)))</f>
        <v>06/29/35</v>
      </c>
      <c r="Q107" s="98" t="n">
        <f aca="false">IF($A107="","",IFERROR(DATE(IF(LEN(P107)=8,2000+VALUE(RIGHT(P107,2)),VALUE(RIGHT(P107,4))),VALUE(LEFT(P107,2)),VALUE(MID(P107,4,2))),""))</f>
        <v>49489</v>
      </c>
      <c r="R107" s="89" t="n">
        <f aca="false">IF($A107="",0,IF(ISNUMBER(SEARCH("Float",$A107)),1,0))</f>
        <v>0</v>
      </c>
      <c r="S107" s="43" t="str">
        <f aca="false">IF($A107="","",TRIM(MID($A107,LEN(O107)+2,LEN($A107)-LEN(O107)-LEN(P107)-1)))</f>
        <v>5.491</v>
      </c>
      <c r="T107" s="92" t="n">
        <f aca="false">IF(OR($A107="",R107=1),"",IFERROR(IF(ISNUMBER(FIND("/",S107)),IF(ISNUMBER(FIND(" ",S107)),VALUE(LEFT(S107,FIND(" ",S107)-1))+VALUE(MID(S107,FIND(" ",S107)+1,FIND("/",S107)-FIND(" ",S107)-1))/VALUE(MID(S107,FIND("/",S107)+1,9)),VALUE(LEFT(S107,FIND("/",S107)-1))/VALUE(MID(S107,FIND("/",S107)+1,9))),VALUE(S107)),""))</f>
        <v>5.491</v>
      </c>
      <c r="U107" s="43" t="str">
        <f aca="false">IF(OR($A107="",NOT(ISNUMBER(Q107))),"",TEXT(Q107,"yyyymmdd")&amp;"|"&amp;IF(R107=1,"F",TEXT(T107,"0.000")))</f>
        <v>20350629|5.491</v>
      </c>
      <c r="V107" s="43" t="str">
        <f aca="false">IF(U107="","",O107&amp;"|"&amp;U107)</f>
        <v>NOMURA|20350629|5.491</v>
      </c>
      <c r="W107" s="43" t="str">
        <f aca="false">IF($A107="","",IFERROR(IF(VLOOKUP(O107,매핑!$A$4:$E$92,3,0)="","미분류",VLOOKUP(O107,매핑!$A$4:$E$92,3,0)),"미분류"))</f>
        <v>일본</v>
      </c>
      <c r="X107" s="89" t="n">
        <f aca="false">IF($A107="",0,IF(O107="T",1,0))</f>
        <v>0</v>
      </c>
      <c r="Y107" s="89" t="n">
        <f aca="false">IF($A107="",0,IF(AND(C107="USD",X107=0,ISNUMBER(E107),ISNUMBER(K107)),IF(K107&gt;=설정!$C$8,1,0),0))</f>
        <v>1</v>
      </c>
      <c r="Z107" s="43" t="str">
        <f aca="false">IF($A107="","",N107&amp;"|"&amp;L107)</f>
        <v>아시아/기타|금융기관</v>
      </c>
      <c r="AA107" s="92" t="n">
        <f aca="false">IF(Y107=1,LN(K107),0)</f>
        <v>1.93354834149943</v>
      </c>
      <c r="AB107" s="93" t="n">
        <f aca="false">IF(Y107=1,E107,0)</f>
        <v>84.802</v>
      </c>
      <c r="AC107" s="89" t="n">
        <f aca="false">IF(Y107=1,COUNTIFS($Z$2:$Z$601,Z107,$Y$2:$Y$601,1),0)</f>
        <v>42</v>
      </c>
      <c r="AD107" s="89" t="n">
        <f aca="false">IF(Y107=1,COUNTIFS($N$2:$N$601,N107,$Y$2:$Y$601,1),0)</f>
        <v>137</v>
      </c>
      <c r="AE107" s="43" t="str">
        <f aca="false">IF(Y107&lt;&gt;1,"",IF(AND(AC107&gt;=설정!$C$7,ISNUMBER(MATCH(Z107,피어커브!$A:$A,0))),Z107,IF(AND(AD107&gt;=설정!$C$7,ISNUMBER(MATCH(N107&amp;"|전체",피어커브!$A:$A,0))),N107&amp;"|전체","전체|전체")))</f>
        <v>아시아/기타|금융기관</v>
      </c>
      <c r="AF107" s="93" t="n">
        <f aca="false">IF(AE107="","",INDEX(피어커브!$K:$K,MATCH(AE107,피어커브!$A:$A,0)))</f>
        <v>50.117430292991</v>
      </c>
      <c r="AG107" s="93" t="n">
        <f aca="false">IF(AE107="","",INDEX(피어커브!$J:$J,MATCH(AE107,피어커브!$A:$A,0)))</f>
        <v>13.9183160321618</v>
      </c>
      <c r="AH107" s="93" t="n">
        <f aca="false">IF(AE107="","",INDEX(피어커브!$L:$L,MATCH(AE107,피어커브!$A:$A,0)))</f>
        <v>20.4735875466442</v>
      </c>
      <c r="AI107" s="93" t="n">
        <f aca="false">IF(AE107="","",AF107+AG107*AA107)</f>
        <v>77.0291671734425</v>
      </c>
      <c r="AJ107" s="96" t="n">
        <f aca="false">IF(AE107="","",E107-AI107)</f>
        <v>7.77283282655755</v>
      </c>
      <c r="AK107" s="95" t="n">
        <f aca="false">IF(AE107="","",IF(ISNUMBER(AH107),IF(AH107&gt;0,AJ107/AH107,""),""))</f>
        <v>0.379651724879629</v>
      </c>
      <c r="AL107" s="43" t="str">
        <f aca="false">IF(AK107="","-",IF(AK107&gt;=설정!$C$6,"Cheap",IF(AK107&lt;=-설정!$C$6,"Rich","Fair")))</f>
        <v>Fair</v>
      </c>
      <c r="AM107" s="96" t="n">
        <f aca="false">IF(AE107="","",AJ107-AVERAGEIFS($AJ$2:$AJ$601,$B$2:$B$601,B107,$Y$2:$Y$601,1))</f>
        <v>2.01305417031747</v>
      </c>
      <c r="AN107" s="93" t="n">
        <f aca="false">IF(AE107="",0,IF(K107&gt;1+설정!$C$8,AG107*(AA107-LN(K107-1)),0))</f>
        <v>2.17440172793764</v>
      </c>
      <c r="AO107" s="99" t="n">
        <f aca="false">IF($A107="",0,SUMIFS(보유분석!$AA$2:$AA$801,보유분석!$AB$2:$AB$801,ROW(),보유분석!$AC$2:$AC$801,1))</f>
        <v>0.480196</v>
      </c>
      <c r="AP107" s="43" t="str">
        <f aca="false">IF($A107="","",TRIM(IF(R107=1,"FRN ","")&amp;IF(IFERROR(VLOOKUP(M107,설정!$A$15:$D$47,4,0),0)&gt;=10,IF(IFERROR(VLOOKUP(M107,설정!$A$15:$D$47,4,0),0)&lt;99,"BBB0미만 ",""),"")&amp;IF(OR(M107="",M107="NR"),"등급미입력 ","")&amp;IF(C107&lt;&gt;"USD","비USD ","")))</f>
        <v/>
      </c>
      <c r="AQ107" s="90" t="n">
        <f aca="false">IF(AND(Y107=1,AL107="Cheap"),IF(AND(ISERROR(SEARCH("FRN",AP107)),ISERROR(SEARCH("BBB0미만",AP107))),AK107+ROW()/1000000000,-999),-999)</f>
        <v>-999</v>
      </c>
      <c r="AR107" s="92" t="n">
        <f aca="false">IF(AND(ISNUMBER(D107),ISNUMBER(K107)),D107+AN107*MAX(K107-1,0)/100,"")</f>
        <v>6.26359411819023</v>
      </c>
      <c r="AS107" s="93" t="n">
        <f aca="false">IF(AND(ISNUMBER(E107),ISNUMBER(K107)),IF(K107&gt;0,(E107+AN107*MAX(K107-1,0))/K107,""),"")</f>
        <v>14.1251680386207</v>
      </c>
      <c r="AT107" s="90" t="n">
        <f aca="false">IFERROR(IF(AND(Y107=1,ROW()&lt;&gt;스왑분석!$C$12+1,ABS(K107-INDEX($K$2:$K$601,스왑분석!$C$12))&lt;=스왑분석!$C$5,ISERROR(SEARCH("FRN",AP107)),ISERROR(SEARCH("BBB0미만",AP107))),IF(AND(OR(스왑분석!$C$6="N",L107=INDEX($L$2:$L$601,스왑분석!$C$12)),OR(스왑분석!$C$7="N",N107=INDEX($N$2:$N$601,스왑분석!$C$12)),OR(스왑분석!$C$8="N",AO107=0),E107-INDEX($E$2:$E$601,스왑분석!$C$12)&gt;=스왑분석!$C$9),E107-INDEX($E$2:$E$601,스왑분석!$C$12)+ROW()/1000000000,-999),-999),-999)</f>
        <v>-999</v>
      </c>
      <c r="AU107" s="90" t="n">
        <f aca="false">IF(AND(Y107=1,AO107&gt;0,AL107="Rich"),-AK107+ROW()/1000000000,-999)</f>
        <v>-999</v>
      </c>
    </row>
    <row r="108" customFormat="false" ht="15" hidden="false" customHeight="false" outlineLevel="0" collapsed="false">
      <c r="A108" s="83" t="str">
        <f aca="false">IFERROR(IF(INDEX(원자료_시장!$A$1:$BZ$1000,설정!$L$6+ROW()-1,설정!$L$24)&amp;""="0","",INDEX(원자료_시장!$A$1:$BZ$1000,설정!$L$6+ROW()-1,설정!$L$24)),"")</f>
        <v>NOMURA 4.996 06/29/29</v>
      </c>
      <c r="B108" s="83" t="str">
        <f aca="false">IFERROR(IF(INDEX(원자료_시장!$A$1:$BZ$1000,설정!$L$6+ROW()-1,설정!$L$37)&amp;""="0","",INDEX(원자료_시장!$A$1:$BZ$1000,설정!$L$6+ROW()-1,설정!$L$37)),"")</f>
        <v>NOMURA HOLDINGS INC</v>
      </c>
      <c r="C108" s="83" t="str">
        <f aca="false">IFERROR(IF(INDEX(원자료_시장!$A$1:$BZ$1000,설정!$L$6+ROW()-1,설정!$L$25)&amp;""="0","",INDEX(원자료_시장!$A$1:$BZ$1000,설정!$L$6+ROW()-1,설정!$L$25)),"")</f>
        <v>USD</v>
      </c>
      <c r="D108" s="85" t="n">
        <f aca="false">IFERROR(IF(ISNUMBER(INDEX(원자료_시장!$A$1:$BZ$1000,설정!$L$6+ROW()-1,설정!$L$26)),INDEX(원자료_시장!$A$1:$BZ$1000,설정!$L$6+ROW()-1,설정!$L$26),""),"")</f>
        <v>5.672</v>
      </c>
      <c r="E108" s="97" t="n">
        <f aca="false">IFERROR(IF(ISNUMBER(INDEX(원자료_시장!$A$1:$BZ$1000,설정!$L$6+ROW()-1,설정!$L$27)),INDEX(원자료_시장!$A$1:$BZ$1000,설정!$L$6+ROW()-1,설정!$L$27),""),"")</f>
        <v>67.14</v>
      </c>
      <c r="F108" s="97" t="n">
        <f aca="false">IFERROR(IF(ISNUMBER(INDEX(원자료_시장!$A$1:$BZ$1000,설정!$L$6+ROW()-1,설정!$L$28)),INDEX(원자료_시장!$A$1:$BZ$1000,설정!$L$6+ROW()-1,설정!$L$28),""),"")</f>
        <v>94.698</v>
      </c>
      <c r="G108" s="97" t="n">
        <f aca="false">IFERROR(IF(ISNUMBER(INDEX(원자료_시장!$A$1:$BZ$1000,설정!$L$6+ROW()-1,설정!$L$29)),INDEX(원자료_시장!$A$1:$BZ$1000,설정!$L$6+ROW()-1,설정!$L$29),""),"")</f>
        <v>-1</v>
      </c>
      <c r="H108" s="97" t="n">
        <f aca="false">IFERROR(IF(ISNUMBER(INDEX(원자료_시장!$A$1:$BZ$1000,설정!$L$6+ROW()-1,설정!$L$30)),INDEX(원자료_시장!$A$1:$BZ$1000,설정!$L$6+ROW()-1,설정!$L$30),""),"")</f>
        <v>1.7</v>
      </c>
      <c r="I108" s="97" t="n">
        <f aca="false">IFERROR(IF(ISNUMBER(INDEX(원자료_시장!$A$1:$BZ$1000,설정!$L$6+ROW()-1,설정!$L$31)),INDEX(원자료_시장!$A$1:$BZ$1000,설정!$L$6+ROW()-1,설정!$L$31),""),"")</f>
        <v>0.1</v>
      </c>
      <c r="J108" s="97" t="n">
        <f aca="false">IFERROR(IF(ISNUMBER(INDEX(원자료_시장!$A$1:$BZ$1000,설정!$L$6+ROW()-1,설정!$L$32)),INDEX(원자료_시장!$A$1:$BZ$1000,설정!$L$6+ROW()-1,설정!$L$32),""),"")</f>
        <v>-3</v>
      </c>
      <c r="K108" s="85" t="n">
        <f aca="false">IFERROR(IF(ISNUMBER(INDEX(원자료_시장!$A$1:$BZ$1000,설정!$L$6+ROW()-1,설정!$L$33)),INDEX(원자료_시장!$A$1:$BZ$1000,설정!$L$6+ROW()-1,설정!$L$33),""),"")</f>
        <v>2.563</v>
      </c>
      <c r="L108" s="83" t="str">
        <f aca="false">IFERROR(IF(INDEX(원자료_시장!$A$1:$BZ$1000,설정!$L$6+ROW()-1,설정!$L$34)&amp;""="0","",INDEX(원자료_시장!$A$1:$BZ$1000,설정!$L$6+ROW()-1,설정!$L$34)),"")</f>
        <v>금융기관</v>
      </c>
      <c r="M108" s="83" t="str">
        <f aca="false">IFERROR(IF(INDEX(원자료_시장!$A$1:$BZ$1000,설정!$L$6+ROW()-1,설정!$L$35)&amp;""="0","",INDEX(원자료_시장!$A$1:$BZ$1000,설정!$L$6+ROW()-1,설정!$L$35)),"")</f>
        <v>BBB+</v>
      </c>
      <c r="N108" s="83" t="str">
        <f aca="false">IFERROR(IF(INDEX(원자료_시장!$A$1:$BZ$1000,설정!$L$6+ROW()-1,설정!$L$36)&amp;""="0","",INDEX(원자료_시장!$A$1:$BZ$1000,설정!$L$6+ROW()-1,설정!$L$36)),"")</f>
        <v>아시아/기타</v>
      </c>
      <c r="O108" s="43" t="str">
        <f aca="false">IF($A108="","",UPPER(LEFT($A108,FIND(" ",$A108&amp;" ")-1)))</f>
        <v>NOMURA</v>
      </c>
      <c r="P108" s="43" t="str">
        <f aca="false">IF($A108="","",TRIM(RIGHT(SUBSTITUTE(TRIM($A108)," ",REPT(" ",30)),30)))</f>
        <v>06/29/29</v>
      </c>
      <c r="Q108" s="98" t="n">
        <f aca="false">IF($A108="","",IFERROR(DATE(IF(LEN(P108)=8,2000+VALUE(RIGHT(P108,2)),VALUE(RIGHT(P108,4))),VALUE(LEFT(P108,2)),VALUE(MID(P108,4,2))),""))</f>
        <v>47298</v>
      </c>
      <c r="R108" s="89" t="n">
        <f aca="false">IF($A108="",0,IF(ISNUMBER(SEARCH("Float",$A108)),1,0))</f>
        <v>0</v>
      </c>
      <c r="S108" s="43" t="str">
        <f aca="false">IF($A108="","",TRIM(MID($A108,LEN(O108)+2,LEN($A108)-LEN(O108)-LEN(P108)-1)))</f>
        <v>4.996</v>
      </c>
      <c r="T108" s="92" t="n">
        <f aca="false">IF(OR($A108="",R108=1),"",IFERROR(IF(ISNUMBER(FIND("/",S108)),IF(ISNUMBER(FIND(" ",S108)),VALUE(LEFT(S108,FIND(" ",S108)-1))+VALUE(MID(S108,FIND(" ",S108)+1,FIND("/",S108)-FIND(" ",S108)-1))/VALUE(MID(S108,FIND("/",S108)+1,9)),VALUE(LEFT(S108,FIND("/",S108)-1))/VALUE(MID(S108,FIND("/",S108)+1,9))),VALUE(S108)),""))</f>
        <v>4.996</v>
      </c>
      <c r="U108" s="43" t="str">
        <f aca="false">IF(OR($A108="",NOT(ISNUMBER(Q108))),"",TEXT(Q108,"yyyymmdd")&amp;"|"&amp;IF(R108=1,"F",TEXT(T108,"0.000")))</f>
        <v>20290629|4.996</v>
      </c>
      <c r="V108" s="43" t="str">
        <f aca="false">IF(U108="","",O108&amp;"|"&amp;U108)</f>
        <v>NOMURA|20290629|4.996</v>
      </c>
      <c r="W108" s="43" t="str">
        <f aca="false">IF($A108="","",IFERROR(IF(VLOOKUP(O108,매핑!$A$4:$E$92,3,0)="","미분류",VLOOKUP(O108,매핑!$A$4:$E$92,3,0)),"미분류"))</f>
        <v>일본</v>
      </c>
      <c r="X108" s="89" t="n">
        <f aca="false">IF($A108="",0,IF(O108="T",1,0))</f>
        <v>0</v>
      </c>
      <c r="Y108" s="89" t="n">
        <f aca="false">IF($A108="",0,IF(AND(C108="USD",X108=0,ISNUMBER(E108),ISNUMBER(K108)),IF(K108&gt;=설정!$C$8,1,0),0))</f>
        <v>1</v>
      </c>
      <c r="Z108" s="43" t="str">
        <f aca="false">IF($A108="","",N108&amp;"|"&amp;L108)</f>
        <v>아시아/기타|금융기관</v>
      </c>
      <c r="AA108" s="92" t="n">
        <f aca="false">IF(Y108=1,LN(K108),0)</f>
        <v>0.941178447381934</v>
      </c>
      <c r="AB108" s="93" t="n">
        <f aca="false">IF(Y108=1,E108,0)</f>
        <v>67.14</v>
      </c>
      <c r="AC108" s="89" t="n">
        <f aca="false">IF(Y108=1,COUNTIFS($Z$2:$Z$601,Z108,$Y$2:$Y$601,1),0)</f>
        <v>42</v>
      </c>
      <c r="AD108" s="89" t="n">
        <f aca="false">IF(Y108=1,COUNTIFS($N$2:$N$601,N108,$Y$2:$Y$601,1),0)</f>
        <v>137</v>
      </c>
      <c r="AE108" s="43" t="str">
        <f aca="false">IF(Y108&lt;&gt;1,"",IF(AND(AC108&gt;=설정!$C$7,ISNUMBER(MATCH(Z108,피어커브!$A:$A,0))),Z108,IF(AND(AD108&gt;=설정!$C$7,ISNUMBER(MATCH(N108&amp;"|전체",피어커브!$A:$A,0))),N108&amp;"|전체","전체|전체")))</f>
        <v>아시아/기타|금융기관</v>
      </c>
      <c r="AF108" s="93" t="n">
        <f aca="false">IF(AE108="","",INDEX(피어커브!$K:$K,MATCH(AE108,피어커브!$A:$A,0)))</f>
        <v>50.117430292991</v>
      </c>
      <c r="AG108" s="93" t="n">
        <f aca="false">IF(AE108="","",INDEX(피어커브!$J:$J,MATCH(AE108,피어커브!$A:$A,0)))</f>
        <v>13.9183160321618</v>
      </c>
      <c r="AH108" s="93" t="n">
        <f aca="false">IF(AE108="","",INDEX(피어커브!$L:$L,MATCH(AE108,피어커브!$A:$A,0)))</f>
        <v>20.4735875466442</v>
      </c>
      <c r="AI108" s="93" t="n">
        <f aca="false">IF(AE108="","",AF108+AG108*AA108)</f>
        <v>63.2170493663122</v>
      </c>
      <c r="AJ108" s="96" t="n">
        <f aca="false">IF(AE108="","",E108-AI108)</f>
        <v>3.92295063368784</v>
      </c>
      <c r="AK108" s="95" t="n">
        <f aca="false">IF(AE108="","",IF(ISNUMBER(AH108),IF(AH108&gt;0,AJ108/AH108,""),""))</f>
        <v>0.191610318648373</v>
      </c>
      <c r="AL108" s="43" t="str">
        <f aca="false">IF(AK108="","-",IF(AK108&gt;=설정!$C$6,"Cheap",IF(AK108&lt;=-설정!$C$6,"Rich","Fair")))</f>
        <v>Fair</v>
      </c>
      <c r="AM108" s="96" t="n">
        <f aca="false">IF(AE108="","",AJ108-AVERAGEIFS($AJ$2:$AJ$601,$B$2:$B$601,B108,$Y$2:$Y$601,1))</f>
        <v>-1.83682802255224</v>
      </c>
      <c r="AN108" s="93" t="n">
        <f aca="false">IF(AE108="",0,IF(K108&gt;1+설정!$C$8,AG108*(AA108-LN(K108-1)),0))</f>
        <v>6.88360098919646</v>
      </c>
      <c r="AO108" s="99" t="n">
        <f aca="false">IF($A108="",0,SUMIFS(보유분석!$AA$2:$AA$801,보유분석!$AB$2:$AB$801,ROW(),보유분석!$AC$2:$AC$801,1))</f>
        <v>0.983078</v>
      </c>
      <c r="AP108" s="43" t="str">
        <f aca="false">IF($A108="","",TRIM(IF(R108=1,"FRN ","")&amp;IF(IFERROR(VLOOKUP(M108,설정!$A$15:$D$47,4,0),0)&gt;=10,IF(IFERROR(VLOOKUP(M108,설정!$A$15:$D$47,4,0),0)&lt;99,"BBB0미만 ",""),"")&amp;IF(OR(M108="",M108="NR"),"등급미입력 ","")&amp;IF(C108&lt;&gt;"USD","비USD ","")))</f>
        <v/>
      </c>
      <c r="AQ108" s="90" t="n">
        <f aca="false">IF(AND(Y108=1,AL108="Cheap"),IF(AND(ISERROR(SEARCH("FRN",AP108)),ISERROR(SEARCH("BBB0미만",AP108))),AK108+ROW()/1000000000,-999),-999)</f>
        <v>-999</v>
      </c>
      <c r="AR108" s="92" t="n">
        <f aca="false">IF(AND(ISNUMBER(D108),ISNUMBER(K108)),D108+AN108*MAX(K108-1,0)/100,"")</f>
        <v>5.77959068346114</v>
      </c>
      <c r="AS108" s="93" t="n">
        <f aca="false">IF(AND(ISNUMBER(E108),ISNUMBER(K108)),IF(K108&gt;0,(E108+AN108*MAX(K108-1,0))/K108,""),"")</f>
        <v>30.3937059485424</v>
      </c>
      <c r="AT108" s="90" t="n">
        <f aca="false">IFERROR(IF(AND(Y108=1,ROW()&lt;&gt;스왑분석!$C$12+1,ABS(K108-INDEX($K$2:$K$601,스왑분석!$C$12))&lt;=스왑분석!$C$5,ISERROR(SEARCH("FRN",AP108)),ISERROR(SEARCH("BBB0미만",AP108))),IF(AND(OR(스왑분석!$C$6="N",L108=INDEX($L$2:$L$601,스왑분석!$C$12)),OR(스왑분석!$C$7="N",N108=INDEX($N$2:$N$601,스왑분석!$C$12)),OR(스왑분석!$C$8="N",AO108=0),E108-INDEX($E$2:$E$601,스왑분석!$C$12)&gt;=스왑분석!$C$9),E108-INDEX($E$2:$E$601,스왑분석!$C$12)+ROW()/1000000000,-999),-999),-999)</f>
        <v>18.648000108</v>
      </c>
      <c r="AU108" s="90" t="n">
        <f aca="false">IF(AND(Y108=1,AO108&gt;0,AL108="Rich"),-AK108+ROW()/1000000000,-999)</f>
        <v>-999</v>
      </c>
    </row>
    <row r="109" customFormat="false" ht="15" hidden="false" customHeight="false" outlineLevel="0" collapsed="false">
      <c r="A109" s="83" t="str">
        <f aca="false">IFERROR(IF(INDEX(원자료_시장!$A$1:$BZ$1000,설정!$L$6+ROW()-1,설정!$L$24)&amp;""="0","",INDEX(원자료_시장!$A$1:$BZ$1000,설정!$L$6+ROW()-1,설정!$L$24)),"")</f>
        <v>NOMURA 5.166 07/14/31</v>
      </c>
      <c r="B109" s="83" t="str">
        <f aca="false">IFERROR(IF(INDEX(원자료_시장!$A$1:$BZ$1000,설정!$L$6+ROW()-1,설정!$L$37)&amp;""="0","",INDEX(원자료_시장!$A$1:$BZ$1000,설정!$L$6+ROW()-1,설정!$L$37)),"")</f>
        <v>NOMURA HOLDINGS INC</v>
      </c>
      <c r="C109" s="83" t="str">
        <f aca="false">IFERROR(IF(INDEX(원자료_시장!$A$1:$BZ$1000,설정!$L$6+ROW()-1,설정!$L$25)&amp;""="0","",INDEX(원자료_시장!$A$1:$BZ$1000,설정!$L$6+ROW()-1,설정!$L$25)),"")</f>
        <v>USD</v>
      </c>
      <c r="D109" s="85" t="n">
        <f aca="false">IFERROR(IF(ISNUMBER(INDEX(원자료_시장!$A$1:$BZ$1000,설정!$L$6+ROW()-1,설정!$L$26)),INDEX(원자료_시장!$A$1:$BZ$1000,설정!$L$6+ROW()-1,설정!$L$26),""),"")</f>
        <v>6.006</v>
      </c>
      <c r="E109" s="97" t="n">
        <f aca="false">IFERROR(IF(ISNUMBER(INDEX(원자료_시장!$A$1:$BZ$1000,설정!$L$6+ROW()-1,설정!$L$27)),INDEX(원자료_시장!$A$1:$BZ$1000,설정!$L$6+ROW()-1,설정!$L$27),""),"")</f>
        <v>91.944</v>
      </c>
      <c r="F109" s="97" t="n">
        <f aca="false">IFERROR(IF(ISNUMBER(INDEX(원자료_시장!$A$1:$BZ$1000,설정!$L$6+ROW()-1,설정!$L$28)),INDEX(원자료_시장!$A$1:$BZ$1000,설정!$L$6+ROW()-1,설정!$L$28),""),"")</f>
        <v>125.379</v>
      </c>
      <c r="G109" s="97" t="n">
        <f aca="false">IFERROR(IF(ISNUMBER(INDEX(원자료_시장!$A$1:$BZ$1000,설정!$L$6+ROW()-1,설정!$L$29)),INDEX(원자료_시장!$A$1:$BZ$1000,설정!$L$6+ROW()-1,설정!$L$29),""),"")</f>
        <v>-0.3</v>
      </c>
      <c r="H109" s="97" t="n">
        <f aca="false">IFERROR(IF(ISNUMBER(INDEX(원자료_시장!$A$1:$BZ$1000,설정!$L$6+ROW()-1,설정!$L$30)),INDEX(원자료_시장!$A$1:$BZ$1000,설정!$L$6+ROW()-1,설정!$L$30),""),"")</f>
        <v>3.6</v>
      </c>
      <c r="I109" s="97" t="n">
        <f aca="false">IFERROR(IF(ISNUMBER(INDEX(원자료_시장!$A$1:$BZ$1000,설정!$L$6+ROW()-1,설정!$L$31)),INDEX(원자료_시장!$A$1:$BZ$1000,설정!$L$6+ROW()-1,설정!$L$31),""),"")</f>
        <v>1.1</v>
      </c>
      <c r="J109" s="97" t="n">
        <f aca="false">IFERROR(IF(ISNUMBER(INDEX(원자료_시장!$A$1:$BZ$1000,설정!$L$6+ROW()-1,설정!$L$32)),INDEX(원자료_시장!$A$1:$BZ$1000,설정!$L$6+ROW()-1,설정!$L$32),""),"")</f>
        <v>4.6</v>
      </c>
      <c r="K109" s="85" t="n">
        <f aca="false">IFERROR(IF(ISNUMBER(INDEX(원자료_시장!$A$1:$BZ$1000,설정!$L$6+ROW()-1,설정!$L$33)),INDEX(원자료_시장!$A$1:$BZ$1000,설정!$L$6+ROW()-1,설정!$L$33),""),"")</f>
        <v>4.233</v>
      </c>
      <c r="L109" s="83" t="str">
        <f aca="false">IFERROR(IF(INDEX(원자료_시장!$A$1:$BZ$1000,설정!$L$6+ROW()-1,설정!$L$34)&amp;""="0","",INDEX(원자료_시장!$A$1:$BZ$1000,설정!$L$6+ROW()-1,설정!$L$34)),"")</f>
        <v>금융기관</v>
      </c>
      <c r="M109" s="83" t="str">
        <f aca="false">IFERROR(IF(INDEX(원자료_시장!$A$1:$BZ$1000,설정!$L$6+ROW()-1,설정!$L$35)&amp;""="0","",INDEX(원자료_시장!$A$1:$BZ$1000,설정!$L$6+ROW()-1,설정!$L$35)),"")</f>
        <v>BBB+</v>
      </c>
      <c r="N109" s="83" t="str">
        <f aca="false">IFERROR(IF(INDEX(원자료_시장!$A$1:$BZ$1000,설정!$L$6+ROW()-1,설정!$L$36)&amp;""="0","",INDEX(원자료_시장!$A$1:$BZ$1000,설정!$L$6+ROW()-1,설정!$L$36)),"")</f>
        <v>아시아/기타</v>
      </c>
      <c r="O109" s="43" t="str">
        <f aca="false">IF($A109="","",UPPER(LEFT($A109,FIND(" ",$A109&amp;" ")-1)))</f>
        <v>NOMURA</v>
      </c>
      <c r="P109" s="43" t="str">
        <f aca="false">IF($A109="","",TRIM(RIGHT(SUBSTITUTE(TRIM($A109)," ",REPT(" ",30)),30)))</f>
        <v>07/14/31</v>
      </c>
      <c r="Q109" s="98" t="n">
        <f aca="false">IF($A109="","",IFERROR(DATE(IF(LEN(P109)=8,2000+VALUE(RIGHT(P109,2)),VALUE(RIGHT(P109,4))),VALUE(LEFT(P109,2)),VALUE(MID(P109,4,2))),""))</f>
        <v>48043</v>
      </c>
      <c r="R109" s="89" t="n">
        <f aca="false">IF($A109="",0,IF(ISNUMBER(SEARCH("Float",$A109)),1,0))</f>
        <v>0</v>
      </c>
      <c r="S109" s="43" t="str">
        <f aca="false">IF($A109="","",TRIM(MID($A109,LEN(O109)+2,LEN($A109)-LEN(O109)-LEN(P109)-1)))</f>
        <v>5.166</v>
      </c>
      <c r="T109" s="92" t="n">
        <f aca="false">IF(OR($A109="",R109=1),"",IFERROR(IF(ISNUMBER(FIND("/",S109)),IF(ISNUMBER(FIND(" ",S109)),VALUE(LEFT(S109,FIND(" ",S109)-1))+VALUE(MID(S109,FIND(" ",S109)+1,FIND("/",S109)-FIND(" ",S109)-1))/VALUE(MID(S109,FIND("/",S109)+1,9)),VALUE(LEFT(S109,FIND("/",S109)-1))/VALUE(MID(S109,FIND("/",S109)+1,9))),VALUE(S109)),""))</f>
        <v>5.166</v>
      </c>
      <c r="U109" s="43" t="str">
        <f aca="false">IF(OR($A109="",NOT(ISNUMBER(Q109))),"",TEXT(Q109,"yyyymmdd")&amp;"|"&amp;IF(R109=1,"F",TEXT(T109,"0.000")))</f>
        <v>20310714|5.166</v>
      </c>
      <c r="V109" s="43" t="str">
        <f aca="false">IF(U109="","",O109&amp;"|"&amp;U109)</f>
        <v>NOMURA|20310714|5.166</v>
      </c>
      <c r="W109" s="43" t="str">
        <f aca="false">IF($A109="","",IFERROR(IF(VLOOKUP(O109,매핑!$A$4:$E$92,3,0)="","미분류",VLOOKUP(O109,매핑!$A$4:$E$92,3,0)),"미분류"))</f>
        <v>일본</v>
      </c>
      <c r="X109" s="89" t="n">
        <f aca="false">IF($A109="",0,IF(O109="T",1,0))</f>
        <v>0</v>
      </c>
      <c r="Y109" s="89" t="n">
        <f aca="false">IF($A109="",0,IF(AND(C109="USD",X109=0,ISNUMBER(E109),ISNUMBER(K109)),IF(K109&gt;=설정!$C$8,1,0),0))</f>
        <v>1</v>
      </c>
      <c r="Z109" s="43" t="str">
        <f aca="false">IF($A109="","",N109&amp;"|"&amp;L109)</f>
        <v>아시아/기타|금융기관</v>
      </c>
      <c r="AA109" s="92" t="n">
        <f aca="false">IF(Y109=1,LN(K109),0)</f>
        <v>1.44291096153879</v>
      </c>
      <c r="AB109" s="93" t="n">
        <f aca="false">IF(Y109=1,E109,0)</f>
        <v>91.944</v>
      </c>
      <c r="AC109" s="89" t="n">
        <f aca="false">IF(Y109=1,COUNTIFS($Z$2:$Z$601,Z109,$Y$2:$Y$601,1),0)</f>
        <v>42</v>
      </c>
      <c r="AD109" s="89" t="n">
        <f aca="false">IF(Y109=1,COUNTIFS($N$2:$N$601,N109,$Y$2:$Y$601,1),0)</f>
        <v>137</v>
      </c>
      <c r="AE109" s="43" t="str">
        <f aca="false">IF(Y109&lt;&gt;1,"",IF(AND(AC109&gt;=설정!$C$7,ISNUMBER(MATCH(Z109,피어커브!$A:$A,0))),Z109,IF(AND(AD109&gt;=설정!$C$7,ISNUMBER(MATCH(N109&amp;"|전체",피어커브!$A:$A,0))),N109&amp;"|전체","전체|전체")))</f>
        <v>아시아/기타|금융기관</v>
      </c>
      <c r="AF109" s="93" t="n">
        <f aca="false">IF(AE109="","",INDEX(피어커브!$K:$K,MATCH(AE109,피어커브!$A:$A,0)))</f>
        <v>50.117430292991</v>
      </c>
      <c r="AG109" s="93" t="n">
        <f aca="false">IF(AE109="","",INDEX(피어커브!$J:$J,MATCH(AE109,피어커브!$A:$A,0)))</f>
        <v>13.9183160321618</v>
      </c>
      <c r="AH109" s="93" t="n">
        <f aca="false">IF(AE109="","",INDEX(피어커브!$L:$L,MATCH(AE109,피어커브!$A:$A,0)))</f>
        <v>20.4735875466442</v>
      </c>
      <c r="AI109" s="93" t="n">
        <f aca="false">IF(AE109="","",AF109+AG109*AA109)</f>
        <v>70.2003210619583</v>
      </c>
      <c r="AJ109" s="96" t="n">
        <f aca="false">IF(AE109="","",E109-AI109)</f>
        <v>21.7436789380417</v>
      </c>
      <c r="AK109" s="95" t="n">
        <f aca="false">IF(AE109="","",IF(ISNUMBER(AH109),IF(AH109&gt;0,AJ109/AH109,""),""))</f>
        <v>1.06203560506941</v>
      </c>
      <c r="AL109" s="43" t="str">
        <f aca="false">IF(AK109="","-",IF(AK109&gt;=설정!$C$6,"Cheap",IF(AK109&lt;=-설정!$C$6,"Rich","Fair")))</f>
        <v>Cheap</v>
      </c>
      <c r="AM109" s="96" t="n">
        <f aca="false">IF(AE109="","",AJ109-AVERAGEIFS($AJ$2:$AJ$601,$B$2:$B$601,B109,$Y$2:$Y$601,1))</f>
        <v>15.9839002818016</v>
      </c>
      <c r="AN109" s="93" t="n">
        <f aca="false">IF(AE109="",0,IF(K109&gt;1+설정!$C$8,AG109*(AA109-LN(K109-1)),0))</f>
        <v>3.75099261200151</v>
      </c>
      <c r="AO109" s="99" t="n">
        <f aca="false">IF($A109="",0,SUMIFS(보유분석!$AA$2:$AA$801,보유분석!$AB$2:$AB$801,ROW(),보유분석!$AC$2:$AC$801,1))</f>
        <v>4.83547</v>
      </c>
      <c r="AP109" s="43" t="str">
        <f aca="false">IF($A109="","",TRIM(IF(R109=1,"FRN ","")&amp;IF(IFERROR(VLOOKUP(M109,설정!$A$15:$D$47,4,0),0)&gt;=10,IF(IFERROR(VLOOKUP(M109,설정!$A$15:$D$47,4,0),0)&lt;99,"BBB0미만 ",""),"")&amp;IF(OR(M109="",M109="NR"),"등급미입력 ","")&amp;IF(C109&lt;&gt;"USD","비USD ","")))</f>
        <v/>
      </c>
      <c r="AQ109" s="90" t="n">
        <f aca="false">IF(AND(Y109=1,AL109="Cheap"),IF(AND(ISERROR(SEARCH("FRN",AP109)),ISERROR(SEARCH("BBB0미만",AP109))),AK109+ROW()/1000000000,-999),-999)</f>
        <v>1.06203571406941</v>
      </c>
      <c r="AR109" s="92" t="n">
        <f aca="false">IF(AND(ISNUMBER(D109),ISNUMBER(K109)),D109+AN109*MAX(K109-1,0)/100,"")</f>
        <v>6.12726959114601</v>
      </c>
      <c r="AS109" s="93" t="n">
        <f aca="false">IF(AND(ISNUMBER(E109),ISNUMBER(K109)),IF(K109&gt;0,(E109+AN109*MAX(K109-1,0))/K109,""),"")</f>
        <v>24.5856270055755</v>
      </c>
      <c r="AT109" s="90" t="n">
        <f aca="false">IFERROR(IF(AND(Y109=1,ROW()&lt;&gt;스왑분석!$C$12+1,ABS(K109-INDEX($K$2:$K$601,스왑분석!$C$12))&lt;=스왑분석!$C$5,ISERROR(SEARCH("FRN",AP109)),ISERROR(SEARCH("BBB0미만",AP109))),IF(AND(OR(스왑분석!$C$6="N",L109=INDEX($L$2:$L$601,스왑분석!$C$12)),OR(스왑분석!$C$7="N",N109=INDEX($N$2:$N$601,스왑분석!$C$12)),OR(스왑분석!$C$8="N",AO109=0),E109-INDEX($E$2:$E$601,스왑분석!$C$12)&gt;=스왑분석!$C$9),E109-INDEX($E$2:$E$601,스왑분석!$C$12)+ROW()/1000000000,-999),-999),-999)</f>
        <v>43.452000109</v>
      </c>
      <c r="AU109" s="90" t="n">
        <f aca="false">IF(AND(Y109=1,AO109&gt;0,AL109="Rich"),-AK109+ROW()/1000000000,-999)</f>
        <v>-999</v>
      </c>
    </row>
    <row r="110" customFormat="false" ht="15" hidden="false" customHeight="false" outlineLevel="0" collapsed="false">
      <c r="A110" s="83" t="str">
        <f aca="false">IFERROR(IF(INDEX(원자료_시장!$A$1:$BZ$1000,설정!$L$6+ROW()-1,설정!$L$24)&amp;""="0","",INDEX(원자료_시장!$A$1:$BZ$1000,설정!$L$6+ROW()-1,설정!$L$24)),"")</f>
        <v>NACF 1 1/4 07/28/26</v>
      </c>
      <c r="B110" s="83" t="str">
        <f aca="false">IFERROR(IF(INDEX(원자료_시장!$A$1:$BZ$1000,설정!$L$6+ROW()-1,설정!$L$37)&amp;""="0","",INDEX(원자료_시장!$A$1:$BZ$1000,설정!$L$6+ROW()-1,설정!$L$37)),"")</f>
        <v>NONGHYUP BANK</v>
      </c>
      <c r="C110" s="83" t="str">
        <f aca="false">IFERROR(IF(INDEX(원자료_시장!$A$1:$BZ$1000,설정!$L$6+ROW()-1,설정!$L$25)&amp;""="0","",INDEX(원자료_시장!$A$1:$BZ$1000,설정!$L$6+ROW()-1,설정!$L$25)),"")</f>
        <v>USD</v>
      </c>
      <c r="D110" s="85" t="str">
        <f aca="false">IFERROR(IF(ISNUMBER(INDEX(원자료_시장!$A$1:$BZ$1000,설정!$L$6+ROW()-1,설정!$L$26)),INDEX(원자료_시장!$A$1:$BZ$1000,설정!$L$6+ROW()-1,설정!$L$26),""),"")</f>
        <v/>
      </c>
      <c r="E110" s="97" t="str">
        <f aca="false">IFERROR(IF(ISNUMBER(INDEX(원자료_시장!$A$1:$BZ$1000,설정!$L$6+ROW()-1,설정!$L$27)),INDEX(원자료_시장!$A$1:$BZ$1000,설정!$L$6+ROW()-1,설정!$L$27),""),"")</f>
        <v/>
      </c>
      <c r="F110" s="97" t="str">
        <f aca="false">IFERROR(IF(ISNUMBER(INDEX(원자료_시장!$A$1:$BZ$1000,설정!$L$6+ROW()-1,설정!$L$28)),INDEX(원자료_시장!$A$1:$BZ$1000,설정!$L$6+ROW()-1,설정!$L$28),""),"")</f>
        <v/>
      </c>
      <c r="G110" s="97" t="n">
        <f aca="false">IFERROR(IF(ISNUMBER(INDEX(원자료_시장!$A$1:$BZ$1000,설정!$L$6+ROW()-1,설정!$L$29)),INDEX(원자료_시장!$A$1:$BZ$1000,설정!$L$6+ROW()-1,설정!$L$29),""),"")</f>
        <v>-33</v>
      </c>
      <c r="H110" s="97" t="n">
        <f aca="false">IFERROR(IF(ISNUMBER(INDEX(원자료_시장!$A$1:$BZ$1000,설정!$L$6+ROW()-1,설정!$L$30)),INDEX(원자료_시장!$A$1:$BZ$1000,설정!$L$6+ROW()-1,설정!$L$30),""),"")</f>
        <v>121.7</v>
      </c>
      <c r="I110" s="97" t="str">
        <f aca="false">IFERROR(IF(ISNUMBER(INDEX(원자료_시장!$A$1:$BZ$1000,설정!$L$6+ROW()-1,설정!$L$31)),INDEX(원자료_시장!$A$1:$BZ$1000,설정!$L$6+ROW()-1,설정!$L$31),""),"")</f>
        <v/>
      </c>
      <c r="J110" s="97" t="n">
        <f aca="false">IFERROR(IF(ISNUMBER(INDEX(원자료_시장!$A$1:$BZ$1000,설정!$L$6+ROW()-1,설정!$L$32)),INDEX(원자료_시장!$A$1:$BZ$1000,설정!$L$6+ROW()-1,설정!$L$32),""),"")</f>
        <v>115.5</v>
      </c>
      <c r="K110" s="85" t="str">
        <f aca="false">IFERROR(IF(ISNUMBER(INDEX(원자료_시장!$A$1:$BZ$1000,설정!$L$6+ROW()-1,설정!$L$33)),INDEX(원자료_시장!$A$1:$BZ$1000,설정!$L$6+ROW()-1,설정!$L$33),""),"")</f>
        <v/>
      </c>
      <c r="L110" s="83" t="str">
        <f aca="false">IFERROR(IF(INDEX(원자료_시장!$A$1:$BZ$1000,설정!$L$6+ROW()-1,설정!$L$34)&amp;""="0","",INDEX(원자료_시장!$A$1:$BZ$1000,설정!$L$6+ROW()-1,설정!$L$34)),"")</f>
        <v>금융기관</v>
      </c>
      <c r="M110" s="83" t="str">
        <f aca="false">IFERROR(IF(INDEX(원자료_시장!$A$1:$BZ$1000,설정!$L$6+ROW()-1,설정!$L$35)&amp;""="0","",INDEX(원자료_시장!$A$1:$BZ$1000,설정!$L$6+ROW()-1,설정!$L$35)),"")</f>
        <v>NR</v>
      </c>
      <c r="N110" s="83" t="str">
        <f aca="false">IFERROR(IF(INDEX(원자료_시장!$A$1:$BZ$1000,설정!$L$6+ROW()-1,설정!$L$36)&amp;""="0","",INDEX(원자료_시장!$A$1:$BZ$1000,설정!$L$6+ROW()-1,설정!$L$36)),"")</f>
        <v>아시아/기타</v>
      </c>
      <c r="O110" s="43" t="str">
        <f aca="false">IF($A110="","",UPPER(LEFT($A110,FIND(" ",$A110&amp;" ")-1)))</f>
        <v>NACF</v>
      </c>
      <c r="P110" s="43" t="str">
        <f aca="false">IF($A110="","",TRIM(RIGHT(SUBSTITUTE(TRIM($A110)," ",REPT(" ",30)),30)))</f>
        <v>07/28/26</v>
      </c>
      <c r="Q110" s="98" t="n">
        <f aca="false">IF($A110="","",IFERROR(DATE(IF(LEN(P110)=8,2000+VALUE(RIGHT(P110,2)),VALUE(RIGHT(P110,4))),VALUE(LEFT(P110,2)),VALUE(MID(P110,4,2))),""))</f>
        <v>46231</v>
      </c>
      <c r="R110" s="89" t="n">
        <f aca="false">IF($A110="",0,IF(ISNUMBER(SEARCH("Float",$A110)),1,0))</f>
        <v>0</v>
      </c>
      <c r="S110" s="43" t="str">
        <f aca="false">IF($A110="","",TRIM(MID($A110,LEN(O110)+2,LEN($A110)-LEN(O110)-LEN(P110)-1)))</f>
        <v>1 1/4</v>
      </c>
      <c r="T110" s="92" t="n">
        <f aca="false">IF(OR($A110="",R110=1),"",IFERROR(IF(ISNUMBER(FIND("/",S110)),IF(ISNUMBER(FIND(" ",S110)),VALUE(LEFT(S110,FIND(" ",S110)-1))+VALUE(MID(S110,FIND(" ",S110)+1,FIND("/",S110)-FIND(" ",S110)-1))/VALUE(MID(S110,FIND("/",S110)+1,9)),VALUE(LEFT(S110,FIND("/",S110)-1))/VALUE(MID(S110,FIND("/",S110)+1,9))),VALUE(S110)),""))</f>
        <v>1.25</v>
      </c>
      <c r="U110" s="43" t="str">
        <f aca="false">IF(OR($A110="",NOT(ISNUMBER(Q110))),"",TEXT(Q110,"yyyymmdd")&amp;"|"&amp;IF(R110=1,"F",TEXT(T110,"0.000")))</f>
        <v>20260728|1.250</v>
      </c>
      <c r="V110" s="43" t="str">
        <f aca="false">IF(U110="","",O110&amp;"|"&amp;U110)</f>
        <v>NACF|20260728|1.250</v>
      </c>
      <c r="W110" s="43" t="str">
        <f aca="false">IF($A110="","",IFERROR(IF(VLOOKUP(O110,매핑!$A$4:$E$92,3,0)="","미분류",VLOOKUP(O110,매핑!$A$4:$E$92,3,0)),"미분류"))</f>
        <v>한국</v>
      </c>
      <c r="X110" s="89" t="n">
        <f aca="false">IF($A110="",0,IF(O110="T",1,0))</f>
        <v>0</v>
      </c>
      <c r="Y110" s="89" t="n">
        <f aca="false">IF($A110="",0,IF(AND(C110="USD",X110=0,ISNUMBER(E110),ISNUMBER(K110)),IF(K110&gt;=설정!$C$8,1,0),0))</f>
        <v>0</v>
      </c>
      <c r="Z110" s="43" t="str">
        <f aca="false">IF($A110="","",N110&amp;"|"&amp;L110)</f>
        <v>아시아/기타|금융기관</v>
      </c>
      <c r="AA110" s="92" t="n">
        <f aca="false">IF(Y110=1,LN(K110),0)</f>
        <v>0</v>
      </c>
      <c r="AB110" s="93" t="n">
        <f aca="false">IF(Y110=1,E110,0)</f>
        <v>0</v>
      </c>
      <c r="AC110" s="89" t="n">
        <f aca="false">IF(Y110=1,COUNTIFS($Z$2:$Z$601,Z110,$Y$2:$Y$601,1),0)</f>
        <v>0</v>
      </c>
      <c r="AD110" s="89" t="n">
        <f aca="false">IF(Y110=1,COUNTIFS($N$2:$N$601,N110,$Y$2:$Y$601,1),0)</f>
        <v>0</v>
      </c>
      <c r="AE110" s="43" t="str">
        <f aca="false">IF(Y110&lt;&gt;1,"",IF(AND(AC110&gt;=설정!$C$7,ISNUMBER(MATCH(Z110,피어커브!$A:$A,0))),Z110,IF(AND(AD110&gt;=설정!$C$7,ISNUMBER(MATCH(N110&amp;"|전체",피어커브!$A:$A,0))),N110&amp;"|전체","전체|전체")))</f>
        <v/>
      </c>
      <c r="AF110" s="93" t="str">
        <f aca="false">IF(AE110="","",INDEX(피어커브!$K:$K,MATCH(AE110,피어커브!$A:$A,0)))</f>
        <v/>
      </c>
      <c r="AG110" s="93" t="str">
        <f aca="false">IF(AE110="","",INDEX(피어커브!$J:$J,MATCH(AE110,피어커브!$A:$A,0)))</f>
        <v/>
      </c>
      <c r="AH110" s="93" t="str">
        <f aca="false">IF(AE110="","",INDEX(피어커브!$L:$L,MATCH(AE110,피어커브!$A:$A,0)))</f>
        <v/>
      </c>
      <c r="AI110" s="93" t="str">
        <f aca="false">IF(AE110="","",AF110+AG110*AA110)</f>
        <v/>
      </c>
      <c r="AJ110" s="96" t="str">
        <f aca="false">IF(AE110="","",E110-AI110)</f>
        <v/>
      </c>
      <c r="AK110" s="95" t="str">
        <f aca="false">IF(AE110="","",IF(ISNUMBER(AH110),IF(AH110&gt;0,AJ110/AH110,""),""))</f>
        <v/>
      </c>
      <c r="AL110" s="43" t="str">
        <f aca="false">IF(AK110="","-",IF(AK110&gt;=설정!$C$6,"Cheap",IF(AK110&lt;=-설정!$C$6,"Rich","Fair")))</f>
        <v>-</v>
      </c>
      <c r="AM110" s="96" t="str">
        <f aca="false">IF(AE110="","",AJ110-AVERAGEIFS($AJ$2:$AJ$601,$B$2:$B$601,B110,$Y$2:$Y$601,1))</f>
        <v/>
      </c>
      <c r="AN110" s="93" t="n">
        <f aca="false">IF(AE110="",0,IF(K110&gt;1+설정!$C$8,AG110*(AA110-LN(K110-1)),0))</f>
        <v>0</v>
      </c>
      <c r="AO110" s="99" t="n">
        <f aca="false">IF($A110="",0,SUMIFS(보유분석!$AA$2:$AA$801,보유분석!$AB$2:$AB$801,ROW(),보유분석!$AC$2:$AC$801,1))</f>
        <v>0</v>
      </c>
      <c r="AP110" s="43" t="str">
        <f aca="false">IF($A110="","",TRIM(IF(R110=1,"FRN ","")&amp;IF(IFERROR(VLOOKUP(M110,설정!$A$15:$D$47,4,0),0)&gt;=10,IF(IFERROR(VLOOKUP(M110,설정!$A$15:$D$47,4,0),0)&lt;99,"BBB0미만 ",""),"")&amp;IF(OR(M110="",M110="NR"),"등급미입력 ","")&amp;IF(C110&lt;&gt;"USD","비USD ","")))</f>
        <v>등급미입력</v>
      </c>
      <c r="AQ110" s="90" t="n">
        <f aca="false">IF(AND(Y110=1,AL110="Cheap"),IF(AND(ISERROR(SEARCH("FRN",AP110)),ISERROR(SEARCH("BBB0미만",AP110))),AK110+ROW()/1000000000,-999),-999)</f>
        <v>-999</v>
      </c>
      <c r="AR110" s="92" t="str">
        <f aca="false">IF(AND(ISNUMBER(D110),ISNUMBER(K110)),D110+AN110*MAX(K110-1,0)/100,"")</f>
        <v/>
      </c>
      <c r="AS110" s="93" t="str">
        <f aca="false">IF(AND(ISNUMBER(E110),ISNUMBER(K110)),IF(K110&gt;0,(E110+AN110*MAX(K110-1,0))/K110,""),"")</f>
        <v/>
      </c>
      <c r="AT110" s="90" t="n">
        <f aca="false">IFERROR(IF(AND(Y110=1,ROW()&lt;&gt;스왑분석!$C$12+1,ABS(K110-INDEX($K$2:$K$601,스왑분석!$C$12))&lt;=스왑분석!$C$5,ISERROR(SEARCH("FRN",AP110)),ISERROR(SEARCH("BBB0미만",AP110))),IF(AND(OR(스왑분석!$C$6="N",L110=INDEX($L$2:$L$601,스왑분석!$C$12)),OR(스왑분석!$C$7="N",N110=INDEX($N$2:$N$601,스왑분석!$C$12)),OR(스왑분석!$C$8="N",AO110=0),E110-INDEX($E$2:$E$601,스왑분석!$C$12)&gt;=스왑분석!$C$9),E110-INDEX($E$2:$E$601,스왑분석!$C$12)+ROW()/1000000000,-999),-999),-999)</f>
        <v>-999</v>
      </c>
      <c r="AU110" s="90" t="n">
        <f aca="false">IF(AND(Y110=1,AO110&gt;0,AL110="Rich"),-AK110+ROW()/1000000000,-999)</f>
        <v>-999</v>
      </c>
    </row>
    <row r="111" customFormat="false" ht="15" hidden="false" customHeight="false" outlineLevel="0" collapsed="false">
      <c r="A111" s="83" t="str">
        <f aca="false">IFERROR(IF(INDEX(원자료_시장!$A$1:$BZ$1000,설정!$L$6+ROW()-1,설정!$L$24)&amp;""="0","",INDEX(원자료_시장!$A$1:$BZ$1000,설정!$L$6+ROW()-1,설정!$L$24)),"")</f>
        <v>NACF 4 7/8 07/03/28</v>
      </c>
      <c r="B111" s="83" t="str">
        <f aca="false">IFERROR(IF(INDEX(원자료_시장!$A$1:$BZ$1000,설정!$L$6+ROW()-1,설정!$L$37)&amp;""="0","",INDEX(원자료_시장!$A$1:$BZ$1000,설정!$L$6+ROW()-1,설정!$L$37)),"")</f>
        <v>NONGHYUP BANK</v>
      </c>
      <c r="C111" s="83" t="str">
        <f aca="false">IFERROR(IF(INDEX(원자료_시장!$A$1:$BZ$1000,설정!$L$6+ROW()-1,설정!$L$25)&amp;""="0","",INDEX(원자료_시장!$A$1:$BZ$1000,설정!$L$6+ROW()-1,설정!$L$25)),"")</f>
        <v>USD</v>
      </c>
      <c r="D111" s="85" t="n">
        <f aca="false">IFERROR(IF(ISNUMBER(INDEX(원자료_시장!$A$1:$BZ$1000,설정!$L$6+ROW()-1,설정!$L$26)),INDEX(원자료_시장!$A$1:$BZ$1000,설정!$L$6+ROW()-1,설정!$L$26),""),"")</f>
        <v>5.255</v>
      </c>
      <c r="E111" s="97" t="n">
        <f aca="false">IFERROR(IF(ISNUMBER(INDEX(원자료_시장!$A$1:$BZ$1000,설정!$L$6+ROW()-1,설정!$L$27)),INDEX(원자료_시장!$A$1:$BZ$1000,설정!$L$6+ROW()-1,설정!$L$27),""),"")</f>
        <v>36.624</v>
      </c>
      <c r="F111" s="97" t="n">
        <f aca="false">IFERROR(IF(ISNUMBER(INDEX(원자료_시장!$A$1:$BZ$1000,설정!$L$6+ROW()-1,설정!$L$28)),INDEX(원자료_시장!$A$1:$BZ$1000,설정!$L$6+ROW()-1,설정!$L$28),""),"")</f>
        <v>60.218</v>
      </c>
      <c r="G111" s="97" t="n">
        <f aca="false">IFERROR(IF(ISNUMBER(INDEX(원자료_시장!$A$1:$BZ$1000,설정!$L$6+ROW()-1,설정!$L$29)),INDEX(원자료_시장!$A$1:$BZ$1000,설정!$L$6+ROW()-1,설정!$L$29),""),"")</f>
        <v>1.4</v>
      </c>
      <c r="H111" s="97" t="n">
        <f aca="false">IFERROR(IF(ISNUMBER(INDEX(원자료_시장!$A$1:$BZ$1000,설정!$L$6+ROW()-1,설정!$L$30)),INDEX(원자료_시장!$A$1:$BZ$1000,설정!$L$6+ROW()-1,설정!$L$30),""),"")</f>
        <v>2.7</v>
      </c>
      <c r="I111" s="97" t="n">
        <f aca="false">IFERROR(IF(ISNUMBER(INDEX(원자료_시장!$A$1:$BZ$1000,설정!$L$6+ROW()-1,설정!$L$31)),INDEX(원자료_시장!$A$1:$BZ$1000,설정!$L$6+ROW()-1,설정!$L$31),""),"")</f>
        <v>-0.7</v>
      </c>
      <c r="J111" s="97" t="n">
        <f aca="false">IFERROR(IF(ISNUMBER(INDEX(원자료_시장!$A$1:$BZ$1000,설정!$L$6+ROW()-1,설정!$L$32)),INDEX(원자료_시장!$A$1:$BZ$1000,설정!$L$6+ROW()-1,설정!$L$32),""),"")</f>
        <v>6.5</v>
      </c>
      <c r="K111" s="85" t="n">
        <f aca="false">IFERROR(IF(ISNUMBER(INDEX(원자료_시장!$A$1:$BZ$1000,설정!$L$6+ROW()-1,설정!$L$33)),INDEX(원자료_시장!$A$1:$BZ$1000,설정!$L$6+ROW()-1,설정!$L$33),""),"")</f>
        <v>1.682</v>
      </c>
      <c r="L111" s="83" t="str">
        <f aca="false">IFERROR(IF(INDEX(원자료_시장!$A$1:$BZ$1000,설정!$L$6+ROW()-1,설정!$L$34)&amp;""="0","",INDEX(원자료_시장!$A$1:$BZ$1000,설정!$L$6+ROW()-1,설정!$L$34)),"")</f>
        <v>금융기관</v>
      </c>
      <c r="M111" s="83" t="str">
        <f aca="false">IFERROR(IF(INDEX(원자료_시장!$A$1:$BZ$1000,설정!$L$6+ROW()-1,설정!$L$35)&amp;""="0","",INDEX(원자료_시장!$A$1:$BZ$1000,설정!$L$6+ROW()-1,설정!$L$35)),"")</f>
        <v>A+</v>
      </c>
      <c r="N111" s="83" t="str">
        <f aca="false">IFERROR(IF(INDEX(원자료_시장!$A$1:$BZ$1000,설정!$L$6+ROW()-1,설정!$L$36)&amp;""="0","",INDEX(원자료_시장!$A$1:$BZ$1000,설정!$L$6+ROW()-1,설정!$L$36)),"")</f>
        <v>아시아/기타</v>
      </c>
      <c r="O111" s="43" t="str">
        <f aca="false">IF($A111="","",UPPER(LEFT($A111,FIND(" ",$A111&amp;" ")-1)))</f>
        <v>NACF</v>
      </c>
      <c r="P111" s="43" t="str">
        <f aca="false">IF($A111="","",TRIM(RIGHT(SUBSTITUTE(TRIM($A111)," ",REPT(" ",30)),30)))</f>
        <v>07/03/28</v>
      </c>
      <c r="Q111" s="98" t="n">
        <f aca="false">IF($A111="","",IFERROR(DATE(IF(LEN(P111)=8,2000+VALUE(RIGHT(P111,2)),VALUE(RIGHT(P111,4))),VALUE(LEFT(P111,2)),VALUE(MID(P111,4,2))),""))</f>
        <v>46937</v>
      </c>
      <c r="R111" s="89" t="n">
        <f aca="false">IF($A111="",0,IF(ISNUMBER(SEARCH("Float",$A111)),1,0))</f>
        <v>0</v>
      </c>
      <c r="S111" s="43" t="str">
        <f aca="false">IF($A111="","",TRIM(MID($A111,LEN(O111)+2,LEN($A111)-LEN(O111)-LEN(P111)-1)))</f>
        <v>4 7/8</v>
      </c>
      <c r="T111" s="92" t="n">
        <f aca="false">IF(OR($A111="",R111=1),"",IFERROR(IF(ISNUMBER(FIND("/",S111)),IF(ISNUMBER(FIND(" ",S111)),VALUE(LEFT(S111,FIND(" ",S111)-1))+VALUE(MID(S111,FIND(" ",S111)+1,FIND("/",S111)-FIND(" ",S111)-1))/VALUE(MID(S111,FIND("/",S111)+1,9)),VALUE(LEFT(S111,FIND("/",S111)-1))/VALUE(MID(S111,FIND("/",S111)+1,9))),VALUE(S111)),""))</f>
        <v>4.875</v>
      </c>
      <c r="U111" s="43" t="str">
        <f aca="false">IF(OR($A111="",NOT(ISNUMBER(Q111))),"",TEXT(Q111,"yyyymmdd")&amp;"|"&amp;IF(R111=1,"F",TEXT(T111,"0.000")))</f>
        <v>20280703|4.875</v>
      </c>
      <c r="V111" s="43" t="str">
        <f aca="false">IF(U111="","",O111&amp;"|"&amp;U111)</f>
        <v>NACF|20280703|4.875</v>
      </c>
      <c r="W111" s="43" t="str">
        <f aca="false">IF($A111="","",IFERROR(IF(VLOOKUP(O111,매핑!$A$4:$E$92,3,0)="","미분류",VLOOKUP(O111,매핑!$A$4:$E$92,3,0)),"미분류"))</f>
        <v>한국</v>
      </c>
      <c r="X111" s="89" t="n">
        <f aca="false">IF($A111="",0,IF(O111="T",1,0))</f>
        <v>0</v>
      </c>
      <c r="Y111" s="89" t="n">
        <f aca="false">IF($A111="",0,IF(AND(C111="USD",X111=0,ISNUMBER(E111),ISNUMBER(K111)),IF(K111&gt;=설정!$C$8,1,0),0))</f>
        <v>1</v>
      </c>
      <c r="Z111" s="43" t="str">
        <f aca="false">IF($A111="","",N111&amp;"|"&amp;L111)</f>
        <v>아시아/기타|금융기관</v>
      </c>
      <c r="AA111" s="92" t="n">
        <f aca="false">IF(Y111=1,LN(K111),0)</f>
        <v>0.519983561550756</v>
      </c>
      <c r="AB111" s="93" t="n">
        <f aca="false">IF(Y111=1,E111,0)</f>
        <v>36.624</v>
      </c>
      <c r="AC111" s="89" t="n">
        <f aca="false">IF(Y111=1,COUNTIFS($Z$2:$Z$601,Z111,$Y$2:$Y$601,1),0)</f>
        <v>42</v>
      </c>
      <c r="AD111" s="89" t="n">
        <f aca="false">IF(Y111=1,COUNTIFS($N$2:$N$601,N111,$Y$2:$Y$601,1),0)</f>
        <v>137</v>
      </c>
      <c r="AE111" s="43" t="str">
        <f aca="false">IF(Y111&lt;&gt;1,"",IF(AND(AC111&gt;=설정!$C$7,ISNUMBER(MATCH(Z111,피어커브!$A:$A,0))),Z111,IF(AND(AD111&gt;=설정!$C$7,ISNUMBER(MATCH(N111&amp;"|전체",피어커브!$A:$A,0))),N111&amp;"|전체","전체|전체")))</f>
        <v>아시아/기타|금융기관</v>
      </c>
      <c r="AF111" s="93" t="n">
        <f aca="false">IF(AE111="","",INDEX(피어커브!$K:$K,MATCH(AE111,피어커브!$A:$A,0)))</f>
        <v>50.117430292991</v>
      </c>
      <c r="AG111" s="93" t="n">
        <f aca="false">IF(AE111="","",INDEX(피어커브!$J:$J,MATCH(AE111,피어커브!$A:$A,0)))</f>
        <v>13.9183160321618</v>
      </c>
      <c r="AH111" s="93" t="n">
        <f aca="false">IF(AE111="","",INDEX(피어커브!$L:$L,MATCH(AE111,피어커브!$A:$A,0)))</f>
        <v>20.4735875466442</v>
      </c>
      <c r="AI111" s="93" t="n">
        <f aca="false">IF(AE111="","",AF111+AG111*AA111)</f>
        <v>57.3547258341835</v>
      </c>
      <c r="AJ111" s="96" t="n">
        <f aca="false">IF(AE111="","",E111-AI111)</f>
        <v>-20.7307258341835</v>
      </c>
      <c r="AK111" s="95" t="n">
        <f aca="false">IF(AE111="","",IF(ISNUMBER(AH111),IF(AH111&gt;0,AJ111/AH111,""),""))</f>
        <v>-1.01255951293116</v>
      </c>
      <c r="AL111" s="43" t="str">
        <f aca="false">IF(AK111="","-",IF(AK111&gt;=설정!$C$6,"Cheap",IF(AK111&lt;=-설정!$C$6,"Rich","Fair")))</f>
        <v>Rich</v>
      </c>
      <c r="AM111" s="96" t="n">
        <f aca="false">IF(AE111="","",AJ111-AVERAGEIFS($AJ$2:$AJ$601,$B$2:$B$601,B111,$Y$2:$Y$601,1))</f>
        <v>11.9775091491586</v>
      </c>
      <c r="AN111" s="93" t="n">
        <f aca="false">IF(AE111="",0,IF(K111&gt;1+설정!$C$8,AG111*(AA111-LN(K111-1)),0))</f>
        <v>12.564191689806</v>
      </c>
      <c r="AO111" s="99" t="n">
        <f aca="false">IF($A111="",0,SUMIFS(보유분석!$AA$2:$AA$801,보유분석!$AB$2:$AB$801,ROW(),보유분석!$AC$2:$AC$801,1))</f>
        <v>0</v>
      </c>
      <c r="AP111" s="43" t="str">
        <f aca="false">IF($A111="","",TRIM(IF(R111=1,"FRN ","")&amp;IF(IFERROR(VLOOKUP(M111,설정!$A$15:$D$47,4,0),0)&gt;=10,IF(IFERROR(VLOOKUP(M111,설정!$A$15:$D$47,4,0),0)&lt;99,"BBB0미만 ",""),"")&amp;IF(OR(M111="",M111="NR"),"등급미입력 ","")&amp;IF(C111&lt;&gt;"USD","비USD ","")))</f>
        <v/>
      </c>
      <c r="AQ111" s="90" t="n">
        <f aca="false">IF(AND(Y111=1,AL111="Cheap"),IF(AND(ISERROR(SEARCH("FRN",AP111)),ISERROR(SEARCH("BBB0미만",AP111))),AK111+ROW()/1000000000,-999),-999)</f>
        <v>-999</v>
      </c>
      <c r="AR111" s="92" t="n">
        <f aca="false">IF(AND(ISNUMBER(D111),ISNUMBER(K111)),D111+AN111*MAX(K111-1,0)/100,"")</f>
        <v>5.34068778732448</v>
      </c>
      <c r="AS111" s="93" t="n">
        <f aca="false">IF(AND(ISNUMBER(E111),ISNUMBER(K111)),IF(K111&gt;0,(E111+AN111*MAX(K111-1,0))/K111,""),"")</f>
        <v>26.8684772487798</v>
      </c>
      <c r="AT111" s="90" t="n">
        <f aca="false">IFERROR(IF(AND(Y111=1,ROW()&lt;&gt;스왑분석!$C$12+1,ABS(K111-INDEX($K$2:$K$601,스왑분석!$C$12))&lt;=스왑분석!$C$5,ISERROR(SEARCH("FRN",AP111)),ISERROR(SEARCH("BBB0미만",AP111))),IF(AND(OR(스왑분석!$C$6="N",L111=INDEX($L$2:$L$601,스왑분석!$C$12)),OR(스왑분석!$C$7="N",N111=INDEX($N$2:$N$601,스왑분석!$C$12)),OR(스왑분석!$C$8="N",AO111=0),E111-INDEX($E$2:$E$601,스왑분석!$C$12)&gt;=스왑분석!$C$9),E111-INDEX($E$2:$E$601,스왑분석!$C$12)+ROW()/1000000000,-999),-999),-999)</f>
        <v>-999</v>
      </c>
      <c r="AU111" s="90" t="n">
        <f aca="false">IF(AND(Y111=1,AO111&gt;0,AL111="Rich"),-AK111+ROW()/1000000000,-999)</f>
        <v>-999</v>
      </c>
    </row>
    <row r="112" customFormat="false" ht="15" hidden="false" customHeight="false" outlineLevel="0" collapsed="false">
      <c r="A112" s="83" t="str">
        <f aca="false">IFERROR(IF(INDEX(원자료_시장!$A$1:$BZ$1000,설정!$L$6+ROW()-1,설정!$L$24)&amp;""="0","",INDEX(원자료_시장!$A$1:$BZ$1000,설정!$L$6+ROW()-1,설정!$L$24)),"")</f>
        <v>NWG 4.892 05/18/29</v>
      </c>
      <c r="B112" s="83" t="str">
        <f aca="false">IFERROR(IF(INDEX(원자료_시장!$A$1:$BZ$1000,설정!$L$6+ROW()-1,설정!$L$37)&amp;""="0","",INDEX(원자료_시장!$A$1:$BZ$1000,설정!$L$6+ROW()-1,설정!$L$37)),"")</f>
        <v>NATWEST GROUP PLC</v>
      </c>
      <c r="C112" s="83" t="str">
        <f aca="false">IFERROR(IF(INDEX(원자료_시장!$A$1:$BZ$1000,설정!$L$6+ROW()-1,설정!$L$25)&amp;""="0","",INDEX(원자료_시장!$A$1:$BZ$1000,설정!$L$6+ROW()-1,설정!$L$25)),"")</f>
        <v>USD</v>
      </c>
      <c r="D112" s="85" t="n">
        <f aca="false">IFERROR(IF(ISNUMBER(INDEX(원자료_시장!$A$1:$BZ$1000,설정!$L$6+ROW()-1,설정!$L$26)),INDEX(원자료_시장!$A$1:$BZ$1000,설정!$L$6+ROW()-1,설정!$L$26),""),"")</f>
        <v>5.854</v>
      </c>
      <c r="E112" s="97" t="n">
        <f aca="false">IFERROR(IF(ISNUMBER(INDEX(원자료_시장!$A$1:$BZ$1000,설정!$L$6+ROW()-1,설정!$L$27)),INDEX(원자료_시장!$A$1:$BZ$1000,설정!$L$6+ROW()-1,설정!$L$27),""),"")</f>
        <v>50.088</v>
      </c>
      <c r="F112" s="97" t="n">
        <f aca="false">IFERROR(IF(ISNUMBER(INDEX(원자료_시장!$A$1:$BZ$1000,설정!$L$6+ROW()-1,설정!$L$28)),INDEX(원자료_시장!$A$1:$BZ$1000,설정!$L$6+ROW()-1,설정!$L$28),""),"")</f>
        <v>75.638</v>
      </c>
      <c r="G112" s="97" t="n">
        <f aca="false">IFERROR(IF(ISNUMBER(INDEX(원자료_시장!$A$1:$BZ$1000,설정!$L$6+ROW()-1,설정!$L$29)),INDEX(원자료_시장!$A$1:$BZ$1000,설정!$L$6+ROW()-1,설정!$L$29),""),"")</f>
        <v>1.4</v>
      </c>
      <c r="H112" s="97" t="n">
        <f aca="false">IFERROR(IF(ISNUMBER(INDEX(원자료_시장!$A$1:$BZ$1000,설정!$L$6+ROW()-1,설정!$L$30)),INDEX(원자료_시장!$A$1:$BZ$1000,설정!$L$6+ROW()-1,설정!$L$30),""),"")</f>
        <v>7.9</v>
      </c>
      <c r="I112" s="97" t="n">
        <f aca="false">IFERROR(IF(ISNUMBER(INDEX(원자료_시장!$A$1:$BZ$1000,설정!$L$6+ROW()-1,설정!$L$31)),INDEX(원자료_시장!$A$1:$BZ$1000,설정!$L$6+ROW()-1,설정!$L$31),""),"")</f>
        <v>-13.9</v>
      </c>
      <c r="J112" s="97" t="n">
        <f aca="false">IFERROR(IF(ISNUMBER(INDEX(원자료_시장!$A$1:$BZ$1000,설정!$L$6+ROW()-1,설정!$L$32)),INDEX(원자료_시장!$A$1:$BZ$1000,설정!$L$6+ROW()-1,설정!$L$32),""),"")</f>
        <v>-23.9</v>
      </c>
      <c r="K112" s="85" t="n">
        <f aca="false">IFERROR(IF(ISNUMBER(INDEX(원자료_시장!$A$1:$BZ$1000,설정!$L$6+ROW()-1,설정!$L$33)),INDEX(원자료_시장!$A$1:$BZ$1000,설정!$L$6+ROW()-1,설정!$L$33),""),"")</f>
        <v>1.557</v>
      </c>
      <c r="L112" s="83" t="str">
        <f aca="false">IFERROR(IF(INDEX(원자료_시장!$A$1:$BZ$1000,설정!$L$6+ROW()-1,설정!$L$34)&amp;""="0","",INDEX(원자료_시장!$A$1:$BZ$1000,설정!$L$6+ROW()-1,설정!$L$34)),"")</f>
        <v>금융기관</v>
      </c>
      <c r="M112" s="83" t="str">
        <f aca="false">IFERROR(IF(INDEX(원자료_시장!$A$1:$BZ$1000,설정!$L$6+ROW()-1,설정!$L$35)&amp;""="0","",INDEX(원자료_시장!$A$1:$BZ$1000,설정!$L$6+ROW()-1,설정!$L$35)),"")</f>
        <v>A-</v>
      </c>
      <c r="N112" s="83" t="str">
        <f aca="false">IFERROR(IF(INDEX(원자료_시장!$A$1:$BZ$1000,설정!$L$6+ROW()-1,설정!$L$36)&amp;""="0","",INDEX(원자료_시장!$A$1:$BZ$1000,설정!$L$6+ROW()-1,설정!$L$36)),"")</f>
        <v>유럽</v>
      </c>
      <c r="O112" s="43" t="str">
        <f aca="false">IF($A112="","",UPPER(LEFT($A112,FIND(" ",$A112&amp;" ")-1)))</f>
        <v>NWG</v>
      </c>
      <c r="P112" s="43" t="str">
        <f aca="false">IF($A112="","",TRIM(RIGHT(SUBSTITUTE(TRIM($A112)," ",REPT(" ",30)),30)))</f>
        <v>05/18/29</v>
      </c>
      <c r="Q112" s="98" t="n">
        <f aca="false">IF($A112="","",IFERROR(DATE(IF(LEN(P112)=8,2000+VALUE(RIGHT(P112,2)),VALUE(RIGHT(P112,4))),VALUE(LEFT(P112,2)),VALUE(MID(P112,4,2))),""))</f>
        <v>47256</v>
      </c>
      <c r="R112" s="89" t="n">
        <f aca="false">IF($A112="",0,IF(ISNUMBER(SEARCH("Float",$A112)),1,0))</f>
        <v>0</v>
      </c>
      <c r="S112" s="43" t="str">
        <f aca="false">IF($A112="","",TRIM(MID($A112,LEN(O112)+2,LEN($A112)-LEN(O112)-LEN(P112)-1)))</f>
        <v>4.892</v>
      </c>
      <c r="T112" s="92" t="n">
        <f aca="false">IF(OR($A112="",R112=1),"",IFERROR(IF(ISNUMBER(FIND("/",S112)),IF(ISNUMBER(FIND(" ",S112)),VALUE(LEFT(S112,FIND(" ",S112)-1))+VALUE(MID(S112,FIND(" ",S112)+1,FIND("/",S112)-FIND(" ",S112)-1))/VALUE(MID(S112,FIND("/",S112)+1,9)),VALUE(LEFT(S112,FIND("/",S112)-1))/VALUE(MID(S112,FIND("/",S112)+1,9))),VALUE(S112)),""))</f>
        <v>4.892</v>
      </c>
      <c r="U112" s="43" t="str">
        <f aca="false">IF(OR($A112="",NOT(ISNUMBER(Q112))),"",TEXT(Q112,"yyyymmdd")&amp;"|"&amp;IF(R112=1,"F",TEXT(T112,"0.000")))</f>
        <v>20290518|4.892</v>
      </c>
      <c r="V112" s="43" t="str">
        <f aca="false">IF(U112="","",O112&amp;"|"&amp;U112)</f>
        <v>NWG|20290518|4.892</v>
      </c>
      <c r="W112" s="43" t="str">
        <f aca="false">IF($A112="","",IFERROR(IF(VLOOKUP(O112,매핑!$A$4:$E$92,3,0)="","미분류",VLOOKUP(O112,매핑!$A$4:$E$92,3,0)),"미분류"))</f>
        <v>영국</v>
      </c>
      <c r="X112" s="89" t="n">
        <f aca="false">IF($A112="",0,IF(O112="T",1,0))</f>
        <v>0</v>
      </c>
      <c r="Y112" s="89" t="n">
        <f aca="false">IF($A112="",0,IF(AND(C112="USD",X112=0,ISNUMBER(E112),ISNUMBER(K112)),IF(K112&gt;=설정!$C$8,1,0),0))</f>
        <v>1</v>
      </c>
      <c r="Z112" s="43" t="str">
        <f aca="false">IF($A112="","",N112&amp;"|"&amp;L112)</f>
        <v>유럽|금융기관</v>
      </c>
      <c r="AA112" s="92" t="n">
        <f aca="false">IF(Y112=1,LN(K112),0)</f>
        <v>0.442760892851861</v>
      </c>
      <c r="AB112" s="93" t="n">
        <f aca="false">IF(Y112=1,E112,0)</f>
        <v>50.088</v>
      </c>
      <c r="AC112" s="89" t="n">
        <f aca="false">IF(Y112=1,COUNTIFS($Z$2:$Z$601,Z112,$Y$2:$Y$601,1),0)</f>
        <v>32</v>
      </c>
      <c r="AD112" s="89" t="n">
        <f aca="false">IF(Y112=1,COUNTIFS($N$2:$N$601,N112,$Y$2:$Y$601,1),0)</f>
        <v>32</v>
      </c>
      <c r="AE112" s="43" t="str">
        <f aca="false">IF(Y112&lt;&gt;1,"",IF(AND(AC112&gt;=설정!$C$7,ISNUMBER(MATCH(Z112,피어커브!$A:$A,0))),Z112,IF(AND(AD112&gt;=설정!$C$7,ISNUMBER(MATCH(N112&amp;"|전체",피어커브!$A:$A,0))),N112&amp;"|전체","전체|전체")))</f>
        <v>유럽|금융기관</v>
      </c>
      <c r="AF112" s="93" t="n">
        <f aca="false">IF(AE112="","",INDEX(피어커브!$K:$K,MATCH(AE112,피어커브!$A:$A,0)))</f>
        <v>43.3660967921697</v>
      </c>
      <c r="AG112" s="93" t="n">
        <f aca="false">IF(AE112="","",INDEX(피어커브!$J:$J,MATCH(AE112,피어커브!$A:$A,0)))</f>
        <v>30.582858826536</v>
      </c>
      <c r="AH112" s="93" t="n">
        <f aca="false">IF(AE112="","",INDEX(피어커브!$L:$L,MATCH(AE112,피어커브!$A:$A,0)))</f>
        <v>10.9882810943096</v>
      </c>
      <c r="AI112" s="93" t="n">
        <f aca="false">IF(AE112="","",AF112+AG112*AA112)</f>
        <v>56.9069906721692</v>
      </c>
      <c r="AJ112" s="96" t="n">
        <f aca="false">IF(AE112="","",E112-AI112)</f>
        <v>-6.81899067216919</v>
      </c>
      <c r="AK112" s="95" t="n">
        <f aca="false">IF(AE112="","",IF(ISNUMBER(AH112),IF(AH112&gt;0,AJ112/AH112,""),""))</f>
        <v>-0.620569369644218</v>
      </c>
      <c r="AL112" s="43" t="str">
        <f aca="false">IF(AK112="","-",IF(AK112&gt;=설정!$C$6,"Cheap",IF(AK112&lt;=-설정!$C$6,"Rich","Fair")))</f>
        <v>Fair</v>
      </c>
      <c r="AM112" s="96" t="n">
        <f aca="false">IF(AE112="","",AJ112-AVERAGEIFS($AJ$2:$AJ$601,$B$2:$B$601,B112,$Y$2:$Y$601,1))</f>
        <v>-4.14706098340468</v>
      </c>
      <c r="AN112" s="93" t="n">
        <f aca="false">IF(AE112="",0,IF(K112&gt;1+설정!$C$8,AG112*(AA112-LN(K112-1)),0))</f>
        <v>31.4376782311092</v>
      </c>
      <c r="AO112" s="99" t="n">
        <f aca="false">IF($A112="",0,SUMIFS(보유분석!$AA$2:$AA$801,보유분석!$AB$2:$AB$801,ROW(),보유분석!$AC$2:$AC$801,1))</f>
        <v>12.899198</v>
      </c>
      <c r="AP112" s="43" t="str">
        <f aca="false">IF($A112="","",TRIM(IF(R112=1,"FRN ","")&amp;IF(IFERROR(VLOOKUP(M112,설정!$A$15:$D$47,4,0),0)&gt;=10,IF(IFERROR(VLOOKUP(M112,설정!$A$15:$D$47,4,0),0)&lt;99,"BBB0미만 ",""),"")&amp;IF(OR(M112="",M112="NR"),"등급미입력 ","")&amp;IF(C112&lt;&gt;"USD","비USD ","")))</f>
        <v/>
      </c>
      <c r="AQ112" s="90" t="n">
        <f aca="false">IF(AND(Y112=1,AL112="Cheap"),IF(AND(ISERROR(SEARCH("FRN",AP112)),ISERROR(SEARCH("BBB0미만",AP112))),AK112+ROW()/1000000000,-999),-999)</f>
        <v>-999</v>
      </c>
      <c r="AR112" s="92" t="n">
        <f aca="false">IF(AND(ISNUMBER(D112),ISNUMBER(K112)),D112+AN112*MAX(K112-1,0)/100,"")</f>
        <v>6.02910786774728</v>
      </c>
      <c r="AS112" s="93" t="n">
        <f aca="false">IF(AND(ISNUMBER(E112),ISNUMBER(K112)),IF(K112&gt;0,(E112+AN112*MAX(K112-1,0))/K112,""),"")</f>
        <v>43.4160480248734</v>
      </c>
      <c r="AT112" s="90" t="n">
        <f aca="false">IFERROR(IF(AND(Y112=1,ROW()&lt;&gt;스왑분석!$C$12+1,ABS(K112-INDEX($K$2:$K$601,스왑분석!$C$12))&lt;=스왑분석!$C$5,ISERROR(SEARCH("FRN",AP112)),ISERROR(SEARCH("BBB0미만",AP112))),IF(AND(OR(스왑분석!$C$6="N",L112=INDEX($L$2:$L$601,스왑분석!$C$12)),OR(스왑분석!$C$7="N",N112=INDEX($N$2:$N$601,스왑분석!$C$12)),OR(스왑분석!$C$8="N",AO112=0),E112-INDEX($E$2:$E$601,스왑분석!$C$12)&gt;=스왑분석!$C$9),E112-INDEX($E$2:$E$601,스왑분석!$C$12)+ROW()/1000000000,-999),-999),-999)</f>
        <v>-999</v>
      </c>
      <c r="AU112" s="90" t="n">
        <f aca="false">IF(AND(Y112=1,AO112&gt;0,AL112="Rich"),-AK112+ROW()/1000000000,-999)</f>
        <v>-999</v>
      </c>
    </row>
    <row r="113" customFormat="false" ht="15" hidden="false" customHeight="false" outlineLevel="0" collapsed="false">
      <c r="A113" s="83" t="str">
        <f aca="false">IFERROR(IF(INDEX(원자료_시장!$A$1:$BZ$1000,설정!$L$6+ROW()-1,설정!$L$24)&amp;""="0","",INDEX(원자료_시장!$A$1:$BZ$1000,설정!$L$6+ROW()-1,설정!$L$24)),"")</f>
        <v>NWG 4.445 05/08/30</v>
      </c>
      <c r="B113" s="83" t="str">
        <f aca="false">IFERROR(IF(INDEX(원자료_시장!$A$1:$BZ$1000,설정!$L$6+ROW()-1,설정!$L$37)&amp;""="0","",INDEX(원자료_시장!$A$1:$BZ$1000,설정!$L$6+ROW()-1,설정!$L$37)),"")</f>
        <v>NATWEST GROUP PLC</v>
      </c>
      <c r="C113" s="83" t="str">
        <f aca="false">IFERROR(IF(INDEX(원자료_시장!$A$1:$BZ$1000,설정!$L$6+ROW()-1,설정!$L$25)&amp;""="0","",INDEX(원자료_시장!$A$1:$BZ$1000,설정!$L$6+ROW()-1,설정!$L$25)),"")</f>
        <v>USD</v>
      </c>
      <c r="D113" s="85" t="n">
        <f aca="false">IFERROR(IF(ISNUMBER(INDEX(원자료_시장!$A$1:$BZ$1000,설정!$L$6+ROW()-1,설정!$L$26)),INDEX(원자료_시장!$A$1:$BZ$1000,설정!$L$6+ROW()-1,설정!$L$26),""),"")</f>
        <v>5.998</v>
      </c>
      <c r="E113" s="97" t="n">
        <f aca="false">IFERROR(IF(ISNUMBER(INDEX(원자료_시장!$A$1:$BZ$1000,설정!$L$6+ROW()-1,설정!$L$27)),INDEX(원자료_시장!$A$1:$BZ$1000,설정!$L$6+ROW()-1,설정!$L$27),""),"")</f>
        <v>72.096</v>
      </c>
      <c r="F113" s="97" t="n">
        <f aca="false">IFERROR(IF(ISNUMBER(INDEX(원자료_시장!$A$1:$BZ$1000,설정!$L$6+ROW()-1,설정!$L$28)),INDEX(원자료_시장!$A$1:$BZ$1000,설정!$L$6+ROW()-1,설정!$L$28),""),"")</f>
        <v>100.291</v>
      </c>
      <c r="G113" s="97" t="n">
        <f aca="false">IFERROR(IF(ISNUMBER(INDEX(원자료_시장!$A$1:$BZ$1000,설정!$L$6+ROW()-1,설정!$L$29)),INDEX(원자료_시장!$A$1:$BZ$1000,설정!$L$6+ROW()-1,설정!$L$29),""),"")</f>
        <v>-1.4</v>
      </c>
      <c r="H113" s="97" t="n">
        <f aca="false">IFERROR(IF(ISNUMBER(INDEX(원자료_시장!$A$1:$BZ$1000,설정!$L$6+ROW()-1,설정!$L$30)),INDEX(원자료_시장!$A$1:$BZ$1000,설정!$L$6+ROW()-1,설정!$L$30),""),"")</f>
        <v>3.9</v>
      </c>
      <c r="I113" s="97" t="n">
        <f aca="false">IFERROR(IF(ISNUMBER(INDEX(원자료_시장!$A$1:$BZ$1000,설정!$L$6+ROW()-1,설정!$L$31)),INDEX(원자료_시장!$A$1:$BZ$1000,설정!$L$6+ROW()-1,설정!$L$31),""),"")</f>
        <v>-7.3</v>
      </c>
      <c r="J113" s="97" t="n">
        <f aca="false">IFERROR(IF(ISNUMBER(INDEX(원자료_시장!$A$1:$BZ$1000,설정!$L$6+ROW()-1,설정!$L$32)),INDEX(원자료_시장!$A$1:$BZ$1000,설정!$L$6+ROW()-1,설정!$L$32),""),"")</f>
        <v>-11.5</v>
      </c>
      <c r="K113" s="85" t="n">
        <f aca="false">IFERROR(IF(ISNUMBER(INDEX(원자료_시장!$A$1:$BZ$1000,설정!$L$6+ROW()-1,설정!$L$33)),INDEX(원자료_시장!$A$1:$BZ$1000,설정!$L$6+ROW()-1,설정!$L$33),""),"")</f>
        <v>2.438</v>
      </c>
      <c r="L113" s="83" t="str">
        <f aca="false">IFERROR(IF(INDEX(원자료_시장!$A$1:$BZ$1000,설정!$L$6+ROW()-1,설정!$L$34)&amp;""="0","",INDEX(원자료_시장!$A$1:$BZ$1000,설정!$L$6+ROW()-1,설정!$L$34)),"")</f>
        <v>금융기관</v>
      </c>
      <c r="M113" s="83" t="str">
        <f aca="false">IFERROR(IF(INDEX(원자료_시장!$A$1:$BZ$1000,설정!$L$6+ROW()-1,설정!$L$35)&amp;""="0","",INDEX(원자료_시장!$A$1:$BZ$1000,설정!$L$6+ROW()-1,설정!$L$35)),"")</f>
        <v>A-</v>
      </c>
      <c r="N113" s="83" t="str">
        <f aca="false">IFERROR(IF(INDEX(원자료_시장!$A$1:$BZ$1000,설정!$L$6+ROW()-1,설정!$L$36)&amp;""="0","",INDEX(원자료_시장!$A$1:$BZ$1000,설정!$L$6+ROW()-1,설정!$L$36)),"")</f>
        <v>유럽</v>
      </c>
      <c r="O113" s="43" t="str">
        <f aca="false">IF($A113="","",UPPER(LEFT($A113,FIND(" ",$A113&amp;" ")-1)))</f>
        <v>NWG</v>
      </c>
      <c r="P113" s="43" t="str">
        <f aca="false">IF($A113="","",TRIM(RIGHT(SUBSTITUTE(TRIM($A113)," ",REPT(" ",30)),30)))</f>
        <v>05/08/30</v>
      </c>
      <c r="Q113" s="98" t="n">
        <f aca="false">IF($A113="","",IFERROR(DATE(IF(LEN(P113)=8,2000+VALUE(RIGHT(P113,2)),VALUE(RIGHT(P113,4))),VALUE(LEFT(P113,2)),VALUE(MID(P113,4,2))),""))</f>
        <v>47611</v>
      </c>
      <c r="R113" s="89" t="n">
        <f aca="false">IF($A113="",0,IF(ISNUMBER(SEARCH("Float",$A113)),1,0))</f>
        <v>0</v>
      </c>
      <c r="S113" s="43" t="str">
        <f aca="false">IF($A113="","",TRIM(MID($A113,LEN(O113)+2,LEN($A113)-LEN(O113)-LEN(P113)-1)))</f>
        <v>4.445</v>
      </c>
      <c r="T113" s="92" t="n">
        <f aca="false">IF(OR($A113="",R113=1),"",IFERROR(IF(ISNUMBER(FIND("/",S113)),IF(ISNUMBER(FIND(" ",S113)),VALUE(LEFT(S113,FIND(" ",S113)-1))+VALUE(MID(S113,FIND(" ",S113)+1,FIND("/",S113)-FIND(" ",S113)-1))/VALUE(MID(S113,FIND("/",S113)+1,9)),VALUE(LEFT(S113,FIND("/",S113)-1))/VALUE(MID(S113,FIND("/",S113)+1,9))),VALUE(S113)),""))</f>
        <v>4.445</v>
      </c>
      <c r="U113" s="43" t="str">
        <f aca="false">IF(OR($A113="",NOT(ISNUMBER(Q113))),"",TEXT(Q113,"yyyymmdd")&amp;"|"&amp;IF(R113=1,"F",TEXT(T113,"0.000")))</f>
        <v>20300508|4.445</v>
      </c>
      <c r="V113" s="43" t="str">
        <f aca="false">IF(U113="","",O113&amp;"|"&amp;U113)</f>
        <v>NWG|20300508|4.445</v>
      </c>
      <c r="W113" s="43" t="str">
        <f aca="false">IF($A113="","",IFERROR(IF(VLOOKUP(O113,매핑!$A$4:$E$92,3,0)="","미분류",VLOOKUP(O113,매핑!$A$4:$E$92,3,0)),"미분류"))</f>
        <v>영국</v>
      </c>
      <c r="X113" s="89" t="n">
        <f aca="false">IF($A113="",0,IF(O113="T",1,0))</f>
        <v>0</v>
      </c>
      <c r="Y113" s="89" t="n">
        <f aca="false">IF($A113="",0,IF(AND(C113="USD",X113=0,ISNUMBER(E113),ISNUMBER(K113)),IF(K113&gt;=설정!$C$8,1,0),0))</f>
        <v>1</v>
      </c>
      <c r="Z113" s="43" t="str">
        <f aca="false">IF($A113="","",N113&amp;"|"&amp;L113)</f>
        <v>유럽|금융기관</v>
      </c>
      <c r="AA113" s="92" t="n">
        <f aca="false">IF(Y113=1,LN(K113),0)</f>
        <v>0.89117803105908</v>
      </c>
      <c r="AB113" s="93" t="n">
        <f aca="false">IF(Y113=1,E113,0)</f>
        <v>72.096</v>
      </c>
      <c r="AC113" s="89" t="n">
        <f aca="false">IF(Y113=1,COUNTIFS($Z$2:$Z$601,Z113,$Y$2:$Y$601,1),0)</f>
        <v>32</v>
      </c>
      <c r="AD113" s="89" t="n">
        <f aca="false">IF(Y113=1,COUNTIFS($N$2:$N$601,N113,$Y$2:$Y$601,1),0)</f>
        <v>32</v>
      </c>
      <c r="AE113" s="43" t="str">
        <f aca="false">IF(Y113&lt;&gt;1,"",IF(AND(AC113&gt;=설정!$C$7,ISNUMBER(MATCH(Z113,피어커브!$A:$A,0))),Z113,IF(AND(AD113&gt;=설정!$C$7,ISNUMBER(MATCH(N113&amp;"|전체",피어커브!$A:$A,0))),N113&amp;"|전체","전체|전체")))</f>
        <v>유럽|금융기관</v>
      </c>
      <c r="AF113" s="93" t="n">
        <f aca="false">IF(AE113="","",INDEX(피어커브!$K:$K,MATCH(AE113,피어커브!$A:$A,0)))</f>
        <v>43.3660967921697</v>
      </c>
      <c r="AG113" s="93" t="n">
        <f aca="false">IF(AE113="","",INDEX(피어커브!$J:$J,MATCH(AE113,피어커브!$A:$A,0)))</f>
        <v>30.582858826536</v>
      </c>
      <c r="AH113" s="93" t="n">
        <f aca="false">IF(AE113="","",INDEX(피어커브!$L:$L,MATCH(AE113,피어커브!$A:$A,0)))</f>
        <v>10.9882810943096</v>
      </c>
      <c r="AI113" s="93" t="n">
        <f aca="false">IF(AE113="","",AF113+AG113*AA113)</f>
        <v>70.6208687053598</v>
      </c>
      <c r="AJ113" s="96" t="n">
        <f aca="false">IF(AE113="","",E113-AI113)</f>
        <v>1.47513129464016</v>
      </c>
      <c r="AK113" s="95" t="n">
        <f aca="false">IF(AE113="","",IF(ISNUMBER(AH113),IF(AH113&gt;0,AJ113/AH113,""),""))</f>
        <v>0.134245864478665</v>
      </c>
      <c r="AL113" s="43" t="str">
        <f aca="false">IF(AK113="","-",IF(AK113&gt;=설정!$C$6,"Cheap",IF(AK113&lt;=-설정!$C$6,"Rich","Fair")))</f>
        <v>Fair</v>
      </c>
      <c r="AM113" s="96" t="n">
        <f aca="false">IF(AE113="","",AJ113-AVERAGEIFS($AJ$2:$AJ$601,$B$2:$B$601,B113,$Y$2:$Y$601,1))</f>
        <v>4.14706098340468</v>
      </c>
      <c r="AN113" s="93" t="n">
        <f aca="false">IF(AE113="",0,IF(K113&gt;1+설정!$C$8,AG113*(AA113-LN(K113-1)),0))</f>
        <v>16.1454487657742</v>
      </c>
      <c r="AO113" s="99" t="n">
        <f aca="false">IF($A113="",0,SUMIFS(보유분석!$AA$2:$AA$801,보유분석!$AB$2:$AB$801,ROW(),보유분석!$AC$2:$AC$801,1))</f>
        <v>4.848765</v>
      </c>
      <c r="AP113" s="43" t="str">
        <f aca="false">IF($A113="","",TRIM(IF(R113=1,"FRN ","")&amp;IF(IFERROR(VLOOKUP(M113,설정!$A$15:$D$47,4,0),0)&gt;=10,IF(IFERROR(VLOOKUP(M113,설정!$A$15:$D$47,4,0),0)&lt;99,"BBB0미만 ",""),"")&amp;IF(OR(M113="",M113="NR"),"등급미입력 ","")&amp;IF(C113&lt;&gt;"USD","비USD ","")))</f>
        <v/>
      </c>
      <c r="AQ113" s="90" t="n">
        <f aca="false">IF(AND(Y113=1,AL113="Cheap"),IF(AND(ISERROR(SEARCH("FRN",AP113)),ISERROR(SEARCH("BBB0미만",AP113))),AK113+ROW()/1000000000,-999),-999)</f>
        <v>-999</v>
      </c>
      <c r="AR113" s="92" t="n">
        <f aca="false">IF(AND(ISNUMBER(D113),ISNUMBER(K113)),D113+AN113*MAX(K113-1,0)/100,"")</f>
        <v>6.23017155325183</v>
      </c>
      <c r="AS113" s="93" t="n">
        <f aca="false">IF(AND(ISNUMBER(E113),ISNUMBER(K113)),IF(K113&gt;0,(E113+AN113*MAX(K113-1,0))/K113,""),"")</f>
        <v>39.0948135049973</v>
      </c>
      <c r="AT113" s="90" t="n">
        <f aca="false">IFERROR(IF(AND(Y113=1,ROW()&lt;&gt;스왑분석!$C$12+1,ABS(K113-INDEX($K$2:$K$601,스왑분석!$C$12))&lt;=스왑분석!$C$5,ISERROR(SEARCH("FRN",AP113)),ISERROR(SEARCH("BBB0미만",AP113))),IF(AND(OR(스왑분석!$C$6="N",L113=INDEX($L$2:$L$601,스왑분석!$C$12)),OR(스왑분석!$C$7="N",N113=INDEX($N$2:$N$601,스왑분석!$C$12)),OR(스왑분석!$C$8="N",AO113=0),E113-INDEX($E$2:$E$601,스왑분석!$C$12)&gt;=스왑분석!$C$9),E113-INDEX($E$2:$E$601,스왑분석!$C$12)+ROW()/1000000000,-999),-999),-999)</f>
        <v>23.604000113</v>
      </c>
      <c r="AU113" s="90" t="n">
        <f aca="false">IF(AND(Y113=1,AO113&gt;0,AL113="Rich"),-AK113+ROW()/1000000000,-999)</f>
        <v>-999</v>
      </c>
    </row>
    <row r="114" customFormat="false" ht="15" hidden="false" customHeight="false" outlineLevel="0" collapsed="false">
      <c r="A114" s="83" t="str">
        <f aca="false">IFERROR(IF(INDEX(원자료_시장!$A$1:$BZ$1000,설정!$L$6+ROW()-1,설정!$L$24)&amp;""="0","",INDEX(원자료_시장!$A$1:$BZ$1000,설정!$L$6+ROW()-1,설정!$L$24)),"")</f>
        <v>SHNHAN 4 04/23/29</v>
      </c>
      <c r="B114" s="83" t="str">
        <f aca="false">IFERROR(IF(INDEX(원자료_시장!$A$1:$BZ$1000,설정!$L$6+ROW()-1,설정!$L$37)&amp;""="0","",INDEX(원자료_시장!$A$1:$BZ$1000,설정!$L$6+ROW()-1,설정!$L$37)),"")</f>
        <v>SHINHAN BANK</v>
      </c>
      <c r="C114" s="83" t="str">
        <f aca="false">IFERROR(IF(INDEX(원자료_시장!$A$1:$BZ$1000,설정!$L$6+ROW()-1,설정!$L$25)&amp;""="0","",INDEX(원자료_시장!$A$1:$BZ$1000,설정!$L$6+ROW()-1,설정!$L$25)),"")</f>
        <v>USD</v>
      </c>
      <c r="D114" s="85" t="n">
        <f aca="false">IFERROR(IF(ISNUMBER(INDEX(원자료_시장!$A$1:$BZ$1000,설정!$L$6+ROW()-1,설정!$L$26)),INDEX(원자료_시장!$A$1:$BZ$1000,설정!$L$6+ROW()-1,설정!$L$26),""),"")</f>
        <v>5.616</v>
      </c>
      <c r="E114" s="97" t="n">
        <f aca="false">IFERROR(IF(ISNUMBER(INDEX(원자료_시장!$A$1:$BZ$1000,설정!$L$6+ROW()-1,설정!$L$27)),INDEX(원자료_시장!$A$1:$BZ$1000,설정!$L$6+ROW()-1,설정!$L$27),""),"")</f>
        <v>61.577</v>
      </c>
      <c r="F114" s="97" t="n">
        <f aca="false">IFERROR(IF(ISNUMBER(INDEX(원자료_시장!$A$1:$BZ$1000,설정!$L$6+ROW()-1,설정!$L$28)),INDEX(원자료_시장!$A$1:$BZ$1000,설정!$L$6+ROW()-1,설정!$L$28),""),"")</f>
        <v>89.956</v>
      </c>
      <c r="G114" s="97" t="n">
        <f aca="false">IFERROR(IF(ISNUMBER(INDEX(원자료_시장!$A$1:$BZ$1000,설정!$L$6+ROW()-1,설정!$L$29)),INDEX(원자료_시장!$A$1:$BZ$1000,설정!$L$6+ROW()-1,설정!$L$29),""),"")</f>
        <v>-0.7</v>
      </c>
      <c r="H114" s="97" t="n">
        <f aca="false">IFERROR(IF(ISNUMBER(INDEX(원자료_시장!$A$1:$BZ$1000,설정!$L$6+ROW()-1,설정!$L$30)),INDEX(원자료_시장!$A$1:$BZ$1000,설정!$L$6+ROW()-1,설정!$L$30),""),"")</f>
        <v>0.1</v>
      </c>
      <c r="I114" s="97" t="n">
        <f aca="false">IFERROR(IF(ISNUMBER(INDEX(원자료_시장!$A$1:$BZ$1000,설정!$L$6+ROW()-1,설정!$L$31)),INDEX(원자료_시장!$A$1:$BZ$1000,설정!$L$6+ROW()-1,설정!$L$31),""),"")</f>
        <v>-0.3</v>
      </c>
      <c r="J114" s="97" t="n">
        <f aca="false">IFERROR(IF(ISNUMBER(INDEX(원자료_시장!$A$1:$BZ$1000,설정!$L$6+ROW()-1,설정!$L$32)),INDEX(원자료_시장!$A$1:$BZ$1000,설정!$L$6+ROW()-1,설정!$L$32),""),"")</f>
        <v>-6.2</v>
      </c>
      <c r="K114" s="85" t="n">
        <f aca="false">IFERROR(IF(ISNUMBER(INDEX(원자료_시장!$A$1:$BZ$1000,설정!$L$6+ROW()-1,설정!$L$33)),INDEX(원자료_시장!$A$1:$BZ$1000,설정!$L$6+ROW()-1,설정!$L$33),""),"")</f>
        <v>2.411</v>
      </c>
      <c r="L114" s="83" t="str">
        <f aca="false">IFERROR(IF(INDEX(원자료_시장!$A$1:$BZ$1000,설정!$L$6+ROW()-1,설정!$L$34)&amp;""="0","",INDEX(원자료_시장!$A$1:$BZ$1000,설정!$L$6+ROW()-1,설정!$L$34)),"")</f>
        <v>금융기관</v>
      </c>
      <c r="M114" s="83" t="str">
        <f aca="false">IFERROR(IF(INDEX(원자료_시장!$A$1:$BZ$1000,설정!$L$6+ROW()-1,설정!$L$35)&amp;""="0","",INDEX(원자료_시장!$A$1:$BZ$1000,설정!$L$6+ROW()-1,설정!$L$35)),"")</f>
        <v>BBB+</v>
      </c>
      <c r="N114" s="83" t="str">
        <f aca="false">IFERROR(IF(INDEX(원자료_시장!$A$1:$BZ$1000,설정!$L$6+ROW()-1,설정!$L$36)&amp;""="0","",INDEX(원자료_시장!$A$1:$BZ$1000,설정!$L$6+ROW()-1,설정!$L$36)),"")</f>
        <v>아시아/기타</v>
      </c>
      <c r="O114" s="43" t="str">
        <f aca="false">IF($A114="","",UPPER(LEFT($A114,FIND(" ",$A114&amp;" ")-1)))</f>
        <v>SHNHAN</v>
      </c>
      <c r="P114" s="43" t="str">
        <f aca="false">IF($A114="","",TRIM(RIGHT(SUBSTITUTE(TRIM($A114)," ",REPT(" ",30)),30)))</f>
        <v>04/23/29</v>
      </c>
      <c r="Q114" s="98" t="n">
        <f aca="false">IF($A114="","",IFERROR(DATE(IF(LEN(P114)=8,2000+VALUE(RIGHT(P114,2)),VALUE(RIGHT(P114,4))),VALUE(LEFT(P114,2)),VALUE(MID(P114,4,2))),""))</f>
        <v>47231</v>
      </c>
      <c r="R114" s="89" t="n">
        <f aca="false">IF($A114="",0,IF(ISNUMBER(SEARCH("Float",$A114)),1,0))</f>
        <v>0</v>
      </c>
      <c r="S114" s="43" t="str">
        <f aca="false">IF($A114="","",TRIM(MID($A114,LEN(O114)+2,LEN($A114)-LEN(O114)-LEN(P114)-1)))</f>
        <v>4</v>
      </c>
      <c r="T114" s="92" t="n">
        <f aca="false">IF(OR($A114="",R114=1),"",IFERROR(IF(ISNUMBER(FIND("/",S114)),IF(ISNUMBER(FIND(" ",S114)),VALUE(LEFT(S114,FIND(" ",S114)-1))+VALUE(MID(S114,FIND(" ",S114)+1,FIND("/",S114)-FIND(" ",S114)-1))/VALUE(MID(S114,FIND("/",S114)+1,9)),VALUE(LEFT(S114,FIND("/",S114)-1))/VALUE(MID(S114,FIND("/",S114)+1,9))),VALUE(S114)),""))</f>
        <v>4</v>
      </c>
      <c r="U114" s="43" t="str">
        <f aca="false">IF(OR($A114="",NOT(ISNUMBER(Q114))),"",TEXT(Q114,"yyyymmdd")&amp;"|"&amp;IF(R114=1,"F",TEXT(T114,"0.000")))</f>
        <v>20290423|4.000</v>
      </c>
      <c r="V114" s="43" t="str">
        <f aca="false">IF(U114="","",O114&amp;"|"&amp;U114)</f>
        <v>SHNHAN|20290423|4.000</v>
      </c>
      <c r="W114" s="43" t="str">
        <f aca="false">IF($A114="","",IFERROR(IF(VLOOKUP(O114,매핑!$A$4:$E$92,3,0)="","미분류",VLOOKUP(O114,매핑!$A$4:$E$92,3,0)),"미분류"))</f>
        <v>한국</v>
      </c>
      <c r="X114" s="89" t="n">
        <f aca="false">IF($A114="",0,IF(O114="T",1,0))</f>
        <v>0</v>
      </c>
      <c r="Y114" s="89" t="n">
        <f aca="false">IF($A114="",0,IF(AND(C114="USD",X114=0,ISNUMBER(E114),ISNUMBER(K114)),IF(K114&gt;=설정!$C$8,1,0),0))</f>
        <v>1</v>
      </c>
      <c r="Z114" s="43" t="str">
        <f aca="false">IF($A114="","",N114&amp;"|"&amp;L114)</f>
        <v>아시아/기타|금융기관</v>
      </c>
      <c r="AA114" s="92" t="n">
        <f aca="false">IF(Y114=1,LN(K114),0)</f>
        <v>0.880041599199034</v>
      </c>
      <c r="AB114" s="93" t="n">
        <f aca="false">IF(Y114=1,E114,0)</f>
        <v>61.577</v>
      </c>
      <c r="AC114" s="89" t="n">
        <f aca="false">IF(Y114=1,COUNTIFS($Z$2:$Z$601,Z114,$Y$2:$Y$601,1),0)</f>
        <v>42</v>
      </c>
      <c r="AD114" s="89" t="n">
        <f aca="false">IF(Y114=1,COUNTIFS($N$2:$N$601,N114,$Y$2:$Y$601,1),0)</f>
        <v>137</v>
      </c>
      <c r="AE114" s="43" t="str">
        <f aca="false">IF(Y114&lt;&gt;1,"",IF(AND(AC114&gt;=설정!$C$7,ISNUMBER(MATCH(Z114,피어커브!$A:$A,0))),Z114,IF(AND(AD114&gt;=설정!$C$7,ISNUMBER(MATCH(N114&amp;"|전체",피어커브!$A:$A,0))),N114&amp;"|전체","전체|전체")))</f>
        <v>아시아/기타|금융기관</v>
      </c>
      <c r="AF114" s="93" t="n">
        <f aca="false">IF(AE114="","",INDEX(피어커브!$K:$K,MATCH(AE114,피어커브!$A:$A,0)))</f>
        <v>50.117430292991</v>
      </c>
      <c r="AG114" s="93" t="n">
        <f aca="false">IF(AE114="","",INDEX(피어커브!$J:$J,MATCH(AE114,피어커브!$A:$A,0)))</f>
        <v>13.9183160321618</v>
      </c>
      <c r="AH114" s="93" t="n">
        <f aca="false">IF(AE114="","",INDEX(피어커브!$L:$L,MATCH(AE114,피어커브!$A:$A,0)))</f>
        <v>20.4735875466442</v>
      </c>
      <c r="AI114" s="93" t="n">
        <f aca="false">IF(AE114="","",AF114+AG114*AA114)</f>
        <v>62.3661273920923</v>
      </c>
      <c r="AJ114" s="96" t="n">
        <f aca="false">IF(AE114="","",E114-AI114)</f>
        <v>-0.789127392092262</v>
      </c>
      <c r="AK114" s="95" t="n">
        <f aca="false">IF(AE114="","",IF(ISNUMBER(AH114),IF(AH114&gt;0,AJ114/AH114,""),""))</f>
        <v>-0.0385436792791896</v>
      </c>
      <c r="AL114" s="43" t="str">
        <f aca="false">IF(AK114="","-",IF(AK114&gt;=설정!$C$6,"Cheap",IF(AK114&lt;=-설정!$C$6,"Rich","Fair")))</f>
        <v>Fair</v>
      </c>
      <c r="AM114" s="96" t="n">
        <f aca="false">IF(AE114="","",AJ114-AVERAGEIFS($AJ$2:$AJ$601,$B$2:$B$601,B114,$Y$2:$Y$601,1))</f>
        <v>7.17355492341499</v>
      </c>
      <c r="AN114" s="93" t="n">
        <f aca="false">IF(AE114="",0,IF(K114&gt;1+설정!$C$8,AG114*(AA114-LN(K114-1)),0))</f>
        <v>7.45663936063326</v>
      </c>
      <c r="AO114" s="99" t="n">
        <f aca="false">IF($A114="",0,SUMIFS(보유분석!$AA$2:$AA$801,보유분석!$AB$2:$AB$801,ROW(),보유분석!$AC$2:$AC$801,1))</f>
        <v>4.811345</v>
      </c>
      <c r="AP114" s="43" t="str">
        <f aca="false">IF($A114="","",TRIM(IF(R114=1,"FRN ","")&amp;IF(IFERROR(VLOOKUP(M114,설정!$A$15:$D$47,4,0),0)&gt;=10,IF(IFERROR(VLOOKUP(M114,설정!$A$15:$D$47,4,0),0)&lt;99,"BBB0미만 ",""),"")&amp;IF(OR(M114="",M114="NR"),"등급미입력 ","")&amp;IF(C114&lt;&gt;"USD","비USD ","")))</f>
        <v/>
      </c>
      <c r="AQ114" s="90" t="n">
        <f aca="false">IF(AND(Y114=1,AL114="Cheap"),IF(AND(ISERROR(SEARCH("FRN",AP114)),ISERROR(SEARCH("BBB0미만",AP114))),AK114+ROW()/1000000000,-999),-999)</f>
        <v>-999</v>
      </c>
      <c r="AR114" s="92" t="n">
        <f aca="false">IF(AND(ISNUMBER(D114),ISNUMBER(K114)),D114+AN114*MAX(K114-1,0)/100,"")</f>
        <v>5.72121318137854</v>
      </c>
      <c r="AS114" s="93" t="n">
        <f aca="false">IF(AND(ISNUMBER(E114),ISNUMBER(K114)),IF(K114&gt;0,(E114+AN114*MAX(K114-1,0))/K114,""),"")</f>
        <v>29.9039063201383</v>
      </c>
      <c r="AT114" s="90" t="n">
        <f aca="false">IFERROR(IF(AND(Y114=1,ROW()&lt;&gt;스왑분석!$C$12+1,ABS(K114-INDEX($K$2:$K$601,스왑분석!$C$12))&lt;=스왑분석!$C$5,ISERROR(SEARCH("FRN",AP114)),ISERROR(SEARCH("BBB0미만",AP114))),IF(AND(OR(스왑분석!$C$6="N",L114=INDEX($L$2:$L$601,스왑분석!$C$12)),OR(스왑분석!$C$7="N",N114=INDEX($N$2:$N$601,스왑분석!$C$12)),OR(스왑분석!$C$8="N",AO114=0),E114-INDEX($E$2:$E$601,스왑분석!$C$12)&gt;=스왑분석!$C$9),E114-INDEX($E$2:$E$601,스왑분석!$C$12)+ROW()/1000000000,-999),-999),-999)</f>
        <v>13.085000114</v>
      </c>
      <c r="AU114" s="90" t="n">
        <f aca="false">IF(AND(Y114=1,AO114&gt;0,AL114="Rich"),-AK114+ROW()/1000000000,-999)</f>
        <v>-999</v>
      </c>
    </row>
    <row r="115" customFormat="false" ht="15" hidden="false" customHeight="false" outlineLevel="0" collapsed="false">
      <c r="A115" s="83" t="str">
        <f aca="false">IFERROR(IF(INDEX(원자료_시장!$A$1:$BZ$1000,설정!$L$6+ROW()-1,설정!$L$24)&amp;""="0","",INDEX(원자료_시장!$A$1:$BZ$1000,설정!$L$6+ROW()-1,설정!$L$24)),"")</f>
        <v>SOCGEN 5.249 05/22/29</v>
      </c>
      <c r="B115" s="83" t="str">
        <f aca="false">IFERROR(IF(INDEX(원자료_시장!$A$1:$BZ$1000,설정!$L$6+ROW()-1,설정!$L$37)&amp;""="0","",INDEX(원자료_시장!$A$1:$BZ$1000,설정!$L$6+ROW()-1,설정!$L$37)),"")</f>
        <v>SOCIETE GENERALE</v>
      </c>
      <c r="C115" s="83" t="str">
        <f aca="false">IFERROR(IF(INDEX(원자료_시장!$A$1:$BZ$1000,설정!$L$6+ROW()-1,설정!$L$25)&amp;""="0","",INDEX(원자료_시장!$A$1:$BZ$1000,설정!$L$6+ROW()-1,설정!$L$25)),"")</f>
        <v>USD</v>
      </c>
      <c r="D115" s="85" t="n">
        <f aca="false">IFERROR(IF(ISNUMBER(INDEX(원자료_시장!$A$1:$BZ$1000,설정!$L$6+ROW()-1,설정!$L$26)),INDEX(원자료_시장!$A$1:$BZ$1000,설정!$L$6+ROW()-1,설정!$L$26),""),"")</f>
        <v>5.607</v>
      </c>
      <c r="E115" s="97" t="n">
        <f aca="false">IFERROR(IF(ISNUMBER(INDEX(원자료_시장!$A$1:$BZ$1000,설정!$L$6+ROW()-1,설정!$L$27)),INDEX(원자료_시장!$A$1:$BZ$1000,설정!$L$6+ROW()-1,설정!$L$27),""),"")</f>
        <v>87.451</v>
      </c>
      <c r="F115" s="97" t="n">
        <f aca="false">IFERROR(IF(ISNUMBER(INDEX(원자료_시장!$A$1:$BZ$1000,설정!$L$6+ROW()-1,설정!$L$28)),INDEX(원자료_시장!$A$1:$BZ$1000,설정!$L$6+ROW()-1,설정!$L$28),""),"")</f>
        <v>112.831</v>
      </c>
      <c r="G115" s="97" t="n">
        <f aca="false">IFERROR(IF(ISNUMBER(INDEX(원자료_시장!$A$1:$BZ$1000,설정!$L$6+ROW()-1,설정!$L$29)),INDEX(원자료_시장!$A$1:$BZ$1000,설정!$L$6+ROW()-1,설정!$L$29),""),"")</f>
        <v>-0.1</v>
      </c>
      <c r="H115" s="97" t="n">
        <f aca="false">IFERROR(IF(ISNUMBER(INDEX(원자료_시장!$A$1:$BZ$1000,설정!$L$6+ROW()-1,설정!$L$30)),INDEX(원자료_시장!$A$1:$BZ$1000,설정!$L$6+ROW()-1,설정!$L$30),""),"")</f>
        <v>11.1</v>
      </c>
      <c r="I115" s="97" t="n">
        <f aca="false">IFERROR(IF(ISNUMBER(INDEX(원자료_시장!$A$1:$BZ$1000,설정!$L$6+ROW()-1,설정!$L$31)),INDEX(원자료_시장!$A$1:$BZ$1000,설정!$L$6+ROW()-1,설정!$L$31),""),"")</f>
        <v>-2</v>
      </c>
      <c r="J115" s="97" t="n">
        <f aca="false">IFERROR(IF(ISNUMBER(INDEX(원자료_시장!$A$1:$BZ$1000,설정!$L$6+ROW()-1,설정!$L$32)),INDEX(원자료_시장!$A$1:$BZ$1000,설정!$L$6+ROW()-1,설정!$L$32),""),"")</f>
        <v>-5.8</v>
      </c>
      <c r="K115" s="85" t="n">
        <f aca="false">IFERROR(IF(ISNUMBER(INDEX(원자료_시장!$A$1:$BZ$1000,설정!$L$6+ROW()-1,설정!$L$33)),INDEX(원자료_시장!$A$1:$BZ$1000,설정!$L$6+ROW()-1,설정!$L$33),""),"")</f>
        <v>1.563</v>
      </c>
      <c r="L115" s="83" t="str">
        <f aca="false">IFERROR(IF(INDEX(원자료_시장!$A$1:$BZ$1000,설정!$L$6+ROW()-1,설정!$L$34)&amp;""="0","",INDEX(원자료_시장!$A$1:$BZ$1000,설정!$L$6+ROW()-1,설정!$L$34)),"")</f>
        <v>금융기관</v>
      </c>
      <c r="M115" s="83" t="str">
        <f aca="false">IFERROR(IF(INDEX(원자료_시장!$A$1:$BZ$1000,설정!$L$6+ROW()-1,설정!$L$35)&amp;""="0","",INDEX(원자료_시장!$A$1:$BZ$1000,설정!$L$6+ROW()-1,설정!$L$35)),"")</f>
        <v>BBB</v>
      </c>
      <c r="N115" s="83" t="str">
        <f aca="false">IFERROR(IF(INDEX(원자료_시장!$A$1:$BZ$1000,설정!$L$6+ROW()-1,설정!$L$36)&amp;""="0","",INDEX(원자료_시장!$A$1:$BZ$1000,설정!$L$6+ROW()-1,설정!$L$36)),"")</f>
        <v>유럽</v>
      </c>
      <c r="O115" s="43" t="str">
        <f aca="false">IF($A115="","",UPPER(LEFT($A115,FIND(" ",$A115&amp;" ")-1)))</f>
        <v>SOCGEN</v>
      </c>
      <c r="P115" s="43" t="str">
        <f aca="false">IF($A115="","",TRIM(RIGHT(SUBSTITUTE(TRIM($A115)," ",REPT(" ",30)),30)))</f>
        <v>05/22/29</v>
      </c>
      <c r="Q115" s="98" t="n">
        <f aca="false">IF($A115="","",IFERROR(DATE(IF(LEN(P115)=8,2000+VALUE(RIGHT(P115,2)),VALUE(RIGHT(P115,4))),VALUE(LEFT(P115,2)),VALUE(MID(P115,4,2))),""))</f>
        <v>47260</v>
      </c>
      <c r="R115" s="89" t="n">
        <f aca="false">IF($A115="",0,IF(ISNUMBER(SEARCH("Float",$A115)),1,0))</f>
        <v>0</v>
      </c>
      <c r="S115" s="43" t="str">
        <f aca="false">IF($A115="","",TRIM(MID($A115,LEN(O115)+2,LEN($A115)-LEN(O115)-LEN(P115)-1)))</f>
        <v>5.249</v>
      </c>
      <c r="T115" s="92" t="n">
        <f aca="false">IF(OR($A115="",R115=1),"",IFERROR(IF(ISNUMBER(FIND("/",S115)),IF(ISNUMBER(FIND(" ",S115)),VALUE(LEFT(S115,FIND(" ",S115)-1))+VALUE(MID(S115,FIND(" ",S115)+1,FIND("/",S115)-FIND(" ",S115)-1))/VALUE(MID(S115,FIND("/",S115)+1,9)),VALUE(LEFT(S115,FIND("/",S115)-1))/VALUE(MID(S115,FIND("/",S115)+1,9))),VALUE(S115)),""))</f>
        <v>5.249</v>
      </c>
      <c r="U115" s="43" t="str">
        <f aca="false">IF(OR($A115="",NOT(ISNUMBER(Q115))),"",TEXT(Q115,"yyyymmdd")&amp;"|"&amp;IF(R115=1,"F",TEXT(T115,"0.000")))</f>
        <v>20290522|5.249</v>
      </c>
      <c r="V115" s="43" t="str">
        <f aca="false">IF(U115="","",O115&amp;"|"&amp;U115)</f>
        <v>SOCGEN|20290522|5.249</v>
      </c>
      <c r="W115" s="43" t="str">
        <f aca="false">IF($A115="","",IFERROR(IF(VLOOKUP(O115,매핑!$A$4:$E$92,3,0)="","미분류",VLOOKUP(O115,매핑!$A$4:$E$92,3,0)),"미분류"))</f>
        <v>프랑스</v>
      </c>
      <c r="X115" s="89" t="n">
        <f aca="false">IF($A115="",0,IF(O115="T",1,0))</f>
        <v>0</v>
      </c>
      <c r="Y115" s="89" t="n">
        <f aca="false">IF($A115="",0,IF(AND(C115="USD",X115=0,ISNUMBER(E115),ISNUMBER(K115)),IF(K115&gt;=설정!$C$8,1,0),0))</f>
        <v>1</v>
      </c>
      <c r="Z115" s="43" t="str">
        <f aca="false">IF($A115="","",N115&amp;"|"&amp;L115)</f>
        <v>유럽|금융기관</v>
      </c>
      <c r="AA115" s="92" t="n">
        <f aca="false">IF(Y115=1,LN(K115),0)</f>
        <v>0.44660705143934</v>
      </c>
      <c r="AB115" s="93" t="n">
        <f aca="false">IF(Y115=1,E115,0)</f>
        <v>87.451</v>
      </c>
      <c r="AC115" s="89" t="n">
        <f aca="false">IF(Y115=1,COUNTIFS($Z$2:$Z$601,Z115,$Y$2:$Y$601,1),0)</f>
        <v>32</v>
      </c>
      <c r="AD115" s="89" t="n">
        <f aca="false">IF(Y115=1,COUNTIFS($N$2:$N$601,N115,$Y$2:$Y$601,1),0)</f>
        <v>32</v>
      </c>
      <c r="AE115" s="43" t="str">
        <f aca="false">IF(Y115&lt;&gt;1,"",IF(AND(AC115&gt;=설정!$C$7,ISNUMBER(MATCH(Z115,피어커브!$A:$A,0))),Z115,IF(AND(AD115&gt;=설정!$C$7,ISNUMBER(MATCH(N115&amp;"|전체",피어커브!$A:$A,0))),N115&amp;"|전체","전체|전체")))</f>
        <v>유럽|금융기관</v>
      </c>
      <c r="AF115" s="93" t="n">
        <f aca="false">IF(AE115="","",INDEX(피어커브!$K:$K,MATCH(AE115,피어커브!$A:$A,0)))</f>
        <v>43.3660967921697</v>
      </c>
      <c r="AG115" s="93" t="n">
        <f aca="false">IF(AE115="","",INDEX(피어커브!$J:$J,MATCH(AE115,피어커브!$A:$A,0)))</f>
        <v>30.582858826536</v>
      </c>
      <c r="AH115" s="93" t="n">
        <f aca="false">IF(AE115="","",INDEX(피어커브!$L:$L,MATCH(AE115,피어커브!$A:$A,0)))</f>
        <v>10.9882810943096</v>
      </c>
      <c r="AI115" s="93" t="n">
        <f aca="false">IF(AE115="","",AF115+AG115*AA115)</f>
        <v>57.0246171972745</v>
      </c>
      <c r="AJ115" s="96" t="n">
        <f aca="false">IF(AE115="","",E115-AI115)</f>
        <v>30.4263828027255</v>
      </c>
      <c r="AK115" s="95" t="n">
        <f aca="false">IF(AE115="","",IF(ISNUMBER(AH115),IF(AH115&gt;0,AJ115/AH115,""),""))</f>
        <v>2.76898475217221</v>
      </c>
      <c r="AL115" s="43" t="str">
        <f aca="false">IF(AK115="","-",IF(AK115&gt;=설정!$C$6,"Cheap",IF(AK115&lt;=-설정!$C$6,"Rich","Fair")))</f>
        <v>Cheap</v>
      </c>
      <c r="AM115" s="96" t="n">
        <f aca="false">IF(AE115="","",AJ115-AVERAGEIFS($AJ$2:$AJ$601,$B$2:$B$601,B115,$Y$2:$Y$601,1))</f>
        <v>0</v>
      </c>
      <c r="AN115" s="93" t="n">
        <f aca="false">IF(AE115="",0,IF(K115&gt;1+설정!$C$8,AG115*(AA115-LN(K115-1)),0))</f>
        <v>31.2276281341018</v>
      </c>
      <c r="AO115" s="99" t="n">
        <f aca="false">IF($A115="",0,SUMIFS(보유분석!$AA$2:$AA$801,보유분석!$AB$2:$AB$801,ROW(),보유분석!$AC$2:$AC$801,1))</f>
        <v>0.992107</v>
      </c>
      <c r="AP115" s="43" t="str">
        <f aca="false">IF($A115="","",TRIM(IF(R115=1,"FRN ","")&amp;IF(IFERROR(VLOOKUP(M115,설정!$A$15:$D$47,4,0),0)&gt;=10,IF(IFERROR(VLOOKUP(M115,설정!$A$15:$D$47,4,0),0)&lt;99,"BBB0미만 ",""),"")&amp;IF(OR(M115="",M115="NR"),"등급미입력 ","")&amp;IF(C115&lt;&gt;"USD","비USD ","")))</f>
        <v/>
      </c>
      <c r="AQ115" s="90" t="n">
        <f aca="false">IF(AND(Y115=1,AL115="Cheap"),IF(AND(ISERROR(SEARCH("FRN",AP115)),ISERROR(SEARCH("BBB0미만",AP115))),AK115+ROW()/1000000000,-999),-999)</f>
        <v>2.76898486717221</v>
      </c>
      <c r="AR115" s="92" t="n">
        <f aca="false">IF(AND(ISNUMBER(D115),ISNUMBER(K115)),D115+AN115*MAX(K115-1,0)/100,"")</f>
        <v>5.78281154639499</v>
      </c>
      <c r="AS115" s="93" t="n">
        <f aca="false">IF(AND(ISNUMBER(E115),ISNUMBER(K115)),IF(K115&gt;0,(E115+AN115*MAX(K115-1,0))/K115,""),"")</f>
        <v>67.1990752651947</v>
      </c>
      <c r="AT115" s="90" t="n">
        <f aca="false">IFERROR(IF(AND(Y115=1,ROW()&lt;&gt;스왑분석!$C$12+1,ABS(K115-INDEX($K$2:$K$601,스왑분석!$C$12))&lt;=스왑분석!$C$5,ISERROR(SEARCH("FRN",AP115)),ISERROR(SEARCH("BBB0미만",AP115))),IF(AND(OR(스왑분석!$C$6="N",L115=INDEX($L$2:$L$601,스왑분석!$C$12)),OR(스왑분석!$C$7="N",N115=INDEX($N$2:$N$601,스왑분석!$C$12)),OR(스왑분석!$C$8="N",AO115=0),E115-INDEX($E$2:$E$601,스왑분석!$C$12)&gt;=스왑분석!$C$9),E115-INDEX($E$2:$E$601,스왑분석!$C$12)+ROW()/1000000000,-999),-999),-999)</f>
        <v>-999</v>
      </c>
      <c r="AU115" s="90" t="n">
        <f aca="false">IF(AND(Y115=1,AO115&gt;0,AL115="Rich"),-AK115+ROW()/1000000000,-999)</f>
        <v>-999</v>
      </c>
    </row>
    <row r="116" customFormat="false" ht="15" hidden="false" customHeight="false" outlineLevel="0" collapsed="false">
      <c r="A116" s="83" t="str">
        <f aca="false">IFERROR(IF(INDEX(원자료_시장!$A$1:$BZ$1000,설정!$L$6+ROW()-1,설정!$L$24)&amp;""="0","",INDEX(원자료_시장!$A$1:$BZ$1000,설정!$L$6+ROW()-1,설정!$L$24)),"")</f>
        <v>SUMIBK 4.494 01/15/32</v>
      </c>
      <c r="B116" s="83" t="str">
        <f aca="false">IFERROR(IF(INDEX(원자료_시장!$A$1:$BZ$1000,설정!$L$6+ROW()-1,설정!$L$37)&amp;""="0","",INDEX(원자료_시장!$A$1:$BZ$1000,설정!$L$6+ROW()-1,설정!$L$37)),"")</f>
        <v>SUMITOMO MITSUI FINL GRP</v>
      </c>
      <c r="C116" s="83" t="str">
        <f aca="false">IFERROR(IF(INDEX(원자료_시장!$A$1:$BZ$1000,설정!$L$6+ROW()-1,설정!$L$25)&amp;""="0","",INDEX(원자료_시장!$A$1:$BZ$1000,설정!$L$6+ROW()-1,설정!$L$25)),"")</f>
        <v>USD</v>
      </c>
      <c r="D116" s="85" t="n">
        <f aca="false">IFERROR(IF(ISNUMBER(INDEX(원자료_시장!$A$1:$BZ$1000,설정!$L$6+ROW()-1,설정!$L$26)),INDEX(원자료_시장!$A$1:$BZ$1000,설정!$L$6+ROW()-1,설정!$L$26),""),"")</f>
        <v>5.707</v>
      </c>
      <c r="E116" s="97" t="n">
        <f aca="false">IFERROR(IF(ISNUMBER(INDEX(원자료_시장!$A$1:$BZ$1000,설정!$L$6+ROW()-1,설정!$L$27)),INDEX(원자료_시장!$A$1:$BZ$1000,설정!$L$6+ROW()-1,설정!$L$27),""),"")</f>
        <v>78.25</v>
      </c>
      <c r="F116" s="97" t="n">
        <f aca="false">IFERROR(IF(ISNUMBER(INDEX(원자료_시장!$A$1:$BZ$1000,설정!$L$6+ROW()-1,설정!$L$28)),INDEX(원자료_시장!$A$1:$BZ$1000,설정!$L$6+ROW()-1,설정!$L$28),""),"")</f>
        <v>112.125</v>
      </c>
      <c r="G116" s="97" t="n">
        <f aca="false">IFERROR(IF(ISNUMBER(INDEX(원자료_시장!$A$1:$BZ$1000,설정!$L$6+ROW()-1,설정!$L$29)),INDEX(원자료_시장!$A$1:$BZ$1000,설정!$L$6+ROW()-1,설정!$L$29),""),"")</f>
        <v>-0.5</v>
      </c>
      <c r="H116" s="97" t="n">
        <f aca="false">IFERROR(IF(ISNUMBER(INDEX(원자료_시장!$A$1:$BZ$1000,설정!$L$6+ROW()-1,설정!$L$30)),INDEX(원자료_시장!$A$1:$BZ$1000,설정!$L$6+ROW()-1,설정!$L$30),""),"")</f>
        <v>4</v>
      </c>
      <c r="I116" s="97" t="n">
        <f aca="false">IFERROR(IF(ISNUMBER(INDEX(원자료_시장!$A$1:$BZ$1000,설정!$L$6+ROW()-1,설정!$L$31)),INDEX(원자료_시장!$A$1:$BZ$1000,설정!$L$6+ROW()-1,설정!$L$31),""),"")</f>
        <v>-3.3</v>
      </c>
      <c r="J116" s="97" t="n">
        <f aca="false">IFERROR(IF(ISNUMBER(INDEX(원자료_시장!$A$1:$BZ$1000,설정!$L$6+ROW()-1,설정!$L$32)),INDEX(원자료_시장!$A$1:$BZ$1000,설정!$L$6+ROW()-1,설정!$L$32),""),"")</f>
        <v>-6.8</v>
      </c>
      <c r="K116" s="85" t="n">
        <f aca="false">IFERROR(IF(ISNUMBER(INDEX(원자료_시장!$A$1:$BZ$1000,설정!$L$6+ROW()-1,설정!$L$33)),INDEX(원자료_시장!$A$1:$BZ$1000,설정!$L$6+ROW()-1,설정!$L$33),""),"")</f>
        <v>3.897</v>
      </c>
      <c r="L116" s="83" t="str">
        <f aca="false">IFERROR(IF(INDEX(원자료_시장!$A$1:$BZ$1000,설정!$L$6+ROW()-1,설정!$L$34)&amp;""="0","",INDEX(원자료_시장!$A$1:$BZ$1000,설정!$L$6+ROW()-1,설정!$L$34)),"")</f>
        <v>금융기관</v>
      </c>
      <c r="M116" s="83" t="str">
        <f aca="false">IFERROR(IF(INDEX(원자료_시장!$A$1:$BZ$1000,설정!$L$6+ROW()-1,설정!$L$35)&amp;""="0","",INDEX(원자료_시장!$A$1:$BZ$1000,설정!$L$6+ROW()-1,설정!$L$35)),"")</f>
        <v>A-</v>
      </c>
      <c r="N116" s="83" t="str">
        <f aca="false">IFERROR(IF(INDEX(원자료_시장!$A$1:$BZ$1000,설정!$L$6+ROW()-1,설정!$L$36)&amp;""="0","",INDEX(원자료_시장!$A$1:$BZ$1000,설정!$L$6+ROW()-1,설정!$L$36)),"")</f>
        <v>아시아/기타</v>
      </c>
      <c r="O116" s="43" t="str">
        <f aca="false">IF($A116="","",UPPER(LEFT($A116,FIND(" ",$A116&amp;" ")-1)))</f>
        <v>SUMIBK</v>
      </c>
      <c r="P116" s="43" t="str">
        <f aca="false">IF($A116="","",TRIM(RIGHT(SUBSTITUTE(TRIM($A116)," ",REPT(" ",30)),30)))</f>
        <v>01/15/32</v>
      </c>
      <c r="Q116" s="98" t="n">
        <f aca="false">IF($A116="","",IFERROR(DATE(IF(LEN(P116)=8,2000+VALUE(RIGHT(P116,2)),VALUE(RIGHT(P116,4))),VALUE(LEFT(P116,2)),VALUE(MID(P116,4,2))),""))</f>
        <v>48228</v>
      </c>
      <c r="R116" s="89" t="n">
        <f aca="false">IF($A116="",0,IF(ISNUMBER(SEARCH("Float",$A116)),1,0))</f>
        <v>0</v>
      </c>
      <c r="S116" s="43" t="str">
        <f aca="false">IF($A116="","",TRIM(MID($A116,LEN(O116)+2,LEN($A116)-LEN(O116)-LEN(P116)-1)))</f>
        <v>4.494</v>
      </c>
      <c r="T116" s="92" t="n">
        <f aca="false">IF(OR($A116="",R116=1),"",IFERROR(IF(ISNUMBER(FIND("/",S116)),IF(ISNUMBER(FIND(" ",S116)),VALUE(LEFT(S116,FIND(" ",S116)-1))+VALUE(MID(S116,FIND(" ",S116)+1,FIND("/",S116)-FIND(" ",S116)-1))/VALUE(MID(S116,FIND("/",S116)+1,9)),VALUE(LEFT(S116,FIND("/",S116)-1))/VALUE(MID(S116,FIND("/",S116)+1,9))),VALUE(S116)),""))</f>
        <v>4.494</v>
      </c>
      <c r="U116" s="43" t="str">
        <f aca="false">IF(OR($A116="",NOT(ISNUMBER(Q116))),"",TEXT(Q116,"yyyymmdd")&amp;"|"&amp;IF(R116=1,"F",TEXT(T116,"0.000")))</f>
        <v>20320115|4.494</v>
      </c>
      <c r="V116" s="43" t="str">
        <f aca="false">IF(U116="","",O116&amp;"|"&amp;U116)</f>
        <v>SUMIBK|20320115|4.494</v>
      </c>
      <c r="W116" s="43" t="str">
        <f aca="false">IF($A116="","",IFERROR(IF(VLOOKUP(O116,매핑!$A$4:$E$92,3,0)="","미분류",VLOOKUP(O116,매핑!$A$4:$E$92,3,0)),"미분류"))</f>
        <v>일본</v>
      </c>
      <c r="X116" s="89" t="n">
        <f aca="false">IF($A116="",0,IF(O116="T",1,0))</f>
        <v>0</v>
      </c>
      <c r="Y116" s="89" t="n">
        <f aca="false">IF($A116="",0,IF(AND(C116="USD",X116=0,ISNUMBER(E116),ISNUMBER(K116)),IF(K116&gt;=설정!$C$8,1,0),0))</f>
        <v>1</v>
      </c>
      <c r="Z116" s="43" t="str">
        <f aca="false">IF($A116="","",N116&amp;"|"&amp;L116)</f>
        <v>아시아/기타|금융기관</v>
      </c>
      <c r="AA116" s="92" t="n">
        <f aca="false">IF(Y116=1,LN(K116),0)</f>
        <v>1.36020702635657</v>
      </c>
      <c r="AB116" s="93" t="n">
        <f aca="false">IF(Y116=1,E116,0)</f>
        <v>78.25</v>
      </c>
      <c r="AC116" s="89" t="n">
        <f aca="false">IF(Y116=1,COUNTIFS($Z$2:$Z$601,Z116,$Y$2:$Y$601,1),0)</f>
        <v>42</v>
      </c>
      <c r="AD116" s="89" t="n">
        <f aca="false">IF(Y116=1,COUNTIFS($N$2:$N$601,N116,$Y$2:$Y$601,1),0)</f>
        <v>137</v>
      </c>
      <c r="AE116" s="43" t="str">
        <f aca="false">IF(Y116&lt;&gt;1,"",IF(AND(AC116&gt;=설정!$C$7,ISNUMBER(MATCH(Z116,피어커브!$A:$A,0))),Z116,IF(AND(AD116&gt;=설정!$C$7,ISNUMBER(MATCH(N116&amp;"|전체",피어커브!$A:$A,0))),N116&amp;"|전체","전체|전체")))</f>
        <v>아시아/기타|금융기관</v>
      </c>
      <c r="AF116" s="93" t="n">
        <f aca="false">IF(AE116="","",INDEX(피어커브!$K:$K,MATCH(AE116,피어커브!$A:$A,0)))</f>
        <v>50.117430292991</v>
      </c>
      <c r="AG116" s="93" t="n">
        <f aca="false">IF(AE116="","",INDEX(피어커브!$J:$J,MATCH(AE116,피어커브!$A:$A,0)))</f>
        <v>13.9183160321618</v>
      </c>
      <c r="AH116" s="93" t="n">
        <f aca="false">IF(AE116="","",INDEX(피어커브!$L:$L,MATCH(AE116,피어커브!$A:$A,0)))</f>
        <v>20.4735875466442</v>
      </c>
      <c r="AI116" s="93" t="n">
        <f aca="false">IF(AE116="","",AF116+AG116*AA116)</f>
        <v>69.0492215549889</v>
      </c>
      <c r="AJ116" s="96" t="n">
        <f aca="false">IF(AE116="","",E116-AI116)</f>
        <v>9.20077844501115</v>
      </c>
      <c r="AK116" s="95" t="n">
        <f aca="false">IF(AE116="","",IF(ISNUMBER(AH116),IF(AH116&gt;0,AJ116/AH116,""),""))</f>
        <v>0.449397469986605</v>
      </c>
      <c r="AL116" s="43" t="str">
        <f aca="false">IF(AK116="","-",IF(AK116&gt;=설정!$C$6,"Cheap",IF(AK116&lt;=-설정!$C$6,"Rich","Fair")))</f>
        <v>Fair</v>
      </c>
      <c r="AM116" s="96" t="n">
        <f aca="false">IF(AE116="","",AJ116-AVERAGEIFS($AJ$2:$AJ$601,$B$2:$B$601,B116,$Y$2:$Y$601,1))</f>
        <v>0</v>
      </c>
      <c r="AN116" s="93" t="n">
        <f aca="false">IF(AE116="",0,IF(K116&gt;1+설정!$C$8,AG116*(AA116-LN(K116-1)),0))</f>
        <v>4.12721645218051</v>
      </c>
      <c r="AO116" s="99" t="n">
        <f aca="false">IF($A116="",0,SUMIFS(보유분석!$AA$2:$AA$801,보유분석!$AB$2:$AB$801,ROW(),보유분석!$AC$2:$AC$801,1))</f>
        <v>4.749875</v>
      </c>
      <c r="AP116" s="43" t="str">
        <f aca="false">IF($A116="","",TRIM(IF(R116=1,"FRN ","")&amp;IF(IFERROR(VLOOKUP(M116,설정!$A$15:$D$47,4,0),0)&gt;=10,IF(IFERROR(VLOOKUP(M116,설정!$A$15:$D$47,4,0),0)&lt;99,"BBB0미만 ",""),"")&amp;IF(OR(M116="",M116="NR"),"등급미입력 ","")&amp;IF(C116&lt;&gt;"USD","비USD ","")))</f>
        <v/>
      </c>
      <c r="AQ116" s="90" t="n">
        <f aca="false">IF(AND(Y116=1,AL116="Cheap"),IF(AND(ISERROR(SEARCH("FRN",AP116)),ISERROR(SEARCH("BBB0미만",AP116))),AK116+ROW()/1000000000,-999),-999)</f>
        <v>-999</v>
      </c>
      <c r="AR116" s="92" t="n">
        <f aca="false">IF(AND(ISNUMBER(D116),ISNUMBER(K116)),D116+AN116*MAX(K116-1,0)/100,"")</f>
        <v>5.82656546061967</v>
      </c>
      <c r="AS116" s="93" t="n">
        <f aca="false">IF(AND(ISNUMBER(E116),ISNUMBER(K116)),IF(K116&gt;0,(E116+AN116*MAX(K116-1,0))/K116,""),"")</f>
        <v>23.1476895206484</v>
      </c>
      <c r="AT116" s="90" t="n">
        <f aca="false">IFERROR(IF(AND(Y116=1,ROW()&lt;&gt;스왑분석!$C$12+1,ABS(K116-INDEX($K$2:$K$601,스왑분석!$C$12))&lt;=스왑분석!$C$5,ISERROR(SEARCH("FRN",AP116)),ISERROR(SEARCH("BBB0미만",AP116))),IF(AND(OR(스왑분석!$C$6="N",L116=INDEX($L$2:$L$601,스왑분석!$C$12)),OR(스왑분석!$C$7="N",N116=INDEX($N$2:$N$601,스왑분석!$C$12)),OR(스왑분석!$C$8="N",AO116=0),E116-INDEX($E$2:$E$601,스왑분석!$C$12)&gt;=스왑분석!$C$9),E116-INDEX($E$2:$E$601,스왑분석!$C$12)+ROW()/1000000000,-999),-999),-999)</f>
        <v>29.758000116</v>
      </c>
      <c r="AU116" s="90" t="n">
        <f aca="false">IF(AND(Y116=1,AO116&gt;0,AL116="Rich"),-AK116+ROW()/1000000000,-999)</f>
        <v>-999</v>
      </c>
    </row>
    <row r="117" customFormat="false" ht="15" hidden="false" customHeight="false" outlineLevel="0" collapsed="false">
      <c r="A117" s="83" t="str">
        <f aca="false">IFERROR(IF(INDEX(원자료_시장!$A$1:$BZ$1000,설정!$L$6+ROW()-1,설정!$L$24)&amp;""="0","",INDEX(원자료_시장!$A$1:$BZ$1000,설정!$L$6+ROW()-1,설정!$L$24)),"")</f>
        <v>T 4 1/4 08/15/54</v>
      </c>
      <c r="B117" s="83" t="str">
        <f aca="false">IFERROR(IF(INDEX(원자료_시장!$A$1:$BZ$1000,설정!$L$6+ROW()-1,설정!$L$37)&amp;""="0","",INDEX(원자료_시장!$A$1:$BZ$1000,설정!$L$6+ROW()-1,설정!$L$37)),"")</f>
        <v>US TREASURY N/B</v>
      </c>
      <c r="C117" s="83" t="str">
        <f aca="false">IFERROR(IF(INDEX(원자료_시장!$A$1:$BZ$1000,설정!$L$6+ROW()-1,설정!$L$25)&amp;""="0","",INDEX(원자료_시장!$A$1:$BZ$1000,설정!$L$6+ROW()-1,설정!$L$25)),"")</f>
        <v>USD</v>
      </c>
      <c r="D117" s="85" t="n">
        <f aca="false">IFERROR(IF(ISNUMBER(INDEX(원자료_시장!$A$1:$BZ$1000,설정!$L$6+ROW()-1,설정!$L$26)),INDEX(원자료_시장!$A$1:$BZ$1000,설정!$L$6+ROW()-1,설정!$L$26),""),"")</f>
        <v>5.664</v>
      </c>
      <c r="E117" s="97" t="n">
        <f aca="false">IFERROR(IF(ISNUMBER(INDEX(원자료_시장!$A$1:$BZ$1000,설정!$L$6+ROW()-1,설정!$L$27)),INDEX(원자료_시장!$A$1:$BZ$1000,설정!$L$6+ROW()-1,설정!$L$27),""),"")</f>
        <v>3.4</v>
      </c>
      <c r="F117" s="97" t="n">
        <f aca="false">IFERROR(IF(ISNUMBER(INDEX(원자료_시장!$A$1:$BZ$1000,설정!$L$6+ROW()-1,설정!$L$28)),INDEX(원자료_시장!$A$1:$BZ$1000,설정!$L$6+ROW()-1,설정!$L$28),""),"")</f>
        <v>73.805</v>
      </c>
      <c r="G117" s="97" t="n">
        <f aca="false">IFERROR(IF(ISNUMBER(INDEX(원자료_시장!$A$1:$BZ$1000,설정!$L$6+ROW()-1,설정!$L$29)),INDEX(원자료_시장!$A$1:$BZ$1000,설정!$L$6+ROW()-1,설정!$L$29),""),"")</f>
        <v>-0.1</v>
      </c>
      <c r="H117" s="97" t="n">
        <f aca="false">IFERROR(IF(ISNUMBER(INDEX(원자료_시장!$A$1:$BZ$1000,설정!$L$6+ROW()-1,설정!$L$30)),INDEX(원자료_시장!$A$1:$BZ$1000,설정!$L$6+ROW()-1,설정!$L$30),""),"")</f>
        <v>0.3</v>
      </c>
      <c r="I117" s="97" t="n">
        <f aca="false">IFERROR(IF(ISNUMBER(INDEX(원자료_시장!$A$1:$BZ$1000,설정!$L$6+ROW()-1,설정!$L$31)),INDEX(원자료_시장!$A$1:$BZ$1000,설정!$L$6+ROW()-1,설정!$L$31),""),"")</f>
        <v>0.4</v>
      </c>
      <c r="J117" s="97" t="n">
        <f aca="false">IFERROR(IF(ISNUMBER(INDEX(원자료_시장!$A$1:$BZ$1000,설정!$L$6+ROW()-1,설정!$L$32)),INDEX(원자료_시장!$A$1:$BZ$1000,설정!$L$6+ROW()-1,설정!$L$32),""),"")</f>
        <v>0.5</v>
      </c>
      <c r="K117" s="85" t="n">
        <f aca="false">IFERROR(IF(ISNUMBER(INDEX(원자료_시장!$A$1:$BZ$1000,설정!$L$6+ROW()-1,설정!$L$33)),INDEX(원자료_시장!$A$1:$BZ$1000,설정!$L$6+ROW()-1,설정!$L$33),""),"")</f>
        <v>15.113</v>
      </c>
      <c r="L117" s="83" t="str">
        <f aca="false">IFERROR(IF(INDEX(원자료_시장!$A$1:$BZ$1000,설정!$L$6+ROW()-1,설정!$L$34)&amp;""="0","",INDEX(원자료_시장!$A$1:$BZ$1000,설정!$L$6+ROW()-1,설정!$L$34)),"")</f>
        <v>정부</v>
      </c>
      <c r="M117" s="83" t="n">
        <f aca="false">IFERROR(IF(INDEX(원자료_시장!$A$1:$BZ$1000,설정!$L$6+ROW()-1,설정!$L$35)&amp;""="0","",INDEX(원자료_시장!$A$1:$BZ$1000,설정!$L$6+ROW()-1,설정!$L$35)),"")</f>
        <v>0</v>
      </c>
      <c r="N117" s="83" t="str">
        <f aca="false">IFERROR(IF(INDEX(원자료_시장!$A$1:$BZ$1000,설정!$L$6+ROW()-1,설정!$L$36)&amp;""="0","",INDEX(원자료_시장!$A$1:$BZ$1000,설정!$L$6+ROW()-1,설정!$L$36)),"")</f>
        <v>미국</v>
      </c>
      <c r="O117" s="43" t="str">
        <f aca="false">IF($A117="","",UPPER(LEFT($A117,FIND(" ",$A117&amp;" ")-1)))</f>
        <v>T</v>
      </c>
      <c r="P117" s="43" t="str">
        <f aca="false">IF($A117="","",TRIM(RIGHT(SUBSTITUTE(TRIM($A117)," ",REPT(" ",30)),30)))</f>
        <v>08/15/54</v>
      </c>
      <c r="Q117" s="98" t="n">
        <f aca="false">IF($A117="","",IFERROR(DATE(IF(LEN(P117)=8,2000+VALUE(RIGHT(P117,2)),VALUE(RIGHT(P117,4))),VALUE(LEFT(P117,2)),VALUE(MID(P117,4,2))),""))</f>
        <v>56476</v>
      </c>
      <c r="R117" s="89" t="n">
        <f aca="false">IF($A117="",0,IF(ISNUMBER(SEARCH("Float",$A117)),1,0))</f>
        <v>0</v>
      </c>
      <c r="S117" s="43" t="str">
        <f aca="false">IF($A117="","",TRIM(MID($A117,LEN(O117)+2,LEN($A117)-LEN(O117)-LEN(P117)-1)))</f>
        <v>4 1/4</v>
      </c>
      <c r="T117" s="92" t="n">
        <f aca="false">IF(OR($A117="",R117=1),"",IFERROR(IF(ISNUMBER(FIND("/",S117)),IF(ISNUMBER(FIND(" ",S117)),VALUE(LEFT(S117,FIND(" ",S117)-1))+VALUE(MID(S117,FIND(" ",S117)+1,FIND("/",S117)-FIND(" ",S117)-1))/VALUE(MID(S117,FIND("/",S117)+1,9)),VALUE(LEFT(S117,FIND("/",S117)-1))/VALUE(MID(S117,FIND("/",S117)+1,9))),VALUE(S117)),""))</f>
        <v>4.25</v>
      </c>
      <c r="U117" s="43" t="str">
        <f aca="false">IF(OR($A117="",NOT(ISNUMBER(Q117))),"",TEXT(Q117,"yyyymmdd")&amp;"|"&amp;IF(R117=1,"F",TEXT(T117,"0.000")))</f>
        <v>20540815|4.250</v>
      </c>
      <c r="V117" s="43" t="str">
        <f aca="false">IF(U117="","",O117&amp;"|"&amp;U117)</f>
        <v>T|20540815|4.250</v>
      </c>
      <c r="W117" s="43" t="str">
        <f aca="false">IF($A117="","",IFERROR(IF(VLOOKUP(O117,매핑!$A$4:$E$92,3,0)="","미분류",VLOOKUP(O117,매핑!$A$4:$E$92,3,0)),"미분류"))</f>
        <v>미국</v>
      </c>
      <c r="X117" s="89" t="n">
        <f aca="false">IF($A117="",0,IF(O117="T",1,0))</f>
        <v>1</v>
      </c>
      <c r="Y117" s="89" t="n">
        <f aca="false">IF($A117="",0,IF(AND(C117="USD",X117=0,ISNUMBER(E117),ISNUMBER(K117)),IF(K117&gt;=설정!$C$8,1,0),0))</f>
        <v>0</v>
      </c>
      <c r="Z117" s="43" t="str">
        <f aca="false">IF($A117="","",N117&amp;"|"&amp;L117)</f>
        <v>미국|정부</v>
      </c>
      <c r="AA117" s="92" t="n">
        <f aca="false">IF(Y117=1,LN(K117),0)</f>
        <v>0</v>
      </c>
      <c r="AB117" s="93" t="n">
        <f aca="false">IF(Y117=1,E117,0)</f>
        <v>0</v>
      </c>
      <c r="AC117" s="89" t="n">
        <f aca="false">IF(Y117=1,COUNTIFS($Z$2:$Z$601,Z117,$Y$2:$Y$601,1),0)</f>
        <v>0</v>
      </c>
      <c r="AD117" s="89" t="n">
        <f aca="false">IF(Y117=1,COUNTIFS($N$2:$N$601,N117,$Y$2:$Y$601,1),0)</f>
        <v>0</v>
      </c>
      <c r="AE117" s="43" t="str">
        <f aca="false">IF(Y117&lt;&gt;1,"",IF(AND(AC117&gt;=설정!$C$7,ISNUMBER(MATCH(Z117,피어커브!$A:$A,0))),Z117,IF(AND(AD117&gt;=설정!$C$7,ISNUMBER(MATCH(N117&amp;"|전체",피어커브!$A:$A,0))),N117&amp;"|전체","전체|전체")))</f>
        <v/>
      </c>
      <c r="AF117" s="93" t="str">
        <f aca="false">IF(AE117="","",INDEX(피어커브!$K:$K,MATCH(AE117,피어커브!$A:$A,0)))</f>
        <v/>
      </c>
      <c r="AG117" s="93" t="str">
        <f aca="false">IF(AE117="","",INDEX(피어커브!$J:$J,MATCH(AE117,피어커브!$A:$A,0)))</f>
        <v/>
      </c>
      <c r="AH117" s="93" t="str">
        <f aca="false">IF(AE117="","",INDEX(피어커브!$L:$L,MATCH(AE117,피어커브!$A:$A,0)))</f>
        <v/>
      </c>
      <c r="AI117" s="93" t="str">
        <f aca="false">IF(AE117="","",AF117+AG117*AA117)</f>
        <v/>
      </c>
      <c r="AJ117" s="96" t="str">
        <f aca="false">IF(AE117="","",E117-AI117)</f>
        <v/>
      </c>
      <c r="AK117" s="95" t="str">
        <f aca="false">IF(AE117="","",IF(ISNUMBER(AH117),IF(AH117&gt;0,AJ117/AH117,""),""))</f>
        <v/>
      </c>
      <c r="AL117" s="43" t="str">
        <f aca="false">IF(AK117="","-",IF(AK117&gt;=설정!$C$6,"Cheap",IF(AK117&lt;=-설정!$C$6,"Rich","Fair")))</f>
        <v>-</v>
      </c>
      <c r="AM117" s="96" t="str">
        <f aca="false">IF(AE117="","",AJ117-AVERAGEIFS($AJ$2:$AJ$601,$B$2:$B$601,B117,$Y$2:$Y$601,1))</f>
        <v/>
      </c>
      <c r="AN117" s="93" t="n">
        <f aca="false">IF(AE117="",0,IF(K117&gt;1+설정!$C$8,AG117*(AA117-LN(K117-1)),0))</f>
        <v>0</v>
      </c>
      <c r="AO117" s="99" t="n">
        <f aca="false">IF($A117="",0,SUMIFS(보유분석!$AA$2:$AA$801,보유분석!$AB$2:$AB$801,ROW(),보유분석!$AC$2:$AC$801,1))</f>
        <v>0</v>
      </c>
      <c r="AP117" s="43" t="str">
        <f aca="false">IF($A117="","",TRIM(IF(R117=1,"FRN ","")&amp;IF(IFERROR(VLOOKUP(M117,설정!$A$15:$D$47,4,0),0)&gt;=10,IF(IFERROR(VLOOKUP(M117,설정!$A$15:$D$47,4,0),0)&lt;99,"BBB0미만 ",""),"")&amp;IF(OR(M117="",M117="NR"),"등급미입력 ","")&amp;IF(C117&lt;&gt;"USD","비USD ","")))</f>
        <v>등급미입력</v>
      </c>
      <c r="AQ117" s="90" t="n">
        <f aca="false">IF(AND(Y117=1,AL117="Cheap"),IF(AND(ISERROR(SEARCH("FRN",AP117)),ISERROR(SEARCH("BBB0미만",AP117))),AK117+ROW()/1000000000,-999),-999)</f>
        <v>-999</v>
      </c>
      <c r="AR117" s="92" t="n">
        <f aca="false">IF(AND(ISNUMBER(D117),ISNUMBER(K117)),D117+AN117*MAX(K117-1,0)/100,"")</f>
        <v>5.664</v>
      </c>
      <c r="AS117" s="93" t="n">
        <f aca="false">IF(AND(ISNUMBER(E117),ISNUMBER(K117)),IF(K117&gt;0,(E117+AN117*MAX(K117-1,0))/K117,""),"")</f>
        <v>0.224971878515186</v>
      </c>
      <c r="AT117" s="90" t="n">
        <f aca="false">IFERROR(IF(AND(Y117=1,ROW()&lt;&gt;스왑분석!$C$12+1,ABS(K117-INDEX($K$2:$K$601,스왑분석!$C$12))&lt;=스왑분석!$C$5,ISERROR(SEARCH("FRN",AP117)),ISERROR(SEARCH("BBB0미만",AP117))),IF(AND(OR(스왑분석!$C$6="N",L117=INDEX($L$2:$L$601,스왑분석!$C$12)),OR(스왑분석!$C$7="N",N117=INDEX($N$2:$N$601,스왑분석!$C$12)),OR(스왑분석!$C$8="N",AO117=0),E117-INDEX($E$2:$E$601,스왑분석!$C$12)&gt;=스왑분석!$C$9),E117-INDEX($E$2:$E$601,스왑분석!$C$12)+ROW()/1000000000,-999),-999),-999)</f>
        <v>-999</v>
      </c>
      <c r="AU117" s="90" t="n">
        <f aca="false">IF(AND(Y117=1,AO117&gt;0,AL117="Rich"),-AK117+ROW()/1000000000,-999)</f>
        <v>-999</v>
      </c>
    </row>
    <row r="118" customFormat="false" ht="15" hidden="false" customHeight="false" outlineLevel="0" collapsed="false">
      <c r="A118" s="83" t="str">
        <f aca="false">IFERROR(IF(INDEX(원자료_시장!$A$1:$BZ$1000,설정!$L$6+ROW()-1,설정!$L$24)&amp;""="0","",INDEX(원자료_시장!$A$1:$BZ$1000,설정!$L$6+ROW()-1,설정!$L$24)),"")</f>
        <v>T 3 5/8 03/31/28</v>
      </c>
      <c r="B118" s="83" t="str">
        <f aca="false">IFERROR(IF(INDEX(원자료_시장!$A$1:$BZ$1000,설정!$L$6+ROW()-1,설정!$L$37)&amp;""="0","",INDEX(원자료_시장!$A$1:$BZ$1000,설정!$L$6+ROW()-1,설정!$L$37)),"")</f>
        <v>US TREASURY N/B</v>
      </c>
      <c r="C118" s="83" t="str">
        <f aca="false">IFERROR(IF(INDEX(원자료_시장!$A$1:$BZ$1000,설정!$L$6+ROW()-1,설정!$L$25)&amp;""="0","",INDEX(원자료_시장!$A$1:$BZ$1000,설정!$L$6+ROW()-1,설정!$L$25)),"")</f>
        <v>USD</v>
      </c>
      <c r="D118" s="85" t="n">
        <f aca="false">IFERROR(IF(ISNUMBER(INDEX(원자료_시장!$A$1:$BZ$1000,설정!$L$6+ROW()-1,설정!$L$26)),INDEX(원자료_시장!$A$1:$BZ$1000,설정!$L$6+ROW()-1,설정!$L$26),""),"")</f>
        <v>4.811</v>
      </c>
      <c r="E118" s="97" t="n">
        <f aca="false">IFERROR(IF(ISNUMBER(INDEX(원자료_시장!$A$1:$BZ$1000,설정!$L$6+ROW()-1,설정!$L$27)),INDEX(원자료_시장!$A$1:$BZ$1000,설정!$L$6+ROW()-1,설정!$L$27),""),"")</f>
        <v>-7.784</v>
      </c>
      <c r="F118" s="97" t="n">
        <f aca="false">IFERROR(IF(ISNUMBER(INDEX(원자료_시장!$A$1:$BZ$1000,설정!$L$6+ROW()-1,설정!$L$28)),INDEX(원자료_시장!$A$1:$BZ$1000,설정!$L$6+ROW()-1,설정!$L$28),""),"")</f>
        <v>19.808</v>
      </c>
      <c r="G118" s="97" t="n">
        <f aca="false">IFERROR(IF(ISNUMBER(INDEX(원자료_시장!$A$1:$BZ$1000,설정!$L$6+ROW()-1,설정!$L$29)),INDEX(원자료_시장!$A$1:$BZ$1000,설정!$L$6+ROW()-1,설정!$L$29),""),"")</f>
        <v>0.9</v>
      </c>
      <c r="H118" s="97" t="n">
        <f aca="false">IFERROR(IF(ISNUMBER(INDEX(원자료_시장!$A$1:$BZ$1000,설정!$L$6+ROW()-1,설정!$L$30)),INDEX(원자료_시장!$A$1:$BZ$1000,설정!$L$6+ROW()-1,설정!$L$30),""),"")</f>
        <v>1</v>
      </c>
      <c r="I118" s="97" t="n">
        <f aca="false">IFERROR(IF(ISNUMBER(INDEX(원자료_시장!$A$1:$BZ$1000,설정!$L$6+ROW()-1,설정!$L$31)),INDEX(원자료_시장!$A$1:$BZ$1000,설정!$L$6+ROW()-1,설정!$L$31),""),"")</f>
        <v>-5</v>
      </c>
      <c r="J118" s="97" t="n">
        <f aca="false">IFERROR(IF(ISNUMBER(INDEX(원자료_시장!$A$1:$BZ$1000,설정!$L$6+ROW()-1,설정!$L$32)),INDEX(원자료_시장!$A$1:$BZ$1000,설정!$L$6+ROW()-1,설정!$L$32),""),"")</f>
        <v>-9.1</v>
      </c>
      <c r="K118" s="85" t="n">
        <f aca="false">IFERROR(IF(ISNUMBER(INDEX(원자료_시장!$A$1:$BZ$1000,설정!$L$6+ROW()-1,설정!$L$33)),INDEX(원자료_시장!$A$1:$BZ$1000,설정!$L$6+ROW()-1,설정!$L$33),""),"")</f>
        <v>1.468</v>
      </c>
      <c r="L118" s="83" t="str">
        <f aca="false">IFERROR(IF(INDEX(원자료_시장!$A$1:$BZ$1000,설정!$L$6+ROW()-1,설정!$L$34)&amp;""="0","",INDEX(원자료_시장!$A$1:$BZ$1000,설정!$L$6+ROW()-1,설정!$L$34)),"")</f>
        <v>정부</v>
      </c>
      <c r="M118" s="83" t="n">
        <f aca="false">IFERROR(IF(INDEX(원자료_시장!$A$1:$BZ$1000,설정!$L$6+ROW()-1,설정!$L$35)&amp;""="0","",INDEX(원자료_시장!$A$1:$BZ$1000,설정!$L$6+ROW()-1,설정!$L$35)),"")</f>
        <v>0</v>
      </c>
      <c r="N118" s="83" t="str">
        <f aca="false">IFERROR(IF(INDEX(원자료_시장!$A$1:$BZ$1000,설정!$L$6+ROW()-1,설정!$L$36)&amp;""="0","",INDEX(원자료_시장!$A$1:$BZ$1000,설정!$L$6+ROW()-1,설정!$L$36)),"")</f>
        <v>미국</v>
      </c>
      <c r="O118" s="43" t="str">
        <f aca="false">IF($A118="","",UPPER(LEFT($A118,FIND(" ",$A118&amp;" ")-1)))</f>
        <v>T</v>
      </c>
      <c r="P118" s="43" t="str">
        <f aca="false">IF($A118="","",TRIM(RIGHT(SUBSTITUTE(TRIM($A118)," ",REPT(" ",30)),30)))</f>
        <v>03/31/28</v>
      </c>
      <c r="Q118" s="98" t="n">
        <f aca="false">IF($A118="","",IFERROR(DATE(IF(LEN(P118)=8,2000+VALUE(RIGHT(P118,2)),VALUE(RIGHT(P118,4))),VALUE(LEFT(P118,2)),VALUE(MID(P118,4,2))),""))</f>
        <v>46843</v>
      </c>
      <c r="R118" s="89" t="n">
        <f aca="false">IF($A118="",0,IF(ISNUMBER(SEARCH("Float",$A118)),1,0))</f>
        <v>0</v>
      </c>
      <c r="S118" s="43" t="str">
        <f aca="false">IF($A118="","",TRIM(MID($A118,LEN(O118)+2,LEN($A118)-LEN(O118)-LEN(P118)-1)))</f>
        <v>3 5/8</v>
      </c>
      <c r="T118" s="92" t="n">
        <f aca="false">IF(OR($A118="",R118=1),"",IFERROR(IF(ISNUMBER(FIND("/",S118)),IF(ISNUMBER(FIND(" ",S118)),VALUE(LEFT(S118,FIND(" ",S118)-1))+VALUE(MID(S118,FIND(" ",S118)+1,FIND("/",S118)-FIND(" ",S118)-1))/VALUE(MID(S118,FIND("/",S118)+1,9)),VALUE(LEFT(S118,FIND("/",S118)-1))/VALUE(MID(S118,FIND("/",S118)+1,9))),VALUE(S118)),""))</f>
        <v>3.625</v>
      </c>
      <c r="U118" s="43" t="str">
        <f aca="false">IF(OR($A118="",NOT(ISNUMBER(Q118))),"",TEXT(Q118,"yyyymmdd")&amp;"|"&amp;IF(R118=1,"F",TEXT(T118,"0.000")))</f>
        <v>20280331|3.625</v>
      </c>
      <c r="V118" s="43" t="str">
        <f aca="false">IF(U118="","",O118&amp;"|"&amp;U118)</f>
        <v>T|20280331|3.625</v>
      </c>
      <c r="W118" s="43" t="str">
        <f aca="false">IF($A118="","",IFERROR(IF(VLOOKUP(O118,매핑!$A$4:$E$92,3,0)="","미분류",VLOOKUP(O118,매핑!$A$4:$E$92,3,0)),"미분류"))</f>
        <v>미국</v>
      </c>
      <c r="X118" s="89" t="n">
        <f aca="false">IF($A118="",0,IF(O118="T",1,0))</f>
        <v>1</v>
      </c>
      <c r="Y118" s="89" t="n">
        <f aca="false">IF($A118="",0,IF(AND(C118="USD",X118=0,ISNUMBER(E118),ISNUMBER(K118)),IF(K118&gt;=설정!$C$8,1,0),0))</f>
        <v>0</v>
      </c>
      <c r="Z118" s="43" t="str">
        <f aca="false">IF($A118="","",N118&amp;"|"&amp;L118)</f>
        <v>미국|정부</v>
      </c>
      <c r="AA118" s="92" t="n">
        <f aca="false">IF(Y118=1,LN(K118),0)</f>
        <v>0</v>
      </c>
      <c r="AB118" s="93" t="n">
        <f aca="false">IF(Y118=1,E118,0)</f>
        <v>0</v>
      </c>
      <c r="AC118" s="89" t="n">
        <f aca="false">IF(Y118=1,COUNTIFS($Z$2:$Z$601,Z118,$Y$2:$Y$601,1),0)</f>
        <v>0</v>
      </c>
      <c r="AD118" s="89" t="n">
        <f aca="false">IF(Y118=1,COUNTIFS($N$2:$N$601,N118,$Y$2:$Y$601,1),0)</f>
        <v>0</v>
      </c>
      <c r="AE118" s="43" t="str">
        <f aca="false">IF(Y118&lt;&gt;1,"",IF(AND(AC118&gt;=설정!$C$7,ISNUMBER(MATCH(Z118,피어커브!$A:$A,0))),Z118,IF(AND(AD118&gt;=설정!$C$7,ISNUMBER(MATCH(N118&amp;"|전체",피어커브!$A:$A,0))),N118&amp;"|전체","전체|전체")))</f>
        <v/>
      </c>
      <c r="AF118" s="93" t="str">
        <f aca="false">IF(AE118="","",INDEX(피어커브!$K:$K,MATCH(AE118,피어커브!$A:$A,0)))</f>
        <v/>
      </c>
      <c r="AG118" s="93" t="str">
        <f aca="false">IF(AE118="","",INDEX(피어커브!$J:$J,MATCH(AE118,피어커브!$A:$A,0)))</f>
        <v/>
      </c>
      <c r="AH118" s="93" t="str">
        <f aca="false">IF(AE118="","",INDEX(피어커브!$L:$L,MATCH(AE118,피어커브!$A:$A,0)))</f>
        <v/>
      </c>
      <c r="AI118" s="93" t="str">
        <f aca="false">IF(AE118="","",AF118+AG118*AA118)</f>
        <v/>
      </c>
      <c r="AJ118" s="96" t="str">
        <f aca="false">IF(AE118="","",E118-AI118)</f>
        <v/>
      </c>
      <c r="AK118" s="95" t="str">
        <f aca="false">IF(AE118="","",IF(ISNUMBER(AH118),IF(AH118&gt;0,AJ118/AH118,""),""))</f>
        <v/>
      </c>
      <c r="AL118" s="43" t="str">
        <f aca="false">IF(AK118="","-",IF(AK118&gt;=설정!$C$6,"Cheap",IF(AK118&lt;=-설정!$C$6,"Rich","Fair")))</f>
        <v>-</v>
      </c>
      <c r="AM118" s="96" t="str">
        <f aca="false">IF(AE118="","",AJ118-AVERAGEIFS($AJ$2:$AJ$601,$B$2:$B$601,B118,$Y$2:$Y$601,1))</f>
        <v/>
      </c>
      <c r="AN118" s="93" t="n">
        <f aca="false">IF(AE118="",0,IF(K118&gt;1+설정!$C$8,AG118*(AA118-LN(K118-1)),0))</f>
        <v>0</v>
      </c>
      <c r="AO118" s="99" t="n">
        <f aca="false">IF($A118="",0,SUMIFS(보유분석!$AA$2:$AA$801,보유분석!$AB$2:$AB$801,ROW(),보유분석!$AC$2:$AC$801,1))</f>
        <v>0.983335</v>
      </c>
      <c r="AP118" s="43" t="str">
        <f aca="false">IF($A118="","",TRIM(IF(R118=1,"FRN ","")&amp;IF(IFERROR(VLOOKUP(M118,설정!$A$15:$D$47,4,0),0)&gt;=10,IF(IFERROR(VLOOKUP(M118,설정!$A$15:$D$47,4,0),0)&lt;99,"BBB0미만 ",""),"")&amp;IF(OR(M118="",M118="NR"),"등급미입력 ","")&amp;IF(C118&lt;&gt;"USD","비USD ","")))</f>
        <v>등급미입력</v>
      </c>
      <c r="AQ118" s="90" t="n">
        <f aca="false">IF(AND(Y118=1,AL118="Cheap"),IF(AND(ISERROR(SEARCH("FRN",AP118)),ISERROR(SEARCH("BBB0미만",AP118))),AK118+ROW()/1000000000,-999),-999)</f>
        <v>-999</v>
      </c>
      <c r="AR118" s="92" t="n">
        <f aca="false">IF(AND(ISNUMBER(D118),ISNUMBER(K118)),D118+AN118*MAX(K118-1,0)/100,"")</f>
        <v>4.811</v>
      </c>
      <c r="AS118" s="93" t="n">
        <f aca="false">IF(AND(ISNUMBER(E118),ISNUMBER(K118)),IF(K118&gt;0,(E118+AN118*MAX(K118-1,0))/K118,""),"")</f>
        <v>-5.3024523160763</v>
      </c>
      <c r="AT118" s="90" t="n">
        <f aca="false">IFERROR(IF(AND(Y118=1,ROW()&lt;&gt;스왑분석!$C$12+1,ABS(K118-INDEX($K$2:$K$601,스왑분석!$C$12))&lt;=스왑분석!$C$5,ISERROR(SEARCH("FRN",AP118)),ISERROR(SEARCH("BBB0미만",AP118))),IF(AND(OR(스왑분석!$C$6="N",L118=INDEX($L$2:$L$601,스왑분석!$C$12)),OR(스왑분석!$C$7="N",N118=INDEX($N$2:$N$601,스왑분석!$C$12)),OR(스왑분석!$C$8="N",AO118=0),E118-INDEX($E$2:$E$601,스왑분석!$C$12)&gt;=스왑분석!$C$9),E118-INDEX($E$2:$E$601,스왑분석!$C$12)+ROW()/1000000000,-999),-999),-999)</f>
        <v>-999</v>
      </c>
      <c r="AU118" s="90" t="n">
        <f aca="false">IF(AND(Y118=1,AO118&gt;0,AL118="Rich"),-AK118+ROW()/1000000000,-999)</f>
        <v>-999</v>
      </c>
    </row>
    <row r="119" customFormat="false" ht="15" hidden="false" customHeight="false" outlineLevel="0" collapsed="false">
      <c r="A119" s="83" t="str">
        <f aca="false">IFERROR(IF(INDEX(원자료_시장!$A$1:$BZ$1000,설정!$L$6+ROW()-1,설정!$L$24)&amp;""="0","",INDEX(원자료_시장!$A$1:$BZ$1000,설정!$L$6+ROW()-1,설정!$L$24)),"")</f>
        <v>T 4 02/15/34</v>
      </c>
      <c r="B119" s="83" t="str">
        <f aca="false">IFERROR(IF(INDEX(원자료_시장!$A$1:$BZ$1000,설정!$L$6+ROW()-1,설정!$L$37)&amp;""="0","",INDEX(원자료_시장!$A$1:$BZ$1000,설정!$L$6+ROW()-1,설정!$L$37)),"")</f>
        <v>US TREASURY N/B</v>
      </c>
      <c r="C119" s="83" t="str">
        <f aca="false">IFERROR(IF(INDEX(원자료_시장!$A$1:$BZ$1000,설정!$L$6+ROW()-1,설정!$L$25)&amp;""="0","",INDEX(원자료_시장!$A$1:$BZ$1000,설정!$L$6+ROW()-1,설정!$L$25)),"")</f>
        <v>USD</v>
      </c>
      <c r="D119" s="85" t="n">
        <f aca="false">IFERROR(IF(ISNUMBER(INDEX(원자료_시장!$A$1:$BZ$1000,설정!$L$6+ROW()-1,설정!$L$26)),INDEX(원자료_시장!$A$1:$BZ$1000,설정!$L$6+ROW()-1,설정!$L$26),""),"")</f>
        <v>5.219</v>
      </c>
      <c r="E119" s="97" t="n">
        <f aca="false">IFERROR(IF(ISNUMBER(INDEX(원자료_시장!$A$1:$BZ$1000,설정!$L$6+ROW()-1,설정!$L$27)),INDEX(원자료_시장!$A$1:$BZ$1000,설정!$L$6+ROW()-1,설정!$L$27),""),"")</f>
        <v>3.04</v>
      </c>
      <c r="F119" s="97" t="n">
        <f aca="false">IFERROR(IF(ISNUMBER(INDEX(원자료_시장!$A$1:$BZ$1000,설정!$L$6+ROW()-1,설정!$L$28)),INDEX(원자료_시장!$A$1:$BZ$1000,설정!$L$6+ROW()-1,설정!$L$28),""),"")</f>
        <v>43.178</v>
      </c>
      <c r="G119" s="97" t="n">
        <f aca="false">IFERROR(IF(ISNUMBER(INDEX(원자료_시장!$A$1:$BZ$1000,설정!$L$6+ROW()-1,설정!$L$29)),INDEX(원자료_시장!$A$1:$BZ$1000,설정!$L$6+ROW()-1,설정!$L$29),""),"")</f>
        <v>0.3</v>
      </c>
      <c r="H119" s="97" t="n">
        <f aca="false">IFERROR(IF(ISNUMBER(INDEX(원자료_시장!$A$1:$BZ$1000,설정!$L$6+ROW()-1,설정!$L$30)),INDEX(원자료_시장!$A$1:$BZ$1000,설정!$L$6+ROW()-1,설정!$L$30),""),"")</f>
        <v>0.9</v>
      </c>
      <c r="I119" s="97" t="n">
        <f aca="false">IFERROR(IF(ISNUMBER(INDEX(원자료_시장!$A$1:$BZ$1000,설정!$L$6+ROW()-1,설정!$L$31)),INDEX(원자료_시장!$A$1:$BZ$1000,설정!$L$6+ROW()-1,설정!$L$31),""),"")</f>
        <v>0</v>
      </c>
      <c r="J119" s="97" t="n">
        <f aca="false">IFERROR(IF(ISNUMBER(INDEX(원자료_시장!$A$1:$BZ$1000,설정!$L$6+ROW()-1,설정!$L$32)),INDEX(원자료_시장!$A$1:$BZ$1000,설정!$L$6+ROW()-1,설정!$L$32),""),"")</f>
        <v>-0.8</v>
      </c>
      <c r="K119" s="85" t="n">
        <f aca="false">IFERROR(IF(ISNUMBER(INDEX(원자료_시장!$A$1:$BZ$1000,설정!$L$6+ROW()-1,설정!$L$33)),INDEX(원자료_시장!$A$1:$BZ$1000,설정!$L$6+ROW()-1,설정!$L$33),""),"")</f>
        <v>6.377</v>
      </c>
      <c r="L119" s="83" t="str">
        <f aca="false">IFERROR(IF(INDEX(원자료_시장!$A$1:$BZ$1000,설정!$L$6+ROW()-1,설정!$L$34)&amp;""="0","",INDEX(원자료_시장!$A$1:$BZ$1000,설정!$L$6+ROW()-1,설정!$L$34)),"")</f>
        <v>정부</v>
      </c>
      <c r="M119" s="83" t="n">
        <f aca="false">IFERROR(IF(INDEX(원자료_시장!$A$1:$BZ$1000,설정!$L$6+ROW()-1,설정!$L$35)&amp;""="0","",INDEX(원자료_시장!$A$1:$BZ$1000,설정!$L$6+ROW()-1,설정!$L$35)),"")</f>
        <v>0</v>
      </c>
      <c r="N119" s="83" t="str">
        <f aca="false">IFERROR(IF(INDEX(원자료_시장!$A$1:$BZ$1000,설정!$L$6+ROW()-1,설정!$L$36)&amp;""="0","",INDEX(원자료_시장!$A$1:$BZ$1000,설정!$L$6+ROW()-1,설정!$L$36)),"")</f>
        <v>미국</v>
      </c>
      <c r="O119" s="43" t="str">
        <f aca="false">IF($A119="","",UPPER(LEFT($A119,FIND(" ",$A119&amp;" ")-1)))</f>
        <v>T</v>
      </c>
      <c r="P119" s="43" t="str">
        <f aca="false">IF($A119="","",TRIM(RIGHT(SUBSTITUTE(TRIM($A119)," ",REPT(" ",30)),30)))</f>
        <v>02/15/34</v>
      </c>
      <c r="Q119" s="98" t="n">
        <f aca="false">IF($A119="","",IFERROR(DATE(IF(LEN(P119)=8,2000+VALUE(RIGHT(P119,2)),VALUE(RIGHT(P119,4))),VALUE(LEFT(P119,2)),VALUE(MID(P119,4,2))),""))</f>
        <v>48990</v>
      </c>
      <c r="R119" s="89" t="n">
        <f aca="false">IF($A119="",0,IF(ISNUMBER(SEARCH("Float",$A119)),1,0))</f>
        <v>0</v>
      </c>
      <c r="S119" s="43" t="str">
        <f aca="false">IF($A119="","",TRIM(MID($A119,LEN(O119)+2,LEN($A119)-LEN(O119)-LEN(P119)-1)))</f>
        <v>4</v>
      </c>
      <c r="T119" s="92" t="n">
        <f aca="false">IF(OR($A119="",R119=1),"",IFERROR(IF(ISNUMBER(FIND("/",S119)),IF(ISNUMBER(FIND(" ",S119)),VALUE(LEFT(S119,FIND(" ",S119)-1))+VALUE(MID(S119,FIND(" ",S119)+1,FIND("/",S119)-FIND(" ",S119)-1))/VALUE(MID(S119,FIND("/",S119)+1,9)),VALUE(LEFT(S119,FIND("/",S119)-1))/VALUE(MID(S119,FIND("/",S119)+1,9))),VALUE(S119)),""))</f>
        <v>4</v>
      </c>
      <c r="U119" s="43" t="str">
        <f aca="false">IF(OR($A119="",NOT(ISNUMBER(Q119))),"",TEXT(Q119,"yyyymmdd")&amp;"|"&amp;IF(R119=1,"F",TEXT(T119,"0.000")))</f>
        <v>20340215|4.000</v>
      </c>
      <c r="V119" s="43" t="str">
        <f aca="false">IF(U119="","",O119&amp;"|"&amp;U119)</f>
        <v>T|20340215|4.000</v>
      </c>
      <c r="W119" s="43" t="str">
        <f aca="false">IF($A119="","",IFERROR(IF(VLOOKUP(O119,매핑!$A$4:$E$92,3,0)="","미분류",VLOOKUP(O119,매핑!$A$4:$E$92,3,0)),"미분류"))</f>
        <v>미국</v>
      </c>
      <c r="X119" s="89" t="n">
        <f aca="false">IF($A119="",0,IF(O119="T",1,0))</f>
        <v>1</v>
      </c>
      <c r="Y119" s="89" t="n">
        <f aca="false">IF($A119="",0,IF(AND(C119="USD",X119=0,ISNUMBER(E119),ISNUMBER(K119)),IF(K119&gt;=설정!$C$8,1,0),0))</f>
        <v>0</v>
      </c>
      <c r="Z119" s="43" t="str">
        <f aca="false">IF($A119="","",N119&amp;"|"&amp;L119)</f>
        <v>미국|정부</v>
      </c>
      <c r="AA119" s="92" t="n">
        <f aca="false">IF(Y119=1,LN(K119),0)</f>
        <v>0</v>
      </c>
      <c r="AB119" s="93" t="n">
        <f aca="false">IF(Y119=1,E119,0)</f>
        <v>0</v>
      </c>
      <c r="AC119" s="89" t="n">
        <f aca="false">IF(Y119=1,COUNTIFS($Z$2:$Z$601,Z119,$Y$2:$Y$601,1),0)</f>
        <v>0</v>
      </c>
      <c r="AD119" s="89" t="n">
        <f aca="false">IF(Y119=1,COUNTIFS($N$2:$N$601,N119,$Y$2:$Y$601,1),0)</f>
        <v>0</v>
      </c>
      <c r="AE119" s="43" t="str">
        <f aca="false">IF(Y119&lt;&gt;1,"",IF(AND(AC119&gt;=설정!$C$7,ISNUMBER(MATCH(Z119,피어커브!$A:$A,0))),Z119,IF(AND(AD119&gt;=설정!$C$7,ISNUMBER(MATCH(N119&amp;"|전체",피어커브!$A:$A,0))),N119&amp;"|전체","전체|전체")))</f>
        <v/>
      </c>
      <c r="AF119" s="93" t="str">
        <f aca="false">IF(AE119="","",INDEX(피어커브!$K:$K,MATCH(AE119,피어커브!$A:$A,0)))</f>
        <v/>
      </c>
      <c r="AG119" s="93" t="str">
        <f aca="false">IF(AE119="","",INDEX(피어커브!$J:$J,MATCH(AE119,피어커브!$A:$A,0)))</f>
        <v/>
      </c>
      <c r="AH119" s="93" t="str">
        <f aca="false">IF(AE119="","",INDEX(피어커브!$L:$L,MATCH(AE119,피어커브!$A:$A,0)))</f>
        <v/>
      </c>
      <c r="AI119" s="93" t="str">
        <f aca="false">IF(AE119="","",AF119+AG119*AA119)</f>
        <v/>
      </c>
      <c r="AJ119" s="96" t="str">
        <f aca="false">IF(AE119="","",E119-AI119)</f>
        <v/>
      </c>
      <c r="AK119" s="95" t="str">
        <f aca="false">IF(AE119="","",IF(ISNUMBER(AH119),IF(AH119&gt;0,AJ119/AH119,""),""))</f>
        <v/>
      </c>
      <c r="AL119" s="43" t="str">
        <f aca="false">IF(AK119="","-",IF(AK119&gt;=설정!$C$6,"Cheap",IF(AK119&lt;=-설정!$C$6,"Rich","Fair")))</f>
        <v>-</v>
      </c>
      <c r="AM119" s="96" t="str">
        <f aca="false">IF(AE119="","",AJ119-AVERAGEIFS($AJ$2:$AJ$601,$B$2:$B$601,B119,$Y$2:$Y$601,1))</f>
        <v/>
      </c>
      <c r="AN119" s="93" t="n">
        <f aca="false">IF(AE119="",0,IF(K119&gt;1+설정!$C$8,AG119*(AA119-LN(K119-1)),0))</f>
        <v>0</v>
      </c>
      <c r="AO119" s="99" t="n">
        <f aca="false">IF($A119="",0,SUMIFS(보유분석!$AA$2:$AA$801,보유분석!$AB$2:$AB$801,ROW(),보유분석!$AC$2:$AC$801,1))</f>
        <v>0</v>
      </c>
      <c r="AP119" s="43" t="str">
        <f aca="false">IF($A119="","",TRIM(IF(R119=1,"FRN ","")&amp;IF(IFERROR(VLOOKUP(M119,설정!$A$15:$D$47,4,0),0)&gt;=10,IF(IFERROR(VLOOKUP(M119,설정!$A$15:$D$47,4,0),0)&lt;99,"BBB0미만 ",""),"")&amp;IF(OR(M119="",M119="NR"),"등급미입력 ","")&amp;IF(C119&lt;&gt;"USD","비USD ","")))</f>
        <v>등급미입력</v>
      </c>
      <c r="AQ119" s="90" t="n">
        <f aca="false">IF(AND(Y119=1,AL119="Cheap"),IF(AND(ISERROR(SEARCH("FRN",AP119)),ISERROR(SEARCH("BBB0미만",AP119))),AK119+ROW()/1000000000,-999),-999)</f>
        <v>-999</v>
      </c>
      <c r="AR119" s="92" t="n">
        <f aca="false">IF(AND(ISNUMBER(D119),ISNUMBER(K119)),D119+AN119*MAX(K119-1,0)/100,"")</f>
        <v>5.219</v>
      </c>
      <c r="AS119" s="93" t="n">
        <f aca="false">IF(AND(ISNUMBER(E119),ISNUMBER(K119)),IF(K119&gt;0,(E119+AN119*MAX(K119-1,0))/K119,""),"")</f>
        <v>0.476713188019445</v>
      </c>
      <c r="AT119" s="90" t="n">
        <f aca="false">IFERROR(IF(AND(Y119=1,ROW()&lt;&gt;스왑분석!$C$12+1,ABS(K119-INDEX($K$2:$K$601,스왑분석!$C$12))&lt;=스왑분석!$C$5,ISERROR(SEARCH("FRN",AP119)),ISERROR(SEARCH("BBB0미만",AP119))),IF(AND(OR(스왑분석!$C$6="N",L119=INDEX($L$2:$L$601,스왑분석!$C$12)),OR(스왑분석!$C$7="N",N119=INDEX($N$2:$N$601,스왑분석!$C$12)),OR(스왑분석!$C$8="N",AO119=0),E119-INDEX($E$2:$E$601,스왑분석!$C$12)&gt;=스왑분석!$C$9),E119-INDEX($E$2:$E$601,스왑분석!$C$12)+ROW()/1000000000,-999),-999),-999)</f>
        <v>-999</v>
      </c>
      <c r="AU119" s="90" t="n">
        <f aca="false">IF(AND(Y119=1,AO119&gt;0,AL119="Rich"),-AK119+ROW()/1000000000,-999)</f>
        <v>-999</v>
      </c>
    </row>
    <row r="120" customFormat="false" ht="15" hidden="false" customHeight="false" outlineLevel="0" collapsed="false">
      <c r="A120" s="83" t="str">
        <f aca="false">IFERROR(IF(INDEX(원자료_시장!$A$1:$BZ$1000,설정!$L$6+ROW()-1,설정!$L$24)&amp;""="0","",INDEX(원자료_시장!$A$1:$BZ$1000,설정!$L$6+ROW()-1,설정!$L$24)),"")</f>
        <v>T 4 3/8 05/15/34</v>
      </c>
      <c r="B120" s="83" t="str">
        <f aca="false">IFERROR(IF(INDEX(원자료_시장!$A$1:$BZ$1000,설정!$L$6+ROW()-1,설정!$L$37)&amp;""="0","",INDEX(원자료_시장!$A$1:$BZ$1000,설정!$L$6+ROW()-1,설정!$L$37)),"")</f>
        <v>US TREASURY N/B</v>
      </c>
      <c r="C120" s="83" t="str">
        <f aca="false">IFERROR(IF(INDEX(원자료_시장!$A$1:$BZ$1000,설정!$L$6+ROW()-1,설정!$L$25)&amp;""="0","",INDEX(원자료_시장!$A$1:$BZ$1000,설정!$L$6+ROW()-1,설정!$L$25)),"")</f>
        <v>USD</v>
      </c>
      <c r="D120" s="85" t="n">
        <f aca="false">IFERROR(IF(ISNUMBER(INDEX(원자료_시장!$A$1:$BZ$1000,설정!$L$6+ROW()-1,설정!$L$26)),INDEX(원자료_시장!$A$1:$BZ$1000,설정!$L$6+ROW()-1,설정!$L$26),""),"")</f>
        <v>5.225</v>
      </c>
      <c r="E120" s="97" t="n">
        <f aca="false">IFERROR(IF(ISNUMBER(INDEX(원자료_시장!$A$1:$BZ$1000,설정!$L$6+ROW()-1,설정!$L$27)),INDEX(원자료_시장!$A$1:$BZ$1000,설정!$L$6+ROW()-1,설정!$L$27),""),"")</f>
        <v>3.546</v>
      </c>
      <c r="F120" s="97" t="n">
        <f aca="false">IFERROR(IF(ISNUMBER(INDEX(원자료_시장!$A$1:$BZ$1000,설정!$L$6+ROW()-1,설정!$L$28)),INDEX(원자료_시장!$A$1:$BZ$1000,설정!$L$6+ROW()-1,설정!$L$28),""),"")</f>
        <v>43.302</v>
      </c>
      <c r="G120" s="97" t="n">
        <f aca="false">IFERROR(IF(ISNUMBER(INDEX(원자료_시장!$A$1:$BZ$1000,설정!$L$6+ROW()-1,설정!$L$29)),INDEX(원자료_시장!$A$1:$BZ$1000,설정!$L$6+ROW()-1,설정!$L$29),""),"")</f>
        <v>0.1</v>
      </c>
      <c r="H120" s="97" t="n">
        <f aca="false">IFERROR(IF(ISNUMBER(INDEX(원자료_시장!$A$1:$BZ$1000,설정!$L$6+ROW()-1,설정!$L$30)),INDEX(원자료_시장!$A$1:$BZ$1000,설정!$L$6+ROW()-1,설정!$L$30),""),"")</f>
        <v>1.3</v>
      </c>
      <c r="I120" s="97" t="n">
        <f aca="false">IFERROR(IF(ISNUMBER(INDEX(원자료_시장!$A$1:$BZ$1000,설정!$L$6+ROW()-1,설정!$L$31)),INDEX(원자료_시장!$A$1:$BZ$1000,설정!$L$6+ROW()-1,설정!$L$31),""),"")</f>
        <v>-0.1</v>
      </c>
      <c r="J120" s="97" t="n">
        <f aca="false">IFERROR(IF(ISNUMBER(INDEX(원자료_시장!$A$1:$BZ$1000,설정!$L$6+ROW()-1,설정!$L$32)),INDEX(원자료_시장!$A$1:$BZ$1000,설정!$L$6+ROW()-1,설정!$L$32),""),"")</f>
        <v>-1.3</v>
      </c>
      <c r="K120" s="85" t="n">
        <f aca="false">IFERROR(IF(ISNUMBER(INDEX(원자료_시장!$A$1:$BZ$1000,설정!$L$6+ROW()-1,설정!$L$33)),INDEX(원자료_시장!$A$1:$BZ$1000,설정!$L$6+ROW()-1,설정!$L$33),""),"")</f>
        <v>6.414</v>
      </c>
      <c r="L120" s="83" t="str">
        <f aca="false">IFERROR(IF(INDEX(원자료_시장!$A$1:$BZ$1000,설정!$L$6+ROW()-1,설정!$L$34)&amp;""="0","",INDEX(원자료_시장!$A$1:$BZ$1000,설정!$L$6+ROW()-1,설정!$L$34)),"")</f>
        <v>정부</v>
      </c>
      <c r="M120" s="83" t="n">
        <f aca="false">IFERROR(IF(INDEX(원자료_시장!$A$1:$BZ$1000,설정!$L$6+ROW()-1,설정!$L$35)&amp;""="0","",INDEX(원자료_시장!$A$1:$BZ$1000,설정!$L$6+ROW()-1,설정!$L$35)),"")</f>
        <v>0</v>
      </c>
      <c r="N120" s="83" t="str">
        <f aca="false">IFERROR(IF(INDEX(원자료_시장!$A$1:$BZ$1000,설정!$L$6+ROW()-1,설정!$L$36)&amp;""="0","",INDEX(원자료_시장!$A$1:$BZ$1000,설정!$L$6+ROW()-1,설정!$L$36)),"")</f>
        <v>미국</v>
      </c>
      <c r="O120" s="43" t="str">
        <f aca="false">IF($A120="","",UPPER(LEFT($A120,FIND(" ",$A120&amp;" ")-1)))</f>
        <v>T</v>
      </c>
      <c r="P120" s="43" t="str">
        <f aca="false">IF($A120="","",TRIM(RIGHT(SUBSTITUTE(TRIM($A120)," ",REPT(" ",30)),30)))</f>
        <v>05/15/34</v>
      </c>
      <c r="Q120" s="98" t="n">
        <f aca="false">IF($A120="","",IFERROR(DATE(IF(LEN(P120)=8,2000+VALUE(RIGHT(P120,2)),VALUE(RIGHT(P120,4))),VALUE(LEFT(P120,2)),VALUE(MID(P120,4,2))),""))</f>
        <v>49079</v>
      </c>
      <c r="R120" s="89" t="n">
        <f aca="false">IF($A120="",0,IF(ISNUMBER(SEARCH("Float",$A120)),1,0))</f>
        <v>0</v>
      </c>
      <c r="S120" s="43" t="str">
        <f aca="false">IF($A120="","",TRIM(MID($A120,LEN(O120)+2,LEN($A120)-LEN(O120)-LEN(P120)-1)))</f>
        <v>4 3/8</v>
      </c>
      <c r="T120" s="92" t="n">
        <f aca="false">IF(OR($A120="",R120=1),"",IFERROR(IF(ISNUMBER(FIND("/",S120)),IF(ISNUMBER(FIND(" ",S120)),VALUE(LEFT(S120,FIND(" ",S120)-1))+VALUE(MID(S120,FIND(" ",S120)+1,FIND("/",S120)-FIND(" ",S120)-1))/VALUE(MID(S120,FIND("/",S120)+1,9)),VALUE(LEFT(S120,FIND("/",S120)-1))/VALUE(MID(S120,FIND("/",S120)+1,9))),VALUE(S120)),""))</f>
        <v>4.375</v>
      </c>
      <c r="U120" s="43" t="str">
        <f aca="false">IF(OR($A120="",NOT(ISNUMBER(Q120))),"",TEXT(Q120,"yyyymmdd")&amp;"|"&amp;IF(R120=1,"F",TEXT(T120,"0.000")))</f>
        <v>20340515|4.375</v>
      </c>
      <c r="V120" s="43" t="str">
        <f aca="false">IF(U120="","",O120&amp;"|"&amp;U120)</f>
        <v>T|20340515|4.375</v>
      </c>
      <c r="W120" s="43" t="str">
        <f aca="false">IF($A120="","",IFERROR(IF(VLOOKUP(O120,매핑!$A$4:$E$92,3,0)="","미분류",VLOOKUP(O120,매핑!$A$4:$E$92,3,0)),"미분류"))</f>
        <v>미국</v>
      </c>
      <c r="X120" s="89" t="n">
        <f aca="false">IF($A120="",0,IF(O120="T",1,0))</f>
        <v>1</v>
      </c>
      <c r="Y120" s="89" t="n">
        <f aca="false">IF($A120="",0,IF(AND(C120="USD",X120=0,ISNUMBER(E120),ISNUMBER(K120)),IF(K120&gt;=설정!$C$8,1,0),0))</f>
        <v>0</v>
      </c>
      <c r="Z120" s="43" t="str">
        <f aca="false">IF($A120="","",N120&amp;"|"&amp;L120)</f>
        <v>미국|정부</v>
      </c>
      <c r="AA120" s="92" t="n">
        <f aca="false">IF(Y120=1,LN(K120),0)</f>
        <v>0</v>
      </c>
      <c r="AB120" s="93" t="n">
        <f aca="false">IF(Y120=1,E120,0)</f>
        <v>0</v>
      </c>
      <c r="AC120" s="89" t="n">
        <f aca="false">IF(Y120=1,COUNTIFS($Z$2:$Z$601,Z120,$Y$2:$Y$601,1),0)</f>
        <v>0</v>
      </c>
      <c r="AD120" s="89" t="n">
        <f aca="false">IF(Y120=1,COUNTIFS($N$2:$N$601,N120,$Y$2:$Y$601,1),0)</f>
        <v>0</v>
      </c>
      <c r="AE120" s="43" t="str">
        <f aca="false">IF(Y120&lt;&gt;1,"",IF(AND(AC120&gt;=설정!$C$7,ISNUMBER(MATCH(Z120,피어커브!$A:$A,0))),Z120,IF(AND(AD120&gt;=설정!$C$7,ISNUMBER(MATCH(N120&amp;"|전체",피어커브!$A:$A,0))),N120&amp;"|전체","전체|전체")))</f>
        <v/>
      </c>
      <c r="AF120" s="93" t="str">
        <f aca="false">IF(AE120="","",INDEX(피어커브!$K:$K,MATCH(AE120,피어커브!$A:$A,0)))</f>
        <v/>
      </c>
      <c r="AG120" s="93" t="str">
        <f aca="false">IF(AE120="","",INDEX(피어커브!$J:$J,MATCH(AE120,피어커브!$A:$A,0)))</f>
        <v/>
      </c>
      <c r="AH120" s="93" t="str">
        <f aca="false">IF(AE120="","",INDEX(피어커브!$L:$L,MATCH(AE120,피어커브!$A:$A,0)))</f>
        <v/>
      </c>
      <c r="AI120" s="93" t="str">
        <f aca="false">IF(AE120="","",AF120+AG120*AA120)</f>
        <v/>
      </c>
      <c r="AJ120" s="96" t="str">
        <f aca="false">IF(AE120="","",E120-AI120)</f>
        <v/>
      </c>
      <c r="AK120" s="95" t="str">
        <f aca="false">IF(AE120="","",IF(ISNUMBER(AH120),IF(AH120&gt;0,AJ120/AH120,""),""))</f>
        <v/>
      </c>
      <c r="AL120" s="43" t="str">
        <f aca="false">IF(AK120="","-",IF(AK120&gt;=설정!$C$6,"Cheap",IF(AK120&lt;=-설정!$C$6,"Rich","Fair")))</f>
        <v>-</v>
      </c>
      <c r="AM120" s="96" t="str">
        <f aca="false">IF(AE120="","",AJ120-AVERAGEIFS($AJ$2:$AJ$601,$B$2:$B$601,B120,$Y$2:$Y$601,1))</f>
        <v/>
      </c>
      <c r="AN120" s="93" t="n">
        <f aca="false">IF(AE120="",0,IF(K120&gt;1+설정!$C$8,AG120*(AA120-LN(K120-1)),0))</f>
        <v>0</v>
      </c>
      <c r="AO120" s="99" t="n">
        <f aca="false">IF($A120="",0,SUMIFS(보유분석!$AA$2:$AA$801,보유분석!$AB$2:$AB$801,ROW(),보유분석!$AC$2:$AC$801,1))</f>
        <v>1.90189</v>
      </c>
      <c r="AP120" s="43" t="str">
        <f aca="false">IF($A120="","",TRIM(IF(R120=1,"FRN ","")&amp;IF(IFERROR(VLOOKUP(M120,설정!$A$15:$D$47,4,0),0)&gt;=10,IF(IFERROR(VLOOKUP(M120,설정!$A$15:$D$47,4,0),0)&lt;99,"BBB0미만 ",""),"")&amp;IF(OR(M120="",M120="NR"),"등급미입력 ","")&amp;IF(C120&lt;&gt;"USD","비USD ","")))</f>
        <v>등급미입력</v>
      </c>
      <c r="AQ120" s="90" t="n">
        <f aca="false">IF(AND(Y120=1,AL120="Cheap"),IF(AND(ISERROR(SEARCH("FRN",AP120)),ISERROR(SEARCH("BBB0미만",AP120))),AK120+ROW()/1000000000,-999),-999)</f>
        <v>-999</v>
      </c>
      <c r="AR120" s="92" t="n">
        <f aca="false">IF(AND(ISNUMBER(D120),ISNUMBER(K120)),D120+AN120*MAX(K120-1,0)/100,"")</f>
        <v>5.225</v>
      </c>
      <c r="AS120" s="93" t="n">
        <f aca="false">IF(AND(ISNUMBER(E120),ISNUMBER(K120)),IF(K120&gt;0,(E120+AN120*MAX(K120-1,0))/K120,""),"")</f>
        <v>0.552853133769878</v>
      </c>
      <c r="AT120" s="90" t="n">
        <f aca="false">IFERROR(IF(AND(Y120=1,ROW()&lt;&gt;스왑분석!$C$12+1,ABS(K120-INDEX($K$2:$K$601,스왑분석!$C$12))&lt;=스왑분석!$C$5,ISERROR(SEARCH("FRN",AP120)),ISERROR(SEARCH("BBB0미만",AP120))),IF(AND(OR(스왑분석!$C$6="N",L120=INDEX($L$2:$L$601,스왑분석!$C$12)),OR(스왑분석!$C$7="N",N120=INDEX($N$2:$N$601,스왑분석!$C$12)),OR(스왑분석!$C$8="N",AO120=0),E120-INDEX($E$2:$E$601,스왑분석!$C$12)&gt;=스왑분석!$C$9),E120-INDEX($E$2:$E$601,스왑분석!$C$12)+ROW()/1000000000,-999),-999),-999)</f>
        <v>-999</v>
      </c>
      <c r="AU120" s="90" t="n">
        <f aca="false">IF(AND(Y120=1,AO120&gt;0,AL120="Rich"),-AK120+ROW()/1000000000,-999)</f>
        <v>-999</v>
      </c>
    </row>
    <row r="121" customFormat="false" ht="15" hidden="false" customHeight="false" outlineLevel="0" collapsed="false">
      <c r="A121" s="83" t="str">
        <f aca="false">IFERROR(IF(INDEX(원자료_시장!$A$1:$BZ$1000,설정!$L$6+ROW()-1,설정!$L$24)&amp;""="0","",INDEX(원자료_시장!$A$1:$BZ$1000,설정!$L$6+ROW()-1,설정!$L$24)),"")</f>
        <v>T 4 1/8 10/31/29</v>
      </c>
      <c r="B121" s="83" t="str">
        <f aca="false">IFERROR(IF(INDEX(원자료_시장!$A$1:$BZ$1000,설정!$L$6+ROW()-1,설정!$L$37)&amp;""="0","",INDEX(원자료_시장!$A$1:$BZ$1000,설정!$L$6+ROW()-1,설정!$L$37)),"")</f>
        <v>US TREASURY N/B</v>
      </c>
      <c r="C121" s="83" t="str">
        <f aca="false">IFERROR(IF(INDEX(원자료_시장!$A$1:$BZ$1000,설정!$L$6+ROW()-1,설정!$L$25)&amp;""="0","",INDEX(원자료_시장!$A$1:$BZ$1000,설정!$L$6+ROW()-1,설정!$L$25)),"")</f>
        <v>USD</v>
      </c>
      <c r="D121" s="85" t="n">
        <f aca="false">IFERROR(IF(ISNUMBER(INDEX(원자료_시장!$A$1:$BZ$1000,설정!$L$6+ROW()-1,설정!$L$26)),INDEX(원자료_시장!$A$1:$BZ$1000,설정!$L$6+ROW()-1,설정!$L$26),""),"")</f>
        <v>5.009</v>
      </c>
      <c r="E121" s="97" t="n">
        <f aca="false">IFERROR(IF(ISNUMBER(INDEX(원자료_시장!$A$1:$BZ$1000,설정!$L$6+ROW()-1,설정!$L$27)),INDEX(원자료_시장!$A$1:$BZ$1000,설정!$L$6+ROW()-1,설정!$L$27),""),"")</f>
        <v>0.849</v>
      </c>
      <c r="F121" s="97" t="n">
        <f aca="false">IFERROR(IF(ISNUMBER(INDEX(원자료_시장!$A$1:$BZ$1000,설정!$L$6+ROW()-1,설정!$L$28)),INDEX(원자료_시장!$A$1:$BZ$1000,설정!$L$6+ROW()-1,설정!$L$28),""),"")</f>
        <v>27.18</v>
      </c>
      <c r="G121" s="97" t="n">
        <f aca="false">IFERROR(IF(ISNUMBER(INDEX(원자료_시장!$A$1:$BZ$1000,설정!$L$6+ROW()-1,설정!$L$29)),INDEX(원자료_시장!$A$1:$BZ$1000,설정!$L$6+ROW()-1,설정!$L$29),""),"")</f>
        <v>-0.2</v>
      </c>
      <c r="H121" s="97" t="n">
        <f aca="false">IFERROR(IF(ISNUMBER(INDEX(원자료_시장!$A$1:$BZ$1000,설정!$L$6+ROW()-1,설정!$L$30)),INDEX(원자료_시장!$A$1:$BZ$1000,설정!$L$6+ROW()-1,설정!$L$30),""),"")</f>
        <v>0.2</v>
      </c>
      <c r="I121" s="97" t="n">
        <f aca="false">IFERROR(IF(ISNUMBER(INDEX(원자료_시장!$A$1:$BZ$1000,설정!$L$6+ROW()-1,설정!$L$31)),INDEX(원자료_시장!$A$1:$BZ$1000,설정!$L$6+ROW()-1,설정!$L$31),""),"")</f>
        <v>-1.1</v>
      </c>
      <c r="J121" s="97" t="n">
        <f aca="false">IFERROR(IF(ISNUMBER(INDEX(원자료_시장!$A$1:$BZ$1000,설정!$L$6+ROW()-1,설정!$L$32)),INDEX(원자료_시장!$A$1:$BZ$1000,설정!$L$6+ROW()-1,설정!$L$32),""),"")</f>
        <v>-0.9</v>
      </c>
      <c r="K121" s="85" t="n">
        <f aca="false">IFERROR(IF(ISNUMBER(INDEX(원자료_시장!$A$1:$BZ$1000,설정!$L$6+ROW()-1,설정!$L$33)),INDEX(원자료_시장!$A$1:$BZ$1000,설정!$L$6+ROW()-1,설정!$L$33),""),"")</f>
        <v>2.87</v>
      </c>
      <c r="L121" s="83" t="str">
        <f aca="false">IFERROR(IF(INDEX(원자료_시장!$A$1:$BZ$1000,설정!$L$6+ROW()-1,설정!$L$34)&amp;""="0","",INDEX(원자료_시장!$A$1:$BZ$1000,설정!$L$6+ROW()-1,설정!$L$34)),"")</f>
        <v>정부</v>
      </c>
      <c r="M121" s="83" t="n">
        <f aca="false">IFERROR(IF(INDEX(원자료_시장!$A$1:$BZ$1000,설정!$L$6+ROW()-1,설정!$L$35)&amp;""="0","",INDEX(원자료_시장!$A$1:$BZ$1000,설정!$L$6+ROW()-1,설정!$L$35)),"")</f>
        <v>0</v>
      </c>
      <c r="N121" s="83" t="str">
        <f aca="false">IFERROR(IF(INDEX(원자료_시장!$A$1:$BZ$1000,설정!$L$6+ROW()-1,설정!$L$36)&amp;""="0","",INDEX(원자료_시장!$A$1:$BZ$1000,설정!$L$6+ROW()-1,설정!$L$36)),"")</f>
        <v>미국</v>
      </c>
      <c r="O121" s="43" t="str">
        <f aca="false">IF($A121="","",UPPER(LEFT($A121,FIND(" ",$A121&amp;" ")-1)))</f>
        <v>T</v>
      </c>
      <c r="P121" s="43" t="str">
        <f aca="false">IF($A121="","",TRIM(RIGHT(SUBSTITUTE(TRIM($A121)," ",REPT(" ",30)),30)))</f>
        <v>10/31/29</v>
      </c>
      <c r="Q121" s="98" t="n">
        <f aca="false">IF($A121="","",IFERROR(DATE(IF(LEN(P121)=8,2000+VALUE(RIGHT(P121,2)),VALUE(RIGHT(P121,4))),VALUE(LEFT(P121,2)),VALUE(MID(P121,4,2))),""))</f>
        <v>47422</v>
      </c>
      <c r="R121" s="89" t="n">
        <f aca="false">IF($A121="",0,IF(ISNUMBER(SEARCH("Float",$A121)),1,0))</f>
        <v>0</v>
      </c>
      <c r="S121" s="43" t="str">
        <f aca="false">IF($A121="","",TRIM(MID($A121,LEN(O121)+2,LEN($A121)-LEN(O121)-LEN(P121)-1)))</f>
        <v>4 1/8</v>
      </c>
      <c r="T121" s="92" t="n">
        <f aca="false">IF(OR($A121="",R121=1),"",IFERROR(IF(ISNUMBER(FIND("/",S121)),IF(ISNUMBER(FIND(" ",S121)),VALUE(LEFT(S121,FIND(" ",S121)-1))+VALUE(MID(S121,FIND(" ",S121)+1,FIND("/",S121)-FIND(" ",S121)-1))/VALUE(MID(S121,FIND("/",S121)+1,9)),VALUE(LEFT(S121,FIND("/",S121)-1))/VALUE(MID(S121,FIND("/",S121)+1,9))),VALUE(S121)),""))</f>
        <v>4.125</v>
      </c>
      <c r="U121" s="43" t="str">
        <f aca="false">IF(OR($A121="",NOT(ISNUMBER(Q121))),"",TEXT(Q121,"yyyymmdd")&amp;"|"&amp;IF(R121=1,"F",TEXT(T121,"0.000")))</f>
        <v>20291031|4.125</v>
      </c>
      <c r="V121" s="43" t="str">
        <f aca="false">IF(U121="","",O121&amp;"|"&amp;U121)</f>
        <v>T|20291031|4.125</v>
      </c>
      <c r="W121" s="43" t="str">
        <f aca="false">IF($A121="","",IFERROR(IF(VLOOKUP(O121,매핑!$A$4:$E$92,3,0)="","미분류",VLOOKUP(O121,매핑!$A$4:$E$92,3,0)),"미분류"))</f>
        <v>미국</v>
      </c>
      <c r="X121" s="89" t="n">
        <f aca="false">IF($A121="",0,IF(O121="T",1,0))</f>
        <v>1</v>
      </c>
      <c r="Y121" s="89" t="n">
        <f aca="false">IF($A121="",0,IF(AND(C121="USD",X121=0,ISNUMBER(E121),ISNUMBER(K121)),IF(K121&gt;=설정!$C$8,1,0),0))</f>
        <v>0</v>
      </c>
      <c r="Z121" s="43" t="str">
        <f aca="false">IF($A121="","",N121&amp;"|"&amp;L121)</f>
        <v>미국|정부</v>
      </c>
      <c r="AA121" s="92" t="n">
        <f aca="false">IF(Y121=1,LN(K121),0)</f>
        <v>0</v>
      </c>
      <c r="AB121" s="93" t="n">
        <f aca="false">IF(Y121=1,E121,0)</f>
        <v>0</v>
      </c>
      <c r="AC121" s="89" t="n">
        <f aca="false">IF(Y121=1,COUNTIFS($Z$2:$Z$601,Z121,$Y$2:$Y$601,1),0)</f>
        <v>0</v>
      </c>
      <c r="AD121" s="89" t="n">
        <f aca="false">IF(Y121=1,COUNTIFS($N$2:$N$601,N121,$Y$2:$Y$601,1),0)</f>
        <v>0</v>
      </c>
      <c r="AE121" s="43" t="str">
        <f aca="false">IF(Y121&lt;&gt;1,"",IF(AND(AC121&gt;=설정!$C$7,ISNUMBER(MATCH(Z121,피어커브!$A:$A,0))),Z121,IF(AND(AD121&gt;=설정!$C$7,ISNUMBER(MATCH(N121&amp;"|전체",피어커브!$A:$A,0))),N121&amp;"|전체","전체|전체")))</f>
        <v/>
      </c>
      <c r="AF121" s="93" t="str">
        <f aca="false">IF(AE121="","",INDEX(피어커브!$K:$K,MATCH(AE121,피어커브!$A:$A,0)))</f>
        <v/>
      </c>
      <c r="AG121" s="93" t="str">
        <f aca="false">IF(AE121="","",INDEX(피어커브!$J:$J,MATCH(AE121,피어커브!$A:$A,0)))</f>
        <v/>
      </c>
      <c r="AH121" s="93" t="str">
        <f aca="false">IF(AE121="","",INDEX(피어커브!$L:$L,MATCH(AE121,피어커브!$A:$A,0)))</f>
        <v/>
      </c>
      <c r="AI121" s="93" t="str">
        <f aca="false">IF(AE121="","",AF121+AG121*AA121)</f>
        <v/>
      </c>
      <c r="AJ121" s="96" t="str">
        <f aca="false">IF(AE121="","",E121-AI121)</f>
        <v/>
      </c>
      <c r="AK121" s="95" t="str">
        <f aca="false">IF(AE121="","",IF(ISNUMBER(AH121),IF(AH121&gt;0,AJ121/AH121,""),""))</f>
        <v/>
      </c>
      <c r="AL121" s="43" t="str">
        <f aca="false">IF(AK121="","-",IF(AK121&gt;=설정!$C$6,"Cheap",IF(AK121&lt;=-설정!$C$6,"Rich","Fair")))</f>
        <v>-</v>
      </c>
      <c r="AM121" s="96" t="str">
        <f aca="false">IF(AE121="","",AJ121-AVERAGEIFS($AJ$2:$AJ$601,$B$2:$B$601,B121,$Y$2:$Y$601,1))</f>
        <v/>
      </c>
      <c r="AN121" s="93" t="n">
        <f aca="false">IF(AE121="",0,IF(K121&gt;1+설정!$C$8,AG121*(AA121-LN(K121-1)),0))</f>
        <v>0</v>
      </c>
      <c r="AO121" s="99" t="n">
        <f aca="false">IF($A121="",0,SUMIFS(보유분석!$AA$2:$AA$801,보유분석!$AB$2:$AB$801,ROW(),보유분석!$AC$2:$AC$801,1))</f>
        <v>0</v>
      </c>
      <c r="AP121" s="43" t="str">
        <f aca="false">IF($A121="","",TRIM(IF(R121=1,"FRN ","")&amp;IF(IFERROR(VLOOKUP(M121,설정!$A$15:$D$47,4,0),0)&gt;=10,IF(IFERROR(VLOOKUP(M121,설정!$A$15:$D$47,4,0),0)&lt;99,"BBB0미만 ",""),"")&amp;IF(OR(M121="",M121="NR"),"등급미입력 ","")&amp;IF(C121&lt;&gt;"USD","비USD ","")))</f>
        <v>등급미입력</v>
      </c>
      <c r="AQ121" s="90" t="n">
        <f aca="false">IF(AND(Y121=1,AL121="Cheap"),IF(AND(ISERROR(SEARCH("FRN",AP121)),ISERROR(SEARCH("BBB0미만",AP121))),AK121+ROW()/1000000000,-999),-999)</f>
        <v>-999</v>
      </c>
      <c r="AR121" s="92" t="n">
        <f aca="false">IF(AND(ISNUMBER(D121),ISNUMBER(K121)),D121+AN121*MAX(K121-1,0)/100,"")</f>
        <v>5.009</v>
      </c>
      <c r="AS121" s="93" t="n">
        <f aca="false">IF(AND(ISNUMBER(E121),ISNUMBER(K121)),IF(K121&gt;0,(E121+AN121*MAX(K121-1,0))/K121,""),"")</f>
        <v>0.29581881533101</v>
      </c>
      <c r="AT121" s="90" t="n">
        <f aca="false">IFERROR(IF(AND(Y121=1,ROW()&lt;&gt;스왑분석!$C$12+1,ABS(K121-INDEX($K$2:$K$601,스왑분석!$C$12))&lt;=스왑분석!$C$5,ISERROR(SEARCH("FRN",AP121)),ISERROR(SEARCH("BBB0미만",AP121))),IF(AND(OR(스왑분석!$C$6="N",L121=INDEX($L$2:$L$601,스왑분석!$C$12)),OR(스왑분석!$C$7="N",N121=INDEX($N$2:$N$601,스왑분석!$C$12)),OR(스왑분석!$C$8="N",AO121=0),E121-INDEX($E$2:$E$601,스왑분석!$C$12)&gt;=스왑분석!$C$9),E121-INDEX($E$2:$E$601,스왑분석!$C$12)+ROW()/1000000000,-999),-999),-999)</f>
        <v>-999</v>
      </c>
      <c r="AU121" s="90" t="n">
        <f aca="false">IF(AND(Y121=1,AO121&gt;0,AL121="Rich"),-AK121+ROW()/1000000000,-999)</f>
        <v>-999</v>
      </c>
    </row>
    <row r="122" customFormat="false" ht="15" hidden="false" customHeight="false" outlineLevel="0" collapsed="false">
      <c r="A122" s="83" t="str">
        <f aca="false">IFERROR(IF(INDEX(원자료_시장!$A$1:$BZ$1000,설정!$L$6+ROW()-1,설정!$L$24)&amp;""="0","",INDEX(원자료_시장!$A$1:$BZ$1000,설정!$L$6+ROW()-1,설정!$L$24)),"")</f>
        <v>T 4 1/4 05/15/35</v>
      </c>
      <c r="B122" s="83" t="str">
        <f aca="false">IFERROR(IF(INDEX(원자료_시장!$A$1:$BZ$1000,설정!$L$6+ROW()-1,설정!$L$37)&amp;""="0","",INDEX(원자료_시장!$A$1:$BZ$1000,설정!$L$6+ROW()-1,설정!$L$37)),"")</f>
        <v>US TREASURY N/B</v>
      </c>
      <c r="C122" s="83" t="str">
        <f aca="false">IFERROR(IF(INDEX(원자료_시장!$A$1:$BZ$1000,설정!$L$6+ROW()-1,설정!$L$25)&amp;""="0","",INDEX(원자료_시장!$A$1:$BZ$1000,설정!$L$6+ROW()-1,설정!$L$25)),"")</f>
        <v>USD</v>
      </c>
      <c r="D122" s="85" t="n">
        <f aca="false">IFERROR(IF(ISNUMBER(INDEX(원자료_시장!$A$1:$BZ$1000,설정!$L$6+ROW()-1,설정!$L$26)),INDEX(원자료_시장!$A$1:$BZ$1000,설정!$L$6+ROW()-1,설정!$L$26),""),"")</f>
        <v>5.263</v>
      </c>
      <c r="E122" s="97" t="n">
        <f aca="false">IFERROR(IF(ISNUMBER(INDEX(원자료_시장!$A$1:$BZ$1000,설정!$L$6+ROW()-1,설정!$L$27)),INDEX(원자료_시장!$A$1:$BZ$1000,설정!$L$6+ROW()-1,설정!$L$27),""),"")</f>
        <v>-2.406</v>
      </c>
      <c r="F122" s="97" t="n">
        <f aca="false">IFERROR(IF(ISNUMBER(INDEX(원자료_시장!$A$1:$BZ$1000,설정!$L$6+ROW()-1,설정!$L$28)),INDEX(원자료_시장!$A$1:$BZ$1000,설정!$L$6+ROW()-1,설정!$L$28),""),"")</f>
        <v>45.293</v>
      </c>
      <c r="G122" s="97" t="n">
        <f aca="false">IFERROR(IF(ISNUMBER(INDEX(원자료_시장!$A$1:$BZ$1000,설정!$L$6+ROW()-1,설정!$L$29)),INDEX(원자료_시장!$A$1:$BZ$1000,설정!$L$6+ROW()-1,설정!$L$29),""),"")</f>
        <v>-0.1</v>
      </c>
      <c r="H122" s="97" t="n">
        <f aca="false">IFERROR(IF(ISNUMBER(INDEX(원자료_시장!$A$1:$BZ$1000,설정!$L$6+ROW()-1,설정!$L$30)),INDEX(원자료_시장!$A$1:$BZ$1000,설정!$L$6+ROW()-1,설정!$L$30),""),"")</f>
        <v>-1.1</v>
      </c>
      <c r="I122" s="97" t="n">
        <f aca="false">IFERROR(IF(ISNUMBER(INDEX(원자료_시장!$A$1:$BZ$1000,설정!$L$6+ROW()-1,설정!$L$31)),INDEX(원자료_시장!$A$1:$BZ$1000,설정!$L$6+ROW()-1,설정!$L$31),""),"")</f>
        <v>2</v>
      </c>
      <c r="J122" s="97" t="n">
        <f aca="false">IFERROR(IF(ISNUMBER(INDEX(원자료_시장!$A$1:$BZ$1000,설정!$L$6+ROW()-1,설정!$L$32)),INDEX(원자료_시장!$A$1:$BZ$1000,설정!$L$6+ROW()-1,설정!$L$32),""),"")</f>
        <v>1.1</v>
      </c>
      <c r="K122" s="85" t="n">
        <f aca="false">IFERROR(IF(ISNUMBER(INDEX(원자료_시장!$A$1:$BZ$1000,설정!$L$6+ROW()-1,설정!$L$33)),INDEX(원자료_시장!$A$1:$BZ$1000,설정!$L$6+ROW()-1,설정!$L$33),""),"")</f>
        <v>7.125</v>
      </c>
      <c r="L122" s="83" t="str">
        <f aca="false">IFERROR(IF(INDEX(원자료_시장!$A$1:$BZ$1000,설정!$L$6+ROW()-1,설정!$L$34)&amp;""="0","",INDEX(원자료_시장!$A$1:$BZ$1000,설정!$L$6+ROW()-1,설정!$L$34)),"")</f>
        <v>정부</v>
      </c>
      <c r="M122" s="83" t="n">
        <f aca="false">IFERROR(IF(INDEX(원자료_시장!$A$1:$BZ$1000,설정!$L$6+ROW()-1,설정!$L$35)&amp;""="0","",INDEX(원자료_시장!$A$1:$BZ$1000,설정!$L$6+ROW()-1,설정!$L$35)),"")</f>
        <v>0</v>
      </c>
      <c r="N122" s="83" t="str">
        <f aca="false">IFERROR(IF(INDEX(원자료_시장!$A$1:$BZ$1000,설정!$L$6+ROW()-1,설정!$L$36)&amp;""="0","",INDEX(원자료_시장!$A$1:$BZ$1000,설정!$L$6+ROW()-1,설정!$L$36)),"")</f>
        <v>미국</v>
      </c>
      <c r="O122" s="43" t="str">
        <f aca="false">IF($A122="","",UPPER(LEFT($A122,FIND(" ",$A122&amp;" ")-1)))</f>
        <v>T</v>
      </c>
      <c r="P122" s="43" t="str">
        <f aca="false">IF($A122="","",TRIM(RIGHT(SUBSTITUTE(TRIM($A122)," ",REPT(" ",30)),30)))</f>
        <v>05/15/35</v>
      </c>
      <c r="Q122" s="98" t="n">
        <f aca="false">IF($A122="","",IFERROR(DATE(IF(LEN(P122)=8,2000+VALUE(RIGHT(P122,2)),VALUE(RIGHT(P122,4))),VALUE(LEFT(P122,2)),VALUE(MID(P122,4,2))),""))</f>
        <v>49444</v>
      </c>
      <c r="R122" s="89" t="n">
        <f aca="false">IF($A122="",0,IF(ISNUMBER(SEARCH("Float",$A122)),1,0))</f>
        <v>0</v>
      </c>
      <c r="S122" s="43" t="str">
        <f aca="false">IF($A122="","",TRIM(MID($A122,LEN(O122)+2,LEN($A122)-LEN(O122)-LEN(P122)-1)))</f>
        <v>4 1/4</v>
      </c>
      <c r="T122" s="92" t="n">
        <f aca="false">IF(OR($A122="",R122=1),"",IFERROR(IF(ISNUMBER(FIND("/",S122)),IF(ISNUMBER(FIND(" ",S122)),VALUE(LEFT(S122,FIND(" ",S122)-1))+VALUE(MID(S122,FIND(" ",S122)+1,FIND("/",S122)-FIND(" ",S122)-1))/VALUE(MID(S122,FIND("/",S122)+1,9)),VALUE(LEFT(S122,FIND("/",S122)-1))/VALUE(MID(S122,FIND("/",S122)+1,9))),VALUE(S122)),""))</f>
        <v>4.25</v>
      </c>
      <c r="U122" s="43" t="str">
        <f aca="false">IF(OR($A122="",NOT(ISNUMBER(Q122))),"",TEXT(Q122,"yyyymmdd")&amp;"|"&amp;IF(R122=1,"F",TEXT(T122,"0.000")))</f>
        <v>20350515|4.250</v>
      </c>
      <c r="V122" s="43" t="str">
        <f aca="false">IF(U122="","",O122&amp;"|"&amp;U122)</f>
        <v>T|20350515|4.250</v>
      </c>
      <c r="W122" s="43" t="str">
        <f aca="false">IF($A122="","",IFERROR(IF(VLOOKUP(O122,매핑!$A$4:$E$92,3,0)="","미분류",VLOOKUP(O122,매핑!$A$4:$E$92,3,0)),"미분류"))</f>
        <v>미국</v>
      </c>
      <c r="X122" s="89" t="n">
        <f aca="false">IF($A122="",0,IF(O122="T",1,0))</f>
        <v>1</v>
      </c>
      <c r="Y122" s="89" t="n">
        <f aca="false">IF($A122="",0,IF(AND(C122="USD",X122=0,ISNUMBER(E122),ISNUMBER(K122)),IF(K122&gt;=설정!$C$8,1,0),0))</f>
        <v>0</v>
      </c>
      <c r="Z122" s="43" t="str">
        <f aca="false">IF($A122="","",N122&amp;"|"&amp;L122)</f>
        <v>미국|정부</v>
      </c>
      <c r="AA122" s="92" t="n">
        <f aca="false">IF(Y122=1,LN(K122),0)</f>
        <v>0</v>
      </c>
      <c r="AB122" s="93" t="n">
        <f aca="false">IF(Y122=1,E122,0)</f>
        <v>0</v>
      </c>
      <c r="AC122" s="89" t="n">
        <f aca="false">IF(Y122=1,COUNTIFS($Z$2:$Z$601,Z122,$Y$2:$Y$601,1),0)</f>
        <v>0</v>
      </c>
      <c r="AD122" s="89" t="n">
        <f aca="false">IF(Y122=1,COUNTIFS($N$2:$N$601,N122,$Y$2:$Y$601,1),0)</f>
        <v>0</v>
      </c>
      <c r="AE122" s="43" t="str">
        <f aca="false">IF(Y122&lt;&gt;1,"",IF(AND(AC122&gt;=설정!$C$7,ISNUMBER(MATCH(Z122,피어커브!$A:$A,0))),Z122,IF(AND(AD122&gt;=설정!$C$7,ISNUMBER(MATCH(N122&amp;"|전체",피어커브!$A:$A,0))),N122&amp;"|전체","전체|전체")))</f>
        <v/>
      </c>
      <c r="AF122" s="93" t="str">
        <f aca="false">IF(AE122="","",INDEX(피어커브!$K:$K,MATCH(AE122,피어커브!$A:$A,0)))</f>
        <v/>
      </c>
      <c r="AG122" s="93" t="str">
        <f aca="false">IF(AE122="","",INDEX(피어커브!$J:$J,MATCH(AE122,피어커브!$A:$A,0)))</f>
        <v/>
      </c>
      <c r="AH122" s="93" t="str">
        <f aca="false">IF(AE122="","",INDEX(피어커브!$L:$L,MATCH(AE122,피어커브!$A:$A,0)))</f>
        <v/>
      </c>
      <c r="AI122" s="93" t="str">
        <f aca="false">IF(AE122="","",AF122+AG122*AA122)</f>
        <v/>
      </c>
      <c r="AJ122" s="96" t="str">
        <f aca="false">IF(AE122="","",E122-AI122)</f>
        <v/>
      </c>
      <c r="AK122" s="95" t="str">
        <f aca="false">IF(AE122="","",IF(ISNUMBER(AH122),IF(AH122&gt;0,AJ122/AH122,""),""))</f>
        <v/>
      </c>
      <c r="AL122" s="43" t="str">
        <f aca="false">IF(AK122="","-",IF(AK122&gt;=설정!$C$6,"Cheap",IF(AK122&lt;=-설정!$C$6,"Rich","Fair")))</f>
        <v>-</v>
      </c>
      <c r="AM122" s="96" t="str">
        <f aca="false">IF(AE122="","",AJ122-AVERAGEIFS($AJ$2:$AJ$601,$B$2:$B$601,B122,$Y$2:$Y$601,1))</f>
        <v/>
      </c>
      <c r="AN122" s="93" t="n">
        <f aca="false">IF(AE122="",0,IF(K122&gt;1+설정!$C$8,AG122*(AA122-LN(K122-1)),0))</f>
        <v>0</v>
      </c>
      <c r="AO122" s="99" t="n">
        <f aca="false">IF($A122="",0,SUMIFS(보유분석!$AA$2:$AA$801,보유분석!$AB$2:$AB$801,ROW(),보유분석!$AC$2:$AC$801,1))</f>
        <v>14.01954</v>
      </c>
      <c r="AP122" s="43" t="str">
        <f aca="false">IF($A122="","",TRIM(IF(R122=1,"FRN ","")&amp;IF(IFERROR(VLOOKUP(M122,설정!$A$15:$D$47,4,0),0)&gt;=10,IF(IFERROR(VLOOKUP(M122,설정!$A$15:$D$47,4,0),0)&lt;99,"BBB0미만 ",""),"")&amp;IF(OR(M122="",M122="NR"),"등급미입력 ","")&amp;IF(C122&lt;&gt;"USD","비USD ","")))</f>
        <v>등급미입력</v>
      </c>
      <c r="AQ122" s="90" t="n">
        <f aca="false">IF(AND(Y122=1,AL122="Cheap"),IF(AND(ISERROR(SEARCH("FRN",AP122)),ISERROR(SEARCH("BBB0미만",AP122))),AK122+ROW()/1000000000,-999),-999)</f>
        <v>-999</v>
      </c>
      <c r="AR122" s="92" t="n">
        <f aca="false">IF(AND(ISNUMBER(D122),ISNUMBER(K122)),D122+AN122*MAX(K122-1,0)/100,"")</f>
        <v>5.263</v>
      </c>
      <c r="AS122" s="93" t="n">
        <f aca="false">IF(AND(ISNUMBER(E122),ISNUMBER(K122)),IF(K122&gt;0,(E122+AN122*MAX(K122-1,0))/K122,""),"")</f>
        <v>-0.337684210526316</v>
      </c>
      <c r="AT122" s="90" t="n">
        <f aca="false">IFERROR(IF(AND(Y122=1,ROW()&lt;&gt;스왑분석!$C$12+1,ABS(K122-INDEX($K$2:$K$601,스왑분석!$C$12))&lt;=스왑분석!$C$5,ISERROR(SEARCH("FRN",AP122)),ISERROR(SEARCH("BBB0미만",AP122))),IF(AND(OR(스왑분석!$C$6="N",L122=INDEX($L$2:$L$601,스왑분석!$C$12)),OR(스왑분석!$C$7="N",N122=INDEX($N$2:$N$601,스왑분석!$C$12)),OR(스왑분석!$C$8="N",AO122=0),E122-INDEX($E$2:$E$601,스왑분석!$C$12)&gt;=스왑분석!$C$9),E122-INDEX($E$2:$E$601,스왑분석!$C$12)+ROW()/1000000000,-999),-999),-999)</f>
        <v>-999</v>
      </c>
      <c r="AU122" s="90" t="n">
        <f aca="false">IF(AND(Y122=1,AO122&gt;0,AL122="Rich"),-AK122+ROW()/1000000000,-999)</f>
        <v>-999</v>
      </c>
    </row>
    <row r="123" customFormat="false" ht="15" hidden="false" customHeight="false" outlineLevel="0" collapsed="false">
      <c r="A123" s="83" t="str">
        <f aca="false">IFERROR(IF(INDEX(원자료_시장!$A$1:$BZ$1000,설정!$L$6+ROW()-1,설정!$L$24)&amp;""="0","",INDEX(원자료_시장!$A$1:$BZ$1000,설정!$L$6+ROW()-1,설정!$L$24)),"")</f>
        <v>T 4 1/4 08/15/35</v>
      </c>
      <c r="B123" s="83" t="str">
        <f aca="false">IFERROR(IF(INDEX(원자료_시장!$A$1:$BZ$1000,설정!$L$6+ROW()-1,설정!$L$37)&amp;""="0","",INDEX(원자료_시장!$A$1:$BZ$1000,설정!$L$6+ROW()-1,설정!$L$37)),"")</f>
        <v>US TREASURY N/B</v>
      </c>
      <c r="C123" s="83" t="str">
        <f aca="false">IFERROR(IF(INDEX(원자료_시장!$A$1:$BZ$1000,설정!$L$6+ROW()-1,설정!$L$25)&amp;""="0","",INDEX(원자료_시장!$A$1:$BZ$1000,설정!$L$6+ROW()-1,설정!$L$25)),"")</f>
        <v>USD</v>
      </c>
      <c r="D123" s="85" t="n">
        <f aca="false">IFERROR(IF(ISNUMBER(INDEX(원자료_시장!$A$1:$BZ$1000,설정!$L$6+ROW()-1,설정!$L$26)),INDEX(원자료_시장!$A$1:$BZ$1000,설정!$L$6+ROW()-1,설정!$L$26),""),"")</f>
        <v>5.27</v>
      </c>
      <c r="E123" s="97" t="n">
        <f aca="false">IFERROR(IF(ISNUMBER(INDEX(원자료_시장!$A$1:$BZ$1000,설정!$L$6+ROW()-1,설정!$L$27)),INDEX(원자료_시장!$A$1:$BZ$1000,설정!$L$6+ROW()-1,설정!$L$27),""),"")</f>
        <v>-1.749</v>
      </c>
      <c r="F123" s="97" t="n">
        <f aca="false">IFERROR(IF(ISNUMBER(INDEX(원자료_시장!$A$1:$BZ$1000,설정!$L$6+ROW()-1,설정!$L$28)),INDEX(원자료_시장!$A$1:$BZ$1000,설정!$L$6+ROW()-1,설정!$L$28),""),"")</f>
        <v>45.433</v>
      </c>
      <c r="G123" s="97" t="n">
        <f aca="false">IFERROR(IF(ISNUMBER(INDEX(원자료_시장!$A$1:$BZ$1000,설정!$L$6+ROW()-1,설정!$L$29)),INDEX(원자료_시장!$A$1:$BZ$1000,설정!$L$6+ROW()-1,설정!$L$29),""),"")</f>
        <v>-0.3</v>
      </c>
      <c r="H123" s="97" t="n">
        <f aca="false">IFERROR(IF(ISNUMBER(INDEX(원자료_시장!$A$1:$BZ$1000,설정!$L$6+ROW()-1,설정!$L$30)),INDEX(원자료_시장!$A$1:$BZ$1000,설정!$L$6+ROW()-1,설정!$L$30),""),"")</f>
        <v>-1</v>
      </c>
      <c r="I123" s="97" t="n">
        <f aca="false">IFERROR(IF(ISNUMBER(INDEX(원자료_시장!$A$1:$BZ$1000,설정!$L$6+ROW()-1,설정!$L$31)),INDEX(원자료_시장!$A$1:$BZ$1000,설정!$L$6+ROW()-1,설정!$L$31),""),"")</f>
        <v>1.4</v>
      </c>
      <c r="J123" s="97" t="n">
        <f aca="false">IFERROR(IF(ISNUMBER(INDEX(원자료_시장!$A$1:$BZ$1000,설정!$L$6+ROW()-1,설정!$L$32)),INDEX(원자료_시장!$A$1:$BZ$1000,설정!$L$6+ROW()-1,설정!$L$32),""),"")</f>
        <v>0.7</v>
      </c>
      <c r="K123" s="85" t="n">
        <f aca="false">IFERROR(IF(ISNUMBER(INDEX(원자료_시장!$A$1:$BZ$1000,설정!$L$6+ROW()-1,설정!$L$33)),INDEX(원자료_시장!$A$1:$BZ$1000,설정!$L$6+ROW()-1,설정!$L$33),""),"")</f>
        <v>7.375</v>
      </c>
      <c r="L123" s="83" t="str">
        <f aca="false">IFERROR(IF(INDEX(원자료_시장!$A$1:$BZ$1000,설정!$L$6+ROW()-1,설정!$L$34)&amp;""="0","",INDEX(원자료_시장!$A$1:$BZ$1000,설정!$L$6+ROW()-1,설정!$L$34)),"")</f>
        <v>정부</v>
      </c>
      <c r="M123" s="83" t="n">
        <f aca="false">IFERROR(IF(INDEX(원자료_시장!$A$1:$BZ$1000,설정!$L$6+ROW()-1,설정!$L$35)&amp;""="0","",INDEX(원자료_시장!$A$1:$BZ$1000,설정!$L$6+ROW()-1,설정!$L$35)),"")</f>
        <v>0</v>
      </c>
      <c r="N123" s="83" t="str">
        <f aca="false">IFERROR(IF(INDEX(원자료_시장!$A$1:$BZ$1000,설정!$L$6+ROW()-1,설정!$L$36)&amp;""="0","",INDEX(원자료_시장!$A$1:$BZ$1000,설정!$L$6+ROW()-1,설정!$L$36)),"")</f>
        <v>미국</v>
      </c>
      <c r="O123" s="43" t="str">
        <f aca="false">IF($A123="","",UPPER(LEFT($A123,FIND(" ",$A123&amp;" ")-1)))</f>
        <v>T</v>
      </c>
      <c r="P123" s="43" t="str">
        <f aca="false">IF($A123="","",TRIM(RIGHT(SUBSTITUTE(TRIM($A123)," ",REPT(" ",30)),30)))</f>
        <v>08/15/35</v>
      </c>
      <c r="Q123" s="98" t="n">
        <f aca="false">IF($A123="","",IFERROR(DATE(IF(LEN(P123)=8,2000+VALUE(RIGHT(P123,2)),VALUE(RIGHT(P123,4))),VALUE(LEFT(P123,2)),VALUE(MID(P123,4,2))),""))</f>
        <v>49536</v>
      </c>
      <c r="R123" s="89" t="n">
        <f aca="false">IF($A123="",0,IF(ISNUMBER(SEARCH("Float",$A123)),1,0))</f>
        <v>0</v>
      </c>
      <c r="S123" s="43" t="str">
        <f aca="false">IF($A123="","",TRIM(MID($A123,LEN(O123)+2,LEN($A123)-LEN(O123)-LEN(P123)-1)))</f>
        <v>4 1/4</v>
      </c>
      <c r="T123" s="92" t="n">
        <f aca="false">IF(OR($A123="",R123=1),"",IFERROR(IF(ISNUMBER(FIND("/",S123)),IF(ISNUMBER(FIND(" ",S123)),VALUE(LEFT(S123,FIND(" ",S123)-1))+VALUE(MID(S123,FIND(" ",S123)+1,FIND("/",S123)-FIND(" ",S123)-1))/VALUE(MID(S123,FIND("/",S123)+1,9)),VALUE(LEFT(S123,FIND("/",S123)-1))/VALUE(MID(S123,FIND("/",S123)+1,9))),VALUE(S123)),""))</f>
        <v>4.25</v>
      </c>
      <c r="U123" s="43" t="str">
        <f aca="false">IF(OR($A123="",NOT(ISNUMBER(Q123))),"",TEXT(Q123,"yyyymmdd")&amp;"|"&amp;IF(R123=1,"F",TEXT(T123,"0.000")))</f>
        <v>20350815|4.250</v>
      </c>
      <c r="V123" s="43" t="str">
        <f aca="false">IF(U123="","",O123&amp;"|"&amp;U123)</f>
        <v>T|20350815|4.250</v>
      </c>
      <c r="W123" s="43" t="str">
        <f aca="false">IF($A123="","",IFERROR(IF(VLOOKUP(O123,매핑!$A$4:$E$92,3,0)="","미분류",VLOOKUP(O123,매핑!$A$4:$E$92,3,0)),"미분류"))</f>
        <v>미국</v>
      </c>
      <c r="X123" s="89" t="n">
        <f aca="false">IF($A123="",0,IF(O123="T",1,0))</f>
        <v>1</v>
      </c>
      <c r="Y123" s="89" t="n">
        <f aca="false">IF($A123="",0,IF(AND(C123="USD",X123=0,ISNUMBER(E123),ISNUMBER(K123)),IF(K123&gt;=설정!$C$8,1,0),0))</f>
        <v>0</v>
      </c>
      <c r="Z123" s="43" t="str">
        <f aca="false">IF($A123="","",N123&amp;"|"&amp;L123)</f>
        <v>미국|정부</v>
      </c>
      <c r="AA123" s="92" t="n">
        <f aca="false">IF(Y123=1,LN(K123),0)</f>
        <v>0</v>
      </c>
      <c r="AB123" s="93" t="n">
        <f aca="false">IF(Y123=1,E123,0)</f>
        <v>0</v>
      </c>
      <c r="AC123" s="89" t="n">
        <f aca="false">IF(Y123=1,COUNTIFS($Z$2:$Z$601,Z123,$Y$2:$Y$601,1),0)</f>
        <v>0</v>
      </c>
      <c r="AD123" s="89" t="n">
        <f aca="false">IF(Y123=1,COUNTIFS($N$2:$N$601,N123,$Y$2:$Y$601,1),0)</f>
        <v>0</v>
      </c>
      <c r="AE123" s="43" t="str">
        <f aca="false">IF(Y123&lt;&gt;1,"",IF(AND(AC123&gt;=설정!$C$7,ISNUMBER(MATCH(Z123,피어커브!$A:$A,0))),Z123,IF(AND(AD123&gt;=설정!$C$7,ISNUMBER(MATCH(N123&amp;"|전체",피어커브!$A:$A,0))),N123&amp;"|전체","전체|전체")))</f>
        <v/>
      </c>
      <c r="AF123" s="93" t="str">
        <f aca="false">IF(AE123="","",INDEX(피어커브!$K:$K,MATCH(AE123,피어커브!$A:$A,0)))</f>
        <v/>
      </c>
      <c r="AG123" s="93" t="str">
        <f aca="false">IF(AE123="","",INDEX(피어커브!$J:$J,MATCH(AE123,피어커브!$A:$A,0)))</f>
        <v/>
      </c>
      <c r="AH123" s="93" t="str">
        <f aca="false">IF(AE123="","",INDEX(피어커브!$L:$L,MATCH(AE123,피어커브!$A:$A,0)))</f>
        <v/>
      </c>
      <c r="AI123" s="93" t="str">
        <f aca="false">IF(AE123="","",AF123+AG123*AA123)</f>
        <v/>
      </c>
      <c r="AJ123" s="96" t="str">
        <f aca="false">IF(AE123="","",E123-AI123)</f>
        <v/>
      </c>
      <c r="AK123" s="95" t="str">
        <f aca="false">IF(AE123="","",IF(ISNUMBER(AH123),IF(AH123&gt;0,AJ123/AH123,""),""))</f>
        <v/>
      </c>
      <c r="AL123" s="43" t="str">
        <f aca="false">IF(AK123="","-",IF(AK123&gt;=설정!$C$6,"Cheap",IF(AK123&lt;=-설정!$C$6,"Rich","Fair")))</f>
        <v>-</v>
      </c>
      <c r="AM123" s="96" t="str">
        <f aca="false">IF(AE123="","",AJ123-AVERAGEIFS($AJ$2:$AJ$601,$B$2:$B$601,B123,$Y$2:$Y$601,1))</f>
        <v/>
      </c>
      <c r="AN123" s="93" t="n">
        <f aca="false">IF(AE123="",0,IF(K123&gt;1+설정!$C$8,AG123*(AA123-LN(K123-1)),0))</f>
        <v>0</v>
      </c>
      <c r="AO123" s="99" t="n">
        <f aca="false">IF($A123="",0,SUMIFS(보유분석!$AA$2:$AA$801,보유분석!$AB$2:$AB$801,ROW(),보유분석!$AC$2:$AC$801,1))</f>
        <v>0</v>
      </c>
      <c r="AP123" s="43" t="str">
        <f aca="false">IF($A123="","",TRIM(IF(R123=1,"FRN ","")&amp;IF(IFERROR(VLOOKUP(M123,설정!$A$15:$D$47,4,0),0)&gt;=10,IF(IFERROR(VLOOKUP(M123,설정!$A$15:$D$47,4,0),0)&lt;99,"BBB0미만 ",""),"")&amp;IF(OR(M123="",M123="NR"),"등급미입력 ","")&amp;IF(C123&lt;&gt;"USD","비USD ","")))</f>
        <v>등급미입력</v>
      </c>
      <c r="AQ123" s="90" t="n">
        <f aca="false">IF(AND(Y123=1,AL123="Cheap"),IF(AND(ISERROR(SEARCH("FRN",AP123)),ISERROR(SEARCH("BBB0미만",AP123))),AK123+ROW()/1000000000,-999),-999)</f>
        <v>-999</v>
      </c>
      <c r="AR123" s="92" t="n">
        <f aca="false">IF(AND(ISNUMBER(D123),ISNUMBER(K123)),D123+AN123*MAX(K123-1,0)/100,"")</f>
        <v>5.27</v>
      </c>
      <c r="AS123" s="93" t="n">
        <f aca="false">IF(AND(ISNUMBER(E123),ISNUMBER(K123)),IF(K123&gt;0,(E123+AN123*MAX(K123-1,0))/K123,""),"")</f>
        <v>-0.237152542372881</v>
      </c>
      <c r="AT123" s="90" t="n">
        <f aca="false">IFERROR(IF(AND(Y123=1,ROW()&lt;&gt;스왑분석!$C$12+1,ABS(K123-INDEX($K$2:$K$601,스왑분석!$C$12))&lt;=스왑분석!$C$5,ISERROR(SEARCH("FRN",AP123)),ISERROR(SEARCH("BBB0미만",AP123))),IF(AND(OR(스왑분석!$C$6="N",L123=INDEX($L$2:$L$601,스왑분석!$C$12)),OR(스왑분석!$C$7="N",N123=INDEX($N$2:$N$601,스왑분석!$C$12)),OR(스왑분석!$C$8="N",AO123=0),E123-INDEX($E$2:$E$601,스왑분석!$C$12)&gt;=스왑분석!$C$9),E123-INDEX($E$2:$E$601,스왑분석!$C$12)+ROW()/1000000000,-999),-999),-999)</f>
        <v>-999</v>
      </c>
      <c r="AU123" s="90" t="n">
        <f aca="false">IF(AND(Y123=1,AO123&gt;0,AL123="Rich"),-AK123+ROW()/1000000000,-999)</f>
        <v>-999</v>
      </c>
    </row>
    <row r="124" customFormat="false" ht="15" hidden="false" customHeight="false" outlineLevel="0" collapsed="false">
      <c r="A124" s="83" t="str">
        <f aca="false">IFERROR(IF(INDEX(원자료_시장!$A$1:$BZ$1000,설정!$L$6+ROW()-1,설정!$L$24)&amp;""="0","",INDEX(원자료_시장!$A$1:$BZ$1000,설정!$L$6+ROW()-1,설정!$L$24)),"")</f>
        <v>T 3 7/8 08/31/32</v>
      </c>
      <c r="B124" s="83" t="str">
        <f aca="false">IFERROR(IF(INDEX(원자료_시장!$A$1:$BZ$1000,설정!$L$6+ROW()-1,설정!$L$37)&amp;""="0","",INDEX(원자료_시장!$A$1:$BZ$1000,설정!$L$6+ROW()-1,설정!$L$37)),"")</f>
        <v>US TREASURY N/B</v>
      </c>
      <c r="C124" s="83" t="str">
        <f aca="false">IFERROR(IF(INDEX(원자료_시장!$A$1:$BZ$1000,설정!$L$6+ROW()-1,설정!$L$25)&amp;""="0","",INDEX(원자료_시장!$A$1:$BZ$1000,설정!$L$6+ROW()-1,설정!$L$25)),"")</f>
        <v>USD</v>
      </c>
      <c r="D124" s="85" t="n">
        <f aca="false">IFERROR(IF(ISNUMBER(INDEX(원자료_시장!$A$1:$BZ$1000,설정!$L$6+ROW()-1,설정!$L$26)),INDEX(원자료_시장!$A$1:$BZ$1000,설정!$L$6+ROW()-1,설정!$L$26),""),"")</f>
        <v>5.145</v>
      </c>
      <c r="E124" s="97" t="n">
        <f aca="false">IFERROR(IF(ISNUMBER(INDEX(원자료_시장!$A$1:$BZ$1000,설정!$L$6+ROW()-1,설정!$L$27)),INDEX(원자료_시장!$A$1:$BZ$1000,설정!$L$6+ROW()-1,설정!$L$27),""),"")</f>
        <v>-4.42</v>
      </c>
      <c r="F124" s="97" t="n">
        <f aca="false">IFERROR(IF(ISNUMBER(INDEX(원자료_시장!$A$1:$BZ$1000,설정!$L$6+ROW()-1,설정!$L$28)),INDEX(원자료_시장!$A$1:$BZ$1000,설정!$L$6+ROW()-1,설정!$L$28),""),"")</f>
        <v>37.878</v>
      </c>
      <c r="G124" s="97" t="n">
        <f aca="false">IFERROR(IF(ISNUMBER(INDEX(원자료_시장!$A$1:$BZ$1000,설정!$L$6+ROW()-1,설정!$L$29)),INDEX(원자료_시장!$A$1:$BZ$1000,설정!$L$6+ROW()-1,설정!$L$29),""),"")</f>
        <v>-0.2</v>
      </c>
      <c r="H124" s="97" t="n">
        <f aca="false">IFERROR(IF(ISNUMBER(INDEX(원자료_시장!$A$1:$BZ$1000,설정!$L$6+ROW()-1,설정!$L$30)),INDEX(원자료_시장!$A$1:$BZ$1000,설정!$L$6+ROW()-1,설정!$L$30),""),"")</f>
        <v>-2.5</v>
      </c>
      <c r="I124" s="97" t="n">
        <f aca="false">IFERROR(IF(ISNUMBER(INDEX(원자료_시장!$A$1:$BZ$1000,설정!$L$6+ROW()-1,설정!$L$31)),INDEX(원자료_시장!$A$1:$BZ$1000,설정!$L$6+ROW()-1,설정!$L$31),""),"")</f>
        <v>0.5</v>
      </c>
      <c r="J124" s="97" t="n">
        <f aca="false">IFERROR(IF(ISNUMBER(INDEX(원자료_시장!$A$1:$BZ$1000,설정!$L$6+ROW()-1,설정!$L$32)),INDEX(원자료_시장!$A$1:$BZ$1000,설정!$L$6+ROW()-1,설정!$L$32),""),"")</f>
        <v>0.2</v>
      </c>
      <c r="K124" s="85" t="n">
        <f aca="false">IFERROR(IF(ISNUMBER(INDEX(원자료_시장!$A$1:$BZ$1000,설정!$L$6+ROW()-1,설정!$L$33)),INDEX(원자료_시장!$A$1:$BZ$1000,설정!$L$6+ROW()-1,설정!$L$33),""),"")</f>
        <v>5.298</v>
      </c>
      <c r="L124" s="83" t="str">
        <f aca="false">IFERROR(IF(INDEX(원자료_시장!$A$1:$BZ$1000,설정!$L$6+ROW()-1,설정!$L$34)&amp;""="0","",INDEX(원자료_시장!$A$1:$BZ$1000,설정!$L$6+ROW()-1,설정!$L$34)),"")</f>
        <v>정부</v>
      </c>
      <c r="M124" s="83" t="n">
        <f aca="false">IFERROR(IF(INDEX(원자료_시장!$A$1:$BZ$1000,설정!$L$6+ROW()-1,설정!$L$35)&amp;""="0","",INDEX(원자료_시장!$A$1:$BZ$1000,설정!$L$6+ROW()-1,설정!$L$35)),"")</f>
        <v>0</v>
      </c>
      <c r="N124" s="83" t="str">
        <f aca="false">IFERROR(IF(INDEX(원자료_시장!$A$1:$BZ$1000,설정!$L$6+ROW()-1,설정!$L$36)&amp;""="0","",INDEX(원자료_시장!$A$1:$BZ$1000,설정!$L$6+ROW()-1,설정!$L$36)),"")</f>
        <v>미국</v>
      </c>
      <c r="O124" s="43" t="str">
        <f aca="false">IF($A124="","",UPPER(LEFT($A124,FIND(" ",$A124&amp;" ")-1)))</f>
        <v>T</v>
      </c>
      <c r="P124" s="43" t="str">
        <f aca="false">IF($A124="","",TRIM(RIGHT(SUBSTITUTE(TRIM($A124)," ",REPT(" ",30)),30)))</f>
        <v>08/31/32</v>
      </c>
      <c r="Q124" s="98" t="n">
        <f aca="false">IF($A124="","",IFERROR(DATE(IF(LEN(P124)=8,2000+VALUE(RIGHT(P124,2)),VALUE(RIGHT(P124,4))),VALUE(LEFT(P124,2)),VALUE(MID(P124,4,2))),""))</f>
        <v>48457</v>
      </c>
      <c r="R124" s="89" t="n">
        <f aca="false">IF($A124="",0,IF(ISNUMBER(SEARCH("Float",$A124)),1,0))</f>
        <v>0</v>
      </c>
      <c r="S124" s="43" t="str">
        <f aca="false">IF($A124="","",TRIM(MID($A124,LEN(O124)+2,LEN($A124)-LEN(O124)-LEN(P124)-1)))</f>
        <v>3 7/8</v>
      </c>
      <c r="T124" s="92" t="n">
        <f aca="false">IF(OR($A124="",R124=1),"",IFERROR(IF(ISNUMBER(FIND("/",S124)),IF(ISNUMBER(FIND(" ",S124)),VALUE(LEFT(S124,FIND(" ",S124)-1))+VALUE(MID(S124,FIND(" ",S124)+1,FIND("/",S124)-FIND(" ",S124)-1))/VALUE(MID(S124,FIND("/",S124)+1,9)),VALUE(LEFT(S124,FIND("/",S124)-1))/VALUE(MID(S124,FIND("/",S124)+1,9))),VALUE(S124)),""))</f>
        <v>3.875</v>
      </c>
      <c r="U124" s="43" t="str">
        <f aca="false">IF(OR($A124="",NOT(ISNUMBER(Q124))),"",TEXT(Q124,"yyyymmdd")&amp;"|"&amp;IF(R124=1,"F",TEXT(T124,"0.000")))</f>
        <v>20320831|3.875</v>
      </c>
      <c r="V124" s="43" t="str">
        <f aca="false">IF(U124="","",O124&amp;"|"&amp;U124)</f>
        <v>T|20320831|3.875</v>
      </c>
      <c r="W124" s="43" t="str">
        <f aca="false">IF($A124="","",IFERROR(IF(VLOOKUP(O124,매핑!$A$4:$E$92,3,0)="","미분류",VLOOKUP(O124,매핑!$A$4:$E$92,3,0)),"미분류"))</f>
        <v>미국</v>
      </c>
      <c r="X124" s="89" t="n">
        <f aca="false">IF($A124="",0,IF(O124="T",1,0))</f>
        <v>1</v>
      </c>
      <c r="Y124" s="89" t="n">
        <f aca="false">IF($A124="",0,IF(AND(C124="USD",X124=0,ISNUMBER(E124),ISNUMBER(K124)),IF(K124&gt;=설정!$C$8,1,0),0))</f>
        <v>0</v>
      </c>
      <c r="Z124" s="43" t="str">
        <f aca="false">IF($A124="","",N124&amp;"|"&amp;L124)</f>
        <v>미국|정부</v>
      </c>
      <c r="AA124" s="92" t="n">
        <f aca="false">IF(Y124=1,LN(K124),0)</f>
        <v>0</v>
      </c>
      <c r="AB124" s="93" t="n">
        <f aca="false">IF(Y124=1,E124,0)</f>
        <v>0</v>
      </c>
      <c r="AC124" s="89" t="n">
        <f aca="false">IF(Y124=1,COUNTIFS($Z$2:$Z$601,Z124,$Y$2:$Y$601,1),0)</f>
        <v>0</v>
      </c>
      <c r="AD124" s="89" t="n">
        <f aca="false">IF(Y124=1,COUNTIFS($N$2:$N$601,N124,$Y$2:$Y$601,1),0)</f>
        <v>0</v>
      </c>
      <c r="AE124" s="43" t="str">
        <f aca="false">IF(Y124&lt;&gt;1,"",IF(AND(AC124&gt;=설정!$C$7,ISNUMBER(MATCH(Z124,피어커브!$A:$A,0))),Z124,IF(AND(AD124&gt;=설정!$C$7,ISNUMBER(MATCH(N124&amp;"|전체",피어커브!$A:$A,0))),N124&amp;"|전체","전체|전체")))</f>
        <v/>
      </c>
      <c r="AF124" s="93" t="str">
        <f aca="false">IF(AE124="","",INDEX(피어커브!$K:$K,MATCH(AE124,피어커브!$A:$A,0)))</f>
        <v/>
      </c>
      <c r="AG124" s="93" t="str">
        <f aca="false">IF(AE124="","",INDEX(피어커브!$J:$J,MATCH(AE124,피어커브!$A:$A,0)))</f>
        <v/>
      </c>
      <c r="AH124" s="93" t="str">
        <f aca="false">IF(AE124="","",INDEX(피어커브!$L:$L,MATCH(AE124,피어커브!$A:$A,0)))</f>
        <v/>
      </c>
      <c r="AI124" s="93" t="str">
        <f aca="false">IF(AE124="","",AF124+AG124*AA124)</f>
        <v/>
      </c>
      <c r="AJ124" s="96" t="str">
        <f aca="false">IF(AE124="","",E124-AI124)</f>
        <v/>
      </c>
      <c r="AK124" s="95" t="str">
        <f aca="false">IF(AE124="","",IF(ISNUMBER(AH124),IF(AH124&gt;0,AJ124/AH124,""),""))</f>
        <v/>
      </c>
      <c r="AL124" s="43" t="str">
        <f aca="false">IF(AK124="","-",IF(AK124&gt;=설정!$C$6,"Cheap",IF(AK124&lt;=-설정!$C$6,"Rich","Fair")))</f>
        <v>-</v>
      </c>
      <c r="AM124" s="96" t="str">
        <f aca="false">IF(AE124="","",AJ124-AVERAGEIFS($AJ$2:$AJ$601,$B$2:$B$601,B124,$Y$2:$Y$601,1))</f>
        <v/>
      </c>
      <c r="AN124" s="93" t="n">
        <f aca="false">IF(AE124="",0,IF(K124&gt;1+설정!$C$8,AG124*(AA124-LN(K124-1)),0))</f>
        <v>0</v>
      </c>
      <c r="AO124" s="99" t="n">
        <f aca="false">IF($A124="",0,SUMIFS(보유분석!$AA$2:$AA$801,보유분석!$AB$2:$AB$801,ROW(),보유분석!$AC$2:$AC$801,1))</f>
        <v>0</v>
      </c>
      <c r="AP124" s="43" t="str">
        <f aca="false">IF($A124="","",TRIM(IF(R124=1,"FRN ","")&amp;IF(IFERROR(VLOOKUP(M124,설정!$A$15:$D$47,4,0),0)&gt;=10,IF(IFERROR(VLOOKUP(M124,설정!$A$15:$D$47,4,0),0)&lt;99,"BBB0미만 ",""),"")&amp;IF(OR(M124="",M124="NR"),"등급미입력 ","")&amp;IF(C124&lt;&gt;"USD","비USD ","")))</f>
        <v>등급미입력</v>
      </c>
      <c r="AQ124" s="90" t="n">
        <f aca="false">IF(AND(Y124=1,AL124="Cheap"),IF(AND(ISERROR(SEARCH("FRN",AP124)),ISERROR(SEARCH("BBB0미만",AP124))),AK124+ROW()/1000000000,-999),-999)</f>
        <v>-999</v>
      </c>
      <c r="AR124" s="92" t="n">
        <f aca="false">IF(AND(ISNUMBER(D124),ISNUMBER(K124)),D124+AN124*MAX(K124-1,0)/100,"")</f>
        <v>5.145</v>
      </c>
      <c r="AS124" s="93" t="n">
        <f aca="false">IF(AND(ISNUMBER(E124),ISNUMBER(K124)),IF(K124&gt;0,(E124+AN124*MAX(K124-1,0))/K124,""),"")</f>
        <v>-0.834277085692714</v>
      </c>
      <c r="AT124" s="90" t="n">
        <f aca="false">IFERROR(IF(AND(Y124=1,ROW()&lt;&gt;스왑분석!$C$12+1,ABS(K124-INDEX($K$2:$K$601,스왑분석!$C$12))&lt;=스왑분석!$C$5,ISERROR(SEARCH("FRN",AP124)),ISERROR(SEARCH("BBB0미만",AP124))),IF(AND(OR(스왑분석!$C$6="N",L124=INDEX($L$2:$L$601,스왑분석!$C$12)),OR(스왑분석!$C$7="N",N124=INDEX($N$2:$N$601,스왑분석!$C$12)),OR(스왑분석!$C$8="N",AO124=0),E124-INDEX($E$2:$E$601,스왑분석!$C$12)&gt;=스왑분석!$C$9),E124-INDEX($E$2:$E$601,스왑분석!$C$12)+ROW()/1000000000,-999),-999),-999)</f>
        <v>-999</v>
      </c>
      <c r="AU124" s="90" t="n">
        <f aca="false">IF(AND(Y124=1,AO124&gt;0,AL124="Rich"),-AK124+ROW()/1000000000,-999)</f>
        <v>-999</v>
      </c>
    </row>
    <row r="125" customFormat="false" ht="15" hidden="false" customHeight="false" outlineLevel="0" collapsed="false">
      <c r="A125" s="83" t="str">
        <f aca="false">IFERROR(IF(INDEX(원자료_시장!$A$1:$BZ$1000,설정!$L$6+ROW()-1,설정!$L$24)&amp;""="0","",INDEX(원자료_시장!$A$1:$BZ$1000,설정!$L$6+ROW()-1,설정!$L$24)),"")</f>
        <v>T 3 7/8 09/30/32</v>
      </c>
      <c r="B125" s="83" t="str">
        <f aca="false">IFERROR(IF(INDEX(원자료_시장!$A$1:$BZ$1000,설정!$L$6+ROW()-1,설정!$L$37)&amp;""="0","",INDEX(원자료_시장!$A$1:$BZ$1000,설정!$L$6+ROW()-1,설정!$L$37)),"")</f>
        <v>US TREASURY N/B</v>
      </c>
      <c r="C125" s="83" t="str">
        <f aca="false">IFERROR(IF(INDEX(원자료_시장!$A$1:$BZ$1000,설정!$L$6+ROW()-1,설정!$L$25)&amp;""="0","",INDEX(원자료_시장!$A$1:$BZ$1000,설정!$L$6+ROW()-1,설정!$L$25)),"")</f>
        <v>USD</v>
      </c>
      <c r="D125" s="85" t="n">
        <f aca="false">IFERROR(IF(ISNUMBER(INDEX(원자료_시장!$A$1:$BZ$1000,설정!$L$6+ROW()-1,설정!$L$26)),INDEX(원자료_시장!$A$1:$BZ$1000,설정!$L$6+ROW()-1,설정!$L$26),""),"")</f>
        <v>5.151</v>
      </c>
      <c r="E125" s="97" t="n">
        <f aca="false">IFERROR(IF(ISNUMBER(INDEX(원자료_시장!$A$1:$BZ$1000,설정!$L$6+ROW()-1,설정!$L$27)),INDEX(원자료_시장!$A$1:$BZ$1000,설정!$L$6+ROW()-1,설정!$L$27),""),"")</f>
        <v>-3.848</v>
      </c>
      <c r="F125" s="97" t="n">
        <f aca="false">IFERROR(IF(ISNUMBER(INDEX(원자료_시장!$A$1:$BZ$1000,설정!$L$6+ROW()-1,설정!$L$28)),INDEX(원자료_시장!$A$1:$BZ$1000,설정!$L$6+ROW()-1,설정!$L$28),""),"")</f>
        <v>38.344</v>
      </c>
      <c r="G125" s="97" t="n">
        <f aca="false">IFERROR(IF(ISNUMBER(INDEX(원자료_시장!$A$1:$BZ$1000,설정!$L$6+ROW()-1,설정!$L$29)),INDEX(원자료_시장!$A$1:$BZ$1000,설정!$L$6+ROW()-1,설정!$L$29),""),"")</f>
        <v>-0.2</v>
      </c>
      <c r="H125" s="97" t="n">
        <f aca="false">IFERROR(IF(ISNUMBER(INDEX(원자료_시장!$A$1:$BZ$1000,설정!$L$6+ROW()-1,설정!$L$30)),INDEX(원자료_시장!$A$1:$BZ$1000,설정!$L$6+ROW()-1,설정!$L$30),""),"")</f>
        <v>-2.1</v>
      </c>
      <c r="I125" s="97" t="n">
        <f aca="false">IFERROR(IF(ISNUMBER(INDEX(원자료_시장!$A$1:$BZ$1000,설정!$L$6+ROW()-1,설정!$L$31)),INDEX(원자료_시장!$A$1:$BZ$1000,설정!$L$6+ROW()-1,설정!$L$31),""),"")</f>
        <v>0.7</v>
      </c>
      <c r="J125" s="97" t="n">
        <f aca="false">IFERROR(IF(ISNUMBER(INDEX(원자료_시장!$A$1:$BZ$1000,설정!$L$6+ROW()-1,설정!$L$32)),INDEX(원자료_시장!$A$1:$BZ$1000,설정!$L$6+ROW()-1,설정!$L$32),""),"")</f>
        <v>0.1</v>
      </c>
      <c r="K125" s="85" t="n">
        <f aca="false">IFERROR(IF(ISNUMBER(INDEX(원자료_시장!$A$1:$BZ$1000,설정!$L$6+ROW()-1,설정!$L$33)),INDEX(원자료_시장!$A$1:$BZ$1000,설정!$L$6+ROW()-1,설정!$L$33),""),"")</f>
        <v>5.381</v>
      </c>
      <c r="L125" s="83" t="str">
        <f aca="false">IFERROR(IF(INDEX(원자료_시장!$A$1:$BZ$1000,설정!$L$6+ROW()-1,설정!$L$34)&amp;""="0","",INDEX(원자료_시장!$A$1:$BZ$1000,설정!$L$6+ROW()-1,설정!$L$34)),"")</f>
        <v>정부</v>
      </c>
      <c r="M125" s="83" t="n">
        <f aca="false">IFERROR(IF(INDEX(원자료_시장!$A$1:$BZ$1000,설정!$L$6+ROW()-1,설정!$L$35)&amp;""="0","",INDEX(원자료_시장!$A$1:$BZ$1000,설정!$L$6+ROW()-1,설정!$L$35)),"")</f>
        <v>0</v>
      </c>
      <c r="N125" s="83" t="str">
        <f aca="false">IFERROR(IF(INDEX(원자료_시장!$A$1:$BZ$1000,설정!$L$6+ROW()-1,설정!$L$36)&amp;""="0","",INDEX(원자료_시장!$A$1:$BZ$1000,설정!$L$6+ROW()-1,설정!$L$36)),"")</f>
        <v>미국</v>
      </c>
      <c r="O125" s="43" t="str">
        <f aca="false">IF($A125="","",UPPER(LEFT($A125,FIND(" ",$A125&amp;" ")-1)))</f>
        <v>T</v>
      </c>
      <c r="P125" s="43" t="str">
        <f aca="false">IF($A125="","",TRIM(RIGHT(SUBSTITUTE(TRIM($A125)," ",REPT(" ",30)),30)))</f>
        <v>09/30/32</v>
      </c>
      <c r="Q125" s="98" t="n">
        <f aca="false">IF($A125="","",IFERROR(DATE(IF(LEN(P125)=8,2000+VALUE(RIGHT(P125,2)),VALUE(RIGHT(P125,4))),VALUE(LEFT(P125,2)),VALUE(MID(P125,4,2))),""))</f>
        <v>48487</v>
      </c>
      <c r="R125" s="89" t="n">
        <f aca="false">IF($A125="",0,IF(ISNUMBER(SEARCH("Float",$A125)),1,0))</f>
        <v>0</v>
      </c>
      <c r="S125" s="43" t="str">
        <f aca="false">IF($A125="","",TRIM(MID($A125,LEN(O125)+2,LEN($A125)-LEN(O125)-LEN(P125)-1)))</f>
        <v>3 7/8</v>
      </c>
      <c r="T125" s="92" t="n">
        <f aca="false">IF(OR($A125="",R125=1),"",IFERROR(IF(ISNUMBER(FIND("/",S125)),IF(ISNUMBER(FIND(" ",S125)),VALUE(LEFT(S125,FIND(" ",S125)-1))+VALUE(MID(S125,FIND(" ",S125)+1,FIND("/",S125)-FIND(" ",S125)-1))/VALUE(MID(S125,FIND("/",S125)+1,9)),VALUE(LEFT(S125,FIND("/",S125)-1))/VALUE(MID(S125,FIND("/",S125)+1,9))),VALUE(S125)),""))</f>
        <v>3.875</v>
      </c>
      <c r="U125" s="43" t="str">
        <f aca="false">IF(OR($A125="",NOT(ISNUMBER(Q125))),"",TEXT(Q125,"yyyymmdd")&amp;"|"&amp;IF(R125=1,"F",TEXT(T125,"0.000")))</f>
        <v>20320930|3.875</v>
      </c>
      <c r="V125" s="43" t="str">
        <f aca="false">IF(U125="","",O125&amp;"|"&amp;U125)</f>
        <v>T|20320930|3.875</v>
      </c>
      <c r="W125" s="43" t="str">
        <f aca="false">IF($A125="","",IFERROR(IF(VLOOKUP(O125,매핑!$A$4:$E$92,3,0)="","미분류",VLOOKUP(O125,매핑!$A$4:$E$92,3,0)),"미분류"))</f>
        <v>미국</v>
      </c>
      <c r="X125" s="89" t="n">
        <f aca="false">IF($A125="",0,IF(O125="T",1,0))</f>
        <v>1</v>
      </c>
      <c r="Y125" s="89" t="n">
        <f aca="false">IF($A125="",0,IF(AND(C125="USD",X125=0,ISNUMBER(E125),ISNUMBER(K125)),IF(K125&gt;=설정!$C$8,1,0),0))</f>
        <v>0</v>
      </c>
      <c r="Z125" s="43" t="str">
        <f aca="false">IF($A125="","",N125&amp;"|"&amp;L125)</f>
        <v>미국|정부</v>
      </c>
      <c r="AA125" s="92" t="n">
        <f aca="false">IF(Y125=1,LN(K125),0)</f>
        <v>0</v>
      </c>
      <c r="AB125" s="93" t="n">
        <f aca="false">IF(Y125=1,E125,0)</f>
        <v>0</v>
      </c>
      <c r="AC125" s="89" t="n">
        <f aca="false">IF(Y125=1,COUNTIFS($Z$2:$Z$601,Z125,$Y$2:$Y$601,1),0)</f>
        <v>0</v>
      </c>
      <c r="AD125" s="89" t="n">
        <f aca="false">IF(Y125=1,COUNTIFS($N$2:$N$601,N125,$Y$2:$Y$601,1),0)</f>
        <v>0</v>
      </c>
      <c r="AE125" s="43" t="str">
        <f aca="false">IF(Y125&lt;&gt;1,"",IF(AND(AC125&gt;=설정!$C$7,ISNUMBER(MATCH(Z125,피어커브!$A:$A,0))),Z125,IF(AND(AD125&gt;=설정!$C$7,ISNUMBER(MATCH(N125&amp;"|전체",피어커브!$A:$A,0))),N125&amp;"|전체","전체|전체")))</f>
        <v/>
      </c>
      <c r="AF125" s="93" t="str">
        <f aca="false">IF(AE125="","",INDEX(피어커브!$K:$K,MATCH(AE125,피어커브!$A:$A,0)))</f>
        <v/>
      </c>
      <c r="AG125" s="93" t="str">
        <f aca="false">IF(AE125="","",INDEX(피어커브!$J:$J,MATCH(AE125,피어커브!$A:$A,0)))</f>
        <v/>
      </c>
      <c r="AH125" s="93" t="str">
        <f aca="false">IF(AE125="","",INDEX(피어커브!$L:$L,MATCH(AE125,피어커브!$A:$A,0)))</f>
        <v/>
      </c>
      <c r="AI125" s="93" t="str">
        <f aca="false">IF(AE125="","",AF125+AG125*AA125)</f>
        <v/>
      </c>
      <c r="AJ125" s="96" t="str">
        <f aca="false">IF(AE125="","",E125-AI125)</f>
        <v/>
      </c>
      <c r="AK125" s="95" t="str">
        <f aca="false">IF(AE125="","",IF(ISNUMBER(AH125),IF(AH125&gt;0,AJ125/AH125,""),""))</f>
        <v/>
      </c>
      <c r="AL125" s="43" t="str">
        <f aca="false">IF(AK125="","-",IF(AK125&gt;=설정!$C$6,"Cheap",IF(AK125&lt;=-설정!$C$6,"Rich","Fair")))</f>
        <v>-</v>
      </c>
      <c r="AM125" s="96" t="str">
        <f aca="false">IF(AE125="","",AJ125-AVERAGEIFS($AJ$2:$AJ$601,$B$2:$B$601,B125,$Y$2:$Y$601,1))</f>
        <v/>
      </c>
      <c r="AN125" s="93" t="n">
        <f aca="false">IF(AE125="",0,IF(K125&gt;1+설정!$C$8,AG125*(AA125-LN(K125-1)),0))</f>
        <v>0</v>
      </c>
      <c r="AO125" s="99" t="n">
        <f aca="false">IF($A125="",0,SUMIFS(보유분석!$AA$2:$AA$801,보유분석!$AB$2:$AB$801,ROW(),보유분석!$AC$2:$AC$801,1))</f>
        <v>0</v>
      </c>
      <c r="AP125" s="43" t="str">
        <f aca="false">IF($A125="","",TRIM(IF(R125=1,"FRN ","")&amp;IF(IFERROR(VLOOKUP(M125,설정!$A$15:$D$47,4,0),0)&gt;=10,IF(IFERROR(VLOOKUP(M125,설정!$A$15:$D$47,4,0),0)&lt;99,"BBB0미만 ",""),"")&amp;IF(OR(M125="",M125="NR"),"등급미입력 ","")&amp;IF(C125&lt;&gt;"USD","비USD ","")))</f>
        <v>등급미입력</v>
      </c>
      <c r="AQ125" s="90" t="n">
        <f aca="false">IF(AND(Y125=1,AL125="Cheap"),IF(AND(ISERROR(SEARCH("FRN",AP125)),ISERROR(SEARCH("BBB0미만",AP125))),AK125+ROW()/1000000000,-999),-999)</f>
        <v>-999</v>
      </c>
      <c r="AR125" s="92" t="n">
        <f aca="false">IF(AND(ISNUMBER(D125),ISNUMBER(K125)),D125+AN125*MAX(K125-1,0)/100,"")</f>
        <v>5.151</v>
      </c>
      <c r="AS125" s="93" t="n">
        <f aca="false">IF(AND(ISNUMBER(E125),ISNUMBER(K125)),IF(K125&gt;0,(E125+AN125*MAX(K125-1,0))/K125,""),"")</f>
        <v>-0.715108715852072</v>
      </c>
      <c r="AT125" s="90" t="n">
        <f aca="false">IFERROR(IF(AND(Y125=1,ROW()&lt;&gt;스왑분석!$C$12+1,ABS(K125-INDEX($K$2:$K$601,스왑분석!$C$12))&lt;=스왑분석!$C$5,ISERROR(SEARCH("FRN",AP125)),ISERROR(SEARCH("BBB0미만",AP125))),IF(AND(OR(스왑분석!$C$6="N",L125=INDEX($L$2:$L$601,스왑분석!$C$12)),OR(스왑분석!$C$7="N",N125=INDEX($N$2:$N$601,스왑분석!$C$12)),OR(스왑분석!$C$8="N",AO125=0),E125-INDEX($E$2:$E$601,스왑분석!$C$12)&gt;=스왑분석!$C$9),E125-INDEX($E$2:$E$601,스왑분석!$C$12)+ROW()/1000000000,-999),-999),-999)</f>
        <v>-999</v>
      </c>
      <c r="AU125" s="90" t="n">
        <f aca="false">IF(AND(Y125=1,AO125&gt;0,AL125="Rich"),-AK125+ROW()/1000000000,-999)</f>
        <v>-999</v>
      </c>
    </row>
    <row r="126" customFormat="false" ht="15" hidden="false" customHeight="false" outlineLevel="0" collapsed="false">
      <c r="A126" s="83" t="str">
        <f aca="false">IFERROR(IF(INDEX(원자료_시장!$A$1:$BZ$1000,설정!$L$6+ROW()-1,설정!$L$24)&amp;""="0","",INDEX(원자료_시장!$A$1:$BZ$1000,설정!$L$6+ROW()-1,설정!$L$24)),"")</f>
        <v>T 3 3/4 11/30/32</v>
      </c>
      <c r="B126" s="83" t="str">
        <f aca="false">IFERROR(IF(INDEX(원자료_시장!$A$1:$BZ$1000,설정!$L$6+ROW()-1,설정!$L$37)&amp;""="0","",INDEX(원자료_시장!$A$1:$BZ$1000,설정!$L$6+ROW()-1,설정!$L$37)),"")</f>
        <v>US TREASURY N/B</v>
      </c>
      <c r="C126" s="83" t="str">
        <f aca="false">IFERROR(IF(INDEX(원자료_시장!$A$1:$BZ$1000,설정!$L$6+ROW()-1,설정!$L$25)&amp;""="0","",INDEX(원자료_시장!$A$1:$BZ$1000,설정!$L$6+ROW()-1,설정!$L$25)),"")</f>
        <v>USD</v>
      </c>
      <c r="D126" s="85" t="n">
        <f aca="false">IFERROR(IF(ISNUMBER(INDEX(원자료_시장!$A$1:$BZ$1000,설정!$L$6+ROW()-1,설정!$L$26)),INDEX(원자료_시장!$A$1:$BZ$1000,설정!$L$6+ROW()-1,설정!$L$26),""),"")</f>
        <v>5.159</v>
      </c>
      <c r="E126" s="97" t="n">
        <f aca="false">IFERROR(IF(ISNUMBER(INDEX(원자료_시장!$A$1:$BZ$1000,설정!$L$6+ROW()-1,설정!$L$27)),INDEX(원자료_시장!$A$1:$BZ$1000,설정!$L$6+ROW()-1,설정!$L$27),""),"")</f>
        <v>-3.054</v>
      </c>
      <c r="F126" s="97" t="n">
        <f aca="false">IFERROR(IF(ISNUMBER(INDEX(원자료_시장!$A$1:$BZ$1000,설정!$L$6+ROW()-1,설정!$L$28)),INDEX(원자료_시장!$A$1:$BZ$1000,설정!$L$6+ROW()-1,설정!$L$28),""),"")</f>
        <v>38.894</v>
      </c>
      <c r="G126" s="97" t="n">
        <f aca="false">IFERROR(IF(ISNUMBER(INDEX(원자료_시장!$A$1:$BZ$1000,설정!$L$6+ROW()-1,설정!$L$29)),INDEX(원자료_시장!$A$1:$BZ$1000,설정!$L$6+ROW()-1,설정!$L$29),""),"")</f>
        <v>-0.2</v>
      </c>
      <c r="H126" s="97" t="n">
        <f aca="false">IFERROR(IF(ISNUMBER(INDEX(원자료_시장!$A$1:$BZ$1000,설정!$L$6+ROW()-1,설정!$L$30)),INDEX(원자료_시장!$A$1:$BZ$1000,설정!$L$6+ROW()-1,설정!$L$30),""),"")</f>
        <v>-1.7</v>
      </c>
      <c r="I126" s="97" t="n">
        <f aca="false">IFERROR(IF(ISNUMBER(INDEX(원자료_시장!$A$1:$BZ$1000,설정!$L$6+ROW()-1,설정!$L$31)),INDEX(원자료_시장!$A$1:$BZ$1000,설정!$L$6+ROW()-1,설정!$L$31),""),"")</f>
        <v>0.6</v>
      </c>
      <c r="J126" s="97" t="n">
        <f aca="false">IFERROR(IF(ISNUMBER(INDEX(원자료_시장!$A$1:$BZ$1000,설정!$L$6+ROW()-1,설정!$L$32)),INDEX(원자료_시장!$A$1:$BZ$1000,설정!$L$6+ROW()-1,설정!$L$32),""),"")</f>
        <v>0</v>
      </c>
      <c r="K126" s="85" t="n">
        <f aca="false">IFERROR(IF(ISNUMBER(INDEX(원자료_시장!$A$1:$BZ$1000,설정!$L$6+ROW()-1,설정!$L$33)),INDEX(원자료_시장!$A$1:$BZ$1000,설정!$L$6+ROW()-1,설정!$L$33),""),"")</f>
        <v>5.456</v>
      </c>
      <c r="L126" s="83" t="str">
        <f aca="false">IFERROR(IF(INDEX(원자료_시장!$A$1:$BZ$1000,설정!$L$6+ROW()-1,설정!$L$34)&amp;""="0","",INDEX(원자료_시장!$A$1:$BZ$1000,설정!$L$6+ROW()-1,설정!$L$34)),"")</f>
        <v>정부</v>
      </c>
      <c r="M126" s="83" t="n">
        <f aca="false">IFERROR(IF(INDEX(원자료_시장!$A$1:$BZ$1000,설정!$L$6+ROW()-1,설정!$L$35)&amp;""="0","",INDEX(원자료_시장!$A$1:$BZ$1000,설정!$L$6+ROW()-1,설정!$L$35)),"")</f>
        <v>0</v>
      </c>
      <c r="N126" s="83" t="str">
        <f aca="false">IFERROR(IF(INDEX(원자료_시장!$A$1:$BZ$1000,설정!$L$6+ROW()-1,설정!$L$36)&amp;""="0","",INDEX(원자료_시장!$A$1:$BZ$1000,설정!$L$6+ROW()-1,설정!$L$36)),"")</f>
        <v>미국</v>
      </c>
      <c r="O126" s="43" t="str">
        <f aca="false">IF($A126="","",UPPER(LEFT($A126,FIND(" ",$A126&amp;" ")-1)))</f>
        <v>T</v>
      </c>
      <c r="P126" s="43" t="str">
        <f aca="false">IF($A126="","",TRIM(RIGHT(SUBSTITUTE(TRIM($A126)," ",REPT(" ",30)),30)))</f>
        <v>11/30/32</v>
      </c>
      <c r="Q126" s="98" t="n">
        <f aca="false">IF($A126="","",IFERROR(DATE(IF(LEN(P126)=8,2000+VALUE(RIGHT(P126,2)),VALUE(RIGHT(P126,4))),VALUE(LEFT(P126,2)),VALUE(MID(P126,4,2))),""))</f>
        <v>48548</v>
      </c>
      <c r="R126" s="89" t="n">
        <f aca="false">IF($A126="",0,IF(ISNUMBER(SEARCH("Float",$A126)),1,0))</f>
        <v>0</v>
      </c>
      <c r="S126" s="43" t="str">
        <f aca="false">IF($A126="","",TRIM(MID($A126,LEN(O126)+2,LEN($A126)-LEN(O126)-LEN(P126)-1)))</f>
        <v>3 3/4</v>
      </c>
      <c r="T126" s="92" t="n">
        <f aca="false">IF(OR($A126="",R126=1),"",IFERROR(IF(ISNUMBER(FIND("/",S126)),IF(ISNUMBER(FIND(" ",S126)),VALUE(LEFT(S126,FIND(" ",S126)-1))+VALUE(MID(S126,FIND(" ",S126)+1,FIND("/",S126)-FIND(" ",S126)-1))/VALUE(MID(S126,FIND("/",S126)+1,9)),VALUE(LEFT(S126,FIND("/",S126)-1))/VALUE(MID(S126,FIND("/",S126)+1,9))),VALUE(S126)),""))</f>
        <v>3.75</v>
      </c>
      <c r="U126" s="43" t="str">
        <f aca="false">IF(OR($A126="",NOT(ISNUMBER(Q126))),"",TEXT(Q126,"yyyymmdd")&amp;"|"&amp;IF(R126=1,"F",TEXT(T126,"0.000")))</f>
        <v>20321130|3.750</v>
      </c>
      <c r="V126" s="43" t="str">
        <f aca="false">IF(U126="","",O126&amp;"|"&amp;U126)</f>
        <v>T|20321130|3.750</v>
      </c>
      <c r="W126" s="43" t="str">
        <f aca="false">IF($A126="","",IFERROR(IF(VLOOKUP(O126,매핑!$A$4:$E$92,3,0)="","미분류",VLOOKUP(O126,매핑!$A$4:$E$92,3,0)),"미분류"))</f>
        <v>미국</v>
      </c>
      <c r="X126" s="89" t="n">
        <f aca="false">IF($A126="",0,IF(O126="T",1,0))</f>
        <v>1</v>
      </c>
      <c r="Y126" s="89" t="n">
        <f aca="false">IF($A126="",0,IF(AND(C126="USD",X126=0,ISNUMBER(E126),ISNUMBER(K126)),IF(K126&gt;=설정!$C$8,1,0),0))</f>
        <v>0</v>
      </c>
      <c r="Z126" s="43" t="str">
        <f aca="false">IF($A126="","",N126&amp;"|"&amp;L126)</f>
        <v>미국|정부</v>
      </c>
      <c r="AA126" s="92" t="n">
        <f aca="false">IF(Y126=1,LN(K126),0)</f>
        <v>0</v>
      </c>
      <c r="AB126" s="93" t="n">
        <f aca="false">IF(Y126=1,E126,0)</f>
        <v>0</v>
      </c>
      <c r="AC126" s="89" t="n">
        <f aca="false">IF(Y126=1,COUNTIFS($Z$2:$Z$601,Z126,$Y$2:$Y$601,1),0)</f>
        <v>0</v>
      </c>
      <c r="AD126" s="89" t="n">
        <f aca="false">IF(Y126=1,COUNTIFS($N$2:$N$601,N126,$Y$2:$Y$601,1),0)</f>
        <v>0</v>
      </c>
      <c r="AE126" s="43" t="str">
        <f aca="false">IF(Y126&lt;&gt;1,"",IF(AND(AC126&gt;=설정!$C$7,ISNUMBER(MATCH(Z126,피어커브!$A:$A,0))),Z126,IF(AND(AD126&gt;=설정!$C$7,ISNUMBER(MATCH(N126&amp;"|전체",피어커브!$A:$A,0))),N126&amp;"|전체","전체|전체")))</f>
        <v/>
      </c>
      <c r="AF126" s="93" t="str">
        <f aca="false">IF(AE126="","",INDEX(피어커브!$K:$K,MATCH(AE126,피어커브!$A:$A,0)))</f>
        <v/>
      </c>
      <c r="AG126" s="93" t="str">
        <f aca="false">IF(AE126="","",INDEX(피어커브!$J:$J,MATCH(AE126,피어커브!$A:$A,0)))</f>
        <v/>
      </c>
      <c r="AH126" s="93" t="str">
        <f aca="false">IF(AE126="","",INDEX(피어커브!$L:$L,MATCH(AE126,피어커브!$A:$A,0)))</f>
        <v/>
      </c>
      <c r="AI126" s="93" t="str">
        <f aca="false">IF(AE126="","",AF126+AG126*AA126)</f>
        <v/>
      </c>
      <c r="AJ126" s="96" t="str">
        <f aca="false">IF(AE126="","",E126-AI126)</f>
        <v/>
      </c>
      <c r="AK126" s="95" t="str">
        <f aca="false">IF(AE126="","",IF(ISNUMBER(AH126),IF(AH126&gt;0,AJ126/AH126,""),""))</f>
        <v/>
      </c>
      <c r="AL126" s="43" t="str">
        <f aca="false">IF(AK126="","-",IF(AK126&gt;=설정!$C$6,"Cheap",IF(AK126&lt;=-설정!$C$6,"Rich","Fair")))</f>
        <v>-</v>
      </c>
      <c r="AM126" s="96" t="str">
        <f aca="false">IF(AE126="","",AJ126-AVERAGEIFS($AJ$2:$AJ$601,$B$2:$B$601,B126,$Y$2:$Y$601,1))</f>
        <v/>
      </c>
      <c r="AN126" s="93" t="n">
        <f aca="false">IF(AE126="",0,IF(K126&gt;1+설정!$C$8,AG126*(AA126-LN(K126-1)),0))</f>
        <v>0</v>
      </c>
      <c r="AO126" s="99" t="n">
        <f aca="false">IF($A126="",0,SUMIFS(보유분석!$AA$2:$AA$801,보유분석!$AB$2:$AB$801,ROW(),보유분석!$AC$2:$AC$801,1))</f>
        <v>0</v>
      </c>
      <c r="AP126" s="43" t="str">
        <f aca="false">IF($A126="","",TRIM(IF(R126=1,"FRN ","")&amp;IF(IFERROR(VLOOKUP(M126,설정!$A$15:$D$47,4,0),0)&gt;=10,IF(IFERROR(VLOOKUP(M126,설정!$A$15:$D$47,4,0),0)&lt;99,"BBB0미만 ",""),"")&amp;IF(OR(M126="",M126="NR"),"등급미입력 ","")&amp;IF(C126&lt;&gt;"USD","비USD ","")))</f>
        <v>등급미입력</v>
      </c>
      <c r="AQ126" s="90" t="n">
        <f aca="false">IF(AND(Y126=1,AL126="Cheap"),IF(AND(ISERROR(SEARCH("FRN",AP126)),ISERROR(SEARCH("BBB0미만",AP126))),AK126+ROW()/1000000000,-999),-999)</f>
        <v>-999</v>
      </c>
      <c r="AR126" s="92" t="n">
        <f aca="false">IF(AND(ISNUMBER(D126),ISNUMBER(K126)),D126+AN126*MAX(K126-1,0)/100,"")</f>
        <v>5.159</v>
      </c>
      <c r="AS126" s="93" t="n">
        <f aca="false">IF(AND(ISNUMBER(E126),ISNUMBER(K126)),IF(K126&gt;0,(E126+AN126*MAX(K126-1,0))/K126,""),"")</f>
        <v>-0.55975073313783</v>
      </c>
      <c r="AT126" s="90" t="n">
        <f aca="false">IFERROR(IF(AND(Y126=1,ROW()&lt;&gt;스왑분석!$C$12+1,ABS(K126-INDEX($K$2:$K$601,스왑분석!$C$12))&lt;=스왑분석!$C$5,ISERROR(SEARCH("FRN",AP126)),ISERROR(SEARCH("BBB0미만",AP126))),IF(AND(OR(스왑분석!$C$6="N",L126=INDEX($L$2:$L$601,스왑분석!$C$12)),OR(스왑분석!$C$7="N",N126=INDEX($N$2:$N$601,스왑분석!$C$12)),OR(스왑분석!$C$8="N",AO126=0),E126-INDEX($E$2:$E$601,스왑분석!$C$12)&gt;=스왑분석!$C$9),E126-INDEX($E$2:$E$601,스왑분석!$C$12)+ROW()/1000000000,-999),-999),-999)</f>
        <v>-999</v>
      </c>
      <c r="AU126" s="90" t="n">
        <f aca="false">IF(AND(Y126=1,AO126&gt;0,AL126="Rich"),-AK126+ROW()/1000000000,-999)</f>
        <v>-999</v>
      </c>
    </row>
    <row r="127" customFormat="false" ht="15" hidden="false" customHeight="false" outlineLevel="0" collapsed="false">
      <c r="A127" s="83" t="str">
        <f aca="false">IFERROR(IF(INDEX(원자료_시장!$A$1:$BZ$1000,설정!$L$6+ROW()-1,설정!$L$24)&amp;""="0","",INDEX(원자료_시장!$A$1:$BZ$1000,설정!$L$6+ROW()-1,설정!$L$24)),"")</f>
        <v>T 4 1/8 02/15/36</v>
      </c>
      <c r="B127" s="83" t="str">
        <f aca="false">IFERROR(IF(INDEX(원자료_시장!$A$1:$BZ$1000,설정!$L$6+ROW()-1,설정!$L$37)&amp;""="0","",INDEX(원자료_시장!$A$1:$BZ$1000,설정!$L$6+ROW()-1,설정!$L$37)),"")</f>
        <v>US TREASURY N/B</v>
      </c>
      <c r="C127" s="83" t="str">
        <f aca="false">IFERROR(IF(INDEX(원자료_시장!$A$1:$BZ$1000,설정!$L$6+ROW()-1,설정!$L$25)&amp;""="0","",INDEX(원자료_시장!$A$1:$BZ$1000,설정!$L$6+ROW()-1,설정!$L$25)),"")</f>
        <v>USD</v>
      </c>
      <c r="D127" s="85" t="n">
        <f aca="false">IFERROR(IF(ISNUMBER(INDEX(원자료_시장!$A$1:$BZ$1000,설정!$L$6+ROW()-1,설정!$L$26)),INDEX(원자료_시장!$A$1:$BZ$1000,설정!$L$6+ROW()-1,설정!$L$26),""),"")</f>
        <v>5.282</v>
      </c>
      <c r="E127" s="97" t="n">
        <f aca="false">IFERROR(IF(ISNUMBER(INDEX(원자료_시장!$A$1:$BZ$1000,설정!$L$6+ROW()-1,설정!$L$27)),INDEX(원자료_시장!$A$1:$BZ$1000,설정!$L$6+ROW()-1,설정!$L$27),""),"")</f>
        <v>-0.532</v>
      </c>
      <c r="F127" s="97" t="n">
        <f aca="false">IFERROR(IF(ISNUMBER(INDEX(원자료_시장!$A$1:$BZ$1000,설정!$L$6+ROW()-1,설정!$L$28)),INDEX(원자료_시장!$A$1:$BZ$1000,설정!$L$6+ROW()-1,설정!$L$28),""),"")</f>
        <v>45.618</v>
      </c>
      <c r="G127" s="97" t="n">
        <f aca="false">IFERROR(IF(ISNUMBER(INDEX(원자료_시장!$A$1:$BZ$1000,설정!$L$6+ROW()-1,설정!$L$29)),INDEX(원자료_시장!$A$1:$BZ$1000,설정!$L$6+ROW()-1,설정!$L$29),""),"")</f>
        <v>0</v>
      </c>
      <c r="H127" s="97" t="n">
        <f aca="false">IFERROR(IF(ISNUMBER(INDEX(원자료_시장!$A$1:$BZ$1000,설정!$L$6+ROW()-1,설정!$L$30)),INDEX(원자료_시장!$A$1:$BZ$1000,설정!$L$6+ROW()-1,설정!$L$30),""),"")</f>
        <v>-0.2</v>
      </c>
      <c r="I127" s="97" t="n">
        <f aca="false">IFERROR(IF(ISNUMBER(INDEX(원자료_시장!$A$1:$BZ$1000,설정!$L$6+ROW()-1,설정!$L$31)),INDEX(원자료_시장!$A$1:$BZ$1000,설정!$L$6+ROW()-1,설정!$L$31),""),"")</f>
        <v>0.9</v>
      </c>
      <c r="J127" s="97" t="n">
        <f aca="false">IFERROR(IF(ISNUMBER(INDEX(원자료_시장!$A$1:$BZ$1000,설정!$L$6+ROW()-1,설정!$L$32)),INDEX(원자료_시장!$A$1:$BZ$1000,설정!$L$6+ROW()-1,설정!$L$32),""),"")</f>
        <v>0</v>
      </c>
      <c r="K127" s="85" t="n">
        <f aca="false">IFERROR(IF(ISNUMBER(INDEX(원자료_시장!$A$1:$BZ$1000,설정!$L$6+ROW()-1,설정!$L$33)),INDEX(원자료_시장!$A$1:$BZ$1000,설정!$L$6+ROW()-1,설정!$L$33),""),"")</f>
        <v>7.739</v>
      </c>
      <c r="L127" s="83" t="str">
        <f aca="false">IFERROR(IF(INDEX(원자료_시장!$A$1:$BZ$1000,설정!$L$6+ROW()-1,설정!$L$34)&amp;""="0","",INDEX(원자료_시장!$A$1:$BZ$1000,설정!$L$6+ROW()-1,설정!$L$34)),"")</f>
        <v>정부</v>
      </c>
      <c r="M127" s="83" t="n">
        <f aca="false">IFERROR(IF(INDEX(원자료_시장!$A$1:$BZ$1000,설정!$L$6+ROW()-1,설정!$L$35)&amp;""="0","",INDEX(원자료_시장!$A$1:$BZ$1000,설정!$L$6+ROW()-1,설정!$L$35)),"")</f>
        <v>0</v>
      </c>
      <c r="N127" s="83" t="str">
        <f aca="false">IFERROR(IF(INDEX(원자료_시장!$A$1:$BZ$1000,설정!$L$6+ROW()-1,설정!$L$36)&amp;""="0","",INDEX(원자료_시장!$A$1:$BZ$1000,설정!$L$6+ROW()-1,설정!$L$36)),"")</f>
        <v>미국</v>
      </c>
      <c r="O127" s="43" t="str">
        <f aca="false">IF($A127="","",UPPER(LEFT($A127,FIND(" ",$A127&amp;" ")-1)))</f>
        <v>T</v>
      </c>
      <c r="P127" s="43" t="str">
        <f aca="false">IF($A127="","",TRIM(RIGHT(SUBSTITUTE(TRIM($A127)," ",REPT(" ",30)),30)))</f>
        <v>02/15/36</v>
      </c>
      <c r="Q127" s="98" t="n">
        <f aca="false">IF($A127="","",IFERROR(DATE(IF(LEN(P127)=8,2000+VALUE(RIGHT(P127,2)),VALUE(RIGHT(P127,4))),VALUE(LEFT(P127,2)),VALUE(MID(P127,4,2))),""))</f>
        <v>49720</v>
      </c>
      <c r="R127" s="89" t="n">
        <f aca="false">IF($A127="",0,IF(ISNUMBER(SEARCH("Float",$A127)),1,0))</f>
        <v>0</v>
      </c>
      <c r="S127" s="43" t="str">
        <f aca="false">IF($A127="","",TRIM(MID($A127,LEN(O127)+2,LEN($A127)-LEN(O127)-LEN(P127)-1)))</f>
        <v>4 1/8</v>
      </c>
      <c r="T127" s="92" t="n">
        <f aca="false">IF(OR($A127="",R127=1),"",IFERROR(IF(ISNUMBER(FIND("/",S127)),IF(ISNUMBER(FIND(" ",S127)),VALUE(LEFT(S127,FIND(" ",S127)-1))+VALUE(MID(S127,FIND(" ",S127)+1,FIND("/",S127)-FIND(" ",S127)-1))/VALUE(MID(S127,FIND("/",S127)+1,9)),VALUE(LEFT(S127,FIND("/",S127)-1))/VALUE(MID(S127,FIND("/",S127)+1,9))),VALUE(S127)),""))</f>
        <v>4.125</v>
      </c>
      <c r="U127" s="43" t="str">
        <f aca="false">IF(OR($A127="",NOT(ISNUMBER(Q127))),"",TEXT(Q127,"yyyymmdd")&amp;"|"&amp;IF(R127=1,"F",TEXT(T127,"0.000")))</f>
        <v>20360215|4.125</v>
      </c>
      <c r="V127" s="43" t="str">
        <f aca="false">IF(U127="","",O127&amp;"|"&amp;U127)</f>
        <v>T|20360215|4.125</v>
      </c>
      <c r="W127" s="43" t="str">
        <f aca="false">IF($A127="","",IFERROR(IF(VLOOKUP(O127,매핑!$A$4:$E$92,3,0)="","미분류",VLOOKUP(O127,매핑!$A$4:$E$92,3,0)),"미분류"))</f>
        <v>미국</v>
      </c>
      <c r="X127" s="89" t="n">
        <f aca="false">IF($A127="",0,IF(O127="T",1,0))</f>
        <v>1</v>
      </c>
      <c r="Y127" s="89" t="n">
        <f aca="false">IF($A127="",0,IF(AND(C127="USD",X127=0,ISNUMBER(E127),ISNUMBER(K127)),IF(K127&gt;=설정!$C$8,1,0),0))</f>
        <v>0</v>
      </c>
      <c r="Z127" s="43" t="str">
        <f aca="false">IF($A127="","",N127&amp;"|"&amp;L127)</f>
        <v>미국|정부</v>
      </c>
      <c r="AA127" s="92" t="n">
        <f aca="false">IF(Y127=1,LN(K127),0)</f>
        <v>0</v>
      </c>
      <c r="AB127" s="93" t="n">
        <f aca="false">IF(Y127=1,E127,0)</f>
        <v>0</v>
      </c>
      <c r="AC127" s="89" t="n">
        <f aca="false">IF(Y127=1,COUNTIFS($Z$2:$Z$601,Z127,$Y$2:$Y$601,1),0)</f>
        <v>0</v>
      </c>
      <c r="AD127" s="89" t="n">
        <f aca="false">IF(Y127=1,COUNTIFS($N$2:$N$601,N127,$Y$2:$Y$601,1),0)</f>
        <v>0</v>
      </c>
      <c r="AE127" s="43" t="str">
        <f aca="false">IF(Y127&lt;&gt;1,"",IF(AND(AC127&gt;=설정!$C$7,ISNUMBER(MATCH(Z127,피어커브!$A:$A,0))),Z127,IF(AND(AD127&gt;=설정!$C$7,ISNUMBER(MATCH(N127&amp;"|전체",피어커브!$A:$A,0))),N127&amp;"|전체","전체|전체")))</f>
        <v/>
      </c>
      <c r="AF127" s="93" t="str">
        <f aca="false">IF(AE127="","",INDEX(피어커브!$K:$K,MATCH(AE127,피어커브!$A:$A,0)))</f>
        <v/>
      </c>
      <c r="AG127" s="93" t="str">
        <f aca="false">IF(AE127="","",INDEX(피어커브!$J:$J,MATCH(AE127,피어커브!$A:$A,0)))</f>
        <v/>
      </c>
      <c r="AH127" s="93" t="str">
        <f aca="false">IF(AE127="","",INDEX(피어커브!$L:$L,MATCH(AE127,피어커브!$A:$A,0)))</f>
        <v/>
      </c>
      <c r="AI127" s="93" t="str">
        <f aca="false">IF(AE127="","",AF127+AG127*AA127)</f>
        <v/>
      </c>
      <c r="AJ127" s="96" t="str">
        <f aca="false">IF(AE127="","",E127-AI127)</f>
        <v/>
      </c>
      <c r="AK127" s="95" t="str">
        <f aca="false">IF(AE127="","",IF(ISNUMBER(AH127),IF(AH127&gt;0,AJ127/AH127,""),""))</f>
        <v/>
      </c>
      <c r="AL127" s="43" t="str">
        <f aca="false">IF(AK127="","-",IF(AK127&gt;=설정!$C$6,"Cheap",IF(AK127&lt;=-설정!$C$6,"Rich","Fair")))</f>
        <v>-</v>
      </c>
      <c r="AM127" s="96" t="str">
        <f aca="false">IF(AE127="","",AJ127-AVERAGEIFS($AJ$2:$AJ$601,$B$2:$B$601,B127,$Y$2:$Y$601,1))</f>
        <v/>
      </c>
      <c r="AN127" s="93" t="n">
        <f aca="false">IF(AE127="",0,IF(K127&gt;1+설정!$C$8,AG127*(AA127-LN(K127-1)),0))</f>
        <v>0</v>
      </c>
      <c r="AO127" s="99" t="n">
        <f aca="false">IF($A127="",0,SUMIFS(보유분석!$AA$2:$AA$801,보유분석!$AB$2:$AB$801,ROW(),보유분석!$AC$2:$AC$801,1))</f>
        <v>0</v>
      </c>
      <c r="AP127" s="43" t="str">
        <f aca="false">IF($A127="","",TRIM(IF(R127=1,"FRN ","")&amp;IF(IFERROR(VLOOKUP(M127,설정!$A$15:$D$47,4,0),0)&gt;=10,IF(IFERROR(VLOOKUP(M127,설정!$A$15:$D$47,4,0),0)&lt;99,"BBB0미만 ",""),"")&amp;IF(OR(M127="",M127="NR"),"등급미입력 ","")&amp;IF(C127&lt;&gt;"USD","비USD ","")))</f>
        <v>등급미입력</v>
      </c>
      <c r="AQ127" s="90" t="n">
        <f aca="false">IF(AND(Y127=1,AL127="Cheap"),IF(AND(ISERROR(SEARCH("FRN",AP127)),ISERROR(SEARCH("BBB0미만",AP127))),AK127+ROW()/1000000000,-999),-999)</f>
        <v>-999</v>
      </c>
      <c r="AR127" s="92" t="n">
        <f aca="false">IF(AND(ISNUMBER(D127),ISNUMBER(K127)),D127+AN127*MAX(K127-1,0)/100,"")</f>
        <v>5.282</v>
      </c>
      <c r="AS127" s="93" t="n">
        <f aca="false">IF(AND(ISNUMBER(E127),ISNUMBER(K127)),IF(K127&gt;0,(E127+AN127*MAX(K127-1,0))/K127,""),"")</f>
        <v>-0.0687427316190722</v>
      </c>
      <c r="AT127" s="90" t="n">
        <f aca="false">IFERROR(IF(AND(Y127=1,ROW()&lt;&gt;스왑분석!$C$12+1,ABS(K127-INDEX($K$2:$K$601,스왑분석!$C$12))&lt;=스왑분석!$C$5,ISERROR(SEARCH("FRN",AP127)),ISERROR(SEARCH("BBB0미만",AP127))),IF(AND(OR(스왑분석!$C$6="N",L127=INDEX($L$2:$L$601,스왑분석!$C$12)),OR(스왑분석!$C$7="N",N127=INDEX($N$2:$N$601,스왑분석!$C$12)),OR(스왑분석!$C$8="N",AO127=0),E127-INDEX($E$2:$E$601,스왑분석!$C$12)&gt;=스왑분석!$C$9),E127-INDEX($E$2:$E$601,스왑분석!$C$12)+ROW()/1000000000,-999),-999),-999)</f>
        <v>-999</v>
      </c>
      <c r="AU127" s="90" t="n">
        <f aca="false">IF(AND(Y127=1,AO127&gt;0,AL127="Rich"),-AK127+ROW()/1000000000,-999)</f>
        <v>-999</v>
      </c>
    </row>
    <row r="128" customFormat="false" ht="15" hidden="false" customHeight="false" outlineLevel="0" collapsed="false">
      <c r="A128" s="83" t="str">
        <f aca="false">IFERROR(IF(INDEX(원자료_시장!$A$1:$BZ$1000,설정!$L$6+ROW()-1,설정!$L$24)&amp;""="0","",INDEX(원자료_시장!$A$1:$BZ$1000,설정!$L$6+ROW()-1,설정!$L$24)),"")</f>
        <v>T 4 3/8 05/15/36</v>
      </c>
      <c r="B128" s="83" t="str">
        <f aca="false">IFERROR(IF(INDEX(원자료_시장!$A$1:$BZ$1000,설정!$L$6+ROW()-1,설정!$L$37)&amp;""="0","",INDEX(원자료_시장!$A$1:$BZ$1000,설정!$L$6+ROW()-1,설정!$L$37)),"")</f>
        <v>US TREASURY N/B</v>
      </c>
      <c r="C128" s="83" t="str">
        <f aca="false">IFERROR(IF(INDEX(원자료_시장!$A$1:$BZ$1000,설정!$L$6+ROW()-1,설정!$L$25)&amp;""="0","",INDEX(원자료_시장!$A$1:$BZ$1000,설정!$L$6+ROW()-1,설정!$L$25)),"")</f>
        <v>USD</v>
      </c>
      <c r="D128" s="85" t="n">
        <f aca="false">IFERROR(IF(ISNUMBER(INDEX(원자료_시장!$A$1:$BZ$1000,설정!$L$6+ROW()-1,설정!$L$26)),INDEX(원자료_시장!$A$1:$BZ$1000,설정!$L$6+ROW()-1,설정!$L$26),""),"")</f>
        <v>5.287</v>
      </c>
      <c r="E128" s="97" t="n">
        <f aca="false">IFERROR(IF(ISNUMBER(INDEX(원자료_시장!$A$1:$BZ$1000,설정!$L$6+ROW()-1,설정!$L$27)),INDEX(원자료_시장!$A$1:$BZ$1000,설정!$L$6+ROW()-1,설정!$L$27),""),"")</f>
        <v>-0.024</v>
      </c>
      <c r="F128" s="97" t="n">
        <f aca="false">IFERROR(IF(ISNUMBER(INDEX(원자료_시장!$A$1:$BZ$1000,설정!$L$6+ROW()-1,설정!$L$28)),INDEX(원자료_시장!$A$1:$BZ$1000,설정!$L$6+ROW()-1,설정!$L$28),""),"")</f>
        <v>45.622</v>
      </c>
      <c r="G128" s="97" t="n">
        <f aca="false">IFERROR(IF(ISNUMBER(INDEX(원자료_시장!$A$1:$BZ$1000,설정!$L$6+ROW()-1,설정!$L$29)),INDEX(원자료_시장!$A$1:$BZ$1000,설정!$L$6+ROW()-1,설정!$L$29),""),"")</f>
        <v>0</v>
      </c>
      <c r="H128" s="97" t="n">
        <f aca="false">IFERROR(IF(ISNUMBER(INDEX(원자료_시장!$A$1:$BZ$1000,설정!$L$6+ROW()-1,설정!$L$30)),INDEX(원자료_시장!$A$1:$BZ$1000,설정!$L$6+ROW()-1,설정!$L$30),""),"")</f>
        <v>0.1</v>
      </c>
      <c r="I128" s="97" t="n">
        <f aca="false">IFERROR(IF(ISNUMBER(INDEX(원자료_시장!$A$1:$BZ$1000,설정!$L$6+ROW()-1,설정!$L$31)),INDEX(원자료_시장!$A$1:$BZ$1000,설정!$L$6+ROW()-1,설정!$L$31),""),"")</f>
        <v>0.7</v>
      </c>
      <c r="J128" s="97" t="n">
        <f aca="false">IFERROR(IF(ISNUMBER(INDEX(원자료_시장!$A$1:$BZ$1000,설정!$L$6+ROW()-1,설정!$L$32)),INDEX(원자료_시장!$A$1:$BZ$1000,설정!$L$6+ROW()-1,설정!$L$32),""),"")</f>
        <v>0</v>
      </c>
      <c r="K128" s="85" t="n">
        <f aca="false">IFERROR(IF(ISNUMBER(INDEX(원자료_시장!$A$1:$BZ$1000,설정!$L$6+ROW()-1,설정!$L$33)),INDEX(원자료_시장!$A$1:$BZ$1000,설정!$L$6+ROW()-1,설정!$L$33),""),"")</f>
        <v>7.745</v>
      </c>
      <c r="L128" s="83" t="str">
        <f aca="false">IFERROR(IF(INDEX(원자료_시장!$A$1:$BZ$1000,설정!$L$6+ROW()-1,설정!$L$34)&amp;""="0","",INDEX(원자료_시장!$A$1:$BZ$1000,설정!$L$6+ROW()-1,설정!$L$34)),"")</f>
        <v>정부</v>
      </c>
      <c r="M128" s="83" t="n">
        <f aca="false">IFERROR(IF(INDEX(원자료_시장!$A$1:$BZ$1000,설정!$L$6+ROW()-1,설정!$L$35)&amp;""="0","",INDEX(원자료_시장!$A$1:$BZ$1000,설정!$L$6+ROW()-1,설정!$L$35)),"")</f>
        <v>0</v>
      </c>
      <c r="N128" s="83" t="str">
        <f aca="false">IFERROR(IF(INDEX(원자료_시장!$A$1:$BZ$1000,설정!$L$6+ROW()-1,설정!$L$36)&amp;""="0","",INDEX(원자료_시장!$A$1:$BZ$1000,설정!$L$6+ROW()-1,설정!$L$36)),"")</f>
        <v>미국</v>
      </c>
      <c r="O128" s="43" t="str">
        <f aca="false">IF($A128="","",UPPER(LEFT($A128,FIND(" ",$A128&amp;" ")-1)))</f>
        <v>T</v>
      </c>
      <c r="P128" s="43" t="str">
        <f aca="false">IF($A128="","",TRIM(RIGHT(SUBSTITUTE(TRIM($A128)," ",REPT(" ",30)),30)))</f>
        <v>05/15/36</v>
      </c>
      <c r="Q128" s="98" t="n">
        <f aca="false">IF($A128="","",IFERROR(DATE(IF(LEN(P128)=8,2000+VALUE(RIGHT(P128,2)),VALUE(RIGHT(P128,4))),VALUE(LEFT(P128,2)),VALUE(MID(P128,4,2))),""))</f>
        <v>49810</v>
      </c>
      <c r="R128" s="89" t="n">
        <f aca="false">IF($A128="",0,IF(ISNUMBER(SEARCH("Float",$A128)),1,0))</f>
        <v>0</v>
      </c>
      <c r="S128" s="43" t="str">
        <f aca="false">IF($A128="","",TRIM(MID($A128,LEN(O128)+2,LEN($A128)-LEN(O128)-LEN(P128)-1)))</f>
        <v>4 3/8</v>
      </c>
      <c r="T128" s="92" t="n">
        <f aca="false">IF(OR($A128="",R128=1),"",IFERROR(IF(ISNUMBER(FIND("/",S128)),IF(ISNUMBER(FIND(" ",S128)),VALUE(LEFT(S128,FIND(" ",S128)-1))+VALUE(MID(S128,FIND(" ",S128)+1,FIND("/",S128)-FIND(" ",S128)-1))/VALUE(MID(S128,FIND("/",S128)+1,9)),VALUE(LEFT(S128,FIND("/",S128)-1))/VALUE(MID(S128,FIND("/",S128)+1,9))),VALUE(S128)),""))</f>
        <v>4.375</v>
      </c>
      <c r="U128" s="43" t="str">
        <f aca="false">IF(OR($A128="",NOT(ISNUMBER(Q128))),"",TEXT(Q128,"yyyymmdd")&amp;"|"&amp;IF(R128=1,"F",TEXT(T128,"0.000")))</f>
        <v>20360515|4.375</v>
      </c>
      <c r="V128" s="43" t="str">
        <f aca="false">IF(U128="","",O128&amp;"|"&amp;U128)</f>
        <v>T|20360515|4.375</v>
      </c>
      <c r="W128" s="43" t="str">
        <f aca="false">IF($A128="","",IFERROR(IF(VLOOKUP(O128,매핑!$A$4:$E$92,3,0)="","미분류",VLOOKUP(O128,매핑!$A$4:$E$92,3,0)),"미분류"))</f>
        <v>미국</v>
      </c>
      <c r="X128" s="89" t="n">
        <f aca="false">IF($A128="",0,IF(O128="T",1,0))</f>
        <v>1</v>
      </c>
      <c r="Y128" s="89" t="n">
        <f aca="false">IF($A128="",0,IF(AND(C128="USD",X128=0,ISNUMBER(E128),ISNUMBER(K128)),IF(K128&gt;=설정!$C$8,1,0),0))</f>
        <v>0</v>
      </c>
      <c r="Z128" s="43" t="str">
        <f aca="false">IF($A128="","",N128&amp;"|"&amp;L128)</f>
        <v>미국|정부</v>
      </c>
      <c r="AA128" s="92" t="n">
        <f aca="false">IF(Y128=1,LN(K128),0)</f>
        <v>0</v>
      </c>
      <c r="AB128" s="93" t="n">
        <f aca="false">IF(Y128=1,E128,0)</f>
        <v>0</v>
      </c>
      <c r="AC128" s="89" t="n">
        <f aca="false">IF(Y128=1,COUNTIFS($Z$2:$Z$601,Z128,$Y$2:$Y$601,1),0)</f>
        <v>0</v>
      </c>
      <c r="AD128" s="89" t="n">
        <f aca="false">IF(Y128=1,COUNTIFS($N$2:$N$601,N128,$Y$2:$Y$601,1),0)</f>
        <v>0</v>
      </c>
      <c r="AE128" s="43" t="str">
        <f aca="false">IF(Y128&lt;&gt;1,"",IF(AND(AC128&gt;=설정!$C$7,ISNUMBER(MATCH(Z128,피어커브!$A:$A,0))),Z128,IF(AND(AD128&gt;=설정!$C$7,ISNUMBER(MATCH(N128&amp;"|전체",피어커브!$A:$A,0))),N128&amp;"|전체","전체|전체")))</f>
        <v/>
      </c>
      <c r="AF128" s="93" t="str">
        <f aca="false">IF(AE128="","",INDEX(피어커브!$K:$K,MATCH(AE128,피어커브!$A:$A,0)))</f>
        <v/>
      </c>
      <c r="AG128" s="93" t="str">
        <f aca="false">IF(AE128="","",INDEX(피어커브!$J:$J,MATCH(AE128,피어커브!$A:$A,0)))</f>
        <v/>
      </c>
      <c r="AH128" s="93" t="str">
        <f aca="false">IF(AE128="","",INDEX(피어커브!$L:$L,MATCH(AE128,피어커브!$A:$A,0)))</f>
        <v/>
      </c>
      <c r="AI128" s="93" t="str">
        <f aca="false">IF(AE128="","",AF128+AG128*AA128)</f>
        <v/>
      </c>
      <c r="AJ128" s="96" t="str">
        <f aca="false">IF(AE128="","",E128-AI128)</f>
        <v/>
      </c>
      <c r="AK128" s="95" t="str">
        <f aca="false">IF(AE128="","",IF(ISNUMBER(AH128),IF(AH128&gt;0,AJ128/AH128,""),""))</f>
        <v/>
      </c>
      <c r="AL128" s="43" t="str">
        <f aca="false">IF(AK128="","-",IF(AK128&gt;=설정!$C$6,"Cheap",IF(AK128&lt;=-설정!$C$6,"Rich","Fair")))</f>
        <v>-</v>
      </c>
      <c r="AM128" s="96" t="str">
        <f aca="false">IF(AE128="","",AJ128-AVERAGEIFS($AJ$2:$AJ$601,$B$2:$B$601,B128,$Y$2:$Y$601,1))</f>
        <v/>
      </c>
      <c r="AN128" s="93" t="n">
        <f aca="false">IF(AE128="",0,IF(K128&gt;1+설정!$C$8,AG128*(AA128-LN(K128-1)),0))</f>
        <v>0</v>
      </c>
      <c r="AO128" s="99" t="n">
        <f aca="false">IF($A128="",0,SUMIFS(보유분석!$AA$2:$AA$801,보유분석!$AB$2:$AB$801,ROW(),보유분석!$AC$2:$AC$801,1))</f>
        <v>0</v>
      </c>
      <c r="AP128" s="43" t="str">
        <f aca="false">IF($A128="","",TRIM(IF(R128=1,"FRN ","")&amp;IF(IFERROR(VLOOKUP(M128,설정!$A$15:$D$47,4,0),0)&gt;=10,IF(IFERROR(VLOOKUP(M128,설정!$A$15:$D$47,4,0),0)&lt;99,"BBB0미만 ",""),"")&amp;IF(OR(M128="",M128="NR"),"등급미입력 ","")&amp;IF(C128&lt;&gt;"USD","비USD ","")))</f>
        <v>등급미입력</v>
      </c>
      <c r="AQ128" s="90" t="n">
        <f aca="false">IF(AND(Y128=1,AL128="Cheap"),IF(AND(ISERROR(SEARCH("FRN",AP128)),ISERROR(SEARCH("BBB0미만",AP128))),AK128+ROW()/1000000000,-999),-999)</f>
        <v>-999</v>
      </c>
      <c r="AR128" s="92" t="n">
        <f aca="false">IF(AND(ISNUMBER(D128),ISNUMBER(K128)),D128+AN128*MAX(K128-1,0)/100,"")</f>
        <v>5.287</v>
      </c>
      <c r="AS128" s="93" t="n">
        <f aca="false">IF(AND(ISNUMBER(E128),ISNUMBER(K128)),IF(K128&gt;0,(E128+AN128*MAX(K128-1,0))/K128,""),"")</f>
        <v>-0.00309877340219496</v>
      </c>
      <c r="AT128" s="90" t="n">
        <f aca="false">IFERROR(IF(AND(Y128=1,ROW()&lt;&gt;스왑분석!$C$12+1,ABS(K128-INDEX($K$2:$K$601,스왑분석!$C$12))&lt;=스왑분석!$C$5,ISERROR(SEARCH("FRN",AP128)),ISERROR(SEARCH("BBB0미만",AP128))),IF(AND(OR(스왑분석!$C$6="N",L128=INDEX($L$2:$L$601,스왑분석!$C$12)),OR(스왑분석!$C$7="N",N128=INDEX($N$2:$N$601,스왑분석!$C$12)),OR(스왑분석!$C$8="N",AO128=0),E128-INDEX($E$2:$E$601,스왑분석!$C$12)&gt;=스왑분석!$C$9),E128-INDEX($E$2:$E$601,스왑분석!$C$12)+ROW()/1000000000,-999),-999),-999)</f>
        <v>-999</v>
      </c>
      <c r="AU128" s="90" t="n">
        <f aca="false">IF(AND(Y128=1,AO128&gt;0,AL128="Rich"),-AK128+ROW()/1000000000,-999)</f>
        <v>-999</v>
      </c>
    </row>
    <row r="129" customFormat="false" ht="15" hidden="false" customHeight="false" outlineLevel="0" collapsed="false">
      <c r="A129" s="83" t="str">
        <f aca="false">IFERROR(IF(INDEX(원자료_시장!$A$1:$BZ$1000,설정!$L$6+ROW()-1,설정!$L$24)&amp;""="0","",INDEX(원자료_시장!$A$1:$BZ$1000,설정!$L$6+ROW()-1,설정!$L$24)),"")</f>
        <v>WFC 5.244 01/24/31</v>
      </c>
      <c r="B129" s="83" t="str">
        <f aca="false">IFERROR(IF(INDEX(원자료_시장!$A$1:$BZ$1000,설정!$L$6+ROW()-1,설정!$L$37)&amp;""="0","",INDEX(원자료_시장!$A$1:$BZ$1000,설정!$L$6+ROW()-1,설정!$L$37)),"")</f>
        <v>WELLS FARGO &amp; COMPANY</v>
      </c>
      <c r="C129" s="83" t="str">
        <f aca="false">IFERROR(IF(INDEX(원자료_시장!$A$1:$BZ$1000,설정!$L$6+ROW()-1,설정!$L$25)&amp;""="0","",INDEX(원자료_시장!$A$1:$BZ$1000,설정!$L$6+ROW()-1,설정!$L$25)),"")</f>
        <v>USD</v>
      </c>
      <c r="D129" s="85" t="n">
        <f aca="false">IFERROR(IF(ISNUMBER(INDEX(원자료_시장!$A$1:$BZ$1000,설정!$L$6+ROW()-1,설정!$L$26)),INDEX(원자료_시장!$A$1:$BZ$1000,설정!$L$6+ROW()-1,설정!$L$26),""),"")</f>
        <v>5.633</v>
      </c>
      <c r="E129" s="97" t="n">
        <f aca="false">IFERROR(IF(ISNUMBER(INDEX(원자료_시장!$A$1:$BZ$1000,설정!$L$6+ROW()-1,설정!$L$27)),INDEX(원자료_시장!$A$1:$BZ$1000,설정!$L$6+ROW()-1,설정!$L$27),""),"")</f>
        <v>71.282</v>
      </c>
      <c r="F129" s="97" t="n">
        <f aca="false">IFERROR(IF(ISNUMBER(INDEX(원자료_시장!$A$1:$BZ$1000,설정!$L$6+ROW()-1,설정!$L$28)),INDEX(원자료_시장!$A$1:$BZ$1000,설정!$L$6+ROW()-1,설정!$L$28),""),"")</f>
        <v>106.051</v>
      </c>
      <c r="G129" s="97" t="n">
        <f aca="false">IFERROR(IF(ISNUMBER(INDEX(원자료_시장!$A$1:$BZ$1000,설정!$L$6+ROW()-1,설정!$L$29)),INDEX(원자료_시장!$A$1:$BZ$1000,설정!$L$6+ROW()-1,설정!$L$29),""),"")</f>
        <v>-1.3</v>
      </c>
      <c r="H129" s="97" t="n">
        <f aca="false">IFERROR(IF(ISNUMBER(INDEX(원자료_시장!$A$1:$BZ$1000,설정!$L$6+ROW()-1,설정!$L$30)),INDEX(원자료_시장!$A$1:$BZ$1000,설정!$L$6+ROW()-1,설정!$L$30),""),"")</f>
        <v>5.8</v>
      </c>
      <c r="I129" s="97" t="n">
        <f aca="false">IFERROR(IF(ISNUMBER(INDEX(원자료_시장!$A$1:$BZ$1000,설정!$L$6+ROW()-1,설정!$L$31)),INDEX(원자료_시장!$A$1:$BZ$1000,설정!$L$6+ROW()-1,설정!$L$31),""),"")</f>
        <v>4</v>
      </c>
      <c r="J129" s="97" t="n">
        <f aca="false">IFERROR(IF(ISNUMBER(INDEX(원자료_시장!$A$1:$BZ$1000,설정!$L$6+ROW()-1,설정!$L$32)),INDEX(원자료_시장!$A$1:$BZ$1000,설정!$L$6+ROW()-1,설정!$L$32),""),"")</f>
        <v>-4.3</v>
      </c>
      <c r="K129" s="85" t="n">
        <f aca="false">IFERROR(IF(ISNUMBER(INDEX(원자료_시장!$A$1:$BZ$1000,설정!$L$6+ROW()-1,설정!$L$33)),INDEX(원자료_시장!$A$1:$BZ$1000,설정!$L$6+ROW()-1,설정!$L$33),""),"")</f>
        <v>3.051</v>
      </c>
      <c r="L129" s="83" t="str">
        <f aca="false">IFERROR(IF(INDEX(원자료_시장!$A$1:$BZ$1000,설정!$L$6+ROW()-1,설정!$L$34)&amp;""="0","",INDEX(원자료_시장!$A$1:$BZ$1000,설정!$L$6+ROW()-1,설정!$L$34)),"")</f>
        <v>금융기관</v>
      </c>
      <c r="M129" s="83" t="str">
        <f aca="false">IFERROR(IF(INDEX(원자료_시장!$A$1:$BZ$1000,설정!$L$6+ROW()-1,설정!$L$35)&amp;""="0","",INDEX(원자료_시장!$A$1:$BZ$1000,설정!$L$6+ROW()-1,설정!$L$35)),"")</f>
        <v>A-</v>
      </c>
      <c r="N129" s="83" t="str">
        <f aca="false">IFERROR(IF(INDEX(원자료_시장!$A$1:$BZ$1000,설정!$L$6+ROW()-1,설정!$L$36)&amp;""="0","",INDEX(원자료_시장!$A$1:$BZ$1000,설정!$L$6+ROW()-1,설정!$L$36)),"")</f>
        <v>미국</v>
      </c>
      <c r="O129" s="43" t="str">
        <f aca="false">IF($A129="","",UPPER(LEFT($A129,FIND(" ",$A129&amp;" ")-1)))</f>
        <v>WFC</v>
      </c>
      <c r="P129" s="43" t="str">
        <f aca="false">IF($A129="","",TRIM(RIGHT(SUBSTITUTE(TRIM($A129)," ",REPT(" ",30)),30)))</f>
        <v>01/24/31</v>
      </c>
      <c r="Q129" s="98" t="n">
        <f aca="false">IF($A129="","",IFERROR(DATE(IF(LEN(P129)=8,2000+VALUE(RIGHT(P129,2)),VALUE(RIGHT(P129,4))),VALUE(LEFT(P129,2)),VALUE(MID(P129,4,2))),""))</f>
        <v>47872</v>
      </c>
      <c r="R129" s="89" t="n">
        <f aca="false">IF($A129="",0,IF(ISNUMBER(SEARCH("Float",$A129)),1,0))</f>
        <v>0</v>
      </c>
      <c r="S129" s="43" t="str">
        <f aca="false">IF($A129="","",TRIM(MID($A129,LEN(O129)+2,LEN($A129)-LEN(O129)-LEN(P129)-1)))</f>
        <v>5.244</v>
      </c>
      <c r="T129" s="92" t="n">
        <f aca="false">IF(OR($A129="",R129=1),"",IFERROR(IF(ISNUMBER(FIND("/",S129)),IF(ISNUMBER(FIND(" ",S129)),VALUE(LEFT(S129,FIND(" ",S129)-1))+VALUE(MID(S129,FIND(" ",S129)+1,FIND("/",S129)-FIND(" ",S129)-1))/VALUE(MID(S129,FIND("/",S129)+1,9)),VALUE(LEFT(S129,FIND("/",S129)-1))/VALUE(MID(S129,FIND("/",S129)+1,9))),VALUE(S129)),""))</f>
        <v>5.244</v>
      </c>
      <c r="U129" s="43" t="str">
        <f aca="false">IF(OR($A129="",NOT(ISNUMBER(Q129))),"",TEXT(Q129,"yyyymmdd")&amp;"|"&amp;IF(R129=1,"F",TEXT(T129,"0.000")))</f>
        <v>20310124|5.244</v>
      </c>
      <c r="V129" s="43" t="str">
        <f aca="false">IF(U129="","",O129&amp;"|"&amp;U129)</f>
        <v>WFC|20310124|5.244</v>
      </c>
      <c r="W129" s="43" t="str">
        <f aca="false">IF($A129="","",IFERROR(IF(VLOOKUP(O129,매핑!$A$4:$E$92,3,0)="","미분류",VLOOKUP(O129,매핑!$A$4:$E$92,3,0)),"미분류"))</f>
        <v>미국</v>
      </c>
      <c r="X129" s="89" t="n">
        <f aca="false">IF($A129="",0,IF(O129="T",1,0))</f>
        <v>0</v>
      </c>
      <c r="Y129" s="89" t="n">
        <f aca="false">IF($A129="",0,IF(AND(C129="USD",X129=0,ISNUMBER(E129),ISNUMBER(K129)),IF(K129&gt;=설정!$C$8,1,0),0))</f>
        <v>1</v>
      </c>
      <c r="Z129" s="43" t="str">
        <f aca="false">IF($A129="","",N129&amp;"|"&amp;L129)</f>
        <v>미국|금융기관</v>
      </c>
      <c r="AA129" s="92" t="n">
        <f aca="false">IF(Y129=1,LN(K129),0)</f>
        <v>1.11546940573453</v>
      </c>
      <c r="AB129" s="93" t="n">
        <f aca="false">IF(Y129=1,E129,0)</f>
        <v>71.282</v>
      </c>
      <c r="AC129" s="89" t="n">
        <f aca="false">IF(Y129=1,COUNTIFS($Z$2:$Z$601,Z129,$Y$2:$Y$601,1),0)</f>
        <v>28</v>
      </c>
      <c r="AD129" s="89" t="n">
        <f aca="false">IF(Y129=1,COUNTIFS($N$2:$N$601,N129,$Y$2:$Y$601,1),0)</f>
        <v>49</v>
      </c>
      <c r="AE129" s="43" t="str">
        <f aca="false">IF(Y129&lt;&gt;1,"",IF(AND(AC129&gt;=설정!$C$7,ISNUMBER(MATCH(Z129,피어커브!$A:$A,0))),Z129,IF(AND(AD129&gt;=설정!$C$7,ISNUMBER(MATCH(N129&amp;"|전체",피어커브!$A:$A,0))),N129&amp;"|전체","전체|전체")))</f>
        <v>미국|금융기관</v>
      </c>
      <c r="AF129" s="93" t="n">
        <f aca="false">IF(AE129="","",INDEX(피어커브!$K:$K,MATCH(AE129,피어커브!$A:$A,0)))</f>
        <v>47.5387798885896</v>
      </c>
      <c r="AG129" s="93" t="n">
        <f aca="false">IF(AE129="","",INDEX(피어커브!$J:$J,MATCH(AE129,피어커브!$A:$A,0)))</f>
        <v>20.73676364145</v>
      </c>
      <c r="AH129" s="93" t="n">
        <f aca="false">IF(AE129="","",INDEX(피어커브!$L:$L,MATCH(AE129,피어커브!$A:$A,0)))</f>
        <v>13.6771810277023</v>
      </c>
      <c r="AI129" s="93" t="n">
        <f aca="false">IF(AE129="","",AF129+AG129*AA129)</f>
        <v>70.6700053045753</v>
      </c>
      <c r="AJ129" s="96" t="n">
        <f aca="false">IF(AE129="","",E129-AI129)</f>
        <v>0.61199469542467</v>
      </c>
      <c r="AK129" s="95" t="n">
        <f aca="false">IF(AE129="","",IF(ISNUMBER(AH129),IF(AH129&gt;0,AJ129/AH129,""),""))</f>
        <v>0.0447456748715333</v>
      </c>
      <c r="AL129" s="43" t="str">
        <f aca="false">IF(AK129="","-",IF(AK129&gt;=설정!$C$6,"Cheap",IF(AK129&lt;=-설정!$C$6,"Rich","Fair")))</f>
        <v>Fair</v>
      </c>
      <c r="AM129" s="96" t="n">
        <f aca="false">IF(AE129="","",AJ129-AVERAGEIFS($AJ$2:$AJ$601,$B$2:$B$601,B129,$Y$2:$Y$601,1))</f>
        <v>11.5029308636852</v>
      </c>
      <c r="AN129" s="93" t="n">
        <f aca="false">IF(AE129="",0,IF(K129&gt;1+설정!$C$8,AG129*(AA129-LN(K129-1)),0))</f>
        <v>8.23543826493271</v>
      </c>
      <c r="AO129" s="99" t="n">
        <f aca="false">IF($A129="",0,SUMIFS(보유분석!$AA$2:$AA$801,보유분석!$AB$2:$AB$801,ROW(),보유분석!$AC$2:$AC$801,1))</f>
        <v>4.919295</v>
      </c>
      <c r="AP129" s="43" t="str">
        <f aca="false">IF($A129="","",TRIM(IF(R129=1,"FRN ","")&amp;IF(IFERROR(VLOOKUP(M129,설정!$A$15:$D$47,4,0),0)&gt;=10,IF(IFERROR(VLOOKUP(M129,설정!$A$15:$D$47,4,0),0)&lt;99,"BBB0미만 ",""),"")&amp;IF(OR(M129="",M129="NR"),"등급미입력 ","")&amp;IF(C129&lt;&gt;"USD","비USD ","")))</f>
        <v/>
      </c>
      <c r="AQ129" s="90" t="n">
        <f aca="false">IF(AND(Y129=1,AL129="Cheap"),IF(AND(ISERROR(SEARCH("FRN",AP129)),ISERROR(SEARCH("BBB0미만",AP129))),AK129+ROW()/1000000000,-999),-999)</f>
        <v>-999</v>
      </c>
      <c r="AR129" s="92" t="n">
        <f aca="false">IF(AND(ISNUMBER(D129),ISNUMBER(K129)),D129+AN129*MAX(K129-1,0)/100,"")</f>
        <v>5.80190883881377</v>
      </c>
      <c r="AS129" s="93" t="n">
        <f aca="false">IF(AND(ISNUMBER(E129),ISNUMBER(K129)),IF(K129&gt;0,(E129+AN129*MAX(K129-1,0))/K129,""),"")</f>
        <v>28.899666955548</v>
      </c>
      <c r="AT129" s="90" t="n">
        <f aca="false">IFERROR(IF(AND(Y129=1,ROW()&lt;&gt;스왑분석!$C$12+1,ABS(K129-INDEX($K$2:$K$601,스왑분석!$C$12))&lt;=스왑분석!$C$5,ISERROR(SEARCH("FRN",AP129)),ISERROR(SEARCH("BBB0미만",AP129))),IF(AND(OR(스왑분석!$C$6="N",L129=INDEX($L$2:$L$601,스왑분석!$C$12)),OR(스왑분석!$C$7="N",N129=INDEX($N$2:$N$601,스왑분석!$C$12)),OR(스왑분석!$C$8="N",AO129=0),E129-INDEX($E$2:$E$601,스왑분석!$C$12)&gt;=스왑분석!$C$9),E129-INDEX($E$2:$E$601,스왑분석!$C$12)+ROW()/1000000000,-999),-999),-999)</f>
        <v>22.790000129</v>
      </c>
      <c r="AU129" s="90" t="n">
        <f aca="false">IF(AND(Y129=1,AO129&gt;0,AL129="Rich"),-AK129+ROW()/1000000000,-999)</f>
        <v>-999</v>
      </c>
    </row>
    <row r="130" customFormat="false" ht="15" hidden="false" customHeight="false" outlineLevel="0" collapsed="false">
      <c r="A130" s="83" t="str">
        <f aca="false">IFERROR(IF(INDEX(원자료_시장!$A$1:$BZ$1000,설정!$L$6+ROW()-1,설정!$L$24)&amp;""="0","",INDEX(원자료_시장!$A$1:$BZ$1000,설정!$L$6+ROW()-1,설정!$L$24)),"")</f>
        <v>WFC 4.97 04/23/29</v>
      </c>
      <c r="B130" s="83" t="str">
        <f aca="false">IFERROR(IF(INDEX(원자료_시장!$A$1:$BZ$1000,설정!$L$6+ROW()-1,설정!$L$37)&amp;""="0","",INDEX(원자료_시장!$A$1:$BZ$1000,설정!$L$6+ROW()-1,설정!$L$37)),"")</f>
        <v>WELLS FARGO &amp; COMPANY</v>
      </c>
      <c r="C130" s="83" t="str">
        <f aca="false">IFERROR(IF(INDEX(원자료_시장!$A$1:$BZ$1000,설정!$L$6+ROW()-1,설정!$L$25)&amp;""="0","",INDEX(원자료_시장!$A$1:$BZ$1000,설정!$L$6+ROW()-1,설정!$L$25)),"")</f>
        <v>USD</v>
      </c>
      <c r="D130" s="85" t="n">
        <f aca="false">IFERROR(IF(ISNUMBER(INDEX(원자료_시장!$A$1:$BZ$1000,설정!$L$6+ROW()-1,설정!$L$26)),INDEX(원자료_시장!$A$1:$BZ$1000,설정!$L$6+ROW()-1,설정!$L$26),""),"")</f>
        <v>5.344</v>
      </c>
      <c r="E130" s="97" t="n">
        <f aca="false">IFERROR(IF(ISNUMBER(INDEX(원자료_시장!$A$1:$BZ$1000,설정!$L$6+ROW()-1,설정!$L$27)),INDEX(원자료_시장!$A$1:$BZ$1000,설정!$L$6+ROW()-1,설정!$L$27),""),"")</f>
        <v>49.118</v>
      </c>
      <c r="F130" s="97" t="n">
        <f aca="false">IFERROR(IF(ISNUMBER(INDEX(원자료_시장!$A$1:$BZ$1000,설정!$L$6+ROW()-1,설정!$L$28)),INDEX(원자료_시장!$A$1:$BZ$1000,설정!$L$6+ROW()-1,설정!$L$28),""),"")</f>
        <v>75.731</v>
      </c>
      <c r="G130" s="97" t="n">
        <f aca="false">IFERROR(IF(ISNUMBER(INDEX(원자료_시장!$A$1:$BZ$1000,설정!$L$6+ROW()-1,설정!$L$29)),INDEX(원자료_시장!$A$1:$BZ$1000,설정!$L$6+ROW()-1,설정!$L$29),""),"")</f>
        <v>0.8</v>
      </c>
      <c r="H130" s="97" t="n">
        <f aca="false">IFERROR(IF(ISNUMBER(INDEX(원자료_시장!$A$1:$BZ$1000,설정!$L$6+ROW()-1,설정!$L$30)),INDEX(원자료_시장!$A$1:$BZ$1000,설정!$L$6+ROW()-1,설정!$L$30),""),"")</f>
        <v>8.6</v>
      </c>
      <c r="I130" s="97" t="n">
        <f aca="false">IFERROR(IF(ISNUMBER(INDEX(원자료_시장!$A$1:$BZ$1000,설정!$L$6+ROW()-1,설정!$L$31)),INDEX(원자료_시장!$A$1:$BZ$1000,설정!$L$6+ROW()-1,설정!$L$31),""),"")</f>
        <v>-5.8</v>
      </c>
      <c r="J130" s="97" t="n">
        <f aca="false">IFERROR(IF(ISNUMBER(INDEX(원자료_시장!$A$1:$BZ$1000,설정!$L$6+ROW()-1,설정!$L$32)),INDEX(원자료_시장!$A$1:$BZ$1000,설정!$L$6+ROW()-1,설정!$L$32),""),"")</f>
        <v>-20.4</v>
      </c>
      <c r="K130" s="85" t="n">
        <f aca="false">IFERROR(IF(ISNUMBER(INDEX(원자료_시장!$A$1:$BZ$1000,설정!$L$6+ROW()-1,설정!$L$33)),INDEX(원자료_시장!$A$1:$BZ$1000,설정!$L$6+ROW()-1,설정!$L$33),""),"")</f>
        <v>1.486</v>
      </c>
      <c r="L130" s="83" t="str">
        <f aca="false">IFERROR(IF(INDEX(원자료_시장!$A$1:$BZ$1000,설정!$L$6+ROW()-1,설정!$L$34)&amp;""="0","",INDEX(원자료_시장!$A$1:$BZ$1000,설정!$L$6+ROW()-1,설정!$L$34)),"")</f>
        <v>금융기관</v>
      </c>
      <c r="M130" s="83" t="str">
        <f aca="false">IFERROR(IF(INDEX(원자료_시장!$A$1:$BZ$1000,설정!$L$6+ROW()-1,설정!$L$35)&amp;""="0","",INDEX(원자료_시장!$A$1:$BZ$1000,설정!$L$6+ROW()-1,설정!$L$35)),"")</f>
        <v>A-</v>
      </c>
      <c r="N130" s="83" t="str">
        <f aca="false">IFERROR(IF(INDEX(원자료_시장!$A$1:$BZ$1000,설정!$L$6+ROW()-1,설정!$L$36)&amp;""="0","",INDEX(원자료_시장!$A$1:$BZ$1000,설정!$L$6+ROW()-1,설정!$L$36)),"")</f>
        <v>미국</v>
      </c>
      <c r="O130" s="43" t="str">
        <f aca="false">IF($A130="","",UPPER(LEFT($A130,FIND(" ",$A130&amp;" ")-1)))</f>
        <v>WFC</v>
      </c>
      <c r="P130" s="43" t="str">
        <f aca="false">IF($A130="","",TRIM(RIGHT(SUBSTITUTE(TRIM($A130)," ",REPT(" ",30)),30)))</f>
        <v>04/23/29</v>
      </c>
      <c r="Q130" s="98" t="n">
        <f aca="false">IF($A130="","",IFERROR(DATE(IF(LEN(P130)=8,2000+VALUE(RIGHT(P130,2)),VALUE(RIGHT(P130,4))),VALUE(LEFT(P130,2)),VALUE(MID(P130,4,2))),""))</f>
        <v>47231</v>
      </c>
      <c r="R130" s="89" t="n">
        <f aca="false">IF($A130="",0,IF(ISNUMBER(SEARCH("Float",$A130)),1,0))</f>
        <v>0</v>
      </c>
      <c r="S130" s="43" t="str">
        <f aca="false">IF($A130="","",TRIM(MID($A130,LEN(O130)+2,LEN($A130)-LEN(O130)-LEN(P130)-1)))</f>
        <v>4.97</v>
      </c>
      <c r="T130" s="92" t="n">
        <f aca="false">IF(OR($A130="",R130=1),"",IFERROR(IF(ISNUMBER(FIND("/",S130)),IF(ISNUMBER(FIND(" ",S130)),VALUE(LEFT(S130,FIND(" ",S130)-1))+VALUE(MID(S130,FIND(" ",S130)+1,FIND("/",S130)-FIND(" ",S130)-1))/VALUE(MID(S130,FIND("/",S130)+1,9)),VALUE(LEFT(S130,FIND("/",S130)-1))/VALUE(MID(S130,FIND("/",S130)+1,9))),VALUE(S130)),""))</f>
        <v>4.97</v>
      </c>
      <c r="U130" s="43" t="str">
        <f aca="false">IF(OR($A130="",NOT(ISNUMBER(Q130))),"",TEXT(Q130,"yyyymmdd")&amp;"|"&amp;IF(R130=1,"F",TEXT(T130,"0.000")))</f>
        <v>20290423|4.970</v>
      </c>
      <c r="V130" s="43" t="str">
        <f aca="false">IF(U130="","",O130&amp;"|"&amp;U130)</f>
        <v>WFC|20290423|4.970</v>
      </c>
      <c r="W130" s="43" t="str">
        <f aca="false">IF($A130="","",IFERROR(IF(VLOOKUP(O130,매핑!$A$4:$E$92,3,0)="","미분류",VLOOKUP(O130,매핑!$A$4:$E$92,3,0)),"미분류"))</f>
        <v>미국</v>
      </c>
      <c r="X130" s="89" t="n">
        <f aca="false">IF($A130="",0,IF(O130="T",1,0))</f>
        <v>0</v>
      </c>
      <c r="Y130" s="89" t="n">
        <f aca="false">IF($A130="",0,IF(AND(C130="USD",X130=0,ISNUMBER(E130),ISNUMBER(K130)),IF(K130&gt;=설정!$C$8,1,0),0))</f>
        <v>1</v>
      </c>
      <c r="Z130" s="43" t="str">
        <f aca="false">IF($A130="","",N130&amp;"|"&amp;L130)</f>
        <v>미국|금융기관</v>
      </c>
      <c r="AA130" s="92" t="n">
        <f aca="false">IF(Y130=1,LN(K130),0)</f>
        <v>0.396087946295567</v>
      </c>
      <c r="AB130" s="93" t="n">
        <f aca="false">IF(Y130=1,E130,0)</f>
        <v>49.118</v>
      </c>
      <c r="AC130" s="89" t="n">
        <f aca="false">IF(Y130=1,COUNTIFS($Z$2:$Z$601,Z130,$Y$2:$Y$601,1),0)</f>
        <v>28</v>
      </c>
      <c r="AD130" s="89" t="n">
        <f aca="false">IF(Y130=1,COUNTIFS($N$2:$N$601,N130,$Y$2:$Y$601,1),0)</f>
        <v>49</v>
      </c>
      <c r="AE130" s="43" t="str">
        <f aca="false">IF(Y130&lt;&gt;1,"",IF(AND(AC130&gt;=설정!$C$7,ISNUMBER(MATCH(Z130,피어커브!$A:$A,0))),Z130,IF(AND(AD130&gt;=설정!$C$7,ISNUMBER(MATCH(N130&amp;"|전체",피어커브!$A:$A,0))),N130&amp;"|전체","전체|전체")))</f>
        <v>미국|금융기관</v>
      </c>
      <c r="AF130" s="93" t="n">
        <f aca="false">IF(AE130="","",INDEX(피어커브!$K:$K,MATCH(AE130,피어커브!$A:$A,0)))</f>
        <v>47.5387798885896</v>
      </c>
      <c r="AG130" s="93" t="n">
        <f aca="false">IF(AE130="","",INDEX(피어커브!$J:$J,MATCH(AE130,피어커브!$A:$A,0)))</f>
        <v>20.73676364145</v>
      </c>
      <c r="AH130" s="93" t="n">
        <f aca="false">IF(AE130="","",INDEX(피어커브!$L:$L,MATCH(AE130,피어커브!$A:$A,0)))</f>
        <v>13.6771810277023</v>
      </c>
      <c r="AI130" s="93" t="n">
        <f aca="false">IF(AE130="","",AF130+AG130*AA130)</f>
        <v>55.7523620121481</v>
      </c>
      <c r="AJ130" s="96" t="n">
        <f aca="false">IF(AE130="","",E130-AI130)</f>
        <v>-6.63436201214814</v>
      </c>
      <c r="AK130" s="95" t="n">
        <f aca="false">IF(AE130="","",IF(ISNUMBER(AH130),IF(AH130&gt;0,AJ130/AH130,""),""))</f>
        <v>-0.485067938978847</v>
      </c>
      <c r="AL130" s="43" t="str">
        <f aca="false">IF(AK130="","-",IF(AK130&gt;=설정!$C$6,"Cheap",IF(AK130&lt;=-설정!$C$6,"Rich","Fair")))</f>
        <v>Fair</v>
      </c>
      <c r="AM130" s="96" t="n">
        <f aca="false">IF(AE130="","",AJ130-AVERAGEIFS($AJ$2:$AJ$601,$B$2:$B$601,B130,$Y$2:$Y$601,1))</f>
        <v>4.25657415611238</v>
      </c>
      <c r="AN130" s="93" t="n">
        <f aca="false">IF(AE130="",0,IF(K130&gt;1+설정!$C$8,AG130*(AA130-LN(K130-1)),0))</f>
        <v>0</v>
      </c>
      <c r="AO130" s="99" t="n">
        <f aca="false">IF($A130="",0,SUMIFS(보유분석!$AA$2:$AA$801,보유분석!$AB$2:$AB$801,ROW(),보유분석!$AC$2:$AC$801,1))</f>
        <v>0</v>
      </c>
      <c r="AP130" s="43" t="str">
        <f aca="false">IF($A130="","",TRIM(IF(R130=1,"FRN ","")&amp;IF(IFERROR(VLOOKUP(M130,설정!$A$15:$D$47,4,0),0)&gt;=10,IF(IFERROR(VLOOKUP(M130,설정!$A$15:$D$47,4,0),0)&lt;99,"BBB0미만 ",""),"")&amp;IF(OR(M130="",M130="NR"),"등급미입력 ","")&amp;IF(C130&lt;&gt;"USD","비USD ","")))</f>
        <v/>
      </c>
      <c r="AQ130" s="90" t="n">
        <f aca="false">IF(AND(Y130=1,AL130="Cheap"),IF(AND(ISERROR(SEARCH("FRN",AP130)),ISERROR(SEARCH("BBB0미만",AP130))),AK130+ROW()/1000000000,-999),-999)</f>
        <v>-999</v>
      </c>
      <c r="AR130" s="92" t="n">
        <f aca="false">IF(AND(ISNUMBER(D130),ISNUMBER(K130)),D130+AN130*MAX(K130-1,0)/100,"")</f>
        <v>5.344</v>
      </c>
      <c r="AS130" s="93" t="n">
        <f aca="false">IF(AND(ISNUMBER(E130),ISNUMBER(K130)),IF(K130&gt;0,(E130+AN130*MAX(K130-1,0))/K130,""),"")</f>
        <v>33.0538358008075</v>
      </c>
      <c r="AT130" s="90" t="n">
        <f aca="false">IFERROR(IF(AND(Y130=1,ROW()&lt;&gt;스왑분석!$C$12+1,ABS(K130-INDEX($K$2:$K$601,스왑분석!$C$12))&lt;=스왑분석!$C$5,ISERROR(SEARCH("FRN",AP130)),ISERROR(SEARCH("BBB0미만",AP130))),IF(AND(OR(스왑분석!$C$6="N",L130=INDEX($L$2:$L$601,스왑분석!$C$12)),OR(스왑분석!$C$7="N",N130=INDEX($N$2:$N$601,스왑분석!$C$12)),OR(스왑분석!$C$8="N",AO130=0),E130-INDEX($E$2:$E$601,스왑분석!$C$12)&gt;=스왑분석!$C$9),E130-INDEX($E$2:$E$601,스왑분석!$C$12)+ROW()/1000000000,-999),-999),-999)</f>
        <v>-999</v>
      </c>
      <c r="AU130" s="90" t="n">
        <f aca="false">IF(AND(Y130=1,AO130&gt;0,AL130="Rich"),-AK130+ROW()/1000000000,-999)</f>
        <v>-999</v>
      </c>
    </row>
    <row r="131" customFormat="false" ht="15" hidden="false" customHeight="false" outlineLevel="0" collapsed="false">
      <c r="A131" s="83" t="str">
        <f aca="false">IFERROR(IF(INDEX(원자료_시장!$A$1:$BZ$1000,설정!$L$6+ROW()-1,설정!$L$24)&amp;""="0","",INDEX(원자료_시장!$A$1:$BZ$1000,설정!$L$6+ROW()-1,설정!$L$24)),"")</f>
        <v>WFC 4.182 01/23/30</v>
      </c>
      <c r="B131" s="83" t="str">
        <f aca="false">IFERROR(IF(INDEX(원자료_시장!$A$1:$BZ$1000,설정!$L$6+ROW()-1,설정!$L$37)&amp;""="0","",INDEX(원자료_시장!$A$1:$BZ$1000,설정!$L$6+ROW()-1,설정!$L$37)),"")</f>
        <v>WELLS FARGO &amp; COMPANY</v>
      </c>
      <c r="C131" s="83" t="str">
        <f aca="false">IFERROR(IF(INDEX(원자료_시장!$A$1:$BZ$1000,설정!$L$6+ROW()-1,설정!$L$25)&amp;""="0","",INDEX(원자료_시장!$A$1:$BZ$1000,설정!$L$6+ROW()-1,설정!$L$25)),"")</f>
        <v>USD</v>
      </c>
      <c r="D131" s="85" t="n">
        <f aca="false">IFERROR(IF(ISNUMBER(INDEX(원자료_시장!$A$1:$BZ$1000,설정!$L$6+ROW()-1,설정!$L$26)),INDEX(원자료_시장!$A$1:$BZ$1000,설정!$L$6+ROW()-1,설정!$L$26),""),"")</f>
        <v>5.351</v>
      </c>
      <c r="E131" s="97" t="n">
        <f aca="false">IFERROR(IF(ISNUMBER(INDEX(원자료_시장!$A$1:$BZ$1000,설정!$L$6+ROW()-1,설정!$L$27)),INDEX(원자료_시장!$A$1:$BZ$1000,설정!$L$6+ROW()-1,설정!$L$27),""),"")</f>
        <v>63.779</v>
      </c>
      <c r="F131" s="97" t="n">
        <f aca="false">IFERROR(IF(ISNUMBER(INDEX(원자료_시장!$A$1:$BZ$1000,설정!$L$6+ROW()-1,설정!$L$28)),INDEX(원자료_시장!$A$1:$BZ$1000,설정!$L$6+ROW()-1,설정!$L$28),""),"")</f>
        <v>93.26</v>
      </c>
      <c r="G131" s="97" t="n">
        <f aca="false">IFERROR(IF(ISNUMBER(INDEX(원자료_시장!$A$1:$BZ$1000,설정!$L$6+ROW()-1,설정!$L$29)),INDEX(원자료_시장!$A$1:$BZ$1000,설정!$L$6+ROW()-1,설정!$L$29),""),"")</f>
        <v>-1.3</v>
      </c>
      <c r="H131" s="97" t="n">
        <f aca="false">IFERROR(IF(ISNUMBER(INDEX(원자료_시장!$A$1:$BZ$1000,설정!$L$6+ROW()-1,설정!$L$30)),INDEX(원자료_시장!$A$1:$BZ$1000,설정!$L$6+ROW()-1,설정!$L$30),""),"")</f>
        <v>6.8</v>
      </c>
      <c r="I131" s="97" t="n">
        <f aca="false">IFERROR(IF(ISNUMBER(INDEX(원자료_시장!$A$1:$BZ$1000,설정!$L$6+ROW()-1,설정!$L$31)),INDEX(원자료_시장!$A$1:$BZ$1000,설정!$L$6+ROW()-1,설정!$L$31),""),"")</f>
        <v>-1.1</v>
      </c>
      <c r="J131" s="97" t="n">
        <f aca="false">IFERROR(IF(ISNUMBER(INDEX(원자료_시장!$A$1:$BZ$1000,설정!$L$6+ROW()-1,설정!$L$32)),INDEX(원자료_시장!$A$1:$BZ$1000,설정!$L$6+ROW()-1,설정!$L$32),""),"")</f>
        <v>-12.2</v>
      </c>
      <c r="K131" s="85" t="n">
        <f aca="false">IFERROR(IF(ISNUMBER(INDEX(원자료_시장!$A$1:$BZ$1000,설정!$L$6+ROW()-1,설정!$L$33)),INDEX(원자료_시장!$A$1:$BZ$1000,설정!$L$6+ROW()-1,설정!$L$33),""),"")</f>
        <v>2.206</v>
      </c>
      <c r="L131" s="83" t="str">
        <f aca="false">IFERROR(IF(INDEX(원자료_시장!$A$1:$BZ$1000,설정!$L$6+ROW()-1,설정!$L$34)&amp;""="0","",INDEX(원자료_시장!$A$1:$BZ$1000,설정!$L$6+ROW()-1,설정!$L$34)),"")</f>
        <v>금융기관</v>
      </c>
      <c r="M131" s="83" t="str">
        <f aca="false">IFERROR(IF(INDEX(원자료_시장!$A$1:$BZ$1000,설정!$L$6+ROW()-1,설정!$L$35)&amp;""="0","",INDEX(원자료_시장!$A$1:$BZ$1000,설정!$L$6+ROW()-1,설정!$L$35)),"")</f>
        <v>A-</v>
      </c>
      <c r="N131" s="83" t="str">
        <f aca="false">IFERROR(IF(INDEX(원자료_시장!$A$1:$BZ$1000,설정!$L$6+ROW()-1,설정!$L$36)&amp;""="0","",INDEX(원자료_시장!$A$1:$BZ$1000,설정!$L$6+ROW()-1,설정!$L$36)),"")</f>
        <v>미국</v>
      </c>
      <c r="O131" s="43" t="str">
        <f aca="false">IF($A131="","",UPPER(LEFT($A131,FIND(" ",$A131&amp;" ")-1)))</f>
        <v>WFC</v>
      </c>
      <c r="P131" s="43" t="str">
        <f aca="false">IF($A131="","",TRIM(RIGHT(SUBSTITUTE(TRIM($A131)," ",REPT(" ",30)),30)))</f>
        <v>01/23/30</v>
      </c>
      <c r="Q131" s="98" t="n">
        <f aca="false">IF($A131="","",IFERROR(DATE(IF(LEN(P131)=8,2000+VALUE(RIGHT(P131,2)),VALUE(RIGHT(P131,4))),VALUE(LEFT(P131,2)),VALUE(MID(P131,4,2))),""))</f>
        <v>47506</v>
      </c>
      <c r="R131" s="89" t="n">
        <f aca="false">IF($A131="",0,IF(ISNUMBER(SEARCH("Float",$A131)),1,0))</f>
        <v>0</v>
      </c>
      <c r="S131" s="43" t="str">
        <f aca="false">IF($A131="","",TRIM(MID($A131,LEN(O131)+2,LEN($A131)-LEN(O131)-LEN(P131)-1)))</f>
        <v>4.182</v>
      </c>
      <c r="T131" s="92" t="n">
        <f aca="false">IF(OR($A131="",R131=1),"",IFERROR(IF(ISNUMBER(FIND("/",S131)),IF(ISNUMBER(FIND(" ",S131)),VALUE(LEFT(S131,FIND(" ",S131)-1))+VALUE(MID(S131,FIND(" ",S131)+1,FIND("/",S131)-FIND(" ",S131)-1))/VALUE(MID(S131,FIND("/",S131)+1,9)),VALUE(LEFT(S131,FIND("/",S131)-1))/VALUE(MID(S131,FIND("/",S131)+1,9))),VALUE(S131)),""))</f>
        <v>4.182</v>
      </c>
      <c r="U131" s="43" t="str">
        <f aca="false">IF(OR($A131="",NOT(ISNUMBER(Q131))),"",TEXT(Q131,"yyyymmdd")&amp;"|"&amp;IF(R131=1,"F",TEXT(T131,"0.000")))</f>
        <v>20300123|4.182</v>
      </c>
      <c r="V131" s="43" t="str">
        <f aca="false">IF(U131="","",O131&amp;"|"&amp;U131)</f>
        <v>WFC|20300123|4.182</v>
      </c>
      <c r="W131" s="43" t="str">
        <f aca="false">IF($A131="","",IFERROR(IF(VLOOKUP(O131,매핑!$A$4:$E$92,3,0)="","미분류",VLOOKUP(O131,매핑!$A$4:$E$92,3,0)),"미분류"))</f>
        <v>미국</v>
      </c>
      <c r="X131" s="89" t="n">
        <f aca="false">IF($A131="",0,IF(O131="T",1,0))</f>
        <v>0</v>
      </c>
      <c r="Y131" s="89" t="n">
        <f aca="false">IF($A131="",0,IF(AND(C131="USD",X131=0,ISNUMBER(E131),ISNUMBER(K131)),IF(K131&gt;=설정!$C$8,1,0),0))</f>
        <v>1</v>
      </c>
      <c r="Z131" s="43" t="str">
        <f aca="false">IF($A131="","",N131&amp;"|"&amp;L131)</f>
        <v>미국|금융기관</v>
      </c>
      <c r="AA131" s="92" t="n">
        <f aca="false">IF(Y131=1,LN(K131),0)</f>
        <v>0.791180920831311</v>
      </c>
      <c r="AB131" s="93" t="n">
        <f aca="false">IF(Y131=1,E131,0)</f>
        <v>63.779</v>
      </c>
      <c r="AC131" s="89" t="n">
        <f aca="false">IF(Y131=1,COUNTIFS($Z$2:$Z$601,Z131,$Y$2:$Y$601,1),0)</f>
        <v>28</v>
      </c>
      <c r="AD131" s="89" t="n">
        <f aca="false">IF(Y131=1,COUNTIFS($N$2:$N$601,N131,$Y$2:$Y$601,1),0)</f>
        <v>49</v>
      </c>
      <c r="AE131" s="43" t="str">
        <f aca="false">IF(Y131&lt;&gt;1,"",IF(AND(AC131&gt;=설정!$C$7,ISNUMBER(MATCH(Z131,피어커브!$A:$A,0))),Z131,IF(AND(AD131&gt;=설정!$C$7,ISNUMBER(MATCH(N131&amp;"|전체",피어커브!$A:$A,0))),N131&amp;"|전체","전체|전체")))</f>
        <v>미국|금융기관</v>
      </c>
      <c r="AF131" s="93" t="n">
        <f aca="false">IF(AE131="","",INDEX(피어커브!$K:$K,MATCH(AE131,피어커브!$A:$A,0)))</f>
        <v>47.5387798885896</v>
      </c>
      <c r="AG131" s="93" t="n">
        <f aca="false">IF(AE131="","",INDEX(피어커브!$J:$J,MATCH(AE131,피어커브!$A:$A,0)))</f>
        <v>20.73676364145</v>
      </c>
      <c r="AH131" s="93" t="n">
        <f aca="false">IF(AE131="","",INDEX(피어커브!$L:$L,MATCH(AE131,피어커브!$A:$A,0)))</f>
        <v>13.6771810277023</v>
      </c>
      <c r="AI131" s="93" t="n">
        <f aca="false">IF(AE131="","",AF131+AG131*AA131)</f>
        <v>63.9453116414933</v>
      </c>
      <c r="AJ131" s="96" t="n">
        <f aca="false">IF(AE131="","",E131-AI131)</f>
        <v>-0.166311641493273</v>
      </c>
      <c r="AK131" s="95" t="n">
        <f aca="false">IF(AE131="","",IF(ISNUMBER(AH131),IF(AH131&gt;0,AJ131/AH131,""),""))</f>
        <v>-0.0121597894446538</v>
      </c>
      <c r="AL131" s="43" t="str">
        <f aca="false">IF(AK131="","-",IF(AK131&gt;=설정!$C$6,"Cheap",IF(AK131&lt;=-설정!$C$6,"Rich","Fair")))</f>
        <v>Fair</v>
      </c>
      <c r="AM131" s="96" t="n">
        <f aca="false">IF(AE131="","",AJ131-AVERAGEIFS($AJ$2:$AJ$601,$B$2:$B$601,B131,$Y$2:$Y$601,1))</f>
        <v>10.7246245267672</v>
      </c>
      <c r="AN131" s="93" t="n">
        <f aca="false">IF(AE131="",0,IF(K131&gt;1+설정!$C$8,AG131*(AA131-LN(K131-1)),0))</f>
        <v>12.5223472534599</v>
      </c>
      <c r="AO131" s="99" t="n">
        <f aca="false">IF($A131="",0,SUMIFS(보유분석!$AA$2:$AA$801,보유분석!$AB$2:$AB$801,ROW(),보유분석!$AC$2:$AC$801,1))</f>
        <v>0</v>
      </c>
      <c r="AP131" s="43" t="str">
        <f aca="false">IF($A131="","",TRIM(IF(R131=1,"FRN ","")&amp;IF(IFERROR(VLOOKUP(M131,설정!$A$15:$D$47,4,0),0)&gt;=10,IF(IFERROR(VLOOKUP(M131,설정!$A$15:$D$47,4,0),0)&lt;99,"BBB0미만 ",""),"")&amp;IF(OR(M131="",M131="NR"),"등급미입력 ","")&amp;IF(C131&lt;&gt;"USD","비USD ","")))</f>
        <v/>
      </c>
      <c r="AQ131" s="90" t="n">
        <f aca="false">IF(AND(Y131=1,AL131="Cheap"),IF(AND(ISERROR(SEARCH("FRN",AP131)),ISERROR(SEARCH("BBB0미만",AP131))),AK131+ROW()/1000000000,-999),-999)</f>
        <v>-999</v>
      </c>
      <c r="AR131" s="92" t="n">
        <f aca="false">IF(AND(ISNUMBER(D131),ISNUMBER(K131)),D131+AN131*MAX(K131-1,0)/100,"")</f>
        <v>5.50201950787673</v>
      </c>
      <c r="AS131" s="93" t="n">
        <f aca="false">IF(AND(ISNUMBER(E131),ISNUMBER(K131)),IF(K131&gt;0,(E131+AN131*MAX(K131-1,0))/K131,""),"")</f>
        <v>35.7574572926893</v>
      </c>
      <c r="AT131" s="90" t="n">
        <f aca="false">IFERROR(IF(AND(Y131=1,ROW()&lt;&gt;스왑분석!$C$12+1,ABS(K131-INDEX($K$2:$K$601,스왑분석!$C$12))&lt;=스왑분석!$C$5,ISERROR(SEARCH("FRN",AP131)),ISERROR(SEARCH("BBB0미만",AP131))),IF(AND(OR(스왑분석!$C$6="N",L131=INDEX($L$2:$L$601,스왑분석!$C$12)),OR(스왑분석!$C$7="N",N131=INDEX($N$2:$N$601,스왑분석!$C$12)),OR(스왑분석!$C$8="N",AO131=0),E131-INDEX($E$2:$E$601,스왑분석!$C$12)&gt;=스왑분석!$C$9),E131-INDEX($E$2:$E$601,스왑분석!$C$12)+ROW()/1000000000,-999),-999),-999)</f>
        <v>-999</v>
      </c>
      <c r="AU131" s="90" t="n">
        <f aca="false">IF(AND(Y131=1,AO131&gt;0,AL131="Rich"),-AK131+ROW()/1000000000,-999)</f>
        <v>-999</v>
      </c>
    </row>
    <row r="132" customFormat="false" ht="15" hidden="false" customHeight="false" outlineLevel="0" collapsed="false">
      <c r="A132" s="83" t="str">
        <f aca="false">IFERROR(IF(INDEX(원자료_시장!$A$1:$BZ$1000,설정!$L$6+ROW()-1,설정!$L$24)&amp;""="0","",INDEX(원자료_시장!$A$1:$BZ$1000,설정!$L$6+ROW()-1,설정!$L$24)),"")</f>
        <v>WFC 4.577 05/20/29</v>
      </c>
      <c r="B132" s="83" t="str">
        <f aca="false">IFERROR(IF(INDEX(원자료_시장!$A$1:$BZ$1000,설정!$L$6+ROW()-1,설정!$L$37)&amp;""="0","",INDEX(원자료_시장!$A$1:$BZ$1000,설정!$L$6+ROW()-1,설정!$L$37)),"")</f>
        <v>WELLS FARGO &amp; COMPANY</v>
      </c>
      <c r="C132" s="83" t="str">
        <f aca="false">IFERROR(IF(INDEX(원자료_시장!$A$1:$BZ$1000,설정!$L$6+ROW()-1,설정!$L$25)&amp;""="0","",INDEX(원자료_시장!$A$1:$BZ$1000,설정!$L$6+ROW()-1,설정!$L$25)),"")</f>
        <v>USD</v>
      </c>
      <c r="D132" s="85" t="n">
        <f aca="false">IFERROR(IF(ISNUMBER(INDEX(원자료_시장!$A$1:$BZ$1000,설정!$L$6+ROW()-1,설정!$L$26)),INDEX(원자료_시장!$A$1:$BZ$1000,설정!$L$6+ROW()-1,설정!$L$26),""),"")</f>
        <v>5.146</v>
      </c>
      <c r="E132" s="97" t="n">
        <f aca="false">IFERROR(IF(ISNUMBER(INDEX(원자료_시장!$A$1:$BZ$1000,설정!$L$6+ROW()-1,설정!$L$27)),INDEX(원자료_시장!$A$1:$BZ$1000,설정!$L$6+ROW()-1,설정!$L$27),""),"")</f>
        <v>55.866</v>
      </c>
      <c r="F132" s="97" t="n">
        <f aca="false">IFERROR(IF(ISNUMBER(INDEX(원자료_시장!$A$1:$BZ$1000,설정!$L$6+ROW()-1,설정!$L$28)),INDEX(원자료_시장!$A$1:$BZ$1000,설정!$L$6+ROW()-1,설정!$L$28),""),"")</f>
        <v>81.331</v>
      </c>
      <c r="G132" s="97" t="n">
        <f aca="false">IFERROR(IF(ISNUMBER(INDEX(원자료_시장!$A$1:$BZ$1000,설정!$L$6+ROW()-1,설정!$L$29)),INDEX(원자료_시장!$A$1:$BZ$1000,설정!$L$6+ROW()-1,설정!$L$29),""),"")</f>
        <v>0.1</v>
      </c>
      <c r="H132" s="97" t="n">
        <f aca="false">IFERROR(IF(ISNUMBER(INDEX(원자료_시장!$A$1:$BZ$1000,설정!$L$6+ROW()-1,설정!$L$30)),INDEX(원자료_시장!$A$1:$BZ$1000,설정!$L$6+ROW()-1,설정!$L$30),""),"")</f>
        <v>10.4</v>
      </c>
      <c r="I132" s="97" t="n">
        <f aca="false">IFERROR(IF(ISNUMBER(INDEX(원자료_시장!$A$1:$BZ$1000,설정!$L$6+ROW()-1,설정!$L$31)),INDEX(원자료_시장!$A$1:$BZ$1000,설정!$L$6+ROW()-1,설정!$L$31),""),"")</f>
        <v>-3.1</v>
      </c>
      <c r="J132" s="97" t="n">
        <f aca="false">IFERROR(IF(ISNUMBER(INDEX(원자료_시장!$A$1:$BZ$1000,설정!$L$6+ROW()-1,설정!$L$32)),INDEX(원자료_시장!$A$1:$BZ$1000,설정!$L$6+ROW()-1,설정!$L$32),""),"")</f>
        <v>-17.8</v>
      </c>
      <c r="K132" s="85" t="n">
        <f aca="false">IFERROR(IF(ISNUMBER(INDEX(원자료_시장!$A$1:$BZ$1000,설정!$L$6+ROW()-1,설정!$L$33)),INDEX(원자료_시장!$A$1:$BZ$1000,설정!$L$6+ROW()-1,설정!$L$33),""),"")</f>
        <v>1.567</v>
      </c>
      <c r="L132" s="83" t="str">
        <f aca="false">IFERROR(IF(INDEX(원자료_시장!$A$1:$BZ$1000,설정!$L$6+ROW()-1,설정!$L$34)&amp;""="0","",INDEX(원자료_시장!$A$1:$BZ$1000,설정!$L$6+ROW()-1,설정!$L$34)),"")</f>
        <v>금융기관</v>
      </c>
      <c r="M132" s="83" t="str">
        <f aca="false">IFERROR(IF(INDEX(원자료_시장!$A$1:$BZ$1000,설정!$L$6+ROW()-1,설정!$L$35)&amp;""="0","",INDEX(원자료_시장!$A$1:$BZ$1000,설정!$L$6+ROW()-1,설정!$L$35)),"")</f>
        <v>A-</v>
      </c>
      <c r="N132" s="83" t="str">
        <f aca="false">IFERROR(IF(INDEX(원자료_시장!$A$1:$BZ$1000,설정!$L$6+ROW()-1,설정!$L$36)&amp;""="0","",INDEX(원자료_시장!$A$1:$BZ$1000,설정!$L$6+ROW()-1,설정!$L$36)),"")</f>
        <v>미국</v>
      </c>
      <c r="O132" s="43" t="str">
        <f aca="false">IF($A132="","",UPPER(LEFT($A132,FIND(" ",$A132&amp;" ")-1)))</f>
        <v>WFC</v>
      </c>
      <c r="P132" s="43" t="str">
        <f aca="false">IF($A132="","",TRIM(RIGHT(SUBSTITUTE(TRIM($A132)," ",REPT(" ",30)),30)))</f>
        <v>05/20/29</v>
      </c>
      <c r="Q132" s="98" t="n">
        <f aca="false">IF($A132="","",IFERROR(DATE(IF(LEN(P132)=8,2000+VALUE(RIGHT(P132,2)),VALUE(RIGHT(P132,4))),VALUE(LEFT(P132,2)),VALUE(MID(P132,4,2))),""))</f>
        <v>47258</v>
      </c>
      <c r="R132" s="89" t="n">
        <f aca="false">IF($A132="",0,IF(ISNUMBER(SEARCH("Float",$A132)),1,0))</f>
        <v>0</v>
      </c>
      <c r="S132" s="43" t="str">
        <f aca="false">IF($A132="","",TRIM(MID($A132,LEN(O132)+2,LEN($A132)-LEN(O132)-LEN(P132)-1)))</f>
        <v>4.577</v>
      </c>
      <c r="T132" s="92" t="n">
        <f aca="false">IF(OR($A132="",R132=1),"",IFERROR(IF(ISNUMBER(FIND("/",S132)),IF(ISNUMBER(FIND(" ",S132)),VALUE(LEFT(S132,FIND(" ",S132)-1))+VALUE(MID(S132,FIND(" ",S132)+1,FIND("/",S132)-FIND(" ",S132)-1))/VALUE(MID(S132,FIND("/",S132)+1,9)),VALUE(LEFT(S132,FIND("/",S132)-1))/VALUE(MID(S132,FIND("/",S132)+1,9))),VALUE(S132)),""))</f>
        <v>4.577</v>
      </c>
      <c r="U132" s="43" t="str">
        <f aca="false">IF(OR($A132="",NOT(ISNUMBER(Q132))),"",TEXT(Q132,"yyyymmdd")&amp;"|"&amp;IF(R132=1,"F",TEXT(T132,"0.000")))</f>
        <v>20290520|4.577</v>
      </c>
      <c r="V132" s="43" t="str">
        <f aca="false">IF(U132="","",O132&amp;"|"&amp;U132)</f>
        <v>WFC|20290520|4.577</v>
      </c>
      <c r="W132" s="43" t="str">
        <f aca="false">IF($A132="","",IFERROR(IF(VLOOKUP(O132,매핑!$A$4:$E$92,3,0)="","미분류",VLOOKUP(O132,매핑!$A$4:$E$92,3,0)),"미분류"))</f>
        <v>미국</v>
      </c>
      <c r="X132" s="89" t="n">
        <f aca="false">IF($A132="",0,IF(O132="T",1,0))</f>
        <v>0</v>
      </c>
      <c r="Y132" s="89" t="n">
        <f aca="false">IF($A132="",0,IF(AND(C132="USD",X132=0,ISNUMBER(E132),ISNUMBER(K132)),IF(K132&gt;=설정!$C$8,1,0),0))</f>
        <v>1</v>
      </c>
      <c r="Z132" s="43" t="str">
        <f aca="false">IF($A132="","",N132&amp;"|"&amp;L132)</f>
        <v>미국|금융기관</v>
      </c>
      <c r="AA132" s="92" t="n">
        <f aca="false">IF(Y132=1,LN(K132),0)</f>
        <v>0.449162963373884</v>
      </c>
      <c r="AB132" s="93" t="n">
        <f aca="false">IF(Y132=1,E132,0)</f>
        <v>55.866</v>
      </c>
      <c r="AC132" s="89" t="n">
        <f aca="false">IF(Y132=1,COUNTIFS($Z$2:$Z$601,Z132,$Y$2:$Y$601,1),0)</f>
        <v>28</v>
      </c>
      <c r="AD132" s="89" t="n">
        <f aca="false">IF(Y132=1,COUNTIFS($N$2:$N$601,N132,$Y$2:$Y$601,1),0)</f>
        <v>49</v>
      </c>
      <c r="AE132" s="43" t="str">
        <f aca="false">IF(Y132&lt;&gt;1,"",IF(AND(AC132&gt;=설정!$C$7,ISNUMBER(MATCH(Z132,피어커브!$A:$A,0))),Z132,IF(AND(AD132&gt;=설정!$C$7,ISNUMBER(MATCH(N132&amp;"|전체",피어커브!$A:$A,0))),N132&amp;"|전체","전체|전체")))</f>
        <v>미국|금융기관</v>
      </c>
      <c r="AF132" s="93" t="n">
        <f aca="false">IF(AE132="","",INDEX(피어커브!$K:$K,MATCH(AE132,피어커브!$A:$A,0)))</f>
        <v>47.5387798885896</v>
      </c>
      <c r="AG132" s="93" t="n">
        <f aca="false">IF(AE132="","",INDEX(피어커브!$J:$J,MATCH(AE132,피어커브!$A:$A,0)))</f>
        <v>20.73676364145</v>
      </c>
      <c r="AH132" s="93" t="n">
        <f aca="false">IF(AE132="","",INDEX(피어커브!$L:$L,MATCH(AE132,피어커브!$A:$A,0)))</f>
        <v>13.6771810277023</v>
      </c>
      <c r="AI132" s="93" t="n">
        <f aca="false">IF(AE132="","",AF132+AG132*AA132)</f>
        <v>56.8529660965671</v>
      </c>
      <c r="AJ132" s="96" t="n">
        <f aca="false">IF(AE132="","",E132-AI132)</f>
        <v>-0.986966096567102</v>
      </c>
      <c r="AK132" s="95" t="n">
        <f aca="false">IF(AE132="","",IF(ISNUMBER(AH132),IF(AH132&gt;0,AJ132/AH132,""),""))</f>
        <v>-0.0721615144647177</v>
      </c>
      <c r="AL132" s="43" t="str">
        <f aca="false">IF(AK132="","-",IF(AK132&gt;=설정!$C$6,"Cheap",IF(AK132&lt;=-설정!$C$6,"Rich","Fair")))</f>
        <v>Fair</v>
      </c>
      <c r="AM132" s="96" t="n">
        <f aca="false">IF(AE132="","",AJ132-AVERAGEIFS($AJ$2:$AJ$601,$B$2:$B$601,B132,$Y$2:$Y$601,1))</f>
        <v>9.90397007169342</v>
      </c>
      <c r="AN132" s="93" t="n">
        <f aca="false">IF(AE132="",0,IF(K132&gt;1+설정!$C$8,AG132*(AA132-LN(K132-1)),0))</f>
        <v>21.0801424379377</v>
      </c>
      <c r="AO132" s="99" t="n">
        <f aca="false">IF($A132="",0,SUMIFS(보유분석!$AA$2:$AA$801,보유분석!$AB$2:$AB$801,ROW(),보유분석!$AC$2:$AC$801,1))</f>
        <v>4.936395</v>
      </c>
      <c r="AP132" s="43" t="str">
        <f aca="false">IF($A132="","",TRIM(IF(R132=1,"FRN ","")&amp;IF(IFERROR(VLOOKUP(M132,설정!$A$15:$D$47,4,0),0)&gt;=10,IF(IFERROR(VLOOKUP(M132,설정!$A$15:$D$47,4,0),0)&lt;99,"BBB0미만 ",""),"")&amp;IF(OR(M132="",M132="NR"),"등급미입력 ","")&amp;IF(C132&lt;&gt;"USD","비USD ","")))</f>
        <v/>
      </c>
      <c r="AQ132" s="90" t="n">
        <f aca="false">IF(AND(Y132=1,AL132="Cheap"),IF(AND(ISERROR(SEARCH("FRN",AP132)),ISERROR(SEARCH("BBB0미만",AP132))),AK132+ROW()/1000000000,-999),-999)</f>
        <v>-999</v>
      </c>
      <c r="AR132" s="92" t="n">
        <f aca="false">IF(AND(ISNUMBER(D132),ISNUMBER(K132)),D132+AN132*MAX(K132-1,0)/100,"")</f>
        <v>5.26552440762311</v>
      </c>
      <c r="AS132" s="93" t="n">
        <f aca="false">IF(AND(ISNUMBER(E132),ISNUMBER(K132)),IF(K132&gt;0,(E132+AN132*MAX(K132-1,0))/K132,""),"")</f>
        <v>43.2791581125148</v>
      </c>
      <c r="AT132" s="90" t="n">
        <f aca="false">IFERROR(IF(AND(Y132=1,ROW()&lt;&gt;스왑분석!$C$12+1,ABS(K132-INDEX($K$2:$K$601,스왑분석!$C$12))&lt;=스왑분석!$C$5,ISERROR(SEARCH("FRN",AP132)),ISERROR(SEARCH("BBB0미만",AP132))),IF(AND(OR(스왑분석!$C$6="N",L132=INDEX($L$2:$L$601,스왑분석!$C$12)),OR(스왑분석!$C$7="N",N132=INDEX($N$2:$N$601,스왑분석!$C$12)),OR(스왑분석!$C$8="N",AO132=0),E132-INDEX($E$2:$E$601,스왑분석!$C$12)&gt;=스왑분석!$C$9),E132-INDEX($E$2:$E$601,스왑분석!$C$12)+ROW()/1000000000,-999),-999),-999)</f>
        <v>-999</v>
      </c>
      <c r="AU132" s="90" t="n">
        <f aca="false">IF(AND(Y132=1,AO132&gt;0,AL132="Rich"),-AK132+ROW()/1000000000,-999)</f>
        <v>-999</v>
      </c>
    </row>
    <row r="133" customFormat="false" ht="15" hidden="false" customHeight="false" outlineLevel="0" collapsed="false">
      <c r="A133" s="83" t="str">
        <f aca="false">IFERROR(IF(INDEX(원자료_시장!$A$1:$BZ$1000,설정!$L$6+ROW()-1,설정!$L$24)&amp;""="0","",INDEX(원자료_시장!$A$1:$BZ$1000,설정!$L$6+ROW()-1,설정!$L$24)),"")</f>
        <v>WFC 4.844 05/20/32</v>
      </c>
      <c r="B133" s="83" t="str">
        <f aca="false">IFERROR(IF(INDEX(원자료_시장!$A$1:$BZ$1000,설정!$L$6+ROW()-1,설정!$L$37)&amp;""="0","",INDEX(원자료_시장!$A$1:$BZ$1000,설정!$L$6+ROW()-1,설정!$L$37)),"")</f>
        <v>WELLS FARGO &amp; COMPANY</v>
      </c>
      <c r="C133" s="83" t="str">
        <f aca="false">IFERROR(IF(INDEX(원자료_시장!$A$1:$BZ$1000,설정!$L$6+ROW()-1,설정!$L$25)&amp;""="0","",INDEX(원자료_시장!$A$1:$BZ$1000,설정!$L$6+ROW()-1,설정!$L$25)),"")</f>
        <v>USD</v>
      </c>
      <c r="D133" s="85" t="n">
        <f aca="false">IFERROR(IF(ISNUMBER(INDEX(원자료_시장!$A$1:$BZ$1000,설정!$L$6+ROW()-1,설정!$L$26)),INDEX(원자료_시장!$A$1:$BZ$1000,설정!$L$6+ROW()-1,설정!$L$26),""),"")</f>
        <v>5.71</v>
      </c>
      <c r="E133" s="97" t="n">
        <f aca="false">IFERROR(IF(ISNUMBER(INDEX(원자료_시장!$A$1:$BZ$1000,설정!$L$6+ROW()-1,설정!$L$27)),INDEX(원자료_시장!$A$1:$BZ$1000,설정!$L$6+ROW()-1,설정!$L$27),""),"")</f>
        <v>78.071</v>
      </c>
      <c r="F133" s="97" t="n">
        <f aca="false">IFERROR(IF(ISNUMBER(INDEX(원자료_시장!$A$1:$BZ$1000,설정!$L$6+ROW()-1,설정!$L$28)),INDEX(원자료_시장!$A$1:$BZ$1000,설정!$L$6+ROW()-1,설정!$L$28),""),"")</f>
        <v>111.64</v>
      </c>
      <c r="G133" s="97" t="n">
        <f aca="false">IFERROR(IF(ISNUMBER(INDEX(원자료_시장!$A$1:$BZ$1000,설정!$L$6+ROW()-1,설정!$L$29)),INDEX(원자료_시장!$A$1:$BZ$1000,설정!$L$6+ROW()-1,설정!$L$29),""),"")</f>
        <v>-2.1</v>
      </c>
      <c r="H133" s="97" t="n">
        <f aca="false">IFERROR(IF(ISNUMBER(INDEX(원자료_시장!$A$1:$BZ$1000,설정!$L$6+ROW()-1,설정!$L$30)),INDEX(원자료_시장!$A$1:$BZ$1000,설정!$L$6+ROW()-1,설정!$L$30),""),"")</f>
        <v>5.4</v>
      </c>
      <c r="I133" s="97" t="n">
        <f aca="false">IFERROR(IF(ISNUMBER(INDEX(원자료_시장!$A$1:$BZ$1000,설정!$L$6+ROW()-1,설정!$L$31)),INDEX(원자료_시장!$A$1:$BZ$1000,설정!$L$6+ROW()-1,설정!$L$31),""),"")</f>
        <v>-0.3</v>
      </c>
      <c r="J133" s="97" t="n">
        <f aca="false">IFERROR(IF(ISNUMBER(INDEX(원자료_시장!$A$1:$BZ$1000,설정!$L$6+ROW()-1,설정!$L$32)),INDEX(원자료_시장!$A$1:$BZ$1000,설정!$L$6+ROW()-1,설정!$L$32),""),"")</f>
        <v>-5</v>
      </c>
      <c r="K133" s="85" t="n">
        <f aca="false">IFERROR(IF(ISNUMBER(INDEX(원자료_시장!$A$1:$BZ$1000,설정!$L$6+ROW()-1,설정!$L$33)),INDEX(원자료_시장!$A$1:$BZ$1000,설정!$L$6+ROW()-1,설정!$L$33),""),"")</f>
        <v>4.12</v>
      </c>
      <c r="L133" s="83" t="str">
        <f aca="false">IFERROR(IF(INDEX(원자료_시장!$A$1:$BZ$1000,설정!$L$6+ROW()-1,설정!$L$34)&amp;""="0","",INDEX(원자료_시장!$A$1:$BZ$1000,설정!$L$6+ROW()-1,설정!$L$34)),"")</f>
        <v>금융기관</v>
      </c>
      <c r="M133" s="83" t="str">
        <f aca="false">IFERROR(IF(INDEX(원자료_시장!$A$1:$BZ$1000,설정!$L$6+ROW()-1,설정!$L$35)&amp;""="0","",INDEX(원자료_시장!$A$1:$BZ$1000,설정!$L$6+ROW()-1,설정!$L$35)),"")</f>
        <v>A-</v>
      </c>
      <c r="N133" s="83" t="str">
        <f aca="false">IFERROR(IF(INDEX(원자료_시장!$A$1:$BZ$1000,설정!$L$6+ROW()-1,설정!$L$36)&amp;""="0","",INDEX(원자료_시장!$A$1:$BZ$1000,설정!$L$6+ROW()-1,설정!$L$36)),"")</f>
        <v>미국</v>
      </c>
      <c r="O133" s="43" t="str">
        <f aca="false">IF($A133="","",UPPER(LEFT($A133,FIND(" ",$A133&amp;" ")-1)))</f>
        <v>WFC</v>
      </c>
      <c r="P133" s="43" t="str">
        <f aca="false">IF($A133="","",TRIM(RIGHT(SUBSTITUTE(TRIM($A133)," ",REPT(" ",30)),30)))</f>
        <v>05/20/32</v>
      </c>
      <c r="Q133" s="98" t="n">
        <f aca="false">IF($A133="","",IFERROR(DATE(IF(LEN(P133)=8,2000+VALUE(RIGHT(P133,2)),VALUE(RIGHT(P133,4))),VALUE(LEFT(P133,2)),VALUE(MID(P133,4,2))),""))</f>
        <v>48354</v>
      </c>
      <c r="R133" s="89" t="n">
        <f aca="false">IF($A133="",0,IF(ISNUMBER(SEARCH("Float",$A133)),1,0))</f>
        <v>0</v>
      </c>
      <c r="S133" s="43" t="str">
        <f aca="false">IF($A133="","",TRIM(MID($A133,LEN(O133)+2,LEN($A133)-LEN(O133)-LEN(P133)-1)))</f>
        <v>4.844</v>
      </c>
      <c r="T133" s="92" t="n">
        <f aca="false">IF(OR($A133="",R133=1),"",IFERROR(IF(ISNUMBER(FIND("/",S133)),IF(ISNUMBER(FIND(" ",S133)),VALUE(LEFT(S133,FIND(" ",S133)-1))+VALUE(MID(S133,FIND(" ",S133)+1,FIND("/",S133)-FIND(" ",S133)-1))/VALUE(MID(S133,FIND("/",S133)+1,9)),VALUE(LEFT(S133,FIND("/",S133)-1))/VALUE(MID(S133,FIND("/",S133)+1,9))),VALUE(S133)),""))</f>
        <v>4.844</v>
      </c>
      <c r="U133" s="43" t="str">
        <f aca="false">IF(OR($A133="",NOT(ISNUMBER(Q133))),"",TEXT(Q133,"yyyymmdd")&amp;"|"&amp;IF(R133=1,"F",TEXT(T133,"0.000")))</f>
        <v>20320520|4.844</v>
      </c>
      <c r="V133" s="43" t="str">
        <f aca="false">IF(U133="","",O133&amp;"|"&amp;U133)</f>
        <v>WFC|20320520|4.844</v>
      </c>
      <c r="W133" s="43" t="str">
        <f aca="false">IF($A133="","",IFERROR(IF(VLOOKUP(O133,매핑!$A$4:$E$92,3,0)="","미분류",VLOOKUP(O133,매핑!$A$4:$E$92,3,0)),"미분류"))</f>
        <v>미국</v>
      </c>
      <c r="X133" s="89" t="n">
        <f aca="false">IF($A133="",0,IF(O133="T",1,0))</f>
        <v>0</v>
      </c>
      <c r="Y133" s="89" t="n">
        <f aca="false">IF($A133="",0,IF(AND(C133="USD",X133=0,ISNUMBER(E133),ISNUMBER(K133)),IF(K133&gt;=설정!$C$8,1,0),0))</f>
        <v>1</v>
      </c>
      <c r="Z133" s="43" t="str">
        <f aca="false">IF($A133="","",N133&amp;"|"&amp;L133)</f>
        <v>미국|금융기관</v>
      </c>
      <c r="AA133" s="92" t="n">
        <f aca="false">IF(Y133=1,LN(K133),0)</f>
        <v>1.41585316336144</v>
      </c>
      <c r="AB133" s="93" t="n">
        <f aca="false">IF(Y133=1,E133,0)</f>
        <v>78.071</v>
      </c>
      <c r="AC133" s="89" t="n">
        <f aca="false">IF(Y133=1,COUNTIFS($Z$2:$Z$601,Z133,$Y$2:$Y$601,1),0)</f>
        <v>28</v>
      </c>
      <c r="AD133" s="89" t="n">
        <f aca="false">IF(Y133=1,COUNTIFS($N$2:$N$601,N133,$Y$2:$Y$601,1),0)</f>
        <v>49</v>
      </c>
      <c r="AE133" s="43" t="str">
        <f aca="false">IF(Y133&lt;&gt;1,"",IF(AND(AC133&gt;=설정!$C$7,ISNUMBER(MATCH(Z133,피어커브!$A:$A,0))),Z133,IF(AND(AD133&gt;=설정!$C$7,ISNUMBER(MATCH(N133&amp;"|전체",피어커브!$A:$A,0))),N133&amp;"|전체","전체|전체")))</f>
        <v>미국|금융기관</v>
      </c>
      <c r="AF133" s="93" t="n">
        <f aca="false">IF(AE133="","",INDEX(피어커브!$K:$K,MATCH(AE133,피어커브!$A:$A,0)))</f>
        <v>47.5387798885896</v>
      </c>
      <c r="AG133" s="93" t="n">
        <f aca="false">IF(AE133="","",INDEX(피어커브!$J:$J,MATCH(AE133,피어커브!$A:$A,0)))</f>
        <v>20.73676364145</v>
      </c>
      <c r="AH133" s="93" t="n">
        <f aca="false">IF(AE133="","",INDEX(피어커브!$L:$L,MATCH(AE133,피어커브!$A:$A,0)))</f>
        <v>13.6771810277023</v>
      </c>
      <c r="AI133" s="93" t="n">
        <f aca="false">IF(AE133="","",AF133+AG133*AA133)</f>
        <v>76.898992288215</v>
      </c>
      <c r="AJ133" s="96" t="n">
        <f aca="false">IF(AE133="","",E133-AI133)</f>
        <v>1.17200771178499</v>
      </c>
      <c r="AK133" s="95" t="n">
        <f aca="false">IF(AE133="","",IF(ISNUMBER(AH133),IF(AH133&gt;0,AJ133/AH133,""),""))</f>
        <v>0.0856907362278203</v>
      </c>
      <c r="AL133" s="43" t="str">
        <f aca="false">IF(AK133="","-",IF(AK133&gt;=설정!$C$6,"Cheap",IF(AK133&lt;=-설정!$C$6,"Rich","Fair")))</f>
        <v>Fair</v>
      </c>
      <c r="AM133" s="96" t="n">
        <f aca="false">IF(AE133="","",AJ133-AVERAGEIFS($AJ$2:$AJ$601,$B$2:$B$601,B133,$Y$2:$Y$601,1))</f>
        <v>12.0629438800455</v>
      </c>
      <c r="AN133" s="93" t="n">
        <f aca="false">IF(AE133="",0,IF(K133&gt;1+설정!$C$8,AG133*(AA133-LN(K133-1)),0))</f>
        <v>5.76523837741365</v>
      </c>
      <c r="AO133" s="99" t="n">
        <f aca="false">IF($A133="",0,SUMIFS(보유분석!$AA$2:$AA$801,보유분석!$AB$2:$AB$801,ROW(),보유분석!$AC$2:$AC$801,1))</f>
        <v>0</v>
      </c>
      <c r="AP133" s="43" t="str">
        <f aca="false">IF($A133="","",TRIM(IF(R133=1,"FRN ","")&amp;IF(IFERROR(VLOOKUP(M133,설정!$A$15:$D$47,4,0),0)&gt;=10,IF(IFERROR(VLOOKUP(M133,설정!$A$15:$D$47,4,0),0)&lt;99,"BBB0미만 ",""),"")&amp;IF(OR(M133="",M133="NR"),"등급미입력 ","")&amp;IF(C133&lt;&gt;"USD","비USD ","")))</f>
        <v/>
      </c>
      <c r="AQ133" s="90" t="n">
        <f aca="false">IF(AND(Y133=1,AL133="Cheap"),IF(AND(ISERROR(SEARCH("FRN",AP133)),ISERROR(SEARCH("BBB0미만",AP133))),AK133+ROW()/1000000000,-999),-999)</f>
        <v>-999</v>
      </c>
      <c r="AR133" s="92" t="n">
        <f aca="false">IF(AND(ISNUMBER(D133),ISNUMBER(K133)),D133+AN133*MAX(K133-1,0)/100,"")</f>
        <v>5.88987543737531</v>
      </c>
      <c r="AS133" s="93" t="n">
        <f aca="false">IF(AND(ISNUMBER(E133),ISNUMBER(K133)),IF(K133&gt;0,(E133+AN133*MAX(K133-1,0))/K133,""),"")</f>
        <v>23.3151805188181</v>
      </c>
      <c r="AT133" s="90" t="n">
        <f aca="false">IFERROR(IF(AND(Y133=1,ROW()&lt;&gt;스왑분석!$C$12+1,ABS(K133-INDEX($K$2:$K$601,스왑분석!$C$12))&lt;=스왑분석!$C$5,ISERROR(SEARCH("FRN",AP133)),ISERROR(SEARCH("BBB0미만",AP133))),IF(AND(OR(스왑분석!$C$6="N",L133=INDEX($L$2:$L$601,스왑분석!$C$12)),OR(스왑분석!$C$7="N",N133=INDEX($N$2:$N$601,스왑분석!$C$12)),OR(스왑분석!$C$8="N",AO133=0),E133-INDEX($E$2:$E$601,스왑분석!$C$12)&gt;=스왑분석!$C$9),E133-INDEX($E$2:$E$601,스왑분석!$C$12)+ROW()/1000000000,-999),-999),-999)</f>
        <v>29.579000133</v>
      </c>
      <c r="AU133" s="90" t="n">
        <f aca="false">IF(AND(Y133=1,AO133&gt;0,AL133="Rich"),-AK133+ROW()/1000000000,-999)</f>
        <v>-999</v>
      </c>
    </row>
    <row r="134" customFormat="false" ht="15" hidden="false" customHeight="false" outlineLevel="0" collapsed="false">
      <c r="A134" s="83" t="str">
        <f aca="false">IFERROR(IF(INDEX(원자료_시장!$A$1:$BZ$1000,설정!$L$6+ROW()-1,설정!$L$24)&amp;""="0","",INDEX(원자료_시장!$A$1:$BZ$1000,설정!$L$6+ROW()-1,설정!$L$24)),"")</f>
        <v>WOORIB 4 3/4 01/24/29</v>
      </c>
      <c r="B134" s="83" t="str">
        <f aca="false">IFERROR(IF(INDEX(원자료_시장!$A$1:$BZ$1000,설정!$L$6+ROW()-1,설정!$L$37)&amp;""="0","",INDEX(원자료_시장!$A$1:$BZ$1000,설정!$L$6+ROW()-1,설정!$L$37)),"")</f>
        <v>WOORI BANK</v>
      </c>
      <c r="C134" s="83" t="str">
        <f aca="false">IFERROR(IF(INDEX(원자료_시장!$A$1:$BZ$1000,설정!$L$6+ROW()-1,설정!$L$25)&amp;""="0","",INDEX(원자료_시장!$A$1:$BZ$1000,설정!$L$6+ROW()-1,설정!$L$25)),"")</f>
        <v>USD</v>
      </c>
      <c r="D134" s="85" t="n">
        <f aca="false">IFERROR(IF(ISNUMBER(INDEX(원자료_시장!$A$1:$BZ$1000,설정!$L$6+ROW()-1,설정!$L$26)),INDEX(원자료_시장!$A$1:$BZ$1000,설정!$L$6+ROW()-1,설정!$L$26),""),"")</f>
        <v>5.255</v>
      </c>
      <c r="E134" s="97" t="n">
        <f aca="false">IFERROR(IF(ISNUMBER(INDEX(원자료_시장!$A$1:$BZ$1000,설정!$L$6+ROW()-1,설정!$L$27)),INDEX(원자료_시장!$A$1:$BZ$1000,설정!$L$6+ROW()-1,설정!$L$27),""),"")</f>
        <v>25.503</v>
      </c>
      <c r="F134" s="97" t="n">
        <f aca="false">IFERROR(IF(ISNUMBER(INDEX(원자료_시장!$A$1:$BZ$1000,설정!$L$6+ROW()-1,설정!$L$28)),INDEX(원자료_시장!$A$1:$BZ$1000,설정!$L$6+ROW()-1,설정!$L$28),""),"")</f>
        <v>54.972</v>
      </c>
      <c r="G134" s="97" t="n">
        <f aca="false">IFERROR(IF(ISNUMBER(INDEX(원자료_시장!$A$1:$BZ$1000,설정!$L$6+ROW()-1,설정!$L$29)),INDEX(원자료_시장!$A$1:$BZ$1000,설정!$L$6+ROW()-1,설정!$L$29),""),"")</f>
        <v>-0.1</v>
      </c>
      <c r="H134" s="97" t="n">
        <f aca="false">IFERROR(IF(ISNUMBER(INDEX(원자료_시장!$A$1:$BZ$1000,설정!$L$6+ROW()-1,설정!$L$30)),INDEX(원자료_시장!$A$1:$BZ$1000,설정!$L$6+ROW()-1,설정!$L$30),""),"")</f>
        <v>6.5</v>
      </c>
      <c r="I134" s="97" t="n">
        <f aca="false">IFERROR(IF(ISNUMBER(INDEX(원자료_시장!$A$1:$BZ$1000,설정!$L$6+ROW()-1,설정!$L$31)),INDEX(원자료_시장!$A$1:$BZ$1000,설정!$L$6+ROW()-1,설정!$L$31),""),"")</f>
        <v>0.4</v>
      </c>
      <c r="J134" s="97" t="n">
        <f aca="false">IFERROR(IF(ISNUMBER(INDEX(원자료_시장!$A$1:$BZ$1000,설정!$L$6+ROW()-1,설정!$L$32)),INDEX(원자료_시장!$A$1:$BZ$1000,설정!$L$6+ROW()-1,설정!$L$32),""),"")</f>
        <v>-8.1</v>
      </c>
      <c r="K134" s="85" t="n">
        <f aca="false">IFERROR(IF(ISNUMBER(INDEX(원자료_시장!$A$1:$BZ$1000,설정!$L$6+ROW()-1,설정!$L$33)),INDEX(원자료_시장!$A$1:$BZ$1000,설정!$L$6+ROW()-1,설정!$L$33),""),"")</f>
        <v>2.197</v>
      </c>
      <c r="L134" s="83" t="str">
        <f aca="false">IFERROR(IF(INDEX(원자료_시장!$A$1:$BZ$1000,설정!$L$6+ROW()-1,설정!$L$34)&amp;""="0","",INDEX(원자료_시장!$A$1:$BZ$1000,설정!$L$6+ROW()-1,설정!$L$34)),"")</f>
        <v>금융기관</v>
      </c>
      <c r="M134" s="83" t="str">
        <f aca="false">IFERROR(IF(INDEX(원자료_시장!$A$1:$BZ$1000,설정!$L$6+ROW()-1,설정!$L$35)&amp;""="0","",INDEX(원자료_시장!$A$1:$BZ$1000,설정!$L$6+ROW()-1,설정!$L$35)),"")</f>
        <v>A+</v>
      </c>
      <c r="N134" s="83" t="str">
        <f aca="false">IFERROR(IF(INDEX(원자료_시장!$A$1:$BZ$1000,설정!$L$6+ROW()-1,설정!$L$36)&amp;""="0","",INDEX(원자료_시장!$A$1:$BZ$1000,설정!$L$6+ROW()-1,설정!$L$36)),"")</f>
        <v>아시아/기타</v>
      </c>
      <c r="O134" s="43" t="str">
        <f aca="false">IF($A134="","",UPPER(LEFT($A134,FIND(" ",$A134&amp;" ")-1)))</f>
        <v>WOORIB</v>
      </c>
      <c r="P134" s="43" t="str">
        <f aca="false">IF($A134="","",TRIM(RIGHT(SUBSTITUTE(TRIM($A134)," ",REPT(" ",30)),30)))</f>
        <v>01/24/29</v>
      </c>
      <c r="Q134" s="98" t="n">
        <f aca="false">IF($A134="","",IFERROR(DATE(IF(LEN(P134)=8,2000+VALUE(RIGHT(P134,2)),VALUE(RIGHT(P134,4))),VALUE(LEFT(P134,2)),VALUE(MID(P134,4,2))),""))</f>
        <v>47142</v>
      </c>
      <c r="R134" s="89" t="n">
        <f aca="false">IF($A134="",0,IF(ISNUMBER(SEARCH("Float",$A134)),1,0))</f>
        <v>0</v>
      </c>
      <c r="S134" s="43" t="str">
        <f aca="false">IF($A134="","",TRIM(MID($A134,LEN(O134)+2,LEN($A134)-LEN(O134)-LEN(P134)-1)))</f>
        <v>4 3/4</v>
      </c>
      <c r="T134" s="92" t="n">
        <f aca="false">IF(OR($A134="",R134=1),"",IFERROR(IF(ISNUMBER(FIND("/",S134)),IF(ISNUMBER(FIND(" ",S134)),VALUE(LEFT(S134,FIND(" ",S134)-1))+VALUE(MID(S134,FIND(" ",S134)+1,FIND("/",S134)-FIND(" ",S134)-1))/VALUE(MID(S134,FIND("/",S134)+1,9)),VALUE(LEFT(S134,FIND("/",S134)-1))/VALUE(MID(S134,FIND("/",S134)+1,9))),VALUE(S134)),""))</f>
        <v>4.75</v>
      </c>
      <c r="U134" s="43" t="str">
        <f aca="false">IF(OR($A134="",NOT(ISNUMBER(Q134))),"",TEXT(Q134,"yyyymmdd")&amp;"|"&amp;IF(R134=1,"F",TEXT(T134,"0.000")))</f>
        <v>20290124|4.750</v>
      </c>
      <c r="V134" s="43" t="str">
        <f aca="false">IF(U134="","",O134&amp;"|"&amp;U134)</f>
        <v>WOORIB|20290124|4.750</v>
      </c>
      <c r="W134" s="43" t="str">
        <f aca="false">IF($A134="","",IFERROR(IF(VLOOKUP(O134,매핑!$A$4:$E$92,3,0)="","미분류",VLOOKUP(O134,매핑!$A$4:$E$92,3,0)),"미분류"))</f>
        <v>한국</v>
      </c>
      <c r="X134" s="89" t="n">
        <f aca="false">IF($A134="",0,IF(O134="T",1,0))</f>
        <v>0</v>
      </c>
      <c r="Y134" s="89" t="n">
        <f aca="false">IF($A134="",0,IF(AND(C134="USD",X134=0,ISNUMBER(E134),ISNUMBER(K134)),IF(K134&gt;=설정!$C$8,1,0),0))</f>
        <v>1</v>
      </c>
      <c r="Z134" s="43" t="str">
        <f aca="false">IF($A134="","",N134&amp;"|"&amp;L134)</f>
        <v>아시아/기타|금융기관</v>
      </c>
      <c r="AA134" s="92" t="n">
        <f aca="false">IF(Y134=1,LN(K134),0)</f>
        <v>0.787092793402473</v>
      </c>
      <c r="AB134" s="93" t="n">
        <f aca="false">IF(Y134=1,E134,0)</f>
        <v>25.503</v>
      </c>
      <c r="AC134" s="89" t="n">
        <f aca="false">IF(Y134=1,COUNTIFS($Z$2:$Z$601,Z134,$Y$2:$Y$601,1),0)</f>
        <v>42</v>
      </c>
      <c r="AD134" s="89" t="n">
        <f aca="false">IF(Y134=1,COUNTIFS($N$2:$N$601,N134,$Y$2:$Y$601,1),0)</f>
        <v>137</v>
      </c>
      <c r="AE134" s="43" t="str">
        <f aca="false">IF(Y134&lt;&gt;1,"",IF(AND(AC134&gt;=설정!$C$7,ISNUMBER(MATCH(Z134,피어커브!$A:$A,0))),Z134,IF(AND(AD134&gt;=설정!$C$7,ISNUMBER(MATCH(N134&amp;"|전체",피어커브!$A:$A,0))),N134&amp;"|전체","전체|전체")))</f>
        <v>아시아/기타|금융기관</v>
      </c>
      <c r="AF134" s="93" t="n">
        <f aca="false">IF(AE134="","",INDEX(피어커브!$K:$K,MATCH(AE134,피어커브!$A:$A,0)))</f>
        <v>50.117430292991</v>
      </c>
      <c r="AG134" s="93" t="n">
        <f aca="false">IF(AE134="","",INDEX(피어커브!$J:$J,MATCH(AE134,피어커브!$A:$A,0)))</f>
        <v>13.9183160321618</v>
      </c>
      <c r="AH134" s="93" t="n">
        <f aca="false">IF(AE134="","",INDEX(피어커브!$L:$L,MATCH(AE134,피어커브!$A:$A,0)))</f>
        <v>20.4735875466442</v>
      </c>
      <c r="AI134" s="93" t="n">
        <f aca="false">IF(AE134="","",AF134+AG134*AA134)</f>
        <v>61.0724365382037</v>
      </c>
      <c r="AJ134" s="96" t="n">
        <f aca="false">IF(AE134="","",E134-AI134)</f>
        <v>-35.5694365382037</v>
      </c>
      <c r="AK134" s="95" t="n">
        <f aca="false">IF(AE134="","",IF(ISNUMBER(AH134),IF(AH134&gt;0,AJ134/AH134,""),""))</f>
        <v>-1.73733286641471</v>
      </c>
      <c r="AL134" s="43" t="str">
        <f aca="false">IF(AK134="","-",IF(AK134&gt;=설정!$C$6,"Cheap",IF(AK134&lt;=-설정!$C$6,"Rich","Fair")))</f>
        <v>Rich</v>
      </c>
      <c r="AM134" s="96" t="n">
        <f aca="false">IF(AE134="","",AJ134-AVERAGEIFS($AJ$2:$AJ$601,$B$2:$B$601,B134,$Y$2:$Y$601,1))</f>
        <v>-12.3743039180293</v>
      </c>
      <c r="AN134" s="93" t="n">
        <f aca="false">IF(AE134="",0,IF(K134&gt;1+설정!$C$8,AG134*(AA134-LN(K134-1)),0))</f>
        <v>8.4522365557241</v>
      </c>
      <c r="AO134" s="99" t="n">
        <f aca="false">IF($A134="",0,SUMIFS(보유분석!$AA$2:$AA$801,보유분석!$AB$2:$AB$801,ROW(),보유분석!$AC$2:$AC$801,1))</f>
        <v>0</v>
      </c>
      <c r="AP134" s="43" t="str">
        <f aca="false">IF($A134="","",TRIM(IF(R134=1,"FRN ","")&amp;IF(IFERROR(VLOOKUP(M134,설정!$A$15:$D$47,4,0),0)&gt;=10,IF(IFERROR(VLOOKUP(M134,설정!$A$15:$D$47,4,0),0)&lt;99,"BBB0미만 ",""),"")&amp;IF(OR(M134="",M134="NR"),"등급미입력 ","")&amp;IF(C134&lt;&gt;"USD","비USD ","")))</f>
        <v/>
      </c>
      <c r="AQ134" s="90" t="n">
        <f aca="false">IF(AND(Y134=1,AL134="Cheap"),IF(AND(ISERROR(SEARCH("FRN",AP134)),ISERROR(SEARCH("BBB0미만",AP134))),AK134+ROW()/1000000000,-999),-999)</f>
        <v>-999</v>
      </c>
      <c r="AR134" s="92" t="n">
        <f aca="false">IF(AND(ISNUMBER(D134),ISNUMBER(K134)),D134+AN134*MAX(K134-1,0)/100,"")</f>
        <v>5.35617327157202</v>
      </c>
      <c r="AS134" s="93" t="n">
        <f aca="false">IF(AND(ISNUMBER(E134),ISNUMBER(K134)),IF(K134&gt;0,(E134+AN134*MAX(K134-1,0))/K134,""),"")</f>
        <v>16.2131666623586</v>
      </c>
      <c r="AT134" s="90" t="n">
        <f aca="false">IFERROR(IF(AND(Y134=1,ROW()&lt;&gt;스왑분석!$C$12+1,ABS(K134-INDEX($K$2:$K$601,스왑분석!$C$12))&lt;=스왑분석!$C$5,ISERROR(SEARCH("FRN",AP134)),ISERROR(SEARCH("BBB0미만",AP134))),IF(AND(OR(스왑분석!$C$6="N",L134=INDEX($L$2:$L$601,스왑분석!$C$12)),OR(스왑분석!$C$7="N",N134=INDEX($N$2:$N$601,스왑분석!$C$12)),OR(스왑분석!$C$8="N",AO134=0),E134-INDEX($E$2:$E$601,스왑분석!$C$12)&gt;=스왑분석!$C$9),E134-INDEX($E$2:$E$601,스왑분석!$C$12)+ROW()/1000000000,-999),-999),-999)</f>
        <v>-999</v>
      </c>
      <c r="AU134" s="90" t="n">
        <f aca="false">IF(AND(Y134=1,AO134&gt;0,AL134="Rich"),-AK134+ROW()/1000000000,-999)</f>
        <v>-999</v>
      </c>
    </row>
    <row r="135" customFormat="false" ht="15" hidden="false" customHeight="false" outlineLevel="0" collapsed="false">
      <c r="A135" s="83" t="str">
        <f aca="false">IFERROR(IF(INDEX(원자료_시장!$A$1:$BZ$1000,설정!$L$6+ROW()-1,설정!$L$24)&amp;""="0","",INDEX(원자료_시장!$A$1:$BZ$1000,설정!$L$6+ROW()-1,설정!$L$24)),"")</f>
        <v>WOORIB 5 1/8 08/06/28</v>
      </c>
      <c r="B135" s="83" t="str">
        <f aca="false">IFERROR(IF(INDEX(원자료_시장!$A$1:$BZ$1000,설정!$L$6+ROW()-1,설정!$L$37)&amp;""="0","",INDEX(원자료_시장!$A$1:$BZ$1000,설정!$L$6+ROW()-1,설정!$L$37)),"")</f>
        <v>WOORI BANK</v>
      </c>
      <c r="C135" s="83" t="str">
        <f aca="false">IFERROR(IF(INDEX(원자료_시장!$A$1:$BZ$1000,설정!$L$6+ROW()-1,설정!$L$25)&amp;""="0","",INDEX(원자료_시장!$A$1:$BZ$1000,설정!$L$6+ROW()-1,설정!$L$25)),"")</f>
        <v>USD</v>
      </c>
      <c r="D135" s="85" t="n">
        <f aca="false">IFERROR(IF(ISNUMBER(INDEX(원자료_시장!$A$1:$BZ$1000,설정!$L$6+ROW()-1,설정!$L$26)),INDEX(원자료_시장!$A$1:$BZ$1000,설정!$L$6+ROW()-1,설정!$L$26),""),"")</f>
        <v>5.552</v>
      </c>
      <c r="E135" s="97" t="n">
        <f aca="false">IFERROR(IF(ISNUMBER(INDEX(원자료_시장!$A$1:$BZ$1000,설정!$L$6+ROW()-1,설정!$L$27)),INDEX(원자료_시장!$A$1:$BZ$1000,설정!$L$6+ROW()-1,설정!$L$27),""),"")</f>
        <v>66.29</v>
      </c>
      <c r="F135" s="97" t="n">
        <f aca="false">IFERROR(IF(ISNUMBER(INDEX(원자료_시장!$A$1:$BZ$1000,설정!$L$6+ROW()-1,설정!$L$28)),INDEX(원자료_시장!$A$1:$BZ$1000,설정!$L$6+ROW()-1,설정!$L$28),""),"")</f>
        <v>88.439</v>
      </c>
      <c r="G135" s="97" t="n">
        <f aca="false">IFERROR(IF(ISNUMBER(INDEX(원자료_시장!$A$1:$BZ$1000,설정!$L$6+ROW()-1,설정!$L$29)),INDEX(원자료_시장!$A$1:$BZ$1000,설정!$L$6+ROW()-1,설정!$L$29),""),"")</f>
        <v>-0.1</v>
      </c>
      <c r="H135" s="97" t="n">
        <f aca="false">IFERROR(IF(ISNUMBER(INDEX(원자료_시장!$A$1:$BZ$1000,설정!$L$6+ROW()-1,설정!$L$30)),INDEX(원자료_시장!$A$1:$BZ$1000,설정!$L$6+ROW()-1,설정!$L$30),""),"")</f>
        <v>4</v>
      </c>
      <c r="I135" s="97" t="n">
        <f aca="false">IFERROR(IF(ISNUMBER(INDEX(원자료_시장!$A$1:$BZ$1000,설정!$L$6+ROW()-1,설정!$L$31)),INDEX(원자료_시장!$A$1:$BZ$1000,설정!$L$6+ROW()-1,설정!$L$31),""),"")</f>
        <v>1</v>
      </c>
      <c r="J135" s="97" t="n">
        <f aca="false">IFERROR(IF(ISNUMBER(INDEX(원자료_시장!$A$1:$BZ$1000,설정!$L$6+ROW()-1,설정!$L$32)),INDEX(원자료_시장!$A$1:$BZ$1000,설정!$L$6+ROW()-1,설정!$L$32),""),"")</f>
        <v>0.3</v>
      </c>
      <c r="K135" s="85" t="n">
        <f aca="false">IFERROR(IF(ISNUMBER(INDEX(원자료_시장!$A$1:$BZ$1000,설정!$L$6+ROW()-1,설정!$L$33)),INDEX(원자료_시장!$A$1:$BZ$1000,설정!$L$6+ROW()-1,설정!$L$33),""),"")</f>
        <v>1.77</v>
      </c>
      <c r="L135" s="83" t="str">
        <f aca="false">IFERROR(IF(INDEX(원자료_시장!$A$1:$BZ$1000,설정!$L$6+ROW()-1,설정!$L$34)&amp;""="0","",INDEX(원자료_시장!$A$1:$BZ$1000,설정!$L$6+ROW()-1,설정!$L$34)),"")</f>
        <v>금융기관</v>
      </c>
      <c r="M135" s="83" t="str">
        <f aca="false">IFERROR(IF(INDEX(원자료_시장!$A$1:$BZ$1000,설정!$L$6+ROW()-1,설정!$L$35)&amp;""="0","",INDEX(원자료_시장!$A$1:$BZ$1000,설정!$L$6+ROW()-1,설정!$L$35)),"")</f>
        <v>BBB+</v>
      </c>
      <c r="N135" s="83" t="str">
        <f aca="false">IFERROR(IF(INDEX(원자료_시장!$A$1:$BZ$1000,설정!$L$6+ROW()-1,설정!$L$36)&amp;""="0","",INDEX(원자료_시장!$A$1:$BZ$1000,설정!$L$6+ROW()-1,설정!$L$36)),"")</f>
        <v>아시아/기타</v>
      </c>
      <c r="O135" s="43" t="str">
        <f aca="false">IF($A135="","",UPPER(LEFT($A135,FIND(" ",$A135&amp;" ")-1)))</f>
        <v>WOORIB</v>
      </c>
      <c r="P135" s="43" t="str">
        <f aca="false">IF($A135="","",TRIM(RIGHT(SUBSTITUTE(TRIM($A135)," ",REPT(" ",30)),30)))</f>
        <v>08/06/28</v>
      </c>
      <c r="Q135" s="98" t="n">
        <f aca="false">IF($A135="","",IFERROR(DATE(IF(LEN(P135)=8,2000+VALUE(RIGHT(P135,2)),VALUE(RIGHT(P135,4))),VALUE(LEFT(P135,2)),VALUE(MID(P135,4,2))),""))</f>
        <v>46971</v>
      </c>
      <c r="R135" s="89" t="n">
        <f aca="false">IF($A135="",0,IF(ISNUMBER(SEARCH("Float",$A135)),1,0))</f>
        <v>0</v>
      </c>
      <c r="S135" s="43" t="str">
        <f aca="false">IF($A135="","",TRIM(MID($A135,LEN(O135)+2,LEN($A135)-LEN(O135)-LEN(P135)-1)))</f>
        <v>5 1/8</v>
      </c>
      <c r="T135" s="92" t="n">
        <f aca="false">IF(OR($A135="",R135=1),"",IFERROR(IF(ISNUMBER(FIND("/",S135)),IF(ISNUMBER(FIND(" ",S135)),VALUE(LEFT(S135,FIND(" ",S135)-1))+VALUE(MID(S135,FIND(" ",S135)+1,FIND("/",S135)-FIND(" ",S135)-1))/VALUE(MID(S135,FIND("/",S135)+1,9)),VALUE(LEFT(S135,FIND("/",S135)-1))/VALUE(MID(S135,FIND("/",S135)+1,9))),VALUE(S135)),""))</f>
        <v>5.125</v>
      </c>
      <c r="U135" s="43" t="str">
        <f aca="false">IF(OR($A135="",NOT(ISNUMBER(Q135))),"",TEXT(Q135,"yyyymmdd")&amp;"|"&amp;IF(R135=1,"F",TEXT(T135,"0.000")))</f>
        <v>20280806|5.125</v>
      </c>
      <c r="V135" s="43" t="str">
        <f aca="false">IF(U135="","",O135&amp;"|"&amp;U135)</f>
        <v>WOORIB|20280806|5.125</v>
      </c>
      <c r="W135" s="43" t="str">
        <f aca="false">IF($A135="","",IFERROR(IF(VLOOKUP(O135,매핑!$A$4:$E$92,3,0)="","미분류",VLOOKUP(O135,매핑!$A$4:$E$92,3,0)),"미분류"))</f>
        <v>한국</v>
      </c>
      <c r="X135" s="89" t="n">
        <f aca="false">IF($A135="",0,IF(O135="T",1,0))</f>
        <v>0</v>
      </c>
      <c r="Y135" s="89" t="n">
        <f aca="false">IF($A135="",0,IF(AND(C135="USD",X135=0,ISNUMBER(E135),ISNUMBER(K135)),IF(K135&gt;=설정!$C$8,1,0),0))</f>
        <v>1</v>
      </c>
      <c r="Z135" s="43" t="str">
        <f aca="false">IF($A135="","",N135&amp;"|"&amp;L135)</f>
        <v>아시아/기타|금융기관</v>
      </c>
      <c r="AA135" s="92" t="n">
        <f aca="false">IF(Y135=1,LN(K135),0)</f>
        <v>0.570979546585738</v>
      </c>
      <c r="AB135" s="93" t="n">
        <f aca="false">IF(Y135=1,E135,0)</f>
        <v>66.29</v>
      </c>
      <c r="AC135" s="89" t="n">
        <f aca="false">IF(Y135=1,COUNTIFS($Z$2:$Z$601,Z135,$Y$2:$Y$601,1),0)</f>
        <v>42</v>
      </c>
      <c r="AD135" s="89" t="n">
        <f aca="false">IF(Y135=1,COUNTIFS($N$2:$N$601,N135,$Y$2:$Y$601,1),0)</f>
        <v>137</v>
      </c>
      <c r="AE135" s="43" t="str">
        <f aca="false">IF(Y135&lt;&gt;1,"",IF(AND(AC135&gt;=설정!$C$7,ISNUMBER(MATCH(Z135,피어커브!$A:$A,0))),Z135,IF(AND(AD135&gt;=설정!$C$7,ISNUMBER(MATCH(N135&amp;"|전체",피어커브!$A:$A,0))),N135&amp;"|전체","전체|전체")))</f>
        <v>아시아/기타|금융기관</v>
      </c>
      <c r="AF135" s="93" t="n">
        <f aca="false">IF(AE135="","",INDEX(피어커브!$K:$K,MATCH(AE135,피어커브!$A:$A,0)))</f>
        <v>50.117430292991</v>
      </c>
      <c r="AG135" s="93" t="n">
        <f aca="false">IF(AE135="","",INDEX(피어커브!$J:$J,MATCH(AE135,피어커브!$A:$A,0)))</f>
        <v>13.9183160321618</v>
      </c>
      <c r="AH135" s="93" t="n">
        <f aca="false">IF(AE135="","",INDEX(피어커브!$L:$L,MATCH(AE135,피어커브!$A:$A,0)))</f>
        <v>20.4735875466442</v>
      </c>
      <c r="AI135" s="93" t="n">
        <f aca="false">IF(AE135="","",AF135+AG135*AA135)</f>
        <v>58.0645040702718</v>
      </c>
      <c r="AJ135" s="96" t="n">
        <f aca="false">IF(AE135="","",E135-AI135)</f>
        <v>8.22549592972823</v>
      </c>
      <c r="AK135" s="95" t="n">
        <f aca="false">IF(AE135="","",IF(ISNUMBER(AH135),IF(AH135&gt;0,AJ135/AH135,""),""))</f>
        <v>0.401761338162567</v>
      </c>
      <c r="AL135" s="43" t="str">
        <f aca="false">IF(AK135="","-",IF(AK135&gt;=설정!$C$6,"Cheap",IF(AK135&lt;=-설정!$C$6,"Rich","Fair")))</f>
        <v>Fair</v>
      </c>
      <c r="AM135" s="96" t="n">
        <f aca="false">IF(AE135="","",AJ135-AVERAGEIFS($AJ$2:$AJ$601,$B$2:$B$601,B135,$Y$2:$Y$601,1))</f>
        <v>31.4206285499026</v>
      </c>
      <c r="AN135" s="93" t="n">
        <f aca="false">IF(AE135="",0,IF(K135&gt;1+설정!$C$8,AG135*(AA135-LN(K135-1)),0))</f>
        <v>11.5848311641749</v>
      </c>
      <c r="AO135" s="99" t="n">
        <f aca="false">IF($A135="",0,SUMIFS(보유분석!$AA$2:$AA$801,보유분석!$AB$2:$AB$801,ROW(),보유분석!$AC$2:$AC$801,1))</f>
        <v>17.1889513</v>
      </c>
      <c r="AP135" s="43" t="str">
        <f aca="false">IF($A135="","",TRIM(IF(R135=1,"FRN ","")&amp;IF(IFERROR(VLOOKUP(M135,설정!$A$15:$D$47,4,0),0)&gt;=10,IF(IFERROR(VLOOKUP(M135,설정!$A$15:$D$47,4,0),0)&lt;99,"BBB0미만 ",""),"")&amp;IF(OR(M135="",M135="NR"),"등급미입력 ","")&amp;IF(C135&lt;&gt;"USD","비USD ","")))</f>
        <v/>
      </c>
      <c r="AQ135" s="90" t="n">
        <f aca="false">IF(AND(Y135=1,AL135="Cheap"),IF(AND(ISERROR(SEARCH("FRN",AP135)),ISERROR(SEARCH("BBB0미만",AP135))),AK135+ROW()/1000000000,-999),-999)</f>
        <v>-999</v>
      </c>
      <c r="AR135" s="92" t="n">
        <f aca="false">IF(AND(ISNUMBER(D135),ISNUMBER(K135)),D135+AN135*MAX(K135-1,0)/100,"")</f>
        <v>5.64120319996415</v>
      </c>
      <c r="AS135" s="93" t="n">
        <f aca="false">IF(AND(ISNUMBER(E135),ISNUMBER(K135)),IF(K135&gt;0,(E135+AN135*MAX(K135-1,0))/K135,""),"")</f>
        <v>42.4917062126636</v>
      </c>
      <c r="AT135" s="90" t="n">
        <f aca="false">IFERROR(IF(AND(Y135=1,ROW()&lt;&gt;스왑분석!$C$12+1,ABS(K135-INDEX($K$2:$K$601,스왑분석!$C$12))&lt;=스왑분석!$C$5,ISERROR(SEARCH("FRN",AP135)),ISERROR(SEARCH("BBB0미만",AP135))),IF(AND(OR(스왑분석!$C$6="N",L135=INDEX($L$2:$L$601,스왑분석!$C$12)),OR(스왑분석!$C$7="N",N135=INDEX($N$2:$N$601,스왑분석!$C$12)),OR(스왑분석!$C$8="N",AO135=0),E135-INDEX($E$2:$E$601,스왑분석!$C$12)&gt;=스왑분석!$C$9),E135-INDEX($E$2:$E$601,스왑분석!$C$12)+ROW()/1000000000,-999),-999),-999)</f>
        <v>-999</v>
      </c>
      <c r="AU135" s="90" t="n">
        <f aca="false">IF(AND(Y135=1,AO135&gt;0,AL135="Rich"),-AK135+ROW()/1000000000,-999)</f>
        <v>-999</v>
      </c>
    </row>
    <row r="136" customFormat="false" ht="15" hidden="false" customHeight="false" outlineLevel="0" collapsed="false">
      <c r="A136" s="83" t="str">
        <f aca="false">IFERROR(IF(INDEX(원자료_시장!$A$1:$BZ$1000,설정!$L$6+ROW()-1,설정!$L$24)&amp;""="0","",INDEX(원자료_시장!$A$1:$BZ$1000,설정!$L$6+ROW()-1,설정!$L$24)),"")</f>
        <v>STANLN 7.767 11/16/28</v>
      </c>
      <c r="B136" s="83" t="str">
        <f aca="false">IFERROR(IF(INDEX(원자료_시장!$A$1:$BZ$1000,설정!$L$6+ROW()-1,설정!$L$37)&amp;""="0","",INDEX(원자료_시장!$A$1:$BZ$1000,설정!$L$6+ROW()-1,설정!$L$37)),"")</f>
        <v>STANDARD CHARTERED PLC</v>
      </c>
      <c r="C136" s="83" t="str">
        <f aca="false">IFERROR(IF(INDEX(원자료_시장!$A$1:$BZ$1000,설정!$L$6+ROW()-1,설정!$L$25)&amp;""="0","",INDEX(원자료_시장!$A$1:$BZ$1000,설정!$L$6+ROW()-1,설정!$L$25)),"")</f>
        <v>USD</v>
      </c>
      <c r="D136" s="85" t="n">
        <f aca="false">IFERROR(IF(ISNUMBER(INDEX(원자료_시장!$A$1:$BZ$1000,설정!$L$6+ROW()-1,설정!$L$26)),INDEX(원자료_시장!$A$1:$BZ$1000,설정!$L$6+ROW()-1,설정!$L$26),""),"")</f>
        <v>6.548</v>
      </c>
      <c r="E136" s="97" t="n">
        <f aca="false">IFERROR(IF(ISNUMBER(INDEX(원자료_시장!$A$1:$BZ$1000,설정!$L$6+ROW()-1,설정!$L$27)),INDEX(원자료_시장!$A$1:$BZ$1000,설정!$L$6+ROW()-1,설정!$L$27),""),"")</f>
        <v>48.274</v>
      </c>
      <c r="F136" s="97" t="n">
        <f aca="false">IFERROR(IF(ISNUMBER(INDEX(원자료_시장!$A$1:$BZ$1000,설정!$L$6+ROW()-1,설정!$L$28)),INDEX(원자료_시장!$A$1:$BZ$1000,설정!$L$6+ROW()-1,설정!$L$28),""),"")</f>
        <v>84.592</v>
      </c>
      <c r="G136" s="97" t="n">
        <f aca="false">IFERROR(IF(ISNUMBER(INDEX(원자료_시장!$A$1:$BZ$1000,설정!$L$6+ROW()-1,설정!$L$29)),INDEX(원자료_시장!$A$1:$BZ$1000,설정!$L$6+ROW()-1,설정!$L$29),""),"")</f>
        <v>0.6</v>
      </c>
      <c r="H136" s="97" t="n">
        <f aca="false">IFERROR(IF(ISNUMBER(INDEX(원자료_시장!$A$1:$BZ$1000,설정!$L$6+ROW()-1,설정!$L$30)),INDEX(원자료_시장!$A$1:$BZ$1000,설정!$L$6+ROW()-1,설정!$L$30),""),"")</f>
        <v>10.1</v>
      </c>
      <c r="I136" s="97" t="n">
        <f aca="false">IFERROR(IF(ISNUMBER(INDEX(원자료_시장!$A$1:$BZ$1000,설정!$L$6+ROW()-1,설정!$L$31)),INDEX(원자료_시장!$A$1:$BZ$1000,설정!$L$6+ROW()-1,설정!$L$31),""),"")</f>
        <v>-0.6</v>
      </c>
      <c r="J136" s="97" t="n">
        <f aca="false">IFERROR(IF(ISNUMBER(INDEX(원자료_시장!$A$1:$BZ$1000,설정!$L$6+ROW()-1,설정!$L$32)),INDEX(원자료_시장!$A$1:$BZ$1000,설정!$L$6+ROW()-1,설정!$L$32),""),"")</f>
        <v>5.4</v>
      </c>
      <c r="K136" s="85" t="n">
        <f aca="false">IFERROR(IF(ISNUMBER(INDEX(원자료_시장!$A$1:$BZ$1000,설정!$L$6+ROW()-1,설정!$L$33)),INDEX(원자료_시장!$A$1:$BZ$1000,설정!$L$6+ROW()-1,설정!$L$33),""),"")</f>
        <v>1.068</v>
      </c>
      <c r="L136" s="83" t="str">
        <f aca="false">IFERROR(IF(INDEX(원자료_시장!$A$1:$BZ$1000,설정!$L$6+ROW()-1,설정!$L$34)&amp;""="0","",INDEX(원자료_시장!$A$1:$BZ$1000,설정!$L$6+ROW()-1,설정!$L$34)),"")</f>
        <v>금융기관</v>
      </c>
      <c r="M136" s="83" t="str">
        <f aca="false">IFERROR(IF(INDEX(원자료_시장!$A$1:$BZ$1000,설정!$L$6+ROW()-1,설정!$L$35)&amp;""="0","",INDEX(원자료_시장!$A$1:$BZ$1000,설정!$L$6+ROW()-1,설정!$L$35)),"")</f>
        <v>BBB+</v>
      </c>
      <c r="N136" s="83" t="str">
        <f aca="false">IFERROR(IF(INDEX(원자료_시장!$A$1:$BZ$1000,설정!$L$6+ROW()-1,설정!$L$36)&amp;""="0","",INDEX(원자료_시장!$A$1:$BZ$1000,설정!$L$6+ROW()-1,설정!$L$36)),"")</f>
        <v>유럽</v>
      </c>
      <c r="O136" s="43" t="str">
        <f aca="false">IF($A136="","",UPPER(LEFT($A136,FIND(" ",$A136&amp;" ")-1)))</f>
        <v>STANLN</v>
      </c>
      <c r="P136" s="43" t="str">
        <f aca="false">IF($A136="","",TRIM(RIGHT(SUBSTITUTE(TRIM($A136)," ",REPT(" ",30)),30)))</f>
        <v>11/16/28</v>
      </c>
      <c r="Q136" s="98" t="n">
        <f aca="false">IF($A136="","",IFERROR(DATE(IF(LEN(P136)=8,2000+VALUE(RIGHT(P136,2)),VALUE(RIGHT(P136,4))),VALUE(LEFT(P136,2)),VALUE(MID(P136,4,2))),""))</f>
        <v>47073</v>
      </c>
      <c r="R136" s="89" t="n">
        <f aca="false">IF($A136="",0,IF(ISNUMBER(SEARCH("Float",$A136)),1,0))</f>
        <v>0</v>
      </c>
      <c r="S136" s="43" t="str">
        <f aca="false">IF($A136="","",TRIM(MID($A136,LEN(O136)+2,LEN($A136)-LEN(O136)-LEN(P136)-1)))</f>
        <v>7.767</v>
      </c>
      <c r="T136" s="92" t="n">
        <f aca="false">IF(OR($A136="",R136=1),"",IFERROR(IF(ISNUMBER(FIND("/",S136)),IF(ISNUMBER(FIND(" ",S136)),VALUE(LEFT(S136,FIND(" ",S136)-1))+VALUE(MID(S136,FIND(" ",S136)+1,FIND("/",S136)-FIND(" ",S136)-1))/VALUE(MID(S136,FIND("/",S136)+1,9)),VALUE(LEFT(S136,FIND("/",S136)-1))/VALUE(MID(S136,FIND("/",S136)+1,9))),VALUE(S136)),""))</f>
        <v>7.767</v>
      </c>
      <c r="U136" s="43" t="str">
        <f aca="false">IF(OR($A136="",NOT(ISNUMBER(Q136))),"",TEXT(Q136,"yyyymmdd")&amp;"|"&amp;IF(R136=1,"F",TEXT(T136,"0.000")))</f>
        <v>20281116|7.767</v>
      </c>
      <c r="V136" s="43" t="str">
        <f aca="false">IF(U136="","",O136&amp;"|"&amp;U136)</f>
        <v>STANLN|20281116|7.767</v>
      </c>
      <c r="W136" s="43" t="str">
        <f aca="false">IF($A136="","",IFERROR(IF(VLOOKUP(O136,매핑!$A$4:$E$92,3,0)="","미분류",VLOOKUP(O136,매핑!$A$4:$E$92,3,0)),"미분류"))</f>
        <v>영국</v>
      </c>
      <c r="X136" s="89" t="n">
        <f aca="false">IF($A136="",0,IF(O136="T",1,0))</f>
        <v>0</v>
      </c>
      <c r="Y136" s="89" t="n">
        <f aca="false">IF($A136="",0,IF(AND(C136="USD",X136=0,ISNUMBER(E136),ISNUMBER(K136)),IF(K136&gt;=설정!$C$8,1,0),0))</f>
        <v>1</v>
      </c>
      <c r="Z136" s="43" t="str">
        <f aca="false">IF($A136="","",N136&amp;"|"&amp;L136)</f>
        <v>유럽|금융기관</v>
      </c>
      <c r="AA136" s="92" t="n">
        <f aca="false">IF(Y136=1,LN(K136),0)</f>
        <v>0.0657877405380032</v>
      </c>
      <c r="AB136" s="93" t="n">
        <f aca="false">IF(Y136=1,E136,0)</f>
        <v>48.274</v>
      </c>
      <c r="AC136" s="89" t="n">
        <f aca="false">IF(Y136=1,COUNTIFS($Z$2:$Z$601,Z136,$Y$2:$Y$601,1),0)</f>
        <v>32</v>
      </c>
      <c r="AD136" s="89" t="n">
        <f aca="false">IF(Y136=1,COUNTIFS($N$2:$N$601,N136,$Y$2:$Y$601,1),0)</f>
        <v>32</v>
      </c>
      <c r="AE136" s="43" t="str">
        <f aca="false">IF(Y136&lt;&gt;1,"",IF(AND(AC136&gt;=설정!$C$7,ISNUMBER(MATCH(Z136,피어커브!$A:$A,0))),Z136,IF(AND(AD136&gt;=설정!$C$7,ISNUMBER(MATCH(N136&amp;"|전체",피어커브!$A:$A,0))),N136&amp;"|전체","전체|전체")))</f>
        <v>유럽|금융기관</v>
      </c>
      <c r="AF136" s="93" t="n">
        <f aca="false">IF(AE136="","",INDEX(피어커브!$K:$K,MATCH(AE136,피어커브!$A:$A,0)))</f>
        <v>43.3660967921697</v>
      </c>
      <c r="AG136" s="93" t="n">
        <f aca="false">IF(AE136="","",INDEX(피어커브!$J:$J,MATCH(AE136,피어커브!$A:$A,0)))</f>
        <v>30.582858826536</v>
      </c>
      <c r="AH136" s="93" t="n">
        <f aca="false">IF(AE136="","",INDEX(피어커브!$L:$L,MATCH(AE136,피어커브!$A:$A,0)))</f>
        <v>10.9882810943096</v>
      </c>
      <c r="AI136" s="93" t="n">
        <f aca="false">IF(AE136="","",AF136+AG136*AA136)</f>
        <v>45.3780739735602</v>
      </c>
      <c r="AJ136" s="96" t="n">
        <f aca="false">IF(AE136="","",E136-AI136)</f>
        <v>2.8959260264398</v>
      </c>
      <c r="AK136" s="95" t="n">
        <f aca="false">IF(AE136="","",IF(ISNUMBER(AH136),IF(AH136&gt;0,AJ136/AH136,""),""))</f>
        <v>0.26354677329282</v>
      </c>
      <c r="AL136" s="43" t="str">
        <f aca="false">IF(AK136="","-",IF(AK136&gt;=설정!$C$6,"Cheap",IF(AK136&lt;=-설정!$C$6,"Rich","Fair")))</f>
        <v>Fair</v>
      </c>
      <c r="AM136" s="96" t="n">
        <f aca="false">IF(AE136="","",AJ136-AVERAGEIFS($AJ$2:$AJ$601,$B$2:$B$601,B136,$Y$2:$Y$601,1))</f>
        <v>-0.932867198920102</v>
      </c>
      <c r="AN136" s="93" t="n">
        <f aca="false">IF(AE136="",0,IF(K136&gt;1+설정!$C$8,AG136*(AA136-LN(K136-1)),0))</f>
        <v>0</v>
      </c>
      <c r="AO136" s="99" t="n">
        <f aca="false">IF($A136="",0,SUMIFS(보유분석!$AA$2:$AA$801,보유분석!$AB$2:$AB$801,ROW(),보유분석!$AC$2:$AC$801,1))</f>
        <v>3.077469</v>
      </c>
      <c r="AP136" s="43" t="str">
        <f aca="false">IF($A136="","",TRIM(IF(R136=1,"FRN ","")&amp;IF(IFERROR(VLOOKUP(M136,설정!$A$15:$D$47,4,0),0)&gt;=10,IF(IFERROR(VLOOKUP(M136,설정!$A$15:$D$47,4,0),0)&lt;99,"BBB0미만 ",""),"")&amp;IF(OR(M136="",M136="NR"),"등급미입력 ","")&amp;IF(C136&lt;&gt;"USD","비USD ","")))</f>
        <v/>
      </c>
      <c r="AQ136" s="90" t="n">
        <f aca="false">IF(AND(Y136=1,AL136="Cheap"),IF(AND(ISERROR(SEARCH("FRN",AP136)),ISERROR(SEARCH("BBB0미만",AP136))),AK136+ROW()/1000000000,-999),-999)</f>
        <v>-999</v>
      </c>
      <c r="AR136" s="92" t="n">
        <f aca="false">IF(AND(ISNUMBER(D136),ISNUMBER(K136)),D136+AN136*MAX(K136-1,0)/100,"")</f>
        <v>6.548</v>
      </c>
      <c r="AS136" s="93" t="n">
        <f aca="false">IF(AND(ISNUMBER(E136),ISNUMBER(K136)),IF(K136&gt;0,(E136+AN136*MAX(K136-1,0))/K136,""),"")</f>
        <v>45.2003745318352</v>
      </c>
      <c r="AT136" s="90" t="n">
        <f aca="false">IFERROR(IF(AND(Y136=1,ROW()&lt;&gt;스왑분석!$C$12+1,ABS(K136-INDEX($K$2:$K$601,스왑분석!$C$12))&lt;=스왑분석!$C$5,ISERROR(SEARCH("FRN",AP136)),ISERROR(SEARCH("BBB0미만",AP136))),IF(AND(OR(스왑분석!$C$6="N",L136=INDEX($L$2:$L$601,스왑분석!$C$12)),OR(스왑분석!$C$7="N",N136=INDEX($N$2:$N$601,스왑분석!$C$12)),OR(스왑분석!$C$8="N",AO136=0),E136-INDEX($E$2:$E$601,스왑분석!$C$12)&gt;=스왑분석!$C$9),E136-INDEX($E$2:$E$601,스왑분석!$C$12)+ROW()/1000000000,-999),-999),-999)</f>
        <v>-999</v>
      </c>
      <c r="AU136" s="90" t="n">
        <f aca="false">IF(AND(Y136=1,AO136&gt;0,AL136="Rich"),-AK136+ROW()/1000000000,-999)</f>
        <v>-999</v>
      </c>
    </row>
    <row r="137" customFormat="false" ht="15" hidden="false" customHeight="false" outlineLevel="0" collapsed="false">
      <c r="A137" s="83" t="str">
        <f aca="false">IFERROR(IF(INDEX(원자료_시장!$A$1:$BZ$1000,설정!$L$6+ROW()-1,설정!$L$24)&amp;""="0","",INDEX(원자료_시장!$A$1:$BZ$1000,설정!$L$6+ROW()-1,설정!$L$24)),"")</f>
        <v>STANLN 6 3/4 02/08/28</v>
      </c>
      <c r="B137" s="83" t="str">
        <f aca="false">IFERROR(IF(INDEX(원자료_시장!$A$1:$BZ$1000,설정!$L$6+ROW()-1,설정!$L$37)&amp;""="0","",INDEX(원자료_시장!$A$1:$BZ$1000,설정!$L$6+ROW()-1,설정!$L$37)),"")</f>
        <v>STANDARD CHARTERED PLC</v>
      </c>
      <c r="C137" s="83" t="str">
        <f aca="false">IFERROR(IF(INDEX(원자료_시장!$A$1:$BZ$1000,설정!$L$6+ROW()-1,설정!$L$25)&amp;""="0","",INDEX(원자료_시장!$A$1:$BZ$1000,설정!$L$6+ROW()-1,설정!$L$25)),"")</f>
        <v>USD</v>
      </c>
      <c r="D137" s="85" t="n">
        <f aca="false">IFERROR(IF(ISNUMBER(INDEX(원자료_시장!$A$1:$BZ$1000,설정!$L$6+ROW()-1,설정!$L$26)),INDEX(원자료_시장!$A$1:$BZ$1000,설정!$L$6+ROW()-1,설정!$L$26),""),"")</f>
        <v>6.088</v>
      </c>
      <c r="E137" s="97" t="n">
        <f aca="false">IFERROR(IF(ISNUMBER(INDEX(원자료_시장!$A$1:$BZ$1000,설정!$L$6+ROW()-1,설정!$L$27)),INDEX(원자료_시장!$A$1:$BZ$1000,설정!$L$6+ROW()-1,설정!$L$27),""),"")</f>
        <v>35.872</v>
      </c>
      <c r="F137" s="97" t="n">
        <f aca="false">IFERROR(IF(ISNUMBER(INDEX(원자료_시장!$A$1:$BZ$1000,설정!$L$6+ROW()-1,설정!$L$28)),INDEX(원자료_시장!$A$1:$BZ$1000,설정!$L$6+ROW()-1,설정!$L$28),""),"")</f>
        <v>113.474</v>
      </c>
      <c r="G137" s="97" t="n">
        <f aca="false">IFERROR(IF(ISNUMBER(INDEX(원자료_시장!$A$1:$BZ$1000,설정!$L$6+ROW()-1,설정!$L$29)),INDEX(원자료_시장!$A$1:$BZ$1000,설정!$L$6+ROW()-1,설정!$L$29),""),"")</f>
        <v>1.5</v>
      </c>
      <c r="H137" s="97" t="n">
        <f aca="false">IFERROR(IF(ISNUMBER(INDEX(원자료_시장!$A$1:$BZ$1000,설정!$L$6+ROW()-1,설정!$L$30)),INDEX(원자료_시장!$A$1:$BZ$1000,설정!$L$6+ROW()-1,설정!$L$30),""),"")</f>
        <v>11.8</v>
      </c>
      <c r="I137" s="97" t="n">
        <f aca="false">IFERROR(IF(ISNUMBER(INDEX(원자료_시장!$A$1:$BZ$1000,설정!$L$6+ROW()-1,설정!$L$31)),INDEX(원자료_시장!$A$1:$BZ$1000,설정!$L$6+ROW()-1,설정!$L$31),""),"")</f>
        <v>-5.5</v>
      </c>
      <c r="J137" s="97" t="n">
        <f aca="false">IFERROR(IF(ISNUMBER(INDEX(원자료_시장!$A$1:$BZ$1000,설정!$L$6+ROW()-1,설정!$L$32)),INDEX(원자료_시장!$A$1:$BZ$1000,설정!$L$6+ROW()-1,설정!$L$32),""),"")</f>
        <v>0.2</v>
      </c>
      <c r="K137" s="85" t="n">
        <f aca="false">IFERROR(IF(ISNUMBER(INDEX(원자료_시장!$A$1:$BZ$1000,설정!$L$6+ROW()-1,설정!$L$33)),INDEX(원자료_시장!$A$1:$BZ$1000,설정!$L$6+ROW()-1,설정!$L$33),""),"")</f>
        <v>0.35</v>
      </c>
      <c r="L137" s="83" t="str">
        <f aca="false">IFERROR(IF(INDEX(원자료_시장!$A$1:$BZ$1000,설정!$L$6+ROW()-1,설정!$L$34)&amp;""="0","",INDEX(원자료_시장!$A$1:$BZ$1000,설정!$L$6+ROW()-1,설정!$L$34)),"")</f>
        <v>금융기관</v>
      </c>
      <c r="M137" s="83" t="str">
        <f aca="false">IFERROR(IF(INDEX(원자료_시장!$A$1:$BZ$1000,설정!$L$6+ROW()-1,설정!$L$35)&amp;""="0","",INDEX(원자료_시장!$A$1:$BZ$1000,설정!$L$6+ROW()-1,설정!$L$35)),"")</f>
        <v>BBB+</v>
      </c>
      <c r="N137" s="83" t="str">
        <f aca="false">IFERROR(IF(INDEX(원자료_시장!$A$1:$BZ$1000,설정!$L$6+ROW()-1,설정!$L$36)&amp;""="0","",INDEX(원자료_시장!$A$1:$BZ$1000,설정!$L$6+ROW()-1,설정!$L$36)),"")</f>
        <v>유럽</v>
      </c>
      <c r="O137" s="43" t="str">
        <f aca="false">IF($A137="","",UPPER(LEFT($A137,FIND(" ",$A137&amp;" ")-1)))</f>
        <v>STANLN</v>
      </c>
      <c r="P137" s="43" t="str">
        <f aca="false">IF($A137="","",TRIM(RIGHT(SUBSTITUTE(TRIM($A137)," ",REPT(" ",30)),30)))</f>
        <v>02/08/28</v>
      </c>
      <c r="Q137" s="98" t="n">
        <f aca="false">IF($A137="","",IFERROR(DATE(IF(LEN(P137)=8,2000+VALUE(RIGHT(P137,2)),VALUE(RIGHT(P137,4))),VALUE(LEFT(P137,2)),VALUE(MID(P137,4,2))),""))</f>
        <v>46791</v>
      </c>
      <c r="R137" s="89" t="n">
        <f aca="false">IF($A137="",0,IF(ISNUMBER(SEARCH("Float",$A137)),1,0))</f>
        <v>0</v>
      </c>
      <c r="S137" s="43" t="str">
        <f aca="false">IF($A137="","",TRIM(MID($A137,LEN(O137)+2,LEN($A137)-LEN(O137)-LEN(P137)-1)))</f>
        <v>6 3/4</v>
      </c>
      <c r="T137" s="92" t="n">
        <f aca="false">IF(OR($A137="",R137=1),"",IFERROR(IF(ISNUMBER(FIND("/",S137)),IF(ISNUMBER(FIND(" ",S137)),VALUE(LEFT(S137,FIND(" ",S137)-1))+VALUE(MID(S137,FIND(" ",S137)+1,FIND("/",S137)-FIND(" ",S137)-1))/VALUE(MID(S137,FIND("/",S137)+1,9)),VALUE(LEFT(S137,FIND("/",S137)-1))/VALUE(MID(S137,FIND("/",S137)+1,9))),VALUE(S137)),""))</f>
        <v>6.75</v>
      </c>
      <c r="U137" s="43" t="str">
        <f aca="false">IF(OR($A137="",NOT(ISNUMBER(Q137))),"",TEXT(Q137,"yyyymmdd")&amp;"|"&amp;IF(R137=1,"F",TEXT(T137,"0.000")))</f>
        <v>20280208|6.750</v>
      </c>
      <c r="V137" s="43" t="str">
        <f aca="false">IF(U137="","",O137&amp;"|"&amp;U137)</f>
        <v>STANLN|20280208|6.750</v>
      </c>
      <c r="W137" s="43" t="str">
        <f aca="false">IF($A137="","",IFERROR(IF(VLOOKUP(O137,매핑!$A$4:$E$92,3,0)="","미분류",VLOOKUP(O137,매핑!$A$4:$E$92,3,0)),"미분류"))</f>
        <v>영국</v>
      </c>
      <c r="X137" s="89" t="n">
        <f aca="false">IF($A137="",0,IF(O137="T",1,0))</f>
        <v>0</v>
      </c>
      <c r="Y137" s="89" t="n">
        <f aca="false">IF($A137="",0,IF(AND(C137="USD",X137=0,ISNUMBER(E137),ISNUMBER(K137)),IF(K137&gt;=설정!$C$8,1,0),0))</f>
        <v>0</v>
      </c>
      <c r="Z137" s="43" t="str">
        <f aca="false">IF($A137="","",N137&amp;"|"&amp;L137)</f>
        <v>유럽|금융기관</v>
      </c>
      <c r="AA137" s="92" t="n">
        <f aca="false">IF(Y137=1,LN(K137),0)</f>
        <v>0</v>
      </c>
      <c r="AB137" s="93" t="n">
        <f aca="false">IF(Y137=1,E137,0)</f>
        <v>0</v>
      </c>
      <c r="AC137" s="89" t="n">
        <f aca="false">IF(Y137=1,COUNTIFS($Z$2:$Z$601,Z137,$Y$2:$Y$601,1),0)</f>
        <v>0</v>
      </c>
      <c r="AD137" s="89" t="n">
        <f aca="false">IF(Y137=1,COUNTIFS($N$2:$N$601,N137,$Y$2:$Y$601,1),0)</f>
        <v>0</v>
      </c>
      <c r="AE137" s="43" t="str">
        <f aca="false">IF(Y137&lt;&gt;1,"",IF(AND(AC137&gt;=설정!$C$7,ISNUMBER(MATCH(Z137,피어커브!$A:$A,0))),Z137,IF(AND(AD137&gt;=설정!$C$7,ISNUMBER(MATCH(N137&amp;"|전체",피어커브!$A:$A,0))),N137&amp;"|전체","전체|전체")))</f>
        <v/>
      </c>
      <c r="AF137" s="93" t="str">
        <f aca="false">IF(AE137="","",INDEX(피어커브!$K:$K,MATCH(AE137,피어커브!$A:$A,0)))</f>
        <v/>
      </c>
      <c r="AG137" s="93" t="str">
        <f aca="false">IF(AE137="","",INDEX(피어커브!$J:$J,MATCH(AE137,피어커브!$A:$A,0)))</f>
        <v/>
      </c>
      <c r="AH137" s="93" t="str">
        <f aca="false">IF(AE137="","",INDEX(피어커브!$L:$L,MATCH(AE137,피어커브!$A:$A,0)))</f>
        <v/>
      </c>
      <c r="AI137" s="93" t="str">
        <f aca="false">IF(AE137="","",AF137+AG137*AA137)</f>
        <v/>
      </c>
      <c r="AJ137" s="96" t="str">
        <f aca="false">IF(AE137="","",E137-AI137)</f>
        <v/>
      </c>
      <c r="AK137" s="95" t="str">
        <f aca="false">IF(AE137="","",IF(ISNUMBER(AH137),IF(AH137&gt;0,AJ137/AH137,""),""))</f>
        <v/>
      </c>
      <c r="AL137" s="43" t="str">
        <f aca="false">IF(AK137="","-",IF(AK137&gt;=설정!$C$6,"Cheap",IF(AK137&lt;=-설정!$C$6,"Rich","Fair")))</f>
        <v>-</v>
      </c>
      <c r="AM137" s="96" t="str">
        <f aca="false">IF(AE137="","",AJ137-AVERAGEIFS($AJ$2:$AJ$601,$B$2:$B$601,B137,$Y$2:$Y$601,1))</f>
        <v/>
      </c>
      <c r="AN137" s="93" t="n">
        <f aca="false">IF(AE137="",0,IF(K137&gt;1+설정!$C$8,AG137*(AA137-LN(K137-1)),0))</f>
        <v>0</v>
      </c>
      <c r="AO137" s="99" t="n">
        <f aca="false">IF($A137="",0,SUMIFS(보유분석!$AA$2:$AA$801,보유분석!$AB$2:$AB$801,ROW(),보유분석!$AC$2:$AC$801,1))</f>
        <v>2.010454</v>
      </c>
      <c r="AP137" s="43" t="str">
        <f aca="false">IF($A137="","",TRIM(IF(R137=1,"FRN ","")&amp;IF(IFERROR(VLOOKUP(M137,설정!$A$15:$D$47,4,0),0)&gt;=10,IF(IFERROR(VLOOKUP(M137,설정!$A$15:$D$47,4,0),0)&lt;99,"BBB0미만 ",""),"")&amp;IF(OR(M137="",M137="NR"),"등급미입력 ","")&amp;IF(C137&lt;&gt;"USD","비USD ","")))</f>
        <v/>
      </c>
      <c r="AQ137" s="90" t="n">
        <f aca="false">IF(AND(Y137=1,AL137="Cheap"),IF(AND(ISERROR(SEARCH("FRN",AP137)),ISERROR(SEARCH("BBB0미만",AP137))),AK137+ROW()/1000000000,-999),-999)</f>
        <v>-999</v>
      </c>
      <c r="AR137" s="92" t="n">
        <f aca="false">IF(AND(ISNUMBER(D137),ISNUMBER(K137)),D137+AN137*MAX(K137-1,0)/100,"")</f>
        <v>6.088</v>
      </c>
      <c r="AS137" s="93" t="n">
        <f aca="false">IF(AND(ISNUMBER(E137),ISNUMBER(K137)),IF(K137&gt;0,(E137+AN137*MAX(K137-1,0))/K137,""),"")</f>
        <v>102.491428571429</v>
      </c>
      <c r="AT137" s="90" t="n">
        <f aca="false">IFERROR(IF(AND(Y137=1,ROW()&lt;&gt;스왑분석!$C$12+1,ABS(K137-INDEX($K$2:$K$601,스왑분석!$C$12))&lt;=스왑분석!$C$5,ISERROR(SEARCH("FRN",AP137)),ISERROR(SEARCH("BBB0미만",AP137))),IF(AND(OR(스왑분석!$C$6="N",L137=INDEX($L$2:$L$601,스왑분석!$C$12)),OR(스왑분석!$C$7="N",N137=INDEX($N$2:$N$601,스왑분석!$C$12)),OR(스왑분석!$C$8="N",AO137=0),E137-INDEX($E$2:$E$601,스왑분석!$C$12)&gt;=스왑분석!$C$9),E137-INDEX($E$2:$E$601,스왑분석!$C$12)+ROW()/1000000000,-999),-999),-999)</f>
        <v>-999</v>
      </c>
      <c r="AU137" s="90" t="n">
        <f aca="false">IF(AND(Y137=1,AO137&gt;0,AL137="Rich"),-AK137+ROW()/1000000000,-999)</f>
        <v>-999</v>
      </c>
    </row>
    <row r="138" customFormat="false" ht="15" hidden="false" customHeight="false" outlineLevel="0" collapsed="false">
      <c r="A138" s="83" t="str">
        <f aca="false">IFERROR(IF(INDEX(원자료_시장!$A$1:$BZ$1000,설정!$L$6+ROW()-1,설정!$L$24)&amp;""="0","",INDEX(원자료_시장!$A$1:$BZ$1000,설정!$L$6+ROW()-1,설정!$L$24)),"")</f>
        <v>STANLN 7.018 02/08/30</v>
      </c>
      <c r="B138" s="83" t="str">
        <f aca="false">IFERROR(IF(INDEX(원자료_시장!$A$1:$BZ$1000,설정!$L$6+ROW()-1,설정!$L$37)&amp;""="0","",INDEX(원자료_시장!$A$1:$BZ$1000,설정!$L$6+ROW()-1,설정!$L$37)),"")</f>
        <v>STANDARD CHARTERED PLC</v>
      </c>
      <c r="C138" s="83" t="str">
        <f aca="false">IFERROR(IF(INDEX(원자료_시장!$A$1:$BZ$1000,설정!$L$6+ROW()-1,설정!$L$25)&amp;""="0","",INDEX(원자료_시장!$A$1:$BZ$1000,설정!$L$6+ROW()-1,설정!$L$25)),"")</f>
        <v>USD</v>
      </c>
      <c r="D138" s="85" t="n">
        <f aca="false">IFERROR(IF(ISNUMBER(INDEX(원자료_시장!$A$1:$BZ$1000,설정!$L$6+ROW()-1,설정!$L$26)),INDEX(원자료_시장!$A$1:$BZ$1000,설정!$L$6+ROW()-1,설정!$L$26),""),"")</f>
        <v>5.995</v>
      </c>
      <c r="E138" s="97" t="n">
        <f aca="false">IFERROR(IF(ISNUMBER(INDEX(원자료_시장!$A$1:$BZ$1000,설정!$L$6+ROW()-1,설정!$L$27)),INDEX(원자료_시장!$A$1:$BZ$1000,설정!$L$6+ROW()-1,설정!$L$27),""),"")</f>
        <v>71.312</v>
      </c>
      <c r="F138" s="97" t="n">
        <f aca="false">IFERROR(IF(ISNUMBER(INDEX(원자료_시장!$A$1:$BZ$1000,설정!$L$6+ROW()-1,설정!$L$28)),INDEX(원자료_시장!$A$1:$BZ$1000,설정!$L$6+ROW()-1,설정!$L$28),""),"")</f>
        <v>100.598</v>
      </c>
      <c r="G138" s="97" t="n">
        <f aca="false">IFERROR(IF(ISNUMBER(INDEX(원자료_시장!$A$1:$BZ$1000,설정!$L$6+ROW()-1,설정!$L$29)),INDEX(원자료_시장!$A$1:$BZ$1000,설정!$L$6+ROW()-1,설정!$L$29),""),"")</f>
        <v>-2.2</v>
      </c>
      <c r="H138" s="97" t="n">
        <f aca="false">IFERROR(IF(ISNUMBER(INDEX(원자료_시장!$A$1:$BZ$1000,설정!$L$6+ROW()-1,설정!$L$30)),INDEX(원자료_시장!$A$1:$BZ$1000,설정!$L$6+ROW()-1,설정!$L$30),""),"")</f>
        <v>5.5</v>
      </c>
      <c r="I138" s="97" t="n">
        <f aca="false">IFERROR(IF(ISNUMBER(INDEX(원자료_시장!$A$1:$BZ$1000,설정!$L$6+ROW()-1,설정!$L$31)),INDEX(원자료_시장!$A$1:$BZ$1000,설정!$L$6+ROW()-1,설정!$L$31),""),"")</f>
        <v>-2.2</v>
      </c>
      <c r="J138" s="97" t="n">
        <f aca="false">IFERROR(IF(ISNUMBER(INDEX(원자료_시장!$A$1:$BZ$1000,설정!$L$6+ROW()-1,설정!$L$32)),INDEX(원자료_시장!$A$1:$BZ$1000,설정!$L$6+ROW()-1,설정!$L$32),""),"")</f>
        <v>-1.8</v>
      </c>
      <c r="K138" s="85" t="n">
        <f aca="false">IFERROR(IF(ISNUMBER(INDEX(원자료_시장!$A$1:$BZ$1000,설정!$L$6+ROW()-1,설정!$L$33)),INDEX(원자료_시장!$A$1:$BZ$1000,설정!$L$6+ROW()-1,설정!$L$33),""),"")</f>
        <v>2.189</v>
      </c>
      <c r="L138" s="83" t="str">
        <f aca="false">IFERROR(IF(INDEX(원자료_시장!$A$1:$BZ$1000,설정!$L$6+ROW()-1,설정!$L$34)&amp;""="0","",INDEX(원자료_시장!$A$1:$BZ$1000,설정!$L$6+ROW()-1,설정!$L$34)),"")</f>
        <v>금융기관</v>
      </c>
      <c r="M138" s="83" t="str">
        <f aca="false">IFERROR(IF(INDEX(원자료_시장!$A$1:$BZ$1000,설정!$L$6+ROW()-1,설정!$L$35)&amp;""="0","",INDEX(원자료_시장!$A$1:$BZ$1000,설정!$L$6+ROW()-1,설정!$L$35)),"")</f>
        <v>BBB+</v>
      </c>
      <c r="N138" s="83" t="str">
        <f aca="false">IFERROR(IF(INDEX(원자료_시장!$A$1:$BZ$1000,설정!$L$6+ROW()-1,설정!$L$36)&amp;""="0","",INDEX(원자료_시장!$A$1:$BZ$1000,설정!$L$6+ROW()-1,설정!$L$36)),"")</f>
        <v>유럽</v>
      </c>
      <c r="O138" s="43" t="str">
        <f aca="false">IF($A138="","",UPPER(LEFT($A138,FIND(" ",$A138&amp;" ")-1)))</f>
        <v>STANLN</v>
      </c>
      <c r="P138" s="43" t="str">
        <f aca="false">IF($A138="","",TRIM(RIGHT(SUBSTITUTE(TRIM($A138)," ",REPT(" ",30)),30)))</f>
        <v>02/08/30</v>
      </c>
      <c r="Q138" s="98" t="n">
        <f aca="false">IF($A138="","",IFERROR(DATE(IF(LEN(P138)=8,2000+VALUE(RIGHT(P138,2)),VALUE(RIGHT(P138,4))),VALUE(LEFT(P138,2)),VALUE(MID(P138,4,2))),""))</f>
        <v>47522</v>
      </c>
      <c r="R138" s="89" t="n">
        <f aca="false">IF($A138="",0,IF(ISNUMBER(SEARCH("Float",$A138)),1,0))</f>
        <v>0</v>
      </c>
      <c r="S138" s="43" t="str">
        <f aca="false">IF($A138="","",TRIM(MID($A138,LEN(O138)+2,LEN($A138)-LEN(O138)-LEN(P138)-1)))</f>
        <v>7.018</v>
      </c>
      <c r="T138" s="92" t="n">
        <f aca="false">IF(OR($A138="",R138=1),"",IFERROR(IF(ISNUMBER(FIND("/",S138)),IF(ISNUMBER(FIND(" ",S138)),VALUE(LEFT(S138,FIND(" ",S138)-1))+VALUE(MID(S138,FIND(" ",S138)+1,FIND("/",S138)-FIND(" ",S138)-1))/VALUE(MID(S138,FIND("/",S138)+1,9)),VALUE(LEFT(S138,FIND("/",S138)-1))/VALUE(MID(S138,FIND("/",S138)+1,9))),VALUE(S138)),""))</f>
        <v>7.018</v>
      </c>
      <c r="U138" s="43" t="str">
        <f aca="false">IF(OR($A138="",NOT(ISNUMBER(Q138))),"",TEXT(Q138,"yyyymmdd")&amp;"|"&amp;IF(R138=1,"F",TEXT(T138,"0.000")))</f>
        <v>20300208|7.018</v>
      </c>
      <c r="V138" s="43" t="str">
        <f aca="false">IF(U138="","",O138&amp;"|"&amp;U138)</f>
        <v>STANLN|20300208|7.018</v>
      </c>
      <c r="W138" s="43" t="str">
        <f aca="false">IF($A138="","",IFERROR(IF(VLOOKUP(O138,매핑!$A$4:$E$92,3,0)="","미분류",VLOOKUP(O138,매핑!$A$4:$E$92,3,0)),"미분류"))</f>
        <v>영국</v>
      </c>
      <c r="X138" s="89" t="n">
        <f aca="false">IF($A138="",0,IF(O138="T",1,0))</f>
        <v>0</v>
      </c>
      <c r="Y138" s="89" t="n">
        <f aca="false">IF($A138="",0,IF(AND(C138="USD",X138=0,ISNUMBER(E138),ISNUMBER(K138)),IF(K138&gt;=설정!$C$8,1,0),0))</f>
        <v>1</v>
      </c>
      <c r="Z138" s="43" t="str">
        <f aca="false">IF($A138="","",N138&amp;"|"&amp;L138)</f>
        <v>유럽|금융기관</v>
      </c>
      <c r="AA138" s="92" t="n">
        <f aca="false">IF(Y138=1,LN(K138),0)</f>
        <v>0.783444818540726</v>
      </c>
      <c r="AB138" s="93" t="n">
        <f aca="false">IF(Y138=1,E138,0)</f>
        <v>71.312</v>
      </c>
      <c r="AC138" s="89" t="n">
        <f aca="false">IF(Y138=1,COUNTIFS($Z$2:$Z$601,Z138,$Y$2:$Y$601,1),0)</f>
        <v>32</v>
      </c>
      <c r="AD138" s="89" t="n">
        <f aca="false">IF(Y138=1,COUNTIFS($N$2:$N$601,N138,$Y$2:$Y$601,1),0)</f>
        <v>32</v>
      </c>
      <c r="AE138" s="43" t="str">
        <f aca="false">IF(Y138&lt;&gt;1,"",IF(AND(AC138&gt;=설정!$C$7,ISNUMBER(MATCH(Z138,피어커브!$A:$A,0))),Z138,IF(AND(AD138&gt;=설정!$C$7,ISNUMBER(MATCH(N138&amp;"|전체",피어커브!$A:$A,0))),N138&amp;"|전체","전체|전체")))</f>
        <v>유럽|금융기관</v>
      </c>
      <c r="AF138" s="93" t="n">
        <f aca="false">IF(AE138="","",INDEX(피어커브!$K:$K,MATCH(AE138,피어커브!$A:$A,0)))</f>
        <v>43.3660967921697</v>
      </c>
      <c r="AG138" s="93" t="n">
        <f aca="false">IF(AE138="","",INDEX(피어커브!$J:$J,MATCH(AE138,피어커브!$A:$A,0)))</f>
        <v>30.582858826536</v>
      </c>
      <c r="AH138" s="93" t="n">
        <f aca="false">IF(AE138="","",INDEX(피어커브!$L:$L,MATCH(AE138,피어커브!$A:$A,0)))</f>
        <v>10.9882810943096</v>
      </c>
      <c r="AI138" s="93" t="n">
        <f aca="false">IF(AE138="","",AF138+AG138*AA138)</f>
        <v>67.3260790759818</v>
      </c>
      <c r="AJ138" s="96" t="n">
        <f aca="false">IF(AE138="","",E138-AI138)</f>
        <v>3.98592092401817</v>
      </c>
      <c r="AK138" s="95" t="n">
        <f aca="false">IF(AE138="","",IF(ISNUMBER(AH138),IF(AH138&gt;0,AJ138/AH138,""),""))</f>
        <v>0.362742897620477</v>
      </c>
      <c r="AL138" s="43" t="str">
        <f aca="false">IF(AK138="","-",IF(AK138&gt;=설정!$C$6,"Cheap",IF(AK138&lt;=-설정!$C$6,"Rich","Fair")))</f>
        <v>Fair</v>
      </c>
      <c r="AM138" s="96" t="n">
        <f aca="false">IF(AE138="","",AJ138-AVERAGEIFS($AJ$2:$AJ$601,$B$2:$B$601,B138,$Y$2:$Y$601,1))</f>
        <v>0.157127698658277</v>
      </c>
      <c r="AN138" s="93" t="n">
        <f aca="false">IF(AE138="",0,IF(K138&gt;1+설정!$C$8,AG138*(AA138-LN(K138-1)),0))</f>
        <v>18.6657035353366</v>
      </c>
      <c r="AO138" s="99" t="n">
        <f aca="false">IF($A138="",0,SUMIFS(보유분석!$AA$2:$AA$801,보유분석!$AB$2:$AB$801,ROW(),보유분석!$AC$2:$AC$801,1))</f>
        <v>12.344148</v>
      </c>
      <c r="AP138" s="43" t="str">
        <f aca="false">IF($A138="","",TRIM(IF(R138=1,"FRN ","")&amp;IF(IFERROR(VLOOKUP(M138,설정!$A$15:$D$47,4,0),0)&gt;=10,IF(IFERROR(VLOOKUP(M138,설정!$A$15:$D$47,4,0),0)&lt;99,"BBB0미만 ",""),"")&amp;IF(OR(M138="",M138="NR"),"등급미입력 ","")&amp;IF(C138&lt;&gt;"USD","비USD ","")))</f>
        <v/>
      </c>
      <c r="AQ138" s="90" t="n">
        <f aca="false">IF(AND(Y138=1,AL138="Cheap"),IF(AND(ISERROR(SEARCH("FRN",AP138)),ISERROR(SEARCH("BBB0미만",AP138))),AK138+ROW()/1000000000,-999),-999)</f>
        <v>-999</v>
      </c>
      <c r="AR138" s="92" t="n">
        <f aca="false">IF(AND(ISNUMBER(D138),ISNUMBER(K138)),D138+AN138*MAX(K138-1,0)/100,"")</f>
        <v>6.21693521503515</v>
      </c>
      <c r="AS138" s="93" t="n">
        <f aca="false">IF(AND(ISNUMBER(E138),ISNUMBER(K138)),IF(K138&gt;0,(E138+AN138*MAX(K138-1,0))/K138,""),"")</f>
        <v>42.7160902254523</v>
      </c>
      <c r="AT138" s="90" t="n">
        <f aca="false">IFERROR(IF(AND(Y138=1,ROW()&lt;&gt;스왑분석!$C$12+1,ABS(K138-INDEX($K$2:$K$601,스왑분석!$C$12))&lt;=스왑분석!$C$5,ISERROR(SEARCH("FRN",AP138)),ISERROR(SEARCH("BBB0미만",AP138))),IF(AND(OR(스왑분석!$C$6="N",L138=INDEX($L$2:$L$601,스왑분석!$C$12)),OR(스왑분석!$C$7="N",N138=INDEX($N$2:$N$601,스왑분석!$C$12)),OR(스왑분석!$C$8="N",AO138=0),E138-INDEX($E$2:$E$601,스왑분석!$C$12)&gt;=스왑분석!$C$9),E138-INDEX($E$2:$E$601,스왑분석!$C$12)+ROW()/1000000000,-999),-999),-999)</f>
        <v>-999</v>
      </c>
      <c r="AU138" s="90" t="n">
        <f aca="false">IF(AND(Y138=1,AO138&gt;0,AL138="Rich"),-AK138+ROW()/1000000000,-999)</f>
        <v>-999</v>
      </c>
    </row>
    <row r="139" customFormat="false" ht="15" hidden="false" customHeight="false" outlineLevel="0" collapsed="false">
      <c r="A139" s="83" t="str">
        <f aca="false">IFERROR(IF(INDEX(원자료_시장!$A$1:$BZ$1000,설정!$L$6+ROW()-1,설정!$L$24)&amp;""="0","",INDEX(원자료_시장!$A$1:$BZ$1000,설정!$L$6+ROW()-1,설정!$L$24)),"")</f>
        <v>UBS 3.869 01/12/29</v>
      </c>
      <c r="B139" s="83" t="str">
        <f aca="false">IFERROR(IF(INDEX(원자료_시장!$A$1:$BZ$1000,설정!$L$6+ROW()-1,설정!$L$37)&amp;""="0","",INDEX(원자료_시장!$A$1:$BZ$1000,설정!$L$6+ROW()-1,설정!$L$37)),"")</f>
        <v>UBS GROUP AG</v>
      </c>
      <c r="C139" s="83" t="str">
        <f aca="false">IFERROR(IF(INDEX(원자료_시장!$A$1:$BZ$1000,설정!$L$6+ROW()-1,설정!$L$25)&amp;""="0","",INDEX(원자료_시장!$A$1:$BZ$1000,설정!$L$6+ROW()-1,설정!$L$25)),"")</f>
        <v>USD</v>
      </c>
      <c r="D139" s="85" t="n">
        <f aca="false">IFERROR(IF(ISNUMBER(INDEX(원자료_시장!$A$1:$BZ$1000,설정!$L$6+ROW()-1,설정!$L$26)),INDEX(원자료_시장!$A$1:$BZ$1000,설정!$L$6+ROW()-1,설정!$L$26),""),"")</f>
        <v>5.72</v>
      </c>
      <c r="E139" s="97" t="n">
        <f aca="false">IFERROR(IF(ISNUMBER(INDEX(원자료_시장!$A$1:$BZ$1000,설정!$L$6+ROW()-1,설정!$L$27)),INDEX(원자료_시장!$A$1:$BZ$1000,설정!$L$6+ROW()-1,설정!$L$27),""),"")</f>
        <v>38.768</v>
      </c>
      <c r="F139" s="97" t="n">
        <f aca="false">IFERROR(IF(ISNUMBER(INDEX(원자료_시장!$A$1:$BZ$1000,설정!$L$6+ROW()-1,설정!$L$28)),INDEX(원자료_시장!$A$1:$BZ$1000,설정!$L$6+ROW()-1,설정!$L$28),""),"")</f>
        <v>71.361</v>
      </c>
      <c r="G139" s="97" t="n">
        <f aca="false">IFERROR(IF(ISNUMBER(INDEX(원자료_시장!$A$1:$BZ$1000,설정!$L$6+ROW()-1,설정!$L$29)),INDEX(원자료_시장!$A$1:$BZ$1000,설정!$L$6+ROW()-1,설정!$L$29),""),"")</f>
        <v>2.4</v>
      </c>
      <c r="H139" s="97" t="n">
        <f aca="false">IFERROR(IF(ISNUMBER(INDEX(원자료_시장!$A$1:$BZ$1000,설정!$L$6+ROW()-1,설정!$L$30)),INDEX(원자료_시장!$A$1:$BZ$1000,설정!$L$6+ROW()-1,설정!$L$30),""),"")</f>
        <v>8.9</v>
      </c>
      <c r="I139" s="97" t="n">
        <f aca="false">IFERROR(IF(ISNUMBER(INDEX(원자료_시장!$A$1:$BZ$1000,설정!$L$6+ROW()-1,설정!$L$31)),INDEX(원자료_시장!$A$1:$BZ$1000,설정!$L$6+ROW()-1,설정!$L$31),""),"")</f>
        <v>-20.7</v>
      </c>
      <c r="J139" s="97" t="n">
        <f aca="false">IFERROR(IF(ISNUMBER(INDEX(원자료_시장!$A$1:$BZ$1000,설정!$L$6+ROW()-1,설정!$L$32)),INDEX(원자료_시장!$A$1:$BZ$1000,설정!$L$6+ROW()-1,설정!$L$32),""),"")</f>
        <v>-30.3</v>
      </c>
      <c r="K139" s="85" t="n">
        <f aca="false">IFERROR(IF(ISNUMBER(INDEX(원자료_시장!$A$1:$BZ$1000,설정!$L$6+ROW()-1,설정!$L$33)),INDEX(원자료_시장!$A$1:$BZ$1000,설정!$L$6+ROW()-1,설정!$L$33),""),"")</f>
        <v>1.249</v>
      </c>
      <c r="L139" s="83" t="str">
        <f aca="false">IFERROR(IF(INDEX(원자료_시장!$A$1:$BZ$1000,설정!$L$6+ROW()-1,설정!$L$34)&amp;""="0","",INDEX(원자료_시장!$A$1:$BZ$1000,설정!$L$6+ROW()-1,설정!$L$34)),"")</f>
        <v>금융기관</v>
      </c>
      <c r="M139" s="83" t="str">
        <f aca="false">IFERROR(IF(INDEX(원자료_시장!$A$1:$BZ$1000,설정!$L$6+ROW()-1,설정!$L$35)&amp;""="0","",INDEX(원자료_시장!$A$1:$BZ$1000,설정!$L$6+ROW()-1,설정!$L$35)),"")</f>
        <v>A-</v>
      </c>
      <c r="N139" s="83" t="str">
        <f aca="false">IFERROR(IF(INDEX(원자료_시장!$A$1:$BZ$1000,설정!$L$6+ROW()-1,설정!$L$36)&amp;""="0","",INDEX(원자료_시장!$A$1:$BZ$1000,설정!$L$6+ROW()-1,설정!$L$36)),"")</f>
        <v>유럽</v>
      </c>
      <c r="O139" s="43" t="str">
        <f aca="false">IF($A139="","",UPPER(LEFT($A139,FIND(" ",$A139&amp;" ")-1)))</f>
        <v>UBS</v>
      </c>
      <c r="P139" s="43" t="str">
        <f aca="false">IF($A139="","",TRIM(RIGHT(SUBSTITUTE(TRIM($A139)," ",REPT(" ",30)),30)))</f>
        <v>01/12/29</v>
      </c>
      <c r="Q139" s="98" t="n">
        <f aca="false">IF($A139="","",IFERROR(DATE(IF(LEN(P139)=8,2000+VALUE(RIGHT(P139,2)),VALUE(RIGHT(P139,4))),VALUE(LEFT(P139,2)),VALUE(MID(P139,4,2))),""))</f>
        <v>47130</v>
      </c>
      <c r="R139" s="89" t="n">
        <f aca="false">IF($A139="",0,IF(ISNUMBER(SEARCH("Float",$A139)),1,0))</f>
        <v>0</v>
      </c>
      <c r="S139" s="43" t="str">
        <f aca="false">IF($A139="","",TRIM(MID($A139,LEN(O139)+2,LEN($A139)-LEN(O139)-LEN(P139)-1)))</f>
        <v>3.869</v>
      </c>
      <c r="T139" s="92" t="n">
        <f aca="false">IF(OR($A139="",R139=1),"",IFERROR(IF(ISNUMBER(FIND("/",S139)),IF(ISNUMBER(FIND(" ",S139)),VALUE(LEFT(S139,FIND(" ",S139)-1))+VALUE(MID(S139,FIND(" ",S139)+1,FIND("/",S139)-FIND(" ",S139)-1))/VALUE(MID(S139,FIND("/",S139)+1,9)),VALUE(LEFT(S139,FIND("/",S139)-1))/VALUE(MID(S139,FIND("/",S139)+1,9))),VALUE(S139)),""))</f>
        <v>3.869</v>
      </c>
      <c r="U139" s="43" t="str">
        <f aca="false">IF(OR($A139="",NOT(ISNUMBER(Q139))),"",TEXT(Q139,"yyyymmdd")&amp;"|"&amp;IF(R139=1,"F",TEXT(T139,"0.000")))</f>
        <v>20290112|3.869</v>
      </c>
      <c r="V139" s="43" t="str">
        <f aca="false">IF(U139="","",O139&amp;"|"&amp;U139)</f>
        <v>UBS|20290112|3.869</v>
      </c>
      <c r="W139" s="43" t="str">
        <f aca="false">IF($A139="","",IFERROR(IF(VLOOKUP(O139,매핑!$A$4:$E$92,3,0)="","미분류",VLOOKUP(O139,매핑!$A$4:$E$92,3,0)),"미분류"))</f>
        <v>스위스</v>
      </c>
      <c r="X139" s="89" t="n">
        <f aca="false">IF($A139="",0,IF(O139="T",1,0))</f>
        <v>0</v>
      </c>
      <c r="Y139" s="89" t="n">
        <f aca="false">IF($A139="",0,IF(AND(C139="USD",X139=0,ISNUMBER(E139),ISNUMBER(K139)),IF(K139&gt;=설정!$C$8,1,0),0))</f>
        <v>1</v>
      </c>
      <c r="Z139" s="43" t="str">
        <f aca="false">IF($A139="","",N139&amp;"|"&amp;L139)</f>
        <v>유럽|금융기관</v>
      </c>
      <c r="AA139" s="92" t="n">
        <f aca="false">IF(Y139=1,LN(K139),0)</f>
        <v>0.222343231143441</v>
      </c>
      <c r="AB139" s="93" t="n">
        <f aca="false">IF(Y139=1,E139,0)</f>
        <v>38.768</v>
      </c>
      <c r="AC139" s="89" t="n">
        <f aca="false">IF(Y139=1,COUNTIFS($Z$2:$Z$601,Z139,$Y$2:$Y$601,1),0)</f>
        <v>32</v>
      </c>
      <c r="AD139" s="89" t="n">
        <f aca="false">IF(Y139=1,COUNTIFS($N$2:$N$601,N139,$Y$2:$Y$601,1),0)</f>
        <v>32</v>
      </c>
      <c r="AE139" s="43" t="str">
        <f aca="false">IF(Y139&lt;&gt;1,"",IF(AND(AC139&gt;=설정!$C$7,ISNUMBER(MATCH(Z139,피어커브!$A:$A,0))),Z139,IF(AND(AD139&gt;=설정!$C$7,ISNUMBER(MATCH(N139&amp;"|전체",피어커브!$A:$A,0))),N139&amp;"|전체","전체|전체")))</f>
        <v>유럽|금융기관</v>
      </c>
      <c r="AF139" s="93" t="n">
        <f aca="false">IF(AE139="","",INDEX(피어커브!$K:$K,MATCH(AE139,피어커브!$A:$A,0)))</f>
        <v>43.3660967921697</v>
      </c>
      <c r="AG139" s="93" t="n">
        <f aca="false">IF(AE139="","",INDEX(피어커브!$J:$J,MATCH(AE139,피어커브!$A:$A,0)))</f>
        <v>30.582858826536</v>
      </c>
      <c r="AH139" s="93" t="n">
        <f aca="false">IF(AE139="","",INDEX(피어커브!$L:$L,MATCH(AE139,피어커브!$A:$A,0)))</f>
        <v>10.9882810943096</v>
      </c>
      <c r="AI139" s="93" t="n">
        <f aca="false">IF(AE139="","",AF139+AG139*AA139)</f>
        <v>50.1659884412654</v>
      </c>
      <c r="AJ139" s="96" t="n">
        <f aca="false">IF(AE139="","",E139-AI139)</f>
        <v>-11.3979884412654</v>
      </c>
      <c r="AK139" s="95" t="n">
        <f aca="false">IF(AE139="","",IF(ISNUMBER(AH139),IF(AH139&gt;0,AJ139/AH139,""),""))</f>
        <v>-1.03728584511439</v>
      </c>
      <c r="AL139" s="43" t="str">
        <f aca="false">IF(AK139="","-",IF(AK139&gt;=설정!$C$6,"Cheap",IF(AK139&lt;=-설정!$C$6,"Rich","Fair")))</f>
        <v>Rich</v>
      </c>
      <c r="AM139" s="96" t="n">
        <f aca="false">IF(AE139="","",AJ139-AVERAGEIFS($AJ$2:$AJ$601,$B$2:$B$601,B139,$Y$2:$Y$601,1))</f>
        <v>-6.23250966109855</v>
      </c>
      <c r="AN139" s="93" t="n">
        <f aca="false">IF(AE139="",0,IF(K139&gt;1+설정!$C$8,AG139*(AA139-LN(K139-1)),0))</f>
        <v>0</v>
      </c>
      <c r="AO139" s="99" t="n">
        <f aca="false">IF($A139="",0,SUMIFS(보유분석!$AA$2:$AA$801,보유분석!$AB$2:$AB$801,ROW(),보유분석!$AC$2:$AC$801,1))</f>
        <v>0</v>
      </c>
      <c r="AP139" s="43" t="str">
        <f aca="false">IF($A139="","",TRIM(IF(R139=1,"FRN ","")&amp;IF(IFERROR(VLOOKUP(M139,설정!$A$15:$D$47,4,0),0)&gt;=10,IF(IFERROR(VLOOKUP(M139,설정!$A$15:$D$47,4,0),0)&lt;99,"BBB0미만 ",""),"")&amp;IF(OR(M139="",M139="NR"),"등급미입력 ","")&amp;IF(C139&lt;&gt;"USD","비USD ","")))</f>
        <v/>
      </c>
      <c r="AQ139" s="90" t="n">
        <f aca="false">IF(AND(Y139=1,AL139="Cheap"),IF(AND(ISERROR(SEARCH("FRN",AP139)),ISERROR(SEARCH("BBB0미만",AP139))),AK139+ROW()/1000000000,-999),-999)</f>
        <v>-999</v>
      </c>
      <c r="AR139" s="92" t="n">
        <f aca="false">IF(AND(ISNUMBER(D139),ISNUMBER(K139)),D139+AN139*MAX(K139-1,0)/100,"")</f>
        <v>5.72</v>
      </c>
      <c r="AS139" s="93" t="n">
        <f aca="false">IF(AND(ISNUMBER(E139),ISNUMBER(K139)),IF(K139&gt;0,(E139+AN139*MAX(K139-1,0))/K139,""),"")</f>
        <v>31.0392313851081</v>
      </c>
      <c r="AT139" s="90" t="n">
        <f aca="false">IFERROR(IF(AND(Y139=1,ROW()&lt;&gt;스왑분석!$C$12+1,ABS(K139-INDEX($K$2:$K$601,스왑분석!$C$12))&lt;=스왑분석!$C$5,ISERROR(SEARCH("FRN",AP139)),ISERROR(SEARCH("BBB0미만",AP139))),IF(AND(OR(스왑분석!$C$6="N",L139=INDEX($L$2:$L$601,스왑분석!$C$12)),OR(스왑분석!$C$7="N",N139=INDEX($N$2:$N$601,스왑분석!$C$12)),OR(스왑분석!$C$8="N",AO139=0),E139-INDEX($E$2:$E$601,스왑분석!$C$12)&gt;=스왑분석!$C$9),E139-INDEX($E$2:$E$601,스왑분석!$C$12)+ROW()/1000000000,-999),-999),-999)</f>
        <v>-999</v>
      </c>
      <c r="AU139" s="90" t="n">
        <f aca="false">IF(AND(Y139=1,AO139&gt;0,AL139="Rich"),-AK139+ROW()/1000000000,-999)</f>
        <v>-999</v>
      </c>
    </row>
    <row r="140" customFormat="false" ht="15" hidden="false" customHeight="false" outlineLevel="0" collapsed="false">
      <c r="A140" s="83" t="str">
        <f aca="false">IFERROR(IF(INDEX(원자료_시장!$A$1:$BZ$1000,설정!$L$6+ROW()-1,설정!$L$24)&amp;""="0","",INDEX(원자료_시장!$A$1:$BZ$1000,설정!$L$6+ROW()-1,설정!$L$24)),"")</f>
        <v>UBS 4.194 04/01/31</v>
      </c>
      <c r="B140" s="83" t="str">
        <f aca="false">IFERROR(IF(INDEX(원자료_시장!$A$1:$BZ$1000,설정!$L$6+ROW()-1,설정!$L$37)&amp;""="0","",INDEX(원자료_시장!$A$1:$BZ$1000,설정!$L$6+ROW()-1,설정!$L$37)),"")</f>
        <v>UBS GROUP AG</v>
      </c>
      <c r="C140" s="83" t="str">
        <f aca="false">IFERROR(IF(INDEX(원자료_시장!$A$1:$BZ$1000,설정!$L$6+ROW()-1,설정!$L$25)&amp;""="0","",INDEX(원자료_시장!$A$1:$BZ$1000,설정!$L$6+ROW()-1,설정!$L$25)),"")</f>
        <v>USD</v>
      </c>
      <c r="D140" s="85" t="n">
        <f aca="false">IFERROR(IF(ISNUMBER(INDEX(원자료_시장!$A$1:$BZ$1000,설정!$L$6+ROW()-1,설정!$L$26)),INDEX(원자료_시장!$A$1:$BZ$1000,설정!$L$6+ROW()-1,설정!$L$26),""),"")</f>
        <v>6.175</v>
      </c>
      <c r="E140" s="97" t="n">
        <f aca="false">IFERROR(IF(ISNUMBER(INDEX(원자료_시장!$A$1:$BZ$1000,설정!$L$6+ROW()-1,설정!$L$27)),INDEX(원자료_시장!$A$1:$BZ$1000,설정!$L$6+ROW()-1,설정!$L$27),""),"")</f>
        <v>69.956</v>
      </c>
      <c r="F140" s="97" t="n">
        <f aca="false">IFERROR(IF(ISNUMBER(INDEX(원자료_시장!$A$1:$BZ$1000,설정!$L$6+ROW()-1,설정!$L$28)),INDEX(원자료_시장!$A$1:$BZ$1000,설정!$L$6+ROW()-1,설정!$L$28),""),"")</f>
        <v>104.554</v>
      </c>
      <c r="G140" s="97" t="n">
        <f aca="false">IFERROR(IF(ISNUMBER(INDEX(원자료_시장!$A$1:$BZ$1000,설정!$L$6+ROW()-1,설정!$L$29)),INDEX(원자료_시장!$A$1:$BZ$1000,설정!$L$6+ROW()-1,설정!$L$29),""),"")</f>
        <v>-1.5</v>
      </c>
      <c r="H140" s="97" t="n">
        <f aca="false">IFERROR(IF(ISNUMBER(INDEX(원자료_시장!$A$1:$BZ$1000,설정!$L$6+ROW()-1,설정!$L$30)),INDEX(원자료_시장!$A$1:$BZ$1000,설정!$L$6+ROW()-1,설정!$L$30),""),"")</f>
        <v>9</v>
      </c>
      <c r="I140" s="97" t="n">
        <f aca="false">IFERROR(IF(ISNUMBER(INDEX(원자료_시장!$A$1:$BZ$1000,설정!$L$6+ROW()-1,설정!$L$31)),INDEX(원자료_시장!$A$1:$BZ$1000,설정!$L$6+ROW()-1,설정!$L$31),""),"")</f>
        <v>-1.2</v>
      </c>
      <c r="J140" s="97" t="n">
        <f aca="false">IFERROR(IF(ISNUMBER(INDEX(원자료_시장!$A$1:$BZ$1000,설정!$L$6+ROW()-1,설정!$L$32)),INDEX(원자료_시장!$A$1:$BZ$1000,설정!$L$6+ROW()-1,설정!$L$32),""),"")</f>
        <v>-8</v>
      </c>
      <c r="K140" s="85" t="n">
        <f aca="false">IFERROR(IF(ISNUMBER(INDEX(원자료_시장!$A$1:$BZ$1000,설정!$L$6+ROW()-1,설정!$L$33)),INDEX(원자료_시장!$A$1:$BZ$1000,설정!$L$6+ROW()-1,설정!$L$33),""),"")</f>
        <v>3.282</v>
      </c>
      <c r="L140" s="83" t="str">
        <f aca="false">IFERROR(IF(INDEX(원자료_시장!$A$1:$BZ$1000,설정!$L$6+ROW()-1,설정!$L$34)&amp;""="0","",INDEX(원자료_시장!$A$1:$BZ$1000,설정!$L$6+ROW()-1,설정!$L$34)),"")</f>
        <v>금융기관</v>
      </c>
      <c r="M140" s="83" t="str">
        <f aca="false">IFERROR(IF(INDEX(원자료_시장!$A$1:$BZ$1000,설정!$L$6+ROW()-1,설정!$L$35)&amp;""="0","",INDEX(원자료_시장!$A$1:$BZ$1000,설정!$L$6+ROW()-1,설정!$L$35)),"")</f>
        <v>A-</v>
      </c>
      <c r="N140" s="83" t="str">
        <f aca="false">IFERROR(IF(INDEX(원자료_시장!$A$1:$BZ$1000,설정!$L$6+ROW()-1,설정!$L$36)&amp;""="0","",INDEX(원자료_시장!$A$1:$BZ$1000,설정!$L$6+ROW()-1,설정!$L$36)),"")</f>
        <v>유럽</v>
      </c>
      <c r="O140" s="43" t="str">
        <f aca="false">IF($A140="","",UPPER(LEFT($A140,FIND(" ",$A140&amp;" ")-1)))</f>
        <v>UBS</v>
      </c>
      <c r="P140" s="43" t="str">
        <f aca="false">IF($A140="","",TRIM(RIGHT(SUBSTITUTE(TRIM($A140)," ",REPT(" ",30)),30)))</f>
        <v>04/01/31</v>
      </c>
      <c r="Q140" s="98" t="n">
        <f aca="false">IF($A140="","",IFERROR(DATE(IF(LEN(P140)=8,2000+VALUE(RIGHT(P140,2)),VALUE(RIGHT(P140,4))),VALUE(LEFT(P140,2)),VALUE(MID(P140,4,2))),""))</f>
        <v>47939</v>
      </c>
      <c r="R140" s="89" t="n">
        <f aca="false">IF($A140="",0,IF(ISNUMBER(SEARCH("Float",$A140)),1,0))</f>
        <v>0</v>
      </c>
      <c r="S140" s="43" t="str">
        <f aca="false">IF($A140="","",TRIM(MID($A140,LEN(O140)+2,LEN($A140)-LEN(O140)-LEN(P140)-1)))</f>
        <v>4.194</v>
      </c>
      <c r="T140" s="92" t="n">
        <f aca="false">IF(OR($A140="",R140=1),"",IFERROR(IF(ISNUMBER(FIND("/",S140)),IF(ISNUMBER(FIND(" ",S140)),VALUE(LEFT(S140,FIND(" ",S140)-1))+VALUE(MID(S140,FIND(" ",S140)+1,FIND("/",S140)-FIND(" ",S140)-1))/VALUE(MID(S140,FIND("/",S140)+1,9)),VALUE(LEFT(S140,FIND("/",S140)-1))/VALUE(MID(S140,FIND("/",S140)+1,9))),VALUE(S140)),""))</f>
        <v>4.194</v>
      </c>
      <c r="U140" s="43" t="str">
        <f aca="false">IF(OR($A140="",NOT(ISNUMBER(Q140))),"",TEXT(Q140,"yyyymmdd")&amp;"|"&amp;IF(R140=1,"F",TEXT(T140,"0.000")))</f>
        <v>20310401|4.194</v>
      </c>
      <c r="V140" s="43" t="str">
        <f aca="false">IF(U140="","",O140&amp;"|"&amp;U140)</f>
        <v>UBS|20310401|4.194</v>
      </c>
      <c r="W140" s="43" t="str">
        <f aca="false">IF($A140="","",IFERROR(IF(VLOOKUP(O140,매핑!$A$4:$E$92,3,0)="","미분류",VLOOKUP(O140,매핑!$A$4:$E$92,3,0)),"미분류"))</f>
        <v>스위스</v>
      </c>
      <c r="X140" s="89" t="n">
        <f aca="false">IF($A140="",0,IF(O140="T",1,0))</f>
        <v>0</v>
      </c>
      <c r="Y140" s="89" t="n">
        <f aca="false">IF($A140="",0,IF(AND(C140="USD",X140=0,ISNUMBER(E140),ISNUMBER(K140)),IF(K140&gt;=설정!$C$8,1,0),0))</f>
        <v>1</v>
      </c>
      <c r="Z140" s="43" t="str">
        <f aca="false">IF($A140="","",N140&amp;"|"&amp;L140)</f>
        <v>유럽|금융기관</v>
      </c>
      <c r="AA140" s="92" t="n">
        <f aca="false">IF(Y140=1,LN(K140),0)</f>
        <v>1.1884529926679</v>
      </c>
      <c r="AB140" s="93" t="n">
        <f aca="false">IF(Y140=1,E140,0)</f>
        <v>69.956</v>
      </c>
      <c r="AC140" s="89" t="n">
        <f aca="false">IF(Y140=1,COUNTIFS($Z$2:$Z$601,Z140,$Y$2:$Y$601,1),0)</f>
        <v>32</v>
      </c>
      <c r="AD140" s="89" t="n">
        <f aca="false">IF(Y140=1,COUNTIFS($N$2:$N$601,N140,$Y$2:$Y$601,1),0)</f>
        <v>32</v>
      </c>
      <c r="AE140" s="43" t="str">
        <f aca="false">IF(Y140&lt;&gt;1,"",IF(AND(AC140&gt;=설정!$C$7,ISNUMBER(MATCH(Z140,피어커브!$A:$A,0))),Z140,IF(AND(AD140&gt;=설정!$C$7,ISNUMBER(MATCH(N140&amp;"|전체",피어커브!$A:$A,0))),N140&amp;"|전체","전체|전체")))</f>
        <v>유럽|금융기관</v>
      </c>
      <c r="AF140" s="93" t="n">
        <f aca="false">IF(AE140="","",INDEX(피어커브!$K:$K,MATCH(AE140,피어커브!$A:$A,0)))</f>
        <v>43.3660967921697</v>
      </c>
      <c r="AG140" s="93" t="n">
        <f aca="false">IF(AE140="","",INDEX(피어커브!$J:$J,MATCH(AE140,피어커브!$A:$A,0)))</f>
        <v>30.582858826536</v>
      </c>
      <c r="AH140" s="93" t="n">
        <f aca="false">IF(AE140="","",INDEX(피어커브!$L:$L,MATCH(AE140,피어커브!$A:$A,0)))</f>
        <v>10.9882810943096</v>
      </c>
      <c r="AI140" s="93" t="n">
        <f aca="false">IF(AE140="","",AF140+AG140*AA140)</f>
        <v>79.7123868889063</v>
      </c>
      <c r="AJ140" s="96" t="n">
        <f aca="false">IF(AE140="","",E140-AI140)</f>
        <v>-9.75638688890628</v>
      </c>
      <c r="AK140" s="95" t="n">
        <f aca="false">IF(AE140="","",IF(ISNUMBER(AH140),IF(AH140&gt;0,AJ140/AH140,""),""))</f>
        <v>-0.887890180927272</v>
      </c>
      <c r="AL140" s="43" t="str">
        <f aca="false">IF(AK140="","-",IF(AK140&gt;=설정!$C$6,"Cheap",IF(AK140&lt;=-설정!$C$6,"Rich","Fair")))</f>
        <v>Fair</v>
      </c>
      <c r="AM140" s="96" t="n">
        <f aca="false">IF(AE140="","",AJ140-AVERAGEIFS($AJ$2:$AJ$601,$B$2:$B$601,B140,$Y$2:$Y$601,1))</f>
        <v>-4.59090810873945</v>
      </c>
      <c r="AN140" s="93" t="n">
        <f aca="false">IF(AE140="",0,IF(K140&gt;1+설정!$C$8,AG140*(AA140-LN(K140-1)),0))</f>
        <v>11.1138335664349</v>
      </c>
      <c r="AO140" s="99" t="n">
        <f aca="false">IF($A140="",0,SUMIFS(보유분석!$AA$2:$AA$801,보유분석!$AB$2:$AB$801,ROW(),보유분석!$AC$2:$AC$801,1))</f>
        <v>0</v>
      </c>
      <c r="AP140" s="43" t="str">
        <f aca="false">IF($A140="","",TRIM(IF(R140=1,"FRN ","")&amp;IF(IFERROR(VLOOKUP(M140,설정!$A$15:$D$47,4,0),0)&gt;=10,IF(IFERROR(VLOOKUP(M140,설정!$A$15:$D$47,4,0),0)&lt;99,"BBB0미만 ",""),"")&amp;IF(OR(M140="",M140="NR"),"등급미입력 ","")&amp;IF(C140&lt;&gt;"USD","비USD ","")))</f>
        <v/>
      </c>
      <c r="AQ140" s="90" t="n">
        <f aca="false">IF(AND(Y140=1,AL140="Cheap"),IF(AND(ISERROR(SEARCH("FRN",AP140)),ISERROR(SEARCH("BBB0미만",AP140))),AK140+ROW()/1000000000,-999),-999)</f>
        <v>-999</v>
      </c>
      <c r="AR140" s="92" t="n">
        <f aca="false">IF(AND(ISNUMBER(D140),ISNUMBER(K140)),D140+AN140*MAX(K140-1,0)/100,"")</f>
        <v>6.42861768198605</v>
      </c>
      <c r="AS140" s="93" t="n">
        <f aca="false">IF(AND(ISNUMBER(E140),ISNUMBER(K140)),IF(K140&gt;0,(E140+AN140*MAX(K140-1,0))/K140,""),"")</f>
        <v>29.0425862884231</v>
      </c>
      <c r="AT140" s="90" t="n">
        <f aca="false">IFERROR(IF(AND(Y140=1,ROW()&lt;&gt;스왑분석!$C$12+1,ABS(K140-INDEX($K$2:$K$601,스왑분석!$C$12))&lt;=스왑분석!$C$5,ISERROR(SEARCH("FRN",AP140)),ISERROR(SEARCH("BBB0미만",AP140))),IF(AND(OR(스왑분석!$C$6="N",L140=INDEX($L$2:$L$601,스왑분석!$C$12)),OR(스왑분석!$C$7="N",N140=INDEX($N$2:$N$601,스왑분석!$C$12)),OR(스왑분석!$C$8="N",AO140=0),E140-INDEX($E$2:$E$601,스왑분석!$C$12)&gt;=스왑분석!$C$9),E140-INDEX($E$2:$E$601,스왑분석!$C$12)+ROW()/1000000000,-999),-999),-999)</f>
        <v>21.46400014</v>
      </c>
      <c r="AU140" s="90" t="n">
        <f aca="false">IF(AND(Y140=1,AO140&gt;0,AL140="Rich"),-AK140+ROW()/1000000000,-999)</f>
        <v>-999</v>
      </c>
    </row>
    <row r="141" customFormat="false" ht="15" hidden="false" customHeight="false" outlineLevel="0" collapsed="false">
      <c r="A141" s="83" t="str">
        <f aca="false">IFERROR(IF(INDEX(원자료_시장!$A$1:$BZ$1000,설정!$L$6+ROW()-1,설정!$L$24)&amp;""="0","",INDEX(원자료_시장!$A$1:$BZ$1000,설정!$L$6+ROW()-1,설정!$L$24)),"")</f>
        <v>UBS 5.428 02/08/30</v>
      </c>
      <c r="B141" s="83" t="str">
        <f aca="false">IFERROR(IF(INDEX(원자료_시장!$A$1:$BZ$1000,설정!$L$6+ROW()-1,설정!$L$37)&amp;""="0","",INDEX(원자료_시장!$A$1:$BZ$1000,설정!$L$6+ROW()-1,설정!$L$37)),"")</f>
        <v>UBS GROUP AG</v>
      </c>
      <c r="C141" s="83" t="str">
        <f aca="false">IFERROR(IF(INDEX(원자료_시장!$A$1:$BZ$1000,설정!$L$6+ROW()-1,설정!$L$25)&amp;""="0","",INDEX(원자료_시장!$A$1:$BZ$1000,설정!$L$6+ROW()-1,설정!$L$25)),"")</f>
        <v>USD</v>
      </c>
      <c r="D141" s="85" t="n">
        <f aca="false">IFERROR(IF(ISNUMBER(INDEX(원자료_시장!$A$1:$BZ$1000,설정!$L$6+ROW()-1,설정!$L$26)),INDEX(원자료_시장!$A$1:$BZ$1000,설정!$L$6+ROW()-1,설정!$L$26),""),"")</f>
        <v>5.755</v>
      </c>
      <c r="E141" s="97" t="n">
        <f aca="false">IFERROR(IF(ISNUMBER(INDEX(원자료_시장!$A$1:$BZ$1000,설정!$L$6+ROW()-1,설정!$L$27)),INDEX(원자료_시장!$A$1:$BZ$1000,설정!$L$6+ROW()-1,설정!$L$27),""),"")</f>
        <v>63.608</v>
      </c>
      <c r="F141" s="97" t="n">
        <f aca="false">IFERROR(IF(ISNUMBER(INDEX(원자료_시장!$A$1:$BZ$1000,설정!$L$6+ROW()-1,설정!$L$28)),INDEX(원자료_시장!$A$1:$BZ$1000,설정!$L$6+ROW()-1,설정!$L$28),""),"")</f>
        <v>92.893</v>
      </c>
      <c r="G141" s="97" t="n">
        <f aca="false">IFERROR(IF(ISNUMBER(INDEX(원자료_시장!$A$1:$BZ$1000,설정!$L$6+ROW()-1,설정!$L$29)),INDEX(원자료_시장!$A$1:$BZ$1000,설정!$L$6+ROW()-1,설정!$L$29),""),"")</f>
        <v>-2.5</v>
      </c>
      <c r="H141" s="97" t="n">
        <f aca="false">IFERROR(IF(ISNUMBER(INDEX(원자료_시장!$A$1:$BZ$1000,설정!$L$6+ROW()-1,설정!$L$30)),INDEX(원자료_시장!$A$1:$BZ$1000,설정!$L$6+ROW()-1,설정!$L$30),""),"")</f>
        <v>7.9</v>
      </c>
      <c r="I141" s="97" t="n">
        <f aca="false">IFERROR(IF(ISNUMBER(INDEX(원자료_시장!$A$1:$BZ$1000,설정!$L$6+ROW()-1,설정!$L$31)),INDEX(원자료_시장!$A$1:$BZ$1000,설정!$L$6+ROW()-1,설정!$L$31),""),"")</f>
        <v>0.2</v>
      </c>
      <c r="J141" s="97" t="n">
        <f aca="false">IFERROR(IF(ISNUMBER(INDEX(원자료_시장!$A$1:$BZ$1000,설정!$L$6+ROW()-1,설정!$L$32)),INDEX(원자료_시장!$A$1:$BZ$1000,설정!$L$6+ROW()-1,설정!$L$32),""),"")</f>
        <v>-8.7</v>
      </c>
      <c r="K141" s="85" t="n">
        <f aca="false">IFERROR(IF(ISNUMBER(INDEX(원자료_시장!$A$1:$BZ$1000,설정!$L$6+ROW()-1,설정!$L$33)),INDEX(원자료_시장!$A$1:$BZ$1000,설정!$L$6+ROW()-1,설정!$L$33),""),"")</f>
        <v>2.221</v>
      </c>
      <c r="L141" s="83" t="str">
        <f aca="false">IFERROR(IF(INDEX(원자료_시장!$A$1:$BZ$1000,설정!$L$6+ROW()-1,설정!$L$34)&amp;""="0","",INDEX(원자료_시장!$A$1:$BZ$1000,설정!$L$6+ROW()-1,설정!$L$34)),"")</f>
        <v>금융기관</v>
      </c>
      <c r="M141" s="83" t="str">
        <f aca="false">IFERROR(IF(INDEX(원자료_시장!$A$1:$BZ$1000,설정!$L$6+ROW()-1,설정!$L$35)&amp;""="0","",INDEX(원자료_시장!$A$1:$BZ$1000,설정!$L$6+ROW()-1,설정!$L$35)),"")</f>
        <v>A-</v>
      </c>
      <c r="N141" s="83" t="str">
        <f aca="false">IFERROR(IF(INDEX(원자료_시장!$A$1:$BZ$1000,설정!$L$6+ROW()-1,설정!$L$36)&amp;""="0","",INDEX(원자료_시장!$A$1:$BZ$1000,설정!$L$6+ROW()-1,설정!$L$36)),"")</f>
        <v>유럽</v>
      </c>
      <c r="O141" s="43" t="str">
        <f aca="false">IF($A141="","",UPPER(LEFT($A141,FIND(" ",$A141&amp;" ")-1)))</f>
        <v>UBS</v>
      </c>
      <c r="P141" s="43" t="str">
        <f aca="false">IF($A141="","",TRIM(RIGHT(SUBSTITUTE(TRIM($A141)," ",REPT(" ",30)),30)))</f>
        <v>02/08/30</v>
      </c>
      <c r="Q141" s="98" t="n">
        <f aca="false">IF($A141="","",IFERROR(DATE(IF(LEN(P141)=8,2000+VALUE(RIGHT(P141,2)),VALUE(RIGHT(P141,4))),VALUE(LEFT(P141,2)),VALUE(MID(P141,4,2))),""))</f>
        <v>47522</v>
      </c>
      <c r="R141" s="89" t="n">
        <f aca="false">IF($A141="",0,IF(ISNUMBER(SEARCH("Float",$A141)),1,0))</f>
        <v>0</v>
      </c>
      <c r="S141" s="43" t="str">
        <f aca="false">IF($A141="","",TRIM(MID($A141,LEN(O141)+2,LEN($A141)-LEN(O141)-LEN(P141)-1)))</f>
        <v>5.428</v>
      </c>
      <c r="T141" s="92" t="n">
        <f aca="false">IF(OR($A141="",R141=1),"",IFERROR(IF(ISNUMBER(FIND("/",S141)),IF(ISNUMBER(FIND(" ",S141)),VALUE(LEFT(S141,FIND(" ",S141)-1))+VALUE(MID(S141,FIND(" ",S141)+1,FIND("/",S141)-FIND(" ",S141)-1))/VALUE(MID(S141,FIND("/",S141)+1,9)),VALUE(LEFT(S141,FIND("/",S141)-1))/VALUE(MID(S141,FIND("/",S141)+1,9))),VALUE(S141)),""))</f>
        <v>5.428</v>
      </c>
      <c r="U141" s="43" t="str">
        <f aca="false">IF(OR($A141="",NOT(ISNUMBER(Q141))),"",TEXT(Q141,"yyyymmdd")&amp;"|"&amp;IF(R141=1,"F",TEXT(T141,"0.000")))</f>
        <v>20300208|5.428</v>
      </c>
      <c r="V141" s="43" t="str">
        <f aca="false">IF(U141="","",O141&amp;"|"&amp;U141)</f>
        <v>UBS|20300208|5.428</v>
      </c>
      <c r="W141" s="43" t="str">
        <f aca="false">IF($A141="","",IFERROR(IF(VLOOKUP(O141,매핑!$A$4:$E$92,3,0)="","미분류",VLOOKUP(O141,매핑!$A$4:$E$92,3,0)),"미분류"))</f>
        <v>스위스</v>
      </c>
      <c r="X141" s="89" t="n">
        <f aca="false">IF($A141="",0,IF(O141="T",1,0))</f>
        <v>0</v>
      </c>
      <c r="Y141" s="89" t="n">
        <f aca="false">IF($A141="",0,IF(AND(C141="USD",X141=0,ISNUMBER(E141),ISNUMBER(K141)),IF(K141&gt;=설정!$C$8,1,0),0))</f>
        <v>1</v>
      </c>
      <c r="Z141" s="43" t="str">
        <f aca="false">IF($A141="","",N141&amp;"|"&amp;L141)</f>
        <v>유럽|금융기관</v>
      </c>
      <c r="AA141" s="92" t="n">
        <f aca="false">IF(Y141=1,LN(K141),0)</f>
        <v>0.79795754491229</v>
      </c>
      <c r="AB141" s="93" t="n">
        <f aca="false">IF(Y141=1,E141,0)</f>
        <v>63.608</v>
      </c>
      <c r="AC141" s="89" t="n">
        <f aca="false">IF(Y141=1,COUNTIFS($Z$2:$Z$601,Z141,$Y$2:$Y$601,1),0)</f>
        <v>32</v>
      </c>
      <c r="AD141" s="89" t="n">
        <f aca="false">IF(Y141=1,COUNTIFS($N$2:$N$601,N141,$Y$2:$Y$601,1),0)</f>
        <v>32</v>
      </c>
      <c r="AE141" s="43" t="str">
        <f aca="false">IF(Y141&lt;&gt;1,"",IF(AND(AC141&gt;=설정!$C$7,ISNUMBER(MATCH(Z141,피어커브!$A:$A,0))),Z141,IF(AND(AD141&gt;=설정!$C$7,ISNUMBER(MATCH(N141&amp;"|전체",피어커브!$A:$A,0))),N141&amp;"|전체","전체|전체")))</f>
        <v>유럽|금융기관</v>
      </c>
      <c r="AF141" s="93" t="n">
        <f aca="false">IF(AE141="","",INDEX(피어커브!$K:$K,MATCH(AE141,피어커브!$A:$A,0)))</f>
        <v>43.3660967921697</v>
      </c>
      <c r="AG141" s="93" t="n">
        <f aca="false">IF(AE141="","",INDEX(피어커브!$J:$J,MATCH(AE141,피어커브!$A:$A,0)))</f>
        <v>30.582858826536</v>
      </c>
      <c r="AH141" s="93" t="n">
        <f aca="false">IF(AE141="","",INDEX(피어커브!$L:$L,MATCH(AE141,피어커브!$A:$A,0)))</f>
        <v>10.9882810943096</v>
      </c>
      <c r="AI141" s="93" t="n">
        <f aca="false">IF(AE141="","",AF141+AG141*AA141)</f>
        <v>67.7699197377915</v>
      </c>
      <c r="AJ141" s="96" t="n">
        <f aca="false">IF(AE141="","",E141-AI141)</f>
        <v>-4.16191973779153</v>
      </c>
      <c r="AK141" s="95" t="n">
        <f aca="false">IF(AE141="","",IF(ISNUMBER(AH141),IF(AH141&gt;0,AJ141/AH141,""),""))</f>
        <v>-0.378759853526756</v>
      </c>
      <c r="AL141" s="43" t="str">
        <f aca="false">IF(AK141="","-",IF(AK141&gt;=설정!$C$6,"Cheap",IF(AK141&lt;=-설정!$C$6,"Rich","Fair")))</f>
        <v>Fair</v>
      </c>
      <c r="AM141" s="96" t="n">
        <f aca="false">IF(AE141="","",AJ141-AVERAGEIFS($AJ$2:$AJ$601,$B$2:$B$601,B141,$Y$2:$Y$601,1))</f>
        <v>1.0035590423753</v>
      </c>
      <c r="AN141" s="93" t="n">
        <f aca="false">IF(AE141="",0,IF(K141&gt;1+설정!$C$8,AG141*(AA141-LN(K141-1)),0))</f>
        <v>18.297337556138</v>
      </c>
      <c r="AO141" s="99" t="n">
        <f aca="false">IF($A141="",0,SUMIFS(보유분석!$AA$2:$AA$801,보유분석!$AB$2:$AB$801,ROW(),보유분석!$AC$2:$AC$801,1))</f>
        <v>9.96327</v>
      </c>
      <c r="AP141" s="43" t="str">
        <f aca="false">IF($A141="","",TRIM(IF(R141=1,"FRN ","")&amp;IF(IFERROR(VLOOKUP(M141,설정!$A$15:$D$47,4,0),0)&gt;=10,IF(IFERROR(VLOOKUP(M141,설정!$A$15:$D$47,4,0),0)&lt;99,"BBB0미만 ",""),"")&amp;IF(OR(M141="",M141="NR"),"등급미입력 ","")&amp;IF(C141&lt;&gt;"USD","비USD ","")))</f>
        <v/>
      </c>
      <c r="AQ141" s="90" t="n">
        <f aca="false">IF(AND(Y141=1,AL141="Cheap"),IF(AND(ISERROR(SEARCH("FRN",AP141)),ISERROR(SEARCH("BBB0미만",AP141))),AK141+ROW()/1000000000,-999),-999)</f>
        <v>-999</v>
      </c>
      <c r="AR141" s="92" t="n">
        <f aca="false">IF(AND(ISNUMBER(D141),ISNUMBER(K141)),D141+AN141*MAX(K141-1,0)/100,"")</f>
        <v>5.97841049156044</v>
      </c>
      <c r="AS141" s="93" t="n">
        <f aca="false">IF(AND(ISNUMBER(E141),ISNUMBER(K141)),IF(K141&gt;0,(E141+AN141*MAX(K141-1,0))/K141,""),"")</f>
        <v>38.6983562161389</v>
      </c>
      <c r="AT141" s="90" t="n">
        <f aca="false">IFERROR(IF(AND(Y141=1,ROW()&lt;&gt;스왑분석!$C$12+1,ABS(K141-INDEX($K$2:$K$601,스왑분석!$C$12))&lt;=스왑분석!$C$5,ISERROR(SEARCH("FRN",AP141)),ISERROR(SEARCH("BBB0미만",AP141))),IF(AND(OR(스왑분석!$C$6="N",L141=INDEX($L$2:$L$601,스왑분석!$C$12)),OR(스왑분석!$C$7="N",N141=INDEX($N$2:$N$601,스왑분석!$C$12)),OR(스왑분석!$C$8="N",AO141=0),E141-INDEX($E$2:$E$601,스왑분석!$C$12)&gt;=스왑분석!$C$9),E141-INDEX($E$2:$E$601,스왑분석!$C$12)+ROW()/1000000000,-999),-999),-999)</f>
        <v>-999</v>
      </c>
      <c r="AU141" s="90" t="n">
        <f aca="false">IF(AND(Y141=1,AO141&gt;0,AL141="Rich"),-AK141+ROW()/1000000000,-999)</f>
        <v>-999</v>
      </c>
    </row>
    <row r="142" customFormat="false" ht="15" hidden="false" customHeight="false" outlineLevel="0" collapsed="false">
      <c r="A142" s="83" t="str">
        <f aca="false">IFERROR(IF(INDEX(원자료_시장!$A$1:$BZ$1000,설정!$L$6+ROW()-1,설정!$L$24)&amp;""="0","",INDEX(원자료_시장!$A$1:$BZ$1000,설정!$L$6+ROW()-1,설정!$L$24)),"")</f>
        <v>UBS 4.214 04/10/30</v>
      </c>
      <c r="B142" s="83" t="str">
        <f aca="false">IFERROR(IF(INDEX(원자료_시장!$A$1:$BZ$1000,설정!$L$6+ROW()-1,설정!$L$37)&amp;""="0","",INDEX(원자료_시장!$A$1:$BZ$1000,설정!$L$6+ROW()-1,설정!$L$37)),"")</f>
        <v>UBS GROUP AG</v>
      </c>
      <c r="C142" s="83" t="str">
        <f aca="false">IFERROR(IF(INDEX(원자료_시장!$A$1:$BZ$1000,설정!$L$6+ROW()-1,설정!$L$25)&amp;""="0","",INDEX(원자료_시장!$A$1:$BZ$1000,설정!$L$6+ROW()-1,설정!$L$25)),"")</f>
        <v>USD</v>
      </c>
      <c r="D142" s="85" t="n">
        <f aca="false">IFERROR(IF(ISNUMBER(INDEX(원자료_시장!$A$1:$BZ$1000,설정!$L$6+ROW()-1,설정!$L$26)),INDEX(원자료_시장!$A$1:$BZ$1000,설정!$L$6+ROW()-1,설정!$L$26),""),"")</f>
        <v>5.44</v>
      </c>
      <c r="E142" s="97" t="n">
        <f aca="false">IFERROR(IF(ISNUMBER(INDEX(원자료_시장!$A$1:$BZ$1000,설정!$L$6+ROW()-1,설정!$L$27)),INDEX(원자료_시장!$A$1:$BZ$1000,설정!$L$6+ROW()-1,설정!$L$27),""),"")</f>
        <v>69.677</v>
      </c>
      <c r="F142" s="97" t="n">
        <f aca="false">IFERROR(IF(ISNUMBER(INDEX(원자료_시장!$A$1:$BZ$1000,설정!$L$6+ROW()-1,설정!$L$28)),INDEX(원자료_시장!$A$1:$BZ$1000,설정!$L$6+ROW()-1,설정!$L$28),""),"")</f>
        <v>98.216</v>
      </c>
      <c r="G142" s="97" t="n">
        <f aca="false">IFERROR(IF(ISNUMBER(INDEX(원자료_시장!$A$1:$BZ$1000,설정!$L$6+ROW()-1,설정!$L$29)),INDEX(원자료_시장!$A$1:$BZ$1000,설정!$L$6+ROW()-1,설정!$L$29),""),"")</f>
        <v>-0.2</v>
      </c>
      <c r="H142" s="97" t="n">
        <f aca="false">IFERROR(IF(ISNUMBER(INDEX(원자료_시장!$A$1:$BZ$1000,설정!$L$6+ROW()-1,설정!$L$30)),INDEX(원자료_시장!$A$1:$BZ$1000,설정!$L$6+ROW()-1,설정!$L$30),""),"")</f>
        <v>6</v>
      </c>
      <c r="I142" s="97" t="n">
        <f aca="false">IFERROR(IF(ISNUMBER(INDEX(원자료_시장!$A$1:$BZ$1000,설정!$L$6+ROW()-1,설정!$L$31)),INDEX(원자료_시장!$A$1:$BZ$1000,설정!$L$6+ROW()-1,설정!$L$31),""),"")</f>
        <v>-5.5</v>
      </c>
      <c r="J142" s="97" t="n">
        <f aca="false">IFERROR(IF(ISNUMBER(INDEX(원자료_시장!$A$1:$BZ$1000,설정!$L$6+ROW()-1,설정!$L$32)),INDEX(원자료_시장!$A$1:$BZ$1000,설정!$L$6+ROW()-1,설정!$L$32),""),"")</f>
        <v>-15.3</v>
      </c>
      <c r="K142" s="85" t="n">
        <f aca="false">IFERROR(IF(ISNUMBER(INDEX(원자료_시장!$A$1:$BZ$1000,설정!$L$6+ROW()-1,설정!$L$33)),INDEX(원자료_시장!$A$1:$BZ$1000,설정!$L$6+ROW()-1,설정!$L$33),""),"")</f>
        <v>2.351</v>
      </c>
      <c r="L142" s="83" t="str">
        <f aca="false">IFERROR(IF(INDEX(원자료_시장!$A$1:$BZ$1000,설정!$L$6+ROW()-1,설정!$L$34)&amp;""="0","",INDEX(원자료_시장!$A$1:$BZ$1000,설정!$L$6+ROW()-1,설정!$L$34)),"")</f>
        <v>금융기관</v>
      </c>
      <c r="M142" s="83" t="str">
        <f aca="false">IFERROR(IF(INDEX(원자료_시장!$A$1:$BZ$1000,설정!$L$6+ROW()-1,설정!$L$35)&amp;""="0","",INDEX(원자료_시장!$A$1:$BZ$1000,설정!$L$6+ROW()-1,설정!$L$35)),"")</f>
        <v>A-</v>
      </c>
      <c r="N142" s="83" t="str">
        <f aca="false">IFERROR(IF(INDEX(원자료_시장!$A$1:$BZ$1000,설정!$L$6+ROW()-1,설정!$L$36)&amp;""="0","",INDEX(원자료_시장!$A$1:$BZ$1000,설정!$L$6+ROW()-1,설정!$L$36)),"")</f>
        <v>유럽</v>
      </c>
      <c r="O142" s="43" t="str">
        <f aca="false">IF($A142="","",UPPER(LEFT($A142,FIND(" ",$A142&amp;" ")-1)))</f>
        <v>UBS</v>
      </c>
      <c r="P142" s="43" t="str">
        <f aca="false">IF($A142="","",TRIM(RIGHT(SUBSTITUTE(TRIM($A142)," ",REPT(" ",30)),30)))</f>
        <v>04/10/30</v>
      </c>
      <c r="Q142" s="98" t="n">
        <f aca="false">IF($A142="","",IFERROR(DATE(IF(LEN(P142)=8,2000+VALUE(RIGHT(P142,2)),VALUE(RIGHT(P142,4))),VALUE(LEFT(P142,2)),VALUE(MID(P142,4,2))),""))</f>
        <v>47583</v>
      </c>
      <c r="R142" s="89" t="n">
        <f aca="false">IF($A142="",0,IF(ISNUMBER(SEARCH("Float",$A142)),1,0))</f>
        <v>0</v>
      </c>
      <c r="S142" s="43" t="str">
        <f aca="false">IF($A142="","",TRIM(MID($A142,LEN(O142)+2,LEN($A142)-LEN(O142)-LEN(P142)-1)))</f>
        <v>4.214</v>
      </c>
      <c r="T142" s="92" t="n">
        <f aca="false">IF(OR($A142="",R142=1),"",IFERROR(IF(ISNUMBER(FIND("/",S142)),IF(ISNUMBER(FIND(" ",S142)),VALUE(LEFT(S142,FIND(" ",S142)-1))+VALUE(MID(S142,FIND(" ",S142)+1,FIND("/",S142)-FIND(" ",S142)-1))/VALUE(MID(S142,FIND("/",S142)+1,9)),VALUE(LEFT(S142,FIND("/",S142)-1))/VALUE(MID(S142,FIND("/",S142)+1,9))),VALUE(S142)),""))</f>
        <v>4.214</v>
      </c>
      <c r="U142" s="43" t="str">
        <f aca="false">IF(OR($A142="",NOT(ISNUMBER(Q142))),"",TEXT(Q142,"yyyymmdd")&amp;"|"&amp;IF(R142=1,"F",TEXT(T142,"0.000")))</f>
        <v>20300410|4.214</v>
      </c>
      <c r="V142" s="43" t="str">
        <f aca="false">IF(U142="","",O142&amp;"|"&amp;U142)</f>
        <v>UBS|20300410|4.214</v>
      </c>
      <c r="W142" s="43" t="str">
        <f aca="false">IF($A142="","",IFERROR(IF(VLOOKUP(O142,매핑!$A$4:$E$92,3,0)="","미분류",VLOOKUP(O142,매핑!$A$4:$E$92,3,0)),"미분류"))</f>
        <v>스위스</v>
      </c>
      <c r="X142" s="89" t="n">
        <f aca="false">IF($A142="",0,IF(O142="T",1,0))</f>
        <v>0</v>
      </c>
      <c r="Y142" s="89" t="n">
        <f aca="false">IF($A142="",0,IF(AND(C142="USD",X142=0,ISNUMBER(E142),ISNUMBER(K142)),IF(K142&gt;=설정!$C$8,1,0),0))</f>
        <v>1</v>
      </c>
      <c r="Z142" s="43" t="str">
        <f aca="false">IF($A142="","",N142&amp;"|"&amp;L142)</f>
        <v>유럽|금융기관</v>
      </c>
      <c r="AA142" s="92" t="n">
        <f aca="false">IF(Y142=1,LN(K142),0)</f>
        <v>0.854840769557932</v>
      </c>
      <c r="AB142" s="93" t="n">
        <f aca="false">IF(Y142=1,E142,0)</f>
        <v>69.677</v>
      </c>
      <c r="AC142" s="89" t="n">
        <f aca="false">IF(Y142=1,COUNTIFS($Z$2:$Z$601,Z142,$Y$2:$Y$601,1),0)</f>
        <v>32</v>
      </c>
      <c r="AD142" s="89" t="n">
        <f aca="false">IF(Y142=1,COUNTIFS($N$2:$N$601,N142,$Y$2:$Y$601,1),0)</f>
        <v>32</v>
      </c>
      <c r="AE142" s="43" t="str">
        <f aca="false">IF(Y142&lt;&gt;1,"",IF(AND(AC142&gt;=설정!$C$7,ISNUMBER(MATCH(Z142,피어커브!$A:$A,0))),Z142,IF(AND(AD142&gt;=설정!$C$7,ISNUMBER(MATCH(N142&amp;"|전체",피어커브!$A:$A,0))),N142&amp;"|전체","전체|전체")))</f>
        <v>유럽|금융기관</v>
      </c>
      <c r="AF142" s="93" t="n">
        <f aca="false">IF(AE142="","",INDEX(피어커브!$K:$K,MATCH(AE142,피어커브!$A:$A,0)))</f>
        <v>43.3660967921697</v>
      </c>
      <c r="AG142" s="93" t="n">
        <f aca="false">IF(AE142="","",INDEX(피어커브!$J:$J,MATCH(AE142,피어커브!$A:$A,0)))</f>
        <v>30.582858826536</v>
      </c>
      <c r="AH142" s="93" t="n">
        <f aca="false">IF(AE142="","",INDEX(피어커브!$L:$L,MATCH(AE142,피어커브!$A:$A,0)))</f>
        <v>10.9882810943096</v>
      </c>
      <c r="AI142" s="93" t="n">
        <f aca="false">IF(AE142="","",AF142+AG142*AA142)</f>
        <v>69.5095713667273</v>
      </c>
      <c r="AJ142" s="96" t="n">
        <f aca="false">IF(AE142="","",E142-AI142)</f>
        <v>0.167428633272678</v>
      </c>
      <c r="AK142" s="95" t="n">
        <f aca="false">IF(AE142="","",IF(ISNUMBER(AH142),IF(AH142&gt;0,AJ142/AH142,""),""))</f>
        <v>0.0152370176768942</v>
      </c>
      <c r="AL142" s="43" t="str">
        <f aca="false">IF(AK142="","-",IF(AK142&gt;=설정!$C$6,"Cheap",IF(AK142&lt;=-설정!$C$6,"Rich","Fair")))</f>
        <v>Fair</v>
      </c>
      <c r="AM142" s="96" t="n">
        <f aca="false">IF(AE142="","",AJ142-AVERAGEIFS($AJ$2:$AJ$601,$B$2:$B$601,B142,$Y$2:$Y$601,1))</f>
        <v>5.33290741343951</v>
      </c>
      <c r="AN142" s="93" t="n">
        <f aca="false">IF(AE142="",0,IF(K142&gt;1+설정!$C$8,AG142*(AA142-LN(K142-1)),0))</f>
        <v>16.9427726071707</v>
      </c>
      <c r="AO142" s="99" t="n">
        <f aca="false">IF($A142="",0,SUMIFS(보유분석!$AA$2:$AA$801,보유분석!$AB$2:$AB$801,ROW(),보유분석!$AC$2:$AC$801,1))</f>
        <v>0</v>
      </c>
      <c r="AP142" s="43" t="str">
        <f aca="false">IF($A142="","",TRIM(IF(R142=1,"FRN ","")&amp;IF(IFERROR(VLOOKUP(M142,설정!$A$15:$D$47,4,0),0)&gt;=10,IF(IFERROR(VLOOKUP(M142,설정!$A$15:$D$47,4,0),0)&lt;99,"BBB0미만 ",""),"")&amp;IF(OR(M142="",M142="NR"),"등급미입력 ","")&amp;IF(C142&lt;&gt;"USD","비USD ","")))</f>
        <v/>
      </c>
      <c r="AQ142" s="90" t="n">
        <f aca="false">IF(AND(Y142=1,AL142="Cheap"),IF(AND(ISERROR(SEARCH("FRN",AP142)),ISERROR(SEARCH("BBB0미만",AP142))),AK142+ROW()/1000000000,-999),-999)</f>
        <v>-999</v>
      </c>
      <c r="AR142" s="92" t="n">
        <f aca="false">IF(AND(ISNUMBER(D142),ISNUMBER(K142)),D142+AN142*MAX(K142-1,0)/100,"")</f>
        <v>5.66889685792288</v>
      </c>
      <c r="AS142" s="93" t="n">
        <f aca="false">IF(AND(ISNUMBER(E142),ISNUMBER(K142)),IF(K142&gt;0,(E142+AN142*MAX(K142-1,0))/K142,""),"")</f>
        <v>39.3733244543971</v>
      </c>
      <c r="AT142" s="90" t="n">
        <f aca="false">IFERROR(IF(AND(Y142=1,ROW()&lt;&gt;스왑분석!$C$12+1,ABS(K142-INDEX($K$2:$K$601,스왑분석!$C$12))&lt;=스왑분석!$C$5,ISERROR(SEARCH("FRN",AP142)),ISERROR(SEARCH("BBB0미만",AP142))),IF(AND(OR(스왑분석!$C$6="N",L142=INDEX($L$2:$L$601,스왑분석!$C$12)),OR(스왑분석!$C$7="N",N142=INDEX($N$2:$N$601,스왑분석!$C$12)),OR(스왑분석!$C$8="N",AO142=0),E142-INDEX($E$2:$E$601,스왑분석!$C$12)&gt;=스왑분석!$C$9),E142-INDEX($E$2:$E$601,스왑분석!$C$12)+ROW()/1000000000,-999),-999),-999)</f>
        <v>21.185000142</v>
      </c>
      <c r="AU142" s="90" t="n">
        <f aca="false">IF(AND(Y142=1,AO142&gt;0,AL142="Rich"),-AK142+ROW()/1000000000,-999)</f>
        <v>-999</v>
      </c>
    </row>
    <row r="143" customFormat="false" ht="15" hidden="false" customHeight="false" outlineLevel="0" collapsed="false">
      <c r="A143" s="83" t="str">
        <f aca="false">IFERROR(IF(INDEX(원자료_시장!$A$1:$BZ$1000,설정!$L$6+ROW()-1,설정!$L$24)&amp;""="0","",INDEX(원자료_시장!$A$1:$BZ$1000,설정!$L$6+ROW()-1,설정!$L$24)),"")</f>
        <v>UBS 4.588 08/10/32</v>
      </c>
      <c r="B143" s="83" t="str">
        <f aca="false">IFERROR(IF(INDEX(원자료_시장!$A$1:$BZ$1000,설정!$L$6+ROW()-1,설정!$L$37)&amp;""="0","",INDEX(원자료_시장!$A$1:$BZ$1000,설정!$L$6+ROW()-1,설정!$L$37)),"")</f>
        <v>UBS GROUP AG</v>
      </c>
      <c r="C143" s="83" t="str">
        <f aca="false">IFERROR(IF(INDEX(원자료_시장!$A$1:$BZ$1000,설정!$L$6+ROW()-1,설정!$L$25)&amp;""="0","",INDEX(원자료_시장!$A$1:$BZ$1000,설정!$L$6+ROW()-1,설정!$L$25)),"")</f>
        <v>USD</v>
      </c>
      <c r="D143" s="85" t="n">
        <f aca="false">IFERROR(IF(ISNUMBER(INDEX(원자료_시장!$A$1:$BZ$1000,설정!$L$6+ROW()-1,설정!$L$26)),INDEX(원자료_시장!$A$1:$BZ$1000,설정!$L$6+ROW()-1,설정!$L$26),""),"")</f>
        <v>5.81</v>
      </c>
      <c r="E143" s="97" t="n">
        <f aca="false">IFERROR(IF(ISNUMBER(INDEX(원자료_시장!$A$1:$BZ$1000,설정!$L$6+ROW()-1,설정!$L$27)),INDEX(원자료_시장!$A$1:$BZ$1000,설정!$L$6+ROW()-1,설정!$L$27),""),"")</f>
        <v>87.734</v>
      </c>
      <c r="F143" s="97" t="n">
        <f aca="false">IFERROR(IF(ISNUMBER(INDEX(원자료_시장!$A$1:$BZ$1000,설정!$L$6+ROW()-1,설정!$L$28)),INDEX(원자료_시장!$A$1:$BZ$1000,설정!$L$6+ROW()-1,설정!$L$28),""),"")</f>
        <v>121.104</v>
      </c>
      <c r="G143" s="97" t="n">
        <f aca="false">IFERROR(IF(ISNUMBER(INDEX(원자료_시장!$A$1:$BZ$1000,설정!$L$6+ROW()-1,설정!$L$29)),INDEX(원자료_시장!$A$1:$BZ$1000,설정!$L$6+ROW()-1,설정!$L$29),""),"")</f>
        <v>-2.5</v>
      </c>
      <c r="H143" s="97" t="n">
        <f aca="false">IFERROR(IF(ISNUMBER(INDEX(원자료_시장!$A$1:$BZ$1000,설정!$L$6+ROW()-1,설정!$L$30)),INDEX(원자료_시장!$A$1:$BZ$1000,설정!$L$6+ROW()-1,설정!$L$30),""),"")</f>
        <v>3.8</v>
      </c>
      <c r="I143" s="97" t="n">
        <f aca="false">IFERROR(IF(ISNUMBER(INDEX(원자료_시장!$A$1:$BZ$1000,설정!$L$6+ROW()-1,설정!$L$31)),INDEX(원자료_시장!$A$1:$BZ$1000,설정!$L$6+ROW()-1,설정!$L$31),""),"")</f>
        <v>-2</v>
      </c>
      <c r="J143" s="97" t="n">
        <f aca="false">IFERROR(IF(ISNUMBER(INDEX(원자료_시장!$A$1:$BZ$1000,설정!$L$6+ROW()-1,설정!$L$32)),INDEX(원자료_시장!$A$1:$BZ$1000,설정!$L$6+ROW()-1,설정!$L$32),""),"")</f>
        <v>-3.3</v>
      </c>
      <c r="K143" s="85" t="n">
        <f aca="false">IFERROR(IF(ISNUMBER(INDEX(원자료_시장!$A$1:$BZ$1000,설정!$L$6+ROW()-1,설정!$L$33)),INDEX(원자료_시장!$A$1:$BZ$1000,설정!$L$6+ROW()-1,설정!$L$33),""),"")</f>
        <v>4.362</v>
      </c>
      <c r="L143" s="83" t="str">
        <f aca="false">IFERROR(IF(INDEX(원자료_시장!$A$1:$BZ$1000,설정!$L$6+ROW()-1,설정!$L$34)&amp;""="0","",INDEX(원자료_시장!$A$1:$BZ$1000,설정!$L$6+ROW()-1,설정!$L$34)),"")</f>
        <v>금융기관</v>
      </c>
      <c r="M143" s="83" t="str">
        <f aca="false">IFERROR(IF(INDEX(원자료_시장!$A$1:$BZ$1000,설정!$L$6+ROW()-1,설정!$L$35)&amp;""="0","",INDEX(원자료_시장!$A$1:$BZ$1000,설정!$L$6+ROW()-1,설정!$L$35)),"")</f>
        <v>A-</v>
      </c>
      <c r="N143" s="83" t="str">
        <f aca="false">IFERROR(IF(INDEX(원자료_시장!$A$1:$BZ$1000,설정!$L$6+ROW()-1,설정!$L$36)&amp;""="0","",INDEX(원자료_시장!$A$1:$BZ$1000,설정!$L$6+ROW()-1,설정!$L$36)),"")</f>
        <v>유럽</v>
      </c>
      <c r="O143" s="43" t="str">
        <f aca="false">IF($A143="","",UPPER(LEFT($A143,FIND(" ",$A143&amp;" ")-1)))</f>
        <v>UBS</v>
      </c>
      <c r="P143" s="43" t="str">
        <f aca="false">IF($A143="","",TRIM(RIGHT(SUBSTITUTE(TRIM($A143)," ",REPT(" ",30)),30)))</f>
        <v>08/10/32</v>
      </c>
      <c r="Q143" s="98" t="n">
        <f aca="false">IF($A143="","",IFERROR(DATE(IF(LEN(P143)=8,2000+VALUE(RIGHT(P143,2)),VALUE(RIGHT(P143,4))),VALUE(LEFT(P143,2)),VALUE(MID(P143,4,2))),""))</f>
        <v>48436</v>
      </c>
      <c r="R143" s="89" t="n">
        <f aca="false">IF($A143="",0,IF(ISNUMBER(SEARCH("Float",$A143)),1,0))</f>
        <v>0</v>
      </c>
      <c r="S143" s="43" t="str">
        <f aca="false">IF($A143="","",TRIM(MID($A143,LEN(O143)+2,LEN($A143)-LEN(O143)-LEN(P143)-1)))</f>
        <v>4.588</v>
      </c>
      <c r="T143" s="92" t="n">
        <f aca="false">IF(OR($A143="",R143=1),"",IFERROR(IF(ISNUMBER(FIND("/",S143)),IF(ISNUMBER(FIND(" ",S143)),VALUE(LEFT(S143,FIND(" ",S143)-1))+VALUE(MID(S143,FIND(" ",S143)+1,FIND("/",S143)-FIND(" ",S143)-1))/VALUE(MID(S143,FIND("/",S143)+1,9)),VALUE(LEFT(S143,FIND("/",S143)-1))/VALUE(MID(S143,FIND("/",S143)+1,9))),VALUE(S143)),""))</f>
        <v>4.588</v>
      </c>
      <c r="U143" s="43" t="str">
        <f aca="false">IF(OR($A143="",NOT(ISNUMBER(Q143))),"",TEXT(Q143,"yyyymmdd")&amp;"|"&amp;IF(R143=1,"F",TEXT(T143,"0.000")))</f>
        <v>20320810|4.588</v>
      </c>
      <c r="V143" s="43" t="str">
        <f aca="false">IF(U143="","",O143&amp;"|"&amp;U143)</f>
        <v>UBS|20320810|4.588</v>
      </c>
      <c r="W143" s="43" t="str">
        <f aca="false">IF($A143="","",IFERROR(IF(VLOOKUP(O143,매핑!$A$4:$E$92,3,0)="","미분류",VLOOKUP(O143,매핑!$A$4:$E$92,3,0)),"미분류"))</f>
        <v>스위스</v>
      </c>
      <c r="X143" s="89" t="n">
        <f aca="false">IF($A143="",0,IF(O143="T",1,0))</f>
        <v>0</v>
      </c>
      <c r="Y143" s="89" t="n">
        <f aca="false">IF($A143="",0,IF(AND(C143="USD",X143=0,ISNUMBER(E143),ISNUMBER(K143)),IF(K143&gt;=설정!$C$8,1,0),0))</f>
        <v>1</v>
      </c>
      <c r="Z143" s="43" t="str">
        <f aca="false">IF($A143="","",N143&amp;"|"&amp;L143)</f>
        <v>유럽|금융기관</v>
      </c>
      <c r="AA143" s="92" t="n">
        <f aca="false">IF(Y143=1,LN(K143),0)</f>
        <v>1.47293066777944</v>
      </c>
      <c r="AB143" s="93" t="n">
        <f aca="false">IF(Y143=1,E143,0)</f>
        <v>87.734</v>
      </c>
      <c r="AC143" s="89" t="n">
        <f aca="false">IF(Y143=1,COUNTIFS($Z$2:$Z$601,Z143,$Y$2:$Y$601,1),0)</f>
        <v>32</v>
      </c>
      <c r="AD143" s="89" t="n">
        <f aca="false">IF(Y143=1,COUNTIFS($N$2:$N$601,N143,$Y$2:$Y$601,1),0)</f>
        <v>32</v>
      </c>
      <c r="AE143" s="43" t="str">
        <f aca="false">IF(Y143&lt;&gt;1,"",IF(AND(AC143&gt;=설정!$C$7,ISNUMBER(MATCH(Z143,피어커브!$A:$A,0))),Z143,IF(AND(AD143&gt;=설정!$C$7,ISNUMBER(MATCH(N143&amp;"|전체",피어커브!$A:$A,0))),N143&amp;"|전체","전체|전체")))</f>
        <v>유럽|금융기관</v>
      </c>
      <c r="AF143" s="93" t="n">
        <f aca="false">IF(AE143="","",INDEX(피어커브!$K:$K,MATCH(AE143,피어커브!$A:$A,0)))</f>
        <v>43.3660967921697</v>
      </c>
      <c r="AG143" s="93" t="n">
        <f aca="false">IF(AE143="","",INDEX(피어커브!$J:$J,MATCH(AE143,피어커브!$A:$A,0)))</f>
        <v>30.582858826536</v>
      </c>
      <c r="AH143" s="93" t="n">
        <f aca="false">IF(AE143="","",INDEX(피어커브!$L:$L,MATCH(AE143,피어커브!$A:$A,0)))</f>
        <v>10.9882810943096</v>
      </c>
      <c r="AI143" s="93" t="n">
        <f aca="false">IF(AE143="","",AF143+AG143*AA143)</f>
        <v>88.4125274661436</v>
      </c>
      <c r="AJ143" s="96" t="n">
        <f aca="false">IF(AE143="","",E143-AI143)</f>
        <v>-0.678527466143649</v>
      </c>
      <c r="AK143" s="95" t="n">
        <f aca="false">IF(AE143="","",IF(ISNUMBER(AH143),IF(AH143&gt;0,AJ143/AH143,""),""))</f>
        <v>-0.0617501008865737</v>
      </c>
      <c r="AL143" s="43" t="str">
        <f aca="false">IF(AK143="","-",IF(AK143&gt;=설정!$C$6,"Cheap",IF(AK143&lt;=-설정!$C$6,"Rich","Fair")))</f>
        <v>Fair</v>
      </c>
      <c r="AM143" s="96" t="n">
        <f aca="false">IF(AE143="","",AJ143-AVERAGEIFS($AJ$2:$AJ$601,$B$2:$B$601,B143,$Y$2:$Y$601,1))</f>
        <v>4.48695131402318</v>
      </c>
      <c r="AN143" s="93" t="n">
        <f aca="false">IF(AE143="",0,IF(K143&gt;1+설정!$C$8,AG143*(AA143-LN(K143-1)),0))</f>
        <v>7.96361229389642</v>
      </c>
      <c r="AO143" s="99" t="n">
        <f aca="false">IF($A143="",0,SUMIFS(보유분석!$AA$2:$AA$801,보유분석!$AB$2:$AB$801,ROW(),보유분석!$AC$2:$AC$801,1))</f>
        <v>0.943614</v>
      </c>
      <c r="AP143" s="43" t="str">
        <f aca="false">IF($A143="","",TRIM(IF(R143=1,"FRN ","")&amp;IF(IFERROR(VLOOKUP(M143,설정!$A$15:$D$47,4,0),0)&gt;=10,IF(IFERROR(VLOOKUP(M143,설정!$A$15:$D$47,4,0),0)&lt;99,"BBB0미만 ",""),"")&amp;IF(OR(M143="",M143="NR"),"등급미입력 ","")&amp;IF(C143&lt;&gt;"USD","비USD ","")))</f>
        <v/>
      </c>
      <c r="AQ143" s="90" t="n">
        <f aca="false">IF(AND(Y143=1,AL143="Cheap"),IF(AND(ISERROR(SEARCH("FRN",AP143)),ISERROR(SEARCH("BBB0미만",AP143))),AK143+ROW()/1000000000,-999),-999)</f>
        <v>-999</v>
      </c>
      <c r="AR143" s="92" t="n">
        <f aca="false">IF(AND(ISNUMBER(D143),ISNUMBER(K143)),D143+AN143*MAX(K143-1,0)/100,"")</f>
        <v>6.0777366453208</v>
      </c>
      <c r="AS143" s="93" t="n">
        <f aca="false">IF(AND(ISNUMBER(E143),ISNUMBER(K143)),IF(K143&gt;0,(E143+AN143*MAX(K143-1,0))/K143,""),"")</f>
        <v>26.2511839825951</v>
      </c>
      <c r="AT143" s="90" t="n">
        <f aca="false">IFERROR(IF(AND(Y143=1,ROW()&lt;&gt;스왑분석!$C$12+1,ABS(K143-INDEX($K$2:$K$601,스왑분석!$C$12))&lt;=스왑분석!$C$5,ISERROR(SEARCH("FRN",AP143)),ISERROR(SEARCH("BBB0미만",AP143))),IF(AND(OR(스왑분석!$C$6="N",L143=INDEX($L$2:$L$601,스왑분석!$C$12)),OR(스왑분석!$C$7="N",N143=INDEX($N$2:$N$601,스왑분석!$C$12)),OR(스왑분석!$C$8="N",AO143=0),E143-INDEX($E$2:$E$601,스왑분석!$C$12)&gt;=스왑분석!$C$9),E143-INDEX($E$2:$E$601,스왑분석!$C$12)+ROW()/1000000000,-999),-999),-999)</f>
        <v>-999</v>
      </c>
      <c r="AU143" s="90" t="n">
        <f aca="false">IF(AND(Y143=1,AO143&gt;0,AL143="Rich"),-AK143+ROW()/1000000000,-999)</f>
        <v>-999</v>
      </c>
    </row>
    <row r="144" customFormat="false" ht="15" hidden="false" customHeight="false" outlineLevel="0" collapsed="false">
      <c r="A144" s="83" t="str">
        <f aca="false">IFERROR(IF(INDEX(원자료_시장!$A$1:$BZ$1000,설정!$L$6+ROW()-1,설정!$L$24)&amp;""="0","",INDEX(원자료_시장!$A$1:$BZ$1000,설정!$L$6+ROW()-1,설정!$L$24)),"")</f>
        <v>NORBK 5.359 09/09/35</v>
      </c>
      <c r="B144" s="83" t="str">
        <f aca="false">IFERROR(IF(INDEX(원자료_시장!$A$1:$BZ$1000,설정!$L$6+ROW()-1,설정!$L$37)&amp;""="0","",INDEX(원자료_시장!$A$1:$BZ$1000,설정!$L$6+ROW()-1,설정!$L$37)),"")</f>
        <v>NORINCHUKIN BANK</v>
      </c>
      <c r="C144" s="83" t="str">
        <f aca="false">IFERROR(IF(INDEX(원자료_시장!$A$1:$BZ$1000,설정!$L$6+ROW()-1,설정!$L$25)&amp;""="0","",INDEX(원자료_시장!$A$1:$BZ$1000,설정!$L$6+ROW()-1,설정!$L$25)),"")</f>
        <v>USD</v>
      </c>
      <c r="D144" s="85" t="n">
        <f aca="false">IFERROR(IF(ISNUMBER(INDEX(원자료_시장!$A$1:$BZ$1000,설정!$L$6+ROW()-1,설정!$L$26)),INDEX(원자료_시장!$A$1:$BZ$1000,설정!$L$6+ROW()-1,설정!$L$26),""),"")</f>
        <v>6.327</v>
      </c>
      <c r="E144" s="97" t="n">
        <f aca="false">IFERROR(IF(ISNUMBER(INDEX(원자료_시장!$A$1:$BZ$1000,설정!$L$6+ROW()-1,설정!$L$27)),INDEX(원자료_시장!$A$1:$BZ$1000,설정!$L$6+ROW()-1,설정!$L$27),""),"")</f>
        <v>103.987</v>
      </c>
      <c r="F144" s="97" t="n">
        <f aca="false">IFERROR(IF(ISNUMBER(INDEX(원자료_시장!$A$1:$BZ$1000,설정!$L$6+ROW()-1,설정!$L$28)),INDEX(원자료_시장!$A$1:$BZ$1000,설정!$L$6+ROW()-1,설정!$L$28),""),"")</f>
        <v>151.028</v>
      </c>
      <c r="G144" s="97" t="n">
        <f aca="false">IFERROR(IF(ISNUMBER(INDEX(원자료_시장!$A$1:$BZ$1000,설정!$L$6+ROW()-1,설정!$L$29)),INDEX(원자료_시장!$A$1:$BZ$1000,설정!$L$6+ROW()-1,설정!$L$29),""),"")</f>
        <v>-0.7</v>
      </c>
      <c r="H144" s="97" t="n">
        <f aca="false">IFERROR(IF(ISNUMBER(INDEX(원자료_시장!$A$1:$BZ$1000,설정!$L$6+ROW()-1,설정!$L$30)),INDEX(원자료_시장!$A$1:$BZ$1000,설정!$L$6+ROW()-1,설정!$L$30),""),"")</f>
        <v>2.9</v>
      </c>
      <c r="I144" s="97" t="n">
        <f aca="false">IFERROR(IF(ISNUMBER(INDEX(원자료_시장!$A$1:$BZ$1000,설정!$L$6+ROW()-1,설정!$L$31)),INDEX(원자료_시장!$A$1:$BZ$1000,설정!$L$6+ROW()-1,설정!$L$31),""),"")</f>
        <v>3.3</v>
      </c>
      <c r="J144" s="97" t="n">
        <f aca="false">IFERROR(IF(ISNUMBER(INDEX(원자료_시장!$A$1:$BZ$1000,설정!$L$6+ROW()-1,설정!$L$32)),INDEX(원자료_시장!$A$1:$BZ$1000,설정!$L$6+ROW()-1,설정!$L$32),""),"")</f>
        <v>6.5</v>
      </c>
      <c r="K144" s="85" t="n">
        <f aca="false">IFERROR(IF(ISNUMBER(INDEX(원자료_시장!$A$1:$BZ$1000,설정!$L$6+ROW()-1,설정!$L$33)),INDEX(원자료_시장!$A$1:$BZ$1000,설정!$L$6+ROW()-1,설정!$L$33),""),"")</f>
        <v>7.121</v>
      </c>
      <c r="L144" s="83" t="str">
        <f aca="false">IFERROR(IF(INDEX(원자료_시장!$A$1:$BZ$1000,설정!$L$6+ROW()-1,설정!$L$34)&amp;""="0","",INDEX(원자료_시장!$A$1:$BZ$1000,설정!$L$6+ROW()-1,설정!$L$34)),"")</f>
        <v>금융기관</v>
      </c>
      <c r="M144" s="83" t="str">
        <f aca="false">IFERROR(IF(INDEX(원자료_시장!$A$1:$BZ$1000,설정!$L$6+ROW()-1,설정!$L$35)&amp;""="0","",INDEX(원자료_시장!$A$1:$BZ$1000,설정!$L$6+ROW()-1,설정!$L$35)),"")</f>
        <v>A</v>
      </c>
      <c r="N144" s="83" t="str">
        <f aca="false">IFERROR(IF(INDEX(원자료_시장!$A$1:$BZ$1000,설정!$L$6+ROW()-1,설정!$L$36)&amp;""="0","",INDEX(원자료_시장!$A$1:$BZ$1000,설정!$L$6+ROW()-1,설정!$L$36)),"")</f>
        <v>아시아/기타</v>
      </c>
      <c r="O144" s="43" t="str">
        <f aca="false">IF($A144="","",UPPER(LEFT($A144,FIND(" ",$A144&amp;" ")-1)))</f>
        <v>NORBK</v>
      </c>
      <c r="P144" s="43" t="str">
        <f aca="false">IF($A144="","",TRIM(RIGHT(SUBSTITUTE(TRIM($A144)," ",REPT(" ",30)),30)))</f>
        <v>09/09/35</v>
      </c>
      <c r="Q144" s="98" t="n">
        <f aca="false">IF($A144="","",IFERROR(DATE(IF(LEN(P144)=8,2000+VALUE(RIGHT(P144,2)),VALUE(RIGHT(P144,4))),VALUE(LEFT(P144,2)),VALUE(MID(P144,4,2))),""))</f>
        <v>49561</v>
      </c>
      <c r="R144" s="89" t="n">
        <f aca="false">IF($A144="",0,IF(ISNUMBER(SEARCH("Float",$A144)),1,0))</f>
        <v>0</v>
      </c>
      <c r="S144" s="43" t="str">
        <f aca="false">IF($A144="","",TRIM(MID($A144,LEN(O144)+2,LEN($A144)-LEN(O144)-LEN(P144)-1)))</f>
        <v>5.359</v>
      </c>
      <c r="T144" s="92" t="n">
        <f aca="false">IF(OR($A144="",R144=1),"",IFERROR(IF(ISNUMBER(FIND("/",S144)),IF(ISNUMBER(FIND(" ",S144)),VALUE(LEFT(S144,FIND(" ",S144)-1))+VALUE(MID(S144,FIND(" ",S144)+1,FIND("/",S144)-FIND(" ",S144)-1))/VALUE(MID(S144,FIND("/",S144)+1,9)),VALUE(LEFT(S144,FIND("/",S144)-1))/VALUE(MID(S144,FIND("/",S144)+1,9))),VALUE(S144)),""))</f>
        <v>5.359</v>
      </c>
      <c r="U144" s="43" t="str">
        <f aca="false">IF(OR($A144="",NOT(ISNUMBER(Q144))),"",TEXT(Q144,"yyyymmdd")&amp;"|"&amp;IF(R144=1,"F",TEXT(T144,"0.000")))</f>
        <v>20350909|5.359</v>
      </c>
      <c r="V144" s="43" t="str">
        <f aca="false">IF(U144="","",O144&amp;"|"&amp;U144)</f>
        <v>NORBK|20350909|5.359</v>
      </c>
      <c r="W144" s="43" t="str">
        <f aca="false">IF($A144="","",IFERROR(IF(VLOOKUP(O144,매핑!$A$4:$E$92,3,0)="","미분류",VLOOKUP(O144,매핑!$A$4:$E$92,3,0)),"미분류"))</f>
        <v>일본</v>
      </c>
      <c r="X144" s="89" t="n">
        <f aca="false">IF($A144="",0,IF(O144="T",1,0))</f>
        <v>0</v>
      </c>
      <c r="Y144" s="89" t="n">
        <f aca="false">IF($A144="",0,IF(AND(C144="USD",X144=0,ISNUMBER(E144),ISNUMBER(K144)),IF(K144&gt;=설정!$C$8,1,0),0))</f>
        <v>1</v>
      </c>
      <c r="Z144" s="43" t="str">
        <f aca="false">IF($A144="","",N144&amp;"|"&amp;L144)</f>
        <v>아시아/기타|금융기관</v>
      </c>
      <c r="AA144" s="92" t="n">
        <f aca="false">IF(Y144=1,LN(K144),0)</f>
        <v>1.96304816499999</v>
      </c>
      <c r="AB144" s="93" t="n">
        <f aca="false">IF(Y144=1,E144,0)</f>
        <v>103.987</v>
      </c>
      <c r="AC144" s="89" t="n">
        <f aca="false">IF(Y144=1,COUNTIFS($Z$2:$Z$601,Z144,$Y$2:$Y$601,1),0)</f>
        <v>42</v>
      </c>
      <c r="AD144" s="89" t="n">
        <f aca="false">IF(Y144=1,COUNTIFS($N$2:$N$601,N144,$Y$2:$Y$601,1),0)</f>
        <v>137</v>
      </c>
      <c r="AE144" s="43" t="str">
        <f aca="false">IF(Y144&lt;&gt;1,"",IF(AND(AC144&gt;=설정!$C$7,ISNUMBER(MATCH(Z144,피어커브!$A:$A,0))),Z144,IF(AND(AD144&gt;=설정!$C$7,ISNUMBER(MATCH(N144&amp;"|전체",피어커브!$A:$A,0))),N144&amp;"|전체","전체|전체")))</f>
        <v>아시아/기타|금융기관</v>
      </c>
      <c r="AF144" s="93" t="n">
        <f aca="false">IF(AE144="","",INDEX(피어커브!$K:$K,MATCH(AE144,피어커브!$A:$A,0)))</f>
        <v>50.117430292991</v>
      </c>
      <c r="AG144" s="93" t="n">
        <f aca="false">IF(AE144="","",INDEX(피어커브!$J:$J,MATCH(AE144,피어커브!$A:$A,0)))</f>
        <v>13.9183160321618</v>
      </c>
      <c r="AH144" s="93" t="n">
        <f aca="false">IF(AE144="","",INDEX(피어커브!$L:$L,MATCH(AE144,피어커브!$A:$A,0)))</f>
        <v>20.4735875466442</v>
      </c>
      <c r="AI144" s="93" t="n">
        <f aca="false">IF(AE144="","",AF144+AG144*AA144)</f>
        <v>77.4397550398162</v>
      </c>
      <c r="AJ144" s="96" t="n">
        <f aca="false">IF(AE144="","",E144-AI144)</f>
        <v>26.5472449601838</v>
      </c>
      <c r="AK144" s="95" t="n">
        <f aca="false">IF(AE144="","",IF(ISNUMBER(AH144),IF(AH144&gt;0,AJ144/AH144,""),""))</f>
        <v>1.29665818946984</v>
      </c>
      <c r="AL144" s="43" t="str">
        <f aca="false">IF(AK144="","-",IF(AK144&gt;=설정!$C$6,"Cheap",IF(AK144&lt;=-설정!$C$6,"Rich","Fair")))</f>
        <v>Cheap</v>
      </c>
      <c r="AM144" s="96" t="n">
        <f aca="false">IF(AE144="","",AJ144-AVERAGEIFS($AJ$2:$AJ$601,$B$2:$B$601,B144,$Y$2:$Y$601,1))</f>
        <v>9.37973877656398</v>
      </c>
      <c r="AN144" s="93" t="n">
        <f aca="false">IF(AE144="",0,IF(K144&gt;1+설정!$C$8,AG144*(AA144-LN(K144-1)),0))</f>
        <v>2.1061569266527</v>
      </c>
      <c r="AO144" s="99" t="n">
        <f aca="false">IF($A144="",0,SUMIFS(보유분석!$AA$2:$AA$801,보유분석!$AB$2:$AB$801,ROW(),보유분석!$AC$2:$AC$801,1))</f>
        <v>0.187696</v>
      </c>
      <c r="AP144" s="43" t="str">
        <f aca="false">IF($A144="","",TRIM(IF(R144=1,"FRN ","")&amp;IF(IFERROR(VLOOKUP(M144,설정!$A$15:$D$47,4,0),0)&gt;=10,IF(IFERROR(VLOOKUP(M144,설정!$A$15:$D$47,4,0),0)&lt;99,"BBB0미만 ",""),"")&amp;IF(OR(M144="",M144="NR"),"등급미입력 ","")&amp;IF(C144&lt;&gt;"USD","비USD ","")))</f>
        <v/>
      </c>
      <c r="AQ144" s="90" t="n">
        <f aca="false">IF(AND(Y144=1,AL144="Cheap"),IF(AND(ISERROR(SEARCH("FRN",AP144)),ISERROR(SEARCH("BBB0미만",AP144))),AK144+ROW()/1000000000,-999),-999)</f>
        <v>1.29665833346984</v>
      </c>
      <c r="AR144" s="92" t="n">
        <f aca="false">IF(AND(ISNUMBER(D144),ISNUMBER(K144)),D144+AN144*MAX(K144-1,0)/100,"")</f>
        <v>6.45591786548041</v>
      </c>
      <c r="AS144" s="93" t="n">
        <f aca="false">IF(AND(ISNUMBER(E144),ISNUMBER(K144)),IF(K144&gt;0,(E144+AN144*MAX(K144-1,0))/K144,""),"")</f>
        <v>16.4132546760344</v>
      </c>
      <c r="AT144" s="90" t="n">
        <f aca="false">IFERROR(IF(AND(Y144=1,ROW()&lt;&gt;스왑분석!$C$12+1,ABS(K144-INDEX($K$2:$K$601,스왑분석!$C$12))&lt;=스왑분석!$C$5,ISERROR(SEARCH("FRN",AP144)),ISERROR(SEARCH("BBB0미만",AP144))),IF(AND(OR(스왑분석!$C$6="N",L144=INDEX($L$2:$L$601,스왑분석!$C$12)),OR(스왑분석!$C$7="N",N144=INDEX($N$2:$N$601,스왑분석!$C$12)),OR(스왑분석!$C$8="N",AO144=0),E144-INDEX($E$2:$E$601,스왑분석!$C$12)&gt;=스왑분석!$C$9),E144-INDEX($E$2:$E$601,스왑분석!$C$12)+ROW()/1000000000,-999),-999),-999)</f>
        <v>-999</v>
      </c>
      <c r="AU144" s="90" t="n">
        <f aca="false">IF(AND(Y144=1,AO144&gt;0,AL144="Rich"),-AK144+ROW()/1000000000,-999)</f>
        <v>-999</v>
      </c>
    </row>
    <row r="145" customFormat="false" ht="15" hidden="false" customHeight="false" outlineLevel="0" collapsed="false">
      <c r="A145" s="83" t="str">
        <f aca="false">IFERROR(IF(INDEX(원자료_시장!$A$1:$BZ$1000,설정!$L$6+ROW()-1,설정!$L$24)&amp;""="0","",INDEX(원자료_시장!$A$1:$BZ$1000,설정!$L$6+ROW()-1,설정!$L$24)),"")</f>
        <v>NORBK 5.094 10/16/29</v>
      </c>
      <c r="B145" s="83" t="str">
        <f aca="false">IFERROR(IF(INDEX(원자료_시장!$A$1:$BZ$1000,설정!$L$6+ROW()-1,설정!$L$37)&amp;""="0","",INDEX(원자료_시장!$A$1:$BZ$1000,설정!$L$6+ROW()-1,설정!$L$37)),"")</f>
        <v>NORINCHUKIN BANK</v>
      </c>
      <c r="C145" s="83" t="str">
        <f aca="false">IFERROR(IF(INDEX(원자료_시장!$A$1:$BZ$1000,설정!$L$6+ROW()-1,설정!$L$25)&amp;""="0","",INDEX(원자료_시장!$A$1:$BZ$1000,설정!$L$6+ROW()-1,설정!$L$25)),"")</f>
        <v>USD</v>
      </c>
      <c r="D145" s="85" t="n">
        <f aca="false">IFERROR(IF(ISNUMBER(INDEX(원자료_시장!$A$1:$BZ$1000,설정!$L$6+ROW()-1,설정!$L$26)),INDEX(원자료_시장!$A$1:$BZ$1000,설정!$L$6+ROW()-1,설정!$L$26),""),"")</f>
        <v>5.722</v>
      </c>
      <c r="E145" s="97" t="n">
        <f aca="false">IFERROR(IF(ISNUMBER(INDEX(원자료_시장!$A$1:$BZ$1000,설정!$L$6+ROW()-1,설정!$L$27)),INDEX(원자료_시장!$A$1:$BZ$1000,설정!$L$6+ROW()-1,설정!$L$27),""),"")</f>
        <v>72.166</v>
      </c>
      <c r="F145" s="97" t="n">
        <f aca="false">IFERROR(IF(ISNUMBER(INDEX(원자료_시장!$A$1:$BZ$1000,설정!$L$6+ROW()-1,설정!$L$28)),INDEX(원자료_시장!$A$1:$BZ$1000,설정!$L$6+ROW()-1,설정!$L$28),""),"")</f>
        <v>98.535</v>
      </c>
      <c r="G145" s="97" t="n">
        <f aca="false">IFERROR(IF(ISNUMBER(INDEX(원자료_시장!$A$1:$BZ$1000,설정!$L$6+ROW()-1,설정!$L$29)),INDEX(원자료_시장!$A$1:$BZ$1000,설정!$L$6+ROW()-1,설정!$L$29),""),"")</f>
        <v>-0.7</v>
      </c>
      <c r="H145" s="97" t="n">
        <f aca="false">IFERROR(IF(ISNUMBER(INDEX(원자료_시장!$A$1:$BZ$1000,설정!$L$6+ROW()-1,설정!$L$30)),INDEX(원자료_시장!$A$1:$BZ$1000,설정!$L$6+ROW()-1,설정!$L$30),""),"")</f>
        <v>2.9</v>
      </c>
      <c r="I145" s="97" t="n">
        <f aca="false">IFERROR(IF(ISNUMBER(INDEX(원자료_시장!$A$1:$BZ$1000,설정!$L$6+ROW()-1,설정!$L$31)),INDEX(원자료_시장!$A$1:$BZ$1000,설정!$L$6+ROW()-1,설정!$L$31),""),"")</f>
        <v>4.2</v>
      </c>
      <c r="J145" s="97" t="n">
        <f aca="false">IFERROR(IF(ISNUMBER(INDEX(원자료_시장!$A$1:$BZ$1000,설정!$L$6+ROW()-1,설정!$L$32)),INDEX(원자료_시장!$A$1:$BZ$1000,설정!$L$6+ROW()-1,설정!$L$32),""),"")</f>
        <v>1.1</v>
      </c>
      <c r="K145" s="85" t="n">
        <f aca="false">IFERROR(IF(ISNUMBER(INDEX(원자료_시장!$A$1:$BZ$1000,설정!$L$6+ROW()-1,설정!$L$33)),INDEX(원자료_시장!$A$1:$BZ$1000,설정!$L$6+ROW()-1,설정!$L$33),""),"")</f>
        <v>2.786</v>
      </c>
      <c r="L145" s="83" t="str">
        <f aca="false">IFERROR(IF(INDEX(원자료_시장!$A$1:$BZ$1000,설정!$L$6+ROW()-1,설정!$L$34)&amp;""="0","",INDEX(원자료_시장!$A$1:$BZ$1000,설정!$L$6+ROW()-1,설정!$L$34)),"")</f>
        <v>금융기관</v>
      </c>
      <c r="M145" s="83" t="str">
        <f aca="false">IFERROR(IF(INDEX(원자료_시장!$A$1:$BZ$1000,설정!$L$6+ROW()-1,설정!$L$35)&amp;""="0","",INDEX(원자료_시장!$A$1:$BZ$1000,설정!$L$6+ROW()-1,설정!$L$35)),"")</f>
        <v>A</v>
      </c>
      <c r="N145" s="83" t="str">
        <f aca="false">IFERROR(IF(INDEX(원자료_시장!$A$1:$BZ$1000,설정!$L$6+ROW()-1,설정!$L$36)&amp;""="0","",INDEX(원자료_시장!$A$1:$BZ$1000,설정!$L$6+ROW()-1,설정!$L$36)),"")</f>
        <v>아시아/기타</v>
      </c>
      <c r="O145" s="43" t="str">
        <f aca="false">IF($A145="","",UPPER(LEFT($A145,FIND(" ",$A145&amp;" ")-1)))</f>
        <v>NORBK</v>
      </c>
      <c r="P145" s="43" t="str">
        <f aca="false">IF($A145="","",TRIM(RIGHT(SUBSTITUTE(TRIM($A145)," ",REPT(" ",30)),30)))</f>
        <v>10/16/29</v>
      </c>
      <c r="Q145" s="98" t="n">
        <f aca="false">IF($A145="","",IFERROR(DATE(IF(LEN(P145)=8,2000+VALUE(RIGHT(P145,2)),VALUE(RIGHT(P145,4))),VALUE(LEFT(P145,2)),VALUE(MID(P145,4,2))),""))</f>
        <v>47407</v>
      </c>
      <c r="R145" s="89" t="n">
        <f aca="false">IF($A145="",0,IF(ISNUMBER(SEARCH("Float",$A145)),1,0))</f>
        <v>0</v>
      </c>
      <c r="S145" s="43" t="str">
        <f aca="false">IF($A145="","",TRIM(MID($A145,LEN(O145)+2,LEN($A145)-LEN(O145)-LEN(P145)-1)))</f>
        <v>5.094</v>
      </c>
      <c r="T145" s="92" t="n">
        <f aca="false">IF(OR($A145="",R145=1),"",IFERROR(IF(ISNUMBER(FIND("/",S145)),IF(ISNUMBER(FIND(" ",S145)),VALUE(LEFT(S145,FIND(" ",S145)-1))+VALUE(MID(S145,FIND(" ",S145)+1,FIND("/",S145)-FIND(" ",S145)-1))/VALUE(MID(S145,FIND("/",S145)+1,9)),VALUE(LEFT(S145,FIND("/",S145)-1))/VALUE(MID(S145,FIND("/",S145)+1,9))),VALUE(S145)),""))</f>
        <v>5.094</v>
      </c>
      <c r="U145" s="43" t="str">
        <f aca="false">IF(OR($A145="",NOT(ISNUMBER(Q145))),"",TEXT(Q145,"yyyymmdd")&amp;"|"&amp;IF(R145=1,"F",TEXT(T145,"0.000")))</f>
        <v>20291016|5.094</v>
      </c>
      <c r="V145" s="43" t="str">
        <f aca="false">IF(U145="","",O145&amp;"|"&amp;U145)</f>
        <v>NORBK|20291016|5.094</v>
      </c>
      <c r="W145" s="43" t="str">
        <f aca="false">IF($A145="","",IFERROR(IF(VLOOKUP(O145,매핑!$A$4:$E$92,3,0)="","미분류",VLOOKUP(O145,매핑!$A$4:$E$92,3,0)),"미분류"))</f>
        <v>일본</v>
      </c>
      <c r="X145" s="89" t="n">
        <f aca="false">IF($A145="",0,IF(O145="T",1,0))</f>
        <v>0</v>
      </c>
      <c r="Y145" s="89" t="n">
        <f aca="false">IF($A145="",0,IF(AND(C145="USD",X145=0,ISNUMBER(E145),ISNUMBER(K145)),IF(K145&gt;=설정!$C$8,1,0),0))</f>
        <v>1</v>
      </c>
      <c r="Z145" s="43" t="str">
        <f aca="false">IF($A145="","",N145&amp;"|"&amp;L145)</f>
        <v>아시아/기타|금융기관</v>
      </c>
      <c r="AA145" s="92" t="n">
        <f aca="false">IF(Y145=1,LN(K145),0)</f>
        <v>1.02460687535761</v>
      </c>
      <c r="AB145" s="93" t="n">
        <f aca="false">IF(Y145=1,E145,0)</f>
        <v>72.166</v>
      </c>
      <c r="AC145" s="89" t="n">
        <f aca="false">IF(Y145=1,COUNTIFS($Z$2:$Z$601,Z145,$Y$2:$Y$601,1),0)</f>
        <v>42</v>
      </c>
      <c r="AD145" s="89" t="n">
        <f aca="false">IF(Y145=1,COUNTIFS($N$2:$N$601,N145,$Y$2:$Y$601,1),0)</f>
        <v>137</v>
      </c>
      <c r="AE145" s="43" t="str">
        <f aca="false">IF(Y145&lt;&gt;1,"",IF(AND(AC145&gt;=설정!$C$7,ISNUMBER(MATCH(Z145,피어커브!$A:$A,0))),Z145,IF(AND(AD145&gt;=설정!$C$7,ISNUMBER(MATCH(N145&amp;"|전체",피어커브!$A:$A,0))),N145&amp;"|전체","전체|전체")))</f>
        <v>아시아/기타|금융기관</v>
      </c>
      <c r="AF145" s="93" t="n">
        <f aca="false">IF(AE145="","",INDEX(피어커브!$K:$K,MATCH(AE145,피어커브!$A:$A,0)))</f>
        <v>50.117430292991</v>
      </c>
      <c r="AG145" s="93" t="n">
        <f aca="false">IF(AE145="","",INDEX(피어커브!$J:$J,MATCH(AE145,피어커브!$A:$A,0)))</f>
        <v>13.9183160321618</v>
      </c>
      <c r="AH145" s="93" t="n">
        <f aca="false">IF(AE145="","",INDEX(피어커브!$L:$L,MATCH(AE145,피어커브!$A:$A,0)))</f>
        <v>20.4735875466442</v>
      </c>
      <c r="AI145" s="93" t="n">
        <f aca="false">IF(AE145="","",AF145+AG145*AA145)</f>
        <v>64.3782325929441</v>
      </c>
      <c r="AJ145" s="96" t="n">
        <f aca="false">IF(AE145="","",E145-AI145)</f>
        <v>7.78776740705587</v>
      </c>
      <c r="AK145" s="95" t="n">
        <f aca="false">IF(AE145="","",IF(ISNUMBER(AH145),IF(AH145&gt;0,AJ145/AH145,""),""))</f>
        <v>0.380381180841575</v>
      </c>
      <c r="AL145" s="43" t="str">
        <f aca="false">IF(AK145="","-",IF(AK145&gt;=설정!$C$6,"Cheap",IF(AK145&lt;=-설정!$C$6,"Rich","Fair")))</f>
        <v>Fair</v>
      </c>
      <c r="AM145" s="96" t="n">
        <f aca="false">IF(AE145="","",AJ145-AVERAGEIFS($AJ$2:$AJ$601,$B$2:$B$601,B145,$Y$2:$Y$601,1))</f>
        <v>-9.37973877656398</v>
      </c>
      <c r="AN145" s="93" t="n">
        <f aca="false">IF(AE145="",0,IF(K145&gt;1+설정!$C$8,AG145*(AA145-LN(K145-1)),0))</f>
        <v>6.18847848930044</v>
      </c>
      <c r="AO145" s="99" t="n">
        <f aca="false">IF($A145="",0,SUMIFS(보유분석!$AA$2:$AA$801,보유분석!$AB$2:$AB$801,ROW(),보유분석!$AC$2:$AC$801,1))</f>
        <v>1.6715692</v>
      </c>
      <c r="AP145" s="43" t="str">
        <f aca="false">IF($A145="","",TRIM(IF(R145=1,"FRN ","")&amp;IF(IFERROR(VLOOKUP(M145,설정!$A$15:$D$47,4,0),0)&gt;=10,IF(IFERROR(VLOOKUP(M145,설정!$A$15:$D$47,4,0),0)&lt;99,"BBB0미만 ",""),"")&amp;IF(OR(M145="",M145="NR"),"등급미입력 ","")&amp;IF(C145&lt;&gt;"USD","비USD ","")))</f>
        <v/>
      </c>
      <c r="AQ145" s="90" t="n">
        <f aca="false">IF(AND(Y145=1,AL145="Cheap"),IF(AND(ISERROR(SEARCH("FRN",AP145)),ISERROR(SEARCH("BBB0미만",AP145))),AK145+ROW()/1000000000,-999),-999)</f>
        <v>-999</v>
      </c>
      <c r="AR145" s="92" t="n">
        <f aca="false">IF(AND(ISNUMBER(D145),ISNUMBER(K145)),D145+AN145*MAX(K145-1,0)/100,"")</f>
        <v>5.83252622581891</v>
      </c>
      <c r="AS145" s="93" t="n">
        <f aca="false">IF(AND(ISNUMBER(E145),ISNUMBER(K145)),IF(K145&gt;0,(E145+AN145*MAX(K145-1,0))/K145,""),"")</f>
        <v>29.8702880767734</v>
      </c>
      <c r="AT145" s="90" t="n">
        <f aca="false">IFERROR(IF(AND(Y145=1,ROW()&lt;&gt;스왑분석!$C$12+1,ABS(K145-INDEX($K$2:$K$601,스왑분석!$C$12))&lt;=스왑분석!$C$5,ISERROR(SEARCH("FRN",AP145)),ISERROR(SEARCH("BBB0미만",AP145))),IF(AND(OR(스왑분석!$C$6="N",L145=INDEX($L$2:$L$601,스왑분석!$C$12)),OR(스왑분석!$C$7="N",N145=INDEX($N$2:$N$601,스왑분석!$C$12)),OR(스왑분석!$C$8="N",AO145=0),E145-INDEX($E$2:$E$601,스왑분석!$C$12)&gt;=스왑분석!$C$9),E145-INDEX($E$2:$E$601,스왑분석!$C$12)+ROW()/1000000000,-999),-999),-999)</f>
        <v>23.674000145</v>
      </c>
      <c r="AU145" s="90" t="n">
        <f aca="false">IF(AND(Y145=1,AO145&gt;0,AL145="Rich"),-AK145+ROW()/1000000000,-999)</f>
        <v>-999</v>
      </c>
    </row>
    <row r="146" customFormat="false" ht="15" hidden="false" customHeight="false" outlineLevel="0" collapsed="false">
      <c r="A146" s="83" t="str">
        <f aca="false">IFERROR(IF(INDEX(원자료_시장!$A$1:$BZ$1000,설정!$L$6+ROW()-1,설정!$L$24)&amp;""="0","",INDEX(원자료_시장!$A$1:$BZ$1000,설정!$L$6+ROW()-1,설정!$L$24)),"")</f>
        <v>NTT 5.11 07/02/29</v>
      </c>
      <c r="B146" s="83" t="str">
        <f aca="false">IFERROR(IF(INDEX(원자료_시장!$A$1:$BZ$1000,설정!$L$6+ROW()-1,설정!$L$37)&amp;""="0","",INDEX(원자료_시장!$A$1:$BZ$1000,설정!$L$6+ROW()-1,설정!$L$37)),"")</f>
        <v>NTT FINANCE CORP</v>
      </c>
      <c r="C146" s="83" t="str">
        <f aca="false">IFERROR(IF(INDEX(원자료_시장!$A$1:$BZ$1000,설정!$L$6+ROW()-1,설정!$L$25)&amp;""="0","",INDEX(원자료_시장!$A$1:$BZ$1000,설정!$L$6+ROW()-1,설정!$L$25)),"")</f>
        <v>USD</v>
      </c>
      <c r="D146" s="85" t="n">
        <f aca="false">IFERROR(IF(ISNUMBER(INDEX(원자료_시장!$A$1:$BZ$1000,설정!$L$6+ROW()-1,설정!$L$26)),INDEX(원자료_시장!$A$1:$BZ$1000,설정!$L$6+ROW()-1,설정!$L$26),""),"")</f>
        <v>5.634</v>
      </c>
      <c r="E146" s="97" t="n">
        <f aca="false">IFERROR(IF(ISNUMBER(INDEX(원자료_시장!$A$1:$BZ$1000,설정!$L$6+ROW()-1,설정!$L$27)),INDEX(원자료_시장!$A$1:$BZ$1000,설정!$L$6+ROW()-1,설정!$L$27),""),"")</f>
        <v>63.367</v>
      </c>
      <c r="F146" s="97" t="n">
        <f aca="false">IFERROR(IF(ISNUMBER(INDEX(원자료_시장!$A$1:$BZ$1000,설정!$L$6+ROW()-1,설정!$L$28)),INDEX(원자료_시장!$A$1:$BZ$1000,설정!$L$6+ROW()-1,설정!$L$28),""),"")</f>
        <v>90.889</v>
      </c>
      <c r="G146" s="97" t="n">
        <f aca="false">IFERROR(IF(ISNUMBER(INDEX(원자료_시장!$A$1:$BZ$1000,설정!$L$6+ROW()-1,설정!$L$29)),INDEX(원자료_시장!$A$1:$BZ$1000,설정!$L$6+ROW()-1,설정!$L$29),""),"")</f>
        <v>0.5</v>
      </c>
      <c r="H146" s="97" t="n">
        <f aca="false">IFERROR(IF(ISNUMBER(INDEX(원자료_시장!$A$1:$BZ$1000,설정!$L$6+ROW()-1,설정!$L$30)),INDEX(원자료_시장!$A$1:$BZ$1000,설정!$L$6+ROW()-1,설정!$L$30),""),"")</f>
        <v>3</v>
      </c>
      <c r="I146" s="97" t="n">
        <f aca="false">IFERROR(IF(ISNUMBER(INDEX(원자료_시장!$A$1:$BZ$1000,설정!$L$6+ROW()-1,설정!$L$31)),INDEX(원자료_시장!$A$1:$BZ$1000,설정!$L$6+ROW()-1,설정!$L$31),""),"")</f>
        <v>2.3</v>
      </c>
      <c r="J146" s="97" t="n">
        <f aca="false">IFERROR(IF(ISNUMBER(INDEX(원자료_시장!$A$1:$BZ$1000,설정!$L$6+ROW()-1,설정!$L$32)),INDEX(원자료_시장!$A$1:$BZ$1000,설정!$L$6+ROW()-1,설정!$L$32),""),"")</f>
        <v>0.9</v>
      </c>
      <c r="K146" s="85" t="n">
        <f aca="false">IFERROR(IF(ISNUMBER(INDEX(원자료_시장!$A$1:$BZ$1000,설정!$L$6+ROW()-1,설정!$L$33)),INDEX(원자료_시장!$A$1:$BZ$1000,설정!$L$6+ROW()-1,설정!$L$33),""),"")</f>
        <v>2.568</v>
      </c>
      <c r="L146" s="83" t="str">
        <f aca="false">IFERROR(IF(INDEX(원자료_시장!$A$1:$BZ$1000,설정!$L$6+ROW()-1,설정!$L$34)&amp;""="0","",INDEX(원자료_시장!$A$1:$BZ$1000,설정!$L$6+ROW()-1,설정!$L$34)),"")</f>
        <v>통신</v>
      </c>
      <c r="M146" s="83" t="str">
        <f aca="false">IFERROR(IF(INDEX(원자료_시장!$A$1:$BZ$1000,설정!$L$6+ROW()-1,설정!$L$35)&amp;""="0","",INDEX(원자료_시장!$A$1:$BZ$1000,설정!$L$6+ROW()-1,설정!$L$35)),"")</f>
        <v>BBB+</v>
      </c>
      <c r="N146" s="83" t="str">
        <f aca="false">IFERROR(IF(INDEX(원자료_시장!$A$1:$BZ$1000,설정!$L$6+ROW()-1,설정!$L$36)&amp;""="0","",INDEX(원자료_시장!$A$1:$BZ$1000,설정!$L$6+ROW()-1,설정!$L$36)),"")</f>
        <v>아시아/기타</v>
      </c>
      <c r="O146" s="43" t="str">
        <f aca="false">IF($A146="","",UPPER(LEFT($A146,FIND(" ",$A146&amp;" ")-1)))</f>
        <v>NTT</v>
      </c>
      <c r="P146" s="43" t="str">
        <f aca="false">IF($A146="","",TRIM(RIGHT(SUBSTITUTE(TRIM($A146)," ",REPT(" ",30)),30)))</f>
        <v>07/02/29</v>
      </c>
      <c r="Q146" s="98" t="n">
        <f aca="false">IF($A146="","",IFERROR(DATE(IF(LEN(P146)=8,2000+VALUE(RIGHT(P146,2)),VALUE(RIGHT(P146,4))),VALUE(LEFT(P146,2)),VALUE(MID(P146,4,2))),""))</f>
        <v>47301</v>
      </c>
      <c r="R146" s="89" t="n">
        <f aca="false">IF($A146="",0,IF(ISNUMBER(SEARCH("Float",$A146)),1,0))</f>
        <v>0</v>
      </c>
      <c r="S146" s="43" t="str">
        <f aca="false">IF($A146="","",TRIM(MID($A146,LEN(O146)+2,LEN($A146)-LEN(O146)-LEN(P146)-1)))</f>
        <v>5.11</v>
      </c>
      <c r="T146" s="92" t="n">
        <f aca="false">IF(OR($A146="",R146=1),"",IFERROR(IF(ISNUMBER(FIND("/",S146)),IF(ISNUMBER(FIND(" ",S146)),VALUE(LEFT(S146,FIND(" ",S146)-1))+VALUE(MID(S146,FIND(" ",S146)+1,FIND("/",S146)-FIND(" ",S146)-1))/VALUE(MID(S146,FIND("/",S146)+1,9)),VALUE(LEFT(S146,FIND("/",S146)-1))/VALUE(MID(S146,FIND("/",S146)+1,9))),VALUE(S146)),""))</f>
        <v>5.11</v>
      </c>
      <c r="U146" s="43" t="str">
        <f aca="false">IF(OR($A146="",NOT(ISNUMBER(Q146))),"",TEXT(Q146,"yyyymmdd")&amp;"|"&amp;IF(R146=1,"F",TEXT(T146,"0.000")))</f>
        <v>20290702|5.110</v>
      </c>
      <c r="V146" s="43" t="str">
        <f aca="false">IF(U146="","",O146&amp;"|"&amp;U146)</f>
        <v>NTT|20290702|5.110</v>
      </c>
      <c r="W146" s="43" t="str">
        <f aca="false">IF($A146="","",IFERROR(IF(VLOOKUP(O146,매핑!$A$4:$E$92,3,0)="","미분류",VLOOKUP(O146,매핑!$A$4:$E$92,3,0)),"미분류"))</f>
        <v>일본</v>
      </c>
      <c r="X146" s="89" t="n">
        <f aca="false">IF($A146="",0,IF(O146="T",1,0))</f>
        <v>0</v>
      </c>
      <c r="Y146" s="89" t="n">
        <f aca="false">IF($A146="",0,IF(AND(C146="USD",X146=0,ISNUMBER(E146),ISNUMBER(K146)),IF(K146&gt;=설정!$C$8,1,0),0))</f>
        <v>1</v>
      </c>
      <c r="Z146" s="43" t="str">
        <f aca="false">IF($A146="","",N146&amp;"|"&amp;L146)</f>
        <v>아시아/기타|통신</v>
      </c>
      <c r="AA146" s="92" t="n">
        <f aca="false">IF(Y146=1,LN(K146),0)</f>
        <v>0.943127385827715</v>
      </c>
      <c r="AB146" s="93" t="n">
        <f aca="false">IF(Y146=1,E146,0)</f>
        <v>63.367</v>
      </c>
      <c r="AC146" s="89" t="n">
        <f aca="false">IF(Y146=1,COUNTIFS($Z$2:$Z$601,Z146,$Y$2:$Y$601,1),0)</f>
        <v>8</v>
      </c>
      <c r="AD146" s="89" t="n">
        <f aca="false">IF(Y146=1,COUNTIFS($N$2:$N$601,N146,$Y$2:$Y$601,1),0)</f>
        <v>137</v>
      </c>
      <c r="AE146" s="43" t="str">
        <f aca="false">IF(Y146&lt;&gt;1,"",IF(AND(AC146&gt;=설정!$C$7,ISNUMBER(MATCH(Z146,피어커브!$A:$A,0))),Z146,IF(AND(AD146&gt;=설정!$C$7,ISNUMBER(MATCH(N146&amp;"|전체",피어커브!$A:$A,0))),N146&amp;"|전체","전체|전체")))</f>
        <v>아시아/기타|통신</v>
      </c>
      <c r="AF146" s="93" t="n">
        <f aca="false">IF(AE146="","",INDEX(피어커브!$K:$K,MATCH(AE146,피어커브!$A:$A,0)))</f>
        <v>19.9269244261757</v>
      </c>
      <c r="AG146" s="93" t="n">
        <f aca="false">IF(AE146="","",INDEX(피어커브!$J:$J,MATCH(AE146,피어커브!$A:$A,0)))</f>
        <v>39.2458252527372</v>
      </c>
      <c r="AH146" s="93" t="n">
        <f aca="false">IF(AE146="","",INDEX(피어커브!$L:$L,MATCH(AE146,피어커브!$A:$A,0)))</f>
        <v>15.4583072911545</v>
      </c>
      <c r="AI146" s="93" t="n">
        <f aca="false">IF(AE146="","",AF146+AG146*AA146)</f>
        <v>56.9407370014411</v>
      </c>
      <c r="AJ146" s="96" t="n">
        <f aca="false">IF(AE146="","",E146-AI146)</f>
        <v>6.4262629985589</v>
      </c>
      <c r="AK146" s="95" t="n">
        <f aca="false">IF(AE146="","",IF(ISNUMBER(AH146),IF(AH146&gt;0,AJ146/AH146,""),""))</f>
        <v>0.415715826935082</v>
      </c>
      <c r="AL146" s="43" t="str">
        <f aca="false">IF(AK146="","-",IF(AK146&gt;=설정!$C$6,"Cheap",IF(AK146&lt;=-설정!$C$6,"Rich","Fair")))</f>
        <v>Fair</v>
      </c>
      <c r="AM146" s="96" t="n">
        <f aca="false">IF(AE146="","",AJ146-AVERAGEIFS($AJ$2:$AJ$601,$B$2:$B$601,B146,$Y$2:$Y$601,1))</f>
        <v>-1.96540073404995</v>
      </c>
      <c r="AN146" s="93" t="n">
        <f aca="false">IF(AE146="",0,IF(K146&gt;1+설정!$C$8,AG146*(AA146-LN(K146-1)),0))</f>
        <v>19.3610041947505</v>
      </c>
      <c r="AO146" s="99" t="n">
        <f aca="false">IF($A146="",0,SUMIFS(보유분석!$AA$2:$AA$801,보유분석!$AB$2:$AB$801,ROW(),보유분석!$AC$2:$AC$801,1))</f>
        <v>1.97522</v>
      </c>
      <c r="AP146" s="43" t="str">
        <f aca="false">IF($A146="","",TRIM(IF(R146=1,"FRN ","")&amp;IF(IFERROR(VLOOKUP(M146,설정!$A$15:$D$47,4,0),0)&gt;=10,IF(IFERROR(VLOOKUP(M146,설정!$A$15:$D$47,4,0),0)&lt;99,"BBB0미만 ",""),"")&amp;IF(OR(M146="",M146="NR"),"등급미입력 ","")&amp;IF(C146&lt;&gt;"USD","비USD ","")))</f>
        <v/>
      </c>
      <c r="AQ146" s="90" t="n">
        <f aca="false">IF(AND(Y146=1,AL146="Cheap"),IF(AND(ISERROR(SEARCH("FRN",AP146)),ISERROR(SEARCH("BBB0미만",AP146))),AK146+ROW()/1000000000,-999),-999)</f>
        <v>-999</v>
      </c>
      <c r="AR146" s="92" t="n">
        <f aca="false">IF(AND(ISNUMBER(D146),ISNUMBER(K146)),D146+AN146*MAX(K146-1,0)/100,"")</f>
        <v>5.93758054577369</v>
      </c>
      <c r="AS146" s="93" t="n">
        <f aca="false">IF(AND(ISNUMBER(E146),ISNUMBER(K146)),IF(K146&gt;0,(E146+AN146*MAX(K146-1,0))/K146,""),"")</f>
        <v>36.4972953961717</v>
      </c>
      <c r="AT146" s="90" t="n">
        <f aca="false">IFERROR(IF(AND(Y146=1,ROW()&lt;&gt;스왑분석!$C$12+1,ABS(K146-INDEX($K$2:$K$601,스왑분석!$C$12))&lt;=스왑분석!$C$5,ISERROR(SEARCH("FRN",AP146)),ISERROR(SEARCH("BBB0미만",AP146))),IF(AND(OR(스왑분석!$C$6="N",L146=INDEX($L$2:$L$601,스왑분석!$C$12)),OR(스왑분석!$C$7="N",N146=INDEX($N$2:$N$601,스왑분석!$C$12)),OR(스왑분석!$C$8="N",AO146=0),E146-INDEX($E$2:$E$601,스왑분석!$C$12)&gt;=스왑분석!$C$9),E146-INDEX($E$2:$E$601,스왑분석!$C$12)+ROW()/1000000000,-999),-999),-999)</f>
        <v>14.875000146</v>
      </c>
      <c r="AU146" s="90" t="n">
        <f aca="false">IF(AND(Y146=1,AO146&gt;0,AL146="Rich"),-AK146+ROW()/1000000000,-999)</f>
        <v>-999</v>
      </c>
    </row>
    <row r="147" customFormat="false" ht="15" hidden="false" customHeight="false" outlineLevel="0" collapsed="false">
      <c r="A147" s="83" t="str">
        <f aca="false">IFERROR(IF(INDEX(원자료_시장!$A$1:$BZ$1000,설정!$L$6+ROW()-1,설정!$L$24)&amp;""="0","",INDEX(원자료_시장!$A$1:$BZ$1000,설정!$L$6+ROW()-1,설정!$L$24)),"")</f>
        <v>NTT 4.876 07/16/30</v>
      </c>
      <c r="B147" s="83" t="str">
        <f aca="false">IFERROR(IF(INDEX(원자료_시장!$A$1:$BZ$1000,설정!$L$6+ROW()-1,설정!$L$37)&amp;""="0","",INDEX(원자료_시장!$A$1:$BZ$1000,설정!$L$6+ROW()-1,설정!$L$37)),"")</f>
        <v>NTT FINANCE CORP</v>
      </c>
      <c r="C147" s="83" t="str">
        <f aca="false">IFERROR(IF(INDEX(원자료_시장!$A$1:$BZ$1000,설정!$L$6+ROW()-1,설정!$L$25)&amp;""="0","",INDEX(원자료_시장!$A$1:$BZ$1000,설정!$L$6+ROW()-1,설정!$L$25)),"")</f>
        <v>USD</v>
      </c>
      <c r="D147" s="85" t="n">
        <f aca="false">IFERROR(IF(ISNUMBER(INDEX(원자료_시장!$A$1:$BZ$1000,설정!$L$6+ROW()-1,설정!$L$26)),INDEX(원자료_시장!$A$1:$BZ$1000,설정!$L$6+ROW()-1,설정!$L$26),""),"")</f>
        <v>5.84</v>
      </c>
      <c r="E147" s="97" t="n">
        <f aca="false">IFERROR(IF(ISNUMBER(INDEX(원자료_시장!$A$1:$BZ$1000,설정!$L$6+ROW()-1,설정!$L$27)),INDEX(원자료_시장!$A$1:$BZ$1000,설정!$L$6+ROW()-1,설정!$L$27),""),"")</f>
        <v>75.285</v>
      </c>
      <c r="F147" s="97" t="n">
        <f aca="false">IFERROR(IF(ISNUMBER(INDEX(원자료_시장!$A$1:$BZ$1000,설정!$L$6+ROW()-1,설정!$L$28)),INDEX(원자료_시장!$A$1:$BZ$1000,설정!$L$6+ROW()-1,설정!$L$28),""),"")</f>
        <v>109.615</v>
      </c>
      <c r="G147" s="97" t="n">
        <f aca="false">IFERROR(IF(ISNUMBER(INDEX(원자료_시장!$A$1:$BZ$1000,설정!$L$6+ROW()-1,설정!$L$29)),INDEX(원자료_시장!$A$1:$BZ$1000,설정!$L$6+ROW()-1,설정!$L$29),""),"")</f>
        <v>-0.9</v>
      </c>
      <c r="H147" s="97" t="n">
        <f aca="false">IFERROR(IF(ISNUMBER(INDEX(원자료_시장!$A$1:$BZ$1000,설정!$L$6+ROW()-1,설정!$L$30)),INDEX(원자료_시장!$A$1:$BZ$1000,설정!$L$6+ROW()-1,설정!$L$30),""),"")</f>
        <v>2.7</v>
      </c>
      <c r="I147" s="97" t="n">
        <f aca="false">IFERROR(IF(ISNUMBER(INDEX(원자료_시장!$A$1:$BZ$1000,설정!$L$6+ROW()-1,설정!$L$31)),INDEX(원자료_시장!$A$1:$BZ$1000,설정!$L$6+ROW()-1,설정!$L$31),""),"")</f>
        <v>0.7</v>
      </c>
      <c r="J147" s="97" t="n">
        <f aca="false">IFERROR(IF(ISNUMBER(INDEX(원자료_시장!$A$1:$BZ$1000,설정!$L$6+ROW()-1,설정!$L$32)),INDEX(원자료_시장!$A$1:$BZ$1000,설정!$L$6+ROW()-1,설정!$L$32),""),"")</f>
        <v>3.3</v>
      </c>
      <c r="K147" s="85" t="n">
        <f aca="false">IFERROR(IF(ISNUMBER(INDEX(원자료_시장!$A$1:$BZ$1000,설정!$L$6+ROW()-1,설정!$L$33)),INDEX(원자료_시장!$A$1:$BZ$1000,설정!$L$6+ROW()-1,설정!$L$33),""),"")</f>
        <v>3.464</v>
      </c>
      <c r="L147" s="83" t="str">
        <f aca="false">IFERROR(IF(INDEX(원자료_시장!$A$1:$BZ$1000,설정!$L$6+ROW()-1,설정!$L$34)&amp;""="0","",INDEX(원자료_시장!$A$1:$BZ$1000,설정!$L$6+ROW()-1,설정!$L$34)),"")</f>
        <v>통신</v>
      </c>
      <c r="M147" s="83" t="str">
        <f aca="false">IFERROR(IF(INDEX(원자료_시장!$A$1:$BZ$1000,설정!$L$6+ROW()-1,설정!$L$35)&amp;""="0","",INDEX(원자료_시장!$A$1:$BZ$1000,설정!$L$6+ROW()-1,설정!$L$35)),"")</f>
        <v>BBB+</v>
      </c>
      <c r="N147" s="83" t="str">
        <f aca="false">IFERROR(IF(INDEX(원자료_시장!$A$1:$BZ$1000,설정!$L$6+ROW()-1,설정!$L$36)&amp;""="0","",INDEX(원자료_시장!$A$1:$BZ$1000,설정!$L$6+ROW()-1,설정!$L$36)),"")</f>
        <v>아시아/기타</v>
      </c>
      <c r="O147" s="43" t="str">
        <f aca="false">IF($A147="","",UPPER(LEFT($A147,FIND(" ",$A147&amp;" ")-1)))</f>
        <v>NTT</v>
      </c>
      <c r="P147" s="43" t="str">
        <f aca="false">IF($A147="","",TRIM(RIGHT(SUBSTITUTE(TRIM($A147)," ",REPT(" ",30)),30)))</f>
        <v>07/16/30</v>
      </c>
      <c r="Q147" s="98" t="n">
        <f aca="false">IF($A147="","",IFERROR(DATE(IF(LEN(P147)=8,2000+VALUE(RIGHT(P147,2)),VALUE(RIGHT(P147,4))),VALUE(LEFT(P147,2)),VALUE(MID(P147,4,2))),""))</f>
        <v>47680</v>
      </c>
      <c r="R147" s="89" t="n">
        <f aca="false">IF($A147="",0,IF(ISNUMBER(SEARCH("Float",$A147)),1,0))</f>
        <v>0</v>
      </c>
      <c r="S147" s="43" t="str">
        <f aca="false">IF($A147="","",TRIM(MID($A147,LEN(O147)+2,LEN($A147)-LEN(O147)-LEN(P147)-1)))</f>
        <v>4.876</v>
      </c>
      <c r="T147" s="92" t="n">
        <f aca="false">IF(OR($A147="",R147=1),"",IFERROR(IF(ISNUMBER(FIND("/",S147)),IF(ISNUMBER(FIND(" ",S147)),VALUE(LEFT(S147,FIND(" ",S147)-1))+VALUE(MID(S147,FIND(" ",S147)+1,FIND("/",S147)-FIND(" ",S147)-1))/VALUE(MID(S147,FIND("/",S147)+1,9)),VALUE(LEFT(S147,FIND("/",S147)-1))/VALUE(MID(S147,FIND("/",S147)+1,9))),VALUE(S147)),""))</f>
        <v>4.876</v>
      </c>
      <c r="U147" s="43" t="str">
        <f aca="false">IF(OR($A147="",NOT(ISNUMBER(Q147))),"",TEXT(Q147,"yyyymmdd")&amp;"|"&amp;IF(R147=1,"F",TEXT(T147,"0.000")))</f>
        <v>20300716|4.876</v>
      </c>
      <c r="V147" s="43" t="str">
        <f aca="false">IF(U147="","",O147&amp;"|"&amp;U147)</f>
        <v>NTT|20300716|4.876</v>
      </c>
      <c r="W147" s="43" t="str">
        <f aca="false">IF($A147="","",IFERROR(IF(VLOOKUP(O147,매핑!$A$4:$E$92,3,0)="","미분류",VLOOKUP(O147,매핑!$A$4:$E$92,3,0)),"미분류"))</f>
        <v>일본</v>
      </c>
      <c r="X147" s="89" t="n">
        <f aca="false">IF($A147="",0,IF(O147="T",1,0))</f>
        <v>0</v>
      </c>
      <c r="Y147" s="89" t="n">
        <f aca="false">IF($A147="",0,IF(AND(C147="USD",X147=0,ISNUMBER(E147),ISNUMBER(K147)),IF(K147&gt;=설정!$C$8,1,0),0))</f>
        <v>1</v>
      </c>
      <c r="Z147" s="43" t="str">
        <f aca="false">IF($A147="","",N147&amp;"|"&amp;L147)</f>
        <v>아시아/기타|통신</v>
      </c>
      <c r="AA147" s="92" t="n">
        <f aca="false">IF(Y147=1,LN(K147),0)</f>
        <v>1.24242399070019</v>
      </c>
      <c r="AB147" s="93" t="n">
        <f aca="false">IF(Y147=1,E147,0)</f>
        <v>75.285</v>
      </c>
      <c r="AC147" s="89" t="n">
        <f aca="false">IF(Y147=1,COUNTIFS($Z$2:$Z$601,Z147,$Y$2:$Y$601,1),0)</f>
        <v>8</v>
      </c>
      <c r="AD147" s="89" t="n">
        <f aca="false">IF(Y147=1,COUNTIFS($N$2:$N$601,N147,$Y$2:$Y$601,1),0)</f>
        <v>137</v>
      </c>
      <c r="AE147" s="43" t="str">
        <f aca="false">IF(Y147&lt;&gt;1,"",IF(AND(AC147&gt;=설정!$C$7,ISNUMBER(MATCH(Z147,피어커브!$A:$A,0))),Z147,IF(AND(AD147&gt;=설정!$C$7,ISNUMBER(MATCH(N147&amp;"|전체",피어커브!$A:$A,0))),N147&amp;"|전체","전체|전체")))</f>
        <v>아시아/기타|통신</v>
      </c>
      <c r="AF147" s="93" t="n">
        <f aca="false">IF(AE147="","",INDEX(피어커브!$K:$K,MATCH(AE147,피어커브!$A:$A,0)))</f>
        <v>19.9269244261757</v>
      </c>
      <c r="AG147" s="93" t="n">
        <f aca="false">IF(AE147="","",INDEX(피어커브!$J:$J,MATCH(AE147,피어커브!$A:$A,0)))</f>
        <v>39.2458252527372</v>
      </c>
      <c r="AH147" s="93" t="n">
        <f aca="false">IF(AE147="","",INDEX(피어커브!$L:$L,MATCH(AE147,피어커브!$A:$A,0)))</f>
        <v>15.4583072911545</v>
      </c>
      <c r="AI147" s="93" t="n">
        <f aca="false">IF(AE147="","",AF147+AG147*AA147)</f>
        <v>68.6868792550038</v>
      </c>
      <c r="AJ147" s="96" t="n">
        <f aca="false">IF(AE147="","",E147-AI147)</f>
        <v>6.59812074499624</v>
      </c>
      <c r="AK147" s="95" t="n">
        <f aca="false">IF(AE147="","",IF(ISNUMBER(AH147),IF(AH147&gt;0,AJ147/AH147,""),""))</f>
        <v>0.426833327913709</v>
      </c>
      <c r="AL147" s="43" t="str">
        <f aca="false">IF(AK147="","-",IF(AK147&gt;=설정!$C$6,"Cheap",IF(AK147&lt;=-설정!$C$6,"Rich","Fair")))</f>
        <v>Fair</v>
      </c>
      <c r="AM147" s="96" t="n">
        <f aca="false">IF(AE147="","",AJ147-AVERAGEIFS($AJ$2:$AJ$601,$B$2:$B$601,B147,$Y$2:$Y$601,1))</f>
        <v>-1.79354298761261</v>
      </c>
      <c r="AN147" s="93" t="n">
        <f aca="false">IF(AE147="",0,IF(K147&gt;1+설정!$C$8,AG147*(AA147-LN(K147-1)),0))</f>
        <v>13.3686172650563</v>
      </c>
      <c r="AO147" s="99" t="n">
        <f aca="false">IF($A147="",0,SUMIFS(보유분석!$AA$2:$AA$801,보유분석!$AB$2:$AB$801,ROW(),보유분석!$AC$2:$AC$801,1))</f>
        <v>0</v>
      </c>
      <c r="AP147" s="43" t="str">
        <f aca="false">IF($A147="","",TRIM(IF(R147=1,"FRN ","")&amp;IF(IFERROR(VLOOKUP(M147,설정!$A$15:$D$47,4,0),0)&gt;=10,IF(IFERROR(VLOOKUP(M147,설정!$A$15:$D$47,4,0),0)&lt;99,"BBB0미만 ",""),"")&amp;IF(OR(M147="",M147="NR"),"등급미입력 ","")&amp;IF(C147&lt;&gt;"USD","비USD ","")))</f>
        <v/>
      </c>
      <c r="AQ147" s="90" t="n">
        <f aca="false">IF(AND(Y147=1,AL147="Cheap"),IF(AND(ISERROR(SEARCH("FRN",AP147)),ISERROR(SEARCH("BBB0미만",AP147))),AK147+ROW()/1000000000,-999),-999)</f>
        <v>-999</v>
      </c>
      <c r="AR147" s="92" t="n">
        <f aca="false">IF(AND(ISNUMBER(D147),ISNUMBER(K147)),D147+AN147*MAX(K147-1,0)/100,"")</f>
        <v>6.16940272941099</v>
      </c>
      <c r="AS147" s="93" t="n">
        <f aca="false">IF(AND(ISNUMBER(E147),ISNUMBER(K147)),IF(K147&gt;0,(E147+AN147*MAX(K147-1,0))/K147,""),"")</f>
        <v>31.2428617035505</v>
      </c>
      <c r="AT147" s="90" t="n">
        <f aca="false">IFERROR(IF(AND(Y147=1,ROW()&lt;&gt;스왑분석!$C$12+1,ABS(K147-INDEX($K$2:$K$601,스왑분석!$C$12))&lt;=스왑분석!$C$5,ISERROR(SEARCH("FRN",AP147)),ISERROR(SEARCH("BBB0미만",AP147))),IF(AND(OR(스왑분석!$C$6="N",L147=INDEX($L$2:$L$601,스왑분석!$C$12)),OR(스왑분석!$C$7="N",N147=INDEX($N$2:$N$601,스왑분석!$C$12)),OR(스왑분석!$C$8="N",AO147=0),E147-INDEX($E$2:$E$601,스왑분석!$C$12)&gt;=스왑분석!$C$9),E147-INDEX($E$2:$E$601,스왑분석!$C$12)+ROW()/1000000000,-999),-999),-999)</f>
        <v>26.793000147</v>
      </c>
      <c r="AU147" s="90" t="n">
        <f aca="false">IF(AND(Y147=1,AO147&gt;0,AL147="Rich"),-AK147+ROW()/1000000000,-999)</f>
        <v>-999</v>
      </c>
    </row>
    <row r="148" customFormat="false" ht="15" hidden="false" customHeight="false" outlineLevel="0" collapsed="false">
      <c r="A148" s="83" t="str">
        <f aca="false">IFERROR(IF(INDEX(원자료_시장!$A$1:$BZ$1000,설정!$L$6+ROW()-1,설정!$L$24)&amp;""="0","",INDEX(원자료_시장!$A$1:$BZ$1000,설정!$L$6+ROW()-1,설정!$L$24)),"")</f>
        <v>NTT 5.171 07/16/32</v>
      </c>
      <c r="B148" s="83" t="str">
        <f aca="false">IFERROR(IF(INDEX(원자료_시장!$A$1:$BZ$1000,설정!$L$6+ROW()-1,설정!$L$37)&amp;""="0","",INDEX(원자료_시장!$A$1:$BZ$1000,설정!$L$6+ROW()-1,설정!$L$37)),"")</f>
        <v>NTT FINANCE CORP</v>
      </c>
      <c r="C148" s="83" t="str">
        <f aca="false">IFERROR(IF(INDEX(원자료_시장!$A$1:$BZ$1000,설정!$L$6+ROW()-1,설정!$L$25)&amp;""="0","",INDEX(원자료_시장!$A$1:$BZ$1000,설정!$L$6+ROW()-1,설정!$L$25)),"")</f>
        <v>USD</v>
      </c>
      <c r="D148" s="85" t="n">
        <f aca="false">IFERROR(IF(ISNUMBER(INDEX(원자료_시장!$A$1:$BZ$1000,설정!$L$6+ROW()-1,설정!$L$26)),INDEX(원자료_시장!$A$1:$BZ$1000,설정!$L$6+ROW()-1,설정!$L$26),""),"")</f>
        <v>6.04</v>
      </c>
      <c r="E148" s="97" t="n">
        <f aca="false">IFERROR(IF(ISNUMBER(INDEX(원자료_시장!$A$1:$BZ$1000,설정!$L$6+ROW()-1,설정!$L$27)),INDEX(원자료_시장!$A$1:$BZ$1000,설정!$L$6+ROW()-1,설정!$L$27),""),"")</f>
        <v>95.28</v>
      </c>
      <c r="F148" s="97" t="n">
        <f aca="false">IFERROR(IF(ISNUMBER(INDEX(원자료_시장!$A$1:$BZ$1000,설정!$L$6+ROW()-1,설정!$L$28)),INDEX(원자료_시장!$A$1:$BZ$1000,설정!$L$6+ROW()-1,설정!$L$28),""),"")</f>
        <v>127.51</v>
      </c>
      <c r="G148" s="97" t="n">
        <f aca="false">IFERROR(IF(ISNUMBER(INDEX(원자료_시장!$A$1:$BZ$1000,설정!$L$6+ROW()-1,설정!$L$29)),INDEX(원자료_시장!$A$1:$BZ$1000,설정!$L$6+ROW()-1,설정!$L$29),""),"")</f>
        <v>-0.8</v>
      </c>
      <c r="H148" s="97" t="n">
        <f aca="false">IFERROR(IF(ISNUMBER(INDEX(원자료_시장!$A$1:$BZ$1000,설정!$L$6+ROW()-1,설정!$L$30)),INDEX(원자료_시장!$A$1:$BZ$1000,설정!$L$6+ROW()-1,설정!$L$30),""),"")</f>
        <v>1.5</v>
      </c>
      <c r="I148" s="97" t="n">
        <f aca="false">IFERROR(IF(ISNUMBER(INDEX(원자료_시장!$A$1:$BZ$1000,설정!$L$6+ROW()-1,설정!$L$31)),INDEX(원자료_시장!$A$1:$BZ$1000,설정!$L$6+ROW()-1,설정!$L$31),""),"")</f>
        <v>-2.7</v>
      </c>
      <c r="J148" s="97" t="n">
        <f aca="false">IFERROR(IF(ISNUMBER(INDEX(원자료_시장!$A$1:$BZ$1000,설정!$L$6+ROW()-1,설정!$L$32)),INDEX(원자료_시장!$A$1:$BZ$1000,설정!$L$6+ROW()-1,설정!$L$32),""),"")</f>
        <v>-0.2</v>
      </c>
      <c r="K148" s="85" t="n">
        <f aca="false">IFERROR(IF(ISNUMBER(INDEX(원자료_시장!$A$1:$BZ$1000,설정!$L$6+ROW()-1,설정!$L$33)),INDEX(원자료_시장!$A$1:$BZ$1000,설정!$L$6+ROW()-1,설정!$L$33),""),"")</f>
        <v>5.003</v>
      </c>
      <c r="L148" s="83" t="str">
        <f aca="false">IFERROR(IF(INDEX(원자료_시장!$A$1:$BZ$1000,설정!$L$6+ROW()-1,설정!$L$34)&amp;""="0","",INDEX(원자료_시장!$A$1:$BZ$1000,설정!$L$6+ROW()-1,설정!$L$34)),"")</f>
        <v>통신</v>
      </c>
      <c r="M148" s="83" t="str">
        <f aca="false">IFERROR(IF(INDEX(원자료_시장!$A$1:$BZ$1000,설정!$L$6+ROW()-1,설정!$L$35)&amp;""="0","",INDEX(원자료_시장!$A$1:$BZ$1000,설정!$L$6+ROW()-1,설정!$L$35)),"")</f>
        <v>BBB+</v>
      </c>
      <c r="N148" s="83" t="str">
        <f aca="false">IFERROR(IF(INDEX(원자료_시장!$A$1:$BZ$1000,설정!$L$6+ROW()-1,설정!$L$36)&amp;""="0","",INDEX(원자료_시장!$A$1:$BZ$1000,설정!$L$6+ROW()-1,설정!$L$36)),"")</f>
        <v>아시아/기타</v>
      </c>
      <c r="O148" s="43" t="str">
        <f aca="false">IF($A148="","",UPPER(LEFT($A148,FIND(" ",$A148&amp;" ")-1)))</f>
        <v>NTT</v>
      </c>
      <c r="P148" s="43" t="str">
        <f aca="false">IF($A148="","",TRIM(RIGHT(SUBSTITUTE(TRIM($A148)," ",REPT(" ",30)),30)))</f>
        <v>07/16/32</v>
      </c>
      <c r="Q148" s="98" t="n">
        <f aca="false">IF($A148="","",IFERROR(DATE(IF(LEN(P148)=8,2000+VALUE(RIGHT(P148,2)),VALUE(RIGHT(P148,4))),VALUE(LEFT(P148,2)),VALUE(MID(P148,4,2))),""))</f>
        <v>48411</v>
      </c>
      <c r="R148" s="89" t="n">
        <f aca="false">IF($A148="",0,IF(ISNUMBER(SEARCH("Float",$A148)),1,0))</f>
        <v>0</v>
      </c>
      <c r="S148" s="43" t="str">
        <f aca="false">IF($A148="","",TRIM(MID($A148,LEN(O148)+2,LEN($A148)-LEN(O148)-LEN(P148)-1)))</f>
        <v>5.171</v>
      </c>
      <c r="T148" s="92" t="n">
        <f aca="false">IF(OR($A148="",R148=1),"",IFERROR(IF(ISNUMBER(FIND("/",S148)),IF(ISNUMBER(FIND(" ",S148)),VALUE(LEFT(S148,FIND(" ",S148)-1))+VALUE(MID(S148,FIND(" ",S148)+1,FIND("/",S148)-FIND(" ",S148)-1))/VALUE(MID(S148,FIND("/",S148)+1,9)),VALUE(LEFT(S148,FIND("/",S148)-1))/VALUE(MID(S148,FIND("/",S148)+1,9))),VALUE(S148)),""))</f>
        <v>5.171</v>
      </c>
      <c r="U148" s="43" t="str">
        <f aca="false">IF(OR($A148="",NOT(ISNUMBER(Q148))),"",TEXT(Q148,"yyyymmdd")&amp;"|"&amp;IF(R148=1,"F",TEXT(T148,"0.000")))</f>
        <v>20320716|5.171</v>
      </c>
      <c r="V148" s="43" t="str">
        <f aca="false">IF(U148="","",O148&amp;"|"&amp;U148)</f>
        <v>NTT|20320716|5.171</v>
      </c>
      <c r="W148" s="43" t="str">
        <f aca="false">IF($A148="","",IFERROR(IF(VLOOKUP(O148,매핑!$A$4:$E$92,3,0)="","미분류",VLOOKUP(O148,매핑!$A$4:$E$92,3,0)),"미분류"))</f>
        <v>일본</v>
      </c>
      <c r="X148" s="89" t="n">
        <f aca="false">IF($A148="",0,IF(O148="T",1,0))</f>
        <v>0</v>
      </c>
      <c r="Y148" s="89" t="n">
        <f aca="false">IF($A148="",0,IF(AND(C148="USD",X148=0,ISNUMBER(E148),ISNUMBER(K148)),IF(K148&gt;=설정!$C$8,1,0),0))</f>
        <v>1</v>
      </c>
      <c r="Z148" s="43" t="str">
        <f aca="false">IF($A148="","",N148&amp;"|"&amp;L148)</f>
        <v>아시아/기타|통신</v>
      </c>
      <c r="AA148" s="92" t="n">
        <f aca="false">IF(Y148=1,LN(K148),0)</f>
        <v>1.61003773250607</v>
      </c>
      <c r="AB148" s="93" t="n">
        <f aca="false">IF(Y148=1,E148,0)</f>
        <v>95.28</v>
      </c>
      <c r="AC148" s="89" t="n">
        <f aca="false">IF(Y148=1,COUNTIFS($Z$2:$Z$601,Z148,$Y$2:$Y$601,1),0)</f>
        <v>8</v>
      </c>
      <c r="AD148" s="89" t="n">
        <f aca="false">IF(Y148=1,COUNTIFS($N$2:$N$601,N148,$Y$2:$Y$601,1),0)</f>
        <v>137</v>
      </c>
      <c r="AE148" s="43" t="str">
        <f aca="false">IF(Y148&lt;&gt;1,"",IF(AND(AC148&gt;=설정!$C$7,ISNUMBER(MATCH(Z148,피어커브!$A:$A,0))),Z148,IF(AND(AD148&gt;=설정!$C$7,ISNUMBER(MATCH(N148&amp;"|전체",피어커브!$A:$A,0))),N148&amp;"|전체","전체|전체")))</f>
        <v>아시아/기타|통신</v>
      </c>
      <c r="AF148" s="93" t="n">
        <f aca="false">IF(AE148="","",INDEX(피어커브!$K:$K,MATCH(AE148,피어커브!$A:$A,0)))</f>
        <v>19.9269244261757</v>
      </c>
      <c r="AG148" s="93" t="n">
        <f aca="false">IF(AE148="","",INDEX(피어커브!$J:$J,MATCH(AE148,피어커브!$A:$A,0)))</f>
        <v>39.2458252527372</v>
      </c>
      <c r="AH148" s="93" t="n">
        <f aca="false">IF(AE148="","",INDEX(피어커브!$L:$L,MATCH(AE148,피어커브!$A:$A,0)))</f>
        <v>15.4583072911545</v>
      </c>
      <c r="AI148" s="93" t="n">
        <f aca="false">IF(AE148="","",AF148+AG148*AA148)</f>
        <v>83.1141839264222</v>
      </c>
      <c r="AJ148" s="96" t="n">
        <f aca="false">IF(AE148="","",E148-AI148)</f>
        <v>12.1658160735778</v>
      </c>
      <c r="AK148" s="95" t="n">
        <f aca="false">IF(AE148="","",IF(ISNUMBER(AH148),IF(AH148&gt;0,AJ148/AH148,""),""))</f>
        <v>0.787008295567997</v>
      </c>
      <c r="AL148" s="43" t="str">
        <f aca="false">IF(AK148="","-",IF(AK148&gt;=설정!$C$6,"Cheap",IF(AK148&lt;=-설정!$C$6,"Rich","Fair")))</f>
        <v>Fair</v>
      </c>
      <c r="AM148" s="96" t="n">
        <f aca="false">IF(AE148="","",AJ148-AVERAGEIFS($AJ$2:$AJ$601,$B$2:$B$601,B148,$Y$2:$Y$601,1))</f>
        <v>3.774152340969</v>
      </c>
      <c r="AN148" s="93" t="n">
        <f aca="false">IF(AE148="",0,IF(K148&gt;1+설정!$C$8,AG148*(AA148-LN(K148-1)),0))</f>
        <v>8.75156991831316</v>
      </c>
      <c r="AO148" s="99" t="n">
        <f aca="false">IF($A148="",0,SUMIFS(보유분석!$AA$2:$AA$801,보유분석!$AB$2:$AB$801,ROW(),보유분석!$AC$2:$AC$801,1))</f>
        <v>0</v>
      </c>
      <c r="AP148" s="43" t="str">
        <f aca="false">IF($A148="","",TRIM(IF(R148=1,"FRN ","")&amp;IF(IFERROR(VLOOKUP(M148,설정!$A$15:$D$47,4,0),0)&gt;=10,IF(IFERROR(VLOOKUP(M148,설정!$A$15:$D$47,4,0),0)&lt;99,"BBB0미만 ",""),"")&amp;IF(OR(M148="",M148="NR"),"등급미입력 ","")&amp;IF(C148&lt;&gt;"USD","비USD ","")))</f>
        <v/>
      </c>
      <c r="AQ148" s="90" t="n">
        <f aca="false">IF(AND(Y148=1,AL148="Cheap"),IF(AND(ISERROR(SEARCH("FRN",AP148)),ISERROR(SEARCH("BBB0미만",AP148))),AK148+ROW()/1000000000,-999),-999)</f>
        <v>-999</v>
      </c>
      <c r="AR148" s="92" t="n">
        <f aca="false">IF(AND(ISNUMBER(D148),ISNUMBER(K148)),D148+AN148*MAX(K148-1,0)/100,"")</f>
        <v>6.39032534383008</v>
      </c>
      <c r="AS148" s="93" t="n">
        <f aca="false">IF(AND(ISNUMBER(E148),ISNUMBER(K148)),IF(K148&gt;0,(E148+AN148*MAX(K148-1,0))/K148,""),"")</f>
        <v>26.0468787493519</v>
      </c>
      <c r="AT148" s="90" t="n">
        <f aca="false">IFERROR(IF(AND(Y148=1,ROW()&lt;&gt;스왑분석!$C$12+1,ABS(K148-INDEX($K$2:$K$601,스왑분석!$C$12))&lt;=스왑분석!$C$5,ISERROR(SEARCH("FRN",AP148)),ISERROR(SEARCH("BBB0미만",AP148))),IF(AND(OR(스왑분석!$C$6="N",L148=INDEX($L$2:$L$601,스왑분석!$C$12)),OR(스왑분석!$C$7="N",N148=INDEX($N$2:$N$601,스왑분석!$C$12)),OR(스왑분석!$C$8="N",AO148=0),E148-INDEX($E$2:$E$601,스왑분석!$C$12)&gt;=스왑분석!$C$9),E148-INDEX($E$2:$E$601,스왑분석!$C$12)+ROW()/1000000000,-999),-999),-999)</f>
        <v>-999</v>
      </c>
      <c r="AU148" s="90" t="n">
        <f aca="false">IF(AND(Y148=1,AO148&gt;0,AL148="Rich"),-AK148+ROW()/1000000000,-999)</f>
        <v>-999</v>
      </c>
    </row>
    <row r="149" customFormat="false" ht="15" hidden="false" customHeight="false" outlineLevel="0" collapsed="false">
      <c r="A149" s="83" t="str">
        <f aca="false">IFERROR(IF(INDEX(원자료_시장!$A$1:$BZ$1000,설정!$L$6+ROW()-1,설정!$L$24)&amp;""="0","",INDEX(원자료_시장!$A$1:$BZ$1000,설정!$L$6+ROW()-1,설정!$L$24)),"")</f>
        <v>NTT 5.502 07/16/35</v>
      </c>
      <c r="B149" s="83" t="str">
        <f aca="false">IFERROR(IF(INDEX(원자료_시장!$A$1:$BZ$1000,설정!$L$6+ROW()-1,설정!$L$37)&amp;""="0","",INDEX(원자료_시장!$A$1:$BZ$1000,설정!$L$6+ROW()-1,설정!$L$37)),"")</f>
        <v>NTT FINANCE CORP</v>
      </c>
      <c r="C149" s="83" t="str">
        <f aca="false">IFERROR(IF(INDEX(원자료_시장!$A$1:$BZ$1000,설정!$L$6+ROW()-1,설정!$L$25)&amp;""="0","",INDEX(원자료_시장!$A$1:$BZ$1000,설정!$L$6+ROW()-1,설정!$L$25)),"")</f>
        <v>USD</v>
      </c>
      <c r="D149" s="85" t="n">
        <f aca="false">IFERROR(IF(ISNUMBER(INDEX(원자료_시장!$A$1:$BZ$1000,설정!$L$6+ROW()-1,설정!$L$26)),INDEX(원자료_시장!$A$1:$BZ$1000,설정!$L$6+ROW()-1,설정!$L$26),""),"")</f>
        <v>6.331</v>
      </c>
      <c r="E149" s="97" t="n">
        <f aca="false">IFERROR(IF(ISNUMBER(INDEX(원자료_시장!$A$1:$BZ$1000,설정!$L$6+ROW()-1,설정!$L$27)),INDEX(원자료_시장!$A$1:$BZ$1000,설정!$L$6+ROW()-1,설정!$L$27),""),"")</f>
        <v>104.357</v>
      </c>
      <c r="F149" s="97" t="n">
        <f aca="false">IFERROR(IF(ISNUMBER(INDEX(원자료_시장!$A$1:$BZ$1000,설정!$L$6+ROW()-1,설정!$L$28)),INDEX(원자료_시장!$A$1:$BZ$1000,설정!$L$6+ROW()-1,설정!$L$28),""),"")</f>
        <v>151.707</v>
      </c>
      <c r="G149" s="97" t="n">
        <f aca="false">IFERROR(IF(ISNUMBER(INDEX(원자료_시장!$A$1:$BZ$1000,설정!$L$6+ROW()-1,설정!$L$29)),INDEX(원자료_시장!$A$1:$BZ$1000,설정!$L$6+ROW()-1,설정!$L$29),""),"")</f>
        <v>-0.7</v>
      </c>
      <c r="H149" s="97" t="n">
        <f aca="false">IFERROR(IF(ISNUMBER(INDEX(원자료_시장!$A$1:$BZ$1000,설정!$L$6+ROW()-1,설정!$L$30)),INDEX(원자료_시장!$A$1:$BZ$1000,설정!$L$6+ROW()-1,설정!$L$30),""),"")</f>
        <v>3.7</v>
      </c>
      <c r="I149" s="97" t="n">
        <f aca="false">IFERROR(IF(ISNUMBER(INDEX(원자료_시장!$A$1:$BZ$1000,설정!$L$6+ROW()-1,설정!$L$31)),INDEX(원자료_시장!$A$1:$BZ$1000,설정!$L$6+ROW()-1,설정!$L$31),""),"")</f>
        <v>3.4</v>
      </c>
      <c r="J149" s="97" t="n">
        <f aca="false">IFERROR(IF(ISNUMBER(INDEX(원자료_시장!$A$1:$BZ$1000,설정!$L$6+ROW()-1,설정!$L$32)),INDEX(원자료_시장!$A$1:$BZ$1000,설정!$L$6+ROW()-1,설정!$L$32),""),"")</f>
        <v>10.2</v>
      </c>
      <c r="K149" s="85" t="n">
        <f aca="false">IFERROR(IF(ISNUMBER(INDEX(원자료_시장!$A$1:$BZ$1000,설정!$L$6+ROW()-1,설정!$L$33)),INDEX(원자료_시장!$A$1:$BZ$1000,설정!$L$6+ROW()-1,설정!$L$33),""),"")</f>
        <v>6.944</v>
      </c>
      <c r="L149" s="83" t="str">
        <f aca="false">IFERROR(IF(INDEX(원자료_시장!$A$1:$BZ$1000,설정!$L$6+ROW()-1,설정!$L$34)&amp;""="0","",INDEX(원자료_시장!$A$1:$BZ$1000,설정!$L$6+ROW()-1,설정!$L$34)),"")</f>
        <v>통신</v>
      </c>
      <c r="M149" s="83" t="str">
        <f aca="false">IFERROR(IF(INDEX(원자료_시장!$A$1:$BZ$1000,설정!$L$6+ROW()-1,설정!$L$35)&amp;""="0","",INDEX(원자료_시장!$A$1:$BZ$1000,설정!$L$6+ROW()-1,설정!$L$35)),"")</f>
        <v>BBB+</v>
      </c>
      <c r="N149" s="83" t="str">
        <f aca="false">IFERROR(IF(INDEX(원자료_시장!$A$1:$BZ$1000,설정!$L$6+ROW()-1,설정!$L$36)&amp;""="0","",INDEX(원자료_시장!$A$1:$BZ$1000,설정!$L$6+ROW()-1,설정!$L$36)),"")</f>
        <v>아시아/기타</v>
      </c>
      <c r="O149" s="43" t="str">
        <f aca="false">IF($A149="","",UPPER(LEFT($A149,FIND(" ",$A149&amp;" ")-1)))</f>
        <v>NTT</v>
      </c>
      <c r="P149" s="43" t="str">
        <f aca="false">IF($A149="","",TRIM(RIGHT(SUBSTITUTE(TRIM($A149)," ",REPT(" ",30)),30)))</f>
        <v>07/16/35</v>
      </c>
      <c r="Q149" s="98" t="n">
        <f aca="false">IF($A149="","",IFERROR(DATE(IF(LEN(P149)=8,2000+VALUE(RIGHT(P149,2)),VALUE(RIGHT(P149,4))),VALUE(LEFT(P149,2)),VALUE(MID(P149,4,2))),""))</f>
        <v>49506</v>
      </c>
      <c r="R149" s="89" t="n">
        <f aca="false">IF($A149="",0,IF(ISNUMBER(SEARCH("Float",$A149)),1,0))</f>
        <v>0</v>
      </c>
      <c r="S149" s="43" t="str">
        <f aca="false">IF($A149="","",TRIM(MID($A149,LEN(O149)+2,LEN($A149)-LEN(O149)-LEN(P149)-1)))</f>
        <v>5.502</v>
      </c>
      <c r="T149" s="92" t="n">
        <f aca="false">IF(OR($A149="",R149=1),"",IFERROR(IF(ISNUMBER(FIND("/",S149)),IF(ISNUMBER(FIND(" ",S149)),VALUE(LEFT(S149,FIND(" ",S149)-1))+VALUE(MID(S149,FIND(" ",S149)+1,FIND("/",S149)-FIND(" ",S149)-1))/VALUE(MID(S149,FIND("/",S149)+1,9)),VALUE(LEFT(S149,FIND("/",S149)-1))/VALUE(MID(S149,FIND("/",S149)+1,9))),VALUE(S149)),""))</f>
        <v>5.502</v>
      </c>
      <c r="U149" s="43" t="str">
        <f aca="false">IF(OR($A149="",NOT(ISNUMBER(Q149))),"",TEXT(Q149,"yyyymmdd")&amp;"|"&amp;IF(R149=1,"F",TEXT(T149,"0.000")))</f>
        <v>20350716|5.502</v>
      </c>
      <c r="V149" s="43" t="str">
        <f aca="false">IF(U149="","",O149&amp;"|"&amp;U149)</f>
        <v>NTT|20350716|5.502</v>
      </c>
      <c r="W149" s="43" t="str">
        <f aca="false">IF($A149="","",IFERROR(IF(VLOOKUP(O149,매핑!$A$4:$E$92,3,0)="","미분류",VLOOKUP(O149,매핑!$A$4:$E$92,3,0)),"미분류"))</f>
        <v>일본</v>
      </c>
      <c r="X149" s="89" t="n">
        <f aca="false">IF($A149="",0,IF(O149="T",1,0))</f>
        <v>0</v>
      </c>
      <c r="Y149" s="89" t="n">
        <f aca="false">IF($A149="",0,IF(AND(C149="USD",X149=0,ISNUMBER(E149),ISNUMBER(K149)),IF(K149&gt;=설정!$C$8,1,0),0))</f>
        <v>1</v>
      </c>
      <c r="Z149" s="43" t="str">
        <f aca="false">IF($A149="","",N149&amp;"|"&amp;L149)</f>
        <v>아시아/기타|통신</v>
      </c>
      <c r="AA149" s="92" t="n">
        <f aca="false">IF(Y149=1,LN(K149),0)</f>
        <v>1.93787797735805</v>
      </c>
      <c r="AB149" s="93" t="n">
        <f aca="false">IF(Y149=1,E149,0)</f>
        <v>104.357</v>
      </c>
      <c r="AC149" s="89" t="n">
        <f aca="false">IF(Y149=1,COUNTIFS($Z$2:$Z$601,Z149,$Y$2:$Y$601,1),0)</f>
        <v>8</v>
      </c>
      <c r="AD149" s="89" t="n">
        <f aca="false">IF(Y149=1,COUNTIFS($N$2:$N$601,N149,$Y$2:$Y$601,1),0)</f>
        <v>137</v>
      </c>
      <c r="AE149" s="43" t="str">
        <f aca="false">IF(Y149&lt;&gt;1,"",IF(AND(AC149&gt;=설정!$C$7,ISNUMBER(MATCH(Z149,피어커브!$A:$A,0))),Z149,IF(AND(AD149&gt;=설정!$C$7,ISNUMBER(MATCH(N149&amp;"|전체",피어커브!$A:$A,0))),N149&amp;"|전체","전체|전체")))</f>
        <v>아시아/기타|통신</v>
      </c>
      <c r="AF149" s="93" t="n">
        <f aca="false">IF(AE149="","",INDEX(피어커브!$K:$K,MATCH(AE149,피어커브!$A:$A,0)))</f>
        <v>19.9269244261757</v>
      </c>
      <c r="AG149" s="93" t="n">
        <f aca="false">IF(AE149="","",INDEX(피어커브!$J:$J,MATCH(AE149,피어커브!$A:$A,0)))</f>
        <v>39.2458252527372</v>
      </c>
      <c r="AH149" s="93" t="n">
        <f aca="false">IF(AE149="","",INDEX(피어커브!$L:$L,MATCH(AE149,피어커브!$A:$A,0)))</f>
        <v>15.4583072911545</v>
      </c>
      <c r="AI149" s="93" t="n">
        <f aca="false">IF(AE149="","",AF149+AG149*AA149)</f>
        <v>95.9805448866976</v>
      </c>
      <c r="AJ149" s="96" t="n">
        <f aca="false">IF(AE149="","",E149-AI149)</f>
        <v>8.3764551133024</v>
      </c>
      <c r="AK149" s="95" t="n">
        <f aca="false">IF(AE149="","",IF(ISNUMBER(AH149),IF(AH149&gt;0,AJ149/AH149,""),""))</f>
        <v>0.541874019938492</v>
      </c>
      <c r="AL149" s="43" t="str">
        <f aca="false">IF(AK149="","-",IF(AK149&gt;=설정!$C$6,"Cheap",IF(AK149&lt;=-설정!$C$6,"Rich","Fair")))</f>
        <v>Fair</v>
      </c>
      <c r="AM149" s="96" t="n">
        <f aca="false">IF(AE149="","",AJ149-AVERAGEIFS($AJ$2:$AJ$601,$B$2:$B$601,B149,$Y$2:$Y$601,1))</f>
        <v>-0.0152086193064456</v>
      </c>
      <c r="AN149" s="93" t="n">
        <f aca="false">IF(AE149="",0,IF(K149&gt;1+설정!$C$8,AG149*(AA149-LN(K149-1)),0))</f>
        <v>6.10255589012423</v>
      </c>
      <c r="AO149" s="99" t="n">
        <f aca="false">IF($A149="",0,SUMIFS(보유분석!$AA$2:$AA$801,보유분석!$AB$2:$AB$801,ROW(),보유분석!$AC$2:$AC$801,1))</f>
        <v>0</v>
      </c>
      <c r="AP149" s="43" t="str">
        <f aca="false">IF($A149="","",TRIM(IF(R149=1,"FRN ","")&amp;IF(IFERROR(VLOOKUP(M149,설정!$A$15:$D$47,4,0),0)&gt;=10,IF(IFERROR(VLOOKUP(M149,설정!$A$15:$D$47,4,0),0)&lt;99,"BBB0미만 ",""),"")&amp;IF(OR(M149="",M149="NR"),"등급미입력 ","")&amp;IF(C149&lt;&gt;"USD","비USD ","")))</f>
        <v/>
      </c>
      <c r="AQ149" s="90" t="n">
        <f aca="false">IF(AND(Y149=1,AL149="Cheap"),IF(AND(ISERROR(SEARCH("FRN",AP149)),ISERROR(SEARCH("BBB0미만",AP149))),AK149+ROW()/1000000000,-999),-999)</f>
        <v>-999</v>
      </c>
      <c r="AR149" s="92" t="n">
        <f aca="false">IF(AND(ISNUMBER(D149),ISNUMBER(K149)),D149+AN149*MAX(K149-1,0)/100,"")</f>
        <v>6.69373592210899</v>
      </c>
      <c r="AS149" s="93" t="n">
        <f aca="false">IF(AND(ISNUMBER(E149),ISNUMBER(K149)),IF(K149&gt;0,(E149+AN149*MAX(K149-1,0))/K149,""),"")</f>
        <v>20.2521014128598</v>
      </c>
      <c r="AT149" s="90" t="n">
        <f aca="false">IFERROR(IF(AND(Y149=1,ROW()&lt;&gt;스왑분석!$C$12+1,ABS(K149-INDEX($K$2:$K$601,스왑분석!$C$12))&lt;=스왑분석!$C$5,ISERROR(SEARCH("FRN",AP149)),ISERROR(SEARCH("BBB0미만",AP149))),IF(AND(OR(스왑분석!$C$6="N",L149=INDEX($L$2:$L$601,스왑분석!$C$12)),OR(스왑분석!$C$7="N",N149=INDEX($N$2:$N$601,스왑분석!$C$12)),OR(스왑분석!$C$8="N",AO149=0),E149-INDEX($E$2:$E$601,스왑분석!$C$12)&gt;=스왑분석!$C$9),E149-INDEX($E$2:$E$601,스왑분석!$C$12)+ROW()/1000000000,-999),-999),-999)</f>
        <v>-999</v>
      </c>
      <c r="AU149" s="90" t="n">
        <f aca="false">IF(AND(Y149=1,AO149&gt;0,AL149="Rich"),-AK149+ROW()/1000000000,-999)</f>
        <v>-999</v>
      </c>
    </row>
    <row r="150" customFormat="false" ht="15" hidden="false" customHeight="false" outlineLevel="0" collapsed="false">
      <c r="A150" s="83" t="str">
        <f aca="false">IFERROR(IF(INDEX(원자료_시장!$A$1:$BZ$1000,설정!$L$6+ROW()-1,설정!$L$24)&amp;""="0","",INDEX(원자료_시장!$A$1:$BZ$1000,설정!$L$6+ROW()-1,설정!$L$24)),"")</f>
        <v>SUMITR 4 1/2 09/10/29</v>
      </c>
      <c r="B150" s="83" t="str">
        <f aca="false">IFERROR(IF(INDEX(원자료_시장!$A$1:$BZ$1000,설정!$L$6+ROW()-1,설정!$L$37)&amp;""="0","",INDEX(원자료_시장!$A$1:$BZ$1000,설정!$L$6+ROW()-1,설정!$L$37)),"")</f>
        <v>SUMITOMO MITSUI TR BK LT</v>
      </c>
      <c r="C150" s="83" t="str">
        <f aca="false">IFERROR(IF(INDEX(원자료_시장!$A$1:$BZ$1000,설정!$L$6+ROW()-1,설정!$L$25)&amp;""="0","",INDEX(원자료_시장!$A$1:$BZ$1000,설정!$L$6+ROW()-1,설정!$L$25)),"")</f>
        <v>USD</v>
      </c>
      <c r="D150" s="85" t="n">
        <f aca="false">IFERROR(IF(ISNUMBER(INDEX(원자료_시장!$A$1:$BZ$1000,설정!$L$6+ROW()-1,설정!$L$26)),INDEX(원자료_시장!$A$1:$BZ$1000,설정!$L$6+ROW()-1,설정!$L$26),""),"")</f>
        <v>5.448</v>
      </c>
      <c r="E150" s="97" t="n">
        <f aca="false">IFERROR(IF(ISNUMBER(INDEX(원자료_시장!$A$1:$BZ$1000,설정!$L$6+ROW()-1,설정!$L$27)),INDEX(원자료_시장!$A$1:$BZ$1000,설정!$L$6+ROW()-1,설정!$L$27),""),"")</f>
        <v>44.76</v>
      </c>
      <c r="F150" s="97" t="n">
        <f aca="false">IFERROR(IF(ISNUMBER(INDEX(원자료_시장!$A$1:$BZ$1000,설정!$L$6+ROW()-1,설정!$L$28)),INDEX(원자료_시장!$A$1:$BZ$1000,설정!$L$6+ROW()-1,설정!$L$28),""),"")</f>
        <v>71.424</v>
      </c>
      <c r="G150" s="97" t="n">
        <f aca="false">IFERROR(IF(ISNUMBER(INDEX(원자료_시장!$A$1:$BZ$1000,설정!$L$6+ROW()-1,설정!$L$29)),INDEX(원자료_시장!$A$1:$BZ$1000,설정!$L$6+ROW()-1,설정!$L$29),""),"")</f>
        <v>2.4</v>
      </c>
      <c r="H150" s="97" t="n">
        <f aca="false">IFERROR(IF(ISNUMBER(INDEX(원자료_시장!$A$1:$BZ$1000,설정!$L$6+ROW()-1,설정!$L$30)),INDEX(원자료_시장!$A$1:$BZ$1000,설정!$L$6+ROW()-1,설정!$L$30),""),"")</f>
        <v>3</v>
      </c>
      <c r="I150" s="97" t="n">
        <f aca="false">IFERROR(IF(ISNUMBER(INDEX(원자료_시장!$A$1:$BZ$1000,설정!$L$6+ROW()-1,설정!$L$31)),INDEX(원자료_시장!$A$1:$BZ$1000,설정!$L$6+ROW()-1,설정!$L$31),""),"")</f>
        <v>4.1</v>
      </c>
      <c r="J150" s="97" t="n">
        <f aca="false">IFERROR(IF(ISNUMBER(INDEX(원자료_시장!$A$1:$BZ$1000,설정!$L$6+ROW()-1,설정!$L$32)),INDEX(원자료_시장!$A$1:$BZ$1000,설정!$L$6+ROW()-1,설정!$L$32),""),"")</f>
        <v>0.6</v>
      </c>
      <c r="K150" s="85" t="n">
        <f aca="false">IFERROR(IF(ISNUMBER(INDEX(원자료_시장!$A$1:$BZ$1000,설정!$L$6+ROW()-1,설정!$L$33)),INDEX(원자료_시장!$A$1:$BZ$1000,설정!$L$6+ROW()-1,설정!$L$33),""),"")</f>
        <v>2.776</v>
      </c>
      <c r="L150" s="83" t="str">
        <f aca="false">IFERROR(IF(INDEX(원자료_시장!$A$1:$BZ$1000,설정!$L$6+ROW()-1,설정!$L$34)&amp;""="0","",INDEX(원자료_시장!$A$1:$BZ$1000,설정!$L$6+ROW()-1,설정!$L$34)),"")</f>
        <v>금융기관</v>
      </c>
      <c r="M150" s="83" t="str">
        <f aca="false">IFERROR(IF(INDEX(원자료_시장!$A$1:$BZ$1000,설정!$L$6+ROW()-1,설정!$L$35)&amp;""="0","",INDEX(원자료_시장!$A$1:$BZ$1000,설정!$L$6+ROW()-1,설정!$L$35)),"")</f>
        <v>A</v>
      </c>
      <c r="N150" s="83" t="str">
        <f aca="false">IFERROR(IF(INDEX(원자료_시장!$A$1:$BZ$1000,설정!$L$6+ROW()-1,설정!$L$36)&amp;""="0","",INDEX(원자료_시장!$A$1:$BZ$1000,설정!$L$6+ROW()-1,설정!$L$36)),"")</f>
        <v>아시아/기타</v>
      </c>
      <c r="O150" s="43" t="str">
        <f aca="false">IF($A150="","",UPPER(LEFT($A150,FIND(" ",$A150&amp;" ")-1)))</f>
        <v>SUMITR</v>
      </c>
      <c r="P150" s="43" t="str">
        <f aca="false">IF($A150="","",TRIM(RIGHT(SUBSTITUTE(TRIM($A150)," ",REPT(" ",30)),30)))</f>
        <v>09/10/29</v>
      </c>
      <c r="Q150" s="98" t="n">
        <f aca="false">IF($A150="","",IFERROR(DATE(IF(LEN(P150)=8,2000+VALUE(RIGHT(P150,2)),VALUE(RIGHT(P150,4))),VALUE(LEFT(P150,2)),VALUE(MID(P150,4,2))),""))</f>
        <v>47371</v>
      </c>
      <c r="R150" s="89" t="n">
        <f aca="false">IF($A150="",0,IF(ISNUMBER(SEARCH("Float",$A150)),1,0))</f>
        <v>0</v>
      </c>
      <c r="S150" s="43" t="str">
        <f aca="false">IF($A150="","",TRIM(MID($A150,LEN(O150)+2,LEN($A150)-LEN(O150)-LEN(P150)-1)))</f>
        <v>4 1/2</v>
      </c>
      <c r="T150" s="92" t="n">
        <f aca="false">IF(OR($A150="",R150=1),"",IFERROR(IF(ISNUMBER(FIND("/",S150)),IF(ISNUMBER(FIND(" ",S150)),VALUE(LEFT(S150,FIND(" ",S150)-1))+VALUE(MID(S150,FIND(" ",S150)+1,FIND("/",S150)-FIND(" ",S150)-1))/VALUE(MID(S150,FIND("/",S150)+1,9)),VALUE(LEFT(S150,FIND("/",S150)-1))/VALUE(MID(S150,FIND("/",S150)+1,9))),VALUE(S150)),""))</f>
        <v>4.5</v>
      </c>
      <c r="U150" s="43" t="str">
        <f aca="false">IF(OR($A150="",NOT(ISNUMBER(Q150))),"",TEXT(Q150,"yyyymmdd")&amp;"|"&amp;IF(R150=1,"F",TEXT(T150,"0.000")))</f>
        <v>20290910|4.500</v>
      </c>
      <c r="V150" s="43" t="str">
        <f aca="false">IF(U150="","",O150&amp;"|"&amp;U150)</f>
        <v>SUMITR|20290910|4.500</v>
      </c>
      <c r="W150" s="43" t="str">
        <f aca="false">IF($A150="","",IFERROR(IF(VLOOKUP(O150,매핑!$A$4:$E$92,3,0)="","미분류",VLOOKUP(O150,매핑!$A$4:$E$92,3,0)),"미분류"))</f>
        <v>일본</v>
      </c>
      <c r="X150" s="89" t="n">
        <f aca="false">IF($A150="",0,IF(O150="T",1,0))</f>
        <v>0</v>
      </c>
      <c r="Y150" s="89" t="n">
        <f aca="false">IF($A150="",0,IF(AND(C150="USD",X150=0,ISNUMBER(E150),ISNUMBER(K150)),IF(K150&gt;=설정!$C$8,1,0),0))</f>
        <v>1</v>
      </c>
      <c r="Z150" s="43" t="str">
        <f aca="false">IF($A150="","",N150&amp;"|"&amp;L150)</f>
        <v>아시아/기타|금융기관</v>
      </c>
      <c r="AA150" s="92" t="n">
        <f aca="false">IF(Y150=1,LN(K150),0)</f>
        <v>1.02101104264456</v>
      </c>
      <c r="AB150" s="93" t="n">
        <f aca="false">IF(Y150=1,E150,0)</f>
        <v>44.76</v>
      </c>
      <c r="AC150" s="89" t="n">
        <f aca="false">IF(Y150=1,COUNTIFS($Z$2:$Z$601,Z150,$Y$2:$Y$601,1),0)</f>
        <v>42</v>
      </c>
      <c r="AD150" s="89" t="n">
        <f aca="false">IF(Y150=1,COUNTIFS($N$2:$N$601,N150,$Y$2:$Y$601,1),0)</f>
        <v>137</v>
      </c>
      <c r="AE150" s="43" t="str">
        <f aca="false">IF(Y150&lt;&gt;1,"",IF(AND(AC150&gt;=설정!$C$7,ISNUMBER(MATCH(Z150,피어커브!$A:$A,0))),Z150,IF(AND(AD150&gt;=설정!$C$7,ISNUMBER(MATCH(N150&amp;"|전체",피어커브!$A:$A,0))),N150&amp;"|전체","전체|전체")))</f>
        <v>아시아/기타|금융기관</v>
      </c>
      <c r="AF150" s="93" t="n">
        <f aca="false">IF(AE150="","",INDEX(피어커브!$K:$K,MATCH(AE150,피어커브!$A:$A,0)))</f>
        <v>50.117430292991</v>
      </c>
      <c r="AG150" s="93" t="n">
        <f aca="false">IF(AE150="","",INDEX(피어커브!$J:$J,MATCH(AE150,피어커브!$A:$A,0)))</f>
        <v>13.9183160321618</v>
      </c>
      <c r="AH150" s="93" t="n">
        <f aca="false">IF(AE150="","",INDEX(피어커브!$L:$L,MATCH(AE150,피어커브!$A:$A,0)))</f>
        <v>20.4735875466442</v>
      </c>
      <c r="AI150" s="93" t="n">
        <f aca="false">IF(AE150="","",AF150+AG150*AA150)</f>
        <v>64.328184656845</v>
      </c>
      <c r="AJ150" s="96" t="n">
        <f aca="false">IF(AE150="","",E150-AI150)</f>
        <v>-19.568184656845</v>
      </c>
      <c r="AK150" s="95" t="n">
        <f aca="false">IF(AE150="","",IF(ISNUMBER(AH150),IF(AH150&gt;0,AJ150/AH150,""),""))</f>
        <v>-0.955777027951922</v>
      </c>
      <c r="AL150" s="43" t="str">
        <f aca="false">IF(AK150="","-",IF(AK150&gt;=설정!$C$6,"Cheap",IF(AK150&lt;=-설정!$C$6,"Rich","Fair")))</f>
        <v>Fair</v>
      </c>
      <c r="AM150" s="96" t="n">
        <f aca="false">IF(AE150="","",AJ150-AVERAGEIFS($AJ$2:$AJ$601,$B$2:$B$601,B150,$Y$2:$Y$601,1))</f>
        <v>0</v>
      </c>
      <c r="AN150" s="93" t="n">
        <f aca="false">IF(AE150="",0,IF(K150&gt;1+설정!$C$8,AG150*(AA150-LN(K150-1)),0))</f>
        <v>6.21657964134478</v>
      </c>
      <c r="AO150" s="99" t="n">
        <f aca="false">IF($A150="",0,SUMIFS(보유분석!$AA$2:$AA$801,보유분석!$AB$2:$AB$801,ROW(),보유분석!$AC$2:$AC$801,1))</f>
        <v>0</v>
      </c>
      <c r="AP150" s="43" t="str">
        <f aca="false">IF($A150="","",TRIM(IF(R150=1,"FRN ","")&amp;IF(IFERROR(VLOOKUP(M150,설정!$A$15:$D$47,4,0),0)&gt;=10,IF(IFERROR(VLOOKUP(M150,설정!$A$15:$D$47,4,0),0)&lt;99,"BBB0미만 ",""),"")&amp;IF(OR(M150="",M150="NR"),"등급미입력 ","")&amp;IF(C150&lt;&gt;"USD","비USD ","")))</f>
        <v/>
      </c>
      <c r="AQ150" s="90" t="n">
        <f aca="false">IF(AND(Y150=1,AL150="Cheap"),IF(AND(ISERROR(SEARCH("FRN",AP150)),ISERROR(SEARCH("BBB0미만",AP150))),AK150+ROW()/1000000000,-999),-999)</f>
        <v>-999</v>
      </c>
      <c r="AR150" s="92" t="n">
        <f aca="false">IF(AND(ISNUMBER(D150),ISNUMBER(K150)),D150+AN150*MAX(K150-1,0)/100,"")</f>
        <v>5.55840645443028</v>
      </c>
      <c r="AS150" s="93" t="n">
        <f aca="false">IF(AND(ISNUMBER(E150),ISNUMBER(K150)),IF(K150&gt;0,(E150+AN150*MAX(K150-1,0))/K150,""),"")</f>
        <v>20.1010970616096</v>
      </c>
      <c r="AT150" s="90" t="n">
        <f aca="false">IFERROR(IF(AND(Y150=1,ROW()&lt;&gt;스왑분석!$C$12+1,ABS(K150-INDEX($K$2:$K$601,스왑분석!$C$12))&lt;=스왑분석!$C$5,ISERROR(SEARCH("FRN",AP150)),ISERROR(SEARCH("BBB0미만",AP150))),IF(AND(OR(스왑분석!$C$6="N",L150=INDEX($L$2:$L$601,스왑분석!$C$12)),OR(스왑분석!$C$7="N",N150=INDEX($N$2:$N$601,스왑분석!$C$12)),OR(스왑분석!$C$8="N",AO150=0),E150-INDEX($E$2:$E$601,스왑분석!$C$12)&gt;=스왑분석!$C$9),E150-INDEX($E$2:$E$601,스왑분석!$C$12)+ROW()/1000000000,-999),-999),-999)</f>
        <v>-999</v>
      </c>
      <c r="AU150" s="90" t="n">
        <f aca="false">IF(AND(Y150=1,AO150&gt;0,AL150="Rich"),-AK150+ROW()/1000000000,-999)</f>
        <v>-999</v>
      </c>
    </row>
    <row r="151" customFormat="false" ht="15" hidden="false" customHeight="false" outlineLevel="0" collapsed="false">
      <c r="A151" s="83" t="str">
        <f aca="false">IFERROR(IF(INDEX(원자료_시장!$A$1:$BZ$1000,설정!$L$6+ROW()-1,설정!$L$24)&amp;""="0","",INDEX(원자료_시장!$A$1:$BZ$1000,설정!$L$6+ROW()-1,설정!$L$24)),"")</f>
        <v>SPCX 5.35 07/15/31</v>
      </c>
      <c r="B151" s="83" t="str">
        <f aca="false">IFERROR(IF(INDEX(원자료_시장!$A$1:$BZ$1000,설정!$L$6+ROW()-1,설정!$L$37)&amp;""="0","",INDEX(원자료_시장!$A$1:$BZ$1000,설정!$L$6+ROW()-1,설정!$L$37)),"")</f>
        <v>SPACE EXPLORATION TECH</v>
      </c>
      <c r="C151" s="83" t="str">
        <f aca="false">IFERROR(IF(INDEX(원자료_시장!$A$1:$BZ$1000,설정!$L$6+ROW()-1,설정!$L$25)&amp;""="0","",INDEX(원자료_시장!$A$1:$BZ$1000,설정!$L$6+ROW()-1,설정!$L$25)),"")</f>
        <v>USD</v>
      </c>
      <c r="D151" s="85" t="n">
        <f aca="false">IFERROR(IF(ISNUMBER(INDEX(원자료_시장!$A$1:$BZ$1000,설정!$L$6+ROW()-1,설정!$L$26)),INDEX(원자료_시장!$A$1:$BZ$1000,설정!$L$6+ROW()-1,설정!$L$26),""),"")</f>
        <v>6.533</v>
      </c>
      <c r="E151" s="97" t="n">
        <f aca="false">IFERROR(IF(ISNUMBER(INDEX(원자료_시장!$A$1:$BZ$1000,설정!$L$6+ROW()-1,설정!$L$27)),INDEX(원자료_시장!$A$1:$BZ$1000,설정!$L$6+ROW()-1,설정!$L$27),""),"")</f>
        <v>144.658</v>
      </c>
      <c r="F151" s="97" t="n">
        <f aca="false">IFERROR(IF(ISNUMBER(INDEX(원자료_시장!$A$1:$BZ$1000,설정!$L$6+ROW()-1,설정!$L$28)),INDEX(원자료_시장!$A$1:$BZ$1000,설정!$L$6+ROW()-1,설정!$L$28),""),"")</f>
        <v>178.091</v>
      </c>
      <c r="G151" s="97" t="n">
        <f aca="false">IFERROR(IF(ISNUMBER(INDEX(원자료_시장!$A$1:$BZ$1000,설정!$L$6+ROW()-1,설정!$L$29)),INDEX(원자료_시장!$A$1:$BZ$1000,설정!$L$6+ROW()-1,설정!$L$29),""),"")</f>
        <v>-5.6</v>
      </c>
      <c r="H151" s="97" t="n">
        <f aca="false">IFERROR(IF(ISNUMBER(INDEX(원자료_시장!$A$1:$BZ$1000,설정!$L$6+ROW()-1,설정!$L$30)),INDEX(원자료_시장!$A$1:$BZ$1000,설정!$L$6+ROW()-1,설정!$L$30),""),"")</f>
        <v>8.8</v>
      </c>
      <c r="I151" s="97" t="n">
        <f aca="false">IFERROR(IF(ISNUMBER(INDEX(원자료_시장!$A$1:$BZ$1000,설정!$L$6+ROW()-1,설정!$L$31)),INDEX(원자료_시장!$A$1:$BZ$1000,설정!$L$6+ROW()-1,설정!$L$31),""),"")</f>
        <v>5.5</v>
      </c>
      <c r="J151" s="97" t="n">
        <f aca="false">IFERROR(IF(ISNUMBER(INDEX(원자료_시장!$A$1:$BZ$1000,설정!$L$6+ROW()-1,설정!$L$32)),INDEX(원자료_시장!$A$1:$BZ$1000,설정!$L$6+ROW()-1,설정!$L$32),""),"")</f>
        <v>27.2</v>
      </c>
      <c r="K151" s="85" t="n">
        <f aca="false">IFERROR(IF(ISNUMBER(INDEX(원자료_시장!$A$1:$BZ$1000,설정!$L$6+ROW()-1,설정!$L$33)),INDEX(원자료_시장!$A$1:$BZ$1000,설정!$L$6+ROW()-1,설정!$L$33),""),"")</f>
        <v>4.21</v>
      </c>
      <c r="L151" s="83" t="str">
        <f aca="false">IFERROR(IF(INDEX(원자료_시장!$A$1:$BZ$1000,설정!$L$6+ROW()-1,설정!$L$34)&amp;""="0","",INDEX(원자료_시장!$A$1:$BZ$1000,설정!$L$6+ROW()-1,설정!$L$34)),"")</f>
        <v>통신</v>
      </c>
      <c r="M151" s="83" t="str">
        <f aca="false">IFERROR(IF(INDEX(원자료_시장!$A$1:$BZ$1000,설정!$L$6+ROW()-1,설정!$L$35)&amp;""="0","",INDEX(원자료_시장!$A$1:$BZ$1000,설정!$L$6+ROW()-1,설정!$L$35)),"")</f>
        <v>BBB</v>
      </c>
      <c r="N151" s="83" t="str">
        <f aca="false">IFERROR(IF(INDEX(원자료_시장!$A$1:$BZ$1000,설정!$L$6+ROW()-1,설정!$L$36)&amp;""="0","",INDEX(원자료_시장!$A$1:$BZ$1000,설정!$L$6+ROW()-1,설정!$L$36)),"")</f>
        <v>미국</v>
      </c>
      <c r="O151" s="43" t="str">
        <f aca="false">IF($A151="","",UPPER(LEFT($A151,FIND(" ",$A151&amp;" ")-1)))</f>
        <v>SPCX</v>
      </c>
      <c r="P151" s="43" t="str">
        <f aca="false">IF($A151="","",TRIM(RIGHT(SUBSTITUTE(TRIM($A151)," ",REPT(" ",30)),30)))</f>
        <v>07/15/31</v>
      </c>
      <c r="Q151" s="98" t="n">
        <f aca="false">IF($A151="","",IFERROR(DATE(IF(LEN(P151)=8,2000+VALUE(RIGHT(P151,2)),VALUE(RIGHT(P151,4))),VALUE(LEFT(P151,2)),VALUE(MID(P151,4,2))),""))</f>
        <v>48044</v>
      </c>
      <c r="R151" s="89" t="n">
        <f aca="false">IF($A151="",0,IF(ISNUMBER(SEARCH("Float",$A151)),1,0))</f>
        <v>0</v>
      </c>
      <c r="S151" s="43" t="str">
        <f aca="false">IF($A151="","",TRIM(MID($A151,LEN(O151)+2,LEN($A151)-LEN(O151)-LEN(P151)-1)))</f>
        <v>5.35</v>
      </c>
      <c r="T151" s="92" t="n">
        <f aca="false">IF(OR($A151="",R151=1),"",IFERROR(IF(ISNUMBER(FIND("/",S151)),IF(ISNUMBER(FIND(" ",S151)),VALUE(LEFT(S151,FIND(" ",S151)-1))+VALUE(MID(S151,FIND(" ",S151)+1,FIND("/",S151)-FIND(" ",S151)-1))/VALUE(MID(S151,FIND("/",S151)+1,9)),VALUE(LEFT(S151,FIND("/",S151)-1))/VALUE(MID(S151,FIND("/",S151)+1,9))),VALUE(S151)),""))</f>
        <v>5.35</v>
      </c>
      <c r="U151" s="43" t="str">
        <f aca="false">IF(OR($A151="",NOT(ISNUMBER(Q151))),"",TEXT(Q151,"yyyymmdd")&amp;"|"&amp;IF(R151=1,"F",TEXT(T151,"0.000")))</f>
        <v>20310715|5.350</v>
      </c>
      <c r="V151" s="43" t="str">
        <f aca="false">IF(U151="","",O151&amp;"|"&amp;U151)</f>
        <v>SPCX|20310715|5.350</v>
      </c>
      <c r="W151" s="43" t="str">
        <f aca="false">IF($A151="","",IFERROR(IF(VLOOKUP(O151,매핑!$A$4:$E$92,3,0)="","미분류",VLOOKUP(O151,매핑!$A$4:$E$92,3,0)),"미분류"))</f>
        <v>미국</v>
      </c>
      <c r="X151" s="89" t="n">
        <f aca="false">IF($A151="",0,IF(O151="T",1,0))</f>
        <v>0</v>
      </c>
      <c r="Y151" s="89" t="n">
        <f aca="false">IF($A151="",0,IF(AND(C151="USD",X151=0,ISNUMBER(E151),ISNUMBER(K151)),IF(K151&gt;=설정!$C$8,1,0),0))</f>
        <v>1</v>
      </c>
      <c r="Z151" s="43" t="str">
        <f aca="false">IF($A151="","",N151&amp;"|"&amp;L151)</f>
        <v>미국|통신</v>
      </c>
      <c r="AA151" s="92" t="n">
        <f aca="false">IF(Y151=1,LN(K151),0)</f>
        <v>1.43746264769429</v>
      </c>
      <c r="AB151" s="93" t="n">
        <f aca="false">IF(Y151=1,E151,0)</f>
        <v>144.658</v>
      </c>
      <c r="AC151" s="89" t="n">
        <f aca="false">IF(Y151=1,COUNTIFS($Z$2:$Z$601,Z151,$Y$2:$Y$601,1),0)</f>
        <v>2</v>
      </c>
      <c r="AD151" s="89" t="n">
        <f aca="false">IF(Y151=1,COUNTIFS($N$2:$N$601,N151,$Y$2:$Y$601,1),0)</f>
        <v>49</v>
      </c>
      <c r="AE151" s="43" t="str">
        <f aca="false">IF(Y151&lt;&gt;1,"",IF(AND(AC151&gt;=설정!$C$7,ISNUMBER(MATCH(Z151,피어커브!$A:$A,0))),Z151,IF(AND(AD151&gt;=설정!$C$7,ISNUMBER(MATCH(N151&amp;"|전체",피어커브!$A:$A,0))),N151&amp;"|전체","전체|전체")))</f>
        <v>미국|전체</v>
      </c>
      <c r="AF151" s="93" t="n">
        <f aca="false">IF(AE151="","",INDEX(피어커브!$K:$K,MATCH(AE151,피어커브!$A:$A,0)))</f>
        <v>38.8850847635948</v>
      </c>
      <c r="AG151" s="93" t="n">
        <f aca="false">IF(AE151="","",INDEX(피어커브!$J:$J,MATCH(AE151,피어커브!$A:$A,0)))</f>
        <v>28.847242144067</v>
      </c>
      <c r="AH151" s="93" t="n">
        <f aca="false">IF(AE151="","",INDEX(피어커브!$L:$L,MATCH(AE151,피어커브!$A:$A,0)))</f>
        <v>15.5242902098058</v>
      </c>
      <c r="AI151" s="93" t="n">
        <f aca="false">IF(AE151="","",AF151+AG151*AA151)</f>
        <v>80.3519178346836</v>
      </c>
      <c r="AJ151" s="96" t="n">
        <f aca="false">IF(AE151="","",E151-AI151)</f>
        <v>64.3060821653164</v>
      </c>
      <c r="AK151" s="95" t="n">
        <f aca="false">IF(AE151="","",IF(ISNUMBER(AH151),IF(AH151&gt;0,AJ151/AH151,""),""))</f>
        <v>4.1422880721914</v>
      </c>
      <c r="AL151" s="43" t="str">
        <f aca="false">IF(AK151="","-",IF(AK151&gt;=설정!$C$6,"Cheap",IF(AK151&lt;=-설정!$C$6,"Rich","Fair")))</f>
        <v>Cheap</v>
      </c>
      <c r="AM151" s="96" t="n">
        <f aca="false">IF(AE151="","",AJ151-AVERAGEIFS($AJ$2:$AJ$601,$B$2:$B$601,B151,$Y$2:$Y$601,1))</f>
        <v>0</v>
      </c>
      <c r="AN151" s="93" t="n">
        <f aca="false">IF(AE151="",0,IF(K151&gt;1+설정!$C$8,AG151*(AA151-LN(K151-1)),0))</f>
        <v>7.82313294176781</v>
      </c>
      <c r="AO151" s="99" t="n">
        <f aca="false">IF($A151="",0,SUMIFS(보유분석!$AA$2:$AA$801,보유분석!$AB$2:$AB$801,ROW(),보유분석!$AC$2:$AC$801,1))</f>
        <v>4.76132</v>
      </c>
      <c r="AP151" s="43" t="str">
        <f aca="false">IF($A151="","",TRIM(IF(R151=1,"FRN ","")&amp;IF(IFERROR(VLOOKUP(M151,설정!$A$15:$D$47,4,0),0)&gt;=10,IF(IFERROR(VLOOKUP(M151,설정!$A$15:$D$47,4,0),0)&lt;99,"BBB0미만 ",""),"")&amp;IF(OR(M151="",M151="NR"),"등급미입력 ","")&amp;IF(C151&lt;&gt;"USD","비USD ","")))</f>
        <v/>
      </c>
      <c r="AQ151" s="90" t="n">
        <f aca="false">IF(AND(Y151=1,AL151="Cheap"),IF(AND(ISERROR(SEARCH("FRN",AP151)),ISERROR(SEARCH("BBB0미만",AP151))),AK151+ROW()/1000000000,-999),-999)</f>
        <v>4.1422882231914</v>
      </c>
      <c r="AR151" s="92" t="n">
        <f aca="false">IF(AND(ISNUMBER(D151),ISNUMBER(K151)),D151+AN151*MAX(K151-1,0)/100,"")</f>
        <v>6.78412256743075</v>
      </c>
      <c r="AS151" s="93" t="n">
        <f aca="false">IF(AND(ISNUMBER(E151),ISNUMBER(K151)),IF(K151&gt;0,(E151+AN151*MAX(K151-1,0))/K151,""),"")</f>
        <v>40.3254766610629</v>
      </c>
      <c r="AT151" s="90" t="n">
        <f aca="false">IFERROR(IF(AND(Y151=1,ROW()&lt;&gt;스왑분석!$C$12+1,ABS(K151-INDEX($K$2:$K$601,스왑분석!$C$12))&lt;=스왑분석!$C$5,ISERROR(SEARCH("FRN",AP151)),ISERROR(SEARCH("BBB0미만",AP151))),IF(AND(OR(스왑분석!$C$6="N",L151=INDEX($L$2:$L$601,스왑분석!$C$12)),OR(스왑분석!$C$7="N",N151=INDEX($N$2:$N$601,스왑분석!$C$12)),OR(스왑분석!$C$8="N",AO151=0),E151-INDEX($E$2:$E$601,스왑분석!$C$12)&gt;=스왑분석!$C$9),E151-INDEX($E$2:$E$601,스왑분석!$C$12)+ROW()/1000000000,-999),-999),-999)</f>
        <v>96.166000151</v>
      </c>
      <c r="AU151" s="90" t="n">
        <f aca="false">IF(AND(Y151=1,AO151&gt;0,AL151="Rich"),-AK151+ROW()/1000000000,-999)</f>
        <v>-999</v>
      </c>
    </row>
    <row r="152" customFormat="false" ht="15" hidden="false" customHeight="false" outlineLevel="0" collapsed="false">
      <c r="A152" s="83" t="str">
        <f aca="false">IFERROR(IF(INDEX(원자료_시장!$A$1:$BZ$1000,설정!$L$6+ROW()-1,설정!$L$24)&amp;""="0","",INDEX(원자료_시장!$A$1:$BZ$1000,설정!$L$6+ROW()-1,설정!$L$24)),"")</f>
        <v>CITNAT 4 1/4 05/07/31</v>
      </c>
      <c r="B152" s="83" t="str">
        <f aca="false">IFERROR(IF(INDEX(원자료_시장!$A$1:$BZ$1000,설정!$L$6+ROW()-1,설정!$L$37)&amp;""="0","",INDEX(원자료_시장!$A$1:$BZ$1000,설정!$L$6+ROW()-1,설정!$L$37)),"")</f>
        <v>KOOKMIN BANK</v>
      </c>
      <c r="C152" s="83" t="str">
        <f aca="false">IFERROR(IF(INDEX(원자료_시장!$A$1:$BZ$1000,설정!$L$6+ROW()-1,설정!$L$25)&amp;""="0","",INDEX(원자료_시장!$A$1:$BZ$1000,설정!$L$6+ROW()-1,설정!$L$25)),"")</f>
        <v>USD</v>
      </c>
      <c r="D152" s="85" t="n">
        <f aca="false">IFERROR(IF(ISNUMBER(INDEX(원자료_시장!$A$1:$BZ$1000,설정!$L$6+ROW()-1,설정!$L$26)),INDEX(원자료_시장!$A$1:$BZ$1000,설정!$L$6+ROW()-1,설정!$L$26),""),"")</f>
        <v>5.462</v>
      </c>
      <c r="E152" s="97" t="n">
        <f aca="false">IFERROR(IF(ISNUMBER(INDEX(원자료_시장!$A$1:$BZ$1000,설정!$L$6+ROW()-1,설정!$L$27)),INDEX(원자료_시장!$A$1:$BZ$1000,설정!$L$6+ROW()-1,설정!$L$27),""),"")</f>
        <v>37.493</v>
      </c>
      <c r="F152" s="97" t="n">
        <f aca="false">IFERROR(IF(ISNUMBER(INDEX(원자료_시장!$A$1:$BZ$1000,설정!$L$6+ROW()-1,설정!$L$28)),INDEX(원자료_시장!$A$1:$BZ$1000,설정!$L$6+ROW()-1,설정!$L$28),""),"")</f>
        <v>71.094</v>
      </c>
      <c r="G152" s="97" t="n">
        <f aca="false">IFERROR(IF(ISNUMBER(INDEX(원자료_시장!$A$1:$BZ$1000,설정!$L$6+ROW()-1,설정!$L$29)),INDEX(원자료_시장!$A$1:$BZ$1000,설정!$L$6+ROW()-1,설정!$L$29),""),"")</f>
        <v>-0.1</v>
      </c>
      <c r="H152" s="97" t="n">
        <f aca="false">IFERROR(IF(ISNUMBER(INDEX(원자료_시장!$A$1:$BZ$1000,설정!$L$6+ROW()-1,설정!$L$30)),INDEX(원자료_시장!$A$1:$BZ$1000,설정!$L$6+ROW()-1,설정!$L$30),""),"")</f>
        <v>1.2</v>
      </c>
      <c r="I152" s="97" t="n">
        <f aca="false">IFERROR(IF(ISNUMBER(INDEX(원자료_시장!$A$1:$BZ$1000,설정!$L$6+ROW()-1,설정!$L$31)),INDEX(원자료_시장!$A$1:$BZ$1000,설정!$L$6+ROW()-1,설정!$L$31),""),"")</f>
        <v>2</v>
      </c>
      <c r="J152" s="97" t="n">
        <f aca="false">IFERROR(IF(ISNUMBER(INDEX(원자료_시장!$A$1:$BZ$1000,설정!$L$6+ROW()-1,설정!$L$32)),INDEX(원자료_시장!$A$1:$BZ$1000,설정!$L$6+ROW()-1,설정!$L$32),""),"")</f>
        <v>2.8</v>
      </c>
      <c r="K152" s="85" t="n">
        <f aca="false">IFERROR(IF(ISNUMBER(INDEX(원자료_시장!$A$1:$BZ$1000,설정!$L$6+ROW()-1,설정!$L$33)),INDEX(원자료_시장!$A$1:$BZ$1000,설정!$L$6+ROW()-1,설정!$L$33),""),"")</f>
        <v>4.139</v>
      </c>
      <c r="L152" s="83" t="str">
        <f aca="false">IFERROR(IF(INDEX(원자료_시장!$A$1:$BZ$1000,설정!$L$6+ROW()-1,설정!$L$34)&amp;""="0","",INDEX(원자료_시장!$A$1:$BZ$1000,설정!$L$6+ROW()-1,설정!$L$34)),"")</f>
        <v>금융기관</v>
      </c>
      <c r="M152" s="83" t="str">
        <f aca="false">IFERROR(IF(INDEX(원자료_시장!$A$1:$BZ$1000,설정!$L$6+ROW()-1,설정!$L$35)&amp;""="0","",INDEX(원자료_시장!$A$1:$BZ$1000,설정!$L$6+ROW()-1,설정!$L$35)),"")</f>
        <v>A+</v>
      </c>
      <c r="N152" s="83" t="str">
        <f aca="false">IFERROR(IF(INDEX(원자료_시장!$A$1:$BZ$1000,설정!$L$6+ROW()-1,설정!$L$36)&amp;""="0","",INDEX(원자료_시장!$A$1:$BZ$1000,설정!$L$6+ROW()-1,설정!$L$36)),"")</f>
        <v>아시아/기타</v>
      </c>
      <c r="O152" s="43" t="str">
        <f aca="false">IF($A152="","",UPPER(LEFT($A152,FIND(" ",$A152&amp;" ")-1)))</f>
        <v>CITNAT</v>
      </c>
      <c r="P152" s="43" t="str">
        <f aca="false">IF($A152="","",TRIM(RIGHT(SUBSTITUTE(TRIM($A152)," ",REPT(" ",30)),30)))</f>
        <v>05/07/31</v>
      </c>
      <c r="Q152" s="98" t="n">
        <f aca="false">IF($A152="","",IFERROR(DATE(IF(LEN(P152)=8,2000+VALUE(RIGHT(P152,2)),VALUE(RIGHT(P152,4))),VALUE(LEFT(P152,2)),VALUE(MID(P152,4,2))),""))</f>
        <v>47975</v>
      </c>
      <c r="R152" s="89" t="n">
        <f aca="false">IF($A152="",0,IF(ISNUMBER(SEARCH("Float",$A152)),1,0))</f>
        <v>0</v>
      </c>
      <c r="S152" s="43" t="str">
        <f aca="false">IF($A152="","",TRIM(MID($A152,LEN(O152)+2,LEN($A152)-LEN(O152)-LEN(P152)-1)))</f>
        <v>4 1/4</v>
      </c>
      <c r="T152" s="92" t="n">
        <f aca="false">IF(OR($A152="",R152=1),"",IFERROR(IF(ISNUMBER(FIND("/",S152)),IF(ISNUMBER(FIND(" ",S152)),VALUE(LEFT(S152,FIND(" ",S152)-1))+VALUE(MID(S152,FIND(" ",S152)+1,FIND("/",S152)-FIND(" ",S152)-1))/VALUE(MID(S152,FIND("/",S152)+1,9)),VALUE(LEFT(S152,FIND("/",S152)-1))/VALUE(MID(S152,FIND("/",S152)+1,9))),VALUE(S152)),""))</f>
        <v>4.25</v>
      </c>
      <c r="U152" s="43" t="str">
        <f aca="false">IF(OR($A152="",NOT(ISNUMBER(Q152))),"",TEXT(Q152,"yyyymmdd")&amp;"|"&amp;IF(R152=1,"F",TEXT(T152,"0.000")))</f>
        <v>20310507|4.250</v>
      </c>
      <c r="V152" s="43" t="str">
        <f aca="false">IF(U152="","",O152&amp;"|"&amp;U152)</f>
        <v>CITNAT|20310507|4.250</v>
      </c>
      <c r="W152" s="43" t="str">
        <f aca="false">IF($A152="","",IFERROR(IF(VLOOKUP(O152,매핑!$A$4:$E$92,3,0)="","미분류",VLOOKUP(O152,매핑!$A$4:$E$92,3,0)),"미분류"))</f>
        <v>한국</v>
      </c>
      <c r="X152" s="89" t="n">
        <f aca="false">IF($A152="",0,IF(O152="T",1,0))</f>
        <v>0</v>
      </c>
      <c r="Y152" s="89" t="n">
        <f aca="false">IF($A152="",0,IF(AND(C152="USD",X152=0,ISNUMBER(E152),ISNUMBER(K152)),IF(K152&gt;=설정!$C$8,1,0),0))</f>
        <v>1</v>
      </c>
      <c r="Z152" s="43" t="str">
        <f aca="false">IF($A152="","",N152&amp;"|"&amp;L152)</f>
        <v>아시아/기타|금융기관</v>
      </c>
      <c r="AA152" s="92" t="n">
        <f aca="false">IF(Y152=1,LN(K152),0)</f>
        <v>1.4204542127666</v>
      </c>
      <c r="AB152" s="93" t="n">
        <f aca="false">IF(Y152=1,E152,0)</f>
        <v>37.493</v>
      </c>
      <c r="AC152" s="89" t="n">
        <f aca="false">IF(Y152=1,COUNTIFS($Z$2:$Z$601,Z152,$Y$2:$Y$601,1),0)</f>
        <v>42</v>
      </c>
      <c r="AD152" s="89" t="n">
        <f aca="false">IF(Y152=1,COUNTIFS($N$2:$N$601,N152,$Y$2:$Y$601,1),0)</f>
        <v>137</v>
      </c>
      <c r="AE152" s="43" t="str">
        <f aca="false">IF(Y152&lt;&gt;1,"",IF(AND(AC152&gt;=설정!$C$7,ISNUMBER(MATCH(Z152,피어커브!$A:$A,0))),Z152,IF(AND(AD152&gt;=설정!$C$7,ISNUMBER(MATCH(N152&amp;"|전체",피어커브!$A:$A,0))),N152&amp;"|전체","전체|전체")))</f>
        <v>아시아/기타|금융기관</v>
      </c>
      <c r="AF152" s="93" t="n">
        <f aca="false">IF(AE152="","",INDEX(피어커브!$K:$K,MATCH(AE152,피어커브!$A:$A,0)))</f>
        <v>50.117430292991</v>
      </c>
      <c r="AG152" s="93" t="n">
        <f aca="false">IF(AE152="","",INDEX(피어커브!$J:$J,MATCH(AE152,피어커브!$A:$A,0)))</f>
        <v>13.9183160321618</v>
      </c>
      <c r="AH152" s="93" t="n">
        <f aca="false">IF(AE152="","",INDEX(피어커브!$L:$L,MATCH(AE152,피어커브!$A:$A,0)))</f>
        <v>20.4735875466442</v>
      </c>
      <c r="AI152" s="93" t="n">
        <f aca="false">IF(AE152="","",AF152+AG152*AA152)</f>
        <v>69.8877609354921</v>
      </c>
      <c r="AJ152" s="96" t="n">
        <f aca="false">IF(AE152="","",E152-AI152)</f>
        <v>-32.3947609354921</v>
      </c>
      <c r="AK152" s="95" t="n">
        <f aca="false">IF(AE152="","",IF(ISNUMBER(AH152),IF(AH152&gt;0,AJ152/AH152,""),""))</f>
        <v>-1.58227085808427</v>
      </c>
      <c r="AL152" s="43" t="str">
        <f aca="false">IF(AK152="","-",IF(AK152&gt;=설정!$C$6,"Cheap",IF(AK152&lt;=-설정!$C$6,"Rich","Fair")))</f>
        <v>Rich</v>
      </c>
      <c r="AM152" s="96" t="n">
        <f aca="false">IF(AE152="","",AJ152-AVERAGEIFS($AJ$2:$AJ$601,$B$2:$B$601,B152,$Y$2:$Y$601,1))</f>
        <v>-23.5526368943088</v>
      </c>
      <c r="AN152" s="93" t="n">
        <f aca="false">IF(AE152="",0,IF(K152&gt;1+설정!$C$8,AG152*(AA152-LN(K152-1)),0))</f>
        <v>3.84910939270633</v>
      </c>
      <c r="AO152" s="99" t="n">
        <f aca="false">IF($A152="",0,SUMIFS(보유분석!$AA$2:$AA$801,보유분석!$AB$2:$AB$801,ROW(),보유분석!$AC$2:$AC$801,1))</f>
        <v>0</v>
      </c>
      <c r="AP152" s="43" t="str">
        <f aca="false">IF($A152="","",TRIM(IF(R152=1,"FRN ","")&amp;IF(IFERROR(VLOOKUP(M152,설정!$A$15:$D$47,4,0),0)&gt;=10,IF(IFERROR(VLOOKUP(M152,설정!$A$15:$D$47,4,0),0)&lt;99,"BBB0미만 ",""),"")&amp;IF(OR(M152="",M152="NR"),"등급미입력 ","")&amp;IF(C152&lt;&gt;"USD","비USD ","")))</f>
        <v/>
      </c>
      <c r="AQ152" s="90" t="n">
        <f aca="false">IF(AND(Y152=1,AL152="Cheap"),IF(AND(ISERROR(SEARCH("FRN",AP152)),ISERROR(SEARCH("BBB0미만",AP152))),AK152+ROW()/1000000000,-999),-999)</f>
        <v>-999</v>
      </c>
      <c r="AR152" s="92" t="n">
        <f aca="false">IF(AND(ISNUMBER(D152),ISNUMBER(K152)),D152+AN152*MAX(K152-1,0)/100,"")</f>
        <v>5.58282354383705</v>
      </c>
      <c r="AS152" s="93" t="n">
        <f aca="false">IF(AND(ISNUMBER(E152),ISNUMBER(K152)),IF(K152&gt;0,(E152+AN152*MAX(K152-1,0))/K152,""),"")</f>
        <v>11.9776164251522</v>
      </c>
      <c r="AT152" s="90" t="n">
        <f aca="false">IFERROR(IF(AND(Y152=1,ROW()&lt;&gt;스왑분석!$C$12+1,ABS(K152-INDEX($K$2:$K$601,스왑분석!$C$12))&lt;=스왑분석!$C$5,ISERROR(SEARCH("FRN",AP152)),ISERROR(SEARCH("BBB0미만",AP152))),IF(AND(OR(스왑분석!$C$6="N",L152=INDEX($L$2:$L$601,스왑분석!$C$12)),OR(스왑분석!$C$7="N",N152=INDEX($N$2:$N$601,스왑분석!$C$12)),OR(스왑분석!$C$8="N",AO152=0),E152-INDEX($E$2:$E$601,스왑분석!$C$12)&gt;=스왑분석!$C$9),E152-INDEX($E$2:$E$601,스왑분석!$C$12)+ROW()/1000000000,-999),-999),-999)</f>
        <v>-999</v>
      </c>
      <c r="AU152" s="90" t="n">
        <f aca="false">IF(AND(Y152=1,AO152&gt;0,AL152="Rich"),-AK152+ROW()/1000000000,-999)</f>
        <v>-999</v>
      </c>
    </row>
    <row r="153" customFormat="false" ht="15" hidden="false" customHeight="false" outlineLevel="0" collapsed="false">
      <c r="A153" s="83" t="str">
        <f aca="false">IFERROR(IF(INDEX(원자료_시장!$A$1:$BZ$1000,설정!$L$6+ROW()-1,설정!$L$24)&amp;""="0","",INDEX(원자료_시장!$A$1:$BZ$1000,설정!$L$6+ROW()-1,설정!$L$24)),"")</f>
        <v>EIBKOR 4 04/09/31</v>
      </c>
      <c r="B153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153" s="83" t="str">
        <f aca="false">IFERROR(IF(INDEX(원자료_시장!$A$1:$BZ$1000,설정!$L$6+ROW()-1,설정!$L$25)&amp;""="0","",INDEX(원자료_시장!$A$1:$BZ$1000,설정!$L$6+ROW()-1,설정!$L$25)),"")</f>
        <v>USD</v>
      </c>
      <c r="D153" s="85" t="n">
        <f aca="false">IFERROR(IF(ISNUMBER(INDEX(원자료_시장!$A$1:$BZ$1000,설정!$L$6+ROW()-1,설정!$L$26)),INDEX(원자료_시장!$A$1:$BZ$1000,설정!$L$6+ROW()-1,설정!$L$26),""),"")</f>
        <v>5.267</v>
      </c>
      <c r="E153" s="97" t="n">
        <f aca="false">IFERROR(IF(ISNUMBER(INDEX(원자료_시장!$A$1:$BZ$1000,설정!$L$6+ROW()-1,설정!$L$27)),INDEX(원자료_시장!$A$1:$BZ$1000,설정!$L$6+ROW()-1,설정!$L$27),""),"")</f>
        <v>17.98</v>
      </c>
      <c r="F153" s="97" t="n">
        <f aca="false">IFERROR(IF(ISNUMBER(INDEX(원자료_시장!$A$1:$BZ$1000,설정!$L$6+ROW()-1,설정!$L$28)),INDEX(원자료_시장!$A$1:$BZ$1000,설정!$L$6+ROW()-1,설정!$L$28),""),"")</f>
        <v>51.65</v>
      </c>
      <c r="G153" s="97" t="n">
        <f aca="false">IFERROR(IF(ISNUMBER(INDEX(원자료_시장!$A$1:$BZ$1000,설정!$L$6+ROW()-1,설정!$L$29)),INDEX(원자료_시장!$A$1:$BZ$1000,설정!$L$6+ROW()-1,설정!$L$29),""),"")</f>
        <v>-0.8</v>
      </c>
      <c r="H153" s="97" t="n">
        <f aca="false">IFERROR(IF(ISNUMBER(INDEX(원자료_시장!$A$1:$BZ$1000,설정!$L$6+ROW()-1,설정!$L$30)),INDEX(원자료_시장!$A$1:$BZ$1000,설정!$L$6+ROW()-1,설정!$L$30),""),"")</f>
        <v>0.6</v>
      </c>
      <c r="I153" s="97" t="n">
        <f aca="false">IFERROR(IF(ISNUMBER(INDEX(원자료_시장!$A$1:$BZ$1000,설정!$L$6+ROW()-1,설정!$L$31)),INDEX(원자료_시장!$A$1:$BZ$1000,설정!$L$6+ROW()-1,설정!$L$31),""),"")</f>
        <v>0.8</v>
      </c>
      <c r="J153" s="97" t="n">
        <f aca="false">IFERROR(IF(ISNUMBER(INDEX(원자료_시장!$A$1:$BZ$1000,설정!$L$6+ROW()-1,설정!$L$32)),INDEX(원자료_시장!$A$1:$BZ$1000,설정!$L$6+ROW()-1,설정!$L$32),""),"")</f>
        <v>4.4</v>
      </c>
      <c r="K153" s="85" t="n">
        <f aca="false">IFERROR(IF(ISNUMBER(INDEX(원자료_시장!$A$1:$BZ$1000,설정!$L$6+ROW()-1,설정!$L$33)),INDEX(원자료_시장!$A$1:$BZ$1000,설정!$L$6+ROW()-1,설정!$L$33),""),"")</f>
        <v>4.086</v>
      </c>
      <c r="L153" s="83" t="str">
        <f aca="false">IFERROR(IF(INDEX(원자료_시장!$A$1:$BZ$1000,설정!$L$6+ROW()-1,설정!$L$34)&amp;""="0","",INDEX(원자료_시장!$A$1:$BZ$1000,설정!$L$6+ROW()-1,설정!$L$34)),"")</f>
        <v>정부</v>
      </c>
      <c r="M153" s="83" t="n">
        <f aca="false">IFERROR(IF(INDEX(원자료_시장!$A$1:$BZ$1000,설정!$L$6+ROW()-1,설정!$L$35)&amp;""="0","",INDEX(원자료_시장!$A$1:$BZ$1000,설정!$L$6+ROW()-1,설정!$L$35)),"")</f>
        <v>0</v>
      </c>
      <c r="N153" s="83" t="str">
        <f aca="false">IFERROR(IF(INDEX(원자료_시장!$A$1:$BZ$1000,설정!$L$6+ROW()-1,설정!$L$36)&amp;""="0","",INDEX(원자료_시장!$A$1:$BZ$1000,설정!$L$6+ROW()-1,설정!$L$36)),"")</f>
        <v>아시아/기타</v>
      </c>
      <c r="O153" s="43" t="str">
        <f aca="false">IF($A153="","",UPPER(LEFT($A153,FIND(" ",$A153&amp;" ")-1)))</f>
        <v>EIBKOR</v>
      </c>
      <c r="P153" s="43" t="str">
        <f aca="false">IF($A153="","",TRIM(RIGHT(SUBSTITUTE(TRIM($A153)," ",REPT(" ",30)),30)))</f>
        <v>04/09/31</v>
      </c>
      <c r="Q153" s="98" t="n">
        <f aca="false">IF($A153="","",IFERROR(DATE(IF(LEN(P153)=8,2000+VALUE(RIGHT(P153,2)),VALUE(RIGHT(P153,4))),VALUE(LEFT(P153,2)),VALUE(MID(P153,4,2))),""))</f>
        <v>47947</v>
      </c>
      <c r="R153" s="89" t="n">
        <f aca="false">IF($A153="",0,IF(ISNUMBER(SEARCH("Float",$A153)),1,0))</f>
        <v>0</v>
      </c>
      <c r="S153" s="43" t="str">
        <f aca="false">IF($A153="","",TRIM(MID($A153,LEN(O153)+2,LEN($A153)-LEN(O153)-LEN(P153)-1)))</f>
        <v>4</v>
      </c>
      <c r="T153" s="92" t="n">
        <f aca="false">IF(OR($A153="",R153=1),"",IFERROR(IF(ISNUMBER(FIND("/",S153)),IF(ISNUMBER(FIND(" ",S153)),VALUE(LEFT(S153,FIND(" ",S153)-1))+VALUE(MID(S153,FIND(" ",S153)+1,FIND("/",S153)-FIND(" ",S153)-1))/VALUE(MID(S153,FIND("/",S153)+1,9)),VALUE(LEFT(S153,FIND("/",S153)-1))/VALUE(MID(S153,FIND("/",S153)+1,9))),VALUE(S153)),""))</f>
        <v>4</v>
      </c>
      <c r="U153" s="43" t="str">
        <f aca="false">IF(OR($A153="",NOT(ISNUMBER(Q153))),"",TEXT(Q153,"yyyymmdd")&amp;"|"&amp;IF(R153=1,"F",TEXT(T153,"0.000")))</f>
        <v>20310409|4.000</v>
      </c>
      <c r="V153" s="43" t="str">
        <f aca="false">IF(U153="","",O153&amp;"|"&amp;U153)</f>
        <v>EIBKOR|20310409|4.000</v>
      </c>
      <c r="W153" s="43" t="str">
        <f aca="false">IF($A153="","",IFERROR(IF(VLOOKUP(O153,매핑!$A$4:$E$92,3,0)="","미분류",VLOOKUP(O153,매핑!$A$4:$E$92,3,0)),"미분류"))</f>
        <v>한국</v>
      </c>
      <c r="X153" s="89" t="n">
        <f aca="false">IF($A153="",0,IF(O153="T",1,0))</f>
        <v>0</v>
      </c>
      <c r="Y153" s="89" t="n">
        <f aca="false">IF($A153="",0,IF(AND(C153="USD",X153=0,ISNUMBER(E153),ISNUMBER(K153)),IF(K153&gt;=설정!$C$8,1,0),0))</f>
        <v>1</v>
      </c>
      <c r="Z153" s="43" t="str">
        <f aca="false">IF($A153="","",N153&amp;"|"&amp;L153)</f>
        <v>아시아/기타|정부</v>
      </c>
      <c r="AA153" s="92" t="n">
        <f aca="false">IF(Y153=1,LN(K153),0)</f>
        <v>1.40756649639543</v>
      </c>
      <c r="AB153" s="93" t="n">
        <f aca="false">IF(Y153=1,E153,0)</f>
        <v>17.98</v>
      </c>
      <c r="AC153" s="89" t="n">
        <f aca="false">IF(Y153=1,COUNTIFS($Z$2:$Z$601,Z153,$Y$2:$Y$601,1),0)</f>
        <v>51</v>
      </c>
      <c r="AD153" s="89" t="n">
        <f aca="false">IF(Y153=1,COUNTIFS($N$2:$N$601,N153,$Y$2:$Y$601,1),0)</f>
        <v>137</v>
      </c>
      <c r="AE153" s="43" t="str">
        <f aca="false">IF(Y153&lt;&gt;1,"",IF(AND(AC153&gt;=설정!$C$7,ISNUMBER(MATCH(Z153,피어커브!$A:$A,0))),Z153,IF(AND(AD153&gt;=설정!$C$7,ISNUMBER(MATCH(N153&amp;"|전체",피어커브!$A:$A,0))),N153&amp;"|전체","전체|전체")))</f>
        <v>아시아/기타|정부</v>
      </c>
      <c r="AF153" s="93" t="n">
        <f aca="false">IF(AE153="","",INDEX(피어커브!$K:$K,MATCH(AE153,피어커브!$A:$A,0)))</f>
        <v>-1.54860147302313</v>
      </c>
      <c r="AG153" s="93" t="n">
        <f aca="false">IF(AE153="","",INDEX(피어커브!$J:$J,MATCH(AE153,피어커브!$A:$A,0)))</f>
        <v>19.8674994409945</v>
      </c>
      <c r="AH153" s="93" t="n">
        <f aca="false">IF(AE153="","",INDEX(피어커브!$L:$L,MATCH(AE153,피어커브!$A:$A,0)))</f>
        <v>13.6930241146778</v>
      </c>
      <c r="AI153" s="93" t="n">
        <f aca="false">IF(AE153="","",AF153+AG153*AA153)</f>
        <v>26.4162251072757</v>
      </c>
      <c r="AJ153" s="96" t="n">
        <f aca="false">IF(AE153="","",E153-AI153)</f>
        <v>-8.43622510727574</v>
      </c>
      <c r="AK153" s="95" t="n">
        <f aca="false">IF(AE153="","",IF(ISNUMBER(AH153),IF(AH153&gt;0,AJ153/AH153,""),""))</f>
        <v>-0.616096563960096</v>
      </c>
      <c r="AL153" s="43" t="str">
        <f aca="false">IF(AK153="","-",IF(AK153&gt;=설정!$C$6,"Cheap",IF(AK153&lt;=-설정!$C$6,"Rich","Fair")))</f>
        <v>Fair</v>
      </c>
      <c r="AM153" s="96" t="n">
        <f aca="false">IF(AE153="","",AJ153-AVERAGEIFS($AJ$2:$AJ$601,$B$2:$B$601,B153,$Y$2:$Y$601,1))</f>
        <v>3.18996395211605</v>
      </c>
      <c r="AN153" s="93" t="n">
        <f aca="false">IF(AE153="",0,IF(K153&gt;1+설정!$C$8,AG153*(AA153-LN(K153-1)),0))</f>
        <v>5.57662316880635</v>
      </c>
      <c r="AO153" s="99" t="n">
        <f aca="false">IF($A153="",0,SUMIFS(보유분석!$AA$2:$AA$801,보유분석!$AB$2:$AB$801,ROW(),보유분석!$AC$2:$AC$801,1))</f>
        <v>0</v>
      </c>
      <c r="AP153" s="43" t="str">
        <f aca="false">IF($A153="","",TRIM(IF(R153=1,"FRN ","")&amp;IF(IFERROR(VLOOKUP(M153,설정!$A$15:$D$47,4,0),0)&gt;=10,IF(IFERROR(VLOOKUP(M153,설정!$A$15:$D$47,4,0),0)&lt;99,"BBB0미만 ",""),"")&amp;IF(OR(M153="",M153="NR"),"등급미입력 ","")&amp;IF(C153&lt;&gt;"USD","비USD ","")))</f>
        <v>등급미입력</v>
      </c>
      <c r="AQ153" s="90" t="n">
        <f aca="false">IF(AND(Y153=1,AL153="Cheap"),IF(AND(ISERROR(SEARCH("FRN",AP153)),ISERROR(SEARCH("BBB0미만",AP153))),AK153+ROW()/1000000000,-999),-999)</f>
        <v>-999</v>
      </c>
      <c r="AR153" s="92" t="n">
        <f aca="false">IF(AND(ISNUMBER(D153),ISNUMBER(K153)),D153+AN153*MAX(K153-1,0)/100,"")</f>
        <v>5.43909459098936</v>
      </c>
      <c r="AS153" s="93" t="n">
        <f aca="false">IF(AND(ISNUMBER(E153),ISNUMBER(K153)),IF(K153&gt;0,(E153+AN153*MAX(K153-1,0))/K153,""),"")</f>
        <v>8.61220242264719</v>
      </c>
      <c r="AT153" s="90" t="n">
        <f aca="false">IFERROR(IF(AND(Y153=1,ROW()&lt;&gt;스왑분석!$C$12+1,ABS(K153-INDEX($K$2:$K$601,스왑분석!$C$12))&lt;=스왑분석!$C$5,ISERROR(SEARCH("FRN",AP153)),ISERROR(SEARCH("BBB0미만",AP153))),IF(AND(OR(스왑분석!$C$6="N",L153=INDEX($L$2:$L$601,스왑분석!$C$12)),OR(스왑분석!$C$7="N",N153=INDEX($N$2:$N$601,스왑분석!$C$12)),OR(스왑분석!$C$8="N",AO153=0),E153-INDEX($E$2:$E$601,스왑분석!$C$12)&gt;=스왑분석!$C$9),E153-INDEX($E$2:$E$601,스왑분석!$C$12)+ROW()/1000000000,-999),-999),-999)</f>
        <v>-999</v>
      </c>
      <c r="AU153" s="90" t="n">
        <f aca="false">IF(AND(Y153=1,AO153&gt;0,AL153="Rich"),-AK153+ROW()/1000000000,-999)</f>
        <v>-999</v>
      </c>
    </row>
    <row r="154" customFormat="false" ht="15" hidden="false" customHeight="false" outlineLevel="0" collapsed="false">
      <c r="A154" s="83" t="str">
        <f aca="false">IFERROR(IF(INDEX(원자료_시장!$A$1:$BZ$1000,설정!$L$6+ROW()-1,설정!$L$24)&amp;""="0","",INDEX(원자료_시장!$A$1:$BZ$1000,설정!$L$6+ROW()-1,설정!$L$24)),"")</f>
        <v>GSCCOR 5 3/8 08/07/28</v>
      </c>
      <c r="B154" s="83" t="str">
        <f aca="false">IFERROR(IF(INDEX(원자료_시장!$A$1:$BZ$1000,설정!$L$6+ROW()-1,설정!$L$37)&amp;""="0","",INDEX(원자료_시장!$A$1:$BZ$1000,설정!$L$6+ROW()-1,설정!$L$37)),"")</f>
        <v>GS CALTEX CORP</v>
      </c>
      <c r="C154" s="83" t="str">
        <f aca="false">IFERROR(IF(INDEX(원자료_시장!$A$1:$BZ$1000,설정!$L$6+ROW()-1,설정!$L$25)&amp;""="0","",INDEX(원자료_시장!$A$1:$BZ$1000,설정!$L$6+ROW()-1,설정!$L$25)),"")</f>
        <v>USD</v>
      </c>
      <c r="D154" s="85" t="n">
        <f aca="false">IFERROR(IF(ISNUMBER(INDEX(원자료_시장!$A$1:$BZ$1000,설정!$L$6+ROW()-1,설정!$L$26)),INDEX(원자료_시장!$A$1:$BZ$1000,설정!$L$6+ROW()-1,설정!$L$26),""),"")</f>
        <v>5.465</v>
      </c>
      <c r="E154" s="97" t="n">
        <f aca="false">IFERROR(IF(ISNUMBER(INDEX(원자료_시장!$A$1:$BZ$1000,설정!$L$6+ROW()-1,설정!$L$27)),INDEX(원자료_시장!$A$1:$BZ$1000,설정!$L$6+ROW()-1,설정!$L$27),""),"")</f>
        <v>57.597</v>
      </c>
      <c r="F154" s="97" t="n">
        <f aca="false">IFERROR(IF(ISNUMBER(INDEX(원자료_시장!$A$1:$BZ$1000,설정!$L$6+ROW()-1,설정!$L$28)),INDEX(원자료_시장!$A$1:$BZ$1000,설정!$L$6+ROW()-1,설정!$L$28),""),"")</f>
        <v>79.703</v>
      </c>
      <c r="G154" s="97" t="n">
        <f aca="false">IFERROR(IF(ISNUMBER(INDEX(원자료_시장!$A$1:$BZ$1000,설정!$L$6+ROW()-1,설정!$L$29)),INDEX(원자료_시장!$A$1:$BZ$1000,설정!$L$6+ROW()-1,설정!$L$29),""),"")</f>
        <v>0.4</v>
      </c>
      <c r="H154" s="97" t="n">
        <f aca="false">IFERROR(IF(ISNUMBER(INDEX(원자료_시장!$A$1:$BZ$1000,설정!$L$6+ROW()-1,설정!$L$30)),INDEX(원자료_시장!$A$1:$BZ$1000,설정!$L$6+ROW()-1,설정!$L$30),""),"")</f>
        <v>6.1</v>
      </c>
      <c r="I154" s="97" t="n">
        <f aca="false">IFERROR(IF(ISNUMBER(INDEX(원자료_시장!$A$1:$BZ$1000,설정!$L$6+ROW()-1,설정!$L$31)),INDEX(원자료_시장!$A$1:$BZ$1000,설정!$L$6+ROW()-1,설정!$L$31),""),"")</f>
        <v>1.1</v>
      </c>
      <c r="J154" s="97" t="n">
        <f aca="false">IFERROR(IF(ISNUMBER(INDEX(원자료_시장!$A$1:$BZ$1000,설정!$L$6+ROW()-1,설정!$L$32)),INDEX(원자료_시장!$A$1:$BZ$1000,설정!$L$6+ROW()-1,설정!$L$32),""),"")</f>
        <v>3.2</v>
      </c>
      <c r="K154" s="85" t="n">
        <f aca="false">IFERROR(IF(ISNUMBER(INDEX(원자료_시장!$A$1:$BZ$1000,설정!$L$6+ROW()-1,설정!$L$33)),INDEX(원자료_시장!$A$1:$BZ$1000,설정!$L$6+ROW()-1,설정!$L$33),""),"")</f>
        <v>1.77</v>
      </c>
      <c r="L154" s="83" t="str">
        <f aca="false">IFERROR(IF(INDEX(원자료_시장!$A$1:$BZ$1000,설정!$L$6+ROW()-1,설정!$L$34)&amp;""="0","",INDEX(원자료_시장!$A$1:$BZ$1000,설정!$L$6+ROW()-1,설정!$L$34)),"")</f>
        <v>에너지</v>
      </c>
      <c r="M154" s="83" t="str">
        <f aca="false">IFERROR(IF(INDEX(원자료_시장!$A$1:$BZ$1000,설정!$L$6+ROW()-1,설정!$L$35)&amp;""="0","",INDEX(원자료_시장!$A$1:$BZ$1000,설정!$L$6+ROW()-1,설정!$L$35)),"")</f>
        <v>BBB+</v>
      </c>
      <c r="N154" s="83" t="str">
        <f aca="false">IFERROR(IF(INDEX(원자료_시장!$A$1:$BZ$1000,설정!$L$6+ROW()-1,설정!$L$36)&amp;""="0","",INDEX(원자료_시장!$A$1:$BZ$1000,설정!$L$6+ROW()-1,설정!$L$36)),"")</f>
        <v>아시아/기타</v>
      </c>
      <c r="O154" s="43" t="str">
        <f aca="false">IF($A154="","",UPPER(LEFT($A154,FIND(" ",$A154&amp;" ")-1)))</f>
        <v>GSCCOR</v>
      </c>
      <c r="P154" s="43" t="str">
        <f aca="false">IF($A154="","",TRIM(RIGHT(SUBSTITUTE(TRIM($A154)," ",REPT(" ",30)),30)))</f>
        <v>08/07/28</v>
      </c>
      <c r="Q154" s="98" t="n">
        <f aca="false">IF($A154="","",IFERROR(DATE(IF(LEN(P154)=8,2000+VALUE(RIGHT(P154,2)),VALUE(RIGHT(P154,4))),VALUE(LEFT(P154,2)),VALUE(MID(P154,4,2))),""))</f>
        <v>46972</v>
      </c>
      <c r="R154" s="89" t="n">
        <f aca="false">IF($A154="",0,IF(ISNUMBER(SEARCH("Float",$A154)),1,0))</f>
        <v>0</v>
      </c>
      <c r="S154" s="43" t="str">
        <f aca="false">IF($A154="","",TRIM(MID($A154,LEN(O154)+2,LEN($A154)-LEN(O154)-LEN(P154)-1)))</f>
        <v>5 3/8</v>
      </c>
      <c r="T154" s="92" t="n">
        <f aca="false">IF(OR($A154="",R154=1),"",IFERROR(IF(ISNUMBER(FIND("/",S154)),IF(ISNUMBER(FIND(" ",S154)),VALUE(LEFT(S154,FIND(" ",S154)-1))+VALUE(MID(S154,FIND(" ",S154)+1,FIND("/",S154)-FIND(" ",S154)-1))/VALUE(MID(S154,FIND("/",S154)+1,9)),VALUE(LEFT(S154,FIND("/",S154)-1))/VALUE(MID(S154,FIND("/",S154)+1,9))),VALUE(S154)),""))</f>
        <v>5.375</v>
      </c>
      <c r="U154" s="43" t="str">
        <f aca="false">IF(OR($A154="",NOT(ISNUMBER(Q154))),"",TEXT(Q154,"yyyymmdd")&amp;"|"&amp;IF(R154=1,"F",TEXT(T154,"0.000")))</f>
        <v>20280807|5.375</v>
      </c>
      <c r="V154" s="43" t="str">
        <f aca="false">IF(U154="","",O154&amp;"|"&amp;U154)</f>
        <v>GSCCOR|20280807|5.375</v>
      </c>
      <c r="W154" s="43" t="str">
        <f aca="false">IF($A154="","",IFERROR(IF(VLOOKUP(O154,매핑!$A$4:$E$92,3,0)="","미분류",VLOOKUP(O154,매핑!$A$4:$E$92,3,0)),"미분류"))</f>
        <v>한국</v>
      </c>
      <c r="X154" s="89" t="n">
        <f aca="false">IF($A154="",0,IF(O154="T",1,0))</f>
        <v>0</v>
      </c>
      <c r="Y154" s="89" t="n">
        <f aca="false">IF($A154="",0,IF(AND(C154="USD",X154=0,ISNUMBER(E154),ISNUMBER(K154)),IF(K154&gt;=설정!$C$8,1,0),0))</f>
        <v>1</v>
      </c>
      <c r="Z154" s="43" t="str">
        <f aca="false">IF($A154="","",N154&amp;"|"&amp;L154)</f>
        <v>아시아/기타|에너지</v>
      </c>
      <c r="AA154" s="92" t="n">
        <f aca="false">IF(Y154=1,LN(K154),0)</f>
        <v>0.570979546585738</v>
      </c>
      <c r="AB154" s="93" t="n">
        <f aca="false">IF(Y154=1,E154,0)</f>
        <v>57.597</v>
      </c>
      <c r="AC154" s="89" t="n">
        <f aca="false">IF(Y154=1,COUNTIFS($Z$2:$Z$601,Z154,$Y$2:$Y$601,1),0)</f>
        <v>2</v>
      </c>
      <c r="AD154" s="89" t="n">
        <f aca="false">IF(Y154=1,COUNTIFS($N$2:$N$601,N154,$Y$2:$Y$601,1),0)</f>
        <v>137</v>
      </c>
      <c r="AE154" s="43" t="str">
        <f aca="false">IF(Y154&lt;&gt;1,"",IF(AND(AC154&gt;=설정!$C$7,ISNUMBER(MATCH(Z154,피어커브!$A:$A,0))),Z154,IF(AND(AD154&gt;=설정!$C$7,ISNUMBER(MATCH(N154&amp;"|전체",피어커브!$A:$A,0))),N154&amp;"|전체","전체|전체")))</f>
        <v>아시아/기타|전체</v>
      </c>
      <c r="AF154" s="93" t="n">
        <f aca="false">IF(AE154="","",INDEX(피어커브!$K:$K,MATCH(AE154,피어커브!$A:$A,0)))</f>
        <v>19.1102274022067</v>
      </c>
      <c r="AG154" s="93" t="n">
        <f aca="false">IF(AE154="","",INDEX(피어커브!$J:$J,MATCH(AE154,피어커브!$A:$A,0)))</f>
        <v>26.6985069081074</v>
      </c>
      <c r="AH154" s="93" t="n">
        <f aca="false">IF(AE154="","",INDEX(피어커브!$L:$L,MATCH(AE154,피어커브!$A:$A,0)))</f>
        <v>27.5778213758018</v>
      </c>
      <c r="AI154" s="93" t="n">
        <f aca="false">IF(AE154="","",AF154+AG154*AA154)</f>
        <v>34.3545287711141</v>
      </c>
      <c r="AJ154" s="96" t="n">
        <f aca="false">IF(AE154="","",E154-AI154)</f>
        <v>23.2424712288859</v>
      </c>
      <c r="AK154" s="95" t="n">
        <f aca="false">IF(AE154="","",IF(ISNUMBER(AH154),IF(AH154&gt;0,AJ154/AH154,""),""))</f>
        <v>0.842795770998795</v>
      </c>
      <c r="AL154" s="43" t="str">
        <f aca="false">IF(AK154="","-",IF(AK154&gt;=설정!$C$6,"Cheap",IF(AK154&lt;=-설정!$C$6,"Rich","Fair")))</f>
        <v>Fair</v>
      </c>
      <c r="AM154" s="96" t="n">
        <f aca="false">IF(AE154="","",AJ154-AVERAGEIFS($AJ$2:$AJ$601,$B$2:$B$601,B154,$Y$2:$Y$601,1))</f>
        <v>8.28482959047402</v>
      </c>
      <c r="AN154" s="93" t="n">
        <f aca="false">IF(AE154="",0,IF(K154&gt;1+설정!$C$8,AG154*(AA154-LN(K154-1)),0))</f>
        <v>22.2223503296857</v>
      </c>
      <c r="AO154" s="99" t="n">
        <f aca="false">IF($A154="",0,SUMIFS(보유분석!$AA$2:$AA$801,보유분석!$AB$2:$AB$801,ROW(),보유분석!$AC$2:$AC$801,1))</f>
        <v>4.993915</v>
      </c>
      <c r="AP154" s="43" t="str">
        <f aca="false">IF($A154="","",TRIM(IF(R154=1,"FRN ","")&amp;IF(IFERROR(VLOOKUP(M154,설정!$A$15:$D$47,4,0),0)&gt;=10,IF(IFERROR(VLOOKUP(M154,설정!$A$15:$D$47,4,0),0)&lt;99,"BBB0미만 ",""),"")&amp;IF(OR(M154="",M154="NR"),"등급미입력 ","")&amp;IF(C154&lt;&gt;"USD","비USD ","")))</f>
        <v/>
      </c>
      <c r="AQ154" s="90" t="n">
        <f aca="false">IF(AND(Y154=1,AL154="Cheap"),IF(AND(ISERROR(SEARCH("FRN",AP154)),ISERROR(SEARCH("BBB0미만",AP154))),AK154+ROW()/1000000000,-999),-999)</f>
        <v>-999</v>
      </c>
      <c r="AR154" s="92" t="n">
        <f aca="false">IF(AND(ISNUMBER(D154),ISNUMBER(K154)),D154+AN154*MAX(K154-1,0)/100,"")</f>
        <v>5.63611209753858</v>
      </c>
      <c r="AS154" s="93" t="n">
        <f aca="false">IF(AND(ISNUMBER(E154),ISNUMBER(K154)),IF(K154&gt;0,(E154+AN154*MAX(K154-1,0))/K154,""),"")</f>
        <v>42.2080281095243</v>
      </c>
      <c r="AT154" s="90" t="n">
        <f aca="false">IFERROR(IF(AND(Y154=1,ROW()&lt;&gt;스왑분석!$C$12+1,ABS(K154-INDEX($K$2:$K$601,스왑분석!$C$12))&lt;=스왑분석!$C$5,ISERROR(SEARCH("FRN",AP154)),ISERROR(SEARCH("BBB0미만",AP154))),IF(AND(OR(스왑분석!$C$6="N",L154=INDEX($L$2:$L$601,스왑분석!$C$12)),OR(스왑분석!$C$7="N",N154=INDEX($N$2:$N$601,스왑분석!$C$12)),OR(스왑분석!$C$8="N",AO154=0),E154-INDEX($E$2:$E$601,스왑분석!$C$12)&gt;=스왑분석!$C$9),E154-INDEX($E$2:$E$601,스왑분석!$C$12)+ROW()/1000000000,-999),-999),-999)</f>
        <v>-999</v>
      </c>
      <c r="AU154" s="90" t="n">
        <f aca="false">IF(AND(Y154=1,AO154&gt;0,AL154="Rich"),-AK154+ROW()/1000000000,-999)</f>
        <v>-999</v>
      </c>
    </row>
    <row r="155" customFormat="false" ht="15" hidden="false" customHeight="false" outlineLevel="0" collapsed="false">
      <c r="A155" s="83" t="str">
        <f aca="false">IFERROR(IF(INDEX(원자료_시장!$A$1:$BZ$1000,설정!$L$6+ROW()-1,설정!$L$24)&amp;""="0","",INDEX(원자료_시장!$A$1:$BZ$1000,설정!$L$6+ROW()-1,설정!$L$24)),"")</f>
        <v>GSCCOR 4 1/4 10/28/30</v>
      </c>
      <c r="B155" s="83" t="str">
        <f aca="false">IFERROR(IF(INDEX(원자료_시장!$A$1:$BZ$1000,설정!$L$6+ROW()-1,설정!$L$37)&amp;""="0","",INDEX(원자료_시장!$A$1:$BZ$1000,설정!$L$6+ROW()-1,설정!$L$37)),"")</f>
        <v>GS CALTEX CORP</v>
      </c>
      <c r="C155" s="83" t="str">
        <f aca="false">IFERROR(IF(INDEX(원자료_시장!$A$1:$BZ$1000,설정!$L$6+ROW()-1,설정!$L$25)&amp;""="0","",INDEX(원자료_시장!$A$1:$BZ$1000,설정!$L$6+ROW()-1,설정!$L$25)),"")</f>
        <v>USD</v>
      </c>
      <c r="D155" s="85" t="n">
        <f aca="false">IFERROR(IF(ISNUMBER(INDEX(원자료_시장!$A$1:$BZ$1000,설정!$L$6+ROW()-1,설정!$L$26)),INDEX(원자료_시장!$A$1:$BZ$1000,설정!$L$6+ROW()-1,설정!$L$26),""),"")</f>
        <v>5.694</v>
      </c>
      <c r="E155" s="97" t="n">
        <f aca="false">IFERROR(IF(ISNUMBER(INDEX(원자료_시장!$A$1:$BZ$1000,설정!$L$6+ROW()-1,설정!$L$27)),INDEX(원자료_시장!$A$1:$BZ$1000,설정!$L$6+ROW()-1,설정!$L$27),""),"")</f>
        <v>60.728</v>
      </c>
      <c r="F155" s="97" t="n">
        <f aca="false">IFERROR(IF(ISNUMBER(INDEX(원자료_시장!$A$1:$BZ$1000,설정!$L$6+ROW()-1,설정!$L$28)),INDEX(원자료_시장!$A$1:$BZ$1000,설정!$L$6+ROW()-1,설정!$L$28),""),"")</f>
        <v>94.796</v>
      </c>
      <c r="G155" s="97" t="n">
        <f aca="false">IFERROR(IF(ISNUMBER(INDEX(원자료_시장!$A$1:$BZ$1000,설정!$L$6+ROW()-1,설정!$L$29)),INDEX(원자료_시장!$A$1:$BZ$1000,설정!$L$6+ROW()-1,설정!$L$29),""),"")</f>
        <v>-0.2</v>
      </c>
      <c r="H155" s="97" t="n">
        <f aca="false">IFERROR(IF(ISNUMBER(INDEX(원자료_시장!$A$1:$BZ$1000,설정!$L$6+ROW()-1,설정!$L$30)),INDEX(원자료_시장!$A$1:$BZ$1000,설정!$L$6+ROW()-1,설정!$L$30),""),"")</f>
        <v>3</v>
      </c>
      <c r="I155" s="97" t="n">
        <f aca="false">IFERROR(IF(ISNUMBER(INDEX(원자료_시장!$A$1:$BZ$1000,설정!$L$6+ROW()-1,설정!$L$31)),INDEX(원자료_시장!$A$1:$BZ$1000,설정!$L$6+ROW()-1,설정!$L$31),""),"")</f>
        <v>1.4</v>
      </c>
      <c r="J155" s="97" t="n">
        <f aca="false">IFERROR(IF(ISNUMBER(INDEX(원자료_시장!$A$1:$BZ$1000,설정!$L$6+ROW()-1,설정!$L$32)),INDEX(원자료_시장!$A$1:$BZ$1000,설정!$L$6+ROW()-1,설정!$L$32),""),"")</f>
        <v>1.1</v>
      </c>
      <c r="K155" s="85" t="n">
        <f aca="false">IFERROR(IF(ISNUMBER(INDEX(원자료_시장!$A$1:$BZ$1000,설정!$L$6+ROW()-1,설정!$L$33)),INDEX(원자료_시장!$A$1:$BZ$1000,설정!$L$6+ROW()-1,설정!$L$33),""),"")</f>
        <v>3.702</v>
      </c>
      <c r="L155" s="83" t="str">
        <f aca="false">IFERROR(IF(INDEX(원자료_시장!$A$1:$BZ$1000,설정!$L$6+ROW()-1,설정!$L$34)&amp;""="0","",INDEX(원자료_시장!$A$1:$BZ$1000,설정!$L$6+ROW()-1,설정!$L$34)),"")</f>
        <v>에너지</v>
      </c>
      <c r="M155" s="83" t="str">
        <f aca="false">IFERROR(IF(INDEX(원자료_시장!$A$1:$BZ$1000,설정!$L$6+ROW()-1,설정!$L$35)&amp;""="0","",INDEX(원자료_시장!$A$1:$BZ$1000,설정!$L$6+ROW()-1,설정!$L$35)),"")</f>
        <v>BBB+</v>
      </c>
      <c r="N155" s="83" t="str">
        <f aca="false">IFERROR(IF(INDEX(원자료_시장!$A$1:$BZ$1000,설정!$L$6+ROW()-1,설정!$L$36)&amp;""="0","",INDEX(원자료_시장!$A$1:$BZ$1000,설정!$L$6+ROW()-1,설정!$L$36)),"")</f>
        <v>아시아/기타</v>
      </c>
      <c r="O155" s="43" t="str">
        <f aca="false">IF($A155="","",UPPER(LEFT($A155,FIND(" ",$A155&amp;" ")-1)))</f>
        <v>GSCCOR</v>
      </c>
      <c r="P155" s="43" t="str">
        <f aca="false">IF($A155="","",TRIM(RIGHT(SUBSTITUTE(TRIM($A155)," ",REPT(" ",30)),30)))</f>
        <v>10/28/30</v>
      </c>
      <c r="Q155" s="98" t="n">
        <f aca="false">IF($A155="","",IFERROR(DATE(IF(LEN(P155)=8,2000+VALUE(RIGHT(P155,2)),VALUE(RIGHT(P155,4))),VALUE(LEFT(P155,2)),VALUE(MID(P155,4,2))),""))</f>
        <v>47784</v>
      </c>
      <c r="R155" s="89" t="n">
        <f aca="false">IF($A155="",0,IF(ISNUMBER(SEARCH("Float",$A155)),1,0))</f>
        <v>0</v>
      </c>
      <c r="S155" s="43" t="str">
        <f aca="false">IF($A155="","",TRIM(MID($A155,LEN(O155)+2,LEN($A155)-LEN(O155)-LEN(P155)-1)))</f>
        <v>4 1/4</v>
      </c>
      <c r="T155" s="92" t="n">
        <f aca="false">IF(OR($A155="",R155=1),"",IFERROR(IF(ISNUMBER(FIND("/",S155)),IF(ISNUMBER(FIND(" ",S155)),VALUE(LEFT(S155,FIND(" ",S155)-1))+VALUE(MID(S155,FIND(" ",S155)+1,FIND("/",S155)-FIND(" ",S155)-1))/VALUE(MID(S155,FIND("/",S155)+1,9)),VALUE(LEFT(S155,FIND("/",S155)-1))/VALUE(MID(S155,FIND("/",S155)+1,9))),VALUE(S155)),""))</f>
        <v>4.25</v>
      </c>
      <c r="U155" s="43" t="str">
        <f aca="false">IF(OR($A155="",NOT(ISNUMBER(Q155))),"",TEXT(Q155,"yyyymmdd")&amp;"|"&amp;IF(R155=1,"F",TEXT(T155,"0.000")))</f>
        <v>20301028|4.250</v>
      </c>
      <c r="V155" s="43" t="str">
        <f aca="false">IF(U155="","",O155&amp;"|"&amp;U155)</f>
        <v>GSCCOR|20301028|4.250</v>
      </c>
      <c r="W155" s="43" t="str">
        <f aca="false">IF($A155="","",IFERROR(IF(VLOOKUP(O155,매핑!$A$4:$E$92,3,0)="","미분류",VLOOKUP(O155,매핑!$A$4:$E$92,3,0)),"미분류"))</f>
        <v>한국</v>
      </c>
      <c r="X155" s="89" t="n">
        <f aca="false">IF($A155="",0,IF(O155="T",1,0))</f>
        <v>0</v>
      </c>
      <c r="Y155" s="89" t="n">
        <f aca="false">IF($A155="",0,IF(AND(C155="USD",X155=0,ISNUMBER(E155),ISNUMBER(K155)),IF(K155&gt;=설정!$C$8,1,0),0))</f>
        <v>1</v>
      </c>
      <c r="Z155" s="43" t="str">
        <f aca="false">IF($A155="","",N155&amp;"|"&amp;L155)</f>
        <v>아시아/기타|에너지</v>
      </c>
      <c r="AA155" s="92" t="n">
        <f aca="false">IF(Y155=1,LN(K155),0)</f>
        <v>1.30887321415131</v>
      </c>
      <c r="AB155" s="93" t="n">
        <f aca="false">IF(Y155=1,E155,0)</f>
        <v>60.728</v>
      </c>
      <c r="AC155" s="89" t="n">
        <f aca="false">IF(Y155=1,COUNTIFS($Z$2:$Z$601,Z155,$Y$2:$Y$601,1),0)</f>
        <v>2</v>
      </c>
      <c r="AD155" s="89" t="n">
        <f aca="false">IF(Y155=1,COUNTIFS($N$2:$N$601,N155,$Y$2:$Y$601,1),0)</f>
        <v>137</v>
      </c>
      <c r="AE155" s="43" t="str">
        <f aca="false">IF(Y155&lt;&gt;1,"",IF(AND(AC155&gt;=설정!$C$7,ISNUMBER(MATCH(Z155,피어커브!$A:$A,0))),Z155,IF(AND(AD155&gt;=설정!$C$7,ISNUMBER(MATCH(N155&amp;"|전체",피어커브!$A:$A,0))),N155&amp;"|전체","전체|전체")))</f>
        <v>아시아/기타|전체</v>
      </c>
      <c r="AF155" s="93" t="n">
        <f aca="false">IF(AE155="","",INDEX(피어커브!$K:$K,MATCH(AE155,피어커브!$A:$A,0)))</f>
        <v>19.1102274022067</v>
      </c>
      <c r="AG155" s="93" t="n">
        <f aca="false">IF(AE155="","",INDEX(피어커브!$J:$J,MATCH(AE155,피어커브!$A:$A,0)))</f>
        <v>26.6985069081074</v>
      </c>
      <c r="AH155" s="93" t="n">
        <f aca="false">IF(AE155="","",INDEX(피어커브!$L:$L,MATCH(AE155,피어커브!$A:$A,0)))</f>
        <v>27.5778213758018</v>
      </c>
      <c r="AI155" s="93" t="n">
        <f aca="false">IF(AE155="","",AF155+AG155*AA155)</f>
        <v>54.0551879520621</v>
      </c>
      <c r="AJ155" s="96" t="n">
        <f aca="false">IF(AE155="","",E155-AI155)</f>
        <v>6.67281204793792</v>
      </c>
      <c r="AK155" s="95" t="n">
        <f aca="false">IF(AE155="","",IF(ISNUMBER(AH155),IF(AH155&gt;0,AJ155/AH155,""),""))</f>
        <v>0.241962987467639</v>
      </c>
      <c r="AL155" s="43" t="str">
        <f aca="false">IF(AK155="","-",IF(AK155&gt;=설정!$C$6,"Cheap",IF(AK155&lt;=-설정!$C$6,"Rich","Fair")))</f>
        <v>Fair</v>
      </c>
      <c r="AM155" s="96" t="n">
        <f aca="false">IF(AE155="","",AJ155-AVERAGEIFS($AJ$2:$AJ$601,$B$2:$B$601,B155,$Y$2:$Y$601,1))</f>
        <v>-8.28482959047402</v>
      </c>
      <c r="AN155" s="93" t="n">
        <f aca="false">IF(AE155="",0,IF(K155&gt;1+설정!$C$8,AG155*(AA155-LN(K155-1)),0))</f>
        <v>8.40685187594475</v>
      </c>
      <c r="AO155" s="99" t="n">
        <f aca="false">IF($A155="",0,SUMIFS(보유분석!$AA$2:$AA$801,보유분석!$AB$2:$AB$801,ROW(),보유분석!$AC$2:$AC$801,1))</f>
        <v>2.373285</v>
      </c>
      <c r="AP155" s="43" t="str">
        <f aca="false">IF($A155="","",TRIM(IF(R155=1,"FRN ","")&amp;IF(IFERROR(VLOOKUP(M155,설정!$A$15:$D$47,4,0),0)&gt;=10,IF(IFERROR(VLOOKUP(M155,설정!$A$15:$D$47,4,0),0)&lt;99,"BBB0미만 ",""),"")&amp;IF(OR(M155="",M155="NR"),"등급미입력 ","")&amp;IF(C155&lt;&gt;"USD","비USD ","")))</f>
        <v/>
      </c>
      <c r="AQ155" s="90" t="n">
        <f aca="false">IF(AND(Y155=1,AL155="Cheap"),IF(AND(ISERROR(SEARCH("FRN",AP155)),ISERROR(SEARCH("BBB0미만",AP155))),AK155+ROW()/1000000000,-999),-999)</f>
        <v>-999</v>
      </c>
      <c r="AR155" s="92" t="n">
        <f aca="false">IF(AND(ISNUMBER(D155),ISNUMBER(K155)),D155+AN155*MAX(K155-1,0)/100,"")</f>
        <v>5.92115313768803</v>
      </c>
      <c r="AS155" s="93" t="n">
        <f aca="false">IF(AND(ISNUMBER(E155),ISNUMBER(K155)),IF(K155&gt;0,(E155+AN155*MAX(K155-1,0))/K155,""),"")</f>
        <v>22.5400631466242</v>
      </c>
      <c r="AT155" s="90" t="n">
        <f aca="false">IFERROR(IF(AND(Y155=1,ROW()&lt;&gt;스왑분석!$C$12+1,ABS(K155-INDEX($K$2:$K$601,스왑분석!$C$12))&lt;=스왑분석!$C$5,ISERROR(SEARCH("FRN",AP155)),ISERROR(SEARCH("BBB0미만",AP155))),IF(AND(OR(스왑분석!$C$6="N",L155=INDEX($L$2:$L$601,스왑분석!$C$12)),OR(스왑분석!$C$7="N",N155=INDEX($N$2:$N$601,스왑분석!$C$12)),OR(스왑분석!$C$8="N",AO155=0),E155-INDEX($E$2:$E$601,스왑분석!$C$12)&gt;=스왑분석!$C$9),E155-INDEX($E$2:$E$601,스왑분석!$C$12)+ROW()/1000000000,-999),-999),-999)</f>
        <v>12.236000155</v>
      </c>
      <c r="AU155" s="90" t="n">
        <f aca="false">IF(AND(Y155=1,AO155&gt;0,AL155="Rich"),-AK155+ROW()/1000000000,-999)</f>
        <v>-999</v>
      </c>
    </row>
    <row r="156" customFormat="false" ht="15" hidden="false" customHeight="false" outlineLevel="0" collapsed="false">
      <c r="A156" s="83" t="str">
        <f aca="false">IFERROR(IF(INDEX(원자료_시장!$A$1:$BZ$1000,설정!$L$6+ROW()-1,설정!$L$24)&amp;""="0","",INDEX(원자료_시장!$A$1:$BZ$1000,설정!$L$6+ROW()-1,설정!$L$24)),"")</f>
        <v>HYUCAP 5 1/4 01/22/28</v>
      </c>
      <c r="B156" s="83" t="str">
        <f aca="false">IFERROR(IF(INDEX(원자료_시장!$A$1:$BZ$1000,설정!$L$6+ROW()-1,설정!$L$37)&amp;""="0","",INDEX(원자료_시장!$A$1:$BZ$1000,설정!$L$6+ROW()-1,설정!$L$37)),"")</f>
        <v>HYUNDAI CAPITAL SERVICES</v>
      </c>
      <c r="C156" s="83" t="str">
        <f aca="false">IFERROR(IF(INDEX(원자료_시장!$A$1:$BZ$1000,설정!$L$6+ROW()-1,설정!$L$25)&amp;""="0","",INDEX(원자료_시장!$A$1:$BZ$1000,설정!$L$6+ROW()-1,설정!$L$25)),"")</f>
        <v>USD</v>
      </c>
      <c r="D156" s="85" t="n">
        <f aca="false">IFERROR(IF(ISNUMBER(INDEX(원자료_시장!$A$1:$BZ$1000,설정!$L$6+ROW()-1,설정!$L$26)),INDEX(원자료_시장!$A$1:$BZ$1000,설정!$L$6+ROW()-1,설정!$L$26),""),"")</f>
        <v>5.325</v>
      </c>
      <c r="E156" s="97" t="n">
        <f aca="false">IFERROR(IF(ISNUMBER(INDEX(원자료_시장!$A$1:$BZ$1000,설정!$L$6+ROW()-1,설정!$L$27)),INDEX(원자료_시장!$A$1:$BZ$1000,설정!$L$6+ROW()-1,설정!$L$27),""),"")</f>
        <v>43.538</v>
      </c>
      <c r="F156" s="97" t="n">
        <f aca="false">IFERROR(IF(ISNUMBER(INDEX(원자료_시장!$A$1:$BZ$1000,설정!$L$6+ROW()-1,설정!$L$28)),INDEX(원자료_시장!$A$1:$BZ$1000,설정!$L$6+ROW()-1,설정!$L$28),""),"")</f>
        <v>75.478</v>
      </c>
      <c r="G156" s="97" t="n">
        <f aca="false">IFERROR(IF(ISNUMBER(INDEX(원자료_시장!$A$1:$BZ$1000,설정!$L$6+ROW()-1,설정!$L$29)),INDEX(원자료_시장!$A$1:$BZ$1000,설정!$L$6+ROW()-1,설정!$L$29),""),"")</f>
        <v>1.4</v>
      </c>
      <c r="H156" s="97" t="n">
        <f aca="false">IFERROR(IF(ISNUMBER(INDEX(원자료_시장!$A$1:$BZ$1000,설정!$L$6+ROW()-1,설정!$L$30)),INDEX(원자료_시장!$A$1:$BZ$1000,설정!$L$6+ROW()-1,설정!$L$30),""),"")</f>
        <v>14.7</v>
      </c>
      <c r="I156" s="97" t="n">
        <f aca="false">IFERROR(IF(ISNUMBER(INDEX(원자료_시장!$A$1:$BZ$1000,설정!$L$6+ROW()-1,설정!$L$31)),INDEX(원자료_시장!$A$1:$BZ$1000,설정!$L$6+ROW()-1,설정!$L$31),""),"")</f>
        <v>0.8</v>
      </c>
      <c r="J156" s="97" t="n">
        <f aca="false">IFERROR(IF(ISNUMBER(INDEX(원자료_시장!$A$1:$BZ$1000,설정!$L$6+ROW()-1,설정!$L$32)),INDEX(원자료_시장!$A$1:$BZ$1000,설정!$L$6+ROW()-1,설정!$L$32),""),"")</f>
        <v>-11.9</v>
      </c>
      <c r="K156" s="85" t="n">
        <f aca="false">IFERROR(IF(ISNUMBER(INDEX(원자료_시장!$A$1:$BZ$1000,설정!$L$6+ROW()-1,설정!$L$33)),INDEX(원자료_시장!$A$1:$BZ$1000,설정!$L$6+ROW()-1,설정!$L$33),""),"")</f>
        <v>1.267</v>
      </c>
      <c r="L156" s="83" t="str">
        <f aca="false">IFERROR(IF(INDEX(원자료_시장!$A$1:$BZ$1000,설정!$L$6+ROW()-1,설정!$L$34)&amp;""="0","",INDEX(원자료_시장!$A$1:$BZ$1000,설정!$L$6+ROW()-1,설정!$L$34)),"")</f>
        <v>자유 소비재</v>
      </c>
      <c r="M156" s="83" t="n">
        <f aca="false">IFERROR(IF(INDEX(원자료_시장!$A$1:$BZ$1000,설정!$L$6+ROW()-1,설정!$L$35)&amp;""="0","",INDEX(원자료_시장!$A$1:$BZ$1000,설정!$L$6+ROW()-1,설정!$L$35)),"")</f>
        <v>0</v>
      </c>
      <c r="N156" s="83" t="str">
        <f aca="false">IFERROR(IF(INDEX(원자료_시장!$A$1:$BZ$1000,설정!$L$6+ROW()-1,설정!$L$36)&amp;""="0","",INDEX(원자료_시장!$A$1:$BZ$1000,설정!$L$6+ROW()-1,설정!$L$36)),"")</f>
        <v>아시아/기타</v>
      </c>
      <c r="O156" s="43" t="str">
        <f aca="false">IF($A156="","",UPPER(LEFT($A156,FIND(" ",$A156&amp;" ")-1)))</f>
        <v>HYUCAP</v>
      </c>
      <c r="P156" s="43" t="str">
        <f aca="false">IF($A156="","",TRIM(RIGHT(SUBSTITUTE(TRIM($A156)," ",REPT(" ",30)),30)))</f>
        <v>01/22/28</v>
      </c>
      <c r="Q156" s="98" t="n">
        <f aca="false">IF($A156="","",IFERROR(DATE(IF(LEN(P156)=8,2000+VALUE(RIGHT(P156,2)),VALUE(RIGHT(P156,4))),VALUE(LEFT(P156,2)),VALUE(MID(P156,4,2))),""))</f>
        <v>46774</v>
      </c>
      <c r="R156" s="89" t="n">
        <f aca="false">IF($A156="",0,IF(ISNUMBER(SEARCH("Float",$A156)),1,0))</f>
        <v>0</v>
      </c>
      <c r="S156" s="43" t="str">
        <f aca="false">IF($A156="","",TRIM(MID($A156,LEN(O156)+2,LEN($A156)-LEN(O156)-LEN(P156)-1)))</f>
        <v>5 1/4</v>
      </c>
      <c r="T156" s="92" t="n">
        <f aca="false">IF(OR($A156="",R156=1),"",IFERROR(IF(ISNUMBER(FIND("/",S156)),IF(ISNUMBER(FIND(" ",S156)),VALUE(LEFT(S156,FIND(" ",S156)-1))+VALUE(MID(S156,FIND(" ",S156)+1,FIND("/",S156)-FIND(" ",S156)-1))/VALUE(MID(S156,FIND("/",S156)+1,9)),VALUE(LEFT(S156,FIND("/",S156)-1))/VALUE(MID(S156,FIND("/",S156)+1,9))),VALUE(S156)),""))</f>
        <v>5.25</v>
      </c>
      <c r="U156" s="43" t="str">
        <f aca="false">IF(OR($A156="",NOT(ISNUMBER(Q156))),"",TEXT(Q156,"yyyymmdd")&amp;"|"&amp;IF(R156=1,"F",TEXT(T156,"0.000")))</f>
        <v>20280122|5.250</v>
      </c>
      <c r="V156" s="43" t="str">
        <f aca="false">IF(U156="","",O156&amp;"|"&amp;U156)</f>
        <v>HYUCAP|20280122|5.250</v>
      </c>
      <c r="W156" s="43" t="str">
        <f aca="false">IF($A156="","",IFERROR(IF(VLOOKUP(O156,매핑!$A$4:$E$92,3,0)="","미분류",VLOOKUP(O156,매핑!$A$4:$E$92,3,0)),"미분류"))</f>
        <v>한국</v>
      </c>
      <c r="X156" s="89" t="n">
        <f aca="false">IF($A156="",0,IF(O156="T",1,0))</f>
        <v>0</v>
      </c>
      <c r="Y156" s="89" t="n">
        <f aca="false">IF($A156="",0,IF(AND(C156="USD",X156=0,ISNUMBER(E156),ISNUMBER(K156)),IF(K156&gt;=설정!$C$8,1,0),0))</f>
        <v>1</v>
      </c>
      <c r="Z156" s="43" t="str">
        <f aca="false">IF($A156="","",N156&amp;"|"&amp;L156)</f>
        <v>아시아/기타|자유 소비재</v>
      </c>
      <c r="AA156" s="92" t="n">
        <f aca="false">IF(Y156=1,LN(K156),0)</f>
        <v>0.236651901339002</v>
      </c>
      <c r="AB156" s="93" t="n">
        <f aca="false">IF(Y156=1,E156,0)</f>
        <v>43.538</v>
      </c>
      <c r="AC156" s="89" t="n">
        <f aca="false">IF(Y156=1,COUNTIFS($Z$2:$Z$601,Z156,$Y$2:$Y$601,1),0)</f>
        <v>11</v>
      </c>
      <c r="AD156" s="89" t="n">
        <f aca="false">IF(Y156=1,COUNTIFS($N$2:$N$601,N156,$Y$2:$Y$601,1),0)</f>
        <v>137</v>
      </c>
      <c r="AE156" s="43" t="str">
        <f aca="false">IF(Y156&lt;&gt;1,"",IF(AND(AC156&gt;=설정!$C$7,ISNUMBER(MATCH(Z156,피어커브!$A:$A,0))),Z156,IF(AND(AD156&gt;=설정!$C$7,ISNUMBER(MATCH(N156&amp;"|전체",피어커브!$A:$A,0))),N156&amp;"|전체","전체|전체")))</f>
        <v>아시아/기타|자유 소비재</v>
      </c>
      <c r="AF156" s="93" t="n">
        <f aca="false">IF(AE156="","",INDEX(피어커브!$K:$K,MATCH(AE156,피어커브!$A:$A,0)))</f>
        <v>34.9855900051434</v>
      </c>
      <c r="AG156" s="93" t="n">
        <f aca="false">IF(AE156="","",INDEX(피어커브!$J:$J,MATCH(AE156,피어커브!$A:$A,0)))</f>
        <v>40.0993538941787</v>
      </c>
      <c r="AH156" s="93" t="n">
        <f aca="false">IF(AE156="","",INDEX(피어커브!$L:$L,MATCH(AE156,피어커브!$A:$A,0)))</f>
        <v>20.7149409525972</v>
      </c>
      <c r="AI156" s="93" t="n">
        <f aca="false">IF(AE156="","",AF156+AG156*AA156)</f>
        <v>44.4751783466663</v>
      </c>
      <c r="AJ156" s="96" t="n">
        <f aca="false">IF(AE156="","",E156-AI156)</f>
        <v>-0.937178346666286</v>
      </c>
      <c r="AK156" s="95" t="n">
        <f aca="false">IF(AE156="","",IF(ISNUMBER(AH156),IF(AH156&gt;0,AJ156/AH156,""),""))</f>
        <v>-0.0452416615046535</v>
      </c>
      <c r="AL156" s="43" t="str">
        <f aca="false">IF(AK156="","-",IF(AK156&gt;=설정!$C$6,"Cheap",IF(AK156&lt;=-설정!$C$6,"Rich","Fair")))</f>
        <v>Fair</v>
      </c>
      <c r="AM156" s="96" t="n">
        <f aca="false">IF(AE156="","",AJ156-AVERAGEIFS($AJ$2:$AJ$601,$B$2:$B$601,B156,$Y$2:$Y$601,1))</f>
        <v>0</v>
      </c>
      <c r="AN156" s="93" t="n">
        <f aca="false">IF(AE156="",0,IF(K156&gt;1+설정!$C$8,AG156*(AA156-LN(K156-1)),0))</f>
        <v>0</v>
      </c>
      <c r="AO156" s="99" t="n">
        <f aca="false">IF($A156="",0,SUMIFS(보유분석!$AA$2:$AA$801,보유분석!$AB$2:$AB$801,ROW(),보유분석!$AC$2:$AC$801,1))</f>
        <v>0.499426</v>
      </c>
      <c r="AP156" s="43" t="str">
        <f aca="false">IF($A156="","",TRIM(IF(R156=1,"FRN ","")&amp;IF(IFERROR(VLOOKUP(M156,설정!$A$15:$D$47,4,0),0)&gt;=10,IF(IFERROR(VLOOKUP(M156,설정!$A$15:$D$47,4,0),0)&lt;99,"BBB0미만 ",""),"")&amp;IF(OR(M156="",M156="NR"),"등급미입력 ","")&amp;IF(C156&lt;&gt;"USD","비USD ","")))</f>
        <v>등급미입력</v>
      </c>
      <c r="AQ156" s="90" t="n">
        <f aca="false">IF(AND(Y156=1,AL156="Cheap"),IF(AND(ISERROR(SEARCH("FRN",AP156)),ISERROR(SEARCH("BBB0미만",AP156))),AK156+ROW()/1000000000,-999),-999)</f>
        <v>-999</v>
      </c>
      <c r="AR156" s="92" t="n">
        <f aca="false">IF(AND(ISNUMBER(D156),ISNUMBER(K156)),D156+AN156*MAX(K156-1,0)/100,"")</f>
        <v>5.325</v>
      </c>
      <c r="AS156" s="93" t="n">
        <f aca="false">IF(AND(ISNUMBER(E156),ISNUMBER(K156)),IF(K156&gt;0,(E156+AN156*MAX(K156-1,0))/K156,""),"")</f>
        <v>34.3630623520126</v>
      </c>
      <c r="AT156" s="90" t="n">
        <f aca="false">IFERROR(IF(AND(Y156=1,ROW()&lt;&gt;스왑분석!$C$12+1,ABS(K156-INDEX($K$2:$K$601,스왑분석!$C$12))&lt;=스왑분석!$C$5,ISERROR(SEARCH("FRN",AP156)),ISERROR(SEARCH("BBB0미만",AP156))),IF(AND(OR(스왑분석!$C$6="N",L156=INDEX($L$2:$L$601,스왑분석!$C$12)),OR(스왑분석!$C$7="N",N156=INDEX($N$2:$N$601,스왑분석!$C$12)),OR(스왑분석!$C$8="N",AO156=0),E156-INDEX($E$2:$E$601,스왑분석!$C$12)&gt;=스왑분석!$C$9),E156-INDEX($E$2:$E$601,스왑분석!$C$12)+ROW()/1000000000,-999),-999),-999)</f>
        <v>-999</v>
      </c>
      <c r="AU156" s="90" t="n">
        <f aca="false">IF(AND(Y156=1,AO156&gt;0,AL156="Rich"),-AK156+ROW()/1000000000,-999)</f>
        <v>-999</v>
      </c>
    </row>
    <row r="157" customFormat="false" ht="15" hidden="false" customHeight="false" outlineLevel="0" collapsed="false">
      <c r="A157" s="83" t="str">
        <f aca="false">IFERROR(IF(INDEX(원자료_시장!$A$1:$BZ$1000,설정!$L$6+ROW()-1,설정!$L$24)&amp;""="0","",INDEX(원자료_시장!$A$1:$BZ$1000,설정!$L$6+ROW()-1,설정!$L$24)),"")</f>
        <v>KHFC 4 7/8 08/27/27</v>
      </c>
      <c r="B157" s="83" t="str">
        <f aca="false">IFERROR(IF(INDEX(원자료_시장!$A$1:$BZ$1000,설정!$L$6+ROW()-1,설정!$L$37)&amp;""="0","",INDEX(원자료_시장!$A$1:$BZ$1000,설정!$L$6+ROW()-1,설정!$L$37)),"")</f>
        <v>KOREA HOUSING FINANCE CO</v>
      </c>
      <c r="C157" s="83" t="str">
        <f aca="false">IFERROR(IF(INDEX(원자료_시장!$A$1:$BZ$1000,설정!$L$6+ROW()-1,설정!$L$25)&amp;""="0","",INDEX(원자료_시장!$A$1:$BZ$1000,설정!$L$6+ROW()-1,설정!$L$25)),"")</f>
        <v>USD</v>
      </c>
      <c r="D157" s="85" t="n">
        <f aca="false">IFERROR(IF(ISNUMBER(INDEX(원자료_시장!$A$1:$BZ$1000,설정!$L$6+ROW()-1,설정!$L$26)),INDEX(원자료_시장!$A$1:$BZ$1000,설정!$L$6+ROW()-1,설정!$L$26),""),"")</f>
        <v>4.825</v>
      </c>
      <c r="E157" s="97" t="n">
        <f aca="false">IFERROR(IF(ISNUMBER(INDEX(원자료_시장!$A$1:$BZ$1000,설정!$L$6+ROW()-1,설정!$L$27)),INDEX(원자료_시장!$A$1:$BZ$1000,설정!$L$6+ROW()-1,설정!$L$27),""),"")</f>
        <v>-6.459</v>
      </c>
      <c r="F157" s="97" t="n">
        <f aca="false">IFERROR(IF(ISNUMBER(INDEX(원자료_시장!$A$1:$BZ$1000,설정!$L$6+ROW()-1,설정!$L$28)),INDEX(원자료_시장!$A$1:$BZ$1000,설정!$L$6+ROW()-1,설정!$L$28),""),"")</f>
        <v>37.829</v>
      </c>
      <c r="G157" s="97" t="n">
        <f aca="false">IFERROR(IF(ISNUMBER(INDEX(원자료_시장!$A$1:$BZ$1000,설정!$L$6+ROW()-1,설정!$L$29)),INDEX(원자료_시장!$A$1:$BZ$1000,설정!$L$6+ROW()-1,설정!$L$29),""),"")</f>
        <v>0.6</v>
      </c>
      <c r="H157" s="97" t="n">
        <f aca="false">IFERROR(IF(ISNUMBER(INDEX(원자료_시장!$A$1:$BZ$1000,설정!$L$6+ROW()-1,설정!$L$30)),INDEX(원자료_시장!$A$1:$BZ$1000,설정!$L$6+ROW()-1,설정!$L$30),""),"")</f>
        <v>11.1</v>
      </c>
      <c r="I157" s="97" t="n">
        <f aca="false">IFERROR(IF(ISNUMBER(INDEX(원자료_시장!$A$1:$BZ$1000,설정!$L$6+ROW()-1,설정!$L$31)),INDEX(원자료_시장!$A$1:$BZ$1000,설정!$L$6+ROW()-1,설정!$L$31),""),"")</f>
        <v>-5.3</v>
      </c>
      <c r="J157" s="97" t="n">
        <f aca="false">IFERROR(IF(ISNUMBER(INDEX(원자료_시장!$A$1:$BZ$1000,설정!$L$6+ROW()-1,설정!$L$32)),INDEX(원자료_시장!$A$1:$BZ$1000,설정!$L$6+ROW()-1,설정!$L$32),""),"")</f>
        <v>-18.4</v>
      </c>
      <c r="K157" s="85" t="n">
        <f aca="false">IFERROR(IF(ISNUMBER(INDEX(원자료_시장!$A$1:$BZ$1000,설정!$L$6+ROW()-1,설정!$L$33)),INDEX(원자료_시장!$A$1:$BZ$1000,설정!$L$6+ROW()-1,설정!$L$33),""),"")</f>
        <v>0.891</v>
      </c>
      <c r="L157" s="83" t="str">
        <f aca="false">IFERROR(IF(INDEX(원자료_시장!$A$1:$BZ$1000,설정!$L$6+ROW()-1,설정!$L$34)&amp;""="0","",INDEX(원자료_시장!$A$1:$BZ$1000,설정!$L$6+ROW()-1,설정!$L$34)),"")</f>
        <v>정부</v>
      </c>
      <c r="M157" s="83" t="str">
        <f aca="false">IFERROR(IF(INDEX(원자료_시장!$A$1:$BZ$1000,설정!$L$6+ROW()-1,설정!$L$35)&amp;""="0","",INDEX(원자료_시장!$A$1:$BZ$1000,설정!$L$6+ROW()-1,설정!$L$35)),"")</f>
        <v>AA</v>
      </c>
      <c r="N157" s="83" t="str">
        <f aca="false">IFERROR(IF(INDEX(원자료_시장!$A$1:$BZ$1000,설정!$L$6+ROW()-1,설정!$L$36)&amp;""="0","",INDEX(원자료_시장!$A$1:$BZ$1000,설정!$L$6+ROW()-1,설정!$L$36)),"")</f>
        <v>아시아/기타</v>
      </c>
      <c r="O157" s="43" t="str">
        <f aca="false">IF($A157="","",UPPER(LEFT($A157,FIND(" ",$A157&amp;" ")-1)))</f>
        <v>KHFC</v>
      </c>
      <c r="P157" s="43" t="str">
        <f aca="false">IF($A157="","",TRIM(RIGHT(SUBSTITUTE(TRIM($A157)," ",REPT(" ",30)),30)))</f>
        <v>08/27/27</v>
      </c>
      <c r="Q157" s="98" t="n">
        <f aca="false">IF($A157="","",IFERROR(DATE(IF(LEN(P157)=8,2000+VALUE(RIGHT(P157,2)),VALUE(RIGHT(P157,4))),VALUE(LEFT(P157,2)),VALUE(MID(P157,4,2))),""))</f>
        <v>46626</v>
      </c>
      <c r="R157" s="89" t="n">
        <f aca="false">IF($A157="",0,IF(ISNUMBER(SEARCH("Float",$A157)),1,0))</f>
        <v>0</v>
      </c>
      <c r="S157" s="43" t="str">
        <f aca="false">IF($A157="","",TRIM(MID($A157,LEN(O157)+2,LEN($A157)-LEN(O157)-LEN(P157)-1)))</f>
        <v>4 7/8</v>
      </c>
      <c r="T157" s="92" t="n">
        <f aca="false">IF(OR($A157="",R157=1),"",IFERROR(IF(ISNUMBER(FIND("/",S157)),IF(ISNUMBER(FIND(" ",S157)),VALUE(LEFT(S157,FIND(" ",S157)-1))+VALUE(MID(S157,FIND(" ",S157)+1,FIND("/",S157)-FIND(" ",S157)-1))/VALUE(MID(S157,FIND("/",S157)+1,9)),VALUE(LEFT(S157,FIND("/",S157)-1))/VALUE(MID(S157,FIND("/",S157)+1,9))),VALUE(S157)),""))</f>
        <v>4.875</v>
      </c>
      <c r="U157" s="43" t="str">
        <f aca="false">IF(OR($A157="",NOT(ISNUMBER(Q157))),"",TEXT(Q157,"yyyymmdd")&amp;"|"&amp;IF(R157=1,"F",TEXT(T157,"0.000")))</f>
        <v>20270827|4.875</v>
      </c>
      <c r="V157" s="43" t="str">
        <f aca="false">IF(U157="","",O157&amp;"|"&amp;U157)</f>
        <v>KHFC|20270827|4.875</v>
      </c>
      <c r="W157" s="43" t="str">
        <f aca="false">IF($A157="","",IFERROR(IF(VLOOKUP(O157,매핑!$A$4:$E$92,3,0)="","미분류",VLOOKUP(O157,매핑!$A$4:$E$92,3,0)),"미분류"))</f>
        <v>한국</v>
      </c>
      <c r="X157" s="89" t="n">
        <f aca="false">IF($A157="",0,IF(O157="T",1,0))</f>
        <v>0</v>
      </c>
      <c r="Y157" s="89" t="n">
        <f aca="false">IF($A157="",0,IF(AND(C157="USD",X157=0,ISNUMBER(E157),ISNUMBER(K157)),IF(K157&gt;=설정!$C$8,1,0),0))</f>
        <v>1</v>
      </c>
      <c r="Z157" s="43" t="str">
        <f aca="false">IF($A157="","",N157&amp;"|"&amp;L157)</f>
        <v>아시아/기타|정부</v>
      </c>
      <c r="AA157" s="92" t="n">
        <f aca="false">IF(Y157=1,LN(K157),0)</f>
        <v>-0.115410851511328</v>
      </c>
      <c r="AB157" s="93" t="n">
        <f aca="false">IF(Y157=1,E157,0)</f>
        <v>-6.459</v>
      </c>
      <c r="AC157" s="89" t="n">
        <f aca="false">IF(Y157=1,COUNTIFS($Z$2:$Z$601,Z157,$Y$2:$Y$601,1),0)</f>
        <v>51</v>
      </c>
      <c r="AD157" s="89" t="n">
        <f aca="false">IF(Y157=1,COUNTIFS($N$2:$N$601,N157,$Y$2:$Y$601,1),0)</f>
        <v>137</v>
      </c>
      <c r="AE157" s="43" t="str">
        <f aca="false">IF(Y157&lt;&gt;1,"",IF(AND(AC157&gt;=설정!$C$7,ISNUMBER(MATCH(Z157,피어커브!$A:$A,0))),Z157,IF(AND(AD157&gt;=설정!$C$7,ISNUMBER(MATCH(N157&amp;"|전체",피어커브!$A:$A,0))),N157&amp;"|전체","전체|전체")))</f>
        <v>아시아/기타|정부</v>
      </c>
      <c r="AF157" s="93" t="n">
        <f aca="false">IF(AE157="","",INDEX(피어커브!$K:$K,MATCH(AE157,피어커브!$A:$A,0)))</f>
        <v>-1.54860147302313</v>
      </c>
      <c r="AG157" s="93" t="n">
        <f aca="false">IF(AE157="","",INDEX(피어커브!$J:$J,MATCH(AE157,피어커브!$A:$A,0)))</f>
        <v>19.8674994409945</v>
      </c>
      <c r="AH157" s="93" t="n">
        <f aca="false">IF(AE157="","",INDEX(피어커브!$L:$L,MATCH(AE157,피어커브!$A:$A,0)))</f>
        <v>13.6930241146778</v>
      </c>
      <c r="AI157" s="93" t="n">
        <f aca="false">IF(AE157="","",AF157+AG157*AA157)</f>
        <v>-3.84152650090914</v>
      </c>
      <c r="AJ157" s="96" t="n">
        <f aca="false">IF(AE157="","",E157-AI157)</f>
        <v>-2.61747349909086</v>
      </c>
      <c r="AK157" s="95" t="n">
        <f aca="false">IF(AE157="","",IF(ISNUMBER(AH157),IF(AH157&gt;0,AJ157/AH157,""),""))</f>
        <v>-0.191153793140928</v>
      </c>
      <c r="AL157" s="43" t="str">
        <f aca="false">IF(AK157="","-",IF(AK157&gt;=설정!$C$6,"Cheap",IF(AK157&lt;=-설정!$C$6,"Rich","Fair")))</f>
        <v>Fair</v>
      </c>
      <c r="AM157" s="96" t="n">
        <f aca="false">IF(AE157="","",AJ157-AVERAGEIFS($AJ$2:$AJ$601,$B$2:$B$601,B157,$Y$2:$Y$601,1))</f>
        <v>-1.21572340481777</v>
      </c>
      <c r="AN157" s="93" t="n">
        <f aca="false">IF(AE157="",0,IF(K157&gt;1+설정!$C$8,AG157*(AA157-LN(K157-1)),0))</f>
        <v>0</v>
      </c>
      <c r="AO157" s="99" t="n">
        <f aca="false">IF($A157="",0,SUMIFS(보유분석!$AA$2:$AA$801,보유분석!$AB$2:$AB$801,ROW(),보유분석!$AC$2:$AC$801,1))</f>
        <v>0</v>
      </c>
      <c r="AP157" s="43" t="str">
        <f aca="false">IF($A157="","",TRIM(IF(R157=1,"FRN ","")&amp;IF(IFERROR(VLOOKUP(M157,설정!$A$15:$D$47,4,0),0)&gt;=10,IF(IFERROR(VLOOKUP(M157,설정!$A$15:$D$47,4,0),0)&lt;99,"BBB0미만 ",""),"")&amp;IF(OR(M157="",M157="NR"),"등급미입력 ","")&amp;IF(C157&lt;&gt;"USD","비USD ","")))</f>
        <v/>
      </c>
      <c r="AQ157" s="90" t="n">
        <f aca="false">IF(AND(Y157=1,AL157="Cheap"),IF(AND(ISERROR(SEARCH("FRN",AP157)),ISERROR(SEARCH("BBB0미만",AP157))),AK157+ROW()/1000000000,-999),-999)</f>
        <v>-999</v>
      </c>
      <c r="AR157" s="92" t="n">
        <f aca="false">IF(AND(ISNUMBER(D157),ISNUMBER(K157)),D157+AN157*MAX(K157-1,0)/100,"")</f>
        <v>4.825</v>
      </c>
      <c r="AS157" s="93" t="n">
        <f aca="false">IF(AND(ISNUMBER(E157),ISNUMBER(K157)),IF(K157&gt;0,(E157+AN157*MAX(K157-1,0))/K157,""),"")</f>
        <v>-7.24915824915825</v>
      </c>
      <c r="AT157" s="90" t="n">
        <f aca="false">IFERROR(IF(AND(Y157=1,ROW()&lt;&gt;스왑분석!$C$12+1,ABS(K157-INDEX($K$2:$K$601,스왑분석!$C$12))&lt;=스왑분석!$C$5,ISERROR(SEARCH("FRN",AP157)),ISERROR(SEARCH("BBB0미만",AP157))),IF(AND(OR(스왑분석!$C$6="N",L157=INDEX($L$2:$L$601,스왑분석!$C$12)),OR(스왑분석!$C$7="N",N157=INDEX($N$2:$N$601,스왑분석!$C$12)),OR(스왑분석!$C$8="N",AO157=0),E157-INDEX($E$2:$E$601,스왑분석!$C$12)&gt;=스왑분석!$C$9),E157-INDEX($E$2:$E$601,스왑분석!$C$12)+ROW()/1000000000,-999),-999),-999)</f>
        <v>-999</v>
      </c>
      <c r="AU157" s="90" t="n">
        <f aca="false">IF(AND(Y157=1,AO157&gt;0,AL157="Rich"),-AK157+ROW()/1000000000,-999)</f>
        <v>-999</v>
      </c>
    </row>
    <row r="158" customFormat="false" ht="15" hidden="false" customHeight="false" outlineLevel="0" collapsed="false">
      <c r="A158" s="83" t="str">
        <f aca="false">IFERROR(IF(INDEX(원자료_시장!$A$1:$BZ$1000,설정!$L$6+ROW()-1,설정!$L$24)&amp;""="0","",INDEX(원자료_시장!$A$1:$BZ$1000,설정!$L$6+ROW()-1,설정!$L$24)),"")</f>
        <v>KHFC 5 1/8 01/21/30</v>
      </c>
      <c r="B158" s="83" t="str">
        <f aca="false">IFERROR(IF(INDEX(원자료_시장!$A$1:$BZ$1000,설정!$L$6+ROW()-1,설정!$L$37)&amp;""="0","",INDEX(원자료_시장!$A$1:$BZ$1000,설정!$L$6+ROW()-1,설정!$L$37)),"")</f>
        <v>KOREA HOUSING FINANCE CO</v>
      </c>
      <c r="C158" s="83" t="str">
        <f aca="false">IFERROR(IF(INDEX(원자료_시장!$A$1:$BZ$1000,설정!$L$6+ROW()-1,설정!$L$25)&amp;""="0","",INDEX(원자료_시장!$A$1:$BZ$1000,설정!$L$6+ROW()-1,설정!$L$25)),"")</f>
        <v>USD</v>
      </c>
      <c r="D158" s="85" t="n">
        <f aca="false">IFERROR(IF(ISNUMBER(INDEX(원자료_시장!$A$1:$BZ$1000,설정!$L$6+ROW()-1,설정!$L$26)),INDEX(원자료_시장!$A$1:$BZ$1000,설정!$L$6+ROW()-1,설정!$L$26),""),"")</f>
        <v>5.337</v>
      </c>
      <c r="E158" s="97" t="n">
        <f aca="false">IFERROR(IF(ISNUMBER(INDEX(원자료_시장!$A$1:$BZ$1000,설정!$L$6+ROW()-1,설정!$L$27)),INDEX(원자료_시장!$A$1:$BZ$1000,설정!$L$6+ROW()-1,설정!$L$27),""),"")</f>
        <v>25.028</v>
      </c>
      <c r="F158" s="97" t="n">
        <f aca="false">IFERROR(IF(ISNUMBER(INDEX(원자료_시장!$A$1:$BZ$1000,설정!$L$6+ROW()-1,설정!$L$28)),INDEX(원자료_시장!$A$1:$BZ$1000,설정!$L$6+ROW()-1,설정!$L$28),""),"")</f>
        <v>59.805</v>
      </c>
      <c r="G158" s="97" t="n">
        <f aca="false">IFERROR(IF(ISNUMBER(INDEX(원자료_시장!$A$1:$BZ$1000,설정!$L$6+ROW()-1,설정!$L$29)),INDEX(원자료_시장!$A$1:$BZ$1000,설정!$L$6+ROW()-1,설정!$L$29),""),"")</f>
        <v>0.5</v>
      </c>
      <c r="H158" s="97" t="n">
        <f aca="false">IFERROR(IF(ISNUMBER(INDEX(원자료_시장!$A$1:$BZ$1000,설정!$L$6+ROW()-1,설정!$L$30)),INDEX(원자료_시장!$A$1:$BZ$1000,설정!$L$6+ROW()-1,설정!$L$30),""),"")</f>
        <v>4.2</v>
      </c>
      <c r="I158" s="97" t="n">
        <f aca="false">IFERROR(IF(ISNUMBER(INDEX(원자료_시장!$A$1:$BZ$1000,설정!$L$6+ROW()-1,설정!$L$31)),INDEX(원자료_시장!$A$1:$BZ$1000,설정!$L$6+ROW()-1,설정!$L$31),""),"")</f>
        <v>3.1</v>
      </c>
      <c r="J158" s="97" t="n">
        <f aca="false">IFERROR(IF(ISNUMBER(INDEX(원자료_시장!$A$1:$BZ$1000,설정!$L$6+ROW()-1,설정!$L$32)),INDEX(원자료_시장!$A$1:$BZ$1000,설정!$L$6+ROW()-1,설정!$L$32),""),"")</f>
        <v>1</v>
      </c>
      <c r="K158" s="85" t="n">
        <f aca="false">IFERROR(IF(ISNUMBER(INDEX(원자료_시장!$A$1:$BZ$1000,설정!$L$6+ROW()-1,설정!$L$33)),INDEX(원자료_시장!$A$1:$BZ$1000,설정!$L$6+ROW()-1,설정!$L$33),""),"")</f>
        <v>3.05</v>
      </c>
      <c r="L158" s="83" t="str">
        <f aca="false">IFERROR(IF(INDEX(원자료_시장!$A$1:$BZ$1000,설정!$L$6+ROW()-1,설정!$L$34)&amp;""="0","",INDEX(원자료_시장!$A$1:$BZ$1000,설정!$L$6+ROW()-1,설정!$L$34)),"")</f>
        <v>정부</v>
      </c>
      <c r="M158" s="83" t="str">
        <f aca="false">IFERROR(IF(INDEX(원자료_시장!$A$1:$BZ$1000,설정!$L$6+ROW()-1,설정!$L$35)&amp;""="0","",INDEX(원자료_시장!$A$1:$BZ$1000,설정!$L$6+ROW()-1,설정!$L$35)),"")</f>
        <v>AA</v>
      </c>
      <c r="N158" s="83" t="str">
        <f aca="false">IFERROR(IF(INDEX(원자료_시장!$A$1:$BZ$1000,설정!$L$6+ROW()-1,설정!$L$36)&amp;""="0","",INDEX(원자료_시장!$A$1:$BZ$1000,설정!$L$6+ROW()-1,설정!$L$36)),"")</f>
        <v>아시아/기타</v>
      </c>
      <c r="O158" s="43" t="str">
        <f aca="false">IF($A158="","",UPPER(LEFT($A158,FIND(" ",$A158&amp;" ")-1)))</f>
        <v>KHFC</v>
      </c>
      <c r="P158" s="43" t="str">
        <f aca="false">IF($A158="","",TRIM(RIGHT(SUBSTITUTE(TRIM($A158)," ",REPT(" ",30)),30)))</f>
        <v>01/21/30</v>
      </c>
      <c r="Q158" s="98" t="n">
        <f aca="false">IF($A158="","",IFERROR(DATE(IF(LEN(P158)=8,2000+VALUE(RIGHT(P158,2)),VALUE(RIGHT(P158,4))),VALUE(LEFT(P158,2)),VALUE(MID(P158,4,2))),""))</f>
        <v>47504</v>
      </c>
      <c r="R158" s="89" t="n">
        <f aca="false">IF($A158="",0,IF(ISNUMBER(SEARCH("Float",$A158)),1,0))</f>
        <v>0</v>
      </c>
      <c r="S158" s="43" t="str">
        <f aca="false">IF($A158="","",TRIM(MID($A158,LEN(O158)+2,LEN($A158)-LEN(O158)-LEN(P158)-1)))</f>
        <v>5 1/8</v>
      </c>
      <c r="T158" s="92" t="n">
        <f aca="false">IF(OR($A158="",R158=1),"",IFERROR(IF(ISNUMBER(FIND("/",S158)),IF(ISNUMBER(FIND(" ",S158)),VALUE(LEFT(S158,FIND(" ",S158)-1))+VALUE(MID(S158,FIND(" ",S158)+1,FIND("/",S158)-FIND(" ",S158)-1))/VALUE(MID(S158,FIND("/",S158)+1,9)),VALUE(LEFT(S158,FIND("/",S158)-1))/VALUE(MID(S158,FIND("/",S158)+1,9))),VALUE(S158)),""))</f>
        <v>5.125</v>
      </c>
      <c r="U158" s="43" t="str">
        <f aca="false">IF(OR($A158="",NOT(ISNUMBER(Q158))),"",TEXT(Q158,"yyyymmdd")&amp;"|"&amp;IF(R158=1,"F",TEXT(T158,"0.000")))</f>
        <v>20300121|5.125</v>
      </c>
      <c r="V158" s="43" t="str">
        <f aca="false">IF(U158="","",O158&amp;"|"&amp;U158)</f>
        <v>KHFC|20300121|5.125</v>
      </c>
      <c r="W158" s="43" t="str">
        <f aca="false">IF($A158="","",IFERROR(IF(VLOOKUP(O158,매핑!$A$4:$E$92,3,0)="","미분류",VLOOKUP(O158,매핑!$A$4:$E$92,3,0)),"미분류"))</f>
        <v>한국</v>
      </c>
      <c r="X158" s="89" t="n">
        <f aca="false">IF($A158="",0,IF(O158="T",1,0))</f>
        <v>0</v>
      </c>
      <c r="Y158" s="89" t="n">
        <f aca="false">IF($A158="",0,IF(AND(C158="USD",X158=0,ISNUMBER(E158),ISNUMBER(K158)),IF(K158&gt;=설정!$C$8,1,0),0))</f>
        <v>1</v>
      </c>
      <c r="Z158" s="43" t="str">
        <f aca="false">IF($A158="","",N158&amp;"|"&amp;L158)</f>
        <v>아시아/기타|정부</v>
      </c>
      <c r="AA158" s="92" t="n">
        <f aca="false">IF(Y158=1,LN(K158),0)</f>
        <v>1.11514159061932</v>
      </c>
      <c r="AB158" s="93" t="n">
        <f aca="false">IF(Y158=1,E158,0)</f>
        <v>25.028</v>
      </c>
      <c r="AC158" s="89" t="n">
        <f aca="false">IF(Y158=1,COUNTIFS($Z$2:$Z$601,Z158,$Y$2:$Y$601,1),0)</f>
        <v>51</v>
      </c>
      <c r="AD158" s="89" t="n">
        <f aca="false">IF(Y158=1,COUNTIFS($N$2:$N$601,N158,$Y$2:$Y$601,1),0)</f>
        <v>137</v>
      </c>
      <c r="AE158" s="43" t="str">
        <f aca="false">IF(Y158&lt;&gt;1,"",IF(AND(AC158&gt;=설정!$C$7,ISNUMBER(MATCH(Z158,피어커브!$A:$A,0))),Z158,IF(AND(AD158&gt;=설정!$C$7,ISNUMBER(MATCH(N158&amp;"|전체",피어커브!$A:$A,0))),N158&amp;"|전체","전체|전체")))</f>
        <v>아시아/기타|정부</v>
      </c>
      <c r="AF158" s="93" t="n">
        <f aca="false">IF(AE158="","",INDEX(피어커브!$K:$K,MATCH(AE158,피어커브!$A:$A,0)))</f>
        <v>-1.54860147302313</v>
      </c>
      <c r="AG158" s="93" t="n">
        <f aca="false">IF(AE158="","",INDEX(피어커브!$J:$J,MATCH(AE158,피어커브!$A:$A,0)))</f>
        <v>19.8674994409945</v>
      </c>
      <c r="AH158" s="93" t="n">
        <f aca="false">IF(AE158="","",INDEX(피어커브!$L:$L,MATCH(AE158,피어커브!$A:$A,0)))</f>
        <v>13.6930241146778</v>
      </c>
      <c r="AI158" s="93" t="n">
        <f aca="false">IF(AE158="","",AF158+AG158*AA158)</f>
        <v>20.606473455236</v>
      </c>
      <c r="AJ158" s="96" t="n">
        <f aca="false">IF(AE158="","",E158-AI158)</f>
        <v>4.42152654476401</v>
      </c>
      <c r="AK158" s="95" t="n">
        <f aca="false">IF(AE158="","",IF(ISNUMBER(AH158),IF(AH158&gt;0,AJ158/AH158,""),""))</f>
        <v>0.322903582710009</v>
      </c>
      <c r="AL158" s="43" t="str">
        <f aca="false">IF(AK158="","-",IF(AK158&gt;=설정!$C$6,"Cheap",IF(AK158&lt;=-설정!$C$6,"Rich","Fair")))</f>
        <v>Fair</v>
      </c>
      <c r="AM158" s="96" t="n">
        <f aca="false">IF(AE158="","",AJ158-AVERAGEIFS($AJ$2:$AJ$601,$B$2:$B$601,B158,$Y$2:$Y$601,1))</f>
        <v>5.82327663903711</v>
      </c>
      <c r="AN158" s="93" t="n">
        <f aca="false">IF(AE158="",0,IF(K158&gt;1+설정!$C$8,AG158*(AA158-LN(K158-1)),0))</f>
        <v>7.89339323912156</v>
      </c>
      <c r="AO158" s="99" t="n">
        <f aca="false">IF($A158="",0,SUMIFS(보유분석!$AA$2:$AA$801,보유분석!$AB$2:$AB$801,ROW(),보유분석!$AC$2:$AC$801,1))</f>
        <v>0</v>
      </c>
      <c r="AP158" s="43" t="str">
        <f aca="false">IF($A158="","",TRIM(IF(R158=1,"FRN ","")&amp;IF(IFERROR(VLOOKUP(M158,설정!$A$15:$D$47,4,0),0)&gt;=10,IF(IFERROR(VLOOKUP(M158,설정!$A$15:$D$47,4,0),0)&lt;99,"BBB0미만 ",""),"")&amp;IF(OR(M158="",M158="NR"),"등급미입력 ","")&amp;IF(C158&lt;&gt;"USD","비USD ","")))</f>
        <v/>
      </c>
      <c r="AQ158" s="90" t="n">
        <f aca="false">IF(AND(Y158=1,AL158="Cheap"),IF(AND(ISERROR(SEARCH("FRN",AP158)),ISERROR(SEARCH("BBB0미만",AP158))),AK158+ROW()/1000000000,-999),-999)</f>
        <v>-999</v>
      </c>
      <c r="AR158" s="92" t="n">
        <f aca="false">IF(AND(ISNUMBER(D158),ISNUMBER(K158)),D158+AN158*MAX(K158-1,0)/100,"")</f>
        <v>5.49881456140199</v>
      </c>
      <c r="AS158" s="93" t="n">
        <f aca="false">IF(AND(ISNUMBER(E158),ISNUMBER(K158)),IF(K158&gt;0,(E158+AN158*MAX(K158-1,0))/K158,""),"")</f>
        <v>13.5112970951473</v>
      </c>
      <c r="AT158" s="90" t="n">
        <f aca="false">IFERROR(IF(AND(Y158=1,ROW()&lt;&gt;스왑분석!$C$12+1,ABS(K158-INDEX($K$2:$K$601,스왑분석!$C$12))&lt;=스왑분석!$C$5,ISERROR(SEARCH("FRN",AP158)),ISERROR(SEARCH("BBB0미만",AP158))),IF(AND(OR(스왑분석!$C$6="N",L158=INDEX($L$2:$L$601,스왑분석!$C$12)),OR(스왑분석!$C$7="N",N158=INDEX($N$2:$N$601,스왑분석!$C$12)),OR(스왑분석!$C$8="N",AO158=0),E158-INDEX($E$2:$E$601,스왑분석!$C$12)&gt;=스왑분석!$C$9),E158-INDEX($E$2:$E$601,스왑분석!$C$12)+ROW()/1000000000,-999),-999),-999)</f>
        <v>-999</v>
      </c>
      <c r="AU158" s="90" t="n">
        <f aca="false">IF(AND(Y158=1,AO158&gt;0,AL158="Rich"),-AK158+ROW()/1000000000,-999)</f>
        <v>-999</v>
      </c>
    </row>
    <row r="159" customFormat="false" ht="15" hidden="false" customHeight="false" outlineLevel="0" collapsed="false">
      <c r="A159" s="83" t="str">
        <f aca="false">IFERROR(IF(INDEX(원자료_시장!$A$1:$BZ$1000,설정!$L$6+ROW()-1,설정!$L$24)&amp;""="0","",INDEX(원자료_시장!$A$1:$BZ$1000,설정!$L$6+ROW()-1,설정!$L$24)),"")</f>
        <v>KHFC 3 7/8 09/17/30</v>
      </c>
      <c r="B159" s="83" t="str">
        <f aca="false">IFERROR(IF(INDEX(원자료_시장!$A$1:$BZ$1000,설정!$L$6+ROW()-1,설정!$L$37)&amp;""="0","",INDEX(원자료_시장!$A$1:$BZ$1000,설정!$L$6+ROW()-1,설정!$L$37)),"")</f>
        <v>KOREA HOUSING FINANCE CO</v>
      </c>
      <c r="C159" s="83" t="str">
        <f aca="false">IFERROR(IF(INDEX(원자료_시장!$A$1:$BZ$1000,설정!$L$6+ROW()-1,설정!$L$25)&amp;""="0","",INDEX(원자료_시장!$A$1:$BZ$1000,설정!$L$6+ROW()-1,설정!$L$25)),"")</f>
        <v>USD</v>
      </c>
      <c r="D159" s="85" t="n">
        <f aca="false">IFERROR(IF(ISNUMBER(INDEX(원자료_시장!$A$1:$BZ$1000,설정!$L$6+ROW()-1,설정!$L$26)),INDEX(원자료_시장!$A$1:$BZ$1000,설정!$L$6+ROW()-1,설정!$L$26),""),"")</f>
        <v>5.293</v>
      </c>
      <c r="E159" s="97" t="n">
        <f aca="false">IFERROR(IF(ISNUMBER(INDEX(원자료_시장!$A$1:$BZ$1000,설정!$L$6+ROW()-1,설정!$L$27)),INDEX(원자료_시장!$A$1:$BZ$1000,설정!$L$6+ROW()-1,설정!$L$27),""),"")</f>
        <v>20.575</v>
      </c>
      <c r="F159" s="97" t="n">
        <f aca="false">IFERROR(IF(ISNUMBER(INDEX(원자료_시장!$A$1:$BZ$1000,설정!$L$6+ROW()-1,설정!$L$28)),INDEX(원자료_시장!$A$1:$BZ$1000,설정!$L$6+ROW()-1,설정!$L$28),""),"")</f>
        <v>54.744</v>
      </c>
      <c r="G159" s="97" t="n">
        <f aca="false">IFERROR(IF(ISNUMBER(INDEX(원자료_시장!$A$1:$BZ$1000,설정!$L$6+ROW()-1,설정!$L$29)),INDEX(원자료_시장!$A$1:$BZ$1000,설정!$L$6+ROW()-1,설정!$L$29),""),"")</f>
        <v>-4</v>
      </c>
      <c r="H159" s="97" t="n">
        <f aca="false">IFERROR(IF(ISNUMBER(INDEX(원자료_시장!$A$1:$BZ$1000,설정!$L$6+ROW()-1,설정!$L$30)),INDEX(원자료_시장!$A$1:$BZ$1000,설정!$L$6+ROW()-1,설정!$L$30),""),"")</f>
        <v>4.3</v>
      </c>
      <c r="I159" s="97" t="n">
        <f aca="false">IFERROR(IF(ISNUMBER(INDEX(원자료_시장!$A$1:$BZ$1000,설정!$L$6+ROW()-1,설정!$L$31)),INDEX(원자료_시장!$A$1:$BZ$1000,설정!$L$6+ROW()-1,설정!$L$31),""),"")</f>
        <v>-2.8</v>
      </c>
      <c r="J159" s="97" t="n">
        <f aca="false">IFERROR(IF(ISNUMBER(INDEX(원자료_시장!$A$1:$BZ$1000,설정!$L$6+ROW()-1,설정!$L$32)),INDEX(원자료_시장!$A$1:$BZ$1000,설정!$L$6+ROW()-1,설정!$L$32),""),"")</f>
        <v>-4.5</v>
      </c>
      <c r="K159" s="85" t="n">
        <f aca="false">IFERROR(IF(ISNUMBER(INDEX(원자료_시장!$A$1:$BZ$1000,설정!$L$6+ROW()-1,설정!$L$33)),INDEX(원자료_시장!$A$1:$BZ$1000,설정!$L$6+ROW()-1,설정!$L$33),""),"")</f>
        <v>3.694</v>
      </c>
      <c r="L159" s="83" t="str">
        <f aca="false">IFERROR(IF(INDEX(원자료_시장!$A$1:$BZ$1000,설정!$L$6+ROW()-1,설정!$L$34)&amp;""="0","",INDEX(원자료_시장!$A$1:$BZ$1000,설정!$L$6+ROW()-1,설정!$L$34)),"")</f>
        <v>정부</v>
      </c>
      <c r="M159" s="83" t="str">
        <f aca="false">IFERROR(IF(INDEX(원자료_시장!$A$1:$BZ$1000,설정!$L$6+ROW()-1,설정!$L$35)&amp;""="0","",INDEX(원자료_시장!$A$1:$BZ$1000,설정!$L$6+ROW()-1,설정!$L$35)),"")</f>
        <v>AA</v>
      </c>
      <c r="N159" s="83" t="str">
        <f aca="false">IFERROR(IF(INDEX(원자료_시장!$A$1:$BZ$1000,설정!$L$6+ROW()-1,설정!$L$36)&amp;""="0","",INDEX(원자료_시장!$A$1:$BZ$1000,설정!$L$6+ROW()-1,설정!$L$36)),"")</f>
        <v>아시아/기타</v>
      </c>
      <c r="O159" s="43" t="str">
        <f aca="false">IF($A159="","",UPPER(LEFT($A159,FIND(" ",$A159&amp;" ")-1)))</f>
        <v>KHFC</v>
      </c>
      <c r="P159" s="43" t="str">
        <f aca="false">IF($A159="","",TRIM(RIGHT(SUBSTITUTE(TRIM($A159)," ",REPT(" ",30)),30)))</f>
        <v>09/17/30</v>
      </c>
      <c r="Q159" s="98" t="n">
        <f aca="false">IF($A159="","",IFERROR(DATE(IF(LEN(P159)=8,2000+VALUE(RIGHT(P159,2)),VALUE(RIGHT(P159,4))),VALUE(LEFT(P159,2)),VALUE(MID(P159,4,2))),""))</f>
        <v>47743</v>
      </c>
      <c r="R159" s="89" t="n">
        <f aca="false">IF($A159="",0,IF(ISNUMBER(SEARCH("Float",$A159)),1,0))</f>
        <v>0</v>
      </c>
      <c r="S159" s="43" t="str">
        <f aca="false">IF($A159="","",TRIM(MID($A159,LEN(O159)+2,LEN($A159)-LEN(O159)-LEN(P159)-1)))</f>
        <v>3 7/8</v>
      </c>
      <c r="T159" s="92" t="n">
        <f aca="false">IF(OR($A159="",R159=1),"",IFERROR(IF(ISNUMBER(FIND("/",S159)),IF(ISNUMBER(FIND(" ",S159)),VALUE(LEFT(S159,FIND(" ",S159)-1))+VALUE(MID(S159,FIND(" ",S159)+1,FIND("/",S159)-FIND(" ",S159)-1))/VALUE(MID(S159,FIND("/",S159)+1,9)),VALUE(LEFT(S159,FIND("/",S159)-1))/VALUE(MID(S159,FIND("/",S159)+1,9))),VALUE(S159)),""))</f>
        <v>3.875</v>
      </c>
      <c r="U159" s="43" t="str">
        <f aca="false">IF(OR($A159="",NOT(ISNUMBER(Q159))),"",TEXT(Q159,"yyyymmdd")&amp;"|"&amp;IF(R159=1,"F",TEXT(T159,"0.000")))</f>
        <v>20300917|3.875</v>
      </c>
      <c r="V159" s="43" t="str">
        <f aca="false">IF(U159="","",O159&amp;"|"&amp;U159)</f>
        <v>KHFC|20300917|3.875</v>
      </c>
      <c r="W159" s="43" t="str">
        <f aca="false">IF($A159="","",IFERROR(IF(VLOOKUP(O159,매핑!$A$4:$E$92,3,0)="","미분류",VLOOKUP(O159,매핑!$A$4:$E$92,3,0)),"미분류"))</f>
        <v>한국</v>
      </c>
      <c r="X159" s="89" t="n">
        <f aca="false">IF($A159="",0,IF(O159="T",1,0))</f>
        <v>0</v>
      </c>
      <c r="Y159" s="89" t="n">
        <f aca="false">IF($A159="",0,IF(AND(C159="USD",X159=0,ISNUMBER(E159),ISNUMBER(K159)),IF(K159&gt;=설정!$C$8,1,0),0))</f>
        <v>1</v>
      </c>
      <c r="Z159" s="43" t="str">
        <f aca="false">IF($A159="","",N159&amp;"|"&amp;L159)</f>
        <v>아시아/기타|정부</v>
      </c>
      <c r="AA159" s="92" t="n">
        <f aca="false">IF(Y159=1,LN(K159),0)</f>
        <v>1.30670988177705</v>
      </c>
      <c r="AB159" s="93" t="n">
        <f aca="false">IF(Y159=1,E159,0)</f>
        <v>20.575</v>
      </c>
      <c r="AC159" s="89" t="n">
        <f aca="false">IF(Y159=1,COUNTIFS($Z$2:$Z$601,Z159,$Y$2:$Y$601,1),0)</f>
        <v>51</v>
      </c>
      <c r="AD159" s="89" t="n">
        <f aca="false">IF(Y159=1,COUNTIFS($N$2:$N$601,N159,$Y$2:$Y$601,1),0)</f>
        <v>137</v>
      </c>
      <c r="AE159" s="43" t="str">
        <f aca="false">IF(Y159&lt;&gt;1,"",IF(AND(AC159&gt;=설정!$C$7,ISNUMBER(MATCH(Z159,피어커브!$A:$A,0))),Z159,IF(AND(AD159&gt;=설정!$C$7,ISNUMBER(MATCH(N159&amp;"|전체",피어커브!$A:$A,0))),N159&amp;"|전체","전체|전체")))</f>
        <v>아시아/기타|정부</v>
      </c>
      <c r="AF159" s="93" t="n">
        <f aca="false">IF(AE159="","",INDEX(피어커브!$K:$K,MATCH(AE159,피어커브!$A:$A,0)))</f>
        <v>-1.54860147302313</v>
      </c>
      <c r="AG159" s="93" t="n">
        <f aca="false">IF(AE159="","",INDEX(피어커브!$J:$J,MATCH(AE159,피어커브!$A:$A,0)))</f>
        <v>19.8674994409945</v>
      </c>
      <c r="AH159" s="93" t="n">
        <f aca="false">IF(AE159="","",INDEX(피어커브!$L:$L,MATCH(AE159,피어커브!$A:$A,0)))</f>
        <v>13.6930241146778</v>
      </c>
      <c r="AI159" s="93" t="n">
        <f aca="false">IF(AE159="","",AF159+AG159*AA159)</f>
        <v>24.4124563727244</v>
      </c>
      <c r="AJ159" s="96" t="n">
        <f aca="false">IF(AE159="","",E159-AI159)</f>
        <v>-3.83745637272443</v>
      </c>
      <c r="AK159" s="95" t="n">
        <f aca="false">IF(AE159="","",IF(ISNUMBER(AH159),IF(AH159&gt;0,AJ159/AH159,""),""))</f>
        <v>-0.280249004207258</v>
      </c>
      <c r="AL159" s="43" t="str">
        <f aca="false">IF(AK159="","-",IF(AK159&gt;=설정!$C$6,"Cheap",IF(AK159&lt;=-설정!$C$6,"Rich","Fair")))</f>
        <v>Fair</v>
      </c>
      <c r="AM159" s="96" t="n">
        <f aca="false">IF(AE159="","",AJ159-AVERAGEIFS($AJ$2:$AJ$601,$B$2:$B$601,B159,$Y$2:$Y$601,1))</f>
        <v>-2.43570627845133</v>
      </c>
      <c r="AN159" s="93" t="n">
        <f aca="false">IF(AE159="",0,IF(K159&gt;1+설정!$C$8,AG159*(AA159-LN(K159-1)),0))</f>
        <v>6.27182792780708</v>
      </c>
      <c r="AO159" s="99" t="n">
        <f aca="false">IF($A159="",0,SUMIFS(보유분석!$AA$2:$AA$801,보유분석!$AB$2:$AB$801,ROW(),보유분석!$AC$2:$AC$801,1))</f>
        <v>0</v>
      </c>
      <c r="AP159" s="43" t="str">
        <f aca="false">IF($A159="","",TRIM(IF(R159=1,"FRN ","")&amp;IF(IFERROR(VLOOKUP(M159,설정!$A$15:$D$47,4,0),0)&gt;=10,IF(IFERROR(VLOOKUP(M159,설정!$A$15:$D$47,4,0),0)&lt;99,"BBB0미만 ",""),"")&amp;IF(OR(M159="",M159="NR"),"등급미입력 ","")&amp;IF(C159&lt;&gt;"USD","비USD ","")))</f>
        <v/>
      </c>
      <c r="AQ159" s="90" t="n">
        <f aca="false">IF(AND(Y159=1,AL159="Cheap"),IF(AND(ISERROR(SEARCH("FRN",AP159)),ISERROR(SEARCH("BBB0미만",AP159))),AK159+ROW()/1000000000,-999),-999)</f>
        <v>-999</v>
      </c>
      <c r="AR159" s="92" t="n">
        <f aca="false">IF(AND(ISNUMBER(D159),ISNUMBER(K159)),D159+AN159*MAX(K159-1,0)/100,"")</f>
        <v>5.46196304437512</v>
      </c>
      <c r="AS159" s="93" t="n">
        <f aca="false">IF(AND(ISNUMBER(E159),ISNUMBER(K159)),IF(K159&gt;0,(E159+AN159*MAX(K159-1,0))/K159,""),"")</f>
        <v>10.1438290301874</v>
      </c>
      <c r="AT159" s="90" t="n">
        <f aca="false">IFERROR(IF(AND(Y159=1,ROW()&lt;&gt;스왑분석!$C$12+1,ABS(K159-INDEX($K$2:$K$601,스왑분석!$C$12))&lt;=스왑분석!$C$5,ISERROR(SEARCH("FRN",AP159)),ISERROR(SEARCH("BBB0미만",AP159))),IF(AND(OR(스왑분석!$C$6="N",L159=INDEX($L$2:$L$601,스왑분석!$C$12)),OR(스왑분석!$C$7="N",N159=INDEX($N$2:$N$601,스왑분석!$C$12)),OR(스왑분석!$C$8="N",AO159=0),E159-INDEX($E$2:$E$601,스왑분석!$C$12)&gt;=스왑분석!$C$9),E159-INDEX($E$2:$E$601,스왑분석!$C$12)+ROW()/1000000000,-999),-999),-999)</f>
        <v>-999</v>
      </c>
      <c r="AU159" s="90" t="n">
        <f aca="false">IF(AND(Y159=1,AO159&gt;0,AL159="Rich"),-AK159+ROW()/1000000000,-999)</f>
        <v>-999</v>
      </c>
    </row>
    <row r="160" customFormat="false" ht="15" hidden="false" customHeight="false" outlineLevel="0" collapsed="false">
      <c r="A160" s="83" t="str">
        <f aca="false">IFERROR(IF(INDEX(원자료_시장!$A$1:$BZ$1000,설정!$L$6+ROW()-1,설정!$L$24)&amp;""="0","",INDEX(원자료_시장!$A$1:$BZ$1000,설정!$L$6+ROW()-1,설정!$L$24)),"")</f>
        <v>KHFC 3 7/8 01/15/31</v>
      </c>
      <c r="B160" s="83" t="str">
        <f aca="false">IFERROR(IF(INDEX(원자료_시장!$A$1:$BZ$1000,설정!$L$6+ROW()-1,설정!$L$37)&amp;""="0","",INDEX(원자료_시장!$A$1:$BZ$1000,설정!$L$6+ROW()-1,설정!$L$37)),"")</f>
        <v>KOREA HOUSING FINANCE CO</v>
      </c>
      <c r="C160" s="83" t="str">
        <f aca="false">IFERROR(IF(INDEX(원자료_시장!$A$1:$BZ$1000,설정!$L$6+ROW()-1,설정!$L$25)&amp;""="0","",INDEX(원자료_시장!$A$1:$BZ$1000,설정!$L$6+ROW()-1,설정!$L$25)),"")</f>
        <v>USD</v>
      </c>
      <c r="D160" s="85" t="n">
        <f aca="false">IFERROR(IF(ISNUMBER(INDEX(원자료_시장!$A$1:$BZ$1000,설정!$L$6+ROW()-1,설정!$L$26)),INDEX(원자료_시장!$A$1:$BZ$1000,설정!$L$6+ROW()-1,설정!$L$26),""),"")</f>
        <v>5.308</v>
      </c>
      <c r="E160" s="97" t="n">
        <f aca="false">IFERROR(IF(ISNUMBER(INDEX(원자료_시장!$A$1:$BZ$1000,설정!$L$6+ROW()-1,설정!$L$27)),INDEX(원자료_시장!$A$1:$BZ$1000,설정!$L$6+ROW()-1,설정!$L$27),""),"")</f>
        <v>22.155</v>
      </c>
      <c r="F160" s="97" t="n">
        <f aca="false">IFERROR(IF(ISNUMBER(INDEX(원자료_시장!$A$1:$BZ$1000,설정!$L$6+ROW()-1,설정!$L$28)),INDEX(원자료_시장!$A$1:$BZ$1000,설정!$L$6+ROW()-1,설정!$L$28),""),"")</f>
        <v>56.03</v>
      </c>
      <c r="G160" s="97" t="n">
        <f aca="false">IFERROR(IF(ISNUMBER(INDEX(원자료_시장!$A$1:$BZ$1000,설정!$L$6+ROW()-1,설정!$L$29)),INDEX(원자료_시장!$A$1:$BZ$1000,설정!$L$6+ROW()-1,설정!$L$29),""),"")</f>
        <v>-1.6</v>
      </c>
      <c r="H160" s="97" t="n">
        <f aca="false">IFERROR(IF(ISNUMBER(INDEX(원자료_시장!$A$1:$BZ$1000,설정!$L$6+ROW()-1,설정!$L$30)),INDEX(원자료_시장!$A$1:$BZ$1000,설정!$L$6+ROW()-1,설정!$L$30),""),"")</f>
        <v>2.1</v>
      </c>
      <c r="I160" s="97" t="n">
        <f aca="false">IFERROR(IF(ISNUMBER(INDEX(원자료_시장!$A$1:$BZ$1000,설정!$L$6+ROW()-1,설정!$L$31)),INDEX(원자료_시장!$A$1:$BZ$1000,설정!$L$6+ROW()-1,설정!$L$31),""),"")</f>
        <v>-2.5</v>
      </c>
      <c r="J160" s="97" t="n">
        <f aca="false">IFERROR(IF(ISNUMBER(INDEX(원자료_시장!$A$1:$BZ$1000,설정!$L$6+ROW()-1,설정!$L$32)),INDEX(원자료_시장!$A$1:$BZ$1000,설정!$L$6+ROW()-1,설정!$L$32),""),"")</f>
        <v>-4.8</v>
      </c>
      <c r="K160" s="85" t="n">
        <f aca="false">IFERROR(IF(ISNUMBER(INDEX(원자료_시장!$A$1:$BZ$1000,설정!$L$6+ROW()-1,설정!$L$33)),INDEX(원자료_시장!$A$1:$BZ$1000,설정!$L$6+ROW()-1,설정!$L$33),""),"")</f>
        <v>3.947</v>
      </c>
      <c r="L160" s="83" t="str">
        <f aca="false">IFERROR(IF(INDEX(원자료_시장!$A$1:$BZ$1000,설정!$L$6+ROW()-1,설정!$L$34)&amp;""="0","",INDEX(원자료_시장!$A$1:$BZ$1000,설정!$L$6+ROW()-1,설정!$L$34)),"")</f>
        <v>정부</v>
      </c>
      <c r="M160" s="83" t="str">
        <f aca="false">IFERROR(IF(INDEX(원자료_시장!$A$1:$BZ$1000,설정!$L$6+ROW()-1,설정!$L$35)&amp;""="0","",INDEX(원자료_시장!$A$1:$BZ$1000,설정!$L$6+ROW()-1,설정!$L$35)),"")</f>
        <v>AA</v>
      </c>
      <c r="N160" s="83" t="str">
        <f aca="false">IFERROR(IF(INDEX(원자료_시장!$A$1:$BZ$1000,설정!$L$6+ROW()-1,설정!$L$36)&amp;""="0","",INDEX(원자료_시장!$A$1:$BZ$1000,설정!$L$6+ROW()-1,설정!$L$36)),"")</f>
        <v>아시아/기타</v>
      </c>
      <c r="O160" s="43" t="str">
        <f aca="false">IF($A160="","",UPPER(LEFT($A160,FIND(" ",$A160&amp;" ")-1)))</f>
        <v>KHFC</v>
      </c>
      <c r="P160" s="43" t="str">
        <f aca="false">IF($A160="","",TRIM(RIGHT(SUBSTITUTE(TRIM($A160)," ",REPT(" ",30)),30)))</f>
        <v>01/15/31</v>
      </c>
      <c r="Q160" s="98" t="n">
        <f aca="false">IF($A160="","",IFERROR(DATE(IF(LEN(P160)=8,2000+VALUE(RIGHT(P160,2)),VALUE(RIGHT(P160,4))),VALUE(LEFT(P160,2)),VALUE(MID(P160,4,2))),""))</f>
        <v>47863</v>
      </c>
      <c r="R160" s="89" t="n">
        <f aca="false">IF($A160="",0,IF(ISNUMBER(SEARCH("Float",$A160)),1,0))</f>
        <v>0</v>
      </c>
      <c r="S160" s="43" t="str">
        <f aca="false">IF($A160="","",TRIM(MID($A160,LEN(O160)+2,LEN($A160)-LEN(O160)-LEN(P160)-1)))</f>
        <v>3 7/8</v>
      </c>
      <c r="T160" s="92" t="n">
        <f aca="false">IF(OR($A160="",R160=1),"",IFERROR(IF(ISNUMBER(FIND("/",S160)),IF(ISNUMBER(FIND(" ",S160)),VALUE(LEFT(S160,FIND(" ",S160)-1))+VALUE(MID(S160,FIND(" ",S160)+1,FIND("/",S160)-FIND(" ",S160)-1))/VALUE(MID(S160,FIND("/",S160)+1,9)),VALUE(LEFT(S160,FIND("/",S160)-1))/VALUE(MID(S160,FIND("/",S160)+1,9))),VALUE(S160)),""))</f>
        <v>3.875</v>
      </c>
      <c r="U160" s="43" t="str">
        <f aca="false">IF(OR($A160="",NOT(ISNUMBER(Q160))),"",TEXT(Q160,"yyyymmdd")&amp;"|"&amp;IF(R160=1,"F",TEXT(T160,"0.000")))</f>
        <v>20310115|3.875</v>
      </c>
      <c r="V160" s="43" t="str">
        <f aca="false">IF(U160="","",O160&amp;"|"&amp;U160)</f>
        <v>KHFC|20310115|3.875</v>
      </c>
      <c r="W160" s="43" t="str">
        <f aca="false">IF($A160="","",IFERROR(IF(VLOOKUP(O160,매핑!$A$4:$E$92,3,0)="","미분류",VLOOKUP(O160,매핑!$A$4:$E$92,3,0)),"미분류"))</f>
        <v>한국</v>
      </c>
      <c r="X160" s="89" t="n">
        <f aca="false">IF($A160="",0,IF(O160="T",1,0))</f>
        <v>0</v>
      </c>
      <c r="Y160" s="89" t="n">
        <f aca="false">IF($A160="",0,IF(AND(C160="USD",X160=0,ISNUMBER(E160),ISNUMBER(K160)),IF(K160&gt;=설정!$C$8,1,0),0))</f>
        <v>1</v>
      </c>
      <c r="Z160" s="43" t="str">
        <f aca="false">IF($A160="","",N160&amp;"|"&amp;L160)</f>
        <v>아시아/기타|정부</v>
      </c>
      <c r="AA160" s="92" t="n">
        <f aca="false">IF(Y160=1,LN(K160),0)</f>
        <v>1.37295579668071</v>
      </c>
      <c r="AB160" s="93" t="n">
        <f aca="false">IF(Y160=1,E160,0)</f>
        <v>22.155</v>
      </c>
      <c r="AC160" s="89" t="n">
        <f aca="false">IF(Y160=1,COUNTIFS($Z$2:$Z$601,Z160,$Y$2:$Y$601,1),0)</f>
        <v>51</v>
      </c>
      <c r="AD160" s="89" t="n">
        <f aca="false">IF(Y160=1,COUNTIFS($N$2:$N$601,N160,$Y$2:$Y$601,1),0)</f>
        <v>137</v>
      </c>
      <c r="AE160" s="43" t="str">
        <f aca="false">IF(Y160&lt;&gt;1,"",IF(AND(AC160&gt;=설정!$C$7,ISNUMBER(MATCH(Z160,피어커브!$A:$A,0))),Z160,IF(AND(AD160&gt;=설정!$C$7,ISNUMBER(MATCH(N160&amp;"|전체",피어커브!$A:$A,0))),N160&amp;"|전체","전체|전체")))</f>
        <v>아시아/기타|정부</v>
      </c>
      <c r="AF160" s="93" t="n">
        <f aca="false">IF(AE160="","",INDEX(피어커브!$K:$K,MATCH(AE160,피어커브!$A:$A,0)))</f>
        <v>-1.54860147302313</v>
      </c>
      <c r="AG160" s="93" t="n">
        <f aca="false">IF(AE160="","",INDEX(피어커브!$J:$J,MATCH(AE160,피어커브!$A:$A,0)))</f>
        <v>19.8674994409945</v>
      </c>
      <c r="AH160" s="93" t="n">
        <f aca="false">IF(AE160="","",INDEX(피어커브!$L:$L,MATCH(AE160,피어커브!$A:$A,0)))</f>
        <v>13.6930241146778</v>
      </c>
      <c r="AI160" s="93" t="n">
        <f aca="false">IF(AE160="","",AF160+AG160*AA160)</f>
        <v>25.7285970500411</v>
      </c>
      <c r="AJ160" s="96" t="n">
        <f aca="false">IF(AE160="","",E160-AI160)</f>
        <v>-3.5735970500411</v>
      </c>
      <c r="AK160" s="95" t="n">
        <f aca="false">IF(AE160="","",IF(ISNUMBER(AH160),IF(AH160&gt;0,AJ160/AH160,""),""))</f>
        <v>-0.260979387760699</v>
      </c>
      <c r="AL160" s="43" t="str">
        <f aca="false">IF(AK160="","-",IF(AK160&gt;=설정!$C$6,"Cheap",IF(AK160&lt;=-설정!$C$6,"Rich","Fair")))</f>
        <v>Fair</v>
      </c>
      <c r="AM160" s="96" t="n">
        <f aca="false">IF(AE160="","",AJ160-AVERAGEIFS($AJ$2:$AJ$601,$B$2:$B$601,B160,$Y$2:$Y$601,1))</f>
        <v>-2.17184695576801</v>
      </c>
      <c r="AN160" s="93" t="n">
        <f aca="false">IF(AE160="",0,IF(K160&gt;1+설정!$C$8,AG160*(AA160-LN(K160-1)),0))</f>
        <v>5.8046494228669</v>
      </c>
      <c r="AO160" s="99" t="n">
        <f aca="false">IF($A160="",0,SUMIFS(보유분석!$AA$2:$AA$801,보유분석!$AB$2:$AB$801,ROW(),보유분석!$AC$2:$AC$801,1))</f>
        <v>0</v>
      </c>
      <c r="AP160" s="43" t="str">
        <f aca="false">IF($A160="","",TRIM(IF(R160=1,"FRN ","")&amp;IF(IFERROR(VLOOKUP(M160,설정!$A$15:$D$47,4,0),0)&gt;=10,IF(IFERROR(VLOOKUP(M160,설정!$A$15:$D$47,4,0),0)&lt;99,"BBB0미만 ",""),"")&amp;IF(OR(M160="",M160="NR"),"등급미입력 ","")&amp;IF(C160&lt;&gt;"USD","비USD ","")))</f>
        <v/>
      </c>
      <c r="AQ160" s="90" t="n">
        <f aca="false">IF(AND(Y160=1,AL160="Cheap"),IF(AND(ISERROR(SEARCH("FRN",AP160)),ISERROR(SEARCH("BBB0미만",AP160))),AK160+ROW()/1000000000,-999),-999)</f>
        <v>-999</v>
      </c>
      <c r="AR160" s="92" t="n">
        <f aca="false">IF(AND(ISNUMBER(D160),ISNUMBER(K160)),D160+AN160*MAX(K160-1,0)/100,"")</f>
        <v>5.47906301849189</v>
      </c>
      <c r="AS160" s="93" t="n">
        <f aca="false">IF(AND(ISNUMBER(E160),ISNUMBER(K160)),IF(K160&gt;0,(E160+AN160*MAX(K160-1,0))/K160,""),"")</f>
        <v>9.94712486678206</v>
      </c>
      <c r="AT160" s="90" t="n">
        <f aca="false">IFERROR(IF(AND(Y160=1,ROW()&lt;&gt;스왑분석!$C$12+1,ABS(K160-INDEX($K$2:$K$601,스왑분석!$C$12))&lt;=스왑분석!$C$5,ISERROR(SEARCH("FRN",AP160)),ISERROR(SEARCH("BBB0미만",AP160))),IF(AND(OR(스왑분석!$C$6="N",L160=INDEX($L$2:$L$601,스왑분석!$C$12)),OR(스왑분석!$C$7="N",N160=INDEX($N$2:$N$601,스왑분석!$C$12)),OR(스왑분석!$C$8="N",AO160=0),E160-INDEX($E$2:$E$601,스왑분석!$C$12)&gt;=스왑분석!$C$9),E160-INDEX($E$2:$E$601,스왑분석!$C$12)+ROW()/1000000000,-999),-999),-999)</f>
        <v>-999</v>
      </c>
      <c r="AU160" s="90" t="n">
        <f aca="false">IF(AND(Y160=1,AO160&gt;0,AL160="Rich"),-AK160+ROW()/1000000000,-999)</f>
        <v>-999</v>
      </c>
    </row>
    <row r="161" customFormat="false" ht="15" hidden="false" customHeight="false" outlineLevel="0" collapsed="false">
      <c r="A161" s="83" t="str">
        <f aca="false">IFERROR(IF(INDEX(원자료_시장!$A$1:$BZ$1000,설정!$L$6+ROW()-1,설정!$L$24)&amp;""="0","",INDEX(원자료_시장!$A$1:$BZ$1000,설정!$L$6+ROW()-1,설정!$L$24)),"")</f>
        <v>HIGHWY 5 05/14/27</v>
      </c>
      <c r="B161" s="83" t="str">
        <f aca="false">IFERROR(IF(INDEX(원자료_시장!$A$1:$BZ$1000,설정!$L$6+ROW()-1,설정!$L$37)&amp;""="0","",INDEX(원자료_시장!$A$1:$BZ$1000,설정!$L$6+ROW()-1,설정!$L$37)),"")</f>
        <v>KOREA EXPRESSWAY CORP</v>
      </c>
      <c r="C161" s="83" t="str">
        <f aca="false">IFERROR(IF(INDEX(원자료_시장!$A$1:$BZ$1000,설정!$L$6+ROW()-1,설정!$L$25)&amp;""="0","",INDEX(원자료_시장!$A$1:$BZ$1000,설정!$L$6+ROW()-1,설정!$L$25)),"")</f>
        <v>USD</v>
      </c>
      <c r="D161" s="85" t="n">
        <f aca="false">IFERROR(IF(ISNUMBER(INDEX(원자료_시장!$A$1:$BZ$1000,설정!$L$6+ROW()-1,설정!$L$26)),INDEX(원자료_시장!$A$1:$BZ$1000,설정!$L$6+ROW()-1,설정!$L$26),""),"")</f>
        <v>4.738</v>
      </c>
      <c r="E161" s="97" t="n">
        <f aca="false">IFERROR(IF(ISNUMBER(INDEX(원자료_시장!$A$1:$BZ$1000,설정!$L$6+ROW()-1,설정!$L$27)),INDEX(원자료_시장!$A$1:$BZ$1000,설정!$L$6+ROW()-1,설정!$L$27),""),"")</f>
        <v>-15.09</v>
      </c>
      <c r="F161" s="97" t="n">
        <f aca="false">IFERROR(IF(ISNUMBER(INDEX(원자료_시장!$A$1:$BZ$1000,설정!$L$6+ROW()-1,설정!$L$28)),INDEX(원자료_시장!$A$1:$BZ$1000,설정!$L$6+ROW()-1,설정!$L$28),""),"")</f>
        <v>48.008</v>
      </c>
      <c r="G161" s="97" t="n">
        <f aca="false">IFERROR(IF(ISNUMBER(INDEX(원자료_시장!$A$1:$BZ$1000,설정!$L$6+ROW()-1,설정!$L$29)),INDEX(원자료_시장!$A$1:$BZ$1000,설정!$L$6+ROW()-1,설정!$L$29),""),"")</f>
        <v>8.3</v>
      </c>
      <c r="H161" s="97" t="n">
        <f aca="false">IFERROR(IF(ISNUMBER(INDEX(원자료_시장!$A$1:$BZ$1000,설정!$L$6+ROW()-1,설정!$L$30)),INDEX(원자료_시장!$A$1:$BZ$1000,설정!$L$6+ROW()-1,설정!$L$30),""),"")</f>
        <v>12.3</v>
      </c>
      <c r="I161" s="97" t="n">
        <f aca="false">IFERROR(IF(ISNUMBER(INDEX(원자료_시장!$A$1:$BZ$1000,설정!$L$6+ROW()-1,설정!$L$31)),INDEX(원자료_시장!$A$1:$BZ$1000,설정!$L$6+ROW()-1,설정!$L$31),""),"")</f>
        <v>-11.1</v>
      </c>
      <c r="J161" s="97" t="n">
        <f aca="false">IFERROR(IF(ISNUMBER(INDEX(원자료_시장!$A$1:$BZ$1000,설정!$L$6+ROW()-1,설정!$L$32)),INDEX(원자료_시장!$A$1:$BZ$1000,설정!$L$6+ROW()-1,설정!$L$32),""),"")</f>
        <v>-26.9</v>
      </c>
      <c r="K161" s="85" t="n">
        <f aca="false">IFERROR(IF(ISNUMBER(INDEX(원자료_시장!$A$1:$BZ$1000,설정!$L$6+ROW()-1,설정!$L$33)),INDEX(원자료_시장!$A$1:$BZ$1000,설정!$L$6+ROW()-1,설정!$L$33),""),"")</f>
        <v>0.604</v>
      </c>
      <c r="L161" s="83" t="str">
        <f aca="false">IFERROR(IF(INDEX(원자료_시장!$A$1:$BZ$1000,설정!$L$6+ROW()-1,설정!$L$34)&amp;""="0","",INDEX(원자료_시장!$A$1:$BZ$1000,설정!$L$6+ROW()-1,설정!$L$34)),"")</f>
        <v>정부</v>
      </c>
      <c r="M161" s="83" t="str">
        <f aca="false">IFERROR(IF(INDEX(원자료_시장!$A$1:$BZ$1000,설정!$L$6+ROW()-1,설정!$L$35)&amp;""="0","",INDEX(원자료_시장!$A$1:$BZ$1000,설정!$L$6+ROW()-1,설정!$L$35)),"")</f>
        <v>AA</v>
      </c>
      <c r="N161" s="83" t="str">
        <f aca="false">IFERROR(IF(INDEX(원자료_시장!$A$1:$BZ$1000,설정!$L$6+ROW()-1,설정!$L$36)&amp;""="0","",INDEX(원자료_시장!$A$1:$BZ$1000,설정!$L$6+ROW()-1,설정!$L$36)),"")</f>
        <v>아시아/기타</v>
      </c>
      <c r="O161" s="43" t="str">
        <f aca="false">IF($A161="","",UPPER(LEFT($A161,FIND(" ",$A161&amp;" ")-1)))</f>
        <v>HIGHWY</v>
      </c>
      <c r="P161" s="43" t="str">
        <f aca="false">IF($A161="","",TRIM(RIGHT(SUBSTITUTE(TRIM($A161)," ",REPT(" ",30)),30)))</f>
        <v>05/14/27</v>
      </c>
      <c r="Q161" s="98" t="n">
        <f aca="false">IF($A161="","",IFERROR(DATE(IF(LEN(P161)=8,2000+VALUE(RIGHT(P161,2)),VALUE(RIGHT(P161,4))),VALUE(LEFT(P161,2)),VALUE(MID(P161,4,2))),""))</f>
        <v>46521</v>
      </c>
      <c r="R161" s="89" t="n">
        <f aca="false">IF($A161="",0,IF(ISNUMBER(SEARCH("Float",$A161)),1,0))</f>
        <v>0</v>
      </c>
      <c r="S161" s="43" t="str">
        <f aca="false">IF($A161="","",TRIM(MID($A161,LEN(O161)+2,LEN($A161)-LEN(O161)-LEN(P161)-1)))</f>
        <v>5</v>
      </c>
      <c r="T161" s="92" t="n">
        <f aca="false">IF(OR($A161="",R161=1),"",IFERROR(IF(ISNUMBER(FIND("/",S161)),IF(ISNUMBER(FIND(" ",S161)),VALUE(LEFT(S161,FIND(" ",S161)-1))+VALUE(MID(S161,FIND(" ",S161)+1,FIND("/",S161)-FIND(" ",S161)-1))/VALUE(MID(S161,FIND("/",S161)+1,9)),VALUE(LEFT(S161,FIND("/",S161)-1))/VALUE(MID(S161,FIND("/",S161)+1,9))),VALUE(S161)),""))</f>
        <v>5</v>
      </c>
      <c r="U161" s="43" t="str">
        <f aca="false">IF(OR($A161="",NOT(ISNUMBER(Q161))),"",TEXT(Q161,"yyyymmdd")&amp;"|"&amp;IF(R161=1,"F",TEXT(T161,"0.000")))</f>
        <v>20270514|5.000</v>
      </c>
      <c r="V161" s="43" t="str">
        <f aca="false">IF(U161="","",O161&amp;"|"&amp;U161)</f>
        <v>HIGHWY|20270514|5.000</v>
      </c>
      <c r="W161" s="43" t="str">
        <f aca="false">IF($A161="","",IFERROR(IF(VLOOKUP(O161,매핑!$A$4:$E$92,3,0)="","미분류",VLOOKUP(O161,매핑!$A$4:$E$92,3,0)),"미분류"))</f>
        <v>한국</v>
      </c>
      <c r="X161" s="89" t="n">
        <f aca="false">IF($A161="",0,IF(O161="T",1,0))</f>
        <v>0</v>
      </c>
      <c r="Y161" s="89" t="n">
        <f aca="false">IF($A161="",0,IF(AND(C161="USD",X161=0,ISNUMBER(E161),ISNUMBER(K161)),IF(K161&gt;=설정!$C$8,1,0),0))</f>
        <v>1</v>
      </c>
      <c r="Z161" s="43" t="str">
        <f aca="false">IF($A161="","",N161&amp;"|"&amp;L161)</f>
        <v>아시아/기타|정부</v>
      </c>
      <c r="AA161" s="92" t="n">
        <f aca="false">IF(Y161=1,LN(K161),0)</f>
        <v>-0.504181081047322</v>
      </c>
      <c r="AB161" s="93" t="n">
        <f aca="false">IF(Y161=1,E161,0)</f>
        <v>-15.09</v>
      </c>
      <c r="AC161" s="89" t="n">
        <f aca="false">IF(Y161=1,COUNTIFS($Z$2:$Z$601,Z161,$Y$2:$Y$601,1),0)</f>
        <v>51</v>
      </c>
      <c r="AD161" s="89" t="n">
        <f aca="false">IF(Y161=1,COUNTIFS($N$2:$N$601,N161,$Y$2:$Y$601,1),0)</f>
        <v>137</v>
      </c>
      <c r="AE161" s="43" t="str">
        <f aca="false">IF(Y161&lt;&gt;1,"",IF(AND(AC161&gt;=설정!$C$7,ISNUMBER(MATCH(Z161,피어커브!$A:$A,0))),Z161,IF(AND(AD161&gt;=설정!$C$7,ISNUMBER(MATCH(N161&amp;"|전체",피어커브!$A:$A,0))),N161&amp;"|전체","전체|전체")))</f>
        <v>아시아/기타|정부</v>
      </c>
      <c r="AF161" s="93" t="n">
        <f aca="false">IF(AE161="","",INDEX(피어커브!$K:$K,MATCH(AE161,피어커브!$A:$A,0)))</f>
        <v>-1.54860147302313</v>
      </c>
      <c r="AG161" s="93" t="n">
        <f aca="false">IF(AE161="","",INDEX(피어커브!$J:$J,MATCH(AE161,피어커브!$A:$A,0)))</f>
        <v>19.8674994409945</v>
      </c>
      <c r="AH161" s="93" t="n">
        <f aca="false">IF(AE161="","",INDEX(피어커브!$L:$L,MATCH(AE161,피어커브!$A:$A,0)))</f>
        <v>13.6930241146778</v>
      </c>
      <c r="AI161" s="93" t="n">
        <f aca="false">IF(AE161="","",AF161+AG161*AA161)</f>
        <v>-11.5654188188908</v>
      </c>
      <c r="AJ161" s="96" t="n">
        <f aca="false">IF(AE161="","",E161-AI161)</f>
        <v>-3.52458118110917</v>
      </c>
      <c r="AK161" s="95" t="n">
        <f aca="false">IF(AE161="","",IF(ISNUMBER(AH161),IF(AH161&gt;0,AJ161/AH161,""),""))</f>
        <v>-0.257399764404936</v>
      </c>
      <c r="AL161" s="43" t="str">
        <f aca="false">IF(AK161="","-",IF(AK161&gt;=설정!$C$6,"Cheap",IF(AK161&lt;=-설정!$C$6,"Rich","Fair")))</f>
        <v>Fair</v>
      </c>
      <c r="AM161" s="96" t="n">
        <f aca="false">IF(AE161="","",AJ161-AVERAGEIFS($AJ$2:$AJ$601,$B$2:$B$601,B161,$Y$2:$Y$601,1))</f>
        <v>-7.05145592045465</v>
      </c>
      <c r="AN161" s="93" t="n">
        <f aca="false">IF(AE161="",0,IF(K161&gt;1+설정!$C$8,AG161*(AA161-LN(K161-1)),0))</f>
        <v>0</v>
      </c>
      <c r="AO161" s="99" t="n">
        <f aca="false">IF($A161="",0,SUMIFS(보유분석!$AA$2:$AA$801,보유분석!$AB$2:$AB$801,ROW(),보유분석!$AC$2:$AC$801,1))</f>
        <v>0</v>
      </c>
      <c r="AP161" s="43" t="str">
        <f aca="false">IF($A161="","",TRIM(IF(R161=1,"FRN ","")&amp;IF(IFERROR(VLOOKUP(M161,설정!$A$15:$D$47,4,0),0)&gt;=10,IF(IFERROR(VLOOKUP(M161,설정!$A$15:$D$47,4,0),0)&lt;99,"BBB0미만 ",""),"")&amp;IF(OR(M161="",M161="NR"),"등급미입력 ","")&amp;IF(C161&lt;&gt;"USD","비USD ","")))</f>
        <v/>
      </c>
      <c r="AQ161" s="90" t="n">
        <f aca="false">IF(AND(Y161=1,AL161="Cheap"),IF(AND(ISERROR(SEARCH("FRN",AP161)),ISERROR(SEARCH("BBB0미만",AP161))),AK161+ROW()/1000000000,-999),-999)</f>
        <v>-999</v>
      </c>
      <c r="AR161" s="92" t="n">
        <f aca="false">IF(AND(ISNUMBER(D161),ISNUMBER(K161)),D161+AN161*MAX(K161-1,0)/100,"")</f>
        <v>4.738</v>
      </c>
      <c r="AS161" s="93" t="n">
        <f aca="false">IF(AND(ISNUMBER(E161),ISNUMBER(K161)),IF(K161&gt;0,(E161+AN161*MAX(K161-1,0))/K161,""),"")</f>
        <v>-24.9834437086093</v>
      </c>
      <c r="AT161" s="90" t="n">
        <f aca="false">IFERROR(IF(AND(Y161=1,ROW()&lt;&gt;스왑분석!$C$12+1,ABS(K161-INDEX($K$2:$K$601,스왑분석!$C$12))&lt;=스왑분석!$C$5,ISERROR(SEARCH("FRN",AP161)),ISERROR(SEARCH("BBB0미만",AP161))),IF(AND(OR(스왑분석!$C$6="N",L161=INDEX($L$2:$L$601,스왑분석!$C$12)),OR(스왑분석!$C$7="N",N161=INDEX($N$2:$N$601,스왑분석!$C$12)),OR(스왑분석!$C$8="N",AO161=0),E161-INDEX($E$2:$E$601,스왑분석!$C$12)&gt;=스왑분석!$C$9),E161-INDEX($E$2:$E$601,스왑분석!$C$12)+ROW()/1000000000,-999),-999),-999)</f>
        <v>-999</v>
      </c>
      <c r="AU161" s="90" t="n">
        <f aca="false">IF(AND(Y161=1,AO161&gt;0,AL161="Rich"),-AK161+ROW()/1000000000,-999)</f>
        <v>-999</v>
      </c>
    </row>
    <row r="162" customFormat="false" ht="15" hidden="false" customHeight="false" outlineLevel="0" collapsed="false">
      <c r="A162" s="83" t="str">
        <f aca="false">IFERROR(IF(INDEX(원자료_시장!$A$1:$BZ$1000,설정!$L$6+ROW()-1,설정!$L$24)&amp;""="0","",INDEX(원자료_시장!$A$1:$BZ$1000,설정!$L$6+ROW()-1,설정!$L$24)),"")</f>
        <v>HIGHWY 4 1/4 05/06/31</v>
      </c>
      <c r="B162" s="83" t="str">
        <f aca="false">IFERROR(IF(INDEX(원자료_시장!$A$1:$BZ$1000,설정!$L$6+ROW()-1,설정!$L$37)&amp;""="0","",INDEX(원자료_시장!$A$1:$BZ$1000,설정!$L$6+ROW()-1,설정!$L$37)),"")</f>
        <v>KOREA EXPRESSWAY CORP</v>
      </c>
      <c r="C162" s="83" t="str">
        <f aca="false">IFERROR(IF(INDEX(원자료_시장!$A$1:$BZ$1000,설정!$L$6+ROW()-1,설정!$L$25)&amp;""="0","",INDEX(원자료_시장!$A$1:$BZ$1000,설정!$L$6+ROW()-1,설정!$L$25)),"")</f>
        <v>USD</v>
      </c>
      <c r="D162" s="85" t="n">
        <f aca="false">IFERROR(IF(ISNUMBER(INDEX(원자료_시장!$A$1:$BZ$1000,설정!$L$6+ROW()-1,설정!$L$26)),INDEX(원자료_시장!$A$1:$BZ$1000,설정!$L$6+ROW()-1,설정!$L$26),""),"")</f>
        <v>5.459</v>
      </c>
      <c r="E162" s="97" t="n">
        <f aca="false">IFERROR(IF(ISNUMBER(INDEX(원자료_시장!$A$1:$BZ$1000,설정!$L$6+ROW()-1,설정!$L$27)),INDEX(원자료_시장!$A$1:$BZ$1000,설정!$L$6+ROW()-1,설정!$L$27),""),"")</f>
        <v>37.241</v>
      </c>
      <c r="F162" s="97" t="n">
        <f aca="false">IFERROR(IF(ISNUMBER(INDEX(원자료_시장!$A$1:$BZ$1000,설정!$L$6+ROW()-1,설정!$L$28)),INDEX(원자료_시장!$A$1:$BZ$1000,설정!$L$6+ROW()-1,설정!$L$28),""),"")</f>
        <v>70.845</v>
      </c>
      <c r="G162" s="97" t="n">
        <f aca="false">IFERROR(IF(ISNUMBER(INDEX(원자료_시장!$A$1:$BZ$1000,설정!$L$6+ROW()-1,설정!$L$29)),INDEX(원자료_시장!$A$1:$BZ$1000,설정!$L$6+ROW()-1,설정!$L$29),""),"")</f>
        <v>0.9</v>
      </c>
      <c r="H162" s="97" t="n">
        <f aca="false">IFERROR(IF(ISNUMBER(INDEX(원자료_시장!$A$1:$BZ$1000,설정!$L$6+ROW()-1,설정!$L$30)),INDEX(원자료_시장!$A$1:$BZ$1000,설정!$L$6+ROW()-1,설정!$L$30),""),"")</f>
        <v>5.2</v>
      </c>
      <c r="I162" s="97" t="n">
        <f aca="false">IFERROR(IF(ISNUMBER(INDEX(원자료_시장!$A$1:$BZ$1000,설정!$L$6+ROW()-1,설정!$L$31)),INDEX(원자료_시장!$A$1:$BZ$1000,설정!$L$6+ROW()-1,설정!$L$31),""),"")</f>
        <v>2.3</v>
      </c>
      <c r="J162" s="97" t="n">
        <f aca="false">IFERROR(IF(ISNUMBER(INDEX(원자료_시장!$A$1:$BZ$1000,설정!$L$6+ROW()-1,설정!$L$32)),INDEX(원자료_시장!$A$1:$BZ$1000,설정!$L$6+ROW()-1,설정!$L$32),""),"")</f>
        <v>0.8</v>
      </c>
      <c r="K162" s="85" t="n">
        <f aca="false">IFERROR(IF(ISNUMBER(INDEX(원자료_시장!$A$1:$BZ$1000,설정!$L$6+ROW()-1,설정!$L$33)),INDEX(원자료_시장!$A$1:$BZ$1000,설정!$L$6+ROW()-1,설정!$L$33),""),"")</f>
        <v>4.137</v>
      </c>
      <c r="L162" s="83" t="str">
        <f aca="false">IFERROR(IF(INDEX(원자료_시장!$A$1:$BZ$1000,설정!$L$6+ROW()-1,설정!$L$34)&amp;""="0","",INDEX(원자료_시장!$A$1:$BZ$1000,설정!$L$6+ROW()-1,설정!$L$34)),"")</f>
        <v>정부</v>
      </c>
      <c r="M162" s="83" t="str">
        <f aca="false">IFERROR(IF(INDEX(원자료_시장!$A$1:$BZ$1000,설정!$L$6+ROW()-1,설정!$L$35)&amp;""="0","",INDEX(원자료_시장!$A$1:$BZ$1000,설정!$L$6+ROW()-1,설정!$L$35)),"")</f>
        <v>AA</v>
      </c>
      <c r="N162" s="83" t="str">
        <f aca="false">IFERROR(IF(INDEX(원자료_시장!$A$1:$BZ$1000,설정!$L$6+ROW()-1,설정!$L$36)&amp;""="0","",INDEX(원자료_시장!$A$1:$BZ$1000,설정!$L$6+ROW()-1,설정!$L$36)),"")</f>
        <v>아시아/기타</v>
      </c>
      <c r="O162" s="43" t="str">
        <f aca="false">IF($A162="","",UPPER(LEFT($A162,FIND(" ",$A162&amp;" ")-1)))</f>
        <v>HIGHWY</v>
      </c>
      <c r="P162" s="43" t="str">
        <f aca="false">IF($A162="","",TRIM(RIGHT(SUBSTITUTE(TRIM($A162)," ",REPT(" ",30)),30)))</f>
        <v>05/06/31</v>
      </c>
      <c r="Q162" s="98" t="n">
        <f aca="false">IF($A162="","",IFERROR(DATE(IF(LEN(P162)=8,2000+VALUE(RIGHT(P162,2)),VALUE(RIGHT(P162,4))),VALUE(LEFT(P162,2)),VALUE(MID(P162,4,2))),""))</f>
        <v>47974</v>
      </c>
      <c r="R162" s="89" t="n">
        <f aca="false">IF($A162="",0,IF(ISNUMBER(SEARCH("Float",$A162)),1,0))</f>
        <v>0</v>
      </c>
      <c r="S162" s="43" t="str">
        <f aca="false">IF($A162="","",TRIM(MID($A162,LEN(O162)+2,LEN($A162)-LEN(O162)-LEN(P162)-1)))</f>
        <v>4 1/4</v>
      </c>
      <c r="T162" s="92" t="n">
        <f aca="false">IF(OR($A162="",R162=1),"",IFERROR(IF(ISNUMBER(FIND("/",S162)),IF(ISNUMBER(FIND(" ",S162)),VALUE(LEFT(S162,FIND(" ",S162)-1))+VALUE(MID(S162,FIND(" ",S162)+1,FIND("/",S162)-FIND(" ",S162)-1))/VALUE(MID(S162,FIND("/",S162)+1,9)),VALUE(LEFT(S162,FIND("/",S162)-1))/VALUE(MID(S162,FIND("/",S162)+1,9))),VALUE(S162)),""))</f>
        <v>4.25</v>
      </c>
      <c r="U162" s="43" t="str">
        <f aca="false">IF(OR($A162="",NOT(ISNUMBER(Q162))),"",TEXT(Q162,"yyyymmdd")&amp;"|"&amp;IF(R162=1,"F",TEXT(T162,"0.000")))</f>
        <v>20310506|4.250</v>
      </c>
      <c r="V162" s="43" t="str">
        <f aca="false">IF(U162="","",O162&amp;"|"&amp;U162)</f>
        <v>HIGHWY|20310506|4.250</v>
      </c>
      <c r="W162" s="43" t="str">
        <f aca="false">IF($A162="","",IFERROR(IF(VLOOKUP(O162,매핑!$A$4:$E$92,3,0)="","미분류",VLOOKUP(O162,매핑!$A$4:$E$92,3,0)),"미분류"))</f>
        <v>한국</v>
      </c>
      <c r="X162" s="89" t="n">
        <f aca="false">IF($A162="",0,IF(O162="T",1,0))</f>
        <v>0</v>
      </c>
      <c r="Y162" s="89" t="n">
        <f aca="false">IF($A162="",0,IF(AND(C162="USD",X162=0,ISNUMBER(E162),ISNUMBER(K162)),IF(K162&gt;=설정!$C$8,1,0),0))</f>
        <v>1</v>
      </c>
      <c r="Z162" s="43" t="str">
        <f aca="false">IF($A162="","",N162&amp;"|"&amp;L162)</f>
        <v>아시아/기타|정부</v>
      </c>
      <c r="AA162" s="92" t="n">
        <f aca="false">IF(Y162=1,LN(K162),0)</f>
        <v>1.41997088747927</v>
      </c>
      <c r="AB162" s="93" t="n">
        <f aca="false">IF(Y162=1,E162,0)</f>
        <v>37.241</v>
      </c>
      <c r="AC162" s="89" t="n">
        <f aca="false">IF(Y162=1,COUNTIFS($Z$2:$Z$601,Z162,$Y$2:$Y$601,1),0)</f>
        <v>51</v>
      </c>
      <c r="AD162" s="89" t="n">
        <f aca="false">IF(Y162=1,COUNTIFS($N$2:$N$601,N162,$Y$2:$Y$601,1),0)</f>
        <v>137</v>
      </c>
      <c r="AE162" s="43" t="str">
        <f aca="false">IF(Y162&lt;&gt;1,"",IF(AND(AC162&gt;=설정!$C$7,ISNUMBER(MATCH(Z162,피어커브!$A:$A,0))),Z162,IF(AND(AD162&gt;=설정!$C$7,ISNUMBER(MATCH(N162&amp;"|전체",피어커브!$A:$A,0))),N162&amp;"|전체","전체|전체")))</f>
        <v>아시아/기타|정부</v>
      </c>
      <c r="AF162" s="93" t="n">
        <f aca="false">IF(AE162="","",INDEX(피어커브!$K:$K,MATCH(AE162,피어커브!$A:$A,0)))</f>
        <v>-1.54860147302313</v>
      </c>
      <c r="AG162" s="93" t="n">
        <f aca="false">IF(AE162="","",INDEX(피어커브!$J:$J,MATCH(AE162,피어커브!$A:$A,0)))</f>
        <v>19.8674994409945</v>
      </c>
      <c r="AH162" s="93" t="n">
        <f aca="false">IF(AE162="","",INDEX(피어커브!$L:$L,MATCH(AE162,피어커브!$A:$A,0)))</f>
        <v>13.6930241146778</v>
      </c>
      <c r="AI162" s="93" t="n">
        <f aca="false">IF(AE162="","",AF162+AG162*AA162)</f>
        <v>26.6626693401999</v>
      </c>
      <c r="AJ162" s="96" t="n">
        <f aca="false">IF(AE162="","",E162-AI162)</f>
        <v>10.5783306598001</v>
      </c>
      <c r="AK162" s="95" t="n">
        <f aca="false">IF(AE162="","",IF(ISNUMBER(AH162),IF(AH162&gt;0,AJ162/AH162,""),""))</f>
        <v>0.772534289811189</v>
      </c>
      <c r="AL162" s="43" t="str">
        <f aca="false">IF(AK162="","-",IF(AK162&gt;=설정!$C$6,"Cheap",IF(AK162&lt;=-설정!$C$6,"Rich","Fair")))</f>
        <v>Fair</v>
      </c>
      <c r="AM162" s="96" t="n">
        <f aca="false">IF(AE162="","",AJ162-AVERAGEIFS($AJ$2:$AJ$601,$B$2:$B$601,B162,$Y$2:$Y$601,1))</f>
        <v>7.05145592045465</v>
      </c>
      <c r="AN162" s="93" t="n">
        <f aca="false">IF(AE162="",0,IF(K162&gt;1+설정!$C$8,AG162*(AA162-LN(K162-1)),0))</f>
        <v>5.49741573626477</v>
      </c>
      <c r="AO162" s="99" t="n">
        <f aca="false">IF($A162="",0,SUMIFS(보유분석!$AA$2:$AA$801,보유분석!$AB$2:$AB$801,ROW(),보유분석!$AC$2:$AC$801,1))</f>
        <v>0</v>
      </c>
      <c r="AP162" s="43" t="str">
        <f aca="false">IF($A162="","",TRIM(IF(R162=1,"FRN ","")&amp;IF(IFERROR(VLOOKUP(M162,설정!$A$15:$D$47,4,0),0)&gt;=10,IF(IFERROR(VLOOKUP(M162,설정!$A$15:$D$47,4,0),0)&lt;99,"BBB0미만 ",""),"")&amp;IF(OR(M162="",M162="NR"),"등급미입력 ","")&amp;IF(C162&lt;&gt;"USD","비USD ","")))</f>
        <v/>
      </c>
      <c r="AQ162" s="90" t="n">
        <f aca="false">IF(AND(Y162=1,AL162="Cheap"),IF(AND(ISERROR(SEARCH("FRN",AP162)),ISERROR(SEARCH("BBB0미만",AP162))),AK162+ROW()/1000000000,-999),-999)</f>
        <v>-999</v>
      </c>
      <c r="AR162" s="92" t="n">
        <f aca="false">IF(AND(ISNUMBER(D162),ISNUMBER(K162)),D162+AN162*MAX(K162-1,0)/100,"")</f>
        <v>5.63145393164663</v>
      </c>
      <c r="AS162" s="93" t="n">
        <f aca="false">IF(AND(ISNUMBER(E162),ISNUMBER(K162)),IF(K162&gt;0,(E162+AN162*MAX(K162-1,0))/K162,""),"")</f>
        <v>13.1705083791788</v>
      </c>
      <c r="AT162" s="90" t="n">
        <f aca="false">IFERROR(IF(AND(Y162=1,ROW()&lt;&gt;스왑분석!$C$12+1,ABS(K162-INDEX($K$2:$K$601,스왑분석!$C$12))&lt;=스왑분석!$C$5,ISERROR(SEARCH("FRN",AP162)),ISERROR(SEARCH("BBB0미만",AP162))),IF(AND(OR(스왑분석!$C$6="N",L162=INDEX($L$2:$L$601,스왑분석!$C$12)),OR(스왑분석!$C$7="N",N162=INDEX($N$2:$N$601,스왑분석!$C$12)),OR(스왑분석!$C$8="N",AO162=0),E162-INDEX($E$2:$E$601,스왑분석!$C$12)&gt;=스왑분석!$C$9),E162-INDEX($E$2:$E$601,스왑분석!$C$12)+ROW()/1000000000,-999),-999),-999)</f>
        <v>-999</v>
      </c>
      <c r="AU162" s="90" t="n">
        <f aca="false">IF(AND(Y162=1,AO162&gt;0,AL162="Rich"),-AK162+ROW()/1000000000,-999)</f>
        <v>-999</v>
      </c>
    </row>
    <row r="163" customFormat="false" ht="15" hidden="false" customHeight="false" outlineLevel="0" collapsed="false">
      <c r="A163" s="83" t="str">
        <f aca="false">IFERROR(IF(INDEX(원자료_시장!$A$1:$BZ$1000,설정!$L$6+ROW()-1,설정!$L$24)&amp;""="0","",INDEX(원자료_시장!$A$1:$BZ$1000,설정!$L$6+ROW()-1,설정!$L$24)),"")</f>
        <v>KORGAS 4 1/2 06/23/31</v>
      </c>
      <c r="B163" s="83" t="str">
        <f aca="false">IFERROR(IF(INDEX(원자료_시장!$A$1:$BZ$1000,설정!$L$6+ROW()-1,설정!$L$37)&amp;""="0","",INDEX(원자료_시장!$A$1:$BZ$1000,설정!$L$6+ROW()-1,설정!$L$37)),"")</f>
        <v>KOREA GAS CORP</v>
      </c>
      <c r="C163" s="83" t="str">
        <f aca="false">IFERROR(IF(INDEX(원자료_시장!$A$1:$BZ$1000,설정!$L$6+ROW()-1,설정!$L$25)&amp;""="0","",INDEX(원자료_시장!$A$1:$BZ$1000,설정!$L$6+ROW()-1,설정!$L$25)),"")</f>
        <v>USD</v>
      </c>
      <c r="D163" s="85" t="n">
        <f aca="false">IFERROR(IF(ISNUMBER(INDEX(원자료_시장!$A$1:$BZ$1000,설정!$L$6+ROW()-1,설정!$L$26)),INDEX(원자료_시장!$A$1:$BZ$1000,설정!$L$6+ROW()-1,설정!$L$26),""),"")</f>
        <v>5.501</v>
      </c>
      <c r="E163" s="97" t="n">
        <f aca="false">IFERROR(IF(ISNUMBER(INDEX(원자료_시장!$A$1:$BZ$1000,설정!$L$6+ROW()-1,설정!$L$27)),INDEX(원자료_시장!$A$1:$BZ$1000,설정!$L$6+ROW()-1,설정!$L$27),""),"")</f>
        <v>41.416</v>
      </c>
      <c r="F163" s="97" t="n">
        <f aca="false">IFERROR(IF(ISNUMBER(INDEX(원자료_시장!$A$1:$BZ$1000,설정!$L$6+ROW()-1,설정!$L$28)),INDEX(원자료_시장!$A$1:$BZ$1000,설정!$L$6+ROW()-1,설정!$L$28),""),"")</f>
        <v>74.902</v>
      </c>
      <c r="G163" s="97" t="n">
        <f aca="false">IFERROR(IF(ISNUMBER(INDEX(원자료_시장!$A$1:$BZ$1000,설정!$L$6+ROW()-1,설정!$L$29)),INDEX(원자료_시장!$A$1:$BZ$1000,설정!$L$6+ROW()-1,설정!$L$29),""),"")</f>
        <v>0.6</v>
      </c>
      <c r="H163" s="97" t="n">
        <f aca="false">IFERROR(IF(ISNUMBER(INDEX(원자료_시장!$A$1:$BZ$1000,설정!$L$6+ROW()-1,설정!$L$30)),INDEX(원자료_시장!$A$1:$BZ$1000,설정!$L$6+ROW()-1,설정!$L$30),""),"")</f>
        <v>2</v>
      </c>
      <c r="I163" s="97" t="n">
        <f aca="false">IFERROR(IF(ISNUMBER(INDEX(원자료_시장!$A$1:$BZ$1000,설정!$L$6+ROW()-1,설정!$L$31)),INDEX(원자료_시장!$A$1:$BZ$1000,설정!$L$6+ROW()-1,설정!$L$31),""),"")</f>
        <v>0.8</v>
      </c>
      <c r="J163" s="97" t="n">
        <f aca="false">IFERROR(IF(ISNUMBER(INDEX(원자료_시장!$A$1:$BZ$1000,설정!$L$6+ROW()-1,설정!$L$32)),INDEX(원자료_시장!$A$1:$BZ$1000,설정!$L$6+ROW()-1,설정!$L$32),""),"")</f>
        <v>4.5</v>
      </c>
      <c r="K163" s="85" t="n">
        <f aca="false">IFERROR(IF(ISNUMBER(INDEX(원자료_시장!$A$1:$BZ$1000,설정!$L$6+ROW()-1,설정!$L$33)),INDEX(원자료_시장!$A$1:$BZ$1000,설정!$L$6+ROW()-1,설정!$L$33),""),"")</f>
        <v>4.245</v>
      </c>
      <c r="L163" s="83" t="str">
        <f aca="false">IFERROR(IF(INDEX(원자료_시장!$A$1:$BZ$1000,설정!$L$6+ROW()-1,설정!$L$34)&amp;""="0","",INDEX(원자료_시장!$A$1:$BZ$1000,설정!$L$6+ROW()-1,설정!$L$34)),"")</f>
        <v>정부</v>
      </c>
      <c r="M163" s="83" t="str">
        <f aca="false">IFERROR(IF(INDEX(원자료_시장!$A$1:$BZ$1000,설정!$L$6+ROW()-1,설정!$L$35)&amp;""="0","",INDEX(원자료_시장!$A$1:$BZ$1000,설정!$L$6+ROW()-1,설정!$L$35)),"")</f>
        <v>AA</v>
      </c>
      <c r="N163" s="83" t="str">
        <f aca="false">IFERROR(IF(INDEX(원자료_시장!$A$1:$BZ$1000,설정!$L$6+ROW()-1,설정!$L$36)&amp;""="0","",INDEX(원자료_시장!$A$1:$BZ$1000,설정!$L$6+ROW()-1,설정!$L$36)),"")</f>
        <v>아시아/기타</v>
      </c>
      <c r="O163" s="43" t="str">
        <f aca="false">IF($A163="","",UPPER(LEFT($A163,FIND(" ",$A163&amp;" ")-1)))</f>
        <v>KORGAS</v>
      </c>
      <c r="P163" s="43" t="str">
        <f aca="false">IF($A163="","",TRIM(RIGHT(SUBSTITUTE(TRIM($A163)," ",REPT(" ",30)),30)))</f>
        <v>06/23/31</v>
      </c>
      <c r="Q163" s="98" t="n">
        <f aca="false">IF($A163="","",IFERROR(DATE(IF(LEN(P163)=8,2000+VALUE(RIGHT(P163,2)),VALUE(RIGHT(P163,4))),VALUE(LEFT(P163,2)),VALUE(MID(P163,4,2))),""))</f>
        <v>48022</v>
      </c>
      <c r="R163" s="89" t="n">
        <f aca="false">IF($A163="",0,IF(ISNUMBER(SEARCH("Float",$A163)),1,0))</f>
        <v>0</v>
      </c>
      <c r="S163" s="43" t="str">
        <f aca="false">IF($A163="","",TRIM(MID($A163,LEN(O163)+2,LEN($A163)-LEN(O163)-LEN(P163)-1)))</f>
        <v>4 1/2</v>
      </c>
      <c r="T163" s="92" t="n">
        <f aca="false">IF(OR($A163="",R163=1),"",IFERROR(IF(ISNUMBER(FIND("/",S163)),IF(ISNUMBER(FIND(" ",S163)),VALUE(LEFT(S163,FIND(" ",S163)-1))+VALUE(MID(S163,FIND(" ",S163)+1,FIND("/",S163)-FIND(" ",S163)-1))/VALUE(MID(S163,FIND("/",S163)+1,9)),VALUE(LEFT(S163,FIND("/",S163)-1))/VALUE(MID(S163,FIND("/",S163)+1,9))),VALUE(S163)),""))</f>
        <v>4.5</v>
      </c>
      <c r="U163" s="43" t="str">
        <f aca="false">IF(OR($A163="",NOT(ISNUMBER(Q163))),"",TEXT(Q163,"yyyymmdd")&amp;"|"&amp;IF(R163=1,"F",TEXT(T163,"0.000")))</f>
        <v>20310623|4.500</v>
      </c>
      <c r="V163" s="43" t="str">
        <f aca="false">IF(U163="","",O163&amp;"|"&amp;U163)</f>
        <v>KORGAS|20310623|4.500</v>
      </c>
      <c r="W163" s="43" t="str">
        <f aca="false">IF($A163="","",IFERROR(IF(VLOOKUP(O163,매핑!$A$4:$E$92,3,0)="","미분류",VLOOKUP(O163,매핑!$A$4:$E$92,3,0)),"미분류"))</f>
        <v>한국</v>
      </c>
      <c r="X163" s="89" t="n">
        <f aca="false">IF($A163="",0,IF(O163="T",1,0))</f>
        <v>0</v>
      </c>
      <c r="Y163" s="89" t="n">
        <f aca="false">IF($A163="",0,IF(AND(C163="USD",X163=0,ISNUMBER(E163),ISNUMBER(K163)),IF(K163&gt;=설정!$C$8,1,0),0))</f>
        <v>1</v>
      </c>
      <c r="Z163" s="43" t="str">
        <f aca="false">IF($A163="","",N163&amp;"|"&amp;L163)</f>
        <v>아시아/기타|정부</v>
      </c>
      <c r="AA163" s="92" t="n">
        <f aca="false">IF(Y163=1,LN(K163),0)</f>
        <v>1.44574181976331</v>
      </c>
      <c r="AB163" s="93" t="n">
        <f aca="false">IF(Y163=1,E163,0)</f>
        <v>41.416</v>
      </c>
      <c r="AC163" s="89" t="n">
        <f aca="false">IF(Y163=1,COUNTIFS($Z$2:$Z$601,Z163,$Y$2:$Y$601,1),0)</f>
        <v>51</v>
      </c>
      <c r="AD163" s="89" t="n">
        <f aca="false">IF(Y163=1,COUNTIFS($N$2:$N$601,N163,$Y$2:$Y$601,1),0)</f>
        <v>137</v>
      </c>
      <c r="AE163" s="43" t="str">
        <f aca="false">IF(Y163&lt;&gt;1,"",IF(AND(AC163&gt;=설정!$C$7,ISNUMBER(MATCH(Z163,피어커브!$A:$A,0))),Z163,IF(AND(AD163&gt;=설정!$C$7,ISNUMBER(MATCH(N163&amp;"|전체",피어커브!$A:$A,0))),N163&amp;"|전체","전체|전체")))</f>
        <v>아시아/기타|정부</v>
      </c>
      <c r="AF163" s="93" t="n">
        <f aca="false">IF(AE163="","",INDEX(피어커브!$K:$K,MATCH(AE163,피어커브!$A:$A,0)))</f>
        <v>-1.54860147302313</v>
      </c>
      <c r="AG163" s="93" t="n">
        <f aca="false">IF(AE163="","",INDEX(피어커브!$J:$J,MATCH(AE163,피어커브!$A:$A,0)))</f>
        <v>19.8674994409945</v>
      </c>
      <c r="AH163" s="93" t="n">
        <f aca="false">IF(AE163="","",INDEX(피어커브!$L:$L,MATCH(AE163,피어커브!$A:$A,0)))</f>
        <v>13.6930241146778</v>
      </c>
      <c r="AI163" s="93" t="n">
        <f aca="false">IF(AE163="","",AF163+AG163*AA163)</f>
        <v>27.1746733229469</v>
      </c>
      <c r="AJ163" s="96" t="n">
        <f aca="false">IF(AE163="","",E163-AI163)</f>
        <v>14.2413266770531</v>
      </c>
      <c r="AK163" s="95" t="n">
        <f aca="false">IF(AE163="","",IF(ISNUMBER(AH163),IF(AH163&gt;0,AJ163/AH163,""),""))</f>
        <v>1.04004247402059</v>
      </c>
      <c r="AL163" s="43" t="str">
        <f aca="false">IF(AK163="","-",IF(AK163&gt;=설정!$C$6,"Cheap",IF(AK163&lt;=-설정!$C$6,"Rich","Fair")))</f>
        <v>Cheap</v>
      </c>
      <c r="AM163" s="96" t="n">
        <f aca="false">IF(AE163="","",AJ163-AVERAGEIFS($AJ$2:$AJ$601,$B$2:$B$601,B163,$Y$2:$Y$601,1))</f>
        <v>6.19655759364999</v>
      </c>
      <c r="AN163" s="93" t="n">
        <f aca="false">IF(AE163="",0,IF(K163&gt;1+설정!$C$8,AG163*(AA163-LN(K163-1)),0))</f>
        <v>5.33693623475852</v>
      </c>
      <c r="AO163" s="99" t="n">
        <f aca="false">IF($A163="",0,SUMIFS(보유분석!$AA$2:$AA$801,보유분석!$AB$2:$AB$801,ROW(),보유분석!$AC$2:$AC$801,1))</f>
        <v>0</v>
      </c>
      <c r="AP163" s="43" t="str">
        <f aca="false">IF($A163="","",TRIM(IF(R163=1,"FRN ","")&amp;IF(IFERROR(VLOOKUP(M163,설정!$A$15:$D$47,4,0),0)&gt;=10,IF(IFERROR(VLOOKUP(M163,설정!$A$15:$D$47,4,0),0)&lt;99,"BBB0미만 ",""),"")&amp;IF(OR(M163="",M163="NR"),"등급미입력 ","")&amp;IF(C163&lt;&gt;"USD","비USD ","")))</f>
        <v/>
      </c>
      <c r="AQ163" s="90" t="n">
        <f aca="false">IF(AND(Y163=1,AL163="Cheap"),IF(AND(ISERROR(SEARCH("FRN",AP163)),ISERROR(SEARCH("BBB0미만",AP163))),AK163+ROW()/1000000000,-999),-999)</f>
        <v>1.04004263702059</v>
      </c>
      <c r="AR163" s="92" t="n">
        <f aca="false">IF(AND(ISNUMBER(D163),ISNUMBER(K163)),D163+AN163*MAX(K163-1,0)/100,"")</f>
        <v>5.67418358081792</v>
      </c>
      <c r="AS163" s="93" t="n">
        <f aca="false">IF(AND(ISNUMBER(E163),ISNUMBER(K163)),IF(K163&gt;0,(E163+AN163*MAX(K163-1,0))/K163,""),"")</f>
        <v>13.8361267566057</v>
      </c>
      <c r="AT163" s="90" t="n">
        <f aca="false">IFERROR(IF(AND(Y163=1,ROW()&lt;&gt;스왑분석!$C$12+1,ABS(K163-INDEX($K$2:$K$601,스왑분석!$C$12))&lt;=스왑분석!$C$5,ISERROR(SEARCH("FRN",AP163)),ISERROR(SEARCH("BBB0미만",AP163))),IF(AND(OR(스왑분석!$C$6="N",L163=INDEX($L$2:$L$601,스왑분석!$C$12)),OR(스왑분석!$C$7="N",N163=INDEX($N$2:$N$601,스왑분석!$C$12)),OR(스왑분석!$C$8="N",AO163=0),E163-INDEX($E$2:$E$601,스왑분석!$C$12)&gt;=스왑분석!$C$9),E163-INDEX($E$2:$E$601,스왑분석!$C$12)+ROW()/1000000000,-999),-999),-999)</f>
        <v>-999</v>
      </c>
      <c r="AU163" s="90" t="n">
        <f aca="false">IF(AND(Y163=1,AO163&gt;0,AL163="Rich"),-AK163+ROW()/1000000000,-999)</f>
        <v>-999</v>
      </c>
    </row>
    <row r="164" customFormat="false" ht="15" hidden="false" customHeight="false" outlineLevel="0" collapsed="false">
      <c r="A164" s="83" t="str">
        <f aca="false">IFERROR(IF(INDEX(원자료_시장!$A$1:$BZ$1000,설정!$L$6+ROW()-1,설정!$L$24)&amp;""="0","",INDEX(원자료_시장!$A$1:$BZ$1000,설정!$L$6+ROW()-1,설정!$L$24)),"")</f>
        <v>KOHNPW 4 5/8 07/29/29</v>
      </c>
      <c r="B164" s="83" t="str">
        <f aca="false">IFERROR(IF(INDEX(원자료_시장!$A$1:$BZ$1000,설정!$L$6+ROW()-1,설정!$L$37)&amp;""="0","",INDEX(원자료_시장!$A$1:$BZ$1000,설정!$L$6+ROW()-1,설정!$L$37)),"")</f>
        <v>KOREA HYDRO &amp; NUCLEAR PO</v>
      </c>
      <c r="C164" s="83" t="str">
        <f aca="false">IFERROR(IF(INDEX(원자료_시장!$A$1:$BZ$1000,설정!$L$6+ROW()-1,설정!$L$25)&amp;""="0","",INDEX(원자료_시장!$A$1:$BZ$1000,설정!$L$6+ROW()-1,설정!$L$25)),"")</f>
        <v>USD</v>
      </c>
      <c r="D164" s="85" t="n">
        <f aca="false">IFERROR(IF(ISNUMBER(INDEX(원자료_시장!$A$1:$BZ$1000,설정!$L$6+ROW()-1,설정!$L$26)),INDEX(원자료_시장!$A$1:$BZ$1000,설정!$L$6+ROW()-1,설정!$L$26),""),"")</f>
        <v>5.286</v>
      </c>
      <c r="E164" s="97" t="n">
        <f aca="false">IFERROR(IF(ISNUMBER(INDEX(원자료_시장!$A$1:$BZ$1000,설정!$L$6+ROW()-1,설정!$L$27)),INDEX(원자료_시장!$A$1:$BZ$1000,설정!$L$6+ROW()-1,설정!$L$27),""),"")</f>
        <v>28.554</v>
      </c>
      <c r="F164" s="97" t="n">
        <f aca="false">IFERROR(IF(ISNUMBER(INDEX(원자료_시장!$A$1:$BZ$1000,설정!$L$6+ROW()-1,설정!$L$28)),INDEX(원자료_시장!$A$1:$BZ$1000,설정!$L$6+ROW()-1,설정!$L$28),""),"")</f>
        <v>55.746</v>
      </c>
      <c r="G164" s="97" t="n">
        <f aca="false">IFERROR(IF(ISNUMBER(INDEX(원자료_시장!$A$1:$BZ$1000,설정!$L$6+ROW()-1,설정!$L$29)),INDEX(원자료_시장!$A$1:$BZ$1000,설정!$L$6+ROW()-1,설정!$L$29),""),"")</f>
        <v>-1</v>
      </c>
      <c r="H164" s="97" t="n">
        <f aca="false">IFERROR(IF(ISNUMBER(INDEX(원자료_시장!$A$1:$BZ$1000,설정!$L$6+ROW()-1,설정!$L$30)),INDEX(원자료_시장!$A$1:$BZ$1000,설정!$L$6+ROW()-1,설정!$L$30),""),"")</f>
        <v>4.1</v>
      </c>
      <c r="I164" s="97" t="n">
        <f aca="false">IFERROR(IF(ISNUMBER(INDEX(원자료_시장!$A$1:$BZ$1000,설정!$L$6+ROW()-1,설정!$L$31)),INDEX(원자료_시장!$A$1:$BZ$1000,설정!$L$6+ROW()-1,설정!$L$31),""),"")</f>
        <v>-0.5</v>
      </c>
      <c r="J164" s="97" t="n">
        <f aca="false">IFERROR(IF(ISNUMBER(INDEX(원자료_시장!$A$1:$BZ$1000,설정!$L$6+ROW()-1,설정!$L$32)),INDEX(원자료_시장!$A$1:$BZ$1000,설정!$L$6+ROW()-1,설정!$L$32),""),"")</f>
        <v>-7.1</v>
      </c>
      <c r="K164" s="85" t="n">
        <f aca="false">IFERROR(IF(ISNUMBER(INDEX(원자료_시장!$A$1:$BZ$1000,설정!$L$6+ROW()-1,설정!$L$33)),INDEX(원자료_시장!$A$1:$BZ$1000,설정!$L$6+ROW()-1,설정!$L$33),""),"")</f>
        <v>2.659</v>
      </c>
      <c r="L164" s="83" t="str">
        <f aca="false">IFERROR(IF(INDEX(원자료_시장!$A$1:$BZ$1000,설정!$L$6+ROW()-1,설정!$L$34)&amp;""="0","",INDEX(원자료_시장!$A$1:$BZ$1000,설정!$L$6+ROW()-1,설정!$L$34)),"")</f>
        <v>유틸리티</v>
      </c>
      <c r="M164" s="83" t="str">
        <f aca="false">IFERROR(IF(INDEX(원자료_시장!$A$1:$BZ$1000,설정!$L$6+ROW()-1,설정!$L$35)&amp;""="0","",INDEX(원자료_시장!$A$1:$BZ$1000,설정!$L$6+ROW()-1,설정!$L$35)),"")</f>
        <v>AA</v>
      </c>
      <c r="N164" s="83" t="str">
        <f aca="false">IFERROR(IF(INDEX(원자료_시장!$A$1:$BZ$1000,설정!$L$6+ROW()-1,설정!$L$36)&amp;""="0","",INDEX(원자료_시장!$A$1:$BZ$1000,설정!$L$6+ROW()-1,설정!$L$36)),"")</f>
        <v>아시아/기타</v>
      </c>
      <c r="O164" s="43" t="str">
        <f aca="false">IF($A164="","",UPPER(LEFT($A164,FIND(" ",$A164&amp;" ")-1)))</f>
        <v>KOHNPW</v>
      </c>
      <c r="P164" s="43" t="str">
        <f aca="false">IF($A164="","",TRIM(RIGHT(SUBSTITUTE(TRIM($A164)," ",REPT(" ",30)),30)))</f>
        <v>07/29/29</v>
      </c>
      <c r="Q164" s="98" t="n">
        <f aca="false">IF($A164="","",IFERROR(DATE(IF(LEN(P164)=8,2000+VALUE(RIGHT(P164,2)),VALUE(RIGHT(P164,4))),VALUE(LEFT(P164,2)),VALUE(MID(P164,4,2))),""))</f>
        <v>47328</v>
      </c>
      <c r="R164" s="89" t="n">
        <f aca="false">IF($A164="",0,IF(ISNUMBER(SEARCH("Float",$A164)),1,0))</f>
        <v>0</v>
      </c>
      <c r="S164" s="43" t="str">
        <f aca="false">IF($A164="","",TRIM(MID($A164,LEN(O164)+2,LEN($A164)-LEN(O164)-LEN(P164)-1)))</f>
        <v>4 5/8</v>
      </c>
      <c r="T164" s="92" t="n">
        <f aca="false">IF(OR($A164="",R164=1),"",IFERROR(IF(ISNUMBER(FIND("/",S164)),IF(ISNUMBER(FIND(" ",S164)),VALUE(LEFT(S164,FIND(" ",S164)-1))+VALUE(MID(S164,FIND(" ",S164)+1,FIND("/",S164)-FIND(" ",S164)-1))/VALUE(MID(S164,FIND("/",S164)+1,9)),VALUE(LEFT(S164,FIND("/",S164)-1))/VALUE(MID(S164,FIND("/",S164)+1,9))),VALUE(S164)),""))</f>
        <v>4.625</v>
      </c>
      <c r="U164" s="43" t="str">
        <f aca="false">IF(OR($A164="",NOT(ISNUMBER(Q164))),"",TEXT(Q164,"yyyymmdd")&amp;"|"&amp;IF(R164=1,"F",TEXT(T164,"0.000")))</f>
        <v>20290729|4.625</v>
      </c>
      <c r="V164" s="43" t="str">
        <f aca="false">IF(U164="","",O164&amp;"|"&amp;U164)</f>
        <v>KOHNPW|20290729|4.625</v>
      </c>
      <c r="W164" s="43" t="str">
        <f aca="false">IF($A164="","",IFERROR(IF(VLOOKUP(O164,매핑!$A$4:$E$92,3,0)="","미분류",VLOOKUP(O164,매핑!$A$4:$E$92,3,0)),"미분류"))</f>
        <v>한국</v>
      </c>
      <c r="X164" s="89" t="n">
        <f aca="false">IF($A164="",0,IF(O164="T",1,0))</f>
        <v>0</v>
      </c>
      <c r="Y164" s="89" t="n">
        <f aca="false">IF($A164="",0,IF(AND(C164="USD",X164=0,ISNUMBER(E164),ISNUMBER(K164)),IF(K164&gt;=설정!$C$8,1,0),0))</f>
        <v>1</v>
      </c>
      <c r="Z164" s="43" t="str">
        <f aca="false">IF($A164="","",N164&amp;"|"&amp;L164)</f>
        <v>아시아/기타|유틸리티</v>
      </c>
      <c r="AA164" s="92" t="n">
        <f aca="false">IF(Y164=1,LN(K164),0)</f>
        <v>0.977950112260883</v>
      </c>
      <c r="AB164" s="93" t="n">
        <f aca="false">IF(Y164=1,E164,0)</f>
        <v>28.554</v>
      </c>
      <c r="AC164" s="89" t="n">
        <f aca="false">IF(Y164=1,COUNTIFS($Z$2:$Z$601,Z164,$Y$2:$Y$601,1),0)</f>
        <v>5</v>
      </c>
      <c r="AD164" s="89" t="n">
        <f aca="false">IF(Y164=1,COUNTIFS($N$2:$N$601,N164,$Y$2:$Y$601,1),0)</f>
        <v>137</v>
      </c>
      <c r="AE164" s="43" t="str">
        <f aca="false">IF(Y164&lt;&gt;1,"",IF(AND(AC164&gt;=설정!$C$7,ISNUMBER(MATCH(Z164,피어커브!$A:$A,0))),Z164,IF(AND(AD164&gt;=설정!$C$7,ISNUMBER(MATCH(N164&amp;"|전체",피어커브!$A:$A,0))),N164&amp;"|전체","전체|전체")))</f>
        <v>아시아/기타|유틸리티</v>
      </c>
      <c r="AF164" s="93" t="n">
        <f aca="false">IF(AE164="","",INDEX(피어커브!$K:$K,MATCH(AE164,피어커브!$A:$A,0)))</f>
        <v>-5.75296194923287</v>
      </c>
      <c r="AG164" s="93" t="n">
        <f aca="false">IF(AE164="","",INDEX(피어커브!$J:$J,MATCH(AE164,피어커브!$A:$A,0)))</f>
        <v>37.7569760298006</v>
      </c>
      <c r="AH164" s="93" t="n">
        <f aca="false">IF(AE164="","",INDEX(피어커브!$L:$L,MATCH(AE164,피어커브!$A:$A,0)))</f>
        <v>5.35723070209121</v>
      </c>
      <c r="AI164" s="93" t="n">
        <f aca="false">IF(AE164="","",AF164+AG164*AA164)</f>
        <v>31.1714769977421</v>
      </c>
      <c r="AJ164" s="96" t="n">
        <f aca="false">IF(AE164="","",E164-AI164)</f>
        <v>-2.61747699774211</v>
      </c>
      <c r="AK164" s="95" t="n">
        <f aca="false">IF(AE164="","",IF(ISNUMBER(AH164),IF(AH164&gt;0,AJ164/AH164,""),""))</f>
        <v>-0.48858769451918</v>
      </c>
      <c r="AL164" s="43" t="str">
        <f aca="false">IF(AK164="","-",IF(AK164&gt;=설정!$C$6,"Cheap",IF(AK164&lt;=-설정!$C$6,"Rich","Fair")))</f>
        <v>Fair</v>
      </c>
      <c r="AM164" s="96" t="n">
        <f aca="false">IF(AE164="","",AJ164-AVERAGEIFS($AJ$2:$AJ$601,$B$2:$B$601,B164,$Y$2:$Y$601,1))</f>
        <v>0.871545370938311</v>
      </c>
      <c r="AN164" s="93" t="n">
        <f aca="false">IF(AE164="",0,IF(K164&gt;1+설정!$C$8,AG164*(AA164-LN(K164-1)),0))</f>
        <v>17.8112909028577</v>
      </c>
      <c r="AO164" s="99" t="n">
        <f aca="false">IF($A164="",0,SUMIFS(보유분석!$AA$2:$AA$801,보유분석!$AB$2:$AB$801,ROW(),보유분석!$AC$2:$AC$801,1))</f>
        <v>20.7407936</v>
      </c>
      <c r="AP164" s="43" t="str">
        <f aca="false">IF($A164="","",TRIM(IF(R164=1,"FRN ","")&amp;IF(IFERROR(VLOOKUP(M164,설정!$A$15:$D$47,4,0),0)&gt;=10,IF(IFERROR(VLOOKUP(M164,설정!$A$15:$D$47,4,0),0)&lt;99,"BBB0미만 ",""),"")&amp;IF(OR(M164="",M164="NR"),"등급미입력 ","")&amp;IF(C164&lt;&gt;"USD","비USD ","")))</f>
        <v/>
      </c>
      <c r="AQ164" s="90" t="n">
        <f aca="false">IF(AND(Y164=1,AL164="Cheap"),IF(AND(ISERROR(SEARCH("FRN",AP164)),ISERROR(SEARCH("BBB0미만",AP164))),AK164+ROW()/1000000000,-999),-999)</f>
        <v>-999</v>
      </c>
      <c r="AR164" s="92" t="n">
        <f aca="false">IF(AND(ISNUMBER(D164),ISNUMBER(K164)),D164+AN164*MAX(K164-1,0)/100,"")</f>
        <v>5.58148931607841</v>
      </c>
      <c r="AS164" s="93" t="n">
        <f aca="false">IF(AND(ISNUMBER(E164),ISNUMBER(K164)),IF(K164&gt;0,(E164+AN164*MAX(K164-1,0))/K164,""),"")</f>
        <v>21.8514221917416</v>
      </c>
      <c r="AT164" s="90" t="n">
        <f aca="false">IFERROR(IF(AND(Y164=1,ROW()&lt;&gt;스왑분석!$C$12+1,ABS(K164-INDEX($K$2:$K$601,스왑분석!$C$12))&lt;=스왑분석!$C$5,ISERROR(SEARCH("FRN",AP164)),ISERROR(SEARCH("BBB0미만",AP164))),IF(AND(OR(스왑분석!$C$6="N",L164=INDEX($L$2:$L$601,스왑분석!$C$12)),OR(스왑분석!$C$7="N",N164=INDEX($N$2:$N$601,스왑분석!$C$12)),OR(스왑분석!$C$8="N",AO164=0),E164-INDEX($E$2:$E$601,스왑분석!$C$12)&gt;=스왑분석!$C$9),E164-INDEX($E$2:$E$601,스왑분석!$C$12)+ROW()/1000000000,-999),-999),-999)</f>
        <v>-999</v>
      </c>
      <c r="AU164" s="90" t="n">
        <f aca="false">IF(AND(Y164=1,AO164&gt;0,AL164="Rich"),-AK164+ROW()/1000000000,-999)</f>
        <v>-999</v>
      </c>
    </row>
    <row r="165" customFormat="false" ht="15" hidden="false" customHeight="false" outlineLevel="0" collapsed="false">
      <c r="A165" s="83" t="str">
        <f aca="false">IFERROR(IF(INDEX(원자료_시장!$A$1:$BZ$1000,설정!$L$6+ROW()-1,설정!$L$24)&amp;""="0","",INDEX(원자료_시장!$A$1:$BZ$1000,설정!$L$6+ROW()-1,설정!$L$24)),"")</f>
        <v>KOHNPW 4 1/2 06/16/31</v>
      </c>
      <c r="B165" s="83" t="str">
        <f aca="false">IFERROR(IF(INDEX(원자료_시장!$A$1:$BZ$1000,설정!$L$6+ROW()-1,설정!$L$37)&amp;""="0","",INDEX(원자료_시장!$A$1:$BZ$1000,설정!$L$6+ROW()-1,설정!$L$37)),"")</f>
        <v>KOREA HYDRO &amp; NUCLEAR PO</v>
      </c>
      <c r="C165" s="83" t="str">
        <f aca="false">IFERROR(IF(INDEX(원자료_시장!$A$1:$BZ$1000,설정!$L$6+ROW()-1,설정!$L$25)&amp;""="0","",INDEX(원자료_시장!$A$1:$BZ$1000,설정!$L$6+ROW()-1,설정!$L$25)),"")</f>
        <v>USD</v>
      </c>
      <c r="D165" s="85" t="n">
        <f aca="false">IFERROR(IF(ISNUMBER(INDEX(원자료_시장!$A$1:$BZ$1000,설정!$L$6+ROW()-1,설정!$L$26)),INDEX(원자료_시장!$A$1:$BZ$1000,설정!$L$6+ROW()-1,설정!$L$26),""),"")</f>
        <v>5.53</v>
      </c>
      <c r="E165" s="97" t="n">
        <f aca="false">IFERROR(IF(ISNUMBER(INDEX(원자료_시장!$A$1:$BZ$1000,설정!$L$6+ROW()-1,설정!$L$27)),INDEX(원자료_시장!$A$1:$BZ$1000,설정!$L$6+ROW()-1,설정!$L$27),""),"")</f>
        <v>44.295</v>
      </c>
      <c r="F165" s="97" t="n">
        <f aca="false">IFERROR(IF(ISNUMBER(INDEX(원자료_시장!$A$1:$BZ$1000,설정!$L$6+ROW()-1,설정!$L$28)),INDEX(원자료_시장!$A$1:$BZ$1000,설정!$L$6+ROW()-1,설정!$L$28),""),"")</f>
        <v>77.798</v>
      </c>
      <c r="G165" s="97" t="n">
        <f aca="false">IFERROR(IF(ISNUMBER(INDEX(원자료_시장!$A$1:$BZ$1000,설정!$L$6+ROW()-1,설정!$L$29)),INDEX(원자료_시장!$A$1:$BZ$1000,설정!$L$6+ROW()-1,설정!$L$29),""),"")</f>
        <v>-0.7</v>
      </c>
      <c r="H165" s="97" t="n">
        <f aca="false">IFERROR(IF(ISNUMBER(INDEX(원자료_시장!$A$1:$BZ$1000,설정!$L$6+ROW()-1,설정!$L$30)),INDEX(원자료_시장!$A$1:$BZ$1000,설정!$L$6+ROW()-1,설정!$L$30),""),"")</f>
        <v>6.6</v>
      </c>
      <c r="I165" s="97" t="n">
        <f aca="false">IFERROR(IF(ISNUMBER(INDEX(원자료_시장!$A$1:$BZ$1000,설정!$L$6+ROW()-1,설정!$L$31)),INDEX(원자료_시장!$A$1:$BZ$1000,설정!$L$6+ROW()-1,설정!$L$31),""),"")</f>
        <v>-1.3</v>
      </c>
      <c r="J165" s="97" t="n">
        <f aca="false">IFERROR(IF(ISNUMBER(INDEX(원자료_시장!$A$1:$BZ$1000,설정!$L$6+ROW()-1,설정!$L$32)),INDEX(원자료_시장!$A$1:$BZ$1000,설정!$L$6+ROW()-1,설정!$L$32),""),"")</f>
        <v>-0.2</v>
      </c>
      <c r="K165" s="85" t="n">
        <f aca="false">IFERROR(IF(ISNUMBER(INDEX(원자료_시장!$A$1:$BZ$1000,설정!$L$6+ROW()-1,설정!$L$33)),INDEX(원자료_시장!$A$1:$BZ$1000,설정!$L$6+ROW()-1,설정!$L$33),""),"")</f>
        <v>4.225</v>
      </c>
      <c r="L165" s="83" t="str">
        <f aca="false">IFERROR(IF(INDEX(원자료_시장!$A$1:$BZ$1000,설정!$L$6+ROW()-1,설정!$L$34)&amp;""="0","",INDEX(원자료_시장!$A$1:$BZ$1000,설정!$L$6+ROW()-1,설정!$L$34)),"")</f>
        <v>유틸리티</v>
      </c>
      <c r="M165" s="83" t="n">
        <f aca="false">IFERROR(IF(INDEX(원자료_시장!$A$1:$BZ$1000,설정!$L$6+ROW()-1,설정!$L$35)&amp;""="0","",INDEX(원자료_시장!$A$1:$BZ$1000,설정!$L$6+ROW()-1,설정!$L$35)),"")</f>
        <v>0</v>
      </c>
      <c r="N165" s="83" t="str">
        <f aca="false">IFERROR(IF(INDEX(원자료_시장!$A$1:$BZ$1000,설정!$L$6+ROW()-1,설정!$L$36)&amp;""="0","",INDEX(원자료_시장!$A$1:$BZ$1000,설정!$L$6+ROW()-1,설정!$L$36)),"")</f>
        <v>아시아/기타</v>
      </c>
      <c r="O165" s="43" t="str">
        <f aca="false">IF($A165="","",UPPER(LEFT($A165,FIND(" ",$A165&amp;" ")-1)))</f>
        <v>KOHNPW</v>
      </c>
      <c r="P165" s="43" t="str">
        <f aca="false">IF($A165="","",TRIM(RIGHT(SUBSTITUTE(TRIM($A165)," ",REPT(" ",30)),30)))</f>
        <v>06/16/31</v>
      </c>
      <c r="Q165" s="98" t="n">
        <f aca="false">IF($A165="","",IFERROR(DATE(IF(LEN(P165)=8,2000+VALUE(RIGHT(P165,2)),VALUE(RIGHT(P165,4))),VALUE(LEFT(P165,2)),VALUE(MID(P165,4,2))),""))</f>
        <v>48015</v>
      </c>
      <c r="R165" s="89" t="n">
        <f aca="false">IF($A165="",0,IF(ISNUMBER(SEARCH("Float",$A165)),1,0))</f>
        <v>0</v>
      </c>
      <c r="S165" s="43" t="str">
        <f aca="false">IF($A165="","",TRIM(MID($A165,LEN(O165)+2,LEN($A165)-LEN(O165)-LEN(P165)-1)))</f>
        <v>4 1/2</v>
      </c>
      <c r="T165" s="92" t="n">
        <f aca="false">IF(OR($A165="",R165=1),"",IFERROR(IF(ISNUMBER(FIND("/",S165)),IF(ISNUMBER(FIND(" ",S165)),VALUE(LEFT(S165,FIND(" ",S165)-1))+VALUE(MID(S165,FIND(" ",S165)+1,FIND("/",S165)-FIND(" ",S165)-1))/VALUE(MID(S165,FIND("/",S165)+1,9)),VALUE(LEFT(S165,FIND("/",S165)-1))/VALUE(MID(S165,FIND("/",S165)+1,9))),VALUE(S165)),""))</f>
        <v>4.5</v>
      </c>
      <c r="U165" s="43" t="str">
        <f aca="false">IF(OR($A165="",NOT(ISNUMBER(Q165))),"",TEXT(Q165,"yyyymmdd")&amp;"|"&amp;IF(R165=1,"F",TEXT(T165,"0.000")))</f>
        <v>20310616|4.500</v>
      </c>
      <c r="V165" s="43" t="str">
        <f aca="false">IF(U165="","",O165&amp;"|"&amp;U165)</f>
        <v>KOHNPW|20310616|4.500</v>
      </c>
      <c r="W165" s="43" t="str">
        <f aca="false">IF($A165="","",IFERROR(IF(VLOOKUP(O165,매핑!$A$4:$E$92,3,0)="","미분류",VLOOKUP(O165,매핑!$A$4:$E$92,3,0)),"미분류"))</f>
        <v>한국</v>
      </c>
      <c r="X165" s="89" t="n">
        <f aca="false">IF($A165="",0,IF(O165="T",1,0))</f>
        <v>0</v>
      </c>
      <c r="Y165" s="89" t="n">
        <f aca="false">IF($A165="",0,IF(AND(C165="USD",X165=0,ISNUMBER(E165),ISNUMBER(K165)),IF(K165&gt;=설정!$C$8,1,0),0))</f>
        <v>1</v>
      </c>
      <c r="Z165" s="43" t="str">
        <f aca="false">IF($A165="","",N165&amp;"|"&amp;L165)</f>
        <v>아시아/기타|유틸리티</v>
      </c>
      <c r="AA165" s="92" t="n">
        <f aca="false">IF(Y165=1,LN(K165),0)</f>
        <v>1.44101926080914</v>
      </c>
      <c r="AB165" s="93" t="n">
        <f aca="false">IF(Y165=1,E165,0)</f>
        <v>44.295</v>
      </c>
      <c r="AC165" s="89" t="n">
        <f aca="false">IF(Y165=1,COUNTIFS($Z$2:$Z$601,Z165,$Y$2:$Y$601,1),0)</f>
        <v>5</v>
      </c>
      <c r="AD165" s="89" t="n">
        <f aca="false">IF(Y165=1,COUNTIFS($N$2:$N$601,N165,$Y$2:$Y$601,1),0)</f>
        <v>137</v>
      </c>
      <c r="AE165" s="43" t="str">
        <f aca="false">IF(Y165&lt;&gt;1,"",IF(AND(AC165&gt;=설정!$C$7,ISNUMBER(MATCH(Z165,피어커브!$A:$A,0))),Z165,IF(AND(AD165&gt;=설정!$C$7,ISNUMBER(MATCH(N165&amp;"|전체",피어커브!$A:$A,0))),N165&amp;"|전체","전체|전체")))</f>
        <v>아시아/기타|유틸리티</v>
      </c>
      <c r="AF165" s="93" t="n">
        <f aca="false">IF(AE165="","",INDEX(피어커브!$K:$K,MATCH(AE165,피어커브!$A:$A,0)))</f>
        <v>-5.75296194923287</v>
      </c>
      <c r="AG165" s="93" t="n">
        <f aca="false">IF(AE165="","",INDEX(피어커브!$J:$J,MATCH(AE165,피어커브!$A:$A,0)))</f>
        <v>37.7569760298006</v>
      </c>
      <c r="AH165" s="93" t="n">
        <f aca="false">IF(AE165="","",INDEX(피어커브!$L:$L,MATCH(AE165,피어커브!$A:$A,0)))</f>
        <v>5.35723070209121</v>
      </c>
      <c r="AI165" s="93" t="n">
        <f aca="false">IF(AE165="","",AF165+AG165*AA165)</f>
        <v>48.6555677396187</v>
      </c>
      <c r="AJ165" s="96" t="n">
        <f aca="false">IF(AE165="","",E165-AI165)</f>
        <v>-4.36056773961873</v>
      </c>
      <c r="AK165" s="95" t="n">
        <f aca="false">IF(AE165="","",IF(ISNUMBER(AH165),IF(AH165&gt;0,AJ165/AH165,""),""))</f>
        <v>-0.813959297649171</v>
      </c>
      <c r="AL165" s="43" t="str">
        <f aca="false">IF(AK165="","-",IF(AK165&gt;=설정!$C$6,"Cheap",IF(AK165&lt;=-설정!$C$6,"Rich","Fair")))</f>
        <v>Fair</v>
      </c>
      <c r="AM165" s="96" t="n">
        <f aca="false">IF(AE165="","",AJ165-AVERAGEIFS($AJ$2:$AJ$601,$B$2:$B$601,B165,$Y$2:$Y$601,1))</f>
        <v>-0.871545370938311</v>
      </c>
      <c r="AN165" s="93" t="n">
        <f aca="false">IF(AE165="",0,IF(K165&gt;1+설정!$C$8,AG165*(AA165-LN(K165-1)),0))</f>
        <v>10.1976423538441</v>
      </c>
      <c r="AO165" s="99" t="n">
        <f aca="false">IF($A165="",0,SUMIFS(보유분석!$AA$2:$AA$801,보유분석!$AB$2:$AB$801,ROW(),보유분석!$AC$2:$AC$801,1))</f>
        <v>0</v>
      </c>
      <c r="AP165" s="43" t="str">
        <f aca="false">IF($A165="","",TRIM(IF(R165=1,"FRN ","")&amp;IF(IFERROR(VLOOKUP(M165,설정!$A$15:$D$47,4,0),0)&gt;=10,IF(IFERROR(VLOOKUP(M165,설정!$A$15:$D$47,4,0),0)&lt;99,"BBB0미만 ",""),"")&amp;IF(OR(M165="",M165="NR"),"등급미입력 ","")&amp;IF(C165&lt;&gt;"USD","비USD ","")))</f>
        <v>등급미입력</v>
      </c>
      <c r="AQ165" s="90" t="n">
        <f aca="false">IF(AND(Y165=1,AL165="Cheap"),IF(AND(ISERROR(SEARCH("FRN",AP165)),ISERROR(SEARCH("BBB0미만",AP165))),AK165+ROW()/1000000000,-999),-999)</f>
        <v>-999</v>
      </c>
      <c r="AR165" s="92" t="n">
        <f aca="false">IF(AND(ISNUMBER(D165),ISNUMBER(K165)),D165+AN165*MAX(K165-1,0)/100,"")</f>
        <v>5.85887396591147</v>
      </c>
      <c r="AS165" s="93" t="n">
        <f aca="false">IF(AND(ISNUMBER(E165),ISNUMBER(K165)),IF(K165&gt;0,(E165+AN165*MAX(K165-1,0))/K165,""),"")</f>
        <v>18.26802286181</v>
      </c>
      <c r="AT165" s="90" t="n">
        <f aca="false">IFERROR(IF(AND(Y165=1,ROW()&lt;&gt;스왑분석!$C$12+1,ABS(K165-INDEX($K$2:$K$601,스왑분석!$C$12))&lt;=스왑분석!$C$5,ISERROR(SEARCH("FRN",AP165)),ISERROR(SEARCH("BBB0미만",AP165))),IF(AND(OR(스왑분석!$C$6="N",L165=INDEX($L$2:$L$601,스왑분석!$C$12)),OR(스왑분석!$C$7="N",N165=INDEX($N$2:$N$601,스왑분석!$C$12)),OR(스왑분석!$C$8="N",AO165=0),E165-INDEX($E$2:$E$601,스왑분석!$C$12)&gt;=스왑분석!$C$9),E165-INDEX($E$2:$E$601,스왑분석!$C$12)+ROW()/1000000000,-999),-999),-999)</f>
        <v>-999</v>
      </c>
      <c r="AU165" s="90" t="n">
        <f aca="false">IF(AND(Y165=1,AO165&gt;0,AL165="Rich"),-AK165+ROW()/1000000000,-999)</f>
        <v>-999</v>
      </c>
    </row>
    <row r="166" customFormat="false" ht="15" hidden="false" customHeight="false" outlineLevel="0" collapsed="false">
      <c r="A166" s="83" t="str">
        <f aca="false">IFERROR(IF(INDEX(원자료_시장!$A$1:$BZ$1000,설정!$L$6+ROW()-1,설정!$L$24)&amp;""="0","",INDEX(원자료_시장!$A$1:$BZ$1000,설정!$L$6+ROW()-1,설정!$L$24)),"")</f>
        <v>KORELE 5 3/8 07/31/26</v>
      </c>
      <c r="B166" s="83" t="str">
        <f aca="false">IFERROR(IF(INDEX(원자료_시장!$A$1:$BZ$1000,설정!$L$6+ROW()-1,설정!$L$37)&amp;""="0","",INDEX(원자료_시장!$A$1:$BZ$1000,설정!$L$6+ROW()-1,설정!$L$37)),"")</f>
        <v>KOREA ELECTRIC POWER CO</v>
      </c>
      <c r="C166" s="83" t="str">
        <f aca="false">IFERROR(IF(INDEX(원자료_시장!$A$1:$BZ$1000,설정!$L$6+ROW()-1,설정!$L$25)&amp;""="0","",INDEX(원자료_시장!$A$1:$BZ$1000,설정!$L$6+ROW()-1,설정!$L$25)),"")</f>
        <v>USD</v>
      </c>
      <c r="D166" s="85" t="str">
        <f aca="false">IFERROR(IF(ISNUMBER(INDEX(원자료_시장!$A$1:$BZ$1000,설정!$L$6+ROW()-1,설정!$L$26)),INDEX(원자료_시장!$A$1:$BZ$1000,설정!$L$6+ROW()-1,설정!$L$26),""),"")</f>
        <v/>
      </c>
      <c r="E166" s="97" t="str">
        <f aca="false">IFERROR(IF(ISNUMBER(INDEX(원자료_시장!$A$1:$BZ$1000,설정!$L$6+ROW()-1,설정!$L$27)),INDEX(원자료_시장!$A$1:$BZ$1000,설정!$L$6+ROW()-1,설정!$L$27),""),"")</f>
        <v/>
      </c>
      <c r="F166" s="97" t="str">
        <f aca="false">IFERROR(IF(ISNUMBER(INDEX(원자료_시장!$A$1:$BZ$1000,설정!$L$6+ROW()-1,설정!$L$28)),INDEX(원자료_시장!$A$1:$BZ$1000,설정!$L$6+ROW()-1,설정!$L$28),""),"")</f>
        <v/>
      </c>
      <c r="G166" s="97" t="n">
        <f aca="false">IFERROR(IF(ISNUMBER(INDEX(원자료_시장!$A$1:$BZ$1000,설정!$L$6+ROW()-1,설정!$L$29)),INDEX(원자료_시장!$A$1:$BZ$1000,설정!$L$6+ROW()-1,설정!$L$29),""),"")</f>
        <v>-418.9</v>
      </c>
      <c r="H166" s="97" t="str">
        <f aca="false">IFERROR(IF(ISNUMBER(INDEX(원자료_시장!$A$1:$BZ$1000,설정!$L$6+ROW()-1,설정!$L$30)),INDEX(원자료_시장!$A$1:$BZ$1000,설정!$L$6+ROW()-1,설정!$L$30),""),"")</f>
        <v/>
      </c>
      <c r="I166" s="97" t="str">
        <f aca="false">IFERROR(IF(ISNUMBER(INDEX(원자료_시장!$A$1:$BZ$1000,설정!$L$6+ROW()-1,설정!$L$31)),INDEX(원자료_시장!$A$1:$BZ$1000,설정!$L$6+ROW()-1,설정!$L$31),""),"")</f>
        <v/>
      </c>
      <c r="J166" s="97" t="n">
        <f aca="false">IFERROR(IF(ISNUMBER(INDEX(원자료_시장!$A$1:$BZ$1000,설정!$L$6+ROW()-1,설정!$L$32)),INDEX(원자료_시장!$A$1:$BZ$1000,설정!$L$6+ROW()-1,설정!$L$32),""),"")</f>
        <v>-418.9</v>
      </c>
      <c r="K166" s="85" t="str">
        <f aca="false">IFERROR(IF(ISNUMBER(INDEX(원자료_시장!$A$1:$BZ$1000,설정!$L$6+ROW()-1,설정!$L$33)),INDEX(원자료_시장!$A$1:$BZ$1000,설정!$L$6+ROW()-1,설정!$L$33),""),"")</f>
        <v/>
      </c>
      <c r="L166" s="83" t="str">
        <f aca="false">IFERROR(IF(INDEX(원자료_시장!$A$1:$BZ$1000,설정!$L$6+ROW()-1,설정!$L$34)&amp;""="0","",INDEX(원자료_시장!$A$1:$BZ$1000,설정!$L$6+ROW()-1,설정!$L$34)),"")</f>
        <v>정부</v>
      </c>
      <c r="M166" s="83" t="str">
        <f aca="false">IFERROR(IF(INDEX(원자료_시장!$A$1:$BZ$1000,설정!$L$6+ROW()-1,설정!$L$35)&amp;""="0","",INDEX(원자료_시장!$A$1:$BZ$1000,설정!$L$6+ROW()-1,설정!$L$35)),"")</f>
        <v>NR</v>
      </c>
      <c r="N166" s="83" t="str">
        <f aca="false">IFERROR(IF(INDEX(원자료_시장!$A$1:$BZ$1000,설정!$L$6+ROW()-1,설정!$L$36)&amp;""="0","",INDEX(원자료_시장!$A$1:$BZ$1000,설정!$L$6+ROW()-1,설정!$L$36)),"")</f>
        <v>아시아/기타</v>
      </c>
      <c r="O166" s="43" t="str">
        <f aca="false">IF($A166="","",UPPER(LEFT($A166,FIND(" ",$A166&amp;" ")-1)))</f>
        <v>KORELE</v>
      </c>
      <c r="P166" s="43" t="str">
        <f aca="false">IF($A166="","",TRIM(RIGHT(SUBSTITUTE(TRIM($A166)," ",REPT(" ",30)),30)))</f>
        <v>07/31/26</v>
      </c>
      <c r="Q166" s="98" t="n">
        <f aca="false">IF($A166="","",IFERROR(DATE(IF(LEN(P166)=8,2000+VALUE(RIGHT(P166,2)),VALUE(RIGHT(P166,4))),VALUE(LEFT(P166,2)),VALUE(MID(P166,4,2))),""))</f>
        <v>46234</v>
      </c>
      <c r="R166" s="89" t="n">
        <f aca="false">IF($A166="",0,IF(ISNUMBER(SEARCH("Float",$A166)),1,0))</f>
        <v>0</v>
      </c>
      <c r="S166" s="43" t="str">
        <f aca="false">IF($A166="","",TRIM(MID($A166,LEN(O166)+2,LEN($A166)-LEN(O166)-LEN(P166)-1)))</f>
        <v>5 3/8</v>
      </c>
      <c r="T166" s="92" t="n">
        <f aca="false">IF(OR($A166="",R166=1),"",IFERROR(IF(ISNUMBER(FIND("/",S166)),IF(ISNUMBER(FIND(" ",S166)),VALUE(LEFT(S166,FIND(" ",S166)-1))+VALUE(MID(S166,FIND(" ",S166)+1,FIND("/",S166)-FIND(" ",S166)-1))/VALUE(MID(S166,FIND("/",S166)+1,9)),VALUE(LEFT(S166,FIND("/",S166)-1))/VALUE(MID(S166,FIND("/",S166)+1,9))),VALUE(S166)),""))</f>
        <v>5.375</v>
      </c>
      <c r="U166" s="43" t="str">
        <f aca="false">IF(OR($A166="",NOT(ISNUMBER(Q166))),"",TEXT(Q166,"yyyymmdd")&amp;"|"&amp;IF(R166=1,"F",TEXT(T166,"0.000")))</f>
        <v>20260731|5.375</v>
      </c>
      <c r="V166" s="43" t="str">
        <f aca="false">IF(U166="","",O166&amp;"|"&amp;U166)</f>
        <v>KORELE|20260731|5.375</v>
      </c>
      <c r="W166" s="43" t="str">
        <f aca="false">IF($A166="","",IFERROR(IF(VLOOKUP(O166,매핑!$A$4:$E$92,3,0)="","미분류",VLOOKUP(O166,매핑!$A$4:$E$92,3,0)),"미분류"))</f>
        <v>한국</v>
      </c>
      <c r="X166" s="89" t="n">
        <f aca="false">IF($A166="",0,IF(O166="T",1,0))</f>
        <v>0</v>
      </c>
      <c r="Y166" s="89" t="n">
        <f aca="false">IF($A166="",0,IF(AND(C166="USD",X166=0,ISNUMBER(E166),ISNUMBER(K166)),IF(K166&gt;=설정!$C$8,1,0),0))</f>
        <v>0</v>
      </c>
      <c r="Z166" s="43" t="str">
        <f aca="false">IF($A166="","",N166&amp;"|"&amp;L166)</f>
        <v>아시아/기타|정부</v>
      </c>
      <c r="AA166" s="92" t="n">
        <f aca="false">IF(Y166=1,LN(K166),0)</f>
        <v>0</v>
      </c>
      <c r="AB166" s="93" t="n">
        <f aca="false">IF(Y166=1,E166,0)</f>
        <v>0</v>
      </c>
      <c r="AC166" s="89" t="n">
        <f aca="false">IF(Y166=1,COUNTIFS($Z$2:$Z$601,Z166,$Y$2:$Y$601,1),0)</f>
        <v>0</v>
      </c>
      <c r="AD166" s="89" t="n">
        <f aca="false">IF(Y166=1,COUNTIFS($N$2:$N$601,N166,$Y$2:$Y$601,1),0)</f>
        <v>0</v>
      </c>
      <c r="AE166" s="43" t="str">
        <f aca="false">IF(Y166&lt;&gt;1,"",IF(AND(AC166&gt;=설정!$C$7,ISNUMBER(MATCH(Z166,피어커브!$A:$A,0))),Z166,IF(AND(AD166&gt;=설정!$C$7,ISNUMBER(MATCH(N166&amp;"|전체",피어커브!$A:$A,0))),N166&amp;"|전체","전체|전체")))</f>
        <v/>
      </c>
      <c r="AF166" s="93" t="str">
        <f aca="false">IF(AE166="","",INDEX(피어커브!$K:$K,MATCH(AE166,피어커브!$A:$A,0)))</f>
        <v/>
      </c>
      <c r="AG166" s="93" t="str">
        <f aca="false">IF(AE166="","",INDEX(피어커브!$J:$J,MATCH(AE166,피어커브!$A:$A,0)))</f>
        <v/>
      </c>
      <c r="AH166" s="93" t="str">
        <f aca="false">IF(AE166="","",INDEX(피어커브!$L:$L,MATCH(AE166,피어커브!$A:$A,0)))</f>
        <v/>
      </c>
      <c r="AI166" s="93" t="str">
        <f aca="false">IF(AE166="","",AF166+AG166*AA166)</f>
        <v/>
      </c>
      <c r="AJ166" s="96" t="str">
        <f aca="false">IF(AE166="","",E166-AI166)</f>
        <v/>
      </c>
      <c r="AK166" s="95" t="str">
        <f aca="false">IF(AE166="","",IF(ISNUMBER(AH166),IF(AH166&gt;0,AJ166/AH166,""),""))</f>
        <v/>
      </c>
      <c r="AL166" s="43" t="str">
        <f aca="false">IF(AK166="","-",IF(AK166&gt;=설정!$C$6,"Cheap",IF(AK166&lt;=-설정!$C$6,"Rich","Fair")))</f>
        <v>-</v>
      </c>
      <c r="AM166" s="96" t="str">
        <f aca="false">IF(AE166="","",AJ166-AVERAGEIFS($AJ$2:$AJ$601,$B$2:$B$601,B166,$Y$2:$Y$601,1))</f>
        <v/>
      </c>
      <c r="AN166" s="93" t="n">
        <f aca="false">IF(AE166="",0,IF(K166&gt;1+설정!$C$8,AG166*(AA166-LN(K166-1)),0))</f>
        <v>0</v>
      </c>
      <c r="AO166" s="99" t="n">
        <f aca="false">IF($A166="",0,SUMIFS(보유분석!$AA$2:$AA$801,보유분석!$AB$2:$AB$801,ROW(),보유분석!$AC$2:$AC$801,1))</f>
        <v>0</v>
      </c>
      <c r="AP166" s="43" t="str">
        <f aca="false">IF($A166="","",TRIM(IF(R166=1,"FRN ","")&amp;IF(IFERROR(VLOOKUP(M166,설정!$A$15:$D$47,4,0),0)&gt;=10,IF(IFERROR(VLOOKUP(M166,설정!$A$15:$D$47,4,0),0)&lt;99,"BBB0미만 ",""),"")&amp;IF(OR(M166="",M166="NR"),"등급미입력 ","")&amp;IF(C166&lt;&gt;"USD","비USD ","")))</f>
        <v>등급미입력</v>
      </c>
      <c r="AQ166" s="90" t="n">
        <f aca="false">IF(AND(Y166=1,AL166="Cheap"),IF(AND(ISERROR(SEARCH("FRN",AP166)),ISERROR(SEARCH("BBB0미만",AP166))),AK166+ROW()/1000000000,-999),-999)</f>
        <v>-999</v>
      </c>
      <c r="AR166" s="92" t="str">
        <f aca="false">IF(AND(ISNUMBER(D166),ISNUMBER(K166)),D166+AN166*MAX(K166-1,0)/100,"")</f>
        <v/>
      </c>
      <c r="AS166" s="93" t="str">
        <f aca="false">IF(AND(ISNUMBER(E166),ISNUMBER(K166)),IF(K166&gt;0,(E166+AN166*MAX(K166-1,0))/K166,""),"")</f>
        <v/>
      </c>
      <c r="AT166" s="90" t="n">
        <f aca="false">IFERROR(IF(AND(Y166=1,ROW()&lt;&gt;스왑분석!$C$12+1,ABS(K166-INDEX($K$2:$K$601,스왑분석!$C$12))&lt;=스왑분석!$C$5,ISERROR(SEARCH("FRN",AP166)),ISERROR(SEARCH("BBB0미만",AP166))),IF(AND(OR(스왑분석!$C$6="N",L166=INDEX($L$2:$L$601,스왑분석!$C$12)),OR(스왑분석!$C$7="N",N166=INDEX($N$2:$N$601,스왑분석!$C$12)),OR(스왑분석!$C$8="N",AO166=0),E166-INDEX($E$2:$E$601,스왑분석!$C$12)&gt;=스왑분석!$C$9),E166-INDEX($E$2:$E$601,스왑분석!$C$12)+ROW()/1000000000,-999),-999),-999)</f>
        <v>-999</v>
      </c>
      <c r="AU166" s="90" t="n">
        <f aca="false">IF(AND(Y166=1,AO166&gt;0,AL166="Rich"),-AK166+ROW()/1000000000,-999)</f>
        <v>-999</v>
      </c>
    </row>
    <row r="167" customFormat="false" ht="15" hidden="false" customHeight="false" outlineLevel="0" collapsed="false">
      <c r="A167" s="83" t="str">
        <f aca="false">IFERROR(IF(INDEX(원자료_시장!$A$1:$BZ$1000,설정!$L$6+ROW()-1,설정!$L$24)&amp;""="0","",INDEX(원자료_시장!$A$1:$BZ$1000,설정!$L$6+ROW()-1,설정!$L$24)),"")</f>
        <v>KORELE 4 1/8 11/12/30</v>
      </c>
      <c r="B167" s="83" t="str">
        <f aca="false">IFERROR(IF(INDEX(원자료_시장!$A$1:$BZ$1000,설정!$L$6+ROW()-1,설정!$L$37)&amp;""="0","",INDEX(원자료_시장!$A$1:$BZ$1000,설정!$L$6+ROW()-1,설정!$L$37)),"")</f>
        <v>KOREA ELECTRIC POWER CO</v>
      </c>
      <c r="C167" s="83" t="str">
        <f aca="false">IFERROR(IF(INDEX(원자료_시장!$A$1:$BZ$1000,설정!$L$6+ROW()-1,설정!$L$25)&amp;""="0","",INDEX(원자료_시장!$A$1:$BZ$1000,설정!$L$6+ROW()-1,설정!$L$25)),"")</f>
        <v>USD</v>
      </c>
      <c r="D167" s="85" t="n">
        <f aca="false">IFERROR(IF(ISNUMBER(INDEX(원자료_시장!$A$1:$BZ$1000,설정!$L$6+ROW()-1,설정!$L$26)),INDEX(원자료_시장!$A$1:$BZ$1000,설정!$L$6+ROW()-1,설정!$L$26),""),"")</f>
        <v>5.419</v>
      </c>
      <c r="E167" s="97" t="n">
        <f aca="false">IFERROR(IF(ISNUMBER(INDEX(원자료_시장!$A$1:$BZ$1000,설정!$L$6+ROW()-1,설정!$L$27)),INDEX(원자료_시장!$A$1:$BZ$1000,설정!$L$6+ROW()-1,설정!$L$27),""),"")</f>
        <v>33.196</v>
      </c>
      <c r="F167" s="97" t="n">
        <f aca="false">IFERROR(IF(ISNUMBER(INDEX(원자료_시장!$A$1:$BZ$1000,설정!$L$6+ROW()-1,설정!$L$28)),INDEX(원자료_시장!$A$1:$BZ$1000,설정!$L$6+ROW()-1,설정!$L$28),""),"")</f>
        <v>67.227</v>
      </c>
      <c r="G167" s="97" t="n">
        <f aca="false">IFERROR(IF(ISNUMBER(INDEX(원자료_시장!$A$1:$BZ$1000,설정!$L$6+ROW()-1,설정!$L$29)),INDEX(원자료_시장!$A$1:$BZ$1000,설정!$L$6+ROW()-1,설정!$L$29),""),"")</f>
        <v>0.1</v>
      </c>
      <c r="H167" s="97" t="n">
        <f aca="false">IFERROR(IF(ISNUMBER(INDEX(원자료_시장!$A$1:$BZ$1000,설정!$L$6+ROW()-1,설정!$L$30)),INDEX(원자료_시장!$A$1:$BZ$1000,설정!$L$6+ROW()-1,설정!$L$30),""),"")</f>
        <v>4.1</v>
      </c>
      <c r="I167" s="97" t="n">
        <f aca="false">IFERROR(IF(ISNUMBER(INDEX(원자료_시장!$A$1:$BZ$1000,설정!$L$6+ROW()-1,설정!$L$31)),INDEX(원자료_시장!$A$1:$BZ$1000,설정!$L$6+ROW()-1,설정!$L$31),""),"")</f>
        <v>-0.1</v>
      </c>
      <c r="J167" s="97" t="n">
        <f aca="false">IFERROR(IF(ISNUMBER(INDEX(원자료_시장!$A$1:$BZ$1000,설정!$L$6+ROW()-1,설정!$L$32)),INDEX(원자료_시장!$A$1:$BZ$1000,설정!$L$6+ROW()-1,설정!$L$32),""),"")</f>
        <v>0.3</v>
      </c>
      <c r="K167" s="85" t="n">
        <f aca="false">IFERROR(IF(ISNUMBER(INDEX(원자료_시장!$A$1:$BZ$1000,설정!$L$6+ROW()-1,설정!$L$33)),INDEX(원자료_시장!$A$1:$BZ$1000,설정!$L$6+ROW()-1,설정!$L$33),""),"")</f>
        <v>3.753</v>
      </c>
      <c r="L167" s="83" t="str">
        <f aca="false">IFERROR(IF(INDEX(원자료_시장!$A$1:$BZ$1000,설정!$L$6+ROW()-1,설정!$L$34)&amp;""="0","",INDEX(원자료_시장!$A$1:$BZ$1000,설정!$L$6+ROW()-1,설정!$L$34)),"")</f>
        <v>정부</v>
      </c>
      <c r="M167" s="83" t="str">
        <f aca="false">IFERROR(IF(INDEX(원자료_시장!$A$1:$BZ$1000,설정!$L$6+ROW()-1,설정!$L$35)&amp;""="0","",INDEX(원자료_시장!$A$1:$BZ$1000,설정!$L$6+ROW()-1,설정!$L$35)),"")</f>
        <v>AA</v>
      </c>
      <c r="N167" s="83" t="str">
        <f aca="false">IFERROR(IF(INDEX(원자료_시장!$A$1:$BZ$1000,설정!$L$6+ROW()-1,설정!$L$36)&amp;""="0","",INDEX(원자료_시장!$A$1:$BZ$1000,설정!$L$6+ROW()-1,설정!$L$36)),"")</f>
        <v>아시아/기타</v>
      </c>
      <c r="O167" s="43" t="str">
        <f aca="false">IF($A167="","",UPPER(LEFT($A167,FIND(" ",$A167&amp;" ")-1)))</f>
        <v>KORELE</v>
      </c>
      <c r="P167" s="43" t="str">
        <f aca="false">IF($A167="","",TRIM(RIGHT(SUBSTITUTE(TRIM($A167)," ",REPT(" ",30)),30)))</f>
        <v>11/12/30</v>
      </c>
      <c r="Q167" s="98" t="n">
        <f aca="false">IF($A167="","",IFERROR(DATE(IF(LEN(P167)=8,2000+VALUE(RIGHT(P167,2)),VALUE(RIGHT(P167,4))),VALUE(LEFT(P167,2)),VALUE(MID(P167,4,2))),""))</f>
        <v>47799</v>
      </c>
      <c r="R167" s="89" t="n">
        <f aca="false">IF($A167="",0,IF(ISNUMBER(SEARCH("Float",$A167)),1,0))</f>
        <v>0</v>
      </c>
      <c r="S167" s="43" t="str">
        <f aca="false">IF($A167="","",TRIM(MID($A167,LEN(O167)+2,LEN($A167)-LEN(O167)-LEN(P167)-1)))</f>
        <v>4 1/8</v>
      </c>
      <c r="T167" s="92" t="n">
        <f aca="false">IF(OR($A167="",R167=1),"",IFERROR(IF(ISNUMBER(FIND("/",S167)),IF(ISNUMBER(FIND(" ",S167)),VALUE(LEFT(S167,FIND(" ",S167)-1))+VALUE(MID(S167,FIND(" ",S167)+1,FIND("/",S167)-FIND(" ",S167)-1))/VALUE(MID(S167,FIND("/",S167)+1,9)),VALUE(LEFT(S167,FIND("/",S167)-1))/VALUE(MID(S167,FIND("/",S167)+1,9))),VALUE(S167)),""))</f>
        <v>4.125</v>
      </c>
      <c r="U167" s="43" t="str">
        <f aca="false">IF(OR($A167="",NOT(ISNUMBER(Q167))),"",TEXT(Q167,"yyyymmdd")&amp;"|"&amp;IF(R167=1,"F",TEXT(T167,"0.000")))</f>
        <v>20301112|4.125</v>
      </c>
      <c r="V167" s="43" t="str">
        <f aca="false">IF(U167="","",O167&amp;"|"&amp;U167)</f>
        <v>KORELE|20301112|4.125</v>
      </c>
      <c r="W167" s="43" t="str">
        <f aca="false">IF($A167="","",IFERROR(IF(VLOOKUP(O167,매핑!$A$4:$E$92,3,0)="","미분류",VLOOKUP(O167,매핑!$A$4:$E$92,3,0)),"미분류"))</f>
        <v>한국</v>
      </c>
      <c r="X167" s="89" t="n">
        <f aca="false">IF($A167="",0,IF(O167="T",1,0))</f>
        <v>0</v>
      </c>
      <c r="Y167" s="89" t="n">
        <f aca="false">IF($A167="",0,IF(AND(C167="USD",X167=0,ISNUMBER(E167),ISNUMBER(K167)),IF(K167&gt;=설정!$C$8,1,0),0))</f>
        <v>1</v>
      </c>
      <c r="Z167" s="43" t="str">
        <f aca="false">IF($A167="","",N167&amp;"|"&amp;L167)</f>
        <v>아시아/기타|정부</v>
      </c>
      <c r="AA167" s="92" t="n">
        <f aca="false">IF(Y167=1,LN(K167),0)</f>
        <v>1.32255552015288</v>
      </c>
      <c r="AB167" s="93" t="n">
        <f aca="false">IF(Y167=1,E167,0)</f>
        <v>33.196</v>
      </c>
      <c r="AC167" s="89" t="n">
        <f aca="false">IF(Y167=1,COUNTIFS($Z$2:$Z$601,Z167,$Y$2:$Y$601,1),0)</f>
        <v>51</v>
      </c>
      <c r="AD167" s="89" t="n">
        <f aca="false">IF(Y167=1,COUNTIFS($N$2:$N$601,N167,$Y$2:$Y$601,1),0)</f>
        <v>137</v>
      </c>
      <c r="AE167" s="43" t="str">
        <f aca="false">IF(Y167&lt;&gt;1,"",IF(AND(AC167&gt;=설정!$C$7,ISNUMBER(MATCH(Z167,피어커브!$A:$A,0))),Z167,IF(AND(AD167&gt;=설정!$C$7,ISNUMBER(MATCH(N167&amp;"|전체",피어커브!$A:$A,0))),N167&amp;"|전체","전체|전체")))</f>
        <v>아시아/기타|정부</v>
      </c>
      <c r="AF167" s="93" t="n">
        <f aca="false">IF(AE167="","",INDEX(피어커브!$K:$K,MATCH(AE167,피어커브!$A:$A,0)))</f>
        <v>-1.54860147302313</v>
      </c>
      <c r="AG167" s="93" t="n">
        <f aca="false">IF(AE167="","",INDEX(피어커브!$J:$J,MATCH(AE167,피어커브!$A:$A,0)))</f>
        <v>19.8674994409945</v>
      </c>
      <c r="AH167" s="93" t="n">
        <f aca="false">IF(AE167="","",INDEX(피어커브!$L:$L,MATCH(AE167,피어커브!$A:$A,0)))</f>
        <v>13.6930241146778</v>
      </c>
      <c r="AI167" s="93" t="n">
        <f aca="false">IF(AE167="","",AF167+AG167*AA167)</f>
        <v>24.7272695842985</v>
      </c>
      <c r="AJ167" s="96" t="n">
        <f aca="false">IF(AE167="","",E167-AI167)</f>
        <v>8.46873041570146</v>
      </c>
      <c r="AK167" s="95" t="n">
        <f aca="false">IF(AE167="","",IF(ISNUMBER(AH167),IF(AH167&gt;0,AJ167/AH167,""),""))</f>
        <v>0.618470422952346</v>
      </c>
      <c r="AL167" s="43" t="str">
        <f aca="false">IF(AK167="","-",IF(AK167&gt;=설정!$C$6,"Cheap",IF(AK167&lt;=-설정!$C$6,"Rich","Fair")))</f>
        <v>Fair</v>
      </c>
      <c r="AM167" s="96" t="n">
        <f aca="false">IF(AE167="","",AJ167-AVERAGEIFS($AJ$2:$AJ$601,$B$2:$B$601,B167,$Y$2:$Y$601,1))</f>
        <v>-4.60180301202667</v>
      </c>
      <c r="AN167" s="93" t="n">
        <f aca="false">IF(AE167="",0,IF(K167&gt;1+설정!$C$8,AG167*(AA167-LN(K167-1)),0))</f>
        <v>6.15622868767844</v>
      </c>
      <c r="AO167" s="99" t="n">
        <f aca="false">IF($A167="",0,SUMIFS(보유분석!$AA$2:$AA$801,보유분석!$AB$2:$AB$801,ROW(),보유분석!$AC$2:$AC$801,1))</f>
        <v>0</v>
      </c>
      <c r="AP167" s="43" t="str">
        <f aca="false">IF($A167="","",TRIM(IF(R167=1,"FRN ","")&amp;IF(IFERROR(VLOOKUP(M167,설정!$A$15:$D$47,4,0),0)&gt;=10,IF(IFERROR(VLOOKUP(M167,설정!$A$15:$D$47,4,0),0)&lt;99,"BBB0미만 ",""),"")&amp;IF(OR(M167="",M167="NR"),"등급미입력 ","")&amp;IF(C167&lt;&gt;"USD","비USD ","")))</f>
        <v/>
      </c>
      <c r="AQ167" s="90" t="n">
        <f aca="false">IF(AND(Y167=1,AL167="Cheap"),IF(AND(ISERROR(SEARCH("FRN",AP167)),ISERROR(SEARCH("BBB0미만",AP167))),AK167+ROW()/1000000000,-999),-999)</f>
        <v>-999</v>
      </c>
      <c r="AR167" s="92" t="n">
        <f aca="false">IF(AND(ISNUMBER(D167),ISNUMBER(K167)),D167+AN167*MAX(K167-1,0)/100,"")</f>
        <v>5.58848097577179</v>
      </c>
      <c r="AS167" s="93" t="n">
        <f aca="false">IF(AND(ISNUMBER(E167),ISNUMBER(K167)),IF(K167&gt;0,(E167+AN167*MAX(K167-1,0))/K167,""),"")</f>
        <v>13.3610704975163</v>
      </c>
      <c r="AT167" s="90" t="n">
        <f aca="false">IFERROR(IF(AND(Y167=1,ROW()&lt;&gt;스왑분석!$C$12+1,ABS(K167-INDEX($K$2:$K$601,스왑분석!$C$12))&lt;=스왑분석!$C$5,ISERROR(SEARCH("FRN",AP167)),ISERROR(SEARCH("BBB0미만",AP167))),IF(AND(OR(스왑분석!$C$6="N",L167=INDEX($L$2:$L$601,스왑분석!$C$12)),OR(스왑분석!$C$7="N",N167=INDEX($N$2:$N$601,스왑분석!$C$12)),OR(스왑분석!$C$8="N",AO167=0),E167-INDEX($E$2:$E$601,스왑분석!$C$12)&gt;=스왑분석!$C$9),E167-INDEX($E$2:$E$601,스왑분석!$C$12)+ROW()/1000000000,-999),-999),-999)</f>
        <v>-999</v>
      </c>
      <c r="AU167" s="90" t="n">
        <f aca="false">IF(AND(Y167=1,AO167&gt;0,AL167="Rich"),-AK167+ROW()/1000000000,-999)</f>
        <v>-999</v>
      </c>
    </row>
    <row r="168" customFormat="false" ht="15" hidden="false" customHeight="false" outlineLevel="0" collapsed="false">
      <c r="A168" s="83" t="str">
        <f aca="false">IFERROR(IF(INDEX(원자료_시장!$A$1:$BZ$1000,설정!$L$6+ROW()-1,설정!$L$24)&amp;""="0","",INDEX(원자료_시장!$A$1:$BZ$1000,설정!$L$6+ROW()-1,설정!$L$24)),"")</f>
        <v>KORELE Float 07/21/29</v>
      </c>
      <c r="B168" s="83" t="str">
        <f aca="false">IFERROR(IF(INDEX(원자료_시장!$A$1:$BZ$1000,설정!$L$6+ROW()-1,설정!$L$37)&amp;""="0","",INDEX(원자료_시장!$A$1:$BZ$1000,설정!$L$6+ROW()-1,설정!$L$37)),"")</f>
        <v>KOREA ELECTRIC POWER CO</v>
      </c>
      <c r="C168" s="83" t="str">
        <f aca="false">IFERROR(IF(INDEX(원자료_시장!$A$1:$BZ$1000,설정!$L$6+ROW()-1,설정!$L$25)&amp;""="0","",INDEX(원자료_시장!$A$1:$BZ$1000,설정!$L$6+ROW()-1,설정!$L$25)),"")</f>
        <v>USD</v>
      </c>
      <c r="D168" s="85" t="n">
        <f aca="false">IFERROR(IF(ISNUMBER(INDEX(원자료_시장!$A$1:$BZ$1000,설정!$L$6+ROW()-1,설정!$L$26)),INDEX(원자료_시장!$A$1:$BZ$1000,설정!$L$6+ROW()-1,설정!$L$26),""),"")</f>
        <v>4.387</v>
      </c>
      <c r="E168" s="97" t="str">
        <f aca="false">IFERROR(IF(ISNUMBER(INDEX(원자료_시장!$A$1:$BZ$1000,설정!$L$6+ROW()-1,설정!$L$27)),INDEX(원자료_시장!$A$1:$BZ$1000,설정!$L$6+ROW()-1,설정!$L$27),""),"")</f>
        <v/>
      </c>
      <c r="F168" s="97" t="str">
        <f aca="false">IFERROR(IF(ISNUMBER(INDEX(원자료_시장!$A$1:$BZ$1000,설정!$L$6+ROW()-1,설정!$L$28)),INDEX(원자료_시장!$A$1:$BZ$1000,설정!$L$6+ROW()-1,설정!$L$28),""),"")</f>
        <v/>
      </c>
      <c r="G168" s="97" t="n">
        <f aca="false">IFERROR(IF(ISNUMBER(INDEX(원자료_시장!$A$1:$BZ$1000,설정!$L$6+ROW()-1,설정!$L$29)),INDEX(원자료_시장!$A$1:$BZ$1000,설정!$L$6+ROW()-1,설정!$L$29),""),"")</f>
        <v>-12.1</v>
      </c>
      <c r="H168" s="97" t="n">
        <f aca="false">IFERROR(IF(ISNUMBER(INDEX(원자료_시장!$A$1:$BZ$1000,설정!$L$6+ROW()-1,설정!$L$30)),INDEX(원자료_시장!$A$1:$BZ$1000,설정!$L$6+ROW()-1,설정!$L$30),""),"")</f>
        <v>-10.9</v>
      </c>
      <c r="I168" s="97" t="n">
        <f aca="false">IFERROR(IF(ISNUMBER(INDEX(원자료_시장!$A$1:$BZ$1000,설정!$L$6+ROW()-1,설정!$L$31)),INDEX(원자료_시장!$A$1:$BZ$1000,설정!$L$6+ROW()-1,설정!$L$31),""),"")</f>
        <v>-19</v>
      </c>
      <c r="J168" s="97" t="n">
        <f aca="false">IFERROR(IF(ISNUMBER(INDEX(원자료_시장!$A$1:$BZ$1000,설정!$L$6+ROW()-1,설정!$L$32)),INDEX(원자료_시장!$A$1:$BZ$1000,설정!$L$6+ROW()-1,설정!$L$32),""),"")</f>
        <v>-36.2</v>
      </c>
      <c r="K168" s="85" t="n">
        <f aca="false">IFERROR(IF(ISNUMBER(INDEX(원자료_시장!$A$1:$BZ$1000,설정!$L$6+ROW()-1,설정!$L$33)),INDEX(원자료_시장!$A$1:$BZ$1000,설정!$L$6+ROW()-1,설정!$L$33),""),"")</f>
        <v>0.008</v>
      </c>
      <c r="L168" s="83" t="str">
        <f aca="false">IFERROR(IF(INDEX(원자료_시장!$A$1:$BZ$1000,설정!$L$6+ROW()-1,설정!$L$34)&amp;""="0","",INDEX(원자료_시장!$A$1:$BZ$1000,설정!$L$6+ROW()-1,설정!$L$34)),"")</f>
        <v>정부</v>
      </c>
      <c r="M168" s="83" t="str">
        <f aca="false">IFERROR(IF(INDEX(원자료_시장!$A$1:$BZ$1000,설정!$L$6+ROW()-1,설정!$L$35)&amp;""="0","",INDEX(원자료_시장!$A$1:$BZ$1000,설정!$L$6+ROW()-1,설정!$L$35)),"")</f>
        <v>AA</v>
      </c>
      <c r="N168" s="83" t="str">
        <f aca="false">IFERROR(IF(INDEX(원자료_시장!$A$1:$BZ$1000,설정!$L$6+ROW()-1,설정!$L$36)&amp;""="0","",INDEX(원자료_시장!$A$1:$BZ$1000,설정!$L$6+ROW()-1,설정!$L$36)),"")</f>
        <v>아시아/기타</v>
      </c>
      <c r="O168" s="43" t="str">
        <f aca="false">IF($A168="","",UPPER(LEFT($A168,FIND(" ",$A168&amp;" ")-1)))</f>
        <v>KORELE</v>
      </c>
      <c r="P168" s="43" t="str">
        <f aca="false">IF($A168="","",TRIM(RIGHT(SUBSTITUTE(TRIM($A168)," ",REPT(" ",30)),30)))</f>
        <v>07/21/29</v>
      </c>
      <c r="Q168" s="98" t="n">
        <f aca="false">IF($A168="","",IFERROR(DATE(IF(LEN(P168)=8,2000+VALUE(RIGHT(P168,2)),VALUE(RIGHT(P168,4))),VALUE(LEFT(P168,2)),VALUE(MID(P168,4,2))),""))</f>
        <v>47320</v>
      </c>
      <c r="R168" s="89" t="n">
        <f aca="false">IF($A168="",0,IF(ISNUMBER(SEARCH("Float",$A168)),1,0))</f>
        <v>1</v>
      </c>
      <c r="S168" s="43" t="str">
        <f aca="false">IF($A168="","",TRIM(MID($A168,LEN(O168)+2,LEN($A168)-LEN(O168)-LEN(P168)-1)))</f>
        <v>Float</v>
      </c>
      <c r="T168" s="92" t="str">
        <f aca="false">IF(OR($A168="",R168=1),"",IFERROR(IF(ISNUMBER(FIND("/",S168)),IF(ISNUMBER(FIND(" ",S168)),VALUE(LEFT(S168,FIND(" ",S168)-1))+VALUE(MID(S168,FIND(" ",S168)+1,FIND("/",S168)-FIND(" ",S168)-1))/VALUE(MID(S168,FIND("/",S168)+1,9)),VALUE(LEFT(S168,FIND("/",S168)-1))/VALUE(MID(S168,FIND("/",S168)+1,9))),VALUE(S168)),""))</f>
        <v/>
      </c>
      <c r="U168" s="43" t="str">
        <f aca="false">IF(OR($A168="",NOT(ISNUMBER(Q168))),"",TEXT(Q168,"yyyymmdd")&amp;"|"&amp;IF(R168=1,"F",TEXT(T168,"0.000")))</f>
        <v>20290721|F</v>
      </c>
      <c r="V168" s="43" t="str">
        <f aca="false">IF(U168="","",O168&amp;"|"&amp;U168)</f>
        <v>KORELE|20290721|F</v>
      </c>
      <c r="W168" s="43" t="str">
        <f aca="false">IF($A168="","",IFERROR(IF(VLOOKUP(O168,매핑!$A$4:$E$92,3,0)="","미분류",VLOOKUP(O168,매핑!$A$4:$E$92,3,0)),"미분류"))</f>
        <v>한국</v>
      </c>
      <c r="X168" s="89" t="n">
        <f aca="false">IF($A168="",0,IF(O168="T",1,0))</f>
        <v>0</v>
      </c>
      <c r="Y168" s="89" t="n">
        <f aca="false">IF($A168="",0,IF(AND(C168="USD",X168=0,ISNUMBER(E168),ISNUMBER(K168)),IF(K168&gt;=설정!$C$8,1,0),0))</f>
        <v>0</v>
      </c>
      <c r="Z168" s="43" t="str">
        <f aca="false">IF($A168="","",N168&amp;"|"&amp;L168)</f>
        <v>아시아/기타|정부</v>
      </c>
      <c r="AA168" s="92" t="n">
        <f aca="false">IF(Y168=1,LN(K168),0)</f>
        <v>0</v>
      </c>
      <c r="AB168" s="93" t="n">
        <f aca="false">IF(Y168=1,E168,0)</f>
        <v>0</v>
      </c>
      <c r="AC168" s="89" t="n">
        <f aca="false">IF(Y168=1,COUNTIFS($Z$2:$Z$601,Z168,$Y$2:$Y$601,1),0)</f>
        <v>0</v>
      </c>
      <c r="AD168" s="89" t="n">
        <f aca="false">IF(Y168=1,COUNTIFS($N$2:$N$601,N168,$Y$2:$Y$601,1),0)</f>
        <v>0</v>
      </c>
      <c r="AE168" s="43" t="str">
        <f aca="false">IF(Y168&lt;&gt;1,"",IF(AND(AC168&gt;=설정!$C$7,ISNUMBER(MATCH(Z168,피어커브!$A:$A,0))),Z168,IF(AND(AD168&gt;=설정!$C$7,ISNUMBER(MATCH(N168&amp;"|전체",피어커브!$A:$A,0))),N168&amp;"|전체","전체|전체")))</f>
        <v/>
      </c>
      <c r="AF168" s="93" t="str">
        <f aca="false">IF(AE168="","",INDEX(피어커브!$K:$K,MATCH(AE168,피어커브!$A:$A,0)))</f>
        <v/>
      </c>
      <c r="AG168" s="93" t="str">
        <f aca="false">IF(AE168="","",INDEX(피어커브!$J:$J,MATCH(AE168,피어커브!$A:$A,0)))</f>
        <v/>
      </c>
      <c r="AH168" s="93" t="str">
        <f aca="false">IF(AE168="","",INDEX(피어커브!$L:$L,MATCH(AE168,피어커브!$A:$A,0)))</f>
        <v/>
      </c>
      <c r="AI168" s="93" t="str">
        <f aca="false">IF(AE168="","",AF168+AG168*AA168)</f>
        <v/>
      </c>
      <c r="AJ168" s="96" t="str">
        <f aca="false">IF(AE168="","",E168-AI168)</f>
        <v/>
      </c>
      <c r="AK168" s="95" t="str">
        <f aca="false">IF(AE168="","",IF(ISNUMBER(AH168),IF(AH168&gt;0,AJ168/AH168,""),""))</f>
        <v/>
      </c>
      <c r="AL168" s="43" t="str">
        <f aca="false">IF(AK168="","-",IF(AK168&gt;=설정!$C$6,"Cheap",IF(AK168&lt;=-설정!$C$6,"Rich","Fair")))</f>
        <v>-</v>
      </c>
      <c r="AM168" s="96" t="str">
        <f aca="false">IF(AE168="","",AJ168-AVERAGEIFS($AJ$2:$AJ$601,$B$2:$B$601,B168,$Y$2:$Y$601,1))</f>
        <v/>
      </c>
      <c r="AN168" s="93" t="n">
        <f aca="false">IF(AE168="",0,IF(K168&gt;1+설정!$C$8,AG168*(AA168-LN(K168-1)),0))</f>
        <v>0</v>
      </c>
      <c r="AO168" s="99" t="n">
        <f aca="false">IF($A168="",0,SUMIFS(보유분석!$AA$2:$AA$801,보유분석!$AB$2:$AB$801,ROW(),보유분석!$AC$2:$AC$801,1))</f>
        <v>0</v>
      </c>
      <c r="AP168" s="43" t="str">
        <f aca="false">IF($A168="","",TRIM(IF(R168=1,"FRN ","")&amp;IF(IFERROR(VLOOKUP(M168,설정!$A$15:$D$47,4,0),0)&gt;=10,IF(IFERROR(VLOOKUP(M168,설정!$A$15:$D$47,4,0),0)&lt;99,"BBB0미만 ",""),"")&amp;IF(OR(M168="",M168="NR"),"등급미입력 ","")&amp;IF(C168&lt;&gt;"USD","비USD ","")))</f>
        <v>FRN</v>
      </c>
      <c r="AQ168" s="90" t="n">
        <f aca="false">IF(AND(Y168=1,AL168="Cheap"),IF(AND(ISERROR(SEARCH("FRN",AP168)),ISERROR(SEARCH("BBB0미만",AP168))),AK168+ROW()/1000000000,-999),-999)</f>
        <v>-999</v>
      </c>
      <c r="AR168" s="92" t="n">
        <f aca="false">IF(AND(ISNUMBER(D168),ISNUMBER(K168)),D168+AN168*MAX(K168-1,0)/100,"")</f>
        <v>4.387</v>
      </c>
      <c r="AS168" s="93" t="str">
        <f aca="false">IF(AND(ISNUMBER(E168),ISNUMBER(K168)),IF(K168&gt;0,(E168+AN168*MAX(K168-1,0))/K168,""),"")</f>
        <v/>
      </c>
      <c r="AT168" s="90" t="n">
        <f aca="false">IFERROR(IF(AND(Y168=1,ROW()&lt;&gt;스왑분석!$C$12+1,ABS(K168-INDEX($K$2:$K$601,스왑분석!$C$12))&lt;=스왑분석!$C$5,ISERROR(SEARCH("FRN",AP168)),ISERROR(SEARCH("BBB0미만",AP168))),IF(AND(OR(스왑분석!$C$6="N",L168=INDEX($L$2:$L$601,스왑분석!$C$12)),OR(스왑분석!$C$7="N",N168=INDEX($N$2:$N$601,스왑분석!$C$12)),OR(스왑분석!$C$8="N",AO168=0),E168-INDEX($E$2:$E$601,스왑분석!$C$12)&gt;=스왑분석!$C$9),E168-INDEX($E$2:$E$601,스왑분석!$C$12)+ROW()/1000000000,-999),-999),-999)</f>
        <v>-999</v>
      </c>
      <c r="AU168" s="90" t="n">
        <f aca="false">IF(AND(Y168=1,AO168&gt;0,AL168="Rich"),-AK168+ROW()/1000000000,-999)</f>
        <v>-999</v>
      </c>
    </row>
    <row r="169" customFormat="false" ht="15" hidden="false" customHeight="false" outlineLevel="0" collapsed="false">
      <c r="A169" s="83" t="str">
        <f aca="false">IFERROR(IF(INDEX(원자료_시장!$A$1:$BZ$1000,설정!$L$6+ROW()-1,설정!$L$24)&amp;""="0","",INDEX(원자료_시장!$A$1:$BZ$1000,설정!$L$6+ROW()-1,설정!$L$24)),"")</f>
        <v>KORELE 4 3/4 07/21/31</v>
      </c>
      <c r="B169" s="83" t="str">
        <f aca="false">IFERROR(IF(INDEX(원자료_시장!$A$1:$BZ$1000,설정!$L$6+ROW()-1,설정!$L$37)&amp;""="0","",INDEX(원자료_시장!$A$1:$BZ$1000,설정!$L$6+ROW()-1,설정!$L$37)),"")</f>
        <v>KOREA ELECTRIC POWER CO</v>
      </c>
      <c r="C169" s="83" t="str">
        <f aca="false">IFERROR(IF(INDEX(원자료_시장!$A$1:$BZ$1000,설정!$L$6+ROW()-1,설정!$L$25)&amp;""="0","",INDEX(원자료_시장!$A$1:$BZ$1000,설정!$L$6+ROW()-1,설정!$L$25)),"")</f>
        <v>USD</v>
      </c>
      <c r="D169" s="85" t="n">
        <f aca="false">IFERROR(IF(ISNUMBER(INDEX(원자료_시장!$A$1:$BZ$1000,설정!$L$6+ROW()-1,설정!$L$26)),INDEX(원자료_시장!$A$1:$BZ$1000,설정!$L$6+ROW()-1,설정!$L$26),""),"")</f>
        <v>5.557</v>
      </c>
      <c r="E169" s="97" t="n">
        <f aca="false">IFERROR(IF(ISNUMBER(INDEX(원자료_시장!$A$1:$BZ$1000,설정!$L$6+ROW()-1,설정!$L$27)),INDEX(원자료_시장!$A$1:$BZ$1000,설정!$L$6+ROW()-1,설정!$L$27),""),"")</f>
        <v>47.011</v>
      </c>
      <c r="F169" s="97" t="n">
        <f aca="false">IFERROR(IF(ISNUMBER(INDEX(원자료_시장!$A$1:$BZ$1000,설정!$L$6+ROW()-1,설정!$L$28)),INDEX(원자료_시장!$A$1:$BZ$1000,설정!$L$6+ROW()-1,설정!$L$28),""),"")</f>
        <v>80.429</v>
      </c>
      <c r="G169" s="97" t="n">
        <f aca="false">IFERROR(IF(ISNUMBER(INDEX(원자료_시장!$A$1:$BZ$1000,설정!$L$6+ROW()-1,설정!$L$29)),INDEX(원자료_시장!$A$1:$BZ$1000,설정!$L$6+ROW()-1,설정!$L$29),""),"")</f>
        <v>0.1</v>
      </c>
      <c r="H169" s="97" t="n">
        <f aca="false">IFERROR(IF(ISNUMBER(INDEX(원자료_시장!$A$1:$BZ$1000,설정!$L$6+ROW()-1,설정!$L$30)),INDEX(원자료_시장!$A$1:$BZ$1000,설정!$L$6+ROW()-1,설정!$L$30),""),"")</f>
        <v>3</v>
      </c>
      <c r="I169" s="97" t="n">
        <f aca="false">IFERROR(IF(ISNUMBER(INDEX(원자료_시장!$A$1:$BZ$1000,설정!$L$6+ROW()-1,설정!$L$31)),INDEX(원자료_시장!$A$1:$BZ$1000,설정!$L$6+ROW()-1,설정!$L$31),""),"")</f>
        <v>0.8</v>
      </c>
      <c r="J169" s="97" t="n">
        <f aca="false">IFERROR(IF(ISNUMBER(INDEX(원자료_시장!$A$1:$BZ$1000,설정!$L$6+ROW()-1,설정!$L$32)),INDEX(원자료_시장!$A$1:$BZ$1000,설정!$L$6+ROW()-1,설정!$L$32),""),"")</f>
        <v>-2.3</v>
      </c>
      <c r="K169" s="85" t="n">
        <f aca="false">IFERROR(IF(ISNUMBER(INDEX(원자료_시장!$A$1:$BZ$1000,설정!$L$6+ROW()-1,설정!$L$33)),INDEX(원자료_시장!$A$1:$BZ$1000,설정!$L$6+ROW()-1,설정!$L$33),""),"")</f>
        <v>4.301</v>
      </c>
      <c r="L169" s="83" t="str">
        <f aca="false">IFERROR(IF(INDEX(원자료_시장!$A$1:$BZ$1000,설정!$L$6+ROW()-1,설정!$L$34)&amp;""="0","",INDEX(원자료_시장!$A$1:$BZ$1000,설정!$L$6+ROW()-1,설정!$L$34)),"")</f>
        <v>정부</v>
      </c>
      <c r="M169" s="83" t="str">
        <f aca="false">IFERROR(IF(INDEX(원자료_시장!$A$1:$BZ$1000,설정!$L$6+ROW()-1,설정!$L$35)&amp;""="0","",INDEX(원자료_시장!$A$1:$BZ$1000,설정!$L$6+ROW()-1,설정!$L$35)),"")</f>
        <v>AA</v>
      </c>
      <c r="N169" s="83" t="str">
        <f aca="false">IFERROR(IF(INDEX(원자료_시장!$A$1:$BZ$1000,설정!$L$6+ROW()-1,설정!$L$36)&amp;""="0","",INDEX(원자료_시장!$A$1:$BZ$1000,설정!$L$6+ROW()-1,설정!$L$36)),"")</f>
        <v>아시아/기타</v>
      </c>
      <c r="O169" s="43" t="str">
        <f aca="false">IF($A169="","",UPPER(LEFT($A169,FIND(" ",$A169&amp;" ")-1)))</f>
        <v>KORELE</v>
      </c>
      <c r="P169" s="43" t="str">
        <f aca="false">IF($A169="","",TRIM(RIGHT(SUBSTITUTE(TRIM($A169)," ",REPT(" ",30)),30)))</f>
        <v>07/21/31</v>
      </c>
      <c r="Q169" s="98" t="n">
        <f aca="false">IF($A169="","",IFERROR(DATE(IF(LEN(P169)=8,2000+VALUE(RIGHT(P169,2)),VALUE(RIGHT(P169,4))),VALUE(LEFT(P169,2)),VALUE(MID(P169,4,2))),""))</f>
        <v>48050</v>
      </c>
      <c r="R169" s="89" t="n">
        <f aca="false">IF($A169="",0,IF(ISNUMBER(SEARCH("Float",$A169)),1,0))</f>
        <v>0</v>
      </c>
      <c r="S169" s="43" t="str">
        <f aca="false">IF($A169="","",TRIM(MID($A169,LEN(O169)+2,LEN($A169)-LEN(O169)-LEN(P169)-1)))</f>
        <v>4 3/4</v>
      </c>
      <c r="T169" s="92" t="n">
        <f aca="false">IF(OR($A169="",R169=1),"",IFERROR(IF(ISNUMBER(FIND("/",S169)),IF(ISNUMBER(FIND(" ",S169)),VALUE(LEFT(S169,FIND(" ",S169)-1))+VALUE(MID(S169,FIND(" ",S169)+1,FIND("/",S169)-FIND(" ",S169)-1))/VALUE(MID(S169,FIND("/",S169)+1,9)),VALUE(LEFT(S169,FIND("/",S169)-1))/VALUE(MID(S169,FIND("/",S169)+1,9))),VALUE(S169)),""))</f>
        <v>4.75</v>
      </c>
      <c r="U169" s="43" t="str">
        <f aca="false">IF(OR($A169="",NOT(ISNUMBER(Q169))),"",TEXT(Q169,"yyyymmdd")&amp;"|"&amp;IF(R169=1,"F",TEXT(T169,"0.000")))</f>
        <v>20310721|4.750</v>
      </c>
      <c r="V169" s="43" t="str">
        <f aca="false">IF(U169="","",O169&amp;"|"&amp;U169)</f>
        <v>KORELE|20310721|4.750</v>
      </c>
      <c r="W169" s="43" t="str">
        <f aca="false">IF($A169="","",IFERROR(IF(VLOOKUP(O169,매핑!$A$4:$E$92,3,0)="","미분류",VLOOKUP(O169,매핑!$A$4:$E$92,3,0)),"미분류"))</f>
        <v>한국</v>
      </c>
      <c r="X169" s="89" t="n">
        <f aca="false">IF($A169="",0,IF(O169="T",1,0))</f>
        <v>0</v>
      </c>
      <c r="Y169" s="89" t="n">
        <f aca="false">IF($A169="",0,IF(AND(C169="USD",X169=0,ISNUMBER(E169),ISNUMBER(K169)),IF(K169&gt;=설정!$C$8,1,0),0))</f>
        <v>1</v>
      </c>
      <c r="Z169" s="43" t="str">
        <f aca="false">IF($A169="","",N169&amp;"|"&amp;L169)</f>
        <v>아시아/기타|정부</v>
      </c>
      <c r="AA169" s="92" t="n">
        <f aca="false">IF(Y169=1,LN(K169),0)</f>
        <v>1.4588475538016</v>
      </c>
      <c r="AB169" s="93" t="n">
        <f aca="false">IF(Y169=1,E169,0)</f>
        <v>47.011</v>
      </c>
      <c r="AC169" s="89" t="n">
        <f aca="false">IF(Y169=1,COUNTIFS($Z$2:$Z$601,Z169,$Y$2:$Y$601,1),0)</f>
        <v>51</v>
      </c>
      <c r="AD169" s="89" t="n">
        <f aca="false">IF(Y169=1,COUNTIFS($N$2:$N$601,N169,$Y$2:$Y$601,1),0)</f>
        <v>137</v>
      </c>
      <c r="AE169" s="43" t="str">
        <f aca="false">IF(Y169&lt;&gt;1,"",IF(AND(AC169&gt;=설정!$C$7,ISNUMBER(MATCH(Z169,피어커브!$A:$A,0))),Z169,IF(AND(AD169&gt;=설정!$C$7,ISNUMBER(MATCH(N169&amp;"|전체",피어커브!$A:$A,0))),N169&amp;"|전체","전체|전체")))</f>
        <v>아시아/기타|정부</v>
      </c>
      <c r="AF169" s="93" t="n">
        <f aca="false">IF(AE169="","",INDEX(피어커브!$K:$K,MATCH(AE169,피어커브!$A:$A,0)))</f>
        <v>-1.54860147302313</v>
      </c>
      <c r="AG169" s="93" t="n">
        <f aca="false">IF(AE169="","",INDEX(피어커브!$J:$J,MATCH(AE169,피어커브!$A:$A,0)))</f>
        <v>19.8674994409945</v>
      </c>
      <c r="AH169" s="93" t="n">
        <f aca="false">IF(AE169="","",INDEX(피어커브!$L:$L,MATCH(AE169,피어커브!$A:$A,0)))</f>
        <v>13.6930241146778</v>
      </c>
      <c r="AI169" s="93" t="n">
        <f aca="false">IF(AE169="","",AF169+AG169*AA169)</f>
        <v>27.4350514866264</v>
      </c>
      <c r="AJ169" s="96" t="n">
        <f aca="false">IF(AE169="","",E169-AI169)</f>
        <v>19.5759485133736</v>
      </c>
      <c r="AK169" s="95" t="n">
        <f aca="false">IF(AE169="","",IF(ISNUMBER(AH169),IF(AH169&gt;0,AJ169/AH169,""),""))</f>
        <v>1.42962930244092</v>
      </c>
      <c r="AL169" s="43" t="str">
        <f aca="false">IF(AK169="","-",IF(AK169&gt;=설정!$C$6,"Cheap",IF(AK169&lt;=-설정!$C$6,"Rich","Fair")))</f>
        <v>Cheap</v>
      </c>
      <c r="AM169" s="96" t="n">
        <f aca="false">IF(AE169="","",AJ169-AVERAGEIFS($AJ$2:$AJ$601,$B$2:$B$601,B169,$Y$2:$Y$601,1))</f>
        <v>6.50541508564547</v>
      </c>
      <c r="AN169" s="93" t="n">
        <f aca="false">IF(AE169="",0,IF(K169&gt;1+설정!$C$8,AG169*(AA169-LN(K169-1)),0))</f>
        <v>5.25737944231237</v>
      </c>
      <c r="AO169" s="99" t="n">
        <f aca="false">IF($A169="",0,SUMIFS(보유분석!$AA$2:$AA$801,보유분석!$AB$2:$AB$801,ROW(),보유분석!$AC$2:$AC$801,1))</f>
        <v>0</v>
      </c>
      <c r="AP169" s="43" t="str">
        <f aca="false">IF($A169="","",TRIM(IF(R169=1,"FRN ","")&amp;IF(IFERROR(VLOOKUP(M169,설정!$A$15:$D$47,4,0),0)&gt;=10,IF(IFERROR(VLOOKUP(M169,설정!$A$15:$D$47,4,0),0)&lt;99,"BBB0미만 ",""),"")&amp;IF(OR(M169="",M169="NR"),"등급미입력 ","")&amp;IF(C169&lt;&gt;"USD","비USD ","")))</f>
        <v/>
      </c>
      <c r="AQ169" s="90" t="n">
        <f aca="false">IF(AND(Y169=1,AL169="Cheap"),IF(AND(ISERROR(SEARCH("FRN",AP169)),ISERROR(SEARCH("BBB0미만",AP169))),AK169+ROW()/1000000000,-999),-999)</f>
        <v>1.42962947144092</v>
      </c>
      <c r="AR169" s="92" t="n">
        <f aca="false">IF(AND(ISNUMBER(D169),ISNUMBER(K169)),D169+AN169*MAX(K169-1,0)/100,"")</f>
        <v>5.73054609539073</v>
      </c>
      <c r="AS169" s="93" t="n">
        <f aca="false">IF(AND(ISNUMBER(E169),ISNUMBER(K169)),IF(K169&gt;0,(E169+AN169*MAX(K169-1,0))/K169,""),"")</f>
        <v>14.9652661099914</v>
      </c>
      <c r="AT169" s="90" t="n">
        <f aca="false">IFERROR(IF(AND(Y169=1,ROW()&lt;&gt;스왑분석!$C$12+1,ABS(K169-INDEX($K$2:$K$601,스왑분석!$C$12))&lt;=스왑분석!$C$5,ISERROR(SEARCH("FRN",AP169)),ISERROR(SEARCH("BBB0미만",AP169))),IF(AND(OR(스왑분석!$C$6="N",L169=INDEX($L$2:$L$601,스왑분석!$C$12)),OR(스왑분석!$C$7="N",N169=INDEX($N$2:$N$601,스왑분석!$C$12)),OR(스왑분석!$C$8="N",AO169=0),E169-INDEX($E$2:$E$601,스왑분석!$C$12)&gt;=스왑분석!$C$9),E169-INDEX($E$2:$E$601,스왑분석!$C$12)+ROW()/1000000000,-999),-999),-999)</f>
        <v>-999</v>
      </c>
      <c r="AU169" s="90" t="n">
        <f aca="false">IF(AND(Y169=1,AO169&gt;0,AL169="Rich"),-AK169+ROW()/1000000000,-999)</f>
        <v>-999</v>
      </c>
    </row>
    <row r="170" customFormat="false" ht="15" hidden="false" customHeight="false" outlineLevel="0" collapsed="false">
      <c r="A170" s="83" t="str">
        <f aca="false">IFERROR(IF(INDEX(원자료_시장!$A$1:$BZ$1000,설정!$L$6+ROW()-1,설정!$L$24)&amp;""="0","",INDEX(원자료_시장!$A$1:$BZ$1000,설정!$L$6+ROW()-1,설정!$L$24)),"")</f>
        <v>KOROIL 4 1/8 09/30/27</v>
      </c>
      <c r="B170" s="83" t="str">
        <f aca="false">IFERROR(IF(INDEX(원자료_시장!$A$1:$BZ$1000,설정!$L$6+ROW()-1,설정!$L$37)&amp;""="0","",INDEX(원자료_시장!$A$1:$BZ$1000,설정!$L$6+ROW()-1,설정!$L$37)),"")</f>
        <v>KOREA NATIONAL OIL CORP</v>
      </c>
      <c r="C170" s="83" t="str">
        <f aca="false">IFERROR(IF(INDEX(원자료_시장!$A$1:$BZ$1000,설정!$L$6+ROW()-1,설정!$L$25)&amp;""="0","",INDEX(원자료_시장!$A$1:$BZ$1000,설정!$L$6+ROW()-1,설정!$L$25)),"")</f>
        <v>USD</v>
      </c>
      <c r="D170" s="85" t="n">
        <f aca="false">IFERROR(IF(ISNUMBER(INDEX(원자료_시장!$A$1:$BZ$1000,설정!$L$6+ROW()-1,설정!$L$26)),INDEX(원자료_시장!$A$1:$BZ$1000,설정!$L$6+ROW()-1,설정!$L$26),""),"")</f>
        <v>4.965</v>
      </c>
      <c r="E170" s="97" t="n">
        <f aca="false">IFERROR(IF(ISNUMBER(INDEX(원자료_시장!$A$1:$BZ$1000,설정!$L$6+ROW()-1,설정!$L$27)),INDEX(원자료_시장!$A$1:$BZ$1000,설정!$L$6+ROW()-1,설정!$L$27),""),"")</f>
        <v>7.625</v>
      </c>
      <c r="F170" s="97" t="n">
        <f aca="false">IFERROR(IF(ISNUMBER(INDEX(원자료_시장!$A$1:$BZ$1000,설정!$L$6+ROW()-1,설정!$L$28)),INDEX(원자료_시장!$A$1:$BZ$1000,설정!$L$6+ROW()-1,설정!$L$28),""),"")</f>
        <v>47.015</v>
      </c>
      <c r="G170" s="97" t="n">
        <f aca="false">IFERROR(IF(ISNUMBER(INDEX(원자료_시장!$A$1:$BZ$1000,설정!$L$6+ROW()-1,설정!$L$29)),INDEX(원자료_시장!$A$1:$BZ$1000,설정!$L$6+ROW()-1,설정!$L$29),""),"")</f>
        <v>-3.2</v>
      </c>
      <c r="H170" s="97" t="n">
        <f aca="false">IFERROR(IF(ISNUMBER(INDEX(원자료_시장!$A$1:$BZ$1000,설정!$L$6+ROW()-1,설정!$L$30)),INDEX(원자료_시장!$A$1:$BZ$1000,설정!$L$6+ROW()-1,설정!$L$30),""),"")</f>
        <v>24.7</v>
      </c>
      <c r="I170" s="97" t="n">
        <f aca="false">IFERROR(IF(ISNUMBER(INDEX(원자료_시장!$A$1:$BZ$1000,설정!$L$6+ROW()-1,설정!$L$31)),INDEX(원자료_시장!$A$1:$BZ$1000,설정!$L$6+ROW()-1,설정!$L$31),""),"")</f>
        <v>-0.4</v>
      </c>
      <c r="J170" s="97" t="n">
        <f aca="false">IFERROR(IF(ISNUMBER(INDEX(원자료_시장!$A$1:$BZ$1000,설정!$L$6+ROW()-1,설정!$L$32)),INDEX(원자료_시장!$A$1:$BZ$1000,설정!$L$6+ROW()-1,설정!$L$32),""),"")</f>
        <v>-20</v>
      </c>
      <c r="K170" s="85" t="n">
        <f aca="false">IFERROR(IF(ISNUMBER(INDEX(원자료_시장!$A$1:$BZ$1000,설정!$L$6+ROW()-1,설정!$L$33)),INDEX(원자료_시장!$A$1:$BZ$1000,설정!$L$6+ROW()-1,설정!$L$33),""),"")</f>
        <v>0.984</v>
      </c>
      <c r="L170" s="83" t="str">
        <f aca="false">IFERROR(IF(INDEX(원자료_시장!$A$1:$BZ$1000,설정!$L$6+ROW()-1,설정!$L$34)&amp;""="0","",INDEX(원자료_시장!$A$1:$BZ$1000,설정!$L$6+ROW()-1,설정!$L$34)),"")</f>
        <v>정부</v>
      </c>
      <c r="M170" s="83" t="str">
        <f aca="false">IFERROR(IF(INDEX(원자료_시장!$A$1:$BZ$1000,설정!$L$6+ROW()-1,설정!$L$35)&amp;""="0","",INDEX(원자료_시장!$A$1:$BZ$1000,설정!$L$6+ROW()-1,설정!$L$35)),"")</f>
        <v>AA</v>
      </c>
      <c r="N170" s="83" t="str">
        <f aca="false">IFERROR(IF(INDEX(원자료_시장!$A$1:$BZ$1000,설정!$L$6+ROW()-1,설정!$L$36)&amp;""="0","",INDEX(원자료_시장!$A$1:$BZ$1000,설정!$L$6+ROW()-1,설정!$L$36)),"")</f>
        <v>아시아/기타</v>
      </c>
      <c r="O170" s="43" t="str">
        <f aca="false">IF($A170="","",UPPER(LEFT($A170,FIND(" ",$A170&amp;" ")-1)))</f>
        <v>KOROIL</v>
      </c>
      <c r="P170" s="43" t="str">
        <f aca="false">IF($A170="","",TRIM(RIGHT(SUBSTITUTE(TRIM($A170)," ",REPT(" ",30)),30)))</f>
        <v>09/30/27</v>
      </c>
      <c r="Q170" s="98" t="n">
        <f aca="false">IF($A170="","",IFERROR(DATE(IF(LEN(P170)=8,2000+VALUE(RIGHT(P170,2)),VALUE(RIGHT(P170,4))),VALUE(LEFT(P170,2)),VALUE(MID(P170,4,2))),""))</f>
        <v>46660</v>
      </c>
      <c r="R170" s="89" t="n">
        <f aca="false">IF($A170="",0,IF(ISNUMBER(SEARCH("Float",$A170)),1,0))</f>
        <v>0</v>
      </c>
      <c r="S170" s="43" t="str">
        <f aca="false">IF($A170="","",TRIM(MID($A170,LEN(O170)+2,LEN($A170)-LEN(O170)-LEN(P170)-1)))</f>
        <v>4 1/8</v>
      </c>
      <c r="T170" s="92" t="n">
        <f aca="false">IF(OR($A170="",R170=1),"",IFERROR(IF(ISNUMBER(FIND("/",S170)),IF(ISNUMBER(FIND(" ",S170)),VALUE(LEFT(S170,FIND(" ",S170)-1))+VALUE(MID(S170,FIND(" ",S170)+1,FIND("/",S170)-FIND(" ",S170)-1))/VALUE(MID(S170,FIND("/",S170)+1,9)),VALUE(LEFT(S170,FIND("/",S170)-1))/VALUE(MID(S170,FIND("/",S170)+1,9))),VALUE(S170)),""))</f>
        <v>4.125</v>
      </c>
      <c r="U170" s="43" t="str">
        <f aca="false">IF(OR($A170="",NOT(ISNUMBER(Q170))),"",TEXT(Q170,"yyyymmdd")&amp;"|"&amp;IF(R170=1,"F",TEXT(T170,"0.000")))</f>
        <v>20270930|4.125</v>
      </c>
      <c r="V170" s="43" t="str">
        <f aca="false">IF(U170="","",O170&amp;"|"&amp;U170)</f>
        <v>KOROIL|20270930|4.125</v>
      </c>
      <c r="W170" s="43" t="str">
        <f aca="false">IF($A170="","",IFERROR(IF(VLOOKUP(O170,매핑!$A$4:$E$92,3,0)="","미분류",VLOOKUP(O170,매핑!$A$4:$E$92,3,0)),"미분류"))</f>
        <v>한국</v>
      </c>
      <c r="X170" s="89" t="n">
        <f aca="false">IF($A170="",0,IF(O170="T",1,0))</f>
        <v>0</v>
      </c>
      <c r="Y170" s="89" t="n">
        <f aca="false">IF($A170="",0,IF(AND(C170="USD",X170=0,ISNUMBER(E170),ISNUMBER(K170)),IF(K170&gt;=설정!$C$8,1,0),0))</f>
        <v>1</v>
      </c>
      <c r="Z170" s="43" t="str">
        <f aca="false">IF($A170="","",N170&amp;"|"&amp;L170)</f>
        <v>아시아/기타|정부</v>
      </c>
      <c r="AA170" s="92" t="n">
        <f aca="false">IF(Y170=1,LN(K170),0)</f>
        <v>-0.0161293819298836</v>
      </c>
      <c r="AB170" s="93" t="n">
        <f aca="false">IF(Y170=1,E170,0)</f>
        <v>7.625</v>
      </c>
      <c r="AC170" s="89" t="n">
        <f aca="false">IF(Y170=1,COUNTIFS($Z$2:$Z$601,Z170,$Y$2:$Y$601,1),0)</f>
        <v>51</v>
      </c>
      <c r="AD170" s="89" t="n">
        <f aca="false">IF(Y170=1,COUNTIFS($N$2:$N$601,N170,$Y$2:$Y$601,1),0)</f>
        <v>137</v>
      </c>
      <c r="AE170" s="43" t="str">
        <f aca="false">IF(Y170&lt;&gt;1,"",IF(AND(AC170&gt;=설정!$C$7,ISNUMBER(MATCH(Z170,피어커브!$A:$A,0))),Z170,IF(AND(AD170&gt;=설정!$C$7,ISNUMBER(MATCH(N170&amp;"|전체",피어커브!$A:$A,0))),N170&amp;"|전체","전체|전체")))</f>
        <v>아시아/기타|정부</v>
      </c>
      <c r="AF170" s="93" t="n">
        <f aca="false">IF(AE170="","",INDEX(피어커브!$K:$K,MATCH(AE170,피어커브!$A:$A,0)))</f>
        <v>-1.54860147302313</v>
      </c>
      <c r="AG170" s="93" t="n">
        <f aca="false">IF(AE170="","",INDEX(피어커브!$J:$J,MATCH(AE170,피어커브!$A:$A,0)))</f>
        <v>19.8674994409945</v>
      </c>
      <c r="AH170" s="93" t="n">
        <f aca="false">IF(AE170="","",INDEX(피어커브!$L:$L,MATCH(AE170,피어커브!$A:$A,0)))</f>
        <v>13.6930241146778</v>
      </c>
      <c r="AI170" s="93" t="n">
        <f aca="false">IF(AE170="","",AF170+AG170*AA170)</f>
        <v>-1.86905195949868</v>
      </c>
      <c r="AJ170" s="96" t="n">
        <f aca="false">IF(AE170="","",E170-AI170)</f>
        <v>9.49405195949868</v>
      </c>
      <c r="AK170" s="95" t="n">
        <f aca="false">IF(AE170="","",IF(ISNUMBER(AH170),IF(AH170&gt;0,AJ170/AH170,""),""))</f>
        <v>0.69334953915124</v>
      </c>
      <c r="AL170" s="43" t="str">
        <f aca="false">IF(AK170="","-",IF(AK170&gt;=설정!$C$6,"Cheap",IF(AK170&lt;=-설정!$C$6,"Rich","Fair")))</f>
        <v>Fair</v>
      </c>
      <c r="AM170" s="96" t="n">
        <f aca="false">IF(AE170="","",AJ170-AVERAGEIFS($AJ$2:$AJ$601,$B$2:$B$601,B170,$Y$2:$Y$601,1))</f>
        <v>-6.78310094275154</v>
      </c>
      <c r="AN170" s="93" t="n">
        <f aca="false">IF(AE170="",0,IF(K170&gt;1+설정!$C$8,AG170*(AA170-LN(K170-1)),0))</f>
        <v>0</v>
      </c>
      <c r="AO170" s="99" t="n">
        <f aca="false">IF($A170="",0,SUMIFS(보유분석!$AA$2:$AA$801,보유분석!$AB$2:$AB$801,ROW(),보유분석!$AC$2:$AC$801,1))</f>
        <v>0</v>
      </c>
      <c r="AP170" s="43" t="str">
        <f aca="false">IF($A170="","",TRIM(IF(R170=1,"FRN ","")&amp;IF(IFERROR(VLOOKUP(M170,설정!$A$15:$D$47,4,0),0)&gt;=10,IF(IFERROR(VLOOKUP(M170,설정!$A$15:$D$47,4,0),0)&lt;99,"BBB0미만 ",""),"")&amp;IF(OR(M170="",M170="NR"),"등급미입력 ","")&amp;IF(C170&lt;&gt;"USD","비USD ","")))</f>
        <v/>
      </c>
      <c r="AQ170" s="90" t="n">
        <f aca="false">IF(AND(Y170=1,AL170="Cheap"),IF(AND(ISERROR(SEARCH("FRN",AP170)),ISERROR(SEARCH("BBB0미만",AP170))),AK170+ROW()/1000000000,-999),-999)</f>
        <v>-999</v>
      </c>
      <c r="AR170" s="92" t="n">
        <f aca="false">IF(AND(ISNUMBER(D170),ISNUMBER(K170)),D170+AN170*MAX(K170-1,0)/100,"")</f>
        <v>4.965</v>
      </c>
      <c r="AS170" s="93" t="n">
        <f aca="false">IF(AND(ISNUMBER(E170),ISNUMBER(K170)),IF(K170&gt;0,(E170+AN170*MAX(K170-1,0))/K170,""),"")</f>
        <v>7.7489837398374</v>
      </c>
      <c r="AT170" s="90" t="n">
        <f aca="false">IFERROR(IF(AND(Y170=1,ROW()&lt;&gt;스왑분석!$C$12+1,ABS(K170-INDEX($K$2:$K$601,스왑분석!$C$12))&lt;=스왑분석!$C$5,ISERROR(SEARCH("FRN",AP170)),ISERROR(SEARCH("BBB0미만",AP170))),IF(AND(OR(스왑분석!$C$6="N",L170=INDEX($L$2:$L$601,스왑분석!$C$12)),OR(스왑분석!$C$7="N",N170=INDEX($N$2:$N$601,스왑분석!$C$12)),OR(스왑분석!$C$8="N",AO170=0),E170-INDEX($E$2:$E$601,스왑분석!$C$12)&gt;=스왑분석!$C$9),E170-INDEX($E$2:$E$601,스왑분석!$C$12)+ROW()/1000000000,-999),-999),-999)</f>
        <v>-999</v>
      </c>
      <c r="AU170" s="90" t="n">
        <f aca="false">IF(AND(Y170=1,AO170&gt;0,AL170="Rich"),-AK170+ROW()/1000000000,-999)</f>
        <v>-999</v>
      </c>
    </row>
    <row r="171" customFormat="false" ht="15" hidden="false" customHeight="false" outlineLevel="0" collapsed="false">
      <c r="A171" s="83" t="str">
        <f aca="false">IFERROR(IF(INDEX(원자료_시장!$A$1:$BZ$1000,설정!$L$6+ROW()-1,설정!$L$24)&amp;""="0","",INDEX(원자료_시장!$A$1:$BZ$1000,설정!$L$6+ROW()-1,설정!$L$24)),"")</f>
        <v>KOROIL 4 09/29/28</v>
      </c>
      <c r="B171" s="83" t="str">
        <f aca="false">IFERROR(IF(INDEX(원자료_시장!$A$1:$BZ$1000,설정!$L$6+ROW()-1,설정!$L$37)&amp;""="0","",INDEX(원자료_시장!$A$1:$BZ$1000,설정!$L$6+ROW()-1,설정!$L$37)),"")</f>
        <v>KOREA NATIONAL OIL CORP</v>
      </c>
      <c r="C171" s="83" t="str">
        <f aca="false">IFERROR(IF(INDEX(원자료_시장!$A$1:$BZ$1000,설정!$L$6+ROW()-1,설정!$L$25)&amp;""="0","",INDEX(원자료_시장!$A$1:$BZ$1000,설정!$L$6+ROW()-1,설정!$L$25)),"")</f>
        <v>USD</v>
      </c>
      <c r="D171" s="85" t="n">
        <f aca="false">IFERROR(IF(ISNUMBER(INDEX(원자료_시장!$A$1:$BZ$1000,설정!$L$6+ROW()-1,설정!$L$26)),INDEX(원자료_시장!$A$1:$BZ$1000,설정!$L$6+ROW()-1,설정!$L$26),""),"")</f>
        <v>5.231</v>
      </c>
      <c r="E171" s="97" t="n">
        <f aca="false">IFERROR(IF(ISNUMBER(INDEX(원자료_시장!$A$1:$BZ$1000,설정!$L$6+ROW()-1,설정!$L$27)),INDEX(원자료_시장!$A$1:$BZ$1000,설정!$L$6+ROW()-1,설정!$L$27),""),"")</f>
        <v>34.22</v>
      </c>
      <c r="F171" s="97" t="n">
        <f aca="false">IFERROR(IF(ISNUMBER(INDEX(원자료_시장!$A$1:$BZ$1000,설정!$L$6+ROW()-1,설정!$L$28)),INDEX(원자료_시장!$A$1:$BZ$1000,설정!$L$6+ROW()-1,설정!$L$28),""),"")</f>
        <v>54.073</v>
      </c>
      <c r="G171" s="97" t="n">
        <f aca="false">IFERROR(IF(ISNUMBER(INDEX(원자료_시장!$A$1:$BZ$1000,설정!$L$6+ROW()-1,설정!$L$29)),INDEX(원자료_시장!$A$1:$BZ$1000,설정!$L$6+ROW()-1,설정!$L$29),""),"")</f>
        <v>-1</v>
      </c>
      <c r="H171" s="97" t="n">
        <f aca="false">IFERROR(IF(ISNUMBER(INDEX(원자료_시장!$A$1:$BZ$1000,설정!$L$6+ROW()-1,설정!$L$30)),INDEX(원자료_시장!$A$1:$BZ$1000,설정!$L$6+ROW()-1,설정!$L$30),""),"")</f>
        <v>12.1</v>
      </c>
      <c r="I171" s="97" t="n">
        <f aca="false">IFERROR(IF(ISNUMBER(INDEX(원자료_시장!$A$1:$BZ$1000,설정!$L$6+ROW()-1,설정!$L$31)),INDEX(원자료_시장!$A$1:$BZ$1000,설정!$L$6+ROW()-1,설정!$L$31),""),"")</f>
        <v>4.7</v>
      </c>
      <c r="J171" s="97" t="n">
        <f aca="false">IFERROR(IF(ISNUMBER(INDEX(원자료_시장!$A$1:$BZ$1000,설정!$L$6+ROW()-1,설정!$L$32)),INDEX(원자료_시장!$A$1:$BZ$1000,설정!$L$6+ROW()-1,설정!$L$32),""),"")</f>
        <v>-3.1</v>
      </c>
      <c r="K171" s="85" t="n">
        <f aca="false">IFERROR(IF(ISNUMBER(INDEX(원자료_시장!$A$1:$BZ$1000,설정!$L$6+ROW()-1,설정!$L$33)),INDEX(원자료_시장!$A$1:$BZ$1000,설정!$L$6+ROW()-1,설정!$L$33),""),"")</f>
        <v>1.933</v>
      </c>
      <c r="L171" s="83" t="str">
        <f aca="false">IFERROR(IF(INDEX(원자료_시장!$A$1:$BZ$1000,설정!$L$6+ROW()-1,설정!$L$34)&amp;""="0","",INDEX(원자료_시장!$A$1:$BZ$1000,설정!$L$6+ROW()-1,설정!$L$34)),"")</f>
        <v>정부</v>
      </c>
      <c r="M171" s="83" t="str">
        <f aca="false">IFERROR(IF(INDEX(원자료_시장!$A$1:$BZ$1000,설정!$L$6+ROW()-1,설정!$L$35)&amp;""="0","",INDEX(원자료_시장!$A$1:$BZ$1000,설정!$L$6+ROW()-1,설정!$L$35)),"")</f>
        <v>AA</v>
      </c>
      <c r="N171" s="83" t="str">
        <f aca="false">IFERROR(IF(INDEX(원자료_시장!$A$1:$BZ$1000,설정!$L$6+ROW()-1,설정!$L$36)&amp;""="0","",INDEX(원자료_시장!$A$1:$BZ$1000,설정!$L$6+ROW()-1,설정!$L$36)),"")</f>
        <v>아시아/기타</v>
      </c>
      <c r="O171" s="43" t="str">
        <f aca="false">IF($A171="","",UPPER(LEFT($A171,FIND(" ",$A171&amp;" ")-1)))</f>
        <v>KOROIL</v>
      </c>
      <c r="P171" s="43" t="str">
        <f aca="false">IF($A171="","",TRIM(RIGHT(SUBSTITUTE(TRIM($A171)," ",REPT(" ",30)),30)))</f>
        <v>09/29/28</v>
      </c>
      <c r="Q171" s="98" t="n">
        <f aca="false">IF($A171="","",IFERROR(DATE(IF(LEN(P171)=8,2000+VALUE(RIGHT(P171,2)),VALUE(RIGHT(P171,4))),VALUE(LEFT(P171,2)),VALUE(MID(P171,4,2))),""))</f>
        <v>47025</v>
      </c>
      <c r="R171" s="89" t="n">
        <f aca="false">IF($A171="",0,IF(ISNUMBER(SEARCH("Float",$A171)),1,0))</f>
        <v>0</v>
      </c>
      <c r="S171" s="43" t="str">
        <f aca="false">IF($A171="","",TRIM(MID($A171,LEN(O171)+2,LEN($A171)-LEN(O171)-LEN(P171)-1)))</f>
        <v>4</v>
      </c>
      <c r="T171" s="92" t="n">
        <f aca="false">IF(OR($A171="",R171=1),"",IFERROR(IF(ISNUMBER(FIND("/",S171)),IF(ISNUMBER(FIND(" ",S171)),VALUE(LEFT(S171,FIND(" ",S171)-1))+VALUE(MID(S171,FIND(" ",S171)+1,FIND("/",S171)-FIND(" ",S171)-1))/VALUE(MID(S171,FIND("/",S171)+1,9)),VALUE(LEFT(S171,FIND("/",S171)-1))/VALUE(MID(S171,FIND("/",S171)+1,9))),VALUE(S171)),""))</f>
        <v>4</v>
      </c>
      <c r="U171" s="43" t="str">
        <f aca="false">IF(OR($A171="",NOT(ISNUMBER(Q171))),"",TEXT(Q171,"yyyymmdd")&amp;"|"&amp;IF(R171=1,"F",TEXT(T171,"0.000")))</f>
        <v>20280929|4.000</v>
      </c>
      <c r="V171" s="43" t="str">
        <f aca="false">IF(U171="","",O171&amp;"|"&amp;U171)</f>
        <v>KOROIL|20280929|4.000</v>
      </c>
      <c r="W171" s="43" t="str">
        <f aca="false">IF($A171="","",IFERROR(IF(VLOOKUP(O171,매핑!$A$4:$E$92,3,0)="","미분류",VLOOKUP(O171,매핑!$A$4:$E$92,3,0)),"미분류"))</f>
        <v>한국</v>
      </c>
      <c r="X171" s="89" t="n">
        <f aca="false">IF($A171="",0,IF(O171="T",1,0))</f>
        <v>0</v>
      </c>
      <c r="Y171" s="89" t="n">
        <f aca="false">IF($A171="",0,IF(AND(C171="USD",X171=0,ISNUMBER(E171),ISNUMBER(K171)),IF(K171&gt;=설정!$C$8,1,0),0))</f>
        <v>1</v>
      </c>
      <c r="Z171" s="43" t="str">
        <f aca="false">IF($A171="","",N171&amp;"|"&amp;L171)</f>
        <v>아시아/기타|정부</v>
      </c>
      <c r="AA171" s="92" t="n">
        <f aca="false">IF(Y171=1,LN(K171),0)</f>
        <v>0.659073200226194</v>
      </c>
      <c r="AB171" s="93" t="n">
        <f aca="false">IF(Y171=1,E171,0)</f>
        <v>34.22</v>
      </c>
      <c r="AC171" s="89" t="n">
        <f aca="false">IF(Y171=1,COUNTIFS($Z$2:$Z$601,Z171,$Y$2:$Y$601,1),0)</f>
        <v>51</v>
      </c>
      <c r="AD171" s="89" t="n">
        <f aca="false">IF(Y171=1,COUNTIFS($N$2:$N$601,N171,$Y$2:$Y$601,1),0)</f>
        <v>137</v>
      </c>
      <c r="AE171" s="43" t="str">
        <f aca="false">IF(Y171&lt;&gt;1,"",IF(AND(AC171&gt;=설정!$C$7,ISNUMBER(MATCH(Z171,피어커브!$A:$A,0))),Z171,IF(AND(AD171&gt;=설정!$C$7,ISNUMBER(MATCH(N171&amp;"|전체",피어커브!$A:$A,0))),N171&amp;"|전체","전체|전체")))</f>
        <v>아시아/기타|정부</v>
      </c>
      <c r="AF171" s="93" t="n">
        <f aca="false">IF(AE171="","",INDEX(피어커브!$K:$K,MATCH(AE171,피어커브!$A:$A,0)))</f>
        <v>-1.54860147302313</v>
      </c>
      <c r="AG171" s="93" t="n">
        <f aca="false">IF(AE171="","",INDEX(피어커브!$J:$J,MATCH(AE171,피어커브!$A:$A,0)))</f>
        <v>19.8674994409945</v>
      </c>
      <c r="AH171" s="93" t="n">
        <f aca="false">IF(AE171="","",INDEX(피어커브!$L:$L,MATCH(AE171,피어커브!$A:$A,0)))</f>
        <v>13.6930241146778</v>
      </c>
      <c r="AI171" s="93" t="n">
        <f aca="false">IF(AE171="","",AF171+AG171*AA171)</f>
        <v>11.5455349640453</v>
      </c>
      <c r="AJ171" s="96" t="n">
        <f aca="false">IF(AE171="","",E171-AI171)</f>
        <v>22.6744650359547</v>
      </c>
      <c r="AK171" s="95" t="n">
        <f aca="false">IF(AE171="","",IF(ISNUMBER(AH171),IF(AH171&gt;0,AJ171/AH171,""),""))</f>
        <v>1.65591361309658</v>
      </c>
      <c r="AL171" s="43" t="str">
        <f aca="false">IF(AK171="","-",IF(AK171&gt;=설정!$C$6,"Cheap",IF(AK171&lt;=-설정!$C$6,"Rich","Fair")))</f>
        <v>Cheap</v>
      </c>
      <c r="AM171" s="96" t="n">
        <f aca="false">IF(AE171="","",AJ171-AVERAGEIFS($AJ$2:$AJ$601,$B$2:$B$601,B171,$Y$2:$Y$601,1))</f>
        <v>6.39731213370452</v>
      </c>
      <c r="AN171" s="93" t="n">
        <f aca="false">IF(AE171="",0,IF(K171&gt;1+설정!$C$8,AG171*(AA171-LN(K171-1)),0))</f>
        <v>14.4719490756443</v>
      </c>
      <c r="AO171" s="99" t="n">
        <f aca="false">IF($A171="",0,SUMIFS(보유분석!$AA$2:$AA$801,보유분석!$AB$2:$AB$801,ROW(),보유분석!$AC$2:$AC$801,1))</f>
        <v>0</v>
      </c>
      <c r="AP171" s="43" t="str">
        <f aca="false">IF($A171="","",TRIM(IF(R171=1,"FRN ","")&amp;IF(IFERROR(VLOOKUP(M171,설정!$A$15:$D$47,4,0),0)&gt;=10,IF(IFERROR(VLOOKUP(M171,설정!$A$15:$D$47,4,0),0)&lt;99,"BBB0미만 ",""),"")&amp;IF(OR(M171="",M171="NR"),"등급미입력 ","")&amp;IF(C171&lt;&gt;"USD","비USD ","")))</f>
        <v/>
      </c>
      <c r="AQ171" s="90" t="n">
        <f aca="false">IF(AND(Y171=1,AL171="Cheap"),IF(AND(ISERROR(SEARCH("FRN",AP171)),ISERROR(SEARCH("BBB0미만",AP171))),AK171+ROW()/1000000000,-999),-999)</f>
        <v>1.65591378409658</v>
      </c>
      <c r="AR171" s="92" t="n">
        <f aca="false">IF(AND(ISNUMBER(D171),ISNUMBER(K171)),D171+AN171*MAX(K171-1,0)/100,"")</f>
        <v>5.36602328487576</v>
      </c>
      <c r="AS171" s="93" t="n">
        <f aca="false">IF(AND(ISNUMBER(E171),ISNUMBER(K171)),IF(K171&gt;0,(E171+AN171*MAX(K171-1,0))/K171,""),"")</f>
        <v>24.6882196004015</v>
      </c>
      <c r="AT171" s="90" t="n">
        <f aca="false">IFERROR(IF(AND(Y171=1,ROW()&lt;&gt;스왑분석!$C$12+1,ABS(K171-INDEX($K$2:$K$601,스왑분석!$C$12))&lt;=스왑분석!$C$5,ISERROR(SEARCH("FRN",AP171)),ISERROR(SEARCH("BBB0미만",AP171))),IF(AND(OR(스왑분석!$C$6="N",L171=INDEX($L$2:$L$601,스왑분석!$C$12)),OR(스왑분석!$C$7="N",N171=INDEX($N$2:$N$601,스왑분석!$C$12)),OR(스왑분석!$C$8="N",AO171=0),E171-INDEX($E$2:$E$601,스왑분석!$C$12)&gt;=스왑분석!$C$9),E171-INDEX($E$2:$E$601,스왑분석!$C$12)+ROW()/1000000000,-999),-999),-999)</f>
        <v>-999</v>
      </c>
      <c r="AU171" s="90" t="n">
        <f aca="false">IF(AND(Y171=1,AO171&gt;0,AL171="Rich"),-AK171+ROW()/1000000000,-999)</f>
        <v>-999</v>
      </c>
    </row>
    <row r="172" customFormat="false" ht="15" hidden="false" customHeight="false" outlineLevel="0" collapsed="false">
      <c r="A172" s="83" t="str">
        <f aca="false">IFERROR(IF(INDEX(원자료_시장!$A$1:$BZ$1000,설정!$L$6+ROW()-1,설정!$L$24)&amp;""="0","",INDEX(원자료_시장!$A$1:$BZ$1000,설정!$L$6+ROW()-1,설정!$L$24)),"")</f>
        <v>KOROIL 4 1/8 09/29/30</v>
      </c>
      <c r="B172" s="83" t="str">
        <f aca="false">IFERROR(IF(INDEX(원자료_시장!$A$1:$BZ$1000,설정!$L$6+ROW()-1,설정!$L$37)&amp;""="0","",INDEX(원자료_시장!$A$1:$BZ$1000,설정!$L$6+ROW()-1,설정!$L$37)),"")</f>
        <v>KOREA NATIONAL OIL CORP</v>
      </c>
      <c r="C172" s="83" t="str">
        <f aca="false">IFERROR(IF(INDEX(원자료_시장!$A$1:$BZ$1000,설정!$L$6+ROW()-1,설정!$L$25)&amp;""="0","",INDEX(원자료_시장!$A$1:$BZ$1000,설정!$L$6+ROW()-1,설정!$L$25)),"")</f>
        <v>USD</v>
      </c>
      <c r="D172" s="85" t="n">
        <f aca="false">IFERROR(IF(ISNUMBER(INDEX(원자료_시장!$A$1:$BZ$1000,설정!$L$6+ROW()-1,설정!$L$26)),INDEX(원자료_시장!$A$1:$BZ$1000,설정!$L$6+ROW()-1,설정!$L$26),""),"")</f>
        <v>5.489</v>
      </c>
      <c r="E172" s="97" t="n">
        <f aca="false">IFERROR(IF(ISNUMBER(INDEX(원자료_시장!$A$1:$BZ$1000,설정!$L$6+ROW()-1,설정!$L$27)),INDEX(원자료_시장!$A$1:$BZ$1000,설정!$L$6+ROW()-1,설정!$L$27),""),"")</f>
        <v>40.269</v>
      </c>
      <c r="F172" s="97" t="n">
        <f aca="false">IFERROR(IF(ISNUMBER(INDEX(원자료_시장!$A$1:$BZ$1000,설정!$L$6+ROW()-1,설정!$L$28)),INDEX(원자료_시장!$A$1:$BZ$1000,설정!$L$6+ROW()-1,설정!$L$28),""),"")</f>
        <v>74.407</v>
      </c>
      <c r="G172" s="97" t="n">
        <f aca="false">IFERROR(IF(ISNUMBER(INDEX(원자료_시장!$A$1:$BZ$1000,설정!$L$6+ROW()-1,설정!$L$29)),INDEX(원자료_시장!$A$1:$BZ$1000,설정!$L$6+ROW()-1,설정!$L$29),""),"")</f>
        <v>-1</v>
      </c>
      <c r="H172" s="97" t="n">
        <f aca="false">IFERROR(IF(ISNUMBER(INDEX(원자료_시장!$A$1:$BZ$1000,설정!$L$6+ROW()-1,설정!$L$30)),INDEX(원자료_시장!$A$1:$BZ$1000,설정!$L$6+ROW()-1,설정!$L$30),""),"")</f>
        <v>7.5</v>
      </c>
      <c r="I172" s="97" t="n">
        <f aca="false">IFERROR(IF(ISNUMBER(INDEX(원자료_시장!$A$1:$BZ$1000,설정!$L$6+ROW()-1,설정!$L$31)),INDEX(원자료_시장!$A$1:$BZ$1000,설정!$L$6+ROW()-1,설정!$L$31),""),"")</f>
        <v>1.7</v>
      </c>
      <c r="J172" s="97" t="n">
        <f aca="false">IFERROR(IF(ISNUMBER(INDEX(원자료_시장!$A$1:$BZ$1000,설정!$L$6+ROW()-1,설정!$L$32)),INDEX(원자료_시장!$A$1:$BZ$1000,설정!$L$6+ROW()-1,설정!$L$32),""),"")</f>
        <v>0.7</v>
      </c>
      <c r="K172" s="85" t="n">
        <f aca="false">IFERROR(IF(ISNUMBER(INDEX(원자료_시장!$A$1:$BZ$1000,설정!$L$6+ROW()-1,설정!$L$33)),INDEX(원자료_시장!$A$1:$BZ$1000,설정!$L$6+ROW()-1,설정!$L$33),""),"")</f>
        <v>3.712</v>
      </c>
      <c r="L172" s="83" t="str">
        <f aca="false">IFERROR(IF(INDEX(원자료_시장!$A$1:$BZ$1000,설정!$L$6+ROW()-1,설정!$L$34)&amp;""="0","",INDEX(원자료_시장!$A$1:$BZ$1000,설정!$L$6+ROW()-1,설정!$L$34)),"")</f>
        <v>정부</v>
      </c>
      <c r="M172" s="83" t="str">
        <f aca="false">IFERROR(IF(INDEX(원자료_시장!$A$1:$BZ$1000,설정!$L$6+ROW()-1,설정!$L$35)&amp;""="0","",INDEX(원자료_시장!$A$1:$BZ$1000,설정!$L$6+ROW()-1,설정!$L$35)),"")</f>
        <v>AA</v>
      </c>
      <c r="N172" s="83" t="str">
        <f aca="false">IFERROR(IF(INDEX(원자료_시장!$A$1:$BZ$1000,설정!$L$6+ROW()-1,설정!$L$36)&amp;""="0","",INDEX(원자료_시장!$A$1:$BZ$1000,설정!$L$6+ROW()-1,설정!$L$36)),"")</f>
        <v>아시아/기타</v>
      </c>
      <c r="O172" s="43" t="str">
        <f aca="false">IF($A172="","",UPPER(LEFT($A172,FIND(" ",$A172&amp;" ")-1)))</f>
        <v>KOROIL</v>
      </c>
      <c r="P172" s="43" t="str">
        <f aca="false">IF($A172="","",TRIM(RIGHT(SUBSTITUTE(TRIM($A172)," ",REPT(" ",30)),30)))</f>
        <v>09/29/30</v>
      </c>
      <c r="Q172" s="98" t="n">
        <f aca="false">IF($A172="","",IFERROR(DATE(IF(LEN(P172)=8,2000+VALUE(RIGHT(P172,2)),VALUE(RIGHT(P172,4))),VALUE(LEFT(P172,2)),VALUE(MID(P172,4,2))),""))</f>
        <v>47755</v>
      </c>
      <c r="R172" s="89" t="n">
        <f aca="false">IF($A172="",0,IF(ISNUMBER(SEARCH("Float",$A172)),1,0))</f>
        <v>0</v>
      </c>
      <c r="S172" s="43" t="str">
        <f aca="false">IF($A172="","",TRIM(MID($A172,LEN(O172)+2,LEN($A172)-LEN(O172)-LEN(P172)-1)))</f>
        <v>4 1/8</v>
      </c>
      <c r="T172" s="92" t="n">
        <f aca="false">IF(OR($A172="",R172=1),"",IFERROR(IF(ISNUMBER(FIND("/",S172)),IF(ISNUMBER(FIND(" ",S172)),VALUE(LEFT(S172,FIND(" ",S172)-1))+VALUE(MID(S172,FIND(" ",S172)+1,FIND("/",S172)-FIND(" ",S172)-1))/VALUE(MID(S172,FIND("/",S172)+1,9)),VALUE(LEFT(S172,FIND("/",S172)-1))/VALUE(MID(S172,FIND("/",S172)+1,9))),VALUE(S172)),""))</f>
        <v>4.125</v>
      </c>
      <c r="U172" s="43" t="str">
        <f aca="false">IF(OR($A172="",NOT(ISNUMBER(Q172))),"",TEXT(Q172,"yyyymmdd")&amp;"|"&amp;IF(R172=1,"F",TEXT(T172,"0.000")))</f>
        <v>20300929|4.125</v>
      </c>
      <c r="V172" s="43" t="str">
        <f aca="false">IF(U172="","",O172&amp;"|"&amp;U172)</f>
        <v>KOROIL|20300929|4.125</v>
      </c>
      <c r="W172" s="43" t="str">
        <f aca="false">IF($A172="","",IFERROR(IF(VLOOKUP(O172,매핑!$A$4:$E$92,3,0)="","미분류",VLOOKUP(O172,매핑!$A$4:$E$92,3,0)),"미분류"))</f>
        <v>한국</v>
      </c>
      <c r="X172" s="89" t="n">
        <f aca="false">IF($A172="",0,IF(O172="T",1,0))</f>
        <v>0</v>
      </c>
      <c r="Y172" s="89" t="n">
        <f aca="false">IF($A172="",0,IF(AND(C172="USD",X172=0,ISNUMBER(E172),ISNUMBER(K172)),IF(K172&gt;=설정!$C$8,1,0),0))</f>
        <v>1</v>
      </c>
      <c r="Z172" s="43" t="str">
        <f aca="false">IF($A172="","",N172&amp;"|"&amp;L172)</f>
        <v>아시아/기타|정부</v>
      </c>
      <c r="AA172" s="92" t="n">
        <f aca="false">IF(Y172=1,LN(K172),0)</f>
        <v>1.31157081492395</v>
      </c>
      <c r="AB172" s="93" t="n">
        <f aca="false">IF(Y172=1,E172,0)</f>
        <v>40.269</v>
      </c>
      <c r="AC172" s="89" t="n">
        <f aca="false">IF(Y172=1,COUNTIFS($Z$2:$Z$601,Z172,$Y$2:$Y$601,1),0)</f>
        <v>51</v>
      </c>
      <c r="AD172" s="89" t="n">
        <f aca="false">IF(Y172=1,COUNTIFS($N$2:$N$601,N172,$Y$2:$Y$601,1),0)</f>
        <v>137</v>
      </c>
      <c r="AE172" s="43" t="str">
        <f aca="false">IF(Y172&lt;&gt;1,"",IF(AND(AC172&gt;=설정!$C$7,ISNUMBER(MATCH(Z172,피어커브!$A:$A,0))),Z172,IF(AND(AD172&gt;=설정!$C$7,ISNUMBER(MATCH(N172&amp;"|전체",피어커브!$A:$A,0))),N172&amp;"|전체","전체|전체")))</f>
        <v>아시아/기타|정부</v>
      </c>
      <c r="AF172" s="93" t="n">
        <f aca="false">IF(AE172="","",INDEX(피어커브!$K:$K,MATCH(AE172,피어커브!$A:$A,0)))</f>
        <v>-1.54860147302313</v>
      </c>
      <c r="AG172" s="93" t="n">
        <f aca="false">IF(AE172="","",INDEX(피어커브!$J:$J,MATCH(AE172,피어커브!$A:$A,0)))</f>
        <v>19.8674994409945</v>
      </c>
      <c r="AH172" s="93" t="n">
        <f aca="false">IF(AE172="","",INDEX(피어커브!$L:$L,MATCH(AE172,피어커브!$A:$A,0)))</f>
        <v>13.6930241146778</v>
      </c>
      <c r="AI172" s="93" t="n">
        <f aca="false">IF(AE172="","",AF172+AG172*AA172)</f>
        <v>24.5090309593033</v>
      </c>
      <c r="AJ172" s="96" t="n">
        <f aca="false">IF(AE172="","",E172-AI172)</f>
        <v>15.7599690406967</v>
      </c>
      <c r="AK172" s="95" t="n">
        <f aca="false">IF(AE172="","",IF(ISNUMBER(AH172),IF(AH172&gt;0,AJ172/AH172,""),""))</f>
        <v>1.15094875381131</v>
      </c>
      <c r="AL172" s="43" t="str">
        <f aca="false">IF(AK172="","-",IF(AK172&gt;=설정!$C$6,"Cheap",IF(AK172&lt;=-설정!$C$6,"Rich","Fair")))</f>
        <v>Cheap</v>
      </c>
      <c r="AM172" s="96" t="n">
        <f aca="false">IF(AE172="","",AJ172-AVERAGEIFS($AJ$2:$AJ$601,$B$2:$B$601,B172,$Y$2:$Y$601,1))</f>
        <v>-0.517183861553512</v>
      </c>
      <c r="AN172" s="93" t="n">
        <f aca="false">IF(AE172="",0,IF(K172&gt;1+설정!$C$8,AG172*(AA172-LN(K172-1)),0))</f>
        <v>6.23609903251092</v>
      </c>
      <c r="AO172" s="99" t="n">
        <f aca="false">IF($A172="",0,SUMIFS(보유분석!$AA$2:$AA$801,보유분석!$AB$2:$AB$801,ROW(),보유분석!$AC$2:$AC$801,1))</f>
        <v>0</v>
      </c>
      <c r="AP172" s="43" t="str">
        <f aca="false">IF($A172="","",TRIM(IF(R172=1,"FRN ","")&amp;IF(IFERROR(VLOOKUP(M172,설정!$A$15:$D$47,4,0),0)&gt;=10,IF(IFERROR(VLOOKUP(M172,설정!$A$15:$D$47,4,0),0)&lt;99,"BBB0미만 ",""),"")&amp;IF(OR(M172="",M172="NR"),"등급미입력 ","")&amp;IF(C172&lt;&gt;"USD","비USD ","")))</f>
        <v/>
      </c>
      <c r="AQ172" s="90" t="n">
        <f aca="false">IF(AND(Y172=1,AL172="Cheap"),IF(AND(ISERROR(SEARCH("FRN",AP172)),ISERROR(SEARCH("BBB0미만",AP172))),AK172+ROW()/1000000000,-999),-999)</f>
        <v>1.15094892581131</v>
      </c>
      <c r="AR172" s="92" t="n">
        <f aca="false">IF(AND(ISNUMBER(D172),ISNUMBER(K172)),D172+AN172*MAX(K172-1,0)/100,"")</f>
        <v>5.6581230057617</v>
      </c>
      <c r="AS172" s="93" t="n">
        <f aca="false">IF(AND(ISNUMBER(E172),ISNUMBER(K172)),IF(K172&gt;0,(E172+AN172*MAX(K172-1,0))/K172,""),"")</f>
        <v>15.4044451983216</v>
      </c>
      <c r="AT172" s="90" t="n">
        <f aca="false">IFERROR(IF(AND(Y172=1,ROW()&lt;&gt;스왑분석!$C$12+1,ABS(K172-INDEX($K$2:$K$601,스왑분석!$C$12))&lt;=스왑분석!$C$5,ISERROR(SEARCH("FRN",AP172)),ISERROR(SEARCH("BBB0미만",AP172))),IF(AND(OR(스왑분석!$C$6="N",L172=INDEX($L$2:$L$601,스왑분석!$C$12)),OR(스왑분석!$C$7="N",N172=INDEX($N$2:$N$601,스왑분석!$C$12)),OR(스왑분석!$C$8="N",AO172=0),E172-INDEX($E$2:$E$601,스왑분석!$C$12)&gt;=스왑분석!$C$9),E172-INDEX($E$2:$E$601,스왑분석!$C$12)+ROW()/1000000000,-999),-999),-999)</f>
        <v>-999</v>
      </c>
      <c r="AU172" s="90" t="n">
        <f aca="false">IF(AND(Y172=1,AO172&gt;0,AL172="Rich"),-AK172+ROW()/1000000000,-999)</f>
        <v>-999</v>
      </c>
    </row>
    <row r="173" customFormat="false" ht="15" hidden="false" customHeight="false" outlineLevel="0" collapsed="false">
      <c r="A173" s="83" t="str">
        <f aca="false">IFERROR(IF(INDEX(원자료_시장!$A$1:$BZ$1000,설정!$L$6+ROW()-1,설정!$L$24)&amp;""="0","",INDEX(원자료_시장!$A$1:$BZ$1000,설정!$L$6+ROW()-1,설정!$L$24)),"")</f>
        <v>KOROIL 4 1/2 03/30/29</v>
      </c>
      <c r="B173" s="83" t="str">
        <f aca="false">IFERROR(IF(INDEX(원자료_시장!$A$1:$BZ$1000,설정!$L$6+ROW()-1,설정!$L$37)&amp;""="0","",INDEX(원자료_시장!$A$1:$BZ$1000,설정!$L$6+ROW()-1,설정!$L$37)),"")</f>
        <v>KOREA NATIONAL OIL CORP</v>
      </c>
      <c r="C173" s="83" t="str">
        <f aca="false">IFERROR(IF(INDEX(원자료_시장!$A$1:$BZ$1000,설정!$L$6+ROW()-1,설정!$L$25)&amp;""="0","",INDEX(원자료_시장!$A$1:$BZ$1000,설정!$L$6+ROW()-1,설정!$L$25)),"")</f>
        <v>USD</v>
      </c>
      <c r="D173" s="85" t="n">
        <f aca="false">IFERROR(IF(ISNUMBER(INDEX(원자료_시장!$A$1:$BZ$1000,설정!$L$6+ROW()-1,설정!$L$26)),INDEX(원자료_시장!$A$1:$BZ$1000,설정!$L$6+ROW()-1,설정!$L$26),""),"")</f>
        <v>5.292</v>
      </c>
      <c r="E173" s="97" t="n">
        <f aca="false">IFERROR(IF(ISNUMBER(INDEX(원자료_시장!$A$1:$BZ$1000,설정!$L$6+ROW()-1,설정!$L$27)),INDEX(원자료_시장!$A$1:$BZ$1000,설정!$L$6+ROW()-1,설정!$L$27),""),"")</f>
        <v>29.129</v>
      </c>
      <c r="F173" s="97" t="n">
        <f aca="false">IFERROR(IF(ISNUMBER(INDEX(원자료_시장!$A$1:$BZ$1000,설정!$L$6+ROW()-1,설정!$L$28)),INDEX(원자료_시장!$A$1:$BZ$1000,설정!$L$6+ROW()-1,설정!$L$28),""),"")</f>
        <v>57.802</v>
      </c>
      <c r="G173" s="97" t="n">
        <f aca="false">IFERROR(IF(ISNUMBER(INDEX(원자료_시장!$A$1:$BZ$1000,설정!$L$6+ROW()-1,설정!$L$29)),INDEX(원자료_시장!$A$1:$BZ$1000,설정!$L$6+ROW()-1,설정!$L$29),""),"")</f>
        <v>-2.6</v>
      </c>
      <c r="H173" s="97" t="n">
        <f aca="false">IFERROR(IF(ISNUMBER(INDEX(원자료_시장!$A$1:$BZ$1000,설정!$L$6+ROW()-1,설정!$L$30)),INDEX(원자료_시장!$A$1:$BZ$1000,설정!$L$6+ROW()-1,설정!$L$30),""),"")</f>
        <v>7.4</v>
      </c>
      <c r="I173" s="97" t="n">
        <f aca="false">IFERROR(IF(ISNUMBER(INDEX(원자료_시장!$A$1:$BZ$1000,설정!$L$6+ROW()-1,설정!$L$31)),INDEX(원자료_시장!$A$1:$BZ$1000,설정!$L$6+ROW()-1,설정!$L$31),""),"")</f>
        <v>-2.4</v>
      </c>
      <c r="J173" s="97" t="n">
        <f aca="false">IFERROR(IF(ISNUMBER(INDEX(원자료_시장!$A$1:$BZ$1000,설정!$L$6+ROW()-1,설정!$L$32)),INDEX(원자료_시장!$A$1:$BZ$1000,설정!$L$6+ROW()-1,설정!$L$32),""),"")</f>
        <v>-11.2</v>
      </c>
      <c r="K173" s="85" t="n">
        <f aca="false">IFERROR(IF(ISNUMBER(INDEX(원자료_시장!$A$1:$BZ$1000,설정!$L$6+ROW()-1,설정!$L$33)),INDEX(원자료_시장!$A$1:$BZ$1000,설정!$L$6+ROW()-1,설정!$L$33),""),"")</f>
        <v>2.386</v>
      </c>
      <c r="L173" s="83" t="str">
        <f aca="false">IFERROR(IF(INDEX(원자료_시장!$A$1:$BZ$1000,설정!$L$6+ROW()-1,설정!$L$34)&amp;""="0","",INDEX(원자료_시장!$A$1:$BZ$1000,설정!$L$6+ROW()-1,설정!$L$34)),"")</f>
        <v>정부</v>
      </c>
      <c r="M173" s="83" t="str">
        <f aca="false">IFERROR(IF(INDEX(원자료_시장!$A$1:$BZ$1000,설정!$L$6+ROW()-1,설정!$L$35)&amp;""="0","",INDEX(원자료_시장!$A$1:$BZ$1000,설정!$L$6+ROW()-1,설정!$L$35)),"")</f>
        <v>AA</v>
      </c>
      <c r="N173" s="83" t="str">
        <f aca="false">IFERROR(IF(INDEX(원자료_시장!$A$1:$BZ$1000,설정!$L$6+ROW()-1,설정!$L$36)&amp;""="0","",INDEX(원자료_시장!$A$1:$BZ$1000,설정!$L$6+ROW()-1,설정!$L$36)),"")</f>
        <v>아시아/기타</v>
      </c>
      <c r="O173" s="43" t="str">
        <f aca="false">IF($A173="","",UPPER(LEFT($A173,FIND(" ",$A173&amp;" ")-1)))</f>
        <v>KOROIL</v>
      </c>
      <c r="P173" s="43" t="str">
        <f aca="false">IF($A173="","",TRIM(RIGHT(SUBSTITUTE(TRIM($A173)," ",REPT(" ",30)),30)))</f>
        <v>03/30/29</v>
      </c>
      <c r="Q173" s="98" t="n">
        <f aca="false">IF($A173="","",IFERROR(DATE(IF(LEN(P173)=8,2000+VALUE(RIGHT(P173,2)),VALUE(RIGHT(P173,4))),VALUE(LEFT(P173,2)),VALUE(MID(P173,4,2))),""))</f>
        <v>47207</v>
      </c>
      <c r="R173" s="89" t="n">
        <f aca="false">IF($A173="",0,IF(ISNUMBER(SEARCH("Float",$A173)),1,0))</f>
        <v>0</v>
      </c>
      <c r="S173" s="43" t="str">
        <f aca="false">IF($A173="","",TRIM(MID($A173,LEN(O173)+2,LEN($A173)-LEN(O173)-LEN(P173)-1)))</f>
        <v>4 1/2</v>
      </c>
      <c r="T173" s="92" t="n">
        <f aca="false">IF(OR($A173="",R173=1),"",IFERROR(IF(ISNUMBER(FIND("/",S173)),IF(ISNUMBER(FIND(" ",S173)),VALUE(LEFT(S173,FIND(" ",S173)-1))+VALUE(MID(S173,FIND(" ",S173)+1,FIND("/",S173)-FIND(" ",S173)-1))/VALUE(MID(S173,FIND("/",S173)+1,9)),VALUE(LEFT(S173,FIND("/",S173)-1))/VALUE(MID(S173,FIND("/",S173)+1,9))),VALUE(S173)),""))</f>
        <v>4.5</v>
      </c>
      <c r="U173" s="43" t="str">
        <f aca="false">IF(OR($A173="",NOT(ISNUMBER(Q173))),"",TEXT(Q173,"yyyymmdd")&amp;"|"&amp;IF(R173=1,"F",TEXT(T173,"0.000")))</f>
        <v>20290330|4.500</v>
      </c>
      <c r="V173" s="43" t="str">
        <f aca="false">IF(U173="","",O173&amp;"|"&amp;U173)</f>
        <v>KOROIL|20290330|4.500</v>
      </c>
      <c r="W173" s="43" t="str">
        <f aca="false">IF($A173="","",IFERROR(IF(VLOOKUP(O173,매핑!$A$4:$E$92,3,0)="","미분류",VLOOKUP(O173,매핑!$A$4:$E$92,3,0)),"미분류"))</f>
        <v>한국</v>
      </c>
      <c r="X173" s="89" t="n">
        <f aca="false">IF($A173="",0,IF(O173="T",1,0))</f>
        <v>0</v>
      </c>
      <c r="Y173" s="89" t="n">
        <f aca="false">IF($A173="",0,IF(AND(C173="USD",X173=0,ISNUMBER(E173),ISNUMBER(K173)),IF(K173&gt;=설정!$C$8,1,0),0))</f>
        <v>1</v>
      </c>
      <c r="Z173" s="43" t="str">
        <f aca="false">IF($A173="","",N173&amp;"|"&amp;L173)</f>
        <v>아시아/기타|정부</v>
      </c>
      <c r="AA173" s="92" t="n">
        <f aca="false">IF(Y173=1,LN(K173),0)</f>
        <v>0.869618323675724</v>
      </c>
      <c r="AB173" s="93" t="n">
        <f aca="false">IF(Y173=1,E173,0)</f>
        <v>29.129</v>
      </c>
      <c r="AC173" s="89" t="n">
        <f aca="false">IF(Y173=1,COUNTIFS($Z$2:$Z$601,Z173,$Y$2:$Y$601,1),0)</f>
        <v>51</v>
      </c>
      <c r="AD173" s="89" t="n">
        <f aca="false">IF(Y173=1,COUNTIFS($N$2:$N$601,N173,$Y$2:$Y$601,1),0)</f>
        <v>137</v>
      </c>
      <c r="AE173" s="43" t="str">
        <f aca="false">IF(Y173&lt;&gt;1,"",IF(AND(AC173&gt;=설정!$C$7,ISNUMBER(MATCH(Z173,피어커브!$A:$A,0))),Z173,IF(AND(AD173&gt;=설정!$C$7,ISNUMBER(MATCH(N173&amp;"|전체",피어커브!$A:$A,0))),N173&amp;"|전체","전체|전체")))</f>
        <v>아시아/기타|정부</v>
      </c>
      <c r="AF173" s="93" t="n">
        <f aca="false">IF(AE173="","",INDEX(피어커브!$K:$K,MATCH(AE173,피어커브!$A:$A,0)))</f>
        <v>-1.54860147302313</v>
      </c>
      <c r="AG173" s="93" t="n">
        <f aca="false">IF(AE173="","",INDEX(피어커브!$J:$J,MATCH(AE173,피어커브!$A:$A,0)))</f>
        <v>19.8674994409945</v>
      </c>
      <c r="AH173" s="93" t="n">
        <f aca="false">IF(AE173="","",INDEX(피어커브!$L:$L,MATCH(AE173,피어커브!$A:$A,0)))</f>
        <v>13.6930241146778</v>
      </c>
      <c r="AI173" s="93" t="n">
        <f aca="false">IF(AE173="","",AF173+AG173*AA173)</f>
        <v>15.7285400864829</v>
      </c>
      <c r="AJ173" s="96" t="n">
        <f aca="false">IF(AE173="","",E173-AI173)</f>
        <v>13.4004599135171</v>
      </c>
      <c r="AK173" s="95" t="n">
        <f aca="false">IF(AE173="","",IF(ISNUMBER(AH173),IF(AH173&gt;0,AJ173/AH173,""),""))</f>
        <v>0.978634069529816</v>
      </c>
      <c r="AL173" s="43" t="str">
        <f aca="false">IF(AK173="","-",IF(AK173&gt;=설정!$C$6,"Cheap",IF(AK173&lt;=-설정!$C$6,"Rich","Fair")))</f>
        <v>Fair</v>
      </c>
      <c r="AM173" s="96" t="n">
        <f aca="false">IF(AE173="","",AJ173-AVERAGEIFS($AJ$2:$AJ$601,$B$2:$B$601,B173,$Y$2:$Y$601,1))</f>
        <v>-2.87669298873316</v>
      </c>
      <c r="AN173" s="93" t="n">
        <f aca="false">IF(AE173="",0,IF(K173&gt;1+설정!$C$8,AG173*(AA173-LN(K173-1)),0))</f>
        <v>10.7919546284752</v>
      </c>
      <c r="AO173" s="99" t="n">
        <f aca="false">IF($A173="",0,SUMIFS(보유분석!$AA$2:$AA$801,보유분석!$AB$2:$AB$801,ROW(),보유분석!$AC$2:$AC$801,1))</f>
        <v>0</v>
      </c>
      <c r="AP173" s="43" t="str">
        <f aca="false">IF($A173="","",TRIM(IF(R173=1,"FRN ","")&amp;IF(IFERROR(VLOOKUP(M173,설정!$A$15:$D$47,4,0),0)&gt;=10,IF(IFERROR(VLOOKUP(M173,설정!$A$15:$D$47,4,0),0)&lt;99,"BBB0미만 ",""),"")&amp;IF(OR(M173="",M173="NR"),"등급미입력 ","")&amp;IF(C173&lt;&gt;"USD","비USD ","")))</f>
        <v/>
      </c>
      <c r="AQ173" s="90" t="n">
        <f aca="false">IF(AND(Y173=1,AL173="Cheap"),IF(AND(ISERROR(SEARCH("FRN",AP173)),ISERROR(SEARCH("BBB0미만",AP173))),AK173+ROW()/1000000000,-999),-999)</f>
        <v>-999</v>
      </c>
      <c r="AR173" s="92" t="n">
        <f aca="false">IF(AND(ISNUMBER(D173),ISNUMBER(K173)),D173+AN173*MAX(K173-1,0)/100,"")</f>
        <v>5.44157649115067</v>
      </c>
      <c r="AS173" s="93" t="n">
        <f aca="false">IF(AND(ISNUMBER(E173),ISNUMBER(K173)),IF(K173&gt;0,(E173+AN173*MAX(K173-1,0))/K173,""),"")</f>
        <v>18.4772209199776</v>
      </c>
      <c r="AT173" s="90" t="n">
        <f aca="false">IFERROR(IF(AND(Y173=1,ROW()&lt;&gt;스왑분석!$C$12+1,ABS(K173-INDEX($K$2:$K$601,스왑분석!$C$12))&lt;=스왑분석!$C$5,ISERROR(SEARCH("FRN",AP173)),ISERROR(SEARCH("BBB0미만",AP173))),IF(AND(OR(스왑분석!$C$6="N",L173=INDEX($L$2:$L$601,스왑분석!$C$12)),OR(스왑분석!$C$7="N",N173=INDEX($N$2:$N$601,스왑분석!$C$12)),OR(스왑분석!$C$8="N",AO173=0),E173-INDEX($E$2:$E$601,스왑분석!$C$12)&gt;=스왑분석!$C$9),E173-INDEX($E$2:$E$601,스왑분석!$C$12)+ROW()/1000000000,-999),-999),-999)</f>
        <v>-999</v>
      </c>
      <c r="AU173" s="90" t="n">
        <f aca="false">IF(AND(Y173=1,AO173&gt;0,AL173="Rich"),-AK173+ROW()/1000000000,-999)</f>
        <v>-999</v>
      </c>
    </row>
    <row r="174" customFormat="false" ht="15" hidden="false" customHeight="false" outlineLevel="0" collapsed="false">
      <c r="A174" s="83" t="str">
        <f aca="false">IFERROR(IF(INDEX(원자료_시장!$A$1:$BZ$1000,설정!$L$6+ROW()-1,설정!$L$24)&amp;""="0","",INDEX(원자료_시장!$A$1:$BZ$1000,설정!$L$6+ROW()-1,설정!$L$24)),"")</f>
        <v>KOROIL 4 5/8 03/30/31</v>
      </c>
      <c r="B174" s="83" t="str">
        <f aca="false">IFERROR(IF(INDEX(원자료_시장!$A$1:$BZ$1000,설정!$L$6+ROW()-1,설정!$L$37)&amp;""="0","",INDEX(원자료_시장!$A$1:$BZ$1000,설정!$L$6+ROW()-1,설정!$L$37)),"")</f>
        <v>KOREA NATIONAL OIL CORP</v>
      </c>
      <c r="C174" s="83" t="str">
        <f aca="false">IFERROR(IF(INDEX(원자료_시장!$A$1:$BZ$1000,설정!$L$6+ROW()-1,설정!$L$25)&amp;""="0","",INDEX(원자료_시장!$A$1:$BZ$1000,설정!$L$6+ROW()-1,설정!$L$25)),"")</f>
        <v>USD</v>
      </c>
      <c r="D174" s="85" t="n">
        <f aca="false">IFERROR(IF(ISNUMBER(INDEX(원자료_시장!$A$1:$BZ$1000,설정!$L$6+ROW()-1,설정!$L$26)),INDEX(원자료_시장!$A$1:$BZ$1000,설정!$L$6+ROW()-1,설정!$L$26),""),"")</f>
        <v>5.552</v>
      </c>
      <c r="E174" s="97" t="n">
        <f aca="false">IFERROR(IF(ISNUMBER(INDEX(원자료_시장!$A$1:$BZ$1000,설정!$L$6+ROW()-1,설정!$L$27)),INDEX(원자료_시장!$A$1:$BZ$1000,설정!$L$6+ROW()-1,설정!$L$27),""),"")</f>
        <v>46.541</v>
      </c>
      <c r="F174" s="97" t="n">
        <f aca="false">IFERROR(IF(ISNUMBER(INDEX(원자료_시장!$A$1:$BZ$1000,설정!$L$6+ROW()-1,설정!$L$28)),INDEX(원자료_시장!$A$1:$BZ$1000,설정!$L$6+ROW()-1,설정!$L$28),""),"")</f>
        <v>80.235</v>
      </c>
      <c r="G174" s="97" t="n">
        <f aca="false">IFERROR(IF(ISNUMBER(INDEX(원자료_시장!$A$1:$BZ$1000,설정!$L$6+ROW()-1,설정!$L$29)),INDEX(원자료_시장!$A$1:$BZ$1000,설정!$L$6+ROW()-1,설정!$L$29),""),"")</f>
        <v>-1.3</v>
      </c>
      <c r="H174" s="97" t="n">
        <f aca="false">IFERROR(IF(ISNUMBER(INDEX(원자료_시장!$A$1:$BZ$1000,설정!$L$6+ROW()-1,설정!$L$30)),INDEX(원자료_시장!$A$1:$BZ$1000,설정!$L$6+ROW()-1,설정!$L$30),""),"")</f>
        <v>9.8</v>
      </c>
      <c r="I174" s="97" t="n">
        <f aca="false">IFERROR(IF(ISNUMBER(INDEX(원자료_시장!$A$1:$BZ$1000,설정!$L$6+ROW()-1,설정!$L$31)),INDEX(원자료_시장!$A$1:$BZ$1000,설정!$L$6+ROW()-1,설정!$L$31),""),"")</f>
        <v>0.8</v>
      </c>
      <c r="J174" s="97" t="n">
        <f aca="false">IFERROR(IF(ISNUMBER(INDEX(원자료_시장!$A$1:$BZ$1000,설정!$L$6+ROW()-1,설정!$L$32)),INDEX(원자료_시장!$A$1:$BZ$1000,설정!$L$6+ROW()-1,설정!$L$32),""),"")</f>
        <v>2.7</v>
      </c>
      <c r="K174" s="85" t="n">
        <f aca="false">IFERROR(IF(ISNUMBER(INDEX(원자료_시장!$A$1:$BZ$1000,설정!$L$6+ROW()-1,설정!$L$33)),INDEX(원자료_시장!$A$1:$BZ$1000,설정!$L$6+ROW()-1,설정!$L$33),""),"")</f>
        <v>4.1</v>
      </c>
      <c r="L174" s="83" t="str">
        <f aca="false">IFERROR(IF(INDEX(원자료_시장!$A$1:$BZ$1000,설정!$L$6+ROW()-1,설정!$L$34)&amp;""="0","",INDEX(원자료_시장!$A$1:$BZ$1000,설정!$L$6+ROW()-1,설정!$L$34)),"")</f>
        <v>정부</v>
      </c>
      <c r="M174" s="83" t="str">
        <f aca="false">IFERROR(IF(INDEX(원자료_시장!$A$1:$BZ$1000,설정!$L$6+ROW()-1,설정!$L$35)&amp;""="0","",INDEX(원자료_시장!$A$1:$BZ$1000,설정!$L$6+ROW()-1,설정!$L$35)),"")</f>
        <v>AA</v>
      </c>
      <c r="N174" s="83" t="str">
        <f aca="false">IFERROR(IF(INDEX(원자료_시장!$A$1:$BZ$1000,설정!$L$6+ROW()-1,설정!$L$36)&amp;""="0","",INDEX(원자료_시장!$A$1:$BZ$1000,설정!$L$6+ROW()-1,설정!$L$36)),"")</f>
        <v>아시아/기타</v>
      </c>
      <c r="O174" s="43" t="str">
        <f aca="false">IF($A174="","",UPPER(LEFT($A174,FIND(" ",$A174&amp;" ")-1)))</f>
        <v>KOROIL</v>
      </c>
      <c r="P174" s="43" t="str">
        <f aca="false">IF($A174="","",TRIM(RIGHT(SUBSTITUTE(TRIM($A174)," ",REPT(" ",30)),30)))</f>
        <v>03/30/31</v>
      </c>
      <c r="Q174" s="98" t="n">
        <f aca="false">IF($A174="","",IFERROR(DATE(IF(LEN(P174)=8,2000+VALUE(RIGHT(P174,2)),VALUE(RIGHT(P174,4))),VALUE(LEFT(P174,2)),VALUE(MID(P174,4,2))),""))</f>
        <v>47937</v>
      </c>
      <c r="R174" s="89" t="n">
        <f aca="false">IF($A174="",0,IF(ISNUMBER(SEARCH("Float",$A174)),1,0))</f>
        <v>0</v>
      </c>
      <c r="S174" s="43" t="str">
        <f aca="false">IF($A174="","",TRIM(MID($A174,LEN(O174)+2,LEN($A174)-LEN(O174)-LEN(P174)-1)))</f>
        <v>4 5/8</v>
      </c>
      <c r="T174" s="92" t="n">
        <f aca="false">IF(OR($A174="",R174=1),"",IFERROR(IF(ISNUMBER(FIND("/",S174)),IF(ISNUMBER(FIND(" ",S174)),VALUE(LEFT(S174,FIND(" ",S174)-1))+VALUE(MID(S174,FIND(" ",S174)+1,FIND("/",S174)-FIND(" ",S174)-1))/VALUE(MID(S174,FIND("/",S174)+1,9)),VALUE(LEFT(S174,FIND("/",S174)-1))/VALUE(MID(S174,FIND("/",S174)+1,9))),VALUE(S174)),""))</f>
        <v>4.625</v>
      </c>
      <c r="U174" s="43" t="str">
        <f aca="false">IF(OR($A174="",NOT(ISNUMBER(Q174))),"",TEXT(Q174,"yyyymmdd")&amp;"|"&amp;IF(R174=1,"F",TEXT(T174,"0.000")))</f>
        <v>20310330|4.625</v>
      </c>
      <c r="V174" s="43" t="str">
        <f aca="false">IF(U174="","",O174&amp;"|"&amp;U174)</f>
        <v>KOROIL|20310330|4.625</v>
      </c>
      <c r="W174" s="43" t="str">
        <f aca="false">IF($A174="","",IFERROR(IF(VLOOKUP(O174,매핑!$A$4:$E$92,3,0)="","미분류",VLOOKUP(O174,매핑!$A$4:$E$92,3,0)),"미분류"))</f>
        <v>한국</v>
      </c>
      <c r="X174" s="89" t="n">
        <f aca="false">IF($A174="",0,IF(O174="T",1,0))</f>
        <v>0</v>
      </c>
      <c r="Y174" s="89" t="n">
        <f aca="false">IF($A174="",0,IF(AND(C174="USD",X174=0,ISNUMBER(E174),ISNUMBER(K174)),IF(K174&gt;=설정!$C$8,1,0),0))</f>
        <v>1</v>
      </c>
      <c r="Z174" s="43" t="str">
        <f aca="false">IF($A174="","",N174&amp;"|"&amp;L174)</f>
        <v>아시아/기타|정부</v>
      </c>
      <c r="AA174" s="92" t="n">
        <f aca="false">IF(Y174=1,LN(K174),0)</f>
        <v>1.41098697371026</v>
      </c>
      <c r="AB174" s="93" t="n">
        <f aca="false">IF(Y174=1,E174,0)</f>
        <v>46.541</v>
      </c>
      <c r="AC174" s="89" t="n">
        <f aca="false">IF(Y174=1,COUNTIFS($Z$2:$Z$601,Z174,$Y$2:$Y$601,1),0)</f>
        <v>51</v>
      </c>
      <c r="AD174" s="89" t="n">
        <f aca="false">IF(Y174=1,COUNTIFS($N$2:$N$601,N174,$Y$2:$Y$601,1),0)</f>
        <v>137</v>
      </c>
      <c r="AE174" s="43" t="str">
        <f aca="false">IF(Y174&lt;&gt;1,"",IF(AND(AC174&gt;=설정!$C$7,ISNUMBER(MATCH(Z174,피어커브!$A:$A,0))),Z174,IF(AND(AD174&gt;=설정!$C$7,ISNUMBER(MATCH(N174&amp;"|전체",피어커브!$A:$A,0))),N174&amp;"|전체","전체|전체")))</f>
        <v>아시아/기타|정부</v>
      </c>
      <c r="AF174" s="93" t="n">
        <f aca="false">IF(AE174="","",INDEX(피어커브!$K:$K,MATCH(AE174,피어커브!$A:$A,0)))</f>
        <v>-1.54860147302313</v>
      </c>
      <c r="AG174" s="93" t="n">
        <f aca="false">IF(AE174="","",INDEX(피어커브!$J:$J,MATCH(AE174,피어커브!$A:$A,0)))</f>
        <v>19.8674994409945</v>
      </c>
      <c r="AH174" s="93" t="n">
        <f aca="false">IF(AE174="","",INDEX(피어커브!$L:$L,MATCH(AE174,피어커브!$A:$A,0)))</f>
        <v>13.6930241146778</v>
      </c>
      <c r="AI174" s="93" t="n">
        <f aca="false">IF(AE174="","",AF174+AG174*AA174)</f>
        <v>26.4841814384161</v>
      </c>
      <c r="AJ174" s="96" t="n">
        <f aca="false">IF(AE174="","",E174-AI174)</f>
        <v>20.0568185615839</v>
      </c>
      <c r="AK174" s="95" t="n">
        <f aca="false">IF(AE174="","",IF(ISNUMBER(AH174),IF(AH174&gt;0,AJ174/AH174,""),""))</f>
        <v>1.46474718759055</v>
      </c>
      <c r="AL174" s="43" t="str">
        <f aca="false">IF(AK174="","-",IF(AK174&gt;=설정!$C$6,"Cheap",IF(AK174&lt;=-설정!$C$6,"Rich","Fair")))</f>
        <v>Cheap</v>
      </c>
      <c r="AM174" s="96" t="n">
        <f aca="false">IF(AE174="","",AJ174-AVERAGEIFS($AJ$2:$AJ$601,$B$2:$B$601,B174,$Y$2:$Y$601,1))</f>
        <v>3.7796656593337</v>
      </c>
      <c r="AN174" s="93" t="n">
        <f aca="false">IF(AE174="",0,IF(K174&gt;1+설정!$C$8,AG174*(AA174-LN(K174-1)),0))</f>
        <v>5.55465209384973</v>
      </c>
      <c r="AO174" s="99" t="n">
        <f aca="false">IF($A174="",0,SUMIFS(보유분석!$AA$2:$AA$801,보유분석!$AB$2:$AB$801,ROW(),보유분석!$AC$2:$AC$801,1))</f>
        <v>0</v>
      </c>
      <c r="AP174" s="43" t="str">
        <f aca="false">IF($A174="","",TRIM(IF(R174=1,"FRN ","")&amp;IF(IFERROR(VLOOKUP(M174,설정!$A$15:$D$47,4,0),0)&gt;=10,IF(IFERROR(VLOOKUP(M174,설정!$A$15:$D$47,4,0),0)&lt;99,"BBB0미만 ",""),"")&amp;IF(OR(M174="",M174="NR"),"등급미입력 ","")&amp;IF(C174&lt;&gt;"USD","비USD ","")))</f>
        <v/>
      </c>
      <c r="AQ174" s="90" t="n">
        <f aca="false">IF(AND(Y174=1,AL174="Cheap"),IF(AND(ISERROR(SEARCH("FRN",AP174)),ISERROR(SEARCH("BBB0미만",AP174))),AK174+ROW()/1000000000,-999),-999)</f>
        <v>1.46474736159055</v>
      </c>
      <c r="AR174" s="92" t="n">
        <f aca="false">IF(AND(ISNUMBER(D174),ISNUMBER(K174)),D174+AN174*MAX(K174-1,0)/100,"")</f>
        <v>5.72419421490934</v>
      </c>
      <c r="AS174" s="93" t="n">
        <f aca="false">IF(AND(ISNUMBER(E174),ISNUMBER(K174)),IF(K174&gt;0,(E174+AN174*MAX(K174-1,0))/K174,""),"")</f>
        <v>15.551322314862</v>
      </c>
      <c r="AT174" s="90" t="n">
        <f aca="false">IFERROR(IF(AND(Y174=1,ROW()&lt;&gt;스왑분석!$C$12+1,ABS(K174-INDEX($K$2:$K$601,스왑분석!$C$12))&lt;=스왑분석!$C$5,ISERROR(SEARCH("FRN",AP174)),ISERROR(SEARCH("BBB0미만",AP174))),IF(AND(OR(스왑분석!$C$6="N",L174=INDEX($L$2:$L$601,스왑분석!$C$12)),OR(스왑분석!$C$7="N",N174=INDEX($N$2:$N$601,스왑분석!$C$12)),OR(스왑분석!$C$8="N",AO174=0),E174-INDEX($E$2:$E$601,스왑분석!$C$12)&gt;=스왑분석!$C$9),E174-INDEX($E$2:$E$601,스왑분석!$C$12)+ROW()/1000000000,-999),-999),-999)</f>
        <v>-999</v>
      </c>
      <c r="AU174" s="90" t="n">
        <f aca="false">IF(AND(Y174=1,AO174&gt;0,AL174="Rich"),-AK174+ROW()/1000000000,-999)</f>
        <v>-999</v>
      </c>
    </row>
    <row r="175" customFormat="false" ht="15" hidden="false" customHeight="false" outlineLevel="0" collapsed="false">
      <c r="A175" s="83" t="str">
        <f aca="false">IFERROR(IF(INDEX(원자료_시장!$A$1:$BZ$1000,설정!$L$6+ROW()-1,설정!$L$24)&amp;""="0","",INDEX(원자료_시장!$A$1:$BZ$1000,설정!$L$6+ROW()-1,설정!$L$24)),"")</f>
        <v>KOREAT 4 1/8 02/02/28</v>
      </c>
      <c r="B175" s="83" t="str">
        <f aca="false">IFERROR(IF(INDEX(원자료_시장!$A$1:$BZ$1000,설정!$L$6+ROW()-1,설정!$L$37)&amp;""="0","",INDEX(원자료_시장!$A$1:$BZ$1000,설정!$L$6+ROW()-1,설정!$L$37)),"")</f>
        <v>KT CORP</v>
      </c>
      <c r="C175" s="83" t="str">
        <f aca="false">IFERROR(IF(INDEX(원자료_시장!$A$1:$BZ$1000,설정!$L$6+ROW()-1,설정!$L$25)&amp;""="0","",INDEX(원자료_시장!$A$1:$BZ$1000,설정!$L$6+ROW()-1,설정!$L$25)),"")</f>
        <v>USD</v>
      </c>
      <c r="D175" s="85" t="n">
        <f aca="false">IFERROR(IF(ISNUMBER(INDEX(원자료_시장!$A$1:$BZ$1000,설정!$L$6+ROW()-1,설정!$L$26)),INDEX(원자료_시장!$A$1:$BZ$1000,설정!$L$6+ROW()-1,설정!$L$26),""),"")</f>
        <v>5.163</v>
      </c>
      <c r="E175" s="97" t="n">
        <f aca="false">IFERROR(IF(ISNUMBER(INDEX(원자료_시장!$A$1:$BZ$1000,설정!$L$6+ROW()-1,설정!$L$27)),INDEX(원자료_시장!$A$1:$BZ$1000,설정!$L$6+ROW()-1,설정!$L$27),""),"")</f>
        <v>27.355</v>
      </c>
      <c r="F175" s="97" t="n">
        <f aca="false">IFERROR(IF(ISNUMBER(INDEX(원자료_시장!$A$1:$BZ$1000,설정!$L$6+ROW()-1,설정!$L$28)),INDEX(원자료_시장!$A$1:$BZ$1000,설정!$L$6+ROW()-1,설정!$L$28),""),"")</f>
        <v>58.576</v>
      </c>
      <c r="G175" s="97" t="n">
        <f aca="false">IFERROR(IF(ISNUMBER(INDEX(원자료_시장!$A$1:$BZ$1000,설정!$L$6+ROW()-1,설정!$L$29)),INDEX(원자료_시장!$A$1:$BZ$1000,설정!$L$6+ROW()-1,설정!$L$29),""),"")</f>
        <v>0</v>
      </c>
      <c r="H175" s="97" t="n">
        <f aca="false">IFERROR(IF(ISNUMBER(INDEX(원자료_시장!$A$1:$BZ$1000,설정!$L$6+ROW()-1,설정!$L$30)),INDEX(원자료_시장!$A$1:$BZ$1000,설정!$L$6+ROW()-1,설정!$L$30),""),"")</f>
        <v>11.8</v>
      </c>
      <c r="I175" s="97" t="n">
        <f aca="false">IFERROR(IF(ISNUMBER(INDEX(원자료_시장!$A$1:$BZ$1000,설정!$L$6+ROW()-1,설정!$L$31)),INDEX(원자료_시장!$A$1:$BZ$1000,설정!$L$6+ROW()-1,설정!$L$31),""),"")</f>
        <v>-6.1</v>
      </c>
      <c r="J175" s="97" t="n">
        <f aca="false">IFERROR(IF(ISNUMBER(INDEX(원자료_시장!$A$1:$BZ$1000,설정!$L$6+ROW()-1,설정!$L$32)),INDEX(원자료_시장!$A$1:$BZ$1000,설정!$L$6+ROW()-1,설정!$L$32),""),"")</f>
        <v>-5.4</v>
      </c>
      <c r="K175" s="85" t="n">
        <f aca="false">IFERROR(IF(ISNUMBER(INDEX(원자료_시장!$A$1:$BZ$1000,설정!$L$6+ROW()-1,설정!$L$33)),INDEX(원자료_시장!$A$1:$BZ$1000,설정!$L$6+ROW()-1,설정!$L$33),""),"")</f>
        <v>1.303</v>
      </c>
      <c r="L175" s="83" t="str">
        <f aca="false">IFERROR(IF(INDEX(원자료_시장!$A$1:$BZ$1000,설정!$L$6+ROW()-1,설정!$L$34)&amp;""="0","",INDEX(원자료_시장!$A$1:$BZ$1000,설정!$L$6+ROW()-1,설정!$L$34)),"")</f>
        <v>통신</v>
      </c>
      <c r="M175" s="83" t="str">
        <f aca="false">IFERROR(IF(INDEX(원자료_시장!$A$1:$BZ$1000,설정!$L$6+ROW()-1,설정!$L$35)&amp;""="0","",INDEX(원자료_시장!$A$1:$BZ$1000,설정!$L$6+ROW()-1,설정!$L$35)),"")</f>
        <v>A-</v>
      </c>
      <c r="N175" s="83" t="str">
        <f aca="false">IFERROR(IF(INDEX(원자료_시장!$A$1:$BZ$1000,설정!$L$6+ROW()-1,설정!$L$36)&amp;""="0","",INDEX(원자료_시장!$A$1:$BZ$1000,설정!$L$6+ROW()-1,설정!$L$36)),"")</f>
        <v>아시아/기타</v>
      </c>
      <c r="O175" s="43" t="str">
        <f aca="false">IF($A175="","",UPPER(LEFT($A175,FIND(" ",$A175&amp;" ")-1)))</f>
        <v>KOREAT</v>
      </c>
      <c r="P175" s="43" t="str">
        <f aca="false">IF($A175="","",TRIM(RIGHT(SUBSTITUTE(TRIM($A175)," ",REPT(" ",30)),30)))</f>
        <v>02/02/28</v>
      </c>
      <c r="Q175" s="98" t="n">
        <f aca="false">IF($A175="","",IFERROR(DATE(IF(LEN(P175)=8,2000+VALUE(RIGHT(P175,2)),VALUE(RIGHT(P175,4))),VALUE(LEFT(P175,2)),VALUE(MID(P175,4,2))),""))</f>
        <v>46785</v>
      </c>
      <c r="R175" s="89" t="n">
        <f aca="false">IF($A175="",0,IF(ISNUMBER(SEARCH("Float",$A175)),1,0))</f>
        <v>0</v>
      </c>
      <c r="S175" s="43" t="str">
        <f aca="false">IF($A175="","",TRIM(MID($A175,LEN(O175)+2,LEN($A175)-LEN(O175)-LEN(P175)-1)))</f>
        <v>4 1/8</v>
      </c>
      <c r="T175" s="92" t="n">
        <f aca="false">IF(OR($A175="",R175=1),"",IFERROR(IF(ISNUMBER(FIND("/",S175)),IF(ISNUMBER(FIND(" ",S175)),VALUE(LEFT(S175,FIND(" ",S175)-1))+VALUE(MID(S175,FIND(" ",S175)+1,FIND("/",S175)-FIND(" ",S175)-1))/VALUE(MID(S175,FIND("/",S175)+1,9)),VALUE(LEFT(S175,FIND("/",S175)-1))/VALUE(MID(S175,FIND("/",S175)+1,9))),VALUE(S175)),""))</f>
        <v>4.125</v>
      </c>
      <c r="U175" s="43" t="str">
        <f aca="false">IF(OR($A175="",NOT(ISNUMBER(Q175))),"",TEXT(Q175,"yyyymmdd")&amp;"|"&amp;IF(R175=1,"F",TEXT(T175,"0.000")))</f>
        <v>20280202|4.125</v>
      </c>
      <c r="V175" s="43" t="str">
        <f aca="false">IF(U175="","",O175&amp;"|"&amp;U175)</f>
        <v>KOREAT|20280202|4.125</v>
      </c>
      <c r="W175" s="43" t="str">
        <f aca="false">IF($A175="","",IFERROR(IF(VLOOKUP(O175,매핑!$A$4:$E$92,3,0)="","미분류",VLOOKUP(O175,매핑!$A$4:$E$92,3,0)),"미분류"))</f>
        <v>한국</v>
      </c>
      <c r="X175" s="89" t="n">
        <f aca="false">IF($A175="",0,IF(O175="T",1,0))</f>
        <v>0</v>
      </c>
      <c r="Y175" s="89" t="n">
        <f aca="false">IF($A175="",0,IF(AND(C175="USD",X175=0,ISNUMBER(E175),ISNUMBER(K175)),IF(K175&gt;=설정!$C$8,1,0),0))</f>
        <v>1</v>
      </c>
      <c r="Z175" s="43" t="str">
        <f aca="false">IF($A175="","",N175&amp;"|"&amp;L175)</f>
        <v>아시아/기타|통신</v>
      </c>
      <c r="AA175" s="92" t="n">
        <f aca="false">IF(Y175=1,LN(K175),0)</f>
        <v>0.264669298142708</v>
      </c>
      <c r="AB175" s="93" t="n">
        <f aca="false">IF(Y175=1,E175,0)</f>
        <v>27.355</v>
      </c>
      <c r="AC175" s="89" t="n">
        <f aca="false">IF(Y175=1,COUNTIFS($Z$2:$Z$601,Z175,$Y$2:$Y$601,1),0)</f>
        <v>8</v>
      </c>
      <c r="AD175" s="89" t="n">
        <f aca="false">IF(Y175=1,COUNTIFS($N$2:$N$601,N175,$Y$2:$Y$601,1),0)</f>
        <v>137</v>
      </c>
      <c r="AE175" s="43" t="str">
        <f aca="false">IF(Y175&lt;&gt;1,"",IF(AND(AC175&gt;=설정!$C$7,ISNUMBER(MATCH(Z175,피어커브!$A:$A,0))),Z175,IF(AND(AD175&gt;=설정!$C$7,ISNUMBER(MATCH(N175&amp;"|전체",피어커브!$A:$A,0))),N175&amp;"|전체","전체|전체")))</f>
        <v>아시아/기타|통신</v>
      </c>
      <c r="AF175" s="93" t="n">
        <f aca="false">IF(AE175="","",INDEX(피어커브!$K:$K,MATCH(AE175,피어커브!$A:$A,0)))</f>
        <v>19.9269244261757</v>
      </c>
      <c r="AG175" s="93" t="n">
        <f aca="false">IF(AE175="","",INDEX(피어커브!$J:$J,MATCH(AE175,피어커브!$A:$A,0)))</f>
        <v>39.2458252527372</v>
      </c>
      <c r="AH175" s="93" t="n">
        <f aca="false">IF(AE175="","",INDEX(피어커브!$L:$L,MATCH(AE175,피어커브!$A:$A,0)))</f>
        <v>15.4583072911545</v>
      </c>
      <c r="AI175" s="93" t="n">
        <f aca="false">IF(AE175="","",AF175+AG175*AA175)</f>
        <v>30.314089450849</v>
      </c>
      <c r="AJ175" s="96" t="n">
        <f aca="false">IF(AE175="","",E175-AI175)</f>
        <v>-2.95908945084905</v>
      </c>
      <c r="AK175" s="95" t="n">
        <f aca="false">IF(AE175="","",IF(ISNUMBER(AH175),IF(AH175&gt;0,AJ175/AH175,""),""))</f>
        <v>-0.191423898821204</v>
      </c>
      <c r="AL175" s="43" t="str">
        <f aca="false">IF(AK175="","-",IF(AK175&gt;=설정!$C$6,"Cheap",IF(AK175&lt;=-설정!$C$6,"Rich","Fair")))</f>
        <v>Fair</v>
      </c>
      <c r="AM175" s="96" t="n">
        <f aca="false">IF(AE175="","",AJ175-AVERAGEIFS($AJ$2:$AJ$601,$B$2:$B$601,B175,$Y$2:$Y$601,1))</f>
        <v>5.83237178203424</v>
      </c>
      <c r="AN175" s="93" t="n">
        <f aca="false">IF(AE175="",0,IF(K175&gt;1+설정!$C$8,AG175*(AA175-LN(K175-1)),0))</f>
        <v>0</v>
      </c>
      <c r="AO175" s="99" t="n">
        <f aca="false">IF($A175="",0,SUMIFS(보유분석!$AA$2:$AA$801,보유분석!$AB$2:$AB$801,ROW(),보유분석!$AC$2:$AC$801,1))</f>
        <v>0</v>
      </c>
      <c r="AP175" s="43" t="str">
        <f aca="false">IF($A175="","",TRIM(IF(R175=1,"FRN ","")&amp;IF(IFERROR(VLOOKUP(M175,설정!$A$15:$D$47,4,0),0)&gt;=10,IF(IFERROR(VLOOKUP(M175,설정!$A$15:$D$47,4,0),0)&lt;99,"BBB0미만 ",""),"")&amp;IF(OR(M175="",M175="NR"),"등급미입력 ","")&amp;IF(C175&lt;&gt;"USD","비USD ","")))</f>
        <v/>
      </c>
      <c r="AQ175" s="90" t="n">
        <f aca="false">IF(AND(Y175=1,AL175="Cheap"),IF(AND(ISERROR(SEARCH("FRN",AP175)),ISERROR(SEARCH("BBB0미만",AP175))),AK175+ROW()/1000000000,-999),-999)</f>
        <v>-999</v>
      </c>
      <c r="AR175" s="92" t="n">
        <f aca="false">IF(AND(ISNUMBER(D175),ISNUMBER(K175)),D175+AN175*MAX(K175-1,0)/100,"")</f>
        <v>5.163</v>
      </c>
      <c r="AS175" s="93" t="n">
        <f aca="false">IF(AND(ISNUMBER(E175),ISNUMBER(K175)),IF(K175&gt;0,(E175+AN175*MAX(K175-1,0))/K175,""),"")</f>
        <v>20.9938603223331</v>
      </c>
      <c r="AT175" s="90" t="n">
        <f aca="false">IFERROR(IF(AND(Y175=1,ROW()&lt;&gt;스왑분석!$C$12+1,ABS(K175-INDEX($K$2:$K$601,스왑분석!$C$12))&lt;=스왑분석!$C$5,ISERROR(SEARCH("FRN",AP175)),ISERROR(SEARCH("BBB0미만",AP175))),IF(AND(OR(스왑분석!$C$6="N",L175=INDEX($L$2:$L$601,스왑분석!$C$12)),OR(스왑분석!$C$7="N",N175=INDEX($N$2:$N$601,스왑분석!$C$12)),OR(스왑분석!$C$8="N",AO175=0),E175-INDEX($E$2:$E$601,스왑분석!$C$12)&gt;=스왑분석!$C$9),E175-INDEX($E$2:$E$601,스왑분석!$C$12)+ROW()/1000000000,-999),-999),-999)</f>
        <v>-999</v>
      </c>
      <c r="AU175" s="90" t="n">
        <f aca="false">IF(AND(Y175=1,AO175&gt;0,AL175="Rich"),-AK175+ROW()/1000000000,-999)</f>
        <v>-999</v>
      </c>
    </row>
    <row r="176" customFormat="false" ht="15" hidden="false" customHeight="false" outlineLevel="0" collapsed="false">
      <c r="A176" s="83" t="str">
        <f aca="false">IFERROR(IF(INDEX(원자료_시장!$A$1:$BZ$1000,설정!$L$6+ROW()-1,설정!$L$24)&amp;""="0","",INDEX(원자료_시장!$A$1:$BZ$1000,설정!$L$6+ROW()-1,설정!$L$24)),"")</f>
        <v>KOREAT 4 5/8 01/13/30</v>
      </c>
      <c r="B176" s="83" t="str">
        <f aca="false">IFERROR(IF(INDEX(원자료_시장!$A$1:$BZ$1000,설정!$L$6+ROW()-1,설정!$L$37)&amp;""="0","",INDEX(원자료_시장!$A$1:$BZ$1000,설정!$L$6+ROW()-1,설정!$L$37)),"")</f>
        <v>KT CORP</v>
      </c>
      <c r="C176" s="83" t="str">
        <f aca="false">IFERROR(IF(INDEX(원자료_시장!$A$1:$BZ$1000,설정!$L$6+ROW()-1,설정!$L$25)&amp;""="0","",INDEX(원자료_시장!$A$1:$BZ$1000,설정!$L$6+ROW()-1,설정!$L$25)),"")</f>
        <v>USD</v>
      </c>
      <c r="D176" s="85" t="n">
        <f aca="false">IFERROR(IF(ISNUMBER(INDEX(원자료_시장!$A$1:$BZ$1000,설정!$L$6+ROW()-1,설정!$L$26)),INDEX(원자료_시장!$A$1:$BZ$1000,설정!$L$6+ROW()-1,설정!$L$26),""),"")</f>
        <v>5.491</v>
      </c>
      <c r="E176" s="97" t="n">
        <f aca="false">IFERROR(IF(ISNUMBER(INDEX(원자료_시장!$A$1:$BZ$1000,설정!$L$6+ROW()-1,설정!$L$27)),INDEX(원자료_시장!$A$1:$BZ$1000,설정!$L$6+ROW()-1,설정!$L$27),""),"")</f>
        <v>49.042</v>
      </c>
      <c r="F176" s="97" t="n">
        <f aca="false">IFERROR(IF(ISNUMBER(INDEX(원자료_시장!$A$1:$BZ$1000,설정!$L$6+ROW()-1,설정!$L$28)),INDEX(원자료_시장!$A$1:$BZ$1000,설정!$L$6+ROW()-1,설정!$L$28),""),"")</f>
        <v>75.185</v>
      </c>
      <c r="G176" s="97" t="n">
        <f aca="false">IFERROR(IF(ISNUMBER(INDEX(원자료_시장!$A$1:$BZ$1000,설정!$L$6+ROW()-1,설정!$L$29)),INDEX(원자료_시장!$A$1:$BZ$1000,설정!$L$6+ROW()-1,설정!$L$29),""),"")</f>
        <v>1.5</v>
      </c>
      <c r="H176" s="97" t="n">
        <f aca="false">IFERROR(IF(ISNUMBER(INDEX(원자료_시장!$A$1:$BZ$1000,설정!$L$6+ROW()-1,설정!$L$30)),INDEX(원자료_시장!$A$1:$BZ$1000,설정!$L$6+ROW()-1,설정!$L$30),""),"")</f>
        <v>8</v>
      </c>
      <c r="I176" s="97" t="n">
        <f aca="false">IFERROR(IF(ISNUMBER(INDEX(원자료_시장!$A$1:$BZ$1000,설정!$L$6+ROW()-1,설정!$L$31)),INDEX(원자료_시장!$A$1:$BZ$1000,설정!$L$6+ROW()-1,설정!$L$31),""),"")</f>
        <v>0</v>
      </c>
      <c r="J176" s="97" t="n">
        <f aca="false">IFERROR(IF(ISNUMBER(INDEX(원자료_시장!$A$1:$BZ$1000,설정!$L$6+ROW()-1,설정!$L$32)),INDEX(원자료_시장!$A$1:$BZ$1000,설정!$L$6+ROW()-1,설정!$L$32),""),"")</f>
        <v>-9.9</v>
      </c>
      <c r="K176" s="85" t="n">
        <f aca="false">IFERROR(IF(ISNUMBER(INDEX(원자료_시장!$A$1:$BZ$1000,설정!$L$6+ROW()-1,설정!$L$33)),INDEX(원자료_시장!$A$1:$BZ$1000,설정!$L$6+ROW()-1,설정!$L$33),""),"")</f>
        <v>3.048</v>
      </c>
      <c r="L176" s="83" t="str">
        <f aca="false">IFERROR(IF(INDEX(원자료_시장!$A$1:$BZ$1000,설정!$L$6+ROW()-1,설정!$L$34)&amp;""="0","",INDEX(원자료_시장!$A$1:$BZ$1000,설정!$L$6+ROW()-1,설정!$L$34)),"")</f>
        <v>통신</v>
      </c>
      <c r="M176" s="83" t="n">
        <f aca="false">IFERROR(IF(INDEX(원자료_시장!$A$1:$BZ$1000,설정!$L$6+ROW()-1,설정!$L$35)&amp;""="0","",INDEX(원자료_시장!$A$1:$BZ$1000,설정!$L$6+ROW()-1,설정!$L$35)),"")</f>
        <v>0</v>
      </c>
      <c r="N176" s="83" t="str">
        <f aca="false">IFERROR(IF(INDEX(원자료_시장!$A$1:$BZ$1000,설정!$L$6+ROW()-1,설정!$L$36)&amp;""="0","",INDEX(원자료_시장!$A$1:$BZ$1000,설정!$L$6+ROW()-1,설정!$L$36)),"")</f>
        <v>아시아/기타</v>
      </c>
      <c r="O176" s="43" t="str">
        <f aca="false">IF($A176="","",UPPER(LEFT($A176,FIND(" ",$A176&amp;" ")-1)))</f>
        <v>KOREAT</v>
      </c>
      <c r="P176" s="43" t="str">
        <f aca="false">IF($A176="","",TRIM(RIGHT(SUBSTITUTE(TRIM($A176)," ",REPT(" ",30)),30)))</f>
        <v>01/13/30</v>
      </c>
      <c r="Q176" s="98" t="n">
        <f aca="false">IF($A176="","",IFERROR(DATE(IF(LEN(P176)=8,2000+VALUE(RIGHT(P176,2)),VALUE(RIGHT(P176,4))),VALUE(LEFT(P176,2)),VALUE(MID(P176,4,2))),""))</f>
        <v>47496</v>
      </c>
      <c r="R176" s="89" t="n">
        <f aca="false">IF($A176="",0,IF(ISNUMBER(SEARCH("Float",$A176)),1,0))</f>
        <v>0</v>
      </c>
      <c r="S176" s="43" t="str">
        <f aca="false">IF($A176="","",TRIM(MID($A176,LEN(O176)+2,LEN($A176)-LEN(O176)-LEN(P176)-1)))</f>
        <v>4 5/8</v>
      </c>
      <c r="T176" s="92" t="n">
        <f aca="false">IF(OR($A176="",R176=1),"",IFERROR(IF(ISNUMBER(FIND("/",S176)),IF(ISNUMBER(FIND(" ",S176)),VALUE(LEFT(S176,FIND(" ",S176)-1))+VALUE(MID(S176,FIND(" ",S176)+1,FIND("/",S176)-FIND(" ",S176)-1))/VALUE(MID(S176,FIND("/",S176)+1,9)),VALUE(LEFT(S176,FIND("/",S176)-1))/VALUE(MID(S176,FIND("/",S176)+1,9))),VALUE(S176)),""))</f>
        <v>4.625</v>
      </c>
      <c r="U176" s="43" t="str">
        <f aca="false">IF(OR($A176="",NOT(ISNUMBER(Q176))),"",TEXT(Q176,"yyyymmdd")&amp;"|"&amp;IF(R176=1,"F",TEXT(T176,"0.000")))</f>
        <v>20300113|4.625</v>
      </c>
      <c r="V176" s="43" t="str">
        <f aca="false">IF(U176="","",O176&amp;"|"&amp;U176)</f>
        <v>KOREAT|20300113|4.625</v>
      </c>
      <c r="W176" s="43" t="str">
        <f aca="false">IF($A176="","",IFERROR(IF(VLOOKUP(O176,매핑!$A$4:$E$92,3,0)="","미분류",VLOOKUP(O176,매핑!$A$4:$E$92,3,0)),"미분류"))</f>
        <v>한국</v>
      </c>
      <c r="X176" s="89" t="n">
        <f aca="false">IF($A176="",0,IF(O176="T",1,0))</f>
        <v>0</v>
      </c>
      <c r="Y176" s="89" t="n">
        <f aca="false">IF($A176="",0,IF(AND(C176="USD",X176=0,ISNUMBER(E176),ISNUMBER(K176)),IF(K176&gt;=설정!$C$8,1,0),0))</f>
        <v>1</v>
      </c>
      <c r="Z176" s="43" t="str">
        <f aca="false">IF($A176="","",N176&amp;"|"&amp;L176)</f>
        <v>아시아/기타|통신</v>
      </c>
      <c r="AA176" s="92" t="n">
        <f aca="false">IF(Y176=1,LN(K176),0)</f>
        <v>1.1144856378244</v>
      </c>
      <c r="AB176" s="93" t="n">
        <f aca="false">IF(Y176=1,E176,0)</f>
        <v>49.042</v>
      </c>
      <c r="AC176" s="89" t="n">
        <f aca="false">IF(Y176=1,COUNTIFS($Z$2:$Z$601,Z176,$Y$2:$Y$601,1),0)</f>
        <v>8</v>
      </c>
      <c r="AD176" s="89" t="n">
        <f aca="false">IF(Y176=1,COUNTIFS($N$2:$N$601,N176,$Y$2:$Y$601,1),0)</f>
        <v>137</v>
      </c>
      <c r="AE176" s="43" t="str">
        <f aca="false">IF(Y176&lt;&gt;1,"",IF(AND(AC176&gt;=설정!$C$7,ISNUMBER(MATCH(Z176,피어커브!$A:$A,0))),Z176,IF(AND(AD176&gt;=설정!$C$7,ISNUMBER(MATCH(N176&amp;"|전체",피어커브!$A:$A,0))),N176&amp;"|전체","전체|전체")))</f>
        <v>아시아/기타|통신</v>
      </c>
      <c r="AF176" s="93" t="n">
        <f aca="false">IF(AE176="","",INDEX(피어커브!$K:$K,MATCH(AE176,피어커브!$A:$A,0)))</f>
        <v>19.9269244261757</v>
      </c>
      <c r="AG176" s="93" t="n">
        <f aca="false">IF(AE176="","",INDEX(피어커브!$J:$J,MATCH(AE176,피어커브!$A:$A,0)))</f>
        <v>39.2458252527372</v>
      </c>
      <c r="AH176" s="93" t="n">
        <f aca="false">IF(AE176="","",INDEX(피어커브!$L:$L,MATCH(AE176,피어커브!$A:$A,0)))</f>
        <v>15.4583072911545</v>
      </c>
      <c r="AI176" s="93" t="n">
        <f aca="false">IF(AE176="","",AF176+AG176*AA176)</f>
        <v>63.6658330149175</v>
      </c>
      <c r="AJ176" s="96" t="n">
        <f aca="false">IF(AE176="","",E176-AI176)</f>
        <v>-14.6238330149175</v>
      </c>
      <c r="AK176" s="95" t="n">
        <f aca="false">IF(AE176="","",IF(ISNUMBER(AH176),IF(AH176&gt;0,AJ176/AH176,""),""))</f>
        <v>-0.946017745635417</v>
      </c>
      <c r="AL176" s="43" t="str">
        <f aca="false">IF(AK176="","-",IF(AK176&gt;=설정!$C$6,"Cheap",IF(AK176&lt;=-설정!$C$6,"Rich","Fair")))</f>
        <v>Fair</v>
      </c>
      <c r="AM176" s="96" t="n">
        <f aca="false">IF(AE176="","",AJ176-AVERAGEIFS($AJ$2:$AJ$601,$B$2:$B$601,B176,$Y$2:$Y$601,1))</f>
        <v>-5.83237178203424</v>
      </c>
      <c r="AN176" s="93" t="n">
        <f aca="false">IF(AE176="",0,IF(K176&gt;1+설정!$C$8,AG176*(AA176-LN(K176-1)),0))</f>
        <v>15.6050008068336</v>
      </c>
      <c r="AO176" s="99" t="n">
        <f aca="false">IF($A176="",0,SUMIFS(보유분석!$AA$2:$AA$801,보유분석!$AB$2:$AB$801,ROW(),보유분석!$AC$2:$AC$801,1))</f>
        <v>0</v>
      </c>
      <c r="AP176" s="43" t="str">
        <f aca="false">IF($A176="","",TRIM(IF(R176=1,"FRN ","")&amp;IF(IFERROR(VLOOKUP(M176,설정!$A$15:$D$47,4,0),0)&gt;=10,IF(IFERROR(VLOOKUP(M176,설정!$A$15:$D$47,4,0),0)&lt;99,"BBB0미만 ",""),"")&amp;IF(OR(M176="",M176="NR"),"등급미입력 ","")&amp;IF(C176&lt;&gt;"USD","비USD ","")))</f>
        <v>등급미입력</v>
      </c>
      <c r="AQ176" s="90" t="n">
        <f aca="false">IF(AND(Y176=1,AL176="Cheap"),IF(AND(ISERROR(SEARCH("FRN",AP176)),ISERROR(SEARCH("BBB0미만",AP176))),AK176+ROW()/1000000000,-999),-999)</f>
        <v>-999</v>
      </c>
      <c r="AR176" s="92" t="n">
        <f aca="false">IF(AND(ISNUMBER(D176),ISNUMBER(K176)),D176+AN176*MAX(K176-1,0)/100,"")</f>
        <v>5.81059041652395</v>
      </c>
      <c r="AS176" s="93" t="n">
        <f aca="false">IF(AND(ISNUMBER(E176),ISNUMBER(K176)),IF(K176&gt;0,(E176+AN176*MAX(K176-1,0))/K176,""),"")</f>
        <v>26.5751448990798</v>
      </c>
      <c r="AT176" s="90" t="n">
        <f aca="false">IFERROR(IF(AND(Y176=1,ROW()&lt;&gt;스왑분석!$C$12+1,ABS(K176-INDEX($K$2:$K$601,스왑분석!$C$12))&lt;=스왑분석!$C$5,ISERROR(SEARCH("FRN",AP176)),ISERROR(SEARCH("BBB0미만",AP176))),IF(AND(OR(스왑분석!$C$6="N",L176=INDEX($L$2:$L$601,스왑분석!$C$12)),OR(스왑분석!$C$7="N",N176=INDEX($N$2:$N$601,스왑분석!$C$12)),OR(스왑분석!$C$8="N",AO176=0),E176-INDEX($E$2:$E$601,스왑분석!$C$12)&gt;=스왑분석!$C$9),E176-INDEX($E$2:$E$601,스왑분석!$C$12)+ROW()/1000000000,-999),-999),-999)</f>
        <v>0.550000176000004</v>
      </c>
      <c r="AU176" s="90" t="n">
        <f aca="false">IF(AND(Y176=1,AO176&gt;0,AL176="Rich"),-AK176+ROW()/1000000000,-999)</f>
        <v>-999</v>
      </c>
    </row>
    <row r="177" customFormat="false" ht="15" hidden="false" customHeight="false" outlineLevel="0" collapsed="false">
      <c r="A177" s="83" t="str">
        <f aca="false">IFERROR(IF(INDEX(원자료_시장!$A$1:$BZ$1000,설정!$L$6+ROW()-1,설정!$L$24)&amp;""="0","",INDEX(원자료_시장!$A$1:$BZ$1000,설정!$L$6+ROW()-1,설정!$L$24)),"")</f>
        <v>LGENSO 5 3/4 09/25/28</v>
      </c>
      <c r="B177" s="83" t="str">
        <f aca="false">IFERROR(IF(INDEX(원자료_시장!$A$1:$BZ$1000,설정!$L$6+ROW()-1,설정!$L$37)&amp;""="0","",INDEX(원자료_시장!$A$1:$BZ$1000,설정!$L$6+ROW()-1,설정!$L$37)),"")</f>
        <v>LGENERGYSOLUTION</v>
      </c>
      <c r="C177" s="83" t="str">
        <f aca="false">IFERROR(IF(INDEX(원자료_시장!$A$1:$BZ$1000,설정!$L$6+ROW()-1,설정!$L$25)&amp;""="0","",INDEX(원자료_시장!$A$1:$BZ$1000,설정!$L$6+ROW()-1,설정!$L$25)),"")</f>
        <v>USD</v>
      </c>
      <c r="D177" s="85" t="n">
        <f aca="false">IFERROR(IF(ISNUMBER(INDEX(원자료_시장!$A$1:$BZ$1000,설정!$L$6+ROW()-1,설정!$L$26)),INDEX(원자료_시장!$A$1:$BZ$1000,설정!$L$6+ROW()-1,설정!$L$26),""),"")</f>
        <v>5.649</v>
      </c>
      <c r="E177" s="97" t="n">
        <f aca="false">IFERROR(IF(ISNUMBER(INDEX(원자료_시장!$A$1:$BZ$1000,설정!$L$6+ROW()-1,설정!$L$27)),INDEX(원자료_시장!$A$1:$BZ$1000,설정!$L$6+ROW()-1,설정!$L$27),""),"")</f>
        <v>76</v>
      </c>
      <c r="F177" s="97" t="n">
        <f aca="false">IFERROR(IF(ISNUMBER(INDEX(원자료_시장!$A$1:$BZ$1000,설정!$L$6+ROW()-1,설정!$L$28)),INDEX(원자료_시장!$A$1:$BZ$1000,설정!$L$6+ROW()-1,설정!$L$28),""),"")</f>
        <v>96.023</v>
      </c>
      <c r="G177" s="97" t="n">
        <f aca="false">IFERROR(IF(ISNUMBER(INDEX(원자료_시장!$A$1:$BZ$1000,설정!$L$6+ROW()-1,설정!$L$29)),INDEX(원자료_시장!$A$1:$BZ$1000,설정!$L$6+ROW()-1,설정!$L$29),""),"")</f>
        <v>-0.3</v>
      </c>
      <c r="H177" s="97" t="n">
        <f aca="false">IFERROR(IF(ISNUMBER(INDEX(원자료_시장!$A$1:$BZ$1000,설정!$L$6+ROW()-1,설정!$L$30)),INDEX(원자료_시장!$A$1:$BZ$1000,설정!$L$6+ROW()-1,설정!$L$30),""),"")</f>
        <v>4.7</v>
      </c>
      <c r="I177" s="97" t="n">
        <f aca="false">IFERROR(IF(ISNUMBER(INDEX(원자료_시장!$A$1:$BZ$1000,설정!$L$6+ROW()-1,설정!$L$31)),INDEX(원자료_시장!$A$1:$BZ$1000,설정!$L$6+ROW()-1,설정!$L$31),""),"")</f>
        <v>4.5</v>
      </c>
      <c r="J177" s="97" t="n">
        <f aca="false">IFERROR(IF(ISNUMBER(INDEX(원자료_시장!$A$1:$BZ$1000,설정!$L$6+ROW()-1,설정!$L$32)),INDEX(원자료_시장!$A$1:$BZ$1000,설정!$L$6+ROW()-1,설정!$L$32),""),"")</f>
        <v>1.7</v>
      </c>
      <c r="K177" s="85" t="n">
        <f aca="false">IFERROR(IF(ISNUMBER(INDEX(원자료_시장!$A$1:$BZ$1000,설정!$L$6+ROW()-1,설정!$L$33)),INDEX(원자료_시장!$A$1:$BZ$1000,설정!$L$6+ROW()-1,설정!$L$33),""),"")</f>
        <v>1.898</v>
      </c>
      <c r="L177" s="83" t="str">
        <f aca="false">IFERROR(IF(INDEX(원자료_시장!$A$1:$BZ$1000,설정!$L$6+ROW()-1,설정!$L$34)&amp;""="0","",INDEX(원자료_시장!$A$1:$BZ$1000,설정!$L$6+ROW()-1,설정!$L$34)),"")</f>
        <v>자유 소비재</v>
      </c>
      <c r="M177" s="83" t="str">
        <f aca="false">IFERROR(IF(INDEX(원자료_시장!$A$1:$BZ$1000,설정!$L$6+ROW()-1,설정!$L$35)&amp;""="0","",INDEX(원자료_시장!$A$1:$BZ$1000,설정!$L$6+ROW()-1,설정!$L$35)),"")</f>
        <v>BBB</v>
      </c>
      <c r="N177" s="83" t="str">
        <f aca="false">IFERROR(IF(INDEX(원자료_시장!$A$1:$BZ$1000,설정!$L$6+ROW()-1,설정!$L$36)&amp;""="0","",INDEX(원자료_시장!$A$1:$BZ$1000,설정!$L$6+ROW()-1,설정!$L$36)),"")</f>
        <v>아시아/기타</v>
      </c>
      <c r="O177" s="43" t="str">
        <f aca="false">IF($A177="","",UPPER(LEFT($A177,FIND(" ",$A177&amp;" ")-1)))</f>
        <v>LGENSO</v>
      </c>
      <c r="P177" s="43" t="str">
        <f aca="false">IF($A177="","",TRIM(RIGHT(SUBSTITUTE(TRIM($A177)," ",REPT(" ",30)),30)))</f>
        <v>09/25/28</v>
      </c>
      <c r="Q177" s="98" t="n">
        <f aca="false">IF($A177="","",IFERROR(DATE(IF(LEN(P177)=8,2000+VALUE(RIGHT(P177,2)),VALUE(RIGHT(P177,4))),VALUE(LEFT(P177,2)),VALUE(MID(P177,4,2))),""))</f>
        <v>47021</v>
      </c>
      <c r="R177" s="89" t="n">
        <f aca="false">IF($A177="",0,IF(ISNUMBER(SEARCH("Float",$A177)),1,0))</f>
        <v>0</v>
      </c>
      <c r="S177" s="43" t="str">
        <f aca="false">IF($A177="","",TRIM(MID($A177,LEN(O177)+2,LEN($A177)-LEN(O177)-LEN(P177)-1)))</f>
        <v>5 3/4</v>
      </c>
      <c r="T177" s="92" t="n">
        <f aca="false">IF(OR($A177="",R177=1),"",IFERROR(IF(ISNUMBER(FIND("/",S177)),IF(ISNUMBER(FIND(" ",S177)),VALUE(LEFT(S177,FIND(" ",S177)-1))+VALUE(MID(S177,FIND(" ",S177)+1,FIND("/",S177)-FIND(" ",S177)-1))/VALUE(MID(S177,FIND("/",S177)+1,9)),VALUE(LEFT(S177,FIND("/",S177)-1))/VALUE(MID(S177,FIND("/",S177)+1,9))),VALUE(S177)),""))</f>
        <v>5.75</v>
      </c>
      <c r="U177" s="43" t="str">
        <f aca="false">IF(OR($A177="",NOT(ISNUMBER(Q177))),"",TEXT(Q177,"yyyymmdd")&amp;"|"&amp;IF(R177=1,"F",TEXT(T177,"0.000")))</f>
        <v>20280925|5.750</v>
      </c>
      <c r="V177" s="43" t="str">
        <f aca="false">IF(U177="","",O177&amp;"|"&amp;U177)</f>
        <v>LGENSO|20280925|5.750</v>
      </c>
      <c r="W177" s="43" t="str">
        <f aca="false">IF($A177="","",IFERROR(IF(VLOOKUP(O177,매핑!$A$4:$E$92,3,0)="","미분류",VLOOKUP(O177,매핑!$A$4:$E$92,3,0)),"미분류"))</f>
        <v>한국</v>
      </c>
      <c r="X177" s="89" t="n">
        <f aca="false">IF($A177="",0,IF(O177="T",1,0))</f>
        <v>0</v>
      </c>
      <c r="Y177" s="89" t="n">
        <f aca="false">IF($A177="",0,IF(AND(C177="USD",X177=0,ISNUMBER(E177),ISNUMBER(K177)),IF(K177&gt;=설정!$C$8,1,0),0))</f>
        <v>1</v>
      </c>
      <c r="Z177" s="43" t="str">
        <f aca="false">IF($A177="","",N177&amp;"|"&amp;L177)</f>
        <v>아시아/기타|자유 소비재</v>
      </c>
      <c r="AA177" s="92" t="n">
        <f aca="false">IF(Y177=1,LN(K177),0)</f>
        <v>0.640800700187736</v>
      </c>
      <c r="AB177" s="93" t="n">
        <f aca="false">IF(Y177=1,E177,0)</f>
        <v>76</v>
      </c>
      <c r="AC177" s="89" t="n">
        <f aca="false">IF(Y177=1,COUNTIFS($Z$2:$Z$601,Z177,$Y$2:$Y$601,1),0)</f>
        <v>11</v>
      </c>
      <c r="AD177" s="89" t="n">
        <f aca="false">IF(Y177=1,COUNTIFS($N$2:$N$601,N177,$Y$2:$Y$601,1),0)</f>
        <v>137</v>
      </c>
      <c r="AE177" s="43" t="str">
        <f aca="false">IF(Y177&lt;&gt;1,"",IF(AND(AC177&gt;=설정!$C$7,ISNUMBER(MATCH(Z177,피어커브!$A:$A,0))),Z177,IF(AND(AD177&gt;=설정!$C$7,ISNUMBER(MATCH(N177&amp;"|전체",피어커브!$A:$A,0))),N177&amp;"|전체","전체|전체")))</f>
        <v>아시아/기타|자유 소비재</v>
      </c>
      <c r="AF177" s="93" t="n">
        <f aca="false">IF(AE177="","",INDEX(피어커브!$K:$K,MATCH(AE177,피어커브!$A:$A,0)))</f>
        <v>34.9855900051434</v>
      </c>
      <c r="AG177" s="93" t="n">
        <f aca="false">IF(AE177="","",INDEX(피어커브!$J:$J,MATCH(AE177,피어커브!$A:$A,0)))</f>
        <v>40.0993538941787</v>
      </c>
      <c r="AH177" s="93" t="n">
        <f aca="false">IF(AE177="","",INDEX(피어커브!$L:$L,MATCH(AE177,피어커브!$A:$A,0)))</f>
        <v>20.7149409525972</v>
      </c>
      <c r="AI177" s="93" t="n">
        <f aca="false">IF(AE177="","",AF177+AG177*AA177)</f>
        <v>60.6812840576089</v>
      </c>
      <c r="AJ177" s="96" t="n">
        <f aca="false">IF(AE177="","",E177-AI177)</f>
        <v>15.3187159423911</v>
      </c>
      <c r="AK177" s="95" t="n">
        <f aca="false">IF(AE177="","",IF(ISNUMBER(AH177),IF(AH177&gt;0,AJ177/AH177,""),""))</f>
        <v>0.739500825874692</v>
      </c>
      <c r="AL177" s="43" t="str">
        <f aca="false">IF(AK177="","-",IF(AK177&gt;=설정!$C$6,"Cheap",IF(AK177&lt;=-설정!$C$6,"Rich","Fair")))</f>
        <v>Fair</v>
      </c>
      <c r="AM177" s="96" t="n">
        <f aca="false">IF(AE177="","",AJ177-AVERAGEIFS($AJ$2:$AJ$601,$B$2:$B$601,B177,$Y$2:$Y$601,1))</f>
        <v>6.1854718079647</v>
      </c>
      <c r="AN177" s="93" t="n">
        <f aca="false">IF(AE177="",0,IF(K177&gt;1+설정!$C$8,AG177*(AA177-LN(K177-1)),0))</f>
        <v>30.0097914893001</v>
      </c>
      <c r="AO177" s="99" t="n">
        <f aca="false">IF($A177="",0,SUMIFS(보유분석!$AA$2:$AA$801,보유분석!$AB$2:$AB$801,ROW(),보유분석!$AC$2:$AC$801,1))</f>
        <v>18.232214</v>
      </c>
      <c r="AP177" s="43" t="str">
        <f aca="false">IF($A177="","",TRIM(IF(R177=1,"FRN ","")&amp;IF(IFERROR(VLOOKUP(M177,설정!$A$15:$D$47,4,0),0)&gt;=10,IF(IFERROR(VLOOKUP(M177,설정!$A$15:$D$47,4,0),0)&lt;99,"BBB0미만 ",""),"")&amp;IF(OR(M177="",M177="NR"),"등급미입력 ","")&amp;IF(C177&lt;&gt;"USD","비USD ","")))</f>
        <v/>
      </c>
      <c r="AQ177" s="90" t="n">
        <f aca="false">IF(AND(Y177=1,AL177="Cheap"),IF(AND(ISERROR(SEARCH("FRN",AP177)),ISERROR(SEARCH("BBB0미만",AP177))),AK177+ROW()/1000000000,-999),-999)</f>
        <v>-999</v>
      </c>
      <c r="AR177" s="92" t="n">
        <f aca="false">IF(AND(ISNUMBER(D177),ISNUMBER(K177)),D177+AN177*MAX(K177-1,0)/100,"")</f>
        <v>5.91848792757392</v>
      </c>
      <c r="AS177" s="93" t="n">
        <f aca="false">IF(AND(ISNUMBER(E177),ISNUMBER(K177)),IF(K177&gt;0,(E177+AN177*MAX(K177-1,0))/K177,""),"")</f>
        <v>54.2406705781831</v>
      </c>
      <c r="AT177" s="90" t="n">
        <f aca="false">IFERROR(IF(AND(Y177=1,ROW()&lt;&gt;스왑분석!$C$12+1,ABS(K177-INDEX($K$2:$K$601,스왑분석!$C$12))&lt;=스왑분석!$C$5,ISERROR(SEARCH("FRN",AP177)),ISERROR(SEARCH("BBB0미만",AP177))),IF(AND(OR(스왑분석!$C$6="N",L177=INDEX($L$2:$L$601,스왑분석!$C$12)),OR(스왑분석!$C$7="N",N177=INDEX($N$2:$N$601,스왑분석!$C$12)),OR(스왑분석!$C$8="N",AO177=0),E177-INDEX($E$2:$E$601,스왑분석!$C$12)&gt;=스왑분석!$C$9),E177-INDEX($E$2:$E$601,스왑분석!$C$12)+ROW()/1000000000,-999),-999),-999)</f>
        <v>-999</v>
      </c>
      <c r="AU177" s="90" t="n">
        <f aca="false">IF(AND(Y177=1,AO177&gt;0,AL177="Rich"),-AK177+ROW()/1000000000,-999)</f>
        <v>-999</v>
      </c>
    </row>
    <row r="178" customFormat="false" ht="15" hidden="false" customHeight="false" outlineLevel="0" collapsed="false">
      <c r="A178" s="83" t="str">
        <f aca="false">IFERROR(IF(INDEX(원자료_시장!$A$1:$BZ$1000,설정!$L$6+ROW()-1,설정!$L$24)&amp;""="0","",INDEX(원자료_시장!$A$1:$BZ$1000,설정!$L$6+ROW()-1,설정!$L$24)),"")</f>
        <v>LGENSO 5 3/8 07/02/27</v>
      </c>
      <c r="B178" s="83" t="str">
        <f aca="false">IFERROR(IF(INDEX(원자료_시장!$A$1:$BZ$1000,설정!$L$6+ROW()-1,설정!$L$37)&amp;""="0","",INDEX(원자료_시장!$A$1:$BZ$1000,설정!$L$6+ROW()-1,설정!$L$37)),"")</f>
        <v>LGENERGYSOLUTION</v>
      </c>
      <c r="C178" s="83" t="str">
        <f aca="false">IFERROR(IF(INDEX(원자료_시장!$A$1:$BZ$1000,설정!$L$6+ROW()-1,설정!$L$25)&amp;""="0","",INDEX(원자료_시장!$A$1:$BZ$1000,설정!$L$6+ROW()-1,설정!$L$25)),"")</f>
        <v>USD</v>
      </c>
      <c r="D178" s="85" t="n">
        <f aca="false">IFERROR(IF(ISNUMBER(INDEX(원자료_시장!$A$1:$BZ$1000,설정!$L$6+ROW()-1,설정!$L$26)),INDEX(원자료_시장!$A$1:$BZ$1000,설정!$L$6+ROW()-1,설정!$L$26),""),"")</f>
        <v>5.125</v>
      </c>
      <c r="E178" s="97" t="n">
        <f aca="false">IFERROR(IF(ISNUMBER(INDEX(원자료_시장!$A$1:$BZ$1000,설정!$L$6+ROW()-1,설정!$L$27)),INDEX(원자료_시장!$A$1:$BZ$1000,설정!$L$6+ROW()-1,설정!$L$27),""),"")</f>
        <v>23.608</v>
      </c>
      <c r="F178" s="97" t="n">
        <f aca="false">IFERROR(IF(ISNUMBER(INDEX(원자료_시장!$A$1:$BZ$1000,설정!$L$6+ROW()-1,설정!$L$28)),INDEX(원자료_시장!$A$1:$BZ$1000,설정!$L$6+ROW()-1,설정!$L$28),""),"")</f>
        <v>77.4</v>
      </c>
      <c r="G178" s="97" t="n">
        <f aca="false">IFERROR(IF(ISNUMBER(INDEX(원자료_시장!$A$1:$BZ$1000,설정!$L$6+ROW()-1,설정!$L$29)),INDEX(원자료_시장!$A$1:$BZ$1000,설정!$L$6+ROW()-1,설정!$L$29),""),"")</f>
        <v>9.3</v>
      </c>
      <c r="H178" s="97" t="n">
        <f aca="false">IFERROR(IF(ISNUMBER(INDEX(원자료_시장!$A$1:$BZ$1000,설정!$L$6+ROW()-1,설정!$L$30)),INDEX(원자료_시장!$A$1:$BZ$1000,설정!$L$6+ROW()-1,설정!$L$30),""),"")</f>
        <v>16.1</v>
      </c>
      <c r="I178" s="97" t="n">
        <f aca="false">IFERROR(IF(ISNUMBER(INDEX(원자료_시장!$A$1:$BZ$1000,설정!$L$6+ROW()-1,설정!$L$31)),INDEX(원자료_시장!$A$1:$BZ$1000,설정!$L$6+ROW()-1,설정!$L$31),""),"")</f>
        <v>-11.5</v>
      </c>
      <c r="J178" s="97" t="n">
        <f aca="false">IFERROR(IF(ISNUMBER(INDEX(원자료_시장!$A$1:$BZ$1000,설정!$L$6+ROW()-1,설정!$L$32)),INDEX(원자료_시장!$A$1:$BZ$1000,설정!$L$6+ROW()-1,설정!$L$32),""),"")</f>
        <v>-30.7</v>
      </c>
      <c r="K178" s="85" t="n">
        <f aca="false">IFERROR(IF(ISNUMBER(INDEX(원자료_시장!$A$1:$BZ$1000,설정!$L$6+ROW()-1,설정!$L$33)),INDEX(원자료_시장!$A$1:$BZ$1000,설정!$L$6+ROW()-1,설정!$L$33),""),"")</f>
        <v>0.737</v>
      </c>
      <c r="L178" s="83" t="str">
        <f aca="false">IFERROR(IF(INDEX(원자료_시장!$A$1:$BZ$1000,설정!$L$6+ROW()-1,설정!$L$34)&amp;""="0","",INDEX(원자료_시장!$A$1:$BZ$1000,설정!$L$6+ROW()-1,설정!$L$34)),"")</f>
        <v>자유 소비재</v>
      </c>
      <c r="M178" s="83" t="str">
        <f aca="false">IFERROR(IF(INDEX(원자료_시장!$A$1:$BZ$1000,설정!$L$6+ROW()-1,설정!$L$35)&amp;""="0","",INDEX(원자료_시장!$A$1:$BZ$1000,설정!$L$6+ROW()-1,설정!$L$35)),"")</f>
        <v>BBB</v>
      </c>
      <c r="N178" s="83" t="str">
        <f aca="false">IFERROR(IF(INDEX(원자료_시장!$A$1:$BZ$1000,설정!$L$6+ROW()-1,설정!$L$36)&amp;""="0","",INDEX(원자료_시장!$A$1:$BZ$1000,설정!$L$6+ROW()-1,설정!$L$36)),"")</f>
        <v>아시아/기타</v>
      </c>
      <c r="O178" s="43" t="str">
        <f aca="false">IF($A178="","",UPPER(LEFT($A178,FIND(" ",$A178&amp;" ")-1)))</f>
        <v>LGENSO</v>
      </c>
      <c r="P178" s="43" t="str">
        <f aca="false">IF($A178="","",TRIM(RIGHT(SUBSTITUTE(TRIM($A178)," ",REPT(" ",30)),30)))</f>
        <v>07/02/27</v>
      </c>
      <c r="Q178" s="98" t="n">
        <f aca="false">IF($A178="","",IFERROR(DATE(IF(LEN(P178)=8,2000+VALUE(RIGHT(P178,2)),VALUE(RIGHT(P178,4))),VALUE(LEFT(P178,2)),VALUE(MID(P178,4,2))),""))</f>
        <v>46570</v>
      </c>
      <c r="R178" s="89" t="n">
        <f aca="false">IF($A178="",0,IF(ISNUMBER(SEARCH("Float",$A178)),1,0))</f>
        <v>0</v>
      </c>
      <c r="S178" s="43" t="str">
        <f aca="false">IF($A178="","",TRIM(MID($A178,LEN(O178)+2,LEN($A178)-LEN(O178)-LEN(P178)-1)))</f>
        <v>5 3/8</v>
      </c>
      <c r="T178" s="92" t="n">
        <f aca="false">IF(OR($A178="",R178=1),"",IFERROR(IF(ISNUMBER(FIND("/",S178)),IF(ISNUMBER(FIND(" ",S178)),VALUE(LEFT(S178,FIND(" ",S178)-1))+VALUE(MID(S178,FIND(" ",S178)+1,FIND("/",S178)-FIND(" ",S178)-1))/VALUE(MID(S178,FIND("/",S178)+1,9)),VALUE(LEFT(S178,FIND("/",S178)-1))/VALUE(MID(S178,FIND("/",S178)+1,9))),VALUE(S178)),""))</f>
        <v>5.375</v>
      </c>
      <c r="U178" s="43" t="str">
        <f aca="false">IF(OR($A178="",NOT(ISNUMBER(Q178))),"",TEXT(Q178,"yyyymmdd")&amp;"|"&amp;IF(R178=1,"F",TEXT(T178,"0.000")))</f>
        <v>20270702|5.375</v>
      </c>
      <c r="V178" s="43" t="str">
        <f aca="false">IF(U178="","",O178&amp;"|"&amp;U178)</f>
        <v>LGENSO|20270702|5.375</v>
      </c>
      <c r="W178" s="43" t="str">
        <f aca="false">IF($A178="","",IFERROR(IF(VLOOKUP(O178,매핑!$A$4:$E$92,3,0)="","미분류",VLOOKUP(O178,매핑!$A$4:$E$92,3,0)),"미분류"))</f>
        <v>한국</v>
      </c>
      <c r="X178" s="89" t="n">
        <f aca="false">IF($A178="",0,IF(O178="T",1,0))</f>
        <v>0</v>
      </c>
      <c r="Y178" s="89" t="n">
        <f aca="false">IF($A178="",0,IF(AND(C178="USD",X178=0,ISNUMBER(E178),ISNUMBER(K178)),IF(K178&gt;=설정!$C$8,1,0),0))</f>
        <v>1</v>
      </c>
      <c r="Z178" s="43" t="str">
        <f aca="false">IF($A178="","",N178&amp;"|"&amp;L178)</f>
        <v>아시아/기타|자유 소비재</v>
      </c>
      <c r="AA178" s="92" t="n">
        <f aca="false">IF(Y178=1,LN(K178),0)</f>
        <v>-0.305167386792801</v>
      </c>
      <c r="AB178" s="93" t="n">
        <f aca="false">IF(Y178=1,E178,0)</f>
        <v>23.608</v>
      </c>
      <c r="AC178" s="89" t="n">
        <f aca="false">IF(Y178=1,COUNTIFS($Z$2:$Z$601,Z178,$Y$2:$Y$601,1),0)</f>
        <v>11</v>
      </c>
      <c r="AD178" s="89" t="n">
        <f aca="false">IF(Y178=1,COUNTIFS($N$2:$N$601,N178,$Y$2:$Y$601,1),0)</f>
        <v>137</v>
      </c>
      <c r="AE178" s="43" t="str">
        <f aca="false">IF(Y178&lt;&gt;1,"",IF(AND(AC178&gt;=설정!$C$7,ISNUMBER(MATCH(Z178,피어커브!$A:$A,0))),Z178,IF(AND(AD178&gt;=설정!$C$7,ISNUMBER(MATCH(N178&amp;"|전체",피어커브!$A:$A,0))),N178&amp;"|전체","전체|전체")))</f>
        <v>아시아/기타|자유 소비재</v>
      </c>
      <c r="AF178" s="93" t="n">
        <f aca="false">IF(AE178="","",INDEX(피어커브!$K:$K,MATCH(AE178,피어커브!$A:$A,0)))</f>
        <v>34.9855900051434</v>
      </c>
      <c r="AG178" s="93" t="n">
        <f aca="false">IF(AE178="","",INDEX(피어커브!$J:$J,MATCH(AE178,피어커브!$A:$A,0)))</f>
        <v>40.0993538941787</v>
      </c>
      <c r="AH178" s="93" t="n">
        <f aca="false">IF(AE178="","",INDEX(피어커브!$L:$L,MATCH(AE178,피어커브!$A:$A,0)))</f>
        <v>20.7149409525972</v>
      </c>
      <c r="AI178" s="93" t="n">
        <f aca="false">IF(AE178="","",AF178+AG178*AA178)</f>
        <v>22.7485749651772</v>
      </c>
      <c r="AJ178" s="96" t="n">
        <f aca="false">IF(AE178="","",E178-AI178)</f>
        <v>0.859425034822831</v>
      </c>
      <c r="AK178" s="95" t="n">
        <f aca="false">IF(AE178="","",IF(ISNUMBER(AH178),IF(AH178&gt;0,AJ178/AH178,""),""))</f>
        <v>0.0414881720778006</v>
      </c>
      <c r="AL178" s="43" t="str">
        <f aca="false">IF(AK178="","-",IF(AK178&gt;=설정!$C$6,"Cheap",IF(AK178&lt;=-설정!$C$6,"Rich","Fair")))</f>
        <v>Fair</v>
      </c>
      <c r="AM178" s="96" t="n">
        <f aca="false">IF(AE178="","",AJ178-AVERAGEIFS($AJ$2:$AJ$601,$B$2:$B$601,B178,$Y$2:$Y$601,1))</f>
        <v>-8.27381909960356</v>
      </c>
      <c r="AN178" s="93" t="n">
        <f aca="false">IF(AE178="",0,IF(K178&gt;1+설정!$C$8,AG178*(AA178-LN(K178-1)),0))</f>
        <v>0</v>
      </c>
      <c r="AO178" s="99" t="n">
        <f aca="false">IF($A178="",0,SUMIFS(보유분석!$AA$2:$AA$801,보유분석!$AB$2:$AB$801,ROW(),보유분석!$AC$2:$AC$801,1))</f>
        <v>0.2001704</v>
      </c>
      <c r="AP178" s="43" t="str">
        <f aca="false">IF($A178="","",TRIM(IF(R178=1,"FRN ","")&amp;IF(IFERROR(VLOOKUP(M178,설정!$A$15:$D$47,4,0),0)&gt;=10,IF(IFERROR(VLOOKUP(M178,설정!$A$15:$D$47,4,0),0)&lt;99,"BBB0미만 ",""),"")&amp;IF(OR(M178="",M178="NR"),"등급미입력 ","")&amp;IF(C178&lt;&gt;"USD","비USD ","")))</f>
        <v/>
      </c>
      <c r="AQ178" s="90" t="n">
        <f aca="false">IF(AND(Y178=1,AL178="Cheap"),IF(AND(ISERROR(SEARCH("FRN",AP178)),ISERROR(SEARCH("BBB0미만",AP178))),AK178+ROW()/1000000000,-999),-999)</f>
        <v>-999</v>
      </c>
      <c r="AR178" s="92" t="n">
        <f aca="false">IF(AND(ISNUMBER(D178),ISNUMBER(K178)),D178+AN178*MAX(K178-1,0)/100,"")</f>
        <v>5.125</v>
      </c>
      <c r="AS178" s="93" t="n">
        <f aca="false">IF(AND(ISNUMBER(E178),ISNUMBER(K178)),IF(K178&gt;0,(E178+AN178*MAX(K178-1,0))/K178,""),"")</f>
        <v>32.0325644504749</v>
      </c>
      <c r="AT178" s="90" t="n">
        <f aca="false">IFERROR(IF(AND(Y178=1,ROW()&lt;&gt;스왑분석!$C$12+1,ABS(K178-INDEX($K$2:$K$601,스왑분석!$C$12))&lt;=스왑분석!$C$5,ISERROR(SEARCH("FRN",AP178)),ISERROR(SEARCH("BBB0미만",AP178))),IF(AND(OR(스왑분석!$C$6="N",L178=INDEX($L$2:$L$601,스왑분석!$C$12)),OR(스왑분석!$C$7="N",N178=INDEX($N$2:$N$601,스왑분석!$C$12)),OR(스왑분석!$C$8="N",AO178=0),E178-INDEX($E$2:$E$601,스왑분석!$C$12)&gt;=스왑분석!$C$9),E178-INDEX($E$2:$E$601,스왑분석!$C$12)+ROW()/1000000000,-999),-999),-999)</f>
        <v>-999</v>
      </c>
      <c r="AU178" s="90" t="n">
        <f aca="false">IF(AND(Y178=1,AO178&gt;0,AL178="Rich"),-AK178+ROW()/1000000000,-999)</f>
        <v>-999</v>
      </c>
    </row>
    <row r="179" customFormat="false" ht="15" hidden="false" customHeight="false" outlineLevel="0" collapsed="false">
      <c r="A179" s="83" t="str">
        <f aca="false">IFERROR(IF(INDEX(원자료_시장!$A$1:$BZ$1000,설정!$L$6+ROW()-1,설정!$L$24)&amp;""="0","",INDEX(원자료_시장!$A$1:$BZ$1000,설정!$L$6+ROW()-1,설정!$L$24)),"")</f>
        <v>LGENSO 5 3/8 07/02/29</v>
      </c>
      <c r="B179" s="83" t="str">
        <f aca="false">IFERROR(IF(INDEX(원자료_시장!$A$1:$BZ$1000,설정!$L$6+ROW()-1,설정!$L$37)&amp;""="0","",INDEX(원자료_시장!$A$1:$BZ$1000,설정!$L$6+ROW()-1,설정!$L$37)),"")</f>
        <v>LGENERGYSOLUTION</v>
      </c>
      <c r="C179" s="83" t="str">
        <f aca="false">IFERROR(IF(INDEX(원자료_시장!$A$1:$BZ$1000,설정!$L$6+ROW()-1,설정!$L$25)&amp;""="0","",INDEX(원자료_시장!$A$1:$BZ$1000,설정!$L$6+ROW()-1,설정!$L$25)),"")</f>
        <v>USD</v>
      </c>
      <c r="D179" s="85" t="n">
        <f aca="false">IFERROR(IF(ISNUMBER(INDEX(원자료_시장!$A$1:$BZ$1000,설정!$L$6+ROW()-1,설정!$L$26)),INDEX(원자료_시장!$A$1:$BZ$1000,설정!$L$6+ROW()-1,설정!$L$26),""),"")</f>
        <v>5.734</v>
      </c>
      <c r="E179" s="97" t="n">
        <f aca="false">IFERROR(IF(ISNUMBER(INDEX(원자료_시장!$A$1:$BZ$1000,설정!$L$6+ROW()-1,설정!$L$27)),INDEX(원자료_시장!$A$1:$BZ$1000,설정!$L$6+ROW()-1,설정!$L$27),""),"")</f>
        <v>73.376</v>
      </c>
      <c r="F179" s="97" t="n">
        <f aca="false">IFERROR(IF(ISNUMBER(INDEX(원자료_시장!$A$1:$BZ$1000,설정!$L$6+ROW()-1,설정!$L$28)),INDEX(원자료_시장!$A$1:$BZ$1000,설정!$L$6+ROW()-1,설정!$L$28),""),"")</f>
        <v>100.898</v>
      </c>
      <c r="G179" s="97" t="n">
        <f aca="false">IFERROR(IF(ISNUMBER(INDEX(원자료_시장!$A$1:$BZ$1000,설정!$L$6+ROW()-1,설정!$L$29)),INDEX(원자료_시장!$A$1:$BZ$1000,설정!$L$6+ROW()-1,설정!$L$29),""),"")</f>
        <v>-1.7</v>
      </c>
      <c r="H179" s="97" t="n">
        <f aca="false">IFERROR(IF(ISNUMBER(INDEX(원자료_시장!$A$1:$BZ$1000,설정!$L$6+ROW()-1,설정!$L$30)),INDEX(원자료_시장!$A$1:$BZ$1000,설정!$L$6+ROW()-1,설정!$L$30),""),"")</f>
        <v>2.7</v>
      </c>
      <c r="I179" s="97" t="n">
        <f aca="false">IFERROR(IF(ISNUMBER(INDEX(원자료_시장!$A$1:$BZ$1000,설정!$L$6+ROW()-1,설정!$L$31)),INDEX(원자료_시장!$A$1:$BZ$1000,설정!$L$6+ROW()-1,설정!$L$31),""),"")</f>
        <v>-2.4</v>
      </c>
      <c r="J179" s="97" t="n">
        <f aca="false">IFERROR(IF(ISNUMBER(INDEX(원자료_시장!$A$1:$BZ$1000,설정!$L$6+ROW()-1,설정!$L$32)),INDEX(원자료_시장!$A$1:$BZ$1000,설정!$L$6+ROW()-1,설정!$L$32),""),"")</f>
        <v>-5.3</v>
      </c>
      <c r="K179" s="85" t="n">
        <f aca="false">IFERROR(IF(ISNUMBER(INDEX(원자료_시장!$A$1:$BZ$1000,설정!$L$6+ROW()-1,설정!$L$33)),INDEX(원자료_시장!$A$1:$BZ$1000,설정!$L$6+ROW()-1,설정!$L$33),""),"")</f>
        <v>2.559</v>
      </c>
      <c r="L179" s="83" t="str">
        <f aca="false">IFERROR(IF(INDEX(원자료_시장!$A$1:$BZ$1000,설정!$L$6+ROW()-1,설정!$L$34)&amp;""="0","",INDEX(원자료_시장!$A$1:$BZ$1000,설정!$L$6+ROW()-1,설정!$L$34)),"")</f>
        <v>자유 소비재</v>
      </c>
      <c r="M179" s="83" t="str">
        <f aca="false">IFERROR(IF(INDEX(원자료_시장!$A$1:$BZ$1000,설정!$L$6+ROW()-1,설정!$L$35)&amp;""="0","",INDEX(원자료_시장!$A$1:$BZ$1000,설정!$L$6+ROW()-1,설정!$L$35)),"")</f>
        <v>BBB</v>
      </c>
      <c r="N179" s="83" t="str">
        <f aca="false">IFERROR(IF(INDEX(원자료_시장!$A$1:$BZ$1000,설정!$L$6+ROW()-1,설정!$L$36)&amp;""="0","",INDEX(원자료_시장!$A$1:$BZ$1000,설정!$L$6+ROW()-1,설정!$L$36)),"")</f>
        <v>아시아/기타</v>
      </c>
      <c r="O179" s="43" t="str">
        <f aca="false">IF($A179="","",UPPER(LEFT($A179,FIND(" ",$A179&amp;" ")-1)))</f>
        <v>LGENSO</v>
      </c>
      <c r="P179" s="43" t="str">
        <f aca="false">IF($A179="","",TRIM(RIGHT(SUBSTITUTE(TRIM($A179)," ",REPT(" ",30)),30)))</f>
        <v>07/02/29</v>
      </c>
      <c r="Q179" s="98" t="n">
        <f aca="false">IF($A179="","",IFERROR(DATE(IF(LEN(P179)=8,2000+VALUE(RIGHT(P179,2)),VALUE(RIGHT(P179,4))),VALUE(LEFT(P179,2)),VALUE(MID(P179,4,2))),""))</f>
        <v>47301</v>
      </c>
      <c r="R179" s="89" t="n">
        <f aca="false">IF($A179="",0,IF(ISNUMBER(SEARCH("Float",$A179)),1,0))</f>
        <v>0</v>
      </c>
      <c r="S179" s="43" t="str">
        <f aca="false">IF($A179="","",TRIM(MID($A179,LEN(O179)+2,LEN($A179)-LEN(O179)-LEN(P179)-1)))</f>
        <v>5 3/8</v>
      </c>
      <c r="T179" s="92" t="n">
        <f aca="false">IF(OR($A179="",R179=1),"",IFERROR(IF(ISNUMBER(FIND("/",S179)),IF(ISNUMBER(FIND(" ",S179)),VALUE(LEFT(S179,FIND(" ",S179)-1))+VALUE(MID(S179,FIND(" ",S179)+1,FIND("/",S179)-FIND(" ",S179)-1))/VALUE(MID(S179,FIND("/",S179)+1,9)),VALUE(LEFT(S179,FIND("/",S179)-1))/VALUE(MID(S179,FIND("/",S179)+1,9))),VALUE(S179)),""))</f>
        <v>5.375</v>
      </c>
      <c r="U179" s="43" t="str">
        <f aca="false">IF(OR($A179="",NOT(ISNUMBER(Q179))),"",TEXT(Q179,"yyyymmdd")&amp;"|"&amp;IF(R179=1,"F",TEXT(T179,"0.000")))</f>
        <v>20290702|5.375</v>
      </c>
      <c r="V179" s="43" t="str">
        <f aca="false">IF(U179="","",O179&amp;"|"&amp;U179)</f>
        <v>LGENSO|20290702|5.375</v>
      </c>
      <c r="W179" s="43" t="str">
        <f aca="false">IF($A179="","",IFERROR(IF(VLOOKUP(O179,매핑!$A$4:$E$92,3,0)="","미분류",VLOOKUP(O179,매핑!$A$4:$E$92,3,0)),"미분류"))</f>
        <v>한국</v>
      </c>
      <c r="X179" s="89" t="n">
        <f aca="false">IF($A179="",0,IF(O179="T",1,0))</f>
        <v>0</v>
      </c>
      <c r="Y179" s="89" t="n">
        <f aca="false">IF($A179="",0,IF(AND(C179="USD",X179=0,ISNUMBER(E179),ISNUMBER(K179)),IF(K179&gt;=설정!$C$8,1,0),0))</f>
        <v>1</v>
      </c>
      <c r="Z179" s="43" t="str">
        <f aca="false">IF($A179="","",N179&amp;"|"&amp;L179)</f>
        <v>아시아/기타|자유 소비재</v>
      </c>
      <c r="AA179" s="92" t="n">
        <f aca="false">IF(Y179=1,LN(K179),0)</f>
        <v>0.939616557177652</v>
      </c>
      <c r="AB179" s="93" t="n">
        <f aca="false">IF(Y179=1,E179,0)</f>
        <v>73.376</v>
      </c>
      <c r="AC179" s="89" t="n">
        <f aca="false">IF(Y179=1,COUNTIFS($Z$2:$Z$601,Z179,$Y$2:$Y$601,1),0)</f>
        <v>11</v>
      </c>
      <c r="AD179" s="89" t="n">
        <f aca="false">IF(Y179=1,COUNTIFS($N$2:$N$601,N179,$Y$2:$Y$601,1),0)</f>
        <v>137</v>
      </c>
      <c r="AE179" s="43" t="str">
        <f aca="false">IF(Y179&lt;&gt;1,"",IF(AND(AC179&gt;=설정!$C$7,ISNUMBER(MATCH(Z179,피어커브!$A:$A,0))),Z179,IF(AND(AD179&gt;=설정!$C$7,ISNUMBER(MATCH(N179&amp;"|전체",피어커브!$A:$A,0))),N179&amp;"|전체","전체|전체")))</f>
        <v>아시아/기타|자유 소비재</v>
      </c>
      <c r="AF179" s="93" t="n">
        <f aca="false">IF(AE179="","",INDEX(피어커브!$K:$K,MATCH(AE179,피어커브!$A:$A,0)))</f>
        <v>34.9855900051434</v>
      </c>
      <c r="AG179" s="93" t="n">
        <f aca="false">IF(AE179="","",INDEX(피어커브!$J:$J,MATCH(AE179,피어커브!$A:$A,0)))</f>
        <v>40.0993538941787</v>
      </c>
      <c r="AH179" s="93" t="n">
        <f aca="false">IF(AE179="","",INDEX(피어커브!$L:$L,MATCH(AE179,피어커브!$A:$A,0)))</f>
        <v>20.7149409525972</v>
      </c>
      <c r="AI179" s="93" t="n">
        <f aca="false">IF(AE179="","",AF179+AG179*AA179)</f>
        <v>72.6636068562398</v>
      </c>
      <c r="AJ179" s="96" t="n">
        <f aca="false">IF(AE179="","",E179-AI179)</f>
        <v>0.712393143760181</v>
      </c>
      <c r="AK179" s="95" t="n">
        <f aca="false">IF(AE179="","",IF(ISNUMBER(AH179),IF(AH179&gt;0,AJ179/AH179,""),""))</f>
        <v>0.0343903053062221</v>
      </c>
      <c r="AL179" s="43" t="str">
        <f aca="false">IF(AK179="","-",IF(AK179&gt;=설정!$C$6,"Cheap",IF(AK179&lt;=-설정!$C$6,"Rich","Fair")))</f>
        <v>Fair</v>
      </c>
      <c r="AM179" s="96" t="n">
        <f aca="false">IF(AE179="","",AJ179-AVERAGEIFS($AJ$2:$AJ$601,$B$2:$B$601,B179,$Y$2:$Y$601,1))</f>
        <v>-8.42085099066621</v>
      </c>
      <c r="AN179" s="93" t="n">
        <f aca="false">IF(AE179="",0,IF(K179&gt;1+설정!$C$8,AG179*(AA179-LN(K179-1)),0))</f>
        <v>19.8721156888579</v>
      </c>
      <c r="AO179" s="99" t="n">
        <f aca="false">IF($A179="",0,SUMIFS(보유분석!$AA$2:$AA$801,보유분석!$AB$2:$AB$801,ROW(),보유분석!$AC$2:$AC$801,1))</f>
        <v>131.839043</v>
      </c>
      <c r="AP179" s="43" t="str">
        <f aca="false">IF($A179="","",TRIM(IF(R179=1,"FRN ","")&amp;IF(IFERROR(VLOOKUP(M179,설정!$A$15:$D$47,4,0),0)&gt;=10,IF(IFERROR(VLOOKUP(M179,설정!$A$15:$D$47,4,0),0)&lt;99,"BBB0미만 ",""),"")&amp;IF(OR(M179="",M179="NR"),"등급미입력 ","")&amp;IF(C179&lt;&gt;"USD","비USD ","")))</f>
        <v/>
      </c>
      <c r="AQ179" s="90" t="n">
        <f aca="false">IF(AND(Y179=1,AL179="Cheap"),IF(AND(ISERROR(SEARCH("FRN",AP179)),ISERROR(SEARCH("BBB0미만",AP179))),AK179+ROW()/1000000000,-999),-999)</f>
        <v>-999</v>
      </c>
      <c r="AR179" s="92" t="n">
        <f aca="false">IF(AND(ISNUMBER(D179),ISNUMBER(K179)),D179+AN179*MAX(K179-1,0)/100,"")</f>
        <v>6.04380628358929</v>
      </c>
      <c r="AS179" s="93" t="n">
        <f aca="false">IF(AND(ISNUMBER(E179),ISNUMBER(K179)),IF(K179&gt;0,(E179+AN179*MAX(K179-1,0))/K179,""),"")</f>
        <v>40.7802377330713</v>
      </c>
      <c r="AT179" s="90" t="n">
        <f aca="false">IFERROR(IF(AND(Y179=1,ROW()&lt;&gt;스왑분석!$C$12+1,ABS(K179-INDEX($K$2:$K$601,스왑분석!$C$12))&lt;=스왑분석!$C$5,ISERROR(SEARCH("FRN",AP179)),ISERROR(SEARCH("BBB0미만",AP179))),IF(AND(OR(스왑분석!$C$6="N",L179=INDEX($L$2:$L$601,스왑분석!$C$12)),OR(스왑분석!$C$7="N",N179=INDEX($N$2:$N$601,스왑분석!$C$12)),OR(스왑분석!$C$8="N",AO179=0),E179-INDEX($E$2:$E$601,스왑분석!$C$12)&gt;=스왑분석!$C$9),E179-INDEX($E$2:$E$601,스왑분석!$C$12)+ROW()/1000000000,-999),-999),-999)</f>
        <v>24.884000179</v>
      </c>
      <c r="AU179" s="90" t="n">
        <f aca="false">IF(AND(Y179=1,AO179&gt;0,AL179="Rich"),-AK179+ROW()/1000000000,-999)</f>
        <v>-999</v>
      </c>
    </row>
    <row r="180" customFormat="false" ht="15" hidden="false" customHeight="false" outlineLevel="0" collapsed="false">
      <c r="A180" s="83" t="str">
        <f aca="false">IFERROR(IF(INDEX(원자료_시장!$A$1:$BZ$1000,설정!$L$6+ROW()-1,설정!$L$24)&amp;""="0","",INDEX(원자료_시장!$A$1:$BZ$1000,설정!$L$6+ROW()-1,설정!$L$24)),"")</f>
        <v>LGENSO 5 1/4 04/02/28</v>
      </c>
      <c r="B180" s="83" t="str">
        <f aca="false">IFERROR(IF(INDEX(원자료_시장!$A$1:$BZ$1000,설정!$L$6+ROW()-1,설정!$L$37)&amp;""="0","",INDEX(원자료_시장!$A$1:$BZ$1000,설정!$L$6+ROW()-1,설정!$L$37)),"")</f>
        <v>LGENERGYSOLUTION</v>
      </c>
      <c r="C180" s="83" t="str">
        <f aca="false">IFERROR(IF(INDEX(원자료_시장!$A$1:$BZ$1000,설정!$L$6+ROW()-1,설정!$L$25)&amp;""="0","",INDEX(원자료_시장!$A$1:$BZ$1000,설정!$L$6+ROW()-1,설정!$L$25)),"")</f>
        <v>USD</v>
      </c>
      <c r="D180" s="85" t="n">
        <f aca="false">IFERROR(IF(ISNUMBER(INDEX(원자료_시장!$A$1:$BZ$1000,설정!$L$6+ROW()-1,설정!$L$26)),INDEX(원자료_시장!$A$1:$BZ$1000,설정!$L$6+ROW()-1,설정!$L$26),""),"")</f>
        <v>5.58</v>
      </c>
      <c r="E180" s="97" t="n">
        <f aca="false">IFERROR(IF(ISNUMBER(INDEX(원자료_시장!$A$1:$BZ$1000,설정!$L$6+ROW()-1,설정!$L$27)),INDEX(원자료_시장!$A$1:$BZ$1000,설정!$L$6+ROW()-1,설정!$L$27),""),"")</f>
        <v>69.041</v>
      </c>
      <c r="F180" s="97" t="n">
        <f aca="false">IFERROR(IF(ISNUMBER(INDEX(원자료_시장!$A$1:$BZ$1000,설정!$L$6+ROW()-1,설정!$L$28)),INDEX(원자료_시장!$A$1:$BZ$1000,설정!$L$6+ROW()-1,설정!$L$28),""),"")</f>
        <v>96.548</v>
      </c>
      <c r="G180" s="97" t="n">
        <f aca="false">IFERROR(IF(ISNUMBER(INDEX(원자료_시장!$A$1:$BZ$1000,설정!$L$6+ROW()-1,설정!$L$29)),INDEX(원자료_시장!$A$1:$BZ$1000,설정!$L$6+ROW()-1,설정!$L$29),""),"")</f>
        <v>1.2</v>
      </c>
      <c r="H180" s="97" t="n">
        <f aca="false">IFERROR(IF(ISNUMBER(INDEX(원자료_시장!$A$1:$BZ$1000,설정!$L$6+ROW()-1,설정!$L$30)),INDEX(원자료_시장!$A$1:$BZ$1000,설정!$L$6+ROW()-1,설정!$L$30),""),"")</f>
        <v>8.7</v>
      </c>
      <c r="I180" s="97" t="n">
        <f aca="false">IFERROR(IF(ISNUMBER(INDEX(원자료_시장!$A$1:$BZ$1000,설정!$L$6+ROW()-1,설정!$L$31)),INDEX(원자료_시장!$A$1:$BZ$1000,설정!$L$6+ROW()-1,설정!$L$31),""),"")</f>
        <v>0.1</v>
      </c>
      <c r="J180" s="97" t="n">
        <f aca="false">IFERROR(IF(ISNUMBER(INDEX(원자료_시장!$A$1:$BZ$1000,설정!$L$6+ROW()-1,설정!$L$32)),INDEX(원자료_시장!$A$1:$BZ$1000,설정!$L$6+ROW()-1,설정!$L$32),""),"")</f>
        <v>-3.5</v>
      </c>
      <c r="K180" s="85" t="n">
        <f aca="false">IFERROR(IF(ISNUMBER(INDEX(원자료_시장!$A$1:$BZ$1000,설정!$L$6+ROW()-1,설정!$L$33)),INDEX(원자료_시장!$A$1:$BZ$1000,설정!$L$6+ROW()-1,설정!$L$33),""),"")</f>
        <v>1.462</v>
      </c>
      <c r="L180" s="83" t="str">
        <f aca="false">IFERROR(IF(INDEX(원자료_시장!$A$1:$BZ$1000,설정!$L$6+ROW()-1,설정!$L$34)&amp;""="0","",INDEX(원자료_시장!$A$1:$BZ$1000,설정!$L$6+ROW()-1,설정!$L$34)),"")</f>
        <v>자유 소비재</v>
      </c>
      <c r="M180" s="83" t="str">
        <f aca="false">IFERROR(IF(INDEX(원자료_시장!$A$1:$BZ$1000,설정!$L$6+ROW()-1,설정!$L$35)&amp;""="0","",INDEX(원자료_시장!$A$1:$BZ$1000,설정!$L$6+ROW()-1,설정!$L$35)),"")</f>
        <v>BBB</v>
      </c>
      <c r="N180" s="83" t="str">
        <f aca="false">IFERROR(IF(INDEX(원자료_시장!$A$1:$BZ$1000,설정!$L$6+ROW()-1,설정!$L$36)&amp;""="0","",INDEX(원자료_시장!$A$1:$BZ$1000,설정!$L$6+ROW()-1,설정!$L$36)),"")</f>
        <v>아시아/기타</v>
      </c>
      <c r="O180" s="43" t="str">
        <f aca="false">IF($A180="","",UPPER(LEFT($A180,FIND(" ",$A180&amp;" ")-1)))</f>
        <v>LGENSO</v>
      </c>
      <c r="P180" s="43" t="str">
        <f aca="false">IF($A180="","",TRIM(RIGHT(SUBSTITUTE(TRIM($A180)," ",REPT(" ",30)),30)))</f>
        <v>04/02/28</v>
      </c>
      <c r="Q180" s="98" t="n">
        <f aca="false">IF($A180="","",IFERROR(DATE(IF(LEN(P180)=8,2000+VALUE(RIGHT(P180,2)),VALUE(RIGHT(P180,4))),VALUE(LEFT(P180,2)),VALUE(MID(P180,4,2))),""))</f>
        <v>46845</v>
      </c>
      <c r="R180" s="89" t="n">
        <f aca="false">IF($A180="",0,IF(ISNUMBER(SEARCH("Float",$A180)),1,0))</f>
        <v>0</v>
      </c>
      <c r="S180" s="43" t="str">
        <f aca="false">IF($A180="","",TRIM(MID($A180,LEN(O180)+2,LEN($A180)-LEN(O180)-LEN(P180)-1)))</f>
        <v>5 1/4</v>
      </c>
      <c r="T180" s="92" t="n">
        <f aca="false">IF(OR($A180="",R180=1),"",IFERROR(IF(ISNUMBER(FIND("/",S180)),IF(ISNUMBER(FIND(" ",S180)),VALUE(LEFT(S180,FIND(" ",S180)-1))+VALUE(MID(S180,FIND(" ",S180)+1,FIND("/",S180)-FIND(" ",S180)-1))/VALUE(MID(S180,FIND("/",S180)+1,9)),VALUE(LEFT(S180,FIND("/",S180)-1))/VALUE(MID(S180,FIND("/",S180)+1,9))),VALUE(S180)),""))</f>
        <v>5.25</v>
      </c>
      <c r="U180" s="43" t="str">
        <f aca="false">IF(OR($A180="",NOT(ISNUMBER(Q180))),"",TEXT(Q180,"yyyymmdd")&amp;"|"&amp;IF(R180=1,"F",TEXT(T180,"0.000")))</f>
        <v>20280402|5.250</v>
      </c>
      <c r="V180" s="43" t="str">
        <f aca="false">IF(U180="","",O180&amp;"|"&amp;U180)</f>
        <v>LGENSO|20280402|5.250</v>
      </c>
      <c r="W180" s="43" t="str">
        <f aca="false">IF($A180="","",IFERROR(IF(VLOOKUP(O180,매핑!$A$4:$E$92,3,0)="","미분류",VLOOKUP(O180,매핑!$A$4:$E$92,3,0)),"미분류"))</f>
        <v>한국</v>
      </c>
      <c r="X180" s="89" t="n">
        <f aca="false">IF($A180="",0,IF(O180="T",1,0))</f>
        <v>0</v>
      </c>
      <c r="Y180" s="89" t="n">
        <f aca="false">IF($A180="",0,IF(AND(C180="USD",X180=0,ISNUMBER(E180),ISNUMBER(K180)),IF(K180&gt;=설정!$C$8,1,0),0))</f>
        <v>1</v>
      </c>
      <c r="Z180" s="43" t="str">
        <f aca="false">IF($A180="","",N180&amp;"|"&amp;L180)</f>
        <v>아시아/기타|자유 소비재</v>
      </c>
      <c r="AA180" s="92" t="n">
        <f aca="false">IF(Y180=1,LN(K180),0)</f>
        <v>0.379805361327587</v>
      </c>
      <c r="AB180" s="93" t="n">
        <f aca="false">IF(Y180=1,E180,0)</f>
        <v>69.041</v>
      </c>
      <c r="AC180" s="89" t="n">
        <f aca="false">IF(Y180=1,COUNTIFS($Z$2:$Z$601,Z180,$Y$2:$Y$601,1),0)</f>
        <v>11</v>
      </c>
      <c r="AD180" s="89" t="n">
        <f aca="false">IF(Y180=1,COUNTIFS($N$2:$N$601,N180,$Y$2:$Y$601,1),0)</f>
        <v>137</v>
      </c>
      <c r="AE180" s="43" t="str">
        <f aca="false">IF(Y180&lt;&gt;1,"",IF(AND(AC180&gt;=설정!$C$7,ISNUMBER(MATCH(Z180,피어커브!$A:$A,0))),Z180,IF(AND(AD180&gt;=설정!$C$7,ISNUMBER(MATCH(N180&amp;"|전체",피어커브!$A:$A,0))),N180&amp;"|전체","전체|전체")))</f>
        <v>아시아/기타|자유 소비재</v>
      </c>
      <c r="AF180" s="93" t="n">
        <f aca="false">IF(AE180="","",INDEX(피어커브!$K:$K,MATCH(AE180,피어커브!$A:$A,0)))</f>
        <v>34.9855900051434</v>
      </c>
      <c r="AG180" s="93" t="n">
        <f aca="false">IF(AE180="","",INDEX(피어커브!$J:$J,MATCH(AE180,피어커브!$A:$A,0)))</f>
        <v>40.0993538941787</v>
      </c>
      <c r="AH180" s="93" t="n">
        <f aca="false">IF(AE180="","",INDEX(피어커브!$L:$L,MATCH(AE180,피어커브!$A:$A,0)))</f>
        <v>20.7149409525972</v>
      </c>
      <c r="AI180" s="93" t="n">
        <f aca="false">IF(AE180="","",AF180+AG180*AA180)</f>
        <v>50.2155395999247</v>
      </c>
      <c r="AJ180" s="96" t="n">
        <f aca="false">IF(AE180="","",E180-AI180)</f>
        <v>18.8254604000753</v>
      </c>
      <c r="AK180" s="95" t="n">
        <f aca="false">IF(AE180="","",IF(ISNUMBER(AH180),IF(AH180&gt;0,AJ180/AH180,""),""))</f>
        <v>0.908786582745003</v>
      </c>
      <c r="AL180" s="43" t="str">
        <f aca="false">IF(AK180="","-",IF(AK180&gt;=설정!$C$6,"Cheap",IF(AK180&lt;=-설정!$C$6,"Rich","Fair")))</f>
        <v>Fair</v>
      </c>
      <c r="AM180" s="96" t="n">
        <f aca="false">IF(AE180="","",AJ180-AVERAGEIFS($AJ$2:$AJ$601,$B$2:$B$601,B180,$Y$2:$Y$601,1))</f>
        <v>9.69221626564892</v>
      </c>
      <c r="AN180" s="93" t="n">
        <f aca="false">IF(AE180="",0,IF(K180&gt;1+설정!$C$8,AG180*(AA180-LN(K180-1)),0))</f>
        <v>0</v>
      </c>
      <c r="AO180" s="99" t="n">
        <f aca="false">IF($A180="",0,SUMIFS(보유분석!$AA$2:$AA$801,보유분석!$AB$2:$AB$801,ROW(),보유분석!$AC$2:$AC$801,1))</f>
        <v>6.968388</v>
      </c>
      <c r="AP180" s="43" t="str">
        <f aca="false">IF($A180="","",TRIM(IF(R180=1,"FRN ","")&amp;IF(IFERROR(VLOOKUP(M180,설정!$A$15:$D$47,4,0),0)&gt;=10,IF(IFERROR(VLOOKUP(M180,설정!$A$15:$D$47,4,0),0)&lt;99,"BBB0미만 ",""),"")&amp;IF(OR(M180="",M180="NR"),"등급미입력 ","")&amp;IF(C180&lt;&gt;"USD","비USD ","")))</f>
        <v/>
      </c>
      <c r="AQ180" s="90" t="n">
        <f aca="false">IF(AND(Y180=1,AL180="Cheap"),IF(AND(ISERROR(SEARCH("FRN",AP180)),ISERROR(SEARCH("BBB0미만",AP180))),AK180+ROW()/1000000000,-999),-999)</f>
        <v>-999</v>
      </c>
      <c r="AR180" s="92" t="n">
        <f aca="false">IF(AND(ISNUMBER(D180),ISNUMBER(K180)),D180+AN180*MAX(K180-1,0)/100,"")</f>
        <v>5.58</v>
      </c>
      <c r="AS180" s="93" t="n">
        <f aca="false">IF(AND(ISNUMBER(E180),ISNUMBER(K180)),IF(K180&gt;0,(E180+AN180*MAX(K180-1,0))/K180,""),"")</f>
        <v>47.2236662106703</v>
      </c>
      <c r="AT180" s="90" t="n">
        <f aca="false">IFERROR(IF(AND(Y180=1,ROW()&lt;&gt;스왑분석!$C$12+1,ABS(K180-INDEX($K$2:$K$601,스왑분석!$C$12))&lt;=스왑분석!$C$5,ISERROR(SEARCH("FRN",AP180)),ISERROR(SEARCH("BBB0미만",AP180))),IF(AND(OR(스왑분석!$C$6="N",L180=INDEX($L$2:$L$601,스왑분석!$C$12)),OR(스왑분석!$C$7="N",N180=INDEX($N$2:$N$601,스왑분석!$C$12)),OR(스왑분석!$C$8="N",AO180=0),E180-INDEX($E$2:$E$601,스왑분석!$C$12)&gt;=스왑분석!$C$9),E180-INDEX($E$2:$E$601,스왑분석!$C$12)+ROW()/1000000000,-999),-999),-999)</f>
        <v>-999</v>
      </c>
      <c r="AU180" s="90" t="n">
        <f aca="false">IF(AND(Y180=1,AO180&gt;0,AL180="Rich"),-AK180+ROW()/1000000000,-999)</f>
        <v>-999</v>
      </c>
    </row>
    <row r="181" customFormat="false" ht="15" hidden="false" customHeight="false" outlineLevel="0" collapsed="false">
      <c r="A181" s="83" t="str">
        <f aca="false">IFERROR(IF(INDEX(원자료_시장!$A$1:$BZ$1000,설정!$L$6+ROW()-1,설정!$L$24)&amp;""="0","",INDEX(원자료_시장!$A$1:$BZ$1000,설정!$L$6+ROW()-1,설정!$L$24)),"")</f>
        <v>LGENSO 5 3/8 04/02/30</v>
      </c>
      <c r="B181" s="83" t="str">
        <f aca="false">IFERROR(IF(INDEX(원자료_시장!$A$1:$BZ$1000,설정!$L$6+ROW()-1,설정!$L$37)&amp;""="0","",INDEX(원자료_시장!$A$1:$BZ$1000,설정!$L$6+ROW()-1,설정!$L$37)),"")</f>
        <v>LGENERGYSOLUTION</v>
      </c>
      <c r="C181" s="83" t="str">
        <f aca="false">IFERROR(IF(INDEX(원자료_시장!$A$1:$BZ$1000,설정!$L$6+ROW()-1,설정!$L$25)&amp;""="0","",INDEX(원자료_시장!$A$1:$BZ$1000,설정!$L$6+ROW()-1,설정!$L$25)),"")</f>
        <v>USD</v>
      </c>
      <c r="D181" s="85" t="n">
        <f aca="false">IFERROR(IF(ISNUMBER(INDEX(원자료_시장!$A$1:$BZ$1000,설정!$L$6+ROW()-1,설정!$L$26)),INDEX(원자료_시장!$A$1:$BZ$1000,설정!$L$6+ROW()-1,설정!$L$26),""),"")</f>
        <v>5.984</v>
      </c>
      <c r="E181" s="97" t="n">
        <f aca="false">IFERROR(IF(ISNUMBER(INDEX(원자료_시장!$A$1:$BZ$1000,설정!$L$6+ROW()-1,설정!$L$27)),INDEX(원자료_시장!$A$1:$BZ$1000,설정!$L$6+ROW()-1,설정!$L$27),""),"")</f>
        <v>89.683</v>
      </c>
      <c r="F181" s="97" t="n">
        <f aca="false">IFERROR(IF(ISNUMBER(INDEX(원자료_시장!$A$1:$BZ$1000,설정!$L$6+ROW()-1,설정!$L$28)),INDEX(원자료_시장!$A$1:$BZ$1000,설정!$L$6+ROW()-1,설정!$L$28),""),"")</f>
        <v>124.279</v>
      </c>
      <c r="G181" s="97" t="n">
        <f aca="false">IFERROR(IF(ISNUMBER(INDEX(원자료_시장!$A$1:$BZ$1000,설정!$L$6+ROW()-1,설정!$L$29)),INDEX(원자료_시장!$A$1:$BZ$1000,설정!$L$6+ROW()-1,설정!$L$29),""),"")</f>
        <v>-2.7</v>
      </c>
      <c r="H181" s="97" t="n">
        <f aca="false">IFERROR(IF(ISNUMBER(INDEX(원자료_시장!$A$1:$BZ$1000,설정!$L$6+ROW()-1,설정!$L$30)),INDEX(원자료_시장!$A$1:$BZ$1000,설정!$L$6+ROW()-1,설정!$L$30),""),"")</f>
        <v>2.1</v>
      </c>
      <c r="I181" s="97" t="n">
        <f aca="false">IFERROR(IF(ISNUMBER(INDEX(원자료_시장!$A$1:$BZ$1000,설정!$L$6+ROW()-1,설정!$L$31)),INDEX(원자료_시장!$A$1:$BZ$1000,설정!$L$6+ROW()-1,설정!$L$31),""),"")</f>
        <v>2.6</v>
      </c>
      <c r="J181" s="97" t="n">
        <f aca="false">IFERROR(IF(ISNUMBER(INDEX(원자료_시장!$A$1:$BZ$1000,설정!$L$6+ROW()-1,설정!$L$32)),INDEX(원자료_시장!$A$1:$BZ$1000,설정!$L$6+ROW()-1,설정!$L$32),""),"")</f>
        <v>-2.2</v>
      </c>
      <c r="K181" s="85" t="n">
        <f aca="false">IFERROR(IF(ISNUMBER(INDEX(원자료_시장!$A$1:$BZ$1000,설정!$L$6+ROW()-1,설정!$L$33)),INDEX(원자료_시장!$A$1:$BZ$1000,설정!$L$6+ROW()-1,설정!$L$33),""),"")</f>
        <v>3.234</v>
      </c>
      <c r="L181" s="83" t="str">
        <f aca="false">IFERROR(IF(INDEX(원자료_시장!$A$1:$BZ$1000,설정!$L$6+ROW()-1,설정!$L$34)&amp;""="0","",INDEX(원자료_시장!$A$1:$BZ$1000,설정!$L$6+ROW()-1,설정!$L$34)),"")</f>
        <v>자유 소비재</v>
      </c>
      <c r="M181" s="83" t="str">
        <f aca="false">IFERROR(IF(INDEX(원자료_시장!$A$1:$BZ$1000,설정!$L$6+ROW()-1,설정!$L$35)&amp;""="0","",INDEX(원자료_시장!$A$1:$BZ$1000,설정!$L$6+ROW()-1,설정!$L$35)),"")</f>
        <v>BBB</v>
      </c>
      <c r="N181" s="83" t="str">
        <f aca="false">IFERROR(IF(INDEX(원자료_시장!$A$1:$BZ$1000,설정!$L$6+ROW()-1,설정!$L$36)&amp;""="0","",INDEX(원자료_시장!$A$1:$BZ$1000,설정!$L$6+ROW()-1,설정!$L$36)),"")</f>
        <v>아시아/기타</v>
      </c>
      <c r="O181" s="43" t="str">
        <f aca="false">IF($A181="","",UPPER(LEFT($A181,FIND(" ",$A181&amp;" ")-1)))</f>
        <v>LGENSO</v>
      </c>
      <c r="P181" s="43" t="str">
        <f aca="false">IF($A181="","",TRIM(RIGHT(SUBSTITUTE(TRIM($A181)," ",REPT(" ",30)),30)))</f>
        <v>04/02/30</v>
      </c>
      <c r="Q181" s="98" t="n">
        <f aca="false">IF($A181="","",IFERROR(DATE(IF(LEN(P181)=8,2000+VALUE(RIGHT(P181,2)),VALUE(RIGHT(P181,4))),VALUE(LEFT(P181,2)),VALUE(MID(P181,4,2))),""))</f>
        <v>47575</v>
      </c>
      <c r="R181" s="89" t="n">
        <f aca="false">IF($A181="",0,IF(ISNUMBER(SEARCH("Float",$A181)),1,0))</f>
        <v>0</v>
      </c>
      <c r="S181" s="43" t="str">
        <f aca="false">IF($A181="","",TRIM(MID($A181,LEN(O181)+2,LEN($A181)-LEN(O181)-LEN(P181)-1)))</f>
        <v>5 3/8</v>
      </c>
      <c r="T181" s="92" t="n">
        <f aca="false">IF(OR($A181="",R181=1),"",IFERROR(IF(ISNUMBER(FIND("/",S181)),IF(ISNUMBER(FIND(" ",S181)),VALUE(LEFT(S181,FIND(" ",S181)-1))+VALUE(MID(S181,FIND(" ",S181)+1,FIND("/",S181)-FIND(" ",S181)-1))/VALUE(MID(S181,FIND("/",S181)+1,9)),VALUE(LEFT(S181,FIND("/",S181)-1))/VALUE(MID(S181,FIND("/",S181)+1,9))),VALUE(S181)),""))</f>
        <v>5.375</v>
      </c>
      <c r="U181" s="43" t="str">
        <f aca="false">IF(OR($A181="",NOT(ISNUMBER(Q181))),"",TEXT(Q181,"yyyymmdd")&amp;"|"&amp;IF(R181=1,"F",TEXT(T181,"0.000")))</f>
        <v>20300402|5.375</v>
      </c>
      <c r="V181" s="43" t="str">
        <f aca="false">IF(U181="","",O181&amp;"|"&amp;U181)</f>
        <v>LGENSO|20300402|5.375</v>
      </c>
      <c r="W181" s="43" t="str">
        <f aca="false">IF($A181="","",IFERROR(IF(VLOOKUP(O181,매핑!$A$4:$E$92,3,0)="","미분류",VLOOKUP(O181,매핑!$A$4:$E$92,3,0)),"미분류"))</f>
        <v>한국</v>
      </c>
      <c r="X181" s="89" t="n">
        <f aca="false">IF($A181="",0,IF(O181="T",1,0))</f>
        <v>0</v>
      </c>
      <c r="Y181" s="89" t="n">
        <f aca="false">IF($A181="",0,IF(AND(C181="USD",X181=0,ISNUMBER(E181),ISNUMBER(K181)),IF(K181&gt;=설정!$C$8,1,0),0))</f>
        <v>1</v>
      </c>
      <c r="Z181" s="43" t="str">
        <f aca="false">IF($A181="","",N181&amp;"|"&amp;L181)</f>
        <v>아시아/기타|자유 소비재</v>
      </c>
      <c r="AA181" s="92" t="n">
        <f aca="false">IF(Y181=1,LN(K181),0)</f>
        <v>1.17371976115492</v>
      </c>
      <c r="AB181" s="93" t="n">
        <f aca="false">IF(Y181=1,E181,0)</f>
        <v>89.683</v>
      </c>
      <c r="AC181" s="89" t="n">
        <f aca="false">IF(Y181=1,COUNTIFS($Z$2:$Z$601,Z181,$Y$2:$Y$601,1),0)</f>
        <v>11</v>
      </c>
      <c r="AD181" s="89" t="n">
        <f aca="false">IF(Y181=1,COUNTIFS($N$2:$N$601,N181,$Y$2:$Y$601,1),0)</f>
        <v>137</v>
      </c>
      <c r="AE181" s="43" t="str">
        <f aca="false">IF(Y181&lt;&gt;1,"",IF(AND(AC181&gt;=설정!$C$7,ISNUMBER(MATCH(Z181,피어커브!$A:$A,0))),Z181,IF(AND(AD181&gt;=설정!$C$7,ISNUMBER(MATCH(N181&amp;"|전체",피어커브!$A:$A,0))),N181&amp;"|전체","전체|전체")))</f>
        <v>아시아/기타|자유 소비재</v>
      </c>
      <c r="AF181" s="93" t="n">
        <f aca="false">IF(AE181="","",INDEX(피어커브!$K:$K,MATCH(AE181,피어커브!$A:$A,0)))</f>
        <v>34.9855900051434</v>
      </c>
      <c r="AG181" s="93" t="n">
        <f aca="false">IF(AE181="","",INDEX(피어커브!$J:$J,MATCH(AE181,피어커브!$A:$A,0)))</f>
        <v>40.0993538941787</v>
      </c>
      <c r="AH181" s="93" t="n">
        <f aca="false">IF(AE181="","",INDEX(피어커브!$L:$L,MATCH(AE181,피어커브!$A:$A,0)))</f>
        <v>20.7149409525972</v>
      </c>
      <c r="AI181" s="93" t="n">
        <f aca="false">IF(AE181="","",AF181+AG181*AA181)</f>
        <v>82.0509940802852</v>
      </c>
      <c r="AJ181" s="96" t="n">
        <f aca="false">IF(AE181="","",E181-AI181)</f>
        <v>7.63200591971481</v>
      </c>
      <c r="AK181" s="95" t="n">
        <f aca="false">IF(AE181="","",IF(ISNUMBER(AH181),IF(AH181&gt;0,AJ181/AH181,""),""))</f>
        <v>0.368430010839974</v>
      </c>
      <c r="AL181" s="43" t="str">
        <f aca="false">IF(AK181="","-",IF(AK181&gt;=설정!$C$6,"Cheap",IF(AK181&lt;=-설정!$C$6,"Rich","Fair")))</f>
        <v>Fair</v>
      </c>
      <c r="AM181" s="96" t="n">
        <f aca="false">IF(AE181="","",AJ181-AVERAGEIFS($AJ$2:$AJ$601,$B$2:$B$601,B181,$Y$2:$Y$601,1))</f>
        <v>-1.50123821471158</v>
      </c>
      <c r="AN181" s="93" t="n">
        <f aca="false">IF(AE181="",0,IF(K181&gt;1+설정!$C$8,AG181*(AA181-LN(K181-1)),0))</f>
        <v>14.8337960149859</v>
      </c>
      <c r="AO181" s="99" t="n">
        <f aca="false">IF($A181="",0,SUMIFS(보유분석!$AA$2:$AA$801,보유분석!$AB$2:$AB$801,ROW(),보유분석!$AC$2:$AC$801,1))</f>
        <v>16.1991555</v>
      </c>
      <c r="AP181" s="43" t="str">
        <f aca="false">IF($A181="","",TRIM(IF(R181=1,"FRN ","")&amp;IF(IFERROR(VLOOKUP(M181,설정!$A$15:$D$47,4,0),0)&gt;=10,IF(IFERROR(VLOOKUP(M181,설정!$A$15:$D$47,4,0),0)&lt;99,"BBB0미만 ",""),"")&amp;IF(OR(M181="",M181="NR"),"등급미입력 ","")&amp;IF(C181&lt;&gt;"USD","비USD ","")))</f>
        <v/>
      </c>
      <c r="AQ181" s="90" t="n">
        <f aca="false">IF(AND(Y181=1,AL181="Cheap"),IF(AND(ISERROR(SEARCH("FRN",AP181)),ISERROR(SEARCH("BBB0미만",AP181))),AK181+ROW()/1000000000,-999),-999)</f>
        <v>-999</v>
      </c>
      <c r="AR181" s="92" t="n">
        <f aca="false">IF(AND(ISNUMBER(D181),ISNUMBER(K181)),D181+AN181*MAX(K181-1,0)/100,"")</f>
        <v>6.31538700297478</v>
      </c>
      <c r="AS181" s="93" t="n">
        <f aca="false">IF(AND(ISNUMBER(E181),ISNUMBER(K181)),IF(K181&gt;0,(E181+AN181*MAX(K181-1,0))/K181,""),"")</f>
        <v>37.9782623059612</v>
      </c>
      <c r="AT181" s="90" t="n">
        <f aca="false">IFERROR(IF(AND(Y181=1,ROW()&lt;&gt;스왑분석!$C$12+1,ABS(K181-INDEX($K$2:$K$601,스왑분석!$C$12))&lt;=스왑분석!$C$5,ISERROR(SEARCH("FRN",AP181)),ISERROR(SEARCH("BBB0미만",AP181))),IF(AND(OR(스왑분석!$C$6="N",L181=INDEX($L$2:$L$601,스왑분석!$C$12)),OR(스왑분석!$C$7="N",N181=INDEX($N$2:$N$601,스왑분석!$C$12)),OR(스왑분석!$C$8="N",AO181=0),E181-INDEX($E$2:$E$601,스왑분석!$C$12)&gt;=스왑분석!$C$9),E181-INDEX($E$2:$E$601,스왑분석!$C$12)+ROW()/1000000000,-999),-999),-999)</f>
        <v>41.191000181</v>
      </c>
      <c r="AU181" s="90" t="n">
        <f aca="false">IF(AND(Y181=1,AO181&gt;0,AL181="Rich"),-AK181+ROW()/1000000000,-999)</f>
        <v>-999</v>
      </c>
    </row>
    <row r="182" customFormat="false" ht="15" hidden="false" customHeight="false" outlineLevel="0" collapsed="false">
      <c r="A182" s="83" t="str">
        <f aca="false">IFERROR(IF(INDEX(원자료_시장!$A$1:$BZ$1000,설정!$L$6+ROW()-1,설정!$L$24)&amp;""="0","",INDEX(원자료_시장!$A$1:$BZ$1000,설정!$L$6+ROW()-1,설정!$L$24)),"")</f>
        <v>LGENSO 5 7/8 04/02/35</v>
      </c>
      <c r="B182" s="83" t="str">
        <f aca="false">IFERROR(IF(INDEX(원자료_시장!$A$1:$BZ$1000,설정!$L$6+ROW()-1,설정!$L$37)&amp;""="0","",INDEX(원자료_시장!$A$1:$BZ$1000,설정!$L$6+ROW()-1,설정!$L$37)),"")</f>
        <v>LGENERGYSOLUTION</v>
      </c>
      <c r="C182" s="83" t="str">
        <f aca="false">IFERROR(IF(INDEX(원자료_시장!$A$1:$BZ$1000,설정!$L$6+ROW()-1,설정!$L$25)&amp;""="0","",INDEX(원자료_시장!$A$1:$BZ$1000,설정!$L$6+ROW()-1,설정!$L$25)),"")</f>
        <v>USD</v>
      </c>
      <c r="D182" s="85" t="n">
        <f aca="false">IFERROR(IF(ISNUMBER(INDEX(원자료_시장!$A$1:$BZ$1000,설정!$L$6+ROW()-1,설정!$L$26)),INDEX(원자료_시장!$A$1:$BZ$1000,설정!$L$6+ROW()-1,설정!$L$26),""),"")</f>
        <v>6.524</v>
      </c>
      <c r="E182" s="97" t="n">
        <f aca="false">IFERROR(IF(ISNUMBER(INDEX(원자료_시장!$A$1:$BZ$1000,설정!$L$6+ROW()-1,설정!$L$27)),INDEX(원자료_시장!$A$1:$BZ$1000,설정!$L$6+ROW()-1,설정!$L$27),""),"")</f>
        <v>123.715</v>
      </c>
      <c r="F182" s="97" t="n">
        <f aca="false">IFERROR(IF(ISNUMBER(INDEX(원자료_시장!$A$1:$BZ$1000,설정!$L$6+ROW()-1,설정!$L$28)),INDEX(원자료_시장!$A$1:$BZ$1000,설정!$L$6+ROW()-1,설정!$L$28),""),"")</f>
        <v>171.655</v>
      </c>
      <c r="G182" s="97" t="n">
        <f aca="false">IFERROR(IF(ISNUMBER(INDEX(원자료_시장!$A$1:$BZ$1000,설정!$L$6+ROW()-1,설정!$L$29)),INDEX(원자료_시장!$A$1:$BZ$1000,설정!$L$6+ROW()-1,설정!$L$29),""),"")</f>
        <v>0.1</v>
      </c>
      <c r="H182" s="97" t="n">
        <f aca="false">IFERROR(IF(ISNUMBER(INDEX(원자료_시장!$A$1:$BZ$1000,설정!$L$6+ROW()-1,설정!$L$30)),INDEX(원자료_시장!$A$1:$BZ$1000,설정!$L$6+ROW()-1,설정!$L$30),""),"")</f>
        <v>4.5</v>
      </c>
      <c r="I182" s="97" t="n">
        <f aca="false">IFERROR(IF(ISNUMBER(INDEX(원자료_시장!$A$1:$BZ$1000,설정!$L$6+ROW()-1,설정!$L$31)),INDEX(원자료_시장!$A$1:$BZ$1000,설정!$L$6+ROW()-1,설정!$L$31),""),"")</f>
        <v>3.1</v>
      </c>
      <c r="J182" s="97" t="n">
        <f aca="false">IFERROR(IF(ISNUMBER(INDEX(원자료_시장!$A$1:$BZ$1000,설정!$L$6+ROW()-1,설정!$L$32)),INDEX(원자료_시장!$A$1:$BZ$1000,설정!$L$6+ROW()-1,설정!$L$32),""),"")</f>
        <v>4.8</v>
      </c>
      <c r="K182" s="85" t="n">
        <f aca="false">IFERROR(IF(ISNUMBER(INDEX(원자료_시장!$A$1:$BZ$1000,설정!$L$6+ROW()-1,설정!$L$33)),INDEX(원자료_시장!$A$1:$BZ$1000,설정!$L$6+ROW()-1,설정!$L$33),""),"")</f>
        <v>6.767</v>
      </c>
      <c r="L182" s="83" t="str">
        <f aca="false">IFERROR(IF(INDEX(원자료_시장!$A$1:$BZ$1000,설정!$L$6+ROW()-1,설정!$L$34)&amp;""="0","",INDEX(원자료_시장!$A$1:$BZ$1000,설정!$L$6+ROW()-1,설정!$L$34)),"")</f>
        <v>자유 소비재</v>
      </c>
      <c r="M182" s="83" t="str">
        <f aca="false">IFERROR(IF(INDEX(원자료_시장!$A$1:$BZ$1000,설정!$L$6+ROW()-1,설정!$L$35)&amp;""="0","",INDEX(원자료_시장!$A$1:$BZ$1000,설정!$L$6+ROW()-1,설정!$L$35)),"")</f>
        <v>BBB</v>
      </c>
      <c r="N182" s="83" t="str">
        <f aca="false">IFERROR(IF(INDEX(원자료_시장!$A$1:$BZ$1000,설정!$L$6+ROW()-1,설정!$L$36)&amp;""="0","",INDEX(원자료_시장!$A$1:$BZ$1000,설정!$L$6+ROW()-1,설정!$L$36)),"")</f>
        <v>아시아/기타</v>
      </c>
      <c r="O182" s="43" t="str">
        <f aca="false">IF($A182="","",UPPER(LEFT($A182,FIND(" ",$A182&amp;" ")-1)))</f>
        <v>LGENSO</v>
      </c>
      <c r="P182" s="43" t="str">
        <f aca="false">IF($A182="","",TRIM(RIGHT(SUBSTITUTE(TRIM($A182)," ",REPT(" ",30)),30)))</f>
        <v>04/02/35</v>
      </c>
      <c r="Q182" s="98" t="n">
        <f aca="false">IF($A182="","",IFERROR(DATE(IF(LEN(P182)=8,2000+VALUE(RIGHT(P182,2)),VALUE(RIGHT(P182,4))),VALUE(LEFT(P182,2)),VALUE(MID(P182,4,2))),""))</f>
        <v>49401</v>
      </c>
      <c r="R182" s="89" t="n">
        <f aca="false">IF($A182="",0,IF(ISNUMBER(SEARCH("Float",$A182)),1,0))</f>
        <v>0</v>
      </c>
      <c r="S182" s="43" t="str">
        <f aca="false">IF($A182="","",TRIM(MID($A182,LEN(O182)+2,LEN($A182)-LEN(O182)-LEN(P182)-1)))</f>
        <v>5 7/8</v>
      </c>
      <c r="T182" s="92" t="n">
        <f aca="false">IF(OR($A182="",R182=1),"",IFERROR(IF(ISNUMBER(FIND("/",S182)),IF(ISNUMBER(FIND(" ",S182)),VALUE(LEFT(S182,FIND(" ",S182)-1))+VALUE(MID(S182,FIND(" ",S182)+1,FIND("/",S182)-FIND(" ",S182)-1))/VALUE(MID(S182,FIND("/",S182)+1,9)),VALUE(LEFT(S182,FIND("/",S182)-1))/VALUE(MID(S182,FIND("/",S182)+1,9))),VALUE(S182)),""))</f>
        <v>5.875</v>
      </c>
      <c r="U182" s="43" t="str">
        <f aca="false">IF(OR($A182="",NOT(ISNUMBER(Q182))),"",TEXT(Q182,"yyyymmdd")&amp;"|"&amp;IF(R182=1,"F",TEXT(T182,"0.000")))</f>
        <v>20350402|5.875</v>
      </c>
      <c r="V182" s="43" t="str">
        <f aca="false">IF(U182="","",O182&amp;"|"&amp;U182)</f>
        <v>LGENSO|20350402|5.875</v>
      </c>
      <c r="W182" s="43" t="str">
        <f aca="false">IF($A182="","",IFERROR(IF(VLOOKUP(O182,매핑!$A$4:$E$92,3,0)="","미분류",VLOOKUP(O182,매핑!$A$4:$E$92,3,0)),"미분류"))</f>
        <v>한국</v>
      </c>
      <c r="X182" s="89" t="n">
        <f aca="false">IF($A182="",0,IF(O182="T",1,0))</f>
        <v>0</v>
      </c>
      <c r="Y182" s="89" t="n">
        <f aca="false">IF($A182="",0,IF(AND(C182="USD",X182=0,ISNUMBER(E182),ISNUMBER(K182)),IF(K182&gt;=설정!$C$8,1,0),0))</f>
        <v>1</v>
      </c>
      <c r="Z182" s="43" t="str">
        <f aca="false">IF($A182="","",N182&amp;"|"&amp;L182)</f>
        <v>아시아/기타|자유 소비재</v>
      </c>
      <c r="AA182" s="92" t="n">
        <f aca="false">IF(Y182=1,LN(K182),0)</f>
        <v>1.91205785725009</v>
      </c>
      <c r="AB182" s="93" t="n">
        <f aca="false">IF(Y182=1,E182,0)</f>
        <v>123.715</v>
      </c>
      <c r="AC182" s="89" t="n">
        <f aca="false">IF(Y182=1,COUNTIFS($Z$2:$Z$601,Z182,$Y$2:$Y$601,1),0)</f>
        <v>11</v>
      </c>
      <c r="AD182" s="89" t="n">
        <f aca="false">IF(Y182=1,COUNTIFS($N$2:$N$601,N182,$Y$2:$Y$601,1),0)</f>
        <v>137</v>
      </c>
      <c r="AE182" s="43" t="str">
        <f aca="false">IF(Y182&lt;&gt;1,"",IF(AND(AC182&gt;=설정!$C$7,ISNUMBER(MATCH(Z182,피어커브!$A:$A,0))),Z182,IF(AND(AD182&gt;=설정!$C$7,ISNUMBER(MATCH(N182&amp;"|전체",피어커브!$A:$A,0))),N182&amp;"|전체","전체|전체")))</f>
        <v>아시아/기타|자유 소비재</v>
      </c>
      <c r="AF182" s="93" t="n">
        <f aca="false">IF(AE182="","",INDEX(피어커브!$K:$K,MATCH(AE182,피어커브!$A:$A,0)))</f>
        <v>34.9855900051434</v>
      </c>
      <c r="AG182" s="93" t="n">
        <f aca="false">IF(AE182="","",INDEX(피어커브!$J:$J,MATCH(AE182,피어커브!$A:$A,0)))</f>
        <v>40.0993538941787</v>
      </c>
      <c r="AH182" s="93" t="n">
        <f aca="false">IF(AE182="","",INDEX(피어커브!$L:$L,MATCH(AE182,피어커브!$A:$A,0)))</f>
        <v>20.7149409525972</v>
      </c>
      <c r="AI182" s="93" t="n">
        <f aca="false">IF(AE182="","",AF182+AG182*AA182)</f>
        <v>111.65787468916</v>
      </c>
      <c r="AJ182" s="96" t="n">
        <f aca="false">IF(AE182="","",E182-AI182)</f>
        <v>12.0571253108403</v>
      </c>
      <c r="AK182" s="95" t="n">
        <f aca="false">IF(AE182="","",IF(ISNUMBER(AH182),IF(AH182&gt;0,AJ182/AH182,""),""))</f>
        <v>0.582049706944912</v>
      </c>
      <c r="AL182" s="43" t="str">
        <f aca="false">IF(AK182="","-",IF(AK182&gt;=설정!$C$6,"Cheap",IF(AK182&lt;=-설정!$C$6,"Rich","Fair")))</f>
        <v>Fair</v>
      </c>
      <c r="AM182" s="96" t="n">
        <f aca="false">IF(AE182="","",AJ182-AVERAGEIFS($AJ$2:$AJ$601,$B$2:$B$601,B182,$Y$2:$Y$601,1))</f>
        <v>2.92388117641396</v>
      </c>
      <c r="AN182" s="93" t="n">
        <f aca="false">IF(AE182="",0,IF(K182&gt;1+설정!$C$8,AG182*(AA182-LN(K182-1)),0))</f>
        <v>6.41212097283842</v>
      </c>
      <c r="AO182" s="99" t="n">
        <f aca="false">IF($A182="",0,SUMIFS(보유분석!$AA$2:$AA$801,보유분석!$AB$2:$AB$801,ROW(),보유분석!$AC$2:$AC$801,1))</f>
        <v>3.848236</v>
      </c>
      <c r="AP182" s="43" t="str">
        <f aca="false">IF($A182="","",TRIM(IF(R182=1,"FRN ","")&amp;IF(IFERROR(VLOOKUP(M182,설정!$A$15:$D$47,4,0),0)&gt;=10,IF(IFERROR(VLOOKUP(M182,설정!$A$15:$D$47,4,0),0)&lt;99,"BBB0미만 ",""),"")&amp;IF(OR(M182="",M182="NR"),"등급미입력 ","")&amp;IF(C182&lt;&gt;"USD","비USD ","")))</f>
        <v/>
      </c>
      <c r="AQ182" s="90" t="n">
        <f aca="false">IF(AND(Y182=1,AL182="Cheap"),IF(AND(ISERROR(SEARCH("FRN",AP182)),ISERROR(SEARCH("BBB0미만",AP182))),AK182+ROW()/1000000000,-999),-999)</f>
        <v>-999</v>
      </c>
      <c r="AR182" s="92" t="n">
        <f aca="false">IF(AND(ISNUMBER(D182),ISNUMBER(K182)),D182+AN182*MAX(K182-1,0)/100,"")</f>
        <v>6.89378701650359</v>
      </c>
      <c r="AS182" s="93" t="n">
        <f aca="false">IF(AND(ISNUMBER(E182),ISNUMBER(K182)),IF(K182&gt;0,(E182+AN182*MAX(K182-1,0))/K182,""),"")</f>
        <v>23.7466678957232</v>
      </c>
      <c r="AT182" s="90" t="n">
        <f aca="false">IFERROR(IF(AND(Y182=1,ROW()&lt;&gt;스왑분석!$C$12+1,ABS(K182-INDEX($K$2:$K$601,스왑분석!$C$12))&lt;=스왑분석!$C$5,ISERROR(SEARCH("FRN",AP182)),ISERROR(SEARCH("BBB0미만",AP182))),IF(AND(OR(스왑분석!$C$6="N",L182=INDEX($L$2:$L$601,스왑분석!$C$12)),OR(스왑분석!$C$7="N",N182=INDEX($N$2:$N$601,스왑분석!$C$12)),OR(스왑분석!$C$8="N",AO182=0),E182-INDEX($E$2:$E$601,스왑분석!$C$12)&gt;=스왑분석!$C$9),E182-INDEX($E$2:$E$601,스왑분석!$C$12)+ROW()/1000000000,-999),-999),-999)</f>
        <v>-999</v>
      </c>
      <c r="AU182" s="90" t="n">
        <f aca="false">IF(AND(Y182=1,AO182&gt;0,AL182="Rich"),-AK182+ROW()/1000000000,-999)</f>
        <v>-999</v>
      </c>
    </row>
    <row r="183" customFormat="false" ht="15" hidden="false" customHeight="false" outlineLevel="0" collapsed="false">
      <c r="A183" s="83" t="str">
        <f aca="false">IFERROR(IF(INDEX(원자료_시장!$A$1:$BZ$1000,설정!$L$6+ROW()-1,설정!$L$24)&amp;""="0","",INDEX(원자료_시장!$A$1:$BZ$1000,설정!$L$6+ROW()-1,설정!$L$24)),"")</f>
        <v>LGENSO 5 04/02/29</v>
      </c>
      <c r="B183" s="83" t="str">
        <f aca="false">IFERROR(IF(INDEX(원자료_시장!$A$1:$BZ$1000,설정!$L$6+ROW()-1,설정!$L$37)&amp;""="0","",INDEX(원자료_시장!$A$1:$BZ$1000,설정!$L$6+ROW()-1,설정!$L$37)),"")</f>
        <v>LGENERGYSOLUTION</v>
      </c>
      <c r="C183" s="83" t="str">
        <f aca="false">IFERROR(IF(INDEX(원자료_시장!$A$1:$BZ$1000,설정!$L$6+ROW()-1,설정!$L$25)&amp;""="0","",INDEX(원자료_시장!$A$1:$BZ$1000,설정!$L$6+ROW()-1,설정!$L$25)),"")</f>
        <v>USD</v>
      </c>
      <c r="D183" s="85" t="n">
        <f aca="false">IFERROR(IF(ISNUMBER(INDEX(원자료_시장!$A$1:$BZ$1000,설정!$L$6+ROW()-1,설정!$L$26)),INDEX(원자료_시장!$A$1:$BZ$1000,설정!$L$6+ROW()-1,설정!$L$26),""),"")</f>
        <v>5.689</v>
      </c>
      <c r="E183" s="97" t="n">
        <f aca="false">IFERROR(IF(ISNUMBER(INDEX(원자료_시장!$A$1:$BZ$1000,설정!$L$6+ROW()-1,설정!$L$27)),INDEX(원자료_시장!$A$1:$BZ$1000,설정!$L$6+ROW()-1,설정!$L$27),""),"")</f>
        <v>68.865</v>
      </c>
      <c r="F183" s="97" t="n">
        <f aca="false">IFERROR(IF(ISNUMBER(INDEX(원자료_시장!$A$1:$BZ$1000,설정!$L$6+ROW()-1,설정!$L$28)),INDEX(원자료_시장!$A$1:$BZ$1000,설정!$L$6+ROW()-1,설정!$L$28),""),"")</f>
        <v>97.501</v>
      </c>
      <c r="G183" s="97" t="n">
        <f aca="false">IFERROR(IF(ISNUMBER(INDEX(원자료_시장!$A$1:$BZ$1000,설정!$L$6+ROW()-1,설정!$L$29)),INDEX(원자료_시장!$A$1:$BZ$1000,설정!$L$6+ROW()-1,설정!$L$29),""),"")</f>
        <v>-1.1</v>
      </c>
      <c r="H183" s="97" t="n">
        <f aca="false">IFERROR(IF(ISNUMBER(INDEX(원자료_시장!$A$1:$BZ$1000,설정!$L$6+ROW()-1,설정!$L$30)),INDEX(원자료_시장!$A$1:$BZ$1000,설정!$L$6+ROW()-1,설정!$L$30),""),"")</f>
        <v>4.7</v>
      </c>
      <c r="I183" s="97" t="n">
        <f aca="false">IFERROR(IF(ISNUMBER(INDEX(원자료_시장!$A$1:$BZ$1000,설정!$L$6+ROW()-1,설정!$L$31)),INDEX(원자료_시장!$A$1:$BZ$1000,설정!$L$6+ROW()-1,설정!$L$31),""),"")</f>
        <v>-6.4</v>
      </c>
      <c r="J183" s="97" t="n">
        <f aca="false">IFERROR(IF(ISNUMBER(INDEX(원자료_시장!$A$1:$BZ$1000,설정!$L$6+ROW()-1,설정!$L$32)),INDEX(원자료_시장!$A$1:$BZ$1000,설정!$L$6+ROW()-1,설정!$L$32),""),"")</f>
        <v>-11.2</v>
      </c>
      <c r="K183" s="85" t="n">
        <f aca="false">IFERROR(IF(ISNUMBER(INDEX(원자료_시장!$A$1:$BZ$1000,설정!$L$6+ROW()-1,설정!$L$33)),INDEX(원자료_시장!$A$1:$BZ$1000,설정!$L$6+ROW()-1,설정!$L$33),""),"")</f>
        <v>2.38</v>
      </c>
      <c r="L183" s="83" t="str">
        <f aca="false">IFERROR(IF(INDEX(원자료_시장!$A$1:$BZ$1000,설정!$L$6+ROW()-1,설정!$L$34)&amp;""="0","",INDEX(원자료_시장!$A$1:$BZ$1000,설정!$L$6+ROW()-1,설정!$L$34)),"")</f>
        <v>자유 소비재</v>
      </c>
      <c r="M183" s="83" t="str">
        <f aca="false">IFERROR(IF(INDEX(원자료_시장!$A$1:$BZ$1000,설정!$L$6+ROW()-1,설정!$L$35)&amp;""="0","",INDEX(원자료_시장!$A$1:$BZ$1000,설정!$L$6+ROW()-1,설정!$L$35)),"")</f>
        <v>BBB</v>
      </c>
      <c r="N183" s="83" t="str">
        <f aca="false">IFERROR(IF(INDEX(원자료_시장!$A$1:$BZ$1000,설정!$L$6+ROW()-1,설정!$L$36)&amp;""="0","",INDEX(원자료_시장!$A$1:$BZ$1000,설정!$L$6+ROW()-1,설정!$L$36)),"")</f>
        <v>아시아/기타</v>
      </c>
      <c r="O183" s="43" t="str">
        <f aca="false">IF($A183="","",UPPER(LEFT($A183,FIND(" ",$A183&amp;" ")-1)))</f>
        <v>LGENSO</v>
      </c>
      <c r="P183" s="43" t="str">
        <f aca="false">IF($A183="","",TRIM(RIGHT(SUBSTITUTE(TRIM($A183)," ",REPT(" ",30)),30)))</f>
        <v>04/02/29</v>
      </c>
      <c r="Q183" s="98" t="n">
        <f aca="false">IF($A183="","",IFERROR(DATE(IF(LEN(P183)=8,2000+VALUE(RIGHT(P183,2)),VALUE(RIGHT(P183,4))),VALUE(LEFT(P183,2)),VALUE(MID(P183,4,2))),""))</f>
        <v>47210</v>
      </c>
      <c r="R183" s="89" t="n">
        <f aca="false">IF($A183="",0,IF(ISNUMBER(SEARCH("Float",$A183)),1,0))</f>
        <v>0</v>
      </c>
      <c r="S183" s="43" t="str">
        <f aca="false">IF($A183="","",TRIM(MID($A183,LEN(O183)+2,LEN($A183)-LEN(O183)-LEN(P183)-1)))</f>
        <v>5</v>
      </c>
      <c r="T183" s="92" t="n">
        <f aca="false">IF(OR($A183="",R183=1),"",IFERROR(IF(ISNUMBER(FIND("/",S183)),IF(ISNUMBER(FIND(" ",S183)),VALUE(LEFT(S183,FIND(" ",S183)-1))+VALUE(MID(S183,FIND(" ",S183)+1,FIND("/",S183)-FIND(" ",S183)-1))/VALUE(MID(S183,FIND("/",S183)+1,9)),VALUE(LEFT(S183,FIND("/",S183)-1))/VALUE(MID(S183,FIND("/",S183)+1,9))),VALUE(S183)),""))</f>
        <v>5</v>
      </c>
      <c r="U183" s="43" t="str">
        <f aca="false">IF(OR($A183="",NOT(ISNUMBER(Q183))),"",TEXT(Q183,"yyyymmdd")&amp;"|"&amp;IF(R183=1,"F",TEXT(T183,"0.000")))</f>
        <v>20290402|5.000</v>
      </c>
      <c r="V183" s="43" t="str">
        <f aca="false">IF(U183="","",O183&amp;"|"&amp;U183)</f>
        <v>LGENSO|20290402|5.000</v>
      </c>
      <c r="W183" s="43" t="str">
        <f aca="false">IF($A183="","",IFERROR(IF(VLOOKUP(O183,매핑!$A$4:$E$92,3,0)="","미분류",VLOOKUP(O183,매핑!$A$4:$E$92,3,0)),"미분류"))</f>
        <v>한국</v>
      </c>
      <c r="X183" s="89" t="n">
        <f aca="false">IF($A183="",0,IF(O183="T",1,0))</f>
        <v>0</v>
      </c>
      <c r="Y183" s="89" t="n">
        <f aca="false">IF($A183="",0,IF(AND(C183="USD",X183=0,ISNUMBER(E183),ISNUMBER(K183)),IF(K183&gt;=설정!$C$8,1,0),0))</f>
        <v>1</v>
      </c>
      <c r="Z183" s="43" t="str">
        <f aca="false">IF($A183="","",N183&amp;"|"&amp;L183)</f>
        <v>아시아/기타|자유 소비재</v>
      </c>
      <c r="AA183" s="92" t="n">
        <f aca="false">IF(Y183=1,LN(K183),0)</f>
        <v>0.867100487683383</v>
      </c>
      <c r="AB183" s="93" t="n">
        <f aca="false">IF(Y183=1,E183,0)</f>
        <v>68.865</v>
      </c>
      <c r="AC183" s="89" t="n">
        <f aca="false">IF(Y183=1,COUNTIFS($Z$2:$Z$601,Z183,$Y$2:$Y$601,1),0)</f>
        <v>11</v>
      </c>
      <c r="AD183" s="89" t="n">
        <f aca="false">IF(Y183=1,COUNTIFS($N$2:$N$601,N183,$Y$2:$Y$601,1),0)</f>
        <v>137</v>
      </c>
      <c r="AE183" s="43" t="str">
        <f aca="false">IF(Y183&lt;&gt;1,"",IF(AND(AC183&gt;=설정!$C$7,ISNUMBER(MATCH(Z183,피어커브!$A:$A,0))),Z183,IF(AND(AD183&gt;=설정!$C$7,ISNUMBER(MATCH(N183&amp;"|전체",피어커브!$A:$A,0))),N183&amp;"|전체","전체|전체")))</f>
        <v>아시아/기타|자유 소비재</v>
      </c>
      <c r="AF183" s="93" t="n">
        <f aca="false">IF(AE183="","",INDEX(피어커브!$K:$K,MATCH(AE183,피어커브!$A:$A,0)))</f>
        <v>34.9855900051434</v>
      </c>
      <c r="AG183" s="93" t="n">
        <f aca="false">IF(AE183="","",INDEX(피어커브!$J:$J,MATCH(AE183,피어커브!$A:$A,0)))</f>
        <v>40.0993538941787</v>
      </c>
      <c r="AH183" s="93" t="n">
        <f aca="false">IF(AE183="","",INDEX(피어커브!$L:$L,MATCH(AE183,피어커브!$A:$A,0)))</f>
        <v>20.7149409525972</v>
      </c>
      <c r="AI183" s="93" t="n">
        <f aca="false">IF(AE183="","",AF183+AG183*AA183)</f>
        <v>69.7557593225743</v>
      </c>
      <c r="AJ183" s="96" t="n">
        <f aca="false">IF(AE183="","",E183-AI183)</f>
        <v>-0.890759322574297</v>
      </c>
      <c r="AK183" s="95" t="n">
        <f aca="false">IF(AE183="","",IF(ISNUMBER(AH183),IF(AH183&gt;0,AJ183/AH183,""),""))</f>
        <v>-0.0430008139831369</v>
      </c>
      <c r="AL183" s="43" t="str">
        <f aca="false">IF(AK183="","-",IF(AK183&gt;=설정!$C$6,"Cheap",IF(AK183&lt;=-설정!$C$6,"Rich","Fair")))</f>
        <v>Fair</v>
      </c>
      <c r="AM183" s="96" t="n">
        <f aca="false">IF(AE183="","",AJ183-AVERAGEIFS($AJ$2:$AJ$601,$B$2:$B$601,B183,$Y$2:$Y$601,1))</f>
        <v>-10.0240034570007</v>
      </c>
      <c r="AN183" s="93" t="n">
        <f aca="false">IF(AE183="",0,IF(K183&gt;1+설정!$C$8,AG183*(AA183-LN(K183-1)),0))</f>
        <v>21.8548291007732</v>
      </c>
      <c r="AO183" s="99" t="n">
        <f aca="false">IF($A183="",0,SUMIFS(보유분석!$AA$2:$AA$801,보유분석!$AB$2:$AB$801,ROW(),보유분석!$AC$2:$AC$801,1))</f>
        <v>2.951325</v>
      </c>
      <c r="AP183" s="43" t="str">
        <f aca="false">IF($A183="","",TRIM(IF(R183=1,"FRN ","")&amp;IF(IFERROR(VLOOKUP(M183,설정!$A$15:$D$47,4,0),0)&gt;=10,IF(IFERROR(VLOOKUP(M183,설정!$A$15:$D$47,4,0),0)&lt;99,"BBB0미만 ",""),"")&amp;IF(OR(M183="",M183="NR"),"등급미입력 ","")&amp;IF(C183&lt;&gt;"USD","비USD ","")))</f>
        <v/>
      </c>
      <c r="AQ183" s="90" t="n">
        <f aca="false">IF(AND(Y183=1,AL183="Cheap"),IF(AND(ISERROR(SEARCH("FRN",AP183)),ISERROR(SEARCH("BBB0미만",AP183))),AK183+ROW()/1000000000,-999),-999)</f>
        <v>-999</v>
      </c>
      <c r="AR183" s="92" t="n">
        <f aca="false">IF(AND(ISNUMBER(D183),ISNUMBER(K183)),D183+AN183*MAX(K183-1,0)/100,"")</f>
        <v>5.99059664159067</v>
      </c>
      <c r="AS183" s="93" t="n">
        <f aca="false">IF(AND(ISNUMBER(E183),ISNUMBER(K183)),IF(K183&gt;0,(E183+AN183*MAX(K183-1,0))/K183,""),"")</f>
        <v>41.6070017475072</v>
      </c>
      <c r="AT183" s="90" t="n">
        <f aca="false">IFERROR(IF(AND(Y183=1,ROW()&lt;&gt;스왑분석!$C$12+1,ABS(K183-INDEX($K$2:$K$601,스왑분석!$C$12))&lt;=스왑분석!$C$5,ISERROR(SEARCH("FRN",AP183)),ISERROR(SEARCH("BBB0미만",AP183))),IF(AND(OR(스왑분석!$C$6="N",L183=INDEX($L$2:$L$601,스왑분석!$C$12)),OR(스왑분석!$C$7="N",N183=INDEX($N$2:$N$601,스왑분석!$C$12)),OR(스왑분석!$C$8="N",AO183=0),E183-INDEX($E$2:$E$601,스왑분석!$C$12)&gt;=스왑분석!$C$9),E183-INDEX($E$2:$E$601,스왑분석!$C$12)+ROW()/1000000000,-999),-999),-999)</f>
        <v>20.373000183</v>
      </c>
      <c r="AU183" s="90" t="n">
        <f aca="false">IF(AND(Y183=1,AO183&gt;0,AL183="Rich"),-AK183+ROW()/1000000000,-999)</f>
        <v>-999</v>
      </c>
    </row>
    <row r="184" customFormat="false" ht="15" hidden="false" customHeight="false" outlineLevel="0" collapsed="false">
      <c r="A184" s="83" t="str">
        <f aca="false">IFERROR(IF(INDEX(원자료_시장!$A$1:$BZ$1000,설정!$L$6+ROW()-1,설정!$L$24)&amp;""="0","",INDEX(원자료_시장!$A$1:$BZ$1000,설정!$L$6+ROW()-1,설정!$L$24)),"")</f>
        <v>LGENSO 5 7/8 04/02/36</v>
      </c>
      <c r="B184" s="83" t="str">
        <f aca="false">IFERROR(IF(INDEX(원자료_시장!$A$1:$BZ$1000,설정!$L$6+ROW()-1,설정!$L$37)&amp;""="0","",INDEX(원자료_시장!$A$1:$BZ$1000,설정!$L$6+ROW()-1,설정!$L$37)),"")</f>
        <v>LGENERGYSOLUTION</v>
      </c>
      <c r="C184" s="83" t="str">
        <f aca="false">IFERROR(IF(INDEX(원자료_시장!$A$1:$BZ$1000,설정!$L$6+ROW()-1,설정!$L$25)&amp;""="0","",INDEX(원자료_시장!$A$1:$BZ$1000,설정!$L$6+ROW()-1,설정!$L$25)),"")</f>
        <v>USD</v>
      </c>
      <c r="D184" s="85" t="n">
        <f aca="false">IFERROR(IF(ISNUMBER(INDEX(원자료_시장!$A$1:$BZ$1000,설정!$L$6+ROW()-1,설정!$L$26)),INDEX(원자료_시장!$A$1:$BZ$1000,설정!$L$6+ROW()-1,설정!$L$26),""),"")</f>
        <v>6.622</v>
      </c>
      <c r="E184" s="97" t="n">
        <f aca="false">IFERROR(IF(ISNUMBER(INDEX(원자료_시장!$A$1:$BZ$1000,설정!$L$6+ROW()-1,설정!$L$27)),INDEX(원자료_시장!$A$1:$BZ$1000,설정!$L$6+ROW()-1,설정!$L$27),""),"")</f>
        <v>133.507</v>
      </c>
      <c r="F184" s="97" t="n">
        <f aca="false">IFERROR(IF(ISNUMBER(INDEX(원자료_시장!$A$1:$BZ$1000,설정!$L$6+ROW()-1,설정!$L$28)),INDEX(원자료_시장!$A$1:$BZ$1000,설정!$L$6+ROW()-1,설정!$L$28),""),"")</f>
        <v>179.393</v>
      </c>
      <c r="G184" s="97" t="n">
        <f aca="false">IFERROR(IF(ISNUMBER(INDEX(원자료_시장!$A$1:$BZ$1000,설정!$L$6+ROW()-1,설정!$L$29)),INDEX(원자료_시장!$A$1:$BZ$1000,설정!$L$6+ROW()-1,설정!$L$29),""),"")</f>
        <v>0.2</v>
      </c>
      <c r="H184" s="97" t="n">
        <f aca="false">IFERROR(IF(ISNUMBER(INDEX(원자료_시장!$A$1:$BZ$1000,설정!$L$6+ROW()-1,설정!$L$30)),INDEX(원자료_시장!$A$1:$BZ$1000,설정!$L$6+ROW()-1,설정!$L$30),""),"")</f>
        <v>3.8</v>
      </c>
      <c r="I184" s="97" t="n">
        <f aca="false">IFERROR(IF(ISNUMBER(INDEX(원자료_시장!$A$1:$BZ$1000,설정!$L$6+ROW()-1,설정!$L$31)),INDEX(원자료_시장!$A$1:$BZ$1000,설정!$L$6+ROW()-1,설정!$L$31),""),"")</f>
        <v>0.8</v>
      </c>
      <c r="J184" s="97" t="n">
        <f aca="false">IFERROR(IF(ISNUMBER(INDEX(원자료_시장!$A$1:$BZ$1000,설정!$L$6+ROW()-1,설정!$L$32)),INDEX(원자료_시장!$A$1:$BZ$1000,설정!$L$6+ROW()-1,설정!$L$32),""),"")</f>
        <v>2.4</v>
      </c>
      <c r="K184" s="85" t="n">
        <f aca="false">IFERROR(IF(ISNUMBER(INDEX(원자료_시장!$A$1:$BZ$1000,설정!$L$6+ROW()-1,설정!$L$33)),INDEX(원자료_시장!$A$1:$BZ$1000,설정!$L$6+ROW()-1,설정!$L$33),""),"")</f>
        <v>7.347</v>
      </c>
      <c r="L184" s="83" t="str">
        <f aca="false">IFERROR(IF(INDEX(원자료_시장!$A$1:$BZ$1000,설정!$L$6+ROW()-1,설정!$L$34)&amp;""="0","",INDEX(원자료_시장!$A$1:$BZ$1000,설정!$L$6+ROW()-1,설정!$L$34)),"")</f>
        <v>자유 소비재</v>
      </c>
      <c r="M184" s="83" t="str">
        <f aca="false">IFERROR(IF(INDEX(원자료_시장!$A$1:$BZ$1000,설정!$L$6+ROW()-1,설정!$L$35)&amp;""="0","",INDEX(원자료_시장!$A$1:$BZ$1000,설정!$L$6+ROW()-1,설정!$L$35)),"")</f>
        <v>BBB</v>
      </c>
      <c r="N184" s="83" t="str">
        <f aca="false">IFERROR(IF(INDEX(원자료_시장!$A$1:$BZ$1000,설정!$L$6+ROW()-1,설정!$L$36)&amp;""="0","",INDEX(원자료_시장!$A$1:$BZ$1000,설정!$L$6+ROW()-1,설정!$L$36)),"")</f>
        <v>아시아/기타</v>
      </c>
      <c r="O184" s="43" t="str">
        <f aca="false">IF($A184="","",UPPER(LEFT($A184,FIND(" ",$A184&amp;" ")-1)))</f>
        <v>LGENSO</v>
      </c>
      <c r="P184" s="43" t="str">
        <f aca="false">IF($A184="","",TRIM(RIGHT(SUBSTITUTE(TRIM($A184)," ",REPT(" ",30)),30)))</f>
        <v>04/02/36</v>
      </c>
      <c r="Q184" s="98" t="n">
        <f aca="false">IF($A184="","",IFERROR(DATE(IF(LEN(P184)=8,2000+VALUE(RIGHT(P184,2)),VALUE(RIGHT(P184,4))),VALUE(LEFT(P184,2)),VALUE(MID(P184,4,2))),""))</f>
        <v>49767</v>
      </c>
      <c r="R184" s="89" t="n">
        <f aca="false">IF($A184="",0,IF(ISNUMBER(SEARCH("Float",$A184)),1,0))</f>
        <v>0</v>
      </c>
      <c r="S184" s="43" t="str">
        <f aca="false">IF($A184="","",TRIM(MID($A184,LEN(O184)+2,LEN($A184)-LEN(O184)-LEN(P184)-1)))</f>
        <v>5 7/8</v>
      </c>
      <c r="T184" s="92" t="n">
        <f aca="false">IF(OR($A184="",R184=1),"",IFERROR(IF(ISNUMBER(FIND("/",S184)),IF(ISNUMBER(FIND(" ",S184)),VALUE(LEFT(S184,FIND(" ",S184)-1))+VALUE(MID(S184,FIND(" ",S184)+1,FIND("/",S184)-FIND(" ",S184)-1))/VALUE(MID(S184,FIND("/",S184)+1,9)),VALUE(LEFT(S184,FIND("/",S184)-1))/VALUE(MID(S184,FIND("/",S184)+1,9))),VALUE(S184)),""))</f>
        <v>5.875</v>
      </c>
      <c r="U184" s="43" t="str">
        <f aca="false">IF(OR($A184="",NOT(ISNUMBER(Q184))),"",TEXT(Q184,"yyyymmdd")&amp;"|"&amp;IF(R184=1,"F",TEXT(T184,"0.000")))</f>
        <v>20360402|5.875</v>
      </c>
      <c r="V184" s="43" t="str">
        <f aca="false">IF(U184="","",O184&amp;"|"&amp;U184)</f>
        <v>LGENSO|20360402|5.875</v>
      </c>
      <c r="W184" s="43" t="str">
        <f aca="false">IF($A184="","",IFERROR(IF(VLOOKUP(O184,매핑!$A$4:$E$92,3,0)="","미분류",VLOOKUP(O184,매핑!$A$4:$E$92,3,0)),"미분류"))</f>
        <v>한국</v>
      </c>
      <c r="X184" s="89" t="n">
        <f aca="false">IF($A184="",0,IF(O184="T",1,0))</f>
        <v>0</v>
      </c>
      <c r="Y184" s="89" t="n">
        <f aca="false">IF($A184="",0,IF(AND(C184="USD",X184=0,ISNUMBER(E184),ISNUMBER(K184)),IF(K184&gt;=설정!$C$8,1,0),0))</f>
        <v>1</v>
      </c>
      <c r="Z184" s="43" t="str">
        <f aca="false">IF($A184="","",N184&amp;"|"&amp;L184)</f>
        <v>아시아/기타|자유 소비재</v>
      </c>
      <c r="AA184" s="92" t="n">
        <f aca="false">IF(Y184=1,LN(K184),0)</f>
        <v>1.99429206663814</v>
      </c>
      <c r="AB184" s="93" t="n">
        <f aca="false">IF(Y184=1,E184,0)</f>
        <v>133.507</v>
      </c>
      <c r="AC184" s="89" t="n">
        <f aca="false">IF(Y184=1,COUNTIFS($Z$2:$Z$601,Z184,$Y$2:$Y$601,1),0)</f>
        <v>11</v>
      </c>
      <c r="AD184" s="89" t="n">
        <f aca="false">IF(Y184=1,COUNTIFS($N$2:$N$601,N184,$Y$2:$Y$601,1),0)</f>
        <v>137</v>
      </c>
      <c r="AE184" s="43" t="str">
        <f aca="false">IF(Y184&lt;&gt;1,"",IF(AND(AC184&gt;=설정!$C$7,ISNUMBER(MATCH(Z184,피어커브!$A:$A,0))),Z184,IF(AND(AD184&gt;=설정!$C$7,ISNUMBER(MATCH(N184&amp;"|전체",피어커브!$A:$A,0))),N184&amp;"|전체","전체|전체")))</f>
        <v>아시아/기타|자유 소비재</v>
      </c>
      <c r="AF184" s="93" t="n">
        <f aca="false">IF(AE184="","",INDEX(피어커브!$K:$K,MATCH(AE184,피어커브!$A:$A,0)))</f>
        <v>34.9855900051434</v>
      </c>
      <c r="AG184" s="93" t="n">
        <f aca="false">IF(AE184="","",INDEX(피어커브!$J:$J,MATCH(AE184,피어커브!$A:$A,0)))</f>
        <v>40.0993538941787</v>
      </c>
      <c r="AH184" s="93" t="n">
        <f aca="false">IF(AE184="","",INDEX(피어커브!$L:$L,MATCH(AE184,피어커브!$A:$A,0)))</f>
        <v>20.7149409525972</v>
      </c>
      <c r="AI184" s="93" t="n">
        <f aca="false">IF(AE184="","",AF184+AG184*AA184)</f>
        <v>114.955413353619</v>
      </c>
      <c r="AJ184" s="96" t="n">
        <f aca="false">IF(AE184="","",E184-AI184)</f>
        <v>18.5515866463809</v>
      </c>
      <c r="AK184" s="95" t="n">
        <f aca="false">IF(AE184="","",IF(ISNUMBER(AH184),IF(AH184&gt;0,AJ184/AH184,""),""))</f>
        <v>0.895565509398901</v>
      </c>
      <c r="AL184" s="43" t="str">
        <f aca="false">IF(AK184="","-",IF(AK184&gt;=설정!$C$6,"Cheap",IF(AK184&lt;=-설정!$C$6,"Rich","Fair")))</f>
        <v>Fair</v>
      </c>
      <c r="AM184" s="96" t="n">
        <f aca="false">IF(AE184="","",AJ184-AVERAGEIFS($AJ$2:$AJ$601,$B$2:$B$601,B184,$Y$2:$Y$601,1))</f>
        <v>9.41834251195446</v>
      </c>
      <c r="AN184" s="93" t="n">
        <f aca="false">IF(AE184="",0,IF(K184&gt;1+설정!$C$8,AG184*(AA184-LN(K184-1)),0))</f>
        <v>5.8669287015661</v>
      </c>
      <c r="AO184" s="99" t="n">
        <f aca="false">IF($A184="",0,SUMIFS(보유분석!$AA$2:$AA$801,보유분석!$AB$2:$AB$801,ROW(),보유분석!$AC$2:$AC$801,1))</f>
        <v>6.667696</v>
      </c>
      <c r="AP184" s="43" t="str">
        <f aca="false">IF($A184="","",TRIM(IF(R184=1,"FRN ","")&amp;IF(IFERROR(VLOOKUP(M184,설정!$A$15:$D$47,4,0),0)&gt;=10,IF(IFERROR(VLOOKUP(M184,설정!$A$15:$D$47,4,0),0)&lt;99,"BBB0미만 ",""),"")&amp;IF(OR(M184="",M184="NR"),"등급미입력 ","")&amp;IF(C184&lt;&gt;"USD","비USD ","")))</f>
        <v/>
      </c>
      <c r="AQ184" s="90" t="n">
        <f aca="false">IF(AND(Y184=1,AL184="Cheap"),IF(AND(ISERROR(SEARCH("FRN",AP184)),ISERROR(SEARCH("BBB0미만",AP184))),AK184+ROW()/1000000000,-999),-999)</f>
        <v>-999</v>
      </c>
      <c r="AR184" s="92" t="n">
        <f aca="false">IF(AND(ISNUMBER(D184),ISNUMBER(K184)),D184+AN184*MAX(K184-1,0)/100,"")</f>
        <v>6.9943739646884</v>
      </c>
      <c r="AS184" s="93" t="n">
        <f aca="false">IF(AND(ISNUMBER(E184),ISNUMBER(K184)),IF(K184&gt;0,(E184+AN184*MAX(K184-1,0))/K184,""),"")</f>
        <v>23.2400158525711</v>
      </c>
      <c r="AT184" s="90" t="n">
        <f aca="false">IFERROR(IF(AND(Y184=1,ROW()&lt;&gt;스왑분석!$C$12+1,ABS(K184-INDEX($K$2:$K$601,스왑분석!$C$12))&lt;=스왑분석!$C$5,ISERROR(SEARCH("FRN",AP184)),ISERROR(SEARCH("BBB0미만",AP184))),IF(AND(OR(스왑분석!$C$6="N",L184=INDEX($L$2:$L$601,스왑분석!$C$12)),OR(스왑분석!$C$7="N",N184=INDEX($N$2:$N$601,스왑분석!$C$12)),OR(스왑분석!$C$8="N",AO184=0),E184-INDEX($E$2:$E$601,스왑분석!$C$12)&gt;=스왑분석!$C$9),E184-INDEX($E$2:$E$601,스왑분석!$C$12)+ROW()/1000000000,-999),-999),-999)</f>
        <v>-999</v>
      </c>
      <c r="AU184" s="90" t="n">
        <f aca="false">IF(AND(Y184=1,AO184&gt;0,AL184="Rich"),-AK184+ROW()/1000000000,-999)</f>
        <v>-999</v>
      </c>
    </row>
    <row r="185" customFormat="false" ht="15" hidden="false" customHeight="false" outlineLevel="0" collapsed="false">
      <c r="A185" s="83" t="str">
        <f aca="false">IFERROR(IF(INDEX(원자료_시장!$A$1:$BZ$1000,설정!$L$6+ROW()-1,설정!$L$24)&amp;""="0","",INDEX(원자료_시장!$A$1:$BZ$1000,설정!$L$6+ROW()-1,설정!$L$24)),"")</f>
        <v>LGELEC 5 5/8 04/24/29</v>
      </c>
      <c r="B185" s="83" t="str">
        <f aca="false">IFERROR(IF(INDEX(원자료_시장!$A$1:$BZ$1000,설정!$L$6+ROW()-1,설정!$L$37)&amp;""="0","",INDEX(원자료_시장!$A$1:$BZ$1000,설정!$L$6+ROW()-1,설정!$L$37)),"")</f>
        <v>LG ELECTRONICS INC</v>
      </c>
      <c r="C185" s="83" t="str">
        <f aca="false">IFERROR(IF(INDEX(원자료_시장!$A$1:$BZ$1000,설정!$L$6+ROW()-1,설정!$L$25)&amp;""="0","",INDEX(원자료_시장!$A$1:$BZ$1000,설정!$L$6+ROW()-1,설정!$L$25)),"")</f>
        <v>USD</v>
      </c>
      <c r="D185" s="85" t="n">
        <f aca="false">IFERROR(IF(ISNUMBER(INDEX(원자료_시장!$A$1:$BZ$1000,설정!$L$6+ROW()-1,설정!$L$26)),INDEX(원자료_시장!$A$1:$BZ$1000,설정!$L$6+ROW()-1,설정!$L$26),""),"")</f>
        <v>5.497</v>
      </c>
      <c r="E185" s="97" t="n">
        <f aca="false">IFERROR(IF(ISNUMBER(INDEX(원자료_시장!$A$1:$BZ$1000,설정!$L$6+ROW()-1,설정!$L$27)),INDEX(원자료_시장!$A$1:$BZ$1000,설정!$L$6+ROW()-1,설정!$L$27),""),"")</f>
        <v>49.669</v>
      </c>
      <c r="F185" s="97" t="n">
        <f aca="false">IFERROR(IF(ISNUMBER(INDEX(원자료_시장!$A$1:$BZ$1000,설정!$L$6+ROW()-1,설정!$L$28)),INDEX(원자료_시장!$A$1:$BZ$1000,설정!$L$6+ROW()-1,설정!$L$28),""),"")</f>
        <v>78.035</v>
      </c>
      <c r="G185" s="97" t="n">
        <f aca="false">IFERROR(IF(ISNUMBER(INDEX(원자료_시장!$A$1:$BZ$1000,설정!$L$6+ROW()-1,설정!$L$29)),INDEX(원자료_시장!$A$1:$BZ$1000,설정!$L$6+ROW()-1,설정!$L$29),""),"")</f>
        <v>-1.6</v>
      </c>
      <c r="H185" s="97" t="n">
        <f aca="false">IFERROR(IF(ISNUMBER(INDEX(원자료_시장!$A$1:$BZ$1000,설정!$L$6+ROW()-1,설정!$L$30)),INDEX(원자료_시장!$A$1:$BZ$1000,설정!$L$6+ROW()-1,설정!$L$30),""),"")</f>
        <v>8.6</v>
      </c>
      <c r="I185" s="97" t="n">
        <f aca="false">IFERROR(IF(ISNUMBER(INDEX(원자료_시장!$A$1:$BZ$1000,설정!$L$6+ROW()-1,설정!$L$31)),INDEX(원자료_시장!$A$1:$BZ$1000,설정!$L$6+ROW()-1,설정!$L$31),""),"")</f>
        <v>-0.4</v>
      </c>
      <c r="J185" s="97" t="n">
        <f aca="false">IFERROR(IF(ISNUMBER(INDEX(원자료_시장!$A$1:$BZ$1000,설정!$L$6+ROW()-1,설정!$L$32)),INDEX(원자료_시장!$A$1:$BZ$1000,설정!$L$6+ROW()-1,설정!$L$32),""),"")</f>
        <v>-7.8</v>
      </c>
      <c r="K185" s="85" t="n">
        <f aca="false">IFERROR(IF(ISNUMBER(INDEX(원자료_시장!$A$1:$BZ$1000,설정!$L$6+ROW()-1,설정!$L$33)),INDEX(원자료_시장!$A$1:$BZ$1000,설정!$L$6+ROW()-1,설정!$L$33),""),"")</f>
        <v>2.364</v>
      </c>
      <c r="L185" s="83" t="str">
        <f aca="false">IFERROR(IF(INDEX(원자료_시장!$A$1:$BZ$1000,설정!$L$6+ROW()-1,설정!$L$34)&amp;""="0","",INDEX(원자료_시장!$A$1:$BZ$1000,설정!$L$6+ROW()-1,설정!$L$34)),"")</f>
        <v>기술</v>
      </c>
      <c r="M185" s="83" t="str">
        <f aca="false">IFERROR(IF(INDEX(원자료_시장!$A$1:$BZ$1000,설정!$L$6+ROW()-1,설정!$L$35)&amp;""="0","",INDEX(원자료_시장!$A$1:$BZ$1000,설정!$L$6+ROW()-1,설정!$L$35)),"")</f>
        <v>BBB+</v>
      </c>
      <c r="N185" s="83" t="str">
        <f aca="false">IFERROR(IF(INDEX(원자료_시장!$A$1:$BZ$1000,설정!$L$6+ROW()-1,설정!$L$36)&amp;""="0","",INDEX(원자료_시장!$A$1:$BZ$1000,설정!$L$6+ROW()-1,설정!$L$36)),"")</f>
        <v>아시아/기타</v>
      </c>
      <c r="O185" s="43" t="str">
        <f aca="false">IF($A185="","",UPPER(LEFT($A185,FIND(" ",$A185&amp;" ")-1)))</f>
        <v>LGELEC</v>
      </c>
      <c r="P185" s="43" t="str">
        <f aca="false">IF($A185="","",TRIM(RIGHT(SUBSTITUTE(TRIM($A185)," ",REPT(" ",30)),30)))</f>
        <v>04/24/29</v>
      </c>
      <c r="Q185" s="98" t="n">
        <f aca="false">IF($A185="","",IFERROR(DATE(IF(LEN(P185)=8,2000+VALUE(RIGHT(P185,2)),VALUE(RIGHT(P185,4))),VALUE(LEFT(P185,2)),VALUE(MID(P185,4,2))),""))</f>
        <v>47232</v>
      </c>
      <c r="R185" s="89" t="n">
        <f aca="false">IF($A185="",0,IF(ISNUMBER(SEARCH("Float",$A185)),1,0))</f>
        <v>0</v>
      </c>
      <c r="S185" s="43" t="str">
        <f aca="false">IF($A185="","",TRIM(MID($A185,LEN(O185)+2,LEN($A185)-LEN(O185)-LEN(P185)-1)))</f>
        <v>5 5/8</v>
      </c>
      <c r="T185" s="92" t="n">
        <f aca="false">IF(OR($A185="",R185=1),"",IFERROR(IF(ISNUMBER(FIND("/",S185)),IF(ISNUMBER(FIND(" ",S185)),VALUE(LEFT(S185,FIND(" ",S185)-1))+VALUE(MID(S185,FIND(" ",S185)+1,FIND("/",S185)-FIND(" ",S185)-1))/VALUE(MID(S185,FIND("/",S185)+1,9)),VALUE(LEFT(S185,FIND("/",S185)-1))/VALUE(MID(S185,FIND("/",S185)+1,9))),VALUE(S185)),""))</f>
        <v>5.625</v>
      </c>
      <c r="U185" s="43" t="str">
        <f aca="false">IF(OR($A185="",NOT(ISNUMBER(Q185))),"",TEXT(Q185,"yyyymmdd")&amp;"|"&amp;IF(R185=1,"F",TEXT(T185,"0.000")))</f>
        <v>20290424|5.625</v>
      </c>
      <c r="V185" s="43" t="str">
        <f aca="false">IF(U185="","",O185&amp;"|"&amp;U185)</f>
        <v>LGELEC|20290424|5.625</v>
      </c>
      <c r="W185" s="43" t="str">
        <f aca="false">IF($A185="","",IFERROR(IF(VLOOKUP(O185,매핑!$A$4:$E$92,3,0)="","미분류",VLOOKUP(O185,매핑!$A$4:$E$92,3,0)),"미분류"))</f>
        <v>한국</v>
      </c>
      <c r="X185" s="89" t="n">
        <f aca="false">IF($A185="",0,IF(O185="T",1,0))</f>
        <v>0</v>
      </c>
      <c r="Y185" s="89" t="n">
        <f aca="false">IF($A185="",0,IF(AND(C185="USD",X185=0,ISNUMBER(E185),ISNUMBER(K185)),IF(K185&gt;=설정!$C$8,1,0),0))</f>
        <v>1</v>
      </c>
      <c r="Z185" s="43" t="str">
        <f aca="false">IF($A185="","",N185&amp;"|"&amp;L185)</f>
        <v>아시아/기타|기술</v>
      </c>
      <c r="AA185" s="92" t="n">
        <f aca="false">IF(Y185=1,LN(K185),0)</f>
        <v>0.860355099543852</v>
      </c>
      <c r="AB185" s="93" t="n">
        <f aca="false">IF(Y185=1,E185,0)</f>
        <v>49.669</v>
      </c>
      <c r="AC185" s="89" t="n">
        <f aca="false">IF(Y185=1,COUNTIFS($Z$2:$Z$601,Z185,$Y$2:$Y$601,1),0)</f>
        <v>7</v>
      </c>
      <c r="AD185" s="89" t="n">
        <f aca="false">IF(Y185=1,COUNTIFS($N$2:$N$601,N185,$Y$2:$Y$601,1),0)</f>
        <v>137</v>
      </c>
      <c r="AE185" s="43" t="str">
        <f aca="false">IF(Y185&lt;&gt;1,"",IF(AND(AC185&gt;=설정!$C$7,ISNUMBER(MATCH(Z185,피어커브!$A:$A,0))),Z185,IF(AND(AD185&gt;=설정!$C$7,ISNUMBER(MATCH(N185&amp;"|전체",피어커브!$A:$A,0))),N185&amp;"|전체","전체|전체")))</f>
        <v>아시아/기타|기술</v>
      </c>
      <c r="AF185" s="93" t="n">
        <f aca="false">IF(AE185="","",INDEX(피어커브!$K:$K,MATCH(AE185,피어커브!$A:$A,0)))</f>
        <v>33.1360264866164</v>
      </c>
      <c r="AG185" s="93" t="n">
        <f aca="false">IF(AE185="","",INDEX(피어커브!$J:$J,MATCH(AE185,피어커브!$A:$A,0)))</f>
        <v>19.8158560572205</v>
      </c>
      <c r="AH185" s="93" t="n">
        <f aca="false">IF(AE185="","",INDEX(피어커브!$L:$L,MATCH(AE185,피어커브!$A:$A,0)))</f>
        <v>2.69002159334222</v>
      </c>
      <c r="AI185" s="93" t="n">
        <f aca="false">IF(AE185="","",AF185+AG185*AA185)</f>
        <v>50.184699297273</v>
      </c>
      <c r="AJ185" s="96" t="n">
        <f aca="false">IF(AE185="","",E185-AI185)</f>
        <v>-0.51569929727296</v>
      </c>
      <c r="AK185" s="95" t="n">
        <f aca="false">IF(AE185="","",IF(ISNUMBER(AH185),IF(AH185&gt;0,AJ185/AH185,""),""))</f>
        <v>-0.191708237045126</v>
      </c>
      <c r="AL185" s="43" t="str">
        <f aca="false">IF(AK185="","-",IF(AK185&gt;=설정!$C$6,"Cheap",IF(AK185&lt;=-설정!$C$6,"Rich","Fair")))</f>
        <v>Fair</v>
      </c>
      <c r="AM185" s="96" t="n">
        <f aca="false">IF(AE185="","",AJ185-AVERAGEIFS($AJ$2:$AJ$601,$B$2:$B$601,B185,$Y$2:$Y$601,1))</f>
        <v>0</v>
      </c>
      <c r="AN185" s="93" t="n">
        <f aca="false">IF(AE185="",0,IF(K185&gt;1+설정!$C$8,AG185*(AA185-LN(K185-1)),0))</f>
        <v>10.8974038721068</v>
      </c>
      <c r="AO185" s="99" t="n">
        <f aca="false">IF($A185="",0,SUMIFS(보유분석!$AA$2:$AA$801,보유분석!$AB$2:$AB$801,ROW(),보유분석!$AC$2:$AC$801,1))</f>
        <v>18.043902</v>
      </c>
      <c r="AP185" s="43" t="str">
        <f aca="false">IF($A185="","",TRIM(IF(R185=1,"FRN ","")&amp;IF(IFERROR(VLOOKUP(M185,설정!$A$15:$D$47,4,0),0)&gt;=10,IF(IFERROR(VLOOKUP(M185,설정!$A$15:$D$47,4,0),0)&lt;99,"BBB0미만 ",""),"")&amp;IF(OR(M185="",M185="NR"),"등급미입력 ","")&amp;IF(C185&lt;&gt;"USD","비USD ","")))</f>
        <v/>
      </c>
      <c r="AQ185" s="90" t="n">
        <f aca="false">IF(AND(Y185=1,AL185="Cheap"),IF(AND(ISERROR(SEARCH("FRN",AP185)),ISERROR(SEARCH("BBB0미만",AP185))),AK185+ROW()/1000000000,-999),-999)</f>
        <v>-999</v>
      </c>
      <c r="AR185" s="92" t="n">
        <f aca="false">IF(AND(ISNUMBER(D185),ISNUMBER(K185)),D185+AN185*MAX(K185-1,0)/100,"")</f>
        <v>5.64564058881554</v>
      </c>
      <c r="AS185" s="93" t="n">
        <f aca="false">IF(AND(ISNUMBER(E185),ISNUMBER(K185)),IF(K185&gt;0,(E185+AN185*MAX(K185-1,0))/K185,""),"")</f>
        <v>27.2982482578484</v>
      </c>
      <c r="AT185" s="90" t="n">
        <f aca="false">IFERROR(IF(AND(Y185=1,ROW()&lt;&gt;스왑분석!$C$12+1,ABS(K185-INDEX($K$2:$K$601,스왑분석!$C$12))&lt;=스왑분석!$C$5,ISERROR(SEARCH("FRN",AP185)),ISERROR(SEARCH("BBB0미만",AP185))),IF(AND(OR(스왑분석!$C$6="N",L185=INDEX($L$2:$L$601,스왑분석!$C$12)),OR(스왑분석!$C$7="N",N185=INDEX($N$2:$N$601,스왑분석!$C$12)),OR(스왑분석!$C$8="N",AO185=0),E185-INDEX($E$2:$E$601,스왑분석!$C$12)&gt;=스왑분석!$C$9),E185-INDEX($E$2:$E$601,스왑분석!$C$12)+ROW()/1000000000,-999),-999),-999)</f>
        <v>1.177000185</v>
      </c>
      <c r="AU185" s="90" t="n">
        <f aca="false">IF(AND(Y185=1,AO185&gt;0,AL185="Rich"),-AK185+ROW()/1000000000,-999)</f>
        <v>-999</v>
      </c>
    </row>
    <row r="186" customFormat="false" ht="15" hidden="false" customHeight="false" outlineLevel="0" collapsed="false">
      <c r="A186" s="83" t="str">
        <f aca="false">IFERROR(IF(INDEX(원자료_시장!$A$1:$BZ$1000,설정!$L$6+ROW()-1,설정!$L$24)&amp;""="0","",INDEX(원자료_시장!$A$1:$BZ$1000,설정!$L$6+ROW()-1,설정!$L$24)),"")</f>
        <v>NACF Float 07/22/27</v>
      </c>
      <c r="B186" s="83" t="str">
        <f aca="false">IFERROR(IF(INDEX(원자료_시장!$A$1:$BZ$1000,설정!$L$6+ROW()-1,설정!$L$37)&amp;""="0","",INDEX(원자료_시장!$A$1:$BZ$1000,설정!$L$6+ROW()-1,설정!$L$37)),"")</f>
        <v>NONGHYUP BANK</v>
      </c>
      <c r="C186" s="83" t="str">
        <f aca="false">IFERROR(IF(INDEX(원자료_시장!$A$1:$BZ$1000,설정!$L$6+ROW()-1,설정!$L$25)&amp;""="0","",INDEX(원자료_시장!$A$1:$BZ$1000,설정!$L$6+ROW()-1,설정!$L$25)),"")</f>
        <v>USD</v>
      </c>
      <c r="D186" s="85" t="n">
        <f aca="false">IFERROR(IF(ISNUMBER(INDEX(원자료_시장!$A$1:$BZ$1000,설정!$L$6+ROW()-1,설정!$L$26)),INDEX(원자료_시장!$A$1:$BZ$1000,설정!$L$6+ROW()-1,설정!$L$26),""),"")</f>
        <v>4.32</v>
      </c>
      <c r="E186" s="97" t="str">
        <f aca="false">IFERROR(IF(ISNUMBER(INDEX(원자료_시장!$A$1:$BZ$1000,설정!$L$6+ROW()-1,설정!$L$27)),INDEX(원자료_시장!$A$1:$BZ$1000,설정!$L$6+ROW()-1,설정!$L$27),""),"")</f>
        <v/>
      </c>
      <c r="F186" s="97" t="str">
        <f aca="false">IFERROR(IF(ISNUMBER(INDEX(원자료_시장!$A$1:$BZ$1000,설정!$L$6+ROW()-1,설정!$L$28)),INDEX(원자료_시장!$A$1:$BZ$1000,설정!$L$6+ROW()-1,설정!$L$28),""),"")</f>
        <v/>
      </c>
      <c r="G186" s="97" t="n">
        <f aca="false">IFERROR(IF(ISNUMBER(INDEX(원자료_시장!$A$1:$BZ$1000,설정!$L$6+ROW()-1,설정!$L$29)),INDEX(원자료_시장!$A$1:$BZ$1000,설정!$L$6+ROW()-1,설정!$L$29),""),"")</f>
        <v>-2.7</v>
      </c>
      <c r="H186" s="97" t="n">
        <f aca="false">IFERROR(IF(ISNUMBER(INDEX(원자료_시장!$A$1:$BZ$1000,설정!$L$6+ROW()-1,설정!$L$30)),INDEX(원자료_시장!$A$1:$BZ$1000,설정!$L$6+ROW()-1,설정!$L$30),""),"")</f>
        <v>-1.6</v>
      </c>
      <c r="I186" s="97" t="n">
        <f aca="false">IFERROR(IF(ISNUMBER(INDEX(원자료_시장!$A$1:$BZ$1000,설정!$L$6+ROW()-1,설정!$L$31)),INDEX(원자료_시장!$A$1:$BZ$1000,설정!$L$6+ROW()-1,설정!$L$31),""),"")</f>
        <v>-12.4</v>
      </c>
      <c r="J186" s="97" t="n">
        <f aca="false">IFERROR(IF(ISNUMBER(INDEX(원자료_시장!$A$1:$BZ$1000,설정!$L$6+ROW()-1,설정!$L$32)),INDEX(원자료_시장!$A$1:$BZ$1000,설정!$L$6+ROW()-1,설정!$L$32),""),"")</f>
        <v>-27.3</v>
      </c>
      <c r="K186" s="85" t="n">
        <f aca="false">IFERROR(IF(ISNUMBER(INDEX(원자료_시장!$A$1:$BZ$1000,설정!$L$6+ROW()-1,설정!$L$33)),INDEX(원자료_시장!$A$1:$BZ$1000,설정!$L$6+ROW()-1,설정!$L$33),""),"")</f>
        <v>0.008</v>
      </c>
      <c r="L186" s="83" t="str">
        <f aca="false">IFERROR(IF(INDEX(원자료_시장!$A$1:$BZ$1000,설정!$L$6+ROW()-1,설정!$L$34)&amp;""="0","",INDEX(원자료_시장!$A$1:$BZ$1000,설정!$L$6+ROW()-1,설정!$L$34)),"")</f>
        <v>금융기관</v>
      </c>
      <c r="M186" s="83" t="str">
        <f aca="false">IFERROR(IF(INDEX(원자료_시장!$A$1:$BZ$1000,설정!$L$6+ROW()-1,설정!$L$35)&amp;""="0","",INDEX(원자료_시장!$A$1:$BZ$1000,설정!$L$6+ROW()-1,설정!$L$35)),"")</f>
        <v>A+</v>
      </c>
      <c r="N186" s="83" t="str">
        <f aca="false">IFERROR(IF(INDEX(원자료_시장!$A$1:$BZ$1000,설정!$L$6+ROW()-1,설정!$L$36)&amp;""="0","",INDEX(원자료_시장!$A$1:$BZ$1000,설정!$L$6+ROW()-1,설정!$L$36)),"")</f>
        <v>아시아/기타</v>
      </c>
      <c r="O186" s="43" t="str">
        <f aca="false">IF($A186="","",UPPER(LEFT($A186,FIND(" ",$A186&amp;" ")-1)))</f>
        <v>NACF</v>
      </c>
      <c r="P186" s="43" t="str">
        <f aca="false">IF($A186="","",TRIM(RIGHT(SUBSTITUTE(TRIM($A186)," ",REPT(" ",30)),30)))</f>
        <v>07/22/27</v>
      </c>
      <c r="Q186" s="98" t="n">
        <f aca="false">IF($A186="","",IFERROR(DATE(IF(LEN(P186)=8,2000+VALUE(RIGHT(P186,2)),VALUE(RIGHT(P186,4))),VALUE(LEFT(P186,2)),VALUE(MID(P186,4,2))),""))</f>
        <v>46590</v>
      </c>
      <c r="R186" s="89" t="n">
        <f aca="false">IF($A186="",0,IF(ISNUMBER(SEARCH("Float",$A186)),1,0))</f>
        <v>1</v>
      </c>
      <c r="S186" s="43" t="str">
        <f aca="false">IF($A186="","",TRIM(MID($A186,LEN(O186)+2,LEN($A186)-LEN(O186)-LEN(P186)-1)))</f>
        <v>Float</v>
      </c>
      <c r="T186" s="92" t="str">
        <f aca="false">IF(OR($A186="",R186=1),"",IFERROR(IF(ISNUMBER(FIND("/",S186)),IF(ISNUMBER(FIND(" ",S186)),VALUE(LEFT(S186,FIND(" ",S186)-1))+VALUE(MID(S186,FIND(" ",S186)+1,FIND("/",S186)-FIND(" ",S186)-1))/VALUE(MID(S186,FIND("/",S186)+1,9)),VALUE(LEFT(S186,FIND("/",S186)-1))/VALUE(MID(S186,FIND("/",S186)+1,9))),VALUE(S186)),""))</f>
        <v/>
      </c>
      <c r="U186" s="43" t="str">
        <f aca="false">IF(OR($A186="",NOT(ISNUMBER(Q186))),"",TEXT(Q186,"yyyymmdd")&amp;"|"&amp;IF(R186=1,"F",TEXT(T186,"0.000")))</f>
        <v>20270722|F</v>
      </c>
      <c r="V186" s="43" t="str">
        <f aca="false">IF(U186="","",O186&amp;"|"&amp;U186)</f>
        <v>NACF|20270722|F</v>
      </c>
      <c r="W186" s="43" t="str">
        <f aca="false">IF($A186="","",IFERROR(IF(VLOOKUP(O186,매핑!$A$4:$E$92,3,0)="","미분류",VLOOKUP(O186,매핑!$A$4:$E$92,3,0)),"미분류"))</f>
        <v>한국</v>
      </c>
      <c r="X186" s="89" t="n">
        <f aca="false">IF($A186="",0,IF(O186="T",1,0))</f>
        <v>0</v>
      </c>
      <c r="Y186" s="89" t="n">
        <f aca="false">IF($A186="",0,IF(AND(C186="USD",X186=0,ISNUMBER(E186),ISNUMBER(K186)),IF(K186&gt;=설정!$C$8,1,0),0))</f>
        <v>0</v>
      </c>
      <c r="Z186" s="43" t="str">
        <f aca="false">IF($A186="","",N186&amp;"|"&amp;L186)</f>
        <v>아시아/기타|금융기관</v>
      </c>
      <c r="AA186" s="92" t="n">
        <f aca="false">IF(Y186=1,LN(K186),0)</f>
        <v>0</v>
      </c>
      <c r="AB186" s="93" t="n">
        <f aca="false">IF(Y186=1,E186,0)</f>
        <v>0</v>
      </c>
      <c r="AC186" s="89" t="n">
        <f aca="false">IF(Y186=1,COUNTIFS($Z$2:$Z$601,Z186,$Y$2:$Y$601,1),0)</f>
        <v>0</v>
      </c>
      <c r="AD186" s="89" t="n">
        <f aca="false">IF(Y186=1,COUNTIFS($N$2:$N$601,N186,$Y$2:$Y$601,1),0)</f>
        <v>0</v>
      </c>
      <c r="AE186" s="43" t="str">
        <f aca="false">IF(Y186&lt;&gt;1,"",IF(AND(AC186&gt;=설정!$C$7,ISNUMBER(MATCH(Z186,피어커브!$A:$A,0))),Z186,IF(AND(AD186&gt;=설정!$C$7,ISNUMBER(MATCH(N186&amp;"|전체",피어커브!$A:$A,0))),N186&amp;"|전체","전체|전체")))</f>
        <v/>
      </c>
      <c r="AF186" s="93" t="str">
        <f aca="false">IF(AE186="","",INDEX(피어커브!$K:$K,MATCH(AE186,피어커브!$A:$A,0)))</f>
        <v/>
      </c>
      <c r="AG186" s="93" t="str">
        <f aca="false">IF(AE186="","",INDEX(피어커브!$J:$J,MATCH(AE186,피어커브!$A:$A,0)))</f>
        <v/>
      </c>
      <c r="AH186" s="93" t="str">
        <f aca="false">IF(AE186="","",INDEX(피어커브!$L:$L,MATCH(AE186,피어커브!$A:$A,0)))</f>
        <v/>
      </c>
      <c r="AI186" s="93" t="str">
        <f aca="false">IF(AE186="","",AF186+AG186*AA186)</f>
        <v/>
      </c>
      <c r="AJ186" s="96" t="str">
        <f aca="false">IF(AE186="","",E186-AI186)</f>
        <v/>
      </c>
      <c r="AK186" s="95" t="str">
        <f aca="false">IF(AE186="","",IF(ISNUMBER(AH186),IF(AH186&gt;0,AJ186/AH186,""),""))</f>
        <v/>
      </c>
      <c r="AL186" s="43" t="str">
        <f aca="false">IF(AK186="","-",IF(AK186&gt;=설정!$C$6,"Cheap",IF(AK186&lt;=-설정!$C$6,"Rich","Fair")))</f>
        <v>-</v>
      </c>
      <c r="AM186" s="96" t="str">
        <f aca="false">IF(AE186="","",AJ186-AVERAGEIFS($AJ$2:$AJ$601,$B$2:$B$601,B186,$Y$2:$Y$601,1))</f>
        <v/>
      </c>
      <c r="AN186" s="93" t="n">
        <f aca="false">IF(AE186="",0,IF(K186&gt;1+설정!$C$8,AG186*(AA186-LN(K186-1)),0))</f>
        <v>0</v>
      </c>
      <c r="AO186" s="99" t="n">
        <f aca="false">IF($A186="",0,SUMIFS(보유분석!$AA$2:$AA$801,보유분석!$AB$2:$AB$801,ROW(),보유분석!$AC$2:$AC$801,1))</f>
        <v>0</v>
      </c>
      <c r="AP186" s="43" t="str">
        <f aca="false">IF($A186="","",TRIM(IF(R186=1,"FRN ","")&amp;IF(IFERROR(VLOOKUP(M186,설정!$A$15:$D$47,4,0),0)&gt;=10,IF(IFERROR(VLOOKUP(M186,설정!$A$15:$D$47,4,0),0)&lt;99,"BBB0미만 ",""),"")&amp;IF(OR(M186="",M186="NR"),"등급미입력 ","")&amp;IF(C186&lt;&gt;"USD","비USD ","")))</f>
        <v>FRN</v>
      </c>
      <c r="AQ186" s="90" t="n">
        <f aca="false">IF(AND(Y186=1,AL186="Cheap"),IF(AND(ISERROR(SEARCH("FRN",AP186)),ISERROR(SEARCH("BBB0미만",AP186))),AK186+ROW()/1000000000,-999),-999)</f>
        <v>-999</v>
      </c>
      <c r="AR186" s="92" t="n">
        <f aca="false">IF(AND(ISNUMBER(D186),ISNUMBER(K186)),D186+AN186*MAX(K186-1,0)/100,"")</f>
        <v>4.32</v>
      </c>
      <c r="AS186" s="93" t="str">
        <f aca="false">IF(AND(ISNUMBER(E186),ISNUMBER(K186)),IF(K186&gt;0,(E186+AN186*MAX(K186-1,0))/K186,""),"")</f>
        <v/>
      </c>
      <c r="AT186" s="90" t="n">
        <f aca="false">IFERROR(IF(AND(Y186=1,ROW()&lt;&gt;스왑분석!$C$12+1,ABS(K186-INDEX($K$2:$K$601,스왑분석!$C$12))&lt;=스왑분석!$C$5,ISERROR(SEARCH("FRN",AP186)),ISERROR(SEARCH("BBB0미만",AP186))),IF(AND(OR(스왑분석!$C$6="N",L186=INDEX($L$2:$L$601,스왑분석!$C$12)),OR(스왑분석!$C$7="N",N186=INDEX($N$2:$N$601,스왑분석!$C$12)),OR(스왑분석!$C$8="N",AO186=0),E186-INDEX($E$2:$E$601,스왑분석!$C$12)&gt;=스왑분석!$C$9),E186-INDEX($E$2:$E$601,스왑분석!$C$12)+ROW()/1000000000,-999),-999),-999)</f>
        <v>-999</v>
      </c>
      <c r="AU186" s="90" t="n">
        <f aca="false">IF(AND(Y186=1,AO186&gt;0,AL186="Rich"),-AK186+ROW()/1000000000,-999)</f>
        <v>-999</v>
      </c>
    </row>
    <row r="187" customFormat="false" ht="15" hidden="false" customHeight="false" outlineLevel="0" collapsed="false">
      <c r="A187" s="83" t="str">
        <f aca="false">IFERROR(IF(INDEX(원자료_시장!$A$1:$BZ$1000,설정!$L$6+ROW()-1,설정!$L$24)&amp;""="0","",INDEX(원자료_시장!$A$1:$BZ$1000,설정!$L$6+ROW()-1,설정!$L$24)),"")</f>
        <v>NACF 4 3/4 07/22/29</v>
      </c>
      <c r="B187" s="83" t="str">
        <f aca="false">IFERROR(IF(INDEX(원자료_시장!$A$1:$BZ$1000,설정!$L$6+ROW()-1,설정!$L$37)&amp;""="0","",INDEX(원자료_시장!$A$1:$BZ$1000,설정!$L$6+ROW()-1,설정!$L$37)),"")</f>
        <v>NONGHYUP BANK</v>
      </c>
      <c r="C187" s="83" t="str">
        <f aca="false">IFERROR(IF(INDEX(원자료_시장!$A$1:$BZ$1000,설정!$L$6+ROW()-1,설정!$L$25)&amp;""="0","",INDEX(원자료_시장!$A$1:$BZ$1000,설정!$L$6+ROW()-1,설정!$L$25)),"")</f>
        <v>USD</v>
      </c>
      <c r="D187" s="85" t="n">
        <f aca="false">IFERROR(IF(ISNUMBER(INDEX(원자료_시장!$A$1:$BZ$1000,설정!$L$6+ROW()-1,설정!$L$26)),INDEX(원자료_시장!$A$1:$BZ$1000,설정!$L$6+ROW()-1,설정!$L$26),""),"")</f>
        <v>5.277</v>
      </c>
      <c r="E187" s="97" t="n">
        <f aca="false">IFERROR(IF(ISNUMBER(INDEX(원자료_시장!$A$1:$BZ$1000,설정!$L$6+ROW()-1,설정!$L$27)),INDEX(원자료_시장!$A$1:$BZ$1000,설정!$L$6+ROW()-1,설정!$L$27),""),"")</f>
        <v>27.633</v>
      </c>
      <c r="F187" s="97" t="n">
        <f aca="false">IFERROR(IF(ISNUMBER(INDEX(원자료_시장!$A$1:$BZ$1000,설정!$L$6+ROW()-1,설정!$L$28)),INDEX(원자료_시장!$A$1:$BZ$1000,설정!$L$6+ROW()-1,설정!$L$28),""),"")</f>
        <v>54.91</v>
      </c>
      <c r="G187" s="97" t="n">
        <f aca="false">IFERROR(IF(ISNUMBER(INDEX(원자료_시장!$A$1:$BZ$1000,설정!$L$6+ROW()-1,설정!$L$29)),INDEX(원자료_시장!$A$1:$BZ$1000,설정!$L$6+ROW()-1,설정!$L$29),""),"")</f>
        <v>-1.1</v>
      </c>
      <c r="H187" s="97" t="n">
        <f aca="false">IFERROR(IF(ISNUMBER(INDEX(원자료_시장!$A$1:$BZ$1000,설정!$L$6+ROW()-1,설정!$L$30)),INDEX(원자료_시장!$A$1:$BZ$1000,설정!$L$6+ROW()-1,설정!$L$30),""),"")</f>
        <v>0.1</v>
      </c>
      <c r="I187" s="97" t="n">
        <f aca="false">IFERROR(IF(ISNUMBER(INDEX(원자료_시장!$A$1:$BZ$1000,설정!$L$6+ROW()-1,설정!$L$31)),INDEX(원자료_시장!$A$1:$BZ$1000,설정!$L$6+ROW()-1,설정!$L$31),""),"")</f>
        <v>-4.4</v>
      </c>
      <c r="J187" s="97" t="n">
        <f aca="false">IFERROR(IF(ISNUMBER(INDEX(원자료_시장!$A$1:$BZ$1000,설정!$L$6+ROW()-1,설정!$L$32)),INDEX(원자료_시장!$A$1:$BZ$1000,설정!$L$6+ROW()-1,설정!$L$32),""),"")</f>
        <v>-11.4</v>
      </c>
      <c r="K187" s="85" t="n">
        <f aca="false">IFERROR(IF(ISNUMBER(INDEX(원자료_시장!$A$1:$BZ$1000,설정!$L$6+ROW()-1,설정!$L$33)),INDEX(원자료_시장!$A$1:$BZ$1000,설정!$L$6+ROW()-1,설정!$L$33),""),"")</f>
        <v>2.635</v>
      </c>
      <c r="L187" s="83" t="str">
        <f aca="false">IFERROR(IF(INDEX(원자료_시장!$A$1:$BZ$1000,설정!$L$6+ROW()-1,설정!$L$34)&amp;""="0","",INDEX(원자료_시장!$A$1:$BZ$1000,설정!$L$6+ROW()-1,설정!$L$34)),"")</f>
        <v>금융기관</v>
      </c>
      <c r="M187" s="83" t="str">
        <f aca="false">IFERROR(IF(INDEX(원자료_시장!$A$1:$BZ$1000,설정!$L$6+ROW()-1,설정!$L$35)&amp;""="0","",INDEX(원자료_시장!$A$1:$BZ$1000,설정!$L$6+ROW()-1,설정!$L$35)),"")</f>
        <v>A+</v>
      </c>
      <c r="N187" s="83" t="str">
        <f aca="false">IFERROR(IF(INDEX(원자료_시장!$A$1:$BZ$1000,설정!$L$6+ROW()-1,설정!$L$36)&amp;""="0","",INDEX(원자료_시장!$A$1:$BZ$1000,설정!$L$6+ROW()-1,설정!$L$36)),"")</f>
        <v>아시아/기타</v>
      </c>
      <c r="O187" s="43" t="str">
        <f aca="false">IF($A187="","",UPPER(LEFT($A187,FIND(" ",$A187&amp;" ")-1)))</f>
        <v>NACF</v>
      </c>
      <c r="P187" s="43" t="str">
        <f aca="false">IF($A187="","",TRIM(RIGHT(SUBSTITUTE(TRIM($A187)," ",REPT(" ",30)),30)))</f>
        <v>07/22/29</v>
      </c>
      <c r="Q187" s="98" t="n">
        <f aca="false">IF($A187="","",IFERROR(DATE(IF(LEN(P187)=8,2000+VALUE(RIGHT(P187,2)),VALUE(RIGHT(P187,4))),VALUE(LEFT(P187,2)),VALUE(MID(P187,4,2))),""))</f>
        <v>47321</v>
      </c>
      <c r="R187" s="89" t="n">
        <f aca="false">IF($A187="",0,IF(ISNUMBER(SEARCH("Float",$A187)),1,0))</f>
        <v>0</v>
      </c>
      <c r="S187" s="43" t="str">
        <f aca="false">IF($A187="","",TRIM(MID($A187,LEN(O187)+2,LEN($A187)-LEN(O187)-LEN(P187)-1)))</f>
        <v>4 3/4</v>
      </c>
      <c r="T187" s="92" t="n">
        <f aca="false">IF(OR($A187="",R187=1),"",IFERROR(IF(ISNUMBER(FIND("/",S187)),IF(ISNUMBER(FIND(" ",S187)),VALUE(LEFT(S187,FIND(" ",S187)-1))+VALUE(MID(S187,FIND(" ",S187)+1,FIND("/",S187)-FIND(" ",S187)-1))/VALUE(MID(S187,FIND("/",S187)+1,9)),VALUE(LEFT(S187,FIND("/",S187)-1))/VALUE(MID(S187,FIND("/",S187)+1,9))),VALUE(S187)),""))</f>
        <v>4.75</v>
      </c>
      <c r="U187" s="43" t="str">
        <f aca="false">IF(OR($A187="",NOT(ISNUMBER(Q187))),"",TEXT(Q187,"yyyymmdd")&amp;"|"&amp;IF(R187=1,"F",TEXT(T187,"0.000")))</f>
        <v>20290722|4.750</v>
      </c>
      <c r="V187" s="43" t="str">
        <f aca="false">IF(U187="","",O187&amp;"|"&amp;U187)</f>
        <v>NACF|20290722|4.750</v>
      </c>
      <c r="W187" s="43" t="str">
        <f aca="false">IF($A187="","",IFERROR(IF(VLOOKUP(O187,매핑!$A$4:$E$92,3,0)="","미분류",VLOOKUP(O187,매핑!$A$4:$E$92,3,0)),"미분류"))</f>
        <v>한국</v>
      </c>
      <c r="X187" s="89" t="n">
        <f aca="false">IF($A187="",0,IF(O187="T",1,0))</f>
        <v>0</v>
      </c>
      <c r="Y187" s="89" t="n">
        <f aca="false">IF($A187="",0,IF(AND(C187="USD",X187=0,ISNUMBER(E187),ISNUMBER(K187)),IF(K187&gt;=설정!$C$8,1,0),0))</f>
        <v>1</v>
      </c>
      <c r="Z187" s="43" t="str">
        <f aca="false">IF($A187="","",N187&amp;"|"&amp;L187)</f>
        <v>아시아/기타|금융기관</v>
      </c>
      <c r="AA187" s="92" t="n">
        <f aca="false">IF(Y187=1,LN(K187),0)</f>
        <v>0.968883181993326</v>
      </c>
      <c r="AB187" s="93" t="n">
        <f aca="false">IF(Y187=1,E187,0)</f>
        <v>27.633</v>
      </c>
      <c r="AC187" s="89" t="n">
        <f aca="false">IF(Y187=1,COUNTIFS($Z$2:$Z$601,Z187,$Y$2:$Y$601,1),0)</f>
        <v>42</v>
      </c>
      <c r="AD187" s="89" t="n">
        <f aca="false">IF(Y187=1,COUNTIFS($N$2:$N$601,N187,$Y$2:$Y$601,1),0)</f>
        <v>137</v>
      </c>
      <c r="AE187" s="43" t="str">
        <f aca="false">IF(Y187&lt;&gt;1,"",IF(AND(AC187&gt;=설정!$C$7,ISNUMBER(MATCH(Z187,피어커브!$A:$A,0))),Z187,IF(AND(AD187&gt;=설정!$C$7,ISNUMBER(MATCH(N187&amp;"|전체",피어커브!$A:$A,0))),N187&amp;"|전체","전체|전체")))</f>
        <v>아시아/기타|금융기관</v>
      </c>
      <c r="AF187" s="93" t="n">
        <f aca="false">IF(AE187="","",INDEX(피어커브!$K:$K,MATCH(AE187,피어커브!$A:$A,0)))</f>
        <v>50.117430292991</v>
      </c>
      <c r="AG187" s="93" t="n">
        <f aca="false">IF(AE187="","",INDEX(피어커브!$J:$J,MATCH(AE187,피어커브!$A:$A,0)))</f>
        <v>13.9183160321618</v>
      </c>
      <c r="AH187" s="93" t="n">
        <f aca="false">IF(AE187="","",INDEX(피어커브!$L:$L,MATCH(AE187,피어커브!$A:$A,0)))</f>
        <v>20.4735875466442</v>
      </c>
      <c r="AI187" s="93" t="n">
        <f aca="false">IF(AE187="","",AF187+AG187*AA187)</f>
        <v>63.6026526182207</v>
      </c>
      <c r="AJ187" s="96" t="n">
        <f aca="false">IF(AE187="","",E187-AI187)</f>
        <v>-35.9696526182207</v>
      </c>
      <c r="AK187" s="95" t="n">
        <f aca="false">IF(AE187="","",IF(ISNUMBER(AH187),IF(AH187&gt;0,AJ187/AH187,""),""))</f>
        <v>-1.7568807878088</v>
      </c>
      <c r="AL187" s="43" t="str">
        <f aca="false">IF(AK187="","-",IF(AK187&gt;=설정!$C$6,"Cheap",IF(AK187&lt;=-설정!$C$6,"Rich","Fair")))</f>
        <v>Rich</v>
      </c>
      <c r="AM187" s="96" t="n">
        <f aca="false">IF(AE187="","",AJ187-AVERAGEIFS($AJ$2:$AJ$601,$B$2:$B$601,B187,$Y$2:$Y$601,1))</f>
        <v>-3.2614176348786</v>
      </c>
      <c r="AN187" s="93" t="n">
        <f aca="false">IF(AE187="",0,IF(K187&gt;1+설정!$C$8,AG187*(AA187-LN(K187-1)),0))</f>
        <v>6.64238239935896</v>
      </c>
      <c r="AO187" s="99" t="n">
        <f aca="false">IF($A187="",0,SUMIFS(보유분석!$AA$2:$AA$801,보유분석!$AB$2:$AB$801,ROW(),보유분석!$AC$2:$AC$801,1))</f>
        <v>0</v>
      </c>
      <c r="AP187" s="43" t="str">
        <f aca="false">IF($A187="","",TRIM(IF(R187=1,"FRN ","")&amp;IF(IFERROR(VLOOKUP(M187,설정!$A$15:$D$47,4,0),0)&gt;=10,IF(IFERROR(VLOOKUP(M187,설정!$A$15:$D$47,4,0),0)&lt;99,"BBB0미만 ",""),"")&amp;IF(OR(M187="",M187="NR"),"등급미입력 ","")&amp;IF(C187&lt;&gt;"USD","비USD ","")))</f>
        <v/>
      </c>
      <c r="AQ187" s="90" t="n">
        <f aca="false">IF(AND(Y187=1,AL187="Cheap"),IF(AND(ISERROR(SEARCH("FRN",AP187)),ISERROR(SEARCH("BBB0미만",AP187))),AK187+ROW()/1000000000,-999),-999)</f>
        <v>-999</v>
      </c>
      <c r="AR187" s="92" t="n">
        <f aca="false">IF(AND(ISNUMBER(D187),ISNUMBER(K187)),D187+AN187*MAX(K187-1,0)/100,"")</f>
        <v>5.38560295222952</v>
      </c>
      <c r="AS187" s="93" t="n">
        <f aca="false">IF(AND(ISNUMBER(E187),ISNUMBER(K187)),IF(K187&gt;0,(E187+AN187*MAX(K187-1,0))/K187,""),"")</f>
        <v>14.608461185181</v>
      </c>
      <c r="AT187" s="90" t="n">
        <f aca="false">IFERROR(IF(AND(Y187=1,ROW()&lt;&gt;스왑분석!$C$12+1,ABS(K187-INDEX($K$2:$K$601,스왑분석!$C$12))&lt;=스왑분석!$C$5,ISERROR(SEARCH("FRN",AP187)),ISERROR(SEARCH("BBB0미만",AP187))),IF(AND(OR(스왑분석!$C$6="N",L187=INDEX($L$2:$L$601,스왑분석!$C$12)),OR(스왑분석!$C$7="N",N187=INDEX($N$2:$N$601,스왑분석!$C$12)),OR(스왑분석!$C$8="N",AO187=0),E187-INDEX($E$2:$E$601,스왑분석!$C$12)&gt;=스왑분석!$C$9),E187-INDEX($E$2:$E$601,스왑분석!$C$12)+ROW()/1000000000,-999),-999),-999)</f>
        <v>-999</v>
      </c>
      <c r="AU187" s="90" t="n">
        <f aca="false">IF(AND(Y187=1,AO187&gt;0,AL187="Rich"),-AK187+ROW()/1000000000,-999)</f>
        <v>-999</v>
      </c>
    </row>
    <row r="188" customFormat="false" ht="15" hidden="false" customHeight="false" outlineLevel="0" collapsed="false">
      <c r="A188" s="83" t="str">
        <f aca="false">IFERROR(IF(INDEX(원자료_시장!$A$1:$BZ$1000,설정!$L$6+ROW()-1,설정!$L$24)&amp;""="0","",INDEX(원자료_시장!$A$1:$BZ$1000,설정!$L$6+ROW()-1,설정!$L$24)),"")</f>
        <v>NACF 4 3/8 07/21/30</v>
      </c>
      <c r="B188" s="83" t="str">
        <f aca="false">IFERROR(IF(INDEX(원자료_시장!$A$1:$BZ$1000,설정!$L$6+ROW()-1,설정!$L$37)&amp;""="0","",INDEX(원자료_시장!$A$1:$BZ$1000,설정!$L$6+ROW()-1,설정!$L$37)),"")</f>
        <v>NONGHYUP BANK</v>
      </c>
      <c r="C188" s="83" t="str">
        <f aca="false">IFERROR(IF(INDEX(원자료_시장!$A$1:$BZ$1000,설정!$L$6+ROW()-1,설정!$L$25)&amp;""="0","",INDEX(원자료_시장!$A$1:$BZ$1000,설정!$L$6+ROW()-1,설정!$L$25)),"")</f>
        <v>USD</v>
      </c>
      <c r="D188" s="85" t="n">
        <f aca="false">IFERROR(IF(ISNUMBER(INDEX(원자료_시장!$A$1:$BZ$1000,설정!$L$6+ROW()-1,설정!$L$26)),INDEX(원자료_시장!$A$1:$BZ$1000,설정!$L$6+ROW()-1,설정!$L$26),""),"")</f>
        <v>5.353</v>
      </c>
      <c r="E188" s="97" t="n">
        <f aca="false">IFERROR(IF(ISNUMBER(INDEX(원자료_시장!$A$1:$BZ$1000,설정!$L$6+ROW()-1,설정!$L$27)),INDEX(원자료_시장!$A$1:$BZ$1000,설정!$L$6+ROW()-1,설정!$L$27),""),"")</f>
        <v>26.638</v>
      </c>
      <c r="F188" s="97" t="n">
        <f aca="false">IFERROR(IF(ISNUMBER(INDEX(원자료_시장!$A$1:$BZ$1000,설정!$L$6+ROW()-1,설정!$L$28)),INDEX(원자료_시장!$A$1:$BZ$1000,설정!$L$6+ROW()-1,설정!$L$28),""),"")</f>
        <v>60.954</v>
      </c>
      <c r="G188" s="97" t="n">
        <f aca="false">IFERROR(IF(ISNUMBER(INDEX(원자료_시장!$A$1:$BZ$1000,설정!$L$6+ROW()-1,설정!$L$29)),INDEX(원자료_시장!$A$1:$BZ$1000,설정!$L$6+ROW()-1,설정!$L$29),""),"")</f>
        <v>-0.1</v>
      </c>
      <c r="H188" s="97" t="n">
        <f aca="false">IFERROR(IF(ISNUMBER(INDEX(원자료_시장!$A$1:$BZ$1000,설정!$L$6+ROW()-1,설정!$L$30)),INDEX(원자료_시장!$A$1:$BZ$1000,설정!$L$6+ROW()-1,설정!$L$30),""),"")</f>
        <v>4.8</v>
      </c>
      <c r="I188" s="97" t="n">
        <f aca="false">IFERROR(IF(ISNUMBER(INDEX(원자료_시장!$A$1:$BZ$1000,설정!$L$6+ROW()-1,설정!$L$31)),INDEX(원자료_시장!$A$1:$BZ$1000,설정!$L$6+ROW()-1,설정!$L$31),""),"")</f>
        <v>-2.3</v>
      </c>
      <c r="J188" s="97" t="n">
        <f aca="false">IFERROR(IF(ISNUMBER(INDEX(원자료_시장!$A$1:$BZ$1000,설정!$L$6+ROW()-1,설정!$L$32)),INDEX(원자료_시장!$A$1:$BZ$1000,설정!$L$6+ROW()-1,설정!$L$32),""),"")</f>
        <v>-0.3</v>
      </c>
      <c r="K188" s="85" t="n">
        <f aca="false">IFERROR(IF(ISNUMBER(INDEX(원자료_시장!$A$1:$BZ$1000,설정!$L$6+ROW()-1,설정!$L$33)),INDEX(원자료_시장!$A$1:$BZ$1000,설정!$L$6+ROW()-1,설정!$L$33),""),"")</f>
        <v>3.509</v>
      </c>
      <c r="L188" s="83" t="str">
        <f aca="false">IFERROR(IF(INDEX(원자료_시장!$A$1:$BZ$1000,설정!$L$6+ROW()-1,설정!$L$34)&amp;""="0","",INDEX(원자료_시장!$A$1:$BZ$1000,설정!$L$6+ROW()-1,설정!$L$34)),"")</f>
        <v>금융기관</v>
      </c>
      <c r="M188" s="83" t="str">
        <f aca="false">IFERROR(IF(INDEX(원자료_시장!$A$1:$BZ$1000,설정!$L$6+ROW()-1,설정!$L$35)&amp;""="0","",INDEX(원자료_시장!$A$1:$BZ$1000,설정!$L$6+ROW()-1,설정!$L$35)),"")</f>
        <v>A+</v>
      </c>
      <c r="N188" s="83" t="str">
        <f aca="false">IFERROR(IF(INDEX(원자료_시장!$A$1:$BZ$1000,설정!$L$6+ROW()-1,설정!$L$36)&amp;""="0","",INDEX(원자료_시장!$A$1:$BZ$1000,설정!$L$6+ROW()-1,설정!$L$36)),"")</f>
        <v>아시아/기타</v>
      </c>
      <c r="O188" s="43" t="str">
        <f aca="false">IF($A188="","",UPPER(LEFT($A188,FIND(" ",$A188&amp;" ")-1)))</f>
        <v>NACF</v>
      </c>
      <c r="P188" s="43" t="str">
        <f aca="false">IF($A188="","",TRIM(RIGHT(SUBSTITUTE(TRIM($A188)," ",REPT(" ",30)),30)))</f>
        <v>07/21/30</v>
      </c>
      <c r="Q188" s="98" t="n">
        <f aca="false">IF($A188="","",IFERROR(DATE(IF(LEN(P188)=8,2000+VALUE(RIGHT(P188,2)),VALUE(RIGHT(P188,4))),VALUE(LEFT(P188,2)),VALUE(MID(P188,4,2))),""))</f>
        <v>47685</v>
      </c>
      <c r="R188" s="89" t="n">
        <f aca="false">IF($A188="",0,IF(ISNUMBER(SEARCH("Float",$A188)),1,0))</f>
        <v>0</v>
      </c>
      <c r="S188" s="43" t="str">
        <f aca="false">IF($A188="","",TRIM(MID($A188,LEN(O188)+2,LEN($A188)-LEN(O188)-LEN(P188)-1)))</f>
        <v>4 3/8</v>
      </c>
      <c r="T188" s="92" t="n">
        <f aca="false">IF(OR($A188="",R188=1),"",IFERROR(IF(ISNUMBER(FIND("/",S188)),IF(ISNUMBER(FIND(" ",S188)),VALUE(LEFT(S188,FIND(" ",S188)-1))+VALUE(MID(S188,FIND(" ",S188)+1,FIND("/",S188)-FIND(" ",S188)-1))/VALUE(MID(S188,FIND("/",S188)+1,9)),VALUE(LEFT(S188,FIND("/",S188)-1))/VALUE(MID(S188,FIND("/",S188)+1,9))),VALUE(S188)),""))</f>
        <v>4.375</v>
      </c>
      <c r="U188" s="43" t="str">
        <f aca="false">IF(OR($A188="",NOT(ISNUMBER(Q188))),"",TEXT(Q188,"yyyymmdd")&amp;"|"&amp;IF(R188=1,"F",TEXT(T188,"0.000")))</f>
        <v>20300721|4.375</v>
      </c>
      <c r="V188" s="43" t="str">
        <f aca="false">IF(U188="","",O188&amp;"|"&amp;U188)</f>
        <v>NACF|20300721|4.375</v>
      </c>
      <c r="W188" s="43" t="str">
        <f aca="false">IF($A188="","",IFERROR(IF(VLOOKUP(O188,매핑!$A$4:$E$92,3,0)="","미분류",VLOOKUP(O188,매핑!$A$4:$E$92,3,0)),"미분류"))</f>
        <v>한국</v>
      </c>
      <c r="X188" s="89" t="n">
        <f aca="false">IF($A188="",0,IF(O188="T",1,0))</f>
        <v>0</v>
      </c>
      <c r="Y188" s="89" t="n">
        <f aca="false">IF($A188="",0,IF(AND(C188="USD",X188=0,ISNUMBER(E188),ISNUMBER(K188)),IF(K188&gt;=설정!$C$8,1,0),0))</f>
        <v>1</v>
      </c>
      <c r="Z188" s="43" t="str">
        <f aca="false">IF($A188="","",N188&amp;"|"&amp;L188)</f>
        <v>아시아/기타|금융기관</v>
      </c>
      <c r="AA188" s="92" t="n">
        <f aca="false">IF(Y188=1,LN(K188),0)</f>
        <v>1.25533109660108</v>
      </c>
      <c r="AB188" s="93" t="n">
        <f aca="false">IF(Y188=1,E188,0)</f>
        <v>26.638</v>
      </c>
      <c r="AC188" s="89" t="n">
        <f aca="false">IF(Y188=1,COUNTIFS($Z$2:$Z$601,Z188,$Y$2:$Y$601,1),0)</f>
        <v>42</v>
      </c>
      <c r="AD188" s="89" t="n">
        <f aca="false">IF(Y188=1,COUNTIFS($N$2:$N$601,N188,$Y$2:$Y$601,1),0)</f>
        <v>137</v>
      </c>
      <c r="AE188" s="43" t="str">
        <f aca="false">IF(Y188&lt;&gt;1,"",IF(AND(AC188&gt;=설정!$C$7,ISNUMBER(MATCH(Z188,피어커브!$A:$A,0))),Z188,IF(AND(AD188&gt;=설정!$C$7,ISNUMBER(MATCH(N188&amp;"|전체",피어커브!$A:$A,0))),N188&amp;"|전체","전체|전체")))</f>
        <v>아시아/기타|금융기관</v>
      </c>
      <c r="AF188" s="93" t="n">
        <f aca="false">IF(AE188="","",INDEX(피어커브!$K:$K,MATCH(AE188,피어커브!$A:$A,0)))</f>
        <v>50.117430292991</v>
      </c>
      <c r="AG188" s="93" t="n">
        <f aca="false">IF(AE188="","",INDEX(피어커브!$J:$J,MATCH(AE188,피어커브!$A:$A,0)))</f>
        <v>13.9183160321618</v>
      </c>
      <c r="AH188" s="93" t="n">
        <f aca="false">IF(AE188="","",INDEX(피어커브!$L:$L,MATCH(AE188,피어커브!$A:$A,0)))</f>
        <v>20.4735875466442</v>
      </c>
      <c r="AI188" s="93" t="n">
        <f aca="false">IF(AE188="","",AF188+AG188*AA188)</f>
        <v>67.5895252204851</v>
      </c>
      <c r="AJ188" s="96" t="n">
        <f aca="false">IF(AE188="","",E188-AI188)</f>
        <v>-40.9515252204851</v>
      </c>
      <c r="AK188" s="95" t="n">
        <f aca="false">IF(AE188="","",IF(ISNUMBER(AH188),IF(AH188&gt;0,AJ188/AH188,""),""))</f>
        <v>-2.00021247508219</v>
      </c>
      <c r="AL188" s="43" t="str">
        <f aca="false">IF(AK188="","-",IF(AK188&gt;=설정!$C$6,"Cheap",IF(AK188&lt;=-설정!$C$6,"Rich","Fair")))</f>
        <v>Rich</v>
      </c>
      <c r="AM188" s="96" t="n">
        <f aca="false">IF(AE188="","",AJ188-AVERAGEIFS($AJ$2:$AJ$601,$B$2:$B$601,B188,$Y$2:$Y$601,1))</f>
        <v>-8.24329023714299</v>
      </c>
      <c r="AN188" s="93" t="n">
        <f aca="false">IF(AE188="",0,IF(K188&gt;1+설정!$C$8,AG188*(AA188-LN(K188-1)),0))</f>
        <v>4.66885498102593</v>
      </c>
      <c r="AO188" s="99" t="n">
        <f aca="false">IF($A188="",0,SUMIFS(보유분석!$AA$2:$AA$801,보유분석!$AB$2:$AB$801,ROW(),보유분석!$AC$2:$AC$801,1))</f>
        <v>0</v>
      </c>
      <c r="AP188" s="43" t="str">
        <f aca="false">IF($A188="","",TRIM(IF(R188=1,"FRN ","")&amp;IF(IFERROR(VLOOKUP(M188,설정!$A$15:$D$47,4,0),0)&gt;=10,IF(IFERROR(VLOOKUP(M188,설정!$A$15:$D$47,4,0),0)&lt;99,"BBB0미만 ",""),"")&amp;IF(OR(M188="",M188="NR"),"등급미입력 ","")&amp;IF(C188&lt;&gt;"USD","비USD ","")))</f>
        <v/>
      </c>
      <c r="AQ188" s="90" t="n">
        <f aca="false">IF(AND(Y188=1,AL188="Cheap"),IF(AND(ISERROR(SEARCH("FRN",AP188)),ISERROR(SEARCH("BBB0미만",AP188))),AK188+ROW()/1000000000,-999),-999)</f>
        <v>-999</v>
      </c>
      <c r="AR188" s="92" t="n">
        <f aca="false">IF(AND(ISNUMBER(D188),ISNUMBER(K188)),D188+AN188*MAX(K188-1,0)/100,"")</f>
        <v>5.47014157147394</v>
      </c>
      <c r="AS188" s="93" t="n">
        <f aca="false">IF(AND(ISNUMBER(E188),ISNUMBER(K188)),IF(K188&gt;0,(E188+AN188*MAX(K188-1,0))/K188,""),"")</f>
        <v>10.9296543594739</v>
      </c>
      <c r="AT188" s="90" t="n">
        <f aca="false">IFERROR(IF(AND(Y188=1,ROW()&lt;&gt;스왑분석!$C$12+1,ABS(K188-INDEX($K$2:$K$601,스왑분석!$C$12))&lt;=스왑분석!$C$5,ISERROR(SEARCH("FRN",AP188)),ISERROR(SEARCH("BBB0미만",AP188))),IF(AND(OR(스왑분석!$C$6="N",L188=INDEX($L$2:$L$601,스왑분석!$C$12)),OR(스왑분석!$C$7="N",N188=INDEX($N$2:$N$601,스왑분석!$C$12)),OR(스왑분석!$C$8="N",AO188=0),E188-INDEX($E$2:$E$601,스왑분석!$C$12)&gt;=스왑분석!$C$9),E188-INDEX($E$2:$E$601,스왑분석!$C$12)+ROW()/1000000000,-999),-999),-999)</f>
        <v>-999</v>
      </c>
      <c r="AU188" s="90" t="n">
        <f aca="false">IF(AND(Y188=1,AO188&gt;0,AL188="Rich"),-AK188+ROW()/1000000000,-999)</f>
        <v>-999</v>
      </c>
    </row>
    <row r="189" customFormat="false" ht="15" hidden="false" customHeight="false" outlineLevel="0" collapsed="false">
      <c r="A189" s="83" t="str">
        <f aca="false">IFERROR(IF(INDEX(원자료_시장!$A$1:$BZ$1000,설정!$L$6+ROW()-1,설정!$L$24)&amp;""="0","",INDEX(원자료_시장!$A$1:$BZ$1000,설정!$L$6+ROW()-1,설정!$L$24)),"")</f>
        <v>NACF Float 01/23/30</v>
      </c>
      <c r="B189" s="83" t="str">
        <f aca="false">IFERROR(IF(INDEX(원자료_시장!$A$1:$BZ$1000,설정!$L$6+ROW()-1,설정!$L$37)&amp;""="0","",INDEX(원자료_시장!$A$1:$BZ$1000,설정!$L$6+ROW()-1,설정!$L$37)),"")</f>
        <v>NONGHYUP BANK</v>
      </c>
      <c r="C189" s="83" t="str">
        <f aca="false">IFERROR(IF(INDEX(원자료_시장!$A$1:$BZ$1000,설정!$L$6+ROW()-1,설정!$L$25)&amp;""="0","",INDEX(원자료_시장!$A$1:$BZ$1000,설정!$L$6+ROW()-1,설정!$L$25)),"")</f>
        <v>USD</v>
      </c>
      <c r="D189" s="85" t="n">
        <f aca="false">IFERROR(IF(ISNUMBER(INDEX(원자료_시장!$A$1:$BZ$1000,설정!$L$6+ROW()-1,설정!$L$26)),INDEX(원자료_시장!$A$1:$BZ$1000,설정!$L$6+ROW()-1,설정!$L$26),""),"")</f>
        <v>4.458</v>
      </c>
      <c r="E189" s="97" t="str">
        <f aca="false">IFERROR(IF(ISNUMBER(INDEX(원자료_시장!$A$1:$BZ$1000,설정!$L$6+ROW()-1,설정!$L$27)),INDEX(원자료_시장!$A$1:$BZ$1000,설정!$L$6+ROW()-1,설정!$L$27),""),"")</f>
        <v/>
      </c>
      <c r="F189" s="97" t="str">
        <f aca="false">IFERROR(IF(ISNUMBER(INDEX(원자료_시장!$A$1:$BZ$1000,설정!$L$6+ROW()-1,설정!$L$28)),INDEX(원자료_시장!$A$1:$BZ$1000,설정!$L$6+ROW()-1,설정!$L$28),""),"")</f>
        <v/>
      </c>
      <c r="G189" s="97" t="n">
        <f aca="false">IFERROR(IF(ISNUMBER(INDEX(원자료_시장!$A$1:$BZ$1000,설정!$L$6+ROW()-1,설정!$L$29)),INDEX(원자료_시장!$A$1:$BZ$1000,설정!$L$6+ROW()-1,설정!$L$29),""),"")</f>
        <v>-14.6</v>
      </c>
      <c r="H189" s="97" t="n">
        <f aca="false">IFERROR(IF(ISNUMBER(INDEX(원자료_시장!$A$1:$BZ$1000,설정!$L$6+ROW()-1,설정!$L$30)),INDEX(원자료_시장!$A$1:$BZ$1000,설정!$L$6+ROW()-1,설정!$L$30),""),"")</f>
        <v>-13.2</v>
      </c>
      <c r="I189" s="97" t="n">
        <f aca="false">IFERROR(IF(ISNUMBER(INDEX(원자료_시장!$A$1:$BZ$1000,설정!$L$6+ROW()-1,설정!$L$31)),INDEX(원자료_시장!$A$1:$BZ$1000,설정!$L$6+ROW()-1,설정!$L$31),""),"")</f>
        <v>-18.1</v>
      </c>
      <c r="J189" s="97" t="n">
        <f aca="false">IFERROR(IF(ISNUMBER(INDEX(원자료_시장!$A$1:$BZ$1000,설정!$L$6+ROW()-1,설정!$L$32)),INDEX(원자료_시장!$A$1:$BZ$1000,설정!$L$6+ROW()-1,설정!$L$32),""),"")</f>
        <v>-34.4</v>
      </c>
      <c r="K189" s="85" t="n">
        <f aca="false">IFERROR(IF(ISNUMBER(INDEX(원자료_시장!$A$1:$BZ$1000,설정!$L$6+ROW()-1,설정!$L$33)),INDEX(원자료_시장!$A$1:$BZ$1000,설정!$L$6+ROW()-1,설정!$L$33),""),"")</f>
        <v>0.008</v>
      </c>
      <c r="L189" s="83" t="str">
        <f aca="false">IFERROR(IF(INDEX(원자료_시장!$A$1:$BZ$1000,설정!$L$6+ROW()-1,설정!$L$34)&amp;""="0","",INDEX(원자료_시장!$A$1:$BZ$1000,설정!$L$6+ROW()-1,설정!$L$34)),"")</f>
        <v>금융기관</v>
      </c>
      <c r="M189" s="83" t="str">
        <f aca="false">IFERROR(IF(INDEX(원자료_시장!$A$1:$BZ$1000,설정!$L$6+ROW()-1,설정!$L$35)&amp;""="0","",INDEX(원자료_시장!$A$1:$BZ$1000,설정!$L$6+ROW()-1,설정!$L$35)),"")</f>
        <v>A+</v>
      </c>
      <c r="N189" s="83" t="str">
        <f aca="false">IFERROR(IF(INDEX(원자료_시장!$A$1:$BZ$1000,설정!$L$6+ROW()-1,설정!$L$36)&amp;""="0","",INDEX(원자료_시장!$A$1:$BZ$1000,설정!$L$6+ROW()-1,설정!$L$36)),"")</f>
        <v>아시아/기타</v>
      </c>
      <c r="O189" s="43" t="str">
        <f aca="false">IF($A189="","",UPPER(LEFT($A189,FIND(" ",$A189&amp;" ")-1)))</f>
        <v>NACF</v>
      </c>
      <c r="P189" s="43" t="str">
        <f aca="false">IF($A189="","",TRIM(RIGHT(SUBSTITUTE(TRIM($A189)," ",REPT(" ",30)),30)))</f>
        <v>01/23/30</v>
      </c>
      <c r="Q189" s="98" t="n">
        <f aca="false">IF($A189="","",IFERROR(DATE(IF(LEN(P189)=8,2000+VALUE(RIGHT(P189,2)),VALUE(RIGHT(P189,4))),VALUE(LEFT(P189,2)),VALUE(MID(P189,4,2))),""))</f>
        <v>47506</v>
      </c>
      <c r="R189" s="89" t="n">
        <f aca="false">IF($A189="",0,IF(ISNUMBER(SEARCH("Float",$A189)),1,0))</f>
        <v>1</v>
      </c>
      <c r="S189" s="43" t="str">
        <f aca="false">IF($A189="","",TRIM(MID($A189,LEN(O189)+2,LEN($A189)-LEN(O189)-LEN(P189)-1)))</f>
        <v>Float</v>
      </c>
      <c r="T189" s="92" t="str">
        <f aca="false">IF(OR($A189="",R189=1),"",IFERROR(IF(ISNUMBER(FIND("/",S189)),IF(ISNUMBER(FIND(" ",S189)),VALUE(LEFT(S189,FIND(" ",S189)-1))+VALUE(MID(S189,FIND(" ",S189)+1,FIND("/",S189)-FIND(" ",S189)-1))/VALUE(MID(S189,FIND("/",S189)+1,9)),VALUE(LEFT(S189,FIND("/",S189)-1))/VALUE(MID(S189,FIND("/",S189)+1,9))),VALUE(S189)),""))</f>
        <v/>
      </c>
      <c r="U189" s="43" t="str">
        <f aca="false">IF(OR($A189="",NOT(ISNUMBER(Q189))),"",TEXT(Q189,"yyyymmdd")&amp;"|"&amp;IF(R189=1,"F",TEXT(T189,"0.000")))</f>
        <v>20300123|F</v>
      </c>
      <c r="V189" s="43" t="str">
        <f aca="false">IF(U189="","",O189&amp;"|"&amp;U189)</f>
        <v>NACF|20300123|F</v>
      </c>
      <c r="W189" s="43" t="str">
        <f aca="false">IF($A189="","",IFERROR(IF(VLOOKUP(O189,매핑!$A$4:$E$92,3,0)="","미분류",VLOOKUP(O189,매핑!$A$4:$E$92,3,0)),"미분류"))</f>
        <v>한국</v>
      </c>
      <c r="X189" s="89" t="n">
        <f aca="false">IF($A189="",0,IF(O189="T",1,0))</f>
        <v>0</v>
      </c>
      <c r="Y189" s="89" t="n">
        <f aca="false">IF($A189="",0,IF(AND(C189="USD",X189=0,ISNUMBER(E189),ISNUMBER(K189)),IF(K189&gt;=설정!$C$8,1,0),0))</f>
        <v>0</v>
      </c>
      <c r="Z189" s="43" t="str">
        <f aca="false">IF($A189="","",N189&amp;"|"&amp;L189)</f>
        <v>아시아/기타|금융기관</v>
      </c>
      <c r="AA189" s="92" t="n">
        <f aca="false">IF(Y189=1,LN(K189),0)</f>
        <v>0</v>
      </c>
      <c r="AB189" s="93" t="n">
        <f aca="false">IF(Y189=1,E189,0)</f>
        <v>0</v>
      </c>
      <c r="AC189" s="89" t="n">
        <f aca="false">IF(Y189=1,COUNTIFS($Z$2:$Z$601,Z189,$Y$2:$Y$601,1),0)</f>
        <v>0</v>
      </c>
      <c r="AD189" s="89" t="n">
        <f aca="false">IF(Y189=1,COUNTIFS($N$2:$N$601,N189,$Y$2:$Y$601,1),0)</f>
        <v>0</v>
      </c>
      <c r="AE189" s="43" t="str">
        <f aca="false">IF(Y189&lt;&gt;1,"",IF(AND(AC189&gt;=설정!$C$7,ISNUMBER(MATCH(Z189,피어커브!$A:$A,0))),Z189,IF(AND(AD189&gt;=설정!$C$7,ISNUMBER(MATCH(N189&amp;"|전체",피어커브!$A:$A,0))),N189&amp;"|전체","전체|전체")))</f>
        <v/>
      </c>
      <c r="AF189" s="93" t="str">
        <f aca="false">IF(AE189="","",INDEX(피어커브!$K:$K,MATCH(AE189,피어커브!$A:$A,0)))</f>
        <v/>
      </c>
      <c r="AG189" s="93" t="str">
        <f aca="false">IF(AE189="","",INDEX(피어커브!$J:$J,MATCH(AE189,피어커브!$A:$A,0)))</f>
        <v/>
      </c>
      <c r="AH189" s="93" t="str">
        <f aca="false">IF(AE189="","",INDEX(피어커브!$L:$L,MATCH(AE189,피어커브!$A:$A,0)))</f>
        <v/>
      </c>
      <c r="AI189" s="93" t="str">
        <f aca="false">IF(AE189="","",AF189+AG189*AA189)</f>
        <v/>
      </c>
      <c r="AJ189" s="96" t="str">
        <f aca="false">IF(AE189="","",E189-AI189)</f>
        <v/>
      </c>
      <c r="AK189" s="95" t="str">
        <f aca="false">IF(AE189="","",IF(ISNUMBER(AH189),IF(AH189&gt;0,AJ189/AH189,""),""))</f>
        <v/>
      </c>
      <c r="AL189" s="43" t="str">
        <f aca="false">IF(AK189="","-",IF(AK189&gt;=설정!$C$6,"Cheap",IF(AK189&lt;=-설정!$C$6,"Rich","Fair")))</f>
        <v>-</v>
      </c>
      <c r="AM189" s="96" t="str">
        <f aca="false">IF(AE189="","",AJ189-AVERAGEIFS($AJ$2:$AJ$601,$B$2:$B$601,B189,$Y$2:$Y$601,1))</f>
        <v/>
      </c>
      <c r="AN189" s="93" t="n">
        <f aca="false">IF(AE189="",0,IF(K189&gt;1+설정!$C$8,AG189*(AA189-LN(K189-1)),0))</f>
        <v>0</v>
      </c>
      <c r="AO189" s="99" t="n">
        <f aca="false">IF($A189="",0,SUMIFS(보유분석!$AA$2:$AA$801,보유분석!$AB$2:$AB$801,ROW(),보유분석!$AC$2:$AC$801,1))</f>
        <v>0</v>
      </c>
      <c r="AP189" s="43" t="str">
        <f aca="false">IF($A189="","",TRIM(IF(R189=1,"FRN ","")&amp;IF(IFERROR(VLOOKUP(M189,설정!$A$15:$D$47,4,0),0)&gt;=10,IF(IFERROR(VLOOKUP(M189,설정!$A$15:$D$47,4,0),0)&lt;99,"BBB0미만 ",""),"")&amp;IF(OR(M189="",M189="NR"),"등급미입력 ","")&amp;IF(C189&lt;&gt;"USD","비USD ","")))</f>
        <v>FRN</v>
      </c>
      <c r="AQ189" s="90" t="n">
        <f aca="false">IF(AND(Y189=1,AL189="Cheap"),IF(AND(ISERROR(SEARCH("FRN",AP189)),ISERROR(SEARCH("BBB0미만",AP189))),AK189+ROW()/1000000000,-999),-999)</f>
        <v>-999</v>
      </c>
      <c r="AR189" s="92" t="n">
        <f aca="false">IF(AND(ISNUMBER(D189),ISNUMBER(K189)),D189+AN189*MAX(K189-1,0)/100,"")</f>
        <v>4.458</v>
      </c>
      <c r="AS189" s="93" t="str">
        <f aca="false">IF(AND(ISNUMBER(E189),ISNUMBER(K189)),IF(K189&gt;0,(E189+AN189*MAX(K189-1,0))/K189,""),"")</f>
        <v/>
      </c>
      <c r="AT189" s="90" t="n">
        <f aca="false">IFERROR(IF(AND(Y189=1,ROW()&lt;&gt;스왑분석!$C$12+1,ABS(K189-INDEX($K$2:$K$601,스왑분석!$C$12))&lt;=스왑분석!$C$5,ISERROR(SEARCH("FRN",AP189)),ISERROR(SEARCH("BBB0미만",AP189))),IF(AND(OR(스왑분석!$C$6="N",L189=INDEX($L$2:$L$601,스왑분석!$C$12)),OR(스왑분석!$C$7="N",N189=INDEX($N$2:$N$601,스왑분석!$C$12)),OR(스왑분석!$C$8="N",AO189=0),E189-INDEX($E$2:$E$601,스왑분석!$C$12)&gt;=스왑분석!$C$9),E189-INDEX($E$2:$E$601,스왑분석!$C$12)+ROW()/1000000000,-999),-999),-999)</f>
        <v>-999</v>
      </c>
      <c r="AU189" s="90" t="n">
        <f aca="false">IF(AND(Y189=1,AO189&gt;0,AL189="Rich"),-AK189+ROW()/1000000000,-999)</f>
        <v>-999</v>
      </c>
    </row>
    <row r="190" customFormat="false" ht="15" hidden="false" customHeight="false" outlineLevel="0" collapsed="false">
      <c r="A190" s="83" t="str">
        <f aca="false">IFERROR(IF(INDEX(원자료_시장!$A$1:$BZ$1000,설정!$L$6+ROW()-1,설정!$L$24)&amp;""="0","",INDEX(원자료_시장!$A$1:$BZ$1000,설정!$L$6+ROW()-1,설정!$L$24)),"")</f>
        <v>NACF 4 5/8 07/23/31</v>
      </c>
      <c r="B190" s="83" t="str">
        <f aca="false">IFERROR(IF(INDEX(원자료_시장!$A$1:$BZ$1000,설정!$L$6+ROW()-1,설정!$L$37)&amp;""="0","",INDEX(원자료_시장!$A$1:$BZ$1000,설정!$L$6+ROW()-1,설정!$L$37)),"")</f>
        <v>NONGHYUP BANK</v>
      </c>
      <c r="C190" s="83" t="str">
        <f aca="false">IFERROR(IF(INDEX(원자료_시장!$A$1:$BZ$1000,설정!$L$6+ROW()-1,설정!$L$25)&amp;""="0","",INDEX(원자료_시장!$A$1:$BZ$1000,설정!$L$6+ROW()-1,설정!$L$25)),"")</f>
        <v>USD</v>
      </c>
      <c r="D190" s="85" t="n">
        <f aca="false">IFERROR(IF(ISNUMBER(INDEX(원자료_시장!$A$1:$BZ$1000,설정!$L$6+ROW()-1,설정!$L$26)),INDEX(원자료_시장!$A$1:$BZ$1000,설정!$L$6+ROW()-1,설정!$L$26),""),"")</f>
        <v>5.46</v>
      </c>
      <c r="E190" s="97" t="n">
        <f aca="false">IFERROR(IF(ISNUMBER(INDEX(원자료_시장!$A$1:$BZ$1000,설정!$L$6+ROW()-1,설정!$L$27)),INDEX(원자료_시장!$A$1:$BZ$1000,설정!$L$6+ROW()-1,설정!$L$27),""),"")</f>
        <v>37.296</v>
      </c>
      <c r="F190" s="97" t="n">
        <f aca="false">IFERROR(IF(ISNUMBER(INDEX(원자료_시장!$A$1:$BZ$1000,설정!$L$6+ROW()-1,설정!$L$28)),INDEX(원자료_시장!$A$1:$BZ$1000,설정!$L$6+ROW()-1,설정!$L$28),""),"")</f>
        <v>70.709</v>
      </c>
      <c r="G190" s="97" t="n">
        <f aca="false">IFERROR(IF(ISNUMBER(INDEX(원자료_시장!$A$1:$BZ$1000,설정!$L$6+ROW()-1,설정!$L$29)),INDEX(원자료_시장!$A$1:$BZ$1000,설정!$L$6+ROW()-1,설정!$L$29),""),"")</f>
        <v>0.6</v>
      </c>
      <c r="H190" s="97" t="n">
        <f aca="false">IFERROR(IF(ISNUMBER(INDEX(원자료_시장!$A$1:$BZ$1000,설정!$L$6+ROW()-1,설정!$L$30)),INDEX(원자료_시장!$A$1:$BZ$1000,설정!$L$6+ROW()-1,설정!$L$30),""),"")</f>
        <v>5.5</v>
      </c>
      <c r="I190" s="97" t="n">
        <f aca="false">IFERROR(IF(ISNUMBER(INDEX(원자료_시장!$A$1:$BZ$1000,설정!$L$6+ROW()-1,설정!$L$31)),INDEX(원자료_시장!$A$1:$BZ$1000,설정!$L$6+ROW()-1,설정!$L$31),""),"")</f>
        <v>-4</v>
      </c>
      <c r="J190" s="97" t="n">
        <f aca="false">IFERROR(IF(ISNUMBER(INDEX(원자료_시장!$A$1:$BZ$1000,설정!$L$6+ROW()-1,설정!$L$32)),INDEX(원자료_시장!$A$1:$BZ$1000,설정!$L$6+ROW()-1,설정!$L$32),""),"")</f>
        <v>-8.3</v>
      </c>
      <c r="K190" s="85" t="n">
        <f aca="false">IFERROR(IF(ISNUMBER(INDEX(원자료_시장!$A$1:$BZ$1000,설정!$L$6+ROW()-1,설정!$L$33)),INDEX(원자료_시장!$A$1:$BZ$1000,설정!$L$6+ROW()-1,설정!$L$33),""),"")</f>
        <v>4.318</v>
      </c>
      <c r="L190" s="83" t="str">
        <f aca="false">IFERROR(IF(INDEX(원자료_시장!$A$1:$BZ$1000,설정!$L$6+ROW()-1,설정!$L$34)&amp;""="0","",INDEX(원자료_시장!$A$1:$BZ$1000,설정!$L$6+ROW()-1,설정!$L$34)),"")</f>
        <v>금융기관</v>
      </c>
      <c r="M190" s="83" t="str">
        <f aca="false">IFERROR(IF(INDEX(원자료_시장!$A$1:$BZ$1000,설정!$L$6+ROW()-1,설정!$L$35)&amp;""="0","",INDEX(원자료_시장!$A$1:$BZ$1000,설정!$L$6+ROW()-1,설정!$L$35)),"")</f>
        <v>A+</v>
      </c>
      <c r="N190" s="83" t="str">
        <f aca="false">IFERROR(IF(INDEX(원자료_시장!$A$1:$BZ$1000,설정!$L$6+ROW()-1,설정!$L$36)&amp;""="0","",INDEX(원자료_시장!$A$1:$BZ$1000,설정!$L$6+ROW()-1,설정!$L$36)),"")</f>
        <v>아시아/기타</v>
      </c>
      <c r="O190" s="43" t="str">
        <f aca="false">IF($A190="","",UPPER(LEFT($A190,FIND(" ",$A190&amp;" ")-1)))</f>
        <v>NACF</v>
      </c>
      <c r="P190" s="43" t="str">
        <f aca="false">IF($A190="","",TRIM(RIGHT(SUBSTITUTE(TRIM($A190)," ",REPT(" ",30)),30)))</f>
        <v>07/23/31</v>
      </c>
      <c r="Q190" s="98" t="n">
        <f aca="false">IF($A190="","",IFERROR(DATE(IF(LEN(P190)=8,2000+VALUE(RIGHT(P190,2)),VALUE(RIGHT(P190,4))),VALUE(LEFT(P190,2)),VALUE(MID(P190,4,2))),""))</f>
        <v>48052</v>
      </c>
      <c r="R190" s="89" t="n">
        <f aca="false">IF($A190="",0,IF(ISNUMBER(SEARCH("Float",$A190)),1,0))</f>
        <v>0</v>
      </c>
      <c r="S190" s="43" t="str">
        <f aca="false">IF($A190="","",TRIM(MID($A190,LEN(O190)+2,LEN($A190)-LEN(O190)-LEN(P190)-1)))</f>
        <v>4 5/8</v>
      </c>
      <c r="T190" s="92" t="n">
        <f aca="false">IF(OR($A190="",R190=1),"",IFERROR(IF(ISNUMBER(FIND("/",S190)),IF(ISNUMBER(FIND(" ",S190)),VALUE(LEFT(S190,FIND(" ",S190)-1))+VALUE(MID(S190,FIND(" ",S190)+1,FIND("/",S190)-FIND(" ",S190)-1))/VALUE(MID(S190,FIND("/",S190)+1,9)),VALUE(LEFT(S190,FIND("/",S190)-1))/VALUE(MID(S190,FIND("/",S190)+1,9))),VALUE(S190)),""))</f>
        <v>4.625</v>
      </c>
      <c r="U190" s="43" t="str">
        <f aca="false">IF(OR($A190="",NOT(ISNUMBER(Q190))),"",TEXT(Q190,"yyyymmdd")&amp;"|"&amp;IF(R190=1,"F",TEXT(T190,"0.000")))</f>
        <v>20310723|4.625</v>
      </c>
      <c r="V190" s="43" t="str">
        <f aca="false">IF(U190="","",O190&amp;"|"&amp;U190)</f>
        <v>NACF|20310723|4.625</v>
      </c>
      <c r="W190" s="43" t="str">
        <f aca="false">IF($A190="","",IFERROR(IF(VLOOKUP(O190,매핑!$A$4:$E$92,3,0)="","미분류",VLOOKUP(O190,매핑!$A$4:$E$92,3,0)),"미분류"))</f>
        <v>한국</v>
      </c>
      <c r="X190" s="89" t="n">
        <f aca="false">IF($A190="",0,IF(O190="T",1,0))</f>
        <v>0</v>
      </c>
      <c r="Y190" s="89" t="n">
        <f aca="false">IF($A190="",0,IF(AND(C190="USD",X190=0,ISNUMBER(E190),ISNUMBER(K190)),IF(K190&gt;=설정!$C$8,1,0),0))</f>
        <v>1</v>
      </c>
      <c r="Z190" s="43" t="str">
        <f aca="false">IF($A190="","",N190&amp;"|"&amp;L190)</f>
        <v>아시아/기타|금융기관</v>
      </c>
      <c r="AA190" s="92" t="n">
        <f aca="false">IF(Y190=1,LN(K190),0)</f>
        <v>1.46279233209262</v>
      </c>
      <c r="AB190" s="93" t="n">
        <f aca="false">IF(Y190=1,E190,0)</f>
        <v>37.296</v>
      </c>
      <c r="AC190" s="89" t="n">
        <f aca="false">IF(Y190=1,COUNTIFS($Z$2:$Z$601,Z190,$Y$2:$Y$601,1),0)</f>
        <v>42</v>
      </c>
      <c r="AD190" s="89" t="n">
        <f aca="false">IF(Y190=1,COUNTIFS($N$2:$N$601,N190,$Y$2:$Y$601,1),0)</f>
        <v>137</v>
      </c>
      <c r="AE190" s="43" t="str">
        <f aca="false">IF(Y190&lt;&gt;1,"",IF(AND(AC190&gt;=설정!$C$7,ISNUMBER(MATCH(Z190,피어커브!$A:$A,0))),Z190,IF(AND(AD190&gt;=설정!$C$7,ISNUMBER(MATCH(N190&amp;"|전체",피어커브!$A:$A,0))),N190&amp;"|전체","전체|전체")))</f>
        <v>아시아/기타|금융기관</v>
      </c>
      <c r="AF190" s="93" t="n">
        <f aca="false">IF(AE190="","",INDEX(피어커브!$K:$K,MATCH(AE190,피어커브!$A:$A,0)))</f>
        <v>50.117430292991</v>
      </c>
      <c r="AG190" s="93" t="n">
        <f aca="false">IF(AE190="","",INDEX(피어커브!$J:$J,MATCH(AE190,피어커브!$A:$A,0)))</f>
        <v>13.9183160321618</v>
      </c>
      <c r="AH190" s="93" t="n">
        <f aca="false">IF(AE190="","",INDEX(피어커브!$L:$L,MATCH(AE190,피어커브!$A:$A,0)))</f>
        <v>20.4735875466442</v>
      </c>
      <c r="AI190" s="93" t="n">
        <f aca="false">IF(AE190="","",AF190+AG190*AA190)</f>
        <v>70.477036260479</v>
      </c>
      <c r="AJ190" s="96" t="n">
        <f aca="false">IF(AE190="","",E190-AI190)</f>
        <v>-33.181036260479</v>
      </c>
      <c r="AK190" s="95" t="n">
        <f aca="false">IF(AE190="","",IF(ISNUMBER(AH190),IF(AH190&gt;0,AJ190/AH190,""),""))</f>
        <v>-1.62067523265691</v>
      </c>
      <c r="AL190" s="43" t="str">
        <f aca="false">IF(AK190="","-",IF(AK190&gt;=설정!$C$6,"Cheap",IF(AK190&lt;=-설정!$C$6,"Rich","Fair")))</f>
        <v>Rich</v>
      </c>
      <c r="AM190" s="96" t="n">
        <f aca="false">IF(AE190="","",AJ190-AVERAGEIFS($AJ$2:$AJ$601,$B$2:$B$601,B190,$Y$2:$Y$601,1))</f>
        <v>-0.472801277136966</v>
      </c>
      <c r="AN190" s="93" t="n">
        <f aca="false">IF(AE190="",0,IF(K190&gt;1+설정!$C$8,AG190*(AA190-LN(K190-1)),0))</f>
        <v>3.66650394543122</v>
      </c>
      <c r="AO190" s="99" t="n">
        <f aca="false">IF($A190="",0,SUMIFS(보유분석!$AA$2:$AA$801,보유분석!$AB$2:$AB$801,ROW(),보유분석!$AC$2:$AC$801,1))</f>
        <v>0</v>
      </c>
      <c r="AP190" s="43" t="str">
        <f aca="false">IF($A190="","",TRIM(IF(R190=1,"FRN ","")&amp;IF(IFERROR(VLOOKUP(M190,설정!$A$15:$D$47,4,0),0)&gt;=10,IF(IFERROR(VLOOKUP(M190,설정!$A$15:$D$47,4,0),0)&lt;99,"BBB0미만 ",""),"")&amp;IF(OR(M190="",M190="NR"),"등급미입력 ","")&amp;IF(C190&lt;&gt;"USD","비USD ","")))</f>
        <v/>
      </c>
      <c r="AQ190" s="90" t="n">
        <f aca="false">IF(AND(Y190=1,AL190="Cheap"),IF(AND(ISERROR(SEARCH("FRN",AP190)),ISERROR(SEARCH("BBB0미만",AP190))),AK190+ROW()/1000000000,-999),-999)</f>
        <v>-999</v>
      </c>
      <c r="AR190" s="92" t="n">
        <f aca="false">IF(AND(ISNUMBER(D190),ISNUMBER(K190)),D190+AN190*MAX(K190-1,0)/100,"")</f>
        <v>5.58165460090941</v>
      </c>
      <c r="AS190" s="93" t="n">
        <f aca="false">IF(AND(ISNUMBER(E190),ISNUMBER(K190)),IF(K190&gt;0,(E190+AN190*MAX(K190-1,0))/K190,""),"")</f>
        <v>11.4547151669617</v>
      </c>
      <c r="AT190" s="90" t="n">
        <f aca="false">IFERROR(IF(AND(Y190=1,ROW()&lt;&gt;스왑분석!$C$12+1,ABS(K190-INDEX($K$2:$K$601,스왑분석!$C$12))&lt;=스왑분석!$C$5,ISERROR(SEARCH("FRN",AP190)),ISERROR(SEARCH("BBB0미만",AP190))),IF(AND(OR(스왑분석!$C$6="N",L190=INDEX($L$2:$L$601,스왑분석!$C$12)),OR(스왑분석!$C$7="N",N190=INDEX($N$2:$N$601,스왑분석!$C$12)),OR(스왑분석!$C$8="N",AO190=0),E190-INDEX($E$2:$E$601,스왑분석!$C$12)&gt;=스왑분석!$C$9),E190-INDEX($E$2:$E$601,스왑분석!$C$12)+ROW()/1000000000,-999),-999),-999)</f>
        <v>-999</v>
      </c>
      <c r="AU190" s="90" t="n">
        <f aca="false">IF(AND(Y190=1,AO190&gt;0,AL190="Rich"),-AK190+ROW()/1000000000,-999)</f>
        <v>-999</v>
      </c>
    </row>
    <row r="191" customFormat="false" ht="15" hidden="false" customHeight="false" outlineLevel="0" collapsed="false">
      <c r="A191" s="83" t="str">
        <f aca="false">IFERROR(IF(INDEX(원자료_시장!$A$1:$BZ$1000,설정!$L$6+ROW()-1,설정!$L$24)&amp;""="0","",INDEX(원자료_시장!$A$1:$BZ$1000,설정!$L$6+ROW()-1,설정!$L$24)),"")</f>
        <v>PKX 5 1/8 05/07/30</v>
      </c>
      <c r="B191" s="83" t="str">
        <f aca="false">IFERROR(IF(INDEX(원자료_시장!$A$1:$BZ$1000,설정!$L$6+ROW()-1,설정!$L$37)&amp;""="0","",INDEX(원자료_시장!$A$1:$BZ$1000,설정!$L$6+ROW()-1,설정!$L$37)),"")</f>
        <v>POSCO HOLDINGS INC</v>
      </c>
      <c r="C191" s="83" t="str">
        <f aca="false">IFERROR(IF(INDEX(원자료_시장!$A$1:$BZ$1000,설정!$L$6+ROW()-1,설정!$L$25)&amp;""="0","",INDEX(원자료_시장!$A$1:$BZ$1000,설정!$L$6+ROW()-1,설정!$L$25)),"")</f>
        <v>USD</v>
      </c>
      <c r="D191" s="85" t="n">
        <f aca="false">IFERROR(IF(ISNUMBER(INDEX(원자료_시장!$A$1:$BZ$1000,설정!$L$6+ROW()-1,설정!$L$26)),INDEX(원자료_시장!$A$1:$BZ$1000,설정!$L$6+ROW()-1,설정!$L$26),""),"")</f>
        <v>5.811</v>
      </c>
      <c r="E191" s="97" t="n">
        <f aca="false">IFERROR(IF(ISNUMBER(INDEX(원자료_시장!$A$1:$BZ$1000,설정!$L$6+ROW()-1,설정!$L$27)),INDEX(원자료_시장!$A$1:$BZ$1000,설정!$L$6+ROW()-1,설정!$L$27),""),"")</f>
        <v>72.436</v>
      </c>
      <c r="F191" s="97" t="n">
        <f aca="false">IFERROR(IF(ISNUMBER(INDEX(원자료_시장!$A$1:$BZ$1000,설정!$L$6+ROW()-1,설정!$L$28)),INDEX(원자료_시장!$A$1:$BZ$1000,설정!$L$6+ROW()-1,설정!$L$28),""),"")</f>
        <v>106.943</v>
      </c>
      <c r="G191" s="97" t="n">
        <f aca="false">IFERROR(IF(ISNUMBER(INDEX(원자료_시장!$A$1:$BZ$1000,설정!$L$6+ROW()-1,설정!$L$29)),INDEX(원자료_시장!$A$1:$BZ$1000,설정!$L$6+ROW()-1,설정!$L$29),""),"")</f>
        <v>-0.1</v>
      </c>
      <c r="H191" s="97" t="n">
        <f aca="false">IFERROR(IF(ISNUMBER(INDEX(원자료_시장!$A$1:$BZ$1000,설정!$L$6+ROW()-1,설정!$L$30)),INDEX(원자료_시장!$A$1:$BZ$1000,설정!$L$6+ROW()-1,설정!$L$30),""),"")</f>
        <v>5.2</v>
      </c>
      <c r="I191" s="97" t="n">
        <f aca="false">IFERROR(IF(ISNUMBER(INDEX(원자료_시장!$A$1:$BZ$1000,설정!$L$6+ROW()-1,설정!$L$31)),INDEX(원자료_시장!$A$1:$BZ$1000,설정!$L$6+ROW()-1,설정!$L$31),""),"")</f>
        <v>2.4</v>
      </c>
      <c r="J191" s="97" t="n">
        <f aca="false">IFERROR(IF(ISNUMBER(INDEX(원자료_시장!$A$1:$BZ$1000,설정!$L$6+ROW()-1,설정!$L$32)),INDEX(원자료_시장!$A$1:$BZ$1000,설정!$L$6+ROW()-1,설정!$L$32),""),"")</f>
        <v>3.9</v>
      </c>
      <c r="K191" s="85" t="n">
        <f aca="false">IFERROR(IF(ISNUMBER(INDEX(원자료_시장!$A$1:$BZ$1000,설정!$L$6+ROW()-1,설정!$L$33)),INDEX(원자료_시장!$A$1:$BZ$1000,설정!$L$6+ROW()-1,설정!$L$33),""),"")</f>
        <v>3.259</v>
      </c>
      <c r="L191" s="83" t="str">
        <f aca="false">IFERROR(IF(INDEX(원자료_시장!$A$1:$BZ$1000,설정!$L$6+ROW()-1,설정!$L$34)&amp;""="0","",INDEX(원자료_시장!$A$1:$BZ$1000,설정!$L$6+ROW()-1,설정!$L$34)),"")</f>
        <v>원자재</v>
      </c>
      <c r="M191" s="83" t="str">
        <f aca="false">IFERROR(IF(INDEX(원자료_시장!$A$1:$BZ$1000,설정!$L$6+ROW()-1,설정!$L$35)&amp;""="0","",INDEX(원자료_시장!$A$1:$BZ$1000,설정!$L$6+ROW()-1,설정!$L$35)),"")</f>
        <v>BBB+</v>
      </c>
      <c r="N191" s="83" t="str">
        <f aca="false">IFERROR(IF(INDEX(원자료_시장!$A$1:$BZ$1000,설정!$L$6+ROW()-1,설정!$L$36)&amp;""="0","",INDEX(원자료_시장!$A$1:$BZ$1000,설정!$L$6+ROW()-1,설정!$L$36)),"")</f>
        <v>아시아/기타</v>
      </c>
      <c r="O191" s="43" t="str">
        <f aca="false">IF($A191="","",UPPER(LEFT($A191,FIND(" ",$A191&amp;" ")-1)))</f>
        <v>PKX</v>
      </c>
      <c r="P191" s="43" t="str">
        <f aca="false">IF($A191="","",TRIM(RIGHT(SUBSTITUTE(TRIM($A191)," ",REPT(" ",30)),30)))</f>
        <v>05/07/30</v>
      </c>
      <c r="Q191" s="98" t="n">
        <f aca="false">IF($A191="","",IFERROR(DATE(IF(LEN(P191)=8,2000+VALUE(RIGHT(P191,2)),VALUE(RIGHT(P191,4))),VALUE(LEFT(P191,2)),VALUE(MID(P191,4,2))),""))</f>
        <v>47610</v>
      </c>
      <c r="R191" s="89" t="n">
        <f aca="false">IF($A191="",0,IF(ISNUMBER(SEARCH("Float",$A191)),1,0))</f>
        <v>0</v>
      </c>
      <c r="S191" s="43" t="str">
        <f aca="false">IF($A191="","",TRIM(MID($A191,LEN(O191)+2,LEN($A191)-LEN(O191)-LEN(P191)-1)))</f>
        <v>5 1/8</v>
      </c>
      <c r="T191" s="92" t="n">
        <f aca="false">IF(OR($A191="",R191=1),"",IFERROR(IF(ISNUMBER(FIND("/",S191)),IF(ISNUMBER(FIND(" ",S191)),VALUE(LEFT(S191,FIND(" ",S191)-1))+VALUE(MID(S191,FIND(" ",S191)+1,FIND("/",S191)-FIND(" ",S191)-1))/VALUE(MID(S191,FIND("/",S191)+1,9)),VALUE(LEFT(S191,FIND("/",S191)-1))/VALUE(MID(S191,FIND("/",S191)+1,9))),VALUE(S191)),""))</f>
        <v>5.125</v>
      </c>
      <c r="U191" s="43" t="str">
        <f aca="false">IF(OR($A191="",NOT(ISNUMBER(Q191))),"",TEXT(Q191,"yyyymmdd")&amp;"|"&amp;IF(R191=1,"F",TEXT(T191,"0.000")))</f>
        <v>20300507|5.125</v>
      </c>
      <c r="V191" s="43" t="str">
        <f aca="false">IF(U191="","",O191&amp;"|"&amp;U191)</f>
        <v>PKX|20300507|5.125</v>
      </c>
      <c r="W191" s="43" t="str">
        <f aca="false">IF($A191="","",IFERROR(IF(VLOOKUP(O191,매핑!$A$4:$E$92,3,0)="","미분류",VLOOKUP(O191,매핑!$A$4:$E$92,3,0)),"미분류"))</f>
        <v>한국</v>
      </c>
      <c r="X191" s="89" t="n">
        <f aca="false">IF($A191="",0,IF(O191="T",1,0))</f>
        <v>0</v>
      </c>
      <c r="Y191" s="89" t="n">
        <f aca="false">IF($A191="",0,IF(AND(C191="USD",X191=0,ISNUMBER(E191),ISNUMBER(K191)),IF(K191&gt;=설정!$C$8,1,0),0))</f>
        <v>1</v>
      </c>
      <c r="Z191" s="43" t="str">
        <f aca="false">IF($A191="","",N191&amp;"|"&amp;L191)</f>
        <v>아시아/기타|원자재</v>
      </c>
      <c r="AA191" s="92" t="n">
        <f aca="false">IF(Y191=1,LN(K191),0)</f>
        <v>1.18142039985542</v>
      </c>
      <c r="AB191" s="93" t="n">
        <f aca="false">IF(Y191=1,E191,0)</f>
        <v>72.436</v>
      </c>
      <c r="AC191" s="89" t="n">
        <f aca="false">IF(Y191=1,COUNTIFS($Z$2:$Z$601,Z191,$Y$2:$Y$601,1),0)</f>
        <v>6</v>
      </c>
      <c r="AD191" s="89" t="n">
        <f aca="false">IF(Y191=1,COUNTIFS($N$2:$N$601,N191,$Y$2:$Y$601,1),0)</f>
        <v>137</v>
      </c>
      <c r="AE191" s="43" t="str">
        <f aca="false">IF(Y191&lt;&gt;1,"",IF(AND(AC191&gt;=설정!$C$7,ISNUMBER(MATCH(Z191,피어커브!$A:$A,0))),Z191,IF(AND(AD191&gt;=설정!$C$7,ISNUMBER(MATCH(N191&amp;"|전체",피어커브!$A:$A,0))),N191&amp;"|전체","전체|전체")))</f>
        <v>아시아/기타|원자재</v>
      </c>
      <c r="AF191" s="93" t="n">
        <f aca="false">IF(AE191="","",INDEX(피어커브!$K:$K,MATCH(AE191,피어커브!$A:$A,0)))</f>
        <v>43.1916249831525</v>
      </c>
      <c r="AG191" s="93" t="n">
        <f aca="false">IF(AE191="","",INDEX(피어커브!$J:$J,MATCH(AE191,피어커브!$A:$A,0)))</f>
        <v>28.1535522404021</v>
      </c>
      <c r="AH191" s="93" t="n">
        <f aca="false">IF(AE191="","",INDEX(피어커브!$L:$L,MATCH(AE191,피어커브!$A:$A,0)))</f>
        <v>11.070041054458</v>
      </c>
      <c r="AI191" s="93" t="n">
        <f aca="false">IF(AE191="","",AF191+AG191*AA191)</f>
        <v>76.452805928359</v>
      </c>
      <c r="AJ191" s="96" t="n">
        <f aca="false">IF(AE191="","",E191-AI191)</f>
        <v>-4.01680592835896</v>
      </c>
      <c r="AK191" s="95" t="n">
        <f aca="false">IF(AE191="","",IF(ISNUMBER(AH191),IF(AH191&gt;0,AJ191/AH191,""),""))</f>
        <v>-0.36285375172492</v>
      </c>
      <c r="AL191" s="43" t="str">
        <f aca="false">IF(AK191="","-",IF(AK191&gt;=설정!$C$6,"Cheap",IF(AK191&lt;=-설정!$C$6,"Rich","Fair")))</f>
        <v>Fair</v>
      </c>
      <c r="AM191" s="96" t="n">
        <f aca="false">IF(AE191="","",AJ191-AVERAGEIFS($AJ$2:$AJ$601,$B$2:$B$601,B191,$Y$2:$Y$601,1))</f>
        <v>-2.05875060277503</v>
      </c>
      <c r="AN191" s="93" t="n">
        <f aca="false">IF(AE191="",0,IF(K191&gt;1+설정!$C$8,AG191*(AA191-LN(K191-1)),0))</f>
        <v>10.3182251602827</v>
      </c>
      <c r="AO191" s="99" t="n">
        <f aca="false">IF($A191="",0,SUMIFS(보유분석!$AA$2:$AA$801,보유분석!$AB$2:$AB$801,ROW(),보유분석!$AC$2:$AC$801,1))</f>
        <v>22.1199308</v>
      </c>
      <c r="AP191" s="43" t="str">
        <f aca="false">IF($A191="","",TRIM(IF(R191=1,"FRN ","")&amp;IF(IFERROR(VLOOKUP(M191,설정!$A$15:$D$47,4,0),0)&gt;=10,IF(IFERROR(VLOOKUP(M191,설정!$A$15:$D$47,4,0),0)&lt;99,"BBB0미만 ",""),"")&amp;IF(OR(M191="",M191="NR"),"등급미입력 ","")&amp;IF(C191&lt;&gt;"USD","비USD ","")))</f>
        <v/>
      </c>
      <c r="AQ191" s="90" t="n">
        <f aca="false">IF(AND(Y191=1,AL191="Cheap"),IF(AND(ISERROR(SEARCH("FRN",AP191)),ISERROR(SEARCH("BBB0미만",AP191))),AK191+ROW()/1000000000,-999),-999)</f>
        <v>-999</v>
      </c>
      <c r="AR191" s="92" t="n">
        <f aca="false">IF(AND(ISNUMBER(D191),ISNUMBER(K191)),D191+AN191*MAX(K191-1,0)/100,"")</f>
        <v>6.04408870637079</v>
      </c>
      <c r="AS191" s="93" t="n">
        <f aca="false">IF(AND(ISNUMBER(E191),ISNUMBER(K191)),IF(K191&gt;0,(E191+AN191*MAX(K191-1,0))/K191,""),"")</f>
        <v>29.3786040616995</v>
      </c>
      <c r="AT191" s="90" t="n">
        <f aca="false">IFERROR(IF(AND(Y191=1,ROW()&lt;&gt;스왑분석!$C$12+1,ABS(K191-INDEX($K$2:$K$601,스왑분석!$C$12))&lt;=스왑분석!$C$5,ISERROR(SEARCH("FRN",AP191)),ISERROR(SEARCH("BBB0미만",AP191))),IF(AND(OR(스왑분석!$C$6="N",L191=INDEX($L$2:$L$601,스왑분석!$C$12)),OR(스왑분석!$C$7="N",N191=INDEX($N$2:$N$601,스왑분석!$C$12)),OR(스왑분석!$C$8="N",AO191=0),E191-INDEX($E$2:$E$601,스왑분석!$C$12)&gt;=스왑분석!$C$9),E191-INDEX($E$2:$E$601,스왑분석!$C$12)+ROW()/1000000000,-999),-999),-999)</f>
        <v>23.944000191</v>
      </c>
      <c r="AU191" s="90" t="n">
        <f aca="false">IF(AND(Y191=1,AO191&gt;0,AL191="Rich"),-AK191+ROW()/1000000000,-999)</f>
        <v>-999</v>
      </c>
    </row>
    <row r="192" customFormat="false" ht="15" hidden="false" customHeight="false" outlineLevel="0" collapsed="false">
      <c r="A192" s="83" t="str">
        <f aca="false">IFERROR(IF(INDEX(원자료_시장!$A$1:$BZ$1000,설정!$L$6+ROW()-1,설정!$L$24)&amp;""="0","",INDEX(원자료_시장!$A$1:$BZ$1000,설정!$L$6+ROW()-1,설정!$L$24)),"")</f>
        <v>PKX 5 3/4 05/07/35</v>
      </c>
      <c r="B192" s="83" t="str">
        <f aca="false">IFERROR(IF(INDEX(원자료_시장!$A$1:$BZ$1000,설정!$L$6+ROW()-1,설정!$L$37)&amp;""="0","",INDEX(원자료_시장!$A$1:$BZ$1000,설정!$L$6+ROW()-1,설정!$L$37)),"")</f>
        <v>POSCO HOLDINGS INC</v>
      </c>
      <c r="C192" s="83" t="str">
        <f aca="false">IFERROR(IF(INDEX(원자료_시장!$A$1:$BZ$1000,설정!$L$6+ROW()-1,설정!$L$25)&amp;""="0","",INDEX(원자료_시장!$A$1:$BZ$1000,설정!$L$6+ROW()-1,설정!$L$25)),"")</f>
        <v>USD</v>
      </c>
      <c r="D192" s="85" t="n">
        <f aca="false">IFERROR(IF(ISNUMBER(INDEX(원자료_시장!$A$1:$BZ$1000,설정!$L$6+ROW()-1,설정!$L$26)),INDEX(원자료_시장!$A$1:$BZ$1000,설정!$L$6+ROW()-1,설정!$L$26),""),"")</f>
        <v>6.256</v>
      </c>
      <c r="E192" s="97" t="n">
        <f aca="false">IFERROR(IF(ISNUMBER(INDEX(원자료_시장!$A$1:$BZ$1000,설정!$L$6+ROW()-1,설정!$L$27)),INDEX(원자료_시장!$A$1:$BZ$1000,설정!$L$6+ROW()-1,설정!$L$27),""),"")</f>
        <v>96.877</v>
      </c>
      <c r="F192" s="97" t="n">
        <f aca="false">IFERROR(IF(ISNUMBER(INDEX(원자료_시장!$A$1:$BZ$1000,설정!$L$6+ROW()-1,설정!$L$28)),INDEX(원자료_시장!$A$1:$BZ$1000,설정!$L$6+ROW()-1,설정!$L$28),""),"")</f>
        <v>144.621</v>
      </c>
      <c r="G192" s="97" t="n">
        <f aca="false">IFERROR(IF(ISNUMBER(INDEX(원자료_시장!$A$1:$BZ$1000,설정!$L$6+ROW()-1,설정!$L$29)),INDEX(원자료_시장!$A$1:$BZ$1000,설정!$L$6+ROW()-1,설정!$L$29),""),"")</f>
        <v>0.6</v>
      </c>
      <c r="H192" s="97" t="n">
        <f aca="false">IFERROR(IF(ISNUMBER(INDEX(원자료_시장!$A$1:$BZ$1000,설정!$L$6+ROW()-1,설정!$L$30)),INDEX(원자료_시장!$A$1:$BZ$1000,설정!$L$6+ROW()-1,설정!$L$30),""),"")</f>
        <v>2.5</v>
      </c>
      <c r="I192" s="97" t="n">
        <f aca="false">IFERROR(IF(ISNUMBER(INDEX(원자료_시장!$A$1:$BZ$1000,설정!$L$6+ROW()-1,설정!$L$31)),INDEX(원자료_시장!$A$1:$BZ$1000,설정!$L$6+ROW()-1,설정!$L$31),""),"")</f>
        <v>0</v>
      </c>
      <c r="J192" s="97" t="n">
        <f aca="false">IFERROR(IF(ISNUMBER(INDEX(원자료_시장!$A$1:$BZ$1000,설정!$L$6+ROW()-1,설정!$L$32)),INDEX(원자료_시장!$A$1:$BZ$1000,설정!$L$6+ROW()-1,설정!$L$32),""),"")</f>
        <v>3.4</v>
      </c>
      <c r="K192" s="85" t="n">
        <f aca="false">IFERROR(IF(ISNUMBER(INDEX(원자료_시장!$A$1:$BZ$1000,설정!$L$6+ROW()-1,설정!$L$33)),INDEX(원자료_시장!$A$1:$BZ$1000,설정!$L$6+ROW()-1,설정!$L$33),""),"")</f>
        <v>6.708</v>
      </c>
      <c r="L192" s="83" t="str">
        <f aca="false">IFERROR(IF(INDEX(원자료_시장!$A$1:$BZ$1000,설정!$L$6+ROW()-1,설정!$L$34)&amp;""="0","",INDEX(원자료_시장!$A$1:$BZ$1000,설정!$L$6+ROW()-1,설정!$L$34)),"")</f>
        <v>원자재</v>
      </c>
      <c r="M192" s="83" t="str">
        <f aca="false">IFERROR(IF(INDEX(원자료_시장!$A$1:$BZ$1000,설정!$L$6+ROW()-1,설정!$L$35)&amp;""="0","",INDEX(원자료_시장!$A$1:$BZ$1000,설정!$L$6+ROW()-1,설정!$L$35)),"")</f>
        <v>BBB+</v>
      </c>
      <c r="N192" s="83" t="str">
        <f aca="false">IFERROR(IF(INDEX(원자료_시장!$A$1:$BZ$1000,설정!$L$6+ROW()-1,설정!$L$36)&amp;""="0","",INDEX(원자료_시장!$A$1:$BZ$1000,설정!$L$6+ROW()-1,설정!$L$36)),"")</f>
        <v>아시아/기타</v>
      </c>
      <c r="O192" s="43" t="str">
        <f aca="false">IF($A192="","",UPPER(LEFT($A192,FIND(" ",$A192&amp;" ")-1)))</f>
        <v>PKX</v>
      </c>
      <c r="P192" s="43" t="str">
        <f aca="false">IF($A192="","",TRIM(RIGHT(SUBSTITUTE(TRIM($A192)," ",REPT(" ",30)),30)))</f>
        <v>05/07/35</v>
      </c>
      <c r="Q192" s="98" t="n">
        <f aca="false">IF($A192="","",IFERROR(DATE(IF(LEN(P192)=8,2000+VALUE(RIGHT(P192,2)),VALUE(RIGHT(P192,4))),VALUE(LEFT(P192,2)),VALUE(MID(P192,4,2))),""))</f>
        <v>49436</v>
      </c>
      <c r="R192" s="89" t="n">
        <f aca="false">IF($A192="",0,IF(ISNUMBER(SEARCH("Float",$A192)),1,0))</f>
        <v>0</v>
      </c>
      <c r="S192" s="43" t="str">
        <f aca="false">IF($A192="","",TRIM(MID($A192,LEN(O192)+2,LEN($A192)-LEN(O192)-LEN(P192)-1)))</f>
        <v>5 3/4</v>
      </c>
      <c r="T192" s="92" t="n">
        <f aca="false">IF(OR($A192="",R192=1),"",IFERROR(IF(ISNUMBER(FIND("/",S192)),IF(ISNUMBER(FIND(" ",S192)),VALUE(LEFT(S192,FIND(" ",S192)-1))+VALUE(MID(S192,FIND(" ",S192)+1,FIND("/",S192)-FIND(" ",S192)-1))/VALUE(MID(S192,FIND("/",S192)+1,9)),VALUE(LEFT(S192,FIND("/",S192)-1))/VALUE(MID(S192,FIND("/",S192)+1,9))),VALUE(S192)),""))</f>
        <v>5.75</v>
      </c>
      <c r="U192" s="43" t="str">
        <f aca="false">IF(OR($A192="",NOT(ISNUMBER(Q192))),"",TEXT(Q192,"yyyymmdd")&amp;"|"&amp;IF(R192=1,"F",TEXT(T192,"0.000")))</f>
        <v>20350507|5.750</v>
      </c>
      <c r="V192" s="43" t="str">
        <f aca="false">IF(U192="","",O192&amp;"|"&amp;U192)</f>
        <v>PKX|20350507|5.750</v>
      </c>
      <c r="W192" s="43" t="str">
        <f aca="false">IF($A192="","",IFERROR(IF(VLOOKUP(O192,매핑!$A$4:$E$92,3,0)="","미분류",VLOOKUP(O192,매핑!$A$4:$E$92,3,0)),"미분류"))</f>
        <v>한국</v>
      </c>
      <c r="X192" s="89" t="n">
        <f aca="false">IF($A192="",0,IF(O192="T",1,0))</f>
        <v>0</v>
      </c>
      <c r="Y192" s="89" t="n">
        <f aca="false">IF($A192="",0,IF(AND(C192="USD",X192=0,ISNUMBER(E192),ISNUMBER(K192)),IF(K192&gt;=설정!$C$8,1,0),0))</f>
        <v>1</v>
      </c>
      <c r="Z192" s="43" t="str">
        <f aca="false">IF($A192="","",N192&amp;"|"&amp;L192)</f>
        <v>아시아/기타|원자재</v>
      </c>
      <c r="AA192" s="92" t="n">
        <f aca="false">IF(Y192=1,LN(K192),0)</f>
        <v>1.90330084396096</v>
      </c>
      <c r="AB192" s="93" t="n">
        <f aca="false">IF(Y192=1,E192,0)</f>
        <v>96.877</v>
      </c>
      <c r="AC192" s="89" t="n">
        <f aca="false">IF(Y192=1,COUNTIFS($Z$2:$Z$601,Z192,$Y$2:$Y$601,1),0)</f>
        <v>6</v>
      </c>
      <c r="AD192" s="89" t="n">
        <f aca="false">IF(Y192=1,COUNTIFS($N$2:$N$601,N192,$Y$2:$Y$601,1),0)</f>
        <v>137</v>
      </c>
      <c r="AE192" s="43" t="str">
        <f aca="false">IF(Y192&lt;&gt;1,"",IF(AND(AC192&gt;=설정!$C$7,ISNUMBER(MATCH(Z192,피어커브!$A:$A,0))),Z192,IF(AND(AD192&gt;=설정!$C$7,ISNUMBER(MATCH(N192&amp;"|전체",피어커브!$A:$A,0))),N192&amp;"|전체","전체|전체")))</f>
        <v>아시아/기타|원자재</v>
      </c>
      <c r="AF192" s="93" t="n">
        <f aca="false">IF(AE192="","",INDEX(피어커브!$K:$K,MATCH(AE192,피어커브!$A:$A,0)))</f>
        <v>43.1916249831525</v>
      </c>
      <c r="AG192" s="93" t="n">
        <f aca="false">IF(AE192="","",INDEX(피어커브!$J:$J,MATCH(AE192,피어커브!$A:$A,0)))</f>
        <v>28.1535522404021</v>
      </c>
      <c r="AH192" s="93" t="n">
        <f aca="false">IF(AE192="","",INDEX(피어커브!$L:$L,MATCH(AE192,피어커브!$A:$A,0)))</f>
        <v>11.070041054458</v>
      </c>
      <c r="AI192" s="93" t="n">
        <f aca="false">IF(AE192="","",AF192+AG192*AA192)</f>
        <v>96.7763047228089</v>
      </c>
      <c r="AJ192" s="96" t="n">
        <f aca="false">IF(AE192="","",E192-AI192)</f>
        <v>0.100695277191093</v>
      </c>
      <c r="AK192" s="95" t="n">
        <f aca="false">IF(AE192="","",IF(ISNUMBER(AH192),IF(AH192&gt;0,AJ192/AH192,""),""))</f>
        <v>0.00909619726753792</v>
      </c>
      <c r="AL192" s="43" t="str">
        <f aca="false">IF(AK192="","-",IF(AK192&gt;=설정!$C$6,"Cheap",IF(AK192&lt;=-설정!$C$6,"Rich","Fair")))</f>
        <v>Fair</v>
      </c>
      <c r="AM192" s="96" t="n">
        <f aca="false">IF(AE192="","",AJ192-AVERAGEIFS($AJ$2:$AJ$601,$B$2:$B$601,B192,$Y$2:$Y$601,1))</f>
        <v>2.05875060277503</v>
      </c>
      <c r="AN192" s="93" t="n">
        <f aca="false">IF(AE192="",0,IF(K192&gt;1+설정!$C$8,AG192*(AA192-LN(K192-1)),0))</f>
        <v>4.54488830913573</v>
      </c>
      <c r="AO192" s="99" t="n">
        <f aca="false">IF($A192="",0,SUMIFS(보유분석!$AA$2:$AA$801,보유분석!$AB$2:$AB$801,ROW(),보유분석!$AC$2:$AC$801,1))</f>
        <v>0</v>
      </c>
      <c r="AP192" s="43" t="str">
        <f aca="false">IF($A192="","",TRIM(IF(R192=1,"FRN ","")&amp;IF(IFERROR(VLOOKUP(M192,설정!$A$15:$D$47,4,0),0)&gt;=10,IF(IFERROR(VLOOKUP(M192,설정!$A$15:$D$47,4,0),0)&lt;99,"BBB0미만 ",""),"")&amp;IF(OR(M192="",M192="NR"),"등급미입력 ","")&amp;IF(C192&lt;&gt;"USD","비USD ","")))</f>
        <v/>
      </c>
      <c r="AQ192" s="90" t="n">
        <f aca="false">IF(AND(Y192=1,AL192="Cheap"),IF(AND(ISERROR(SEARCH("FRN",AP192)),ISERROR(SEARCH("BBB0미만",AP192))),AK192+ROW()/1000000000,-999),-999)</f>
        <v>-999</v>
      </c>
      <c r="AR192" s="92" t="n">
        <f aca="false">IF(AND(ISNUMBER(D192),ISNUMBER(K192)),D192+AN192*MAX(K192-1,0)/100,"")</f>
        <v>6.51542222468547</v>
      </c>
      <c r="AS192" s="93" t="n">
        <f aca="false">IF(AND(ISNUMBER(E192),ISNUMBER(K192)),IF(K192&gt;0,(E192+AN192*MAX(K192-1,0))/K192,""),"")</f>
        <v>18.3093653053886</v>
      </c>
      <c r="AT192" s="90" t="n">
        <f aca="false">IFERROR(IF(AND(Y192=1,ROW()&lt;&gt;스왑분석!$C$12+1,ABS(K192-INDEX($K$2:$K$601,스왑분석!$C$12))&lt;=스왑분석!$C$5,ISERROR(SEARCH("FRN",AP192)),ISERROR(SEARCH("BBB0미만",AP192))),IF(AND(OR(스왑분석!$C$6="N",L192=INDEX($L$2:$L$601,스왑분석!$C$12)),OR(스왑분석!$C$7="N",N192=INDEX($N$2:$N$601,스왑분석!$C$12)),OR(스왑분석!$C$8="N",AO192=0),E192-INDEX($E$2:$E$601,스왑분석!$C$12)&gt;=스왑분석!$C$9),E192-INDEX($E$2:$E$601,스왑분석!$C$12)+ROW()/1000000000,-999),-999),-999)</f>
        <v>-999</v>
      </c>
      <c r="AU192" s="90" t="n">
        <f aca="false">IF(AND(Y192=1,AO192&gt;0,AL192="Rich"),-AK192+ROW()/1000000000,-999)</f>
        <v>-999</v>
      </c>
    </row>
    <row r="193" customFormat="false" ht="15" hidden="false" customHeight="false" outlineLevel="0" collapsed="false">
      <c r="A193" s="83" t="str">
        <f aca="false">IFERROR(IF(INDEX(원자료_시장!$A$1:$BZ$1000,설정!$L$6+ROW()-1,설정!$L$24)&amp;""="0","",INDEX(원자료_시장!$A$1:$BZ$1000,설정!$L$6+ROW()-1,설정!$L$24)),"")</f>
        <v>SHNHAN 4 3/8 04/10/31</v>
      </c>
      <c r="B193" s="83" t="str">
        <f aca="false">IFERROR(IF(INDEX(원자료_시장!$A$1:$BZ$1000,설정!$L$6+ROW()-1,설정!$L$37)&amp;""="0","",INDEX(원자료_시장!$A$1:$BZ$1000,설정!$L$6+ROW()-1,설정!$L$37)),"")</f>
        <v>SHINHAN BANK</v>
      </c>
      <c r="C193" s="83" t="str">
        <f aca="false">IFERROR(IF(INDEX(원자료_시장!$A$1:$BZ$1000,설정!$L$6+ROW()-1,설정!$L$25)&amp;""="0","",INDEX(원자료_시장!$A$1:$BZ$1000,설정!$L$6+ROW()-1,설정!$L$25)),"")</f>
        <v>USD</v>
      </c>
      <c r="D193" s="85" t="n">
        <f aca="false">IFERROR(IF(ISNUMBER(INDEX(원자료_시장!$A$1:$BZ$1000,설정!$L$6+ROW()-1,설정!$L$26)),INDEX(원자료_시장!$A$1:$BZ$1000,설정!$L$6+ROW()-1,설정!$L$26),""),"")</f>
        <v>5.439</v>
      </c>
      <c r="E193" s="97" t="n">
        <f aca="false">IFERROR(IF(ISNUMBER(INDEX(원자료_시장!$A$1:$BZ$1000,설정!$L$6+ROW()-1,설정!$L$27)),INDEX(원자료_시장!$A$1:$BZ$1000,설정!$L$6+ROW()-1,설정!$L$27),""),"")</f>
        <v>35.234</v>
      </c>
      <c r="F193" s="97" t="n">
        <f aca="false">IFERROR(IF(ISNUMBER(INDEX(원자료_시장!$A$1:$BZ$1000,설정!$L$6+ROW()-1,설정!$L$28)),INDEX(원자료_시장!$A$1:$BZ$1000,설정!$L$6+ROW()-1,설정!$L$28),""),"")</f>
        <v>68.902</v>
      </c>
      <c r="G193" s="97" t="n">
        <f aca="false">IFERROR(IF(ISNUMBER(INDEX(원자료_시장!$A$1:$BZ$1000,설정!$L$6+ROW()-1,설정!$L$29)),INDEX(원자료_시장!$A$1:$BZ$1000,설정!$L$6+ROW()-1,설정!$L$29),""),"")</f>
        <v>0.9</v>
      </c>
      <c r="H193" s="97" t="n">
        <f aca="false">IFERROR(IF(ISNUMBER(INDEX(원자료_시장!$A$1:$BZ$1000,설정!$L$6+ROW()-1,설정!$L$30)),INDEX(원자료_시장!$A$1:$BZ$1000,설정!$L$6+ROW()-1,설정!$L$30),""),"")</f>
        <v>5.9</v>
      </c>
      <c r="I193" s="97" t="n">
        <f aca="false">IFERROR(IF(ISNUMBER(INDEX(원자료_시장!$A$1:$BZ$1000,설정!$L$6+ROW()-1,설정!$L$31)),INDEX(원자료_시장!$A$1:$BZ$1000,설정!$L$6+ROW()-1,설정!$L$31),""),"")</f>
        <v>0.5</v>
      </c>
      <c r="J193" s="97" t="n">
        <f aca="false">IFERROR(IF(ISNUMBER(INDEX(원자료_시장!$A$1:$BZ$1000,설정!$L$6+ROW()-1,설정!$L$32)),INDEX(원자료_시장!$A$1:$BZ$1000,설정!$L$6+ROW()-1,설정!$L$32),""),"")</f>
        <v>0.6</v>
      </c>
      <c r="K193" s="85" t="n">
        <f aca="false">IFERROR(IF(ISNUMBER(INDEX(원자료_시장!$A$1:$BZ$1000,설정!$L$6+ROW()-1,설정!$L$33)),INDEX(원자료_시장!$A$1:$BZ$1000,설정!$L$6+ROW()-1,설정!$L$33),""),"")</f>
        <v>4.054</v>
      </c>
      <c r="L193" s="83" t="str">
        <f aca="false">IFERROR(IF(INDEX(원자료_시장!$A$1:$BZ$1000,설정!$L$6+ROW()-1,설정!$L$34)&amp;""="0","",INDEX(원자료_시장!$A$1:$BZ$1000,설정!$L$6+ROW()-1,설정!$L$34)),"")</f>
        <v>금융기관</v>
      </c>
      <c r="M193" s="83" t="str">
        <f aca="false">IFERROR(IF(INDEX(원자료_시장!$A$1:$BZ$1000,설정!$L$6+ROW()-1,설정!$L$35)&amp;""="0","",INDEX(원자료_시장!$A$1:$BZ$1000,설정!$L$6+ROW()-1,설정!$L$35)),"")</f>
        <v>A+</v>
      </c>
      <c r="N193" s="83" t="str">
        <f aca="false">IFERROR(IF(INDEX(원자료_시장!$A$1:$BZ$1000,설정!$L$6+ROW()-1,설정!$L$36)&amp;""="0","",INDEX(원자료_시장!$A$1:$BZ$1000,설정!$L$6+ROW()-1,설정!$L$36)),"")</f>
        <v>아시아/기타</v>
      </c>
      <c r="O193" s="43" t="str">
        <f aca="false">IF($A193="","",UPPER(LEFT($A193,FIND(" ",$A193&amp;" ")-1)))</f>
        <v>SHNHAN</v>
      </c>
      <c r="P193" s="43" t="str">
        <f aca="false">IF($A193="","",TRIM(RIGHT(SUBSTITUTE(TRIM($A193)," ",REPT(" ",30)),30)))</f>
        <v>04/10/31</v>
      </c>
      <c r="Q193" s="98" t="n">
        <f aca="false">IF($A193="","",IFERROR(DATE(IF(LEN(P193)=8,2000+VALUE(RIGHT(P193,2)),VALUE(RIGHT(P193,4))),VALUE(LEFT(P193,2)),VALUE(MID(P193,4,2))),""))</f>
        <v>47948</v>
      </c>
      <c r="R193" s="89" t="n">
        <f aca="false">IF($A193="",0,IF(ISNUMBER(SEARCH("Float",$A193)),1,0))</f>
        <v>0</v>
      </c>
      <c r="S193" s="43" t="str">
        <f aca="false">IF($A193="","",TRIM(MID($A193,LEN(O193)+2,LEN($A193)-LEN(O193)-LEN(P193)-1)))</f>
        <v>4 3/8</v>
      </c>
      <c r="T193" s="92" t="n">
        <f aca="false">IF(OR($A193="",R193=1),"",IFERROR(IF(ISNUMBER(FIND("/",S193)),IF(ISNUMBER(FIND(" ",S193)),VALUE(LEFT(S193,FIND(" ",S193)-1))+VALUE(MID(S193,FIND(" ",S193)+1,FIND("/",S193)-FIND(" ",S193)-1))/VALUE(MID(S193,FIND("/",S193)+1,9)),VALUE(LEFT(S193,FIND("/",S193)-1))/VALUE(MID(S193,FIND("/",S193)+1,9))),VALUE(S193)),""))</f>
        <v>4.375</v>
      </c>
      <c r="U193" s="43" t="str">
        <f aca="false">IF(OR($A193="",NOT(ISNUMBER(Q193))),"",TEXT(Q193,"yyyymmdd")&amp;"|"&amp;IF(R193=1,"F",TEXT(T193,"0.000")))</f>
        <v>20310410|4.375</v>
      </c>
      <c r="V193" s="43" t="str">
        <f aca="false">IF(U193="","",O193&amp;"|"&amp;U193)</f>
        <v>SHNHAN|20310410|4.375</v>
      </c>
      <c r="W193" s="43" t="str">
        <f aca="false">IF($A193="","",IFERROR(IF(VLOOKUP(O193,매핑!$A$4:$E$92,3,0)="","미분류",VLOOKUP(O193,매핑!$A$4:$E$92,3,0)),"미분류"))</f>
        <v>한국</v>
      </c>
      <c r="X193" s="89" t="n">
        <f aca="false">IF($A193="",0,IF(O193="T",1,0))</f>
        <v>0</v>
      </c>
      <c r="Y193" s="89" t="n">
        <f aca="false">IF($A193="",0,IF(AND(C193="USD",X193=0,ISNUMBER(E193),ISNUMBER(K193)),IF(K193&gt;=설정!$C$8,1,0),0))</f>
        <v>1</v>
      </c>
      <c r="Z193" s="43" t="str">
        <f aca="false">IF($A193="","",N193&amp;"|"&amp;L193)</f>
        <v>아시아/기타|금융기관</v>
      </c>
      <c r="AA193" s="92" t="n">
        <f aca="false">IF(Y193=1,LN(K193),0)</f>
        <v>1.39970404802981</v>
      </c>
      <c r="AB193" s="93" t="n">
        <f aca="false">IF(Y193=1,E193,0)</f>
        <v>35.234</v>
      </c>
      <c r="AC193" s="89" t="n">
        <f aca="false">IF(Y193=1,COUNTIFS($Z$2:$Z$601,Z193,$Y$2:$Y$601,1),0)</f>
        <v>42</v>
      </c>
      <c r="AD193" s="89" t="n">
        <f aca="false">IF(Y193=1,COUNTIFS($N$2:$N$601,N193,$Y$2:$Y$601,1),0)</f>
        <v>137</v>
      </c>
      <c r="AE193" s="43" t="str">
        <f aca="false">IF(Y193&lt;&gt;1,"",IF(AND(AC193&gt;=설정!$C$7,ISNUMBER(MATCH(Z193,피어커브!$A:$A,0))),Z193,IF(AND(AD193&gt;=설정!$C$7,ISNUMBER(MATCH(N193&amp;"|전체",피어커브!$A:$A,0))),N193&amp;"|전체","전체|전체")))</f>
        <v>아시아/기타|금융기관</v>
      </c>
      <c r="AF193" s="93" t="n">
        <f aca="false">IF(AE193="","",INDEX(피어커브!$K:$K,MATCH(AE193,피어커브!$A:$A,0)))</f>
        <v>50.117430292991</v>
      </c>
      <c r="AG193" s="93" t="n">
        <f aca="false">IF(AE193="","",INDEX(피어커브!$J:$J,MATCH(AE193,피어커브!$A:$A,0)))</f>
        <v>13.9183160321618</v>
      </c>
      <c r="AH193" s="93" t="n">
        <f aca="false">IF(AE193="","",INDEX(피어커브!$L:$L,MATCH(AE193,피어커브!$A:$A,0)))</f>
        <v>20.4735875466442</v>
      </c>
      <c r="AI193" s="93" t="n">
        <f aca="false">IF(AE193="","",AF193+AG193*AA193)</f>
        <v>69.5989535849661</v>
      </c>
      <c r="AJ193" s="96" t="n">
        <f aca="false">IF(AE193="","",E193-AI193)</f>
        <v>-34.3649535849661</v>
      </c>
      <c r="AK193" s="95" t="n">
        <f aca="false">IF(AE193="","",IF(ISNUMBER(AH193),IF(AH193&gt;0,AJ193/AH193,""),""))</f>
        <v>-1.6785018017323</v>
      </c>
      <c r="AL193" s="43" t="str">
        <f aca="false">IF(AK193="","-",IF(AK193&gt;=설정!$C$6,"Cheap",IF(AK193&lt;=-설정!$C$6,"Rich","Fair")))</f>
        <v>Rich</v>
      </c>
      <c r="AM193" s="96" t="n">
        <f aca="false">IF(AE193="","",AJ193-AVERAGEIFS($AJ$2:$AJ$601,$B$2:$B$601,B193,$Y$2:$Y$601,1))</f>
        <v>-26.4022712694588</v>
      </c>
      <c r="AN193" s="93" t="n">
        <f aca="false">IF(AE193="",0,IF(K193&gt;1+설정!$C$8,AG193*(AA193-LN(K193-1)),0))</f>
        <v>3.94238864297773</v>
      </c>
      <c r="AO193" s="99" t="n">
        <f aca="false">IF($A193="",0,SUMIFS(보유분석!$AA$2:$AA$801,보유분석!$AB$2:$AB$801,ROW(),보유분석!$AC$2:$AC$801,1))</f>
        <v>0</v>
      </c>
      <c r="AP193" s="43" t="str">
        <f aca="false">IF($A193="","",TRIM(IF(R193=1,"FRN ","")&amp;IF(IFERROR(VLOOKUP(M193,설정!$A$15:$D$47,4,0),0)&gt;=10,IF(IFERROR(VLOOKUP(M193,설정!$A$15:$D$47,4,0),0)&lt;99,"BBB0미만 ",""),"")&amp;IF(OR(M193="",M193="NR"),"등급미입력 ","")&amp;IF(C193&lt;&gt;"USD","비USD ","")))</f>
        <v/>
      </c>
      <c r="AQ193" s="90" t="n">
        <f aca="false">IF(AND(Y193=1,AL193="Cheap"),IF(AND(ISERROR(SEARCH("FRN",AP193)),ISERROR(SEARCH("BBB0미만",AP193))),AK193+ROW()/1000000000,-999),-999)</f>
        <v>-999</v>
      </c>
      <c r="AR193" s="92" t="n">
        <f aca="false">IF(AND(ISNUMBER(D193),ISNUMBER(K193)),D193+AN193*MAX(K193-1,0)/100,"")</f>
        <v>5.55940054915654</v>
      </c>
      <c r="AS193" s="93" t="n">
        <f aca="false">IF(AND(ISNUMBER(E193),ISNUMBER(K193)),IF(K193&gt;0,(E193+AN193*MAX(K193-1,0))/K193,""),"")</f>
        <v>11.6610890270483</v>
      </c>
      <c r="AT193" s="90" t="n">
        <f aca="false">IFERROR(IF(AND(Y193=1,ROW()&lt;&gt;스왑분석!$C$12+1,ABS(K193-INDEX($K$2:$K$601,스왑분석!$C$12))&lt;=스왑분석!$C$5,ISERROR(SEARCH("FRN",AP193)),ISERROR(SEARCH("BBB0미만",AP193))),IF(AND(OR(스왑분석!$C$6="N",L193=INDEX($L$2:$L$601,스왑분석!$C$12)),OR(스왑분석!$C$7="N",N193=INDEX($N$2:$N$601,스왑분석!$C$12)),OR(스왑분석!$C$8="N",AO193=0),E193-INDEX($E$2:$E$601,스왑분석!$C$12)&gt;=스왑분석!$C$9),E193-INDEX($E$2:$E$601,스왑분석!$C$12)+ROW()/1000000000,-999),-999),-999)</f>
        <v>-999</v>
      </c>
      <c r="AU193" s="90" t="n">
        <f aca="false">IF(AND(Y193=1,AO193&gt;0,AL193="Rich"),-AK193+ROW()/1000000000,-999)</f>
        <v>-999</v>
      </c>
    </row>
    <row r="194" customFormat="false" ht="15" hidden="false" customHeight="false" outlineLevel="0" collapsed="false">
      <c r="A194" s="83" t="str">
        <f aca="false">IFERROR(IF(INDEX(원자료_시장!$A$1:$BZ$1000,설정!$L$6+ROW()-1,설정!$L$24)&amp;""="0","",INDEX(원자료_시장!$A$1:$BZ$1000,설정!$L$6+ROW()-1,설정!$L$24)),"")</f>
        <v>POHANG 5 3/4 01/17/28</v>
      </c>
      <c r="B194" s="83" t="str">
        <f aca="false">IFERROR(IF(INDEX(원자료_시장!$A$1:$BZ$1000,설정!$L$6+ROW()-1,설정!$L$37)&amp;""="0","",INDEX(원자료_시장!$A$1:$BZ$1000,설정!$L$6+ROW()-1,설정!$L$37)),"")</f>
        <v>POSCO</v>
      </c>
      <c r="C194" s="83" t="str">
        <f aca="false">IFERROR(IF(INDEX(원자료_시장!$A$1:$BZ$1000,설정!$L$6+ROW()-1,설정!$L$25)&amp;""="0","",INDEX(원자료_시장!$A$1:$BZ$1000,설정!$L$6+ROW()-1,설정!$L$25)),"")</f>
        <v>USD</v>
      </c>
      <c r="D194" s="85" t="n">
        <f aca="false">IFERROR(IF(ISNUMBER(INDEX(원자료_시장!$A$1:$BZ$1000,설정!$L$6+ROW()-1,설정!$L$26)),INDEX(원자료_시장!$A$1:$BZ$1000,설정!$L$6+ROW()-1,설정!$L$26),""),"")</f>
        <v>5.379</v>
      </c>
      <c r="E194" s="97" t="n">
        <f aca="false">IFERROR(IF(ISNUMBER(INDEX(원자료_시장!$A$1:$BZ$1000,설정!$L$6+ROW()-1,설정!$L$27)),INDEX(원자료_시장!$A$1:$BZ$1000,설정!$L$6+ROW()-1,설정!$L$27),""),"")</f>
        <v>48.966</v>
      </c>
      <c r="F194" s="97" t="n">
        <f aca="false">IFERROR(IF(ISNUMBER(INDEX(원자료_시장!$A$1:$BZ$1000,설정!$L$6+ROW()-1,설정!$L$28)),INDEX(원자료_시장!$A$1:$BZ$1000,설정!$L$6+ROW()-1,설정!$L$28),""),"")</f>
        <v>81.232</v>
      </c>
      <c r="G194" s="97" t="n">
        <f aca="false">IFERROR(IF(ISNUMBER(INDEX(원자료_시장!$A$1:$BZ$1000,설정!$L$6+ROW()-1,설정!$L$29)),INDEX(원자료_시장!$A$1:$BZ$1000,설정!$L$6+ROW()-1,설정!$L$29),""),"")</f>
        <v>-1.4</v>
      </c>
      <c r="H194" s="97" t="n">
        <f aca="false">IFERROR(IF(ISNUMBER(INDEX(원자료_시장!$A$1:$BZ$1000,설정!$L$6+ROW()-1,설정!$L$30)),INDEX(원자료_시장!$A$1:$BZ$1000,설정!$L$6+ROW()-1,설정!$L$30),""),"")</f>
        <v>20.4</v>
      </c>
      <c r="I194" s="97" t="n">
        <f aca="false">IFERROR(IF(ISNUMBER(INDEX(원자료_시장!$A$1:$BZ$1000,설정!$L$6+ROW()-1,설정!$L$31)),INDEX(원자료_시장!$A$1:$BZ$1000,설정!$L$6+ROW()-1,설정!$L$31),""),"")</f>
        <v>6.4</v>
      </c>
      <c r="J194" s="97" t="n">
        <f aca="false">IFERROR(IF(ISNUMBER(INDEX(원자료_시장!$A$1:$BZ$1000,설정!$L$6+ROW()-1,설정!$L$32)),INDEX(원자료_시장!$A$1:$BZ$1000,설정!$L$6+ROW()-1,설정!$L$32),""),"")</f>
        <v>0.9</v>
      </c>
      <c r="K194" s="85" t="n">
        <f aca="false">IFERROR(IF(ISNUMBER(INDEX(원자료_시장!$A$1:$BZ$1000,설정!$L$6+ROW()-1,설정!$L$33)),INDEX(원자료_시장!$A$1:$BZ$1000,설정!$L$6+ROW()-1,설정!$L$33),""),"")</f>
        <v>1.25</v>
      </c>
      <c r="L194" s="83" t="str">
        <f aca="false">IFERROR(IF(INDEX(원자료_시장!$A$1:$BZ$1000,설정!$L$6+ROW()-1,설정!$L$34)&amp;""="0","",INDEX(원자료_시장!$A$1:$BZ$1000,설정!$L$6+ROW()-1,설정!$L$34)),"")</f>
        <v>원자재</v>
      </c>
      <c r="M194" s="83" t="str">
        <f aca="false">IFERROR(IF(INDEX(원자료_시장!$A$1:$BZ$1000,설정!$L$6+ROW()-1,설정!$L$35)&amp;""="0","",INDEX(원자료_시장!$A$1:$BZ$1000,설정!$L$6+ROW()-1,설정!$L$35)),"")</f>
        <v>BBB+</v>
      </c>
      <c r="N194" s="83" t="str">
        <f aca="false">IFERROR(IF(INDEX(원자료_시장!$A$1:$BZ$1000,설정!$L$6+ROW()-1,설정!$L$36)&amp;""="0","",INDEX(원자료_시장!$A$1:$BZ$1000,설정!$L$6+ROW()-1,설정!$L$36)),"")</f>
        <v>아시아/기타</v>
      </c>
      <c r="O194" s="43" t="str">
        <f aca="false">IF($A194="","",UPPER(LEFT($A194,FIND(" ",$A194&amp;" ")-1)))</f>
        <v>POHANG</v>
      </c>
      <c r="P194" s="43" t="str">
        <f aca="false">IF($A194="","",TRIM(RIGHT(SUBSTITUTE(TRIM($A194)," ",REPT(" ",30)),30)))</f>
        <v>01/17/28</v>
      </c>
      <c r="Q194" s="98" t="n">
        <f aca="false">IF($A194="","",IFERROR(DATE(IF(LEN(P194)=8,2000+VALUE(RIGHT(P194,2)),VALUE(RIGHT(P194,4))),VALUE(LEFT(P194,2)),VALUE(MID(P194,4,2))),""))</f>
        <v>46769</v>
      </c>
      <c r="R194" s="89" t="n">
        <f aca="false">IF($A194="",0,IF(ISNUMBER(SEARCH("Float",$A194)),1,0))</f>
        <v>0</v>
      </c>
      <c r="S194" s="43" t="str">
        <f aca="false">IF($A194="","",TRIM(MID($A194,LEN(O194)+2,LEN($A194)-LEN(O194)-LEN(P194)-1)))</f>
        <v>5 3/4</v>
      </c>
      <c r="T194" s="92" t="n">
        <f aca="false">IF(OR($A194="",R194=1),"",IFERROR(IF(ISNUMBER(FIND("/",S194)),IF(ISNUMBER(FIND(" ",S194)),VALUE(LEFT(S194,FIND(" ",S194)-1))+VALUE(MID(S194,FIND(" ",S194)+1,FIND("/",S194)-FIND(" ",S194)-1))/VALUE(MID(S194,FIND("/",S194)+1,9)),VALUE(LEFT(S194,FIND("/",S194)-1))/VALUE(MID(S194,FIND("/",S194)+1,9))),VALUE(S194)),""))</f>
        <v>5.75</v>
      </c>
      <c r="U194" s="43" t="str">
        <f aca="false">IF(OR($A194="",NOT(ISNUMBER(Q194))),"",TEXT(Q194,"yyyymmdd")&amp;"|"&amp;IF(R194=1,"F",TEXT(T194,"0.000")))</f>
        <v>20280117|5.750</v>
      </c>
      <c r="V194" s="43" t="str">
        <f aca="false">IF(U194="","",O194&amp;"|"&amp;U194)</f>
        <v>POHANG|20280117|5.750</v>
      </c>
      <c r="W194" s="43" t="str">
        <f aca="false">IF($A194="","",IFERROR(IF(VLOOKUP(O194,매핑!$A$4:$E$92,3,0)="","미분류",VLOOKUP(O194,매핑!$A$4:$E$92,3,0)),"미분류"))</f>
        <v>한국</v>
      </c>
      <c r="X194" s="89" t="n">
        <f aca="false">IF($A194="",0,IF(O194="T",1,0))</f>
        <v>0</v>
      </c>
      <c r="Y194" s="89" t="n">
        <f aca="false">IF($A194="",0,IF(AND(C194="USD",X194=0,ISNUMBER(E194),ISNUMBER(K194)),IF(K194&gt;=설정!$C$8,1,0),0))</f>
        <v>1</v>
      </c>
      <c r="Z194" s="43" t="str">
        <f aca="false">IF($A194="","",N194&amp;"|"&amp;L194)</f>
        <v>아시아/기타|원자재</v>
      </c>
      <c r="AA194" s="92" t="n">
        <f aca="false">IF(Y194=1,LN(K194),0)</f>
        <v>0.22314355131421</v>
      </c>
      <c r="AB194" s="93" t="n">
        <f aca="false">IF(Y194=1,E194,0)</f>
        <v>48.966</v>
      </c>
      <c r="AC194" s="89" t="n">
        <f aca="false">IF(Y194=1,COUNTIFS($Z$2:$Z$601,Z194,$Y$2:$Y$601,1),0)</f>
        <v>6</v>
      </c>
      <c r="AD194" s="89" t="n">
        <f aca="false">IF(Y194=1,COUNTIFS($N$2:$N$601,N194,$Y$2:$Y$601,1),0)</f>
        <v>137</v>
      </c>
      <c r="AE194" s="43" t="str">
        <f aca="false">IF(Y194&lt;&gt;1,"",IF(AND(AC194&gt;=설정!$C$7,ISNUMBER(MATCH(Z194,피어커브!$A:$A,0))),Z194,IF(AND(AD194&gt;=설정!$C$7,ISNUMBER(MATCH(N194&amp;"|전체",피어커브!$A:$A,0))),N194&amp;"|전체","전체|전체")))</f>
        <v>아시아/기타|원자재</v>
      </c>
      <c r="AF194" s="93" t="n">
        <f aca="false">IF(AE194="","",INDEX(피어커브!$K:$K,MATCH(AE194,피어커브!$A:$A,0)))</f>
        <v>43.1916249831525</v>
      </c>
      <c r="AG194" s="93" t="n">
        <f aca="false">IF(AE194="","",INDEX(피어커브!$J:$J,MATCH(AE194,피어커브!$A:$A,0)))</f>
        <v>28.1535522404021</v>
      </c>
      <c r="AH194" s="93" t="n">
        <f aca="false">IF(AE194="","",INDEX(피어커브!$L:$L,MATCH(AE194,피어커브!$A:$A,0)))</f>
        <v>11.070041054458</v>
      </c>
      <c r="AI194" s="93" t="n">
        <f aca="false">IF(AE194="","",AF194+AG194*AA194)</f>
        <v>49.473908612186</v>
      </c>
      <c r="AJ194" s="96" t="n">
        <f aca="false">IF(AE194="","",E194-AI194)</f>
        <v>-0.507908612185972</v>
      </c>
      <c r="AK194" s="95" t="n">
        <f aca="false">IF(AE194="","",IF(ISNUMBER(AH194),IF(AH194&gt;0,AJ194/AH194,""),""))</f>
        <v>-0.0458813666261367</v>
      </c>
      <c r="AL194" s="43" t="str">
        <f aca="false">IF(AK194="","-",IF(AK194&gt;=설정!$C$6,"Cheap",IF(AK194&lt;=-설정!$C$6,"Rich","Fair")))</f>
        <v>Fair</v>
      </c>
      <c r="AM194" s="96" t="n">
        <f aca="false">IF(AE194="","",AJ194-AVERAGEIFS($AJ$2:$AJ$601,$B$2:$B$601,B194,$Y$2:$Y$601,1))</f>
        <v>4.45780270484935</v>
      </c>
      <c r="AN194" s="93" t="n">
        <f aca="false">IF(AE194="",0,IF(K194&gt;1+설정!$C$8,AG194*(AA194-LN(K194-1)),0))</f>
        <v>0</v>
      </c>
      <c r="AO194" s="99" t="n">
        <f aca="false">IF($A194="",0,SUMIFS(보유분석!$AA$2:$AA$801,보유분석!$AB$2:$AB$801,ROW(),보유분석!$AC$2:$AC$801,1))</f>
        <v>5.02233</v>
      </c>
      <c r="AP194" s="43" t="str">
        <f aca="false">IF($A194="","",TRIM(IF(R194=1,"FRN ","")&amp;IF(IFERROR(VLOOKUP(M194,설정!$A$15:$D$47,4,0),0)&gt;=10,IF(IFERROR(VLOOKUP(M194,설정!$A$15:$D$47,4,0),0)&lt;99,"BBB0미만 ",""),"")&amp;IF(OR(M194="",M194="NR"),"등급미입력 ","")&amp;IF(C194&lt;&gt;"USD","비USD ","")))</f>
        <v/>
      </c>
      <c r="AQ194" s="90" t="n">
        <f aca="false">IF(AND(Y194=1,AL194="Cheap"),IF(AND(ISERROR(SEARCH("FRN",AP194)),ISERROR(SEARCH("BBB0미만",AP194))),AK194+ROW()/1000000000,-999),-999)</f>
        <v>-999</v>
      </c>
      <c r="AR194" s="92" t="n">
        <f aca="false">IF(AND(ISNUMBER(D194),ISNUMBER(K194)),D194+AN194*MAX(K194-1,0)/100,"")</f>
        <v>5.379</v>
      </c>
      <c r="AS194" s="93" t="n">
        <f aca="false">IF(AND(ISNUMBER(E194),ISNUMBER(K194)),IF(K194&gt;0,(E194+AN194*MAX(K194-1,0))/K194,""),"")</f>
        <v>39.1728</v>
      </c>
      <c r="AT194" s="90" t="n">
        <f aca="false">IFERROR(IF(AND(Y194=1,ROW()&lt;&gt;스왑분석!$C$12+1,ABS(K194-INDEX($K$2:$K$601,스왑분석!$C$12))&lt;=스왑분석!$C$5,ISERROR(SEARCH("FRN",AP194)),ISERROR(SEARCH("BBB0미만",AP194))),IF(AND(OR(스왑분석!$C$6="N",L194=INDEX($L$2:$L$601,스왑분석!$C$12)),OR(스왑분석!$C$7="N",N194=INDEX($N$2:$N$601,스왑분석!$C$12)),OR(스왑분석!$C$8="N",AO194=0),E194-INDEX($E$2:$E$601,스왑분석!$C$12)&gt;=스왑분석!$C$9),E194-INDEX($E$2:$E$601,스왑분석!$C$12)+ROW()/1000000000,-999),-999),-999)</f>
        <v>-999</v>
      </c>
      <c r="AU194" s="90" t="n">
        <f aca="false">IF(AND(Y194=1,AO194&gt;0,AL194="Rich"),-AK194+ROW()/1000000000,-999)</f>
        <v>-999</v>
      </c>
    </row>
    <row r="195" customFormat="false" ht="15" hidden="false" customHeight="false" outlineLevel="0" collapsed="false">
      <c r="A195" s="83" t="str">
        <f aca="false">IFERROR(IF(INDEX(원자료_시장!$A$1:$BZ$1000,설정!$L$6+ROW()-1,설정!$L$24)&amp;""="0","",INDEX(원자료_시장!$A$1:$BZ$1000,설정!$L$6+ROW()-1,설정!$L$24)),"")</f>
        <v>POHANG 4 7/8 01/23/27</v>
      </c>
      <c r="B195" s="83" t="str">
        <f aca="false">IFERROR(IF(INDEX(원자료_시장!$A$1:$BZ$1000,설정!$L$6+ROW()-1,설정!$L$37)&amp;""="0","",INDEX(원자료_시장!$A$1:$BZ$1000,설정!$L$6+ROW()-1,설정!$L$37)),"")</f>
        <v>POSCO</v>
      </c>
      <c r="C195" s="83" t="str">
        <f aca="false">IFERROR(IF(INDEX(원자료_시장!$A$1:$BZ$1000,설정!$L$6+ROW()-1,설정!$L$25)&amp;""="0","",INDEX(원자료_시장!$A$1:$BZ$1000,설정!$L$6+ROW()-1,설정!$L$25)),"")</f>
        <v>USD</v>
      </c>
      <c r="D195" s="85" t="n">
        <f aca="false">IFERROR(IF(ISNUMBER(INDEX(원자료_시장!$A$1:$BZ$1000,설정!$L$6+ROW()-1,설정!$L$26)),INDEX(원자료_시장!$A$1:$BZ$1000,설정!$L$6+ROW()-1,설정!$L$26),""),"")</f>
        <v>4.836</v>
      </c>
      <c r="E195" s="97" t="n">
        <f aca="false">IFERROR(IF(ISNUMBER(INDEX(원자료_시장!$A$1:$BZ$1000,설정!$L$6+ROW()-1,설정!$L$27)),INDEX(원자료_시장!$A$1:$BZ$1000,설정!$L$6+ROW()-1,설정!$L$27),""),"")</f>
        <v>-5.276</v>
      </c>
      <c r="F195" s="97" t="n">
        <f aca="false">IFERROR(IF(ISNUMBER(INDEX(원자료_시장!$A$1:$BZ$1000,설정!$L$6+ROW()-1,설정!$L$28)),INDEX(원자료_시장!$A$1:$BZ$1000,설정!$L$6+ROW()-1,설정!$L$28),""),"")</f>
        <v>75.363</v>
      </c>
      <c r="G195" s="97" t="n">
        <f aca="false">IFERROR(IF(ISNUMBER(INDEX(원자료_시장!$A$1:$BZ$1000,설정!$L$6+ROW()-1,설정!$L$29)),INDEX(원자료_시장!$A$1:$BZ$1000,설정!$L$6+ROW()-1,설정!$L$29),""),"")</f>
        <v>2.1</v>
      </c>
      <c r="H195" s="97" t="n">
        <f aca="false">IFERROR(IF(ISNUMBER(INDEX(원자료_시장!$A$1:$BZ$1000,설정!$L$6+ROW()-1,설정!$L$30)),INDEX(원자료_시장!$A$1:$BZ$1000,설정!$L$6+ROW()-1,설정!$L$30),""),"")</f>
        <v>-0.7</v>
      </c>
      <c r="I195" s="97" t="n">
        <f aca="false">IFERROR(IF(ISNUMBER(INDEX(원자료_시장!$A$1:$BZ$1000,설정!$L$6+ROW()-1,설정!$L$31)),INDEX(원자료_시장!$A$1:$BZ$1000,설정!$L$6+ROW()-1,설정!$L$31),""),"")</f>
        <v>-15.9</v>
      </c>
      <c r="J195" s="97" t="n">
        <f aca="false">IFERROR(IF(ISNUMBER(INDEX(원자료_시장!$A$1:$BZ$1000,설정!$L$6+ROW()-1,설정!$L$32)),INDEX(원자료_시장!$A$1:$BZ$1000,설정!$L$6+ROW()-1,설정!$L$32),""),"")</f>
        <v>-37.3</v>
      </c>
      <c r="K195" s="85" t="n">
        <f aca="false">IFERROR(IF(ISNUMBER(INDEX(원자료_시장!$A$1:$BZ$1000,설정!$L$6+ROW()-1,설정!$L$33)),INDEX(원자료_시장!$A$1:$BZ$1000,설정!$L$6+ROW()-1,설정!$L$33),""),"")</f>
        <v>0.308</v>
      </c>
      <c r="L195" s="83" t="str">
        <f aca="false">IFERROR(IF(INDEX(원자료_시장!$A$1:$BZ$1000,설정!$L$6+ROW()-1,설정!$L$34)&amp;""="0","",INDEX(원자료_시장!$A$1:$BZ$1000,설정!$L$6+ROW()-1,설정!$L$34)),"")</f>
        <v>원자재</v>
      </c>
      <c r="M195" s="83" t="str">
        <f aca="false">IFERROR(IF(INDEX(원자료_시장!$A$1:$BZ$1000,설정!$L$6+ROW()-1,설정!$L$35)&amp;""="0","",INDEX(원자료_시장!$A$1:$BZ$1000,설정!$L$6+ROW()-1,설정!$L$35)),"")</f>
        <v>BBB+</v>
      </c>
      <c r="N195" s="83" t="str">
        <f aca="false">IFERROR(IF(INDEX(원자료_시장!$A$1:$BZ$1000,설정!$L$6+ROW()-1,설정!$L$36)&amp;""="0","",INDEX(원자료_시장!$A$1:$BZ$1000,설정!$L$6+ROW()-1,설정!$L$36)),"")</f>
        <v>아시아/기타</v>
      </c>
      <c r="O195" s="43" t="str">
        <f aca="false">IF($A195="","",UPPER(LEFT($A195,FIND(" ",$A195&amp;" ")-1)))</f>
        <v>POHANG</v>
      </c>
      <c r="P195" s="43" t="str">
        <f aca="false">IF($A195="","",TRIM(RIGHT(SUBSTITUTE(TRIM($A195)," ",REPT(" ",30)),30)))</f>
        <v>01/23/27</v>
      </c>
      <c r="Q195" s="98" t="n">
        <f aca="false">IF($A195="","",IFERROR(DATE(IF(LEN(P195)=8,2000+VALUE(RIGHT(P195,2)),VALUE(RIGHT(P195,4))),VALUE(LEFT(P195,2)),VALUE(MID(P195,4,2))),""))</f>
        <v>46410</v>
      </c>
      <c r="R195" s="89" t="n">
        <f aca="false">IF($A195="",0,IF(ISNUMBER(SEARCH("Float",$A195)),1,0))</f>
        <v>0</v>
      </c>
      <c r="S195" s="43" t="str">
        <f aca="false">IF($A195="","",TRIM(MID($A195,LEN(O195)+2,LEN($A195)-LEN(O195)-LEN(P195)-1)))</f>
        <v>4 7/8</v>
      </c>
      <c r="T195" s="92" t="n">
        <f aca="false">IF(OR($A195="",R195=1),"",IFERROR(IF(ISNUMBER(FIND("/",S195)),IF(ISNUMBER(FIND(" ",S195)),VALUE(LEFT(S195,FIND(" ",S195)-1))+VALUE(MID(S195,FIND(" ",S195)+1,FIND("/",S195)-FIND(" ",S195)-1))/VALUE(MID(S195,FIND("/",S195)+1,9)),VALUE(LEFT(S195,FIND("/",S195)-1))/VALUE(MID(S195,FIND("/",S195)+1,9))),VALUE(S195)),""))</f>
        <v>4.875</v>
      </c>
      <c r="U195" s="43" t="str">
        <f aca="false">IF(OR($A195="",NOT(ISNUMBER(Q195))),"",TEXT(Q195,"yyyymmdd")&amp;"|"&amp;IF(R195=1,"F",TEXT(T195,"0.000")))</f>
        <v>20270123|4.875</v>
      </c>
      <c r="V195" s="43" t="str">
        <f aca="false">IF(U195="","",O195&amp;"|"&amp;U195)</f>
        <v>POHANG|20270123|4.875</v>
      </c>
      <c r="W195" s="43" t="str">
        <f aca="false">IF($A195="","",IFERROR(IF(VLOOKUP(O195,매핑!$A$4:$E$92,3,0)="","미분류",VLOOKUP(O195,매핑!$A$4:$E$92,3,0)),"미분류"))</f>
        <v>한국</v>
      </c>
      <c r="X195" s="89" t="n">
        <f aca="false">IF($A195="",0,IF(O195="T",1,0))</f>
        <v>0</v>
      </c>
      <c r="Y195" s="89" t="n">
        <f aca="false">IF($A195="",0,IF(AND(C195="USD",X195=0,ISNUMBER(E195),ISNUMBER(K195)),IF(K195&gt;=설정!$C$8,1,0),0))</f>
        <v>0</v>
      </c>
      <c r="Z195" s="43" t="str">
        <f aca="false">IF($A195="","",N195&amp;"|"&amp;L195)</f>
        <v>아시아/기타|원자재</v>
      </c>
      <c r="AA195" s="92" t="n">
        <f aca="false">IF(Y195=1,LN(K195),0)</f>
        <v>0</v>
      </c>
      <c r="AB195" s="93" t="n">
        <f aca="false">IF(Y195=1,E195,0)</f>
        <v>0</v>
      </c>
      <c r="AC195" s="89" t="n">
        <f aca="false">IF(Y195=1,COUNTIFS($Z$2:$Z$601,Z195,$Y$2:$Y$601,1),0)</f>
        <v>0</v>
      </c>
      <c r="AD195" s="89" t="n">
        <f aca="false">IF(Y195=1,COUNTIFS($N$2:$N$601,N195,$Y$2:$Y$601,1),0)</f>
        <v>0</v>
      </c>
      <c r="AE195" s="43" t="str">
        <f aca="false">IF(Y195&lt;&gt;1,"",IF(AND(AC195&gt;=설정!$C$7,ISNUMBER(MATCH(Z195,피어커브!$A:$A,0))),Z195,IF(AND(AD195&gt;=설정!$C$7,ISNUMBER(MATCH(N195&amp;"|전체",피어커브!$A:$A,0))),N195&amp;"|전체","전체|전체")))</f>
        <v/>
      </c>
      <c r="AF195" s="93" t="str">
        <f aca="false">IF(AE195="","",INDEX(피어커브!$K:$K,MATCH(AE195,피어커브!$A:$A,0)))</f>
        <v/>
      </c>
      <c r="AG195" s="93" t="str">
        <f aca="false">IF(AE195="","",INDEX(피어커브!$J:$J,MATCH(AE195,피어커브!$A:$A,0)))</f>
        <v/>
      </c>
      <c r="AH195" s="93" t="str">
        <f aca="false">IF(AE195="","",INDEX(피어커브!$L:$L,MATCH(AE195,피어커브!$A:$A,0)))</f>
        <v/>
      </c>
      <c r="AI195" s="93" t="str">
        <f aca="false">IF(AE195="","",AF195+AG195*AA195)</f>
        <v/>
      </c>
      <c r="AJ195" s="96" t="str">
        <f aca="false">IF(AE195="","",E195-AI195)</f>
        <v/>
      </c>
      <c r="AK195" s="95" t="str">
        <f aca="false">IF(AE195="","",IF(ISNUMBER(AH195),IF(AH195&gt;0,AJ195/AH195,""),""))</f>
        <v/>
      </c>
      <c r="AL195" s="43" t="str">
        <f aca="false">IF(AK195="","-",IF(AK195&gt;=설정!$C$6,"Cheap",IF(AK195&lt;=-설정!$C$6,"Rich","Fair")))</f>
        <v>-</v>
      </c>
      <c r="AM195" s="96" t="str">
        <f aca="false">IF(AE195="","",AJ195-AVERAGEIFS($AJ$2:$AJ$601,$B$2:$B$601,B195,$Y$2:$Y$601,1))</f>
        <v/>
      </c>
      <c r="AN195" s="93" t="n">
        <f aca="false">IF(AE195="",0,IF(K195&gt;1+설정!$C$8,AG195*(AA195-LN(K195-1)),0))</f>
        <v>0</v>
      </c>
      <c r="AO195" s="99" t="n">
        <f aca="false">IF($A195="",0,SUMIFS(보유분석!$AA$2:$AA$801,보유분석!$AB$2:$AB$801,ROW(),보유분석!$AC$2:$AC$801,1))</f>
        <v>0.1998668</v>
      </c>
      <c r="AP195" s="43" t="str">
        <f aca="false">IF($A195="","",TRIM(IF(R195=1,"FRN ","")&amp;IF(IFERROR(VLOOKUP(M195,설정!$A$15:$D$47,4,0),0)&gt;=10,IF(IFERROR(VLOOKUP(M195,설정!$A$15:$D$47,4,0),0)&lt;99,"BBB0미만 ",""),"")&amp;IF(OR(M195="",M195="NR"),"등급미입력 ","")&amp;IF(C195&lt;&gt;"USD","비USD ","")))</f>
        <v/>
      </c>
      <c r="AQ195" s="90" t="n">
        <f aca="false">IF(AND(Y195=1,AL195="Cheap"),IF(AND(ISERROR(SEARCH("FRN",AP195)),ISERROR(SEARCH("BBB0미만",AP195))),AK195+ROW()/1000000000,-999),-999)</f>
        <v>-999</v>
      </c>
      <c r="AR195" s="92" t="n">
        <f aca="false">IF(AND(ISNUMBER(D195),ISNUMBER(K195)),D195+AN195*MAX(K195-1,0)/100,"")</f>
        <v>4.836</v>
      </c>
      <c r="AS195" s="93" t="n">
        <f aca="false">IF(AND(ISNUMBER(E195),ISNUMBER(K195)),IF(K195&gt;0,(E195+AN195*MAX(K195-1,0))/K195,""),"")</f>
        <v>-17.1298701298701</v>
      </c>
      <c r="AT195" s="90" t="n">
        <f aca="false">IFERROR(IF(AND(Y195=1,ROW()&lt;&gt;스왑분석!$C$12+1,ABS(K195-INDEX($K$2:$K$601,스왑분석!$C$12))&lt;=스왑분석!$C$5,ISERROR(SEARCH("FRN",AP195)),ISERROR(SEARCH("BBB0미만",AP195))),IF(AND(OR(스왑분석!$C$6="N",L195=INDEX($L$2:$L$601,스왑분석!$C$12)),OR(스왑분석!$C$7="N",N195=INDEX($N$2:$N$601,스왑분석!$C$12)),OR(스왑분석!$C$8="N",AO195=0),E195-INDEX($E$2:$E$601,스왑분석!$C$12)&gt;=스왑분석!$C$9),E195-INDEX($E$2:$E$601,스왑분석!$C$12)+ROW()/1000000000,-999),-999),-999)</f>
        <v>-999</v>
      </c>
      <c r="AU195" s="90" t="n">
        <f aca="false">IF(AND(Y195=1,AO195&gt;0,AL195="Rich"),-AK195+ROW()/1000000000,-999)</f>
        <v>-999</v>
      </c>
    </row>
    <row r="196" customFormat="false" ht="15" hidden="false" customHeight="false" outlineLevel="0" collapsed="false">
      <c r="A196" s="83" t="str">
        <f aca="false">IFERROR(IF(INDEX(원자료_시장!$A$1:$BZ$1000,설정!$L$6+ROW()-1,설정!$L$24)&amp;""="0","",INDEX(원자료_시장!$A$1:$BZ$1000,설정!$L$6+ROW()-1,설정!$L$24)),"")</f>
        <v>POHANG 4 1/2 01/16/31</v>
      </c>
      <c r="B196" s="83" t="str">
        <f aca="false">IFERROR(IF(INDEX(원자료_시장!$A$1:$BZ$1000,설정!$L$6+ROW()-1,설정!$L$37)&amp;""="0","",INDEX(원자료_시장!$A$1:$BZ$1000,설정!$L$6+ROW()-1,설정!$L$37)),"")</f>
        <v>POSCO</v>
      </c>
      <c r="C196" s="83" t="str">
        <f aca="false">IFERROR(IF(INDEX(원자료_시장!$A$1:$BZ$1000,설정!$L$6+ROW()-1,설정!$L$25)&amp;""="0","",INDEX(원자료_시장!$A$1:$BZ$1000,설정!$L$6+ROW()-1,설정!$L$25)),"")</f>
        <v>USD</v>
      </c>
      <c r="D196" s="85" t="n">
        <f aca="false">IFERROR(IF(ISNUMBER(INDEX(원자료_시장!$A$1:$BZ$1000,설정!$L$6+ROW()-1,설정!$L$26)),INDEX(원자료_시장!$A$1:$BZ$1000,설정!$L$6+ROW()-1,설정!$L$26),""),"")</f>
        <v>5.801</v>
      </c>
      <c r="E196" s="97" t="n">
        <f aca="false">IFERROR(IF(ISNUMBER(INDEX(원자료_시장!$A$1:$BZ$1000,설정!$L$6+ROW()-1,설정!$L$27)),INDEX(원자료_시장!$A$1:$BZ$1000,설정!$L$6+ROW()-1,설정!$L$27),""),"")</f>
        <v>71.457</v>
      </c>
      <c r="F196" s="97" t="n">
        <f aca="false">IFERROR(IF(ISNUMBER(INDEX(원자료_시장!$A$1:$BZ$1000,설정!$L$6+ROW()-1,설정!$L$28)),INDEX(원자료_시장!$A$1:$BZ$1000,설정!$L$6+ROW()-1,설정!$L$28),""),"")</f>
        <v>105.329</v>
      </c>
      <c r="G196" s="97" t="n">
        <f aca="false">IFERROR(IF(ISNUMBER(INDEX(원자료_시장!$A$1:$BZ$1000,설정!$L$6+ROW()-1,설정!$L$29)),INDEX(원자료_시장!$A$1:$BZ$1000,설정!$L$6+ROW()-1,설정!$L$29),""),"")</f>
        <v>-0.3</v>
      </c>
      <c r="H196" s="97" t="n">
        <f aca="false">IFERROR(IF(ISNUMBER(INDEX(원자료_시장!$A$1:$BZ$1000,설정!$L$6+ROW()-1,설정!$L$30)),INDEX(원자료_시장!$A$1:$BZ$1000,설정!$L$6+ROW()-1,설정!$L$30),""),"")</f>
        <v>6</v>
      </c>
      <c r="I196" s="97" t="n">
        <f aca="false">IFERROR(IF(ISNUMBER(INDEX(원자료_시장!$A$1:$BZ$1000,설정!$L$6+ROW()-1,설정!$L$31)),INDEX(원자료_시장!$A$1:$BZ$1000,설정!$L$6+ROW()-1,설정!$L$31),""),"")</f>
        <v>0.6</v>
      </c>
      <c r="J196" s="97" t="n">
        <f aca="false">IFERROR(IF(ISNUMBER(INDEX(원자료_시장!$A$1:$BZ$1000,설정!$L$6+ROW()-1,설정!$L$32)),INDEX(원자료_시장!$A$1:$BZ$1000,설정!$L$6+ROW()-1,설정!$L$32),""),"")</f>
        <v>0.1</v>
      </c>
      <c r="K196" s="85" t="n">
        <f aca="false">IFERROR(IF(ISNUMBER(INDEX(원자료_시장!$A$1:$BZ$1000,설정!$L$6+ROW()-1,설정!$L$33)),INDEX(원자료_시장!$A$1:$BZ$1000,설정!$L$6+ROW()-1,설정!$L$33),""),"")</f>
        <v>3.9</v>
      </c>
      <c r="L196" s="83" t="str">
        <f aca="false">IFERROR(IF(INDEX(원자료_시장!$A$1:$BZ$1000,설정!$L$6+ROW()-1,설정!$L$34)&amp;""="0","",INDEX(원자료_시장!$A$1:$BZ$1000,설정!$L$6+ROW()-1,설정!$L$34)),"")</f>
        <v>원자재</v>
      </c>
      <c r="M196" s="83" t="str">
        <f aca="false">IFERROR(IF(INDEX(원자료_시장!$A$1:$BZ$1000,설정!$L$6+ROW()-1,설정!$L$35)&amp;""="0","",INDEX(원자료_시장!$A$1:$BZ$1000,설정!$L$6+ROW()-1,설정!$L$35)),"")</f>
        <v>BBB+</v>
      </c>
      <c r="N196" s="83" t="str">
        <f aca="false">IFERROR(IF(INDEX(원자료_시장!$A$1:$BZ$1000,설정!$L$6+ROW()-1,설정!$L$36)&amp;""="0","",INDEX(원자료_시장!$A$1:$BZ$1000,설정!$L$6+ROW()-1,설정!$L$36)),"")</f>
        <v>아시아/기타</v>
      </c>
      <c r="O196" s="43" t="str">
        <f aca="false">IF($A196="","",UPPER(LEFT($A196,FIND(" ",$A196&amp;" ")-1)))</f>
        <v>POHANG</v>
      </c>
      <c r="P196" s="43" t="str">
        <f aca="false">IF($A196="","",TRIM(RIGHT(SUBSTITUTE(TRIM($A196)," ",REPT(" ",30)),30)))</f>
        <v>01/16/31</v>
      </c>
      <c r="Q196" s="98" t="n">
        <f aca="false">IF($A196="","",IFERROR(DATE(IF(LEN(P196)=8,2000+VALUE(RIGHT(P196,2)),VALUE(RIGHT(P196,4))),VALUE(LEFT(P196,2)),VALUE(MID(P196,4,2))),""))</f>
        <v>47864</v>
      </c>
      <c r="R196" s="89" t="n">
        <f aca="false">IF($A196="",0,IF(ISNUMBER(SEARCH("Float",$A196)),1,0))</f>
        <v>0</v>
      </c>
      <c r="S196" s="43" t="str">
        <f aca="false">IF($A196="","",TRIM(MID($A196,LEN(O196)+2,LEN($A196)-LEN(O196)-LEN(P196)-1)))</f>
        <v>4 1/2</v>
      </c>
      <c r="T196" s="92" t="n">
        <f aca="false">IF(OR($A196="",R196=1),"",IFERROR(IF(ISNUMBER(FIND("/",S196)),IF(ISNUMBER(FIND(" ",S196)),VALUE(LEFT(S196,FIND(" ",S196)-1))+VALUE(MID(S196,FIND(" ",S196)+1,FIND("/",S196)-FIND(" ",S196)-1))/VALUE(MID(S196,FIND("/",S196)+1,9)),VALUE(LEFT(S196,FIND("/",S196)-1))/VALUE(MID(S196,FIND("/",S196)+1,9))),VALUE(S196)),""))</f>
        <v>4.5</v>
      </c>
      <c r="U196" s="43" t="str">
        <f aca="false">IF(OR($A196="",NOT(ISNUMBER(Q196))),"",TEXT(Q196,"yyyymmdd")&amp;"|"&amp;IF(R196=1,"F",TEXT(T196,"0.000")))</f>
        <v>20310116|4.500</v>
      </c>
      <c r="V196" s="43" t="str">
        <f aca="false">IF(U196="","",O196&amp;"|"&amp;U196)</f>
        <v>POHANG|20310116|4.500</v>
      </c>
      <c r="W196" s="43" t="str">
        <f aca="false">IF($A196="","",IFERROR(IF(VLOOKUP(O196,매핑!$A$4:$E$92,3,0)="","미분류",VLOOKUP(O196,매핑!$A$4:$E$92,3,0)),"미분류"))</f>
        <v>한국</v>
      </c>
      <c r="X196" s="89" t="n">
        <f aca="false">IF($A196="",0,IF(O196="T",1,0))</f>
        <v>0</v>
      </c>
      <c r="Y196" s="89" t="n">
        <f aca="false">IF($A196="",0,IF(AND(C196="USD",X196=0,ISNUMBER(E196),ISNUMBER(K196)),IF(K196&gt;=설정!$C$8,1,0),0))</f>
        <v>1</v>
      </c>
      <c r="Z196" s="43" t="str">
        <f aca="false">IF($A196="","",N196&amp;"|"&amp;L196)</f>
        <v>아시아/기타|원자재</v>
      </c>
      <c r="AA196" s="92" t="n">
        <f aca="false">IF(Y196=1,LN(K196),0)</f>
        <v>1.3609765531356</v>
      </c>
      <c r="AB196" s="93" t="n">
        <f aca="false">IF(Y196=1,E196,0)</f>
        <v>71.457</v>
      </c>
      <c r="AC196" s="89" t="n">
        <f aca="false">IF(Y196=1,COUNTIFS($Z$2:$Z$601,Z196,$Y$2:$Y$601,1),0)</f>
        <v>6</v>
      </c>
      <c r="AD196" s="89" t="n">
        <f aca="false">IF(Y196=1,COUNTIFS($N$2:$N$601,N196,$Y$2:$Y$601,1),0)</f>
        <v>137</v>
      </c>
      <c r="AE196" s="43" t="str">
        <f aca="false">IF(Y196&lt;&gt;1,"",IF(AND(AC196&gt;=설정!$C$7,ISNUMBER(MATCH(Z196,피어커브!$A:$A,0))),Z196,IF(AND(AD196&gt;=설정!$C$7,ISNUMBER(MATCH(N196&amp;"|전체",피어커브!$A:$A,0))),N196&amp;"|전체","전체|전체")))</f>
        <v>아시아/기타|원자재</v>
      </c>
      <c r="AF196" s="93" t="n">
        <f aca="false">IF(AE196="","",INDEX(피어커브!$K:$K,MATCH(AE196,피어커브!$A:$A,0)))</f>
        <v>43.1916249831525</v>
      </c>
      <c r="AG196" s="93" t="n">
        <f aca="false">IF(AE196="","",INDEX(피어커브!$J:$J,MATCH(AE196,피어커브!$A:$A,0)))</f>
        <v>28.1535522404021</v>
      </c>
      <c r="AH196" s="93" t="n">
        <f aca="false">IF(AE196="","",INDEX(피어커브!$L:$L,MATCH(AE196,피어커브!$A:$A,0)))</f>
        <v>11.070041054458</v>
      </c>
      <c r="AI196" s="93" t="n">
        <f aca="false">IF(AE196="","",AF196+AG196*AA196)</f>
        <v>81.5079494698181</v>
      </c>
      <c r="AJ196" s="96" t="n">
        <f aca="false">IF(AE196="","",E196-AI196)</f>
        <v>-10.0509494698181</v>
      </c>
      <c r="AK196" s="95" t="n">
        <f aca="false">IF(AE196="","",IF(ISNUMBER(AH196),IF(AH196&gt;0,AJ196/AH196,""),""))</f>
        <v>-0.907941481009276</v>
      </c>
      <c r="AL196" s="43" t="str">
        <f aca="false">IF(AK196="","-",IF(AK196&gt;=설정!$C$6,"Cheap",IF(AK196&lt;=-설정!$C$6,"Rich","Fair")))</f>
        <v>Fair</v>
      </c>
      <c r="AM196" s="96" t="n">
        <f aca="false">IF(AE196="","",AJ196-AVERAGEIFS($AJ$2:$AJ$601,$B$2:$B$601,B196,$Y$2:$Y$601,1))</f>
        <v>-5.08523815278275</v>
      </c>
      <c r="AN196" s="93" t="n">
        <f aca="false">IF(AE196="",0,IF(K196&gt;1+설정!$C$8,AG196*(AA196-LN(K196-1)),0))</f>
        <v>8.34093513183217</v>
      </c>
      <c r="AO196" s="99" t="n">
        <f aca="false">IF($A196="",0,SUMIFS(보유분석!$AA$2:$AA$801,보유분석!$AB$2:$AB$801,ROW(),보유분석!$AC$2:$AC$801,1))</f>
        <v>0.1905986</v>
      </c>
      <c r="AP196" s="43" t="str">
        <f aca="false">IF($A196="","",TRIM(IF(R196=1,"FRN ","")&amp;IF(IFERROR(VLOOKUP(M196,설정!$A$15:$D$47,4,0),0)&gt;=10,IF(IFERROR(VLOOKUP(M196,설정!$A$15:$D$47,4,0),0)&lt;99,"BBB0미만 ",""),"")&amp;IF(OR(M196="",M196="NR"),"등급미입력 ","")&amp;IF(C196&lt;&gt;"USD","비USD ","")))</f>
        <v/>
      </c>
      <c r="AQ196" s="90" t="n">
        <f aca="false">IF(AND(Y196=1,AL196="Cheap"),IF(AND(ISERROR(SEARCH("FRN",AP196)),ISERROR(SEARCH("BBB0미만",AP196))),AK196+ROW()/1000000000,-999),-999)</f>
        <v>-999</v>
      </c>
      <c r="AR196" s="92" t="n">
        <f aca="false">IF(AND(ISNUMBER(D196),ISNUMBER(K196)),D196+AN196*MAX(K196-1,0)/100,"")</f>
        <v>6.04288711882313</v>
      </c>
      <c r="AS196" s="93" t="n">
        <f aca="false">IF(AND(ISNUMBER(E196),ISNUMBER(K196)),IF(K196&gt;0,(E196+AN196*MAX(K196-1,0))/K196,""),"")</f>
        <v>24.5245415082855</v>
      </c>
      <c r="AT196" s="90" t="n">
        <f aca="false">IFERROR(IF(AND(Y196=1,ROW()&lt;&gt;스왑분석!$C$12+1,ABS(K196-INDEX($K$2:$K$601,스왑분석!$C$12))&lt;=스왑분석!$C$5,ISERROR(SEARCH("FRN",AP196)),ISERROR(SEARCH("BBB0미만",AP196))),IF(AND(OR(스왑분석!$C$6="N",L196=INDEX($L$2:$L$601,스왑분석!$C$12)),OR(스왑분석!$C$7="N",N196=INDEX($N$2:$N$601,스왑분석!$C$12)),OR(스왑분석!$C$8="N",AO196=0),E196-INDEX($E$2:$E$601,스왑분석!$C$12)&gt;=스왑분석!$C$9),E196-INDEX($E$2:$E$601,스왑분석!$C$12)+ROW()/1000000000,-999),-999),-999)</f>
        <v>22.965000196</v>
      </c>
      <c r="AU196" s="90" t="n">
        <f aca="false">IF(AND(Y196=1,AO196&gt;0,AL196="Rich"),-AK196+ROW()/1000000000,-999)</f>
        <v>-999</v>
      </c>
    </row>
    <row r="197" customFormat="false" ht="15" hidden="false" customHeight="false" outlineLevel="0" collapsed="false">
      <c r="A197" s="83" t="str">
        <f aca="false">IFERROR(IF(INDEX(원자료_시장!$A$1:$BZ$1000,설정!$L$6+ROW()-1,설정!$L$24)&amp;""="0","",INDEX(원자료_시장!$A$1:$BZ$1000,설정!$L$6+ROW()-1,설정!$L$24)),"")</f>
        <v>POHANG 5 01/16/36</v>
      </c>
      <c r="B197" s="83" t="str">
        <f aca="false">IFERROR(IF(INDEX(원자료_시장!$A$1:$BZ$1000,설정!$L$6+ROW()-1,설정!$L$37)&amp;""="0","",INDEX(원자료_시장!$A$1:$BZ$1000,설정!$L$6+ROW()-1,설정!$L$37)),"")</f>
        <v>POSCO</v>
      </c>
      <c r="C197" s="83" t="str">
        <f aca="false">IFERROR(IF(INDEX(원자료_시장!$A$1:$BZ$1000,설정!$L$6+ROW()-1,설정!$L$25)&amp;""="0","",INDEX(원자료_시장!$A$1:$BZ$1000,설정!$L$6+ROW()-1,설정!$L$25)),"")</f>
        <v>USD</v>
      </c>
      <c r="D197" s="85" t="n">
        <f aca="false">IFERROR(IF(ISNUMBER(INDEX(원자료_시장!$A$1:$BZ$1000,설정!$L$6+ROW()-1,설정!$L$26)),INDEX(원자료_시장!$A$1:$BZ$1000,설정!$L$6+ROW()-1,설정!$L$26),""),"")</f>
        <v>6.238</v>
      </c>
      <c r="E197" s="97" t="n">
        <f aca="false">IFERROR(IF(ISNUMBER(INDEX(원자료_시장!$A$1:$BZ$1000,설정!$L$6+ROW()-1,설정!$L$27)),INDEX(원자료_시장!$A$1:$BZ$1000,설정!$L$6+ROW()-1,설정!$L$27),""),"")</f>
        <v>95.061</v>
      </c>
      <c r="F197" s="97" t="n">
        <f aca="false">IFERROR(IF(ISNUMBER(INDEX(원자료_시장!$A$1:$BZ$1000,설정!$L$6+ROW()-1,설정!$L$28)),INDEX(원자료_시장!$A$1:$BZ$1000,설정!$L$6+ROW()-1,설정!$L$28),""),"")</f>
        <v>141.38</v>
      </c>
      <c r="G197" s="97" t="n">
        <f aca="false">IFERROR(IF(ISNUMBER(INDEX(원자료_시장!$A$1:$BZ$1000,설정!$L$6+ROW()-1,설정!$L$29)),INDEX(원자료_시장!$A$1:$BZ$1000,설정!$L$6+ROW()-1,설정!$L$29),""),"")</f>
        <v>0.7</v>
      </c>
      <c r="H197" s="97" t="n">
        <f aca="false">IFERROR(IF(ISNUMBER(INDEX(원자료_시장!$A$1:$BZ$1000,설정!$L$6+ROW()-1,설정!$L$30)),INDEX(원자료_시장!$A$1:$BZ$1000,설정!$L$6+ROW()-1,설정!$L$30),""),"")</f>
        <v>5.3</v>
      </c>
      <c r="I197" s="97" t="n">
        <f aca="false">IFERROR(IF(ISNUMBER(INDEX(원자료_시장!$A$1:$BZ$1000,설정!$L$6+ROW()-1,설정!$L$31)),INDEX(원자료_시장!$A$1:$BZ$1000,설정!$L$6+ROW()-1,설정!$L$31),""),"")</f>
        <v>-0.9</v>
      </c>
      <c r="J197" s="97" t="n">
        <f aca="false">IFERROR(IF(ISNUMBER(INDEX(원자료_시장!$A$1:$BZ$1000,설정!$L$6+ROW()-1,설정!$L$32)),INDEX(원자료_시장!$A$1:$BZ$1000,설정!$L$6+ROW()-1,설정!$L$32),""),"")</f>
        <v>4.5</v>
      </c>
      <c r="K197" s="85" t="n">
        <f aca="false">IFERROR(IF(ISNUMBER(INDEX(원자료_시장!$A$1:$BZ$1000,설정!$L$6+ROW()-1,설정!$L$33)),INDEX(원자료_시장!$A$1:$BZ$1000,설정!$L$6+ROW()-1,설정!$L$33),""),"")</f>
        <v>7.363</v>
      </c>
      <c r="L197" s="83" t="str">
        <f aca="false">IFERROR(IF(INDEX(원자료_시장!$A$1:$BZ$1000,설정!$L$6+ROW()-1,설정!$L$34)&amp;""="0","",INDEX(원자료_시장!$A$1:$BZ$1000,설정!$L$6+ROW()-1,설정!$L$34)),"")</f>
        <v>원자재</v>
      </c>
      <c r="M197" s="83" t="str">
        <f aca="false">IFERROR(IF(INDEX(원자료_시장!$A$1:$BZ$1000,설정!$L$6+ROW()-1,설정!$L$35)&amp;""="0","",INDEX(원자료_시장!$A$1:$BZ$1000,설정!$L$6+ROW()-1,설정!$L$35)),"")</f>
        <v>BBB+</v>
      </c>
      <c r="N197" s="83" t="str">
        <f aca="false">IFERROR(IF(INDEX(원자료_시장!$A$1:$BZ$1000,설정!$L$6+ROW()-1,설정!$L$36)&amp;""="0","",INDEX(원자료_시장!$A$1:$BZ$1000,설정!$L$6+ROW()-1,설정!$L$36)),"")</f>
        <v>아시아/기타</v>
      </c>
      <c r="O197" s="43" t="str">
        <f aca="false">IF($A197="","",UPPER(LEFT($A197,FIND(" ",$A197&amp;" ")-1)))</f>
        <v>POHANG</v>
      </c>
      <c r="P197" s="43" t="str">
        <f aca="false">IF($A197="","",TRIM(RIGHT(SUBSTITUTE(TRIM($A197)," ",REPT(" ",30)),30)))</f>
        <v>01/16/36</v>
      </c>
      <c r="Q197" s="98" t="n">
        <f aca="false">IF($A197="","",IFERROR(DATE(IF(LEN(P197)=8,2000+VALUE(RIGHT(P197,2)),VALUE(RIGHT(P197,4))),VALUE(LEFT(P197,2)),VALUE(MID(P197,4,2))),""))</f>
        <v>49690</v>
      </c>
      <c r="R197" s="89" t="n">
        <f aca="false">IF($A197="",0,IF(ISNUMBER(SEARCH("Float",$A197)),1,0))</f>
        <v>0</v>
      </c>
      <c r="S197" s="43" t="str">
        <f aca="false">IF($A197="","",TRIM(MID($A197,LEN(O197)+2,LEN($A197)-LEN(O197)-LEN(P197)-1)))</f>
        <v>5</v>
      </c>
      <c r="T197" s="92" t="n">
        <f aca="false">IF(OR($A197="",R197=1),"",IFERROR(IF(ISNUMBER(FIND("/",S197)),IF(ISNUMBER(FIND(" ",S197)),VALUE(LEFT(S197,FIND(" ",S197)-1))+VALUE(MID(S197,FIND(" ",S197)+1,FIND("/",S197)-FIND(" ",S197)-1))/VALUE(MID(S197,FIND("/",S197)+1,9)),VALUE(LEFT(S197,FIND("/",S197)-1))/VALUE(MID(S197,FIND("/",S197)+1,9))),VALUE(S197)),""))</f>
        <v>5</v>
      </c>
      <c r="U197" s="43" t="str">
        <f aca="false">IF(OR($A197="",NOT(ISNUMBER(Q197))),"",TEXT(Q197,"yyyymmdd")&amp;"|"&amp;IF(R197=1,"F",TEXT(T197,"0.000")))</f>
        <v>20360116|5.000</v>
      </c>
      <c r="V197" s="43" t="str">
        <f aca="false">IF(U197="","",O197&amp;"|"&amp;U197)</f>
        <v>POHANG|20360116|5.000</v>
      </c>
      <c r="W197" s="43" t="str">
        <f aca="false">IF($A197="","",IFERROR(IF(VLOOKUP(O197,매핑!$A$4:$E$92,3,0)="","미분류",VLOOKUP(O197,매핑!$A$4:$E$92,3,0)),"미분류"))</f>
        <v>한국</v>
      </c>
      <c r="X197" s="89" t="n">
        <f aca="false">IF($A197="",0,IF(O197="T",1,0))</f>
        <v>0</v>
      </c>
      <c r="Y197" s="89" t="n">
        <f aca="false">IF($A197="",0,IF(AND(C197="USD",X197=0,ISNUMBER(E197),ISNUMBER(K197)),IF(K197&gt;=설정!$C$8,1,0),0))</f>
        <v>1</v>
      </c>
      <c r="Z197" s="43" t="str">
        <f aca="false">IF($A197="","",N197&amp;"|"&amp;L197)</f>
        <v>아시아/기타|원자재</v>
      </c>
      <c r="AA197" s="92" t="n">
        <f aca="false">IF(Y197=1,LN(K197),0)</f>
        <v>1.99646745838658</v>
      </c>
      <c r="AB197" s="93" t="n">
        <f aca="false">IF(Y197=1,E197,0)</f>
        <v>95.061</v>
      </c>
      <c r="AC197" s="89" t="n">
        <f aca="false">IF(Y197=1,COUNTIFS($Z$2:$Z$601,Z197,$Y$2:$Y$601,1),0)</f>
        <v>6</v>
      </c>
      <c r="AD197" s="89" t="n">
        <f aca="false">IF(Y197=1,COUNTIFS($N$2:$N$601,N197,$Y$2:$Y$601,1),0)</f>
        <v>137</v>
      </c>
      <c r="AE197" s="43" t="str">
        <f aca="false">IF(Y197&lt;&gt;1,"",IF(AND(AC197&gt;=설정!$C$7,ISNUMBER(MATCH(Z197,피어커브!$A:$A,0))),Z197,IF(AND(AD197&gt;=설정!$C$7,ISNUMBER(MATCH(N197&amp;"|전체",피어커브!$A:$A,0))),N197&amp;"|전체","전체|전체")))</f>
        <v>아시아/기타|원자재</v>
      </c>
      <c r="AF197" s="93" t="n">
        <f aca="false">IF(AE197="","",INDEX(피어커브!$K:$K,MATCH(AE197,피어커브!$A:$A,0)))</f>
        <v>43.1916249831525</v>
      </c>
      <c r="AG197" s="93" t="n">
        <f aca="false">IF(AE197="","",INDEX(피어커브!$J:$J,MATCH(AE197,피어커브!$A:$A,0)))</f>
        <v>28.1535522404021</v>
      </c>
      <c r="AH197" s="93" t="n">
        <f aca="false">IF(AE197="","",INDEX(피어커브!$L:$L,MATCH(AE197,피어커브!$A:$A,0)))</f>
        <v>11.070041054458</v>
      </c>
      <c r="AI197" s="93" t="n">
        <f aca="false">IF(AE197="","",AF197+AG197*AA197)</f>
        <v>99.3992758691019</v>
      </c>
      <c r="AJ197" s="96" t="n">
        <f aca="false">IF(AE197="","",E197-AI197)</f>
        <v>-4.33827586910192</v>
      </c>
      <c r="AK197" s="95" t="n">
        <f aca="false">IF(AE197="","",IF(ISNUMBER(AH197),IF(AH197&gt;0,AJ197/AH197,""),""))</f>
        <v>-0.391893385739059</v>
      </c>
      <c r="AL197" s="43" t="str">
        <f aca="false">IF(AK197="","-",IF(AK197&gt;=설정!$C$6,"Cheap",IF(AK197&lt;=-설정!$C$6,"Rich","Fair")))</f>
        <v>Fair</v>
      </c>
      <c r="AM197" s="96" t="n">
        <f aca="false">IF(AE197="","",AJ197-AVERAGEIFS($AJ$2:$AJ$601,$B$2:$B$601,B197,$Y$2:$Y$601,1))</f>
        <v>0.627435447933398</v>
      </c>
      <c r="AN197" s="93" t="n">
        <f aca="false">IF(AE197="",0,IF(K197&gt;1+설정!$C$8,AG197*(AA197-LN(K197-1)),0))</f>
        <v>4.10950347155634</v>
      </c>
      <c r="AO197" s="99" t="n">
        <f aca="false">IF($A197="",0,SUMIFS(보유분석!$AA$2:$AA$801,보유분석!$AB$2:$AB$801,ROW(),보유분석!$AC$2:$AC$801,1))</f>
        <v>11.201247</v>
      </c>
      <c r="AP197" s="43" t="str">
        <f aca="false">IF($A197="","",TRIM(IF(R197=1,"FRN ","")&amp;IF(IFERROR(VLOOKUP(M197,설정!$A$15:$D$47,4,0),0)&gt;=10,IF(IFERROR(VLOOKUP(M197,설정!$A$15:$D$47,4,0),0)&lt;99,"BBB0미만 ",""),"")&amp;IF(OR(M197="",M197="NR"),"등급미입력 ","")&amp;IF(C197&lt;&gt;"USD","비USD ","")))</f>
        <v/>
      </c>
      <c r="AQ197" s="90" t="n">
        <f aca="false">IF(AND(Y197=1,AL197="Cheap"),IF(AND(ISERROR(SEARCH("FRN",AP197)),ISERROR(SEARCH("BBB0미만",AP197))),AK197+ROW()/1000000000,-999),-999)</f>
        <v>-999</v>
      </c>
      <c r="AR197" s="92" t="n">
        <f aca="false">IF(AND(ISNUMBER(D197),ISNUMBER(K197)),D197+AN197*MAX(K197-1,0)/100,"")</f>
        <v>6.49948770589513</v>
      </c>
      <c r="AS197" s="93" t="n">
        <f aca="false">IF(AND(ISNUMBER(E197),ISNUMBER(K197)),IF(K197&gt;0,(E197+AN197*MAX(K197-1,0))/K197,""),"")</f>
        <v>16.4620087721734</v>
      </c>
      <c r="AT197" s="90" t="n">
        <f aca="false">IFERROR(IF(AND(Y197=1,ROW()&lt;&gt;스왑분석!$C$12+1,ABS(K197-INDEX($K$2:$K$601,스왑분석!$C$12))&lt;=스왑분석!$C$5,ISERROR(SEARCH("FRN",AP197)),ISERROR(SEARCH("BBB0미만",AP197))),IF(AND(OR(스왑분석!$C$6="N",L197=INDEX($L$2:$L$601,스왑분석!$C$12)),OR(스왑분석!$C$7="N",N197=INDEX($N$2:$N$601,스왑분석!$C$12)),OR(스왑분석!$C$8="N",AO197=0),E197-INDEX($E$2:$E$601,스왑분석!$C$12)&gt;=스왑분석!$C$9),E197-INDEX($E$2:$E$601,스왑분석!$C$12)+ROW()/1000000000,-999),-999),-999)</f>
        <v>-999</v>
      </c>
      <c r="AU197" s="90" t="n">
        <f aca="false">IF(AND(Y197=1,AO197&gt;0,AL197="Rich"),-AK197+ROW()/1000000000,-999)</f>
        <v>-999</v>
      </c>
    </row>
    <row r="198" customFormat="false" ht="15" hidden="false" customHeight="false" outlineLevel="0" collapsed="false">
      <c r="A198" s="83" t="str">
        <f aca="false">IFERROR(IF(INDEX(원자료_시장!$A$1:$BZ$1000,설정!$L$6+ROW()-1,설정!$L$24)&amp;""="0","",INDEX(원자료_시장!$A$1:$BZ$1000,설정!$L$6+ROW()-1,설정!$L$24)),"")</f>
        <v>POINTL 5 1/8 06/29/31</v>
      </c>
      <c r="B198" s="83" t="str">
        <f aca="false">IFERROR(IF(INDEX(원자료_시장!$A$1:$BZ$1000,설정!$L$6+ROW()-1,설정!$L$37)&amp;""="0","",INDEX(원자료_시장!$A$1:$BZ$1000,설정!$L$6+ROW()-1,설정!$L$37)),"")</f>
        <v>POSCO INTERNATIONAL CORP</v>
      </c>
      <c r="C198" s="83" t="str">
        <f aca="false">IFERROR(IF(INDEX(원자료_시장!$A$1:$BZ$1000,설정!$L$6+ROW()-1,설정!$L$25)&amp;""="0","",INDEX(원자료_시장!$A$1:$BZ$1000,설정!$L$6+ROW()-1,설정!$L$25)),"")</f>
        <v>USD</v>
      </c>
      <c r="D198" s="85" t="n">
        <f aca="false">IFERROR(IF(ISNUMBER(INDEX(원자료_시장!$A$1:$BZ$1000,설정!$L$6+ROW()-1,설정!$L$26)),INDEX(원자료_시장!$A$1:$BZ$1000,설정!$L$6+ROW()-1,설정!$L$26),""),"")</f>
        <v>6.111</v>
      </c>
      <c r="E198" s="97" t="n">
        <f aca="false">IFERROR(IF(ISNUMBER(INDEX(원자료_시장!$A$1:$BZ$1000,설정!$L$6+ROW()-1,설정!$L$27)),INDEX(원자료_시장!$A$1:$BZ$1000,설정!$L$6+ROW()-1,설정!$L$27),""),"")</f>
        <v>102.421</v>
      </c>
      <c r="F198" s="97" t="n">
        <f aca="false">IFERROR(IF(ISNUMBER(INDEX(원자료_시장!$A$1:$BZ$1000,설정!$L$6+ROW()-1,설정!$L$28)),INDEX(원자료_시장!$A$1:$BZ$1000,설정!$L$6+ROW()-1,설정!$L$28),""),"")</f>
        <v>135.893</v>
      </c>
      <c r="G198" s="97" t="n">
        <f aca="false">IFERROR(IF(ISNUMBER(INDEX(원자료_시장!$A$1:$BZ$1000,설정!$L$6+ROW()-1,설정!$L$29)),INDEX(원자료_시장!$A$1:$BZ$1000,설정!$L$6+ROW()-1,설정!$L$29),""),"")</f>
        <v>-0.1</v>
      </c>
      <c r="H198" s="97" t="n">
        <f aca="false">IFERROR(IF(ISNUMBER(INDEX(원자료_시장!$A$1:$BZ$1000,설정!$L$6+ROW()-1,설정!$L$30)),INDEX(원자료_시장!$A$1:$BZ$1000,설정!$L$6+ROW()-1,설정!$L$30),""),"")</f>
        <v>2.1</v>
      </c>
      <c r="I198" s="97" t="n">
        <f aca="false">IFERROR(IF(ISNUMBER(INDEX(원자료_시장!$A$1:$BZ$1000,설정!$L$6+ROW()-1,설정!$L$31)),INDEX(원자료_시장!$A$1:$BZ$1000,설정!$L$6+ROW()-1,설정!$L$31),""),"")</f>
        <v>-4.7</v>
      </c>
      <c r="J198" s="97" t="n">
        <f aca="false">IFERROR(IF(ISNUMBER(INDEX(원자료_시장!$A$1:$BZ$1000,설정!$L$6+ROW()-1,설정!$L$32)),INDEX(원자료_시장!$A$1:$BZ$1000,설정!$L$6+ROW()-1,설정!$L$32),""),"")</f>
        <v>2.3</v>
      </c>
      <c r="K198" s="85" t="n">
        <f aca="false">IFERROR(IF(ISNUMBER(INDEX(원자료_시장!$A$1:$BZ$1000,설정!$L$6+ROW()-1,설정!$L$33)),INDEX(원자료_시장!$A$1:$BZ$1000,설정!$L$6+ROW()-1,설정!$L$33),""),"")</f>
        <v>4.202</v>
      </c>
      <c r="L198" s="83" t="str">
        <f aca="false">IFERROR(IF(INDEX(원자료_시장!$A$1:$BZ$1000,설정!$L$6+ROW()-1,설정!$L$34)&amp;""="0","",INDEX(원자료_시장!$A$1:$BZ$1000,설정!$L$6+ROW()-1,설정!$L$34)),"")</f>
        <v>원자재</v>
      </c>
      <c r="M198" s="83" t="str">
        <f aca="false">IFERROR(IF(INDEX(원자료_시장!$A$1:$BZ$1000,설정!$L$6+ROW()-1,설정!$L$35)&amp;""="0","",INDEX(원자료_시장!$A$1:$BZ$1000,설정!$L$6+ROW()-1,설정!$L$35)),"")</f>
        <v>BBB</v>
      </c>
      <c r="N198" s="83" t="str">
        <f aca="false">IFERROR(IF(INDEX(원자료_시장!$A$1:$BZ$1000,설정!$L$6+ROW()-1,설정!$L$36)&amp;""="0","",INDEX(원자료_시장!$A$1:$BZ$1000,설정!$L$6+ROW()-1,설정!$L$36)),"")</f>
        <v>아시아/기타</v>
      </c>
      <c r="O198" s="43" t="str">
        <f aca="false">IF($A198="","",UPPER(LEFT($A198,FIND(" ",$A198&amp;" ")-1)))</f>
        <v>POINTL</v>
      </c>
      <c r="P198" s="43" t="str">
        <f aca="false">IF($A198="","",TRIM(RIGHT(SUBSTITUTE(TRIM($A198)," ",REPT(" ",30)),30)))</f>
        <v>06/29/31</v>
      </c>
      <c r="Q198" s="98" t="n">
        <f aca="false">IF($A198="","",IFERROR(DATE(IF(LEN(P198)=8,2000+VALUE(RIGHT(P198,2)),VALUE(RIGHT(P198,4))),VALUE(LEFT(P198,2)),VALUE(MID(P198,4,2))),""))</f>
        <v>48028</v>
      </c>
      <c r="R198" s="89" t="n">
        <f aca="false">IF($A198="",0,IF(ISNUMBER(SEARCH("Float",$A198)),1,0))</f>
        <v>0</v>
      </c>
      <c r="S198" s="43" t="str">
        <f aca="false">IF($A198="","",TRIM(MID($A198,LEN(O198)+2,LEN($A198)-LEN(O198)-LEN(P198)-1)))</f>
        <v>5 1/8</v>
      </c>
      <c r="T198" s="92" t="n">
        <f aca="false">IF(OR($A198="",R198=1),"",IFERROR(IF(ISNUMBER(FIND("/",S198)),IF(ISNUMBER(FIND(" ",S198)),VALUE(LEFT(S198,FIND(" ",S198)-1))+VALUE(MID(S198,FIND(" ",S198)+1,FIND("/",S198)-FIND(" ",S198)-1))/VALUE(MID(S198,FIND("/",S198)+1,9)),VALUE(LEFT(S198,FIND("/",S198)-1))/VALUE(MID(S198,FIND("/",S198)+1,9))),VALUE(S198)),""))</f>
        <v>5.125</v>
      </c>
      <c r="U198" s="43" t="str">
        <f aca="false">IF(OR($A198="",NOT(ISNUMBER(Q198))),"",TEXT(Q198,"yyyymmdd")&amp;"|"&amp;IF(R198=1,"F",TEXT(T198,"0.000")))</f>
        <v>20310629|5.125</v>
      </c>
      <c r="V198" s="43" t="str">
        <f aca="false">IF(U198="","",O198&amp;"|"&amp;U198)</f>
        <v>POINTL|20310629|5.125</v>
      </c>
      <c r="W198" s="43" t="str">
        <f aca="false">IF($A198="","",IFERROR(IF(VLOOKUP(O198,매핑!$A$4:$E$92,3,0)="","미분류",VLOOKUP(O198,매핑!$A$4:$E$92,3,0)),"미분류"))</f>
        <v>한국</v>
      </c>
      <c r="X198" s="89" t="n">
        <f aca="false">IF($A198="",0,IF(O198="T",1,0))</f>
        <v>0</v>
      </c>
      <c r="Y198" s="89" t="n">
        <f aca="false">IF($A198="",0,IF(AND(C198="USD",X198=0,ISNUMBER(E198),ISNUMBER(K198)),IF(K198&gt;=설정!$C$8,1,0),0))</f>
        <v>1</v>
      </c>
      <c r="Z198" s="43" t="str">
        <f aca="false">IF($A198="","",N198&amp;"|"&amp;L198)</f>
        <v>아시아/기타|원자재</v>
      </c>
      <c r="AA198" s="92" t="n">
        <f aca="false">IF(Y198=1,LN(K198),0)</f>
        <v>1.43556060242281</v>
      </c>
      <c r="AB198" s="93" t="n">
        <f aca="false">IF(Y198=1,E198,0)</f>
        <v>102.421</v>
      </c>
      <c r="AC198" s="89" t="n">
        <f aca="false">IF(Y198=1,COUNTIFS($Z$2:$Z$601,Z198,$Y$2:$Y$601,1),0)</f>
        <v>6</v>
      </c>
      <c r="AD198" s="89" t="n">
        <f aca="false">IF(Y198=1,COUNTIFS($N$2:$N$601,N198,$Y$2:$Y$601,1),0)</f>
        <v>137</v>
      </c>
      <c r="AE198" s="43" t="str">
        <f aca="false">IF(Y198&lt;&gt;1,"",IF(AND(AC198&gt;=설정!$C$7,ISNUMBER(MATCH(Z198,피어커브!$A:$A,0))),Z198,IF(AND(AD198&gt;=설정!$C$7,ISNUMBER(MATCH(N198&amp;"|전체",피어커브!$A:$A,0))),N198&amp;"|전체","전체|전체")))</f>
        <v>아시아/기타|원자재</v>
      </c>
      <c r="AF198" s="93" t="n">
        <f aca="false">IF(AE198="","",INDEX(피어커브!$K:$K,MATCH(AE198,피어커브!$A:$A,0)))</f>
        <v>43.1916249831525</v>
      </c>
      <c r="AG198" s="93" t="n">
        <f aca="false">IF(AE198="","",INDEX(피어커브!$J:$J,MATCH(AE198,피어커브!$A:$A,0)))</f>
        <v>28.1535522404021</v>
      </c>
      <c r="AH198" s="93" t="n">
        <f aca="false">IF(AE198="","",INDEX(피어커브!$L:$L,MATCH(AE198,피어커브!$A:$A,0)))</f>
        <v>11.070041054458</v>
      </c>
      <c r="AI198" s="93" t="n">
        <f aca="false">IF(AE198="","",AF198+AG198*AA198)</f>
        <v>83.6077553977262</v>
      </c>
      <c r="AJ198" s="96" t="n">
        <f aca="false">IF(AE198="","",E198-AI198)</f>
        <v>18.8132446022738</v>
      </c>
      <c r="AK198" s="95" t="n">
        <f aca="false">IF(AE198="","",IF(ISNUMBER(AH198),IF(AH198&gt;0,AJ198/AH198,""),""))</f>
        <v>1.69947378783185</v>
      </c>
      <c r="AL198" s="43" t="str">
        <f aca="false">IF(AK198="","-",IF(AK198&gt;=설정!$C$6,"Cheap",IF(AK198&lt;=-설정!$C$6,"Rich","Fair")))</f>
        <v>Cheap</v>
      </c>
      <c r="AM198" s="96" t="n">
        <f aca="false">IF(AE198="","",AJ198-AVERAGEIFS($AJ$2:$AJ$601,$B$2:$B$601,B198,$Y$2:$Y$601,1))</f>
        <v>0</v>
      </c>
      <c r="AN198" s="93" t="n">
        <f aca="false">IF(AE198="",0,IF(K198&gt;1+설정!$C$8,AG198*(AA198-LN(K198-1)),0))</f>
        <v>7.65171285354377</v>
      </c>
      <c r="AO198" s="99" t="n">
        <f aca="false">IF($A198="",0,SUMIFS(보유분석!$AA$2:$AA$801,보유분석!$AB$2:$AB$801,ROW(),보유분석!$AC$2:$AC$801,1))</f>
        <v>14.446515</v>
      </c>
      <c r="AP198" s="43" t="str">
        <f aca="false">IF($A198="","",TRIM(IF(R198=1,"FRN ","")&amp;IF(IFERROR(VLOOKUP(M198,설정!$A$15:$D$47,4,0),0)&gt;=10,IF(IFERROR(VLOOKUP(M198,설정!$A$15:$D$47,4,0),0)&lt;99,"BBB0미만 ",""),"")&amp;IF(OR(M198="",M198="NR"),"등급미입력 ","")&amp;IF(C198&lt;&gt;"USD","비USD ","")))</f>
        <v/>
      </c>
      <c r="AQ198" s="90" t="n">
        <f aca="false">IF(AND(Y198=1,AL198="Cheap"),IF(AND(ISERROR(SEARCH("FRN",AP198)),ISERROR(SEARCH("BBB0미만",AP198))),AK198+ROW()/1000000000,-999),-999)</f>
        <v>1.69947398583185</v>
      </c>
      <c r="AR198" s="92" t="n">
        <f aca="false">IF(AND(ISNUMBER(D198),ISNUMBER(K198)),D198+AN198*MAX(K198-1,0)/100,"")</f>
        <v>6.35600784557047</v>
      </c>
      <c r="AS198" s="93" t="n">
        <f aca="false">IF(AND(ISNUMBER(E198),ISNUMBER(K198)),IF(K198&gt;0,(E198+AN198*MAX(K198-1,0))/K198,""),"")</f>
        <v>30.2050891378028</v>
      </c>
      <c r="AT198" s="90" t="n">
        <f aca="false">IFERROR(IF(AND(Y198=1,ROW()&lt;&gt;스왑분석!$C$12+1,ABS(K198-INDEX($K$2:$K$601,스왑분석!$C$12))&lt;=스왑분석!$C$5,ISERROR(SEARCH("FRN",AP198)),ISERROR(SEARCH("BBB0미만",AP198))),IF(AND(OR(스왑분석!$C$6="N",L198=INDEX($L$2:$L$601,스왑분석!$C$12)),OR(스왑분석!$C$7="N",N198=INDEX($N$2:$N$601,스왑분석!$C$12)),OR(스왑분석!$C$8="N",AO198=0),E198-INDEX($E$2:$E$601,스왑분석!$C$12)&gt;=스왑분석!$C$9),E198-INDEX($E$2:$E$601,스왑분석!$C$12)+ROW()/1000000000,-999),-999),-999)</f>
        <v>53.929000198</v>
      </c>
      <c r="AU198" s="90" t="n">
        <f aca="false">IF(AND(Y198=1,AO198&gt;0,AL198="Rich"),-AK198+ROW()/1000000000,-999)</f>
        <v>-999</v>
      </c>
    </row>
    <row r="199" customFormat="false" ht="15" hidden="false" customHeight="false" outlineLevel="0" collapsed="false">
      <c r="A199" s="83" t="str">
        <f aca="false">IFERROR(IF(INDEX(원자료_시장!$A$1:$BZ$1000,설정!$L$6+ROW()-1,설정!$L$24)&amp;""="0","",INDEX(원자료_시장!$A$1:$BZ$1000,설정!$L$6+ROW()-1,설정!$L$24)),"")</f>
        <v>SHINFN 4 1/2 07/30/30</v>
      </c>
      <c r="B199" s="83" t="str">
        <f aca="false">IFERROR(IF(INDEX(원자료_시장!$A$1:$BZ$1000,설정!$L$6+ROW()-1,설정!$L$37)&amp;""="0","",INDEX(원자료_시장!$A$1:$BZ$1000,설정!$L$6+ROW()-1,설정!$L$37)),"")</f>
        <v>SHINHAN FINANCIAL GROUP</v>
      </c>
      <c r="C199" s="83" t="str">
        <f aca="false">IFERROR(IF(INDEX(원자료_시장!$A$1:$BZ$1000,설정!$L$6+ROW()-1,설정!$L$25)&amp;""="0","",INDEX(원자료_시장!$A$1:$BZ$1000,설정!$L$6+ROW()-1,설정!$L$25)),"")</f>
        <v>USD</v>
      </c>
      <c r="D199" s="85" t="n">
        <f aca="false">IFERROR(IF(ISNUMBER(INDEX(원자료_시장!$A$1:$BZ$1000,설정!$L$6+ROW()-1,설정!$L$26)),INDEX(원자료_시장!$A$1:$BZ$1000,설정!$L$6+ROW()-1,설정!$L$26),""),"")</f>
        <v>5.584</v>
      </c>
      <c r="E199" s="97" t="n">
        <f aca="false">IFERROR(IF(ISNUMBER(INDEX(원자료_시장!$A$1:$BZ$1000,설정!$L$6+ROW()-1,설정!$L$27)),INDEX(원자료_시장!$A$1:$BZ$1000,설정!$L$6+ROW()-1,설정!$L$27),""),"")</f>
        <v>49.756</v>
      </c>
      <c r="F199" s="97" t="n">
        <f aca="false">IFERROR(IF(ISNUMBER(INDEX(원자료_시장!$A$1:$BZ$1000,설정!$L$6+ROW()-1,설정!$L$28)),INDEX(원자료_시장!$A$1:$BZ$1000,설정!$L$6+ROW()-1,설정!$L$28),""),"")</f>
        <v>84.05</v>
      </c>
      <c r="G199" s="97" t="n">
        <f aca="false">IFERROR(IF(ISNUMBER(INDEX(원자료_시장!$A$1:$BZ$1000,설정!$L$6+ROW()-1,설정!$L$29)),INDEX(원자료_시장!$A$1:$BZ$1000,설정!$L$6+ROW()-1,설정!$L$29),""),"")</f>
        <v>-0.6</v>
      </c>
      <c r="H199" s="97" t="n">
        <f aca="false">IFERROR(IF(ISNUMBER(INDEX(원자료_시장!$A$1:$BZ$1000,설정!$L$6+ROW()-1,설정!$L$30)),INDEX(원자료_시장!$A$1:$BZ$1000,설정!$L$6+ROW()-1,설정!$L$30),""),"")</f>
        <v>10.6</v>
      </c>
      <c r="I199" s="97" t="n">
        <f aca="false">IFERROR(IF(ISNUMBER(INDEX(원자료_시장!$A$1:$BZ$1000,설정!$L$6+ROW()-1,설정!$L$31)),INDEX(원자료_시장!$A$1:$BZ$1000,설정!$L$6+ROW()-1,설정!$L$31),""),"")</f>
        <v>2.2</v>
      </c>
      <c r="J199" s="97" t="n">
        <f aca="false">IFERROR(IF(ISNUMBER(INDEX(원자료_시장!$A$1:$BZ$1000,설정!$L$6+ROW()-1,설정!$L$32)),INDEX(원자료_시장!$A$1:$BZ$1000,설정!$L$6+ROW()-1,설정!$L$32),""),"")</f>
        <v>-1.7</v>
      </c>
      <c r="K199" s="85" t="n">
        <f aca="false">IFERROR(IF(ISNUMBER(INDEX(원자료_시장!$A$1:$BZ$1000,설정!$L$6+ROW()-1,설정!$L$33)),INDEX(원자료_시장!$A$1:$BZ$1000,설정!$L$6+ROW()-1,설정!$L$33),""),"")</f>
        <v>3.526</v>
      </c>
      <c r="L199" s="83" t="str">
        <f aca="false">IFERROR(IF(INDEX(원자료_시장!$A$1:$BZ$1000,설정!$L$6+ROW()-1,설정!$L$34)&amp;""="0","",INDEX(원자료_시장!$A$1:$BZ$1000,설정!$L$6+ROW()-1,설정!$L$34)),"")</f>
        <v>금융기관</v>
      </c>
      <c r="M199" s="83" t="str">
        <f aca="false">IFERROR(IF(INDEX(원자료_시장!$A$1:$BZ$1000,설정!$L$6+ROW()-1,설정!$L$35)&amp;""="0","",INDEX(원자료_시장!$A$1:$BZ$1000,설정!$L$6+ROW()-1,설정!$L$35)),"")</f>
        <v>A</v>
      </c>
      <c r="N199" s="83" t="str">
        <f aca="false">IFERROR(IF(INDEX(원자료_시장!$A$1:$BZ$1000,설정!$L$6+ROW()-1,설정!$L$36)&amp;""="0","",INDEX(원자료_시장!$A$1:$BZ$1000,설정!$L$6+ROW()-1,설정!$L$36)),"")</f>
        <v>아시아/기타</v>
      </c>
      <c r="O199" s="43" t="str">
        <f aca="false">IF($A199="","",UPPER(LEFT($A199,FIND(" ",$A199&amp;" ")-1)))</f>
        <v>SHINFN</v>
      </c>
      <c r="P199" s="43" t="str">
        <f aca="false">IF($A199="","",TRIM(RIGHT(SUBSTITUTE(TRIM($A199)," ",REPT(" ",30)),30)))</f>
        <v>07/30/30</v>
      </c>
      <c r="Q199" s="98" t="n">
        <f aca="false">IF($A199="","",IFERROR(DATE(IF(LEN(P199)=8,2000+VALUE(RIGHT(P199,2)),VALUE(RIGHT(P199,4))),VALUE(LEFT(P199,2)),VALUE(MID(P199,4,2))),""))</f>
        <v>47694</v>
      </c>
      <c r="R199" s="89" t="n">
        <f aca="false">IF($A199="",0,IF(ISNUMBER(SEARCH("Float",$A199)),1,0))</f>
        <v>0</v>
      </c>
      <c r="S199" s="43" t="str">
        <f aca="false">IF($A199="","",TRIM(MID($A199,LEN(O199)+2,LEN($A199)-LEN(O199)-LEN(P199)-1)))</f>
        <v>4 1/2</v>
      </c>
      <c r="T199" s="92" t="n">
        <f aca="false">IF(OR($A199="",R199=1),"",IFERROR(IF(ISNUMBER(FIND("/",S199)),IF(ISNUMBER(FIND(" ",S199)),VALUE(LEFT(S199,FIND(" ",S199)-1))+VALUE(MID(S199,FIND(" ",S199)+1,FIND("/",S199)-FIND(" ",S199)-1))/VALUE(MID(S199,FIND("/",S199)+1,9)),VALUE(LEFT(S199,FIND("/",S199)-1))/VALUE(MID(S199,FIND("/",S199)+1,9))),VALUE(S199)),""))</f>
        <v>4.5</v>
      </c>
      <c r="U199" s="43" t="str">
        <f aca="false">IF(OR($A199="",NOT(ISNUMBER(Q199))),"",TEXT(Q199,"yyyymmdd")&amp;"|"&amp;IF(R199=1,"F",TEXT(T199,"0.000")))</f>
        <v>20300730|4.500</v>
      </c>
      <c r="V199" s="43" t="str">
        <f aca="false">IF(U199="","",O199&amp;"|"&amp;U199)</f>
        <v>SHINFN|20300730|4.500</v>
      </c>
      <c r="W199" s="43" t="str">
        <f aca="false">IF($A199="","",IFERROR(IF(VLOOKUP(O199,매핑!$A$4:$E$92,3,0)="","미분류",VLOOKUP(O199,매핑!$A$4:$E$92,3,0)),"미분류"))</f>
        <v>한국</v>
      </c>
      <c r="X199" s="89" t="n">
        <f aca="false">IF($A199="",0,IF(O199="T",1,0))</f>
        <v>0</v>
      </c>
      <c r="Y199" s="89" t="n">
        <f aca="false">IF($A199="",0,IF(AND(C199="USD",X199=0,ISNUMBER(E199),ISNUMBER(K199)),IF(K199&gt;=설정!$C$8,1,0),0))</f>
        <v>1</v>
      </c>
      <c r="Z199" s="43" t="str">
        <f aca="false">IF($A199="","",N199&amp;"|"&amp;L199)</f>
        <v>아시아/기타|금융기관</v>
      </c>
      <c r="AA199" s="92" t="n">
        <f aca="false">IF(Y199=1,LN(K199),0)</f>
        <v>1.26016408397568</v>
      </c>
      <c r="AB199" s="93" t="n">
        <f aca="false">IF(Y199=1,E199,0)</f>
        <v>49.756</v>
      </c>
      <c r="AC199" s="89" t="n">
        <f aca="false">IF(Y199=1,COUNTIFS($Z$2:$Z$601,Z199,$Y$2:$Y$601,1),0)</f>
        <v>42</v>
      </c>
      <c r="AD199" s="89" t="n">
        <f aca="false">IF(Y199=1,COUNTIFS($N$2:$N$601,N199,$Y$2:$Y$601,1),0)</f>
        <v>137</v>
      </c>
      <c r="AE199" s="43" t="str">
        <f aca="false">IF(Y199&lt;&gt;1,"",IF(AND(AC199&gt;=설정!$C$7,ISNUMBER(MATCH(Z199,피어커브!$A:$A,0))),Z199,IF(AND(AD199&gt;=설정!$C$7,ISNUMBER(MATCH(N199&amp;"|전체",피어커브!$A:$A,0))),N199&amp;"|전체","전체|전체")))</f>
        <v>아시아/기타|금융기관</v>
      </c>
      <c r="AF199" s="93" t="n">
        <f aca="false">IF(AE199="","",INDEX(피어커브!$K:$K,MATCH(AE199,피어커브!$A:$A,0)))</f>
        <v>50.117430292991</v>
      </c>
      <c r="AG199" s="93" t="n">
        <f aca="false">IF(AE199="","",INDEX(피어커브!$J:$J,MATCH(AE199,피어커브!$A:$A,0)))</f>
        <v>13.9183160321618</v>
      </c>
      <c r="AH199" s="93" t="n">
        <f aca="false">IF(AE199="","",INDEX(피어커브!$L:$L,MATCH(AE199,피어커브!$A:$A,0)))</f>
        <v>20.4735875466442</v>
      </c>
      <c r="AI199" s="93" t="n">
        <f aca="false">IF(AE199="","",AF199+AG199*AA199)</f>
        <v>67.6567922661442</v>
      </c>
      <c r="AJ199" s="96" t="n">
        <f aca="false">IF(AE199="","",E199-AI199)</f>
        <v>-17.9007922661442</v>
      </c>
      <c r="AK199" s="95" t="n">
        <f aca="false">IF(AE199="","",IF(ISNUMBER(AH199),IF(AH199&gt;0,AJ199/AH199,""),""))</f>
        <v>-0.874335883995004</v>
      </c>
      <c r="AL199" s="43" t="str">
        <f aca="false">IF(AK199="","-",IF(AK199&gt;=설정!$C$6,"Cheap",IF(AK199&lt;=-설정!$C$6,"Rich","Fair")))</f>
        <v>Fair</v>
      </c>
      <c r="AM199" s="96" t="n">
        <f aca="false">IF(AE199="","",AJ199-AVERAGEIFS($AJ$2:$AJ$601,$B$2:$B$601,B199,$Y$2:$Y$601,1))</f>
        <v>0</v>
      </c>
      <c r="AN199" s="93" t="n">
        <f aca="false">IF(AE199="",0,IF(K199&gt;1+설정!$C$8,AG199*(AA199-LN(K199-1)),0))</f>
        <v>4.64213502701723</v>
      </c>
      <c r="AO199" s="99" t="n">
        <f aca="false">IF($A199="",0,SUMIFS(보유분석!$AA$2:$AA$801,보유분석!$AB$2:$AB$801,ROW(),보유분석!$AC$2:$AC$801,1))</f>
        <v>0</v>
      </c>
      <c r="AP199" s="43" t="str">
        <f aca="false">IF($A199="","",TRIM(IF(R199=1,"FRN ","")&amp;IF(IFERROR(VLOOKUP(M199,설정!$A$15:$D$47,4,0),0)&gt;=10,IF(IFERROR(VLOOKUP(M199,설정!$A$15:$D$47,4,0),0)&lt;99,"BBB0미만 ",""),"")&amp;IF(OR(M199="",M199="NR"),"등급미입력 ","")&amp;IF(C199&lt;&gt;"USD","비USD ","")))</f>
        <v/>
      </c>
      <c r="AQ199" s="90" t="n">
        <f aca="false">IF(AND(Y199=1,AL199="Cheap"),IF(AND(ISERROR(SEARCH("FRN",AP199)),ISERROR(SEARCH("BBB0미만",AP199))),AK199+ROW()/1000000000,-999),-999)</f>
        <v>-999</v>
      </c>
      <c r="AR199" s="92" t="n">
        <f aca="false">IF(AND(ISNUMBER(D199),ISNUMBER(K199)),D199+AN199*MAX(K199-1,0)/100,"")</f>
        <v>5.70126033078246</v>
      </c>
      <c r="AS199" s="93" t="n">
        <f aca="false">IF(AND(ISNUMBER(E199),ISNUMBER(K199)),IF(K199&gt;0,(E199+AN199*MAX(K199-1,0))/K199,""),"")</f>
        <v>17.4367649115841</v>
      </c>
      <c r="AT199" s="90" t="n">
        <f aca="false">IFERROR(IF(AND(Y199=1,ROW()&lt;&gt;스왑분석!$C$12+1,ABS(K199-INDEX($K$2:$K$601,스왑분석!$C$12))&lt;=스왑분석!$C$5,ISERROR(SEARCH("FRN",AP199)),ISERROR(SEARCH("BBB0미만",AP199))),IF(AND(OR(스왑분석!$C$6="N",L199=INDEX($L$2:$L$601,스왑분석!$C$12)),OR(스왑분석!$C$7="N",N199=INDEX($N$2:$N$601,스왑분석!$C$12)),OR(스왑분석!$C$8="N",AO199=0),E199-INDEX($E$2:$E$601,스왑분석!$C$12)&gt;=스왑분석!$C$9),E199-INDEX($E$2:$E$601,스왑분석!$C$12)+ROW()/1000000000,-999),-999),-999)</f>
        <v>1.264000199</v>
      </c>
      <c r="AU199" s="90" t="n">
        <f aca="false">IF(AND(Y199=1,AO199&gt;0,AL199="Rich"),-AK199+ROW()/1000000000,-999)</f>
        <v>-999</v>
      </c>
    </row>
    <row r="200" customFormat="false" ht="15" hidden="false" customHeight="false" outlineLevel="0" collapsed="false">
      <c r="A200" s="83" t="str">
        <f aca="false">IFERROR(IF(INDEX(원자료_시장!$A$1:$BZ$1000,설정!$L$6+ROW()-1,설정!$L$24)&amp;""="0","",INDEX(원자료_시장!$A$1:$BZ$1000,설정!$L$6+ROW()-1,설정!$L$24)),"")</f>
        <v>HYUELE 2 3/8 01/19/31</v>
      </c>
      <c r="B200" s="83" t="str">
        <f aca="false">IFERROR(IF(INDEX(원자료_시장!$A$1:$BZ$1000,설정!$L$6+ROW()-1,설정!$L$37)&amp;""="0","",INDEX(원자료_시장!$A$1:$BZ$1000,설정!$L$6+ROW()-1,설정!$L$37)),"")</f>
        <v>SK HYNIX INC</v>
      </c>
      <c r="C200" s="83" t="str">
        <f aca="false">IFERROR(IF(INDEX(원자료_시장!$A$1:$BZ$1000,설정!$L$6+ROW()-1,설정!$L$25)&amp;""="0","",INDEX(원자료_시장!$A$1:$BZ$1000,설정!$L$6+ROW()-1,설정!$L$25)),"")</f>
        <v>USD</v>
      </c>
      <c r="D200" s="85" t="n">
        <f aca="false">IFERROR(IF(ISNUMBER(INDEX(원자료_시장!$A$1:$BZ$1000,설정!$L$6+ROW()-1,설정!$L$26)),INDEX(원자료_시장!$A$1:$BZ$1000,설정!$L$6+ROW()-1,설정!$L$26),""),"")</f>
        <v>5.735</v>
      </c>
      <c r="E200" s="97" t="n">
        <f aca="false">IFERROR(IF(ISNUMBER(INDEX(원자료_시장!$A$1:$BZ$1000,설정!$L$6+ROW()-1,설정!$L$27)),INDEX(원자료_시장!$A$1:$BZ$1000,설정!$L$6+ROW()-1,설정!$L$27),""),"")</f>
        <v>64.862</v>
      </c>
      <c r="F200" s="97" t="n">
        <f aca="false">IFERROR(IF(ISNUMBER(INDEX(원자료_시장!$A$1:$BZ$1000,설정!$L$6+ROW()-1,설정!$L$28)),INDEX(원자료_시장!$A$1:$BZ$1000,설정!$L$6+ROW()-1,설정!$L$28),""),"")</f>
        <v>98.727</v>
      </c>
      <c r="G200" s="97" t="n">
        <f aca="false">IFERROR(IF(ISNUMBER(INDEX(원자료_시장!$A$1:$BZ$1000,설정!$L$6+ROW()-1,설정!$L$29)),INDEX(원자료_시장!$A$1:$BZ$1000,설정!$L$6+ROW()-1,설정!$L$29),""),"")</f>
        <v>-0.2</v>
      </c>
      <c r="H200" s="97" t="n">
        <f aca="false">IFERROR(IF(ISNUMBER(INDEX(원자료_시장!$A$1:$BZ$1000,설정!$L$6+ROW()-1,설정!$L$30)),INDEX(원자료_시장!$A$1:$BZ$1000,설정!$L$6+ROW()-1,설정!$L$30),""),"")</f>
        <v>2</v>
      </c>
      <c r="I200" s="97" t="n">
        <f aca="false">IFERROR(IF(ISNUMBER(INDEX(원자료_시장!$A$1:$BZ$1000,설정!$L$6+ROW()-1,설정!$L$31)),INDEX(원자료_시장!$A$1:$BZ$1000,설정!$L$6+ROW()-1,설정!$L$31),""),"")</f>
        <v>2.6</v>
      </c>
      <c r="J200" s="97" t="n">
        <f aca="false">IFERROR(IF(ISNUMBER(INDEX(원자료_시장!$A$1:$BZ$1000,설정!$L$6+ROW()-1,설정!$L$32)),INDEX(원자료_시장!$A$1:$BZ$1000,설정!$L$6+ROW()-1,설정!$L$32),""),"")</f>
        <v>15.9</v>
      </c>
      <c r="K200" s="85" t="n">
        <f aca="false">IFERROR(IF(ISNUMBER(INDEX(원자료_시장!$A$1:$BZ$1000,설정!$L$6+ROW()-1,설정!$L$33)),INDEX(원자료_시장!$A$1:$BZ$1000,설정!$L$6+ROW()-1,설정!$L$33),""),"")</f>
        <v>4.073</v>
      </c>
      <c r="L200" s="83" t="str">
        <f aca="false">IFERROR(IF(INDEX(원자료_시장!$A$1:$BZ$1000,설정!$L$6+ROW()-1,설정!$L$34)&amp;""="0","",INDEX(원자료_시장!$A$1:$BZ$1000,설정!$L$6+ROW()-1,설정!$L$34)),"")</f>
        <v>기술</v>
      </c>
      <c r="M200" s="83" t="str">
        <f aca="false">IFERROR(IF(INDEX(원자료_시장!$A$1:$BZ$1000,설정!$L$6+ROW()-1,설정!$L$35)&amp;""="0","",INDEX(원자료_시장!$A$1:$BZ$1000,설정!$L$6+ROW()-1,설정!$L$35)),"")</f>
        <v>A-</v>
      </c>
      <c r="N200" s="83" t="str">
        <f aca="false">IFERROR(IF(INDEX(원자료_시장!$A$1:$BZ$1000,설정!$L$6+ROW()-1,설정!$L$36)&amp;""="0","",INDEX(원자료_시장!$A$1:$BZ$1000,설정!$L$6+ROW()-1,설정!$L$36)),"")</f>
        <v>아시아/기타</v>
      </c>
      <c r="O200" s="43" t="str">
        <f aca="false">IF($A200="","",UPPER(LEFT($A200,FIND(" ",$A200&amp;" ")-1)))</f>
        <v>HYUELE</v>
      </c>
      <c r="P200" s="43" t="str">
        <f aca="false">IF($A200="","",TRIM(RIGHT(SUBSTITUTE(TRIM($A200)," ",REPT(" ",30)),30)))</f>
        <v>01/19/31</v>
      </c>
      <c r="Q200" s="98" t="n">
        <f aca="false">IF($A200="","",IFERROR(DATE(IF(LEN(P200)=8,2000+VALUE(RIGHT(P200,2)),VALUE(RIGHT(P200,4))),VALUE(LEFT(P200,2)),VALUE(MID(P200,4,2))),""))</f>
        <v>47867</v>
      </c>
      <c r="R200" s="89" t="n">
        <f aca="false">IF($A200="",0,IF(ISNUMBER(SEARCH("Float",$A200)),1,0))</f>
        <v>0</v>
      </c>
      <c r="S200" s="43" t="str">
        <f aca="false">IF($A200="","",TRIM(MID($A200,LEN(O200)+2,LEN($A200)-LEN(O200)-LEN(P200)-1)))</f>
        <v>2 3/8</v>
      </c>
      <c r="T200" s="92" t="n">
        <f aca="false">IF(OR($A200="",R200=1),"",IFERROR(IF(ISNUMBER(FIND("/",S200)),IF(ISNUMBER(FIND(" ",S200)),VALUE(LEFT(S200,FIND(" ",S200)-1))+VALUE(MID(S200,FIND(" ",S200)+1,FIND("/",S200)-FIND(" ",S200)-1))/VALUE(MID(S200,FIND("/",S200)+1,9)),VALUE(LEFT(S200,FIND("/",S200)-1))/VALUE(MID(S200,FIND("/",S200)+1,9))),VALUE(S200)),""))</f>
        <v>2.375</v>
      </c>
      <c r="U200" s="43" t="str">
        <f aca="false">IF(OR($A200="",NOT(ISNUMBER(Q200))),"",TEXT(Q200,"yyyymmdd")&amp;"|"&amp;IF(R200=1,"F",TEXT(T200,"0.000")))</f>
        <v>20310119|2.375</v>
      </c>
      <c r="V200" s="43" t="str">
        <f aca="false">IF(U200="","",O200&amp;"|"&amp;U200)</f>
        <v>HYUELE|20310119|2.375</v>
      </c>
      <c r="W200" s="43" t="str">
        <f aca="false">IF($A200="","",IFERROR(IF(VLOOKUP(O200,매핑!$A$4:$E$92,3,0)="","미분류",VLOOKUP(O200,매핑!$A$4:$E$92,3,0)),"미분류"))</f>
        <v>한국</v>
      </c>
      <c r="X200" s="89" t="n">
        <f aca="false">IF($A200="",0,IF(O200="T",1,0))</f>
        <v>0</v>
      </c>
      <c r="Y200" s="89" t="n">
        <f aca="false">IF($A200="",0,IF(AND(C200="USD",X200=0,ISNUMBER(E200),ISNUMBER(K200)),IF(K200&gt;=설정!$C$8,1,0),0))</f>
        <v>1</v>
      </c>
      <c r="Z200" s="43" t="str">
        <f aca="false">IF($A200="","",N200&amp;"|"&amp;L200)</f>
        <v>아시아/기타|기술</v>
      </c>
      <c r="AA200" s="92" t="n">
        <f aca="false">IF(Y200=1,LN(K200),0)</f>
        <v>1.40437982866628</v>
      </c>
      <c r="AB200" s="93" t="n">
        <f aca="false">IF(Y200=1,E200,0)</f>
        <v>64.862</v>
      </c>
      <c r="AC200" s="89" t="n">
        <f aca="false">IF(Y200=1,COUNTIFS($Z$2:$Z$601,Z200,$Y$2:$Y$601,1),0)</f>
        <v>7</v>
      </c>
      <c r="AD200" s="89" t="n">
        <f aca="false">IF(Y200=1,COUNTIFS($N$2:$N$601,N200,$Y$2:$Y$601,1),0)</f>
        <v>137</v>
      </c>
      <c r="AE200" s="43" t="str">
        <f aca="false">IF(Y200&lt;&gt;1,"",IF(AND(AC200&gt;=설정!$C$7,ISNUMBER(MATCH(Z200,피어커브!$A:$A,0))),Z200,IF(AND(AD200&gt;=설정!$C$7,ISNUMBER(MATCH(N200&amp;"|전체",피어커브!$A:$A,0))),N200&amp;"|전체","전체|전체")))</f>
        <v>아시아/기타|기술</v>
      </c>
      <c r="AF200" s="93" t="n">
        <f aca="false">IF(AE200="","",INDEX(피어커브!$K:$K,MATCH(AE200,피어커브!$A:$A,0)))</f>
        <v>33.1360264866164</v>
      </c>
      <c r="AG200" s="93" t="n">
        <f aca="false">IF(AE200="","",INDEX(피어커브!$J:$J,MATCH(AE200,피어커브!$A:$A,0)))</f>
        <v>19.8158560572205</v>
      </c>
      <c r="AH200" s="93" t="n">
        <f aca="false">IF(AE200="","",INDEX(피어커브!$L:$L,MATCH(AE200,피어커브!$A:$A,0)))</f>
        <v>2.69002159334222</v>
      </c>
      <c r="AI200" s="93" t="n">
        <f aca="false">IF(AE200="","",AF200+AG200*AA200)</f>
        <v>60.9650150211313</v>
      </c>
      <c r="AJ200" s="96" t="n">
        <f aca="false">IF(AE200="","",E200-AI200)</f>
        <v>3.89698497886872</v>
      </c>
      <c r="AK200" s="95" t="n">
        <f aca="false">IF(AE200="","",IF(ISNUMBER(AH200),IF(AH200&gt;0,AJ200/AH200,""),""))</f>
        <v>1.44868167174335</v>
      </c>
      <c r="AL200" s="43" t="str">
        <f aca="false">IF(AK200="","-",IF(AK200&gt;=설정!$C$6,"Cheap",IF(AK200&lt;=-설정!$C$6,"Rich","Fair")))</f>
        <v>Cheap</v>
      </c>
      <c r="AM200" s="96" t="n">
        <f aca="false">IF(AE200="","",AJ200-AVERAGEIFS($AJ$2:$AJ$601,$B$2:$B$601,B200,$Y$2:$Y$601,1))</f>
        <v>3.81103509598988</v>
      </c>
      <c r="AN200" s="93" t="n">
        <f aca="false">IF(AE200="",0,IF(K200&gt;1+설정!$C$8,AG200*(AA200-LN(K200-1)),0))</f>
        <v>5.58263285762518</v>
      </c>
      <c r="AO200" s="99" t="n">
        <f aca="false">IF($A200="",0,SUMIFS(보유분석!$AA$2:$AA$801,보유분석!$AB$2:$AB$801,ROW(),보유분석!$AC$2:$AC$801,1))</f>
        <v>29.768054</v>
      </c>
      <c r="AP200" s="43" t="str">
        <f aca="false">IF($A200="","",TRIM(IF(R200=1,"FRN ","")&amp;IF(IFERROR(VLOOKUP(M200,설정!$A$15:$D$47,4,0),0)&gt;=10,IF(IFERROR(VLOOKUP(M200,설정!$A$15:$D$47,4,0),0)&lt;99,"BBB0미만 ",""),"")&amp;IF(OR(M200="",M200="NR"),"등급미입력 ","")&amp;IF(C200&lt;&gt;"USD","비USD ","")))</f>
        <v/>
      </c>
      <c r="AQ200" s="90" t="n">
        <f aca="false">IF(AND(Y200=1,AL200="Cheap"),IF(AND(ISERROR(SEARCH("FRN",AP200)),ISERROR(SEARCH("BBB0미만",AP200))),AK200+ROW()/1000000000,-999),-999)</f>
        <v>1.44868187174335</v>
      </c>
      <c r="AR200" s="92" t="n">
        <f aca="false">IF(AND(ISNUMBER(D200),ISNUMBER(K200)),D200+AN200*MAX(K200-1,0)/100,"")</f>
        <v>5.90655430771482</v>
      </c>
      <c r="AS200" s="93" t="n">
        <f aca="false">IF(AND(ISNUMBER(E200),ISNUMBER(K200)),IF(K200&gt;0,(E200+AN200*MAX(K200-1,0))/K200,""),"")</f>
        <v>20.1368599979087</v>
      </c>
      <c r="AT200" s="90" t="n">
        <f aca="false">IFERROR(IF(AND(Y200=1,ROW()&lt;&gt;스왑분석!$C$12+1,ABS(K200-INDEX($K$2:$K$601,스왑분석!$C$12))&lt;=스왑분석!$C$5,ISERROR(SEARCH("FRN",AP200)),ISERROR(SEARCH("BBB0미만",AP200))),IF(AND(OR(스왑분석!$C$6="N",L200=INDEX($L$2:$L$601,스왑분석!$C$12)),OR(스왑분석!$C$7="N",N200=INDEX($N$2:$N$601,스왑분석!$C$12)),OR(스왑분석!$C$8="N",AO200=0),E200-INDEX($E$2:$E$601,스왑분석!$C$12)&gt;=스왑분석!$C$9),E200-INDEX($E$2:$E$601,스왑분석!$C$12)+ROW()/1000000000,-999),-999),-999)</f>
        <v>16.3700002</v>
      </c>
      <c r="AU200" s="90" t="n">
        <f aca="false">IF(AND(Y200=1,AO200&gt;0,AL200="Rich"),-AK200+ROW()/1000000000,-999)</f>
        <v>-999</v>
      </c>
    </row>
    <row r="201" customFormat="false" ht="15" hidden="false" customHeight="false" outlineLevel="0" collapsed="false">
      <c r="A201" s="83" t="str">
        <f aca="false">IFERROR(IF(INDEX(원자료_시장!$A$1:$BZ$1000,설정!$L$6+ROW()-1,설정!$L$24)&amp;""="0","",INDEX(원자료_시장!$A$1:$BZ$1000,설정!$L$6+ROW()-1,설정!$L$24)),"")</f>
        <v>HYUELE 6 3/8 01/17/28</v>
      </c>
      <c r="B201" s="83" t="str">
        <f aca="false">IFERROR(IF(INDEX(원자료_시장!$A$1:$BZ$1000,설정!$L$6+ROW()-1,설정!$L$37)&amp;""="0","",INDEX(원자료_시장!$A$1:$BZ$1000,설정!$L$6+ROW()-1,설정!$L$37)),"")</f>
        <v>SK HYNIX INC</v>
      </c>
      <c r="C201" s="83" t="str">
        <f aca="false">IFERROR(IF(INDEX(원자료_시장!$A$1:$BZ$1000,설정!$L$6+ROW()-1,설정!$L$25)&amp;""="0","",INDEX(원자료_시장!$A$1:$BZ$1000,설정!$L$6+ROW()-1,설정!$L$25)),"")</f>
        <v>USD</v>
      </c>
      <c r="D201" s="85" t="n">
        <f aca="false">IFERROR(IF(ISNUMBER(INDEX(원자료_시장!$A$1:$BZ$1000,설정!$L$6+ROW()-1,설정!$L$26)),INDEX(원자료_시장!$A$1:$BZ$1000,설정!$L$6+ROW()-1,설정!$L$26),""),"")</f>
        <v>5.253</v>
      </c>
      <c r="E201" s="97" t="n">
        <f aca="false">IFERROR(IF(ISNUMBER(INDEX(원자료_시장!$A$1:$BZ$1000,설정!$L$6+ROW()-1,설정!$L$27)),INDEX(원자료_시장!$A$1:$BZ$1000,설정!$L$6+ROW()-1,설정!$L$27),""),"")</f>
        <v>36.357</v>
      </c>
      <c r="F201" s="97" t="n">
        <f aca="false">IFERROR(IF(ISNUMBER(INDEX(원자료_시장!$A$1:$BZ$1000,설정!$L$6+ROW()-1,설정!$L$28)),INDEX(원자료_시장!$A$1:$BZ$1000,설정!$L$6+ROW()-1,설정!$L$28),""),"")</f>
        <v>68.623</v>
      </c>
      <c r="G201" s="97" t="n">
        <f aca="false">IFERROR(IF(ISNUMBER(INDEX(원자료_시장!$A$1:$BZ$1000,설정!$L$6+ROW()-1,설정!$L$29)),INDEX(원자료_시장!$A$1:$BZ$1000,설정!$L$6+ROW()-1,설정!$L$29),""),"")</f>
        <v>-0.8</v>
      </c>
      <c r="H201" s="97" t="n">
        <f aca="false">IFERROR(IF(ISNUMBER(INDEX(원자료_시장!$A$1:$BZ$1000,설정!$L$6+ROW()-1,설정!$L$30)),INDEX(원자료_시장!$A$1:$BZ$1000,설정!$L$6+ROW()-1,설정!$L$30),""),"")</f>
        <v>4.5</v>
      </c>
      <c r="I201" s="97" t="n">
        <f aca="false">IFERROR(IF(ISNUMBER(INDEX(원자료_시장!$A$1:$BZ$1000,설정!$L$6+ROW()-1,설정!$L$31)),INDEX(원자료_시장!$A$1:$BZ$1000,설정!$L$6+ROW()-1,설정!$L$31),""),"")</f>
        <v>0.3</v>
      </c>
      <c r="J201" s="97" t="n">
        <f aca="false">IFERROR(IF(ISNUMBER(INDEX(원자료_시장!$A$1:$BZ$1000,설정!$L$6+ROW()-1,설정!$L$32)),INDEX(원자료_시장!$A$1:$BZ$1000,설정!$L$6+ROW()-1,설정!$L$32),""),"")</f>
        <v>-4.2</v>
      </c>
      <c r="K201" s="85" t="n">
        <f aca="false">IFERROR(IF(ISNUMBER(INDEX(원자료_시장!$A$1:$BZ$1000,설정!$L$6+ROW()-1,설정!$L$33)),INDEX(원자료_시장!$A$1:$BZ$1000,설정!$L$6+ROW()-1,설정!$L$33),""),"")</f>
        <v>1.246</v>
      </c>
      <c r="L201" s="83" t="str">
        <f aca="false">IFERROR(IF(INDEX(원자료_시장!$A$1:$BZ$1000,설정!$L$6+ROW()-1,설정!$L$34)&amp;""="0","",INDEX(원자료_시장!$A$1:$BZ$1000,설정!$L$6+ROW()-1,설정!$L$34)),"")</f>
        <v>기술</v>
      </c>
      <c r="M201" s="83" t="str">
        <f aca="false">IFERROR(IF(INDEX(원자료_시장!$A$1:$BZ$1000,설정!$L$6+ROW()-1,설정!$L$35)&amp;""="0","",INDEX(원자료_시장!$A$1:$BZ$1000,설정!$L$6+ROW()-1,설정!$L$35)),"")</f>
        <v>A-</v>
      </c>
      <c r="N201" s="83" t="str">
        <f aca="false">IFERROR(IF(INDEX(원자료_시장!$A$1:$BZ$1000,설정!$L$6+ROW()-1,설정!$L$36)&amp;""="0","",INDEX(원자료_시장!$A$1:$BZ$1000,설정!$L$6+ROW()-1,설정!$L$36)),"")</f>
        <v>아시아/기타</v>
      </c>
      <c r="O201" s="43" t="str">
        <f aca="false">IF($A201="","",UPPER(LEFT($A201,FIND(" ",$A201&amp;" ")-1)))</f>
        <v>HYUELE</v>
      </c>
      <c r="P201" s="43" t="str">
        <f aca="false">IF($A201="","",TRIM(RIGHT(SUBSTITUTE(TRIM($A201)," ",REPT(" ",30)),30)))</f>
        <v>01/17/28</v>
      </c>
      <c r="Q201" s="98" t="n">
        <f aca="false">IF($A201="","",IFERROR(DATE(IF(LEN(P201)=8,2000+VALUE(RIGHT(P201,2)),VALUE(RIGHT(P201,4))),VALUE(LEFT(P201,2)),VALUE(MID(P201,4,2))),""))</f>
        <v>46769</v>
      </c>
      <c r="R201" s="89" t="n">
        <f aca="false">IF($A201="",0,IF(ISNUMBER(SEARCH("Float",$A201)),1,0))</f>
        <v>0</v>
      </c>
      <c r="S201" s="43" t="str">
        <f aca="false">IF($A201="","",TRIM(MID($A201,LEN(O201)+2,LEN($A201)-LEN(O201)-LEN(P201)-1)))</f>
        <v>6 3/8</v>
      </c>
      <c r="T201" s="92" t="n">
        <f aca="false">IF(OR($A201="",R201=1),"",IFERROR(IF(ISNUMBER(FIND("/",S201)),IF(ISNUMBER(FIND(" ",S201)),VALUE(LEFT(S201,FIND(" ",S201)-1))+VALUE(MID(S201,FIND(" ",S201)+1,FIND("/",S201)-FIND(" ",S201)-1))/VALUE(MID(S201,FIND("/",S201)+1,9)),VALUE(LEFT(S201,FIND("/",S201)-1))/VALUE(MID(S201,FIND("/",S201)+1,9))),VALUE(S201)),""))</f>
        <v>6.375</v>
      </c>
      <c r="U201" s="43" t="str">
        <f aca="false">IF(OR($A201="",NOT(ISNUMBER(Q201))),"",TEXT(Q201,"yyyymmdd")&amp;"|"&amp;IF(R201=1,"F",TEXT(T201,"0.000")))</f>
        <v>20280117|6.375</v>
      </c>
      <c r="V201" s="43" t="str">
        <f aca="false">IF(U201="","",O201&amp;"|"&amp;U201)</f>
        <v>HYUELE|20280117|6.375</v>
      </c>
      <c r="W201" s="43" t="str">
        <f aca="false">IF($A201="","",IFERROR(IF(VLOOKUP(O201,매핑!$A$4:$E$92,3,0)="","미분류",VLOOKUP(O201,매핑!$A$4:$E$92,3,0)),"미분류"))</f>
        <v>한국</v>
      </c>
      <c r="X201" s="89" t="n">
        <f aca="false">IF($A201="",0,IF(O201="T",1,0))</f>
        <v>0</v>
      </c>
      <c r="Y201" s="89" t="n">
        <f aca="false">IF($A201="",0,IF(AND(C201="USD",X201=0,ISNUMBER(E201),ISNUMBER(K201)),IF(K201&gt;=설정!$C$8,1,0),0))</f>
        <v>1</v>
      </c>
      <c r="Z201" s="43" t="str">
        <f aca="false">IF($A201="","",N201&amp;"|"&amp;L201)</f>
        <v>아시아/기타|기술</v>
      </c>
      <c r="AA201" s="92" t="n">
        <f aca="false">IF(Y201=1,LN(K201),0)</f>
        <v>0.219938420365261</v>
      </c>
      <c r="AB201" s="93" t="n">
        <f aca="false">IF(Y201=1,E201,0)</f>
        <v>36.357</v>
      </c>
      <c r="AC201" s="89" t="n">
        <f aca="false">IF(Y201=1,COUNTIFS($Z$2:$Z$601,Z201,$Y$2:$Y$601,1),0)</f>
        <v>7</v>
      </c>
      <c r="AD201" s="89" t="n">
        <f aca="false">IF(Y201=1,COUNTIFS($N$2:$N$601,N201,$Y$2:$Y$601,1),0)</f>
        <v>137</v>
      </c>
      <c r="AE201" s="43" t="str">
        <f aca="false">IF(Y201&lt;&gt;1,"",IF(AND(AC201&gt;=설정!$C$7,ISNUMBER(MATCH(Z201,피어커브!$A:$A,0))),Z201,IF(AND(AD201&gt;=설정!$C$7,ISNUMBER(MATCH(N201&amp;"|전체",피어커브!$A:$A,0))),N201&amp;"|전체","전체|전체")))</f>
        <v>아시아/기타|기술</v>
      </c>
      <c r="AF201" s="93" t="n">
        <f aca="false">IF(AE201="","",INDEX(피어커브!$K:$K,MATCH(AE201,피어커브!$A:$A,0)))</f>
        <v>33.1360264866164</v>
      </c>
      <c r="AG201" s="93" t="n">
        <f aca="false">IF(AE201="","",INDEX(피어커브!$J:$J,MATCH(AE201,피어커브!$A:$A,0)))</f>
        <v>19.8158560572205</v>
      </c>
      <c r="AH201" s="93" t="n">
        <f aca="false">IF(AE201="","",INDEX(피어커브!$L:$L,MATCH(AE201,피어커브!$A:$A,0)))</f>
        <v>2.69002159334222</v>
      </c>
      <c r="AI201" s="93" t="n">
        <f aca="false">IF(AE201="","",AF201+AG201*AA201)</f>
        <v>37.4942945660269</v>
      </c>
      <c r="AJ201" s="96" t="n">
        <f aca="false">IF(AE201="","",E201-AI201)</f>
        <v>-1.13729456602686</v>
      </c>
      <c r="AK201" s="95" t="n">
        <f aca="false">IF(AE201="","",IF(ISNUMBER(AH201),IF(AH201&gt;0,AJ201/AH201,""),""))</f>
        <v>-0.422782690236261</v>
      </c>
      <c r="AL201" s="43" t="str">
        <f aca="false">IF(AK201="","-",IF(AK201&gt;=설정!$C$6,"Cheap",IF(AK201&lt;=-설정!$C$6,"Rich","Fair")))</f>
        <v>Fair</v>
      </c>
      <c r="AM201" s="96" t="n">
        <f aca="false">IF(AE201="","",AJ201-AVERAGEIFS($AJ$2:$AJ$601,$B$2:$B$601,B201,$Y$2:$Y$601,1))</f>
        <v>-1.22324444890569</v>
      </c>
      <c r="AN201" s="93" t="n">
        <f aca="false">IF(AE201="",0,IF(K201&gt;1+설정!$C$8,AG201*(AA201-LN(K201-1)),0))</f>
        <v>0</v>
      </c>
      <c r="AO201" s="99" t="n">
        <f aca="false">IF($A201="",0,SUMIFS(보유분석!$AA$2:$AA$801,보유분석!$AB$2:$AB$801,ROW(),보유분석!$AC$2:$AC$801,1))</f>
        <v>17.0355864</v>
      </c>
      <c r="AP201" s="43" t="str">
        <f aca="false">IF($A201="","",TRIM(IF(R201=1,"FRN ","")&amp;IF(IFERROR(VLOOKUP(M201,설정!$A$15:$D$47,4,0),0)&gt;=10,IF(IFERROR(VLOOKUP(M201,설정!$A$15:$D$47,4,0),0)&lt;99,"BBB0미만 ",""),"")&amp;IF(OR(M201="",M201="NR"),"등급미입력 ","")&amp;IF(C201&lt;&gt;"USD","비USD ","")))</f>
        <v/>
      </c>
      <c r="AQ201" s="90" t="n">
        <f aca="false">IF(AND(Y201=1,AL201="Cheap"),IF(AND(ISERROR(SEARCH("FRN",AP201)),ISERROR(SEARCH("BBB0미만",AP201))),AK201+ROW()/1000000000,-999),-999)</f>
        <v>-999</v>
      </c>
      <c r="AR201" s="92" t="n">
        <f aca="false">IF(AND(ISNUMBER(D201),ISNUMBER(K201)),D201+AN201*MAX(K201-1,0)/100,"")</f>
        <v>5.253</v>
      </c>
      <c r="AS201" s="93" t="n">
        <f aca="false">IF(AND(ISNUMBER(E201),ISNUMBER(K201)),IF(K201&gt;0,(E201+AN201*MAX(K201-1,0))/K201,""),"")</f>
        <v>29.1789727126806</v>
      </c>
      <c r="AT201" s="90" t="n">
        <f aca="false">IFERROR(IF(AND(Y201=1,ROW()&lt;&gt;스왑분석!$C$12+1,ABS(K201-INDEX($K$2:$K$601,스왑분석!$C$12))&lt;=스왑분석!$C$5,ISERROR(SEARCH("FRN",AP201)),ISERROR(SEARCH("BBB0미만",AP201))),IF(AND(OR(스왑분석!$C$6="N",L201=INDEX($L$2:$L$601,스왑분석!$C$12)),OR(스왑분석!$C$7="N",N201=INDEX($N$2:$N$601,스왑분석!$C$12)),OR(스왑분석!$C$8="N",AO201=0),E201-INDEX($E$2:$E$601,스왑분석!$C$12)&gt;=스왑분석!$C$9),E201-INDEX($E$2:$E$601,스왑분석!$C$12)+ROW()/1000000000,-999),-999),-999)</f>
        <v>-999</v>
      </c>
      <c r="AU201" s="90" t="n">
        <f aca="false">IF(AND(Y201=1,AO201&gt;0,AL201="Rich"),-AK201+ROW()/1000000000,-999)</f>
        <v>-999</v>
      </c>
    </row>
    <row r="202" customFormat="false" ht="15" hidden="false" customHeight="false" outlineLevel="0" collapsed="false">
      <c r="A202" s="83" t="str">
        <f aca="false">IFERROR(IF(INDEX(원자료_시장!$A$1:$BZ$1000,설정!$L$6+ROW()-1,설정!$L$24)&amp;""="0","",INDEX(원자료_시장!$A$1:$BZ$1000,설정!$L$6+ROW()-1,설정!$L$24)),"")</f>
        <v>HYUELE 6 1/2 01/17/33</v>
      </c>
      <c r="B202" s="83" t="str">
        <f aca="false">IFERROR(IF(INDEX(원자료_시장!$A$1:$BZ$1000,설정!$L$6+ROW()-1,설정!$L$37)&amp;""="0","",INDEX(원자료_시장!$A$1:$BZ$1000,설정!$L$6+ROW()-1,설정!$L$37)),"")</f>
        <v>SK HYNIX INC</v>
      </c>
      <c r="C202" s="83" t="str">
        <f aca="false">IFERROR(IF(INDEX(원자료_시장!$A$1:$BZ$1000,설정!$L$6+ROW()-1,설정!$L$25)&amp;""="0","",INDEX(원자료_시장!$A$1:$BZ$1000,설정!$L$6+ROW()-1,설정!$L$25)),"")</f>
        <v>USD</v>
      </c>
      <c r="D202" s="85" t="n">
        <f aca="false">IFERROR(IF(ISNUMBER(INDEX(원자료_시장!$A$1:$BZ$1000,설정!$L$6+ROW()-1,설정!$L$26)),INDEX(원자료_시장!$A$1:$BZ$1000,설정!$L$6+ROW()-1,설정!$L$26),""),"")</f>
        <v>5.909</v>
      </c>
      <c r="E202" s="97" t="n">
        <f aca="false">IFERROR(IF(ISNUMBER(INDEX(원자료_시장!$A$1:$BZ$1000,설정!$L$6+ROW()-1,설정!$L$27)),INDEX(원자료_시장!$A$1:$BZ$1000,설정!$L$6+ROW()-1,설정!$L$27),""),"")</f>
        <v>62.161</v>
      </c>
      <c r="F202" s="97" t="n">
        <f aca="false">IFERROR(IF(ISNUMBER(INDEX(원자료_시장!$A$1:$BZ$1000,설정!$L$6+ROW()-1,설정!$L$28)),INDEX(원자료_시장!$A$1:$BZ$1000,설정!$L$6+ROW()-1,설정!$L$28),""),"")</f>
        <v>113.723</v>
      </c>
      <c r="G202" s="97" t="n">
        <f aca="false">IFERROR(IF(ISNUMBER(INDEX(원자료_시장!$A$1:$BZ$1000,설정!$L$6+ROW()-1,설정!$L$29)),INDEX(원자료_시장!$A$1:$BZ$1000,설정!$L$6+ROW()-1,설정!$L$29),""),"")</f>
        <v>0.5</v>
      </c>
      <c r="H202" s="97" t="n">
        <f aca="false">IFERROR(IF(ISNUMBER(INDEX(원자료_시장!$A$1:$BZ$1000,설정!$L$6+ROW()-1,설정!$L$30)),INDEX(원자료_시장!$A$1:$BZ$1000,설정!$L$6+ROW()-1,설정!$L$30),""),"")</f>
        <v>2.4</v>
      </c>
      <c r="I202" s="97" t="n">
        <f aca="false">IFERROR(IF(ISNUMBER(INDEX(원자료_시장!$A$1:$BZ$1000,설정!$L$6+ROW()-1,설정!$L$31)),INDEX(원자료_시장!$A$1:$BZ$1000,설정!$L$6+ROW()-1,설정!$L$31),""),"")</f>
        <v>2.6</v>
      </c>
      <c r="J202" s="97" t="n">
        <f aca="false">IFERROR(IF(ISNUMBER(INDEX(원자료_시장!$A$1:$BZ$1000,설정!$L$6+ROW()-1,설정!$L$32)),INDEX(원자료_시장!$A$1:$BZ$1000,설정!$L$6+ROW()-1,설정!$L$32),""),"")</f>
        <v>13.3</v>
      </c>
      <c r="K202" s="85" t="n">
        <f aca="false">IFERROR(IF(ISNUMBER(INDEX(원자료_시장!$A$1:$BZ$1000,설정!$L$6+ROW()-1,설정!$L$33)),INDEX(원자료_시장!$A$1:$BZ$1000,설정!$L$6+ROW()-1,설정!$L$33),""),"")</f>
        <v>5.215</v>
      </c>
      <c r="L202" s="83" t="str">
        <f aca="false">IFERROR(IF(INDEX(원자료_시장!$A$1:$BZ$1000,설정!$L$6+ROW()-1,설정!$L$34)&amp;""="0","",INDEX(원자료_시장!$A$1:$BZ$1000,설정!$L$6+ROW()-1,설정!$L$34)),"")</f>
        <v>기술</v>
      </c>
      <c r="M202" s="83" t="str">
        <f aca="false">IFERROR(IF(INDEX(원자료_시장!$A$1:$BZ$1000,설정!$L$6+ROW()-1,설정!$L$35)&amp;""="0","",INDEX(원자료_시장!$A$1:$BZ$1000,설정!$L$6+ROW()-1,설정!$L$35)),"")</f>
        <v>A-</v>
      </c>
      <c r="N202" s="83" t="str">
        <f aca="false">IFERROR(IF(INDEX(원자료_시장!$A$1:$BZ$1000,설정!$L$6+ROW()-1,설정!$L$36)&amp;""="0","",INDEX(원자료_시장!$A$1:$BZ$1000,설정!$L$6+ROW()-1,설정!$L$36)),"")</f>
        <v>아시아/기타</v>
      </c>
      <c r="O202" s="43" t="str">
        <f aca="false">IF($A202="","",UPPER(LEFT($A202,FIND(" ",$A202&amp;" ")-1)))</f>
        <v>HYUELE</v>
      </c>
      <c r="P202" s="43" t="str">
        <f aca="false">IF($A202="","",TRIM(RIGHT(SUBSTITUTE(TRIM($A202)," ",REPT(" ",30)),30)))</f>
        <v>01/17/33</v>
      </c>
      <c r="Q202" s="98" t="n">
        <f aca="false">IF($A202="","",IFERROR(DATE(IF(LEN(P202)=8,2000+VALUE(RIGHT(P202,2)),VALUE(RIGHT(P202,4))),VALUE(LEFT(P202,2)),VALUE(MID(P202,4,2))),""))</f>
        <v>48596</v>
      </c>
      <c r="R202" s="89" t="n">
        <f aca="false">IF($A202="",0,IF(ISNUMBER(SEARCH("Float",$A202)),1,0))</f>
        <v>0</v>
      </c>
      <c r="S202" s="43" t="str">
        <f aca="false">IF($A202="","",TRIM(MID($A202,LEN(O202)+2,LEN($A202)-LEN(O202)-LEN(P202)-1)))</f>
        <v>6 1/2</v>
      </c>
      <c r="T202" s="92" t="n">
        <f aca="false">IF(OR($A202="",R202=1),"",IFERROR(IF(ISNUMBER(FIND("/",S202)),IF(ISNUMBER(FIND(" ",S202)),VALUE(LEFT(S202,FIND(" ",S202)-1))+VALUE(MID(S202,FIND(" ",S202)+1,FIND("/",S202)-FIND(" ",S202)-1))/VALUE(MID(S202,FIND("/",S202)+1,9)),VALUE(LEFT(S202,FIND("/",S202)-1))/VALUE(MID(S202,FIND("/",S202)+1,9))),VALUE(S202)),""))</f>
        <v>6.5</v>
      </c>
      <c r="U202" s="43" t="str">
        <f aca="false">IF(OR($A202="",NOT(ISNUMBER(Q202))),"",TEXT(Q202,"yyyymmdd")&amp;"|"&amp;IF(R202=1,"F",TEXT(T202,"0.000")))</f>
        <v>20330117|6.500</v>
      </c>
      <c r="V202" s="43" t="str">
        <f aca="false">IF(U202="","",O202&amp;"|"&amp;U202)</f>
        <v>HYUELE|20330117|6.500</v>
      </c>
      <c r="W202" s="43" t="str">
        <f aca="false">IF($A202="","",IFERROR(IF(VLOOKUP(O202,매핑!$A$4:$E$92,3,0)="","미분류",VLOOKUP(O202,매핑!$A$4:$E$92,3,0)),"미분류"))</f>
        <v>한국</v>
      </c>
      <c r="X202" s="89" t="n">
        <f aca="false">IF($A202="",0,IF(O202="T",1,0))</f>
        <v>0</v>
      </c>
      <c r="Y202" s="89" t="n">
        <f aca="false">IF($A202="",0,IF(AND(C202="USD",X202=0,ISNUMBER(E202),ISNUMBER(K202)),IF(K202&gt;=설정!$C$8,1,0),0))</f>
        <v>1</v>
      </c>
      <c r="Z202" s="43" t="str">
        <f aca="false">IF($A202="","",N202&amp;"|"&amp;L202)</f>
        <v>아시아/기타|기술</v>
      </c>
      <c r="AA202" s="92" t="n">
        <f aca="false">IF(Y202=1,LN(K202),0)</f>
        <v>1.65153908845274</v>
      </c>
      <c r="AB202" s="93" t="n">
        <f aca="false">IF(Y202=1,E202,0)</f>
        <v>62.161</v>
      </c>
      <c r="AC202" s="89" t="n">
        <f aca="false">IF(Y202=1,COUNTIFS($Z$2:$Z$601,Z202,$Y$2:$Y$601,1),0)</f>
        <v>7</v>
      </c>
      <c r="AD202" s="89" t="n">
        <f aca="false">IF(Y202=1,COUNTIFS($N$2:$N$601,N202,$Y$2:$Y$601,1),0)</f>
        <v>137</v>
      </c>
      <c r="AE202" s="43" t="str">
        <f aca="false">IF(Y202&lt;&gt;1,"",IF(AND(AC202&gt;=설정!$C$7,ISNUMBER(MATCH(Z202,피어커브!$A:$A,0))),Z202,IF(AND(AD202&gt;=설정!$C$7,ISNUMBER(MATCH(N202&amp;"|전체",피어커브!$A:$A,0))),N202&amp;"|전체","전체|전체")))</f>
        <v>아시아/기타|기술</v>
      </c>
      <c r="AF202" s="93" t="n">
        <f aca="false">IF(AE202="","",INDEX(피어커브!$K:$K,MATCH(AE202,피어커브!$A:$A,0)))</f>
        <v>33.1360264866164</v>
      </c>
      <c r="AG202" s="93" t="n">
        <f aca="false">IF(AE202="","",INDEX(피어커브!$J:$J,MATCH(AE202,피어커브!$A:$A,0)))</f>
        <v>19.8158560572205</v>
      </c>
      <c r="AH202" s="93" t="n">
        <f aca="false">IF(AE202="","",INDEX(피어커브!$L:$L,MATCH(AE202,피어커브!$A:$A,0)))</f>
        <v>2.69002159334222</v>
      </c>
      <c r="AI202" s="93" t="n">
        <f aca="false">IF(AE202="","",AF202+AG202*AA202)</f>
        <v>65.8626873362689</v>
      </c>
      <c r="AJ202" s="96" t="n">
        <f aca="false">IF(AE202="","",E202-AI202)</f>
        <v>-3.70168733626893</v>
      </c>
      <c r="AK202" s="95" t="n">
        <f aca="false">IF(AE202="","",IF(ISNUMBER(AH202),IF(AH202&gt;0,AJ202/AH202,""),""))</f>
        <v>-1.37608090040265</v>
      </c>
      <c r="AL202" s="43" t="str">
        <f aca="false">IF(AK202="","-",IF(AK202&gt;=설정!$C$6,"Cheap",IF(AK202&lt;=-설정!$C$6,"Rich","Fair")))</f>
        <v>Rich</v>
      </c>
      <c r="AM202" s="96" t="n">
        <f aca="false">IF(AE202="","",AJ202-AVERAGEIFS($AJ$2:$AJ$601,$B$2:$B$601,B202,$Y$2:$Y$601,1))</f>
        <v>-3.78763721914776</v>
      </c>
      <c r="AN202" s="93" t="n">
        <f aca="false">IF(AE202="",0,IF(K202&gt;1+설정!$C$8,AG202*(AA202-LN(K202-1)),0))</f>
        <v>4.21858762862461</v>
      </c>
      <c r="AO202" s="99" t="n">
        <f aca="false">IF($A202="",0,SUMIFS(보유분석!$AA$2:$AA$801,보유분석!$AB$2:$AB$801,ROW(),보유분석!$AC$2:$AC$801,1))</f>
        <v>13.449943</v>
      </c>
      <c r="AP202" s="43" t="str">
        <f aca="false">IF($A202="","",TRIM(IF(R202=1,"FRN ","")&amp;IF(IFERROR(VLOOKUP(M202,설정!$A$15:$D$47,4,0),0)&gt;=10,IF(IFERROR(VLOOKUP(M202,설정!$A$15:$D$47,4,0),0)&lt;99,"BBB0미만 ",""),"")&amp;IF(OR(M202="",M202="NR"),"등급미입력 ","")&amp;IF(C202&lt;&gt;"USD","비USD ","")))</f>
        <v/>
      </c>
      <c r="AQ202" s="90" t="n">
        <f aca="false">IF(AND(Y202=1,AL202="Cheap"),IF(AND(ISERROR(SEARCH("FRN",AP202)),ISERROR(SEARCH("BBB0미만",AP202))),AK202+ROW()/1000000000,-999),-999)</f>
        <v>-999</v>
      </c>
      <c r="AR202" s="92" t="n">
        <f aca="false">IF(AND(ISNUMBER(D202),ISNUMBER(K202)),D202+AN202*MAX(K202-1,0)/100,"")</f>
        <v>6.08681346854653</v>
      </c>
      <c r="AS202" s="93" t="n">
        <f aca="false">IF(AND(ISNUMBER(E202),ISNUMBER(K202)),IF(K202&gt;0,(E202+AN202*MAX(K202-1,0))/K202,""),"")</f>
        <v>15.3293090804703</v>
      </c>
      <c r="AT202" s="90" t="n">
        <f aca="false">IFERROR(IF(AND(Y202=1,ROW()&lt;&gt;스왑분석!$C$12+1,ABS(K202-INDEX($K$2:$K$601,스왑분석!$C$12))&lt;=스왑분석!$C$5,ISERROR(SEARCH("FRN",AP202)),ISERROR(SEARCH("BBB0미만",AP202))),IF(AND(OR(스왑분석!$C$6="N",L202=INDEX($L$2:$L$601,스왑분석!$C$12)),OR(스왑분석!$C$7="N",N202=INDEX($N$2:$N$601,스왑분석!$C$12)),OR(스왑분석!$C$8="N",AO202=0),E202-INDEX($E$2:$E$601,스왑분석!$C$12)&gt;=스왑분석!$C$9),E202-INDEX($E$2:$E$601,스왑분석!$C$12)+ROW()/1000000000,-999),-999),-999)</f>
        <v>-999</v>
      </c>
      <c r="AU202" s="90" t="n">
        <f aca="false">IF(AND(Y202=1,AO202&gt;0,AL202="Rich"),-AK202+ROW()/1000000000,-999)</f>
        <v>1.37608110240265</v>
      </c>
    </row>
    <row r="203" customFormat="false" ht="15" hidden="false" customHeight="false" outlineLevel="0" collapsed="false">
      <c r="A203" s="83" t="str">
        <f aca="false">IFERROR(IF(INDEX(원자료_시장!$A$1:$BZ$1000,설정!$L$6+ROW()-1,설정!$L$24)&amp;""="0","",INDEX(원자료_시장!$A$1:$BZ$1000,설정!$L$6+ROW()-1,설정!$L$24)),"")</f>
        <v>HYUELE 5 1/2 01/16/29</v>
      </c>
      <c r="B203" s="83" t="str">
        <f aca="false">IFERROR(IF(INDEX(원자료_시장!$A$1:$BZ$1000,설정!$L$6+ROW()-1,설정!$L$37)&amp;""="0","",INDEX(원자료_시장!$A$1:$BZ$1000,설정!$L$6+ROW()-1,설정!$L$37)),"")</f>
        <v>SK HYNIX INC</v>
      </c>
      <c r="C203" s="83" t="str">
        <f aca="false">IFERROR(IF(INDEX(원자료_시장!$A$1:$BZ$1000,설정!$L$6+ROW()-1,설정!$L$25)&amp;""="0","",INDEX(원자료_시장!$A$1:$BZ$1000,설정!$L$6+ROW()-1,설정!$L$25)),"")</f>
        <v>USD</v>
      </c>
      <c r="D203" s="85" t="n">
        <f aca="false">IFERROR(IF(ISNUMBER(INDEX(원자료_시장!$A$1:$BZ$1000,설정!$L$6+ROW()-1,설정!$L$26)),INDEX(원자료_시장!$A$1:$BZ$1000,설정!$L$6+ROW()-1,설정!$L$26),""),"")</f>
        <v>5.471</v>
      </c>
      <c r="E203" s="97" t="n">
        <f aca="false">IFERROR(IF(ISNUMBER(INDEX(원자료_시장!$A$1:$BZ$1000,설정!$L$6+ROW()-1,설정!$L$27)),INDEX(원자료_시장!$A$1:$BZ$1000,설정!$L$6+ROW()-1,설정!$L$27),""),"")</f>
        <v>47.125</v>
      </c>
      <c r="F203" s="97" t="n">
        <f aca="false">IFERROR(IF(ISNUMBER(INDEX(원자료_시장!$A$1:$BZ$1000,설정!$L$6+ROW()-1,설정!$L$28)),INDEX(원자료_시장!$A$1:$BZ$1000,설정!$L$6+ROW()-1,설정!$L$28),""),"")</f>
        <v>76.692</v>
      </c>
      <c r="G203" s="97" t="n">
        <f aca="false">IFERROR(IF(ISNUMBER(INDEX(원자료_시장!$A$1:$BZ$1000,설정!$L$6+ROW()-1,설정!$L$29)),INDEX(원자료_시장!$A$1:$BZ$1000,설정!$L$6+ROW()-1,설정!$L$29),""),"")</f>
        <v>-1.2</v>
      </c>
      <c r="H203" s="97" t="n">
        <f aca="false">IFERROR(IF(ISNUMBER(INDEX(원자료_시장!$A$1:$BZ$1000,설정!$L$6+ROW()-1,설정!$L$30)),INDEX(원자료_시장!$A$1:$BZ$1000,설정!$L$6+ROW()-1,설정!$L$30),""),"")</f>
        <v>0.5</v>
      </c>
      <c r="I203" s="97" t="n">
        <f aca="false">IFERROR(IF(ISNUMBER(INDEX(원자료_시장!$A$1:$BZ$1000,설정!$L$6+ROW()-1,설정!$L$31)),INDEX(원자료_시장!$A$1:$BZ$1000,설정!$L$6+ROW()-1,설정!$L$31),""),"")</f>
        <v>-3.7</v>
      </c>
      <c r="J203" s="97" t="n">
        <f aca="false">IFERROR(IF(ISNUMBER(INDEX(원자료_시장!$A$1:$BZ$1000,설정!$L$6+ROW()-1,설정!$L$32)),INDEX(원자료_시장!$A$1:$BZ$1000,설정!$L$6+ROW()-1,설정!$L$32),""),"")</f>
        <v>2.3</v>
      </c>
      <c r="K203" s="85" t="n">
        <f aca="false">IFERROR(IF(ISNUMBER(INDEX(원자료_시장!$A$1:$BZ$1000,설정!$L$6+ROW()-1,설정!$L$33)),INDEX(원자료_시장!$A$1:$BZ$1000,설정!$L$6+ROW()-1,설정!$L$33),""),"")</f>
        <v>2.159</v>
      </c>
      <c r="L203" s="83" t="str">
        <f aca="false">IFERROR(IF(INDEX(원자료_시장!$A$1:$BZ$1000,설정!$L$6+ROW()-1,설정!$L$34)&amp;""="0","",INDEX(원자료_시장!$A$1:$BZ$1000,설정!$L$6+ROW()-1,설정!$L$34)),"")</f>
        <v>기술</v>
      </c>
      <c r="M203" s="83" t="str">
        <f aca="false">IFERROR(IF(INDEX(원자료_시장!$A$1:$BZ$1000,설정!$L$6+ROW()-1,설정!$L$35)&amp;""="0","",INDEX(원자료_시장!$A$1:$BZ$1000,설정!$L$6+ROW()-1,설정!$L$35)),"")</f>
        <v>A-</v>
      </c>
      <c r="N203" s="83" t="str">
        <f aca="false">IFERROR(IF(INDEX(원자료_시장!$A$1:$BZ$1000,설정!$L$6+ROW()-1,설정!$L$36)&amp;""="0","",INDEX(원자료_시장!$A$1:$BZ$1000,설정!$L$6+ROW()-1,설정!$L$36)),"")</f>
        <v>아시아/기타</v>
      </c>
      <c r="O203" s="43" t="str">
        <f aca="false">IF($A203="","",UPPER(LEFT($A203,FIND(" ",$A203&amp;" ")-1)))</f>
        <v>HYUELE</v>
      </c>
      <c r="P203" s="43" t="str">
        <f aca="false">IF($A203="","",TRIM(RIGHT(SUBSTITUTE(TRIM($A203)," ",REPT(" ",30)),30)))</f>
        <v>01/16/29</v>
      </c>
      <c r="Q203" s="98" t="n">
        <f aca="false">IF($A203="","",IFERROR(DATE(IF(LEN(P203)=8,2000+VALUE(RIGHT(P203,2)),VALUE(RIGHT(P203,4))),VALUE(LEFT(P203,2)),VALUE(MID(P203,4,2))),""))</f>
        <v>47134</v>
      </c>
      <c r="R203" s="89" t="n">
        <f aca="false">IF($A203="",0,IF(ISNUMBER(SEARCH("Float",$A203)),1,0))</f>
        <v>0</v>
      </c>
      <c r="S203" s="43" t="str">
        <f aca="false">IF($A203="","",TRIM(MID($A203,LEN(O203)+2,LEN($A203)-LEN(O203)-LEN(P203)-1)))</f>
        <v>5 1/2</v>
      </c>
      <c r="T203" s="92" t="n">
        <f aca="false">IF(OR($A203="",R203=1),"",IFERROR(IF(ISNUMBER(FIND("/",S203)),IF(ISNUMBER(FIND(" ",S203)),VALUE(LEFT(S203,FIND(" ",S203)-1))+VALUE(MID(S203,FIND(" ",S203)+1,FIND("/",S203)-FIND(" ",S203)-1))/VALUE(MID(S203,FIND("/",S203)+1,9)),VALUE(LEFT(S203,FIND("/",S203)-1))/VALUE(MID(S203,FIND("/",S203)+1,9))),VALUE(S203)),""))</f>
        <v>5.5</v>
      </c>
      <c r="U203" s="43" t="str">
        <f aca="false">IF(OR($A203="",NOT(ISNUMBER(Q203))),"",TEXT(Q203,"yyyymmdd")&amp;"|"&amp;IF(R203=1,"F",TEXT(T203,"0.000")))</f>
        <v>20290116|5.500</v>
      </c>
      <c r="V203" s="43" t="str">
        <f aca="false">IF(U203="","",O203&amp;"|"&amp;U203)</f>
        <v>HYUELE|20290116|5.500</v>
      </c>
      <c r="W203" s="43" t="str">
        <f aca="false">IF($A203="","",IFERROR(IF(VLOOKUP(O203,매핑!$A$4:$E$92,3,0)="","미분류",VLOOKUP(O203,매핑!$A$4:$E$92,3,0)),"미분류"))</f>
        <v>한국</v>
      </c>
      <c r="X203" s="89" t="n">
        <f aca="false">IF($A203="",0,IF(O203="T",1,0))</f>
        <v>0</v>
      </c>
      <c r="Y203" s="89" t="n">
        <f aca="false">IF($A203="",0,IF(AND(C203="USD",X203=0,ISNUMBER(E203),ISNUMBER(K203)),IF(K203&gt;=설정!$C$8,1,0),0))</f>
        <v>1</v>
      </c>
      <c r="Z203" s="43" t="str">
        <f aca="false">IF($A203="","",N203&amp;"|"&amp;L203)</f>
        <v>아시아/기타|기술</v>
      </c>
      <c r="AA203" s="92" t="n">
        <f aca="false">IF(Y203=1,LN(K203),0)</f>
        <v>0.76964515153267</v>
      </c>
      <c r="AB203" s="93" t="n">
        <f aca="false">IF(Y203=1,E203,0)</f>
        <v>47.125</v>
      </c>
      <c r="AC203" s="89" t="n">
        <f aca="false">IF(Y203=1,COUNTIFS($Z$2:$Z$601,Z203,$Y$2:$Y$601,1),0)</f>
        <v>7</v>
      </c>
      <c r="AD203" s="89" t="n">
        <f aca="false">IF(Y203=1,COUNTIFS($N$2:$N$601,N203,$Y$2:$Y$601,1),0)</f>
        <v>137</v>
      </c>
      <c r="AE203" s="43" t="str">
        <f aca="false">IF(Y203&lt;&gt;1,"",IF(AND(AC203&gt;=설정!$C$7,ISNUMBER(MATCH(Z203,피어커브!$A:$A,0))),Z203,IF(AND(AD203&gt;=설정!$C$7,ISNUMBER(MATCH(N203&amp;"|전체",피어커브!$A:$A,0))),N203&amp;"|전체","전체|전체")))</f>
        <v>아시아/기타|기술</v>
      </c>
      <c r="AF203" s="93" t="n">
        <f aca="false">IF(AE203="","",INDEX(피어커브!$K:$K,MATCH(AE203,피어커브!$A:$A,0)))</f>
        <v>33.1360264866164</v>
      </c>
      <c r="AG203" s="93" t="n">
        <f aca="false">IF(AE203="","",INDEX(피어커브!$J:$J,MATCH(AE203,피어커브!$A:$A,0)))</f>
        <v>19.8158560572205</v>
      </c>
      <c r="AH203" s="93" t="n">
        <f aca="false">IF(AE203="","",INDEX(피어커브!$L:$L,MATCH(AE203,피어커브!$A:$A,0)))</f>
        <v>2.69002159334222</v>
      </c>
      <c r="AI203" s="93" t="n">
        <f aca="false">IF(AE203="","",AF203+AG203*AA203)</f>
        <v>48.3872040245254</v>
      </c>
      <c r="AJ203" s="96" t="n">
        <f aca="false">IF(AE203="","",E203-AI203)</f>
        <v>-1.26220402452543</v>
      </c>
      <c r="AK203" s="95" t="n">
        <f aca="false">IF(AE203="","",IF(ISNUMBER(AH203),IF(AH203&gt;0,AJ203/AH203,""),""))</f>
        <v>-0.469217060431549</v>
      </c>
      <c r="AL203" s="43" t="str">
        <f aca="false">IF(AK203="","-",IF(AK203&gt;=설정!$C$6,"Cheap",IF(AK203&lt;=-설정!$C$6,"Rich","Fair")))</f>
        <v>Fair</v>
      </c>
      <c r="AM203" s="96" t="n">
        <f aca="false">IF(AE203="","",AJ203-AVERAGEIFS($AJ$2:$AJ$601,$B$2:$B$601,B203,$Y$2:$Y$601,1))</f>
        <v>-1.34815390740426</v>
      </c>
      <c r="AN203" s="93" t="n">
        <f aca="false">IF(AE203="",0,IF(K203&gt;1+설정!$C$8,AG203*(AA203-LN(K203-1)),0))</f>
        <v>12.3271980824445</v>
      </c>
      <c r="AO203" s="99" t="n">
        <f aca="false">IF($A203="",0,SUMIFS(보유분석!$AA$2:$AA$801,보유분석!$AB$2:$AB$801,ROW(),보유분석!$AC$2:$AC$801,1))</f>
        <v>3.9043251</v>
      </c>
      <c r="AP203" s="43" t="str">
        <f aca="false">IF($A203="","",TRIM(IF(R203=1,"FRN ","")&amp;IF(IFERROR(VLOOKUP(M203,설정!$A$15:$D$47,4,0),0)&gt;=10,IF(IFERROR(VLOOKUP(M203,설정!$A$15:$D$47,4,0),0)&lt;99,"BBB0미만 ",""),"")&amp;IF(OR(M203="",M203="NR"),"등급미입력 ","")&amp;IF(C203&lt;&gt;"USD","비USD ","")))</f>
        <v/>
      </c>
      <c r="AQ203" s="90" t="n">
        <f aca="false">IF(AND(Y203=1,AL203="Cheap"),IF(AND(ISERROR(SEARCH("FRN",AP203)),ISERROR(SEARCH("BBB0미만",AP203))),AK203+ROW()/1000000000,-999),-999)</f>
        <v>-999</v>
      </c>
      <c r="AR203" s="92" t="n">
        <f aca="false">IF(AND(ISNUMBER(D203),ISNUMBER(K203)),D203+AN203*MAX(K203-1,0)/100,"")</f>
        <v>5.61387222577553</v>
      </c>
      <c r="AS203" s="93" t="n">
        <f aca="false">IF(AND(ISNUMBER(E203),ISNUMBER(K203)),IF(K203&gt;0,(E203+AN203*MAX(K203-1,0))/K203,""),"")</f>
        <v>28.444753393957</v>
      </c>
      <c r="AT203" s="90" t="n">
        <f aca="false">IFERROR(IF(AND(Y203=1,ROW()&lt;&gt;스왑분석!$C$12+1,ABS(K203-INDEX($K$2:$K$601,스왑분석!$C$12))&lt;=스왑분석!$C$5,ISERROR(SEARCH("FRN",AP203)),ISERROR(SEARCH("BBB0미만",AP203))),IF(AND(OR(스왑분석!$C$6="N",L203=INDEX($L$2:$L$601,스왑분석!$C$12)),OR(스왑분석!$C$7="N",N203=INDEX($N$2:$N$601,스왑분석!$C$12)),OR(스왑분석!$C$8="N",AO203=0),E203-INDEX($E$2:$E$601,스왑분석!$C$12)&gt;=스왑분석!$C$9),E203-INDEX($E$2:$E$601,스왑분석!$C$12)+ROW()/1000000000,-999),-999),-999)</f>
        <v>-999</v>
      </c>
      <c r="AU203" s="90" t="n">
        <f aca="false">IF(AND(Y203=1,AO203&gt;0,AL203="Rich"),-AK203+ROW()/1000000000,-999)</f>
        <v>-999</v>
      </c>
    </row>
    <row r="204" customFormat="false" ht="15" hidden="false" customHeight="false" outlineLevel="0" collapsed="false">
      <c r="A204" s="83" t="str">
        <f aca="false">IFERROR(IF(INDEX(원자료_시장!$A$1:$BZ$1000,설정!$L$6+ROW()-1,설정!$L$24)&amp;""="0","",INDEX(원자료_시장!$A$1:$BZ$1000,설정!$L$6+ROW()-1,설정!$L$24)),"")</f>
        <v>HYUELE 4 1/4 09/11/28</v>
      </c>
      <c r="B204" s="83" t="str">
        <f aca="false">IFERROR(IF(INDEX(원자료_시장!$A$1:$BZ$1000,설정!$L$6+ROW()-1,설정!$L$37)&amp;""="0","",INDEX(원자료_시장!$A$1:$BZ$1000,설정!$L$6+ROW()-1,설정!$L$37)),"")</f>
        <v>SK HYNIX INC</v>
      </c>
      <c r="C204" s="83" t="str">
        <f aca="false">IFERROR(IF(INDEX(원자료_시장!$A$1:$BZ$1000,설정!$L$6+ROW()-1,설정!$L$25)&amp;""="0","",INDEX(원자료_시장!$A$1:$BZ$1000,설정!$L$6+ROW()-1,설정!$L$25)),"")</f>
        <v>USD</v>
      </c>
      <c r="D204" s="85" t="n">
        <f aca="false">IFERROR(IF(ISNUMBER(INDEX(원자료_시장!$A$1:$BZ$1000,설정!$L$6+ROW()-1,설정!$L$26)),INDEX(원자료_시장!$A$1:$BZ$1000,설정!$L$6+ROW()-1,설정!$L$26),""),"")</f>
        <v>5.364</v>
      </c>
      <c r="E204" s="97" t="n">
        <f aca="false">IFERROR(IF(ISNUMBER(INDEX(원자료_시장!$A$1:$BZ$1000,설정!$L$6+ROW()-1,설정!$L$27)),INDEX(원자료_시장!$A$1:$BZ$1000,설정!$L$6+ROW()-1,설정!$L$27),""),"")</f>
        <v>47.464</v>
      </c>
      <c r="F204" s="97" t="n">
        <f aca="false">IFERROR(IF(ISNUMBER(INDEX(원자료_시장!$A$1:$BZ$1000,설정!$L$6+ROW()-1,설정!$L$28)),INDEX(원자료_시장!$A$1:$BZ$1000,설정!$L$6+ROW()-1,설정!$L$28),""),"")</f>
        <v>68.082</v>
      </c>
      <c r="G204" s="97" t="n">
        <f aca="false">IFERROR(IF(ISNUMBER(INDEX(원자료_시장!$A$1:$BZ$1000,설정!$L$6+ROW()-1,설정!$L$29)),INDEX(원자료_시장!$A$1:$BZ$1000,설정!$L$6+ROW()-1,설정!$L$29),""),"")</f>
        <v>0.5</v>
      </c>
      <c r="H204" s="97" t="n">
        <f aca="false">IFERROR(IF(ISNUMBER(INDEX(원자료_시장!$A$1:$BZ$1000,설정!$L$6+ROW()-1,설정!$L$30)),INDEX(원자료_시장!$A$1:$BZ$1000,설정!$L$6+ROW()-1,설정!$L$30),""),"")</f>
        <v>5.6</v>
      </c>
      <c r="I204" s="97" t="n">
        <f aca="false">IFERROR(IF(ISNUMBER(INDEX(원자료_시장!$A$1:$BZ$1000,설정!$L$6+ROW()-1,설정!$L$31)),INDEX(원자료_시장!$A$1:$BZ$1000,설정!$L$6+ROW()-1,설정!$L$31),""),"")</f>
        <v>2.9</v>
      </c>
      <c r="J204" s="97" t="n">
        <f aca="false">IFERROR(IF(ISNUMBER(INDEX(원자료_시장!$A$1:$BZ$1000,설정!$L$6+ROW()-1,설정!$L$32)),INDEX(원자료_시장!$A$1:$BZ$1000,설정!$L$6+ROW()-1,설정!$L$32),""),"")</f>
        <v>3</v>
      </c>
      <c r="K204" s="85" t="n">
        <f aca="false">IFERROR(IF(ISNUMBER(INDEX(원자료_시장!$A$1:$BZ$1000,설정!$L$6+ROW()-1,설정!$L$33)),INDEX(원자료_시장!$A$1:$BZ$1000,설정!$L$6+ROW()-1,설정!$L$33),""),"")</f>
        <v>1.879</v>
      </c>
      <c r="L204" s="83" t="str">
        <f aca="false">IFERROR(IF(INDEX(원자료_시장!$A$1:$BZ$1000,설정!$L$6+ROW()-1,설정!$L$34)&amp;""="0","",INDEX(원자료_시장!$A$1:$BZ$1000,설정!$L$6+ROW()-1,설정!$L$34)),"")</f>
        <v>기술</v>
      </c>
      <c r="M204" s="83" t="str">
        <f aca="false">IFERROR(IF(INDEX(원자료_시장!$A$1:$BZ$1000,설정!$L$6+ROW()-1,설정!$L$35)&amp;""="0","",INDEX(원자료_시장!$A$1:$BZ$1000,설정!$L$6+ROW()-1,설정!$L$35)),"")</f>
        <v>A-</v>
      </c>
      <c r="N204" s="83" t="str">
        <f aca="false">IFERROR(IF(INDEX(원자료_시장!$A$1:$BZ$1000,설정!$L$6+ROW()-1,설정!$L$36)&amp;""="0","",INDEX(원자료_시장!$A$1:$BZ$1000,설정!$L$6+ROW()-1,설정!$L$36)),"")</f>
        <v>아시아/기타</v>
      </c>
      <c r="O204" s="43" t="str">
        <f aca="false">IF($A204="","",UPPER(LEFT($A204,FIND(" ",$A204&amp;" ")-1)))</f>
        <v>HYUELE</v>
      </c>
      <c r="P204" s="43" t="str">
        <f aca="false">IF($A204="","",TRIM(RIGHT(SUBSTITUTE(TRIM($A204)," ",REPT(" ",30)),30)))</f>
        <v>09/11/28</v>
      </c>
      <c r="Q204" s="98" t="n">
        <f aca="false">IF($A204="","",IFERROR(DATE(IF(LEN(P204)=8,2000+VALUE(RIGHT(P204,2)),VALUE(RIGHT(P204,4))),VALUE(LEFT(P204,2)),VALUE(MID(P204,4,2))),""))</f>
        <v>47007</v>
      </c>
      <c r="R204" s="89" t="n">
        <f aca="false">IF($A204="",0,IF(ISNUMBER(SEARCH("Float",$A204)),1,0))</f>
        <v>0</v>
      </c>
      <c r="S204" s="43" t="str">
        <f aca="false">IF($A204="","",TRIM(MID($A204,LEN(O204)+2,LEN($A204)-LEN(O204)-LEN(P204)-1)))</f>
        <v>4 1/4</v>
      </c>
      <c r="T204" s="92" t="n">
        <f aca="false">IF(OR($A204="",R204=1),"",IFERROR(IF(ISNUMBER(FIND("/",S204)),IF(ISNUMBER(FIND(" ",S204)),VALUE(LEFT(S204,FIND(" ",S204)-1))+VALUE(MID(S204,FIND(" ",S204)+1,FIND("/",S204)-FIND(" ",S204)-1))/VALUE(MID(S204,FIND("/",S204)+1,9)),VALUE(LEFT(S204,FIND("/",S204)-1))/VALUE(MID(S204,FIND("/",S204)+1,9))),VALUE(S204)),""))</f>
        <v>4.25</v>
      </c>
      <c r="U204" s="43" t="str">
        <f aca="false">IF(OR($A204="",NOT(ISNUMBER(Q204))),"",TEXT(Q204,"yyyymmdd")&amp;"|"&amp;IF(R204=1,"F",TEXT(T204,"0.000")))</f>
        <v>20280911|4.250</v>
      </c>
      <c r="V204" s="43" t="str">
        <f aca="false">IF(U204="","",O204&amp;"|"&amp;U204)</f>
        <v>HYUELE|20280911|4.250</v>
      </c>
      <c r="W204" s="43" t="str">
        <f aca="false">IF($A204="","",IFERROR(IF(VLOOKUP(O204,매핑!$A$4:$E$92,3,0)="","미분류",VLOOKUP(O204,매핑!$A$4:$E$92,3,0)),"미분류"))</f>
        <v>한국</v>
      </c>
      <c r="X204" s="89" t="n">
        <f aca="false">IF($A204="",0,IF(O204="T",1,0))</f>
        <v>0</v>
      </c>
      <c r="Y204" s="89" t="n">
        <f aca="false">IF($A204="",0,IF(AND(C204="USD",X204=0,ISNUMBER(E204),ISNUMBER(K204)),IF(K204&gt;=설정!$C$8,1,0),0))</f>
        <v>1</v>
      </c>
      <c r="Z204" s="43" t="str">
        <f aca="false">IF($A204="","",N204&amp;"|"&amp;L204)</f>
        <v>아시아/기타|기술</v>
      </c>
      <c r="AA204" s="92" t="n">
        <f aca="false">IF(Y204=1,LN(K204),0)</f>
        <v>0.630739720431328</v>
      </c>
      <c r="AB204" s="93" t="n">
        <f aca="false">IF(Y204=1,E204,0)</f>
        <v>47.464</v>
      </c>
      <c r="AC204" s="89" t="n">
        <f aca="false">IF(Y204=1,COUNTIFS($Z$2:$Z$601,Z204,$Y$2:$Y$601,1),0)</f>
        <v>7</v>
      </c>
      <c r="AD204" s="89" t="n">
        <f aca="false">IF(Y204=1,COUNTIFS($N$2:$N$601,N204,$Y$2:$Y$601,1),0)</f>
        <v>137</v>
      </c>
      <c r="AE204" s="43" t="str">
        <f aca="false">IF(Y204&lt;&gt;1,"",IF(AND(AC204&gt;=설정!$C$7,ISNUMBER(MATCH(Z204,피어커브!$A:$A,0))),Z204,IF(AND(AD204&gt;=설정!$C$7,ISNUMBER(MATCH(N204&amp;"|전체",피어커브!$A:$A,0))),N204&amp;"|전체","전체|전체")))</f>
        <v>아시아/기타|기술</v>
      </c>
      <c r="AF204" s="93" t="n">
        <f aca="false">IF(AE204="","",INDEX(피어커브!$K:$K,MATCH(AE204,피어커브!$A:$A,0)))</f>
        <v>33.1360264866164</v>
      </c>
      <c r="AG204" s="93" t="n">
        <f aca="false">IF(AE204="","",INDEX(피어커브!$J:$J,MATCH(AE204,피어커브!$A:$A,0)))</f>
        <v>19.8158560572205</v>
      </c>
      <c r="AH204" s="93" t="n">
        <f aca="false">IF(AE204="","",INDEX(피어커브!$L:$L,MATCH(AE204,피어커브!$A:$A,0)))</f>
        <v>2.69002159334222</v>
      </c>
      <c r="AI204" s="93" t="n">
        <f aca="false">IF(AE204="","",AF204+AG204*AA204)</f>
        <v>45.6346739962551</v>
      </c>
      <c r="AJ204" s="96" t="n">
        <f aca="false">IF(AE204="","",E204-AI204)</f>
        <v>1.82932600374492</v>
      </c>
      <c r="AK204" s="95" t="n">
        <f aca="false">IF(AE204="","",IF(ISNUMBER(AH204),IF(AH204&gt;0,AJ204/AH204,""),""))</f>
        <v>0.68004138266863</v>
      </c>
      <c r="AL204" s="43" t="str">
        <f aca="false">IF(AK204="","-",IF(AK204&gt;=설정!$C$6,"Cheap",IF(AK204&lt;=-설정!$C$6,"Rich","Fair")))</f>
        <v>Fair</v>
      </c>
      <c r="AM204" s="96" t="n">
        <f aca="false">IF(AE204="","",AJ204-AVERAGEIFS($AJ$2:$AJ$601,$B$2:$B$601,B204,$Y$2:$Y$601,1))</f>
        <v>1.74337612086609</v>
      </c>
      <c r="AN204" s="93" t="n">
        <f aca="false">IF(AE204="",0,IF(K204&gt;1+설정!$C$8,AG204*(AA204-LN(K204-1)),0))</f>
        <v>15.0543060210641</v>
      </c>
      <c r="AO204" s="99" t="n">
        <f aca="false">IF($A204="",0,SUMIFS(보유분석!$AA$2:$AA$801,보유분석!$AB$2:$AB$801,ROW(),보유분석!$AC$2:$AC$801,1))</f>
        <v>0.1959064</v>
      </c>
      <c r="AP204" s="43" t="str">
        <f aca="false">IF($A204="","",TRIM(IF(R204=1,"FRN ","")&amp;IF(IFERROR(VLOOKUP(M204,설정!$A$15:$D$47,4,0),0)&gt;=10,IF(IFERROR(VLOOKUP(M204,설정!$A$15:$D$47,4,0),0)&lt;99,"BBB0미만 ",""),"")&amp;IF(OR(M204="",M204="NR"),"등급미입력 ","")&amp;IF(C204&lt;&gt;"USD","비USD ","")))</f>
        <v/>
      </c>
      <c r="AQ204" s="90" t="n">
        <f aca="false">IF(AND(Y204=1,AL204="Cheap"),IF(AND(ISERROR(SEARCH("FRN",AP204)),ISERROR(SEARCH("BBB0미만",AP204))),AK204+ROW()/1000000000,-999),-999)</f>
        <v>-999</v>
      </c>
      <c r="AR204" s="92" t="n">
        <f aca="false">IF(AND(ISNUMBER(D204),ISNUMBER(K204)),D204+AN204*MAX(K204-1,0)/100,"")</f>
        <v>5.49632734992515</v>
      </c>
      <c r="AS204" s="93" t="n">
        <f aca="false">IF(AND(ISNUMBER(E204),ISNUMBER(K204)),IF(K204&gt;0,(E204+AN204*MAX(K204-1,0))/K204,""),"")</f>
        <v>32.3026796128341</v>
      </c>
      <c r="AT204" s="90" t="n">
        <f aca="false">IFERROR(IF(AND(Y204=1,ROW()&lt;&gt;스왑분석!$C$12+1,ABS(K204-INDEX($K$2:$K$601,스왑분석!$C$12))&lt;=스왑분석!$C$5,ISERROR(SEARCH("FRN",AP204)),ISERROR(SEARCH("BBB0미만",AP204))),IF(AND(OR(스왑분석!$C$6="N",L204=INDEX($L$2:$L$601,스왑분석!$C$12)),OR(스왑분석!$C$7="N",N204=INDEX($N$2:$N$601,스왑분석!$C$12)),OR(스왑분석!$C$8="N",AO204=0),E204-INDEX($E$2:$E$601,스왑분석!$C$12)&gt;=스왑분석!$C$9),E204-INDEX($E$2:$E$601,스왑분석!$C$12)+ROW()/1000000000,-999),-999),-999)</f>
        <v>-999</v>
      </c>
      <c r="AU204" s="90" t="n">
        <f aca="false">IF(AND(Y204=1,AO204&gt;0,AL204="Rich"),-AK204+ROW()/1000000000,-999)</f>
        <v>-999</v>
      </c>
    </row>
    <row r="205" customFormat="false" ht="15" hidden="false" customHeight="false" outlineLevel="0" collapsed="false">
      <c r="A205" s="83" t="str">
        <f aca="false">IFERROR(IF(INDEX(원자료_시장!$A$1:$BZ$1000,설정!$L$6+ROW()-1,설정!$L$24)&amp;""="0","",INDEX(원자료_시장!$A$1:$BZ$1000,설정!$L$6+ROW()-1,설정!$L$24)),"")</f>
        <v>HYUELE 4 3/8 09/11/30</v>
      </c>
      <c r="B205" s="83" t="str">
        <f aca="false">IFERROR(IF(INDEX(원자료_시장!$A$1:$BZ$1000,설정!$L$6+ROW()-1,설정!$L$37)&amp;""="0","",INDEX(원자료_시장!$A$1:$BZ$1000,설정!$L$6+ROW()-1,설정!$L$37)),"")</f>
        <v>SK HYNIX INC</v>
      </c>
      <c r="C205" s="83" t="str">
        <f aca="false">IFERROR(IF(INDEX(원자료_시장!$A$1:$BZ$1000,설정!$L$6+ROW()-1,설정!$L$25)&amp;""="0","",INDEX(원자료_시장!$A$1:$BZ$1000,설정!$L$6+ROW()-1,설정!$L$25)),"")</f>
        <v>USD</v>
      </c>
      <c r="D205" s="85" t="n">
        <f aca="false">IFERROR(IF(ISNUMBER(INDEX(원자료_시장!$A$1:$BZ$1000,설정!$L$6+ROW()-1,설정!$L$26)),INDEX(원자료_시장!$A$1:$BZ$1000,설정!$L$6+ROW()-1,설정!$L$26),""),"")</f>
        <v>5.683</v>
      </c>
      <c r="E205" s="97" t="n">
        <f aca="false">IFERROR(IF(ISNUMBER(INDEX(원자료_시장!$A$1:$BZ$1000,설정!$L$6+ROW()-1,설정!$L$27)),INDEX(원자료_시장!$A$1:$BZ$1000,설정!$L$6+ROW()-1,설정!$L$27),""),"")</f>
        <v>59.661</v>
      </c>
      <c r="F205" s="97" t="n">
        <f aca="false">IFERROR(IF(ISNUMBER(INDEX(원자료_시장!$A$1:$BZ$1000,설정!$L$6+ROW()-1,설정!$L$28)),INDEX(원자료_시장!$A$1:$BZ$1000,설정!$L$6+ROW()-1,설정!$L$28),""),"")</f>
        <v>93.845</v>
      </c>
      <c r="G205" s="97" t="n">
        <f aca="false">IFERROR(IF(ISNUMBER(INDEX(원자료_시장!$A$1:$BZ$1000,설정!$L$6+ROW()-1,설정!$L$29)),INDEX(원자료_시장!$A$1:$BZ$1000,설정!$L$6+ROW()-1,설정!$L$29),""),"")</f>
        <v>-0.5</v>
      </c>
      <c r="H205" s="97" t="n">
        <f aca="false">IFERROR(IF(ISNUMBER(INDEX(원자료_시장!$A$1:$BZ$1000,설정!$L$6+ROW()-1,설정!$L$30)),INDEX(원자료_시장!$A$1:$BZ$1000,설정!$L$6+ROW()-1,설정!$L$30),""),"")</f>
        <v>2.7</v>
      </c>
      <c r="I205" s="97" t="n">
        <f aca="false">IFERROR(IF(ISNUMBER(INDEX(원자료_시장!$A$1:$BZ$1000,설정!$L$6+ROW()-1,설정!$L$31)),INDEX(원자료_시장!$A$1:$BZ$1000,설정!$L$6+ROW()-1,설정!$L$31),""),"")</f>
        <v>0.9</v>
      </c>
      <c r="J205" s="97" t="n">
        <f aca="false">IFERROR(IF(ISNUMBER(INDEX(원자료_시장!$A$1:$BZ$1000,설정!$L$6+ROW()-1,설정!$L$32)),INDEX(원자료_시장!$A$1:$BZ$1000,설정!$L$6+ROW()-1,설정!$L$32),""),"")</f>
        <v>10.9</v>
      </c>
      <c r="K205" s="85" t="n">
        <f aca="false">IFERROR(IF(ISNUMBER(INDEX(원자료_시장!$A$1:$BZ$1000,설정!$L$6+ROW()-1,설정!$L$33)),INDEX(원자료_시장!$A$1:$BZ$1000,설정!$L$6+ROW()-1,설정!$L$33),""),"")</f>
        <v>3.646</v>
      </c>
      <c r="L205" s="83" t="str">
        <f aca="false">IFERROR(IF(INDEX(원자료_시장!$A$1:$BZ$1000,설정!$L$6+ROW()-1,설정!$L$34)&amp;""="0","",INDEX(원자료_시장!$A$1:$BZ$1000,설정!$L$6+ROW()-1,설정!$L$34)),"")</f>
        <v>기술</v>
      </c>
      <c r="M205" s="83" t="str">
        <f aca="false">IFERROR(IF(INDEX(원자료_시장!$A$1:$BZ$1000,설정!$L$6+ROW()-1,설정!$L$35)&amp;""="0","",INDEX(원자료_시장!$A$1:$BZ$1000,설정!$L$6+ROW()-1,설정!$L$35)),"")</f>
        <v>A-</v>
      </c>
      <c r="N205" s="83" t="str">
        <f aca="false">IFERROR(IF(INDEX(원자료_시장!$A$1:$BZ$1000,설정!$L$6+ROW()-1,설정!$L$36)&amp;""="0","",INDEX(원자료_시장!$A$1:$BZ$1000,설정!$L$6+ROW()-1,설정!$L$36)),"")</f>
        <v>아시아/기타</v>
      </c>
      <c r="O205" s="43" t="str">
        <f aca="false">IF($A205="","",UPPER(LEFT($A205,FIND(" ",$A205&amp;" ")-1)))</f>
        <v>HYUELE</v>
      </c>
      <c r="P205" s="43" t="str">
        <f aca="false">IF($A205="","",TRIM(RIGHT(SUBSTITUTE(TRIM($A205)," ",REPT(" ",30)),30)))</f>
        <v>09/11/30</v>
      </c>
      <c r="Q205" s="98" t="n">
        <f aca="false">IF($A205="","",IFERROR(DATE(IF(LEN(P205)=8,2000+VALUE(RIGHT(P205,2)),VALUE(RIGHT(P205,4))),VALUE(LEFT(P205,2)),VALUE(MID(P205,4,2))),""))</f>
        <v>47737</v>
      </c>
      <c r="R205" s="89" t="n">
        <f aca="false">IF($A205="",0,IF(ISNUMBER(SEARCH("Float",$A205)),1,0))</f>
        <v>0</v>
      </c>
      <c r="S205" s="43" t="str">
        <f aca="false">IF($A205="","",TRIM(MID($A205,LEN(O205)+2,LEN($A205)-LEN(O205)-LEN(P205)-1)))</f>
        <v>4 3/8</v>
      </c>
      <c r="T205" s="92" t="n">
        <f aca="false">IF(OR($A205="",R205=1),"",IFERROR(IF(ISNUMBER(FIND("/",S205)),IF(ISNUMBER(FIND(" ",S205)),VALUE(LEFT(S205,FIND(" ",S205)-1))+VALUE(MID(S205,FIND(" ",S205)+1,FIND("/",S205)-FIND(" ",S205)-1))/VALUE(MID(S205,FIND("/",S205)+1,9)),VALUE(LEFT(S205,FIND("/",S205)-1))/VALUE(MID(S205,FIND("/",S205)+1,9))),VALUE(S205)),""))</f>
        <v>4.375</v>
      </c>
      <c r="U205" s="43" t="str">
        <f aca="false">IF(OR($A205="",NOT(ISNUMBER(Q205))),"",TEXT(Q205,"yyyymmdd")&amp;"|"&amp;IF(R205=1,"F",TEXT(T205,"0.000")))</f>
        <v>20300911|4.375</v>
      </c>
      <c r="V205" s="43" t="str">
        <f aca="false">IF(U205="","",O205&amp;"|"&amp;U205)</f>
        <v>HYUELE|20300911|4.375</v>
      </c>
      <c r="W205" s="43" t="str">
        <f aca="false">IF($A205="","",IFERROR(IF(VLOOKUP(O205,매핑!$A$4:$E$92,3,0)="","미분류",VLOOKUP(O205,매핑!$A$4:$E$92,3,0)),"미분류"))</f>
        <v>한국</v>
      </c>
      <c r="X205" s="89" t="n">
        <f aca="false">IF($A205="",0,IF(O205="T",1,0))</f>
        <v>0</v>
      </c>
      <c r="Y205" s="89" t="n">
        <f aca="false">IF($A205="",0,IF(AND(C205="USD",X205=0,ISNUMBER(E205),ISNUMBER(K205)),IF(K205&gt;=설정!$C$8,1,0),0))</f>
        <v>1</v>
      </c>
      <c r="Z205" s="43" t="str">
        <f aca="false">IF($A205="","",N205&amp;"|"&amp;L205)</f>
        <v>아시아/기타|기술</v>
      </c>
      <c r="AA205" s="92" t="n">
        <f aca="false">IF(Y205=1,LN(K205),0)</f>
        <v>1.29363067625647</v>
      </c>
      <c r="AB205" s="93" t="n">
        <f aca="false">IF(Y205=1,E205,0)</f>
        <v>59.661</v>
      </c>
      <c r="AC205" s="89" t="n">
        <f aca="false">IF(Y205=1,COUNTIFS($Z$2:$Z$601,Z205,$Y$2:$Y$601,1),0)</f>
        <v>7</v>
      </c>
      <c r="AD205" s="89" t="n">
        <f aca="false">IF(Y205=1,COUNTIFS($N$2:$N$601,N205,$Y$2:$Y$601,1),0)</f>
        <v>137</v>
      </c>
      <c r="AE205" s="43" t="str">
        <f aca="false">IF(Y205&lt;&gt;1,"",IF(AND(AC205&gt;=설정!$C$7,ISNUMBER(MATCH(Z205,피어커브!$A:$A,0))),Z205,IF(AND(AD205&gt;=설정!$C$7,ISNUMBER(MATCH(N205&amp;"|전체",피어커브!$A:$A,0))),N205&amp;"|전체","전체|전체")))</f>
        <v>아시아/기타|기술</v>
      </c>
      <c r="AF205" s="93" t="n">
        <f aca="false">IF(AE205="","",INDEX(피어커브!$K:$K,MATCH(AE205,피어커브!$A:$A,0)))</f>
        <v>33.1360264866164</v>
      </c>
      <c r="AG205" s="93" t="n">
        <f aca="false">IF(AE205="","",INDEX(피어커브!$J:$J,MATCH(AE205,피어커브!$A:$A,0)))</f>
        <v>19.8158560572205</v>
      </c>
      <c r="AH205" s="93" t="n">
        <f aca="false">IF(AE205="","",INDEX(피어커브!$L:$L,MATCH(AE205,피어커브!$A:$A,0)))</f>
        <v>2.69002159334222</v>
      </c>
      <c r="AI205" s="93" t="n">
        <f aca="false">IF(AE205="","",AF205+AG205*AA205)</f>
        <v>58.7704257585194</v>
      </c>
      <c r="AJ205" s="96" t="n">
        <f aca="false">IF(AE205="","",E205-AI205)</f>
        <v>0.890574241480579</v>
      </c>
      <c r="AK205" s="95" t="n">
        <f aca="false">IF(AE205="","",IF(ISNUMBER(AH205),IF(AH205&gt;0,AJ205/AH205,""),""))</f>
        <v>0.331065833703618</v>
      </c>
      <c r="AL205" s="43" t="str">
        <f aca="false">IF(AK205="","-",IF(AK205&gt;=설정!$C$6,"Cheap",IF(AK205&lt;=-설정!$C$6,"Rich","Fair")))</f>
        <v>Fair</v>
      </c>
      <c r="AM205" s="96" t="n">
        <f aca="false">IF(AE205="","",AJ205-AVERAGEIFS($AJ$2:$AJ$601,$B$2:$B$601,B205,$Y$2:$Y$601,1))</f>
        <v>0.804624358601747</v>
      </c>
      <c r="AN205" s="93" t="n">
        <f aca="false">IF(AE205="",0,IF(K205&gt;1+설정!$C$8,AG205*(AA205-LN(K205-1)),0))</f>
        <v>6.35259904952234</v>
      </c>
      <c r="AO205" s="99" t="n">
        <f aca="false">IF($A205="",0,SUMIFS(보유분석!$AA$2:$AA$801,보유분석!$AB$2:$AB$801,ROW(),보유분석!$AC$2:$AC$801,1))</f>
        <v>7.1702775</v>
      </c>
      <c r="AP205" s="43" t="str">
        <f aca="false">IF($A205="","",TRIM(IF(R205=1,"FRN ","")&amp;IF(IFERROR(VLOOKUP(M205,설정!$A$15:$D$47,4,0),0)&gt;=10,IF(IFERROR(VLOOKUP(M205,설정!$A$15:$D$47,4,0),0)&lt;99,"BBB0미만 ",""),"")&amp;IF(OR(M205="",M205="NR"),"등급미입력 ","")&amp;IF(C205&lt;&gt;"USD","비USD ","")))</f>
        <v/>
      </c>
      <c r="AQ205" s="90" t="n">
        <f aca="false">IF(AND(Y205=1,AL205="Cheap"),IF(AND(ISERROR(SEARCH("FRN",AP205)),ISERROR(SEARCH("BBB0미만",AP205))),AK205+ROW()/1000000000,-999),-999)</f>
        <v>-999</v>
      </c>
      <c r="AR205" s="92" t="n">
        <f aca="false">IF(AND(ISNUMBER(D205),ISNUMBER(K205)),D205+AN205*MAX(K205-1,0)/100,"")</f>
        <v>5.85108977085036</v>
      </c>
      <c r="AS205" s="93" t="n">
        <f aca="false">IF(AND(ISNUMBER(E205),ISNUMBER(K205)),IF(K205&gt;0,(E205+AN205*MAX(K205-1,0))/K205,""),"")</f>
        <v>20.9736634901361</v>
      </c>
      <c r="AT205" s="90" t="n">
        <f aca="false">IFERROR(IF(AND(Y205=1,ROW()&lt;&gt;스왑분석!$C$12+1,ABS(K205-INDEX($K$2:$K$601,스왑분석!$C$12))&lt;=스왑분석!$C$5,ISERROR(SEARCH("FRN",AP205)),ISERROR(SEARCH("BBB0미만",AP205))),IF(AND(OR(스왑분석!$C$6="N",L205=INDEX($L$2:$L$601,스왑분석!$C$12)),OR(스왑분석!$C$7="N",N205=INDEX($N$2:$N$601,스왑분석!$C$12)),OR(스왑분석!$C$8="N",AO205=0),E205-INDEX($E$2:$E$601,스왑분석!$C$12)&gt;=스왑분석!$C$9),E205-INDEX($E$2:$E$601,스왑분석!$C$12)+ROW()/1000000000,-999),-999),-999)</f>
        <v>11.169000205</v>
      </c>
      <c r="AU205" s="90" t="n">
        <f aca="false">IF(AND(Y205=1,AO205&gt;0,AL205="Rich"),-AK205+ROW()/1000000000,-999)</f>
        <v>-999</v>
      </c>
    </row>
    <row r="206" customFormat="false" ht="15" hidden="false" customHeight="false" outlineLevel="0" collapsed="false">
      <c r="A206" s="83" t="str">
        <f aca="false">IFERROR(IF(INDEX(원자료_시장!$A$1:$BZ$1000,설정!$L$6+ROW()-1,설정!$L$24)&amp;""="0","",INDEX(원자료_시장!$A$1:$BZ$1000,설정!$L$6+ROW()-1,설정!$L$24)),"")</f>
        <v>WOORIB 4 1/8 01/27/31</v>
      </c>
      <c r="B206" s="83" t="str">
        <f aca="false">IFERROR(IF(INDEX(원자료_시장!$A$1:$BZ$1000,설정!$L$6+ROW()-1,설정!$L$37)&amp;""="0","",INDEX(원자료_시장!$A$1:$BZ$1000,설정!$L$6+ROW()-1,설정!$L$37)),"")</f>
        <v>WOORI BANK</v>
      </c>
      <c r="C206" s="83" t="str">
        <f aca="false">IFERROR(IF(INDEX(원자료_시장!$A$1:$BZ$1000,설정!$L$6+ROW()-1,설정!$L$25)&amp;""="0","",INDEX(원자료_시장!$A$1:$BZ$1000,설정!$L$6+ROW()-1,설정!$L$25)),"")</f>
        <v>USD</v>
      </c>
      <c r="D206" s="85" t="n">
        <f aca="false">IFERROR(IF(ISNUMBER(INDEX(원자료_시장!$A$1:$BZ$1000,설정!$L$6+ROW()-1,설정!$L$26)),INDEX(원자료_시장!$A$1:$BZ$1000,설정!$L$6+ROW()-1,설정!$L$26),""),"")</f>
        <v>5.357</v>
      </c>
      <c r="E206" s="97" t="n">
        <f aca="false">IFERROR(IF(ISNUMBER(INDEX(원자료_시장!$A$1:$BZ$1000,설정!$L$6+ROW()-1,설정!$L$27)),INDEX(원자료_시장!$A$1:$BZ$1000,설정!$L$6+ROW()-1,설정!$L$27),""),"")</f>
        <v>27.038</v>
      </c>
      <c r="F206" s="97" t="n">
        <f aca="false">IFERROR(IF(ISNUMBER(INDEX(원자료_시장!$A$1:$BZ$1000,설정!$L$6+ROW()-1,설정!$L$28)),INDEX(원자료_시장!$A$1:$BZ$1000,설정!$L$6+ROW()-1,설정!$L$28),""),"")</f>
        <v>60.884</v>
      </c>
      <c r="G206" s="97" t="n">
        <f aca="false">IFERROR(IF(ISNUMBER(INDEX(원자료_시장!$A$1:$BZ$1000,설정!$L$6+ROW()-1,설정!$L$29)),INDEX(원자료_시장!$A$1:$BZ$1000,설정!$L$6+ROW()-1,설정!$L$29),""),"")</f>
        <v>-0.3</v>
      </c>
      <c r="H206" s="97" t="n">
        <f aca="false">IFERROR(IF(ISNUMBER(INDEX(원자료_시장!$A$1:$BZ$1000,설정!$L$6+ROW()-1,설정!$L$30)),INDEX(원자료_시장!$A$1:$BZ$1000,설정!$L$6+ROW()-1,설정!$L$30),""),"")</f>
        <v>-3.5</v>
      </c>
      <c r="I206" s="97" t="n">
        <f aca="false">IFERROR(IF(ISNUMBER(INDEX(원자료_시장!$A$1:$BZ$1000,설정!$L$6+ROW()-1,설정!$L$31)),INDEX(원자료_시장!$A$1:$BZ$1000,설정!$L$6+ROW()-1,설정!$L$31),""),"")</f>
        <v>-1.4</v>
      </c>
      <c r="J206" s="97" t="n">
        <f aca="false">IFERROR(IF(ISNUMBER(INDEX(원자료_시장!$A$1:$BZ$1000,설정!$L$6+ROW()-1,설정!$L$32)),INDEX(원자료_시장!$A$1:$BZ$1000,설정!$L$6+ROW()-1,설정!$L$32),""),"")</f>
        <v>-2.3</v>
      </c>
      <c r="K206" s="85" t="n">
        <f aca="false">IFERROR(IF(ISNUMBER(INDEX(원자료_시장!$A$1:$BZ$1000,설정!$L$6+ROW()-1,설정!$L$33)),INDEX(원자료_시장!$A$1:$BZ$1000,설정!$L$6+ROW()-1,설정!$L$33),""),"")</f>
        <v>3.962</v>
      </c>
      <c r="L206" s="83" t="str">
        <f aca="false">IFERROR(IF(INDEX(원자료_시장!$A$1:$BZ$1000,설정!$L$6+ROW()-1,설정!$L$34)&amp;""="0","",INDEX(원자료_시장!$A$1:$BZ$1000,설정!$L$6+ROW()-1,설정!$L$34)),"")</f>
        <v>금융기관</v>
      </c>
      <c r="M206" s="83" t="str">
        <f aca="false">IFERROR(IF(INDEX(원자료_시장!$A$1:$BZ$1000,설정!$L$6+ROW()-1,설정!$L$35)&amp;""="0","",INDEX(원자료_시장!$A$1:$BZ$1000,설정!$L$6+ROW()-1,설정!$L$35)),"")</f>
        <v>A+</v>
      </c>
      <c r="N206" s="83" t="str">
        <f aca="false">IFERROR(IF(INDEX(원자료_시장!$A$1:$BZ$1000,설정!$L$6+ROW()-1,설정!$L$36)&amp;""="0","",INDEX(원자료_시장!$A$1:$BZ$1000,설정!$L$6+ROW()-1,설정!$L$36)),"")</f>
        <v>아시아/기타</v>
      </c>
      <c r="O206" s="43" t="str">
        <f aca="false">IF($A206="","",UPPER(LEFT($A206,FIND(" ",$A206&amp;" ")-1)))</f>
        <v>WOORIB</v>
      </c>
      <c r="P206" s="43" t="str">
        <f aca="false">IF($A206="","",TRIM(RIGHT(SUBSTITUTE(TRIM($A206)," ",REPT(" ",30)),30)))</f>
        <v>01/27/31</v>
      </c>
      <c r="Q206" s="98" t="n">
        <f aca="false">IF($A206="","",IFERROR(DATE(IF(LEN(P206)=8,2000+VALUE(RIGHT(P206,2)),VALUE(RIGHT(P206,4))),VALUE(LEFT(P206,2)),VALUE(MID(P206,4,2))),""))</f>
        <v>47875</v>
      </c>
      <c r="R206" s="89" t="n">
        <f aca="false">IF($A206="",0,IF(ISNUMBER(SEARCH("Float",$A206)),1,0))</f>
        <v>0</v>
      </c>
      <c r="S206" s="43" t="str">
        <f aca="false">IF($A206="","",TRIM(MID($A206,LEN(O206)+2,LEN($A206)-LEN(O206)-LEN(P206)-1)))</f>
        <v>4 1/8</v>
      </c>
      <c r="T206" s="92" t="n">
        <f aca="false">IF(OR($A206="",R206=1),"",IFERROR(IF(ISNUMBER(FIND("/",S206)),IF(ISNUMBER(FIND(" ",S206)),VALUE(LEFT(S206,FIND(" ",S206)-1))+VALUE(MID(S206,FIND(" ",S206)+1,FIND("/",S206)-FIND(" ",S206)-1))/VALUE(MID(S206,FIND("/",S206)+1,9)),VALUE(LEFT(S206,FIND("/",S206)-1))/VALUE(MID(S206,FIND("/",S206)+1,9))),VALUE(S206)),""))</f>
        <v>4.125</v>
      </c>
      <c r="U206" s="43" t="str">
        <f aca="false">IF(OR($A206="",NOT(ISNUMBER(Q206))),"",TEXT(Q206,"yyyymmdd")&amp;"|"&amp;IF(R206=1,"F",TEXT(T206,"0.000")))</f>
        <v>20310127|4.125</v>
      </c>
      <c r="V206" s="43" t="str">
        <f aca="false">IF(U206="","",O206&amp;"|"&amp;U206)</f>
        <v>WOORIB|20310127|4.125</v>
      </c>
      <c r="W206" s="43" t="str">
        <f aca="false">IF($A206="","",IFERROR(IF(VLOOKUP(O206,매핑!$A$4:$E$92,3,0)="","미분류",VLOOKUP(O206,매핑!$A$4:$E$92,3,0)),"미분류"))</f>
        <v>한국</v>
      </c>
      <c r="X206" s="89" t="n">
        <f aca="false">IF($A206="",0,IF(O206="T",1,0))</f>
        <v>0</v>
      </c>
      <c r="Y206" s="89" t="n">
        <f aca="false">IF($A206="",0,IF(AND(C206="USD",X206=0,ISNUMBER(E206),ISNUMBER(K206)),IF(K206&gt;=설정!$C$8,1,0),0))</f>
        <v>1</v>
      </c>
      <c r="Z206" s="43" t="str">
        <f aca="false">IF($A206="","",N206&amp;"|"&amp;L206)</f>
        <v>아시아/기타|금융기관</v>
      </c>
      <c r="AA206" s="92" t="n">
        <f aca="false">IF(Y206=1,LN(K206),0)</f>
        <v>1.37674894827636</v>
      </c>
      <c r="AB206" s="93" t="n">
        <f aca="false">IF(Y206=1,E206,0)</f>
        <v>27.038</v>
      </c>
      <c r="AC206" s="89" t="n">
        <f aca="false">IF(Y206=1,COUNTIFS($Z$2:$Z$601,Z206,$Y$2:$Y$601,1),0)</f>
        <v>42</v>
      </c>
      <c r="AD206" s="89" t="n">
        <f aca="false">IF(Y206=1,COUNTIFS($N$2:$N$601,N206,$Y$2:$Y$601,1),0)</f>
        <v>137</v>
      </c>
      <c r="AE206" s="43" t="str">
        <f aca="false">IF(Y206&lt;&gt;1,"",IF(AND(AC206&gt;=설정!$C$7,ISNUMBER(MATCH(Z206,피어커브!$A:$A,0))),Z206,IF(AND(AD206&gt;=설정!$C$7,ISNUMBER(MATCH(N206&amp;"|전체",피어커브!$A:$A,0))),N206&amp;"|전체","전체|전체")))</f>
        <v>아시아/기타|금융기관</v>
      </c>
      <c r="AF206" s="93" t="n">
        <f aca="false">IF(AE206="","",INDEX(피어커브!$K:$K,MATCH(AE206,피어커브!$A:$A,0)))</f>
        <v>50.117430292991</v>
      </c>
      <c r="AG206" s="93" t="n">
        <f aca="false">IF(AE206="","",INDEX(피어커브!$J:$J,MATCH(AE206,피어커브!$A:$A,0)))</f>
        <v>13.9183160321618</v>
      </c>
      <c r="AH206" s="93" t="n">
        <f aca="false">IF(AE206="","",INDEX(피어커브!$L:$L,MATCH(AE206,피어커브!$A:$A,0)))</f>
        <v>20.4735875466442</v>
      </c>
      <c r="AI206" s="93" t="n">
        <f aca="false">IF(AE206="","",AF206+AG206*AA206)</f>
        <v>69.2794572520478</v>
      </c>
      <c r="AJ206" s="96" t="n">
        <f aca="false">IF(AE206="","",E206-AI206)</f>
        <v>-42.2414572520478</v>
      </c>
      <c r="AK206" s="95" t="n">
        <f aca="false">IF(AE206="","",IF(ISNUMBER(AH206),IF(AH206&gt;0,AJ206/AH206,""),""))</f>
        <v>-2.06321716483791</v>
      </c>
      <c r="AL206" s="43" t="str">
        <f aca="false">IF(AK206="","-",IF(AK206&gt;=설정!$C$6,"Cheap",IF(AK206&lt;=-설정!$C$6,"Rich","Fair")))</f>
        <v>Rich</v>
      </c>
      <c r="AM206" s="96" t="n">
        <f aca="false">IF(AE206="","",AJ206-AVERAGEIFS($AJ$2:$AJ$601,$B$2:$B$601,B206,$Y$2:$Y$601,1))</f>
        <v>-19.0463246318734</v>
      </c>
      <c r="AN206" s="93" t="n">
        <f aca="false">IF(AE206="",0,IF(K206&gt;1+설정!$C$8,AG206*(AA206-LN(K206-1)),0))</f>
        <v>4.04861867574402</v>
      </c>
      <c r="AO206" s="99" t="n">
        <f aca="false">IF($A206="",0,SUMIFS(보유분석!$AA$2:$AA$801,보유분석!$AB$2:$AB$801,ROW(),보유분석!$AC$2:$AC$801,1))</f>
        <v>0</v>
      </c>
      <c r="AP206" s="43" t="str">
        <f aca="false">IF($A206="","",TRIM(IF(R206=1,"FRN ","")&amp;IF(IFERROR(VLOOKUP(M206,설정!$A$15:$D$47,4,0),0)&gt;=10,IF(IFERROR(VLOOKUP(M206,설정!$A$15:$D$47,4,0),0)&lt;99,"BBB0미만 ",""),"")&amp;IF(OR(M206="",M206="NR"),"등급미입력 ","")&amp;IF(C206&lt;&gt;"USD","비USD ","")))</f>
        <v/>
      </c>
      <c r="AQ206" s="90" t="n">
        <f aca="false">IF(AND(Y206=1,AL206="Cheap"),IF(AND(ISERROR(SEARCH("FRN",AP206)),ISERROR(SEARCH("BBB0미만",AP206))),AK206+ROW()/1000000000,-999),-999)</f>
        <v>-999</v>
      </c>
      <c r="AR206" s="92" t="n">
        <f aca="false">IF(AND(ISNUMBER(D206),ISNUMBER(K206)),D206+AN206*MAX(K206-1,0)/100,"")</f>
        <v>5.47692008517554</v>
      </c>
      <c r="AS206" s="93" t="n">
        <f aca="false">IF(AND(ISNUMBER(E206),ISNUMBER(K206)),IF(K206&gt;0,(E206+AN206*MAX(K206-1,0))/K206,""),"")</f>
        <v>9.85108746026093</v>
      </c>
      <c r="AT206" s="90" t="n">
        <f aca="false">IFERROR(IF(AND(Y206=1,ROW()&lt;&gt;스왑분석!$C$12+1,ABS(K206-INDEX($K$2:$K$601,스왑분석!$C$12))&lt;=스왑분석!$C$5,ISERROR(SEARCH("FRN",AP206)),ISERROR(SEARCH("BBB0미만",AP206))),IF(AND(OR(스왑분석!$C$6="N",L206=INDEX($L$2:$L$601,스왑분석!$C$12)),OR(스왑분석!$C$7="N",N206=INDEX($N$2:$N$601,스왑분석!$C$12)),OR(스왑분석!$C$8="N",AO206=0),E206-INDEX($E$2:$E$601,스왑분석!$C$12)&gt;=스왑분석!$C$9),E206-INDEX($E$2:$E$601,스왑분석!$C$12)+ROW()/1000000000,-999),-999),-999)</f>
        <v>-999</v>
      </c>
      <c r="AU206" s="90" t="n">
        <f aca="false">IF(AND(Y206=1,AO206&gt;0,AL206="Rich"),-AK206+ROW()/1000000000,-999)</f>
        <v>-999</v>
      </c>
    </row>
    <row r="207" customFormat="false" ht="15" hidden="false" customHeight="false" outlineLevel="0" collapsed="false">
      <c r="A207" s="83" t="str">
        <f aca="false">IFERROR(IF(INDEX(원자료_시장!$A$1:$BZ$1000,설정!$L$6+ROW()-1,설정!$L$24)&amp;""="0","",INDEX(원자료_시장!$A$1:$BZ$1000,설정!$L$6+ROW()-1,설정!$L$24)),"")</f>
        <v>EIBKOR 2.7 04/01/27</v>
      </c>
      <c r="B207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207" s="83" t="str">
        <f aca="false">IFERROR(IF(INDEX(원자료_시장!$A$1:$BZ$1000,설정!$L$6+ROW()-1,설정!$L$25)&amp;""="0","",INDEX(원자료_시장!$A$1:$BZ$1000,설정!$L$6+ROW()-1,설정!$L$25)),"")</f>
        <v>USD</v>
      </c>
      <c r="D207" s="85" t="n">
        <f aca="false">IFERROR(IF(ISNUMBER(INDEX(원자료_시장!$A$1:$BZ$1000,설정!$L$6+ROW()-1,설정!$L$26)),INDEX(원자료_시장!$A$1:$BZ$1000,설정!$L$6+ROW()-1,설정!$L$26),""),"")</f>
        <v>5.017</v>
      </c>
      <c r="E207" s="97" t="n">
        <f aca="false">IFERROR(IF(ISNUMBER(INDEX(원자료_시장!$A$1:$BZ$1000,설정!$L$6+ROW()-1,설정!$L$27)),INDEX(원자료_시장!$A$1:$BZ$1000,설정!$L$6+ROW()-1,설정!$L$27),""),"")</f>
        <v>12.748</v>
      </c>
      <c r="F207" s="97" t="n">
        <f aca="false">IFERROR(IF(ISNUMBER(INDEX(원자료_시장!$A$1:$BZ$1000,설정!$L$6+ROW()-1,설정!$L$28)),INDEX(원자료_시장!$A$1:$BZ$1000,설정!$L$6+ROW()-1,설정!$L$28),""),"")</f>
        <v>80.12</v>
      </c>
      <c r="G207" s="97" t="n">
        <f aca="false">IFERROR(IF(ISNUMBER(INDEX(원자료_시장!$A$1:$BZ$1000,설정!$L$6+ROW()-1,설정!$L$29)),INDEX(원자료_시장!$A$1:$BZ$1000,설정!$L$6+ROW()-1,설정!$L$29),""),"")</f>
        <v>-3.2</v>
      </c>
      <c r="H207" s="97" t="n">
        <f aca="false">IFERROR(IF(ISNUMBER(INDEX(원자료_시장!$A$1:$BZ$1000,설정!$L$6+ROW()-1,설정!$L$30)),INDEX(원자료_시장!$A$1:$BZ$1000,설정!$L$6+ROW()-1,설정!$L$30),""),"")</f>
        <v>0.3</v>
      </c>
      <c r="I207" s="97" t="n">
        <f aca="false">IFERROR(IF(ISNUMBER(INDEX(원자료_시장!$A$1:$BZ$1000,설정!$L$6+ROW()-1,설정!$L$31)),INDEX(원자료_시장!$A$1:$BZ$1000,설정!$L$6+ROW()-1,설정!$L$31),""),"")</f>
        <v>-18</v>
      </c>
      <c r="J207" s="97" t="n">
        <f aca="false">IFERROR(IF(ISNUMBER(INDEX(원자료_시장!$A$1:$BZ$1000,설정!$L$6+ROW()-1,설정!$L$32)),INDEX(원자료_시장!$A$1:$BZ$1000,설정!$L$6+ROW()-1,설정!$L$32),""),"")</f>
        <v>-25.9</v>
      </c>
      <c r="K207" s="85" t="n">
        <f aca="false">IFERROR(IF(ISNUMBER(INDEX(원자료_시장!$A$1:$BZ$1000,설정!$L$6+ROW()-1,설정!$L$33)),INDEX(원자료_시장!$A$1:$BZ$1000,설정!$L$6+ROW()-1,설정!$L$33),""),"")</f>
        <v>0.489</v>
      </c>
      <c r="L207" s="83" t="str">
        <f aca="false">IFERROR(IF(INDEX(원자료_시장!$A$1:$BZ$1000,설정!$L$6+ROW()-1,설정!$L$34)&amp;""="0","",INDEX(원자료_시장!$A$1:$BZ$1000,설정!$L$6+ROW()-1,설정!$L$34)),"")</f>
        <v>정부</v>
      </c>
      <c r="M207" s="83" t="n">
        <f aca="false">IFERROR(IF(INDEX(원자료_시장!$A$1:$BZ$1000,설정!$L$6+ROW()-1,설정!$L$35)&amp;""="0","",INDEX(원자료_시장!$A$1:$BZ$1000,설정!$L$6+ROW()-1,설정!$L$35)),"")</f>
        <v>0</v>
      </c>
      <c r="N207" s="83" t="str">
        <f aca="false">IFERROR(IF(INDEX(원자료_시장!$A$1:$BZ$1000,설정!$L$6+ROW()-1,설정!$L$36)&amp;""="0","",INDEX(원자료_시장!$A$1:$BZ$1000,설정!$L$6+ROW()-1,설정!$L$36)),"")</f>
        <v>아시아/기타</v>
      </c>
      <c r="O207" s="43" t="str">
        <f aca="false">IF($A207="","",UPPER(LEFT($A207,FIND(" ",$A207&amp;" ")-1)))</f>
        <v>EIBKOR</v>
      </c>
      <c r="P207" s="43" t="str">
        <f aca="false">IF($A207="","",TRIM(RIGHT(SUBSTITUTE(TRIM($A207)," ",REPT(" ",30)),30)))</f>
        <v>04/01/27</v>
      </c>
      <c r="Q207" s="98" t="n">
        <f aca="false">IF($A207="","",IFERROR(DATE(IF(LEN(P207)=8,2000+VALUE(RIGHT(P207,2)),VALUE(RIGHT(P207,4))),VALUE(LEFT(P207,2)),VALUE(MID(P207,4,2))),""))</f>
        <v>46478</v>
      </c>
      <c r="R207" s="89" t="n">
        <f aca="false">IF($A207="",0,IF(ISNUMBER(SEARCH("Float",$A207)),1,0))</f>
        <v>0</v>
      </c>
      <c r="S207" s="43" t="str">
        <f aca="false">IF($A207="","",TRIM(MID($A207,LEN(O207)+2,LEN($A207)-LEN(O207)-LEN(P207)-1)))</f>
        <v>2.7</v>
      </c>
      <c r="T207" s="92" t="n">
        <f aca="false">IF(OR($A207="",R207=1),"",IFERROR(IF(ISNUMBER(FIND("/",S207)),IF(ISNUMBER(FIND(" ",S207)),VALUE(LEFT(S207,FIND(" ",S207)-1))+VALUE(MID(S207,FIND(" ",S207)+1,FIND("/",S207)-FIND(" ",S207)-1))/VALUE(MID(S207,FIND("/",S207)+1,9)),VALUE(LEFT(S207,FIND("/",S207)-1))/VALUE(MID(S207,FIND("/",S207)+1,9))),VALUE(S207)),""))</f>
        <v>2.7</v>
      </c>
      <c r="U207" s="43" t="str">
        <f aca="false">IF(OR($A207="",NOT(ISNUMBER(Q207))),"",TEXT(Q207,"yyyymmdd")&amp;"|"&amp;IF(R207=1,"F",TEXT(T207,"0.000")))</f>
        <v>20270401|2.700</v>
      </c>
      <c r="V207" s="43" t="str">
        <f aca="false">IF(U207="","",O207&amp;"|"&amp;U207)</f>
        <v>EIBKOR|20270401|2.700</v>
      </c>
      <c r="W207" s="43" t="str">
        <f aca="false">IF($A207="","",IFERROR(IF(VLOOKUP(O207,매핑!$A$4:$E$92,3,0)="","미분류",VLOOKUP(O207,매핑!$A$4:$E$92,3,0)),"미분류"))</f>
        <v>한국</v>
      </c>
      <c r="X207" s="89" t="n">
        <f aca="false">IF($A207="",0,IF(O207="T",1,0))</f>
        <v>0</v>
      </c>
      <c r="Y207" s="89" t="n">
        <f aca="false">IF($A207="",0,IF(AND(C207="USD",X207=0,ISNUMBER(E207),ISNUMBER(K207)),IF(K207&gt;=설정!$C$8,1,0),0))</f>
        <v>0</v>
      </c>
      <c r="Z207" s="43" t="str">
        <f aca="false">IF($A207="","",N207&amp;"|"&amp;L207)</f>
        <v>아시아/기타|정부</v>
      </c>
      <c r="AA207" s="92" t="n">
        <f aca="false">IF(Y207=1,LN(K207),0)</f>
        <v>0</v>
      </c>
      <c r="AB207" s="93" t="n">
        <f aca="false">IF(Y207=1,E207,0)</f>
        <v>0</v>
      </c>
      <c r="AC207" s="89" t="n">
        <f aca="false">IF(Y207=1,COUNTIFS($Z$2:$Z$601,Z207,$Y$2:$Y$601,1),0)</f>
        <v>0</v>
      </c>
      <c r="AD207" s="89" t="n">
        <f aca="false">IF(Y207=1,COUNTIFS($N$2:$N$601,N207,$Y$2:$Y$601,1),0)</f>
        <v>0</v>
      </c>
      <c r="AE207" s="43" t="str">
        <f aca="false">IF(Y207&lt;&gt;1,"",IF(AND(AC207&gt;=설정!$C$7,ISNUMBER(MATCH(Z207,피어커브!$A:$A,0))),Z207,IF(AND(AD207&gt;=설정!$C$7,ISNUMBER(MATCH(N207&amp;"|전체",피어커브!$A:$A,0))),N207&amp;"|전체","전체|전체")))</f>
        <v/>
      </c>
      <c r="AF207" s="93" t="str">
        <f aca="false">IF(AE207="","",INDEX(피어커브!$K:$K,MATCH(AE207,피어커브!$A:$A,0)))</f>
        <v/>
      </c>
      <c r="AG207" s="93" t="str">
        <f aca="false">IF(AE207="","",INDEX(피어커브!$J:$J,MATCH(AE207,피어커브!$A:$A,0)))</f>
        <v/>
      </c>
      <c r="AH207" s="93" t="str">
        <f aca="false">IF(AE207="","",INDEX(피어커브!$L:$L,MATCH(AE207,피어커브!$A:$A,0)))</f>
        <v/>
      </c>
      <c r="AI207" s="93" t="str">
        <f aca="false">IF(AE207="","",AF207+AG207*AA207)</f>
        <v/>
      </c>
      <c r="AJ207" s="96" t="str">
        <f aca="false">IF(AE207="","",E207-AI207)</f>
        <v/>
      </c>
      <c r="AK207" s="95" t="str">
        <f aca="false">IF(AE207="","",IF(ISNUMBER(AH207),IF(AH207&gt;0,AJ207/AH207,""),""))</f>
        <v/>
      </c>
      <c r="AL207" s="43" t="str">
        <f aca="false">IF(AK207="","-",IF(AK207&gt;=설정!$C$6,"Cheap",IF(AK207&lt;=-설정!$C$6,"Rich","Fair")))</f>
        <v>-</v>
      </c>
      <c r="AM207" s="96" t="str">
        <f aca="false">IF(AE207="","",AJ207-AVERAGEIFS($AJ$2:$AJ$601,$B$2:$B$601,B207,$Y$2:$Y$601,1))</f>
        <v/>
      </c>
      <c r="AN207" s="93" t="n">
        <f aca="false">IF(AE207="",0,IF(K207&gt;1+설정!$C$8,AG207*(AA207-LN(K207-1)),0))</f>
        <v>0</v>
      </c>
      <c r="AO207" s="99" t="n">
        <f aca="false">IF($A207="",0,SUMIFS(보유분석!$AA$2:$AA$801,보유분석!$AB$2:$AB$801,ROW(),보유분석!$AC$2:$AC$801,1))</f>
        <v>0</v>
      </c>
      <c r="AP207" s="43" t="str">
        <f aca="false">IF($A207="","",TRIM(IF(R207=1,"FRN ","")&amp;IF(IFERROR(VLOOKUP(M207,설정!$A$15:$D$47,4,0),0)&gt;=10,IF(IFERROR(VLOOKUP(M207,설정!$A$15:$D$47,4,0),0)&lt;99,"BBB0미만 ",""),"")&amp;IF(OR(M207="",M207="NR"),"등급미입력 ","")&amp;IF(C207&lt;&gt;"USD","비USD ","")))</f>
        <v>등급미입력</v>
      </c>
      <c r="AQ207" s="90" t="n">
        <f aca="false">IF(AND(Y207=1,AL207="Cheap"),IF(AND(ISERROR(SEARCH("FRN",AP207)),ISERROR(SEARCH("BBB0미만",AP207))),AK207+ROW()/1000000000,-999),-999)</f>
        <v>-999</v>
      </c>
      <c r="AR207" s="92" t="n">
        <f aca="false">IF(AND(ISNUMBER(D207),ISNUMBER(K207)),D207+AN207*MAX(K207-1,0)/100,"")</f>
        <v>5.017</v>
      </c>
      <c r="AS207" s="93" t="n">
        <f aca="false">IF(AND(ISNUMBER(E207),ISNUMBER(K207)),IF(K207&gt;0,(E207+AN207*MAX(K207-1,0))/K207,""),"")</f>
        <v>26.0695296523517</v>
      </c>
      <c r="AT207" s="90" t="n">
        <f aca="false">IFERROR(IF(AND(Y207=1,ROW()&lt;&gt;스왑분석!$C$12+1,ABS(K207-INDEX($K$2:$K$601,스왑분석!$C$12))&lt;=스왑분석!$C$5,ISERROR(SEARCH("FRN",AP207)),ISERROR(SEARCH("BBB0미만",AP207))),IF(AND(OR(스왑분석!$C$6="N",L207=INDEX($L$2:$L$601,스왑분석!$C$12)),OR(스왑분석!$C$7="N",N207=INDEX($N$2:$N$601,스왑분석!$C$12)),OR(스왑분석!$C$8="N",AO207=0),E207-INDEX($E$2:$E$601,스왑분석!$C$12)&gt;=스왑분석!$C$9),E207-INDEX($E$2:$E$601,스왑분석!$C$12)+ROW()/1000000000,-999),-999),-999)</f>
        <v>-999</v>
      </c>
      <c r="AU207" s="90" t="n">
        <f aca="false">IF(AND(Y207=1,AO207&gt;0,AL207="Rich"),-AK207+ROW()/1000000000,-999)</f>
        <v>-999</v>
      </c>
    </row>
    <row r="208" customFormat="false" ht="15" hidden="false" customHeight="false" outlineLevel="0" collapsed="false">
      <c r="A208" s="83" t="str">
        <f aca="false">IFERROR(IF(INDEX(원자료_시장!$A$1:$BZ$1000,설정!$L$6+ROW()-1,설정!$L$24)&amp;""="0","",INDEX(원자료_시장!$A$1:$BZ$1000,설정!$L$6+ROW()-1,설정!$L$24)),"")</f>
        <v>EIBKOR 2.205 08/02/26</v>
      </c>
      <c r="B208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208" s="83" t="str">
        <f aca="false">IFERROR(IF(INDEX(원자료_시장!$A$1:$BZ$1000,설정!$L$6+ROW()-1,설정!$L$25)&amp;""="0","",INDEX(원자료_시장!$A$1:$BZ$1000,설정!$L$6+ROW()-1,설정!$L$25)),"")</f>
        <v>USD</v>
      </c>
      <c r="D208" s="85" t="str">
        <f aca="false">IFERROR(IF(ISNUMBER(INDEX(원자료_시장!$A$1:$BZ$1000,설정!$L$6+ROW()-1,설정!$L$26)),INDEX(원자료_시장!$A$1:$BZ$1000,설정!$L$6+ROW()-1,설정!$L$26),""),"")</f>
        <v/>
      </c>
      <c r="E208" s="97" t="str">
        <f aca="false">IFERROR(IF(ISNUMBER(INDEX(원자료_시장!$A$1:$BZ$1000,설정!$L$6+ROW()-1,설정!$L$27)),INDEX(원자료_시장!$A$1:$BZ$1000,설정!$L$6+ROW()-1,설정!$L$27),""),"")</f>
        <v/>
      </c>
      <c r="F208" s="97" t="str">
        <f aca="false">IFERROR(IF(ISNUMBER(INDEX(원자료_시장!$A$1:$BZ$1000,설정!$L$6+ROW()-1,설정!$L$28)),INDEX(원자료_시장!$A$1:$BZ$1000,설정!$L$6+ROW()-1,설정!$L$28),""),"")</f>
        <v/>
      </c>
      <c r="G208" s="97" t="n">
        <f aca="false">IFERROR(IF(ISNUMBER(INDEX(원자료_시장!$A$1:$BZ$1000,설정!$L$6+ROW()-1,설정!$L$29)),INDEX(원자료_시장!$A$1:$BZ$1000,설정!$L$6+ROW()-1,설정!$L$29),""),"")</f>
        <v>2.9</v>
      </c>
      <c r="H208" s="97" t="n">
        <f aca="false">IFERROR(IF(ISNUMBER(INDEX(원자료_시장!$A$1:$BZ$1000,설정!$L$6+ROW()-1,설정!$L$30)),INDEX(원자료_시장!$A$1:$BZ$1000,설정!$L$6+ROW()-1,설정!$L$30),""),"")</f>
        <v>59.8</v>
      </c>
      <c r="I208" s="97" t="str">
        <f aca="false">IFERROR(IF(ISNUMBER(INDEX(원자료_시장!$A$1:$BZ$1000,설정!$L$6+ROW()-1,설정!$L$31)),INDEX(원자료_시장!$A$1:$BZ$1000,설정!$L$6+ROW()-1,설정!$L$31),""),"")</f>
        <v/>
      </c>
      <c r="J208" s="97" t="n">
        <f aca="false">IFERROR(IF(ISNUMBER(INDEX(원자료_시장!$A$1:$BZ$1000,설정!$L$6+ROW()-1,설정!$L$32)),INDEX(원자료_시장!$A$1:$BZ$1000,설정!$L$6+ROW()-1,설정!$L$32),""),"")</f>
        <v>72.8</v>
      </c>
      <c r="K208" s="85" t="str">
        <f aca="false">IFERROR(IF(ISNUMBER(INDEX(원자료_시장!$A$1:$BZ$1000,설정!$L$6+ROW()-1,설정!$L$33)),INDEX(원자료_시장!$A$1:$BZ$1000,설정!$L$6+ROW()-1,설정!$L$33),""),"")</f>
        <v/>
      </c>
      <c r="L208" s="83" t="str">
        <f aca="false">IFERROR(IF(INDEX(원자료_시장!$A$1:$BZ$1000,설정!$L$6+ROW()-1,설정!$L$34)&amp;""="0","",INDEX(원자료_시장!$A$1:$BZ$1000,설정!$L$6+ROW()-1,설정!$L$34)),"")</f>
        <v>정부</v>
      </c>
      <c r="M208" s="83" t="n">
        <f aca="false">IFERROR(IF(INDEX(원자료_시장!$A$1:$BZ$1000,설정!$L$6+ROW()-1,설정!$L$35)&amp;""="0","",INDEX(원자료_시장!$A$1:$BZ$1000,설정!$L$6+ROW()-1,설정!$L$35)),"")</f>
        <v>0</v>
      </c>
      <c r="N208" s="83" t="str">
        <f aca="false">IFERROR(IF(INDEX(원자료_시장!$A$1:$BZ$1000,설정!$L$6+ROW()-1,설정!$L$36)&amp;""="0","",INDEX(원자료_시장!$A$1:$BZ$1000,설정!$L$6+ROW()-1,설정!$L$36)),"")</f>
        <v>아시아/기타</v>
      </c>
      <c r="O208" s="43" t="str">
        <f aca="false">IF($A208="","",UPPER(LEFT($A208,FIND(" ",$A208&amp;" ")-1)))</f>
        <v>EIBKOR</v>
      </c>
      <c r="P208" s="43" t="str">
        <f aca="false">IF($A208="","",TRIM(RIGHT(SUBSTITUTE(TRIM($A208)," ",REPT(" ",30)),30)))</f>
        <v>08/02/26</v>
      </c>
      <c r="Q208" s="98" t="n">
        <f aca="false">IF($A208="","",IFERROR(DATE(IF(LEN(P208)=8,2000+VALUE(RIGHT(P208,2)),VALUE(RIGHT(P208,4))),VALUE(LEFT(P208,2)),VALUE(MID(P208,4,2))),""))</f>
        <v>46236</v>
      </c>
      <c r="R208" s="89" t="n">
        <f aca="false">IF($A208="",0,IF(ISNUMBER(SEARCH("Float",$A208)),1,0))</f>
        <v>0</v>
      </c>
      <c r="S208" s="43" t="str">
        <f aca="false">IF($A208="","",TRIM(MID($A208,LEN(O208)+2,LEN($A208)-LEN(O208)-LEN(P208)-1)))</f>
        <v>2.205</v>
      </c>
      <c r="T208" s="92" t="n">
        <f aca="false">IF(OR($A208="",R208=1),"",IFERROR(IF(ISNUMBER(FIND("/",S208)),IF(ISNUMBER(FIND(" ",S208)),VALUE(LEFT(S208,FIND(" ",S208)-1))+VALUE(MID(S208,FIND(" ",S208)+1,FIND("/",S208)-FIND(" ",S208)-1))/VALUE(MID(S208,FIND("/",S208)+1,9)),VALUE(LEFT(S208,FIND("/",S208)-1))/VALUE(MID(S208,FIND("/",S208)+1,9))),VALUE(S208)),""))</f>
        <v>2.205</v>
      </c>
      <c r="U208" s="43" t="str">
        <f aca="false">IF(OR($A208="",NOT(ISNUMBER(Q208))),"",TEXT(Q208,"yyyymmdd")&amp;"|"&amp;IF(R208=1,"F",TEXT(T208,"0.000")))</f>
        <v>20260802|2.205</v>
      </c>
      <c r="V208" s="43" t="str">
        <f aca="false">IF(U208="","",O208&amp;"|"&amp;U208)</f>
        <v>EIBKOR|20260802|2.205</v>
      </c>
      <c r="W208" s="43" t="str">
        <f aca="false">IF($A208="","",IFERROR(IF(VLOOKUP(O208,매핑!$A$4:$E$92,3,0)="","미분류",VLOOKUP(O208,매핑!$A$4:$E$92,3,0)),"미분류"))</f>
        <v>한국</v>
      </c>
      <c r="X208" s="89" t="n">
        <f aca="false">IF($A208="",0,IF(O208="T",1,0))</f>
        <v>0</v>
      </c>
      <c r="Y208" s="89" t="n">
        <f aca="false">IF($A208="",0,IF(AND(C208="USD",X208=0,ISNUMBER(E208),ISNUMBER(K208)),IF(K208&gt;=설정!$C$8,1,0),0))</f>
        <v>0</v>
      </c>
      <c r="Z208" s="43" t="str">
        <f aca="false">IF($A208="","",N208&amp;"|"&amp;L208)</f>
        <v>아시아/기타|정부</v>
      </c>
      <c r="AA208" s="92" t="n">
        <f aca="false">IF(Y208=1,LN(K208),0)</f>
        <v>0</v>
      </c>
      <c r="AB208" s="93" t="n">
        <f aca="false">IF(Y208=1,E208,0)</f>
        <v>0</v>
      </c>
      <c r="AC208" s="89" t="n">
        <f aca="false">IF(Y208=1,COUNTIFS($Z$2:$Z$601,Z208,$Y$2:$Y$601,1),0)</f>
        <v>0</v>
      </c>
      <c r="AD208" s="89" t="n">
        <f aca="false">IF(Y208=1,COUNTIFS($N$2:$N$601,N208,$Y$2:$Y$601,1),0)</f>
        <v>0</v>
      </c>
      <c r="AE208" s="43" t="str">
        <f aca="false">IF(Y208&lt;&gt;1,"",IF(AND(AC208&gt;=설정!$C$7,ISNUMBER(MATCH(Z208,피어커브!$A:$A,0))),Z208,IF(AND(AD208&gt;=설정!$C$7,ISNUMBER(MATCH(N208&amp;"|전체",피어커브!$A:$A,0))),N208&amp;"|전체","전체|전체")))</f>
        <v/>
      </c>
      <c r="AF208" s="93" t="str">
        <f aca="false">IF(AE208="","",INDEX(피어커브!$K:$K,MATCH(AE208,피어커브!$A:$A,0)))</f>
        <v/>
      </c>
      <c r="AG208" s="93" t="str">
        <f aca="false">IF(AE208="","",INDEX(피어커브!$J:$J,MATCH(AE208,피어커브!$A:$A,0)))</f>
        <v/>
      </c>
      <c r="AH208" s="93" t="str">
        <f aca="false">IF(AE208="","",INDEX(피어커브!$L:$L,MATCH(AE208,피어커브!$A:$A,0)))</f>
        <v/>
      </c>
      <c r="AI208" s="93" t="str">
        <f aca="false">IF(AE208="","",AF208+AG208*AA208)</f>
        <v/>
      </c>
      <c r="AJ208" s="96" t="str">
        <f aca="false">IF(AE208="","",E208-AI208)</f>
        <v/>
      </c>
      <c r="AK208" s="95" t="str">
        <f aca="false">IF(AE208="","",IF(ISNUMBER(AH208),IF(AH208&gt;0,AJ208/AH208,""),""))</f>
        <v/>
      </c>
      <c r="AL208" s="43" t="str">
        <f aca="false">IF(AK208="","-",IF(AK208&gt;=설정!$C$6,"Cheap",IF(AK208&lt;=-설정!$C$6,"Rich","Fair")))</f>
        <v>-</v>
      </c>
      <c r="AM208" s="96" t="str">
        <f aca="false">IF(AE208="","",AJ208-AVERAGEIFS($AJ$2:$AJ$601,$B$2:$B$601,B208,$Y$2:$Y$601,1))</f>
        <v/>
      </c>
      <c r="AN208" s="93" t="n">
        <f aca="false">IF(AE208="",0,IF(K208&gt;1+설정!$C$8,AG208*(AA208-LN(K208-1)),0))</f>
        <v>0</v>
      </c>
      <c r="AO208" s="99" t="n">
        <f aca="false">IF($A208="",0,SUMIFS(보유분석!$AA$2:$AA$801,보유분석!$AB$2:$AB$801,ROW(),보유분석!$AC$2:$AC$801,1))</f>
        <v>0</v>
      </c>
      <c r="AP208" s="43" t="str">
        <f aca="false">IF($A208="","",TRIM(IF(R208=1,"FRN ","")&amp;IF(IFERROR(VLOOKUP(M208,설정!$A$15:$D$47,4,0),0)&gt;=10,IF(IFERROR(VLOOKUP(M208,설정!$A$15:$D$47,4,0),0)&lt;99,"BBB0미만 ",""),"")&amp;IF(OR(M208="",M208="NR"),"등급미입력 ","")&amp;IF(C208&lt;&gt;"USD","비USD ","")))</f>
        <v>등급미입력</v>
      </c>
      <c r="AQ208" s="90" t="n">
        <f aca="false">IF(AND(Y208=1,AL208="Cheap"),IF(AND(ISERROR(SEARCH("FRN",AP208)),ISERROR(SEARCH("BBB0미만",AP208))),AK208+ROW()/1000000000,-999),-999)</f>
        <v>-999</v>
      </c>
      <c r="AR208" s="92" t="str">
        <f aca="false">IF(AND(ISNUMBER(D208),ISNUMBER(K208)),D208+AN208*MAX(K208-1,0)/100,"")</f>
        <v/>
      </c>
      <c r="AS208" s="93" t="str">
        <f aca="false">IF(AND(ISNUMBER(E208),ISNUMBER(K208)),IF(K208&gt;0,(E208+AN208*MAX(K208-1,0))/K208,""),"")</f>
        <v/>
      </c>
      <c r="AT208" s="90" t="n">
        <f aca="false">IFERROR(IF(AND(Y208=1,ROW()&lt;&gt;스왑분석!$C$12+1,ABS(K208-INDEX($K$2:$K$601,스왑분석!$C$12))&lt;=스왑분석!$C$5,ISERROR(SEARCH("FRN",AP208)),ISERROR(SEARCH("BBB0미만",AP208))),IF(AND(OR(스왑분석!$C$6="N",L208=INDEX($L$2:$L$601,스왑분석!$C$12)),OR(스왑분석!$C$7="N",N208=INDEX($N$2:$N$601,스왑분석!$C$12)),OR(스왑분석!$C$8="N",AO208=0),E208-INDEX($E$2:$E$601,스왑분석!$C$12)&gt;=스왑분석!$C$9),E208-INDEX($E$2:$E$601,스왑분석!$C$12)+ROW()/1000000000,-999),-999),-999)</f>
        <v>-999</v>
      </c>
      <c r="AU208" s="90" t="n">
        <f aca="false">IF(AND(Y208=1,AO208&gt;0,AL208="Rich"),-AK208+ROW()/1000000000,-999)</f>
        <v>-999</v>
      </c>
    </row>
    <row r="209" customFormat="false" ht="15" hidden="false" customHeight="false" outlineLevel="0" collapsed="false">
      <c r="A209" s="83" t="str">
        <f aca="false">IFERROR(IF(INDEX(원자료_시장!$A$1:$BZ$1000,설정!$L$6+ROW()-1,설정!$L$24)&amp;""="0","",INDEX(원자료_시장!$A$1:$BZ$1000,설정!$L$6+ROW()-1,설정!$L$24)),"")</f>
        <v>SHNHAN 4 1/2 03/26/28</v>
      </c>
      <c r="B209" s="83" t="str">
        <f aca="false">IFERROR(IF(INDEX(원자료_시장!$A$1:$BZ$1000,설정!$L$6+ROW()-1,설정!$L$37)&amp;""="0","",INDEX(원자료_시장!$A$1:$BZ$1000,설정!$L$6+ROW()-1,설정!$L$37)),"")</f>
        <v>SHINHAN BANK</v>
      </c>
      <c r="C209" s="83" t="str">
        <f aca="false">IFERROR(IF(INDEX(원자료_시장!$A$1:$BZ$1000,설정!$L$6+ROW()-1,설정!$L$25)&amp;""="0","",INDEX(원자료_시장!$A$1:$BZ$1000,설정!$L$6+ROW()-1,설정!$L$25)),"")</f>
        <v>USD</v>
      </c>
      <c r="D209" s="85" t="n">
        <f aca="false">IFERROR(IF(ISNUMBER(INDEX(원자료_시장!$A$1:$BZ$1000,설정!$L$6+ROW()-1,설정!$L$26)),INDEX(원자료_시장!$A$1:$BZ$1000,설정!$L$6+ROW()-1,설정!$L$26),""),"")</f>
        <v>5.554</v>
      </c>
      <c r="E209" s="97" t="n">
        <f aca="false">IFERROR(IF(ISNUMBER(INDEX(원자료_시장!$A$1:$BZ$1000,설정!$L$6+ROW()-1,설정!$L$27)),INDEX(원자료_시장!$A$1:$BZ$1000,설정!$L$6+ROW()-1,설정!$L$27),""),"")</f>
        <v>66.478</v>
      </c>
      <c r="F209" s="97" t="n">
        <f aca="false">IFERROR(IF(ISNUMBER(INDEX(원자료_시장!$A$1:$BZ$1000,설정!$L$6+ROW()-1,설정!$L$28)),INDEX(원자료_시장!$A$1:$BZ$1000,설정!$L$6+ROW()-1,설정!$L$28),""),"")</f>
        <v>94.282</v>
      </c>
      <c r="G209" s="97" t="n">
        <f aca="false">IFERROR(IF(ISNUMBER(INDEX(원자료_시장!$A$1:$BZ$1000,설정!$L$6+ROW()-1,설정!$L$29)),INDEX(원자료_시장!$A$1:$BZ$1000,설정!$L$6+ROW()-1,설정!$L$29),""),"")</f>
        <v>0.4</v>
      </c>
      <c r="H209" s="97" t="n">
        <f aca="false">IFERROR(IF(ISNUMBER(INDEX(원자료_시장!$A$1:$BZ$1000,설정!$L$6+ROW()-1,설정!$L$30)),INDEX(원자료_시장!$A$1:$BZ$1000,설정!$L$6+ROW()-1,설정!$L$30),""),"")</f>
        <v>14.1</v>
      </c>
      <c r="I209" s="97" t="n">
        <f aca="false">IFERROR(IF(ISNUMBER(INDEX(원자료_시장!$A$1:$BZ$1000,설정!$L$6+ROW()-1,설정!$L$31)),INDEX(원자료_시장!$A$1:$BZ$1000,설정!$L$6+ROW()-1,설정!$L$31),""),"")</f>
        <v>5.4</v>
      </c>
      <c r="J209" s="97" t="n">
        <f aca="false">IFERROR(IF(ISNUMBER(INDEX(원자료_시장!$A$1:$BZ$1000,설정!$L$6+ROW()-1,설정!$L$32)),INDEX(원자료_시장!$A$1:$BZ$1000,설정!$L$6+ROW()-1,설정!$L$32),""),"")</f>
        <v>1.5</v>
      </c>
      <c r="K209" s="85" t="n">
        <f aca="false">IFERROR(IF(ISNUMBER(INDEX(원자료_시장!$A$1:$BZ$1000,설정!$L$6+ROW()-1,설정!$L$33)),INDEX(원자료_시장!$A$1:$BZ$1000,설정!$L$6+ROW()-1,설정!$L$33),""),"")</f>
        <v>1.442</v>
      </c>
      <c r="L209" s="83" t="str">
        <f aca="false">IFERROR(IF(INDEX(원자료_시장!$A$1:$BZ$1000,설정!$L$6+ROW()-1,설정!$L$34)&amp;""="0","",INDEX(원자료_시장!$A$1:$BZ$1000,설정!$L$6+ROW()-1,설정!$L$34)),"")</f>
        <v>금융기관</v>
      </c>
      <c r="M209" s="83" t="str">
        <f aca="false">IFERROR(IF(INDEX(원자료_시장!$A$1:$BZ$1000,설정!$L$6+ROW()-1,설정!$L$35)&amp;""="0","",INDEX(원자료_시장!$A$1:$BZ$1000,설정!$L$6+ROW()-1,설정!$L$35)),"")</f>
        <v>BBB+</v>
      </c>
      <c r="N209" s="83" t="str">
        <f aca="false">IFERROR(IF(INDEX(원자료_시장!$A$1:$BZ$1000,설정!$L$6+ROW()-1,설정!$L$36)&amp;""="0","",INDEX(원자료_시장!$A$1:$BZ$1000,설정!$L$6+ROW()-1,설정!$L$36)),"")</f>
        <v>아시아/기타</v>
      </c>
      <c r="O209" s="43" t="str">
        <f aca="false">IF($A209="","",UPPER(LEFT($A209,FIND(" ",$A209&amp;" ")-1)))</f>
        <v>SHNHAN</v>
      </c>
      <c r="P209" s="43" t="str">
        <f aca="false">IF($A209="","",TRIM(RIGHT(SUBSTITUTE(TRIM($A209)," ",REPT(" ",30)),30)))</f>
        <v>03/26/28</v>
      </c>
      <c r="Q209" s="98" t="n">
        <f aca="false">IF($A209="","",IFERROR(DATE(IF(LEN(P209)=8,2000+VALUE(RIGHT(P209,2)),VALUE(RIGHT(P209,4))),VALUE(LEFT(P209,2)),VALUE(MID(P209,4,2))),""))</f>
        <v>46838</v>
      </c>
      <c r="R209" s="89" t="n">
        <f aca="false">IF($A209="",0,IF(ISNUMBER(SEARCH("Float",$A209)),1,0))</f>
        <v>0</v>
      </c>
      <c r="S209" s="43" t="str">
        <f aca="false">IF($A209="","",TRIM(MID($A209,LEN(O209)+2,LEN($A209)-LEN(O209)-LEN(P209)-1)))</f>
        <v>4 1/2</v>
      </c>
      <c r="T209" s="92" t="n">
        <f aca="false">IF(OR($A209="",R209=1),"",IFERROR(IF(ISNUMBER(FIND("/",S209)),IF(ISNUMBER(FIND(" ",S209)),VALUE(LEFT(S209,FIND(" ",S209)-1))+VALUE(MID(S209,FIND(" ",S209)+1,FIND("/",S209)-FIND(" ",S209)-1))/VALUE(MID(S209,FIND("/",S209)+1,9)),VALUE(LEFT(S209,FIND("/",S209)-1))/VALUE(MID(S209,FIND("/",S209)+1,9))),VALUE(S209)),""))</f>
        <v>4.5</v>
      </c>
      <c r="U209" s="43" t="str">
        <f aca="false">IF(OR($A209="",NOT(ISNUMBER(Q209))),"",TEXT(Q209,"yyyymmdd")&amp;"|"&amp;IF(R209=1,"F",TEXT(T209,"0.000")))</f>
        <v>20280326|4.500</v>
      </c>
      <c r="V209" s="43" t="str">
        <f aca="false">IF(U209="","",O209&amp;"|"&amp;U209)</f>
        <v>SHNHAN|20280326|4.500</v>
      </c>
      <c r="W209" s="43" t="str">
        <f aca="false">IF($A209="","",IFERROR(IF(VLOOKUP(O209,매핑!$A$4:$E$92,3,0)="","미분류",VLOOKUP(O209,매핑!$A$4:$E$92,3,0)),"미분류"))</f>
        <v>한국</v>
      </c>
      <c r="X209" s="89" t="n">
        <f aca="false">IF($A209="",0,IF(O209="T",1,0))</f>
        <v>0</v>
      </c>
      <c r="Y209" s="89" t="n">
        <f aca="false">IF($A209="",0,IF(AND(C209="USD",X209=0,ISNUMBER(E209),ISNUMBER(K209)),IF(K209&gt;=설정!$C$8,1,0),0))</f>
        <v>1</v>
      </c>
      <c r="Z209" s="43" t="str">
        <f aca="false">IF($A209="","",N209&amp;"|"&amp;L209)</f>
        <v>아시아/기타|금융기관</v>
      </c>
      <c r="AA209" s="92" t="n">
        <f aca="false">IF(Y209=1,LN(K209),0)</f>
        <v>0.366031038862757</v>
      </c>
      <c r="AB209" s="93" t="n">
        <f aca="false">IF(Y209=1,E209,0)</f>
        <v>66.478</v>
      </c>
      <c r="AC209" s="89" t="n">
        <f aca="false">IF(Y209=1,COUNTIFS($Z$2:$Z$601,Z209,$Y$2:$Y$601,1),0)</f>
        <v>42</v>
      </c>
      <c r="AD209" s="89" t="n">
        <f aca="false">IF(Y209=1,COUNTIFS($N$2:$N$601,N209,$Y$2:$Y$601,1),0)</f>
        <v>137</v>
      </c>
      <c r="AE209" s="43" t="str">
        <f aca="false">IF(Y209&lt;&gt;1,"",IF(AND(AC209&gt;=설정!$C$7,ISNUMBER(MATCH(Z209,피어커브!$A:$A,0))),Z209,IF(AND(AD209&gt;=설정!$C$7,ISNUMBER(MATCH(N209&amp;"|전체",피어커브!$A:$A,0))),N209&amp;"|전체","전체|전체")))</f>
        <v>아시아/기타|금융기관</v>
      </c>
      <c r="AF209" s="93" t="n">
        <f aca="false">IF(AE209="","",INDEX(피어커브!$K:$K,MATCH(AE209,피어커브!$A:$A,0)))</f>
        <v>50.117430292991</v>
      </c>
      <c r="AG209" s="93" t="n">
        <f aca="false">IF(AE209="","",INDEX(피어커브!$J:$J,MATCH(AE209,피어커브!$A:$A,0)))</f>
        <v>13.9183160321618</v>
      </c>
      <c r="AH209" s="93" t="n">
        <f aca="false">IF(AE209="","",INDEX(피어커브!$L:$L,MATCH(AE209,피어커브!$A:$A,0)))</f>
        <v>20.4735875466442</v>
      </c>
      <c r="AI209" s="93" t="n">
        <f aca="false">IF(AE209="","",AF209+AG209*AA209)</f>
        <v>55.2119659694634</v>
      </c>
      <c r="AJ209" s="96" t="n">
        <f aca="false">IF(AE209="","",E209-AI209)</f>
        <v>11.2660340305366</v>
      </c>
      <c r="AK209" s="95" t="n">
        <f aca="false">IF(AE209="","",IF(ISNUMBER(AH209),IF(AH209&gt;0,AJ209/AH209,""),""))</f>
        <v>0.550271612382034</v>
      </c>
      <c r="AL209" s="43" t="str">
        <f aca="false">IF(AK209="","-",IF(AK209&gt;=설정!$C$6,"Cheap",IF(AK209&lt;=-설정!$C$6,"Rich","Fair")))</f>
        <v>Fair</v>
      </c>
      <c r="AM209" s="96" t="n">
        <f aca="false">IF(AE209="","",AJ209-AVERAGEIFS($AJ$2:$AJ$601,$B$2:$B$601,B209,$Y$2:$Y$601,1))</f>
        <v>19.2287163460439</v>
      </c>
      <c r="AN209" s="93" t="n">
        <f aca="false">IF(AE209="",0,IF(K209&gt;1+설정!$C$8,AG209*(AA209-LN(K209-1)),0))</f>
        <v>0</v>
      </c>
      <c r="AO209" s="99" t="n">
        <f aca="false">IF($A209="",0,SUMIFS(보유분석!$AA$2:$AA$801,보유분석!$AB$2:$AB$801,ROW(),보유분석!$AC$2:$AC$801,1))</f>
        <v>8.6745824</v>
      </c>
      <c r="AP209" s="43" t="str">
        <f aca="false">IF($A209="","",TRIM(IF(R209=1,"FRN ","")&amp;IF(IFERROR(VLOOKUP(M209,설정!$A$15:$D$47,4,0),0)&gt;=10,IF(IFERROR(VLOOKUP(M209,설정!$A$15:$D$47,4,0),0)&lt;99,"BBB0미만 ",""),"")&amp;IF(OR(M209="",M209="NR"),"등급미입력 ","")&amp;IF(C209&lt;&gt;"USD","비USD ","")))</f>
        <v/>
      </c>
      <c r="AQ209" s="90" t="n">
        <f aca="false">IF(AND(Y209=1,AL209="Cheap"),IF(AND(ISERROR(SEARCH("FRN",AP209)),ISERROR(SEARCH("BBB0미만",AP209))),AK209+ROW()/1000000000,-999),-999)</f>
        <v>-999</v>
      </c>
      <c r="AR209" s="92" t="n">
        <f aca="false">IF(AND(ISNUMBER(D209),ISNUMBER(K209)),D209+AN209*MAX(K209-1,0)/100,"")</f>
        <v>5.554</v>
      </c>
      <c r="AS209" s="93" t="n">
        <f aca="false">IF(AND(ISNUMBER(E209),ISNUMBER(K209)),IF(K209&gt;0,(E209+AN209*MAX(K209-1,0))/K209,""),"")</f>
        <v>46.1012482662968</v>
      </c>
      <c r="AT209" s="90" t="n">
        <f aca="false">IFERROR(IF(AND(Y209=1,ROW()&lt;&gt;스왑분석!$C$12+1,ABS(K209-INDEX($K$2:$K$601,스왑분석!$C$12))&lt;=스왑분석!$C$5,ISERROR(SEARCH("FRN",AP209)),ISERROR(SEARCH("BBB0미만",AP209))),IF(AND(OR(스왑분석!$C$6="N",L209=INDEX($L$2:$L$601,스왑분석!$C$12)),OR(스왑분석!$C$7="N",N209=INDEX($N$2:$N$601,스왑분석!$C$12)),OR(스왑분석!$C$8="N",AO209=0),E209-INDEX($E$2:$E$601,스왑분석!$C$12)&gt;=스왑분석!$C$9),E209-INDEX($E$2:$E$601,스왑분석!$C$12)+ROW()/1000000000,-999),-999),-999)</f>
        <v>-999</v>
      </c>
      <c r="AU209" s="90" t="n">
        <f aca="false">IF(AND(Y209=1,AO209&gt;0,AL209="Rich"),-AK209+ROW()/1000000000,-999)</f>
        <v>-999</v>
      </c>
    </row>
    <row r="210" customFormat="false" ht="15" hidden="false" customHeight="false" outlineLevel="0" collapsed="false">
      <c r="A210" s="83" t="str">
        <f aca="false">IFERROR(IF(INDEX(원자료_시장!$A$1:$BZ$1000,설정!$L$6+ROW()-1,설정!$L$24)&amp;""="0","",INDEX(원자료_시장!$A$1:$BZ$1000,설정!$L$6+ROW()-1,설정!$L$24)),"")</f>
        <v>CITNAT 4 1/2 02/01/29</v>
      </c>
      <c r="B210" s="83" t="str">
        <f aca="false">IFERROR(IF(INDEX(원자료_시장!$A$1:$BZ$1000,설정!$L$6+ROW()-1,설정!$L$37)&amp;""="0","",INDEX(원자료_시장!$A$1:$BZ$1000,설정!$L$6+ROW()-1,설정!$L$37)),"")</f>
        <v>KOOKMIN BANK</v>
      </c>
      <c r="C210" s="83" t="str">
        <f aca="false">IFERROR(IF(INDEX(원자료_시장!$A$1:$BZ$1000,설정!$L$6+ROW()-1,설정!$L$25)&amp;""="0","",INDEX(원자료_시장!$A$1:$BZ$1000,설정!$L$6+ROW()-1,설정!$L$25)),"")</f>
        <v>USD</v>
      </c>
      <c r="D210" s="85" t="n">
        <f aca="false">IFERROR(IF(ISNUMBER(INDEX(원자료_시장!$A$1:$BZ$1000,설정!$L$6+ROW()-1,설정!$L$26)),INDEX(원자료_시장!$A$1:$BZ$1000,설정!$L$6+ROW()-1,설정!$L$26),""),"")</f>
        <v>5.607</v>
      </c>
      <c r="E210" s="97" t="n">
        <f aca="false">IFERROR(IF(ISNUMBER(INDEX(원자료_시장!$A$1:$BZ$1000,설정!$L$6+ROW()-1,설정!$L$27)),INDEX(원자료_시장!$A$1:$BZ$1000,설정!$L$6+ROW()-1,설정!$L$27),""),"")</f>
        <v>60.703</v>
      </c>
      <c r="F210" s="97" t="n">
        <f aca="false">IFERROR(IF(ISNUMBER(INDEX(원자료_시장!$A$1:$BZ$1000,설정!$L$6+ROW()-1,설정!$L$28)),INDEX(원자료_시장!$A$1:$BZ$1000,설정!$L$6+ROW()-1,설정!$L$28),""),"")</f>
        <v>90.074</v>
      </c>
      <c r="G210" s="97" t="n">
        <f aca="false">IFERROR(IF(ISNUMBER(INDEX(원자료_시장!$A$1:$BZ$1000,설정!$L$6+ROW()-1,설정!$L$29)),INDEX(원자료_시장!$A$1:$BZ$1000,설정!$L$6+ROW()-1,설정!$L$29),""),"")</f>
        <v>-1.8</v>
      </c>
      <c r="H210" s="97" t="n">
        <f aca="false">IFERROR(IF(ISNUMBER(INDEX(원자료_시장!$A$1:$BZ$1000,설정!$L$6+ROW()-1,설정!$L$30)),INDEX(원자료_시장!$A$1:$BZ$1000,설정!$L$6+ROW()-1,설정!$L$30),""),"")</f>
        <v>0.9</v>
      </c>
      <c r="I210" s="97" t="n">
        <f aca="false">IFERROR(IF(ISNUMBER(INDEX(원자료_시장!$A$1:$BZ$1000,설정!$L$6+ROW()-1,설정!$L$31)),INDEX(원자료_시장!$A$1:$BZ$1000,설정!$L$6+ROW()-1,설정!$L$31),""),"")</f>
        <v>-0.5</v>
      </c>
      <c r="J210" s="97" t="n">
        <f aca="false">IFERROR(IF(ISNUMBER(INDEX(원자료_시장!$A$1:$BZ$1000,설정!$L$6+ROW()-1,설정!$L$32)),INDEX(원자료_시장!$A$1:$BZ$1000,설정!$L$6+ROW()-1,설정!$L$32),""),"")</f>
        <v>-7.3</v>
      </c>
      <c r="K210" s="85" t="n">
        <f aca="false">IFERROR(IF(ISNUMBER(INDEX(원자료_시장!$A$1:$BZ$1000,설정!$L$6+ROW()-1,설정!$L$33)),INDEX(원자료_시장!$A$1:$BZ$1000,설정!$L$6+ROW()-1,설정!$L$33),""),"")</f>
        <v>2.213</v>
      </c>
      <c r="L210" s="83" t="str">
        <f aca="false">IFERROR(IF(INDEX(원자료_시장!$A$1:$BZ$1000,설정!$L$6+ROW()-1,설정!$L$34)&amp;""="0","",INDEX(원자료_시장!$A$1:$BZ$1000,설정!$L$6+ROW()-1,설정!$L$34)),"")</f>
        <v>금융기관</v>
      </c>
      <c r="M210" s="83" t="str">
        <f aca="false">IFERROR(IF(INDEX(원자료_시장!$A$1:$BZ$1000,설정!$L$6+ROW()-1,설정!$L$35)&amp;""="0","",INDEX(원자료_시장!$A$1:$BZ$1000,설정!$L$6+ROW()-1,설정!$L$35)),"")</f>
        <v>BBB+</v>
      </c>
      <c r="N210" s="83" t="str">
        <f aca="false">IFERROR(IF(INDEX(원자료_시장!$A$1:$BZ$1000,설정!$L$6+ROW()-1,설정!$L$36)&amp;""="0","",INDEX(원자료_시장!$A$1:$BZ$1000,설정!$L$6+ROW()-1,설정!$L$36)),"")</f>
        <v>아시아/기타</v>
      </c>
      <c r="O210" s="43" t="str">
        <f aca="false">IF($A210="","",UPPER(LEFT($A210,FIND(" ",$A210&amp;" ")-1)))</f>
        <v>CITNAT</v>
      </c>
      <c r="P210" s="43" t="str">
        <f aca="false">IF($A210="","",TRIM(RIGHT(SUBSTITUTE(TRIM($A210)," ",REPT(" ",30)),30)))</f>
        <v>02/01/29</v>
      </c>
      <c r="Q210" s="98" t="n">
        <f aca="false">IF($A210="","",IFERROR(DATE(IF(LEN(P210)=8,2000+VALUE(RIGHT(P210,2)),VALUE(RIGHT(P210,4))),VALUE(LEFT(P210,2)),VALUE(MID(P210,4,2))),""))</f>
        <v>47150</v>
      </c>
      <c r="R210" s="89" t="n">
        <f aca="false">IF($A210="",0,IF(ISNUMBER(SEARCH("Float",$A210)),1,0))</f>
        <v>0</v>
      </c>
      <c r="S210" s="43" t="str">
        <f aca="false">IF($A210="","",TRIM(MID($A210,LEN(O210)+2,LEN($A210)-LEN(O210)-LEN(P210)-1)))</f>
        <v>4 1/2</v>
      </c>
      <c r="T210" s="92" t="n">
        <f aca="false">IF(OR($A210="",R210=1),"",IFERROR(IF(ISNUMBER(FIND("/",S210)),IF(ISNUMBER(FIND(" ",S210)),VALUE(LEFT(S210,FIND(" ",S210)-1))+VALUE(MID(S210,FIND(" ",S210)+1,FIND("/",S210)-FIND(" ",S210)-1))/VALUE(MID(S210,FIND("/",S210)+1,9)),VALUE(LEFT(S210,FIND("/",S210)-1))/VALUE(MID(S210,FIND("/",S210)+1,9))),VALUE(S210)),""))</f>
        <v>4.5</v>
      </c>
      <c r="U210" s="43" t="str">
        <f aca="false">IF(OR($A210="",NOT(ISNUMBER(Q210))),"",TEXT(Q210,"yyyymmdd")&amp;"|"&amp;IF(R210=1,"F",TEXT(T210,"0.000")))</f>
        <v>20290201|4.500</v>
      </c>
      <c r="V210" s="43" t="str">
        <f aca="false">IF(U210="","",O210&amp;"|"&amp;U210)</f>
        <v>CITNAT|20290201|4.500</v>
      </c>
      <c r="W210" s="43" t="str">
        <f aca="false">IF($A210="","",IFERROR(IF(VLOOKUP(O210,매핑!$A$4:$E$92,3,0)="","미분류",VLOOKUP(O210,매핑!$A$4:$E$92,3,0)),"미분류"))</f>
        <v>한국</v>
      </c>
      <c r="X210" s="89" t="n">
        <f aca="false">IF($A210="",0,IF(O210="T",1,0))</f>
        <v>0</v>
      </c>
      <c r="Y210" s="89" t="n">
        <f aca="false">IF($A210="",0,IF(AND(C210="USD",X210=0,ISNUMBER(E210),ISNUMBER(K210)),IF(K210&gt;=설정!$C$8,1,0),0))</f>
        <v>1</v>
      </c>
      <c r="Z210" s="43" t="str">
        <f aca="false">IF($A210="","",N210&amp;"|"&amp;L210)</f>
        <v>아시아/기타|금융기관</v>
      </c>
      <c r="AA210" s="92" t="n">
        <f aca="false">IF(Y210=1,LN(K210),0)</f>
        <v>0.794349061068913</v>
      </c>
      <c r="AB210" s="93" t="n">
        <f aca="false">IF(Y210=1,E210,0)</f>
        <v>60.703</v>
      </c>
      <c r="AC210" s="89" t="n">
        <f aca="false">IF(Y210=1,COUNTIFS($Z$2:$Z$601,Z210,$Y$2:$Y$601,1),0)</f>
        <v>42</v>
      </c>
      <c r="AD210" s="89" t="n">
        <f aca="false">IF(Y210=1,COUNTIFS($N$2:$N$601,N210,$Y$2:$Y$601,1),0)</f>
        <v>137</v>
      </c>
      <c r="AE210" s="43" t="str">
        <f aca="false">IF(Y210&lt;&gt;1,"",IF(AND(AC210&gt;=설정!$C$7,ISNUMBER(MATCH(Z210,피어커브!$A:$A,0))),Z210,IF(AND(AD210&gt;=설정!$C$7,ISNUMBER(MATCH(N210&amp;"|전체",피어커브!$A:$A,0))),N210&amp;"|전체","전체|전체")))</f>
        <v>아시아/기타|금융기관</v>
      </c>
      <c r="AF210" s="93" t="n">
        <f aca="false">IF(AE210="","",INDEX(피어커브!$K:$K,MATCH(AE210,피어커브!$A:$A,0)))</f>
        <v>50.117430292991</v>
      </c>
      <c r="AG210" s="93" t="n">
        <f aca="false">IF(AE210="","",INDEX(피어커브!$J:$J,MATCH(AE210,피어커브!$A:$A,0)))</f>
        <v>13.9183160321618</v>
      </c>
      <c r="AH210" s="93" t="n">
        <f aca="false">IF(AE210="","",INDEX(피어커브!$L:$L,MATCH(AE210,피어커브!$A:$A,0)))</f>
        <v>20.4735875466442</v>
      </c>
      <c r="AI210" s="93" t="n">
        <f aca="false">IF(AE210="","",AF210+AG210*AA210)</f>
        <v>61.1734315647992</v>
      </c>
      <c r="AJ210" s="96" t="n">
        <f aca="false">IF(AE210="","",E210-AI210)</f>
        <v>-0.470431564799149</v>
      </c>
      <c r="AK210" s="95" t="n">
        <f aca="false">IF(AE210="","",IF(ISNUMBER(AH210),IF(AH210&gt;0,AJ210/AH210,""),""))</f>
        <v>-0.0229774856862474</v>
      </c>
      <c r="AL210" s="43" t="str">
        <f aca="false">IF(AK210="","-",IF(AK210&gt;=설정!$C$6,"Cheap",IF(AK210&lt;=-설정!$C$6,"Rich","Fair")))</f>
        <v>Fair</v>
      </c>
      <c r="AM210" s="96" t="n">
        <f aca="false">IF(AE210="","",AJ210-AVERAGEIFS($AJ$2:$AJ$601,$B$2:$B$601,B210,$Y$2:$Y$601,1))</f>
        <v>8.3716924763842</v>
      </c>
      <c r="AN210" s="93" t="n">
        <f aca="false">IF(AE210="",0,IF(K210&gt;1+설정!$C$8,AG210*(AA210-LN(K210-1)),0))</f>
        <v>8.36842135125282</v>
      </c>
      <c r="AO210" s="99" t="n">
        <f aca="false">IF($A210="",0,SUMIFS(보유분석!$AA$2:$AA$801,보유분석!$AB$2:$AB$801,ROW(),보유분석!$AC$2:$AC$801,1))</f>
        <v>19.0464105</v>
      </c>
      <c r="AP210" s="43" t="str">
        <f aca="false">IF($A210="","",TRIM(IF(R210=1,"FRN ","")&amp;IF(IFERROR(VLOOKUP(M210,설정!$A$15:$D$47,4,0),0)&gt;=10,IF(IFERROR(VLOOKUP(M210,설정!$A$15:$D$47,4,0),0)&lt;99,"BBB0미만 ",""),"")&amp;IF(OR(M210="",M210="NR"),"등급미입력 ","")&amp;IF(C210&lt;&gt;"USD","비USD ","")))</f>
        <v/>
      </c>
      <c r="AQ210" s="90" t="n">
        <f aca="false">IF(AND(Y210=1,AL210="Cheap"),IF(AND(ISERROR(SEARCH("FRN",AP210)),ISERROR(SEARCH("BBB0미만",AP210))),AK210+ROW()/1000000000,-999),-999)</f>
        <v>-999</v>
      </c>
      <c r="AR210" s="92" t="n">
        <f aca="false">IF(AND(ISNUMBER(D210),ISNUMBER(K210)),D210+AN210*MAX(K210-1,0)/100,"")</f>
        <v>5.7085089509907</v>
      </c>
      <c r="AS210" s="93" t="n">
        <f aca="false">IF(AND(ISNUMBER(E210),ISNUMBER(K210)),IF(K210&gt;0,(E210+AN210*MAX(K210-1,0))/K210,""),"")</f>
        <v>32.0171238585945</v>
      </c>
      <c r="AT210" s="90" t="n">
        <f aca="false">IFERROR(IF(AND(Y210=1,ROW()&lt;&gt;스왑분석!$C$12+1,ABS(K210-INDEX($K$2:$K$601,스왑분석!$C$12))&lt;=스왑분석!$C$5,ISERROR(SEARCH("FRN",AP210)),ISERROR(SEARCH("BBB0미만",AP210))),IF(AND(OR(스왑분석!$C$6="N",L210=INDEX($L$2:$L$601,스왑분석!$C$12)),OR(스왑분석!$C$7="N",N210=INDEX($N$2:$N$601,스왑분석!$C$12)),OR(스왑분석!$C$8="N",AO210=0),E210-INDEX($E$2:$E$601,스왑분석!$C$12)&gt;=스왑분석!$C$9),E210-INDEX($E$2:$E$601,스왑분석!$C$12)+ROW()/1000000000,-999),-999),-999)</f>
        <v>-999</v>
      </c>
      <c r="AU210" s="90" t="n">
        <f aca="false">IF(AND(Y210=1,AO210&gt;0,AL210="Rich"),-AK210+ROW()/1000000000,-999)</f>
        <v>-999</v>
      </c>
    </row>
    <row r="211" customFormat="false" ht="15" hidden="false" customHeight="false" outlineLevel="0" collapsed="false">
      <c r="A211" s="83" t="str">
        <f aca="false">IFERROR(IF(INDEX(원자료_시장!$A$1:$BZ$1000,설정!$L$6+ROW()-1,설정!$L$24)&amp;""="0","",INDEX(원자료_시장!$A$1:$BZ$1000,설정!$L$6+ROW()-1,설정!$L$24)),"")</f>
        <v>ANZNZ 0 3/8 09/17/29</v>
      </c>
      <c r="B211" s="83" t="str">
        <f aca="false">IFERROR(IF(INDEX(원자료_시장!$A$1:$BZ$1000,설정!$L$6+ROW()-1,설정!$L$37)&amp;""="0","",INDEX(원자료_시장!$A$1:$BZ$1000,설정!$L$6+ROW()-1,설정!$L$37)),"")</f>
        <v>ANZ NEW ZEALAND INTL/LDN</v>
      </c>
      <c r="C211" s="83" t="str">
        <f aca="false">IFERROR(IF(INDEX(원자료_시장!$A$1:$BZ$1000,설정!$L$6+ROW()-1,설정!$L$25)&amp;""="0","",INDEX(원자료_시장!$A$1:$BZ$1000,설정!$L$6+ROW()-1,설정!$L$25)),"")</f>
        <v>EUR</v>
      </c>
      <c r="D211" s="85" t="n">
        <f aca="false">IFERROR(IF(ISNUMBER(INDEX(원자료_시장!$A$1:$BZ$1000,설정!$L$6+ROW()-1,설정!$L$26)),INDEX(원자료_시장!$A$1:$BZ$1000,설정!$L$6+ROW()-1,설정!$L$26),""),"")</f>
        <v>3.815</v>
      </c>
      <c r="E211" s="97" t="n">
        <f aca="false">IFERROR(IF(ISNUMBER(INDEX(원자료_시장!$A$1:$BZ$1000,설정!$L$6+ROW()-1,설정!$L$27)),INDEX(원자료_시장!$A$1:$BZ$1000,설정!$L$6+ROW()-1,설정!$L$27),""),"")</f>
        <v>57.597</v>
      </c>
      <c r="F211" s="97" t="n">
        <f aca="false">IFERROR(IF(ISNUMBER(INDEX(원자료_시장!$A$1:$BZ$1000,설정!$L$6+ROW()-1,설정!$L$28)),INDEX(원자료_시장!$A$1:$BZ$1000,설정!$L$6+ROW()-1,설정!$L$28),""),"")</f>
        <v>24.118</v>
      </c>
      <c r="G211" s="97" t="str">
        <f aca="false">IFERROR(IF(ISNUMBER(INDEX(원자료_시장!$A$1:$BZ$1000,설정!$L$6+ROW()-1,설정!$L$29)),INDEX(원자료_시장!$A$1:$BZ$1000,설정!$L$6+ROW()-1,설정!$L$29),""),"")</f>
        <v/>
      </c>
      <c r="H211" s="97" t="str">
        <f aca="false">IFERROR(IF(ISNUMBER(INDEX(원자료_시장!$A$1:$BZ$1000,설정!$L$6+ROW()-1,설정!$L$30)),INDEX(원자료_시장!$A$1:$BZ$1000,설정!$L$6+ROW()-1,설정!$L$30),""),"")</f>
        <v/>
      </c>
      <c r="I211" s="97" t="str">
        <f aca="false">IFERROR(IF(ISNUMBER(INDEX(원자료_시장!$A$1:$BZ$1000,설정!$L$6+ROW()-1,설정!$L$31)),INDEX(원자료_시장!$A$1:$BZ$1000,설정!$L$6+ROW()-1,설정!$L$31),""),"")</f>
        <v/>
      </c>
      <c r="J211" s="97" t="str">
        <f aca="false">IFERROR(IF(ISNUMBER(INDEX(원자료_시장!$A$1:$BZ$1000,설정!$L$6+ROW()-1,설정!$L$32)),INDEX(원자료_시장!$A$1:$BZ$1000,설정!$L$6+ROW()-1,설정!$L$32),""),"")</f>
        <v/>
      </c>
      <c r="K211" s="85" t="n">
        <f aca="false">IFERROR(IF(ISNUMBER(INDEX(원자료_시장!$A$1:$BZ$1000,설정!$L$6+ROW()-1,설정!$L$33)),INDEX(원자료_시장!$A$1:$BZ$1000,설정!$L$6+ROW()-1,설정!$L$33),""),"")</f>
        <v>2.939</v>
      </c>
      <c r="L211" s="83" t="str">
        <f aca="false">IFERROR(IF(INDEX(원자료_시장!$A$1:$BZ$1000,설정!$L$6+ROW()-1,설정!$L$34)&amp;""="0","",INDEX(원자료_시장!$A$1:$BZ$1000,설정!$L$6+ROW()-1,설정!$L$34)),"")</f>
        <v>금융기관</v>
      </c>
      <c r="M211" s="83" t="str">
        <f aca="false">IFERROR(IF(INDEX(원자료_시장!$A$1:$BZ$1000,설정!$L$6+ROW()-1,설정!$L$35)&amp;""="0","",INDEX(원자료_시장!$A$1:$BZ$1000,설정!$L$6+ROW()-1,설정!$L$35)),"")</f>
        <v>AA-</v>
      </c>
      <c r="N211" s="83" t="str">
        <f aca="false">IFERROR(IF(INDEX(원자료_시장!$A$1:$BZ$1000,설정!$L$6+ROW()-1,설정!$L$36)&amp;""="0","",INDEX(원자료_시장!$A$1:$BZ$1000,설정!$L$6+ROW()-1,설정!$L$36)),"")</f>
        <v>아시아/기타</v>
      </c>
      <c r="O211" s="43" t="str">
        <f aca="false">IF($A211="","",UPPER(LEFT($A211,FIND(" ",$A211&amp;" ")-1)))</f>
        <v>ANZNZ</v>
      </c>
      <c r="P211" s="43" t="str">
        <f aca="false">IF($A211="","",TRIM(RIGHT(SUBSTITUTE(TRIM($A211)," ",REPT(" ",30)),30)))</f>
        <v>09/17/29</v>
      </c>
      <c r="Q211" s="98" t="n">
        <f aca="false">IF($A211="","",IFERROR(DATE(IF(LEN(P211)=8,2000+VALUE(RIGHT(P211,2)),VALUE(RIGHT(P211,4))),VALUE(LEFT(P211,2)),VALUE(MID(P211,4,2))),""))</f>
        <v>47378</v>
      </c>
      <c r="R211" s="89" t="n">
        <f aca="false">IF($A211="",0,IF(ISNUMBER(SEARCH("Float",$A211)),1,0))</f>
        <v>0</v>
      </c>
      <c r="S211" s="43" t="str">
        <f aca="false">IF($A211="","",TRIM(MID($A211,LEN(O211)+2,LEN($A211)-LEN(O211)-LEN(P211)-1)))</f>
        <v>0 3/8</v>
      </c>
      <c r="T211" s="92" t="n">
        <f aca="false">IF(OR($A211="",R211=1),"",IFERROR(IF(ISNUMBER(FIND("/",S211)),IF(ISNUMBER(FIND(" ",S211)),VALUE(LEFT(S211,FIND(" ",S211)-1))+VALUE(MID(S211,FIND(" ",S211)+1,FIND("/",S211)-FIND(" ",S211)-1))/VALUE(MID(S211,FIND("/",S211)+1,9)),VALUE(LEFT(S211,FIND("/",S211)-1))/VALUE(MID(S211,FIND("/",S211)+1,9))),VALUE(S211)),""))</f>
        <v>0.375</v>
      </c>
      <c r="U211" s="43" t="str">
        <f aca="false">IF(OR($A211="",NOT(ISNUMBER(Q211))),"",TEXT(Q211,"yyyymmdd")&amp;"|"&amp;IF(R211=1,"F",TEXT(T211,"0.000")))</f>
        <v>20290917|0.375</v>
      </c>
      <c r="V211" s="43" t="str">
        <f aca="false">IF(U211="","",O211&amp;"|"&amp;U211)</f>
        <v>ANZNZ|20290917|0.375</v>
      </c>
      <c r="W211" s="43" t="str">
        <f aca="false">IF($A211="","",IFERROR(IF(VLOOKUP(O211,매핑!$A$4:$E$92,3,0)="","미분류",VLOOKUP(O211,매핑!$A$4:$E$92,3,0)),"미분류"))</f>
        <v>뉴질랜드</v>
      </c>
      <c r="X211" s="89" t="n">
        <f aca="false">IF($A211="",0,IF(O211="T",1,0))</f>
        <v>0</v>
      </c>
      <c r="Y211" s="89" t="n">
        <f aca="false">IF($A211="",0,IF(AND(C211="USD",X211=0,ISNUMBER(E211),ISNUMBER(K211)),IF(K211&gt;=설정!$C$8,1,0),0))</f>
        <v>0</v>
      </c>
      <c r="Z211" s="43" t="str">
        <f aca="false">IF($A211="","",N211&amp;"|"&amp;L211)</f>
        <v>아시아/기타|금융기관</v>
      </c>
      <c r="AA211" s="92" t="n">
        <f aca="false">IF(Y211=1,LN(K211),0)</f>
        <v>0</v>
      </c>
      <c r="AB211" s="93" t="n">
        <f aca="false">IF(Y211=1,E211,0)</f>
        <v>0</v>
      </c>
      <c r="AC211" s="89" t="n">
        <f aca="false">IF(Y211=1,COUNTIFS($Z$2:$Z$601,Z211,$Y$2:$Y$601,1),0)</f>
        <v>0</v>
      </c>
      <c r="AD211" s="89" t="n">
        <f aca="false">IF(Y211=1,COUNTIFS($N$2:$N$601,N211,$Y$2:$Y$601,1),0)</f>
        <v>0</v>
      </c>
      <c r="AE211" s="43" t="str">
        <f aca="false">IF(Y211&lt;&gt;1,"",IF(AND(AC211&gt;=설정!$C$7,ISNUMBER(MATCH(Z211,피어커브!$A:$A,0))),Z211,IF(AND(AD211&gt;=설정!$C$7,ISNUMBER(MATCH(N211&amp;"|전체",피어커브!$A:$A,0))),N211&amp;"|전체","전체|전체")))</f>
        <v/>
      </c>
      <c r="AF211" s="93" t="str">
        <f aca="false">IF(AE211="","",INDEX(피어커브!$K:$K,MATCH(AE211,피어커브!$A:$A,0)))</f>
        <v/>
      </c>
      <c r="AG211" s="93" t="str">
        <f aca="false">IF(AE211="","",INDEX(피어커브!$J:$J,MATCH(AE211,피어커브!$A:$A,0)))</f>
        <v/>
      </c>
      <c r="AH211" s="93" t="str">
        <f aca="false">IF(AE211="","",INDEX(피어커브!$L:$L,MATCH(AE211,피어커브!$A:$A,0)))</f>
        <v/>
      </c>
      <c r="AI211" s="93" t="str">
        <f aca="false">IF(AE211="","",AF211+AG211*AA211)</f>
        <v/>
      </c>
      <c r="AJ211" s="96" t="str">
        <f aca="false">IF(AE211="","",E211-AI211)</f>
        <v/>
      </c>
      <c r="AK211" s="95" t="str">
        <f aca="false">IF(AE211="","",IF(ISNUMBER(AH211),IF(AH211&gt;0,AJ211/AH211,""),""))</f>
        <v/>
      </c>
      <c r="AL211" s="43" t="str">
        <f aca="false">IF(AK211="","-",IF(AK211&gt;=설정!$C$6,"Cheap",IF(AK211&lt;=-설정!$C$6,"Rich","Fair")))</f>
        <v>-</v>
      </c>
      <c r="AM211" s="96" t="str">
        <f aca="false">IF(AE211="","",AJ211-AVERAGEIFS($AJ$2:$AJ$601,$B$2:$B$601,B211,$Y$2:$Y$601,1))</f>
        <v/>
      </c>
      <c r="AN211" s="93" t="n">
        <f aca="false">IF(AE211="",0,IF(K211&gt;1+설정!$C$8,AG211*(AA211-LN(K211-1)),0))</f>
        <v>0</v>
      </c>
      <c r="AO211" s="99" t="n">
        <f aca="false">IF($A211="",0,SUMIFS(보유분석!$AA$2:$AA$801,보유분석!$AB$2:$AB$801,ROW(),보유분석!$AC$2:$AC$801,1))</f>
        <v>0</v>
      </c>
      <c r="AP211" s="43" t="str">
        <f aca="false">IF($A211="","",TRIM(IF(R211=1,"FRN ","")&amp;IF(IFERROR(VLOOKUP(M211,설정!$A$15:$D$47,4,0),0)&gt;=10,IF(IFERROR(VLOOKUP(M211,설정!$A$15:$D$47,4,0),0)&lt;99,"BBB0미만 ",""),"")&amp;IF(OR(M211="",M211="NR"),"등급미입력 ","")&amp;IF(C211&lt;&gt;"USD","비USD ","")))</f>
        <v>비USD</v>
      </c>
      <c r="AQ211" s="90" t="n">
        <f aca="false">IF(AND(Y211=1,AL211="Cheap"),IF(AND(ISERROR(SEARCH("FRN",AP211)),ISERROR(SEARCH("BBB0미만",AP211))),AK211+ROW()/1000000000,-999),-999)</f>
        <v>-999</v>
      </c>
      <c r="AR211" s="92" t="n">
        <f aca="false">IF(AND(ISNUMBER(D211),ISNUMBER(K211)),D211+AN211*MAX(K211-1,0)/100,"")</f>
        <v>3.815</v>
      </c>
      <c r="AS211" s="93" t="n">
        <f aca="false">IF(AND(ISNUMBER(E211),ISNUMBER(K211)),IF(K211&gt;0,(E211+AN211*MAX(K211-1,0))/K211,""),"")</f>
        <v>19.5974821367812</v>
      </c>
      <c r="AT211" s="90" t="n">
        <f aca="false">IFERROR(IF(AND(Y211=1,ROW()&lt;&gt;스왑분석!$C$12+1,ABS(K211-INDEX($K$2:$K$601,스왑분석!$C$12))&lt;=스왑분석!$C$5,ISERROR(SEARCH("FRN",AP211)),ISERROR(SEARCH("BBB0미만",AP211))),IF(AND(OR(스왑분석!$C$6="N",L211=INDEX($L$2:$L$601,스왑분석!$C$12)),OR(스왑분석!$C$7="N",N211=INDEX($N$2:$N$601,스왑분석!$C$12)),OR(스왑분석!$C$8="N",AO211=0),E211-INDEX($E$2:$E$601,스왑분석!$C$12)&gt;=스왑분석!$C$9),E211-INDEX($E$2:$E$601,스왑분석!$C$12)+ROW()/1000000000,-999),-999),-999)</f>
        <v>-999</v>
      </c>
      <c r="AU211" s="90" t="n">
        <f aca="false">IF(AND(Y211=1,AO211&gt;0,AL211="Rich"),-AK211+ROW()/1000000000,-999)</f>
        <v>-999</v>
      </c>
    </row>
    <row r="212" customFormat="false" ht="15" hidden="false" customHeight="false" outlineLevel="0" collapsed="false">
      <c r="A212" s="83" t="str">
        <f aca="false">IFERROR(IF(INDEX(원자료_시장!$A$1:$BZ$1000,설정!$L$6+ROW()-1,설정!$L$24)&amp;""="0","",INDEX(원자료_시장!$A$1:$BZ$1000,설정!$L$6+ROW()-1,설정!$L$24)),"")</f>
        <v>JAPTOB 1 11/26/29</v>
      </c>
      <c r="B212" s="83" t="str">
        <f aca="false">IFERROR(IF(INDEX(원자료_시장!$A$1:$BZ$1000,설정!$L$6+ROW()-1,설정!$L$37)&amp;""="0","",INDEX(원자료_시장!$A$1:$BZ$1000,설정!$L$6+ROW()-1,설정!$L$37)),"")</f>
        <v>JT INTL FIN SERVICES BV</v>
      </c>
      <c r="C212" s="83" t="str">
        <f aca="false">IFERROR(IF(INDEX(원자료_시장!$A$1:$BZ$1000,설정!$L$6+ROW()-1,설정!$L$25)&amp;""="0","",INDEX(원자료_시장!$A$1:$BZ$1000,설정!$L$6+ROW()-1,설정!$L$25)),"")</f>
        <v>EUR</v>
      </c>
      <c r="D212" s="85" t="n">
        <f aca="false">IFERROR(IF(ISNUMBER(INDEX(원자료_시장!$A$1:$BZ$1000,설정!$L$6+ROW()-1,설정!$L$26)),INDEX(원자료_시장!$A$1:$BZ$1000,설정!$L$6+ROW()-1,설정!$L$26),""),"")</f>
        <v>3.956</v>
      </c>
      <c r="E212" s="97" t="n">
        <f aca="false">IFERROR(IF(ISNUMBER(INDEX(원자료_시장!$A$1:$BZ$1000,설정!$L$6+ROW()-1,설정!$L$27)),INDEX(원자료_시장!$A$1:$BZ$1000,설정!$L$6+ROW()-1,설정!$L$27),""),"")</f>
        <v>71.727</v>
      </c>
      <c r="F212" s="97" t="n">
        <f aca="false">IFERROR(IF(ISNUMBER(INDEX(원자료_시장!$A$1:$BZ$1000,설정!$L$6+ROW()-1,설정!$L$28)),INDEX(원자료_시장!$A$1:$BZ$1000,설정!$L$6+ROW()-1,설정!$L$28),""),"")</f>
        <v>37.938</v>
      </c>
      <c r="G212" s="97" t="str">
        <f aca="false">IFERROR(IF(ISNUMBER(INDEX(원자료_시장!$A$1:$BZ$1000,설정!$L$6+ROW()-1,설정!$L$29)),INDEX(원자료_시장!$A$1:$BZ$1000,설정!$L$6+ROW()-1,설정!$L$29),""),"")</f>
        <v/>
      </c>
      <c r="H212" s="97" t="str">
        <f aca="false">IFERROR(IF(ISNUMBER(INDEX(원자료_시장!$A$1:$BZ$1000,설정!$L$6+ROW()-1,설정!$L$30)),INDEX(원자료_시장!$A$1:$BZ$1000,설정!$L$6+ROW()-1,설정!$L$30),""),"")</f>
        <v/>
      </c>
      <c r="I212" s="97" t="str">
        <f aca="false">IFERROR(IF(ISNUMBER(INDEX(원자료_시장!$A$1:$BZ$1000,설정!$L$6+ROW()-1,설정!$L$31)),INDEX(원자료_시장!$A$1:$BZ$1000,설정!$L$6+ROW()-1,설정!$L$31),""),"")</f>
        <v/>
      </c>
      <c r="J212" s="97" t="str">
        <f aca="false">IFERROR(IF(ISNUMBER(INDEX(원자료_시장!$A$1:$BZ$1000,설정!$L$6+ROW()-1,설정!$L$32)),INDEX(원자료_시장!$A$1:$BZ$1000,설정!$L$6+ROW()-1,설정!$L$32),""),"")</f>
        <v/>
      </c>
      <c r="K212" s="85" t="n">
        <f aca="false">IFERROR(IF(ISNUMBER(INDEX(원자료_시장!$A$1:$BZ$1000,설정!$L$6+ROW()-1,설정!$L$33)),INDEX(원자료_시장!$A$1:$BZ$1000,설정!$L$6+ROW()-1,설정!$L$33),""),"")</f>
        <v>3.079</v>
      </c>
      <c r="L212" s="83" t="str">
        <f aca="false">IFERROR(IF(INDEX(원자료_시장!$A$1:$BZ$1000,설정!$L$6+ROW()-1,설정!$L$34)&amp;""="0","",INDEX(원자료_시장!$A$1:$BZ$1000,설정!$L$6+ROW()-1,설정!$L$34)),"")</f>
        <v>기본소비재</v>
      </c>
      <c r="M212" s="83" t="str">
        <f aca="false">IFERROR(IF(INDEX(원자료_시장!$A$1:$BZ$1000,설정!$L$6+ROW()-1,설정!$L$35)&amp;""="0","",INDEX(원자료_시장!$A$1:$BZ$1000,설정!$L$6+ROW()-1,설정!$L$35)),"")</f>
        <v>A</v>
      </c>
      <c r="N212" s="83" t="str">
        <f aca="false">IFERROR(IF(INDEX(원자료_시장!$A$1:$BZ$1000,설정!$L$6+ROW()-1,설정!$L$36)&amp;""="0","",INDEX(원자료_시장!$A$1:$BZ$1000,설정!$L$6+ROW()-1,설정!$L$36)),"")</f>
        <v>아시아/기타</v>
      </c>
      <c r="O212" s="43" t="str">
        <f aca="false">IF($A212="","",UPPER(LEFT($A212,FIND(" ",$A212&amp;" ")-1)))</f>
        <v>JAPTOB</v>
      </c>
      <c r="P212" s="43" t="str">
        <f aca="false">IF($A212="","",TRIM(RIGHT(SUBSTITUTE(TRIM($A212)," ",REPT(" ",30)),30)))</f>
        <v>11/26/29</v>
      </c>
      <c r="Q212" s="98" t="n">
        <f aca="false">IF($A212="","",IFERROR(DATE(IF(LEN(P212)=8,2000+VALUE(RIGHT(P212,2)),VALUE(RIGHT(P212,4))),VALUE(LEFT(P212,2)),VALUE(MID(P212,4,2))),""))</f>
        <v>47448</v>
      </c>
      <c r="R212" s="89" t="n">
        <f aca="false">IF($A212="",0,IF(ISNUMBER(SEARCH("Float",$A212)),1,0))</f>
        <v>0</v>
      </c>
      <c r="S212" s="43" t="str">
        <f aca="false">IF($A212="","",TRIM(MID($A212,LEN(O212)+2,LEN($A212)-LEN(O212)-LEN(P212)-1)))</f>
        <v>1</v>
      </c>
      <c r="T212" s="92" t="n">
        <f aca="false">IF(OR($A212="",R212=1),"",IFERROR(IF(ISNUMBER(FIND("/",S212)),IF(ISNUMBER(FIND(" ",S212)),VALUE(LEFT(S212,FIND(" ",S212)-1))+VALUE(MID(S212,FIND(" ",S212)+1,FIND("/",S212)-FIND(" ",S212)-1))/VALUE(MID(S212,FIND("/",S212)+1,9)),VALUE(LEFT(S212,FIND("/",S212)-1))/VALUE(MID(S212,FIND("/",S212)+1,9))),VALUE(S212)),""))</f>
        <v>1</v>
      </c>
      <c r="U212" s="43" t="str">
        <f aca="false">IF(OR($A212="",NOT(ISNUMBER(Q212))),"",TEXT(Q212,"yyyymmdd")&amp;"|"&amp;IF(R212=1,"F",TEXT(T212,"0.000")))</f>
        <v>20291126|1.000</v>
      </c>
      <c r="V212" s="43" t="str">
        <f aca="false">IF(U212="","",O212&amp;"|"&amp;U212)</f>
        <v>JAPTOB|20291126|1.000</v>
      </c>
      <c r="W212" s="43" t="str">
        <f aca="false">IF($A212="","",IFERROR(IF(VLOOKUP(O212,매핑!$A$4:$E$92,3,0)="","미분류",VLOOKUP(O212,매핑!$A$4:$E$92,3,0)),"미분류"))</f>
        <v>일본</v>
      </c>
      <c r="X212" s="89" t="n">
        <f aca="false">IF($A212="",0,IF(O212="T",1,0))</f>
        <v>0</v>
      </c>
      <c r="Y212" s="89" t="n">
        <f aca="false">IF($A212="",0,IF(AND(C212="USD",X212=0,ISNUMBER(E212),ISNUMBER(K212)),IF(K212&gt;=설정!$C$8,1,0),0))</f>
        <v>0</v>
      </c>
      <c r="Z212" s="43" t="str">
        <f aca="false">IF($A212="","",N212&amp;"|"&amp;L212)</f>
        <v>아시아/기타|기본소비재</v>
      </c>
      <c r="AA212" s="92" t="n">
        <f aca="false">IF(Y212=1,LN(K212),0)</f>
        <v>0</v>
      </c>
      <c r="AB212" s="93" t="n">
        <f aca="false">IF(Y212=1,E212,0)</f>
        <v>0</v>
      </c>
      <c r="AC212" s="89" t="n">
        <f aca="false">IF(Y212=1,COUNTIFS($Z$2:$Z$601,Z212,$Y$2:$Y$601,1),0)</f>
        <v>0</v>
      </c>
      <c r="AD212" s="89" t="n">
        <f aca="false">IF(Y212=1,COUNTIFS($N$2:$N$601,N212,$Y$2:$Y$601,1),0)</f>
        <v>0</v>
      </c>
      <c r="AE212" s="43" t="str">
        <f aca="false">IF(Y212&lt;&gt;1,"",IF(AND(AC212&gt;=설정!$C$7,ISNUMBER(MATCH(Z212,피어커브!$A:$A,0))),Z212,IF(AND(AD212&gt;=설정!$C$7,ISNUMBER(MATCH(N212&amp;"|전체",피어커브!$A:$A,0))),N212&amp;"|전체","전체|전체")))</f>
        <v/>
      </c>
      <c r="AF212" s="93" t="str">
        <f aca="false">IF(AE212="","",INDEX(피어커브!$K:$K,MATCH(AE212,피어커브!$A:$A,0)))</f>
        <v/>
      </c>
      <c r="AG212" s="93" t="str">
        <f aca="false">IF(AE212="","",INDEX(피어커브!$J:$J,MATCH(AE212,피어커브!$A:$A,0)))</f>
        <v/>
      </c>
      <c r="AH212" s="93" t="str">
        <f aca="false">IF(AE212="","",INDEX(피어커브!$L:$L,MATCH(AE212,피어커브!$A:$A,0)))</f>
        <v/>
      </c>
      <c r="AI212" s="93" t="str">
        <f aca="false">IF(AE212="","",AF212+AG212*AA212)</f>
        <v/>
      </c>
      <c r="AJ212" s="96" t="str">
        <f aca="false">IF(AE212="","",E212-AI212)</f>
        <v/>
      </c>
      <c r="AK212" s="95" t="str">
        <f aca="false">IF(AE212="","",IF(ISNUMBER(AH212),IF(AH212&gt;0,AJ212/AH212,""),""))</f>
        <v/>
      </c>
      <c r="AL212" s="43" t="str">
        <f aca="false">IF(AK212="","-",IF(AK212&gt;=설정!$C$6,"Cheap",IF(AK212&lt;=-설정!$C$6,"Rich","Fair")))</f>
        <v>-</v>
      </c>
      <c r="AM212" s="96" t="str">
        <f aca="false">IF(AE212="","",AJ212-AVERAGEIFS($AJ$2:$AJ$601,$B$2:$B$601,B212,$Y$2:$Y$601,1))</f>
        <v/>
      </c>
      <c r="AN212" s="93" t="n">
        <f aca="false">IF(AE212="",0,IF(K212&gt;1+설정!$C$8,AG212*(AA212-LN(K212-1)),0))</f>
        <v>0</v>
      </c>
      <c r="AO212" s="99" t="n">
        <f aca="false">IF($A212="",0,SUMIFS(보유분석!$AA$2:$AA$801,보유분석!$AB$2:$AB$801,ROW(),보유분석!$AC$2:$AC$801,1))</f>
        <v>0</v>
      </c>
      <c r="AP212" s="43" t="str">
        <f aca="false">IF($A212="","",TRIM(IF(R212=1,"FRN ","")&amp;IF(IFERROR(VLOOKUP(M212,설정!$A$15:$D$47,4,0),0)&gt;=10,IF(IFERROR(VLOOKUP(M212,설정!$A$15:$D$47,4,0),0)&lt;99,"BBB0미만 ",""),"")&amp;IF(OR(M212="",M212="NR"),"등급미입력 ","")&amp;IF(C212&lt;&gt;"USD","비USD ","")))</f>
        <v>비USD</v>
      </c>
      <c r="AQ212" s="90" t="n">
        <f aca="false">IF(AND(Y212=1,AL212="Cheap"),IF(AND(ISERROR(SEARCH("FRN",AP212)),ISERROR(SEARCH("BBB0미만",AP212))),AK212+ROW()/1000000000,-999),-999)</f>
        <v>-999</v>
      </c>
      <c r="AR212" s="92" t="n">
        <f aca="false">IF(AND(ISNUMBER(D212),ISNUMBER(K212)),D212+AN212*MAX(K212-1,0)/100,"")</f>
        <v>3.956</v>
      </c>
      <c r="AS212" s="93" t="n">
        <f aca="false">IF(AND(ISNUMBER(E212),ISNUMBER(K212)),IF(K212&gt;0,(E212+AN212*MAX(K212-1,0))/K212,""),"")</f>
        <v>23.2955505034102</v>
      </c>
      <c r="AT212" s="90" t="n">
        <f aca="false">IFERROR(IF(AND(Y212=1,ROW()&lt;&gt;스왑분석!$C$12+1,ABS(K212-INDEX($K$2:$K$601,스왑분석!$C$12))&lt;=스왑분석!$C$5,ISERROR(SEARCH("FRN",AP212)),ISERROR(SEARCH("BBB0미만",AP212))),IF(AND(OR(스왑분석!$C$6="N",L212=INDEX($L$2:$L$601,스왑분석!$C$12)),OR(스왑분석!$C$7="N",N212=INDEX($N$2:$N$601,스왑분석!$C$12)),OR(스왑분석!$C$8="N",AO212=0),E212-INDEX($E$2:$E$601,스왑분석!$C$12)&gt;=스왑분석!$C$9),E212-INDEX($E$2:$E$601,스왑분석!$C$12)+ROW()/1000000000,-999),-999),-999)</f>
        <v>-999</v>
      </c>
      <c r="AU212" s="90" t="n">
        <f aca="false">IF(AND(Y212=1,AO212&gt;0,AL212="Rich"),-AK212+ROW()/1000000000,-999)</f>
        <v>-999</v>
      </c>
    </row>
    <row r="213" customFormat="false" ht="15" hidden="false" customHeight="false" outlineLevel="0" collapsed="false">
      <c r="A213" s="83" t="str">
        <f aca="false">IFERROR(IF(INDEX(원자료_시장!$A$1:$BZ$1000,설정!$L$6+ROW()-1,설정!$L$24)&amp;""="0","",INDEX(원자료_시장!$A$1:$BZ$1000,설정!$L$6+ROW()-1,설정!$L$24)),"")</f>
        <v>WFC 1.741 05/04/30</v>
      </c>
      <c r="B213" s="83" t="str">
        <f aca="false">IFERROR(IF(INDEX(원자료_시장!$A$1:$BZ$1000,설정!$L$6+ROW()-1,설정!$L$37)&amp;""="0","",INDEX(원자료_시장!$A$1:$BZ$1000,설정!$L$6+ROW()-1,설정!$L$37)),"")</f>
        <v>WELLS FARGO &amp; COMPANY</v>
      </c>
      <c r="C213" s="83" t="str">
        <f aca="false">IFERROR(IF(INDEX(원자료_시장!$A$1:$BZ$1000,설정!$L$6+ROW()-1,설정!$L$25)&amp;""="0","",INDEX(원자료_시장!$A$1:$BZ$1000,설정!$L$6+ROW()-1,설정!$L$25)),"")</f>
        <v>EUR</v>
      </c>
      <c r="D213" s="85" t="n">
        <f aca="false">IFERROR(IF(ISNUMBER(INDEX(원자료_시장!$A$1:$BZ$1000,설정!$L$6+ROW()-1,설정!$L$26)),INDEX(원자료_시장!$A$1:$BZ$1000,설정!$L$6+ROW()-1,설정!$L$26),""),"")</f>
        <v>4.201</v>
      </c>
      <c r="E213" s="97" t="n">
        <f aca="false">IFERROR(IF(ISNUMBER(INDEX(원자료_시장!$A$1:$BZ$1000,설정!$L$6+ROW()-1,설정!$L$27)),INDEX(원자료_시장!$A$1:$BZ$1000,설정!$L$6+ROW()-1,설정!$L$27),""),"")</f>
        <v>87.148</v>
      </c>
      <c r="F213" s="97" t="n">
        <f aca="false">IFERROR(IF(ISNUMBER(INDEX(원자료_시장!$A$1:$BZ$1000,설정!$L$6+ROW()-1,설정!$L$28)),INDEX(원자료_시장!$A$1:$BZ$1000,설정!$L$6+ROW()-1,설정!$L$28),""),"")</f>
        <v>51.302</v>
      </c>
      <c r="G213" s="97" t="str">
        <f aca="false">IFERROR(IF(ISNUMBER(INDEX(원자료_시장!$A$1:$BZ$1000,설정!$L$6+ROW()-1,설정!$L$29)),INDEX(원자료_시장!$A$1:$BZ$1000,설정!$L$6+ROW()-1,설정!$L$29),""),"")</f>
        <v/>
      </c>
      <c r="H213" s="97" t="str">
        <f aca="false">IFERROR(IF(ISNUMBER(INDEX(원자료_시장!$A$1:$BZ$1000,설정!$L$6+ROW()-1,설정!$L$30)),INDEX(원자료_시장!$A$1:$BZ$1000,설정!$L$6+ROW()-1,설정!$L$30),""),"")</f>
        <v/>
      </c>
      <c r="I213" s="97" t="str">
        <f aca="false">IFERROR(IF(ISNUMBER(INDEX(원자료_시장!$A$1:$BZ$1000,설정!$L$6+ROW()-1,설정!$L$31)),INDEX(원자료_시장!$A$1:$BZ$1000,설정!$L$6+ROW()-1,설정!$L$31),""),"")</f>
        <v/>
      </c>
      <c r="J213" s="97" t="str">
        <f aca="false">IFERROR(IF(ISNUMBER(INDEX(원자료_시장!$A$1:$BZ$1000,설정!$L$6+ROW()-1,설정!$L$32)),INDEX(원자료_시장!$A$1:$BZ$1000,설정!$L$6+ROW()-1,설정!$L$32),""),"")</f>
        <v/>
      </c>
      <c r="K213" s="85" t="n">
        <f aca="false">IFERROR(IF(ISNUMBER(INDEX(원자료_시장!$A$1:$BZ$1000,설정!$L$6+ROW()-1,설정!$L$33)),INDEX(원자료_시장!$A$1:$BZ$1000,설정!$L$6+ROW()-1,설정!$L$33),""),"")</f>
        <v>2.525</v>
      </c>
      <c r="L213" s="83" t="str">
        <f aca="false">IFERROR(IF(INDEX(원자료_시장!$A$1:$BZ$1000,설정!$L$6+ROW()-1,설정!$L$34)&amp;""="0","",INDEX(원자료_시장!$A$1:$BZ$1000,설정!$L$6+ROW()-1,설정!$L$34)),"")</f>
        <v>금융기관</v>
      </c>
      <c r="M213" s="83" t="str">
        <f aca="false">IFERROR(IF(INDEX(원자료_시장!$A$1:$BZ$1000,설정!$L$6+ROW()-1,설정!$L$35)&amp;""="0","",INDEX(원자료_시장!$A$1:$BZ$1000,설정!$L$6+ROW()-1,설정!$L$35)),"")</f>
        <v>A-</v>
      </c>
      <c r="N213" s="83" t="str">
        <f aca="false">IFERROR(IF(INDEX(원자료_시장!$A$1:$BZ$1000,설정!$L$6+ROW()-1,설정!$L$36)&amp;""="0","",INDEX(원자료_시장!$A$1:$BZ$1000,설정!$L$6+ROW()-1,설정!$L$36)),"")</f>
        <v>미국</v>
      </c>
      <c r="O213" s="43" t="str">
        <f aca="false">IF($A213="","",UPPER(LEFT($A213,FIND(" ",$A213&amp;" ")-1)))</f>
        <v>WFC</v>
      </c>
      <c r="P213" s="43" t="str">
        <f aca="false">IF($A213="","",TRIM(RIGHT(SUBSTITUTE(TRIM($A213)," ",REPT(" ",30)),30)))</f>
        <v>05/04/30</v>
      </c>
      <c r="Q213" s="98" t="n">
        <f aca="false">IF($A213="","",IFERROR(DATE(IF(LEN(P213)=8,2000+VALUE(RIGHT(P213,2)),VALUE(RIGHT(P213,4))),VALUE(LEFT(P213,2)),VALUE(MID(P213,4,2))),""))</f>
        <v>47607</v>
      </c>
      <c r="R213" s="89" t="n">
        <f aca="false">IF($A213="",0,IF(ISNUMBER(SEARCH("Float",$A213)),1,0))</f>
        <v>0</v>
      </c>
      <c r="S213" s="43" t="str">
        <f aca="false">IF($A213="","",TRIM(MID($A213,LEN(O213)+2,LEN($A213)-LEN(O213)-LEN(P213)-1)))</f>
        <v>1.741</v>
      </c>
      <c r="T213" s="92" t="n">
        <f aca="false">IF(OR($A213="",R213=1),"",IFERROR(IF(ISNUMBER(FIND("/",S213)),IF(ISNUMBER(FIND(" ",S213)),VALUE(LEFT(S213,FIND(" ",S213)-1))+VALUE(MID(S213,FIND(" ",S213)+1,FIND("/",S213)-FIND(" ",S213)-1))/VALUE(MID(S213,FIND("/",S213)+1,9)),VALUE(LEFT(S213,FIND("/",S213)-1))/VALUE(MID(S213,FIND("/",S213)+1,9))),VALUE(S213)),""))</f>
        <v>1.741</v>
      </c>
      <c r="U213" s="43" t="str">
        <f aca="false">IF(OR($A213="",NOT(ISNUMBER(Q213))),"",TEXT(Q213,"yyyymmdd")&amp;"|"&amp;IF(R213=1,"F",TEXT(T213,"0.000")))</f>
        <v>20300504|1.741</v>
      </c>
      <c r="V213" s="43" t="str">
        <f aca="false">IF(U213="","",O213&amp;"|"&amp;U213)</f>
        <v>WFC|20300504|1.741</v>
      </c>
      <c r="W213" s="43" t="str">
        <f aca="false">IF($A213="","",IFERROR(IF(VLOOKUP(O213,매핑!$A$4:$E$92,3,0)="","미분류",VLOOKUP(O213,매핑!$A$4:$E$92,3,0)),"미분류"))</f>
        <v>미국</v>
      </c>
      <c r="X213" s="89" t="n">
        <f aca="false">IF($A213="",0,IF(O213="T",1,0))</f>
        <v>0</v>
      </c>
      <c r="Y213" s="89" t="n">
        <f aca="false">IF($A213="",0,IF(AND(C213="USD",X213=0,ISNUMBER(E213),ISNUMBER(K213)),IF(K213&gt;=설정!$C$8,1,0),0))</f>
        <v>0</v>
      </c>
      <c r="Z213" s="43" t="str">
        <f aca="false">IF($A213="","",N213&amp;"|"&amp;L213)</f>
        <v>미국|금융기관</v>
      </c>
      <c r="AA213" s="92" t="n">
        <f aca="false">IF(Y213=1,LN(K213),0)</f>
        <v>0</v>
      </c>
      <c r="AB213" s="93" t="n">
        <f aca="false">IF(Y213=1,E213,0)</f>
        <v>0</v>
      </c>
      <c r="AC213" s="89" t="n">
        <f aca="false">IF(Y213=1,COUNTIFS($Z$2:$Z$601,Z213,$Y$2:$Y$601,1),0)</f>
        <v>0</v>
      </c>
      <c r="AD213" s="89" t="n">
        <f aca="false">IF(Y213=1,COUNTIFS($N$2:$N$601,N213,$Y$2:$Y$601,1),0)</f>
        <v>0</v>
      </c>
      <c r="AE213" s="43" t="str">
        <f aca="false">IF(Y213&lt;&gt;1,"",IF(AND(AC213&gt;=설정!$C$7,ISNUMBER(MATCH(Z213,피어커브!$A:$A,0))),Z213,IF(AND(AD213&gt;=설정!$C$7,ISNUMBER(MATCH(N213&amp;"|전체",피어커브!$A:$A,0))),N213&amp;"|전체","전체|전체")))</f>
        <v/>
      </c>
      <c r="AF213" s="93" t="str">
        <f aca="false">IF(AE213="","",INDEX(피어커브!$K:$K,MATCH(AE213,피어커브!$A:$A,0)))</f>
        <v/>
      </c>
      <c r="AG213" s="93" t="str">
        <f aca="false">IF(AE213="","",INDEX(피어커브!$J:$J,MATCH(AE213,피어커브!$A:$A,0)))</f>
        <v/>
      </c>
      <c r="AH213" s="93" t="str">
        <f aca="false">IF(AE213="","",INDEX(피어커브!$L:$L,MATCH(AE213,피어커브!$A:$A,0)))</f>
        <v/>
      </c>
      <c r="AI213" s="93" t="str">
        <f aca="false">IF(AE213="","",AF213+AG213*AA213)</f>
        <v/>
      </c>
      <c r="AJ213" s="96" t="str">
        <f aca="false">IF(AE213="","",E213-AI213)</f>
        <v/>
      </c>
      <c r="AK213" s="95" t="str">
        <f aca="false">IF(AE213="","",IF(ISNUMBER(AH213),IF(AH213&gt;0,AJ213/AH213,""),""))</f>
        <v/>
      </c>
      <c r="AL213" s="43" t="str">
        <f aca="false">IF(AK213="","-",IF(AK213&gt;=설정!$C$6,"Cheap",IF(AK213&lt;=-설정!$C$6,"Rich","Fair")))</f>
        <v>-</v>
      </c>
      <c r="AM213" s="96" t="str">
        <f aca="false">IF(AE213="","",AJ213-AVERAGEIFS($AJ$2:$AJ$601,$B$2:$B$601,B213,$Y$2:$Y$601,1))</f>
        <v/>
      </c>
      <c r="AN213" s="93" t="n">
        <f aca="false">IF(AE213="",0,IF(K213&gt;1+설정!$C$8,AG213*(AA213-LN(K213-1)),0))</f>
        <v>0</v>
      </c>
      <c r="AO213" s="99" t="n">
        <f aca="false">IF($A213="",0,SUMIFS(보유분석!$AA$2:$AA$801,보유분석!$AB$2:$AB$801,ROW(),보유분석!$AC$2:$AC$801,1))</f>
        <v>0</v>
      </c>
      <c r="AP213" s="43" t="str">
        <f aca="false">IF($A213="","",TRIM(IF(R213=1,"FRN ","")&amp;IF(IFERROR(VLOOKUP(M213,설정!$A$15:$D$47,4,0),0)&gt;=10,IF(IFERROR(VLOOKUP(M213,설정!$A$15:$D$47,4,0),0)&lt;99,"BBB0미만 ",""),"")&amp;IF(OR(M213="",M213="NR"),"등급미입력 ","")&amp;IF(C213&lt;&gt;"USD","비USD ","")))</f>
        <v>비USD</v>
      </c>
      <c r="AQ213" s="90" t="n">
        <f aca="false">IF(AND(Y213=1,AL213="Cheap"),IF(AND(ISERROR(SEARCH("FRN",AP213)),ISERROR(SEARCH("BBB0미만",AP213))),AK213+ROW()/1000000000,-999),-999)</f>
        <v>-999</v>
      </c>
      <c r="AR213" s="92" t="n">
        <f aca="false">IF(AND(ISNUMBER(D213),ISNUMBER(K213)),D213+AN213*MAX(K213-1,0)/100,"")</f>
        <v>4.201</v>
      </c>
      <c r="AS213" s="93" t="n">
        <f aca="false">IF(AND(ISNUMBER(E213),ISNUMBER(K213)),IF(K213&gt;0,(E213+AN213*MAX(K213-1,0))/K213,""),"")</f>
        <v>34.5140594059406</v>
      </c>
      <c r="AT213" s="90" t="n">
        <f aca="false">IFERROR(IF(AND(Y213=1,ROW()&lt;&gt;스왑분석!$C$12+1,ABS(K213-INDEX($K$2:$K$601,스왑분석!$C$12))&lt;=스왑분석!$C$5,ISERROR(SEARCH("FRN",AP213)),ISERROR(SEARCH("BBB0미만",AP213))),IF(AND(OR(스왑분석!$C$6="N",L213=INDEX($L$2:$L$601,스왑분석!$C$12)),OR(스왑분석!$C$7="N",N213=INDEX($N$2:$N$601,스왑분석!$C$12)),OR(스왑분석!$C$8="N",AO213=0),E213-INDEX($E$2:$E$601,스왑분석!$C$12)&gt;=스왑분석!$C$9),E213-INDEX($E$2:$E$601,스왑분석!$C$12)+ROW()/1000000000,-999),-999),-999)</f>
        <v>-999</v>
      </c>
      <c r="AU213" s="90" t="n">
        <f aca="false">IF(AND(Y213=1,AO213&gt;0,AL213="Rich"),-AK213+ROW()/1000000000,-999)</f>
        <v>-999</v>
      </c>
    </row>
    <row r="214" customFormat="false" ht="15" hidden="false" customHeight="false" outlineLevel="0" collapsed="false">
      <c r="A214" s="83" t="str">
        <f aca="false">IFERROR(IF(INDEX(원자료_시장!$A$1:$BZ$1000,설정!$L$6+ROW()-1,설정!$L$24)&amp;""="0","",INDEX(원자료_시장!$A$1:$BZ$1000,설정!$L$6+ROW()-1,설정!$L$24)),"")</f>
        <v>KOMIPW 1 1/4 08/09/26</v>
      </c>
      <c r="B214" s="83" t="str">
        <f aca="false">IFERROR(IF(INDEX(원자료_시장!$A$1:$BZ$1000,설정!$L$6+ROW()-1,설정!$L$37)&amp;""="0","",INDEX(원자료_시장!$A$1:$BZ$1000,설정!$L$6+ROW()-1,설정!$L$37)),"")</f>
        <v>KOREA MIDLAND POWER CO</v>
      </c>
      <c r="C214" s="83" t="str">
        <f aca="false">IFERROR(IF(INDEX(원자료_시장!$A$1:$BZ$1000,설정!$L$6+ROW()-1,설정!$L$25)&amp;""="0","",INDEX(원자료_시장!$A$1:$BZ$1000,설정!$L$6+ROW()-1,설정!$L$25)),"")</f>
        <v>USD</v>
      </c>
      <c r="D214" s="85" t="str">
        <f aca="false">IFERROR(IF(ISNUMBER(INDEX(원자료_시장!$A$1:$BZ$1000,설정!$L$6+ROW()-1,설정!$L$26)),INDEX(원자료_시장!$A$1:$BZ$1000,설정!$L$6+ROW()-1,설정!$L$26),""),"")</f>
        <v/>
      </c>
      <c r="E214" s="97" t="str">
        <f aca="false">IFERROR(IF(ISNUMBER(INDEX(원자료_시장!$A$1:$BZ$1000,설정!$L$6+ROW()-1,설정!$L$27)),INDEX(원자료_시장!$A$1:$BZ$1000,설정!$L$6+ROW()-1,설정!$L$27),""),"")</f>
        <v/>
      </c>
      <c r="F214" s="97" t="str">
        <f aca="false">IFERROR(IF(ISNUMBER(INDEX(원자료_시장!$A$1:$BZ$1000,설정!$L$6+ROW()-1,설정!$L$28)),INDEX(원자료_시장!$A$1:$BZ$1000,설정!$L$6+ROW()-1,설정!$L$28),""),"")</f>
        <v/>
      </c>
      <c r="G214" s="97" t="n">
        <f aca="false">IFERROR(IF(ISNUMBER(INDEX(원자료_시장!$A$1:$BZ$1000,설정!$L$6+ROW()-1,설정!$L$29)),INDEX(원자료_시장!$A$1:$BZ$1000,설정!$L$6+ROW()-1,설정!$L$29),""),"")</f>
        <v>-14.4</v>
      </c>
      <c r="H214" s="97" t="n">
        <f aca="false">IFERROR(IF(ISNUMBER(INDEX(원자료_시장!$A$1:$BZ$1000,설정!$L$6+ROW()-1,설정!$L$30)),INDEX(원자료_시장!$A$1:$BZ$1000,설정!$L$6+ROW()-1,설정!$L$30),""),"")</f>
        <v>-5.5</v>
      </c>
      <c r="I214" s="97" t="n">
        <f aca="false">IFERROR(IF(ISNUMBER(INDEX(원자료_시장!$A$1:$BZ$1000,설정!$L$6+ROW()-1,설정!$L$31)),INDEX(원자료_시장!$A$1:$BZ$1000,설정!$L$6+ROW()-1,설정!$L$31),""),"")</f>
        <v>-14.8</v>
      </c>
      <c r="J214" s="97" t="n">
        <f aca="false">IFERROR(IF(ISNUMBER(INDEX(원자료_시장!$A$1:$BZ$1000,설정!$L$6+ROW()-1,설정!$L$32)),INDEX(원자료_시장!$A$1:$BZ$1000,설정!$L$6+ROW()-1,설정!$L$32),""),"")</f>
        <v>-13.4</v>
      </c>
      <c r="K214" s="85" t="str">
        <f aca="false">IFERROR(IF(ISNUMBER(INDEX(원자료_시장!$A$1:$BZ$1000,설정!$L$6+ROW()-1,설정!$L$33)),INDEX(원자료_시장!$A$1:$BZ$1000,설정!$L$6+ROW()-1,설정!$L$33),""),"")</f>
        <v/>
      </c>
      <c r="L214" s="83" t="str">
        <f aca="false">IFERROR(IF(INDEX(원자료_시장!$A$1:$BZ$1000,설정!$L$6+ROW()-1,설정!$L$34)&amp;""="0","",INDEX(원자료_시장!$A$1:$BZ$1000,설정!$L$6+ROW()-1,설정!$L$34)),"")</f>
        <v>유틸리티</v>
      </c>
      <c r="M214" s="83" t="str">
        <f aca="false">IFERROR(IF(INDEX(원자료_시장!$A$1:$BZ$1000,설정!$L$6+ROW()-1,설정!$L$35)&amp;""="0","",INDEX(원자료_시장!$A$1:$BZ$1000,설정!$L$6+ROW()-1,설정!$L$35)),"")</f>
        <v>NR</v>
      </c>
      <c r="N214" s="83" t="str">
        <f aca="false">IFERROR(IF(INDEX(원자료_시장!$A$1:$BZ$1000,설정!$L$6+ROW()-1,설정!$L$36)&amp;""="0","",INDEX(원자료_시장!$A$1:$BZ$1000,설정!$L$6+ROW()-1,설정!$L$36)),"")</f>
        <v>아시아/기타</v>
      </c>
      <c r="O214" s="43" t="str">
        <f aca="false">IF($A214="","",UPPER(LEFT($A214,FIND(" ",$A214&amp;" ")-1)))</f>
        <v>KOMIPW</v>
      </c>
      <c r="P214" s="43" t="str">
        <f aca="false">IF($A214="","",TRIM(RIGHT(SUBSTITUTE(TRIM($A214)," ",REPT(" ",30)),30)))</f>
        <v>08/09/26</v>
      </c>
      <c r="Q214" s="98" t="n">
        <f aca="false">IF($A214="","",IFERROR(DATE(IF(LEN(P214)=8,2000+VALUE(RIGHT(P214,2)),VALUE(RIGHT(P214,4))),VALUE(LEFT(P214,2)),VALUE(MID(P214,4,2))),""))</f>
        <v>46243</v>
      </c>
      <c r="R214" s="89" t="n">
        <f aca="false">IF($A214="",0,IF(ISNUMBER(SEARCH("Float",$A214)),1,0))</f>
        <v>0</v>
      </c>
      <c r="S214" s="43" t="str">
        <f aca="false">IF($A214="","",TRIM(MID($A214,LEN(O214)+2,LEN($A214)-LEN(O214)-LEN(P214)-1)))</f>
        <v>1 1/4</v>
      </c>
      <c r="T214" s="92" t="n">
        <f aca="false">IF(OR($A214="",R214=1),"",IFERROR(IF(ISNUMBER(FIND("/",S214)),IF(ISNUMBER(FIND(" ",S214)),VALUE(LEFT(S214,FIND(" ",S214)-1))+VALUE(MID(S214,FIND(" ",S214)+1,FIND("/",S214)-FIND(" ",S214)-1))/VALUE(MID(S214,FIND("/",S214)+1,9)),VALUE(LEFT(S214,FIND("/",S214)-1))/VALUE(MID(S214,FIND("/",S214)+1,9))),VALUE(S214)),""))</f>
        <v>1.25</v>
      </c>
      <c r="U214" s="43" t="str">
        <f aca="false">IF(OR($A214="",NOT(ISNUMBER(Q214))),"",TEXT(Q214,"yyyymmdd")&amp;"|"&amp;IF(R214=1,"F",TEXT(T214,"0.000")))</f>
        <v>20260809|1.250</v>
      </c>
      <c r="V214" s="43" t="str">
        <f aca="false">IF(U214="","",O214&amp;"|"&amp;U214)</f>
        <v>KOMIPW|20260809|1.250</v>
      </c>
      <c r="W214" s="43" t="str">
        <f aca="false">IF($A214="","",IFERROR(IF(VLOOKUP(O214,매핑!$A$4:$E$92,3,0)="","미분류",VLOOKUP(O214,매핑!$A$4:$E$92,3,0)),"미분류"))</f>
        <v>한국</v>
      </c>
      <c r="X214" s="89" t="n">
        <f aca="false">IF($A214="",0,IF(O214="T",1,0))</f>
        <v>0</v>
      </c>
      <c r="Y214" s="89" t="n">
        <f aca="false">IF($A214="",0,IF(AND(C214="USD",X214=0,ISNUMBER(E214),ISNUMBER(K214)),IF(K214&gt;=설정!$C$8,1,0),0))</f>
        <v>0</v>
      </c>
      <c r="Z214" s="43" t="str">
        <f aca="false">IF($A214="","",N214&amp;"|"&amp;L214)</f>
        <v>아시아/기타|유틸리티</v>
      </c>
      <c r="AA214" s="92" t="n">
        <f aca="false">IF(Y214=1,LN(K214),0)</f>
        <v>0</v>
      </c>
      <c r="AB214" s="93" t="n">
        <f aca="false">IF(Y214=1,E214,0)</f>
        <v>0</v>
      </c>
      <c r="AC214" s="89" t="n">
        <f aca="false">IF(Y214=1,COUNTIFS($Z$2:$Z$601,Z214,$Y$2:$Y$601,1),0)</f>
        <v>0</v>
      </c>
      <c r="AD214" s="89" t="n">
        <f aca="false">IF(Y214=1,COUNTIFS($N$2:$N$601,N214,$Y$2:$Y$601,1),0)</f>
        <v>0</v>
      </c>
      <c r="AE214" s="43" t="str">
        <f aca="false">IF(Y214&lt;&gt;1,"",IF(AND(AC214&gt;=설정!$C$7,ISNUMBER(MATCH(Z214,피어커브!$A:$A,0))),Z214,IF(AND(AD214&gt;=설정!$C$7,ISNUMBER(MATCH(N214&amp;"|전체",피어커브!$A:$A,0))),N214&amp;"|전체","전체|전체")))</f>
        <v/>
      </c>
      <c r="AF214" s="93" t="str">
        <f aca="false">IF(AE214="","",INDEX(피어커브!$K:$K,MATCH(AE214,피어커브!$A:$A,0)))</f>
        <v/>
      </c>
      <c r="AG214" s="93" t="str">
        <f aca="false">IF(AE214="","",INDEX(피어커브!$J:$J,MATCH(AE214,피어커브!$A:$A,0)))</f>
        <v/>
      </c>
      <c r="AH214" s="93" t="str">
        <f aca="false">IF(AE214="","",INDEX(피어커브!$L:$L,MATCH(AE214,피어커브!$A:$A,0)))</f>
        <v/>
      </c>
      <c r="AI214" s="93" t="str">
        <f aca="false">IF(AE214="","",AF214+AG214*AA214)</f>
        <v/>
      </c>
      <c r="AJ214" s="96" t="str">
        <f aca="false">IF(AE214="","",E214-AI214)</f>
        <v/>
      </c>
      <c r="AK214" s="95" t="str">
        <f aca="false">IF(AE214="","",IF(ISNUMBER(AH214),IF(AH214&gt;0,AJ214/AH214,""),""))</f>
        <v/>
      </c>
      <c r="AL214" s="43" t="str">
        <f aca="false">IF(AK214="","-",IF(AK214&gt;=설정!$C$6,"Cheap",IF(AK214&lt;=-설정!$C$6,"Rich","Fair")))</f>
        <v>-</v>
      </c>
      <c r="AM214" s="96" t="str">
        <f aca="false">IF(AE214="","",AJ214-AVERAGEIFS($AJ$2:$AJ$601,$B$2:$B$601,B214,$Y$2:$Y$601,1))</f>
        <v/>
      </c>
      <c r="AN214" s="93" t="n">
        <f aca="false">IF(AE214="",0,IF(K214&gt;1+설정!$C$8,AG214*(AA214-LN(K214-1)),0))</f>
        <v>0</v>
      </c>
      <c r="AO214" s="99" t="n">
        <f aca="false">IF($A214="",0,SUMIFS(보유분석!$AA$2:$AA$801,보유분석!$AB$2:$AB$801,ROW(),보유분석!$AC$2:$AC$801,1))</f>
        <v>0</v>
      </c>
      <c r="AP214" s="43" t="str">
        <f aca="false">IF($A214="","",TRIM(IF(R214=1,"FRN ","")&amp;IF(IFERROR(VLOOKUP(M214,설정!$A$15:$D$47,4,0),0)&gt;=10,IF(IFERROR(VLOOKUP(M214,설정!$A$15:$D$47,4,0),0)&lt;99,"BBB0미만 ",""),"")&amp;IF(OR(M214="",M214="NR"),"등급미입력 ","")&amp;IF(C214&lt;&gt;"USD","비USD ","")))</f>
        <v>등급미입력</v>
      </c>
      <c r="AQ214" s="90" t="n">
        <f aca="false">IF(AND(Y214=1,AL214="Cheap"),IF(AND(ISERROR(SEARCH("FRN",AP214)),ISERROR(SEARCH("BBB0미만",AP214))),AK214+ROW()/1000000000,-999),-999)</f>
        <v>-999</v>
      </c>
      <c r="AR214" s="92" t="str">
        <f aca="false">IF(AND(ISNUMBER(D214),ISNUMBER(K214)),D214+AN214*MAX(K214-1,0)/100,"")</f>
        <v/>
      </c>
      <c r="AS214" s="93" t="str">
        <f aca="false">IF(AND(ISNUMBER(E214),ISNUMBER(K214)),IF(K214&gt;0,(E214+AN214*MAX(K214-1,0))/K214,""),"")</f>
        <v/>
      </c>
      <c r="AT214" s="90" t="n">
        <f aca="false">IFERROR(IF(AND(Y214=1,ROW()&lt;&gt;스왑분석!$C$12+1,ABS(K214-INDEX($K$2:$K$601,스왑분석!$C$12))&lt;=스왑분석!$C$5,ISERROR(SEARCH("FRN",AP214)),ISERROR(SEARCH("BBB0미만",AP214))),IF(AND(OR(스왑분석!$C$6="N",L214=INDEX($L$2:$L$601,스왑분석!$C$12)),OR(스왑분석!$C$7="N",N214=INDEX($N$2:$N$601,스왑분석!$C$12)),OR(스왑분석!$C$8="N",AO214=0),E214-INDEX($E$2:$E$601,스왑분석!$C$12)&gt;=스왑분석!$C$9),E214-INDEX($E$2:$E$601,스왑분석!$C$12)+ROW()/1000000000,-999),-999),-999)</f>
        <v>-999</v>
      </c>
      <c r="AU214" s="90" t="n">
        <f aca="false">IF(AND(Y214=1,AO214&gt;0,AL214="Rich"),-AK214+ROW()/1000000000,-999)</f>
        <v>-999</v>
      </c>
    </row>
    <row r="215" customFormat="false" ht="15" hidden="false" customHeight="false" outlineLevel="0" collapsed="false">
      <c r="A215" s="83" t="str">
        <f aca="false">IFERROR(IF(INDEX(원자료_시장!$A$1:$BZ$1000,설정!$L$6+ROW()-1,설정!$L$24)&amp;""="0","",INDEX(원자료_시장!$A$1:$BZ$1000,설정!$L$6+ROW()-1,설정!$L$24)),"")</f>
        <v>HYUSEC 2 1/8 11/01/26</v>
      </c>
      <c r="B215" s="83" t="str">
        <f aca="false">IFERROR(IF(INDEX(원자료_시장!$A$1:$BZ$1000,설정!$L$6+ROW()-1,설정!$L$37)&amp;""="0","",INDEX(원자료_시장!$A$1:$BZ$1000,설정!$L$6+ROW()-1,설정!$L$37)),"")</f>
        <v>KB SECURITIES CO LTD</v>
      </c>
      <c r="C215" s="83" t="str">
        <f aca="false">IFERROR(IF(INDEX(원자료_시장!$A$1:$BZ$1000,설정!$L$6+ROW()-1,설정!$L$25)&amp;""="0","",INDEX(원자료_시장!$A$1:$BZ$1000,설정!$L$6+ROW()-1,설정!$L$25)),"")</f>
        <v>USD</v>
      </c>
      <c r="D215" s="85" t="n">
        <f aca="false">IFERROR(IF(ISNUMBER(INDEX(원자료_시장!$A$1:$BZ$1000,설정!$L$6+ROW()-1,설정!$L$26)),INDEX(원자료_시장!$A$1:$BZ$1000,설정!$L$6+ROW()-1,설정!$L$26),""),"")</f>
        <v>4.708</v>
      </c>
      <c r="E215" s="97" t="n">
        <f aca="false">IFERROR(IF(ISNUMBER(INDEX(원자료_시장!$A$1:$BZ$1000,설정!$L$6+ROW()-1,설정!$L$27)),INDEX(원자료_시장!$A$1:$BZ$1000,설정!$L$6+ROW()-1,설정!$L$27),""),"")</f>
        <v>-18.113</v>
      </c>
      <c r="F215" s="97" t="n">
        <f aca="false">IFERROR(IF(ISNUMBER(INDEX(원자료_시장!$A$1:$BZ$1000,설정!$L$6+ROW()-1,설정!$L$28)),INDEX(원자료_시장!$A$1:$BZ$1000,설정!$L$6+ROW()-1,설정!$L$28),""),"")</f>
        <v>80.2</v>
      </c>
      <c r="G215" s="97" t="n">
        <f aca="false">IFERROR(IF(ISNUMBER(INDEX(원자료_시장!$A$1:$BZ$1000,설정!$L$6+ROW()-1,설정!$L$29)),INDEX(원자료_시장!$A$1:$BZ$1000,설정!$L$6+ROW()-1,설정!$L$29),""),"")</f>
        <v>0</v>
      </c>
      <c r="H215" s="97" t="n">
        <f aca="false">IFERROR(IF(ISNUMBER(INDEX(원자료_시장!$A$1:$BZ$1000,설정!$L$6+ROW()-1,설정!$L$30)),INDEX(원자료_시장!$A$1:$BZ$1000,설정!$L$6+ROW()-1,설정!$L$30),""),"")</f>
        <v>-6.6</v>
      </c>
      <c r="I215" s="97" t="n">
        <f aca="false">IFERROR(IF(ISNUMBER(INDEX(원자료_시장!$A$1:$BZ$1000,설정!$L$6+ROW()-1,설정!$L$31)),INDEX(원자료_시장!$A$1:$BZ$1000,설정!$L$6+ROW()-1,설정!$L$31),""),"")</f>
        <v>-22.4</v>
      </c>
      <c r="J215" s="97" t="n">
        <f aca="false">IFERROR(IF(ISNUMBER(INDEX(원자료_시장!$A$1:$BZ$1000,설정!$L$6+ROW()-1,설정!$L$32)),INDEX(원자료_시장!$A$1:$BZ$1000,설정!$L$6+ROW()-1,설정!$L$32),""),"")</f>
        <v>-53.9</v>
      </c>
      <c r="K215" s="85" t="n">
        <f aca="false">IFERROR(IF(ISNUMBER(INDEX(원자료_시장!$A$1:$BZ$1000,설정!$L$6+ROW()-1,설정!$L$33)),INDEX(원자료_시장!$A$1:$BZ$1000,설정!$L$6+ROW()-1,설정!$L$33),""),"")</f>
        <v>0.072</v>
      </c>
      <c r="L215" s="83" t="str">
        <f aca="false">IFERROR(IF(INDEX(원자료_시장!$A$1:$BZ$1000,설정!$L$6+ROW()-1,설정!$L$34)&amp;""="0","",INDEX(원자료_시장!$A$1:$BZ$1000,설정!$L$6+ROW()-1,설정!$L$34)),"")</f>
        <v>금융기관</v>
      </c>
      <c r="M215" s="83" t="str">
        <f aca="false">IFERROR(IF(INDEX(원자료_시장!$A$1:$BZ$1000,설정!$L$6+ROW()-1,설정!$L$35)&amp;""="0","",INDEX(원자료_시장!$A$1:$BZ$1000,설정!$L$6+ROW()-1,설정!$L$35)),"")</f>
        <v>A-</v>
      </c>
      <c r="N215" s="83" t="str">
        <f aca="false">IFERROR(IF(INDEX(원자료_시장!$A$1:$BZ$1000,설정!$L$6+ROW()-1,설정!$L$36)&amp;""="0","",INDEX(원자료_시장!$A$1:$BZ$1000,설정!$L$6+ROW()-1,설정!$L$36)),"")</f>
        <v>아시아/기타</v>
      </c>
      <c r="O215" s="43" t="str">
        <f aca="false">IF($A215="","",UPPER(LEFT($A215,FIND(" ",$A215&amp;" ")-1)))</f>
        <v>HYUSEC</v>
      </c>
      <c r="P215" s="43" t="str">
        <f aca="false">IF($A215="","",TRIM(RIGHT(SUBSTITUTE(TRIM($A215)," ",REPT(" ",30)),30)))</f>
        <v>11/01/26</v>
      </c>
      <c r="Q215" s="98" t="n">
        <f aca="false">IF($A215="","",IFERROR(DATE(IF(LEN(P215)=8,2000+VALUE(RIGHT(P215,2)),VALUE(RIGHT(P215,4))),VALUE(LEFT(P215,2)),VALUE(MID(P215,4,2))),""))</f>
        <v>46327</v>
      </c>
      <c r="R215" s="89" t="n">
        <f aca="false">IF($A215="",0,IF(ISNUMBER(SEARCH("Float",$A215)),1,0))</f>
        <v>0</v>
      </c>
      <c r="S215" s="43" t="str">
        <f aca="false">IF($A215="","",TRIM(MID($A215,LEN(O215)+2,LEN($A215)-LEN(O215)-LEN(P215)-1)))</f>
        <v>2 1/8</v>
      </c>
      <c r="T215" s="92" t="n">
        <f aca="false">IF(OR($A215="",R215=1),"",IFERROR(IF(ISNUMBER(FIND("/",S215)),IF(ISNUMBER(FIND(" ",S215)),VALUE(LEFT(S215,FIND(" ",S215)-1))+VALUE(MID(S215,FIND(" ",S215)+1,FIND("/",S215)-FIND(" ",S215)-1))/VALUE(MID(S215,FIND("/",S215)+1,9)),VALUE(LEFT(S215,FIND("/",S215)-1))/VALUE(MID(S215,FIND("/",S215)+1,9))),VALUE(S215)),""))</f>
        <v>2.125</v>
      </c>
      <c r="U215" s="43" t="str">
        <f aca="false">IF(OR($A215="",NOT(ISNUMBER(Q215))),"",TEXT(Q215,"yyyymmdd")&amp;"|"&amp;IF(R215=1,"F",TEXT(T215,"0.000")))</f>
        <v>20261101|2.125</v>
      </c>
      <c r="V215" s="43" t="str">
        <f aca="false">IF(U215="","",O215&amp;"|"&amp;U215)</f>
        <v>HYUSEC|20261101|2.125</v>
      </c>
      <c r="W215" s="43" t="str">
        <f aca="false">IF($A215="","",IFERROR(IF(VLOOKUP(O215,매핑!$A$4:$E$92,3,0)="","미분류",VLOOKUP(O215,매핑!$A$4:$E$92,3,0)),"미분류"))</f>
        <v>한국</v>
      </c>
      <c r="X215" s="89" t="n">
        <f aca="false">IF($A215="",0,IF(O215="T",1,0))</f>
        <v>0</v>
      </c>
      <c r="Y215" s="89" t="n">
        <f aca="false">IF($A215="",0,IF(AND(C215="USD",X215=0,ISNUMBER(E215),ISNUMBER(K215)),IF(K215&gt;=설정!$C$8,1,0),0))</f>
        <v>0</v>
      </c>
      <c r="Z215" s="43" t="str">
        <f aca="false">IF($A215="","",N215&amp;"|"&amp;L215)</f>
        <v>아시아/기타|금융기관</v>
      </c>
      <c r="AA215" s="92" t="n">
        <f aca="false">IF(Y215=1,LN(K215),0)</f>
        <v>0</v>
      </c>
      <c r="AB215" s="93" t="n">
        <f aca="false">IF(Y215=1,E215,0)</f>
        <v>0</v>
      </c>
      <c r="AC215" s="89" t="n">
        <f aca="false">IF(Y215=1,COUNTIFS($Z$2:$Z$601,Z215,$Y$2:$Y$601,1),0)</f>
        <v>0</v>
      </c>
      <c r="AD215" s="89" t="n">
        <f aca="false">IF(Y215=1,COUNTIFS($N$2:$N$601,N215,$Y$2:$Y$601,1),0)</f>
        <v>0</v>
      </c>
      <c r="AE215" s="43" t="str">
        <f aca="false">IF(Y215&lt;&gt;1,"",IF(AND(AC215&gt;=설정!$C$7,ISNUMBER(MATCH(Z215,피어커브!$A:$A,0))),Z215,IF(AND(AD215&gt;=설정!$C$7,ISNUMBER(MATCH(N215&amp;"|전체",피어커브!$A:$A,0))),N215&amp;"|전체","전체|전체")))</f>
        <v/>
      </c>
      <c r="AF215" s="93" t="str">
        <f aca="false">IF(AE215="","",INDEX(피어커브!$K:$K,MATCH(AE215,피어커브!$A:$A,0)))</f>
        <v/>
      </c>
      <c r="AG215" s="93" t="str">
        <f aca="false">IF(AE215="","",INDEX(피어커브!$J:$J,MATCH(AE215,피어커브!$A:$A,0)))</f>
        <v/>
      </c>
      <c r="AH215" s="93" t="str">
        <f aca="false">IF(AE215="","",INDEX(피어커브!$L:$L,MATCH(AE215,피어커브!$A:$A,0)))</f>
        <v/>
      </c>
      <c r="AI215" s="93" t="str">
        <f aca="false">IF(AE215="","",AF215+AG215*AA215)</f>
        <v/>
      </c>
      <c r="AJ215" s="96" t="str">
        <f aca="false">IF(AE215="","",E215-AI215)</f>
        <v/>
      </c>
      <c r="AK215" s="95" t="str">
        <f aca="false">IF(AE215="","",IF(ISNUMBER(AH215),IF(AH215&gt;0,AJ215/AH215,""),""))</f>
        <v/>
      </c>
      <c r="AL215" s="43" t="str">
        <f aca="false">IF(AK215="","-",IF(AK215&gt;=설정!$C$6,"Cheap",IF(AK215&lt;=-설정!$C$6,"Rich","Fair")))</f>
        <v>-</v>
      </c>
      <c r="AM215" s="96" t="str">
        <f aca="false">IF(AE215="","",AJ215-AVERAGEIFS($AJ$2:$AJ$601,$B$2:$B$601,B215,$Y$2:$Y$601,1))</f>
        <v/>
      </c>
      <c r="AN215" s="93" t="n">
        <f aca="false">IF(AE215="",0,IF(K215&gt;1+설정!$C$8,AG215*(AA215-LN(K215-1)),0))</f>
        <v>0</v>
      </c>
      <c r="AO215" s="99" t="n">
        <f aca="false">IF($A215="",0,SUMIFS(보유분석!$AA$2:$AA$801,보유분석!$AB$2:$AB$801,ROW(),보유분석!$AC$2:$AC$801,1))</f>
        <v>0</v>
      </c>
      <c r="AP215" s="43" t="str">
        <f aca="false">IF($A215="","",TRIM(IF(R215=1,"FRN ","")&amp;IF(IFERROR(VLOOKUP(M215,설정!$A$15:$D$47,4,0),0)&gt;=10,IF(IFERROR(VLOOKUP(M215,설정!$A$15:$D$47,4,0),0)&lt;99,"BBB0미만 ",""),"")&amp;IF(OR(M215="",M215="NR"),"등급미입력 ","")&amp;IF(C215&lt;&gt;"USD","비USD ","")))</f>
        <v/>
      </c>
      <c r="AQ215" s="90" t="n">
        <f aca="false">IF(AND(Y215=1,AL215="Cheap"),IF(AND(ISERROR(SEARCH("FRN",AP215)),ISERROR(SEARCH("BBB0미만",AP215))),AK215+ROW()/1000000000,-999),-999)</f>
        <v>-999</v>
      </c>
      <c r="AR215" s="92" t="n">
        <f aca="false">IF(AND(ISNUMBER(D215),ISNUMBER(K215)),D215+AN215*MAX(K215-1,0)/100,"")</f>
        <v>4.708</v>
      </c>
      <c r="AS215" s="93" t="n">
        <f aca="false">IF(AND(ISNUMBER(E215),ISNUMBER(K215)),IF(K215&gt;0,(E215+AN215*MAX(K215-1,0))/K215,""),"")</f>
        <v>-251.569444444444</v>
      </c>
      <c r="AT215" s="90" t="n">
        <f aca="false">IFERROR(IF(AND(Y215=1,ROW()&lt;&gt;스왑분석!$C$12+1,ABS(K215-INDEX($K$2:$K$601,스왑분석!$C$12))&lt;=스왑분석!$C$5,ISERROR(SEARCH("FRN",AP215)),ISERROR(SEARCH("BBB0미만",AP215))),IF(AND(OR(스왑분석!$C$6="N",L215=INDEX($L$2:$L$601,스왑분석!$C$12)),OR(스왑분석!$C$7="N",N215=INDEX($N$2:$N$601,스왑분석!$C$12)),OR(스왑분석!$C$8="N",AO215=0),E215-INDEX($E$2:$E$601,스왑분석!$C$12)&gt;=스왑분석!$C$9),E215-INDEX($E$2:$E$601,스왑분석!$C$12)+ROW()/1000000000,-999),-999),-999)</f>
        <v>-999</v>
      </c>
      <c r="AU215" s="90" t="n">
        <f aca="false">IF(AND(Y215=1,AO215&gt;0,AL215="Rich"),-AK215+ROW()/1000000000,-999)</f>
        <v>-999</v>
      </c>
    </row>
    <row r="216" customFormat="false" ht="15" hidden="false" customHeight="false" outlineLevel="0" collapsed="false">
      <c r="A216" s="83" t="str">
        <f aca="false">IFERROR(IF(INDEX(원자료_시장!$A$1:$BZ$1000,설정!$L$6+ROW()-1,설정!$L$24)&amp;""="0","",INDEX(원자료_시장!$A$1:$BZ$1000,설정!$L$6+ROW()-1,설정!$L$24)),"")</f>
        <v>ACAFP 6.22 07/20/26</v>
      </c>
      <c r="B216" s="83" t="str">
        <f aca="false">IFERROR(IF(INDEX(원자료_시장!$A$1:$BZ$1000,설정!$L$6+ROW()-1,설정!$L$37)&amp;""="0","",INDEX(원자료_시장!$A$1:$BZ$1000,설정!$L$6+ROW()-1,설정!$L$37)),"")</f>
        <v>CREDIT AGRICOLE CIB SA</v>
      </c>
      <c r="C216" s="83" t="str">
        <f aca="false">IFERROR(IF(INDEX(원자료_시장!$A$1:$BZ$1000,설정!$L$6+ROW()-1,설정!$L$25)&amp;""="0","",INDEX(원자료_시장!$A$1:$BZ$1000,설정!$L$6+ROW()-1,설정!$L$25)),"")</f>
        <v>USD</v>
      </c>
      <c r="D216" s="85" t="str">
        <f aca="false">IFERROR(IF(ISNUMBER(INDEX(원자료_시장!$A$1:$BZ$1000,설정!$L$6+ROW()-1,설정!$L$26)),INDEX(원자료_시장!$A$1:$BZ$1000,설정!$L$6+ROW()-1,설정!$L$26),""),"")</f>
        <v/>
      </c>
      <c r="E216" s="97" t="str">
        <f aca="false">IFERROR(IF(ISNUMBER(INDEX(원자료_시장!$A$1:$BZ$1000,설정!$L$6+ROW()-1,설정!$L$27)),INDEX(원자료_시장!$A$1:$BZ$1000,설정!$L$6+ROW()-1,설정!$L$27),""),"")</f>
        <v/>
      </c>
      <c r="F216" s="97" t="str">
        <f aca="false">IFERROR(IF(ISNUMBER(INDEX(원자료_시장!$A$1:$BZ$1000,설정!$L$6+ROW()-1,설정!$L$28)),INDEX(원자료_시장!$A$1:$BZ$1000,설정!$L$6+ROW()-1,설정!$L$28),""),"")</f>
        <v/>
      </c>
      <c r="G216" s="97" t="str">
        <f aca="false">IFERROR(IF(ISNUMBER(INDEX(원자료_시장!$A$1:$BZ$1000,설정!$L$6+ROW()-1,설정!$L$29)),INDEX(원자료_시장!$A$1:$BZ$1000,설정!$L$6+ROW()-1,설정!$L$29),""),"")</f>
        <v/>
      </c>
      <c r="H216" s="97" t="str">
        <f aca="false">IFERROR(IF(ISNUMBER(INDEX(원자료_시장!$A$1:$BZ$1000,설정!$L$6+ROW()-1,설정!$L$30)),INDEX(원자료_시장!$A$1:$BZ$1000,설정!$L$6+ROW()-1,설정!$L$30),""),"")</f>
        <v/>
      </c>
      <c r="I216" s="97" t="str">
        <f aca="false">IFERROR(IF(ISNUMBER(INDEX(원자료_시장!$A$1:$BZ$1000,설정!$L$6+ROW()-1,설정!$L$31)),INDEX(원자료_시장!$A$1:$BZ$1000,설정!$L$6+ROW()-1,설정!$L$31),""),"")</f>
        <v/>
      </c>
      <c r="J216" s="97" t="str">
        <f aca="false">IFERROR(IF(ISNUMBER(INDEX(원자료_시장!$A$1:$BZ$1000,설정!$L$6+ROW()-1,설정!$L$32)),INDEX(원자료_시장!$A$1:$BZ$1000,설정!$L$6+ROW()-1,설정!$L$32),""),"")</f>
        <v/>
      </c>
      <c r="K216" s="85" t="str">
        <f aca="false">IFERROR(IF(ISNUMBER(INDEX(원자료_시장!$A$1:$BZ$1000,설정!$L$6+ROW()-1,설정!$L$33)),INDEX(원자료_시장!$A$1:$BZ$1000,설정!$L$6+ROW()-1,설정!$L$33),""),"")</f>
        <v/>
      </c>
      <c r="L216" s="83" t="str">
        <f aca="false">IFERROR(IF(INDEX(원자료_시장!$A$1:$BZ$1000,설정!$L$6+ROW()-1,설정!$L$34)&amp;""="0","",INDEX(원자료_시장!$A$1:$BZ$1000,설정!$L$6+ROW()-1,설정!$L$34)),"")</f>
        <v>금융기관</v>
      </c>
      <c r="M216" s="83" t="n">
        <f aca="false">IFERROR(IF(INDEX(원자료_시장!$A$1:$BZ$1000,설정!$L$6+ROW()-1,설정!$L$35)&amp;""="0","",INDEX(원자료_시장!$A$1:$BZ$1000,설정!$L$6+ROW()-1,설정!$L$35)),"")</f>
        <v>0</v>
      </c>
      <c r="N216" s="83" t="str">
        <f aca="false">IFERROR(IF(INDEX(원자료_시장!$A$1:$BZ$1000,설정!$L$6+ROW()-1,설정!$L$36)&amp;""="0","",INDEX(원자료_시장!$A$1:$BZ$1000,설정!$L$6+ROW()-1,설정!$L$36)),"")</f>
        <v>유럽</v>
      </c>
      <c r="O216" s="43" t="str">
        <f aca="false">IF($A216="","",UPPER(LEFT($A216,FIND(" ",$A216&amp;" ")-1)))</f>
        <v>ACAFP</v>
      </c>
      <c r="P216" s="43" t="str">
        <f aca="false">IF($A216="","",TRIM(RIGHT(SUBSTITUTE(TRIM($A216)," ",REPT(" ",30)),30)))</f>
        <v>07/20/26</v>
      </c>
      <c r="Q216" s="98" t="n">
        <f aca="false">IF($A216="","",IFERROR(DATE(IF(LEN(P216)=8,2000+VALUE(RIGHT(P216,2)),VALUE(RIGHT(P216,4))),VALUE(LEFT(P216,2)),VALUE(MID(P216,4,2))),""))</f>
        <v>46223</v>
      </c>
      <c r="R216" s="89" t="n">
        <f aca="false">IF($A216="",0,IF(ISNUMBER(SEARCH("Float",$A216)),1,0))</f>
        <v>0</v>
      </c>
      <c r="S216" s="43" t="str">
        <f aca="false">IF($A216="","",TRIM(MID($A216,LEN(O216)+2,LEN($A216)-LEN(O216)-LEN(P216)-1)))</f>
        <v>6.22</v>
      </c>
      <c r="T216" s="92" t="n">
        <f aca="false">IF(OR($A216="",R216=1),"",IFERROR(IF(ISNUMBER(FIND("/",S216)),IF(ISNUMBER(FIND(" ",S216)),VALUE(LEFT(S216,FIND(" ",S216)-1))+VALUE(MID(S216,FIND(" ",S216)+1,FIND("/",S216)-FIND(" ",S216)-1))/VALUE(MID(S216,FIND("/",S216)+1,9)),VALUE(LEFT(S216,FIND("/",S216)-1))/VALUE(MID(S216,FIND("/",S216)+1,9))),VALUE(S216)),""))</f>
        <v>6.22</v>
      </c>
      <c r="U216" s="43" t="str">
        <f aca="false">IF(OR($A216="",NOT(ISNUMBER(Q216))),"",TEXT(Q216,"yyyymmdd")&amp;"|"&amp;IF(R216=1,"F",TEXT(T216,"0.000")))</f>
        <v>20260720|6.220</v>
      </c>
      <c r="V216" s="43" t="str">
        <f aca="false">IF(U216="","",O216&amp;"|"&amp;U216)</f>
        <v>ACAFP|20260720|6.220</v>
      </c>
      <c r="W216" s="43" t="str">
        <f aca="false">IF($A216="","",IFERROR(IF(VLOOKUP(O216,매핑!$A$4:$E$92,3,0)="","미분류",VLOOKUP(O216,매핑!$A$4:$E$92,3,0)),"미분류"))</f>
        <v>프랑스</v>
      </c>
      <c r="X216" s="89" t="n">
        <f aca="false">IF($A216="",0,IF(O216="T",1,0))</f>
        <v>0</v>
      </c>
      <c r="Y216" s="89" t="n">
        <f aca="false">IF($A216="",0,IF(AND(C216="USD",X216=0,ISNUMBER(E216),ISNUMBER(K216)),IF(K216&gt;=설정!$C$8,1,0),0))</f>
        <v>0</v>
      </c>
      <c r="Z216" s="43" t="str">
        <f aca="false">IF($A216="","",N216&amp;"|"&amp;L216)</f>
        <v>유럽|금융기관</v>
      </c>
      <c r="AA216" s="92" t="n">
        <f aca="false">IF(Y216=1,LN(K216),0)</f>
        <v>0</v>
      </c>
      <c r="AB216" s="93" t="n">
        <f aca="false">IF(Y216=1,E216,0)</f>
        <v>0</v>
      </c>
      <c r="AC216" s="89" t="n">
        <f aca="false">IF(Y216=1,COUNTIFS($Z$2:$Z$601,Z216,$Y$2:$Y$601,1),0)</f>
        <v>0</v>
      </c>
      <c r="AD216" s="89" t="n">
        <f aca="false">IF(Y216=1,COUNTIFS($N$2:$N$601,N216,$Y$2:$Y$601,1),0)</f>
        <v>0</v>
      </c>
      <c r="AE216" s="43" t="str">
        <f aca="false">IF(Y216&lt;&gt;1,"",IF(AND(AC216&gt;=설정!$C$7,ISNUMBER(MATCH(Z216,피어커브!$A:$A,0))),Z216,IF(AND(AD216&gt;=설정!$C$7,ISNUMBER(MATCH(N216&amp;"|전체",피어커브!$A:$A,0))),N216&amp;"|전체","전체|전체")))</f>
        <v/>
      </c>
      <c r="AF216" s="93" t="str">
        <f aca="false">IF(AE216="","",INDEX(피어커브!$K:$K,MATCH(AE216,피어커브!$A:$A,0)))</f>
        <v/>
      </c>
      <c r="AG216" s="93" t="str">
        <f aca="false">IF(AE216="","",INDEX(피어커브!$J:$J,MATCH(AE216,피어커브!$A:$A,0)))</f>
        <v/>
      </c>
      <c r="AH216" s="93" t="str">
        <f aca="false">IF(AE216="","",INDEX(피어커브!$L:$L,MATCH(AE216,피어커브!$A:$A,0)))</f>
        <v/>
      </c>
      <c r="AI216" s="93" t="str">
        <f aca="false">IF(AE216="","",AF216+AG216*AA216)</f>
        <v/>
      </c>
      <c r="AJ216" s="96" t="str">
        <f aca="false">IF(AE216="","",E216-AI216)</f>
        <v/>
      </c>
      <c r="AK216" s="95" t="str">
        <f aca="false">IF(AE216="","",IF(ISNUMBER(AH216),IF(AH216&gt;0,AJ216/AH216,""),""))</f>
        <v/>
      </c>
      <c r="AL216" s="43" t="str">
        <f aca="false">IF(AK216="","-",IF(AK216&gt;=설정!$C$6,"Cheap",IF(AK216&lt;=-설정!$C$6,"Rich","Fair")))</f>
        <v>-</v>
      </c>
      <c r="AM216" s="96" t="str">
        <f aca="false">IF(AE216="","",AJ216-AVERAGEIFS($AJ$2:$AJ$601,$B$2:$B$601,B216,$Y$2:$Y$601,1))</f>
        <v/>
      </c>
      <c r="AN216" s="93" t="n">
        <f aca="false">IF(AE216="",0,IF(K216&gt;1+설정!$C$8,AG216*(AA216-LN(K216-1)),0))</f>
        <v>0</v>
      </c>
      <c r="AO216" s="99" t="n">
        <f aca="false">IF($A216="",0,SUMIFS(보유분석!$AA$2:$AA$801,보유분석!$AB$2:$AB$801,ROW(),보유분석!$AC$2:$AC$801,1))</f>
        <v>0</v>
      </c>
      <c r="AP216" s="43" t="str">
        <f aca="false">IF($A216="","",TRIM(IF(R216=1,"FRN ","")&amp;IF(IFERROR(VLOOKUP(M216,설정!$A$15:$D$47,4,0),0)&gt;=10,IF(IFERROR(VLOOKUP(M216,설정!$A$15:$D$47,4,0),0)&lt;99,"BBB0미만 ",""),"")&amp;IF(OR(M216="",M216="NR"),"등급미입력 ","")&amp;IF(C216&lt;&gt;"USD","비USD ","")))</f>
        <v>등급미입력</v>
      </c>
      <c r="AQ216" s="90" t="n">
        <f aca="false">IF(AND(Y216=1,AL216="Cheap"),IF(AND(ISERROR(SEARCH("FRN",AP216)),ISERROR(SEARCH("BBB0미만",AP216))),AK216+ROW()/1000000000,-999),-999)</f>
        <v>-999</v>
      </c>
      <c r="AR216" s="92" t="str">
        <f aca="false">IF(AND(ISNUMBER(D216),ISNUMBER(K216)),D216+AN216*MAX(K216-1,0)/100,"")</f>
        <v/>
      </c>
      <c r="AS216" s="93" t="str">
        <f aca="false">IF(AND(ISNUMBER(E216),ISNUMBER(K216)),IF(K216&gt;0,(E216+AN216*MAX(K216-1,0))/K216,""),"")</f>
        <v/>
      </c>
      <c r="AT216" s="90" t="n">
        <f aca="false">IFERROR(IF(AND(Y216=1,ROW()&lt;&gt;스왑분석!$C$12+1,ABS(K216-INDEX($K$2:$K$601,스왑분석!$C$12))&lt;=스왑분석!$C$5,ISERROR(SEARCH("FRN",AP216)),ISERROR(SEARCH("BBB0미만",AP216))),IF(AND(OR(스왑분석!$C$6="N",L216=INDEX($L$2:$L$601,스왑분석!$C$12)),OR(스왑분석!$C$7="N",N216=INDEX($N$2:$N$601,스왑분석!$C$12)),OR(스왑분석!$C$8="N",AO216=0),E216-INDEX($E$2:$E$601,스왑분석!$C$12)&gt;=스왑분석!$C$9),E216-INDEX($E$2:$E$601,스왑분석!$C$12)+ROW()/1000000000,-999),-999),-999)</f>
        <v>-999</v>
      </c>
      <c r="AU216" s="90" t="n">
        <f aca="false">IF(AND(Y216=1,AO216&gt;0,AL216="Rich"),-AK216+ROW()/1000000000,-999)</f>
        <v>-999</v>
      </c>
    </row>
    <row r="217" customFormat="false" ht="15" hidden="false" customHeight="false" outlineLevel="0" collapsed="false">
      <c r="A217" s="83" t="str">
        <f aca="false">IFERROR(IF(INDEX(원자료_시장!$A$1:$BZ$1000,설정!$L$6+ROW()-1,설정!$L$24)&amp;""="0","",INDEX(원자료_시장!$A$1:$BZ$1000,설정!$L$6+ROW()-1,설정!$L$24)),"")</f>
        <v>KOMRMR 4 1/8 04/20/27</v>
      </c>
      <c r="B217" s="83" t="str">
        <f aca="false">IFERROR(IF(INDEX(원자료_시장!$A$1:$BZ$1000,설정!$L$6+ROW()-1,설정!$L$37)&amp;""="0","",INDEX(원자료_시장!$A$1:$BZ$1000,설정!$L$6+ROW()-1,설정!$L$37)),"")</f>
        <v>KOREAREHABNRESOURCE</v>
      </c>
      <c r="C217" s="83" t="str">
        <f aca="false">IFERROR(IF(INDEX(원자료_시장!$A$1:$BZ$1000,설정!$L$6+ROW()-1,설정!$L$25)&amp;""="0","",INDEX(원자료_시장!$A$1:$BZ$1000,설정!$L$6+ROW()-1,설정!$L$25)),"")</f>
        <v>USD</v>
      </c>
      <c r="D217" s="85" t="n">
        <f aca="false">IFERROR(IF(ISNUMBER(INDEX(원자료_시장!$A$1:$BZ$1000,설정!$L$6+ROW()-1,설정!$L$26)),INDEX(원자료_시장!$A$1:$BZ$1000,설정!$L$6+ROW()-1,설정!$L$26),""),"")</f>
        <v>4.66</v>
      </c>
      <c r="E217" s="97" t="n">
        <f aca="false">IFERROR(IF(ISNUMBER(INDEX(원자료_시장!$A$1:$BZ$1000,설정!$L$6+ROW()-1,설정!$L$27)),INDEX(원자료_시장!$A$1:$BZ$1000,설정!$L$6+ROW()-1,설정!$L$27),""),"")</f>
        <v>-22.867</v>
      </c>
      <c r="F217" s="97" t="n">
        <f aca="false">IFERROR(IF(ISNUMBER(INDEX(원자료_시장!$A$1:$BZ$1000,설정!$L$6+ROW()-1,설정!$L$28)),INDEX(원자료_시장!$A$1:$BZ$1000,설정!$L$6+ROW()-1,설정!$L$28),""),"")</f>
        <v>44.964</v>
      </c>
      <c r="G217" s="97" t="n">
        <f aca="false">IFERROR(IF(ISNUMBER(INDEX(원자료_시장!$A$1:$BZ$1000,설정!$L$6+ROW()-1,설정!$L$29)),INDEX(원자료_시장!$A$1:$BZ$1000,설정!$L$6+ROW()-1,설정!$L$29),""),"")</f>
        <v>-0.9</v>
      </c>
      <c r="H217" s="97" t="n">
        <f aca="false">IFERROR(IF(ISNUMBER(INDEX(원자료_시장!$A$1:$BZ$1000,설정!$L$6+ROW()-1,설정!$L$30)),INDEX(원자료_시장!$A$1:$BZ$1000,설정!$L$6+ROW()-1,설정!$L$30),""),"")</f>
        <v>0.8</v>
      </c>
      <c r="I217" s="97" t="n">
        <f aca="false">IFERROR(IF(ISNUMBER(INDEX(원자료_시장!$A$1:$BZ$1000,설정!$L$6+ROW()-1,설정!$L$31)),INDEX(원자료_시장!$A$1:$BZ$1000,설정!$L$6+ROW()-1,설정!$L$31),""),"")</f>
        <v>-28.3</v>
      </c>
      <c r="J217" s="97" t="n">
        <f aca="false">IFERROR(IF(ISNUMBER(INDEX(원자료_시장!$A$1:$BZ$1000,설정!$L$6+ROW()-1,설정!$L$32)),INDEX(원자료_시장!$A$1:$BZ$1000,설정!$L$6+ROW()-1,설정!$L$32),""),"")</f>
        <v>-47.5</v>
      </c>
      <c r="K217" s="85" t="n">
        <f aca="false">IFERROR(IF(ISNUMBER(INDEX(원자료_시장!$A$1:$BZ$1000,설정!$L$6+ROW()-1,설정!$L$33)),INDEX(원자료_시장!$A$1:$BZ$1000,설정!$L$6+ROW()-1,설정!$L$33),""),"")</f>
        <v>0.532</v>
      </c>
      <c r="L217" s="83" t="str">
        <f aca="false">IFERROR(IF(INDEX(원자료_시장!$A$1:$BZ$1000,설정!$L$6+ROW()-1,설정!$L$34)&amp;""="0","",INDEX(원자료_시장!$A$1:$BZ$1000,설정!$L$6+ROW()-1,설정!$L$34)),"")</f>
        <v>정부</v>
      </c>
      <c r="M217" s="83" t="str">
        <f aca="false">IFERROR(IF(INDEX(원자료_시장!$A$1:$BZ$1000,설정!$L$6+ROW()-1,설정!$L$35)&amp;""="0","",INDEX(원자료_시장!$A$1:$BZ$1000,설정!$L$6+ROW()-1,설정!$L$35)),"")</f>
        <v>A+</v>
      </c>
      <c r="N217" s="83" t="str">
        <f aca="false">IFERROR(IF(INDEX(원자료_시장!$A$1:$BZ$1000,설정!$L$6+ROW()-1,설정!$L$36)&amp;""="0","",INDEX(원자료_시장!$A$1:$BZ$1000,설정!$L$6+ROW()-1,설정!$L$36)),"")</f>
        <v>아시아/기타</v>
      </c>
      <c r="O217" s="43" t="str">
        <f aca="false">IF($A217="","",UPPER(LEFT($A217,FIND(" ",$A217&amp;" ")-1)))</f>
        <v>KOMRMR</v>
      </c>
      <c r="P217" s="43" t="str">
        <f aca="false">IF($A217="","",TRIM(RIGHT(SUBSTITUTE(TRIM($A217)," ",REPT(" ",30)),30)))</f>
        <v>04/20/27</v>
      </c>
      <c r="Q217" s="98" t="n">
        <f aca="false">IF($A217="","",IFERROR(DATE(IF(LEN(P217)=8,2000+VALUE(RIGHT(P217,2)),VALUE(RIGHT(P217,4))),VALUE(LEFT(P217,2)),VALUE(MID(P217,4,2))),""))</f>
        <v>46497</v>
      </c>
      <c r="R217" s="89" t="n">
        <f aca="false">IF($A217="",0,IF(ISNUMBER(SEARCH("Float",$A217)),1,0))</f>
        <v>0</v>
      </c>
      <c r="S217" s="43" t="str">
        <f aca="false">IF($A217="","",TRIM(MID($A217,LEN(O217)+2,LEN($A217)-LEN(O217)-LEN(P217)-1)))</f>
        <v>4 1/8</v>
      </c>
      <c r="T217" s="92" t="n">
        <f aca="false">IF(OR($A217="",R217=1),"",IFERROR(IF(ISNUMBER(FIND("/",S217)),IF(ISNUMBER(FIND(" ",S217)),VALUE(LEFT(S217,FIND(" ",S217)-1))+VALUE(MID(S217,FIND(" ",S217)+1,FIND("/",S217)-FIND(" ",S217)-1))/VALUE(MID(S217,FIND("/",S217)+1,9)),VALUE(LEFT(S217,FIND("/",S217)-1))/VALUE(MID(S217,FIND("/",S217)+1,9))),VALUE(S217)),""))</f>
        <v>4.125</v>
      </c>
      <c r="U217" s="43" t="str">
        <f aca="false">IF(OR($A217="",NOT(ISNUMBER(Q217))),"",TEXT(Q217,"yyyymmdd")&amp;"|"&amp;IF(R217=1,"F",TEXT(T217,"0.000")))</f>
        <v>20270420|4.125</v>
      </c>
      <c r="V217" s="43" t="str">
        <f aca="false">IF(U217="","",O217&amp;"|"&amp;U217)</f>
        <v>KOMRMR|20270420|4.125</v>
      </c>
      <c r="W217" s="43" t="str">
        <f aca="false">IF($A217="","",IFERROR(IF(VLOOKUP(O217,매핑!$A$4:$E$92,3,0)="","미분류",VLOOKUP(O217,매핑!$A$4:$E$92,3,0)),"미분류"))</f>
        <v>한국</v>
      </c>
      <c r="X217" s="89" t="n">
        <f aca="false">IF($A217="",0,IF(O217="T",1,0))</f>
        <v>0</v>
      </c>
      <c r="Y217" s="89" t="n">
        <f aca="false">IF($A217="",0,IF(AND(C217="USD",X217=0,ISNUMBER(E217),ISNUMBER(K217)),IF(K217&gt;=설정!$C$8,1,0),0))</f>
        <v>1</v>
      </c>
      <c r="Z217" s="43" t="str">
        <f aca="false">IF($A217="","",N217&amp;"|"&amp;L217)</f>
        <v>아시아/기타|정부</v>
      </c>
      <c r="AA217" s="92" t="n">
        <f aca="false">IF(Y217=1,LN(K217),0)</f>
        <v>-0.631111789640493</v>
      </c>
      <c r="AB217" s="93" t="n">
        <f aca="false">IF(Y217=1,E217,0)</f>
        <v>-22.867</v>
      </c>
      <c r="AC217" s="89" t="n">
        <f aca="false">IF(Y217=1,COUNTIFS($Z$2:$Z$601,Z217,$Y$2:$Y$601,1),0)</f>
        <v>51</v>
      </c>
      <c r="AD217" s="89" t="n">
        <f aca="false">IF(Y217=1,COUNTIFS($N$2:$N$601,N217,$Y$2:$Y$601,1),0)</f>
        <v>137</v>
      </c>
      <c r="AE217" s="43" t="str">
        <f aca="false">IF(Y217&lt;&gt;1,"",IF(AND(AC217&gt;=설정!$C$7,ISNUMBER(MATCH(Z217,피어커브!$A:$A,0))),Z217,IF(AND(AD217&gt;=설정!$C$7,ISNUMBER(MATCH(N217&amp;"|전체",피어커브!$A:$A,0))),N217&amp;"|전체","전체|전체")))</f>
        <v>아시아/기타|정부</v>
      </c>
      <c r="AF217" s="93" t="n">
        <f aca="false">IF(AE217="","",INDEX(피어커브!$K:$K,MATCH(AE217,피어커브!$A:$A,0)))</f>
        <v>-1.54860147302313</v>
      </c>
      <c r="AG217" s="93" t="n">
        <f aca="false">IF(AE217="","",INDEX(피어커브!$J:$J,MATCH(AE217,피어커브!$A:$A,0)))</f>
        <v>19.8674994409945</v>
      </c>
      <c r="AH217" s="93" t="n">
        <f aca="false">IF(AE217="","",INDEX(피어커브!$L:$L,MATCH(AE217,피어커브!$A:$A,0)))</f>
        <v>13.6930241146778</v>
      </c>
      <c r="AI217" s="93" t="n">
        <f aca="false">IF(AE217="","",AF217+AG217*AA217)</f>
        <v>-14.0872146009107</v>
      </c>
      <c r="AJ217" s="96" t="n">
        <f aca="false">IF(AE217="","",E217-AI217)</f>
        <v>-8.77978539908932</v>
      </c>
      <c r="AK217" s="95" t="n">
        <f aca="false">IF(AE217="","",IF(ISNUMBER(AH217),IF(AH217&gt;0,AJ217/AH217,""),""))</f>
        <v>-0.641186733154008</v>
      </c>
      <c r="AL217" s="43" t="str">
        <f aca="false">IF(AK217="","-",IF(AK217&gt;=설정!$C$6,"Cheap",IF(AK217&lt;=-설정!$C$6,"Rich","Fair")))</f>
        <v>Fair</v>
      </c>
      <c r="AM217" s="96" t="n">
        <f aca="false">IF(AE217="","",AJ217-AVERAGEIFS($AJ$2:$AJ$601,$B$2:$B$601,B217,$Y$2:$Y$601,1))</f>
        <v>-23.8462963205435</v>
      </c>
      <c r="AN217" s="93" t="n">
        <f aca="false">IF(AE217="",0,IF(K217&gt;1+설정!$C$8,AG217*(AA217-LN(K217-1)),0))</f>
        <v>0</v>
      </c>
      <c r="AO217" s="99" t="n">
        <f aca="false">IF($A217="",0,SUMIFS(보유분석!$AA$2:$AA$801,보유분석!$AB$2:$AB$801,ROW(),보유분석!$AC$2:$AC$801,1))</f>
        <v>0</v>
      </c>
      <c r="AP217" s="43" t="str">
        <f aca="false">IF($A217="","",TRIM(IF(R217=1,"FRN ","")&amp;IF(IFERROR(VLOOKUP(M217,설정!$A$15:$D$47,4,0),0)&gt;=10,IF(IFERROR(VLOOKUP(M217,설정!$A$15:$D$47,4,0),0)&lt;99,"BBB0미만 ",""),"")&amp;IF(OR(M217="",M217="NR"),"등급미입력 ","")&amp;IF(C217&lt;&gt;"USD","비USD ","")))</f>
        <v/>
      </c>
      <c r="AQ217" s="90" t="n">
        <f aca="false">IF(AND(Y217=1,AL217="Cheap"),IF(AND(ISERROR(SEARCH("FRN",AP217)),ISERROR(SEARCH("BBB0미만",AP217))),AK217+ROW()/1000000000,-999),-999)</f>
        <v>-999</v>
      </c>
      <c r="AR217" s="92" t="n">
        <f aca="false">IF(AND(ISNUMBER(D217),ISNUMBER(K217)),D217+AN217*MAX(K217-1,0)/100,"")</f>
        <v>4.66</v>
      </c>
      <c r="AS217" s="93" t="n">
        <f aca="false">IF(AND(ISNUMBER(E217),ISNUMBER(K217)),IF(K217&gt;0,(E217+AN217*MAX(K217-1,0))/K217,""),"")</f>
        <v>-42.9830827067669</v>
      </c>
      <c r="AT217" s="90" t="n">
        <f aca="false">IFERROR(IF(AND(Y217=1,ROW()&lt;&gt;스왑분석!$C$12+1,ABS(K217-INDEX($K$2:$K$601,스왑분석!$C$12))&lt;=스왑분석!$C$5,ISERROR(SEARCH("FRN",AP217)),ISERROR(SEARCH("BBB0미만",AP217))),IF(AND(OR(스왑분석!$C$6="N",L217=INDEX($L$2:$L$601,스왑분석!$C$12)),OR(스왑분석!$C$7="N",N217=INDEX($N$2:$N$601,스왑분석!$C$12)),OR(스왑분석!$C$8="N",AO217=0),E217-INDEX($E$2:$E$601,스왑분석!$C$12)&gt;=스왑분석!$C$9),E217-INDEX($E$2:$E$601,스왑분석!$C$12)+ROW()/1000000000,-999),-999),-999)</f>
        <v>-999</v>
      </c>
      <c r="AU217" s="90" t="n">
        <f aca="false">IF(AND(Y217=1,AO217&gt;0,AL217="Rich"),-AK217+ROW()/1000000000,-999)</f>
        <v>-999</v>
      </c>
    </row>
    <row r="218" customFormat="false" ht="15" hidden="false" customHeight="false" outlineLevel="0" collapsed="false">
      <c r="A218" s="83" t="str">
        <f aca="false">IFERROR(IF(INDEX(원자료_시장!$A$1:$BZ$1000,설정!$L$6+ROW()-1,설정!$L$24)&amp;""="0","",INDEX(원자료_시장!$A$1:$BZ$1000,설정!$L$6+ROW()-1,설정!$L$24)),"")</f>
        <v>ACAFP Float 04/23/27</v>
      </c>
      <c r="B218" s="83" t="str">
        <f aca="false">IFERROR(IF(INDEX(원자료_시장!$A$1:$BZ$1000,설정!$L$6+ROW()-1,설정!$L$37)&amp;""="0","",INDEX(원자료_시장!$A$1:$BZ$1000,설정!$L$6+ROW()-1,설정!$L$37)),"")</f>
        <v>CREDIT AGRICOLE CIB SA</v>
      </c>
      <c r="C218" s="83" t="str">
        <f aca="false">IFERROR(IF(INDEX(원자료_시장!$A$1:$BZ$1000,설정!$L$6+ROW()-1,설정!$L$25)&amp;""="0","",INDEX(원자료_시장!$A$1:$BZ$1000,설정!$L$6+ROW()-1,설정!$L$25)),"")</f>
        <v>USD</v>
      </c>
      <c r="D218" s="85" t="n">
        <f aca="false">IFERROR(IF(ISNUMBER(INDEX(원자료_시장!$A$1:$BZ$1000,설정!$L$6+ROW()-1,설정!$L$26)),INDEX(원자료_시장!$A$1:$BZ$1000,설정!$L$6+ROW()-1,설정!$L$26),""),"")</f>
        <v>4.513</v>
      </c>
      <c r="E218" s="97" t="str">
        <f aca="false">IFERROR(IF(ISNUMBER(INDEX(원자료_시장!$A$1:$BZ$1000,설정!$L$6+ROW()-1,설정!$L$27)),INDEX(원자료_시장!$A$1:$BZ$1000,설정!$L$6+ROW()-1,설정!$L$27),""),"")</f>
        <v/>
      </c>
      <c r="F218" s="97" t="str">
        <f aca="false">IFERROR(IF(ISNUMBER(INDEX(원자료_시장!$A$1:$BZ$1000,설정!$L$6+ROW()-1,설정!$L$28)),INDEX(원자료_시장!$A$1:$BZ$1000,설정!$L$6+ROW()-1,설정!$L$28),""),"")</f>
        <v/>
      </c>
      <c r="G218" s="97" t="n">
        <f aca="false">IFERROR(IF(ISNUMBER(INDEX(원자료_시장!$A$1:$BZ$1000,설정!$L$6+ROW()-1,설정!$L$29)),INDEX(원자료_시장!$A$1:$BZ$1000,설정!$L$6+ROW()-1,설정!$L$29),""),"")</f>
        <v>-10.1</v>
      </c>
      <c r="H218" s="97" t="n">
        <f aca="false">IFERROR(IF(ISNUMBER(INDEX(원자료_시장!$A$1:$BZ$1000,설정!$L$6+ROW()-1,설정!$L$30)),INDEX(원자료_시장!$A$1:$BZ$1000,설정!$L$6+ROW()-1,설정!$L$30),""),"")</f>
        <v>-3.9</v>
      </c>
      <c r="I218" s="97" t="n">
        <f aca="false">IFERROR(IF(ISNUMBER(INDEX(원자료_시장!$A$1:$BZ$1000,설정!$L$6+ROW()-1,설정!$L$31)),INDEX(원자료_시장!$A$1:$BZ$1000,설정!$L$6+ROW()-1,설정!$L$31),""),"")</f>
        <v>-9</v>
      </c>
      <c r="J218" s="97" t="n">
        <f aca="false">IFERROR(IF(ISNUMBER(INDEX(원자료_시장!$A$1:$BZ$1000,설정!$L$6+ROW()-1,설정!$L$32)),INDEX(원자료_시장!$A$1:$BZ$1000,설정!$L$6+ROW()-1,설정!$L$32),""),"")</f>
        <v>-31.1</v>
      </c>
      <c r="K218" s="85" t="n">
        <f aca="false">IFERROR(IF(ISNUMBER(INDEX(원자료_시장!$A$1:$BZ$1000,설정!$L$6+ROW()-1,설정!$L$33)),INDEX(원자료_시장!$A$1:$BZ$1000,설정!$L$6+ROW()-1,설정!$L$33),""),"")</f>
        <v>0.003</v>
      </c>
      <c r="L218" s="83" t="str">
        <f aca="false">IFERROR(IF(INDEX(원자료_시장!$A$1:$BZ$1000,설정!$L$6+ROW()-1,설정!$L$34)&amp;""="0","",INDEX(원자료_시장!$A$1:$BZ$1000,설정!$L$6+ROW()-1,설정!$L$34)),"")</f>
        <v>금융기관</v>
      </c>
      <c r="M218" s="83" t="n">
        <f aca="false">IFERROR(IF(INDEX(원자료_시장!$A$1:$BZ$1000,설정!$L$6+ROW()-1,설정!$L$35)&amp;""="0","",INDEX(원자료_시장!$A$1:$BZ$1000,설정!$L$6+ROW()-1,설정!$L$35)),"")</f>
        <v>0</v>
      </c>
      <c r="N218" s="83" t="str">
        <f aca="false">IFERROR(IF(INDEX(원자료_시장!$A$1:$BZ$1000,설정!$L$6+ROW()-1,설정!$L$36)&amp;""="0","",INDEX(원자료_시장!$A$1:$BZ$1000,설정!$L$6+ROW()-1,설정!$L$36)),"")</f>
        <v>유럽</v>
      </c>
      <c r="O218" s="43" t="str">
        <f aca="false">IF($A218="","",UPPER(LEFT($A218,FIND(" ",$A218&amp;" ")-1)))</f>
        <v>ACAFP</v>
      </c>
      <c r="P218" s="43" t="str">
        <f aca="false">IF($A218="","",TRIM(RIGHT(SUBSTITUTE(TRIM($A218)," ",REPT(" ",30)),30)))</f>
        <v>04/23/27</v>
      </c>
      <c r="Q218" s="98" t="n">
        <f aca="false">IF($A218="","",IFERROR(DATE(IF(LEN(P218)=8,2000+VALUE(RIGHT(P218,2)),VALUE(RIGHT(P218,4))),VALUE(LEFT(P218,2)),VALUE(MID(P218,4,2))),""))</f>
        <v>46500</v>
      </c>
      <c r="R218" s="89" t="n">
        <f aca="false">IF($A218="",0,IF(ISNUMBER(SEARCH("Float",$A218)),1,0))</f>
        <v>1</v>
      </c>
      <c r="S218" s="43" t="str">
        <f aca="false">IF($A218="","",TRIM(MID($A218,LEN(O218)+2,LEN($A218)-LEN(O218)-LEN(P218)-1)))</f>
        <v>Float</v>
      </c>
      <c r="T218" s="92" t="str">
        <f aca="false">IF(OR($A218="",R218=1),"",IFERROR(IF(ISNUMBER(FIND("/",S218)),IF(ISNUMBER(FIND(" ",S218)),VALUE(LEFT(S218,FIND(" ",S218)-1))+VALUE(MID(S218,FIND(" ",S218)+1,FIND("/",S218)-FIND(" ",S218)-1))/VALUE(MID(S218,FIND("/",S218)+1,9)),VALUE(LEFT(S218,FIND("/",S218)-1))/VALUE(MID(S218,FIND("/",S218)+1,9))),VALUE(S218)),""))</f>
        <v/>
      </c>
      <c r="U218" s="43" t="str">
        <f aca="false">IF(OR($A218="",NOT(ISNUMBER(Q218))),"",TEXT(Q218,"yyyymmdd")&amp;"|"&amp;IF(R218=1,"F",TEXT(T218,"0.000")))</f>
        <v>20270423|F</v>
      </c>
      <c r="V218" s="43" t="str">
        <f aca="false">IF(U218="","",O218&amp;"|"&amp;U218)</f>
        <v>ACAFP|20270423|F</v>
      </c>
      <c r="W218" s="43" t="str">
        <f aca="false">IF($A218="","",IFERROR(IF(VLOOKUP(O218,매핑!$A$4:$E$92,3,0)="","미분류",VLOOKUP(O218,매핑!$A$4:$E$92,3,0)),"미분류"))</f>
        <v>프랑스</v>
      </c>
      <c r="X218" s="89" t="n">
        <f aca="false">IF($A218="",0,IF(O218="T",1,0))</f>
        <v>0</v>
      </c>
      <c r="Y218" s="89" t="n">
        <f aca="false">IF($A218="",0,IF(AND(C218="USD",X218=0,ISNUMBER(E218),ISNUMBER(K218)),IF(K218&gt;=설정!$C$8,1,0),0))</f>
        <v>0</v>
      </c>
      <c r="Z218" s="43" t="str">
        <f aca="false">IF($A218="","",N218&amp;"|"&amp;L218)</f>
        <v>유럽|금융기관</v>
      </c>
      <c r="AA218" s="92" t="n">
        <f aca="false">IF(Y218=1,LN(K218),0)</f>
        <v>0</v>
      </c>
      <c r="AB218" s="93" t="n">
        <f aca="false">IF(Y218=1,E218,0)</f>
        <v>0</v>
      </c>
      <c r="AC218" s="89" t="n">
        <f aca="false">IF(Y218=1,COUNTIFS($Z$2:$Z$601,Z218,$Y$2:$Y$601,1),0)</f>
        <v>0</v>
      </c>
      <c r="AD218" s="89" t="n">
        <f aca="false">IF(Y218=1,COUNTIFS($N$2:$N$601,N218,$Y$2:$Y$601,1),0)</f>
        <v>0</v>
      </c>
      <c r="AE218" s="43" t="str">
        <f aca="false">IF(Y218&lt;&gt;1,"",IF(AND(AC218&gt;=설정!$C$7,ISNUMBER(MATCH(Z218,피어커브!$A:$A,0))),Z218,IF(AND(AD218&gt;=설정!$C$7,ISNUMBER(MATCH(N218&amp;"|전체",피어커브!$A:$A,0))),N218&amp;"|전체","전체|전체")))</f>
        <v/>
      </c>
      <c r="AF218" s="93" t="str">
        <f aca="false">IF(AE218="","",INDEX(피어커브!$K:$K,MATCH(AE218,피어커브!$A:$A,0)))</f>
        <v/>
      </c>
      <c r="AG218" s="93" t="str">
        <f aca="false">IF(AE218="","",INDEX(피어커브!$J:$J,MATCH(AE218,피어커브!$A:$A,0)))</f>
        <v/>
      </c>
      <c r="AH218" s="93" t="str">
        <f aca="false">IF(AE218="","",INDEX(피어커브!$L:$L,MATCH(AE218,피어커브!$A:$A,0)))</f>
        <v/>
      </c>
      <c r="AI218" s="93" t="str">
        <f aca="false">IF(AE218="","",AF218+AG218*AA218)</f>
        <v/>
      </c>
      <c r="AJ218" s="96" t="str">
        <f aca="false">IF(AE218="","",E218-AI218)</f>
        <v/>
      </c>
      <c r="AK218" s="95" t="str">
        <f aca="false">IF(AE218="","",IF(ISNUMBER(AH218),IF(AH218&gt;0,AJ218/AH218,""),""))</f>
        <v/>
      </c>
      <c r="AL218" s="43" t="str">
        <f aca="false">IF(AK218="","-",IF(AK218&gt;=설정!$C$6,"Cheap",IF(AK218&lt;=-설정!$C$6,"Rich","Fair")))</f>
        <v>-</v>
      </c>
      <c r="AM218" s="96" t="str">
        <f aca="false">IF(AE218="","",AJ218-AVERAGEIFS($AJ$2:$AJ$601,$B$2:$B$601,B218,$Y$2:$Y$601,1))</f>
        <v/>
      </c>
      <c r="AN218" s="93" t="n">
        <f aca="false">IF(AE218="",0,IF(K218&gt;1+설정!$C$8,AG218*(AA218-LN(K218-1)),0))</f>
        <v>0</v>
      </c>
      <c r="AO218" s="99" t="n">
        <f aca="false">IF($A218="",0,SUMIFS(보유분석!$AA$2:$AA$801,보유분석!$AB$2:$AB$801,ROW(),보유분석!$AC$2:$AC$801,1))</f>
        <v>10.05285</v>
      </c>
      <c r="AP218" s="43" t="str">
        <f aca="false">IF($A218="","",TRIM(IF(R218=1,"FRN ","")&amp;IF(IFERROR(VLOOKUP(M218,설정!$A$15:$D$47,4,0),0)&gt;=10,IF(IFERROR(VLOOKUP(M218,설정!$A$15:$D$47,4,0),0)&lt;99,"BBB0미만 ",""),"")&amp;IF(OR(M218="",M218="NR"),"등급미입력 ","")&amp;IF(C218&lt;&gt;"USD","비USD ","")))</f>
        <v>FRN 등급미입력</v>
      </c>
      <c r="AQ218" s="90" t="n">
        <f aca="false">IF(AND(Y218=1,AL218="Cheap"),IF(AND(ISERROR(SEARCH("FRN",AP218)),ISERROR(SEARCH("BBB0미만",AP218))),AK218+ROW()/1000000000,-999),-999)</f>
        <v>-999</v>
      </c>
      <c r="AR218" s="92" t="n">
        <f aca="false">IF(AND(ISNUMBER(D218),ISNUMBER(K218)),D218+AN218*MAX(K218-1,0)/100,"")</f>
        <v>4.513</v>
      </c>
      <c r="AS218" s="93" t="str">
        <f aca="false">IF(AND(ISNUMBER(E218),ISNUMBER(K218)),IF(K218&gt;0,(E218+AN218*MAX(K218-1,0))/K218,""),"")</f>
        <v/>
      </c>
      <c r="AT218" s="90" t="n">
        <f aca="false">IFERROR(IF(AND(Y218=1,ROW()&lt;&gt;스왑분석!$C$12+1,ABS(K218-INDEX($K$2:$K$601,스왑분석!$C$12))&lt;=스왑분석!$C$5,ISERROR(SEARCH("FRN",AP218)),ISERROR(SEARCH("BBB0미만",AP218))),IF(AND(OR(스왑분석!$C$6="N",L218=INDEX($L$2:$L$601,스왑분석!$C$12)),OR(스왑분석!$C$7="N",N218=INDEX($N$2:$N$601,스왑분석!$C$12)),OR(스왑분석!$C$8="N",AO218=0),E218-INDEX($E$2:$E$601,스왑분석!$C$12)&gt;=스왑분석!$C$9),E218-INDEX($E$2:$E$601,스왑분석!$C$12)+ROW()/1000000000,-999),-999),-999)</f>
        <v>-999</v>
      </c>
      <c r="AU218" s="90" t="n">
        <f aca="false">IF(AND(Y218=1,AO218&gt;0,AL218="Rich"),-AK218+ROW()/1000000000,-999)</f>
        <v>-999</v>
      </c>
    </row>
    <row r="219" customFormat="false" ht="15" hidden="false" customHeight="false" outlineLevel="0" collapsed="false">
      <c r="A219" s="83" t="str">
        <f aca="false">IFERROR(IF(INDEX(원자료_시장!$A$1:$BZ$1000,설정!$L$6+ROW()-1,설정!$L$24)&amp;""="0","",INDEX(원자료_시장!$A$1:$BZ$1000,설정!$L$6+ROW()-1,설정!$L$24)),"")</f>
        <v>TD 3.631 12/13/29</v>
      </c>
      <c r="B219" s="83" t="str">
        <f aca="false">IFERROR(IF(INDEX(원자료_시장!$A$1:$BZ$1000,설정!$L$6+ROW()-1,설정!$L$37)&amp;""="0","",INDEX(원자료_시장!$A$1:$BZ$1000,설정!$L$6+ROW()-1,설정!$L$37)),"")</f>
        <v>TORONTO-DOMINION BANK</v>
      </c>
      <c r="C219" s="83" t="str">
        <f aca="false">IFERROR(IF(INDEX(원자료_시장!$A$1:$BZ$1000,설정!$L$6+ROW()-1,설정!$L$25)&amp;""="0","",INDEX(원자료_시장!$A$1:$BZ$1000,설정!$L$6+ROW()-1,설정!$L$25)),"")</f>
        <v>EUR</v>
      </c>
      <c r="D219" s="85" t="n">
        <f aca="false">IFERROR(IF(ISNUMBER(INDEX(원자료_시장!$A$1:$BZ$1000,설정!$L$6+ROW()-1,설정!$L$26)),INDEX(원자료_시장!$A$1:$BZ$1000,설정!$L$6+ROW()-1,설정!$L$26),""),"")</f>
        <v>4.011</v>
      </c>
      <c r="E219" s="97" t="n">
        <f aca="false">IFERROR(IF(ISNUMBER(INDEX(원자료_시장!$A$1:$BZ$1000,설정!$L$6+ROW()-1,설정!$L$27)),INDEX(원자료_시장!$A$1:$BZ$1000,설정!$L$6+ROW()-1,설정!$L$27),""),"")</f>
        <v>73.863</v>
      </c>
      <c r="F219" s="97" t="n">
        <f aca="false">IFERROR(IF(ISNUMBER(INDEX(원자료_시장!$A$1:$BZ$1000,설정!$L$6+ROW()-1,설정!$L$28)),INDEX(원자료_시장!$A$1:$BZ$1000,설정!$L$6+ROW()-1,설정!$L$28),""),"")</f>
        <v>43.412</v>
      </c>
      <c r="G219" s="97" t="str">
        <f aca="false">IFERROR(IF(ISNUMBER(INDEX(원자료_시장!$A$1:$BZ$1000,설정!$L$6+ROW()-1,설정!$L$29)),INDEX(원자료_시장!$A$1:$BZ$1000,설정!$L$6+ROW()-1,설정!$L$29),""),"")</f>
        <v/>
      </c>
      <c r="H219" s="97" t="str">
        <f aca="false">IFERROR(IF(ISNUMBER(INDEX(원자료_시장!$A$1:$BZ$1000,설정!$L$6+ROW()-1,설정!$L$30)),INDEX(원자료_시장!$A$1:$BZ$1000,설정!$L$6+ROW()-1,설정!$L$30),""),"")</f>
        <v/>
      </c>
      <c r="I219" s="97" t="str">
        <f aca="false">IFERROR(IF(ISNUMBER(INDEX(원자료_시장!$A$1:$BZ$1000,설정!$L$6+ROW()-1,설정!$L$31)),INDEX(원자료_시장!$A$1:$BZ$1000,설정!$L$6+ROW()-1,설정!$L$31),""),"")</f>
        <v/>
      </c>
      <c r="J219" s="97" t="str">
        <f aca="false">IFERROR(IF(ISNUMBER(INDEX(원자료_시장!$A$1:$BZ$1000,설정!$L$6+ROW()-1,설정!$L$32)),INDEX(원자료_시장!$A$1:$BZ$1000,설정!$L$6+ROW()-1,설정!$L$32),""),"")</f>
        <v/>
      </c>
      <c r="K219" s="85" t="n">
        <f aca="false">IFERROR(IF(ISNUMBER(INDEX(원자료_시장!$A$1:$BZ$1000,설정!$L$6+ROW()-1,설정!$L$33)),INDEX(원자료_시장!$A$1:$BZ$1000,설정!$L$6+ROW()-1,설정!$L$33),""),"")</f>
        <v>2.982</v>
      </c>
      <c r="L219" s="83" t="str">
        <f aca="false">IFERROR(IF(INDEX(원자료_시장!$A$1:$BZ$1000,설정!$L$6+ROW()-1,설정!$L$34)&amp;""="0","",INDEX(원자료_시장!$A$1:$BZ$1000,설정!$L$6+ROW()-1,설정!$L$34)),"")</f>
        <v>금융기관</v>
      </c>
      <c r="M219" s="83" t="str">
        <f aca="false">IFERROR(IF(INDEX(원자료_시장!$A$1:$BZ$1000,설정!$L$6+ROW()-1,설정!$L$35)&amp;""="0","",INDEX(원자료_시장!$A$1:$BZ$1000,설정!$L$6+ROW()-1,설정!$L$35)),"")</f>
        <v>A-</v>
      </c>
      <c r="N219" s="83" t="str">
        <f aca="false">IFERROR(IF(INDEX(원자료_시장!$A$1:$BZ$1000,설정!$L$6+ROW()-1,설정!$L$36)&amp;""="0","",INDEX(원자료_시장!$A$1:$BZ$1000,설정!$L$6+ROW()-1,설정!$L$36)),"")</f>
        <v>기타</v>
      </c>
      <c r="O219" s="43" t="str">
        <f aca="false">IF($A219="","",UPPER(LEFT($A219,FIND(" ",$A219&amp;" ")-1)))</f>
        <v>TD</v>
      </c>
      <c r="P219" s="43" t="str">
        <f aca="false">IF($A219="","",TRIM(RIGHT(SUBSTITUTE(TRIM($A219)," ",REPT(" ",30)),30)))</f>
        <v>12/13/29</v>
      </c>
      <c r="Q219" s="98" t="n">
        <f aca="false">IF($A219="","",IFERROR(DATE(IF(LEN(P219)=8,2000+VALUE(RIGHT(P219,2)),VALUE(RIGHT(P219,4))),VALUE(LEFT(P219,2)),VALUE(MID(P219,4,2))),""))</f>
        <v>47465</v>
      </c>
      <c r="R219" s="89" t="n">
        <f aca="false">IF($A219="",0,IF(ISNUMBER(SEARCH("Float",$A219)),1,0))</f>
        <v>0</v>
      </c>
      <c r="S219" s="43" t="str">
        <f aca="false">IF($A219="","",TRIM(MID($A219,LEN(O219)+2,LEN($A219)-LEN(O219)-LEN(P219)-1)))</f>
        <v>3.631</v>
      </c>
      <c r="T219" s="92" t="n">
        <f aca="false">IF(OR($A219="",R219=1),"",IFERROR(IF(ISNUMBER(FIND("/",S219)),IF(ISNUMBER(FIND(" ",S219)),VALUE(LEFT(S219,FIND(" ",S219)-1))+VALUE(MID(S219,FIND(" ",S219)+1,FIND("/",S219)-FIND(" ",S219)-1))/VALUE(MID(S219,FIND("/",S219)+1,9)),VALUE(LEFT(S219,FIND("/",S219)-1))/VALUE(MID(S219,FIND("/",S219)+1,9))),VALUE(S219)),""))</f>
        <v>3.631</v>
      </c>
      <c r="U219" s="43" t="str">
        <f aca="false">IF(OR($A219="",NOT(ISNUMBER(Q219))),"",TEXT(Q219,"yyyymmdd")&amp;"|"&amp;IF(R219=1,"F",TEXT(T219,"0.000")))</f>
        <v>20291213|3.631</v>
      </c>
      <c r="V219" s="43" t="str">
        <f aca="false">IF(U219="","",O219&amp;"|"&amp;U219)</f>
        <v>TD|20291213|3.631</v>
      </c>
      <c r="W219" s="43" t="str">
        <f aca="false">IF($A219="","",IFERROR(IF(VLOOKUP(O219,매핑!$A$4:$E$92,3,0)="","미분류",VLOOKUP(O219,매핑!$A$4:$E$92,3,0)),"미분류"))</f>
        <v>캐나다</v>
      </c>
      <c r="X219" s="89" t="n">
        <f aca="false">IF($A219="",0,IF(O219="T",1,0))</f>
        <v>0</v>
      </c>
      <c r="Y219" s="89" t="n">
        <f aca="false">IF($A219="",0,IF(AND(C219="USD",X219=0,ISNUMBER(E219),ISNUMBER(K219)),IF(K219&gt;=설정!$C$8,1,0),0))</f>
        <v>0</v>
      </c>
      <c r="Z219" s="43" t="str">
        <f aca="false">IF($A219="","",N219&amp;"|"&amp;L219)</f>
        <v>기타|금융기관</v>
      </c>
      <c r="AA219" s="92" t="n">
        <f aca="false">IF(Y219=1,LN(K219),0)</f>
        <v>0</v>
      </c>
      <c r="AB219" s="93" t="n">
        <f aca="false">IF(Y219=1,E219,0)</f>
        <v>0</v>
      </c>
      <c r="AC219" s="89" t="n">
        <f aca="false">IF(Y219=1,COUNTIFS($Z$2:$Z$601,Z219,$Y$2:$Y$601,1),0)</f>
        <v>0</v>
      </c>
      <c r="AD219" s="89" t="n">
        <f aca="false">IF(Y219=1,COUNTIFS($N$2:$N$601,N219,$Y$2:$Y$601,1),0)</f>
        <v>0</v>
      </c>
      <c r="AE219" s="43" t="str">
        <f aca="false">IF(Y219&lt;&gt;1,"",IF(AND(AC219&gt;=설정!$C$7,ISNUMBER(MATCH(Z219,피어커브!$A:$A,0))),Z219,IF(AND(AD219&gt;=설정!$C$7,ISNUMBER(MATCH(N219&amp;"|전체",피어커브!$A:$A,0))),N219&amp;"|전체","전체|전체")))</f>
        <v/>
      </c>
      <c r="AF219" s="93" t="str">
        <f aca="false">IF(AE219="","",INDEX(피어커브!$K:$K,MATCH(AE219,피어커브!$A:$A,0)))</f>
        <v/>
      </c>
      <c r="AG219" s="93" t="str">
        <f aca="false">IF(AE219="","",INDEX(피어커브!$J:$J,MATCH(AE219,피어커브!$A:$A,0)))</f>
        <v/>
      </c>
      <c r="AH219" s="93" t="str">
        <f aca="false">IF(AE219="","",INDEX(피어커브!$L:$L,MATCH(AE219,피어커브!$A:$A,0)))</f>
        <v/>
      </c>
      <c r="AI219" s="93" t="str">
        <f aca="false">IF(AE219="","",AF219+AG219*AA219)</f>
        <v/>
      </c>
      <c r="AJ219" s="96" t="str">
        <f aca="false">IF(AE219="","",E219-AI219)</f>
        <v/>
      </c>
      <c r="AK219" s="95" t="str">
        <f aca="false">IF(AE219="","",IF(ISNUMBER(AH219),IF(AH219&gt;0,AJ219/AH219,""),""))</f>
        <v/>
      </c>
      <c r="AL219" s="43" t="str">
        <f aca="false">IF(AK219="","-",IF(AK219&gt;=설정!$C$6,"Cheap",IF(AK219&lt;=-설정!$C$6,"Rich","Fair")))</f>
        <v>-</v>
      </c>
      <c r="AM219" s="96" t="str">
        <f aca="false">IF(AE219="","",AJ219-AVERAGEIFS($AJ$2:$AJ$601,$B$2:$B$601,B219,$Y$2:$Y$601,1))</f>
        <v/>
      </c>
      <c r="AN219" s="93" t="n">
        <f aca="false">IF(AE219="",0,IF(K219&gt;1+설정!$C$8,AG219*(AA219-LN(K219-1)),0))</f>
        <v>0</v>
      </c>
      <c r="AO219" s="99" t="n">
        <f aca="false">IF($A219="",0,SUMIFS(보유분석!$AA$2:$AA$801,보유분석!$AB$2:$AB$801,ROW(),보유분석!$AC$2:$AC$801,1))</f>
        <v>0</v>
      </c>
      <c r="AP219" s="43" t="str">
        <f aca="false">IF($A219="","",TRIM(IF(R219=1,"FRN ","")&amp;IF(IFERROR(VLOOKUP(M219,설정!$A$15:$D$47,4,0),0)&gt;=10,IF(IFERROR(VLOOKUP(M219,설정!$A$15:$D$47,4,0),0)&lt;99,"BBB0미만 ",""),"")&amp;IF(OR(M219="",M219="NR"),"등급미입력 ","")&amp;IF(C219&lt;&gt;"USD","비USD ","")))</f>
        <v>비USD</v>
      </c>
      <c r="AQ219" s="90" t="n">
        <f aca="false">IF(AND(Y219=1,AL219="Cheap"),IF(AND(ISERROR(SEARCH("FRN",AP219)),ISERROR(SEARCH("BBB0미만",AP219))),AK219+ROW()/1000000000,-999),-999)</f>
        <v>-999</v>
      </c>
      <c r="AR219" s="92" t="n">
        <f aca="false">IF(AND(ISNUMBER(D219),ISNUMBER(K219)),D219+AN219*MAX(K219-1,0)/100,"")</f>
        <v>4.011</v>
      </c>
      <c r="AS219" s="93" t="n">
        <f aca="false">IF(AND(ISNUMBER(E219),ISNUMBER(K219)),IF(K219&gt;0,(E219+AN219*MAX(K219-1,0))/K219,""),"")</f>
        <v>24.7696177062374</v>
      </c>
      <c r="AT219" s="90" t="n">
        <f aca="false">IFERROR(IF(AND(Y219=1,ROW()&lt;&gt;스왑분석!$C$12+1,ABS(K219-INDEX($K$2:$K$601,스왑분석!$C$12))&lt;=스왑분석!$C$5,ISERROR(SEARCH("FRN",AP219)),ISERROR(SEARCH("BBB0미만",AP219))),IF(AND(OR(스왑분석!$C$6="N",L219=INDEX($L$2:$L$601,스왑분석!$C$12)),OR(스왑분석!$C$7="N",N219=INDEX($N$2:$N$601,스왑분석!$C$12)),OR(스왑분석!$C$8="N",AO219=0),E219-INDEX($E$2:$E$601,스왑분석!$C$12)&gt;=스왑분석!$C$9),E219-INDEX($E$2:$E$601,스왑분석!$C$12)+ROW()/1000000000,-999),-999),-999)</f>
        <v>-999</v>
      </c>
      <c r="AU219" s="90" t="n">
        <f aca="false">IF(AND(Y219=1,AO219&gt;0,AL219="Rich"),-AK219+ROW()/1000000000,-999)</f>
        <v>-999</v>
      </c>
    </row>
    <row r="220" customFormat="false" ht="15" hidden="false" customHeight="false" outlineLevel="0" collapsed="false">
      <c r="A220" s="83" t="str">
        <f aca="false">IFERROR(IF(INDEX(원자료_시장!$A$1:$BZ$1000,설정!$L$6+ROW()-1,설정!$L$24)&amp;""="0","",INDEX(원자료_시장!$A$1:$BZ$1000,설정!$L$6+ROW()-1,설정!$L$24)),"")</f>
        <v>KOMRMR 5 3/8 05/11/28</v>
      </c>
      <c r="B220" s="83" t="str">
        <f aca="false">IFERROR(IF(INDEX(원자료_시장!$A$1:$BZ$1000,설정!$L$6+ROW()-1,설정!$L$37)&amp;""="0","",INDEX(원자료_시장!$A$1:$BZ$1000,설정!$L$6+ROW()-1,설정!$L$37)),"")</f>
        <v>KOREAREHABNRESOURCE</v>
      </c>
      <c r="C220" s="83" t="str">
        <f aca="false">IFERROR(IF(INDEX(원자료_시장!$A$1:$BZ$1000,설정!$L$6+ROW()-1,설정!$L$25)&amp;""="0","",INDEX(원자료_시장!$A$1:$BZ$1000,설정!$L$6+ROW()-1,설정!$L$25)),"")</f>
        <v>USD</v>
      </c>
      <c r="D220" s="85" t="n">
        <f aca="false">IFERROR(IF(ISNUMBER(INDEX(원자료_시장!$A$1:$BZ$1000,설정!$L$6+ROW()-1,설정!$L$26)),INDEX(원자료_시장!$A$1:$BZ$1000,설정!$L$6+ROW()-1,설정!$L$26),""),"")</f>
        <v>5.277</v>
      </c>
      <c r="E220" s="97" t="n">
        <f aca="false">IFERROR(IF(ISNUMBER(INDEX(원자료_시장!$A$1:$BZ$1000,설정!$L$6+ROW()-1,설정!$L$27)),INDEX(원자료_시장!$A$1:$BZ$1000,설정!$L$6+ROW()-1,설정!$L$27),""),"")</f>
        <v>38.777</v>
      </c>
      <c r="F220" s="97" t="n">
        <f aca="false">IFERROR(IF(ISNUMBER(INDEX(원자료_시장!$A$1:$BZ$1000,설정!$L$6+ROW()-1,설정!$L$28)),INDEX(원자료_시장!$A$1:$BZ$1000,설정!$L$6+ROW()-1,설정!$L$28),""),"")</f>
        <v>64.624</v>
      </c>
      <c r="G220" s="97" t="n">
        <f aca="false">IFERROR(IF(ISNUMBER(INDEX(원자료_시장!$A$1:$BZ$1000,설정!$L$6+ROW()-1,설정!$L$29)),INDEX(원자료_시장!$A$1:$BZ$1000,설정!$L$6+ROW()-1,설정!$L$29),""),"")</f>
        <v>0.3</v>
      </c>
      <c r="H220" s="97" t="n">
        <f aca="false">IFERROR(IF(ISNUMBER(INDEX(원자료_시장!$A$1:$BZ$1000,설정!$L$6+ROW()-1,설정!$L$30)),INDEX(원자료_시장!$A$1:$BZ$1000,설정!$L$6+ROW()-1,설정!$L$30),""),"")</f>
        <v>4.9</v>
      </c>
      <c r="I220" s="97" t="n">
        <f aca="false">IFERROR(IF(ISNUMBER(INDEX(원자료_시장!$A$1:$BZ$1000,설정!$L$6+ROW()-1,설정!$L$31)),INDEX(원자료_시장!$A$1:$BZ$1000,설정!$L$6+ROW()-1,설정!$L$31),""),"")</f>
        <v>1.1</v>
      </c>
      <c r="J220" s="97" t="n">
        <f aca="false">IFERROR(IF(ISNUMBER(INDEX(원자료_시장!$A$1:$BZ$1000,설정!$L$6+ROW()-1,설정!$L$32)),INDEX(원자료_시장!$A$1:$BZ$1000,설정!$L$6+ROW()-1,설정!$L$32),""),"")</f>
        <v>-4.3</v>
      </c>
      <c r="K220" s="85" t="n">
        <f aca="false">IFERROR(IF(ISNUMBER(INDEX(원자료_시장!$A$1:$BZ$1000,설정!$L$6+ROW()-1,설정!$L$33)),INDEX(원자료_시장!$A$1:$BZ$1000,설정!$L$6+ROW()-1,설정!$L$33),""),"")</f>
        <v>1.523</v>
      </c>
      <c r="L220" s="83" t="str">
        <f aca="false">IFERROR(IF(INDEX(원자료_시장!$A$1:$BZ$1000,설정!$L$6+ROW()-1,설정!$L$34)&amp;""="0","",INDEX(원자료_시장!$A$1:$BZ$1000,설정!$L$6+ROW()-1,설정!$L$34)),"")</f>
        <v>정부</v>
      </c>
      <c r="M220" s="83" t="n">
        <f aca="false">IFERROR(IF(INDEX(원자료_시장!$A$1:$BZ$1000,설정!$L$6+ROW()-1,설정!$L$35)&amp;""="0","",INDEX(원자료_시장!$A$1:$BZ$1000,설정!$L$6+ROW()-1,설정!$L$35)),"")</f>
        <v>0</v>
      </c>
      <c r="N220" s="83" t="str">
        <f aca="false">IFERROR(IF(INDEX(원자료_시장!$A$1:$BZ$1000,설정!$L$6+ROW()-1,설정!$L$36)&amp;""="0","",INDEX(원자료_시장!$A$1:$BZ$1000,설정!$L$6+ROW()-1,설정!$L$36)),"")</f>
        <v>아시아/기타</v>
      </c>
      <c r="O220" s="43" t="str">
        <f aca="false">IF($A220="","",UPPER(LEFT($A220,FIND(" ",$A220&amp;" ")-1)))</f>
        <v>KOMRMR</v>
      </c>
      <c r="P220" s="43" t="str">
        <f aca="false">IF($A220="","",TRIM(RIGHT(SUBSTITUTE(TRIM($A220)," ",REPT(" ",30)),30)))</f>
        <v>05/11/28</v>
      </c>
      <c r="Q220" s="98" t="n">
        <f aca="false">IF($A220="","",IFERROR(DATE(IF(LEN(P220)=8,2000+VALUE(RIGHT(P220,2)),VALUE(RIGHT(P220,4))),VALUE(LEFT(P220,2)),VALUE(MID(P220,4,2))),""))</f>
        <v>46884</v>
      </c>
      <c r="R220" s="89" t="n">
        <f aca="false">IF($A220="",0,IF(ISNUMBER(SEARCH("Float",$A220)),1,0))</f>
        <v>0</v>
      </c>
      <c r="S220" s="43" t="str">
        <f aca="false">IF($A220="","",TRIM(MID($A220,LEN(O220)+2,LEN($A220)-LEN(O220)-LEN(P220)-1)))</f>
        <v>5 3/8</v>
      </c>
      <c r="T220" s="92" t="n">
        <f aca="false">IF(OR($A220="",R220=1),"",IFERROR(IF(ISNUMBER(FIND("/",S220)),IF(ISNUMBER(FIND(" ",S220)),VALUE(LEFT(S220,FIND(" ",S220)-1))+VALUE(MID(S220,FIND(" ",S220)+1,FIND("/",S220)-FIND(" ",S220)-1))/VALUE(MID(S220,FIND("/",S220)+1,9)),VALUE(LEFT(S220,FIND("/",S220)-1))/VALUE(MID(S220,FIND("/",S220)+1,9))),VALUE(S220)),""))</f>
        <v>5.375</v>
      </c>
      <c r="U220" s="43" t="str">
        <f aca="false">IF(OR($A220="",NOT(ISNUMBER(Q220))),"",TEXT(Q220,"yyyymmdd")&amp;"|"&amp;IF(R220=1,"F",TEXT(T220,"0.000")))</f>
        <v>20280511|5.375</v>
      </c>
      <c r="V220" s="43" t="str">
        <f aca="false">IF(U220="","",O220&amp;"|"&amp;U220)</f>
        <v>KOMRMR|20280511|5.375</v>
      </c>
      <c r="W220" s="43" t="str">
        <f aca="false">IF($A220="","",IFERROR(IF(VLOOKUP(O220,매핑!$A$4:$E$92,3,0)="","미분류",VLOOKUP(O220,매핑!$A$4:$E$92,3,0)),"미분류"))</f>
        <v>한국</v>
      </c>
      <c r="X220" s="89" t="n">
        <f aca="false">IF($A220="",0,IF(O220="T",1,0))</f>
        <v>0</v>
      </c>
      <c r="Y220" s="89" t="n">
        <f aca="false">IF($A220="",0,IF(AND(C220="USD",X220=0,ISNUMBER(E220),ISNUMBER(K220)),IF(K220&gt;=설정!$C$8,1,0),0))</f>
        <v>1</v>
      </c>
      <c r="Z220" s="43" t="str">
        <f aca="false">IF($A220="","",N220&amp;"|"&amp;L220)</f>
        <v>아시아/기타|정부</v>
      </c>
      <c r="AA220" s="92" t="n">
        <f aca="false">IF(Y220=1,LN(K220),0)</f>
        <v>0.420682073913025</v>
      </c>
      <c r="AB220" s="93" t="n">
        <f aca="false">IF(Y220=1,E220,0)</f>
        <v>38.777</v>
      </c>
      <c r="AC220" s="89" t="n">
        <f aca="false">IF(Y220=1,COUNTIFS($Z$2:$Z$601,Z220,$Y$2:$Y$601,1),0)</f>
        <v>51</v>
      </c>
      <c r="AD220" s="89" t="n">
        <f aca="false">IF(Y220=1,COUNTIFS($N$2:$N$601,N220,$Y$2:$Y$601,1),0)</f>
        <v>137</v>
      </c>
      <c r="AE220" s="43" t="str">
        <f aca="false">IF(Y220&lt;&gt;1,"",IF(AND(AC220&gt;=설정!$C$7,ISNUMBER(MATCH(Z220,피어커브!$A:$A,0))),Z220,IF(AND(AD220&gt;=설정!$C$7,ISNUMBER(MATCH(N220&amp;"|전체",피어커브!$A:$A,0))),N220&amp;"|전체","전체|전체")))</f>
        <v>아시아/기타|정부</v>
      </c>
      <c r="AF220" s="93" t="n">
        <f aca="false">IF(AE220="","",INDEX(피어커브!$K:$K,MATCH(AE220,피어커브!$A:$A,0)))</f>
        <v>-1.54860147302313</v>
      </c>
      <c r="AG220" s="93" t="n">
        <f aca="false">IF(AE220="","",INDEX(피어커브!$J:$J,MATCH(AE220,피어커브!$A:$A,0)))</f>
        <v>19.8674994409945</v>
      </c>
      <c r="AH220" s="93" t="n">
        <f aca="false">IF(AE220="","",INDEX(피어커브!$L:$L,MATCH(AE220,피어커브!$A:$A,0)))</f>
        <v>13.6930241146778</v>
      </c>
      <c r="AI220" s="93" t="n">
        <f aca="false">IF(AE220="","",AF220+AG220*AA220)</f>
        <v>6.80929939528032</v>
      </c>
      <c r="AJ220" s="96" t="n">
        <f aca="false">IF(AE220="","",E220-AI220)</f>
        <v>31.9677006047197</v>
      </c>
      <c r="AK220" s="95" t="n">
        <f aca="false">IF(AE220="","",IF(ISNUMBER(AH220),IF(AH220&gt;0,AJ220/AH220,""),""))</f>
        <v>2.33459755398027</v>
      </c>
      <c r="AL220" s="43" t="str">
        <f aca="false">IF(AK220="","-",IF(AK220&gt;=설정!$C$6,"Cheap",IF(AK220&lt;=-설정!$C$6,"Rich","Fair")))</f>
        <v>Cheap</v>
      </c>
      <c r="AM220" s="96" t="n">
        <f aca="false">IF(AE220="","",AJ220-AVERAGEIFS($AJ$2:$AJ$601,$B$2:$B$601,B220,$Y$2:$Y$601,1))</f>
        <v>16.9011896832655</v>
      </c>
      <c r="AN220" s="93" t="n">
        <f aca="false">IF(AE220="",0,IF(K220&gt;1+설정!$C$8,AG220*(AA220-LN(K220-1)),0))</f>
        <v>21.2354937738385</v>
      </c>
      <c r="AO220" s="99" t="n">
        <f aca="false">IF($A220="",0,SUMIFS(보유분석!$AA$2:$AA$801,보유분석!$AB$2:$AB$801,ROW(),보유분석!$AC$2:$AC$801,1))</f>
        <v>0</v>
      </c>
      <c r="AP220" s="43" t="str">
        <f aca="false">IF($A220="","",TRIM(IF(R220=1,"FRN ","")&amp;IF(IFERROR(VLOOKUP(M220,설정!$A$15:$D$47,4,0),0)&gt;=10,IF(IFERROR(VLOOKUP(M220,설정!$A$15:$D$47,4,0),0)&lt;99,"BBB0미만 ",""),"")&amp;IF(OR(M220="",M220="NR"),"등급미입력 ","")&amp;IF(C220&lt;&gt;"USD","비USD ","")))</f>
        <v>등급미입력</v>
      </c>
      <c r="AQ220" s="90" t="n">
        <f aca="false">IF(AND(Y220=1,AL220="Cheap"),IF(AND(ISERROR(SEARCH("FRN",AP220)),ISERROR(SEARCH("BBB0미만",AP220))),AK220+ROW()/1000000000,-999),-999)</f>
        <v>2.33459777398027</v>
      </c>
      <c r="AR220" s="92" t="n">
        <f aca="false">IF(AND(ISNUMBER(D220),ISNUMBER(K220)),D220+AN220*MAX(K220-1,0)/100,"")</f>
        <v>5.38806163243718</v>
      </c>
      <c r="AS220" s="93" t="n">
        <f aca="false">IF(AND(ISNUMBER(E220),ISNUMBER(K220)),IF(K220&gt;0,(E220+AN220*MAX(K220-1,0))/K220,""),"")</f>
        <v>32.7532260300181</v>
      </c>
      <c r="AT220" s="90" t="n">
        <f aca="false">IFERROR(IF(AND(Y220=1,ROW()&lt;&gt;스왑분석!$C$12+1,ABS(K220-INDEX($K$2:$K$601,스왑분석!$C$12))&lt;=스왑분석!$C$5,ISERROR(SEARCH("FRN",AP220)),ISERROR(SEARCH("BBB0미만",AP220))),IF(AND(OR(스왑분석!$C$6="N",L220=INDEX($L$2:$L$601,스왑분석!$C$12)),OR(스왑분석!$C$7="N",N220=INDEX($N$2:$N$601,스왑분석!$C$12)),OR(스왑분석!$C$8="N",AO220=0),E220-INDEX($E$2:$E$601,스왑분석!$C$12)&gt;=스왑분석!$C$9),E220-INDEX($E$2:$E$601,스왑분석!$C$12)+ROW()/1000000000,-999),-999),-999)</f>
        <v>-999</v>
      </c>
      <c r="AU220" s="90" t="n">
        <f aca="false">IF(AND(Y220=1,AO220&gt;0,AL220="Rich"),-AK220+ROW()/1000000000,-999)</f>
        <v>-999</v>
      </c>
    </row>
    <row r="221" customFormat="false" ht="15" hidden="false" customHeight="false" outlineLevel="0" collapsed="false">
      <c r="A221" s="83" t="str">
        <f aca="false">IFERROR(IF(INDEX(원자료_시장!$A$1:$BZ$1000,설정!$L$6+ROW()-1,설정!$L$24)&amp;""="0","",INDEX(원자료_시장!$A$1:$BZ$1000,설정!$L$6+ROW()-1,설정!$L$24)),"")</f>
        <v>HATELE 4 7/8 06/28/28</v>
      </c>
      <c r="B221" s="83" t="str">
        <f aca="false">IFERROR(IF(INDEX(원자료_시장!$A$1:$BZ$1000,설정!$L$6+ROW()-1,설정!$L$37)&amp;""="0","",INDEX(원자료_시장!$A$1:$BZ$1000,설정!$L$6+ROW()-1,설정!$L$37)),"")</f>
        <v>SK BROADBAND CO LTD</v>
      </c>
      <c r="C221" s="83" t="str">
        <f aca="false">IFERROR(IF(INDEX(원자료_시장!$A$1:$BZ$1000,설정!$L$6+ROW()-1,설정!$L$25)&amp;""="0","",INDEX(원자료_시장!$A$1:$BZ$1000,설정!$L$6+ROW()-1,설정!$L$25)),"")</f>
        <v>USD</v>
      </c>
      <c r="D221" s="85" t="n">
        <f aca="false">IFERROR(IF(ISNUMBER(INDEX(원자료_시장!$A$1:$BZ$1000,설정!$L$6+ROW()-1,설정!$L$26)),INDEX(원자료_시장!$A$1:$BZ$1000,설정!$L$6+ROW()-1,설정!$L$26),""),"")</f>
        <v>5.405</v>
      </c>
      <c r="E221" s="97" t="n">
        <f aca="false">IFERROR(IF(ISNUMBER(INDEX(원자료_시장!$A$1:$BZ$1000,설정!$L$6+ROW()-1,설정!$L$27)),INDEX(원자료_시장!$A$1:$BZ$1000,설정!$L$6+ROW()-1,설정!$L$27),""),"")</f>
        <v>51.579</v>
      </c>
      <c r="F221" s="97" t="n">
        <f aca="false">IFERROR(IF(ISNUMBER(INDEX(원자료_시장!$A$1:$BZ$1000,설정!$L$6+ROW()-1,설정!$L$28)),INDEX(원자료_시장!$A$1:$BZ$1000,설정!$L$6+ROW()-1,설정!$L$28),""),"")</f>
        <v>75.386</v>
      </c>
      <c r="G221" s="97" t="n">
        <f aca="false">IFERROR(IF(ISNUMBER(INDEX(원자료_시장!$A$1:$BZ$1000,설정!$L$6+ROW()-1,설정!$L$29)),INDEX(원자료_시장!$A$1:$BZ$1000,설정!$L$6+ROW()-1,설정!$L$29),""),"")</f>
        <v>0.6</v>
      </c>
      <c r="H221" s="97" t="n">
        <f aca="false">IFERROR(IF(ISNUMBER(INDEX(원자료_시장!$A$1:$BZ$1000,설정!$L$6+ROW()-1,설정!$L$30)),INDEX(원자료_시장!$A$1:$BZ$1000,설정!$L$6+ROW()-1,설정!$L$30),""),"")</f>
        <v>9.3</v>
      </c>
      <c r="I221" s="97" t="n">
        <f aca="false">IFERROR(IF(ISNUMBER(INDEX(원자료_시장!$A$1:$BZ$1000,설정!$L$6+ROW()-1,설정!$L$31)),INDEX(원자료_시장!$A$1:$BZ$1000,설정!$L$6+ROW()-1,설정!$L$31),""),"")</f>
        <v>5.7</v>
      </c>
      <c r="J221" s="97" t="n">
        <f aca="false">IFERROR(IF(ISNUMBER(INDEX(원자료_시장!$A$1:$BZ$1000,설정!$L$6+ROW()-1,설정!$L$32)),INDEX(원자료_시장!$A$1:$BZ$1000,설정!$L$6+ROW()-1,설정!$L$32),""),"")</f>
        <v>-1</v>
      </c>
      <c r="K221" s="85" t="n">
        <f aca="false">IFERROR(IF(ISNUMBER(INDEX(원자료_시장!$A$1:$BZ$1000,설정!$L$6+ROW()-1,설정!$L$33)),INDEX(원자료_시장!$A$1:$BZ$1000,설정!$L$6+ROW()-1,설정!$L$33),""),"")</f>
        <v>1.66</v>
      </c>
      <c r="L221" s="83" t="str">
        <f aca="false">IFERROR(IF(INDEX(원자료_시장!$A$1:$BZ$1000,설정!$L$6+ROW()-1,설정!$L$34)&amp;""="0","",INDEX(원자료_시장!$A$1:$BZ$1000,설정!$L$6+ROW()-1,설정!$L$34)),"")</f>
        <v>통신</v>
      </c>
      <c r="M221" s="83" t="str">
        <f aca="false">IFERROR(IF(INDEX(원자료_시장!$A$1:$BZ$1000,설정!$L$6+ROW()-1,설정!$L$35)&amp;""="0","",INDEX(원자료_시장!$A$1:$BZ$1000,설정!$L$6+ROW()-1,설정!$L$35)),"")</f>
        <v>NR</v>
      </c>
      <c r="N221" s="83" t="str">
        <f aca="false">IFERROR(IF(INDEX(원자료_시장!$A$1:$BZ$1000,설정!$L$6+ROW()-1,설정!$L$36)&amp;""="0","",INDEX(원자료_시장!$A$1:$BZ$1000,설정!$L$6+ROW()-1,설정!$L$36)),"")</f>
        <v>아시아/기타</v>
      </c>
      <c r="O221" s="43" t="str">
        <f aca="false">IF($A221="","",UPPER(LEFT($A221,FIND(" ",$A221&amp;" ")-1)))</f>
        <v>HATELE</v>
      </c>
      <c r="P221" s="43" t="str">
        <f aca="false">IF($A221="","",TRIM(RIGHT(SUBSTITUTE(TRIM($A221)," ",REPT(" ",30)),30)))</f>
        <v>06/28/28</v>
      </c>
      <c r="Q221" s="98" t="n">
        <f aca="false">IF($A221="","",IFERROR(DATE(IF(LEN(P221)=8,2000+VALUE(RIGHT(P221,2)),VALUE(RIGHT(P221,4))),VALUE(LEFT(P221,2)),VALUE(MID(P221,4,2))),""))</f>
        <v>46932</v>
      </c>
      <c r="R221" s="89" t="n">
        <f aca="false">IF($A221="",0,IF(ISNUMBER(SEARCH("Float",$A221)),1,0))</f>
        <v>0</v>
      </c>
      <c r="S221" s="43" t="str">
        <f aca="false">IF($A221="","",TRIM(MID($A221,LEN(O221)+2,LEN($A221)-LEN(O221)-LEN(P221)-1)))</f>
        <v>4 7/8</v>
      </c>
      <c r="T221" s="92" t="n">
        <f aca="false">IF(OR($A221="",R221=1),"",IFERROR(IF(ISNUMBER(FIND("/",S221)),IF(ISNUMBER(FIND(" ",S221)),VALUE(LEFT(S221,FIND(" ",S221)-1))+VALUE(MID(S221,FIND(" ",S221)+1,FIND("/",S221)-FIND(" ",S221)-1))/VALUE(MID(S221,FIND("/",S221)+1,9)),VALUE(LEFT(S221,FIND("/",S221)-1))/VALUE(MID(S221,FIND("/",S221)+1,9))),VALUE(S221)),""))</f>
        <v>4.875</v>
      </c>
      <c r="U221" s="43" t="str">
        <f aca="false">IF(OR($A221="",NOT(ISNUMBER(Q221))),"",TEXT(Q221,"yyyymmdd")&amp;"|"&amp;IF(R221=1,"F",TEXT(T221,"0.000")))</f>
        <v>20280628|4.875</v>
      </c>
      <c r="V221" s="43" t="str">
        <f aca="false">IF(U221="","",O221&amp;"|"&amp;U221)</f>
        <v>HATELE|20280628|4.875</v>
      </c>
      <c r="W221" s="43" t="str">
        <f aca="false">IF($A221="","",IFERROR(IF(VLOOKUP(O221,매핑!$A$4:$E$92,3,0)="","미분류",VLOOKUP(O221,매핑!$A$4:$E$92,3,0)),"미분류"))</f>
        <v>한국</v>
      </c>
      <c r="X221" s="89" t="n">
        <f aca="false">IF($A221="",0,IF(O221="T",1,0))</f>
        <v>0</v>
      </c>
      <c r="Y221" s="89" t="n">
        <f aca="false">IF($A221="",0,IF(AND(C221="USD",X221=0,ISNUMBER(E221),ISNUMBER(K221)),IF(K221&gt;=설정!$C$8,1,0),0))</f>
        <v>1</v>
      </c>
      <c r="Z221" s="43" t="str">
        <f aca="false">IF($A221="","",N221&amp;"|"&amp;L221)</f>
        <v>아시아/기타|통신</v>
      </c>
      <c r="AA221" s="92" t="n">
        <f aca="false">IF(Y221=1,LN(K221),0)</f>
        <v>0.506817602368452</v>
      </c>
      <c r="AB221" s="93" t="n">
        <f aca="false">IF(Y221=1,E221,0)</f>
        <v>51.579</v>
      </c>
      <c r="AC221" s="89" t="n">
        <f aca="false">IF(Y221=1,COUNTIFS($Z$2:$Z$601,Z221,$Y$2:$Y$601,1),0)</f>
        <v>8</v>
      </c>
      <c r="AD221" s="89" t="n">
        <f aca="false">IF(Y221=1,COUNTIFS($N$2:$N$601,N221,$Y$2:$Y$601,1),0)</f>
        <v>137</v>
      </c>
      <c r="AE221" s="43" t="str">
        <f aca="false">IF(Y221&lt;&gt;1,"",IF(AND(AC221&gt;=설정!$C$7,ISNUMBER(MATCH(Z221,피어커브!$A:$A,0))),Z221,IF(AND(AD221&gt;=설정!$C$7,ISNUMBER(MATCH(N221&amp;"|전체",피어커브!$A:$A,0))),N221&amp;"|전체","전체|전체")))</f>
        <v>아시아/기타|통신</v>
      </c>
      <c r="AF221" s="93" t="n">
        <f aca="false">IF(AE221="","",INDEX(피어커브!$K:$K,MATCH(AE221,피어커브!$A:$A,0)))</f>
        <v>19.9269244261757</v>
      </c>
      <c r="AG221" s="93" t="n">
        <f aca="false">IF(AE221="","",INDEX(피어커브!$J:$J,MATCH(AE221,피어커브!$A:$A,0)))</f>
        <v>39.2458252527372</v>
      </c>
      <c r="AH221" s="93" t="n">
        <f aca="false">IF(AE221="","",INDEX(피어커브!$L:$L,MATCH(AE221,피어커브!$A:$A,0)))</f>
        <v>15.4583072911545</v>
      </c>
      <c r="AI221" s="93" t="n">
        <f aca="false">IF(AE221="","",AF221+AG221*AA221)</f>
        <v>39.8173994837393</v>
      </c>
      <c r="AJ221" s="96" t="n">
        <f aca="false">IF(AE221="","",E221-AI221)</f>
        <v>11.7616005162608</v>
      </c>
      <c r="AK221" s="95" t="n">
        <f aca="false">IF(AE221="","",IF(ISNUMBER(AH221),IF(AH221&gt;0,AJ221/AH221,""),""))</f>
        <v>0.760859536217845</v>
      </c>
      <c r="AL221" s="43" t="str">
        <f aca="false">IF(AK221="","-",IF(AK221&gt;=설정!$C$6,"Cheap",IF(AK221&lt;=-설정!$C$6,"Rich","Fair")))</f>
        <v>Fair</v>
      </c>
      <c r="AM221" s="96" t="n">
        <f aca="false">IF(AE221="","",AJ221-AVERAGEIFS($AJ$2:$AJ$601,$B$2:$B$601,B221,$Y$2:$Y$601,1))</f>
        <v>0</v>
      </c>
      <c r="AN221" s="93" t="n">
        <f aca="false">IF(AE221="",0,IF(K221&gt;1+설정!$C$8,AG221*(AA221-LN(K221-1)),0))</f>
        <v>36.1977215610966</v>
      </c>
      <c r="AO221" s="99" t="n">
        <f aca="false">IF($A221="",0,SUMIFS(보유분석!$AA$2:$AA$801,보유분석!$AB$2:$AB$801,ROW(),보유분석!$AC$2:$AC$801,1))</f>
        <v>0</v>
      </c>
      <c r="AP221" s="43" t="str">
        <f aca="false">IF($A221="","",TRIM(IF(R221=1,"FRN ","")&amp;IF(IFERROR(VLOOKUP(M221,설정!$A$15:$D$47,4,0),0)&gt;=10,IF(IFERROR(VLOOKUP(M221,설정!$A$15:$D$47,4,0),0)&lt;99,"BBB0미만 ",""),"")&amp;IF(OR(M221="",M221="NR"),"등급미입력 ","")&amp;IF(C221&lt;&gt;"USD","비USD ","")))</f>
        <v>등급미입력</v>
      </c>
      <c r="AQ221" s="90" t="n">
        <f aca="false">IF(AND(Y221=1,AL221="Cheap"),IF(AND(ISERROR(SEARCH("FRN",AP221)),ISERROR(SEARCH("BBB0미만",AP221))),AK221+ROW()/1000000000,-999),-999)</f>
        <v>-999</v>
      </c>
      <c r="AR221" s="92" t="n">
        <f aca="false">IF(AND(ISNUMBER(D221),ISNUMBER(K221)),D221+AN221*MAX(K221-1,0)/100,"")</f>
        <v>5.64390496230324</v>
      </c>
      <c r="AS221" s="93" t="n">
        <f aca="false">IF(AND(ISNUMBER(E221),ISNUMBER(K221)),IF(K221&gt;0,(E221+AN221*MAX(K221-1,0))/K221,""),"")</f>
        <v>45.4635519459782</v>
      </c>
      <c r="AT221" s="90" t="n">
        <f aca="false">IFERROR(IF(AND(Y221=1,ROW()&lt;&gt;스왑분석!$C$12+1,ABS(K221-INDEX($K$2:$K$601,스왑분석!$C$12))&lt;=스왑분석!$C$5,ISERROR(SEARCH("FRN",AP221)),ISERROR(SEARCH("BBB0미만",AP221))),IF(AND(OR(스왑분석!$C$6="N",L221=INDEX($L$2:$L$601,스왑분석!$C$12)),OR(스왑분석!$C$7="N",N221=INDEX($N$2:$N$601,스왑분석!$C$12)),OR(스왑분석!$C$8="N",AO221=0),E221-INDEX($E$2:$E$601,스왑분석!$C$12)&gt;=스왑분석!$C$9),E221-INDEX($E$2:$E$601,스왑분석!$C$12)+ROW()/1000000000,-999),-999),-999)</f>
        <v>-999</v>
      </c>
      <c r="AU221" s="90" t="n">
        <f aca="false">IF(AND(Y221=1,AO221&gt;0,AL221="Rich"),-AK221+ROW()/1000000000,-999)</f>
        <v>-999</v>
      </c>
    </row>
    <row r="222" customFormat="false" ht="15" hidden="false" customHeight="false" outlineLevel="0" collapsed="false">
      <c r="A222" s="83" t="str">
        <f aca="false">IFERROR(IF(INDEX(원자료_시장!$A$1:$BZ$1000,설정!$L$6+ROW()-1,설정!$L$24)&amp;""="0","",INDEX(원자료_시장!$A$1:$BZ$1000,설정!$L$6+ROW()-1,설정!$L$24)),"")</f>
        <v>DAESEC 6 7/8 07/26/26</v>
      </c>
      <c r="B222" s="83" t="str">
        <f aca="false">IFERROR(IF(INDEX(원자료_시장!$A$1:$BZ$1000,설정!$L$6+ROW()-1,설정!$L$37)&amp;""="0","",INDEX(원자료_시장!$A$1:$BZ$1000,설정!$L$6+ROW()-1,설정!$L$37)),"")</f>
        <v>MIRAE ASSET SECURITIES</v>
      </c>
      <c r="C222" s="83" t="str">
        <f aca="false">IFERROR(IF(INDEX(원자료_시장!$A$1:$BZ$1000,설정!$L$6+ROW()-1,설정!$L$25)&amp;""="0","",INDEX(원자료_시장!$A$1:$BZ$1000,설정!$L$6+ROW()-1,설정!$L$25)),"")</f>
        <v>USD</v>
      </c>
      <c r="D222" s="85" t="str">
        <f aca="false">IFERROR(IF(ISNUMBER(INDEX(원자료_시장!$A$1:$BZ$1000,설정!$L$6+ROW()-1,설정!$L$26)),INDEX(원자료_시장!$A$1:$BZ$1000,설정!$L$6+ROW()-1,설정!$L$26),""),"")</f>
        <v/>
      </c>
      <c r="E222" s="97" t="str">
        <f aca="false">IFERROR(IF(ISNUMBER(INDEX(원자료_시장!$A$1:$BZ$1000,설정!$L$6+ROW()-1,설정!$L$27)),INDEX(원자료_시장!$A$1:$BZ$1000,설정!$L$6+ROW()-1,설정!$L$27),""),"")</f>
        <v/>
      </c>
      <c r="F222" s="97" t="str">
        <f aca="false">IFERROR(IF(ISNUMBER(INDEX(원자료_시장!$A$1:$BZ$1000,설정!$L$6+ROW()-1,설정!$L$28)),INDEX(원자료_시장!$A$1:$BZ$1000,설정!$L$6+ROW()-1,설정!$L$28),""),"")</f>
        <v/>
      </c>
      <c r="G222" s="97" t="n">
        <f aca="false">IFERROR(IF(ISNUMBER(INDEX(원자료_시장!$A$1:$BZ$1000,설정!$L$6+ROW()-1,설정!$L$29)),INDEX(원자료_시장!$A$1:$BZ$1000,설정!$L$6+ROW()-1,설정!$L$29),""),"")</f>
        <v>1.6</v>
      </c>
      <c r="H222" s="97" t="n">
        <f aca="false">IFERROR(IF(ISNUMBER(INDEX(원자료_시장!$A$1:$BZ$1000,설정!$L$6+ROW()-1,설정!$L$30)),INDEX(원자료_시장!$A$1:$BZ$1000,설정!$L$6+ROW()-1,설정!$L$30),""),"")</f>
        <v>0.9</v>
      </c>
      <c r="I222" s="97" t="str">
        <f aca="false">IFERROR(IF(ISNUMBER(INDEX(원자료_시장!$A$1:$BZ$1000,설정!$L$6+ROW()-1,설정!$L$31)),INDEX(원자료_시장!$A$1:$BZ$1000,설정!$L$6+ROW()-1,설정!$L$31),""),"")</f>
        <v/>
      </c>
      <c r="J222" s="97" t="n">
        <f aca="false">IFERROR(IF(ISNUMBER(INDEX(원자료_시장!$A$1:$BZ$1000,설정!$L$6+ROW()-1,설정!$L$32)),INDEX(원자료_시장!$A$1:$BZ$1000,설정!$L$6+ROW()-1,설정!$L$32),""),"")</f>
        <v>7.3</v>
      </c>
      <c r="K222" s="85" t="str">
        <f aca="false">IFERROR(IF(ISNUMBER(INDEX(원자료_시장!$A$1:$BZ$1000,설정!$L$6+ROW()-1,설정!$L$33)),INDEX(원자료_시장!$A$1:$BZ$1000,설정!$L$6+ROW()-1,설정!$L$33),""),"")</f>
        <v/>
      </c>
      <c r="L222" s="83" t="str">
        <f aca="false">IFERROR(IF(INDEX(원자료_시장!$A$1:$BZ$1000,설정!$L$6+ROW()-1,설정!$L$34)&amp;""="0","",INDEX(원자료_시장!$A$1:$BZ$1000,설정!$L$6+ROW()-1,설정!$L$34)),"")</f>
        <v>금융기관</v>
      </c>
      <c r="M222" s="83" t="str">
        <f aca="false">IFERROR(IF(INDEX(원자료_시장!$A$1:$BZ$1000,설정!$L$6+ROW()-1,설정!$L$35)&amp;""="0","",INDEX(원자료_시장!$A$1:$BZ$1000,설정!$L$6+ROW()-1,설정!$L$35)),"")</f>
        <v>NR</v>
      </c>
      <c r="N222" s="83" t="str">
        <f aca="false">IFERROR(IF(INDEX(원자료_시장!$A$1:$BZ$1000,설정!$L$6+ROW()-1,설정!$L$36)&amp;""="0","",INDEX(원자료_시장!$A$1:$BZ$1000,설정!$L$6+ROW()-1,설정!$L$36)),"")</f>
        <v>아시아/기타</v>
      </c>
      <c r="O222" s="43" t="str">
        <f aca="false">IF($A222="","",UPPER(LEFT($A222,FIND(" ",$A222&amp;" ")-1)))</f>
        <v>DAESEC</v>
      </c>
      <c r="P222" s="43" t="str">
        <f aca="false">IF($A222="","",TRIM(RIGHT(SUBSTITUTE(TRIM($A222)," ",REPT(" ",30)),30)))</f>
        <v>07/26/26</v>
      </c>
      <c r="Q222" s="98" t="n">
        <f aca="false">IF($A222="","",IFERROR(DATE(IF(LEN(P222)=8,2000+VALUE(RIGHT(P222,2)),VALUE(RIGHT(P222,4))),VALUE(LEFT(P222,2)),VALUE(MID(P222,4,2))),""))</f>
        <v>46229</v>
      </c>
      <c r="R222" s="89" t="n">
        <f aca="false">IF($A222="",0,IF(ISNUMBER(SEARCH("Float",$A222)),1,0))</f>
        <v>0</v>
      </c>
      <c r="S222" s="43" t="str">
        <f aca="false">IF($A222="","",TRIM(MID($A222,LEN(O222)+2,LEN($A222)-LEN(O222)-LEN(P222)-1)))</f>
        <v>6 7/8</v>
      </c>
      <c r="T222" s="92" t="n">
        <f aca="false">IF(OR($A222="",R222=1),"",IFERROR(IF(ISNUMBER(FIND("/",S222)),IF(ISNUMBER(FIND(" ",S222)),VALUE(LEFT(S222,FIND(" ",S222)-1))+VALUE(MID(S222,FIND(" ",S222)+1,FIND("/",S222)-FIND(" ",S222)-1))/VALUE(MID(S222,FIND("/",S222)+1,9)),VALUE(LEFT(S222,FIND("/",S222)-1))/VALUE(MID(S222,FIND("/",S222)+1,9))),VALUE(S222)),""))</f>
        <v>6.875</v>
      </c>
      <c r="U222" s="43" t="str">
        <f aca="false">IF(OR($A222="",NOT(ISNUMBER(Q222))),"",TEXT(Q222,"yyyymmdd")&amp;"|"&amp;IF(R222=1,"F",TEXT(T222,"0.000")))</f>
        <v>20260726|6.875</v>
      </c>
      <c r="V222" s="43" t="str">
        <f aca="false">IF(U222="","",O222&amp;"|"&amp;U222)</f>
        <v>DAESEC|20260726|6.875</v>
      </c>
      <c r="W222" s="43" t="str">
        <f aca="false">IF($A222="","",IFERROR(IF(VLOOKUP(O222,매핑!$A$4:$E$92,3,0)="","미분류",VLOOKUP(O222,매핑!$A$4:$E$92,3,0)),"미분류"))</f>
        <v>한국</v>
      </c>
      <c r="X222" s="89" t="n">
        <f aca="false">IF($A222="",0,IF(O222="T",1,0))</f>
        <v>0</v>
      </c>
      <c r="Y222" s="89" t="n">
        <f aca="false">IF($A222="",0,IF(AND(C222="USD",X222=0,ISNUMBER(E222),ISNUMBER(K222)),IF(K222&gt;=설정!$C$8,1,0),0))</f>
        <v>0</v>
      </c>
      <c r="Z222" s="43" t="str">
        <f aca="false">IF($A222="","",N222&amp;"|"&amp;L222)</f>
        <v>아시아/기타|금융기관</v>
      </c>
      <c r="AA222" s="92" t="n">
        <f aca="false">IF(Y222=1,LN(K222),0)</f>
        <v>0</v>
      </c>
      <c r="AB222" s="93" t="n">
        <f aca="false">IF(Y222=1,E222,0)</f>
        <v>0</v>
      </c>
      <c r="AC222" s="89" t="n">
        <f aca="false">IF(Y222=1,COUNTIFS($Z$2:$Z$601,Z222,$Y$2:$Y$601,1),0)</f>
        <v>0</v>
      </c>
      <c r="AD222" s="89" t="n">
        <f aca="false">IF(Y222=1,COUNTIFS($N$2:$N$601,N222,$Y$2:$Y$601,1),0)</f>
        <v>0</v>
      </c>
      <c r="AE222" s="43" t="str">
        <f aca="false">IF(Y222&lt;&gt;1,"",IF(AND(AC222&gt;=설정!$C$7,ISNUMBER(MATCH(Z222,피어커브!$A:$A,0))),Z222,IF(AND(AD222&gt;=설정!$C$7,ISNUMBER(MATCH(N222&amp;"|전체",피어커브!$A:$A,0))),N222&amp;"|전체","전체|전체")))</f>
        <v/>
      </c>
      <c r="AF222" s="93" t="str">
        <f aca="false">IF(AE222="","",INDEX(피어커브!$K:$K,MATCH(AE222,피어커브!$A:$A,0)))</f>
        <v/>
      </c>
      <c r="AG222" s="93" t="str">
        <f aca="false">IF(AE222="","",INDEX(피어커브!$J:$J,MATCH(AE222,피어커브!$A:$A,0)))</f>
        <v/>
      </c>
      <c r="AH222" s="93" t="str">
        <f aca="false">IF(AE222="","",INDEX(피어커브!$L:$L,MATCH(AE222,피어커브!$A:$A,0)))</f>
        <v/>
      </c>
      <c r="AI222" s="93" t="str">
        <f aca="false">IF(AE222="","",AF222+AG222*AA222)</f>
        <v/>
      </c>
      <c r="AJ222" s="96" t="str">
        <f aca="false">IF(AE222="","",E222-AI222)</f>
        <v/>
      </c>
      <c r="AK222" s="95" t="str">
        <f aca="false">IF(AE222="","",IF(ISNUMBER(AH222),IF(AH222&gt;0,AJ222/AH222,""),""))</f>
        <v/>
      </c>
      <c r="AL222" s="43" t="str">
        <f aca="false">IF(AK222="","-",IF(AK222&gt;=설정!$C$6,"Cheap",IF(AK222&lt;=-설정!$C$6,"Rich","Fair")))</f>
        <v>-</v>
      </c>
      <c r="AM222" s="96" t="str">
        <f aca="false">IF(AE222="","",AJ222-AVERAGEIFS($AJ$2:$AJ$601,$B$2:$B$601,B222,$Y$2:$Y$601,1))</f>
        <v/>
      </c>
      <c r="AN222" s="93" t="n">
        <f aca="false">IF(AE222="",0,IF(K222&gt;1+설정!$C$8,AG222*(AA222-LN(K222-1)),0))</f>
        <v>0</v>
      </c>
      <c r="AO222" s="99" t="n">
        <f aca="false">IF($A222="",0,SUMIFS(보유분석!$AA$2:$AA$801,보유분석!$AB$2:$AB$801,ROW(),보유분석!$AC$2:$AC$801,1))</f>
        <v>0</v>
      </c>
      <c r="AP222" s="43" t="str">
        <f aca="false">IF($A222="","",TRIM(IF(R222=1,"FRN ","")&amp;IF(IFERROR(VLOOKUP(M222,설정!$A$15:$D$47,4,0),0)&gt;=10,IF(IFERROR(VLOOKUP(M222,설정!$A$15:$D$47,4,0),0)&lt;99,"BBB0미만 ",""),"")&amp;IF(OR(M222="",M222="NR"),"등급미입력 ","")&amp;IF(C222&lt;&gt;"USD","비USD ","")))</f>
        <v>등급미입력</v>
      </c>
      <c r="AQ222" s="90" t="n">
        <f aca="false">IF(AND(Y222=1,AL222="Cheap"),IF(AND(ISERROR(SEARCH("FRN",AP222)),ISERROR(SEARCH("BBB0미만",AP222))),AK222+ROW()/1000000000,-999),-999)</f>
        <v>-999</v>
      </c>
      <c r="AR222" s="92" t="str">
        <f aca="false">IF(AND(ISNUMBER(D222),ISNUMBER(K222)),D222+AN222*MAX(K222-1,0)/100,"")</f>
        <v/>
      </c>
      <c r="AS222" s="93" t="str">
        <f aca="false">IF(AND(ISNUMBER(E222),ISNUMBER(K222)),IF(K222&gt;0,(E222+AN222*MAX(K222-1,0))/K222,""),"")</f>
        <v/>
      </c>
      <c r="AT222" s="90" t="n">
        <f aca="false">IFERROR(IF(AND(Y222=1,ROW()&lt;&gt;스왑분석!$C$12+1,ABS(K222-INDEX($K$2:$K$601,스왑분석!$C$12))&lt;=스왑분석!$C$5,ISERROR(SEARCH("FRN",AP222)),ISERROR(SEARCH("BBB0미만",AP222))),IF(AND(OR(스왑분석!$C$6="N",L222=INDEX($L$2:$L$601,스왑분석!$C$12)),OR(스왑분석!$C$7="N",N222=INDEX($N$2:$N$601,스왑분석!$C$12)),OR(스왑분석!$C$8="N",AO222=0),E222-INDEX($E$2:$E$601,스왑분석!$C$12)&gt;=스왑분석!$C$9),E222-INDEX($E$2:$E$601,스왑분석!$C$12)+ROW()/1000000000,-999),-999),-999)</f>
        <v>-999</v>
      </c>
      <c r="AU222" s="90" t="n">
        <f aca="false">IF(AND(Y222=1,AO222&gt;0,AL222="Rich"),-AK222+ROW()/1000000000,-999)</f>
        <v>-999</v>
      </c>
    </row>
    <row r="223" customFormat="false" ht="15" hidden="false" customHeight="false" outlineLevel="0" collapsed="false">
      <c r="A223" s="83" t="str">
        <f aca="false">IFERROR(IF(INDEX(원자료_시장!$A$1:$BZ$1000,설정!$L$6+ROW()-1,설정!$L$24)&amp;""="0","",INDEX(원자료_시장!$A$1:$BZ$1000,설정!$L$6+ROW()-1,설정!$L$24)),"")</f>
        <v>KOSOPW 5 3/8 09/21/26</v>
      </c>
      <c r="B223" s="83" t="str">
        <f aca="false">IFERROR(IF(INDEX(원자료_시장!$A$1:$BZ$1000,설정!$L$6+ROW()-1,설정!$L$37)&amp;""="0","",INDEX(원자료_시장!$A$1:$BZ$1000,설정!$L$6+ROW()-1,설정!$L$37)),"")</f>
        <v>KOREA SOUTHERN POWER</v>
      </c>
      <c r="C223" s="83" t="str">
        <f aca="false">IFERROR(IF(INDEX(원자료_시장!$A$1:$BZ$1000,설정!$L$6+ROW()-1,설정!$L$25)&amp;""="0","",INDEX(원자료_시장!$A$1:$BZ$1000,설정!$L$6+ROW()-1,설정!$L$25)),"")</f>
        <v>USD</v>
      </c>
      <c r="D223" s="85" t="str">
        <f aca="false">IFERROR(IF(ISNUMBER(INDEX(원자료_시장!$A$1:$BZ$1000,설정!$L$6+ROW()-1,설정!$L$26)),INDEX(원자료_시장!$A$1:$BZ$1000,설정!$L$6+ROW()-1,설정!$L$26),""),"")</f>
        <v/>
      </c>
      <c r="E223" s="97" t="str">
        <f aca="false">IFERROR(IF(ISNUMBER(INDEX(원자료_시장!$A$1:$BZ$1000,설정!$L$6+ROW()-1,설정!$L$27)),INDEX(원자료_시장!$A$1:$BZ$1000,설정!$L$6+ROW()-1,설정!$L$27),""),"")</f>
        <v/>
      </c>
      <c r="F223" s="97" t="str">
        <f aca="false">IFERROR(IF(ISNUMBER(INDEX(원자료_시장!$A$1:$BZ$1000,설정!$L$6+ROW()-1,설정!$L$28)),INDEX(원자료_시장!$A$1:$BZ$1000,설정!$L$6+ROW()-1,설정!$L$28),""),"")</f>
        <v/>
      </c>
      <c r="G223" s="97" t="n">
        <f aca="false">IFERROR(IF(ISNUMBER(INDEX(원자료_시장!$A$1:$BZ$1000,설정!$L$6+ROW()-1,설정!$L$29)),INDEX(원자료_시장!$A$1:$BZ$1000,설정!$L$6+ROW()-1,설정!$L$29),""),"")</f>
        <v>-29.3</v>
      </c>
      <c r="H223" s="97" t="n">
        <f aca="false">IFERROR(IF(ISNUMBER(INDEX(원자료_시장!$A$1:$BZ$1000,설정!$L$6+ROW()-1,설정!$L$30)),INDEX(원자료_시장!$A$1:$BZ$1000,설정!$L$6+ROW()-1,설정!$L$30),""),"")</f>
        <v>-36.1</v>
      </c>
      <c r="I223" s="97" t="n">
        <f aca="false">IFERROR(IF(ISNUMBER(INDEX(원자료_시장!$A$1:$BZ$1000,설정!$L$6+ROW()-1,설정!$L$31)),INDEX(원자료_시장!$A$1:$BZ$1000,설정!$L$6+ROW()-1,설정!$L$31),""),"")</f>
        <v>-37.5</v>
      </c>
      <c r="J223" s="97" t="n">
        <f aca="false">IFERROR(IF(ISNUMBER(INDEX(원자료_시장!$A$1:$BZ$1000,설정!$L$6+ROW()-1,설정!$L$32)),INDEX(원자료_시장!$A$1:$BZ$1000,설정!$L$6+ROW()-1,설정!$L$32),""),"")</f>
        <v>-59.7</v>
      </c>
      <c r="K223" s="85" t="str">
        <f aca="false">IFERROR(IF(ISNUMBER(INDEX(원자료_시장!$A$1:$BZ$1000,설정!$L$6+ROW()-1,설정!$L$33)),INDEX(원자료_시장!$A$1:$BZ$1000,설정!$L$6+ROW()-1,설정!$L$33),""),"")</f>
        <v/>
      </c>
      <c r="L223" s="83" t="str">
        <f aca="false">IFERROR(IF(INDEX(원자료_시장!$A$1:$BZ$1000,설정!$L$6+ROW()-1,설정!$L$34)&amp;""="0","",INDEX(원자료_시장!$A$1:$BZ$1000,설정!$L$6+ROW()-1,설정!$L$34)),"")</f>
        <v>유틸리티</v>
      </c>
      <c r="M223" s="83" t="n">
        <f aca="false">IFERROR(IF(INDEX(원자료_시장!$A$1:$BZ$1000,설정!$L$6+ROW()-1,설정!$L$35)&amp;""="0","",INDEX(원자료_시장!$A$1:$BZ$1000,설정!$L$6+ROW()-1,설정!$L$35)),"")</f>
        <v>0</v>
      </c>
      <c r="N223" s="83" t="str">
        <f aca="false">IFERROR(IF(INDEX(원자료_시장!$A$1:$BZ$1000,설정!$L$6+ROW()-1,설정!$L$36)&amp;""="0","",INDEX(원자료_시장!$A$1:$BZ$1000,설정!$L$6+ROW()-1,설정!$L$36)),"")</f>
        <v>아시아/기타</v>
      </c>
      <c r="O223" s="43" t="str">
        <f aca="false">IF($A223="","",UPPER(LEFT($A223,FIND(" ",$A223&amp;" ")-1)))</f>
        <v>KOSOPW</v>
      </c>
      <c r="P223" s="43" t="str">
        <f aca="false">IF($A223="","",TRIM(RIGHT(SUBSTITUTE(TRIM($A223)," ",REPT(" ",30)),30)))</f>
        <v>09/21/26</v>
      </c>
      <c r="Q223" s="98" t="n">
        <f aca="false">IF($A223="","",IFERROR(DATE(IF(LEN(P223)=8,2000+VALUE(RIGHT(P223,2)),VALUE(RIGHT(P223,4))),VALUE(LEFT(P223,2)),VALUE(MID(P223,4,2))),""))</f>
        <v>46286</v>
      </c>
      <c r="R223" s="89" t="n">
        <f aca="false">IF($A223="",0,IF(ISNUMBER(SEARCH("Float",$A223)),1,0))</f>
        <v>0</v>
      </c>
      <c r="S223" s="43" t="str">
        <f aca="false">IF($A223="","",TRIM(MID($A223,LEN(O223)+2,LEN($A223)-LEN(O223)-LEN(P223)-1)))</f>
        <v>5 3/8</v>
      </c>
      <c r="T223" s="92" t="n">
        <f aca="false">IF(OR($A223="",R223=1),"",IFERROR(IF(ISNUMBER(FIND("/",S223)),IF(ISNUMBER(FIND(" ",S223)),VALUE(LEFT(S223,FIND(" ",S223)-1))+VALUE(MID(S223,FIND(" ",S223)+1,FIND("/",S223)-FIND(" ",S223)-1))/VALUE(MID(S223,FIND("/",S223)+1,9)),VALUE(LEFT(S223,FIND("/",S223)-1))/VALUE(MID(S223,FIND("/",S223)+1,9))),VALUE(S223)),""))</f>
        <v>5.375</v>
      </c>
      <c r="U223" s="43" t="str">
        <f aca="false">IF(OR($A223="",NOT(ISNUMBER(Q223))),"",TEXT(Q223,"yyyymmdd")&amp;"|"&amp;IF(R223=1,"F",TEXT(T223,"0.000")))</f>
        <v>20260921|5.375</v>
      </c>
      <c r="V223" s="43" t="str">
        <f aca="false">IF(U223="","",O223&amp;"|"&amp;U223)</f>
        <v>KOSOPW|20260921|5.375</v>
      </c>
      <c r="W223" s="43" t="str">
        <f aca="false">IF($A223="","",IFERROR(IF(VLOOKUP(O223,매핑!$A$4:$E$92,3,0)="","미분류",VLOOKUP(O223,매핑!$A$4:$E$92,3,0)),"미분류"))</f>
        <v>한국</v>
      </c>
      <c r="X223" s="89" t="n">
        <f aca="false">IF($A223="",0,IF(O223="T",1,0))</f>
        <v>0</v>
      </c>
      <c r="Y223" s="89" t="n">
        <f aca="false">IF($A223="",0,IF(AND(C223="USD",X223=0,ISNUMBER(E223),ISNUMBER(K223)),IF(K223&gt;=설정!$C$8,1,0),0))</f>
        <v>0</v>
      </c>
      <c r="Z223" s="43" t="str">
        <f aca="false">IF($A223="","",N223&amp;"|"&amp;L223)</f>
        <v>아시아/기타|유틸리티</v>
      </c>
      <c r="AA223" s="92" t="n">
        <f aca="false">IF(Y223=1,LN(K223),0)</f>
        <v>0</v>
      </c>
      <c r="AB223" s="93" t="n">
        <f aca="false">IF(Y223=1,E223,0)</f>
        <v>0</v>
      </c>
      <c r="AC223" s="89" t="n">
        <f aca="false">IF(Y223=1,COUNTIFS($Z$2:$Z$601,Z223,$Y$2:$Y$601,1),0)</f>
        <v>0</v>
      </c>
      <c r="AD223" s="89" t="n">
        <f aca="false">IF(Y223=1,COUNTIFS($N$2:$N$601,N223,$Y$2:$Y$601,1),0)</f>
        <v>0</v>
      </c>
      <c r="AE223" s="43" t="str">
        <f aca="false">IF(Y223&lt;&gt;1,"",IF(AND(AC223&gt;=설정!$C$7,ISNUMBER(MATCH(Z223,피어커브!$A:$A,0))),Z223,IF(AND(AD223&gt;=설정!$C$7,ISNUMBER(MATCH(N223&amp;"|전체",피어커브!$A:$A,0))),N223&amp;"|전체","전체|전체")))</f>
        <v/>
      </c>
      <c r="AF223" s="93" t="str">
        <f aca="false">IF(AE223="","",INDEX(피어커브!$K:$K,MATCH(AE223,피어커브!$A:$A,0)))</f>
        <v/>
      </c>
      <c r="AG223" s="93" t="str">
        <f aca="false">IF(AE223="","",INDEX(피어커브!$J:$J,MATCH(AE223,피어커브!$A:$A,0)))</f>
        <v/>
      </c>
      <c r="AH223" s="93" t="str">
        <f aca="false">IF(AE223="","",INDEX(피어커브!$L:$L,MATCH(AE223,피어커브!$A:$A,0)))</f>
        <v/>
      </c>
      <c r="AI223" s="93" t="str">
        <f aca="false">IF(AE223="","",AF223+AG223*AA223)</f>
        <v/>
      </c>
      <c r="AJ223" s="96" t="str">
        <f aca="false">IF(AE223="","",E223-AI223)</f>
        <v/>
      </c>
      <c r="AK223" s="95" t="str">
        <f aca="false">IF(AE223="","",IF(ISNUMBER(AH223),IF(AH223&gt;0,AJ223/AH223,""),""))</f>
        <v/>
      </c>
      <c r="AL223" s="43" t="str">
        <f aca="false">IF(AK223="","-",IF(AK223&gt;=설정!$C$6,"Cheap",IF(AK223&lt;=-설정!$C$6,"Rich","Fair")))</f>
        <v>-</v>
      </c>
      <c r="AM223" s="96" t="str">
        <f aca="false">IF(AE223="","",AJ223-AVERAGEIFS($AJ$2:$AJ$601,$B$2:$B$601,B223,$Y$2:$Y$601,1))</f>
        <v/>
      </c>
      <c r="AN223" s="93" t="n">
        <f aca="false">IF(AE223="",0,IF(K223&gt;1+설정!$C$8,AG223*(AA223-LN(K223-1)),0))</f>
        <v>0</v>
      </c>
      <c r="AO223" s="99" t="n">
        <f aca="false">IF($A223="",0,SUMIFS(보유분석!$AA$2:$AA$801,보유분석!$AB$2:$AB$801,ROW(),보유분석!$AC$2:$AC$801,1))</f>
        <v>0</v>
      </c>
      <c r="AP223" s="43" t="str">
        <f aca="false">IF($A223="","",TRIM(IF(R223=1,"FRN ","")&amp;IF(IFERROR(VLOOKUP(M223,설정!$A$15:$D$47,4,0),0)&gt;=10,IF(IFERROR(VLOOKUP(M223,설정!$A$15:$D$47,4,0),0)&lt;99,"BBB0미만 ",""),"")&amp;IF(OR(M223="",M223="NR"),"등급미입력 ","")&amp;IF(C223&lt;&gt;"USD","비USD ","")))</f>
        <v>등급미입력</v>
      </c>
      <c r="AQ223" s="90" t="n">
        <f aca="false">IF(AND(Y223=1,AL223="Cheap"),IF(AND(ISERROR(SEARCH("FRN",AP223)),ISERROR(SEARCH("BBB0미만",AP223))),AK223+ROW()/1000000000,-999),-999)</f>
        <v>-999</v>
      </c>
      <c r="AR223" s="92" t="str">
        <f aca="false">IF(AND(ISNUMBER(D223),ISNUMBER(K223)),D223+AN223*MAX(K223-1,0)/100,"")</f>
        <v/>
      </c>
      <c r="AS223" s="93" t="str">
        <f aca="false">IF(AND(ISNUMBER(E223),ISNUMBER(K223)),IF(K223&gt;0,(E223+AN223*MAX(K223-1,0))/K223,""),"")</f>
        <v/>
      </c>
      <c r="AT223" s="90" t="n">
        <f aca="false">IFERROR(IF(AND(Y223=1,ROW()&lt;&gt;스왑분석!$C$12+1,ABS(K223-INDEX($K$2:$K$601,스왑분석!$C$12))&lt;=스왑분석!$C$5,ISERROR(SEARCH("FRN",AP223)),ISERROR(SEARCH("BBB0미만",AP223))),IF(AND(OR(스왑분석!$C$6="N",L223=INDEX($L$2:$L$601,스왑분석!$C$12)),OR(스왑분석!$C$7="N",N223=INDEX($N$2:$N$601,스왑분석!$C$12)),OR(스왑분석!$C$8="N",AO223=0),E223-INDEX($E$2:$E$601,스왑분석!$C$12)&gt;=스왑분석!$C$9),E223-INDEX($E$2:$E$601,스왑분석!$C$12)+ROW()/1000000000,-999),-999),-999)</f>
        <v>-999</v>
      </c>
      <c r="AU223" s="90" t="n">
        <f aca="false">IF(AND(Y223=1,AO223&gt;0,AL223="Rich"),-AK223+ROW()/1000000000,-999)</f>
        <v>-999</v>
      </c>
    </row>
    <row r="224" customFormat="false" ht="15" hidden="false" customHeight="false" outlineLevel="0" collapsed="false">
      <c r="A224" s="83" t="str">
        <f aca="false">IFERROR(IF(INDEX(원자료_시장!$A$1:$BZ$1000,설정!$L$6+ROW()-1,설정!$L$24)&amp;""="0","",INDEX(원자료_시장!$A$1:$BZ$1000,설정!$L$6+ROW()-1,설정!$L$24)),"")</f>
        <v>DFHOLD 6 7/8 11/06/26</v>
      </c>
      <c r="B224" s="83" t="str">
        <f aca="false">IFERROR(IF(INDEX(원자료_시장!$A$1:$BZ$1000,설정!$L$6+ROW()-1,설정!$L$37)&amp;""="0","",INDEX(원자료_시장!$A$1:$BZ$1000,설정!$L$6+ROW()-1,설정!$L$37)),"")</f>
        <v>KOREA INV &amp; SECS CO LTD</v>
      </c>
      <c r="C224" s="83" t="str">
        <f aca="false">IFERROR(IF(INDEX(원자료_시장!$A$1:$BZ$1000,설정!$L$6+ROW()-1,설정!$L$25)&amp;""="0","",INDEX(원자료_시장!$A$1:$BZ$1000,설정!$L$6+ROW()-1,설정!$L$25)),"")</f>
        <v>USD</v>
      </c>
      <c r="D224" s="85" t="n">
        <f aca="false">IFERROR(IF(ISNUMBER(INDEX(원자료_시장!$A$1:$BZ$1000,설정!$L$6+ROW()-1,설정!$L$26)),INDEX(원자료_시장!$A$1:$BZ$1000,설정!$L$6+ROW()-1,설정!$L$26),""),"")</f>
        <v>4.82</v>
      </c>
      <c r="E224" s="97" t="n">
        <f aca="false">IFERROR(IF(ISNUMBER(INDEX(원자료_시장!$A$1:$BZ$1000,설정!$L$6+ROW()-1,설정!$L$27)),INDEX(원자료_시장!$A$1:$BZ$1000,설정!$L$6+ROW()-1,설정!$L$27),""),"")</f>
        <v>-6.955</v>
      </c>
      <c r="F224" s="97" t="n">
        <f aca="false">IFERROR(IF(ISNUMBER(INDEX(원자료_시장!$A$1:$BZ$1000,설정!$L$6+ROW()-1,설정!$L$28)),INDEX(원자료_시장!$A$1:$BZ$1000,설정!$L$6+ROW()-1,설정!$L$28),""),"")</f>
        <v>90.549</v>
      </c>
      <c r="G224" s="97" t="n">
        <f aca="false">IFERROR(IF(ISNUMBER(INDEX(원자료_시장!$A$1:$BZ$1000,설정!$L$6+ROW()-1,설정!$L$29)),INDEX(원자료_시장!$A$1:$BZ$1000,설정!$L$6+ROW()-1,설정!$L$29),""),"")</f>
        <v>-9.8</v>
      </c>
      <c r="H224" s="97" t="n">
        <f aca="false">IFERROR(IF(ISNUMBER(INDEX(원자료_시장!$A$1:$BZ$1000,설정!$L$6+ROW()-1,설정!$L$30)),INDEX(원자료_시장!$A$1:$BZ$1000,설정!$L$6+ROW()-1,설정!$L$30),""),"")</f>
        <v>-8.3</v>
      </c>
      <c r="I224" s="97" t="n">
        <f aca="false">IFERROR(IF(ISNUMBER(INDEX(원자료_시장!$A$1:$BZ$1000,설정!$L$6+ROW()-1,설정!$L$31)),INDEX(원자료_시장!$A$1:$BZ$1000,설정!$L$6+ROW()-1,설정!$L$31),""),"")</f>
        <v>-36.7</v>
      </c>
      <c r="J224" s="97" t="n">
        <f aca="false">IFERROR(IF(ISNUMBER(INDEX(원자료_시장!$A$1:$BZ$1000,설정!$L$6+ROW()-1,설정!$L$32)),INDEX(원자료_시장!$A$1:$BZ$1000,설정!$L$6+ROW()-1,설정!$L$32),""),"")</f>
        <v>-46.7</v>
      </c>
      <c r="K224" s="85" t="n">
        <f aca="false">IFERROR(IF(ISNUMBER(INDEX(원자료_시장!$A$1:$BZ$1000,설정!$L$6+ROW()-1,설정!$L$33)),INDEX(원자료_시장!$A$1:$BZ$1000,설정!$L$6+ROW()-1,설정!$L$33),""),"")</f>
        <v>0.086</v>
      </c>
      <c r="L224" s="83" t="str">
        <f aca="false">IFERROR(IF(INDEX(원자료_시장!$A$1:$BZ$1000,설정!$L$6+ROW()-1,설정!$L$34)&amp;""="0","",INDEX(원자료_시장!$A$1:$BZ$1000,설정!$L$6+ROW()-1,설정!$L$34)),"")</f>
        <v>금융기관</v>
      </c>
      <c r="M224" s="83" t="str">
        <f aca="false">IFERROR(IF(INDEX(원자료_시장!$A$1:$BZ$1000,설정!$L$6+ROW()-1,설정!$L$35)&amp;""="0","",INDEX(원자료_시장!$A$1:$BZ$1000,설정!$L$6+ROW()-1,설정!$L$35)),"")</f>
        <v>BBB</v>
      </c>
      <c r="N224" s="83" t="str">
        <f aca="false">IFERROR(IF(INDEX(원자료_시장!$A$1:$BZ$1000,설정!$L$6+ROW()-1,설정!$L$36)&amp;""="0","",INDEX(원자료_시장!$A$1:$BZ$1000,설정!$L$6+ROW()-1,설정!$L$36)),"")</f>
        <v>아시아/기타</v>
      </c>
      <c r="O224" s="43" t="str">
        <f aca="false">IF($A224="","",UPPER(LEFT($A224,FIND(" ",$A224&amp;" ")-1)))</f>
        <v>DFHOLD</v>
      </c>
      <c r="P224" s="43" t="str">
        <f aca="false">IF($A224="","",TRIM(RIGHT(SUBSTITUTE(TRIM($A224)," ",REPT(" ",30)),30)))</f>
        <v>11/06/26</v>
      </c>
      <c r="Q224" s="98" t="n">
        <f aca="false">IF($A224="","",IFERROR(DATE(IF(LEN(P224)=8,2000+VALUE(RIGHT(P224,2)),VALUE(RIGHT(P224,4))),VALUE(LEFT(P224,2)),VALUE(MID(P224,4,2))),""))</f>
        <v>46332</v>
      </c>
      <c r="R224" s="89" t="n">
        <f aca="false">IF($A224="",0,IF(ISNUMBER(SEARCH("Float",$A224)),1,0))</f>
        <v>0</v>
      </c>
      <c r="S224" s="43" t="str">
        <f aca="false">IF($A224="","",TRIM(MID($A224,LEN(O224)+2,LEN($A224)-LEN(O224)-LEN(P224)-1)))</f>
        <v>6 7/8</v>
      </c>
      <c r="T224" s="92" t="n">
        <f aca="false">IF(OR($A224="",R224=1),"",IFERROR(IF(ISNUMBER(FIND("/",S224)),IF(ISNUMBER(FIND(" ",S224)),VALUE(LEFT(S224,FIND(" ",S224)-1))+VALUE(MID(S224,FIND(" ",S224)+1,FIND("/",S224)-FIND(" ",S224)-1))/VALUE(MID(S224,FIND("/",S224)+1,9)),VALUE(LEFT(S224,FIND("/",S224)-1))/VALUE(MID(S224,FIND("/",S224)+1,9))),VALUE(S224)),""))</f>
        <v>6.875</v>
      </c>
      <c r="U224" s="43" t="str">
        <f aca="false">IF(OR($A224="",NOT(ISNUMBER(Q224))),"",TEXT(Q224,"yyyymmdd")&amp;"|"&amp;IF(R224=1,"F",TEXT(T224,"0.000")))</f>
        <v>20261106|6.875</v>
      </c>
      <c r="V224" s="43" t="str">
        <f aca="false">IF(U224="","",O224&amp;"|"&amp;U224)</f>
        <v>DFHOLD|20261106|6.875</v>
      </c>
      <c r="W224" s="43" t="str">
        <f aca="false">IF($A224="","",IFERROR(IF(VLOOKUP(O224,매핑!$A$4:$E$92,3,0)="","미분류",VLOOKUP(O224,매핑!$A$4:$E$92,3,0)),"미분류"))</f>
        <v>한국</v>
      </c>
      <c r="X224" s="89" t="n">
        <f aca="false">IF($A224="",0,IF(O224="T",1,0))</f>
        <v>0</v>
      </c>
      <c r="Y224" s="89" t="n">
        <f aca="false">IF($A224="",0,IF(AND(C224="USD",X224=0,ISNUMBER(E224),ISNUMBER(K224)),IF(K224&gt;=설정!$C$8,1,0),0))</f>
        <v>0</v>
      </c>
      <c r="Z224" s="43" t="str">
        <f aca="false">IF($A224="","",N224&amp;"|"&amp;L224)</f>
        <v>아시아/기타|금융기관</v>
      </c>
      <c r="AA224" s="92" t="n">
        <f aca="false">IF(Y224=1,LN(K224),0)</f>
        <v>0</v>
      </c>
      <c r="AB224" s="93" t="n">
        <f aca="false">IF(Y224=1,E224,0)</f>
        <v>0</v>
      </c>
      <c r="AC224" s="89" t="n">
        <f aca="false">IF(Y224=1,COUNTIFS($Z$2:$Z$601,Z224,$Y$2:$Y$601,1),0)</f>
        <v>0</v>
      </c>
      <c r="AD224" s="89" t="n">
        <f aca="false">IF(Y224=1,COUNTIFS($N$2:$N$601,N224,$Y$2:$Y$601,1),0)</f>
        <v>0</v>
      </c>
      <c r="AE224" s="43" t="str">
        <f aca="false">IF(Y224&lt;&gt;1,"",IF(AND(AC224&gt;=설정!$C$7,ISNUMBER(MATCH(Z224,피어커브!$A:$A,0))),Z224,IF(AND(AD224&gt;=설정!$C$7,ISNUMBER(MATCH(N224&amp;"|전체",피어커브!$A:$A,0))),N224&amp;"|전체","전체|전체")))</f>
        <v/>
      </c>
      <c r="AF224" s="93" t="str">
        <f aca="false">IF(AE224="","",INDEX(피어커브!$K:$K,MATCH(AE224,피어커브!$A:$A,0)))</f>
        <v/>
      </c>
      <c r="AG224" s="93" t="str">
        <f aca="false">IF(AE224="","",INDEX(피어커브!$J:$J,MATCH(AE224,피어커브!$A:$A,0)))</f>
        <v/>
      </c>
      <c r="AH224" s="93" t="str">
        <f aca="false">IF(AE224="","",INDEX(피어커브!$L:$L,MATCH(AE224,피어커브!$A:$A,0)))</f>
        <v/>
      </c>
      <c r="AI224" s="93" t="str">
        <f aca="false">IF(AE224="","",AF224+AG224*AA224)</f>
        <v/>
      </c>
      <c r="AJ224" s="96" t="str">
        <f aca="false">IF(AE224="","",E224-AI224)</f>
        <v/>
      </c>
      <c r="AK224" s="95" t="str">
        <f aca="false">IF(AE224="","",IF(ISNUMBER(AH224),IF(AH224&gt;0,AJ224/AH224,""),""))</f>
        <v/>
      </c>
      <c r="AL224" s="43" t="str">
        <f aca="false">IF(AK224="","-",IF(AK224&gt;=설정!$C$6,"Cheap",IF(AK224&lt;=-설정!$C$6,"Rich","Fair")))</f>
        <v>-</v>
      </c>
      <c r="AM224" s="96" t="str">
        <f aca="false">IF(AE224="","",AJ224-AVERAGEIFS($AJ$2:$AJ$601,$B$2:$B$601,B224,$Y$2:$Y$601,1))</f>
        <v/>
      </c>
      <c r="AN224" s="93" t="n">
        <f aca="false">IF(AE224="",0,IF(K224&gt;1+설정!$C$8,AG224*(AA224-LN(K224-1)),0))</f>
        <v>0</v>
      </c>
      <c r="AO224" s="99" t="n">
        <f aca="false">IF($A224="",0,SUMIFS(보유분석!$AA$2:$AA$801,보유분석!$AB$2:$AB$801,ROW(),보유분석!$AC$2:$AC$801,1))</f>
        <v>58.5847665</v>
      </c>
      <c r="AP224" s="43" t="str">
        <f aca="false">IF($A224="","",TRIM(IF(R224=1,"FRN ","")&amp;IF(IFERROR(VLOOKUP(M224,설정!$A$15:$D$47,4,0),0)&gt;=10,IF(IFERROR(VLOOKUP(M224,설정!$A$15:$D$47,4,0),0)&lt;99,"BBB0미만 ",""),"")&amp;IF(OR(M224="",M224="NR"),"등급미입력 ","")&amp;IF(C224&lt;&gt;"USD","비USD ","")))</f>
        <v/>
      </c>
      <c r="AQ224" s="90" t="n">
        <f aca="false">IF(AND(Y224=1,AL224="Cheap"),IF(AND(ISERROR(SEARCH("FRN",AP224)),ISERROR(SEARCH("BBB0미만",AP224))),AK224+ROW()/1000000000,-999),-999)</f>
        <v>-999</v>
      </c>
      <c r="AR224" s="92" t="n">
        <f aca="false">IF(AND(ISNUMBER(D224),ISNUMBER(K224)),D224+AN224*MAX(K224-1,0)/100,"")</f>
        <v>4.82</v>
      </c>
      <c r="AS224" s="93" t="n">
        <f aca="false">IF(AND(ISNUMBER(E224),ISNUMBER(K224)),IF(K224&gt;0,(E224+AN224*MAX(K224-1,0))/K224,""),"")</f>
        <v>-80.8720930232558</v>
      </c>
      <c r="AT224" s="90" t="n">
        <f aca="false">IFERROR(IF(AND(Y224=1,ROW()&lt;&gt;스왑분석!$C$12+1,ABS(K224-INDEX($K$2:$K$601,스왑분석!$C$12))&lt;=스왑분석!$C$5,ISERROR(SEARCH("FRN",AP224)),ISERROR(SEARCH("BBB0미만",AP224))),IF(AND(OR(스왑분석!$C$6="N",L224=INDEX($L$2:$L$601,스왑분석!$C$12)),OR(스왑분석!$C$7="N",N224=INDEX($N$2:$N$601,스왑분석!$C$12)),OR(스왑분석!$C$8="N",AO224=0),E224-INDEX($E$2:$E$601,스왑분석!$C$12)&gt;=스왑분석!$C$9),E224-INDEX($E$2:$E$601,스왑분석!$C$12)+ROW()/1000000000,-999),-999),-999)</f>
        <v>-999</v>
      </c>
      <c r="AU224" s="90" t="n">
        <f aca="false">IF(AND(Y224=1,AO224&gt;0,AL224="Rich"),-AK224+ROW()/1000000000,-999)</f>
        <v>-999</v>
      </c>
    </row>
    <row r="225" customFormat="false" ht="15" hidden="false" customHeight="false" outlineLevel="0" collapsed="false">
      <c r="A225" s="83" t="str">
        <f aca="false">IFERROR(IF(INDEX(원자료_시장!$A$1:$BZ$1000,설정!$L$6+ROW()-1,설정!$L$24)&amp;""="0","",INDEX(원자료_시장!$A$1:$BZ$1000,설정!$L$6+ROW()-1,설정!$L$24)),"")</f>
        <v>DAESEC 6 01/26/29</v>
      </c>
      <c r="B225" s="83" t="str">
        <f aca="false">IFERROR(IF(INDEX(원자료_시장!$A$1:$BZ$1000,설정!$L$6+ROW()-1,설정!$L$37)&amp;""="0","",INDEX(원자료_시장!$A$1:$BZ$1000,설정!$L$6+ROW()-1,설정!$L$37)),"")</f>
        <v>MIRAE ASSET SECURITIES</v>
      </c>
      <c r="C225" s="83" t="str">
        <f aca="false">IFERROR(IF(INDEX(원자료_시장!$A$1:$BZ$1000,설정!$L$6+ROW()-1,설정!$L$25)&amp;""="0","",INDEX(원자료_시장!$A$1:$BZ$1000,설정!$L$6+ROW()-1,설정!$L$25)),"")</f>
        <v>USD</v>
      </c>
      <c r="D225" s="85" t="n">
        <f aca="false">IFERROR(IF(ISNUMBER(INDEX(원자료_시장!$A$1:$BZ$1000,설정!$L$6+ROW()-1,설정!$L$26)),INDEX(원자료_시장!$A$1:$BZ$1000,설정!$L$6+ROW()-1,설정!$L$26),""),"")</f>
        <v>5.752</v>
      </c>
      <c r="E225" s="97" t="n">
        <f aca="false">IFERROR(IF(ISNUMBER(INDEX(원자료_시장!$A$1:$BZ$1000,설정!$L$6+ROW()-1,설정!$L$27)),INDEX(원자료_시장!$A$1:$BZ$1000,설정!$L$6+ROW()-1,설정!$L$27),""),"")</f>
        <v>75.174</v>
      </c>
      <c r="F225" s="97" t="n">
        <f aca="false">IFERROR(IF(ISNUMBER(INDEX(원자료_시장!$A$1:$BZ$1000,설정!$L$6+ROW()-1,설정!$L$28)),INDEX(원자료_시장!$A$1:$BZ$1000,설정!$L$6+ROW()-1,설정!$L$28),""),"")</f>
        <v>104.618</v>
      </c>
      <c r="G225" s="97" t="n">
        <f aca="false">IFERROR(IF(ISNUMBER(INDEX(원자료_시장!$A$1:$BZ$1000,설정!$L$6+ROW()-1,설정!$L$29)),INDEX(원자료_시장!$A$1:$BZ$1000,설정!$L$6+ROW()-1,설정!$L$29),""),"")</f>
        <v>-1.3</v>
      </c>
      <c r="H225" s="97" t="n">
        <f aca="false">IFERROR(IF(ISNUMBER(INDEX(원자료_시장!$A$1:$BZ$1000,설정!$L$6+ROW()-1,설정!$L$30)),INDEX(원자료_시장!$A$1:$BZ$1000,설정!$L$6+ROW()-1,설정!$L$30),""),"")</f>
        <v>1.1</v>
      </c>
      <c r="I225" s="97" t="n">
        <f aca="false">IFERROR(IF(ISNUMBER(INDEX(원자료_시장!$A$1:$BZ$1000,설정!$L$6+ROW()-1,설정!$L$31)),INDEX(원자료_시장!$A$1:$BZ$1000,설정!$L$6+ROW()-1,설정!$L$31),""),"")</f>
        <v>-3.6</v>
      </c>
      <c r="J225" s="97" t="n">
        <f aca="false">IFERROR(IF(ISNUMBER(INDEX(원자료_시장!$A$1:$BZ$1000,설정!$L$6+ROW()-1,설정!$L$32)),INDEX(원자료_시장!$A$1:$BZ$1000,설정!$L$6+ROW()-1,설정!$L$32),""),"")</f>
        <v>-10.4</v>
      </c>
      <c r="K225" s="85" t="n">
        <f aca="false">IFERROR(IF(ISNUMBER(INDEX(원자료_시장!$A$1:$BZ$1000,설정!$L$6+ROW()-1,설정!$L$33)),INDEX(원자료_시장!$A$1:$BZ$1000,설정!$L$6+ROW()-1,설정!$L$33),""),"")</f>
        <v>2.167</v>
      </c>
      <c r="L225" s="83" t="str">
        <f aca="false">IFERROR(IF(INDEX(원자료_시장!$A$1:$BZ$1000,설정!$L$6+ROW()-1,설정!$L$34)&amp;""="0","",INDEX(원자료_시장!$A$1:$BZ$1000,설정!$L$6+ROW()-1,설정!$L$34)),"")</f>
        <v>금융기관</v>
      </c>
      <c r="M225" s="83" t="str">
        <f aca="false">IFERROR(IF(INDEX(원자료_시장!$A$1:$BZ$1000,설정!$L$6+ROW()-1,설정!$L$35)&amp;""="0","",INDEX(원자료_시장!$A$1:$BZ$1000,설정!$L$6+ROW()-1,설정!$L$35)),"")</f>
        <v>NR</v>
      </c>
      <c r="N225" s="83" t="str">
        <f aca="false">IFERROR(IF(INDEX(원자료_시장!$A$1:$BZ$1000,설정!$L$6+ROW()-1,설정!$L$36)&amp;""="0","",INDEX(원자료_시장!$A$1:$BZ$1000,설정!$L$6+ROW()-1,설정!$L$36)),"")</f>
        <v>아시아/기타</v>
      </c>
      <c r="O225" s="43" t="str">
        <f aca="false">IF($A225="","",UPPER(LEFT($A225,FIND(" ",$A225&amp;" ")-1)))</f>
        <v>DAESEC</v>
      </c>
      <c r="P225" s="43" t="str">
        <f aca="false">IF($A225="","",TRIM(RIGHT(SUBSTITUTE(TRIM($A225)," ",REPT(" ",30)),30)))</f>
        <v>01/26/29</v>
      </c>
      <c r="Q225" s="98" t="n">
        <f aca="false">IF($A225="","",IFERROR(DATE(IF(LEN(P225)=8,2000+VALUE(RIGHT(P225,2)),VALUE(RIGHT(P225,4))),VALUE(LEFT(P225,2)),VALUE(MID(P225,4,2))),""))</f>
        <v>47144</v>
      </c>
      <c r="R225" s="89" t="n">
        <f aca="false">IF($A225="",0,IF(ISNUMBER(SEARCH("Float",$A225)),1,0))</f>
        <v>0</v>
      </c>
      <c r="S225" s="43" t="str">
        <f aca="false">IF($A225="","",TRIM(MID($A225,LEN(O225)+2,LEN($A225)-LEN(O225)-LEN(P225)-1)))</f>
        <v>6</v>
      </c>
      <c r="T225" s="92" t="n">
        <f aca="false">IF(OR($A225="",R225=1),"",IFERROR(IF(ISNUMBER(FIND("/",S225)),IF(ISNUMBER(FIND(" ",S225)),VALUE(LEFT(S225,FIND(" ",S225)-1))+VALUE(MID(S225,FIND(" ",S225)+1,FIND("/",S225)-FIND(" ",S225)-1))/VALUE(MID(S225,FIND("/",S225)+1,9)),VALUE(LEFT(S225,FIND("/",S225)-1))/VALUE(MID(S225,FIND("/",S225)+1,9))),VALUE(S225)),""))</f>
        <v>6</v>
      </c>
      <c r="U225" s="43" t="str">
        <f aca="false">IF(OR($A225="",NOT(ISNUMBER(Q225))),"",TEXT(Q225,"yyyymmdd")&amp;"|"&amp;IF(R225=1,"F",TEXT(T225,"0.000")))</f>
        <v>20290126|6.000</v>
      </c>
      <c r="V225" s="43" t="str">
        <f aca="false">IF(U225="","",O225&amp;"|"&amp;U225)</f>
        <v>DAESEC|20290126|6.000</v>
      </c>
      <c r="W225" s="43" t="str">
        <f aca="false">IF($A225="","",IFERROR(IF(VLOOKUP(O225,매핑!$A$4:$E$92,3,0)="","미분류",VLOOKUP(O225,매핑!$A$4:$E$92,3,0)),"미분류"))</f>
        <v>한국</v>
      </c>
      <c r="X225" s="89" t="n">
        <f aca="false">IF($A225="",0,IF(O225="T",1,0))</f>
        <v>0</v>
      </c>
      <c r="Y225" s="89" t="n">
        <f aca="false">IF($A225="",0,IF(AND(C225="USD",X225=0,ISNUMBER(E225),ISNUMBER(K225)),IF(K225&gt;=설정!$C$8,1,0),0))</f>
        <v>1</v>
      </c>
      <c r="Z225" s="43" t="str">
        <f aca="false">IF($A225="","",N225&amp;"|"&amp;L225)</f>
        <v>아시아/기타|금융기관</v>
      </c>
      <c r="AA225" s="92" t="n">
        <f aca="false">IF(Y225=1,LN(K225),0)</f>
        <v>0.773343722554222</v>
      </c>
      <c r="AB225" s="93" t="n">
        <f aca="false">IF(Y225=1,E225,0)</f>
        <v>75.174</v>
      </c>
      <c r="AC225" s="89" t="n">
        <f aca="false">IF(Y225=1,COUNTIFS($Z$2:$Z$601,Z225,$Y$2:$Y$601,1),0)</f>
        <v>42</v>
      </c>
      <c r="AD225" s="89" t="n">
        <f aca="false">IF(Y225=1,COUNTIFS($N$2:$N$601,N225,$Y$2:$Y$601,1),0)</f>
        <v>137</v>
      </c>
      <c r="AE225" s="43" t="str">
        <f aca="false">IF(Y225&lt;&gt;1,"",IF(AND(AC225&gt;=설정!$C$7,ISNUMBER(MATCH(Z225,피어커브!$A:$A,0))),Z225,IF(AND(AD225&gt;=설정!$C$7,ISNUMBER(MATCH(N225&amp;"|전체",피어커브!$A:$A,0))),N225&amp;"|전체","전체|전체")))</f>
        <v>아시아/기타|금융기관</v>
      </c>
      <c r="AF225" s="93" t="n">
        <f aca="false">IF(AE225="","",INDEX(피어커브!$K:$K,MATCH(AE225,피어커브!$A:$A,0)))</f>
        <v>50.117430292991</v>
      </c>
      <c r="AG225" s="93" t="n">
        <f aca="false">IF(AE225="","",INDEX(피어커브!$J:$J,MATCH(AE225,피어커브!$A:$A,0)))</f>
        <v>13.9183160321618</v>
      </c>
      <c r="AH225" s="93" t="n">
        <f aca="false">IF(AE225="","",INDEX(피어커브!$L:$L,MATCH(AE225,피어커브!$A:$A,0)))</f>
        <v>20.4735875466442</v>
      </c>
      <c r="AI225" s="93" t="n">
        <f aca="false">IF(AE225="","",AF225+AG225*AA225)</f>
        <v>60.8810726249891</v>
      </c>
      <c r="AJ225" s="96" t="n">
        <f aca="false">IF(AE225="","",E225-AI225)</f>
        <v>14.2929273750109</v>
      </c>
      <c r="AK225" s="95" t="n">
        <f aca="false">IF(AE225="","",IF(ISNUMBER(AH225),IF(AH225&gt;0,AJ225/AH225,""),""))</f>
        <v>0.698115430060699</v>
      </c>
      <c r="AL225" s="43" t="str">
        <f aca="false">IF(AK225="","-",IF(AK225&gt;=설정!$C$6,"Cheap",IF(AK225&lt;=-설정!$C$6,"Rich","Fair")))</f>
        <v>Fair</v>
      </c>
      <c r="AM225" s="96" t="n">
        <f aca="false">IF(AE225="","",AJ225-AVERAGEIFS($AJ$2:$AJ$601,$B$2:$B$601,B225,$Y$2:$Y$601,1))</f>
        <v>-7.35476630988181</v>
      </c>
      <c r="AN225" s="93" t="n">
        <f aca="false">IF(AE225="",0,IF(K225&gt;1+설정!$C$8,AG225*(AA225-LN(K225-1)),0))</f>
        <v>8.61414835985263</v>
      </c>
      <c r="AO225" s="99" t="n">
        <f aca="false">IF($A225="",0,SUMIFS(보유분석!$AA$2:$AA$801,보유분석!$AB$2:$AB$801,ROW(),보유분석!$AC$2:$AC$801,1))</f>
        <v>19.109782</v>
      </c>
      <c r="AP225" s="43" t="str">
        <f aca="false">IF($A225="","",TRIM(IF(R225=1,"FRN ","")&amp;IF(IFERROR(VLOOKUP(M225,설정!$A$15:$D$47,4,0),0)&gt;=10,IF(IFERROR(VLOOKUP(M225,설정!$A$15:$D$47,4,0),0)&lt;99,"BBB0미만 ",""),"")&amp;IF(OR(M225="",M225="NR"),"등급미입력 ","")&amp;IF(C225&lt;&gt;"USD","비USD ","")))</f>
        <v>등급미입력</v>
      </c>
      <c r="AQ225" s="90" t="n">
        <f aca="false">IF(AND(Y225=1,AL225="Cheap"),IF(AND(ISERROR(SEARCH("FRN",AP225)),ISERROR(SEARCH("BBB0미만",AP225))),AK225+ROW()/1000000000,-999),-999)</f>
        <v>-999</v>
      </c>
      <c r="AR225" s="92" t="n">
        <f aca="false">IF(AND(ISNUMBER(D225),ISNUMBER(K225)),D225+AN225*MAX(K225-1,0)/100,"")</f>
        <v>5.85252711135948</v>
      </c>
      <c r="AS225" s="93" t="n">
        <f aca="false">IF(AND(ISNUMBER(E225),ISNUMBER(K225)),IF(K225&gt;0,(E225+AN225*MAX(K225-1,0))/K225,""),"")</f>
        <v>39.3293544697499</v>
      </c>
      <c r="AT225" s="90" t="n">
        <f aca="false">IFERROR(IF(AND(Y225=1,ROW()&lt;&gt;스왑분석!$C$12+1,ABS(K225-INDEX($K$2:$K$601,스왑분석!$C$12))&lt;=스왑분석!$C$5,ISERROR(SEARCH("FRN",AP225)),ISERROR(SEARCH("BBB0미만",AP225))),IF(AND(OR(스왑분석!$C$6="N",L225=INDEX($L$2:$L$601,스왑분석!$C$12)),OR(스왑분석!$C$7="N",N225=INDEX($N$2:$N$601,스왑분석!$C$12)),OR(스왑분석!$C$8="N",AO225=0),E225-INDEX($E$2:$E$601,스왑분석!$C$12)&gt;=스왑분석!$C$9),E225-INDEX($E$2:$E$601,스왑분석!$C$12)+ROW()/1000000000,-999),-999),-999)</f>
        <v>-999</v>
      </c>
      <c r="AU225" s="90" t="n">
        <f aca="false">IF(AND(Y225=1,AO225&gt;0,AL225="Rich"),-AK225+ROW()/1000000000,-999)</f>
        <v>-999</v>
      </c>
    </row>
    <row r="226" customFormat="false" ht="15" hidden="false" customHeight="false" outlineLevel="0" collapsed="false">
      <c r="A226" s="83" t="str">
        <f aca="false">IFERROR(IF(INDEX(원자료_시장!$A$1:$BZ$1000,설정!$L$6+ROW()-1,설정!$L$24)&amp;""="0","",INDEX(원자료_시장!$A$1:$BZ$1000,설정!$L$6+ROW()-1,설정!$L$24)),"")</f>
        <v>DAESEC 5 7/8 01/26/27</v>
      </c>
      <c r="B226" s="83" t="str">
        <f aca="false">IFERROR(IF(INDEX(원자료_시장!$A$1:$BZ$1000,설정!$L$6+ROW()-1,설정!$L$37)&amp;""="0","",INDEX(원자료_시장!$A$1:$BZ$1000,설정!$L$6+ROW()-1,설정!$L$37)),"")</f>
        <v>MIRAE ASSET SECURITIES</v>
      </c>
      <c r="C226" s="83" t="str">
        <f aca="false">IFERROR(IF(INDEX(원자료_시장!$A$1:$BZ$1000,설정!$L$6+ROW()-1,설정!$L$25)&amp;""="0","",INDEX(원자료_시장!$A$1:$BZ$1000,설정!$L$6+ROW()-1,설정!$L$25)),"")</f>
        <v>USD</v>
      </c>
      <c r="D226" s="85" t="n">
        <f aca="false">IFERROR(IF(ISNUMBER(INDEX(원자료_시장!$A$1:$BZ$1000,설정!$L$6+ROW()-1,설정!$L$26)),INDEX(원자료_시장!$A$1:$BZ$1000,설정!$L$6+ROW()-1,설정!$L$26),""),"")</f>
        <v>4.864</v>
      </c>
      <c r="E226" s="97" t="n">
        <f aca="false">IFERROR(IF(ISNUMBER(INDEX(원자료_시장!$A$1:$BZ$1000,설정!$L$6+ROW()-1,설정!$L$27)),INDEX(원자료_시장!$A$1:$BZ$1000,설정!$L$6+ROW()-1,설정!$L$27),""),"")</f>
        <v>-2.522</v>
      </c>
      <c r="F226" s="97" t="n">
        <f aca="false">IFERROR(IF(ISNUMBER(INDEX(원자료_시장!$A$1:$BZ$1000,설정!$L$6+ROW()-1,설정!$L$28)),INDEX(원자료_시장!$A$1:$BZ$1000,설정!$L$6+ROW()-1,설정!$L$28),""),"")</f>
        <v>77.546</v>
      </c>
      <c r="G226" s="97" t="n">
        <f aca="false">IFERROR(IF(ISNUMBER(INDEX(원자료_시장!$A$1:$BZ$1000,설정!$L$6+ROW()-1,설정!$L$29)),INDEX(원자료_시장!$A$1:$BZ$1000,설정!$L$6+ROW()-1,설정!$L$29),""),"")</f>
        <v>-0.4</v>
      </c>
      <c r="H226" s="97" t="n">
        <f aca="false">IFERROR(IF(ISNUMBER(INDEX(원자료_시장!$A$1:$BZ$1000,설정!$L$6+ROW()-1,설정!$L$30)),INDEX(원자료_시장!$A$1:$BZ$1000,설정!$L$6+ROW()-1,설정!$L$30),""),"")</f>
        <v>-5.8</v>
      </c>
      <c r="I226" s="97" t="n">
        <f aca="false">IFERROR(IF(ISNUMBER(INDEX(원자료_시장!$A$1:$BZ$1000,설정!$L$6+ROW()-1,설정!$L$31)),INDEX(원자료_시장!$A$1:$BZ$1000,설정!$L$6+ROW()-1,설정!$L$31),""),"")</f>
        <v>-35.7</v>
      </c>
      <c r="J226" s="97" t="n">
        <f aca="false">IFERROR(IF(ISNUMBER(INDEX(원자료_시장!$A$1:$BZ$1000,설정!$L$6+ROW()-1,설정!$L$32)),INDEX(원자료_시장!$A$1:$BZ$1000,설정!$L$6+ROW()-1,설정!$L$32),""),"")</f>
        <v>-55.1</v>
      </c>
      <c r="K226" s="85" t="n">
        <f aca="false">IFERROR(IF(ISNUMBER(INDEX(원자료_시장!$A$1:$BZ$1000,설정!$L$6+ROW()-1,설정!$L$33)),INDEX(원자료_시장!$A$1:$BZ$1000,설정!$L$6+ROW()-1,설정!$L$33),""),"")</f>
        <v>0.308</v>
      </c>
      <c r="L226" s="83" t="str">
        <f aca="false">IFERROR(IF(INDEX(원자료_시장!$A$1:$BZ$1000,설정!$L$6+ROW()-1,설정!$L$34)&amp;""="0","",INDEX(원자료_시장!$A$1:$BZ$1000,설정!$L$6+ROW()-1,설정!$L$34)),"")</f>
        <v>금융기관</v>
      </c>
      <c r="M226" s="83" t="str">
        <f aca="false">IFERROR(IF(INDEX(원자료_시장!$A$1:$BZ$1000,설정!$L$6+ROW()-1,설정!$L$35)&amp;""="0","",INDEX(원자료_시장!$A$1:$BZ$1000,설정!$L$6+ROW()-1,설정!$L$35)),"")</f>
        <v>NR</v>
      </c>
      <c r="N226" s="83" t="str">
        <f aca="false">IFERROR(IF(INDEX(원자료_시장!$A$1:$BZ$1000,설정!$L$6+ROW()-1,설정!$L$36)&amp;""="0","",INDEX(원자료_시장!$A$1:$BZ$1000,설정!$L$6+ROW()-1,설정!$L$36)),"")</f>
        <v>아시아/기타</v>
      </c>
      <c r="O226" s="43" t="str">
        <f aca="false">IF($A226="","",UPPER(LEFT($A226,FIND(" ",$A226&amp;" ")-1)))</f>
        <v>DAESEC</v>
      </c>
      <c r="P226" s="43" t="str">
        <f aca="false">IF($A226="","",TRIM(RIGHT(SUBSTITUTE(TRIM($A226)," ",REPT(" ",30)),30)))</f>
        <v>01/26/27</v>
      </c>
      <c r="Q226" s="98" t="n">
        <f aca="false">IF($A226="","",IFERROR(DATE(IF(LEN(P226)=8,2000+VALUE(RIGHT(P226,2)),VALUE(RIGHT(P226,4))),VALUE(LEFT(P226,2)),VALUE(MID(P226,4,2))),""))</f>
        <v>46413</v>
      </c>
      <c r="R226" s="89" t="n">
        <f aca="false">IF($A226="",0,IF(ISNUMBER(SEARCH("Float",$A226)),1,0))</f>
        <v>0</v>
      </c>
      <c r="S226" s="43" t="str">
        <f aca="false">IF($A226="","",TRIM(MID($A226,LEN(O226)+2,LEN($A226)-LEN(O226)-LEN(P226)-1)))</f>
        <v>5 7/8</v>
      </c>
      <c r="T226" s="92" t="n">
        <f aca="false">IF(OR($A226="",R226=1),"",IFERROR(IF(ISNUMBER(FIND("/",S226)),IF(ISNUMBER(FIND(" ",S226)),VALUE(LEFT(S226,FIND(" ",S226)-1))+VALUE(MID(S226,FIND(" ",S226)+1,FIND("/",S226)-FIND(" ",S226)-1))/VALUE(MID(S226,FIND("/",S226)+1,9)),VALUE(LEFT(S226,FIND("/",S226)-1))/VALUE(MID(S226,FIND("/",S226)+1,9))),VALUE(S226)),""))</f>
        <v>5.875</v>
      </c>
      <c r="U226" s="43" t="str">
        <f aca="false">IF(OR($A226="",NOT(ISNUMBER(Q226))),"",TEXT(Q226,"yyyymmdd")&amp;"|"&amp;IF(R226=1,"F",TEXT(T226,"0.000")))</f>
        <v>20270126|5.875</v>
      </c>
      <c r="V226" s="43" t="str">
        <f aca="false">IF(U226="","",O226&amp;"|"&amp;U226)</f>
        <v>DAESEC|20270126|5.875</v>
      </c>
      <c r="W226" s="43" t="str">
        <f aca="false">IF($A226="","",IFERROR(IF(VLOOKUP(O226,매핑!$A$4:$E$92,3,0)="","미분류",VLOOKUP(O226,매핑!$A$4:$E$92,3,0)),"미분류"))</f>
        <v>한국</v>
      </c>
      <c r="X226" s="89" t="n">
        <f aca="false">IF($A226="",0,IF(O226="T",1,0))</f>
        <v>0</v>
      </c>
      <c r="Y226" s="89" t="n">
        <f aca="false">IF($A226="",0,IF(AND(C226="USD",X226=0,ISNUMBER(E226),ISNUMBER(K226)),IF(K226&gt;=설정!$C$8,1,0),0))</f>
        <v>0</v>
      </c>
      <c r="Z226" s="43" t="str">
        <f aca="false">IF($A226="","",N226&amp;"|"&amp;L226)</f>
        <v>아시아/기타|금융기관</v>
      </c>
      <c r="AA226" s="92" t="n">
        <f aca="false">IF(Y226=1,LN(K226),0)</f>
        <v>0</v>
      </c>
      <c r="AB226" s="93" t="n">
        <f aca="false">IF(Y226=1,E226,0)</f>
        <v>0</v>
      </c>
      <c r="AC226" s="89" t="n">
        <f aca="false">IF(Y226=1,COUNTIFS($Z$2:$Z$601,Z226,$Y$2:$Y$601,1),0)</f>
        <v>0</v>
      </c>
      <c r="AD226" s="89" t="n">
        <f aca="false">IF(Y226=1,COUNTIFS($N$2:$N$601,N226,$Y$2:$Y$601,1),0)</f>
        <v>0</v>
      </c>
      <c r="AE226" s="43" t="str">
        <f aca="false">IF(Y226&lt;&gt;1,"",IF(AND(AC226&gt;=설정!$C$7,ISNUMBER(MATCH(Z226,피어커브!$A:$A,0))),Z226,IF(AND(AD226&gt;=설정!$C$7,ISNUMBER(MATCH(N226&amp;"|전체",피어커브!$A:$A,0))),N226&amp;"|전체","전체|전체")))</f>
        <v/>
      </c>
      <c r="AF226" s="93" t="str">
        <f aca="false">IF(AE226="","",INDEX(피어커브!$K:$K,MATCH(AE226,피어커브!$A:$A,0)))</f>
        <v/>
      </c>
      <c r="AG226" s="93" t="str">
        <f aca="false">IF(AE226="","",INDEX(피어커브!$J:$J,MATCH(AE226,피어커브!$A:$A,0)))</f>
        <v/>
      </c>
      <c r="AH226" s="93" t="str">
        <f aca="false">IF(AE226="","",INDEX(피어커브!$L:$L,MATCH(AE226,피어커브!$A:$A,0)))</f>
        <v/>
      </c>
      <c r="AI226" s="93" t="str">
        <f aca="false">IF(AE226="","",AF226+AG226*AA226)</f>
        <v/>
      </c>
      <c r="AJ226" s="96" t="str">
        <f aca="false">IF(AE226="","",E226-AI226)</f>
        <v/>
      </c>
      <c r="AK226" s="95" t="str">
        <f aca="false">IF(AE226="","",IF(ISNUMBER(AH226),IF(AH226&gt;0,AJ226/AH226,""),""))</f>
        <v/>
      </c>
      <c r="AL226" s="43" t="str">
        <f aca="false">IF(AK226="","-",IF(AK226&gt;=설정!$C$6,"Cheap",IF(AK226&lt;=-설정!$C$6,"Rich","Fair")))</f>
        <v>-</v>
      </c>
      <c r="AM226" s="96" t="str">
        <f aca="false">IF(AE226="","",AJ226-AVERAGEIFS($AJ$2:$AJ$601,$B$2:$B$601,B226,$Y$2:$Y$601,1))</f>
        <v/>
      </c>
      <c r="AN226" s="93" t="n">
        <f aca="false">IF(AE226="",0,IF(K226&gt;1+설정!$C$8,AG226*(AA226-LN(K226-1)),0))</f>
        <v>0</v>
      </c>
      <c r="AO226" s="99" t="n">
        <f aca="false">IF($A226="",0,SUMIFS(보유분석!$AA$2:$AA$801,보유분석!$AB$2:$AB$801,ROW(),보유분석!$AC$2:$AC$801,1))</f>
        <v>0</v>
      </c>
      <c r="AP226" s="43" t="str">
        <f aca="false">IF($A226="","",TRIM(IF(R226=1,"FRN ","")&amp;IF(IFERROR(VLOOKUP(M226,설정!$A$15:$D$47,4,0),0)&gt;=10,IF(IFERROR(VLOOKUP(M226,설정!$A$15:$D$47,4,0),0)&lt;99,"BBB0미만 ",""),"")&amp;IF(OR(M226="",M226="NR"),"등급미입력 ","")&amp;IF(C226&lt;&gt;"USD","비USD ","")))</f>
        <v>등급미입력</v>
      </c>
      <c r="AQ226" s="90" t="n">
        <f aca="false">IF(AND(Y226=1,AL226="Cheap"),IF(AND(ISERROR(SEARCH("FRN",AP226)),ISERROR(SEARCH("BBB0미만",AP226))),AK226+ROW()/1000000000,-999),-999)</f>
        <v>-999</v>
      </c>
      <c r="AR226" s="92" t="n">
        <f aca="false">IF(AND(ISNUMBER(D226),ISNUMBER(K226)),D226+AN226*MAX(K226-1,0)/100,"")</f>
        <v>4.864</v>
      </c>
      <c r="AS226" s="93" t="n">
        <f aca="false">IF(AND(ISNUMBER(E226),ISNUMBER(K226)),IF(K226&gt;0,(E226+AN226*MAX(K226-1,0))/K226,""),"")</f>
        <v>-8.18831168831169</v>
      </c>
      <c r="AT226" s="90" t="n">
        <f aca="false">IFERROR(IF(AND(Y226=1,ROW()&lt;&gt;스왑분석!$C$12+1,ABS(K226-INDEX($K$2:$K$601,스왑분석!$C$12))&lt;=스왑분석!$C$5,ISERROR(SEARCH("FRN",AP226)),ISERROR(SEARCH("BBB0미만",AP226))),IF(AND(OR(스왑분석!$C$6="N",L226=INDEX($L$2:$L$601,스왑분석!$C$12)),OR(스왑분석!$C$7="N",N226=INDEX($N$2:$N$601,스왑분석!$C$12)),OR(스왑분석!$C$8="N",AO226=0),E226-INDEX($E$2:$E$601,스왑분석!$C$12)&gt;=스왑분석!$C$9),E226-INDEX($E$2:$E$601,스왑분석!$C$12)+ROW()/1000000000,-999),-999),-999)</f>
        <v>-999</v>
      </c>
      <c r="AU226" s="90" t="n">
        <f aca="false">IF(AND(Y226=1,AO226&gt;0,AL226="Rich"),-AK226+ROW()/1000000000,-999)</f>
        <v>-999</v>
      </c>
    </row>
    <row r="227" customFormat="false" ht="15" hidden="false" customHeight="false" outlineLevel="0" collapsed="false">
      <c r="A227" s="83" t="str">
        <f aca="false">IFERROR(IF(INDEX(원자료_시장!$A$1:$BZ$1000,설정!$L$6+ROW()-1,설정!$L$24)&amp;""="0","",INDEX(원자료_시장!$A$1:$BZ$1000,설정!$L$6+ROW()-1,설정!$L$24)),"")</f>
        <v>SKBTAM 4 7/8 01/23/27</v>
      </c>
      <c r="B227" s="83" t="str">
        <f aca="false">IFERROR(IF(INDEX(원자료_시장!$A$1:$BZ$1000,설정!$L$6+ROW()-1,설정!$L$37)&amp;""="0","",INDEX(원자료_시장!$A$1:$BZ$1000,설정!$L$6+ROW()-1,설정!$L$37)),"")</f>
        <v>SK BATTERY AMERICA INC</v>
      </c>
      <c r="C227" s="83" t="str">
        <f aca="false">IFERROR(IF(INDEX(원자료_시장!$A$1:$BZ$1000,설정!$L$6+ROW()-1,설정!$L$25)&amp;""="0","",INDEX(원자료_시장!$A$1:$BZ$1000,설정!$L$6+ROW()-1,설정!$L$25)),"")</f>
        <v>USD</v>
      </c>
      <c r="D227" s="85" t="n">
        <f aca="false">IFERROR(IF(ISNUMBER(INDEX(원자료_시장!$A$1:$BZ$1000,설정!$L$6+ROW()-1,설정!$L$26)),INDEX(원자료_시장!$A$1:$BZ$1000,설정!$L$6+ROW()-1,설정!$L$26),""),"")</f>
        <v>4.801</v>
      </c>
      <c r="E227" s="97" t="n">
        <f aca="false">IFERROR(IF(ISNUMBER(INDEX(원자료_시장!$A$1:$BZ$1000,설정!$L$6+ROW()-1,설정!$L$27)),INDEX(원자료_시장!$A$1:$BZ$1000,설정!$L$6+ROW()-1,설정!$L$27),""),"")</f>
        <v>-8.802</v>
      </c>
      <c r="F227" s="97" t="n">
        <f aca="false">IFERROR(IF(ISNUMBER(INDEX(원자료_시장!$A$1:$BZ$1000,설정!$L$6+ROW()-1,설정!$L$28)),INDEX(원자료_시장!$A$1:$BZ$1000,설정!$L$6+ROW()-1,설정!$L$28),""),"")</f>
        <v>71.838</v>
      </c>
      <c r="G227" s="97" t="n">
        <f aca="false">IFERROR(IF(ISNUMBER(INDEX(원자료_시장!$A$1:$BZ$1000,설정!$L$6+ROW()-1,설정!$L$29)),INDEX(원자료_시장!$A$1:$BZ$1000,설정!$L$6+ROW()-1,설정!$L$29),""),"")</f>
        <v>2.1</v>
      </c>
      <c r="H227" s="97" t="n">
        <f aca="false">IFERROR(IF(ISNUMBER(INDEX(원자료_시장!$A$1:$BZ$1000,설정!$L$6+ROW()-1,설정!$L$30)),INDEX(원자료_시장!$A$1:$BZ$1000,설정!$L$6+ROW()-1,설정!$L$30),""),"")</f>
        <v>3.9</v>
      </c>
      <c r="I227" s="97" t="n">
        <f aca="false">IFERROR(IF(ISNUMBER(INDEX(원자료_시장!$A$1:$BZ$1000,설정!$L$6+ROW()-1,설정!$L$31)),INDEX(원자료_시장!$A$1:$BZ$1000,설정!$L$6+ROW()-1,설정!$L$31),""),"")</f>
        <v>-18.5</v>
      </c>
      <c r="J227" s="97" t="n">
        <f aca="false">IFERROR(IF(ISNUMBER(INDEX(원자료_시장!$A$1:$BZ$1000,설정!$L$6+ROW()-1,설정!$L$32)),INDEX(원자료_시장!$A$1:$BZ$1000,설정!$L$6+ROW()-1,설정!$L$32),""),"")</f>
        <v>-39.5</v>
      </c>
      <c r="K227" s="85" t="n">
        <f aca="false">IFERROR(IF(ISNUMBER(INDEX(원자료_시장!$A$1:$BZ$1000,설정!$L$6+ROW()-1,설정!$L$33)),INDEX(원자료_시장!$A$1:$BZ$1000,설정!$L$6+ROW()-1,설정!$L$33),""),"")</f>
        <v>0.3</v>
      </c>
      <c r="L227" s="83" t="str">
        <f aca="false">IFERROR(IF(INDEX(원자료_시장!$A$1:$BZ$1000,설정!$L$6+ROW()-1,설정!$L$34)&amp;""="0","",INDEX(원자료_시장!$A$1:$BZ$1000,설정!$L$6+ROW()-1,설정!$L$34)),"")</f>
        <v>에너지</v>
      </c>
      <c r="M227" s="83" t="n">
        <f aca="false">IFERROR(IF(INDEX(원자료_시장!$A$1:$BZ$1000,설정!$L$6+ROW()-1,설정!$L$35)&amp;""="0","",INDEX(원자료_시장!$A$1:$BZ$1000,설정!$L$6+ROW()-1,설정!$L$35)),"")</f>
        <v>0</v>
      </c>
      <c r="N227" s="83" t="str">
        <f aca="false">IFERROR(IF(INDEX(원자료_시장!$A$1:$BZ$1000,설정!$L$6+ROW()-1,설정!$L$36)&amp;""="0","",INDEX(원자료_시장!$A$1:$BZ$1000,설정!$L$6+ROW()-1,설정!$L$36)),"")</f>
        <v>아시아/기타</v>
      </c>
      <c r="O227" s="43" t="str">
        <f aca="false">IF($A227="","",UPPER(LEFT($A227,FIND(" ",$A227&amp;" ")-1)))</f>
        <v>SKBTAM</v>
      </c>
      <c r="P227" s="43" t="str">
        <f aca="false">IF($A227="","",TRIM(RIGHT(SUBSTITUTE(TRIM($A227)," ",REPT(" ",30)),30)))</f>
        <v>01/23/27</v>
      </c>
      <c r="Q227" s="98" t="n">
        <f aca="false">IF($A227="","",IFERROR(DATE(IF(LEN(P227)=8,2000+VALUE(RIGHT(P227,2)),VALUE(RIGHT(P227,4))),VALUE(LEFT(P227,2)),VALUE(MID(P227,4,2))),""))</f>
        <v>46410</v>
      </c>
      <c r="R227" s="89" t="n">
        <f aca="false">IF($A227="",0,IF(ISNUMBER(SEARCH("Float",$A227)),1,0))</f>
        <v>0</v>
      </c>
      <c r="S227" s="43" t="str">
        <f aca="false">IF($A227="","",TRIM(MID($A227,LEN(O227)+2,LEN($A227)-LEN(O227)-LEN(P227)-1)))</f>
        <v>4 7/8</v>
      </c>
      <c r="T227" s="92" t="n">
        <f aca="false">IF(OR($A227="",R227=1),"",IFERROR(IF(ISNUMBER(FIND("/",S227)),IF(ISNUMBER(FIND(" ",S227)),VALUE(LEFT(S227,FIND(" ",S227)-1))+VALUE(MID(S227,FIND(" ",S227)+1,FIND("/",S227)-FIND(" ",S227)-1))/VALUE(MID(S227,FIND("/",S227)+1,9)),VALUE(LEFT(S227,FIND("/",S227)-1))/VALUE(MID(S227,FIND("/",S227)+1,9))),VALUE(S227)),""))</f>
        <v>4.875</v>
      </c>
      <c r="U227" s="43" t="str">
        <f aca="false">IF(OR($A227="",NOT(ISNUMBER(Q227))),"",TEXT(Q227,"yyyymmdd")&amp;"|"&amp;IF(R227=1,"F",TEXT(T227,"0.000")))</f>
        <v>20270123|4.875</v>
      </c>
      <c r="V227" s="43" t="str">
        <f aca="false">IF(U227="","",O227&amp;"|"&amp;U227)</f>
        <v>SKBTAM|20270123|4.875</v>
      </c>
      <c r="W227" s="43" t="str">
        <f aca="false">IF($A227="","",IFERROR(IF(VLOOKUP(O227,매핑!$A$4:$E$92,3,0)="","미분류",VLOOKUP(O227,매핑!$A$4:$E$92,3,0)),"미분류"))</f>
        <v>한국</v>
      </c>
      <c r="X227" s="89" t="n">
        <f aca="false">IF($A227="",0,IF(O227="T",1,0))</f>
        <v>0</v>
      </c>
      <c r="Y227" s="89" t="n">
        <f aca="false">IF($A227="",0,IF(AND(C227="USD",X227=0,ISNUMBER(E227),ISNUMBER(K227)),IF(K227&gt;=설정!$C$8,1,0),0))</f>
        <v>0</v>
      </c>
      <c r="Z227" s="43" t="str">
        <f aca="false">IF($A227="","",N227&amp;"|"&amp;L227)</f>
        <v>아시아/기타|에너지</v>
      </c>
      <c r="AA227" s="92" t="n">
        <f aca="false">IF(Y227=1,LN(K227),0)</f>
        <v>0</v>
      </c>
      <c r="AB227" s="93" t="n">
        <f aca="false">IF(Y227=1,E227,0)</f>
        <v>0</v>
      </c>
      <c r="AC227" s="89" t="n">
        <f aca="false">IF(Y227=1,COUNTIFS($Z$2:$Z$601,Z227,$Y$2:$Y$601,1),0)</f>
        <v>0</v>
      </c>
      <c r="AD227" s="89" t="n">
        <f aca="false">IF(Y227=1,COUNTIFS($N$2:$N$601,N227,$Y$2:$Y$601,1),0)</f>
        <v>0</v>
      </c>
      <c r="AE227" s="43" t="str">
        <f aca="false">IF(Y227&lt;&gt;1,"",IF(AND(AC227&gt;=설정!$C$7,ISNUMBER(MATCH(Z227,피어커브!$A:$A,0))),Z227,IF(AND(AD227&gt;=설정!$C$7,ISNUMBER(MATCH(N227&amp;"|전체",피어커브!$A:$A,0))),N227&amp;"|전체","전체|전체")))</f>
        <v/>
      </c>
      <c r="AF227" s="93" t="str">
        <f aca="false">IF(AE227="","",INDEX(피어커브!$K:$K,MATCH(AE227,피어커브!$A:$A,0)))</f>
        <v/>
      </c>
      <c r="AG227" s="93" t="str">
        <f aca="false">IF(AE227="","",INDEX(피어커브!$J:$J,MATCH(AE227,피어커브!$A:$A,0)))</f>
        <v/>
      </c>
      <c r="AH227" s="93" t="str">
        <f aca="false">IF(AE227="","",INDEX(피어커브!$L:$L,MATCH(AE227,피어커브!$A:$A,0)))</f>
        <v/>
      </c>
      <c r="AI227" s="93" t="str">
        <f aca="false">IF(AE227="","",AF227+AG227*AA227)</f>
        <v/>
      </c>
      <c r="AJ227" s="96" t="str">
        <f aca="false">IF(AE227="","",E227-AI227)</f>
        <v/>
      </c>
      <c r="AK227" s="95" t="str">
        <f aca="false">IF(AE227="","",IF(ISNUMBER(AH227),IF(AH227&gt;0,AJ227/AH227,""),""))</f>
        <v/>
      </c>
      <c r="AL227" s="43" t="str">
        <f aca="false">IF(AK227="","-",IF(AK227&gt;=설정!$C$6,"Cheap",IF(AK227&lt;=-설정!$C$6,"Rich","Fair")))</f>
        <v>-</v>
      </c>
      <c r="AM227" s="96" t="str">
        <f aca="false">IF(AE227="","",AJ227-AVERAGEIFS($AJ$2:$AJ$601,$B$2:$B$601,B227,$Y$2:$Y$601,1))</f>
        <v/>
      </c>
      <c r="AN227" s="93" t="n">
        <f aca="false">IF(AE227="",0,IF(K227&gt;1+설정!$C$8,AG227*(AA227-LN(K227-1)),0))</f>
        <v>0</v>
      </c>
      <c r="AO227" s="99" t="n">
        <f aca="false">IF($A227="",0,SUMIFS(보유분석!$AA$2:$AA$801,보유분석!$AB$2:$AB$801,ROW(),보유분석!$AC$2:$AC$801,1))</f>
        <v>0</v>
      </c>
      <c r="AP227" s="43" t="str">
        <f aca="false">IF($A227="","",TRIM(IF(R227=1,"FRN ","")&amp;IF(IFERROR(VLOOKUP(M227,설정!$A$15:$D$47,4,0),0)&gt;=10,IF(IFERROR(VLOOKUP(M227,설정!$A$15:$D$47,4,0),0)&lt;99,"BBB0미만 ",""),"")&amp;IF(OR(M227="",M227="NR"),"등급미입력 ","")&amp;IF(C227&lt;&gt;"USD","비USD ","")))</f>
        <v>등급미입력</v>
      </c>
      <c r="AQ227" s="90" t="n">
        <f aca="false">IF(AND(Y227=1,AL227="Cheap"),IF(AND(ISERROR(SEARCH("FRN",AP227)),ISERROR(SEARCH("BBB0미만",AP227))),AK227+ROW()/1000000000,-999),-999)</f>
        <v>-999</v>
      </c>
      <c r="AR227" s="92" t="n">
        <f aca="false">IF(AND(ISNUMBER(D227),ISNUMBER(K227)),D227+AN227*MAX(K227-1,0)/100,"")</f>
        <v>4.801</v>
      </c>
      <c r="AS227" s="93" t="n">
        <f aca="false">IF(AND(ISNUMBER(E227),ISNUMBER(K227)),IF(K227&gt;0,(E227+AN227*MAX(K227-1,0))/K227,""),"")</f>
        <v>-29.34</v>
      </c>
      <c r="AT227" s="90" t="n">
        <f aca="false">IFERROR(IF(AND(Y227=1,ROW()&lt;&gt;스왑분석!$C$12+1,ABS(K227-INDEX($K$2:$K$601,스왑분석!$C$12))&lt;=스왑분석!$C$5,ISERROR(SEARCH("FRN",AP227)),ISERROR(SEARCH("BBB0미만",AP227))),IF(AND(OR(스왑분석!$C$6="N",L227=INDEX($L$2:$L$601,스왑분석!$C$12)),OR(스왑분석!$C$7="N",N227=INDEX($N$2:$N$601,스왑분석!$C$12)),OR(스왑분석!$C$8="N",AO227=0),E227-INDEX($E$2:$E$601,스왑분석!$C$12)&gt;=스왑분석!$C$9),E227-INDEX($E$2:$E$601,스왑분석!$C$12)+ROW()/1000000000,-999),-999),-999)</f>
        <v>-999</v>
      </c>
      <c r="AU227" s="90" t="n">
        <f aca="false">IF(AND(Y227=1,AO227&gt;0,AL227="Rich"),-AK227+ROW()/1000000000,-999)</f>
        <v>-999</v>
      </c>
    </row>
    <row r="228" customFormat="false" ht="15" hidden="false" customHeight="false" outlineLevel="0" collapsed="false">
      <c r="A228" s="83" t="str">
        <f aca="false">IFERROR(IF(INDEX(원자료_시장!$A$1:$BZ$1000,설정!$L$6+ROW()-1,설정!$L$24)&amp;""="0","",INDEX(원자료_시장!$A$1:$BZ$1000,설정!$L$6+ROW()-1,설정!$L$24)),"")</f>
        <v>KOMRMR 5 1/8 05/08/29</v>
      </c>
      <c r="B228" s="83" t="str">
        <f aca="false">IFERROR(IF(INDEX(원자료_시장!$A$1:$BZ$1000,설정!$L$6+ROW()-1,설정!$L$37)&amp;""="0","",INDEX(원자료_시장!$A$1:$BZ$1000,설정!$L$6+ROW()-1,설정!$L$37)),"")</f>
        <v>KOREAREHABNRESOURCE</v>
      </c>
      <c r="C228" s="83" t="str">
        <f aca="false">IFERROR(IF(INDEX(원자료_시장!$A$1:$BZ$1000,설정!$L$6+ROW()-1,설정!$L$25)&amp;""="0","",INDEX(원자료_시장!$A$1:$BZ$1000,설정!$L$6+ROW()-1,설정!$L$25)),"")</f>
        <v>USD</v>
      </c>
      <c r="D228" s="85" t="n">
        <f aca="false">IFERROR(IF(ISNUMBER(INDEX(원자료_시장!$A$1:$BZ$1000,설정!$L$6+ROW()-1,설정!$L$26)),INDEX(원자료_시장!$A$1:$BZ$1000,설정!$L$6+ROW()-1,설정!$L$26),""),"")</f>
        <v>5.38</v>
      </c>
      <c r="E228" s="97" t="n">
        <f aca="false">IFERROR(IF(ISNUMBER(INDEX(원자료_시장!$A$1:$BZ$1000,설정!$L$6+ROW()-1,설정!$L$27)),INDEX(원자료_시장!$A$1:$BZ$1000,설정!$L$6+ROW()-1,설정!$L$27),""),"")</f>
        <v>37.939</v>
      </c>
      <c r="F228" s="97" t="n">
        <f aca="false">IFERROR(IF(ISNUMBER(INDEX(원자료_시장!$A$1:$BZ$1000,설정!$L$6+ROW()-1,설정!$L$28)),INDEX(원자료_시장!$A$1:$BZ$1000,설정!$L$6+ROW()-1,설정!$L$28),""),"")</f>
        <v>66.134</v>
      </c>
      <c r="G228" s="97" t="n">
        <f aca="false">IFERROR(IF(ISNUMBER(INDEX(원자료_시장!$A$1:$BZ$1000,설정!$L$6+ROW()-1,설정!$L$29)),INDEX(원자료_시장!$A$1:$BZ$1000,설정!$L$6+ROW()-1,설정!$L$29),""),"")</f>
        <v>-1.2</v>
      </c>
      <c r="H228" s="97" t="n">
        <f aca="false">IFERROR(IF(ISNUMBER(INDEX(원자료_시장!$A$1:$BZ$1000,설정!$L$6+ROW()-1,설정!$L$30)),INDEX(원자료_시장!$A$1:$BZ$1000,설정!$L$6+ROW()-1,설정!$L$30),""),"")</f>
        <v>2.9</v>
      </c>
      <c r="I228" s="97" t="n">
        <f aca="false">IFERROR(IF(ISNUMBER(INDEX(원자료_시장!$A$1:$BZ$1000,설정!$L$6+ROW()-1,설정!$L$31)),INDEX(원자료_시장!$A$1:$BZ$1000,설정!$L$6+ROW()-1,설정!$L$31),""),"")</f>
        <v>-0.9</v>
      </c>
      <c r="J228" s="97" t="n">
        <f aca="false">IFERROR(IF(ISNUMBER(INDEX(원자료_시장!$A$1:$BZ$1000,설정!$L$6+ROW()-1,설정!$L$32)),INDEX(원자료_시장!$A$1:$BZ$1000,설정!$L$6+ROW()-1,설정!$L$32),""),"")</f>
        <v>-8.8</v>
      </c>
      <c r="K228" s="85" t="n">
        <f aca="false">IFERROR(IF(ISNUMBER(INDEX(원자료_시장!$A$1:$BZ$1000,설정!$L$6+ROW()-1,설정!$L$33)),INDEX(원자료_시장!$A$1:$BZ$1000,설정!$L$6+ROW()-1,설정!$L$33),""),"")</f>
        <v>2.41</v>
      </c>
      <c r="L228" s="83" t="str">
        <f aca="false">IFERROR(IF(INDEX(원자료_시장!$A$1:$BZ$1000,설정!$L$6+ROW()-1,설정!$L$34)&amp;""="0","",INDEX(원자료_시장!$A$1:$BZ$1000,설정!$L$6+ROW()-1,설정!$L$34)),"")</f>
        <v>정부</v>
      </c>
      <c r="M228" s="83" t="str">
        <f aca="false">IFERROR(IF(INDEX(원자료_시장!$A$1:$BZ$1000,설정!$L$6+ROW()-1,설정!$L$35)&amp;""="0","",INDEX(원자료_시장!$A$1:$BZ$1000,설정!$L$6+ROW()-1,설정!$L$35)),"")</f>
        <v>A+</v>
      </c>
      <c r="N228" s="83" t="str">
        <f aca="false">IFERROR(IF(INDEX(원자료_시장!$A$1:$BZ$1000,설정!$L$6+ROW()-1,설정!$L$36)&amp;""="0","",INDEX(원자료_시장!$A$1:$BZ$1000,설정!$L$6+ROW()-1,설정!$L$36)),"")</f>
        <v>아시아/기타</v>
      </c>
      <c r="O228" s="43" t="str">
        <f aca="false">IF($A228="","",UPPER(LEFT($A228,FIND(" ",$A228&amp;" ")-1)))</f>
        <v>KOMRMR</v>
      </c>
      <c r="P228" s="43" t="str">
        <f aca="false">IF($A228="","",TRIM(RIGHT(SUBSTITUTE(TRIM($A228)," ",REPT(" ",30)),30)))</f>
        <v>05/08/29</v>
      </c>
      <c r="Q228" s="98" t="n">
        <f aca="false">IF($A228="","",IFERROR(DATE(IF(LEN(P228)=8,2000+VALUE(RIGHT(P228,2)),VALUE(RIGHT(P228,4))),VALUE(LEFT(P228,2)),VALUE(MID(P228,4,2))),""))</f>
        <v>47246</v>
      </c>
      <c r="R228" s="89" t="n">
        <f aca="false">IF($A228="",0,IF(ISNUMBER(SEARCH("Float",$A228)),1,0))</f>
        <v>0</v>
      </c>
      <c r="S228" s="43" t="str">
        <f aca="false">IF($A228="","",TRIM(MID($A228,LEN(O228)+2,LEN($A228)-LEN(O228)-LEN(P228)-1)))</f>
        <v>5 1/8</v>
      </c>
      <c r="T228" s="92" t="n">
        <f aca="false">IF(OR($A228="",R228=1),"",IFERROR(IF(ISNUMBER(FIND("/",S228)),IF(ISNUMBER(FIND(" ",S228)),VALUE(LEFT(S228,FIND(" ",S228)-1))+VALUE(MID(S228,FIND(" ",S228)+1,FIND("/",S228)-FIND(" ",S228)-1))/VALUE(MID(S228,FIND("/",S228)+1,9)),VALUE(LEFT(S228,FIND("/",S228)-1))/VALUE(MID(S228,FIND("/",S228)+1,9))),VALUE(S228)),""))</f>
        <v>5.125</v>
      </c>
      <c r="U228" s="43" t="str">
        <f aca="false">IF(OR($A228="",NOT(ISNUMBER(Q228))),"",TEXT(Q228,"yyyymmdd")&amp;"|"&amp;IF(R228=1,"F",TEXT(T228,"0.000")))</f>
        <v>20290508|5.125</v>
      </c>
      <c r="V228" s="43" t="str">
        <f aca="false">IF(U228="","",O228&amp;"|"&amp;U228)</f>
        <v>KOMRMR|20290508|5.125</v>
      </c>
      <c r="W228" s="43" t="str">
        <f aca="false">IF($A228="","",IFERROR(IF(VLOOKUP(O228,매핑!$A$4:$E$92,3,0)="","미분류",VLOOKUP(O228,매핑!$A$4:$E$92,3,0)),"미분류"))</f>
        <v>한국</v>
      </c>
      <c r="X228" s="89" t="n">
        <f aca="false">IF($A228="",0,IF(O228="T",1,0))</f>
        <v>0</v>
      </c>
      <c r="Y228" s="89" t="n">
        <f aca="false">IF($A228="",0,IF(AND(C228="USD",X228=0,ISNUMBER(E228),ISNUMBER(K228)),IF(K228&gt;=설정!$C$8,1,0),0))</f>
        <v>1</v>
      </c>
      <c r="Z228" s="43" t="str">
        <f aca="false">IF($A228="","",N228&amp;"|"&amp;L228)</f>
        <v>아시아/기타|정부</v>
      </c>
      <c r="AA228" s="92" t="n">
        <f aca="false">IF(Y228=1,LN(K228),0)</f>
        <v>0.879626747502564</v>
      </c>
      <c r="AB228" s="93" t="n">
        <f aca="false">IF(Y228=1,E228,0)</f>
        <v>37.939</v>
      </c>
      <c r="AC228" s="89" t="n">
        <f aca="false">IF(Y228=1,COUNTIFS($Z$2:$Z$601,Z228,$Y$2:$Y$601,1),0)</f>
        <v>51</v>
      </c>
      <c r="AD228" s="89" t="n">
        <f aca="false">IF(Y228=1,COUNTIFS($N$2:$N$601,N228,$Y$2:$Y$601,1),0)</f>
        <v>137</v>
      </c>
      <c r="AE228" s="43" t="str">
        <f aca="false">IF(Y228&lt;&gt;1,"",IF(AND(AC228&gt;=설정!$C$7,ISNUMBER(MATCH(Z228,피어커브!$A:$A,0))),Z228,IF(AND(AD228&gt;=설정!$C$7,ISNUMBER(MATCH(N228&amp;"|전체",피어커브!$A:$A,0))),N228&amp;"|전체","전체|전체")))</f>
        <v>아시아/기타|정부</v>
      </c>
      <c r="AF228" s="93" t="n">
        <f aca="false">IF(AE228="","",INDEX(피어커브!$K:$K,MATCH(AE228,피어커브!$A:$A,0)))</f>
        <v>-1.54860147302313</v>
      </c>
      <c r="AG228" s="93" t="n">
        <f aca="false">IF(AE228="","",INDEX(피어커브!$J:$J,MATCH(AE228,피어커브!$A:$A,0)))</f>
        <v>19.8674994409945</v>
      </c>
      <c r="AH228" s="93" t="n">
        <f aca="false">IF(AE228="","",INDEX(피어커브!$L:$L,MATCH(AE228,피어커브!$A:$A,0)))</f>
        <v>13.6930241146778</v>
      </c>
      <c r="AI228" s="93" t="n">
        <f aca="false">IF(AE228="","",AF228+AG228*AA228)</f>
        <v>15.9273824412679</v>
      </c>
      <c r="AJ228" s="96" t="n">
        <f aca="false">IF(AE228="","",E228-AI228)</f>
        <v>22.0116175587321</v>
      </c>
      <c r="AK228" s="95" t="n">
        <f aca="false">IF(AE228="","",IF(ISNUMBER(AH228),IF(AH228&gt;0,AJ228/AH228,""),""))</f>
        <v>1.60750593691991</v>
      </c>
      <c r="AL228" s="43" t="str">
        <f aca="false">IF(AK228="","-",IF(AK228&gt;=설정!$C$6,"Cheap",IF(AK228&lt;=-설정!$C$6,"Rich","Fair")))</f>
        <v>Cheap</v>
      </c>
      <c r="AM228" s="96" t="n">
        <f aca="false">IF(AE228="","",AJ228-AVERAGEIFS($AJ$2:$AJ$601,$B$2:$B$601,B228,$Y$2:$Y$601,1))</f>
        <v>6.94510663727794</v>
      </c>
      <c r="AN228" s="93" t="n">
        <f aca="false">IF(AE228="",0,IF(K228&gt;1+설정!$C$8,AG228*(AA228-LN(K228-1)),0))</f>
        <v>10.6497156543897</v>
      </c>
      <c r="AO228" s="99" t="n">
        <f aca="false">IF($A228="",0,SUMIFS(보유분석!$AA$2:$AA$801,보유분석!$AB$2:$AB$801,ROW(),보유분석!$AC$2:$AC$801,1))</f>
        <v>0</v>
      </c>
      <c r="AP228" s="43" t="str">
        <f aca="false">IF($A228="","",TRIM(IF(R228=1,"FRN ","")&amp;IF(IFERROR(VLOOKUP(M228,설정!$A$15:$D$47,4,0),0)&gt;=10,IF(IFERROR(VLOOKUP(M228,설정!$A$15:$D$47,4,0),0)&lt;99,"BBB0미만 ",""),"")&amp;IF(OR(M228="",M228="NR"),"등급미입력 ","")&amp;IF(C228&lt;&gt;"USD","비USD ","")))</f>
        <v/>
      </c>
      <c r="AQ228" s="90" t="n">
        <f aca="false">IF(AND(Y228=1,AL228="Cheap"),IF(AND(ISERROR(SEARCH("FRN",AP228)),ISERROR(SEARCH("BBB0미만",AP228))),AK228+ROW()/1000000000,-999),-999)</f>
        <v>1.60750616491991</v>
      </c>
      <c r="AR228" s="92" t="n">
        <f aca="false">IF(AND(ISNUMBER(D228),ISNUMBER(K228)),D228+AN228*MAX(K228-1,0)/100,"")</f>
        <v>5.5301609907269</v>
      </c>
      <c r="AS228" s="93" t="n">
        <f aca="false">IF(AND(ISNUMBER(E228),ISNUMBER(K228)),IF(K228&gt;0,(E228+AN228*MAX(K228-1,0))/K228,""),"")</f>
        <v>21.9730701546429</v>
      </c>
      <c r="AT228" s="90" t="n">
        <f aca="false">IFERROR(IF(AND(Y228=1,ROW()&lt;&gt;스왑분석!$C$12+1,ABS(K228-INDEX($K$2:$K$601,스왑분석!$C$12))&lt;=스왑분석!$C$5,ISERROR(SEARCH("FRN",AP228)),ISERROR(SEARCH("BBB0미만",AP228))),IF(AND(OR(스왑분석!$C$6="N",L228=INDEX($L$2:$L$601,스왑분석!$C$12)),OR(스왑분석!$C$7="N",N228=INDEX($N$2:$N$601,스왑분석!$C$12)),OR(스왑분석!$C$8="N",AO228=0),E228-INDEX($E$2:$E$601,스왑분석!$C$12)&gt;=스왑분석!$C$9),E228-INDEX($E$2:$E$601,스왑분석!$C$12)+ROW()/1000000000,-999),-999),-999)</f>
        <v>-999</v>
      </c>
      <c r="AU228" s="90" t="n">
        <f aca="false">IF(AND(Y228=1,AO228&gt;0,AL228="Rich"),-AK228+ROW()/1000000000,-999)</f>
        <v>-999</v>
      </c>
    </row>
    <row r="229" customFormat="false" ht="15" hidden="false" customHeight="false" outlineLevel="0" collapsed="false">
      <c r="A229" s="83" t="str">
        <f aca="false">IFERROR(IF(INDEX(원자료_시장!$A$1:$BZ$1000,설정!$L$6+ROW()-1,설정!$L$24)&amp;""="0","",INDEX(원자료_시장!$A$1:$BZ$1000,설정!$L$6+ROW()-1,설정!$L$24)),"")</f>
        <v>HYNCRD 5 3/4 04/24/29</v>
      </c>
      <c r="B229" s="83" t="str">
        <f aca="false">IFERROR(IF(INDEX(원자료_시장!$A$1:$BZ$1000,설정!$L$6+ROW()-1,설정!$L$37)&amp;""="0","",INDEX(원자료_시장!$A$1:$BZ$1000,설정!$L$6+ROW()-1,설정!$L$37)),"")</f>
        <v>HYUNDAI CARD CO LTD</v>
      </c>
      <c r="C229" s="83" t="str">
        <f aca="false">IFERROR(IF(INDEX(원자료_시장!$A$1:$BZ$1000,설정!$L$6+ROW()-1,설정!$L$25)&amp;""="0","",INDEX(원자료_시장!$A$1:$BZ$1000,설정!$L$6+ROW()-1,설정!$L$25)),"")</f>
        <v>USD</v>
      </c>
      <c r="D229" s="85" t="n">
        <f aca="false">IFERROR(IF(ISNUMBER(INDEX(원자료_시장!$A$1:$BZ$1000,설정!$L$6+ROW()-1,설정!$L$26)),INDEX(원자료_시장!$A$1:$BZ$1000,설정!$L$6+ROW()-1,설정!$L$26),""),"")</f>
        <v>5.633</v>
      </c>
      <c r="E229" s="97" t="n">
        <f aca="false">IFERROR(IF(ISNUMBER(INDEX(원자료_시장!$A$1:$BZ$1000,설정!$L$6+ROW()-1,설정!$L$27)),INDEX(원자료_시장!$A$1:$BZ$1000,설정!$L$6+ROW()-1,설정!$L$27),""),"")</f>
        <v>63.247</v>
      </c>
      <c r="F229" s="97" t="n">
        <f aca="false">IFERROR(IF(ISNUMBER(INDEX(원자료_시장!$A$1:$BZ$1000,설정!$L$6+ROW()-1,설정!$L$28)),INDEX(원자료_시장!$A$1:$BZ$1000,설정!$L$6+ROW()-1,설정!$L$28),""),"")</f>
        <v>91.614</v>
      </c>
      <c r="G229" s="97" t="n">
        <f aca="false">IFERROR(IF(ISNUMBER(INDEX(원자료_시장!$A$1:$BZ$1000,설정!$L$6+ROW()-1,설정!$L$29)),INDEX(원자료_시장!$A$1:$BZ$1000,설정!$L$6+ROW()-1,설정!$L$29),""),"")</f>
        <v>-0.9</v>
      </c>
      <c r="H229" s="97" t="n">
        <f aca="false">IFERROR(IF(ISNUMBER(INDEX(원자료_시장!$A$1:$BZ$1000,설정!$L$6+ROW()-1,설정!$L$30)),INDEX(원자료_시장!$A$1:$BZ$1000,설정!$L$6+ROW()-1,설정!$L$30),""),"")</f>
        <v>2.3</v>
      </c>
      <c r="I229" s="97" t="n">
        <f aca="false">IFERROR(IF(ISNUMBER(INDEX(원자료_시장!$A$1:$BZ$1000,설정!$L$6+ROW()-1,설정!$L$31)),INDEX(원자료_시장!$A$1:$BZ$1000,설정!$L$6+ROW()-1,설정!$L$31),""),"")</f>
        <v>-5.1</v>
      </c>
      <c r="J229" s="97" t="n">
        <f aca="false">IFERROR(IF(ISNUMBER(INDEX(원자료_시장!$A$1:$BZ$1000,설정!$L$6+ROW()-1,설정!$L$32)),INDEX(원자료_시장!$A$1:$BZ$1000,설정!$L$6+ROW()-1,설정!$L$32),""),"")</f>
        <v>-6.9</v>
      </c>
      <c r="K229" s="85" t="n">
        <f aca="false">IFERROR(IF(ISNUMBER(INDEX(원자료_시장!$A$1:$BZ$1000,설정!$L$6+ROW()-1,설정!$L$33)),INDEX(원자료_시장!$A$1:$BZ$1000,설정!$L$6+ROW()-1,설정!$L$33),""),"")</f>
        <v>2.351</v>
      </c>
      <c r="L229" s="83" t="str">
        <f aca="false">IFERROR(IF(INDEX(원자료_시장!$A$1:$BZ$1000,설정!$L$6+ROW()-1,설정!$L$34)&amp;""="0","",INDEX(원자료_시장!$A$1:$BZ$1000,설정!$L$6+ROW()-1,설정!$L$34)),"")</f>
        <v>금융기관</v>
      </c>
      <c r="M229" s="83" t="n">
        <f aca="false">IFERROR(IF(INDEX(원자료_시장!$A$1:$BZ$1000,설정!$L$6+ROW()-1,설정!$L$35)&amp;""="0","",INDEX(원자료_시장!$A$1:$BZ$1000,설정!$L$6+ROW()-1,설정!$L$35)),"")</f>
        <v>0</v>
      </c>
      <c r="N229" s="83" t="str">
        <f aca="false">IFERROR(IF(INDEX(원자료_시장!$A$1:$BZ$1000,설정!$L$6+ROW()-1,설정!$L$36)&amp;""="0","",INDEX(원자료_시장!$A$1:$BZ$1000,설정!$L$6+ROW()-1,설정!$L$36)),"")</f>
        <v>아시아/기타</v>
      </c>
      <c r="O229" s="43" t="str">
        <f aca="false">IF($A229="","",UPPER(LEFT($A229,FIND(" ",$A229&amp;" ")-1)))</f>
        <v>HYNCRD</v>
      </c>
      <c r="P229" s="43" t="str">
        <f aca="false">IF($A229="","",TRIM(RIGHT(SUBSTITUTE(TRIM($A229)," ",REPT(" ",30)),30)))</f>
        <v>04/24/29</v>
      </c>
      <c r="Q229" s="98" t="n">
        <f aca="false">IF($A229="","",IFERROR(DATE(IF(LEN(P229)=8,2000+VALUE(RIGHT(P229,2)),VALUE(RIGHT(P229,4))),VALUE(LEFT(P229,2)),VALUE(MID(P229,4,2))),""))</f>
        <v>47232</v>
      </c>
      <c r="R229" s="89" t="n">
        <f aca="false">IF($A229="",0,IF(ISNUMBER(SEARCH("Float",$A229)),1,0))</f>
        <v>0</v>
      </c>
      <c r="S229" s="43" t="str">
        <f aca="false">IF($A229="","",TRIM(MID($A229,LEN(O229)+2,LEN($A229)-LEN(O229)-LEN(P229)-1)))</f>
        <v>5 3/4</v>
      </c>
      <c r="T229" s="92" t="n">
        <f aca="false">IF(OR($A229="",R229=1),"",IFERROR(IF(ISNUMBER(FIND("/",S229)),IF(ISNUMBER(FIND(" ",S229)),VALUE(LEFT(S229,FIND(" ",S229)-1))+VALUE(MID(S229,FIND(" ",S229)+1,FIND("/",S229)-FIND(" ",S229)-1))/VALUE(MID(S229,FIND("/",S229)+1,9)),VALUE(LEFT(S229,FIND("/",S229)-1))/VALUE(MID(S229,FIND("/",S229)+1,9))),VALUE(S229)),""))</f>
        <v>5.75</v>
      </c>
      <c r="U229" s="43" t="str">
        <f aca="false">IF(OR($A229="",NOT(ISNUMBER(Q229))),"",TEXT(Q229,"yyyymmdd")&amp;"|"&amp;IF(R229=1,"F",TEXT(T229,"0.000")))</f>
        <v>20290424|5.750</v>
      </c>
      <c r="V229" s="43" t="str">
        <f aca="false">IF(U229="","",O229&amp;"|"&amp;U229)</f>
        <v>HYNCRD|20290424|5.750</v>
      </c>
      <c r="W229" s="43" t="str">
        <f aca="false">IF($A229="","",IFERROR(IF(VLOOKUP(O229,매핑!$A$4:$E$92,3,0)="","미분류",VLOOKUP(O229,매핑!$A$4:$E$92,3,0)),"미분류"))</f>
        <v>한국</v>
      </c>
      <c r="X229" s="89" t="n">
        <f aca="false">IF($A229="",0,IF(O229="T",1,0))</f>
        <v>0</v>
      </c>
      <c r="Y229" s="89" t="n">
        <f aca="false">IF($A229="",0,IF(AND(C229="USD",X229=0,ISNUMBER(E229),ISNUMBER(K229)),IF(K229&gt;=설정!$C$8,1,0),0))</f>
        <v>1</v>
      </c>
      <c r="Z229" s="43" t="str">
        <f aca="false">IF($A229="","",N229&amp;"|"&amp;L229)</f>
        <v>아시아/기타|금융기관</v>
      </c>
      <c r="AA229" s="92" t="n">
        <f aca="false">IF(Y229=1,LN(K229),0)</f>
        <v>0.854840769557932</v>
      </c>
      <c r="AB229" s="93" t="n">
        <f aca="false">IF(Y229=1,E229,0)</f>
        <v>63.247</v>
      </c>
      <c r="AC229" s="89" t="n">
        <f aca="false">IF(Y229=1,COUNTIFS($Z$2:$Z$601,Z229,$Y$2:$Y$601,1),0)</f>
        <v>42</v>
      </c>
      <c r="AD229" s="89" t="n">
        <f aca="false">IF(Y229=1,COUNTIFS($N$2:$N$601,N229,$Y$2:$Y$601,1),0)</f>
        <v>137</v>
      </c>
      <c r="AE229" s="43" t="str">
        <f aca="false">IF(Y229&lt;&gt;1,"",IF(AND(AC229&gt;=설정!$C$7,ISNUMBER(MATCH(Z229,피어커브!$A:$A,0))),Z229,IF(AND(AD229&gt;=설정!$C$7,ISNUMBER(MATCH(N229&amp;"|전체",피어커브!$A:$A,0))),N229&amp;"|전체","전체|전체")))</f>
        <v>아시아/기타|금융기관</v>
      </c>
      <c r="AF229" s="93" t="n">
        <f aca="false">IF(AE229="","",INDEX(피어커브!$K:$K,MATCH(AE229,피어커브!$A:$A,0)))</f>
        <v>50.117430292991</v>
      </c>
      <c r="AG229" s="93" t="n">
        <f aca="false">IF(AE229="","",INDEX(피어커브!$J:$J,MATCH(AE229,피어커브!$A:$A,0)))</f>
        <v>13.9183160321618</v>
      </c>
      <c r="AH229" s="93" t="n">
        <f aca="false">IF(AE229="","",INDEX(피어커브!$L:$L,MATCH(AE229,피어커브!$A:$A,0)))</f>
        <v>20.4735875466442</v>
      </c>
      <c r="AI229" s="93" t="n">
        <f aca="false">IF(AE229="","",AF229+AG229*AA229)</f>
        <v>62.0153742808747</v>
      </c>
      <c r="AJ229" s="96" t="n">
        <f aca="false">IF(AE229="","",E229-AI229)</f>
        <v>1.23162571912526</v>
      </c>
      <c r="AK229" s="95" t="n">
        <f aca="false">IF(AE229="","",IF(ISNUMBER(AH229),IF(AH229&gt;0,AJ229/AH229,""),""))</f>
        <v>0.0601568101496281</v>
      </c>
      <c r="AL229" s="43" t="str">
        <f aca="false">IF(AK229="","-",IF(AK229&gt;=설정!$C$6,"Cheap",IF(AK229&lt;=-설정!$C$6,"Rich","Fair")))</f>
        <v>Fair</v>
      </c>
      <c r="AM229" s="96" t="n">
        <f aca="false">IF(AE229="","",AJ229-AVERAGEIFS($AJ$2:$AJ$601,$B$2:$B$601,B229,$Y$2:$Y$601,1))</f>
        <v>3.97831734593596</v>
      </c>
      <c r="AN229" s="93" t="n">
        <f aca="false">IF(AE229="",0,IF(K229&gt;1+설정!$C$8,AG229*(AA229-LN(K229-1)),0))</f>
        <v>7.71068738031269</v>
      </c>
      <c r="AO229" s="99" t="n">
        <f aca="false">IF($A229="",0,SUMIFS(보유분석!$AA$2:$AA$801,보유분석!$AB$2:$AB$801,ROW(),보유분석!$AC$2:$AC$801,1))</f>
        <v>0.2005244</v>
      </c>
      <c r="AP229" s="43" t="str">
        <f aca="false">IF($A229="","",TRIM(IF(R229=1,"FRN ","")&amp;IF(IFERROR(VLOOKUP(M229,설정!$A$15:$D$47,4,0),0)&gt;=10,IF(IFERROR(VLOOKUP(M229,설정!$A$15:$D$47,4,0),0)&lt;99,"BBB0미만 ",""),"")&amp;IF(OR(M229="",M229="NR"),"등급미입력 ","")&amp;IF(C229&lt;&gt;"USD","비USD ","")))</f>
        <v>등급미입력</v>
      </c>
      <c r="AQ229" s="90" t="n">
        <f aca="false">IF(AND(Y229=1,AL229="Cheap"),IF(AND(ISERROR(SEARCH("FRN",AP229)),ISERROR(SEARCH("BBB0미만",AP229))),AK229+ROW()/1000000000,-999),-999)</f>
        <v>-999</v>
      </c>
      <c r="AR229" s="92" t="n">
        <f aca="false">IF(AND(ISNUMBER(D229),ISNUMBER(K229)),D229+AN229*MAX(K229-1,0)/100,"")</f>
        <v>5.73717138650803</v>
      </c>
      <c r="AS229" s="93" t="n">
        <f aca="false">IF(AND(ISNUMBER(E229),ISNUMBER(K229)),IF(K229&gt;0,(E229+AN229*MAX(K229-1,0))/K229,""),"")</f>
        <v>31.3331087413026</v>
      </c>
      <c r="AT229" s="90" t="n">
        <f aca="false">IFERROR(IF(AND(Y229=1,ROW()&lt;&gt;스왑분석!$C$12+1,ABS(K229-INDEX($K$2:$K$601,스왑분석!$C$12))&lt;=스왑분석!$C$5,ISERROR(SEARCH("FRN",AP229)),ISERROR(SEARCH("BBB0미만",AP229))),IF(AND(OR(스왑분석!$C$6="N",L229=INDEX($L$2:$L$601,스왑분석!$C$12)),OR(스왑분석!$C$7="N",N229=INDEX($N$2:$N$601,스왑분석!$C$12)),OR(스왑분석!$C$8="N",AO229=0),E229-INDEX($E$2:$E$601,스왑분석!$C$12)&gt;=스왑분석!$C$9),E229-INDEX($E$2:$E$601,스왑분석!$C$12)+ROW()/1000000000,-999),-999),-999)</f>
        <v>14.755000229</v>
      </c>
      <c r="AU229" s="90" t="n">
        <f aca="false">IF(AND(Y229=1,AO229&gt;0,AL229="Rich"),-AK229+ROW()/1000000000,-999)</f>
        <v>-999</v>
      </c>
    </row>
    <row r="230" customFormat="false" ht="15" hidden="false" customHeight="false" outlineLevel="0" collapsed="false">
      <c r="A230" s="83" t="str">
        <f aca="false">IFERROR(IF(INDEX(원자료_시장!$A$1:$BZ$1000,설정!$L$6+ROW()-1,설정!$L$24)&amp;""="0","",INDEX(원자료_시장!$A$1:$BZ$1000,설정!$L$6+ROW()-1,설정!$L$24)),"")</f>
        <v>KOBCOP 5 3/8 05/02/27</v>
      </c>
      <c r="B230" s="83" t="str">
        <f aca="false">IFERROR(IF(INDEX(원자료_시장!$A$1:$BZ$1000,설정!$L$6+ROW()-1,설정!$L$37)&amp;""="0","",INDEX(원자료_시장!$A$1:$BZ$1000,설정!$L$6+ROW()-1,설정!$L$37)),"")</f>
        <v>KOREA OCEAN BUSINESS CO</v>
      </c>
      <c r="C230" s="83" t="str">
        <f aca="false">IFERROR(IF(INDEX(원자료_시장!$A$1:$BZ$1000,설정!$L$6+ROW()-1,설정!$L$25)&amp;""="0","",INDEX(원자료_시장!$A$1:$BZ$1000,설정!$L$6+ROW()-1,설정!$L$25)),"")</f>
        <v>USD</v>
      </c>
      <c r="D230" s="85" t="n">
        <f aca="false">IFERROR(IF(ISNUMBER(INDEX(원자료_시장!$A$1:$BZ$1000,설정!$L$6+ROW()-1,설정!$L$26)),INDEX(원자료_시장!$A$1:$BZ$1000,설정!$L$6+ROW()-1,설정!$L$26),""),"")</f>
        <v>4.844</v>
      </c>
      <c r="E230" s="97" t="n">
        <f aca="false">IFERROR(IF(ISNUMBER(INDEX(원자료_시장!$A$1:$BZ$1000,설정!$L$6+ROW()-1,설정!$L$27)),INDEX(원자료_시장!$A$1:$BZ$1000,설정!$L$6+ROW()-1,설정!$L$27),""),"")</f>
        <v>-4.522</v>
      </c>
      <c r="F230" s="97" t="n">
        <f aca="false">IFERROR(IF(ISNUMBER(INDEX(원자료_시장!$A$1:$BZ$1000,설정!$L$6+ROW()-1,설정!$L$28)),INDEX(원자료_시장!$A$1:$BZ$1000,설정!$L$6+ROW()-1,설정!$L$28),""),"")</f>
        <v>60.887</v>
      </c>
      <c r="G230" s="97" t="n">
        <f aca="false">IFERROR(IF(ISNUMBER(INDEX(원자료_시장!$A$1:$BZ$1000,설정!$L$6+ROW()-1,설정!$L$29)),INDEX(원자료_시장!$A$1:$BZ$1000,설정!$L$6+ROW()-1,설정!$L$29),""),"")</f>
        <v>-0.6</v>
      </c>
      <c r="H230" s="97" t="n">
        <f aca="false">IFERROR(IF(ISNUMBER(INDEX(원자료_시장!$A$1:$BZ$1000,설정!$L$6+ROW()-1,설정!$L$30)),INDEX(원자료_시장!$A$1:$BZ$1000,설정!$L$6+ROW()-1,설정!$L$30),""),"")</f>
        <v>17.1</v>
      </c>
      <c r="I230" s="97" t="n">
        <f aca="false">IFERROR(IF(ISNUMBER(INDEX(원자료_시장!$A$1:$BZ$1000,설정!$L$6+ROW()-1,설정!$L$31)),INDEX(원자료_시장!$A$1:$BZ$1000,설정!$L$6+ROW()-1,설정!$L$31),""),"")</f>
        <v>-17.1</v>
      </c>
      <c r="J230" s="97" t="n">
        <f aca="false">IFERROR(IF(ISNUMBER(INDEX(원자료_시장!$A$1:$BZ$1000,설정!$L$6+ROW()-1,설정!$L$32)),INDEX(원자료_시장!$A$1:$BZ$1000,설정!$L$6+ROW()-1,설정!$L$32),""),"")</f>
        <v>-36.5</v>
      </c>
      <c r="K230" s="85" t="n">
        <f aca="false">IFERROR(IF(ISNUMBER(INDEX(원자료_시장!$A$1:$BZ$1000,설정!$L$6+ROW()-1,설정!$L$33)),INDEX(원자료_시장!$A$1:$BZ$1000,설정!$L$6+ROW()-1,설정!$L$33),""),"")</f>
        <v>0.562</v>
      </c>
      <c r="L230" s="83" t="str">
        <f aca="false">IFERROR(IF(INDEX(원자료_시장!$A$1:$BZ$1000,설정!$L$6+ROW()-1,설정!$L$34)&amp;""="0","",INDEX(원자료_시장!$A$1:$BZ$1000,설정!$L$6+ROW()-1,설정!$L$34)),"")</f>
        <v>정부</v>
      </c>
      <c r="M230" s="83" t="n">
        <f aca="false">IFERROR(IF(INDEX(원자료_시장!$A$1:$BZ$1000,설정!$L$6+ROW()-1,설정!$L$35)&amp;""="0","",INDEX(원자료_시장!$A$1:$BZ$1000,설정!$L$6+ROW()-1,설정!$L$35)),"")</f>
        <v>0</v>
      </c>
      <c r="N230" s="83" t="str">
        <f aca="false">IFERROR(IF(INDEX(원자료_시장!$A$1:$BZ$1000,설정!$L$6+ROW()-1,설정!$L$36)&amp;""="0","",INDEX(원자료_시장!$A$1:$BZ$1000,설정!$L$6+ROW()-1,설정!$L$36)),"")</f>
        <v>아시아/기타</v>
      </c>
      <c r="O230" s="43" t="str">
        <f aca="false">IF($A230="","",UPPER(LEFT($A230,FIND(" ",$A230&amp;" ")-1)))</f>
        <v>KOBCOP</v>
      </c>
      <c r="P230" s="43" t="str">
        <f aca="false">IF($A230="","",TRIM(RIGHT(SUBSTITUTE(TRIM($A230)," ",REPT(" ",30)),30)))</f>
        <v>05/02/27</v>
      </c>
      <c r="Q230" s="98" t="n">
        <f aca="false">IF($A230="","",IFERROR(DATE(IF(LEN(P230)=8,2000+VALUE(RIGHT(P230,2)),VALUE(RIGHT(P230,4))),VALUE(LEFT(P230,2)),VALUE(MID(P230,4,2))),""))</f>
        <v>46509</v>
      </c>
      <c r="R230" s="89" t="n">
        <f aca="false">IF($A230="",0,IF(ISNUMBER(SEARCH("Float",$A230)),1,0))</f>
        <v>0</v>
      </c>
      <c r="S230" s="43" t="str">
        <f aca="false">IF($A230="","",TRIM(MID($A230,LEN(O230)+2,LEN($A230)-LEN(O230)-LEN(P230)-1)))</f>
        <v>5 3/8</v>
      </c>
      <c r="T230" s="92" t="n">
        <f aca="false">IF(OR($A230="",R230=1),"",IFERROR(IF(ISNUMBER(FIND("/",S230)),IF(ISNUMBER(FIND(" ",S230)),VALUE(LEFT(S230,FIND(" ",S230)-1))+VALUE(MID(S230,FIND(" ",S230)+1,FIND("/",S230)-FIND(" ",S230)-1))/VALUE(MID(S230,FIND("/",S230)+1,9)),VALUE(LEFT(S230,FIND("/",S230)-1))/VALUE(MID(S230,FIND("/",S230)+1,9))),VALUE(S230)),""))</f>
        <v>5.375</v>
      </c>
      <c r="U230" s="43" t="str">
        <f aca="false">IF(OR($A230="",NOT(ISNUMBER(Q230))),"",TEXT(Q230,"yyyymmdd")&amp;"|"&amp;IF(R230=1,"F",TEXT(T230,"0.000")))</f>
        <v>20270502|5.375</v>
      </c>
      <c r="V230" s="43" t="str">
        <f aca="false">IF(U230="","",O230&amp;"|"&amp;U230)</f>
        <v>KOBCOP|20270502|5.375</v>
      </c>
      <c r="W230" s="43" t="str">
        <f aca="false">IF($A230="","",IFERROR(IF(VLOOKUP(O230,매핑!$A$4:$E$92,3,0)="","미분류",VLOOKUP(O230,매핑!$A$4:$E$92,3,0)),"미분류"))</f>
        <v>한국</v>
      </c>
      <c r="X230" s="89" t="n">
        <f aca="false">IF($A230="",0,IF(O230="T",1,0))</f>
        <v>0</v>
      </c>
      <c r="Y230" s="89" t="n">
        <f aca="false">IF($A230="",0,IF(AND(C230="USD",X230=0,ISNUMBER(E230),ISNUMBER(K230)),IF(K230&gt;=설정!$C$8,1,0),0))</f>
        <v>1</v>
      </c>
      <c r="Z230" s="43" t="str">
        <f aca="false">IF($A230="","",N230&amp;"|"&amp;L230)</f>
        <v>아시아/기타|정부</v>
      </c>
      <c r="AA230" s="92" t="n">
        <f aca="false">IF(Y230=1,LN(K230),0)</f>
        <v>-0.576253429088446</v>
      </c>
      <c r="AB230" s="93" t="n">
        <f aca="false">IF(Y230=1,E230,0)</f>
        <v>-4.522</v>
      </c>
      <c r="AC230" s="89" t="n">
        <f aca="false">IF(Y230=1,COUNTIFS($Z$2:$Z$601,Z230,$Y$2:$Y$601,1),0)</f>
        <v>51</v>
      </c>
      <c r="AD230" s="89" t="n">
        <f aca="false">IF(Y230=1,COUNTIFS($N$2:$N$601,N230,$Y$2:$Y$601,1),0)</f>
        <v>137</v>
      </c>
      <c r="AE230" s="43" t="str">
        <f aca="false">IF(Y230&lt;&gt;1,"",IF(AND(AC230&gt;=설정!$C$7,ISNUMBER(MATCH(Z230,피어커브!$A:$A,0))),Z230,IF(AND(AD230&gt;=설정!$C$7,ISNUMBER(MATCH(N230&amp;"|전체",피어커브!$A:$A,0))),N230&amp;"|전체","전체|전체")))</f>
        <v>아시아/기타|정부</v>
      </c>
      <c r="AF230" s="93" t="n">
        <f aca="false">IF(AE230="","",INDEX(피어커브!$K:$K,MATCH(AE230,피어커브!$A:$A,0)))</f>
        <v>-1.54860147302313</v>
      </c>
      <c r="AG230" s="93" t="n">
        <f aca="false">IF(AE230="","",INDEX(피어커브!$J:$J,MATCH(AE230,피어커브!$A:$A,0)))</f>
        <v>19.8674994409945</v>
      </c>
      <c r="AH230" s="93" t="n">
        <f aca="false">IF(AE230="","",INDEX(피어커브!$L:$L,MATCH(AE230,피어커브!$A:$A,0)))</f>
        <v>13.6930241146778</v>
      </c>
      <c r="AI230" s="93" t="n">
        <f aca="false">IF(AE230="","",AF230+AG230*AA230)</f>
        <v>-12.997316153309</v>
      </c>
      <c r="AJ230" s="96" t="n">
        <f aca="false">IF(AE230="","",E230-AI230)</f>
        <v>8.47531615330902</v>
      </c>
      <c r="AK230" s="95" t="n">
        <f aca="false">IF(AE230="","",IF(ISNUMBER(AH230),IF(AH230&gt;0,AJ230/AH230,""),""))</f>
        <v>0.618951378623818</v>
      </c>
      <c r="AL230" s="43" t="str">
        <f aca="false">IF(AK230="","-",IF(AK230&gt;=설정!$C$6,"Cheap",IF(AK230&lt;=-설정!$C$6,"Rich","Fair")))</f>
        <v>Fair</v>
      </c>
      <c r="AM230" s="96" t="n">
        <f aca="false">IF(AE230="","",AJ230-AVERAGEIFS($AJ$2:$AJ$601,$B$2:$B$601,B230,$Y$2:$Y$601,1))</f>
        <v>-4.74989212075472</v>
      </c>
      <c r="AN230" s="93" t="n">
        <f aca="false">IF(AE230="",0,IF(K230&gt;1+설정!$C$8,AG230*(AA230-LN(K230-1)),0))</f>
        <v>0</v>
      </c>
      <c r="AO230" s="99" t="n">
        <f aca="false">IF($A230="",0,SUMIFS(보유분석!$AA$2:$AA$801,보유분석!$AB$2:$AB$801,ROW(),보유분석!$AC$2:$AC$801,1))</f>
        <v>0</v>
      </c>
      <c r="AP230" s="43" t="str">
        <f aca="false">IF($A230="","",TRIM(IF(R230=1,"FRN ","")&amp;IF(IFERROR(VLOOKUP(M230,설정!$A$15:$D$47,4,0),0)&gt;=10,IF(IFERROR(VLOOKUP(M230,설정!$A$15:$D$47,4,0),0)&lt;99,"BBB0미만 ",""),"")&amp;IF(OR(M230="",M230="NR"),"등급미입력 ","")&amp;IF(C230&lt;&gt;"USD","비USD ","")))</f>
        <v>등급미입력</v>
      </c>
      <c r="AQ230" s="90" t="n">
        <f aca="false">IF(AND(Y230=1,AL230="Cheap"),IF(AND(ISERROR(SEARCH("FRN",AP230)),ISERROR(SEARCH("BBB0미만",AP230))),AK230+ROW()/1000000000,-999),-999)</f>
        <v>-999</v>
      </c>
      <c r="AR230" s="92" t="n">
        <f aca="false">IF(AND(ISNUMBER(D230),ISNUMBER(K230)),D230+AN230*MAX(K230-1,0)/100,"")</f>
        <v>4.844</v>
      </c>
      <c r="AS230" s="93" t="n">
        <f aca="false">IF(AND(ISNUMBER(E230),ISNUMBER(K230)),IF(K230&gt;0,(E230+AN230*MAX(K230-1,0))/K230,""),"")</f>
        <v>-8.04626334519573</v>
      </c>
      <c r="AT230" s="90" t="n">
        <f aca="false">IFERROR(IF(AND(Y230=1,ROW()&lt;&gt;스왑분석!$C$12+1,ABS(K230-INDEX($K$2:$K$601,스왑분석!$C$12))&lt;=스왑분석!$C$5,ISERROR(SEARCH("FRN",AP230)),ISERROR(SEARCH("BBB0미만",AP230))),IF(AND(OR(스왑분석!$C$6="N",L230=INDEX($L$2:$L$601,스왑분석!$C$12)),OR(스왑분석!$C$7="N",N230=INDEX($N$2:$N$601,스왑분석!$C$12)),OR(스왑분석!$C$8="N",AO230=0),E230-INDEX($E$2:$E$601,스왑분석!$C$12)&gt;=스왑분석!$C$9),E230-INDEX($E$2:$E$601,스왑분석!$C$12)+ROW()/1000000000,-999),-999),-999)</f>
        <v>-999</v>
      </c>
      <c r="AU230" s="90" t="n">
        <f aca="false">IF(AND(Y230=1,AO230&gt;0,AL230="Rich"),-AK230+ROW()/1000000000,-999)</f>
        <v>-999</v>
      </c>
    </row>
    <row r="231" customFormat="false" ht="15" hidden="false" customHeight="false" outlineLevel="0" collapsed="false">
      <c r="A231" s="83" t="str">
        <f aca="false">IFERROR(IF(INDEX(원자료_시장!$A$1:$BZ$1000,설정!$L$6+ROW()-1,설정!$L$24)&amp;""="0","",INDEX(원자료_시장!$A$1:$BZ$1000,설정!$L$6+ROW()-1,설정!$L$24)),"")</f>
        <v>KOBCOP 5 1/4 05/02/29</v>
      </c>
      <c r="B231" s="83" t="str">
        <f aca="false">IFERROR(IF(INDEX(원자료_시장!$A$1:$BZ$1000,설정!$L$6+ROW()-1,설정!$L$37)&amp;""="0","",INDEX(원자료_시장!$A$1:$BZ$1000,설정!$L$6+ROW()-1,설정!$L$37)),"")</f>
        <v>KOREA OCEAN BUSINESS CO</v>
      </c>
      <c r="C231" s="83" t="str">
        <f aca="false">IFERROR(IF(INDEX(원자료_시장!$A$1:$BZ$1000,설정!$L$6+ROW()-1,설정!$L$25)&amp;""="0","",INDEX(원자료_시장!$A$1:$BZ$1000,설정!$L$6+ROW()-1,설정!$L$25)),"")</f>
        <v>USD</v>
      </c>
      <c r="D231" s="85" t="n">
        <f aca="false">IFERROR(IF(ISNUMBER(INDEX(원자료_시장!$A$1:$BZ$1000,설정!$L$6+ROW()-1,설정!$L$26)),INDEX(원자료_시장!$A$1:$BZ$1000,설정!$L$6+ROW()-1,설정!$L$26),""),"")</f>
        <v>5.319</v>
      </c>
      <c r="E231" s="97" t="n">
        <f aca="false">IFERROR(IF(ISNUMBER(INDEX(원자료_시장!$A$1:$BZ$1000,설정!$L$6+ROW()-1,설정!$L$27)),INDEX(원자료_시장!$A$1:$BZ$1000,설정!$L$6+ROW()-1,설정!$L$27),""),"")</f>
        <v>31.857</v>
      </c>
      <c r="F231" s="97" t="n">
        <f aca="false">IFERROR(IF(ISNUMBER(INDEX(원자료_시장!$A$1:$BZ$1000,설정!$L$6+ROW()-1,설정!$L$28)),INDEX(원자료_시장!$A$1:$BZ$1000,설정!$L$6+ROW()-1,설정!$L$28),""),"")</f>
        <v>60.126</v>
      </c>
      <c r="G231" s="97" t="n">
        <f aca="false">IFERROR(IF(ISNUMBER(INDEX(원자료_시장!$A$1:$BZ$1000,설정!$L$6+ROW()-1,설정!$L$29)),INDEX(원자료_시장!$A$1:$BZ$1000,설정!$L$6+ROW()-1,설정!$L$29),""),"")</f>
        <v>-1.6</v>
      </c>
      <c r="H231" s="97" t="n">
        <f aca="false">IFERROR(IF(ISNUMBER(INDEX(원자료_시장!$A$1:$BZ$1000,설정!$L$6+ROW()-1,설정!$L$30)),INDEX(원자료_시장!$A$1:$BZ$1000,설정!$L$6+ROW()-1,설정!$L$30),""),"")</f>
        <v>-1.6</v>
      </c>
      <c r="I231" s="97" t="n">
        <f aca="false">IFERROR(IF(ISNUMBER(INDEX(원자료_시장!$A$1:$BZ$1000,설정!$L$6+ROW()-1,설정!$L$31)),INDEX(원자료_시장!$A$1:$BZ$1000,설정!$L$6+ROW()-1,설정!$L$31),""),"")</f>
        <v>3.9</v>
      </c>
      <c r="J231" s="97" t="n">
        <f aca="false">IFERROR(IF(ISNUMBER(INDEX(원자료_시장!$A$1:$BZ$1000,설정!$L$6+ROW()-1,설정!$L$32)),INDEX(원자료_시장!$A$1:$BZ$1000,설정!$L$6+ROW()-1,설정!$L$32),""),"")</f>
        <v>-7.1</v>
      </c>
      <c r="K231" s="85" t="n">
        <f aca="false">IFERROR(IF(ISNUMBER(INDEX(원자료_시장!$A$1:$BZ$1000,설정!$L$6+ROW()-1,설정!$L$33)),INDEX(원자료_시장!$A$1:$BZ$1000,설정!$L$6+ROW()-1,설정!$L$33),""),"")</f>
        <v>2.389</v>
      </c>
      <c r="L231" s="83" t="str">
        <f aca="false">IFERROR(IF(INDEX(원자료_시장!$A$1:$BZ$1000,설정!$L$6+ROW()-1,설정!$L$34)&amp;""="0","",INDEX(원자료_시장!$A$1:$BZ$1000,설정!$L$6+ROW()-1,설정!$L$34)),"")</f>
        <v>정부</v>
      </c>
      <c r="M231" s="83" t="n">
        <f aca="false">IFERROR(IF(INDEX(원자료_시장!$A$1:$BZ$1000,설정!$L$6+ROW()-1,설정!$L$35)&amp;""="0","",INDEX(원자료_시장!$A$1:$BZ$1000,설정!$L$6+ROW()-1,설정!$L$35)),"")</f>
        <v>0</v>
      </c>
      <c r="N231" s="83" t="str">
        <f aca="false">IFERROR(IF(INDEX(원자료_시장!$A$1:$BZ$1000,설정!$L$6+ROW()-1,설정!$L$36)&amp;""="0","",INDEX(원자료_시장!$A$1:$BZ$1000,설정!$L$6+ROW()-1,설정!$L$36)),"")</f>
        <v>아시아/기타</v>
      </c>
      <c r="O231" s="43" t="str">
        <f aca="false">IF($A231="","",UPPER(LEFT($A231,FIND(" ",$A231&amp;" ")-1)))</f>
        <v>KOBCOP</v>
      </c>
      <c r="P231" s="43" t="str">
        <f aca="false">IF($A231="","",TRIM(RIGHT(SUBSTITUTE(TRIM($A231)," ",REPT(" ",30)),30)))</f>
        <v>05/02/29</v>
      </c>
      <c r="Q231" s="98" t="n">
        <f aca="false">IF($A231="","",IFERROR(DATE(IF(LEN(P231)=8,2000+VALUE(RIGHT(P231,2)),VALUE(RIGHT(P231,4))),VALUE(LEFT(P231,2)),VALUE(MID(P231,4,2))),""))</f>
        <v>47240</v>
      </c>
      <c r="R231" s="89" t="n">
        <f aca="false">IF($A231="",0,IF(ISNUMBER(SEARCH("Float",$A231)),1,0))</f>
        <v>0</v>
      </c>
      <c r="S231" s="43" t="str">
        <f aca="false">IF($A231="","",TRIM(MID($A231,LEN(O231)+2,LEN($A231)-LEN(O231)-LEN(P231)-1)))</f>
        <v>5 1/4</v>
      </c>
      <c r="T231" s="92" t="n">
        <f aca="false">IF(OR($A231="",R231=1),"",IFERROR(IF(ISNUMBER(FIND("/",S231)),IF(ISNUMBER(FIND(" ",S231)),VALUE(LEFT(S231,FIND(" ",S231)-1))+VALUE(MID(S231,FIND(" ",S231)+1,FIND("/",S231)-FIND(" ",S231)-1))/VALUE(MID(S231,FIND("/",S231)+1,9)),VALUE(LEFT(S231,FIND("/",S231)-1))/VALUE(MID(S231,FIND("/",S231)+1,9))),VALUE(S231)),""))</f>
        <v>5.25</v>
      </c>
      <c r="U231" s="43" t="str">
        <f aca="false">IF(OR($A231="",NOT(ISNUMBER(Q231))),"",TEXT(Q231,"yyyymmdd")&amp;"|"&amp;IF(R231=1,"F",TEXT(T231,"0.000")))</f>
        <v>20290502|5.250</v>
      </c>
      <c r="V231" s="43" t="str">
        <f aca="false">IF(U231="","",O231&amp;"|"&amp;U231)</f>
        <v>KOBCOP|20290502|5.250</v>
      </c>
      <c r="W231" s="43" t="str">
        <f aca="false">IF($A231="","",IFERROR(IF(VLOOKUP(O231,매핑!$A$4:$E$92,3,0)="","미분류",VLOOKUP(O231,매핑!$A$4:$E$92,3,0)),"미분류"))</f>
        <v>한국</v>
      </c>
      <c r="X231" s="89" t="n">
        <f aca="false">IF($A231="",0,IF(O231="T",1,0))</f>
        <v>0</v>
      </c>
      <c r="Y231" s="89" t="n">
        <f aca="false">IF($A231="",0,IF(AND(C231="USD",X231=0,ISNUMBER(E231),ISNUMBER(K231)),IF(K231&gt;=설정!$C$8,1,0),0))</f>
        <v>1</v>
      </c>
      <c r="Z231" s="43" t="str">
        <f aca="false">IF($A231="","",N231&amp;"|"&amp;L231)</f>
        <v>아시아/기타|정부</v>
      </c>
      <c r="AA231" s="92" t="n">
        <f aca="false">IF(Y231=1,LN(K231),0)</f>
        <v>0.870874868343672</v>
      </c>
      <c r="AB231" s="93" t="n">
        <f aca="false">IF(Y231=1,E231,0)</f>
        <v>31.857</v>
      </c>
      <c r="AC231" s="89" t="n">
        <f aca="false">IF(Y231=1,COUNTIFS($Z$2:$Z$601,Z231,$Y$2:$Y$601,1),0)</f>
        <v>51</v>
      </c>
      <c r="AD231" s="89" t="n">
        <f aca="false">IF(Y231=1,COUNTIFS($N$2:$N$601,N231,$Y$2:$Y$601,1),0)</f>
        <v>137</v>
      </c>
      <c r="AE231" s="43" t="str">
        <f aca="false">IF(Y231&lt;&gt;1,"",IF(AND(AC231&gt;=설정!$C$7,ISNUMBER(MATCH(Z231,피어커브!$A:$A,0))),Z231,IF(AND(AD231&gt;=설정!$C$7,ISNUMBER(MATCH(N231&amp;"|전체",피어커브!$A:$A,0))),N231&amp;"|전체","전체|전체")))</f>
        <v>아시아/기타|정부</v>
      </c>
      <c r="AF231" s="93" t="n">
        <f aca="false">IF(AE231="","",INDEX(피어커브!$K:$K,MATCH(AE231,피어커브!$A:$A,0)))</f>
        <v>-1.54860147302313</v>
      </c>
      <c r="AG231" s="93" t="n">
        <f aca="false">IF(AE231="","",INDEX(피어커브!$J:$J,MATCH(AE231,피어커브!$A:$A,0)))</f>
        <v>19.8674994409945</v>
      </c>
      <c r="AH231" s="93" t="n">
        <f aca="false">IF(AE231="","",INDEX(피어커브!$L:$L,MATCH(AE231,피어커브!$A:$A,0)))</f>
        <v>13.6930241146778</v>
      </c>
      <c r="AI231" s="93" t="n">
        <f aca="false">IF(AE231="","",AF231+AG231*AA231)</f>
        <v>15.753504486971</v>
      </c>
      <c r="AJ231" s="96" t="n">
        <f aca="false">IF(AE231="","",E231-AI231)</f>
        <v>16.103495513029</v>
      </c>
      <c r="AK231" s="95" t="n">
        <f aca="false">IF(AE231="","",IF(ISNUMBER(AH231),IF(AH231&gt;0,AJ231/AH231,""),""))</f>
        <v>1.17603645317234</v>
      </c>
      <c r="AL231" s="43" t="str">
        <f aca="false">IF(AK231="","-",IF(AK231&gt;=설정!$C$6,"Cheap",IF(AK231&lt;=-설정!$C$6,"Rich","Fair")))</f>
        <v>Cheap</v>
      </c>
      <c r="AM231" s="96" t="n">
        <f aca="false">IF(AE231="","",AJ231-AVERAGEIFS($AJ$2:$AJ$601,$B$2:$B$601,B231,$Y$2:$Y$601,1))</f>
        <v>2.87828723896528</v>
      </c>
      <c r="AN231" s="93" t="n">
        <f aca="false">IF(AE231="",0,IF(K231&gt;1+설정!$C$8,AG231*(AA231-LN(K231-1)),0))</f>
        <v>10.7739622566801</v>
      </c>
      <c r="AO231" s="99" t="n">
        <f aca="false">IF($A231="",0,SUMIFS(보유분석!$AA$2:$AA$801,보유분석!$AB$2:$AB$801,ROW(),보유분석!$AC$2:$AC$801,1))</f>
        <v>0</v>
      </c>
      <c r="AP231" s="43" t="str">
        <f aca="false">IF($A231="","",TRIM(IF(R231=1,"FRN ","")&amp;IF(IFERROR(VLOOKUP(M231,설정!$A$15:$D$47,4,0),0)&gt;=10,IF(IFERROR(VLOOKUP(M231,설정!$A$15:$D$47,4,0),0)&lt;99,"BBB0미만 ",""),"")&amp;IF(OR(M231="",M231="NR"),"등급미입력 ","")&amp;IF(C231&lt;&gt;"USD","비USD ","")))</f>
        <v>등급미입력</v>
      </c>
      <c r="AQ231" s="90" t="n">
        <f aca="false">IF(AND(Y231=1,AL231="Cheap"),IF(AND(ISERROR(SEARCH("FRN",AP231)),ISERROR(SEARCH("BBB0미만",AP231))),AK231+ROW()/1000000000,-999),-999)</f>
        <v>1.17603668417234</v>
      </c>
      <c r="AR231" s="92" t="n">
        <f aca="false">IF(AND(ISNUMBER(D231),ISNUMBER(K231)),D231+AN231*MAX(K231-1,0)/100,"")</f>
        <v>5.46865033574529</v>
      </c>
      <c r="AS231" s="93" t="n">
        <f aca="false">IF(AND(ISNUMBER(E231),ISNUMBER(K231)),IF(K231&gt;0,(E231+AN231*MAX(K231-1,0))/K231,""),"")</f>
        <v>19.5990094493632</v>
      </c>
      <c r="AT231" s="90" t="n">
        <f aca="false">IFERROR(IF(AND(Y231=1,ROW()&lt;&gt;스왑분석!$C$12+1,ABS(K231-INDEX($K$2:$K$601,스왑분석!$C$12))&lt;=스왑분석!$C$5,ISERROR(SEARCH("FRN",AP231)),ISERROR(SEARCH("BBB0미만",AP231))),IF(AND(OR(스왑분석!$C$6="N",L231=INDEX($L$2:$L$601,스왑분석!$C$12)),OR(스왑분석!$C$7="N",N231=INDEX($N$2:$N$601,스왑분석!$C$12)),OR(스왑분석!$C$8="N",AO231=0),E231-INDEX($E$2:$E$601,스왑분석!$C$12)&gt;=스왑분석!$C$9),E231-INDEX($E$2:$E$601,스왑분석!$C$12)+ROW()/1000000000,-999),-999),-999)</f>
        <v>-999</v>
      </c>
      <c r="AU231" s="90" t="n">
        <f aca="false">IF(AND(Y231=1,AO231&gt;0,AL231="Rich"),-AK231+ROW()/1000000000,-999)</f>
        <v>-999</v>
      </c>
    </row>
    <row r="232" customFormat="false" ht="15" hidden="false" customHeight="false" outlineLevel="0" collapsed="false">
      <c r="A232" s="83" t="str">
        <f aca="false">IFERROR(IF(INDEX(원자료_시장!$A$1:$BZ$1000,설정!$L$6+ROW()-1,설정!$L$24)&amp;""="0","",INDEX(원자료_시장!$A$1:$BZ$1000,설정!$L$6+ROW()-1,설정!$L$24)),"")</f>
        <v>EIBKOR 0.33 07/25/26</v>
      </c>
      <c r="B232" s="83" t="str">
        <f aca="false">IFERROR(IF(INDEX(원자료_시장!$A$1:$BZ$1000,설정!$L$6+ROW()-1,설정!$L$37)&amp;""="0","",INDEX(원자료_시장!$A$1:$BZ$1000,설정!$L$6+ROW()-1,설정!$L$37)),"")</f>
        <v>EXPORT-IMPORT BANK KOREA</v>
      </c>
      <c r="C232" s="83" t="str">
        <f aca="false">IFERROR(IF(INDEX(원자료_시장!$A$1:$BZ$1000,설정!$L$6+ROW()-1,설정!$L$25)&amp;""="0","",INDEX(원자료_시장!$A$1:$BZ$1000,설정!$L$6+ROW()-1,설정!$L$25)),"")</f>
        <v>JPY</v>
      </c>
      <c r="D232" s="85" t="str">
        <f aca="false">IFERROR(IF(ISNUMBER(INDEX(원자료_시장!$A$1:$BZ$1000,설정!$L$6+ROW()-1,설정!$L$26)),INDEX(원자료_시장!$A$1:$BZ$1000,설정!$L$6+ROW()-1,설정!$L$26),""),"")</f>
        <v/>
      </c>
      <c r="E232" s="97" t="str">
        <f aca="false">IFERROR(IF(ISNUMBER(INDEX(원자료_시장!$A$1:$BZ$1000,설정!$L$6+ROW()-1,설정!$L$27)),INDEX(원자료_시장!$A$1:$BZ$1000,설정!$L$6+ROW()-1,설정!$L$27),""),"")</f>
        <v/>
      </c>
      <c r="F232" s="97" t="str">
        <f aca="false">IFERROR(IF(ISNUMBER(INDEX(원자료_시장!$A$1:$BZ$1000,설정!$L$6+ROW()-1,설정!$L$28)),INDEX(원자료_시장!$A$1:$BZ$1000,설정!$L$6+ROW()-1,설정!$L$28),""),"")</f>
        <v/>
      </c>
      <c r="G232" s="97" t="str">
        <f aca="false">IFERROR(IF(ISNUMBER(INDEX(원자료_시장!$A$1:$BZ$1000,설정!$L$6+ROW()-1,설정!$L$29)),INDEX(원자료_시장!$A$1:$BZ$1000,설정!$L$6+ROW()-1,설정!$L$29),""),"")</f>
        <v/>
      </c>
      <c r="H232" s="97" t="str">
        <f aca="false">IFERROR(IF(ISNUMBER(INDEX(원자료_시장!$A$1:$BZ$1000,설정!$L$6+ROW()-1,설정!$L$30)),INDEX(원자료_시장!$A$1:$BZ$1000,설정!$L$6+ROW()-1,설정!$L$30),""),"")</f>
        <v/>
      </c>
      <c r="I232" s="97" t="str">
        <f aca="false">IFERROR(IF(ISNUMBER(INDEX(원자료_시장!$A$1:$BZ$1000,설정!$L$6+ROW()-1,설정!$L$31)),INDEX(원자료_시장!$A$1:$BZ$1000,설정!$L$6+ROW()-1,설정!$L$31),""),"")</f>
        <v/>
      </c>
      <c r="J232" s="97" t="str">
        <f aca="false">IFERROR(IF(ISNUMBER(INDEX(원자료_시장!$A$1:$BZ$1000,설정!$L$6+ROW()-1,설정!$L$32)),INDEX(원자료_시장!$A$1:$BZ$1000,설정!$L$6+ROW()-1,설정!$L$32),""),"")</f>
        <v/>
      </c>
      <c r="K232" s="85" t="str">
        <f aca="false">IFERROR(IF(ISNUMBER(INDEX(원자료_시장!$A$1:$BZ$1000,설정!$L$6+ROW()-1,설정!$L$33)),INDEX(원자료_시장!$A$1:$BZ$1000,설정!$L$6+ROW()-1,설정!$L$33),""),"")</f>
        <v/>
      </c>
      <c r="L232" s="83" t="str">
        <f aca="false">IFERROR(IF(INDEX(원자료_시장!$A$1:$BZ$1000,설정!$L$6+ROW()-1,설정!$L$34)&amp;""="0","",INDEX(원자료_시장!$A$1:$BZ$1000,설정!$L$6+ROW()-1,설정!$L$34)),"")</f>
        <v>정부</v>
      </c>
      <c r="M232" s="83" t="n">
        <f aca="false">IFERROR(IF(INDEX(원자료_시장!$A$1:$BZ$1000,설정!$L$6+ROW()-1,설정!$L$35)&amp;""="0","",INDEX(원자료_시장!$A$1:$BZ$1000,설정!$L$6+ROW()-1,설정!$L$35)),"")</f>
        <v>0</v>
      </c>
      <c r="N232" s="83" t="str">
        <f aca="false">IFERROR(IF(INDEX(원자료_시장!$A$1:$BZ$1000,설정!$L$6+ROW()-1,설정!$L$36)&amp;""="0","",INDEX(원자료_시장!$A$1:$BZ$1000,설정!$L$6+ROW()-1,설정!$L$36)),"")</f>
        <v>아시아/기타</v>
      </c>
      <c r="O232" s="43" t="str">
        <f aca="false">IF($A232="","",UPPER(LEFT($A232,FIND(" ",$A232&amp;" ")-1)))</f>
        <v>EIBKOR</v>
      </c>
      <c r="P232" s="43" t="str">
        <f aca="false">IF($A232="","",TRIM(RIGHT(SUBSTITUTE(TRIM($A232)," ",REPT(" ",30)),30)))</f>
        <v>07/25/26</v>
      </c>
      <c r="Q232" s="98" t="n">
        <f aca="false">IF($A232="","",IFERROR(DATE(IF(LEN(P232)=8,2000+VALUE(RIGHT(P232,2)),VALUE(RIGHT(P232,4))),VALUE(LEFT(P232,2)),VALUE(MID(P232,4,2))),""))</f>
        <v>46228</v>
      </c>
      <c r="R232" s="89" t="n">
        <f aca="false">IF($A232="",0,IF(ISNUMBER(SEARCH("Float",$A232)),1,0))</f>
        <v>0</v>
      </c>
      <c r="S232" s="43" t="str">
        <f aca="false">IF($A232="","",TRIM(MID($A232,LEN(O232)+2,LEN($A232)-LEN(O232)-LEN(P232)-1)))</f>
        <v>0.33</v>
      </c>
      <c r="T232" s="92" t="n">
        <f aca="false">IF(OR($A232="",R232=1),"",IFERROR(IF(ISNUMBER(FIND("/",S232)),IF(ISNUMBER(FIND(" ",S232)),VALUE(LEFT(S232,FIND(" ",S232)-1))+VALUE(MID(S232,FIND(" ",S232)+1,FIND("/",S232)-FIND(" ",S232)-1))/VALUE(MID(S232,FIND("/",S232)+1,9)),VALUE(LEFT(S232,FIND("/",S232)-1))/VALUE(MID(S232,FIND("/",S232)+1,9))),VALUE(S232)),""))</f>
        <v>0.33</v>
      </c>
      <c r="U232" s="43" t="str">
        <f aca="false">IF(OR($A232="",NOT(ISNUMBER(Q232))),"",TEXT(Q232,"yyyymmdd")&amp;"|"&amp;IF(R232=1,"F",TEXT(T232,"0.000")))</f>
        <v>20260725|0.330</v>
      </c>
      <c r="V232" s="43" t="str">
        <f aca="false">IF(U232="","",O232&amp;"|"&amp;U232)</f>
        <v>EIBKOR|20260725|0.330</v>
      </c>
      <c r="W232" s="43" t="str">
        <f aca="false">IF($A232="","",IFERROR(IF(VLOOKUP(O232,매핑!$A$4:$E$92,3,0)="","미분류",VLOOKUP(O232,매핑!$A$4:$E$92,3,0)),"미분류"))</f>
        <v>한국</v>
      </c>
      <c r="X232" s="89" t="n">
        <f aca="false">IF($A232="",0,IF(O232="T",1,0))</f>
        <v>0</v>
      </c>
      <c r="Y232" s="89" t="n">
        <f aca="false">IF($A232="",0,IF(AND(C232="USD",X232=0,ISNUMBER(E232),ISNUMBER(K232)),IF(K232&gt;=설정!$C$8,1,0),0))</f>
        <v>0</v>
      </c>
      <c r="Z232" s="43" t="str">
        <f aca="false">IF($A232="","",N232&amp;"|"&amp;L232)</f>
        <v>아시아/기타|정부</v>
      </c>
      <c r="AA232" s="92" t="n">
        <f aca="false">IF(Y232=1,LN(K232),0)</f>
        <v>0</v>
      </c>
      <c r="AB232" s="93" t="n">
        <f aca="false">IF(Y232=1,E232,0)</f>
        <v>0</v>
      </c>
      <c r="AC232" s="89" t="n">
        <f aca="false">IF(Y232=1,COUNTIFS($Z$2:$Z$601,Z232,$Y$2:$Y$601,1),0)</f>
        <v>0</v>
      </c>
      <c r="AD232" s="89" t="n">
        <f aca="false">IF(Y232=1,COUNTIFS($N$2:$N$601,N232,$Y$2:$Y$601,1),0)</f>
        <v>0</v>
      </c>
      <c r="AE232" s="43" t="str">
        <f aca="false">IF(Y232&lt;&gt;1,"",IF(AND(AC232&gt;=설정!$C$7,ISNUMBER(MATCH(Z232,피어커브!$A:$A,0))),Z232,IF(AND(AD232&gt;=설정!$C$7,ISNUMBER(MATCH(N232&amp;"|전체",피어커브!$A:$A,0))),N232&amp;"|전체","전체|전체")))</f>
        <v/>
      </c>
      <c r="AF232" s="93" t="str">
        <f aca="false">IF(AE232="","",INDEX(피어커브!$K:$K,MATCH(AE232,피어커브!$A:$A,0)))</f>
        <v/>
      </c>
      <c r="AG232" s="93" t="str">
        <f aca="false">IF(AE232="","",INDEX(피어커브!$J:$J,MATCH(AE232,피어커브!$A:$A,0)))</f>
        <v/>
      </c>
      <c r="AH232" s="93" t="str">
        <f aca="false">IF(AE232="","",INDEX(피어커브!$L:$L,MATCH(AE232,피어커브!$A:$A,0)))</f>
        <v/>
      </c>
      <c r="AI232" s="93" t="str">
        <f aca="false">IF(AE232="","",AF232+AG232*AA232)</f>
        <v/>
      </c>
      <c r="AJ232" s="96" t="str">
        <f aca="false">IF(AE232="","",E232-AI232)</f>
        <v/>
      </c>
      <c r="AK232" s="95" t="str">
        <f aca="false">IF(AE232="","",IF(ISNUMBER(AH232),IF(AH232&gt;0,AJ232/AH232,""),""))</f>
        <v/>
      </c>
      <c r="AL232" s="43" t="str">
        <f aca="false">IF(AK232="","-",IF(AK232&gt;=설정!$C$6,"Cheap",IF(AK232&lt;=-설정!$C$6,"Rich","Fair")))</f>
        <v>-</v>
      </c>
      <c r="AM232" s="96" t="str">
        <f aca="false">IF(AE232="","",AJ232-AVERAGEIFS($AJ$2:$AJ$601,$B$2:$B$601,B232,$Y$2:$Y$601,1))</f>
        <v/>
      </c>
      <c r="AN232" s="93" t="n">
        <f aca="false">IF(AE232="",0,IF(K232&gt;1+설정!$C$8,AG232*(AA232-LN(K232-1)),0))</f>
        <v>0</v>
      </c>
      <c r="AO232" s="99" t="n">
        <f aca="false">IF($A232="",0,SUMIFS(보유분석!$AA$2:$AA$801,보유분석!$AB$2:$AB$801,ROW(),보유분석!$AC$2:$AC$801,1))</f>
        <v>0</v>
      </c>
      <c r="AP232" s="43" t="str">
        <f aca="false">IF($A232="","",TRIM(IF(R232=1,"FRN ","")&amp;IF(IFERROR(VLOOKUP(M232,설정!$A$15:$D$47,4,0),0)&gt;=10,IF(IFERROR(VLOOKUP(M232,설정!$A$15:$D$47,4,0),0)&lt;99,"BBB0미만 ",""),"")&amp;IF(OR(M232="",M232="NR"),"등급미입력 ","")&amp;IF(C232&lt;&gt;"USD","비USD ","")))</f>
        <v>등급미입력 비USD</v>
      </c>
      <c r="AQ232" s="90" t="n">
        <f aca="false">IF(AND(Y232=1,AL232="Cheap"),IF(AND(ISERROR(SEARCH("FRN",AP232)),ISERROR(SEARCH("BBB0미만",AP232))),AK232+ROW()/1000000000,-999),-999)</f>
        <v>-999</v>
      </c>
      <c r="AR232" s="92" t="str">
        <f aca="false">IF(AND(ISNUMBER(D232),ISNUMBER(K232)),D232+AN232*MAX(K232-1,0)/100,"")</f>
        <v/>
      </c>
      <c r="AS232" s="93" t="str">
        <f aca="false">IF(AND(ISNUMBER(E232),ISNUMBER(K232)),IF(K232&gt;0,(E232+AN232*MAX(K232-1,0))/K232,""),"")</f>
        <v/>
      </c>
      <c r="AT232" s="90" t="n">
        <f aca="false">IFERROR(IF(AND(Y232=1,ROW()&lt;&gt;스왑분석!$C$12+1,ABS(K232-INDEX($K$2:$K$601,스왑분석!$C$12))&lt;=스왑분석!$C$5,ISERROR(SEARCH("FRN",AP232)),ISERROR(SEARCH("BBB0미만",AP232))),IF(AND(OR(스왑분석!$C$6="N",L232=INDEX($L$2:$L$601,스왑분석!$C$12)),OR(스왑분석!$C$7="N",N232=INDEX($N$2:$N$601,스왑분석!$C$12)),OR(스왑분석!$C$8="N",AO232=0),E232-INDEX($E$2:$E$601,스왑분석!$C$12)&gt;=스왑분석!$C$9),E232-INDEX($E$2:$E$601,스왑분석!$C$12)+ROW()/1000000000,-999),-999),-999)</f>
        <v>-999</v>
      </c>
      <c r="AU232" s="90" t="n">
        <f aca="false">IF(AND(Y232=1,AO232&gt;0,AL232="Rich"),-AK232+ROW()/1000000000,-999)</f>
        <v>-999</v>
      </c>
    </row>
    <row r="233" customFormat="false" ht="15" hidden="false" customHeight="false" outlineLevel="0" collapsed="false">
      <c r="A233" s="83" t="str">
        <f aca="false">IFERROR(IF(INDEX(원자료_시장!$A$1:$BZ$1000,설정!$L$6+ROW()-1,설정!$L$24)&amp;""="0","",INDEX(원자료_시장!$A$1:$BZ$1000,설정!$L$6+ROW()-1,설정!$L$24)),"")</f>
        <v>KOLAHO 4 1/4 10/22/27</v>
      </c>
      <c r="B233" s="83" t="str">
        <f aca="false">IFERROR(IF(INDEX(원자료_시장!$A$1:$BZ$1000,설정!$L$6+ROW()-1,설정!$L$37)&amp;""="0","",INDEX(원자료_시장!$A$1:$BZ$1000,설정!$L$6+ROW()-1,설정!$L$37)),"")</f>
        <v>KOREA LAND &amp; HOUSING COR</v>
      </c>
      <c r="C233" s="83" t="str">
        <f aca="false">IFERROR(IF(INDEX(원자료_시장!$A$1:$BZ$1000,설정!$L$6+ROW()-1,설정!$L$25)&amp;""="0","",INDEX(원자료_시장!$A$1:$BZ$1000,설정!$L$6+ROW()-1,설정!$L$25)),"")</f>
        <v>USD</v>
      </c>
      <c r="D233" s="85" t="n">
        <f aca="false">IFERROR(IF(ISNUMBER(INDEX(원자료_시장!$A$1:$BZ$1000,설정!$L$6+ROW()-1,설정!$L$26)),INDEX(원자료_시장!$A$1:$BZ$1000,설정!$L$6+ROW()-1,설정!$L$26),""),"")</f>
        <v>4.829</v>
      </c>
      <c r="E233" s="97" t="n">
        <f aca="false">IFERROR(IF(ISNUMBER(INDEX(원자료_시장!$A$1:$BZ$1000,설정!$L$6+ROW()-1,설정!$L$27)),INDEX(원자료_시장!$A$1:$BZ$1000,설정!$L$6+ROW()-1,설정!$L$27),""),"")</f>
        <v>-5.974</v>
      </c>
      <c r="F233" s="97" t="n">
        <f aca="false">IFERROR(IF(ISNUMBER(INDEX(원자료_시장!$A$1:$BZ$1000,설정!$L$6+ROW()-1,설정!$L$28)),INDEX(원자료_시장!$A$1:$BZ$1000,설정!$L$6+ROW()-1,설정!$L$28),""),"")</f>
        <v>31.977</v>
      </c>
      <c r="G233" s="97" t="n">
        <f aca="false">IFERROR(IF(ISNUMBER(INDEX(원자료_시장!$A$1:$BZ$1000,설정!$L$6+ROW()-1,설정!$L$29)),INDEX(원자료_시장!$A$1:$BZ$1000,설정!$L$6+ROW()-1,설정!$L$29),""),"")</f>
        <v>-0.5</v>
      </c>
      <c r="H233" s="97" t="n">
        <f aca="false">IFERROR(IF(ISNUMBER(INDEX(원자료_시장!$A$1:$BZ$1000,설정!$L$6+ROW()-1,설정!$L$30)),INDEX(원자료_시장!$A$1:$BZ$1000,설정!$L$6+ROW()-1,설정!$L$30),""),"")</f>
        <v>11.7</v>
      </c>
      <c r="I233" s="97" t="n">
        <f aca="false">IFERROR(IF(ISNUMBER(INDEX(원자료_시장!$A$1:$BZ$1000,설정!$L$6+ROW()-1,설정!$L$31)),INDEX(원자료_시장!$A$1:$BZ$1000,설정!$L$6+ROW()-1,설정!$L$31),""),"")</f>
        <v>-18.9</v>
      </c>
      <c r="J233" s="97" t="n">
        <f aca="false">IFERROR(IF(ISNUMBER(INDEX(원자료_시장!$A$1:$BZ$1000,설정!$L$6+ROW()-1,설정!$L$32)),INDEX(원자료_시장!$A$1:$BZ$1000,설정!$L$6+ROW()-1,설정!$L$32),""),"")</f>
        <v>-36.3</v>
      </c>
      <c r="K233" s="85" t="n">
        <f aca="false">IFERROR(IF(ISNUMBER(INDEX(원자료_시장!$A$1:$BZ$1000,설정!$L$6+ROW()-1,설정!$L$33)),INDEX(원자료_시장!$A$1:$BZ$1000,설정!$L$6+ROW()-1,설정!$L$33),""),"")</f>
        <v>1.016</v>
      </c>
      <c r="L233" s="83" t="str">
        <f aca="false">IFERROR(IF(INDEX(원자료_시장!$A$1:$BZ$1000,설정!$L$6+ROW()-1,설정!$L$34)&amp;""="0","",INDEX(원자료_시장!$A$1:$BZ$1000,설정!$L$6+ROW()-1,설정!$L$34)),"")</f>
        <v>정부</v>
      </c>
      <c r="M233" s="83" t="str">
        <f aca="false">IFERROR(IF(INDEX(원자료_시장!$A$1:$BZ$1000,설정!$L$6+ROW()-1,설정!$L$35)&amp;""="0","",INDEX(원자료_시장!$A$1:$BZ$1000,설정!$L$6+ROW()-1,설정!$L$35)),"")</f>
        <v>AA</v>
      </c>
      <c r="N233" s="83" t="str">
        <f aca="false">IFERROR(IF(INDEX(원자료_시장!$A$1:$BZ$1000,설정!$L$6+ROW()-1,설정!$L$36)&amp;""="0","",INDEX(원자료_시장!$A$1:$BZ$1000,설정!$L$6+ROW()-1,설정!$L$36)),"")</f>
        <v>아시아/기타</v>
      </c>
      <c r="O233" s="43" t="str">
        <f aca="false">IF($A233="","",UPPER(LEFT($A233,FIND(" ",$A233&amp;" ")-1)))</f>
        <v>KOLAHO</v>
      </c>
      <c r="P233" s="43" t="str">
        <f aca="false">IF($A233="","",TRIM(RIGHT(SUBSTITUTE(TRIM($A233)," ",REPT(" ",30)),30)))</f>
        <v>10/22/27</v>
      </c>
      <c r="Q233" s="98" t="n">
        <f aca="false">IF($A233="","",IFERROR(DATE(IF(LEN(P233)=8,2000+VALUE(RIGHT(P233,2)),VALUE(RIGHT(P233,4))),VALUE(LEFT(P233,2)),VALUE(MID(P233,4,2))),""))</f>
        <v>46682</v>
      </c>
      <c r="R233" s="89" t="n">
        <f aca="false">IF($A233="",0,IF(ISNUMBER(SEARCH("Float",$A233)),1,0))</f>
        <v>0</v>
      </c>
      <c r="S233" s="43" t="str">
        <f aca="false">IF($A233="","",TRIM(MID($A233,LEN(O233)+2,LEN($A233)-LEN(O233)-LEN(P233)-1)))</f>
        <v>4 1/4</v>
      </c>
      <c r="T233" s="92" t="n">
        <f aca="false">IF(OR($A233="",R233=1),"",IFERROR(IF(ISNUMBER(FIND("/",S233)),IF(ISNUMBER(FIND(" ",S233)),VALUE(LEFT(S233,FIND(" ",S233)-1))+VALUE(MID(S233,FIND(" ",S233)+1,FIND("/",S233)-FIND(" ",S233)-1))/VALUE(MID(S233,FIND("/",S233)+1,9)),VALUE(LEFT(S233,FIND("/",S233)-1))/VALUE(MID(S233,FIND("/",S233)+1,9))),VALUE(S233)),""))</f>
        <v>4.25</v>
      </c>
      <c r="U233" s="43" t="str">
        <f aca="false">IF(OR($A233="",NOT(ISNUMBER(Q233))),"",TEXT(Q233,"yyyymmdd")&amp;"|"&amp;IF(R233=1,"F",TEXT(T233,"0.000")))</f>
        <v>20271022|4.250</v>
      </c>
      <c r="V233" s="43" t="str">
        <f aca="false">IF(U233="","",O233&amp;"|"&amp;U233)</f>
        <v>KOLAHO|20271022|4.250</v>
      </c>
      <c r="W233" s="43" t="str">
        <f aca="false">IF($A233="","",IFERROR(IF(VLOOKUP(O233,매핑!$A$4:$E$92,3,0)="","미분류",VLOOKUP(O233,매핑!$A$4:$E$92,3,0)),"미분류"))</f>
        <v>한국</v>
      </c>
      <c r="X233" s="89" t="n">
        <f aca="false">IF($A233="",0,IF(O233="T",1,0))</f>
        <v>0</v>
      </c>
      <c r="Y233" s="89" t="n">
        <f aca="false">IF($A233="",0,IF(AND(C233="USD",X233=0,ISNUMBER(E233),ISNUMBER(K233)),IF(K233&gt;=설정!$C$8,1,0),0))</f>
        <v>1</v>
      </c>
      <c r="Z233" s="43" t="str">
        <f aca="false">IF($A233="","",N233&amp;"|"&amp;L233)</f>
        <v>아시아/기타|정부</v>
      </c>
      <c r="AA233" s="92" t="n">
        <f aca="false">IF(Y233=1,LN(K233),0)</f>
        <v>0.0158733491562902</v>
      </c>
      <c r="AB233" s="93" t="n">
        <f aca="false">IF(Y233=1,E233,0)</f>
        <v>-5.974</v>
      </c>
      <c r="AC233" s="89" t="n">
        <f aca="false">IF(Y233=1,COUNTIFS($Z$2:$Z$601,Z233,$Y$2:$Y$601,1),0)</f>
        <v>51</v>
      </c>
      <c r="AD233" s="89" t="n">
        <f aca="false">IF(Y233=1,COUNTIFS($N$2:$N$601,N233,$Y$2:$Y$601,1),0)</f>
        <v>137</v>
      </c>
      <c r="AE233" s="43" t="str">
        <f aca="false">IF(Y233&lt;&gt;1,"",IF(AND(AC233&gt;=설정!$C$7,ISNUMBER(MATCH(Z233,피어커브!$A:$A,0))),Z233,IF(AND(AD233&gt;=설정!$C$7,ISNUMBER(MATCH(N233&amp;"|전체",피어커브!$A:$A,0))),N233&amp;"|전체","전체|전체")))</f>
        <v>아시아/기타|정부</v>
      </c>
      <c r="AF233" s="93" t="n">
        <f aca="false">IF(AE233="","",INDEX(피어커브!$K:$K,MATCH(AE233,피어커브!$A:$A,0)))</f>
        <v>-1.54860147302313</v>
      </c>
      <c r="AG233" s="93" t="n">
        <f aca="false">IF(AE233="","",INDEX(피어커브!$J:$J,MATCH(AE233,피어커브!$A:$A,0)))</f>
        <v>19.8674994409945</v>
      </c>
      <c r="AH233" s="93" t="n">
        <f aca="false">IF(AE233="","",INDEX(피어커브!$L:$L,MATCH(AE233,피어커브!$A:$A,0)))</f>
        <v>13.6930241146778</v>
      </c>
      <c r="AI233" s="93" t="n">
        <f aca="false">IF(AE233="","",AF233+AG233*AA233)</f>
        <v>-1.23323771753382</v>
      </c>
      <c r="AJ233" s="96" t="n">
        <f aca="false">IF(AE233="","",E233-AI233)</f>
        <v>-4.74076228246618</v>
      </c>
      <c r="AK233" s="95" t="n">
        <f aca="false">IF(AE233="","",IF(ISNUMBER(AH233),IF(AH233&gt;0,AJ233/AH233,""),""))</f>
        <v>-0.346217332472559</v>
      </c>
      <c r="AL233" s="43" t="str">
        <f aca="false">IF(AK233="","-",IF(AK233&gt;=설정!$C$6,"Cheap",IF(AK233&lt;=-설정!$C$6,"Rich","Fair")))</f>
        <v>Fair</v>
      </c>
      <c r="AM233" s="96" t="n">
        <f aca="false">IF(AE233="","",AJ233-AVERAGEIFS($AJ$2:$AJ$601,$B$2:$B$601,B233,$Y$2:$Y$601,1))</f>
        <v>0.0248398117582322</v>
      </c>
      <c r="AN233" s="93" t="n">
        <f aca="false">IF(AE233="",0,IF(K233&gt;1+설정!$C$8,AG233*(AA233-LN(K233-1)),0))</f>
        <v>0</v>
      </c>
      <c r="AO233" s="99" t="n">
        <f aca="false">IF($A233="",0,SUMIFS(보유분석!$AA$2:$AA$801,보유분석!$AB$2:$AB$801,ROW(),보유분석!$AC$2:$AC$801,1))</f>
        <v>0</v>
      </c>
      <c r="AP233" s="43" t="str">
        <f aca="false">IF($A233="","",TRIM(IF(R233=1,"FRN ","")&amp;IF(IFERROR(VLOOKUP(M233,설정!$A$15:$D$47,4,0),0)&gt;=10,IF(IFERROR(VLOOKUP(M233,설정!$A$15:$D$47,4,0),0)&lt;99,"BBB0미만 ",""),"")&amp;IF(OR(M233="",M233="NR"),"등급미입력 ","")&amp;IF(C233&lt;&gt;"USD","비USD ","")))</f>
        <v/>
      </c>
      <c r="AQ233" s="90" t="n">
        <f aca="false">IF(AND(Y233=1,AL233="Cheap"),IF(AND(ISERROR(SEARCH("FRN",AP233)),ISERROR(SEARCH("BBB0미만",AP233))),AK233+ROW()/1000000000,-999),-999)</f>
        <v>-999</v>
      </c>
      <c r="AR233" s="92" t="n">
        <f aca="false">IF(AND(ISNUMBER(D233),ISNUMBER(K233)),D233+AN233*MAX(K233-1,0)/100,"")</f>
        <v>4.829</v>
      </c>
      <c r="AS233" s="93" t="n">
        <f aca="false">IF(AND(ISNUMBER(E233),ISNUMBER(K233)),IF(K233&gt;0,(E233+AN233*MAX(K233-1,0))/K233,""),"")</f>
        <v>-5.87992125984252</v>
      </c>
      <c r="AT233" s="90" t="n">
        <f aca="false">IFERROR(IF(AND(Y233=1,ROW()&lt;&gt;스왑분석!$C$12+1,ABS(K233-INDEX($K$2:$K$601,스왑분석!$C$12))&lt;=스왑분석!$C$5,ISERROR(SEARCH("FRN",AP233)),ISERROR(SEARCH("BBB0미만",AP233))),IF(AND(OR(스왑분석!$C$6="N",L233=INDEX($L$2:$L$601,스왑분석!$C$12)),OR(스왑분석!$C$7="N",N233=INDEX($N$2:$N$601,스왑분석!$C$12)),OR(스왑분석!$C$8="N",AO233=0),E233-INDEX($E$2:$E$601,스왑분석!$C$12)&gt;=스왑분석!$C$9),E233-INDEX($E$2:$E$601,스왑분석!$C$12)+ROW()/1000000000,-999),-999),-999)</f>
        <v>-999</v>
      </c>
      <c r="AU233" s="90" t="n">
        <f aca="false">IF(AND(Y233=1,AO233&gt;0,AL233="Rich"),-AK233+ROW()/1000000000,-999)</f>
        <v>-999</v>
      </c>
    </row>
    <row r="234" customFormat="false" ht="15" hidden="false" customHeight="false" outlineLevel="0" collapsed="false">
      <c r="A234" s="83" t="str">
        <f aca="false">IFERROR(IF(INDEX(원자료_시장!$A$1:$BZ$1000,설정!$L$6+ROW()-1,설정!$L$24)&amp;""="0","",INDEX(원자료_시장!$A$1:$BZ$1000,설정!$L$6+ROW()-1,설정!$L$24)),"")</f>
        <v>BMW 3 1/8 07/22/29</v>
      </c>
      <c r="B234" s="83" t="str">
        <f aca="false">IFERROR(IF(INDEX(원자료_시장!$A$1:$BZ$1000,설정!$L$6+ROW()-1,설정!$L$37)&amp;""="0","",INDEX(원자료_시장!$A$1:$BZ$1000,설정!$L$6+ROW()-1,설정!$L$37)),"")</f>
        <v>BMW INTL INVESTMENT BV</v>
      </c>
      <c r="C234" s="83" t="str">
        <f aca="false">IFERROR(IF(INDEX(원자료_시장!$A$1:$BZ$1000,설정!$L$6+ROW()-1,설정!$L$25)&amp;""="0","",INDEX(원자료_시장!$A$1:$BZ$1000,설정!$L$6+ROW()-1,설정!$L$25)),"")</f>
        <v>EUR</v>
      </c>
      <c r="D234" s="85" t="n">
        <f aca="false">IFERROR(IF(ISNUMBER(INDEX(원자료_시장!$A$1:$BZ$1000,설정!$L$6+ROW()-1,설정!$L$26)),INDEX(원자료_시장!$A$1:$BZ$1000,설정!$L$6+ROW()-1,설정!$L$26),""),"")</f>
        <v>3.982</v>
      </c>
      <c r="E234" s="97" t="n">
        <f aca="false">IFERROR(IF(ISNUMBER(INDEX(원자료_시장!$A$1:$BZ$1000,설정!$L$6+ROW()-1,설정!$L$27)),INDEX(원자료_시장!$A$1:$BZ$1000,설정!$L$6+ROW()-1,설정!$L$27),""),"")</f>
        <v>73.726</v>
      </c>
      <c r="F234" s="97" t="n">
        <f aca="false">IFERROR(IF(ISNUMBER(INDEX(원자료_시장!$A$1:$BZ$1000,설정!$L$6+ROW()-1,설정!$L$28)),INDEX(원자료_시장!$A$1:$BZ$1000,설정!$L$6+ROW()-1,설정!$L$28),""),"")</f>
        <v>41.373</v>
      </c>
      <c r="G234" s="97" t="str">
        <f aca="false">IFERROR(IF(ISNUMBER(INDEX(원자료_시장!$A$1:$BZ$1000,설정!$L$6+ROW()-1,설정!$L$29)),INDEX(원자료_시장!$A$1:$BZ$1000,설정!$L$6+ROW()-1,설정!$L$29),""),"")</f>
        <v/>
      </c>
      <c r="H234" s="97" t="str">
        <f aca="false">IFERROR(IF(ISNUMBER(INDEX(원자료_시장!$A$1:$BZ$1000,설정!$L$6+ROW()-1,설정!$L$30)),INDEX(원자료_시장!$A$1:$BZ$1000,설정!$L$6+ROW()-1,설정!$L$30),""),"")</f>
        <v/>
      </c>
      <c r="I234" s="97" t="str">
        <f aca="false">IFERROR(IF(ISNUMBER(INDEX(원자료_시장!$A$1:$BZ$1000,설정!$L$6+ROW()-1,설정!$L$31)),INDEX(원자료_시장!$A$1:$BZ$1000,설정!$L$6+ROW()-1,설정!$L$31),""),"")</f>
        <v/>
      </c>
      <c r="J234" s="97" t="str">
        <f aca="false">IFERROR(IF(ISNUMBER(INDEX(원자료_시장!$A$1:$BZ$1000,설정!$L$6+ROW()-1,설정!$L$32)),INDEX(원자료_시장!$A$1:$BZ$1000,설정!$L$6+ROW()-1,설정!$L$32),""),"")</f>
        <v/>
      </c>
      <c r="K234" s="85" t="n">
        <f aca="false">IFERROR(IF(ISNUMBER(INDEX(원자료_시장!$A$1:$BZ$1000,설정!$L$6+ROW()-1,설정!$L$33)),INDEX(원자료_시장!$A$1:$BZ$1000,설정!$L$6+ROW()-1,설정!$L$33),""),"")</f>
        <v>2.703</v>
      </c>
      <c r="L234" s="83" t="str">
        <f aca="false">IFERROR(IF(INDEX(원자료_시장!$A$1:$BZ$1000,설정!$L$6+ROW()-1,설정!$L$34)&amp;""="0","",INDEX(원자료_시장!$A$1:$BZ$1000,설정!$L$6+ROW()-1,설정!$L$34)),"")</f>
        <v>자유 소비재</v>
      </c>
      <c r="M234" s="83" t="str">
        <f aca="false">IFERROR(IF(INDEX(원자료_시장!$A$1:$BZ$1000,설정!$L$6+ROW()-1,설정!$L$35)&amp;""="0","",INDEX(원자료_시장!$A$1:$BZ$1000,설정!$L$6+ROW()-1,설정!$L$35)),"")</f>
        <v>A</v>
      </c>
      <c r="N234" s="83" t="str">
        <f aca="false">IFERROR(IF(INDEX(원자료_시장!$A$1:$BZ$1000,설정!$L$6+ROW()-1,설정!$L$36)&amp;""="0","",INDEX(원자료_시장!$A$1:$BZ$1000,설정!$L$6+ROW()-1,설정!$L$36)),"")</f>
        <v>유럽</v>
      </c>
      <c r="O234" s="43" t="str">
        <f aca="false">IF($A234="","",UPPER(LEFT($A234,FIND(" ",$A234&amp;" ")-1)))</f>
        <v>BMW</v>
      </c>
      <c r="P234" s="43" t="str">
        <f aca="false">IF($A234="","",TRIM(RIGHT(SUBSTITUTE(TRIM($A234)," ",REPT(" ",30)),30)))</f>
        <v>07/22/29</v>
      </c>
      <c r="Q234" s="98" t="n">
        <f aca="false">IF($A234="","",IFERROR(DATE(IF(LEN(P234)=8,2000+VALUE(RIGHT(P234,2)),VALUE(RIGHT(P234,4))),VALUE(LEFT(P234,2)),VALUE(MID(P234,4,2))),""))</f>
        <v>47321</v>
      </c>
      <c r="R234" s="89" t="n">
        <f aca="false">IF($A234="",0,IF(ISNUMBER(SEARCH("Float",$A234)),1,0))</f>
        <v>0</v>
      </c>
      <c r="S234" s="43" t="str">
        <f aca="false">IF($A234="","",TRIM(MID($A234,LEN(O234)+2,LEN($A234)-LEN(O234)-LEN(P234)-1)))</f>
        <v>3 1/8</v>
      </c>
      <c r="T234" s="92" t="n">
        <f aca="false">IF(OR($A234="",R234=1),"",IFERROR(IF(ISNUMBER(FIND("/",S234)),IF(ISNUMBER(FIND(" ",S234)),VALUE(LEFT(S234,FIND(" ",S234)-1))+VALUE(MID(S234,FIND(" ",S234)+1,FIND("/",S234)-FIND(" ",S234)-1))/VALUE(MID(S234,FIND("/",S234)+1,9)),VALUE(LEFT(S234,FIND("/",S234)-1))/VALUE(MID(S234,FIND("/",S234)+1,9))),VALUE(S234)),""))</f>
        <v>3.125</v>
      </c>
      <c r="U234" s="43" t="str">
        <f aca="false">IF(OR($A234="",NOT(ISNUMBER(Q234))),"",TEXT(Q234,"yyyymmdd")&amp;"|"&amp;IF(R234=1,"F",TEXT(T234,"0.000")))</f>
        <v>20290722|3.125</v>
      </c>
      <c r="V234" s="43" t="str">
        <f aca="false">IF(U234="","",O234&amp;"|"&amp;U234)</f>
        <v>BMW|20290722|3.125</v>
      </c>
      <c r="W234" s="43" t="str">
        <f aca="false">IF($A234="","",IFERROR(IF(VLOOKUP(O234,매핑!$A$4:$E$92,3,0)="","미분류",VLOOKUP(O234,매핑!$A$4:$E$92,3,0)),"미분류"))</f>
        <v>독일</v>
      </c>
      <c r="X234" s="89" t="n">
        <f aca="false">IF($A234="",0,IF(O234="T",1,0))</f>
        <v>0</v>
      </c>
      <c r="Y234" s="89" t="n">
        <f aca="false">IF($A234="",0,IF(AND(C234="USD",X234=0,ISNUMBER(E234),ISNUMBER(K234)),IF(K234&gt;=설정!$C$8,1,0),0))</f>
        <v>0</v>
      </c>
      <c r="Z234" s="43" t="str">
        <f aca="false">IF($A234="","",N234&amp;"|"&amp;L234)</f>
        <v>유럽|자유 소비재</v>
      </c>
      <c r="AA234" s="92" t="n">
        <f aca="false">IF(Y234=1,LN(K234),0)</f>
        <v>0</v>
      </c>
      <c r="AB234" s="93" t="n">
        <f aca="false">IF(Y234=1,E234,0)</f>
        <v>0</v>
      </c>
      <c r="AC234" s="89" t="n">
        <f aca="false">IF(Y234=1,COUNTIFS($Z$2:$Z$601,Z234,$Y$2:$Y$601,1),0)</f>
        <v>0</v>
      </c>
      <c r="AD234" s="89" t="n">
        <f aca="false">IF(Y234=1,COUNTIFS($N$2:$N$601,N234,$Y$2:$Y$601,1),0)</f>
        <v>0</v>
      </c>
      <c r="AE234" s="43" t="str">
        <f aca="false">IF(Y234&lt;&gt;1,"",IF(AND(AC234&gt;=설정!$C$7,ISNUMBER(MATCH(Z234,피어커브!$A:$A,0))),Z234,IF(AND(AD234&gt;=설정!$C$7,ISNUMBER(MATCH(N234&amp;"|전체",피어커브!$A:$A,0))),N234&amp;"|전체","전체|전체")))</f>
        <v/>
      </c>
      <c r="AF234" s="93" t="str">
        <f aca="false">IF(AE234="","",INDEX(피어커브!$K:$K,MATCH(AE234,피어커브!$A:$A,0)))</f>
        <v/>
      </c>
      <c r="AG234" s="93" t="str">
        <f aca="false">IF(AE234="","",INDEX(피어커브!$J:$J,MATCH(AE234,피어커브!$A:$A,0)))</f>
        <v/>
      </c>
      <c r="AH234" s="93" t="str">
        <f aca="false">IF(AE234="","",INDEX(피어커브!$L:$L,MATCH(AE234,피어커브!$A:$A,0)))</f>
        <v/>
      </c>
      <c r="AI234" s="93" t="str">
        <f aca="false">IF(AE234="","",AF234+AG234*AA234)</f>
        <v/>
      </c>
      <c r="AJ234" s="96" t="str">
        <f aca="false">IF(AE234="","",E234-AI234)</f>
        <v/>
      </c>
      <c r="AK234" s="95" t="str">
        <f aca="false">IF(AE234="","",IF(ISNUMBER(AH234),IF(AH234&gt;0,AJ234/AH234,""),""))</f>
        <v/>
      </c>
      <c r="AL234" s="43" t="str">
        <f aca="false">IF(AK234="","-",IF(AK234&gt;=설정!$C$6,"Cheap",IF(AK234&lt;=-설정!$C$6,"Rich","Fair")))</f>
        <v>-</v>
      </c>
      <c r="AM234" s="96" t="str">
        <f aca="false">IF(AE234="","",AJ234-AVERAGEIFS($AJ$2:$AJ$601,$B$2:$B$601,B234,$Y$2:$Y$601,1))</f>
        <v/>
      </c>
      <c r="AN234" s="93" t="n">
        <f aca="false">IF(AE234="",0,IF(K234&gt;1+설정!$C$8,AG234*(AA234-LN(K234-1)),0))</f>
        <v>0</v>
      </c>
      <c r="AO234" s="99" t="n">
        <f aca="false">IF($A234="",0,SUMIFS(보유분석!$AA$2:$AA$801,보유분석!$AB$2:$AB$801,ROW(),보유분석!$AC$2:$AC$801,1))</f>
        <v>0</v>
      </c>
      <c r="AP234" s="43" t="str">
        <f aca="false">IF($A234="","",TRIM(IF(R234=1,"FRN ","")&amp;IF(IFERROR(VLOOKUP(M234,설정!$A$15:$D$47,4,0),0)&gt;=10,IF(IFERROR(VLOOKUP(M234,설정!$A$15:$D$47,4,0),0)&lt;99,"BBB0미만 ",""),"")&amp;IF(OR(M234="",M234="NR"),"등급미입력 ","")&amp;IF(C234&lt;&gt;"USD","비USD ","")))</f>
        <v>비USD</v>
      </c>
      <c r="AQ234" s="90" t="n">
        <f aca="false">IF(AND(Y234=1,AL234="Cheap"),IF(AND(ISERROR(SEARCH("FRN",AP234)),ISERROR(SEARCH("BBB0미만",AP234))),AK234+ROW()/1000000000,-999),-999)</f>
        <v>-999</v>
      </c>
      <c r="AR234" s="92" t="n">
        <f aca="false">IF(AND(ISNUMBER(D234),ISNUMBER(K234)),D234+AN234*MAX(K234-1,0)/100,"")</f>
        <v>3.982</v>
      </c>
      <c r="AS234" s="93" t="n">
        <f aca="false">IF(AND(ISNUMBER(E234),ISNUMBER(K234)),IF(K234&gt;0,(E234+AN234*MAX(K234-1,0))/K234,""),"")</f>
        <v>27.275619681835</v>
      </c>
      <c r="AT234" s="90" t="n">
        <f aca="false">IFERROR(IF(AND(Y234=1,ROW()&lt;&gt;스왑분석!$C$12+1,ABS(K234-INDEX($K$2:$K$601,스왑분석!$C$12))&lt;=스왑분석!$C$5,ISERROR(SEARCH("FRN",AP234)),ISERROR(SEARCH("BBB0미만",AP234))),IF(AND(OR(스왑분석!$C$6="N",L234=INDEX($L$2:$L$601,스왑분석!$C$12)),OR(스왑분석!$C$7="N",N234=INDEX($N$2:$N$601,스왑분석!$C$12)),OR(스왑분석!$C$8="N",AO234=0),E234-INDEX($E$2:$E$601,스왑분석!$C$12)&gt;=스왑분석!$C$9),E234-INDEX($E$2:$E$601,스왑분석!$C$12)+ROW()/1000000000,-999),-999),-999)</f>
        <v>-999</v>
      </c>
      <c r="AU234" s="90" t="n">
        <f aca="false">IF(AND(Y234=1,AO234&gt;0,AL234="Rich"),-AK234+ROW()/1000000000,-999)</f>
        <v>-999</v>
      </c>
    </row>
    <row r="235" customFormat="false" ht="15" hidden="false" customHeight="false" outlineLevel="0" collapsed="false">
      <c r="A235" s="83" t="str">
        <f aca="false">IFERROR(IF(INDEX(원자료_시장!$A$1:$BZ$1000,설정!$L$6+ROW()-1,설정!$L$24)&amp;""="0","",INDEX(원자료_시장!$A$1:$BZ$1000,설정!$L$6+ROW()-1,설정!$L$24)),"")</f>
        <v>DAESEC 5 1/4 03/06/28</v>
      </c>
      <c r="B235" s="83" t="str">
        <f aca="false">IFERROR(IF(INDEX(원자료_시장!$A$1:$BZ$1000,설정!$L$6+ROW()-1,설정!$L$37)&amp;""="0","",INDEX(원자료_시장!$A$1:$BZ$1000,설정!$L$6+ROW()-1,설정!$L$37)),"")</f>
        <v>MIRAE ASSET SECURITIES</v>
      </c>
      <c r="C235" s="83" t="str">
        <f aca="false">IFERROR(IF(INDEX(원자료_시장!$A$1:$BZ$1000,설정!$L$6+ROW()-1,설정!$L$25)&amp;""="0","",INDEX(원자료_시장!$A$1:$BZ$1000,설정!$L$6+ROW()-1,설정!$L$25)),"")</f>
        <v>USD</v>
      </c>
      <c r="D235" s="85" t="n">
        <f aca="false">IFERROR(IF(ISNUMBER(INDEX(원자료_시장!$A$1:$BZ$1000,설정!$L$6+ROW()-1,설정!$L$26)),INDEX(원자료_시장!$A$1:$BZ$1000,설정!$L$6+ROW()-1,설정!$L$26),""),"")</f>
        <v>5.638</v>
      </c>
      <c r="E235" s="97" t="n">
        <f aca="false">IFERROR(IF(ISNUMBER(INDEX(원자료_시장!$A$1:$BZ$1000,설정!$L$6+ROW()-1,설정!$L$27)),INDEX(원자료_시장!$A$1:$BZ$1000,설정!$L$6+ROW()-1,설정!$L$27),""),"")</f>
        <v>74.91</v>
      </c>
      <c r="F235" s="97" t="n">
        <f aca="false">IFERROR(IF(ISNUMBER(INDEX(원자료_시장!$A$1:$BZ$1000,설정!$L$6+ROW()-1,설정!$L$28)),INDEX(원자료_시장!$A$1:$BZ$1000,설정!$L$6+ROW()-1,설정!$L$28),""),"")</f>
        <v>103.975</v>
      </c>
      <c r="G235" s="97" t="n">
        <f aca="false">IFERROR(IF(ISNUMBER(INDEX(원자료_시장!$A$1:$BZ$1000,설정!$L$6+ROW()-1,설정!$L$29)),INDEX(원자료_시장!$A$1:$BZ$1000,설정!$L$6+ROW()-1,설정!$L$29),""),"")</f>
        <v>-0.3</v>
      </c>
      <c r="H235" s="97" t="n">
        <f aca="false">IFERROR(IF(ISNUMBER(INDEX(원자료_시장!$A$1:$BZ$1000,설정!$L$6+ROW()-1,설정!$L$30)),INDEX(원자료_시장!$A$1:$BZ$1000,설정!$L$6+ROW()-1,설정!$L$30),""),"")</f>
        <v>11.3</v>
      </c>
      <c r="I235" s="97" t="n">
        <f aca="false">IFERROR(IF(ISNUMBER(INDEX(원자료_시장!$A$1:$BZ$1000,설정!$L$6+ROW()-1,설정!$L$31)),INDEX(원자료_시장!$A$1:$BZ$1000,설정!$L$6+ROW()-1,설정!$L$31),""),"")</f>
        <v>-0.5</v>
      </c>
      <c r="J235" s="97" t="n">
        <f aca="false">IFERROR(IF(ISNUMBER(INDEX(원자료_시장!$A$1:$BZ$1000,설정!$L$6+ROW()-1,설정!$L$32)),INDEX(원자료_시장!$A$1:$BZ$1000,설정!$L$6+ROW()-1,설정!$L$32),""),"")</f>
        <v>-3.7</v>
      </c>
      <c r="K235" s="85" t="n">
        <f aca="false">IFERROR(IF(ISNUMBER(INDEX(원자료_시장!$A$1:$BZ$1000,설정!$L$6+ROW()-1,설정!$L$33)),INDEX(원자료_시장!$A$1:$BZ$1000,설정!$L$6+ROW()-1,설정!$L$33),""),"")</f>
        <v>1.381</v>
      </c>
      <c r="L235" s="83" t="str">
        <f aca="false">IFERROR(IF(INDEX(원자료_시장!$A$1:$BZ$1000,설정!$L$6+ROW()-1,설정!$L$34)&amp;""="0","",INDEX(원자료_시장!$A$1:$BZ$1000,설정!$L$6+ROW()-1,설정!$L$34)),"")</f>
        <v>금융기관</v>
      </c>
      <c r="M235" s="83" t="n">
        <f aca="false">IFERROR(IF(INDEX(원자료_시장!$A$1:$BZ$1000,설정!$L$6+ROW()-1,설정!$L$35)&amp;""="0","",INDEX(원자료_시장!$A$1:$BZ$1000,설정!$L$6+ROW()-1,설정!$L$35)),"")</f>
        <v>0</v>
      </c>
      <c r="N235" s="83" t="str">
        <f aca="false">IFERROR(IF(INDEX(원자료_시장!$A$1:$BZ$1000,설정!$L$6+ROW()-1,설정!$L$36)&amp;""="0","",INDEX(원자료_시장!$A$1:$BZ$1000,설정!$L$6+ROW()-1,설정!$L$36)),"")</f>
        <v>아시아/기타</v>
      </c>
      <c r="O235" s="43" t="str">
        <f aca="false">IF($A235="","",UPPER(LEFT($A235,FIND(" ",$A235&amp;" ")-1)))</f>
        <v>DAESEC</v>
      </c>
      <c r="P235" s="43" t="str">
        <f aca="false">IF($A235="","",TRIM(RIGHT(SUBSTITUTE(TRIM($A235)," ",REPT(" ",30)),30)))</f>
        <v>03/06/28</v>
      </c>
      <c r="Q235" s="98" t="n">
        <f aca="false">IF($A235="","",IFERROR(DATE(IF(LEN(P235)=8,2000+VALUE(RIGHT(P235,2)),VALUE(RIGHT(P235,4))),VALUE(LEFT(P235,2)),VALUE(MID(P235,4,2))),""))</f>
        <v>46818</v>
      </c>
      <c r="R235" s="89" t="n">
        <f aca="false">IF($A235="",0,IF(ISNUMBER(SEARCH("Float",$A235)),1,0))</f>
        <v>0</v>
      </c>
      <c r="S235" s="43" t="str">
        <f aca="false">IF($A235="","",TRIM(MID($A235,LEN(O235)+2,LEN($A235)-LEN(O235)-LEN(P235)-1)))</f>
        <v>5 1/4</v>
      </c>
      <c r="T235" s="92" t="n">
        <f aca="false">IF(OR($A235="",R235=1),"",IFERROR(IF(ISNUMBER(FIND("/",S235)),IF(ISNUMBER(FIND(" ",S235)),VALUE(LEFT(S235,FIND(" ",S235)-1))+VALUE(MID(S235,FIND(" ",S235)+1,FIND("/",S235)-FIND(" ",S235)-1))/VALUE(MID(S235,FIND("/",S235)+1,9)),VALUE(LEFT(S235,FIND("/",S235)-1))/VALUE(MID(S235,FIND("/",S235)+1,9))),VALUE(S235)),""))</f>
        <v>5.25</v>
      </c>
      <c r="U235" s="43" t="str">
        <f aca="false">IF(OR($A235="",NOT(ISNUMBER(Q235))),"",TEXT(Q235,"yyyymmdd")&amp;"|"&amp;IF(R235=1,"F",TEXT(T235,"0.000")))</f>
        <v>20280306|5.250</v>
      </c>
      <c r="V235" s="43" t="str">
        <f aca="false">IF(U235="","",O235&amp;"|"&amp;U235)</f>
        <v>DAESEC|20280306|5.250</v>
      </c>
      <c r="W235" s="43" t="str">
        <f aca="false">IF($A235="","",IFERROR(IF(VLOOKUP(O235,매핑!$A$4:$E$92,3,0)="","미분류",VLOOKUP(O235,매핑!$A$4:$E$92,3,0)),"미분류"))</f>
        <v>한국</v>
      </c>
      <c r="X235" s="89" t="n">
        <f aca="false">IF($A235="",0,IF(O235="T",1,0))</f>
        <v>0</v>
      </c>
      <c r="Y235" s="89" t="n">
        <f aca="false">IF($A235="",0,IF(AND(C235="USD",X235=0,ISNUMBER(E235),ISNUMBER(K235)),IF(K235&gt;=설정!$C$8,1,0),0))</f>
        <v>1</v>
      </c>
      <c r="Z235" s="43" t="str">
        <f aca="false">IF($A235="","",N235&amp;"|"&amp;L235)</f>
        <v>아시아/기타|금융기관</v>
      </c>
      <c r="AA235" s="92" t="n">
        <f aca="false">IF(Y235=1,LN(K235),0)</f>
        <v>0.322807874427155</v>
      </c>
      <c r="AB235" s="93" t="n">
        <f aca="false">IF(Y235=1,E235,0)</f>
        <v>74.91</v>
      </c>
      <c r="AC235" s="89" t="n">
        <f aca="false">IF(Y235=1,COUNTIFS($Z$2:$Z$601,Z235,$Y$2:$Y$601,1),0)</f>
        <v>42</v>
      </c>
      <c r="AD235" s="89" t="n">
        <f aca="false">IF(Y235=1,COUNTIFS($N$2:$N$601,N235,$Y$2:$Y$601,1),0)</f>
        <v>137</v>
      </c>
      <c r="AE235" s="43" t="str">
        <f aca="false">IF(Y235&lt;&gt;1,"",IF(AND(AC235&gt;=설정!$C$7,ISNUMBER(MATCH(Z235,피어커브!$A:$A,0))),Z235,IF(AND(AD235&gt;=설정!$C$7,ISNUMBER(MATCH(N235&amp;"|전체",피어커브!$A:$A,0))),N235&amp;"|전체","전체|전체")))</f>
        <v>아시아/기타|금융기관</v>
      </c>
      <c r="AF235" s="93" t="n">
        <f aca="false">IF(AE235="","",INDEX(피어커브!$K:$K,MATCH(AE235,피어커브!$A:$A,0)))</f>
        <v>50.117430292991</v>
      </c>
      <c r="AG235" s="93" t="n">
        <f aca="false">IF(AE235="","",INDEX(피어커브!$J:$J,MATCH(AE235,피어커브!$A:$A,0)))</f>
        <v>13.9183160321618</v>
      </c>
      <c r="AH235" s="93" t="n">
        <f aca="false">IF(AE235="","",INDEX(피어커브!$L:$L,MATCH(AE235,피어커브!$A:$A,0)))</f>
        <v>20.4735875466442</v>
      </c>
      <c r="AI235" s="93" t="n">
        <f aca="false">IF(AE235="","",AF235+AG235*AA235)</f>
        <v>54.6103723069386</v>
      </c>
      <c r="AJ235" s="96" t="n">
        <f aca="false">IF(AE235="","",E235-AI235)</f>
        <v>20.2996276930614</v>
      </c>
      <c r="AK235" s="95" t="n">
        <f aca="false">IF(AE235="","",IF(ISNUMBER(AH235),IF(AH235&gt;0,AJ235/AH235,""),""))</f>
        <v>0.991503206109511</v>
      </c>
      <c r="AL235" s="43" t="str">
        <f aca="false">IF(AK235="","-",IF(AK235&gt;=설정!$C$6,"Cheap",IF(AK235&lt;=-설정!$C$6,"Rich","Fair")))</f>
        <v>Fair</v>
      </c>
      <c r="AM235" s="96" t="n">
        <f aca="false">IF(AE235="","",AJ235-AVERAGEIFS($AJ$2:$AJ$601,$B$2:$B$601,B235,$Y$2:$Y$601,1))</f>
        <v>-1.34806599183124</v>
      </c>
      <c r="AN235" s="93" t="n">
        <f aca="false">IF(AE235="",0,IF(K235&gt;1+설정!$C$8,AG235*(AA235-LN(K235-1)),0))</f>
        <v>0</v>
      </c>
      <c r="AO235" s="99" t="n">
        <f aca="false">IF($A235="",0,SUMIFS(보유분석!$AA$2:$AA$801,보유분석!$AB$2:$AB$801,ROW(),보유분석!$AC$2:$AC$801,1))</f>
        <v>20.89353</v>
      </c>
      <c r="AP235" s="43" t="str">
        <f aca="false">IF($A235="","",TRIM(IF(R235=1,"FRN ","")&amp;IF(IFERROR(VLOOKUP(M235,설정!$A$15:$D$47,4,0),0)&gt;=10,IF(IFERROR(VLOOKUP(M235,설정!$A$15:$D$47,4,0),0)&lt;99,"BBB0미만 ",""),"")&amp;IF(OR(M235="",M235="NR"),"등급미입력 ","")&amp;IF(C235&lt;&gt;"USD","비USD ","")))</f>
        <v>등급미입력</v>
      </c>
      <c r="AQ235" s="90" t="n">
        <f aca="false">IF(AND(Y235=1,AL235="Cheap"),IF(AND(ISERROR(SEARCH("FRN",AP235)),ISERROR(SEARCH("BBB0미만",AP235))),AK235+ROW()/1000000000,-999),-999)</f>
        <v>-999</v>
      </c>
      <c r="AR235" s="92" t="n">
        <f aca="false">IF(AND(ISNUMBER(D235),ISNUMBER(K235)),D235+AN235*MAX(K235-1,0)/100,"")</f>
        <v>5.638</v>
      </c>
      <c r="AS235" s="93" t="n">
        <f aca="false">IF(AND(ISNUMBER(E235),ISNUMBER(K235)),IF(K235&gt;0,(E235+AN235*MAX(K235-1,0))/K235,""),"")</f>
        <v>54.243301955105</v>
      </c>
      <c r="AT235" s="90" t="n">
        <f aca="false">IFERROR(IF(AND(Y235=1,ROW()&lt;&gt;스왑분석!$C$12+1,ABS(K235-INDEX($K$2:$K$601,스왑분석!$C$12))&lt;=스왑분석!$C$5,ISERROR(SEARCH("FRN",AP235)),ISERROR(SEARCH("BBB0미만",AP235))),IF(AND(OR(스왑분석!$C$6="N",L235=INDEX($L$2:$L$601,스왑분석!$C$12)),OR(스왑분석!$C$7="N",N235=INDEX($N$2:$N$601,스왑분석!$C$12)),OR(스왑분석!$C$8="N",AO235=0),E235-INDEX($E$2:$E$601,스왑분석!$C$12)&gt;=스왑분석!$C$9),E235-INDEX($E$2:$E$601,스왑분석!$C$12)+ROW()/1000000000,-999),-999),-999)</f>
        <v>-999</v>
      </c>
      <c r="AU235" s="90" t="n">
        <f aca="false">IF(AND(Y235=1,AO235&gt;0,AL235="Rich"),-AK235+ROW()/1000000000,-999)</f>
        <v>-999</v>
      </c>
    </row>
    <row r="236" customFormat="false" ht="15" hidden="false" customHeight="false" outlineLevel="0" collapsed="false">
      <c r="A236" s="83" t="str">
        <f aca="false">IFERROR(IF(INDEX(원자료_시장!$A$1:$BZ$1000,설정!$L$6+ROW()-1,설정!$L$24)&amp;""="0","",INDEX(원자료_시장!$A$1:$BZ$1000,설정!$L$6+ROW()-1,설정!$L$24)),"")</f>
        <v>TD 5.15 06/30/30</v>
      </c>
      <c r="B236" s="83" t="str">
        <f aca="false">IFERROR(IF(INDEX(원자료_시장!$A$1:$BZ$1000,설정!$L$6+ROW()-1,설정!$L$37)&amp;""="0","",INDEX(원자료_시장!$A$1:$BZ$1000,설정!$L$6+ROW()-1,설정!$L$37)),"")</f>
        <v>TORONTO-DOMINION BANK</v>
      </c>
      <c r="C236" s="83" t="str">
        <f aca="false">IFERROR(IF(INDEX(원자료_시장!$A$1:$BZ$1000,설정!$L$6+ROW()-1,설정!$L$25)&amp;""="0","",INDEX(원자료_시장!$A$1:$BZ$1000,설정!$L$6+ROW()-1,설정!$L$25)),"")</f>
        <v>USD</v>
      </c>
      <c r="D236" s="85" t="n">
        <f aca="false">IFERROR(IF(ISNUMBER(INDEX(원자료_시장!$A$1:$BZ$1000,설정!$L$6+ROW()-1,설정!$L$26)),INDEX(원자료_시장!$A$1:$BZ$1000,설정!$L$6+ROW()-1,설정!$L$26),""),"")</f>
        <v>5.703</v>
      </c>
      <c r="E236" s="97" t="n">
        <f aca="false">IFERROR(IF(ISNUMBER(INDEX(원자료_시장!$A$1:$BZ$1000,설정!$L$6+ROW()-1,설정!$L$27)),INDEX(원자료_시장!$A$1:$BZ$1000,설정!$L$6+ROW()-1,설정!$L$27),""),"")</f>
        <v>53.762</v>
      </c>
      <c r="F236" s="97" t="n">
        <f aca="false">IFERROR(IF(ISNUMBER(INDEX(원자료_시장!$A$1:$BZ$1000,설정!$L$6+ROW()-1,설정!$L$28)),INDEX(원자료_시장!$A$1:$BZ$1000,설정!$L$6+ROW()-1,설정!$L$28),""),"")</f>
        <v>88.132</v>
      </c>
      <c r="G236" s="97" t="n">
        <f aca="false">IFERROR(IF(ISNUMBER(INDEX(원자료_시장!$A$1:$BZ$1000,설정!$L$6+ROW()-1,설정!$L$29)),INDEX(원자료_시장!$A$1:$BZ$1000,설정!$L$6+ROW()-1,설정!$L$29),""),"")</f>
        <v>-6</v>
      </c>
      <c r="H236" s="97" t="n">
        <f aca="false">IFERROR(IF(ISNUMBER(INDEX(원자료_시장!$A$1:$BZ$1000,설정!$L$6+ROW()-1,설정!$L$30)),INDEX(원자료_시장!$A$1:$BZ$1000,설정!$L$6+ROW()-1,설정!$L$30),""),"")</f>
        <v>0.7</v>
      </c>
      <c r="I236" s="97" t="n">
        <f aca="false">IFERROR(IF(ISNUMBER(INDEX(원자료_시장!$A$1:$BZ$1000,설정!$L$6+ROW()-1,설정!$L$31)),INDEX(원자료_시장!$A$1:$BZ$1000,설정!$L$6+ROW()-1,설정!$L$31),""),"")</f>
        <v>-6.7</v>
      </c>
      <c r="J236" s="97" t="n">
        <f aca="false">IFERROR(IF(ISNUMBER(INDEX(원자료_시장!$A$1:$BZ$1000,설정!$L$6+ROW()-1,설정!$L$32)),INDEX(원자료_시장!$A$1:$BZ$1000,설정!$L$6+ROW()-1,설정!$L$32),""),"")</f>
        <v>-24.4</v>
      </c>
      <c r="K236" s="85" t="n">
        <f aca="false">IFERROR(IF(ISNUMBER(INDEX(원자료_시장!$A$1:$BZ$1000,설정!$L$6+ROW()-1,설정!$L$33)),INDEX(원자료_시장!$A$1:$BZ$1000,설정!$L$6+ROW()-1,설정!$L$33),""),"")</f>
        <v>3.449</v>
      </c>
      <c r="L236" s="83" t="str">
        <f aca="false">IFERROR(IF(INDEX(원자료_시장!$A$1:$BZ$1000,설정!$L$6+ROW()-1,설정!$L$34)&amp;""="0","",INDEX(원자료_시장!$A$1:$BZ$1000,설정!$L$6+ROW()-1,설정!$L$34)),"")</f>
        <v>금융기관</v>
      </c>
      <c r="M236" s="83" t="str">
        <f aca="false">IFERROR(IF(INDEX(원자료_시장!$A$1:$BZ$1000,설정!$L$6+ROW()-1,설정!$L$35)&amp;""="0","",INDEX(원자료_시장!$A$1:$BZ$1000,설정!$L$6+ROW()-1,설정!$L$35)),"")</f>
        <v>A-</v>
      </c>
      <c r="N236" s="83" t="str">
        <f aca="false">IFERROR(IF(INDEX(원자료_시장!$A$1:$BZ$1000,설정!$L$6+ROW()-1,설정!$L$36)&amp;""="0","",INDEX(원자료_시장!$A$1:$BZ$1000,설정!$L$6+ROW()-1,설정!$L$36)),"")</f>
        <v>기타</v>
      </c>
      <c r="O236" s="43" t="str">
        <f aca="false">IF($A236="","",UPPER(LEFT($A236,FIND(" ",$A236&amp;" ")-1)))</f>
        <v>TD</v>
      </c>
      <c r="P236" s="43" t="str">
        <f aca="false">IF($A236="","",TRIM(RIGHT(SUBSTITUTE(TRIM($A236)," ",REPT(" ",30)),30)))</f>
        <v>06/30/30</v>
      </c>
      <c r="Q236" s="98" t="n">
        <f aca="false">IF($A236="","",IFERROR(DATE(IF(LEN(P236)=8,2000+VALUE(RIGHT(P236,2)),VALUE(RIGHT(P236,4))),VALUE(LEFT(P236,2)),VALUE(MID(P236,4,2))),""))</f>
        <v>47664</v>
      </c>
      <c r="R236" s="89" t="n">
        <f aca="false">IF($A236="",0,IF(ISNUMBER(SEARCH("Float",$A236)),1,0))</f>
        <v>0</v>
      </c>
      <c r="S236" s="43" t="str">
        <f aca="false">IF($A236="","",TRIM(MID($A236,LEN(O236)+2,LEN($A236)-LEN(O236)-LEN(P236)-1)))</f>
        <v>5.15</v>
      </c>
      <c r="T236" s="92" t="n">
        <f aca="false">IF(OR($A236="",R236=1),"",IFERROR(IF(ISNUMBER(FIND("/",S236)),IF(ISNUMBER(FIND(" ",S236)),VALUE(LEFT(S236,FIND(" ",S236)-1))+VALUE(MID(S236,FIND(" ",S236)+1,FIND("/",S236)-FIND(" ",S236)-1))/VALUE(MID(S236,FIND("/",S236)+1,9)),VALUE(LEFT(S236,FIND("/",S236)-1))/VALUE(MID(S236,FIND("/",S236)+1,9))),VALUE(S236)),""))</f>
        <v>5.15</v>
      </c>
      <c r="U236" s="43" t="str">
        <f aca="false">IF(OR($A236="",NOT(ISNUMBER(Q236))),"",TEXT(Q236,"yyyymmdd")&amp;"|"&amp;IF(R236=1,"F",TEXT(T236,"0.000")))</f>
        <v>20300630|5.150</v>
      </c>
      <c r="V236" s="43" t="str">
        <f aca="false">IF(U236="","",O236&amp;"|"&amp;U236)</f>
        <v>TD|20300630|5.150</v>
      </c>
      <c r="W236" s="43" t="str">
        <f aca="false">IF($A236="","",IFERROR(IF(VLOOKUP(O236,매핑!$A$4:$E$92,3,0)="","미분류",VLOOKUP(O236,매핑!$A$4:$E$92,3,0)),"미분류"))</f>
        <v>캐나다</v>
      </c>
      <c r="X236" s="89" t="n">
        <f aca="false">IF($A236="",0,IF(O236="T",1,0))</f>
        <v>0</v>
      </c>
      <c r="Y236" s="89" t="n">
        <f aca="false">IF($A236="",0,IF(AND(C236="USD",X236=0,ISNUMBER(E236),ISNUMBER(K236)),IF(K236&gt;=설정!$C$8,1,0),0))</f>
        <v>1</v>
      </c>
      <c r="Z236" s="43" t="str">
        <f aca="false">IF($A236="","",N236&amp;"|"&amp;L236)</f>
        <v>기타|금융기관</v>
      </c>
      <c r="AA236" s="92" t="n">
        <f aca="false">IF(Y236=1,LN(K236),0)</f>
        <v>1.2380843339547</v>
      </c>
      <c r="AB236" s="93" t="n">
        <f aca="false">IF(Y236=1,E236,0)</f>
        <v>53.762</v>
      </c>
      <c r="AC236" s="89" t="n">
        <f aca="false">IF(Y236=1,COUNTIFS($Z$2:$Z$601,Z236,$Y$2:$Y$601,1),0)</f>
        <v>1</v>
      </c>
      <c r="AD236" s="89" t="n">
        <f aca="false">IF(Y236=1,COUNTIFS($N$2:$N$601,N236,$Y$2:$Y$601,1),0)</f>
        <v>1</v>
      </c>
      <c r="AE236" s="43" t="str">
        <f aca="false">IF(Y236&lt;&gt;1,"",IF(AND(AC236&gt;=설정!$C$7,ISNUMBER(MATCH(Z236,피어커브!$A:$A,0))),Z236,IF(AND(AD236&gt;=설정!$C$7,ISNUMBER(MATCH(N236&amp;"|전체",피어커브!$A:$A,0))),N236&amp;"|전체","전체|전체")))</f>
        <v>전체|전체</v>
      </c>
      <c r="AF236" s="93" t="n">
        <f aca="false">IF(AE236="","",INDEX(피어커브!$K:$K,MATCH(AE236,피어커브!$A:$A,0)))</f>
        <v>26.7660958919188</v>
      </c>
      <c r="AG236" s="93" t="n">
        <f aca="false">IF(AE236="","",INDEX(피어커브!$J:$J,MATCH(AE236,피어커브!$A:$A,0)))</f>
        <v>28.0710610027523</v>
      </c>
      <c r="AH236" s="93" t="n">
        <f aca="false">IF(AE236="","",INDEX(피어커브!$L:$L,MATCH(AE236,피어커브!$A:$A,0)))</f>
        <v>26.1877569886013</v>
      </c>
      <c r="AI236" s="93" t="n">
        <f aca="false">IF(AE236="","",AF236+AG236*AA236)</f>
        <v>61.5204367569133</v>
      </c>
      <c r="AJ236" s="96" t="n">
        <f aca="false">IF(AE236="","",E236-AI236)</f>
        <v>-7.75843675691329</v>
      </c>
      <c r="AK236" s="95" t="n">
        <f aca="false">IF(AE236="","",IF(ISNUMBER(AH236),IF(AH236&gt;0,AJ236/AH236,""),""))</f>
        <v>-0.296261980752697</v>
      </c>
      <c r="AL236" s="43" t="str">
        <f aca="false">IF(AK236="","-",IF(AK236&gt;=설정!$C$6,"Cheap",IF(AK236&lt;=-설정!$C$6,"Rich","Fair")))</f>
        <v>Fair</v>
      </c>
      <c r="AM236" s="96" t="n">
        <f aca="false">IF(AE236="","",AJ236-AVERAGEIFS($AJ$2:$AJ$601,$B$2:$B$601,B236,$Y$2:$Y$601,1))</f>
        <v>0</v>
      </c>
      <c r="AN236" s="93" t="n">
        <f aca="false">IF(AE236="",0,IF(K236&gt;1+설정!$C$8,AG236*(AA236-LN(K236-1)),0))</f>
        <v>9.61165917866609</v>
      </c>
      <c r="AO236" s="99" t="n">
        <f aca="false">IF($A236="",0,SUMIFS(보유분석!$AA$2:$AA$801,보유분석!$AB$2:$AB$801,ROW(),보유분석!$AC$2:$AC$801,1))</f>
        <v>24.4945</v>
      </c>
      <c r="AP236" s="43" t="str">
        <f aca="false">IF($A236="","",TRIM(IF(R236=1,"FRN ","")&amp;IF(IFERROR(VLOOKUP(M236,설정!$A$15:$D$47,4,0),0)&gt;=10,IF(IFERROR(VLOOKUP(M236,설정!$A$15:$D$47,4,0),0)&lt;99,"BBB0미만 ",""),"")&amp;IF(OR(M236="",M236="NR"),"등급미입력 ","")&amp;IF(C236&lt;&gt;"USD","비USD ","")))</f>
        <v/>
      </c>
      <c r="AQ236" s="90" t="n">
        <f aca="false">IF(AND(Y236=1,AL236="Cheap"),IF(AND(ISERROR(SEARCH("FRN",AP236)),ISERROR(SEARCH("BBB0미만",AP236))),AK236+ROW()/1000000000,-999),-999)</f>
        <v>-999</v>
      </c>
      <c r="AR236" s="92" t="n">
        <f aca="false">IF(AND(ISNUMBER(D236),ISNUMBER(K236)),D236+AN236*MAX(K236-1,0)/100,"")</f>
        <v>5.93838953328553</v>
      </c>
      <c r="AS236" s="93" t="n">
        <f aca="false">IF(AND(ISNUMBER(E236),ISNUMBER(K236)),IF(K236&gt;0,(E236+AN236*MAX(K236-1,0))/K236,""),"")</f>
        <v>22.4125698256171</v>
      </c>
      <c r="AT236" s="90" t="n">
        <f aca="false">IFERROR(IF(AND(Y236=1,ROW()&lt;&gt;스왑분석!$C$12+1,ABS(K236-INDEX($K$2:$K$601,스왑분석!$C$12))&lt;=스왑분석!$C$5,ISERROR(SEARCH("FRN",AP236)),ISERROR(SEARCH("BBB0미만",AP236))),IF(AND(OR(스왑분석!$C$6="N",L236=INDEX($L$2:$L$601,스왑분석!$C$12)),OR(스왑분석!$C$7="N",N236=INDEX($N$2:$N$601,스왑분석!$C$12)),OR(스왑분석!$C$8="N",AO236=0),E236-INDEX($E$2:$E$601,스왑분석!$C$12)&gt;=스왑분석!$C$9),E236-INDEX($E$2:$E$601,스왑분석!$C$12)+ROW()/1000000000,-999),-999),-999)</f>
        <v>5.270000236</v>
      </c>
      <c r="AU236" s="90" t="n">
        <f aca="false">IF(AND(Y236=1,AO236&gt;0,AL236="Rich"),-AK236+ROW()/1000000000,-999)</f>
        <v>-999</v>
      </c>
    </row>
    <row r="237" customFormat="false" ht="15" hidden="false" customHeight="false" outlineLevel="0" collapsed="false">
      <c r="A237" s="83" t="str">
        <f aca="false">IFERROR(IF(INDEX(원자료_시장!$A$1:$BZ$1000,설정!$L$6+ROW()-1,설정!$L$24)&amp;""="0","",INDEX(원자료_시장!$A$1:$BZ$1000,설정!$L$6+ROW()-1,설정!$L$24)),"")</f>
        <v>GS 4.7 03/20/29</v>
      </c>
      <c r="B237" s="83" t="str">
        <f aca="false">IFERROR(IF(INDEX(원자료_시장!$A$1:$BZ$1000,설정!$L$6+ROW()-1,설정!$L$37)&amp;""="0","",INDEX(원자료_시장!$A$1:$BZ$1000,설정!$L$6+ROW()-1,설정!$L$37)),"")</f>
        <v>GOLDMAN SACHS FIN C INTL</v>
      </c>
      <c r="C237" s="83" t="str">
        <f aca="false">IFERROR(IF(INDEX(원자료_시장!$A$1:$BZ$1000,설정!$L$6+ROW()-1,설정!$L$25)&amp;""="0","",INDEX(원자료_시장!$A$1:$BZ$1000,설정!$L$6+ROW()-1,설정!$L$25)),"")</f>
        <v>USD</v>
      </c>
      <c r="D237" s="85" t="n">
        <f aca="false">IFERROR(IF(ISNUMBER(INDEX(원자료_시장!$A$1:$BZ$1000,설정!$L$6+ROW()-1,설정!$L$26)),INDEX(원자료_시장!$A$1:$BZ$1000,설정!$L$6+ROW()-1,설정!$L$26),""),"")</f>
        <v>5.831</v>
      </c>
      <c r="E237" s="97" t="n">
        <f aca="false">IFERROR(IF(ISNUMBER(INDEX(원자료_시장!$A$1:$BZ$1000,설정!$L$6+ROW()-1,설정!$L$27)),INDEX(원자료_시장!$A$1:$BZ$1000,설정!$L$6+ROW()-1,설정!$L$27),""),"")</f>
        <v>74.787</v>
      </c>
      <c r="F237" s="97" t="n">
        <f aca="false">IFERROR(IF(ISNUMBER(INDEX(원자료_시장!$A$1:$BZ$1000,설정!$L$6+ROW()-1,설정!$L$28)),INDEX(원자료_시장!$A$1:$BZ$1000,설정!$L$6+ROW()-1,설정!$L$28),""),"")</f>
        <v>103.582</v>
      </c>
      <c r="G237" s="97" t="n">
        <f aca="false">IFERROR(IF(ISNUMBER(INDEX(원자료_시장!$A$1:$BZ$1000,설정!$L$6+ROW()-1,설정!$L$29)),INDEX(원자료_시장!$A$1:$BZ$1000,설정!$L$6+ROW()-1,설정!$L$29),""),"")</f>
        <v>-3.9</v>
      </c>
      <c r="H237" s="97" t="n">
        <f aca="false">IFERROR(IF(ISNUMBER(INDEX(원자료_시장!$A$1:$BZ$1000,설정!$L$6+ROW()-1,설정!$L$30)),INDEX(원자료_시장!$A$1:$BZ$1000,설정!$L$6+ROW()-1,설정!$L$30),""),"")</f>
        <v>10.1</v>
      </c>
      <c r="I237" s="97" t="n">
        <f aca="false">IFERROR(IF(ISNUMBER(INDEX(원자료_시장!$A$1:$BZ$1000,설정!$L$6+ROW()-1,설정!$L$31)),INDEX(원자료_시장!$A$1:$BZ$1000,설정!$L$6+ROW()-1,설정!$L$31),""),"")</f>
        <v>4.1</v>
      </c>
      <c r="J237" s="97" t="n">
        <f aca="false">IFERROR(IF(ISNUMBER(INDEX(원자료_시장!$A$1:$BZ$1000,설정!$L$6+ROW()-1,설정!$L$32)),INDEX(원자료_시장!$A$1:$BZ$1000,설정!$L$6+ROW()-1,설정!$L$32),""),"")</f>
        <v>-3.9</v>
      </c>
      <c r="K237" s="85" t="n">
        <f aca="false">IFERROR(IF(ISNUMBER(INDEX(원자료_시장!$A$1:$BZ$1000,설정!$L$6+ROW()-1,설정!$L$33)),INDEX(원자료_시장!$A$1:$BZ$1000,설정!$L$6+ROW()-1,설정!$L$33),""),"")</f>
        <v>2.323</v>
      </c>
      <c r="L237" s="83" t="str">
        <f aca="false">IFERROR(IF(INDEX(원자료_시장!$A$1:$BZ$1000,설정!$L$6+ROW()-1,설정!$L$34)&amp;""="0","",INDEX(원자료_시장!$A$1:$BZ$1000,설정!$L$6+ROW()-1,설정!$L$34)),"")</f>
        <v>금융기관</v>
      </c>
      <c r="M237" s="83" t="n">
        <f aca="false">IFERROR(IF(INDEX(원자료_시장!$A$1:$BZ$1000,설정!$L$6+ROW()-1,설정!$L$35)&amp;""="0","",INDEX(원자료_시장!$A$1:$BZ$1000,설정!$L$6+ROW()-1,설정!$L$35)),"")</f>
        <v>0</v>
      </c>
      <c r="N237" s="83" t="str">
        <f aca="false">IFERROR(IF(INDEX(원자료_시장!$A$1:$BZ$1000,설정!$L$6+ROW()-1,설정!$L$36)&amp;""="0","",INDEX(원자료_시장!$A$1:$BZ$1000,설정!$L$6+ROW()-1,설정!$L$36)),"")</f>
        <v>미국</v>
      </c>
      <c r="O237" s="43" t="str">
        <f aca="false">IF($A237="","",UPPER(LEFT($A237,FIND(" ",$A237&amp;" ")-1)))</f>
        <v>GS</v>
      </c>
      <c r="P237" s="43" t="str">
        <f aca="false">IF($A237="","",TRIM(RIGHT(SUBSTITUTE(TRIM($A237)," ",REPT(" ",30)),30)))</f>
        <v>03/20/29</v>
      </c>
      <c r="Q237" s="98" t="n">
        <f aca="false">IF($A237="","",IFERROR(DATE(IF(LEN(P237)=8,2000+VALUE(RIGHT(P237,2)),VALUE(RIGHT(P237,4))),VALUE(LEFT(P237,2)),VALUE(MID(P237,4,2))),""))</f>
        <v>47197</v>
      </c>
      <c r="R237" s="89" t="n">
        <f aca="false">IF($A237="",0,IF(ISNUMBER(SEARCH("Float",$A237)),1,0))</f>
        <v>0</v>
      </c>
      <c r="S237" s="43" t="str">
        <f aca="false">IF($A237="","",TRIM(MID($A237,LEN(O237)+2,LEN($A237)-LEN(O237)-LEN(P237)-1)))</f>
        <v>4.7</v>
      </c>
      <c r="T237" s="92" t="n">
        <f aca="false">IF(OR($A237="",R237=1),"",IFERROR(IF(ISNUMBER(FIND("/",S237)),IF(ISNUMBER(FIND(" ",S237)),VALUE(LEFT(S237,FIND(" ",S237)-1))+VALUE(MID(S237,FIND(" ",S237)+1,FIND("/",S237)-FIND(" ",S237)-1))/VALUE(MID(S237,FIND("/",S237)+1,9)),VALUE(LEFT(S237,FIND("/",S237)-1))/VALUE(MID(S237,FIND("/",S237)+1,9))),VALUE(S237)),""))</f>
        <v>4.7</v>
      </c>
      <c r="U237" s="43" t="str">
        <f aca="false">IF(OR($A237="",NOT(ISNUMBER(Q237))),"",TEXT(Q237,"yyyymmdd")&amp;"|"&amp;IF(R237=1,"F",TEXT(T237,"0.000")))</f>
        <v>20290320|4.700</v>
      </c>
      <c r="V237" s="43" t="str">
        <f aca="false">IF(U237="","",O237&amp;"|"&amp;U237)</f>
        <v>GS|20290320|4.700</v>
      </c>
      <c r="W237" s="43" t="str">
        <f aca="false">IF($A237="","",IFERROR(IF(VLOOKUP(O237,매핑!$A$4:$E$92,3,0)="","미분류",VLOOKUP(O237,매핑!$A$4:$E$92,3,0)),"미분류"))</f>
        <v>미국</v>
      </c>
      <c r="X237" s="89" t="n">
        <f aca="false">IF($A237="",0,IF(O237="T",1,0))</f>
        <v>0</v>
      </c>
      <c r="Y237" s="89" t="n">
        <f aca="false">IF($A237="",0,IF(AND(C237="USD",X237=0,ISNUMBER(E237),ISNUMBER(K237)),IF(K237&gt;=설정!$C$8,1,0),0))</f>
        <v>1</v>
      </c>
      <c r="Z237" s="43" t="str">
        <f aca="false">IF($A237="","",N237&amp;"|"&amp;L237)</f>
        <v>미국|금융기관</v>
      </c>
      <c r="AA237" s="92" t="n">
        <f aca="false">IF(Y237=1,LN(K237),0)</f>
        <v>0.842859453788272</v>
      </c>
      <c r="AB237" s="93" t="n">
        <f aca="false">IF(Y237=1,E237,0)</f>
        <v>74.787</v>
      </c>
      <c r="AC237" s="89" t="n">
        <f aca="false">IF(Y237=1,COUNTIFS($Z$2:$Z$601,Z237,$Y$2:$Y$601,1),0)</f>
        <v>28</v>
      </c>
      <c r="AD237" s="89" t="n">
        <f aca="false">IF(Y237=1,COUNTIFS($N$2:$N$601,N237,$Y$2:$Y$601,1),0)</f>
        <v>49</v>
      </c>
      <c r="AE237" s="43" t="str">
        <f aca="false">IF(Y237&lt;&gt;1,"",IF(AND(AC237&gt;=설정!$C$7,ISNUMBER(MATCH(Z237,피어커브!$A:$A,0))),Z237,IF(AND(AD237&gt;=설정!$C$7,ISNUMBER(MATCH(N237&amp;"|전체",피어커브!$A:$A,0))),N237&amp;"|전체","전체|전체")))</f>
        <v>미국|금융기관</v>
      </c>
      <c r="AF237" s="93" t="n">
        <f aca="false">IF(AE237="","",INDEX(피어커브!$K:$K,MATCH(AE237,피어커브!$A:$A,0)))</f>
        <v>47.5387798885896</v>
      </c>
      <c r="AG237" s="93" t="n">
        <f aca="false">IF(AE237="","",INDEX(피어커브!$J:$J,MATCH(AE237,피어커브!$A:$A,0)))</f>
        <v>20.73676364145</v>
      </c>
      <c r="AH237" s="93" t="n">
        <f aca="false">IF(AE237="","",INDEX(피어커브!$L:$L,MATCH(AE237,피어커브!$A:$A,0)))</f>
        <v>13.6771810277023</v>
      </c>
      <c r="AI237" s="93" t="n">
        <f aca="false">IF(AE237="","",AF237+AG237*AA237)</f>
        <v>65.0169571647587</v>
      </c>
      <c r="AJ237" s="96" t="n">
        <f aca="false">IF(AE237="","",E237-AI237)</f>
        <v>9.77004283524133</v>
      </c>
      <c r="AK237" s="95" t="n">
        <f aca="false">IF(AE237="","",IF(ISNUMBER(AH237),IF(AH237&gt;0,AJ237/AH237,""),""))</f>
        <v>0.714331616687145</v>
      </c>
      <c r="AL237" s="43" t="str">
        <f aca="false">IF(AK237="","-",IF(AK237&gt;=설정!$C$6,"Cheap",IF(AK237&lt;=-설정!$C$6,"Rich","Fair")))</f>
        <v>Fair</v>
      </c>
      <c r="AM237" s="96" t="n">
        <f aca="false">IF(AE237="","",AJ237-AVERAGEIFS($AJ$2:$AJ$601,$B$2:$B$601,B237,$Y$2:$Y$601,1))</f>
        <v>0</v>
      </c>
      <c r="AN237" s="93" t="n">
        <f aca="false">IF(AE237="",0,IF(K237&gt;1+설정!$C$8,AG237*(AA237-LN(K237-1)),0))</f>
        <v>11.6739180413735</v>
      </c>
      <c r="AO237" s="99" t="n">
        <f aca="false">IF($A237="",0,SUMIFS(보유분석!$AA$2:$AA$801,보유분석!$AB$2:$AB$801,ROW(),보유분석!$AC$2:$AC$801,1))</f>
        <v>19.61296</v>
      </c>
      <c r="AP237" s="43" t="str">
        <f aca="false">IF($A237="","",TRIM(IF(R237=1,"FRN ","")&amp;IF(IFERROR(VLOOKUP(M237,설정!$A$15:$D$47,4,0),0)&gt;=10,IF(IFERROR(VLOOKUP(M237,설정!$A$15:$D$47,4,0),0)&lt;99,"BBB0미만 ",""),"")&amp;IF(OR(M237="",M237="NR"),"등급미입력 ","")&amp;IF(C237&lt;&gt;"USD","비USD ","")))</f>
        <v>등급미입력</v>
      </c>
      <c r="AQ237" s="90" t="n">
        <f aca="false">IF(AND(Y237=1,AL237="Cheap"),IF(AND(ISERROR(SEARCH("FRN",AP237)),ISERROR(SEARCH("BBB0미만",AP237))),AK237+ROW()/1000000000,-999),-999)</f>
        <v>-999</v>
      </c>
      <c r="AR237" s="92" t="n">
        <f aca="false">IF(AND(ISNUMBER(D237),ISNUMBER(K237)),D237+AN237*MAX(K237-1,0)/100,"")</f>
        <v>5.98544593568737</v>
      </c>
      <c r="AS237" s="93" t="n">
        <f aca="false">IF(AND(ISNUMBER(E237),ISNUMBER(K237)),IF(K237&gt;0,(E237+AN237*MAX(K237-1,0))/K237,""),"")</f>
        <v>38.8427006322588</v>
      </c>
      <c r="AT237" s="90" t="n">
        <f aca="false">IFERROR(IF(AND(Y237=1,ROW()&lt;&gt;스왑분석!$C$12+1,ABS(K237-INDEX($K$2:$K$601,스왑분석!$C$12))&lt;=스왑분석!$C$5,ISERROR(SEARCH("FRN",AP237)),ISERROR(SEARCH("BBB0미만",AP237))),IF(AND(OR(스왑분석!$C$6="N",L237=INDEX($L$2:$L$601,스왑분석!$C$12)),OR(스왑분석!$C$7="N",N237=INDEX($N$2:$N$601,스왑분석!$C$12)),OR(스왑분석!$C$8="N",AO237=0),E237-INDEX($E$2:$E$601,스왑분석!$C$12)&gt;=스왑분석!$C$9),E237-INDEX($E$2:$E$601,스왑분석!$C$12)+ROW()/1000000000,-999),-999),-999)</f>
        <v>26.295000237</v>
      </c>
      <c r="AU237" s="90" t="n">
        <f aca="false">IF(AND(Y237=1,AO237&gt;0,AL237="Rich"),-AK237+ROW()/1000000000,-999)</f>
        <v>-999</v>
      </c>
    </row>
    <row r="238" customFormat="false" ht="15" hidden="false" customHeight="false" outlineLevel="0" collapsed="false">
      <c r="A238" s="83" t="str">
        <f aca="false">IFERROR(IF(INDEX(원자료_시장!$A$1:$BZ$1000,설정!$L$6+ROW()-1,설정!$L$24)&amp;""="0","",INDEX(원자료_시장!$A$1:$BZ$1000,설정!$L$6+ROW()-1,설정!$L$24)),"")</f>
        <v>WFC 5.2 03/20/30</v>
      </c>
      <c r="B238" s="83" t="str">
        <f aca="false">IFERROR(IF(INDEX(원자료_시장!$A$1:$BZ$1000,설정!$L$6+ROW()-1,설정!$L$37)&amp;""="0","",INDEX(원자료_시장!$A$1:$BZ$1000,설정!$L$6+ROW()-1,설정!$L$37)),"")</f>
        <v>WELLS FARGO &amp; COMPANY</v>
      </c>
      <c r="C238" s="83" t="str">
        <f aca="false">IFERROR(IF(INDEX(원자료_시장!$A$1:$BZ$1000,설정!$L$6+ROW()-1,설정!$L$25)&amp;""="0","",INDEX(원자료_시장!$A$1:$BZ$1000,설정!$L$6+ROW()-1,설정!$L$25)),"")</f>
        <v>USD</v>
      </c>
      <c r="D238" s="85" t="n">
        <f aca="false">IFERROR(IF(ISNUMBER(INDEX(원자료_시장!$A$1:$BZ$1000,설정!$L$6+ROW()-1,설정!$L$26)),INDEX(원자료_시장!$A$1:$BZ$1000,설정!$L$6+ROW()-1,설정!$L$26),""),"")</f>
        <v>5.276</v>
      </c>
      <c r="E238" s="97" t="n">
        <f aca="false">IFERROR(IF(ISNUMBER(INDEX(원자료_시장!$A$1:$BZ$1000,설정!$L$6+ROW()-1,설정!$L$27)),INDEX(원자료_시장!$A$1:$BZ$1000,설정!$L$6+ROW()-1,설정!$L$27),""),"")</f>
        <v>12.128</v>
      </c>
      <c r="F238" s="97" t="n">
        <f aca="false">IFERROR(IF(ISNUMBER(INDEX(원자료_시장!$A$1:$BZ$1000,설정!$L$6+ROW()-1,설정!$L$28)),INDEX(원자료_시장!$A$1:$BZ$1000,설정!$L$6+ROW()-1,설정!$L$28),""),"")</f>
        <v>46.758</v>
      </c>
      <c r="G238" s="97" t="n">
        <f aca="false">IFERROR(IF(ISNUMBER(INDEX(원자료_시장!$A$1:$BZ$1000,설정!$L$6+ROW()-1,설정!$L$29)),INDEX(원자료_시장!$A$1:$BZ$1000,설정!$L$6+ROW()-1,설정!$L$29),""),"")</f>
        <v>-31.1</v>
      </c>
      <c r="H238" s="97" t="n">
        <f aca="false">IFERROR(IF(ISNUMBER(INDEX(원자료_시장!$A$1:$BZ$1000,설정!$L$6+ROW()-1,설정!$L$30)),INDEX(원자료_시장!$A$1:$BZ$1000,설정!$L$6+ROW()-1,설정!$L$30),""),"")</f>
        <v>-0.4</v>
      </c>
      <c r="I238" s="97" t="n">
        <f aca="false">IFERROR(IF(ISNUMBER(INDEX(원자료_시장!$A$1:$BZ$1000,설정!$L$6+ROW()-1,설정!$L$31)),INDEX(원자료_시장!$A$1:$BZ$1000,설정!$L$6+ROW()-1,설정!$L$31),""),"")</f>
        <v>-49.5</v>
      </c>
      <c r="J238" s="97" t="n">
        <f aca="false">IFERROR(IF(ISNUMBER(INDEX(원자료_시장!$A$1:$BZ$1000,설정!$L$6+ROW()-1,설정!$L$32)),INDEX(원자료_시장!$A$1:$BZ$1000,설정!$L$6+ROW()-1,설정!$L$32),""),"")</f>
        <v>-76.5</v>
      </c>
      <c r="K238" s="85" t="n">
        <f aca="false">IFERROR(IF(ISNUMBER(INDEX(원자료_시장!$A$1:$BZ$1000,설정!$L$6+ROW()-1,설정!$L$33)),INDEX(원자료_시장!$A$1:$BZ$1000,설정!$L$6+ROW()-1,설정!$L$33),""),"")</f>
        <v>3.171</v>
      </c>
      <c r="L238" s="83" t="str">
        <f aca="false">IFERROR(IF(INDEX(원자료_시장!$A$1:$BZ$1000,설정!$L$6+ROW()-1,설정!$L$34)&amp;""="0","",INDEX(원자료_시장!$A$1:$BZ$1000,설정!$L$6+ROW()-1,설정!$L$34)),"")</f>
        <v>금융기관</v>
      </c>
      <c r="M238" s="83" t="n">
        <f aca="false">IFERROR(IF(INDEX(원자료_시장!$A$1:$BZ$1000,설정!$L$6+ROW()-1,설정!$L$35)&amp;""="0","",INDEX(원자료_시장!$A$1:$BZ$1000,설정!$L$6+ROW()-1,설정!$L$35)),"")</f>
        <v>0</v>
      </c>
      <c r="N238" s="83" t="str">
        <f aca="false">IFERROR(IF(INDEX(원자료_시장!$A$1:$BZ$1000,설정!$L$6+ROW()-1,설정!$L$36)&amp;""="0","",INDEX(원자료_시장!$A$1:$BZ$1000,설정!$L$6+ROW()-1,설정!$L$36)),"")</f>
        <v>미국</v>
      </c>
      <c r="O238" s="43" t="str">
        <f aca="false">IF($A238="","",UPPER(LEFT($A238,FIND(" ",$A238&amp;" ")-1)))</f>
        <v>WFC</v>
      </c>
      <c r="P238" s="43" t="str">
        <f aca="false">IF($A238="","",TRIM(RIGHT(SUBSTITUTE(TRIM($A238)," ",REPT(" ",30)),30)))</f>
        <v>03/20/30</v>
      </c>
      <c r="Q238" s="98" t="n">
        <f aca="false">IF($A238="","",IFERROR(DATE(IF(LEN(P238)=8,2000+VALUE(RIGHT(P238,2)),VALUE(RIGHT(P238,4))),VALUE(LEFT(P238,2)),VALUE(MID(P238,4,2))),""))</f>
        <v>47562</v>
      </c>
      <c r="R238" s="89" t="n">
        <f aca="false">IF($A238="",0,IF(ISNUMBER(SEARCH("Float",$A238)),1,0))</f>
        <v>0</v>
      </c>
      <c r="S238" s="43" t="str">
        <f aca="false">IF($A238="","",TRIM(MID($A238,LEN(O238)+2,LEN($A238)-LEN(O238)-LEN(P238)-1)))</f>
        <v>5.2</v>
      </c>
      <c r="T238" s="92" t="n">
        <f aca="false">IF(OR($A238="",R238=1),"",IFERROR(IF(ISNUMBER(FIND("/",S238)),IF(ISNUMBER(FIND(" ",S238)),VALUE(LEFT(S238,FIND(" ",S238)-1))+VALUE(MID(S238,FIND(" ",S238)+1,FIND("/",S238)-FIND(" ",S238)-1))/VALUE(MID(S238,FIND("/",S238)+1,9)),VALUE(LEFT(S238,FIND("/",S238)-1))/VALUE(MID(S238,FIND("/",S238)+1,9))),VALUE(S238)),""))</f>
        <v>5.2</v>
      </c>
      <c r="U238" s="43" t="str">
        <f aca="false">IF(OR($A238="",NOT(ISNUMBER(Q238))),"",TEXT(Q238,"yyyymmdd")&amp;"|"&amp;IF(R238=1,"F",TEXT(T238,"0.000")))</f>
        <v>20300320|5.200</v>
      </c>
      <c r="V238" s="43" t="str">
        <f aca="false">IF(U238="","",O238&amp;"|"&amp;U238)</f>
        <v>WFC|20300320|5.200</v>
      </c>
      <c r="W238" s="43" t="str">
        <f aca="false">IF($A238="","",IFERROR(IF(VLOOKUP(O238,매핑!$A$4:$E$92,3,0)="","미분류",VLOOKUP(O238,매핑!$A$4:$E$92,3,0)),"미분류"))</f>
        <v>미국</v>
      </c>
      <c r="X238" s="89" t="n">
        <f aca="false">IF($A238="",0,IF(O238="T",1,0))</f>
        <v>0</v>
      </c>
      <c r="Y238" s="89" t="n">
        <f aca="false">IF($A238="",0,IF(AND(C238="USD",X238=0,ISNUMBER(E238),ISNUMBER(K238)),IF(K238&gt;=설정!$C$8,1,0),0))</f>
        <v>1</v>
      </c>
      <c r="Z238" s="43" t="str">
        <f aca="false">IF($A238="","",N238&amp;"|"&amp;L238)</f>
        <v>미국|금융기관</v>
      </c>
      <c r="AA238" s="92" t="n">
        <f aca="false">IF(Y238=1,LN(K238),0)</f>
        <v>1.15404699555621</v>
      </c>
      <c r="AB238" s="93" t="n">
        <f aca="false">IF(Y238=1,E238,0)</f>
        <v>12.128</v>
      </c>
      <c r="AC238" s="89" t="n">
        <f aca="false">IF(Y238=1,COUNTIFS($Z$2:$Z$601,Z238,$Y$2:$Y$601,1),0)</f>
        <v>28</v>
      </c>
      <c r="AD238" s="89" t="n">
        <f aca="false">IF(Y238=1,COUNTIFS($N$2:$N$601,N238,$Y$2:$Y$601,1),0)</f>
        <v>49</v>
      </c>
      <c r="AE238" s="43" t="str">
        <f aca="false">IF(Y238&lt;&gt;1,"",IF(AND(AC238&gt;=설정!$C$7,ISNUMBER(MATCH(Z238,피어커브!$A:$A,0))),Z238,IF(AND(AD238&gt;=설정!$C$7,ISNUMBER(MATCH(N238&amp;"|전체",피어커브!$A:$A,0))),N238&amp;"|전체","전체|전체")))</f>
        <v>미국|금융기관</v>
      </c>
      <c r="AF238" s="93" t="n">
        <f aca="false">IF(AE238="","",INDEX(피어커브!$K:$K,MATCH(AE238,피어커브!$A:$A,0)))</f>
        <v>47.5387798885896</v>
      </c>
      <c r="AG238" s="93" t="n">
        <f aca="false">IF(AE238="","",INDEX(피어커브!$J:$J,MATCH(AE238,피어커브!$A:$A,0)))</f>
        <v>20.73676364145</v>
      </c>
      <c r="AH238" s="93" t="n">
        <f aca="false">IF(AE238="","",INDEX(피어커브!$L:$L,MATCH(AE238,피어커브!$A:$A,0)))</f>
        <v>13.6771810277023</v>
      </c>
      <c r="AI238" s="93" t="n">
        <f aca="false">IF(AE238="","",AF238+AG238*AA238)</f>
        <v>71.4699796665643</v>
      </c>
      <c r="AJ238" s="96" t="n">
        <f aca="false">IF(AE238="","",E238-AI238)</f>
        <v>-59.3419796665643</v>
      </c>
      <c r="AK238" s="95" t="n">
        <f aca="false">IF(AE238="","",IF(ISNUMBER(AH238),IF(AH238&gt;0,AJ238/AH238,""),""))</f>
        <v>-4.33875807787955</v>
      </c>
      <c r="AL238" s="43" t="str">
        <f aca="false">IF(AK238="","-",IF(AK238&gt;=설정!$C$6,"Cheap",IF(AK238&lt;=-설정!$C$6,"Rich","Fair")))</f>
        <v>Rich</v>
      </c>
      <c r="AM238" s="96" t="n">
        <f aca="false">IF(AE238="","",AJ238-AVERAGEIFS($AJ$2:$AJ$601,$B$2:$B$601,B238,$Y$2:$Y$601,1))</f>
        <v>-48.4510434983038</v>
      </c>
      <c r="AN238" s="93" t="n">
        <f aca="false">IF(AE238="",0,IF(K238&gt;1+설정!$C$8,AG238*(AA238-LN(K238-1)),0))</f>
        <v>7.85631170674695</v>
      </c>
      <c r="AO238" s="99" t="n">
        <f aca="false">IF($A238="",0,SUMIFS(보유분석!$AA$2:$AA$801,보유분석!$AB$2:$AB$801,ROW(),보유분석!$AC$2:$AC$801,1))</f>
        <v>19.70452</v>
      </c>
      <c r="AP238" s="43" t="str">
        <f aca="false">IF($A238="","",TRIM(IF(R238=1,"FRN ","")&amp;IF(IFERROR(VLOOKUP(M238,설정!$A$15:$D$47,4,0),0)&gt;=10,IF(IFERROR(VLOOKUP(M238,설정!$A$15:$D$47,4,0),0)&lt;99,"BBB0미만 ",""),"")&amp;IF(OR(M238="",M238="NR"),"등급미입력 ","")&amp;IF(C238&lt;&gt;"USD","비USD ","")))</f>
        <v>등급미입력</v>
      </c>
      <c r="AQ238" s="90" t="n">
        <f aca="false">IF(AND(Y238=1,AL238="Cheap"),IF(AND(ISERROR(SEARCH("FRN",AP238)),ISERROR(SEARCH("BBB0미만",AP238))),AK238+ROW()/1000000000,-999),-999)</f>
        <v>-999</v>
      </c>
      <c r="AR238" s="92" t="n">
        <f aca="false">IF(AND(ISNUMBER(D238),ISNUMBER(K238)),D238+AN238*MAX(K238-1,0)/100,"")</f>
        <v>5.44656052715348</v>
      </c>
      <c r="AS238" s="93" t="n">
        <f aca="false">IF(AND(ISNUMBER(E238),ISNUMBER(K238)),IF(K238&gt;0,(E238+AN238*MAX(K238-1,0))/K238,""),"")</f>
        <v>9.2034224898605</v>
      </c>
      <c r="AT238" s="90" t="n">
        <f aca="false">IFERROR(IF(AND(Y238=1,ROW()&lt;&gt;스왑분석!$C$12+1,ABS(K238-INDEX($K$2:$K$601,스왑분석!$C$12))&lt;=스왑분석!$C$5,ISERROR(SEARCH("FRN",AP238)),ISERROR(SEARCH("BBB0미만",AP238))),IF(AND(OR(스왑분석!$C$6="N",L238=INDEX($L$2:$L$601,스왑분석!$C$12)),OR(스왑분석!$C$7="N",N238=INDEX($N$2:$N$601,스왑분석!$C$12)),OR(스왑분석!$C$8="N",AO238=0),E238-INDEX($E$2:$E$601,스왑분석!$C$12)&gt;=스왑분석!$C$9),E238-INDEX($E$2:$E$601,스왑분석!$C$12)+ROW()/1000000000,-999),-999),-999)</f>
        <v>-999</v>
      </c>
      <c r="AU238" s="90" t="n">
        <f aca="false">IF(AND(Y238=1,AO238&gt;0,AL238="Rich"),-AK238+ROW()/1000000000,-999)</f>
        <v>4.33875831587955</v>
      </c>
    </row>
    <row r="239" customFormat="false" ht="15" hidden="false" customHeight="false" outlineLevel="0" collapsed="false">
      <c r="A239" s="83" t="str">
        <f aca="false">IFERROR(IF(INDEX(원자료_시장!$A$1:$BZ$1000,설정!$L$6+ROW()-1,설정!$L$24)&amp;""="0","",INDEX(원자료_시장!$A$1:$BZ$1000,설정!$L$6+ROW()-1,설정!$L$24)),"")</f>
        <v>HANFGI 5 04/30/28</v>
      </c>
      <c r="B239" s="83" t="str">
        <f aca="false">IFERROR(IF(INDEX(원자료_시장!$A$1:$BZ$1000,설정!$L$6+ROW()-1,설정!$L$37)&amp;""="0","",INDEX(원자료_시장!$A$1:$BZ$1000,설정!$L$6+ROW()-1,설정!$L$37)),"")</f>
        <v>HANA SECURITIES CO LTD</v>
      </c>
      <c r="C239" s="83" t="str">
        <f aca="false">IFERROR(IF(INDEX(원자료_시장!$A$1:$BZ$1000,설정!$L$6+ROW()-1,설정!$L$25)&amp;""="0","",INDEX(원자료_시장!$A$1:$BZ$1000,설정!$L$6+ROW()-1,설정!$L$25)),"")</f>
        <v>USD</v>
      </c>
      <c r="D239" s="85" t="n">
        <f aca="false">IFERROR(IF(ISNUMBER(INDEX(원자료_시장!$A$1:$BZ$1000,설정!$L$6+ROW()-1,설정!$L$26)),INDEX(원자료_시장!$A$1:$BZ$1000,설정!$L$6+ROW()-1,설정!$L$26),""),"")</f>
        <v>5.514</v>
      </c>
      <c r="E239" s="97" t="n">
        <f aca="false">IFERROR(IF(ISNUMBER(INDEX(원자료_시장!$A$1:$BZ$1000,설정!$L$6+ROW()-1,설정!$L$27)),INDEX(원자료_시장!$A$1:$BZ$1000,설정!$L$6+ROW()-1,설정!$L$27),""),"")</f>
        <v>62.53</v>
      </c>
      <c r="F239" s="97" t="n">
        <f aca="false">IFERROR(IF(ISNUMBER(INDEX(원자료_시장!$A$1:$BZ$1000,설정!$L$6+ROW()-1,설정!$L$28)),INDEX(원자료_시장!$A$1:$BZ$1000,설정!$L$6+ROW()-1,설정!$L$28),""),"")</f>
        <v>88.845</v>
      </c>
      <c r="G239" s="97" t="n">
        <f aca="false">IFERROR(IF(ISNUMBER(INDEX(원자료_시장!$A$1:$BZ$1000,설정!$L$6+ROW()-1,설정!$L$29)),INDEX(원자료_시장!$A$1:$BZ$1000,설정!$L$6+ROW()-1,설정!$L$29),""),"")</f>
        <v>1</v>
      </c>
      <c r="H239" s="97" t="n">
        <f aca="false">IFERROR(IF(ISNUMBER(INDEX(원자료_시장!$A$1:$BZ$1000,설정!$L$6+ROW()-1,설정!$L$30)),INDEX(원자료_시장!$A$1:$BZ$1000,설정!$L$6+ROW()-1,설정!$L$30),""),"")</f>
        <v>14.1</v>
      </c>
      <c r="I239" s="97" t="n">
        <f aca="false">IFERROR(IF(ISNUMBER(INDEX(원자료_시장!$A$1:$BZ$1000,설정!$L$6+ROW()-1,설정!$L$31)),INDEX(원자료_시장!$A$1:$BZ$1000,설정!$L$6+ROW()-1,설정!$L$31),""),"")</f>
        <v>-3.5</v>
      </c>
      <c r="J239" s="97" t="n">
        <f aca="false">IFERROR(IF(ISNUMBER(INDEX(원자료_시장!$A$1:$BZ$1000,설정!$L$6+ROW()-1,설정!$L$32)),INDEX(원자료_시장!$A$1:$BZ$1000,설정!$L$6+ROW()-1,설정!$L$32),""),"")</f>
        <v>-4.2</v>
      </c>
      <c r="K239" s="85" t="n">
        <f aca="false">IFERROR(IF(ISNUMBER(INDEX(원자료_시장!$A$1:$BZ$1000,설정!$L$6+ROW()-1,설정!$L$33)),INDEX(원자료_시장!$A$1:$BZ$1000,설정!$L$6+ROW()-1,설정!$L$33),""),"")</f>
        <v>1.497</v>
      </c>
      <c r="L239" s="83" t="str">
        <f aca="false">IFERROR(IF(INDEX(원자료_시장!$A$1:$BZ$1000,설정!$L$6+ROW()-1,설정!$L$34)&amp;""="0","",INDEX(원자료_시장!$A$1:$BZ$1000,설정!$L$6+ROW()-1,설정!$L$34)),"")</f>
        <v>금융기관</v>
      </c>
      <c r="M239" s="83" t="str">
        <f aca="false">IFERROR(IF(INDEX(원자료_시장!$A$1:$BZ$1000,설정!$L$6+ROW()-1,설정!$L$35)&amp;""="0","",INDEX(원자료_시장!$A$1:$BZ$1000,설정!$L$6+ROW()-1,설정!$L$35)),"")</f>
        <v>A-</v>
      </c>
      <c r="N239" s="83" t="str">
        <f aca="false">IFERROR(IF(INDEX(원자료_시장!$A$1:$BZ$1000,설정!$L$6+ROW()-1,설정!$L$36)&amp;""="0","",INDEX(원자료_시장!$A$1:$BZ$1000,설정!$L$6+ROW()-1,설정!$L$36)),"")</f>
        <v>아시아/기타</v>
      </c>
      <c r="O239" s="43" t="str">
        <f aca="false">IF($A239="","",UPPER(LEFT($A239,FIND(" ",$A239&amp;" ")-1)))</f>
        <v>HANFGI</v>
      </c>
      <c r="P239" s="43" t="str">
        <f aca="false">IF($A239="","",TRIM(RIGHT(SUBSTITUTE(TRIM($A239)," ",REPT(" ",30)),30)))</f>
        <v>04/30/28</v>
      </c>
      <c r="Q239" s="98" t="n">
        <f aca="false">IF($A239="","",IFERROR(DATE(IF(LEN(P239)=8,2000+VALUE(RIGHT(P239,2)),VALUE(RIGHT(P239,4))),VALUE(LEFT(P239,2)),VALUE(MID(P239,4,2))),""))</f>
        <v>46873</v>
      </c>
      <c r="R239" s="89" t="n">
        <f aca="false">IF($A239="",0,IF(ISNUMBER(SEARCH("Float",$A239)),1,0))</f>
        <v>0</v>
      </c>
      <c r="S239" s="43" t="str">
        <f aca="false">IF($A239="","",TRIM(MID($A239,LEN(O239)+2,LEN($A239)-LEN(O239)-LEN(P239)-1)))</f>
        <v>5</v>
      </c>
      <c r="T239" s="92" t="n">
        <f aca="false">IF(OR($A239="",R239=1),"",IFERROR(IF(ISNUMBER(FIND("/",S239)),IF(ISNUMBER(FIND(" ",S239)),VALUE(LEFT(S239,FIND(" ",S239)-1))+VALUE(MID(S239,FIND(" ",S239)+1,FIND("/",S239)-FIND(" ",S239)-1))/VALUE(MID(S239,FIND("/",S239)+1,9)),VALUE(LEFT(S239,FIND("/",S239)-1))/VALUE(MID(S239,FIND("/",S239)+1,9))),VALUE(S239)),""))</f>
        <v>5</v>
      </c>
      <c r="U239" s="43" t="str">
        <f aca="false">IF(OR($A239="",NOT(ISNUMBER(Q239))),"",TEXT(Q239,"yyyymmdd")&amp;"|"&amp;IF(R239=1,"F",TEXT(T239,"0.000")))</f>
        <v>20280430|5.000</v>
      </c>
      <c r="V239" s="43" t="str">
        <f aca="false">IF(U239="","",O239&amp;"|"&amp;U239)</f>
        <v>HANFGI|20280430|5.000</v>
      </c>
      <c r="W239" s="43" t="str">
        <f aca="false">IF($A239="","",IFERROR(IF(VLOOKUP(O239,매핑!$A$4:$E$92,3,0)="","미분류",VLOOKUP(O239,매핑!$A$4:$E$92,3,0)),"미분류"))</f>
        <v>한국</v>
      </c>
      <c r="X239" s="89" t="n">
        <f aca="false">IF($A239="",0,IF(O239="T",1,0))</f>
        <v>0</v>
      </c>
      <c r="Y239" s="89" t="n">
        <f aca="false">IF($A239="",0,IF(AND(C239="USD",X239=0,ISNUMBER(E239),ISNUMBER(K239)),IF(K239&gt;=설정!$C$8,1,0),0))</f>
        <v>1</v>
      </c>
      <c r="Z239" s="43" t="str">
        <f aca="false">IF($A239="","",N239&amp;"|"&amp;L239)</f>
        <v>아시아/기타|금융기관</v>
      </c>
      <c r="AA239" s="92" t="n">
        <f aca="false">IF(Y239=1,LN(K239),0)</f>
        <v>0.403463105437491</v>
      </c>
      <c r="AB239" s="93" t="n">
        <f aca="false">IF(Y239=1,E239,0)</f>
        <v>62.53</v>
      </c>
      <c r="AC239" s="89" t="n">
        <f aca="false">IF(Y239=1,COUNTIFS($Z$2:$Z$601,Z239,$Y$2:$Y$601,1),0)</f>
        <v>42</v>
      </c>
      <c r="AD239" s="89" t="n">
        <f aca="false">IF(Y239=1,COUNTIFS($N$2:$N$601,N239,$Y$2:$Y$601,1),0)</f>
        <v>137</v>
      </c>
      <c r="AE239" s="43" t="str">
        <f aca="false">IF(Y239&lt;&gt;1,"",IF(AND(AC239&gt;=설정!$C$7,ISNUMBER(MATCH(Z239,피어커브!$A:$A,0))),Z239,IF(AND(AD239&gt;=설정!$C$7,ISNUMBER(MATCH(N239&amp;"|전체",피어커브!$A:$A,0))),N239&amp;"|전체","전체|전체")))</f>
        <v>아시아/기타|금융기관</v>
      </c>
      <c r="AF239" s="93" t="n">
        <f aca="false">IF(AE239="","",INDEX(피어커브!$K:$K,MATCH(AE239,피어커브!$A:$A,0)))</f>
        <v>50.117430292991</v>
      </c>
      <c r="AG239" s="93" t="n">
        <f aca="false">IF(AE239="","",INDEX(피어커브!$J:$J,MATCH(AE239,피어커브!$A:$A,0)))</f>
        <v>13.9183160321618</v>
      </c>
      <c r="AH239" s="93" t="n">
        <f aca="false">IF(AE239="","",INDEX(피어커브!$L:$L,MATCH(AE239,피어커브!$A:$A,0)))</f>
        <v>20.4735875466442</v>
      </c>
      <c r="AI239" s="93" t="n">
        <f aca="false">IF(AE239="","",AF239+AG239*AA239)</f>
        <v>55.7329573017875</v>
      </c>
      <c r="AJ239" s="96" t="n">
        <f aca="false">IF(AE239="","",E239-AI239)</f>
        <v>6.79704269821255</v>
      </c>
      <c r="AK239" s="95" t="n">
        <f aca="false">IF(AE239="","",IF(ISNUMBER(AH239),IF(AH239&gt;0,AJ239/AH239,""),""))</f>
        <v>0.331990799498482</v>
      </c>
      <c r="AL239" s="43" t="str">
        <f aca="false">IF(AK239="","-",IF(AK239&gt;=설정!$C$6,"Cheap",IF(AK239&lt;=-설정!$C$6,"Rich","Fair")))</f>
        <v>Fair</v>
      </c>
      <c r="AM239" s="96" t="n">
        <f aca="false">IF(AE239="","",AJ239-AVERAGEIFS($AJ$2:$AJ$601,$B$2:$B$601,B239,$Y$2:$Y$601,1))</f>
        <v>-6.68273627099723</v>
      </c>
      <c r="AN239" s="93" t="n">
        <f aca="false">IF(AE239="",0,IF(K239&gt;1+설정!$C$8,AG239*(AA239-LN(K239-1)),0))</f>
        <v>0</v>
      </c>
      <c r="AO239" s="99" t="n">
        <f aca="false">IF($A239="",0,SUMIFS(보유분석!$AA$2:$AA$801,보유분석!$AB$2:$AB$801,ROW(),보유분석!$AC$2:$AC$801,1))</f>
        <v>0</v>
      </c>
      <c r="AP239" s="43" t="str">
        <f aca="false">IF($A239="","",TRIM(IF(R239=1,"FRN ","")&amp;IF(IFERROR(VLOOKUP(M239,설정!$A$15:$D$47,4,0),0)&gt;=10,IF(IFERROR(VLOOKUP(M239,설정!$A$15:$D$47,4,0),0)&lt;99,"BBB0미만 ",""),"")&amp;IF(OR(M239="",M239="NR"),"등급미입력 ","")&amp;IF(C239&lt;&gt;"USD","비USD ","")))</f>
        <v/>
      </c>
      <c r="AQ239" s="90" t="n">
        <f aca="false">IF(AND(Y239=1,AL239="Cheap"),IF(AND(ISERROR(SEARCH("FRN",AP239)),ISERROR(SEARCH("BBB0미만",AP239))),AK239+ROW()/1000000000,-999),-999)</f>
        <v>-999</v>
      </c>
      <c r="AR239" s="92" t="n">
        <f aca="false">IF(AND(ISNUMBER(D239),ISNUMBER(K239)),D239+AN239*MAX(K239-1,0)/100,"")</f>
        <v>5.514</v>
      </c>
      <c r="AS239" s="93" t="n">
        <f aca="false">IF(AND(ISNUMBER(E239),ISNUMBER(K239)),IF(K239&gt;0,(E239+AN239*MAX(K239-1,0))/K239,""),"")</f>
        <v>41.7702070808283</v>
      </c>
      <c r="AT239" s="90" t="n">
        <f aca="false">IFERROR(IF(AND(Y239=1,ROW()&lt;&gt;스왑분석!$C$12+1,ABS(K239-INDEX($K$2:$K$601,스왑분석!$C$12))&lt;=스왑분석!$C$5,ISERROR(SEARCH("FRN",AP239)),ISERROR(SEARCH("BBB0미만",AP239))),IF(AND(OR(스왑분석!$C$6="N",L239=INDEX($L$2:$L$601,스왑분석!$C$12)),OR(스왑분석!$C$7="N",N239=INDEX($N$2:$N$601,스왑분석!$C$12)),OR(스왑분석!$C$8="N",AO239=0),E239-INDEX($E$2:$E$601,스왑분석!$C$12)&gt;=스왑분석!$C$9),E239-INDEX($E$2:$E$601,스왑분석!$C$12)+ROW()/1000000000,-999),-999),-999)</f>
        <v>-999</v>
      </c>
      <c r="AU239" s="90" t="n">
        <f aca="false">IF(AND(Y239=1,AO239&gt;0,AL239="Rich"),-AK239+ROW()/1000000000,-999)</f>
        <v>-999</v>
      </c>
    </row>
    <row r="240" customFormat="false" ht="15" hidden="false" customHeight="false" outlineLevel="0" collapsed="false">
      <c r="A240" s="83" t="str">
        <f aca="false">IFERROR(IF(INDEX(원자료_시장!$A$1:$BZ$1000,설정!$L$6+ROW()-1,설정!$L$24)&amp;""="0","",INDEX(원자료_시장!$A$1:$BZ$1000,설정!$L$6+ROW()-1,설정!$L$24)),"")</f>
        <v>KORWAT 4 3/8 05/21/27</v>
      </c>
      <c r="B240" s="83" t="str">
        <f aca="false">IFERROR(IF(INDEX(원자료_시장!$A$1:$BZ$1000,설정!$L$6+ROW()-1,설정!$L$37)&amp;""="0","",INDEX(원자료_시장!$A$1:$BZ$1000,설정!$L$6+ROW()-1,설정!$L$37)),"")</f>
        <v>KOREA WATER RESOURCES</v>
      </c>
      <c r="C240" s="83" t="str">
        <f aca="false">IFERROR(IF(INDEX(원자료_시장!$A$1:$BZ$1000,설정!$L$6+ROW()-1,설정!$L$25)&amp;""="0","",INDEX(원자료_시장!$A$1:$BZ$1000,설정!$L$6+ROW()-1,설정!$L$25)),"")</f>
        <v>USD</v>
      </c>
      <c r="D240" s="85" t="n">
        <f aca="false">IFERROR(IF(ISNUMBER(INDEX(원자료_시장!$A$1:$BZ$1000,설정!$L$6+ROW()-1,설정!$L$26)),INDEX(원자료_시장!$A$1:$BZ$1000,설정!$L$6+ROW()-1,설정!$L$26),""),"")</f>
        <v>4.751</v>
      </c>
      <c r="E240" s="97" t="n">
        <f aca="false">IFERROR(IF(ISNUMBER(INDEX(원자료_시장!$A$1:$BZ$1000,설정!$L$6+ROW()-1,설정!$L$27)),INDEX(원자료_시장!$A$1:$BZ$1000,설정!$L$6+ROW()-1,설정!$L$27),""),"")</f>
        <v>-13.86</v>
      </c>
      <c r="F240" s="97" t="n">
        <f aca="false">IFERROR(IF(ISNUMBER(INDEX(원자료_시장!$A$1:$BZ$1000,설정!$L$6+ROW()-1,설정!$L$28)),INDEX(원자료_시장!$A$1:$BZ$1000,설정!$L$6+ROW()-1,설정!$L$28),""),"")</f>
        <v>47.89</v>
      </c>
      <c r="G240" s="97" t="n">
        <f aca="false">IFERROR(IF(ISNUMBER(INDEX(원자료_시장!$A$1:$BZ$1000,설정!$L$6+ROW()-1,설정!$L$29)),INDEX(원자료_시장!$A$1:$BZ$1000,설정!$L$6+ROW()-1,설정!$L$29),""),"")</f>
        <v>-0.7</v>
      </c>
      <c r="H240" s="97" t="n">
        <f aca="false">IFERROR(IF(ISNUMBER(INDEX(원자료_시장!$A$1:$BZ$1000,설정!$L$6+ROW()-1,설정!$L$30)),INDEX(원자료_시장!$A$1:$BZ$1000,설정!$L$6+ROW()-1,설정!$L$30),""),"")</f>
        <v>17.2</v>
      </c>
      <c r="I240" s="97" t="n">
        <f aca="false">IFERROR(IF(ISNUMBER(INDEX(원자료_시장!$A$1:$BZ$1000,설정!$L$6+ROW()-1,설정!$L$31)),INDEX(원자료_시장!$A$1:$BZ$1000,설정!$L$6+ROW()-1,설정!$L$31),""),"")</f>
        <v>-18.4</v>
      </c>
      <c r="J240" s="97" t="n">
        <f aca="false">IFERROR(IF(ISNUMBER(INDEX(원자료_시장!$A$1:$BZ$1000,설정!$L$6+ROW()-1,설정!$L$32)),INDEX(원자료_시장!$A$1:$BZ$1000,설정!$L$6+ROW()-1,설정!$L$32),""),"")</f>
        <v>-35.8</v>
      </c>
      <c r="K240" s="85" t="n">
        <f aca="false">IFERROR(IF(ISNUMBER(INDEX(원자료_시장!$A$1:$BZ$1000,설정!$L$6+ROW()-1,설정!$L$33)),INDEX(원자료_시장!$A$1:$BZ$1000,설정!$L$6+ROW()-1,설정!$L$33),""),"")</f>
        <v>0.617</v>
      </c>
      <c r="L240" s="83" t="str">
        <f aca="false">IFERROR(IF(INDEX(원자료_시장!$A$1:$BZ$1000,설정!$L$6+ROW()-1,설정!$L$34)&amp;""="0","",INDEX(원자료_시장!$A$1:$BZ$1000,설정!$L$6+ROW()-1,설정!$L$34)),"")</f>
        <v>정부</v>
      </c>
      <c r="M240" s="83" t="n">
        <f aca="false">IFERROR(IF(INDEX(원자료_시장!$A$1:$BZ$1000,설정!$L$6+ROW()-1,설정!$L$35)&amp;""="0","",INDEX(원자료_시장!$A$1:$BZ$1000,설정!$L$6+ROW()-1,설정!$L$35)),"")</f>
        <v>0</v>
      </c>
      <c r="N240" s="83" t="str">
        <f aca="false">IFERROR(IF(INDEX(원자료_시장!$A$1:$BZ$1000,설정!$L$6+ROW()-1,설정!$L$36)&amp;""="0","",INDEX(원자료_시장!$A$1:$BZ$1000,설정!$L$6+ROW()-1,설정!$L$36)),"")</f>
        <v>아시아/기타</v>
      </c>
      <c r="O240" s="43" t="str">
        <f aca="false">IF($A240="","",UPPER(LEFT($A240,FIND(" ",$A240&amp;" ")-1)))</f>
        <v>KORWAT</v>
      </c>
      <c r="P240" s="43" t="str">
        <f aca="false">IF($A240="","",TRIM(RIGHT(SUBSTITUTE(TRIM($A240)," ",REPT(" ",30)),30)))</f>
        <v>05/21/27</v>
      </c>
      <c r="Q240" s="98" t="n">
        <f aca="false">IF($A240="","",IFERROR(DATE(IF(LEN(P240)=8,2000+VALUE(RIGHT(P240,2)),VALUE(RIGHT(P240,4))),VALUE(LEFT(P240,2)),VALUE(MID(P240,4,2))),""))</f>
        <v>46528</v>
      </c>
      <c r="R240" s="89" t="n">
        <f aca="false">IF($A240="",0,IF(ISNUMBER(SEARCH("Float",$A240)),1,0))</f>
        <v>0</v>
      </c>
      <c r="S240" s="43" t="str">
        <f aca="false">IF($A240="","",TRIM(MID($A240,LEN(O240)+2,LEN($A240)-LEN(O240)-LEN(P240)-1)))</f>
        <v>4 3/8</v>
      </c>
      <c r="T240" s="92" t="n">
        <f aca="false">IF(OR($A240="",R240=1),"",IFERROR(IF(ISNUMBER(FIND("/",S240)),IF(ISNUMBER(FIND(" ",S240)),VALUE(LEFT(S240,FIND(" ",S240)-1))+VALUE(MID(S240,FIND(" ",S240)+1,FIND("/",S240)-FIND(" ",S240)-1))/VALUE(MID(S240,FIND("/",S240)+1,9)),VALUE(LEFT(S240,FIND("/",S240)-1))/VALUE(MID(S240,FIND("/",S240)+1,9))),VALUE(S240)),""))</f>
        <v>4.375</v>
      </c>
      <c r="U240" s="43" t="str">
        <f aca="false">IF(OR($A240="",NOT(ISNUMBER(Q240))),"",TEXT(Q240,"yyyymmdd")&amp;"|"&amp;IF(R240=1,"F",TEXT(T240,"0.000")))</f>
        <v>20270521|4.375</v>
      </c>
      <c r="V240" s="43" t="str">
        <f aca="false">IF(U240="","",O240&amp;"|"&amp;U240)</f>
        <v>KORWAT|20270521|4.375</v>
      </c>
      <c r="W240" s="43" t="str">
        <f aca="false">IF($A240="","",IFERROR(IF(VLOOKUP(O240,매핑!$A$4:$E$92,3,0)="","미분류",VLOOKUP(O240,매핑!$A$4:$E$92,3,0)),"미분류"))</f>
        <v>한국</v>
      </c>
      <c r="X240" s="89" t="n">
        <f aca="false">IF($A240="",0,IF(O240="T",1,0))</f>
        <v>0</v>
      </c>
      <c r="Y240" s="89" t="n">
        <f aca="false">IF($A240="",0,IF(AND(C240="USD",X240=0,ISNUMBER(E240),ISNUMBER(K240)),IF(K240&gt;=설정!$C$8,1,0),0))</f>
        <v>1</v>
      </c>
      <c r="Z240" s="43" t="str">
        <f aca="false">IF($A240="","",N240&amp;"|"&amp;L240)</f>
        <v>아시아/기타|정부</v>
      </c>
      <c r="AA240" s="92" t="n">
        <f aca="false">IF(Y240=1,LN(K240),0)</f>
        <v>-0.482886255076749</v>
      </c>
      <c r="AB240" s="93" t="n">
        <f aca="false">IF(Y240=1,E240,0)</f>
        <v>-13.86</v>
      </c>
      <c r="AC240" s="89" t="n">
        <f aca="false">IF(Y240=1,COUNTIFS($Z$2:$Z$601,Z240,$Y$2:$Y$601,1),0)</f>
        <v>51</v>
      </c>
      <c r="AD240" s="89" t="n">
        <f aca="false">IF(Y240=1,COUNTIFS($N$2:$N$601,N240,$Y$2:$Y$601,1),0)</f>
        <v>137</v>
      </c>
      <c r="AE240" s="43" t="str">
        <f aca="false">IF(Y240&lt;&gt;1,"",IF(AND(AC240&gt;=설정!$C$7,ISNUMBER(MATCH(Z240,피어커브!$A:$A,0))),Z240,IF(AND(AD240&gt;=설정!$C$7,ISNUMBER(MATCH(N240&amp;"|전체",피어커브!$A:$A,0))),N240&amp;"|전체","전체|전체")))</f>
        <v>아시아/기타|정부</v>
      </c>
      <c r="AF240" s="93" t="n">
        <f aca="false">IF(AE240="","",INDEX(피어커브!$K:$K,MATCH(AE240,피어커브!$A:$A,0)))</f>
        <v>-1.54860147302313</v>
      </c>
      <c r="AG240" s="93" t="n">
        <f aca="false">IF(AE240="","",INDEX(피어커브!$J:$J,MATCH(AE240,피어커브!$A:$A,0)))</f>
        <v>19.8674994409945</v>
      </c>
      <c r="AH240" s="93" t="n">
        <f aca="false">IF(AE240="","",INDEX(피어커브!$L:$L,MATCH(AE240,피어커브!$A:$A,0)))</f>
        <v>13.6930241146778</v>
      </c>
      <c r="AI240" s="93" t="n">
        <f aca="false">IF(AE240="","",AF240+AG240*AA240)</f>
        <v>-11.1423438758244</v>
      </c>
      <c r="AJ240" s="96" t="n">
        <f aca="false">IF(AE240="","",E240-AI240)</f>
        <v>-2.71765612417561</v>
      </c>
      <c r="AK240" s="95" t="n">
        <f aca="false">IF(AE240="","",IF(ISNUMBER(AH240),IF(AH240&gt;0,AJ240/AH240,""),""))</f>
        <v>-0.198470118902551</v>
      </c>
      <c r="AL240" s="43" t="str">
        <f aca="false">IF(AK240="","-",IF(AK240&gt;=설정!$C$6,"Cheap",IF(AK240&lt;=-설정!$C$6,"Rich","Fair")))</f>
        <v>Fair</v>
      </c>
      <c r="AM240" s="96" t="n">
        <f aca="false">IF(AE240="","",AJ240-AVERAGEIFS($AJ$2:$AJ$601,$B$2:$B$601,B240,$Y$2:$Y$601,1))</f>
        <v>0</v>
      </c>
      <c r="AN240" s="93" t="n">
        <f aca="false">IF(AE240="",0,IF(K240&gt;1+설정!$C$8,AG240*(AA240-LN(K240-1)),0))</f>
        <v>0</v>
      </c>
      <c r="AO240" s="99" t="n">
        <f aca="false">IF($A240="",0,SUMIFS(보유분석!$AA$2:$AA$801,보유분석!$AB$2:$AB$801,ROW(),보유분석!$AC$2:$AC$801,1))</f>
        <v>0</v>
      </c>
      <c r="AP240" s="43" t="str">
        <f aca="false">IF($A240="","",TRIM(IF(R240=1,"FRN ","")&amp;IF(IFERROR(VLOOKUP(M240,설정!$A$15:$D$47,4,0),0)&gt;=10,IF(IFERROR(VLOOKUP(M240,설정!$A$15:$D$47,4,0),0)&lt;99,"BBB0미만 ",""),"")&amp;IF(OR(M240="",M240="NR"),"등급미입력 ","")&amp;IF(C240&lt;&gt;"USD","비USD ","")))</f>
        <v>등급미입력</v>
      </c>
      <c r="AQ240" s="90" t="n">
        <f aca="false">IF(AND(Y240=1,AL240="Cheap"),IF(AND(ISERROR(SEARCH("FRN",AP240)),ISERROR(SEARCH("BBB0미만",AP240))),AK240+ROW()/1000000000,-999),-999)</f>
        <v>-999</v>
      </c>
      <c r="AR240" s="92" t="n">
        <f aca="false">IF(AND(ISNUMBER(D240),ISNUMBER(K240)),D240+AN240*MAX(K240-1,0)/100,"")</f>
        <v>4.751</v>
      </c>
      <c r="AS240" s="93" t="n">
        <f aca="false">IF(AND(ISNUMBER(E240),ISNUMBER(K240)),IF(K240&gt;0,(E240+AN240*MAX(K240-1,0))/K240,""),"")</f>
        <v>-22.4635332252836</v>
      </c>
      <c r="AT240" s="90" t="n">
        <f aca="false">IFERROR(IF(AND(Y240=1,ROW()&lt;&gt;스왑분석!$C$12+1,ABS(K240-INDEX($K$2:$K$601,스왑분석!$C$12))&lt;=스왑분석!$C$5,ISERROR(SEARCH("FRN",AP240)),ISERROR(SEARCH("BBB0미만",AP240))),IF(AND(OR(스왑분석!$C$6="N",L240=INDEX($L$2:$L$601,스왑분석!$C$12)),OR(스왑분석!$C$7="N",N240=INDEX($N$2:$N$601,스왑분석!$C$12)),OR(스왑분석!$C$8="N",AO240=0),E240-INDEX($E$2:$E$601,스왑분석!$C$12)&gt;=스왑분석!$C$9),E240-INDEX($E$2:$E$601,스왑분석!$C$12)+ROW()/1000000000,-999),-999),-999)</f>
        <v>-999</v>
      </c>
      <c r="AU240" s="90" t="n">
        <f aca="false">IF(AND(Y240=1,AO240&gt;0,AL240="Rich"),-AK240+ROW()/1000000000,-999)</f>
        <v>-999</v>
      </c>
    </row>
    <row r="241" customFormat="false" ht="15" hidden="false" customHeight="false" outlineLevel="0" collapsed="false">
      <c r="A241" s="83" t="str">
        <f aca="false">IFERROR(IF(INDEX(원자료_시장!$A$1:$BZ$1000,설정!$L$6+ROW()-1,설정!$L$24)&amp;""="0","",INDEX(원자료_시장!$A$1:$BZ$1000,설정!$L$6+ROW()-1,설정!$L$24)),"")</f>
        <v>KTGC 5 05/02/28</v>
      </c>
      <c r="B241" s="83" t="str">
        <f aca="false">IFERROR(IF(INDEX(원자료_시장!$A$1:$BZ$1000,설정!$L$6+ROW()-1,설정!$L$37)&amp;""="0","",INDEX(원자료_시장!$A$1:$BZ$1000,설정!$L$6+ROW()-1,설정!$L$37)),"")</f>
        <v>KOREA TOBACCO &amp; GINSENG</v>
      </c>
      <c r="C241" s="83" t="str">
        <f aca="false">IFERROR(IF(INDEX(원자료_시장!$A$1:$BZ$1000,설정!$L$6+ROW()-1,설정!$L$25)&amp;""="0","",INDEX(원자료_시장!$A$1:$BZ$1000,설정!$L$6+ROW()-1,설정!$L$25)),"")</f>
        <v>USD</v>
      </c>
      <c r="D241" s="85" t="n">
        <f aca="false">IFERROR(IF(ISNUMBER(INDEX(원자료_시장!$A$1:$BZ$1000,설정!$L$6+ROW()-1,설정!$L$26)),INDEX(원자료_시장!$A$1:$BZ$1000,설정!$L$6+ROW()-1,설정!$L$26),""),"")</f>
        <v>5.181</v>
      </c>
      <c r="E241" s="97" t="n">
        <f aca="false">IFERROR(IF(ISNUMBER(INDEX(원자료_시장!$A$1:$BZ$1000,설정!$L$6+ROW()-1,설정!$L$27)),INDEX(원자료_시장!$A$1:$BZ$1000,설정!$L$6+ROW()-1,설정!$L$27),""),"")</f>
        <v>29.185</v>
      </c>
      <c r="F241" s="97" t="n">
        <f aca="false">IFERROR(IF(ISNUMBER(INDEX(원자료_시장!$A$1:$BZ$1000,설정!$L$6+ROW()-1,설정!$L$28)),INDEX(원자료_시장!$A$1:$BZ$1000,설정!$L$6+ROW()-1,설정!$L$28),""),"")</f>
        <v>55.415</v>
      </c>
      <c r="G241" s="97" t="n">
        <f aca="false">IFERROR(IF(ISNUMBER(INDEX(원자료_시장!$A$1:$BZ$1000,설정!$L$6+ROW()-1,설정!$L$29)),INDEX(원자료_시장!$A$1:$BZ$1000,설정!$L$6+ROW()-1,설정!$L$29),""),"")</f>
        <v>-0.7</v>
      </c>
      <c r="H241" s="97" t="n">
        <f aca="false">IFERROR(IF(ISNUMBER(INDEX(원자료_시장!$A$1:$BZ$1000,설정!$L$6+ROW()-1,설정!$L$30)),INDEX(원자료_시장!$A$1:$BZ$1000,설정!$L$6+ROW()-1,설정!$L$30),""),"")</f>
        <v>15.9</v>
      </c>
      <c r="I241" s="97" t="n">
        <f aca="false">IFERROR(IF(ISNUMBER(INDEX(원자료_시장!$A$1:$BZ$1000,설정!$L$6+ROW()-1,설정!$L$31)),INDEX(원자료_시장!$A$1:$BZ$1000,설정!$L$6+ROW()-1,설정!$L$31),""),"")</f>
        <v>-8.8</v>
      </c>
      <c r="J241" s="97" t="n">
        <f aca="false">IFERROR(IF(ISNUMBER(INDEX(원자료_시장!$A$1:$BZ$1000,설정!$L$6+ROW()-1,설정!$L$32)),INDEX(원자료_시장!$A$1:$BZ$1000,설정!$L$6+ROW()-1,설정!$L$32),""),"")</f>
        <v>-15.1</v>
      </c>
      <c r="K241" s="85" t="n">
        <f aca="false">IFERROR(IF(ISNUMBER(INDEX(원자료_시장!$A$1:$BZ$1000,설정!$L$6+ROW()-1,설정!$L$33)),INDEX(원자료_시장!$A$1:$BZ$1000,설정!$L$6+ROW()-1,설정!$L$33),""),"")</f>
        <v>1.503</v>
      </c>
      <c r="L241" s="83" t="str">
        <f aca="false">IFERROR(IF(INDEX(원자료_시장!$A$1:$BZ$1000,설정!$L$6+ROW()-1,설정!$L$34)&amp;""="0","",INDEX(원자료_시장!$A$1:$BZ$1000,설정!$L$6+ROW()-1,설정!$L$34)),"")</f>
        <v>기본소비재</v>
      </c>
      <c r="M241" s="83" t="str">
        <f aca="false">IFERROR(IF(INDEX(원자료_시장!$A$1:$BZ$1000,설정!$L$6+ROW()-1,설정!$L$35)&amp;""="0","",INDEX(원자료_시장!$A$1:$BZ$1000,설정!$L$6+ROW()-1,설정!$L$35)),"")</f>
        <v>A-</v>
      </c>
      <c r="N241" s="83" t="str">
        <f aca="false">IFERROR(IF(INDEX(원자료_시장!$A$1:$BZ$1000,설정!$L$6+ROW()-1,설정!$L$36)&amp;""="0","",INDEX(원자료_시장!$A$1:$BZ$1000,설정!$L$6+ROW()-1,설정!$L$36)),"")</f>
        <v>아시아/기타</v>
      </c>
      <c r="O241" s="43" t="str">
        <f aca="false">IF($A241="","",UPPER(LEFT($A241,FIND(" ",$A241&amp;" ")-1)))</f>
        <v>KTGC</v>
      </c>
      <c r="P241" s="43" t="str">
        <f aca="false">IF($A241="","",TRIM(RIGHT(SUBSTITUTE(TRIM($A241)," ",REPT(" ",30)),30)))</f>
        <v>05/02/28</v>
      </c>
      <c r="Q241" s="98" t="n">
        <f aca="false">IF($A241="","",IFERROR(DATE(IF(LEN(P241)=8,2000+VALUE(RIGHT(P241,2)),VALUE(RIGHT(P241,4))),VALUE(LEFT(P241,2)),VALUE(MID(P241,4,2))),""))</f>
        <v>46875</v>
      </c>
      <c r="R241" s="89" t="n">
        <f aca="false">IF($A241="",0,IF(ISNUMBER(SEARCH("Float",$A241)),1,0))</f>
        <v>0</v>
      </c>
      <c r="S241" s="43" t="str">
        <f aca="false">IF($A241="","",TRIM(MID($A241,LEN(O241)+2,LEN($A241)-LEN(O241)-LEN(P241)-1)))</f>
        <v>5</v>
      </c>
      <c r="T241" s="92" t="n">
        <f aca="false">IF(OR($A241="",R241=1),"",IFERROR(IF(ISNUMBER(FIND("/",S241)),IF(ISNUMBER(FIND(" ",S241)),VALUE(LEFT(S241,FIND(" ",S241)-1))+VALUE(MID(S241,FIND(" ",S241)+1,FIND("/",S241)-FIND(" ",S241)-1))/VALUE(MID(S241,FIND("/",S241)+1,9)),VALUE(LEFT(S241,FIND("/",S241)-1))/VALUE(MID(S241,FIND("/",S241)+1,9))),VALUE(S241)),""))</f>
        <v>5</v>
      </c>
      <c r="U241" s="43" t="str">
        <f aca="false">IF(OR($A241="",NOT(ISNUMBER(Q241))),"",TEXT(Q241,"yyyymmdd")&amp;"|"&amp;IF(R241=1,"F",TEXT(T241,"0.000")))</f>
        <v>20280502|5.000</v>
      </c>
      <c r="V241" s="43" t="str">
        <f aca="false">IF(U241="","",O241&amp;"|"&amp;U241)</f>
        <v>KTGC|20280502|5.000</v>
      </c>
      <c r="W241" s="43" t="str">
        <f aca="false">IF($A241="","",IFERROR(IF(VLOOKUP(O241,매핑!$A$4:$E$92,3,0)="","미분류",VLOOKUP(O241,매핑!$A$4:$E$92,3,0)),"미분류"))</f>
        <v>한국</v>
      </c>
      <c r="X241" s="89" t="n">
        <f aca="false">IF($A241="",0,IF(O241="T",1,0))</f>
        <v>0</v>
      </c>
      <c r="Y241" s="89" t="n">
        <f aca="false">IF($A241="",0,IF(AND(C241="USD",X241=0,ISNUMBER(E241),ISNUMBER(K241)),IF(K241&gt;=설정!$C$8,1,0),0))</f>
        <v>1</v>
      </c>
      <c r="Z241" s="43" t="str">
        <f aca="false">IF($A241="","",N241&amp;"|"&amp;L241)</f>
        <v>아시아/기타|기본소비재</v>
      </c>
      <c r="AA241" s="92" t="n">
        <f aca="false">IF(Y241=1,LN(K241),0)</f>
        <v>0.407463110770837</v>
      </c>
      <c r="AB241" s="93" t="n">
        <f aca="false">IF(Y241=1,E241,0)</f>
        <v>29.185</v>
      </c>
      <c r="AC241" s="89" t="n">
        <f aca="false">IF(Y241=1,COUNTIFS($Z$2:$Z$601,Z241,$Y$2:$Y$601,1),0)</f>
        <v>2</v>
      </c>
      <c r="AD241" s="89" t="n">
        <f aca="false">IF(Y241=1,COUNTIFS($N$2:$N$601,N241,$Y$2:$Y$601,1),0)</f>
        <v>137</v>
      </c>
      <c r="AE241" s="43" t="str">
        <f aca="false">IF(Y241&lt;&gt;1,"",IF(AND(AC241&gt;=설정!$C$7,ISNUMBER(MATCH(Z241,피어커브!$A:$A,0))),Z241,IF(AND(AD241&gt;=설정!$C$7,ISNUMBER(MATCH(N241&amp;"|전체",피어커브!$A:$A,0))),N241&amp;"|전체","전체|전체")))</f>
        <v>아시아/기타|전체</v>
      </c>
      <c r="AF241" s="93" t="n">
        <f aca="false">IF(AE241="","",INDEX(피어커브!$K:$K,MATCH(AE241,피어커브!$A:$A,0)))</f>
        <v>19.1102274022067</v>
      </c>
      <c r="AG241" s="93" t="n">
        <f aca="false">IF(AE241="","",INDEX(피어커브!$J:$J,MATCH(AE241,피어커브!$A:$A,0)))</f>
        <v>26.6985069081074</v>
      </c>
      <c r="AH241" s="93" t="n">
        <f aca="false">IF(AE241="","",INDEX(피어커브!$L:$L,MATCH(AE241,피어커브!$A:$A,0)))</f>
        <v>27.5778213758018</v>
      </c>
      <c r="AI241" s="93" t="n">
        <f aca="false">IF(AE241="","",AF241+AG241*AA241)</f>
        <v>29.9888840799208</v>
      </c>
      <c r="AJ241" s="96" t="n">
        <f aca="false">IF(AE241="","",E241-AI241)</f>
        <v>-0.803884079920834</v>
      </c>
      <c r="AK241" s="95" t="n">
        <f aca="false">IF(AE241="","",IF(ISNUMBER(AH241),IF(AH241&gt;0,AJ241/AH241,""),""))</f>
        <v>-0.0291496586683313</v>
      </c>
      <c r="AL241" s="43" t="str">
        <f aca="false">IF(AK241="","-",IF(AK241&gt;=설정!$C$6,"Cheap",IF(AK241&lt;=-설정!$C$6,"Rich","Fair")))</f>
        <v>Fair</v>
      </c>
      <c r="AM241" s="96" t="n">
        <f aca="false">IF(AE241="","",AJ241-AVERAGEIFS($AJ$2:$AJ$601,$B$2:$B$601,B241,$Y$2:$Y$601,1))</f>
        <v>-6.26914452146412</v>
      </c>
      <c r="AN241" s="93" t="n">
        <f aca="false">IF(AE241="",0,IF(K241&gt;1+설정!$C$8,AG241*(AA241-LN(K241-1)),0))</f>
        <v>29.2249390842212</v>
      </c>
      <c r="AO241" s="99" t="n">
        <f aca="false">IF($A241="",0,SUMIFS(보유분석!$AA$2:$AA$801,보유분석!$AB$2:$AB$801,ROW(),보유분석!$AC$2:$AC$801,1))</f>
        <v>0</v>
      </c>
      <c r="AP241" s="43" t="str">
        <f aca="false">IF($A241="","",TRIM(IF(R241=1,"FRN ","")&amp;IF(IFERROR(VLOOKUP(M241,설정!$A$15:$D$47,4,0),0)&gt;=10,IF(IFERROR(VLOOKUP(M241,설정!$A$15:$D$47,4,0),0)&lt;99,"BBB0미만 ",""),"")&amp;IF(OR(M241="",M241="NR"),"등급미입력 ","")&amp;IF(C241&lt;&gt;"USD","비USD ","")))</f>
        <v/>
      </c>
      <c r="AQ241" s="90" t="n">
        <f aca="false">IF(AND(Y241=1,AL241="Cheap"),IF(AND(ISERROR(SEARCH("FRN",AP241)),ISERROR(SEARCH("BBB0미만",AP241))),AK241+ROW()/1000000000,-999),-999)</f>
        <v>-999</v>
      </c>
      <c r="AR241" s="92" t="n">
        <f aca="false">IF(AND(ISNUMBER(D241),ISNUMBER(K241)),D241+AN241*MAX(K241-1,0)/100,"")</f>
        <v>5.32800144359363</v>
      </c>
      <c r="AS241" s="93" t="n">
        <f aca="false">IF(AND(ISNUMBER(E241),ISNUMBER(K241)),IF(K241&gt;0,(E241+AN241*MAX(K241-1,0))/K241,""),"")</f>
        <v>29.1983661738944</v>
      </c>
      <c r="AT241" s="90" t="n">
        <f aca="false">IFERROR(IF(AND(Y241=1,ROW()&lt;&gt;스왑분석!$C$12+1,ABS(K241-INDEX($K$2:$K$601,스왑분석!$C$12))&lt;=스왑분석!$C$5,ISERROR(SEARCH("FRN",AP241)),ISERROR(SEARCH("BBB0미만",AP241))),IF(AND(OR(스왑분석!$C$6="N",L241=INDEX($L$2:$L$601,스왑분석!$C$12)),OR(스왑분석!$C$7="N",N241=INDEX($N$2:$N$601,스왑분석!$C$12)),OR(스왑분석!$C$8="N",AO241=0),E241-INDEX($E$2:$E$601,스왑분석!$C$12)&gt;=스왑분석!$C$9),E241-INDEX($E$2:$E$601,스왑분석!$C$12)+ROW()/1000000000,-999),-999),-999)</f>
        <v>-999</v>
      </c>
      <c r="AU241" s="90" t="n">
        <f aca="false">IF(AND(Y241=1,AO241&gt;0,AL241="Rich"),-AK241+ROW()/1000000000,-999)</f>
        <v>-999</v>
      </c>
    </row>
    <row r="242" customFormat="false" ht="15" hidden="false" customHeight="false" outlineLevel="0" collapsed="false">
      <c r="A242" s="83" t="str">
        <f aca="false">IFERROR(IF(INDEX(원자료_시장!$A$1:$BZ$1000,설정!$L$6+ROW()-1,설정!$L$24)&amp;""="0","",INDEX(원자료_시장!$A$1:$BZ$1000,설정!$L$6+ROW()-1,설정!$L$24)),"")</f>
        <v>KOLAHO 4 1/4 05/28/27</v>
      </c>
      <c r="B242" s="83" t="str">
        <f aca="false">IFERROR(IF(INDEX(원자료_시장!$A$1:$BZ$1000,설정!$L$6+ROW()-1,설정!$L$37)&amp;""="0","",INDEX(원자료_시장!$A$1:$BZ$1000,설정!$L$6+ROW()-1,설정!$L$37)),"")</f>
        <v>KOREA LAND &amp; HOUSING COR</v>
      </c>
      <c r="C242" s="83" t="str">
        <f aca="false">IFERROR(IF(INDEX(원자료_시장!$A$1:$BZ$1000,설정!$L$6+ROW()-1,설정!$L$25)&amp;""="0","",INDEX(원자료_시장!$A$1:$BZ$1000,설정!$L$6+ROW()-1,설정!$L$25)),"")</f>
        <v>USD</v>
      </c>
      <c r="D242" s="85" t="n">
        <f aca="false">IFERROR(IF(ISNUMBER(INDEX(원자료_시장!$A$1:$BZ$1000,설정!$L$6+ROW()-1,설정!$L$26)),INDEX(원자료_시장!$A$1:$BZ$1000,설정!$L$6+ROW()-1,설정!$L$26),""),"")</f>
        <v>4.736</v>
      </c>
      <c r="E242" s="97" t="n">
        <f aca="false">IFERROR(IF(ISNUMBER(INDEX(원자료_시장!$A$1:$BZ$1000,설정!$L$6+ROW()-1,설정!$L$27)),INDEX(원자료_시장!$A$1:$BZ$1000,설정!$L$6+ROW()-1,설정!$L$27),""),"")</f>
        <v>-15.299</v>
      </c>
      <c r="F242" s="97" t="n">
        <f aca="false">IFERROR(IF(ISNUMBER(INDEX(원자료_시장!$A$1:$BZ$1000,설정!$L$6+ROW()-1,설정!$L$28)),INDEX(원자료_시장!$A$1:$BZ$1000,설정!$L$6+ROW()-1,설정!$L$28),""),"")</f>
        <v>45.104</v>
      </c>
      <c r="G242" s="97" t="n">
        <f aca="false">IFERROR(IF(ISNUMBER(INDEX(원자료_시장!$A$1:$BZ$1000,설정!$L$6+ROW()-1,설정!$L$29)),INDEX(원자료_시장!$A$1:$BZ$1000,설정!$L$6+ROW()-1,설정!$L$29),""),"")</f>
        <v>-1.3</v>
      </c>
      <c r="H242" s="97" t="n">
        <f aca="false">IFERROR(IF(ISNUMBER(INDEX(원자료_시장!$A$1:$BZ$1000,설정!$L$6+ROW()-1,설정!$L$30)),INDEX(원자료_시장!$A$1:$BZ$1000,설정!$L$6+ROW()-1,설정!$L$30),""),"")</f>
        <v>6.4</v>
      </c>
      <c r="I242" s="97" t="n">
        <f aca="false">IFERROR(IF(ISNUMBER(INDEX(원자료_시장!$A$1:$BZ$1000,설정!$L$6+ROW()-1,설정!$L$31)),INDEX(원자료_시장!$A$1:$BZ$1000,설정!$L$6+ROW()-1,설정!$L$31),""),"")</f>
        <v>-21.3</v>
      </c>
      <c r="J242" s="97" t="n">
        <f aca="false">IFERROR(IF(ISNUMBER(INDEX(원자료_시장!$A$1:$BZ$1000,설정!$L$6+ROW()-1,설정!$L$32)),INDEX(원자료_시장!$A$1:$BZ$1000,설정!$L$6+ROW()-1,설정!$L$32),""),"")</f>
        <v>-40.8</v>
      </c>
      <c r="K242" s="85" t="n">
        <f aca="false">IFERROR(IF(ISNUMBER(INDEX(원자료_시장!$A$1:$BZ$1000,설정!$L$6+ROW()-1,설정!$L$33)),INDEX(원자료_시장!$A$1:$BZ$1000,설정!$L$6+ROW()-1,설정!$L$33),""),"")</f>
        <v>0.637</v>
      </c>
      <c r="L242" s="83" t="str">
        <f aca="false">IFERROR(IF(INDEX(원자료_시장!$A$1:$BZ$1000,설정!$L$6+ROW()-1,설정!$L$34)&amp;""="0","",INDEX(원자료_시장!$A$1:$BZ$1000,설정!$L$6+ROW()-1,설정!$L$34)),"")</f>
        <v>정부</v>
      </c>
      <c r="M242" s="83" t="n">
        <f aca="false">IFERROR(IF(INDEX(원자료_시장!$A$1:$BZ$1000,설정!$L$6+ROW()-1,설정!$L$35)&amp;""="0","",INDEX(원자료_시장!$A$1:$BZ$1000,설정!$L$6+ROW()-1,설정!$L$35)),"")</f>
        <v>0</v>
      </c>
      <c r="N242" s="83" t="str">
        <f aca="false">IFERROR(IF(INDEX(원자료_시장!$A$1:$BZ$1000,설정!$L$6+ROW()-1,설정!$L$36)&amp;""="0","",INDEX(원자료_시장!$A$1:$BZ$1000,설정!$L$6+ROW()-1,설정!$L$36)),"")</f>
        <v>아시아/기타</v>
      </c>
      <c r="O242" s="43" t="str">
        <f aca="false">IF($A242="","",UPPER(LEFT($A242,FIND(" ",$A242&amp;" ")-1)))</f>
        <v>KOLAHO</v>
      </c>
      <c r="P242" s="43" t="str">
        <f aca="false">IF($A242="","",TRIM(RIGHT(SUBSTITUTE(TRIM($A242)," ",REPT(" ",30)),30)))</f>
        <v>05/28/27</v>
      </c>
      <c r="Q242" s="98" t="n">
        <f aca="false">IF($A242="","",IFERROR(DATE(IF(LEN(P242)=8,2000+VALUE(RIGHT(P242,2)),VALUE(RIGHT(P242,4))),VALUE(LEFT(P242,2)),VALUE(MID(P242,4,2))),""))</f>
        <v>46535</v>
      </c>
      <c r="R242" s="89" t="n">
        <f aca="false">IF($A242="",0,IF(ISNUMBER(SEARCH("Float",$A242)),1,0))</f>
        <v>0</v>
      </c>
      <c r="S242" s="43" t="str">
        <f aca="false">IF($A242="","",TRIM(MID($A242,LEN(O242)+2,LEN($A242)-LEN(O242)-LEN(P242)-1)))</f>
        <v>4 1/4</v>
      </c>
      <c r="T242" s="92" t="n">
        <f aca="false">IF(OR($A242="",R242=1),"",IFERROR(IF(ISNUMBER(FIND("/",S242)),IF(ISNUMBER(FIND(" ",S242)),VALUE(LEFT(S242,FIND(" ",S242)-1))+VALUE(MID(S242,FIND(" ",S242)+1,FIND("/",S242)-FIND(" ",S242)-1))/VALUE(MID(S242,FIND("/",S242)+1,9)),VALUE(LEFT(S242,FIND("/",S242)-1))/VALUE(MID(S242,FIND("/",S242)+1,9))),VALUE(S242)),""))</f>
        <v>4.25</v>
      </c>
      <c r="U242" s="43" t="str">
        <f aca="false">IF(OR($A242="",NOT(ISNUMBER(Q242))),"",TEXT(Q242,"yyyymmdd")&amp;"|"&amp;IF(R242=1,"F",TEXT(T242,"0.000")))</f>
        <v>20270528|4.250</v>
      </c>
      <c r="V242" s="43" t="str">
        <f aca="false">IF(U242="","",O242&amp;"|"&amp;U242)</f>
        <v>KOLAHO|20270528|4.250</v>
      </c>
      <c r="W242" s="43" t="str">
        <f aca="false">IF($A242="","",IFERROR(IF(VLOOKUP(O242,매핑!$A$4:$E$92,3,0)="","미분류",VLOOKUP(O242,매핑!$A$4:$E$92,3,0)),"미분류"))</f>
        <v>한국</v>
      </c>
      <c r="X242" s="89" t="n">
        <f aca="false">IF($A242="",0,IF(O242="T",1,0))</f>
        <v>0</v>
      </c>
      <c r="Y242" s="89" t="n">
        <f aca="false">IF($A242="",0,IF(AND(C242="USD",X242=0,ISNUMBER(E242),ISNUMBER(K242)),IF(K242&gt;=설정!$C$8,1,0),0))</f>
        <v>1</v>
      </c>
      <c r="Z242" s="43" t="str">
        <f aca="false">IF($A242="","",N242&amp;"|"&amp;L242)</f>
        <v>아시아/기타|정부</v>
      </c>
      <c r="AA242" s="92" t="n">
        <f aca="false">IF(Y242=1,LN(K242),0)</f>
        <v>-0.450985623409974</v>
      </c>
      <c r="AB242" s="93" t="n">
        <f aca="false">IF(Y242=1,E242,0)</f>
        <v>-15.299</v>
      </c>
      <c r="AC242" s="89" t="n">
        <f aca="false">IF(Y242=1,COUNTIFS($Z$2:$Z$601,Z242,$Y$2:$Y$601,1),0)</f>
        <v>51</v>
      </c>
      <c r="AD242" s="89" t="n">
        <f aca="false">IF(Y242=1,COUNTIFS($N$2:$N$601,N242,$Y$2:$Y$601,1),0)</f>
        <v>137</v>
      </c>
      <c r="AE242" s="43" t="str">
        <f aca="false">IF(Y242&lt;&gt;1,"",IF(AND(AC242&gt;=설정!$C$7,ISNUMBER(MATCH(Z242,피어커브!$A:$A,0))),Z242,IF(AND(AD242&gt;=설정!$C$7,ISNUMBER(MATCH(N242&amp;"|전체",피어커브!$A:$A,0))),N242&amp;"|전체","전체|전체")))</f>
        <v>아시아/기타|정부</v>
      </c>
      <c r="AF242" s="93" t="n">
        <f aca="false">IF(AE242="","",INDEX(피어커브!$K:$K,MATCH(AE242,피어커브!$A:$A,0)))</f>
        <v>-1.54860147302313</v>
      </c>
      <c r="AG242" s="93" t="n">
        <f aca="false">IF(AE242="","",INDEX(피어커브!$J:$J,MATCH(AE242,피어커브!$A:$A,0)))</f>
        <v>19.8674994409945</v>
      </c>
      <c r="AH242" s="93" t="n">
        <f aca="false">IF(AE242="","",INDEX(피어커브!$L:$L,MATCH(AE242,피어커브!$A:$A,0)))</f>
        <v>13.6930241146778</v>
      </c>
      <c r="AI242" s="93" t="n">
        <f aca="false">IF(AE242="","",AF242+AG242*AA242)</f>
        <v>-10.5085580940174</v>
      </c>
      <c r="AJ242" s="96" t="n">
        <f aca="false">IF(AE242="","",E242-AI242)</f>
        <v>-4.79044190598264</v>
      </c>
      <c r="AK242" s="95" t="n">
        <f aca="false">IF(AE242="","",IF(ISNUMBER(AH242),IF(AH242&gt;0,AJ242/AH242,""),""))</f>
        <v>-0.349845429750443</v>
      </c>
      <c r="AL242" s="43" t="str">
        <f aca="false">IF(AK242="","-",IF(AK242&gt;=설정!$C$6,"Cheap",IF(AK242&lt;=-설정!$C$6,"Rich","Fair")))</f>
        <v>Fair</v>
      </c>
      <c r="AM242" s="96" t="n">
        <f aca="false">IF(AE242="","",AJ242-AVERAGEIFS($AJ$2:$AJ$601,$B$2:$B$601,B242,$Y$2:$Y$601,1))</f>
        <v>-0.0248398117582322</v>
      </c>
      <c r="AN242" s="93" t="n">
        <f aca="false">IF(AE242="",0,IF(K242&gt;1+설정!$C$8,AG242*(AA242-LN(K242-1)),0))</f>
        <v>0</v>
      </c>
      <c r="AO242" s="99" t="n">
        <f aca="false">IF($A242="",0,SUMIFS(보유분석!$AA$2:$AA$801,보유분석!$AB$2:$AB$801,ROW(),보유분석!$AC$2:$AC$801,1))</f>
        <v>0</v>
      </c>
      <c r="AP242" s="43" t="str">
        <f aca="false">IF($A242="","",TRIM(IF(R242=1,"FRN ","")&amp;IF(IFERROR(VLOOKUP(M242,설정!$A$15:$D$47,4,0),0)&gt;=10,IF(IFERROR(VLOOKUP(M242,설정!$A$15:$D$47,4,0),0)&lt;99,"BBB0미만 ",""),"")&amp;IF(OR(M242="",M242="NR"),"등급미입력 ","")&amp;IF(C242&lt;&gt;"USD","비USD ","")))</f>
        <v>등급미입력</v>
      </c>
      <c r="AQ242" s="90" t="n">
        <f aca="false">IF(AND(Y242=1,AL242="Cheap"),IF(AND(ISERROR(SEARCH("FRN",AP242)),ISERROR(SEARCH("BBB0미만",AP242))),AK242+ROW()/1000000000,-999),-999)</f>
        <v>-999</v>
      </c>
      <c r="AR242" s="92" t="n">
        <f aca="false">IF(AND(ISNUMBER(D242),ISNUMBER(K242)),D242+AN242*MAX(K242-1,0)/100,"")</f>
        <v>4.736</v>
      </c>
      <c r="AS242" s="93" t="n">
        <f aca="false">IF(AND(ISNUMBER(E242),ISNUMBER(K242)),IF(K242&gt;0,(E242+AN242*MAX(K242-1,0))/K242,""),"")</f>
        <v>-24.0172684458399</v>
      </c>
      <c r="AT242" s="90" t="n">
        <f aca="false">IFERROR(IF(AND(Y242=1,ROW()&lt;&gt;스왑분석!$C$12+1,ABS(K242-INDEX($K$2:$K$601,스왑분석!$C$12))&lt;=스왑분석!$C$5,ISERROR(SEARCH("FRN",AP242)),ISERROR(SEARCH("BBB0미만",AP242))),IF(AND(OR(스왑분석!$C$6="N",L242=INDEX($L$2:$L$601,스왑분석!$C$12)),OR(스왑분석!$C$7="N",N242=INDEX($N$2:$N$601,스왑분석!$C$12)),OR(스왑분석!$C$8="N",AO242=0),E242-INDEX($E$2:$E$601,스왑분석!$C$12)&gt;=스왑분석!$C$9),E242-INDEX($E$2:$E$601,스왑분석!$C$12)+ROW()/1000000000,-999),-999),-999)</f>
        <v>-999</v>
      </c>
      <c r="AU242" s="90" t="n">
        <f aca="false">IF(AND(Y242=1,AO242&gt;0,AL242="Rich"),-AK242+ROW()/1000000000,-999)</f>
        <v>-999</v>
      </c>
    </row>
    <row r="243" customFormat="false" ht="15" hidden="false" customHeight="false" outlineLevel="0" collapsed="false">
      <c r="A243" s="83" t="str">
        <f aca="false">IFERROR(IF(INDEX(원자료_시장!$A$1:$BZ$1000,설정!$L$6+ROW()-1,설정!$L$24)&amp;""="0","",INDEX(원자료_시장!$A$1:$BZ$1000,설정!$L$6+ROW()-1,설정!$L$24)),"")</f>
        <v>KOBCOP 4 5/8 05/09/30</v>
      </c>
      <c r="B243" s="83" t="str">
        <f aca="false">IFERROR(IF(INDEX(원자료_시장!$A$1:$BZ$1000,설정!$L$6+ROW()-1,설정!$L$37)&amp;""="0","",INDEX(원자료_시장!$A$1:$BZ$1000,설정!$L$6+ROW()-1,설정!$L$37)),"")</f>
        <v>KOREA OCEAN BUSINESS CO</v>
      </c>
      <c r="C243" s="83" t="str">
        <f aca="false">IFERROR(IF(INDEX(원자료_시장!$A$1:$BZ$1000,설정!$L$6+ROW()-1,설정!$L$25)&amp;""="0","",INDEX(원자료_시장!$A$1:$BZ$1000,설정!$L$6+ROW()-1,설정!$L$25)),"")</f>
        <v>USD</v>
      </c>
      <c r="D243" s="85" t="n">
        <f aca="false">IFERROR(IF(ISNUMBER(INDEX(원자료_시장!$A$1:$BZ$1000,설정!$L$6+ROW()-1,설정!$L$26)),INDEX(원자료_시장!$A$1:$BZ$1000,설정!$L$6+ROW()-1,설정!$L$26),""),"")</f>
        <v>5.459</v>
      </c>
      <c r="E243" s="97" t="n">
        <f aca="false">IFERROR(IF(ISNUMBER(INDEX(원자료_시장!$A$1:$BZ$1000,설정!$L$6+ROW()-1,설정!$L$27)),INDEX(원자료_시장!$A$1:$BZ$1000,설정!$L$6+ROW()-1,설정!$L$27),""),"")</f>
        <v>37.184</v>
      </c>
      <c r="F243" s="97" t="n">
        <f aca="false">IFERROR(IF(ISNUMBER(INDEX(원자료_시장!$A$1:$BZ$1000,설정!$L$6+ROW()-1,설정!$L$28)),INDEX(원자료_시장!$A$1:$BZ$1000,설정!$L$6+ROW()-1,설정!$L$28),""),"")</f>
        <v>71.686</v>
      </c>
      <c r="G243" s="97" t="n">
        <f aca="false">IFERROR(IF(ISNUMBER(INDEX(원자료_시장!$A$1:$BZ$1000,설정!$L$6+ROW()-1,설정!$L$29)),INDEX(원자료_시장!$A$1:$BZ$1000,설정!$L$6+ROW()-1,설정!$L$29),""),"")</f>
        <v>-0.3</v>
      </c>
      <c r="H243" s="97" t="n">
        <f aca="false">IFERROR(IF(ISNUMBER(INDEX(원자료_시장!$A$1:$BZ$1000,설정!$L$6+ROW()-1,설정!$L$30)),INDEX(원자료_시장!$A$1:$BZ$1000,설정!$L$6+ROW()-1,설정!$L$30),""),"")</f>
        <v>5.5</v>
      </c>
      <c r="I243" s="97" t="n">
        <f aca="false">IFERROR(IF(ISNUMBER(INDEX(원자료_시장!$A$1:$BZ$1000,설정!$L$6+ROW()-1,설정!$L$31)),INDEX(원자료_시장!$A$1:$BZ$1000,설정!$L$6+ROW()-1,설정!$L$31),""),"")</f>
        <v>7.7</v>
      </c>
      <c r="J243" s="97" t="n">
        <f aca="false">IFERROR(IF(ISNUMBER(INDEX(원자료_시장!$A$1:$BZ$1000,설정!$L$6+ROW()-1,설정!$L$32)),INDEX(원자료_시장!$A$1:$BZ$1000,설정!$L$6+ROW()-1,설정!$L$32),""),"")</f>
        <v>0.2</v>
      </c>
      <c r="K243" s="85" t="n">
        <f aca="false">IFERROR(IF(ISNUMBER(INDEX(원자료_시장!$A$1:$BZ$1000,설정!$L$6+ROW()-1,설정!$L$33)),INDEX(원자료_시장!$A$1:$BZ$1000,설정!$L$6+ROW()-1,설정!$L$33),""),"")</f>
        <v>3.286</v>
      </c>
      <c r="L243" s="83" t="str">
        <f aca="false">IFERROR(IF(INDEX(원자료_시장!$A$1:$BZ$1000,설정!$L$6+ROW()-1,설정!$L$34)&amp;""="0","",INDEX(원자료_시장!$A$1:$BZ$1000,설정!$L$6+ROW()-1,설정!$L$34)),"")</f>
        <v>정부</v>
      </c>
      <c r="M243" s="83" t="n">
        <f aca="false">IFERROR(IF(INDEX(원자료_시장!$A$1:$BZ$1000,설정!$L$6+ROW()-1,설정!$L$35)&amp;""="0","",INDEX(원자료_시장!$A$1:$BZ$1000,설정!$L$6+ROW()-1,설정!$L$35)),"")</f>
        <v>0</v>
      </c>
      <c r="N243" s="83" t="str">
        <f aca="false">IFERROR(IF(INDEX(원자료_시장!$A$1:$BZ$1000,설정!$L$6+ROW()-1,설정!$L$36)&amp;""="0","",INDEX(원자료_시장!$A$1:$BZ$1000,설정!$L$6+ROW()-1,설정!$L$36)),"")</f>
        <v>아시아/기타</v>
      </c>
      <c r="O243" s="43" t="str">
        <f aca="false">IF($A243="","",UPPER(LEFT($A243,FIND(" ",$A243&amp;" ")-1)))</f>
        <v>KOBCOP</v>
      </c>
      <c r="P243" s="43" t="str">
        <f aca="false">IF($A243="","",TRIM(RIGHT(SUBSTITUTE(TRIM($A243)," ",REPT(" ",30)),30)))</f>
        <v>05/09/30</v>
      </c>
      <c r="Q243" s="98" t="n">
        <f aca="false">IF($A243="","",IFERROR(DATE(IF(LEN(P243)=8,2000+VALUE(RIGHT(P243,2)),VALUE(RIGHT(P243,4))),VALUE(LEFT(P243,2)),VALUE(MID(P243,4,2))),""))</f>
        <v>47612</v>
      </c>
      <c r="R243" s="89" t="n">
        <f aca="false">IF($A243="",0,IF(ISNUMBER(SEARCH("Float",$A243)),1,0))</f>
        <v>0</v>
      </c>
      <c r="S243" s="43" t="str">
        <f aca="false">IF($A243="","",TRIM(MID($A243,LEN(O243)+2,LEN($A243)-LEN(O243)-LEN(P243)-1)))</f>
        <v>4 5/8</v>
      </c>
      <c r="T243" s="92" t="n">
        <f aca="false">IF(OR($A243="",R243=1),"",IFERROR(IF(ISNUMBER(FIND("/",S243)),IF(ISNUMBER(FIND(" ",S243)),VALUE(LEFT(S243,FIND(" ",S243)-1))+VALUE(MID(S243,FIND(" ",S243)+1,FIND("/",S243)-FIND(" ",S243)-1))/VALUE(MID(S243,FIND("/",S243)+1,9)),VALUE(LEFT(S243,FIND("/",S243)-1))/VALUE(MID(S243,FIND("/",S243)+1,9))),VALUE(S243)),""))</f>
        <v>4.625</v>
      </c>
      <c r="U243" s="43" t="str">
        <f aca="false">IF(OR($A243="",NOT(ISNUMBER(Q243))),"",TEXT(Q243,"yyyymmdd")&amp;"|"&amp;IF(R243=1,"F",TEXT(T243,"0.000")))</f>
        <v>20300509|4.625</v>
      </c>
      <c r="V243" s="43" t="str">
        <f aca="false">IF(U243="","",O243&amp;"|"&amp;U243)</f>
        <v>KOBCOP|20300509|4.625</v>
      </c>
      <c r="W243" s="43" t="str">
        <f aca="false">IF($A243="","",IFERROR(IF(VLOOKUP(O243,매핑!$A$4:$E$92,3,0)="","미분류",VLOOKUP(O243,매핑!$A$4:$E$92,3,0)),"미분류"))</f>
        <v>한국</v>
      </c>
      <c r="X243" s="89" t="n">
        <f aca="false">IF($A243="",0,IF(O243="T",1,0))</f>
        <v>0</v>
      </c>
      <c r="Y243" s="89" t="n">
        <f aca="false">IF($A243="",0,IF(AND(C243="USD",X243=0,ISNUMBER(E243),ISNUMBER(K243)),IF(K243&gt;=설정!$C$8,1,0),0))</f>
        <v>1</v>
      </c>
      <c r="Z243" s="43" t="str">
        <f aca="false">IF($A243="","",N243&amp;"|"&amp;L243)</f>
        <v>아시아/기타|정부</v>
      </c>
      <c r="AA243" s="92" t="n">
        <f aca="false">IF(Y243=1,LN(K243),0)</f>
        <v>1.18967101961508</v>
      </c>
      <c r="AB243" s="93" t="n">
        <f aca="false">IF(Y243=1,E243,0)</f>
        <v>37.184</v>
      </c>
      <c r="AC243" s="89" t="n">
        <f aca="false">IF(Y243=1,COUNTIFS($Z$2:$Z$601,Z243,$Y$2:$Y$601,1),0)</f>
        <v>51</v>
      </c>
      <c r="AD243" s="89" t="n">
        <f aca="false">IF(Y243=1,COUNTIFS($N$2:$N$601,N243,$Y$2:$Y$601,1),0)</f>
        <v>137</v>
      </c>
      <c r="AE243" s="43" t="str">
        <f aca="false">IF(Y243&lt;&gt;1,"",IF(AND(AC243&gt;=설정!$C$7,ISNUMBER(MATCH(Z243,피어커브!$A:$A,0))),Z243,IF(AND(AD243&gt;=설정!$C$7,ISNUMBER(MATCH(N243&amp;"|전체",피어커브!$A:$A,0))),N243&amp;"|전체","전체|전체")))</f>
        <v>아시아/기타|정부</v>
      </c>
      <c r="AF243" s="93" t="n">
        <f aca="false">IF(AE243="","",INDEX(피어커브!$K:$K,MATCH(AE243,피어커브!$A:$A,0)))</f>
        <v>-1.54860147302313</v>
      </c>
      <c r="AG243" s="93" t="n">
        <f aca="false">IF(AE243="","",INDEX(피어커브!$J:$J,MATCH(AE243,피어커브!$A:$A,0)))</f>
        <v>19.8674994409945</v>
      </c>
      <c r="AH243" s="93" t="n">
        <f aca="false">IF(AE243="","",INDEX(피어커브!$L:$L,MATCH(AE243,피어커브!$A:$A,0)))</f>
        <v>13.6930241146778</v>
      </c>
      <c r="AI243" s="93" t="n">
        <f aca="false">IF(AE243="","",AF243+AG243*AA243)</f>
        <v>22.0871868441468</v>
      </c>
      <c r="AJ243" s="96" t="n">
        <f aca="false">IF(AE243="","",E243-AI243)</f>
        <v>15.0968131558532</v>
      </c>
      <c r="AK243" s="95" t="n">
        <f aca="false">IF(AE243="","",IF(ISNUMBER(AH243),IF(AH243&gt;0,AJ243/AH243,""),""))</f>
        <v>1.10251855466103</v>
      </c>
      <c r="AL243" s="43" t="str">
        <f aca="false">IF(AK243="","-",IF(AK243&gt;=설정!$C$6,"Cheap",IF(AK243&lt;=-설정!$C$6,"Rich","Fair")))</f>
        <v>Cheap</v>
      </c>
      <c r="AM243" s="96" t="n">
        <f aca="false">IF(AE243="","",AJ243-AVERAGEIFS($AJ$2:$AJ$601,$B$2:$B$601,B243,$Y$2:$Y$601,1))</f>
        <v>1.87160488178944</v>
      </c>
      <c r="AN243" s="93" t="n">
        <f aca="false">IF(AE243="",0,IF(K243&gt;1+설정!$C$8,AG243*(AA243-LN(K243-1)),0))</f>
        <v>7.20926894431714</v>
      </c>
      <c r="AO243" s="99" t="n">
        <f aca="false">IF($A243="",0,SUMIFS(보유분석!$AA$2:$AA$801,보유분석!$AB$2:$AB$801,ROW(),보유분석!$AC$2:$AC$801,1))</f>
        <v>0</v>
      </c>
      <c r="AP243" s="43" t="str">
        <f aca="false">IF($A243="","",TRIM(IF(R243=1,"FRN ","")&amp;IF(IFERROR(VLOOKUP(M243,설정!$A$15:$D$47,4,0),0)&gt;=10,IF(IFERROR(VLOOKUP(M243,설정!$A$15:$D$47,4,0),0)&lt;99,"BBB0미만 ",""),"")&amp;IF(OR(M243="",M243="NR"),"등급미입력 ","")&amp;IF(C243&lt;&gt;"USD","비USD ","")))</f>
        <v>등급미입력</v>
      </c>
      <c r="AQ243" s="90" t="n">
        <f aca="false">IF(AND(Y243=1,AL243="Cheap"),IF(AND(ISERROR(SEARCH("FRN",AP243)),ISERROR(SEARCH("BBB0미만",AP243))),AK243+ROW()/1000000000,-999),-999)</f>
        <v>1.10251879766103</v>
      </c>
      <c r="AR243" s="92" t="n">
        <f aca="false">IF(AND(ISNUMBER(D243),ISNUMBER(K243)),D243+AN243*MAX(K243-1,0)/100,"")</f>
        <v>5.62380388806709</v>
      </c>
      <c r="AS243" s="93" t="n">
        <f aca="false">IF(AND(ISNUMBER(E243),ISNUMBER(K243)),IF(K243&gt;0,(E243+AN243*MAX(K243-1,0))/K243,""),"")</f>
        <v>16.3312199655231</v>
      </c>
      <c r="AT243" s="90" t="n">
        <f aca="false">IFERROR(IF(AND(Y243=1,ROW()&lt;&gt;스왑분석!$C$12+1,ABS(K243-INDEX($K$2:$K$601,스왑분석!$C$12))&lt;=스왑분석!$C$5,ISERROR(SEARCH("FRN",AP243)),ISERROR(SEARCH("BBB0미만",AP243))),IF(AND(OR(스왑분석!$C$6="N",L243=INDEX($L$2:$L$601,스왑분석!$C$12)),OR(스왑분석!$C$7="N",N243=INDEX($N$2:$N$601,스왑분석!$C$12)),OR(스왑분석!$C$8="N",AO243=0),E243-INDEX($E$2:$E$601,스왑분석!$C$12)&gt;=스왑분석!$C$9),E243-INDEX($E$2:$E$601,스왑분석!$C$12)+ROW()/1000000000,-999),-999),-999)</f>
        <v>-999</v>
      </c>
      <c r="AU243" s="90" t="n">
        <f aca="false">IF(AND(Y243=1,AO243&gt;0,AL243="Rich"),-AK243+ROW()/1000000000,-999)</f>
        <v>-999</v>
      </c>
    </row>
    <row r="244" customFormat="false" ht="15" hidden="false" customHeight="false" outlineLevel="0" collapsed="false">
      <c r="A244" s="83" t="str">
        <f aca="false">IFERROR(IF(INDEX(원자료_시장!$A$1:$BZ$1000,설정!$L$6+ROW()-1,설정!$L$24)&amp;""="0","",INDEX(원자료_시장!$A$1:$BZ$1000,설정!$L$6+ROW()-1,설정!$L$24)),"")</f>
        <v>KUB 4.791 05/28/28</v>
      </c>
      <c r="B244" s="83" t="str">
        <f aca="false">IFERROR(IF(INDEX(원자료_시장!$A$1:$BZ$1000,설정!$L$6+ROW()-1,설정!$L$37)&amp;""="0","",INDEX(원자료_시장!$A$1:$BZ$1000,설정!$L$6+ROW()-1,설정!$L$37)),"")</f>
        <v>KUBOTA CREDIT USA</v>
      </c>
      <c r="C244" s="83" t="str">
        <f aca="false">IFERROR(IF(INDEX(원자료_시장!$A$1:$BZ$1000,설정!$L$6+ROW()-1,설정!$L$25)&amp;""="0","",INDEX(원자료_시장!$A$1:$BZ$1000,설정!$L$6+ROW()-1,설정!$L$25)),"")</f>
        <v>USD</v>
      </c>
      <c r="D244" s="85" t="n">
        <f aca="false">IFERROR(IF(ISNUMBER(INDEX(원자료_시장!$A$1:$BZ$1000,설정!$L$6+ROW()-1,설정!$L$26)),INDEX(원자료_시장!$A$1:$BZ$1000,설정!$L$6+ROW()-1,설정!$L$26),""),"")</f>
        <v>5.357</v>
      </c>
      <c r="E244" s="97" t="n">
        <f aca="false">IFERROR(IF(ISNUMBER(INDEX(원자료_시장!$A$1:$BZ$1000,설정!$L$6+ROW()-1,설정!$L$27)),INDEX(원자료_시장!$A$1:$BZ$1000,설정!$L$6+ROW()-1,설정!$L$27),""),"")</f>
        <v>46.802</v>
      </c>
      <c r="F244" s="97" t="n">
        <f aca="false">IFERROR(IF(ISNUMBER(INDEX(원자료_시장!$A$1:$BZ$1000,설정!$L$6+ROW()-1,설정!$L$28)),INDEX(원자료_시장!$A$1:$BZ$1000,설정!$L$6+ROW()-1,설정!$L$28),""),"")</f>
        <v>71.927</v>
      </c>
      <c r="G244" s="97" t="n">
        <f aca="false">IFERROR(IF(ISNUMBER(INDEX(원자료_시장!$A$1:$BZ$1000,설정!$L$6+ROW()-1,설정!$L$29)),INDEX(원자료_시장!$A$1:$BZ$1000,설정!$L$6+ROW()-1,설정!$L$29),""),"")</f>
        <v>0.3</v>
      </c>
      <c r="H244" s="97" t="n">
        <f aca="false">IFERROR(IF(ISNUMBER(INDEX(원자료_시장!$A$1:$BZ$1000,설정!$L$6+ROW()-1,설정!$L$30)),INDEX(원자료_시장!$A$1:$BZ$1000,설정!$L$6+ROW()-1,설정!$L$30),""),"")</f>
        <v>10.2</v>
      </c>
      <c r="I244" s="97" t="n">
        <f aca="false">IFERROR(IF(ISNUMBER(INDEX(원자료_시장!$A$1:$BZ$1000,설정!$L$6+ROW()-1,설정!$L$31)),INDEX(원자료_시장!$A$1:$BZ$1000,설정!$L$6+ROW()-1,설정!$L$31),""),"")</f>
        <v>-2.9</v>
      </c>
      <c r="J244" s="97" t="n">
        <f aca="false">IFERROR(IF(ISNUMBER(INDEX(원자료_시장!$A$1:$BZ$1000,설정!$L$6+ROW()-1,설정!$L$32)),INDEX(원자료_시장!$A$1:$BZ$1000,설정!$L$6+ROW()-1,설정!$L$32),""),"")</f>
        <v>-4.6</v>
      </c>
      <c r="K244" s="85" t="n">
        <f aca="false">IFERROR(IF(ISNUMBER(INDEX(원자료_시장!$A$1:$BZ$1000,설정!$L$6+ROW()-1,설정!$L$33)),INDEX(원자료_시장!$A$1:$BZ$1000,설정!$L$6+ROW()-1,설정!$L$33),""),"")</f>
        <v>1.578</v>
      </c>
      <c r="L244" s="83" t="str">
        <f aca="false">IFERROR(IF(INDEX(원자료_시장!$A$1:$BZ$1000,설정!$L$6+ROW()-1,설정!$L$34)&amp;""="0","",INDEX(원자료_시장!$A$1:$BZ$1000,설정!$L$6+ROW()-1,설정!$L$34)),"")</f>
        <v>산업</v>
      </c>
      <c r="M244" s="83" t="str">
        <f aca="false">IFERROR(IF(INDEX(원자료_시장!$A$1:$BZ$1000,설정!$L$6+ROW()-1,설정!$L$35)&amp;""="0","",INDEX(원자료_시장!$A$1:$BZ$1000,설정!$L$6+ROW()-1,설정!$L$35)),"")</f>
        <v>A</v>
      </c>
      <c r="N244" s="83" t="str">
        <f aca="false">IFERROR(IF(INDEX(원자료_시장!$A$1:$BZ$1000,설정!$L$6+ROW()-1,설정!$L$36)&amp;""="0","",INDEX(원자료_시장!$A$1:$BZ$1000,설정!$L$6+ROW()-1,설정!$L$36)),"")</f>
        <v>아시아/기타</v>
      </c>
      <c r="O244" s="43" t="str">
        <f aca="false">IF($A244="","",UPPER(LEFT($A244,FIND(" ",$A244&amp;" ")-1)))</f>
        <v>KUB</v>
      </c>
      <c r="P244" s="43" t="str">
        <f aca="false">IF($A244="","",TRIM(RIGHT(SUBSTITUTE(TRIM($A244)," ",REPT(" ",30)),30)))</f>
        <v>05/28/28</v>
      </c>
      <c r="Q244" s="98" t="n">
        <f aca="false">IF($A244="","",IFERROR(DATE(IF(LEN(P244)=8,2000+VALUE(RIGHT(P244,2)),VALUE(RIGHT(P244,4))),VALUE(LEFT(P244,2)),VALUE(MID(P244,4,2))),""))</f>
        <v>46901</v>
      </c>
      <c r="R244" s="89" t="n">
        <f aca="false">IF($A244="",0,IF(ISNUMBER(SEARCH("Float",$A244)),1,0))</f>
        <v>0</v>
      </c>
      <c r="S244" s="43" t="str">
        <f aca="false">IF($A244="","",TRIM(MID($A244,LEN(O244)+2,LEN($A244)-LEN(O244)-LEN(P244)-1)))</f>
        <v>4.791</v>
      </c>
      <c r="T244" s="92" t="n">
        <f aca="false">IF(OR($A244="",R244=1),"",IFERROR(IF(ISNUMBER(FIND("/",S244)),IF(ISNUMBER(FIND(" ",S244)),VALUE(LEFT(S244,FIND(" ",S244)-1))+VALUE(MID(S244,FIND(" ",S244)+1,FIND("/",S244)-FIND(" ",S244)-1))/VALUE(MID(S244,FIND("/",S244)+1,9)),VALUE(LEFT(S244,FIND("/",S244)-1))/VALUE(MID(S244,FIND("/",S244)+1,9))),VALUE(S244)),""))</f>
        <v>4.791</v>
      </c>
      <c r="U244" s="43" t="str">
        <f aca="false">IF(OR($A244="",NOT(ISNUMBER(Q244))),"",TEXT(Q244,"yyyymmdd")&amp;"|"&amp;IF(R244=1,"F",TEXT(T244,"0.000")))</f>
        <v>20280528|4.791</v>
      </c>
      <c r="V244" s="43" t="str">
        <f aca="false">IF(U244="","",O244&amp;"|"&amp;U244)</f>
        <v>KUB|20280528|4.791</v>
      </c>
      <c r="W244" s="43" t="str">
        <f aca="false">IF($A244="","",IFERROR(IF(VLOOKUP(O244,매핑!$A$4:$E$92,3,0)="","미분류",VLOOKUP(O244,매핑!$A$4:$E$92,3,0)),"미분류"))</f>
        <v>일본</v>
      </c>
      <c r="X244" s="89" t="n">
        <f aca="false">IF($A244="",0,IF(O244="T",1,0))</f>
        <v>0</v>
      </c>
      <c r="Y244" s="89" t="n">
        <f aca="false">IF($A244="",0,IF(AND(C244="USD",X244=0,ISNUMBER(E244),ISNUMBER(K244)),IF(K244&gt;=설정!$C$8,1,0),0))</f>
        <v>1</v>
      </c>
      <c r="Z244" s="43" t="str">
        <f aca="false">IF($A244="","",N244&amp;"|"&amp;L244)</f>
        <v>아시아/기타|산업</v>
      </c>
      <c r="AA244" s="92" t="n">
        <f aca="false">IF(Y244=1,LN(K244),0)</f>
        <v>0.456158222423683</v>
      </c>
      <c r="AB244" s="93" t="n">
        <f aca="false">IF(Y244=1,E244,0)</f>
        <v>46.802</v>
      </c>
      <c r="AC244" s="89" t="n">
        <f aca="false">IF(Y244=1,COUNTIFS($Z$2:$Z$601,Z244,$Y$2:$Y$601,1),0)</f>
        <v>3</v>
      </c>
      <c r="AD244" s="89" t="n">
        <f aca="false">IF(Y244=1,COUNTIFS($N$2:$N$601,N244,$Y$2:$Y$601,1),0)</f>
        <v>137</v>
      </c>
      <c r="AE244" s="43" t="str">
        <f aca="false">IF(Y244&lt;&gt;1,"",IF(AND(AC244&gt;=설정!$C$7,ISNUMBER(MATCH(Z244,피어커브!$A:$A,0))),Z244,IF(AND(AD244&gt;=설정!$C$7,ISNUMBER(MATCH(N244&amp;"|전체",피어커브!$A:$A,0))),N244&amp;"|전체","전체|전체")))</f>
        <v>아시아/기타|전체</v>
      </c>
      <c r="AF244" s="93" t="n">
        <f aca="false">IF(AE244="","",INDEX(피어커브!$K:$K,MATCH(AE244,피어커브!$A:$A,0)))</f>
        <v>19.1102274022067</v>
      </c>
      <c r="AG244" s="93" t="n">
        <f aca="false">IF(AE244="","",INDEX(피어커브!$J:$J,MATCH(AE244,피어커브!$A:$A,0)))</f>
        <v>26.6985069081074</v>
      </c>
      <c r="AH244" s="93" t="n">
        <f aca="false">IF(AE244="","",INDEX(피어커브!$L:$L,MATCH(AE244,피어커브!$A:$A,0)))</f>
        <v>27.5778213758018</v>
      </c>
      <c r="AI244" s="93" t="n">
        <f aca="false">IF(AE244="","",AF244+AG244*AA244)</f>
        <v>31.2889708547754</v>
      </c>
      <c r="AJ244" s="96" t="n">
        <f aca="false">IF(AE244="","",E244-AI244)</f>
        <v>15.5130291452246</v>
      </c>
      <c r="AK244" s="95" t="n">
        <f aca="false">IF(AE244="","",IF(ISNUMBER(AH244),IF(AH244&gt;0,AJ244/AH244,""),""))</f>
        <v>0.562518298085597</v>
      </c>
      <c r="AL244" s="43" t="str">
        <f aca="false">IF(AK244="","-",IF(AK244&gt;=설정!$C$6,"Cheap",IF(AK244&lt;=-설정!$C$6,"Rich","Fair")))</f>
        <v>Fair</v>
      </c>
      <c r="AM244" s="96" t="n">
        <f aca="false">IF(AE244="","",AJ244-AVERAGEIFS($AJ$2:$AJ$601,$B$2:$B$601,B244,$Y$2:$Y$601,1))</f>
        <v>0</v>
      </c>
      <c r="AN244" s="93" t="n">
        <f aca="false">IF(AE244="",0,IF(K244&gt;1+설정!$C$8,AG244*(AA244-LN(K244-1)),0))</f>
        <v>26.8143686226199</v>
      </c>
      <c r="AO244" s="99" t="n">
        <f aca="false">IF($A244="",0,SUMIFS(보유분석!$AA$2:$AA$801,보유분석!$AB$2:$AB$801,ROW(),보유분석!$AC$2:$AC$801,1))</f>
        <v>0.4951655</v>
      </c>
      <c r="AP244" s="43" t="str">
        <f aca="false">IF($A244="","",TRIM(IF(R244=1,"FRN ","")&amp;IF(IFERROR(VLOOKUP(M244,설정!$A$15:$D$47,4,0),0)&gt;=10,IF(IFERROR(VLOOKUP(M244,설정!$A$15:$D$47,4,0),0)&lt;99,"BBB0미만 ",""),"")&amp;IF(OR(M244="",M244="NR"),"등급미입력 ","")&amp;IF(C244&lt;&gt;"USD","비USD ","")))</f>
        <v/>
      </c>
      <c r="AQ244" s="90" t="n">
        <f aca="false">IF(AND(Y244=1,AL244="Cheap"),IF(AND(ISERROR(SEARCH("FRN",AP244)),ISERROR(SEARCH("BBB0미만",AP244))),AK244+ROW()/1000000000,-999),-999)</f>
        <v>-999</v>
      </c>
      <c r="AR244" s="92" t="n">
        <f aca="false">IF(AND(ISNUMBER(D244),ISNUMBER(K244)),D244+AN244*MAX(K244-1,0)/100,"")</f>
        <v>5.51198705063874</v>
      </c>
      <c r="AS244" s="93" t="n">
        <f aca="false">IF(AND(ISNUMBER(E244),ISNUMBER(K244)),IF(K244&gt;0,(E244+AN244*MAX(K244-1,0))/K244,""),"")</f>
        <v>39.4808016881333</v>
      </c>
      <c r="AT244" s="90" t="n">
        <f aca="false">IFERROR(IF(AND(Y244=1,ROW()&lt;&gt;스왑분석!$C$12+1,ABS(K244-INDEX($K$2:$K$601,스왑분석!$C$12))&lt;=스왑분석!$C$5,ISERROR(SEARCH("FRN",AP244)),ISERROR(SEARCH("BBB0미만",AP244))),IF(AND(OR(스왑분석!$C$6="N",L244=INDEX($L$2:$L$601,스왑분석!$C$12)),OR(스왑분석!$C$7="N",N244=INDEX($N$2:$N$601,스왑분석!$C$12)),OR(스왑분석!$C$8="N",AO244=0),E244-INDEX($E$2:$E$601,스왑분석!$C$12)&gt;=스왑분석!$C$9),E244-INDEX($E$2:$E$601,스왑분석!$C$12)+ROW()/1000000000,-999),-999),-999)</f>
        <v>-999</v>
      </c>
      <c r="AU244" s="90" t="n">
        <f aca="false">IF(AND(Y244=1,AO244&gt;0,AL244="Rich"),-AK244+ROW()/1000000000,-999)</f>
        <v>-999</v>
      </c>
    </row>
    <row r="245" customFormat="false" ht="15" hidden="false" customHeight="false" outlineLevel="0" collapsed="false">
      <c r="A245" s="83" t="str">
        <f aca="false">IFERROR(IF(INDEX(원자료_시장!$A$1:$BZ$1000,설정!$L$6+ROW()-1,설정!$L$24)&amp;""="0","",INDEX(원자료_시장!$A$1:$BZ$1000,설정!$L$6+ROW()-1,설정!$L$24)),"")</f>
        <v>NHSECS 4 3/4 07/10/30</v>
      </c>
      <c r="B245" s="83" t="str">
        <f aca="false">IFERROR(IF(INDEX(원자료_시장!$A$1:$BZ$1000,설정!$L$6+ROW()-1,설정!$L$37)&amp;""="0","",INDEX(원자료_시장!$A$1:$BZ$1000,설정!$L$6+ROW()-1,설정!$L$37)),"")</f>
        <v>NH INVESTMENT &amp; SECS</v>
      </c>
      <c r="C245" s="83" t="str">
        <f aca="false">IFERROR(IF(INDEX(원자료_시장!$A$1:$BZ$1000,설정!$L$6+ROW()-1,설정!$L$25)&amp;""="0","",INDEX(원자료_시장!$A$1:$BZ$1000,설정!$L$6+ROW()-1,설정!$L$25)),"")</f>
        <v>USD</v>
      </c>
      <c r="D245" s="85" t="n">
        <f aca="false">IFERROR(IF(ISNUMBER(INDEX(원자료_시장!$A$1:$BZ$1000,설정!$L$6+ROW()-1,설정!$L$26)),INDEX(원자료_시장!$A$1:$BZ$1000,설정!$L$6+ROW()-1,설정!$L$26),""),"")</f>
        <v>5.824</v>
      </c>
      <c r="E245" s="97" t="n">
        <f aca="false">IFERROR(IF(ISNUMBER(INDEX(원자료_시장!$A$1:$BZ$1000,설정!$L$6+ROW()-1,설정!$L$27)),INDEX(원자료_시장!$A$1:$BZ$1000,설정!$L$6+ROW()-1,설정!$L$27),""),"")</f>
        <v>73.689</v>
      </c>
      <c r="F245" s="97" t="n">
        <f aca="false">IFERROR(IF(ISNUMBER(INDEX(원자료_시장!$A$1:$BZ$1000,설정!$L$6+ROW()-1,설정!$L$28)),INDEX(원자료_시장!$A$1:$BZ$1000,설정!$L$6+ROW()-1,설정!$L$28),""),"")</f>
        <v>108.033</v>
      </c>
      <c r="G245" s="97" t="n">
        <f aca="false">IFERROR(IF(ISNUMBER(INDEX(원자료_시장!$A$1:$BZ$1000,설정!$L$6+ROW()-1,설정!$L$29)),INDEX(원자료_시장!$A$1:$BZ$1000,설정!$L$6+ROW()-1,설정!$L$29),""),"")</f>
        <v>0</v>
      </c>
      <c r="H245" s="97" t="n">
        <f aca="false">IFERROR(IF(ISNUMBER(INDEX(원자료_시장!$A$1:$BZ$1000,설정!$L$6+ROW()-1,설정!$L$30)),INDEX(원자료_시장!$A$1:$BZ$1000,설정!$L$6+ROW()-1,설정!$L$30),""),"")</f>
        <v>3.8</v>
      </c>
      <c r="I245" s="97" t="n">
        <f aca="false">IFERROR(IF(ISNUMBER(INDEX(원자료_시장!$A$1:$BZ$1000,설정!$L$6+ROW()-1,설정!$L$31)),INDEX(원자료_시장!$A$1:$BZ$1000,설정!$L$6+ROW()-1,설정!$L$31),""),"")</f>
        <v>1.6</v>
      </c>
      <c r="J245" s="97" t="n">
        <f aca="false">IFERROR(IF(ISNUMBER(INDEX(원자료_시장!$A$1:$BZ$1000,설정!$L$6+ROW()-1,설정!$L$32)),INDEX(원자료_시장!$A$1:$BZ$1000,설정!$L$6+ROW()-1,설정!$L$32),""),"")</f>
        <v>-0.9</v>
      </c>
      <c r="K245" s="85" t="n">
        <f aca="false">IFERROR(IF(ISNUMBER(INDEX(원자료_시장!$A$1:$BZ$1000,설정!$L$6+ROW()-1,설정!$L$33)),INDEX(원자료_시장!$A$1:$BZ$1000,설정!$L$6+ROW()-1,설정!$L$33),""),"")</f>
        <v>3.446</v>
      </c>
      <c r="L245" s="83" t="str">
        <f aca="false">IFERROR(IF(INDEX(원자료_시장!$A$1:$BZ$1000,설정!$L$6+ROW()-1,설정!$L$34)&amp;""="0","",INDEX(원자료_시장!$A$1:$BZ$1000,설정!$L$6+ROW()-1,설정!$L$34)),"")</f>
        <v>금융기관</v>
      </c>
      <c r="M245" s="83" t="str">
        <f aca="false">IFERROR(IF(INDEX(원자료_시장!$A$1:$BZ$1000,설정!$L$6+ROW()-1,설정!$L$35)&amp;""="0","",INDEX(원자료_시장!$A$1:$BZ$1000,설정!$L$6+ROW()-1,설정!$L$35)),"")</f>
        <v>A-</v>
      </c>
      <c r="N245" s="83" t="str">
        <f aca="false">IFERROR(IF(INDEX(원자료_시장!$A$1:$BZ$1000,설정!$L$6+ROW()-1,설정!$L$36)&amp;""="0","",INDEX(원자료_시장!$A$1:$BZ$1000,설정!$L$6+ROW()-1,설정!$L$36)),"")</f>
        <v>아시아/기타</v>
      </c>
      <c r="O245" s="43" t="str">
        <f aca="false">IF($A245="","",UPPER(LEFT($A245,FIND(" ",$A245&amp;" ")-1)))</f>
        <v>NHSECS</v>
      </c>
      <c r="P245" s="43" t="str">
        <f aca="false">IF($A245="","",TRIM(RIGHT(SUBSTITUTE(TRIM($A245)," ",REPT(" ",30)),30)))</f>
        <v>07/10/30</v>
      </c>
      <c r="Q245" s="98" t="n">
        <f aca="false">IF($A245="","",IFERROR(DATE(IF(LEN(P245)=8,2000+VALUE(RIGHT(P245,2)),VALUE(RIGHT(P245,4))),VALUE(LEFT(P245,2)),VALUE(MID(P245,4,2))),""))</f>
        <v>47674</v>
      </c>
      <c r="R245" s="89" t="n">
        <f aca="false">IF($A245="",0,IF(ISNUMBER(SEARCH("Float",$A245)),1,0))</f>
        <v>0</v>
      </c>
      <c r="S245" s="43" t="str">
        <f aca="false">IF($A245="","",TRIM(MID($A245,LEN(O245)+2,LEN($A245)-LEN(O245)-LEN(P245)-1)))</f>
        <v>4 3/4</v>
      </c>
      <c r="T245" s="92" t="n">
        <f aca="false">IF(OR($A245="",R245=1),"",IFERROR(IF(ISNUMBER(FIND("/",S245)),IF(ISNUMBER(FIND(" ",S245)),VALUE(LEFT(S245,FIND(" ",S245)-1))+VALUE(MID(S245,FIND(" ",S245)+1,FIND("/",S245)-FIND(" ",S245)-1))/VALUE(MID(S245,FIND("/",S245)+1,9)),VALUE(LEFT(S245,FIND("/",S245)-1))/VALUE(MID(S245,FIND("/",S245)+1,9))),VALUE(S245)),""))</f>
        <v>4.75</v>
      </c>
      <c r="U245" s="43" t="str">
        <f aca="false">IF(OR($A245="",NOT(ISNUMBER(Q245))),"",TEXT(Q245,"yyyymmdd")&amp;"|"&amp;IF(R245=1,"F",TEXT(T245,"0.000")))</f>
        <v>20300710|4.750</v>
      </c>
      <c r="V245" s="43" t="str">
        <f aca="false">IF(U245="","",O245&amp;"|"&amp;U245)</f>
        <v>NHSECS|20300710|4.750</v>
      </c>
      <c r="W245" s="43" t="str">
        <f aca="false">IF($A245="","",IFERROR(IF(VLOOKUP(O245,매핑!$A$4:$E$92,3,0)="","미분류",VLOOKUP(O245,매핑!$A$4:$E$92,3,0)),"미분류"))</f>
        <v>한국</v>
      </c>
      <c r="X245" s="89" t="n">
        <f aca="false">IF($A245="",0,IF(O245="T",1,0))</f>
        <v>0</v>
      </c>
      <c r="Y245" s="89" t="n">
        <f aca="false">IF($A245="",0,IF(AND(C245="USD",X245=0,ISNUMBER(E245),ISNUMBER(K245)),IF(K245&gt;=설정!$C$8,1,0),0))</f>
        <v>1</v>
      </c>
      <c r="Z245" s="43" t="str">
        <f aca="false">IF($A245="","",N245&amp;"|"&amp;L245)</f>
        <v>아시아/기타|금융기관</v>
      </c>
      <c r="AA245" s="92" t="n">
        <f aca="false">IF(Y245=1,LN(K245),0)</f>
        <v>1.23721413810574</v>
      </c>
      <c r="AB245" s="93" t="n">
        <f aca="false">IF(Y245=1,E245,0)</f>
        <v>73.689</v>
      </c>
      <c r="AC245" s="89" t="n">
        <f aca="false">IF(Y245=1,COUNTIFS($Z$2:$Z$601,Z245,$Y$2:$Y$601,1),0)</f>
        <v>42</v>
      </c>
      <c r="AD245" s="89" t="n">
        <f aca="false">IF(Y245=1,COUNTIFS($N$2:$N$601,N245,$Y$2:$Y$601,1),0)</f>
        <v>137</v>
      </c>
      <c r="AE245" s="43" t="str">
        <f aca="false">IF(Y245&lt;&gt;1,"",IF(AND(AC245&gt;=설정!$C$7,ISNUMBER(MATCH(Z245,피어커브!$A:$A,0))),Z245,IF(AND(AD245&gt;=설정!$C$7,ISNUMBER(MATCH(N245&amp;"|전체",피어커브!$A:$A,0))),N245&amp;"|전체","전체|전체")))</f>
        <v>아시아/기타|금융기관</v>
      </c>
      <c r="AF245" s="93" t="n">
        <f aca="false">IF(AE245="","",INDEX(피어커브!$K:$K,MATCH(AE245,피어커브!$A:$A,0)))</f>
        <v>50.117430292991</v>
      </c>
      <c r="AG245" s="93" t="n">
        <f aca="false">IF(AE245="","",INDEX(피어커브!$J:$J,MATCH(AE245,피어커브!$A:$A,0)))</f>
        <v>13.9183160321618</v>
      </c>
      <c r="AH245" s="93" t="n">
        <f aca="false">IF(AE245="","",INDEX(피어커브!$L:$L,MATCH(AE245,피어커브!$A:$A,0)))</f>
        <v>20.4735875466442</v>
      </c>
      <c r="AI245" s="93" t="n">
        <f aca="false">IF(AE245="","",AF245+AG245*AA245)</f>
        <v>67.3373676666054</v>
      </c>
      <c r="AJ245" s="96" t="n">
        <f aca="false">IF(AE245="","",E245-AI245)</f>
        <v>6.35163233339462</v>
      </c>
      <c r="AK245" s="95" t="n">
        <f aca="false">IF(AE245="","",IF(ISNUMBER(AH245),IF(AH245&gt;0,AJ245/AH245,""),""))</f>
        <v>0.3102354347485</v>
      </c>
      <c r="AL245" s="43" t="str">
        <f aca="false">IF(AK245="","-",IF(AK245&gt;=설정!$C$6,"Cheap",IF(AK245&lt;=-설정!$C$6,"Rich","Fair")))</f>
        <v>Fair</v>
      </c>
      <c r="AM245" s="96" t="n">
        <f aca="false">IF(AE245="","",AJ245-AVERAGEIFS($AJ$2:$AJ$601,$B$2:$B$601,B245,$Y$2:$Y$601,1))</f>
        <v>-0.4082196892371</v>
      </c>
      <c r="AN245" s="93" t="n">
        <f aca="false">IF(AE245="",0,IF(K245&gt;1+설정!$C$8,AG245*(AA245-LN(K245-1)),0))</f>
        <v>4.77064340671731</v>
      </c>
      <c r="AO245" s="99" t="n">
        <f aca="false">IF($A245="",0,SUMIFS(보유분석!$AA$2:$AA$801,보유분석!$AB$2:$AB$801,ROW(),보유분석!$AC$2:$AC$801,1))</f>
        <v>16.98972</v>
      </c>
      <c r="AP245" s="43" t="str">
        <f aca="false">IF($A245="","",TRIM(IF(R245=1,"FRN ","")&amp;IF(IFERROR(VLOOKUP(M245,설정!$A$15:$D$47,4,0),0)&gt;=10,IF(IFERROR(VLOOKUP(M245,설정!$A$15:$D$47,4,0),0)&lt;99,"BBB0미만 ",""),"")&amp;IF(OR(M245="",M245="NR"),"등급미입력 ","")&amp;IF(C245&lt;&gt;"USD","비USD ","")))</f>
        <v/>
      </c>
      <c r="AQ245" s="90" t="n">
        <f aca="false">IF(AND(Y245=1,AL245="Cheap"),IF(AND(ISERROR(SEARCH("FRN",AP245)),ISERROR(SEARCH("BBB0미만",AP245))),AK245+ROW()/1000000000,-999),-999)</f>
        <v>-999</v>
      </c>
      <c r="AR245" s="92" t="n">
        <f aca="false">IF(AND(ISNUMBER(D245),ISNUMBER(K245)),D245+AN245*MAX(K245-1,0)/100,"")</f>
        <v>5.94068993772831</v>
      </c>
      <c r="AS245" s="93" t="n">
        <f aca="false">IF(AND(ISNUMBER(E245),ISNUMBER(K245)),IF(K245&gt;0,(E245+AN245*MAX(K245-1,0))/K245,""),"")</f>
        <v>24.7701665040135</v>
      </c>
      <c r="AT245" s="90" t="n">
        <f aca="false">IFERROR(IF(AND(Y245=1,ROW()&lt;&gt;스왑분석!$C$12+1,ABS(K245-INDEX($K$2:$K$601,스왑분석!$C$12))&lt;=스왑분석!$C$5,ISERROR(SEARCH("FRN",AP245)),ISERROR(SEARCH("BBB0미만",AP245))),IF(AND(OR(스왑분석!$C$6="N",L245=INDEX($L$2:$L$601,스왑분석!$C$12)),OR(스왑분석!$C$7="N",N245=INDEX($N$2:$N$601,스왑분석!$C$12)),OR(스왑분석!$C$8="N",AO245=0),E245-INDEX($E$2:$E$601,스왑분석!$C$12)&gt;=스왑분석!$C$9),E245-INDEX($E$2:$E$601,스왑분석!$C$12)+ROW()/1000000000,-999),-999),-999)</f>
        <v>25.197000245</v>
      </c>
      <c r="AU245" s="90" t="n">
        <f aca="false">IF(AND(Y245=1,AO245&gt;0,AL245="Rich"),-AK245+ROW()/1000000000,-999)</f>
        <v>-999</v>
      </c>
    </row>
    <row r="246" customFormat="false" ht="15" hidden="false" customHeight="false" outlineLevel="0" collapsed="false">
      <c r="A246" s="83" t="str">
        <f aca="false">IFERROR(IF(INDEX(원자료_시장!$A$1:$BZ$1000,설정!$L$6+ROW()-1,설정!$L$24)&amp;""="0","",INDEX(원자료_시장!$A$1:$BZ$1000,설정!$L$6+ROW()-1,설정!$L$24)),"")</f>
        <v>NHSECS 4 5/8 07/10/28</v>
      </c>
      <c r="B246" s="83" t="str">
        <f aca="false">IFERROR(IF(INDEX(원자료_시장!$A$1:$BZ$1000,설정!$L$6+ROW()-1,설정!$L$37)&amp;""="0","",INDEX(원자료_시장!$A$1:$BZ$1000,설정!$L$6+ROW()-1,설정!$L$37)),"")</f>
        <v>NH INVESTMENT &amp; SECS</v>
      </c>
      <c r="C246" s="83" t="str">
        <f aca="false">IFERROR(IF(INDEX(원자료_시장!$A$1:$BZ$1000,설정!$L$6+ROW()-1,설정!$L$25)&amp;""="0","",INDEX(원자료_시장!$A$1:$BZ$1000,설정!$L$6+ROW()-1,설정!$L$25)),"")</f>
        <v>USD</v>
      </c>
      <c r="D246" s="85" t="n">
        <f aca="false">IFERROR(IF(ISNUMBER(INDEX(원자료_시장!$A$1:$BZ$1000,설정!$L$6+ROW()-1,설정!$L$26)),INDEX(원자료_시장!$A$1:$BZ$1000,설정!$L$6+ROW()-1,설정!$L$26),""),"")</f>
        <v>5.516</v>
      </c>
      <c r="E246" s="97" t="n">
        <f aca="false">IFERROR(IF(ISNUMBER(INDEX(원자료_시장!$A$1:$BZ$1000,설정!$L$6+ROW()-1,설정!$L$27)),INDEX(원자료_시장!$A$1:$BZ$1000,설정!$L$6+ROW()-1,설정!$L$27),""),"")</f>
        <v>62.709</v>
      </c>
      <c r="F246" s="97" t="n">
        <f aca="false">IFERROR(IF(ISNUMBER(INDEX(원자료_시장!$A$1:$BZ$1000,설정!$L$6+ROW()-1,설정!$L$28)),INDEX(원자료_시장!$A$1:$BZ$1000,설정!$L$6+ROW()-1,설정!$L$28),""),"")</f>
        <v>86.005</v>
      </c>
      <c r="G246" s="97" t="n">
        <f aca="false">IFERROR(IF(ISNUMBER(INDEX(원자료_시장!$A$1:$BZ$1000,설정!$L$6+ROW()-1,설정!$L$29)),INDEX(원자료_시장!$A$1:$BZ$1000,설정!$L$6+ROW()-1,설정!$L$29),""),"")</f>
        <v>0.2</v>
      </c>
      <c r="H246" s="97" t="n">
        <f aca="false">IFERROR(IF(ISNUMBER(INDEX(원자료_시장!$A$1:$BZ$1000,설정!$L$6+ROW()-1,설정!$L$30)),INDEX(원자료_시장!$A$1:$BZ$1000,설정!$L$6+ROW()-1,설정!$L$30),""),"")</f>
        <v>9.7</v>
      </c>
      <c r="I246" s="97" t="n">
        <f aca="false">IFERROR(IF(ISNUMBER(INDEX(원자료_시장!$A$1:$BZ$1000,설정!$L$6+ROW()-1,설정!$L$31)),INDEX(원자료_시장!$A$1:$BZ$1000,설정!$L$6+ROW()-1,설정!$L$31),""),"")</f>
        <v>2.5</v>
      </c>
      <c r="J246" s="97" t="n">
        <f aca="false">IFERROR(IF(ISNUMBER(INDEX(원자료_시장!$A$1:$BZ$1000,설정!$L$6+ROW()-1,설정!$L$32)),INDEX(원자료_시장!$A$1:$BZ$1000,설정!$L$6+ROW()-1,설정!$L$32),""),"")</f>
        <v>-0.4</v>
      </c>
      <c r="K246" s="85" t="n">
        <f aca="false">IFERROR(IF(ISNUMBER(INDEX(원자료_시장!$A$1:$BZ$1000,설정!$L$6+ROW()-1,설정!$L$33)),INDEX(원자료_시장!$A$1:$BZ$1000,설정!$L$6+ROW()-1,설정!$L$33),""),"")</f>
        <v>1.696</v>
      </c>
      <c r="L246" s="83" t="str">
        <f aca="false">IFERROR(IF(INDEX(원자료_시장!$A$1:$BZ$1000,설정!$L$6+ROW()-1,설정!$L$34)&amp;""="0","",INDEX(원자료_시장!$A$1:$BZ$1000,설정!$L$6+ROW()-1,설정!$L$34)),"")</f>
        <v>금융기관</v>
      </c>
      <c r="M246" s="83" t="str">
        <f aca="false">IFERROR(IF(INDEX(원자료_시장!$A$1:$BZ$1000,설정!$L$6+ROW()-1,설정!$L$35)&amp;""="0","",INDEX(원자료_시장!$A$1:$BZ$1000,설정!$L$6+ROW()-1,설정!$L$35)),"")</f>
        <v>A-</v>
      </c>
      <c r="N246" s="83" t="str">
        <f aca="false">IFERROR(IF(INDEX(원자료_시장!$A$1:$BZ$1000,설정!$L$6+ROW()-1,설정!$L$36)&amp;""="0","",INDEX(원자료_시장!$A$1:$BZ$1000,설정!$L$6+ROW()-1,설정!$L$36)),"")</f>
        <v>아시아/기타</v>
      </c>
      <c r="O246" s="43" t="str">
        <f aca="false">IF($A246="","",UPPER(LEFT($A246,FIND(" ",$A246&amp;" ")-1)))</f>
        <v>NHSECS</v>
      </c>
      <c r="P246" s="43" t="str">
        <f aca="false">IF($A246="","",TRIM(RIGHT(SUBSTITUTE(TRIM($A246)," ",REPT(" ",30)),30)))</f>
        <v>07/10/28</v>
      </c>
      <c r="Q246" s="98" t="n">
        <f aca="false">IF($A246="","",IFERROR(DATE(IF(LEN(P246)=8,2000+VALUE(RIGHT(P246,2)),VALUE(RIGHT(P246,4))),VALUE(LEFT(P246,2)),VALUE(MID(P246,4,2))),""))</f>
        <v>46944</v>
      </c>
      <c r="R246" s="89" t="n">
        <f aca="false">IF($A246="",0,IF(ISNUMBER(SEARCH("Float",$A246)),1,0))</f>
        <v>0</v>
      </c>
      <c r="S246" s="43" t="str">
        <f aca="false">IF($A246="","",TRIM(MID($A246,LEN(O246)+2,LEN($A246)-LEN(O246)-LEN(P246)-1)))</f>
        <v>4 5/8</v>
      </c>
      <c r="T246" s="92" t="n">
        <f aca="false">IF(OR($A246="",R246=1),"",IFERROR(IF(ISNUMBER(FIND("/",S246)),IF(ISNUMBER(FIND(" ",S246)),VALUE(LEFT(S246,FIND(" ",S246)-1))+VALUE(MID(S246,FIND(" ",S246)+1,FIND("/",S246)-FIND(" ",S246)-1))/VALUE(MID(S246,FIND("/",S246)+1,9)),VALUE(LEFT(S246,FIND("/",S246)-1))/VALUE(MID(S246,FIND("/",S246)+1,9))),VALUE(S246)),""))</f>
        <v>4.625</v>
      </c>
      <c r="U246" s="43" t="str">
        <f aca="false">IF(OR($A246="",NOT(ISNUMBER(Q246))),"",TEXT(Q246,"yyyymmdd")&amp;"|"&amp;IF(R246=1,"F",TEXT(T246,"0.000")))</f>
        <v>20280710|4.625</v>
      </c>
      <c r="V246" s="43" t="str">
        <f aca="false">IF(U246="","",O246&amp;"|"&amp;U246)</f>
        <v>NHSECS|20280710|4.625</v>
      </c>
      <c r="W246" s="43" t="str">
        <f aca="false">IF($A246="","",IFERROR(IF(VLOOKUP(O246,매핑!$A$4:$E$92,3,0)="","미분류",VLOOKUP(O246,매핑!$A$4:$E$92,3,0)),"미분류"))</f>
        <v>한국</v>
      </c>
      <c r="X246" s="89" t="n">
        <f aca="false">IF($A246="",0,IF(O246="T",1,0))</f>
        <v>0</v>
      </c>
      <c r="Y246" s="89" t="n">
        <f aca="false">IF($A246="",0,IF(AND(C246="USD",X246=0,ISNUMBER(E246),ISNUMBER(K246)),IF(K246&gt;=설정!$C$8,1,0),0))</f>
        <v>1</v>
      </c>
      <c r="Z246" s="43" t="str">
        <f aca="false">IF($A246="","",N246&amp;"|"&amp;L246)</f>
        <v>아시아/기타|금융기관</v>
      </c>
      <c r="AA246" s="92" t="n">
        <f aca="false">IF(Y246=1,LN(K246),0)</f>
        <v>0.528272537369711</v>
      </c>
      <c r="AB246" s="93" t="n">
        <f aca="false">IF(Y246=1,E246,0)</f>
        <v>62.709</v>
      </c>
      <c r="AC246" s="89" t="n">
        <f aca="false">IF(Y246=1,COUNTIFS($Z$2:$Z$601,Z246,$Y$2:$Y$601,1),0)</f>
        <v>42</v>
      </c>
      <c r="AD246" s="89" t="n">
        <f aca="false">IF(Y246=1,COUNTIFS($N$2:$N$601,N246,$Y$2:$Y$601,1),0)</f>
        <v>137</v>
      </c>
      <c r="AE246" s="43" t="str">
        <f aca="false">IF(Y246&lt;&gt;1,"",IF(AND(AC246&gt;=설정!$C$7,ISNUMBER(MATCH(Z246,피어커브!$A:$A,0))),Z246,IF(AND(AD246&gt;=설정!$C$7,ISNUMBER(MATCH(N246&amp;"|전체",피어커브!$A:$A,0))),N246&amp;"|전체","전체|전체")))</f>
        <v>아시아/기타|금융기관</v>
      </c>
      <c r="AF246" s="93" t="n">
        <f aca="false">IF(AE246="","",INDEX(피어커브!$K:$K,MATCH(AE246,피어커브!$A:$A,0)))</f>
        <v>50.117430292991</v>
      </c>
      <c r="AG246" s="93" t="n">
        <f aca="false">IF(AE246="","",INDEX(피어커브!$J:$J,MATCH(AE246,피어커브!$A:$A,0)))</f>
        <v>13.9183160321618</v>
      </c>
      <c r="AH246" s="93" t="n">
        <f aca="false">IF(AE246="","",INDEX(피어커브!$L:$L,MATCH(AE246,피어커브!$A:$A,0)))</f>
        <v>20.4735875466442</v>
      </c>
      <c r="AI246" s="93" t="n">
        <f aca="false">IF(AE246="","",AF246+AG246*AA246)</f>
        <v>57.4700944192147</v>
      </c>
      <c r="AJ246" s="96" t="n">
        <f aca="false">IF(AE246="","",E246-AI246)</f>
        <v>5.23890558078533</v>
      </c>
      <c r="AK246" s="95" t="n">
        <f aca="false">IF(AE246="","",IF(ISNUMBER(AH246),IF(AH246&gt;0,AJ246/AH246,""),""))</f>
        <v>0.255886056552118</v>
      </c>
      <c r="AL246" s="43" t="str">
        <f aca="false">IF(AK246="","-",IF(AK246&gt;=설정!$C$6,"Cheap",IF(AK246&lt;=-설정!$C$6,"Rich","Fair")))</f>
        <v>Fair</v>
      </c>
      <c r="AM246" s="96" t="n">
        <f aca="false">IF(AE246="","",AJ246-AVERAGEIFS($AJ$2:$AJ$601,$B$2:$B$601,B246,$Y$2:$Y$601,1))</f>
        <v>-1.52094644184639</v>
      </c>
      <c r="AN246" s="93" t="n">
        <f aca="false">IF(AE246="",0,IF(K246&gt;1+설정!$C$8,AG246*(AA246-LN(K246-1)),0))</f>
        <v>12.3967400583937</v>
      </c>
      <c r="AO246" s="99" t="n">
        <f aca="false">IF($A246="",0,SUMIFS(보유분석!$AA$2:$AA$801,보유분석!$AB$2:$AB$801,ROW(),보유분석!$AC$2:$AC$801,1))</f>
        <v>0</v>
      </c>
      <c r="AP246" s="43" t="str">
        <f aca="false">IF($A246="","",TRIM(IF(R246=1,"FRN ","")&amp;IF(IFERROR(VLOOKUP(M246,설정!$A$15:$D$47,4,0),0)&gt;=10,IF(IFERROR(VLOOKUP(M246,설정!$A$15:$D$47,4,0),0)&lt;99,"BBB0미만 ",""),"")&amp;IF(OR(M246="",M246="NR"),"등급미입력 ","")&amp;IF(C246&lt;&gt;"USD","비USD ","")))</f>
        <v/>
      </c>
      <c r="AQ246" s="90" t="n">
        <f aca="false">IF(AND(Y246=1,AL246="Cheap"),IF(AND(ISERROR(SEARCH("FRN",AP246)),ISERROR(SEARCH("BBB0미만",AP246))),AK246+ROW()/1000000000,-999),-999)</f>
        <v>-999</v>
      </c>
      <c r="AR246" s="92" t="n">
        <f aca="false">IF(AND(ISNUMBER(D246),ISNUMBER(K246)),D246+AN246*MAX(K246-1,0)/100,"")</f>
        <v>5.60228131080642</v>
      </c>
      <c r="AS246" s="93" t="n">
        <f aca="false">IF(AND(ISNUMBER(E246),ISNUMBER(K246)),IF(K246&gt;0,(E246+AN246*MAX(K246-1,0))/K246,""),"")</f>
        <v>42.0619876654729</v>
      </c>
      <c r="AT246" s="90" t="n">
        <f aca="false">IFERROR(IF(AND(Y246=1,ROW()&lt;&gt;스왑분석!$C$12+1,ABS(K246-INDEX($K$2:$K$601,스왑분석!$C$12))&lt;=스왑분석!$C$5,ISERROR(SEARCH("FRN",AP246)),ISERROR(SEARCH("BBB0미만",AP246))),IF(AND(OR(스왑분석!$C$6="N",L246=INDEX($L$2:$L$601,스왑분석!$C$12)),OR(스왑분석!$C$7="N",N246=INDEX($N$2:$N$601,스왑분석!$C$12)),OR(스왑분석!$C$8="N",AO246=0),E246-INDEX($E$2:$E$601,스왑분석!$C$12)&gt;=스왑분석!$C$9),E246-INDEX($E$2:$E$601,스왑분석!$C$12)+ROW()/1000000000,-999),-999),-999)</f>
        <v>-999</v>
      </c>
      <c r="AU246" s="90" t="n">
        <f aca="false">IF(AND(Y246=1,AO246&gt;0,AL246="Rich"),-AK246+ROW()/1000000000,-999)</f>
        <v>-999</v>
      </c>
    </row>
    <row r="247" customFormat="false" ht="15" hidden="false" customHeight="false" outlineLevel="0" collapsed="false">
      <c r="A247" s="83" t="str">
        <f aca="false">IFERROR(IF(INDEX(원자료_시장!$A$1:$BZ$1000,설정!$L$6+ROW()-1,설정!$L$24)&amp;""="0","",INDEX(원자료_시장!$A$1:$BZ$1000,설정!$L$6+ROW()-1,설정!$L$24)),"")</f>
        <v>WFC 2.766 07/23/29</v>
      </c>
      <c r="B247" s="83" t="str">
        <f aca="false">IFERROR(IF(INDEX(원자료_시장!$A$1:$BZ$1000,설정!$L$6+ROW()-1,설정!$L$37)&amp;""="0","",INDEX(원자료_시장!$A$1:$BZ$1000,설정!$L$6+ROW()-1,설정!$L$37)),"")</f>
        <v>WELLS FARGO &amp; COMPANY</v>
      </c>
      <c r="C247" s="83" t="str">
        <f aca="false">IFERROR(IF(INDEX(원자료_시장!$A$1:$BZ$1000,설정!$L$6+ROW()-1,설정!$L$25)&amp;""="0","",INDEX(원자료_시장!$A$1:$BZ$1000,설정!$L$6+ROW()-1,설정!$L$25)),"")</f>
        <v>EUR</v>
      </c>
      <c r="D247" s="85" t="n">
        <f aca="false">IFERROR(IF(ISNUMBER(INDEX(원자료_시장!$A$1:$BZ$1000,설정!$L$6+ROW()-1,설정!$L$26)),INDEX(원자료_시장!$A$1:$BZ$1000,설정!$L$6+ROW()-1,설정!$L$26),""),"")</f>
        <v>3.733</v>
      </c>
      <c r="E247" s="97" t="n">
        <f aca="false">IFERROR(IF(ISNUMBER(INDEX(원자료_시장!$A$1:$BZ$1000,설정!$L$6+ROW()-1,설정!$L$27)),INDEX(원자료_시장!$A$1:$BZ$1000,설정!$L$6+ROW()-1,설정!$L$27),""),"")</f>
        <v>73.997</v>
      </c>
      <c r="F247" s="97" t="n">
        <f aca="false">IFERROR(IF(ISNUMBER(INDEX(원자료_시장!$A$1:$BZ$1000,설정!$L$6+ROW()-1,설정!$L$28)),INDEX(원자료_시장!$A$1:$BZ$1000,설정!$L$6+ROW()-1,설정!$L$28),""),"")</f>
        <v>39.256</v>
      </c>
      <c r="G247" s="97" t="str">
        <f aca="false">IFERROR(IF(ISNUMBER(INDEX(원자료_시장!$A$1:$BZ$1000,설정!$L$6+ROW()-1,설정!$L$29)),INDEX(원자료_시장!$A$1:$BZ$1000,설정!$L$6+ROW()-1,설정!$L$29),""),"")</f>
        <v/>
      </c>
      <c r="H247" s="97" t="str">
        <f aca="false">IFERROR(IF(ISNUMBER(INDEX(원자료_시장!$A$1:$BZ$1000,설정!$L$6+ROW()-1,설정!$L$30)),INDEX(원자료_시장!$A$1:$BZ$1000,설정!$L$6+ROW()-1,설정!$L$30),""),"")</f>
        <v/>
      </c>
      <c r="I247" s="97" t="str">
        <f aca="false">IFERROR(IF(ISNUMBER(INDEX(원자료_시장!$A$1:$BZ$1000,설정!$L$6+ROW()-1,설정!$L$31)),INDEX(원자료_시장!$A$1:$BZ$1000,설정!$L$6+ROW()-1,설정!$L$31),""),"")</f>
        <v/>
      </c>
      <c r="J247" s="97" t="str">
        <f aca="false">IFERROR(IF(ISNUMBER(INDEX(원자료_시장!$A$1:$BZ$1000,설정!$L$6+ROW()-1,설정!$L$32)),INDEX(원자료_시장!$A$1:$BZ$1000,설정!$L$6+ROW()-1,설정!$L$32),""),"")</f>
        <v/>
      </c>
      <c r="K247" s="85" t="n">
        <f aca="false">IFERROR(IF(ISNUMBER(INDEX(원자료_시장!$A$1:$BZ$1000,설정!$L$6+ROW()-1,설정!$L$33)),INDEX(원자료_시장!$A$1:$BZ$1000,설정!$L$6+ROW()-1,설정!$L$33),""),"")</f>
        <v>1.77</v>
      </c>
      <c r="L247" s="83" t="str">
        <f aca="false">IFERROR(IF(INDEX(원자료_시장!$A$1:$BZ$1000,설정!$L$6+ROW()-1,설정!$L$34)&amp;""="0","",INDEX(원자료_시장!$A$1:$BZ$1000,설정!$L$6+ROW()-1,설정!$L$34)),"")</f>
        <v>금융기관</v>
      </c>
      <c r="M247" s="83" t="str">
        <f aca="false">IFERROR(IF(INDEX(원자료_시장!$A$1:$BZ$1000,설정!$L$6+ROW()-1,설정!$L$35)&amp;""="0","",INDEX(원자료_시장!$A$1:$BZ$1000,설정!$L$6+ROW()-1,설정!$L$35)),"")</f>
        <v>A-</v>
      </c>
      <c r="N247" s="83" t="str">
        <f aca="false">IFERROR(IF(INDEX(원자료_시장!$A$1:$BZ$1000,설정!$L$6+ROW()-1,설정!$L$36)&amp;""="0","",INDEX(원자료_시장!$A$1:$BZ$1000,설정!$L$6+ROW()-1,설정!$L$36)),"")</f>
        <v>미국</v>
      </c>
      <c r="O247" s="43" t="str">
        <f aca="false">IF($A247="","",UPPER(LEFT($A247,FIND(" ",$A247&amp;" ")-1)))</f>
        <v>WFC</v>
      </c>
      <c r="P247" s="43" t="str">
        <f aca="false">IF($A247="","",TRIM(RIGHT(SUBSTITUTE(TRIM($A247)," ",REPT(" ",30)),30)))</f>
        <v>07/23/29</v>
      </c>
      <c r="Q247" s="98" t="n">
        <f aca="false">IF($A247="","",IFERROR(DATE(IF(LEN(P247)=8,2000+VALUE(RIGHT(P247,2)),VALUE(RIGHT(P247,4))),VALUE(LEFT(P247,2)),VALUE(MID(P247,4,2))),""))</f>
        <v>47322</v>
      </c>
      <c r="R247" s="89" t="n">
        <f aca="false">IF($A247="",0,IF(ISNUMBER(SEARCH("Float",$A247)),1,0))</f>
        <v>0</v>
      </c>
      <c r="S247" s="43" t="str">
        <f aca="false">IF($A247="","",TRIM(MID($A247,LEN(O247)+2,LEN($A247)-LEN(O247)-LEN(P247)-1)))</f>
        <v>2.766</v>
      </c>
      <c r="T247" s="92" t="n">
        <f aca="false">IF(OR($A247="",R247=1),"",IFERROR(IF(ISNUMBER(FIND("/",S247)),IF(ISNUMBER(FIND(" ",S247)),VALUE(LEFT(S247,FIND(" ",S247)-1))+VALUE(MID(S247,FIND(" ",S247)+1,FIND("/",S247)-FIND(" ",S247)-1))/VALUE(MID(S247,FIND("/",S247)+1,9)),VALUE(LEFT(S247,FIND("/",S247)-1))/VALUE(MID(S247,FIND("/",S247)+1,9))),VALUE(S247)),""))</f>
        <v>2.766</v>
      </c>
      <c r="U247" s="43" t="str">
        <f aca="false">IF(OR($A247="",NOT(ISNUMBER(Q247))),"",TEXT(Q247,"yyyymmdd")&amp;"|"&amp;IF(R247=1,"F",TEXT(T247,"0.000")))</f>
        <v>20290723|2.766</v>
      </c>
      <c r="V247" s="43" t="str">
        <f aca="false">IF(U247="","",O247&amp;"|"&amp;U247)</f>
        <v>WFC|20290723|2.766</v>
      </c>
      <c r="W247" s="43" t="str">
        <f aca="false">IF($A247="","",IFERROR(IF(VLOOKUP(O247,매핑!$A$4:$E$92,3,0)="","미분류",VLOOKUP(O247,매핑!$A$4:$E$92,3,0)),"미분류"))</f>
        <v>미국</v>
      </c>
      <c r="X247" s="89" t="n">
        <f aca="false">IF($A247="",0,IF(O247="T",1,0))</f>
        <v>0</v>
      </c>
      <c r="Y247" s="89" t="n">
        <f aca="false">IF($A247="",0,IF(AND(C247="USD",X247=0,ISNUMBER(E247),ISNUMBER(K247)),IF(K247&gt;=설정!$C$8,1,0),0))</f>
        <v>0</v>
      </c>
      <c r="Z247" s="43" t="str">
        <f aca="false">IF($A247="","",N247&amp;"|"&amp;L247)</f>
        <v>미국|금융기관</v>
      </c>
      <c r="AA247" s="92" t="n">
        <f aca="false">IF(Y247=1,LN(K247),0)</f>
        <v>0</v>
      </c>
      <c r="AB247" s="93" t="n">
        <f aca="false">IF(Y247=1,E247,0)</f>
        <v>0</v>
      </c>
      <c r="AC247" s="89" t="n">
        <f aca="false">IF(Y247=1,COUNTIFS($Z$2:$Z$601,Z247,$Y$2:$Y$601,1),0)</f>
        <v>0</v>
      </c>
      <c r="AD247" s="89" t="n">
        <f aca="false">IF(Y247=1,COUNTIFS($N$2:$N$601,N247,$Y$2:$Y$601,1),0)</f>
        <v>0</v>
      </c>
      <c r="AE247" s="43" t="str">
        <f aca="false">IF(Y247&lt;&gt;1,"",IF(AND(AC247&gt;=설정!$C$7,ISNUMBER(MATCH(Z247,피어커브!$A:$A,0))),Z247,IF(AND(AD247&gt;=설정!$C$7,ISNUMBER(MATCH(N247&amp;"|전체",피어커브!$A:$A,0))),N247&amp;"|전체","전체|전체")))</f>
        <v/>
      </c>
      <c r="AF247" s="93" t="str">
        <f aca="false">IF(AE247="","",INDEX(피어커브!$K:$K,MATCH(AE247,피어커브!$A:$A,0)))</f>
        <v/>
      </c>
      <c r="AG247" s="93" t="str">
        <f aca="false">IF(AE247="","",INDEX(피어커브!$J:$J,MATCH(AE247,피어커브!$A:$A,0)))</f>
        <v/>
      </c>
      <c r="AH247" s="93" t="str">
        <f aca="false">IF(AE247="","",INDEX(피어커브!$L:$L,MATCH(AE247,피어커브!$A:$A,0)))</f>
        <v/>
      </c>
      <c r="AI247" s="93" t="str">
        <f aca="false">IF(AE247="","",AF247+AG247*AA247)</f>
        <v/>
      </c>
      <c r="AJ247" s="96" t="str">
        <f aca="false">IF(AE247="","",E247-AI247)</f>
        <v/>
      </c>
      <c r="AK247" s="95" t="str">
        <f aca="false">IF(AE247="","",IF(ISNUMBER(AH247),IF(AH247&gt;0,AJ247/AH247,""),""))</f>
        <v/>
      </c>
      <c r="AL247" s="43" t="str">
        <f aca="false">IF(AK247="","-",IF(AK247&gt;=설정!$C$6,"Cheap",IF(AK247&lt;=-설정!$C$6,"Rich","Fair")))</f>
        <v>-</v>
      </c>
      <c r="AM247" s="96" t="str">
        <f aca="false">IF(AE247="","",AJ247-AVERAGEIFS($AJ$2:$AJ$601,$B$2:$B$601,B247,$Y$2:$Y$601,1))</f>
        <v/>
      </c>
      <c r="AN247" s="93" t="n">
        <f aca="false">IF(AE247="",0,IF(K247&gt;1+설정!$C$8,AG247*(AA247-LN(K247-1)),0))</f>
        <v>0</v>
      </c>
      <c r="AO247" s="99" t="n">
        <f aca="false">IF($A247="",0,SUMIFS(보유분석!$AA$2:$AA$801,보유분석!$AB$2:$AB$801,ROW(),보유분석!$AC$2:$AC$801,1))</f>
        <v>0</v>
      </c>
      <c r="AP247" s="43" t="str">
        <f aca="false">IF($A247="","",TRIM(IF(R247=1,"FRN ","")&amp;IF(IFERROR(VLOOKUP(M247,설정!$A$15:$D$47,4,0),0)&gt;=10,IF(IFERROR(VLOOKUP(M247,설정!$A$15:$D$47,4,0),0)&lt;99,"BBB0미만 ",""),"")&amp;IF(OR(M247="",M247="NR"),"등급미입력 ","")&amp;IF(C247&lt;&gt;"USD","비USD ","")))</f>
        <v>비USD</v>
      </c>
      <c r="AQ247" s="90" t="n">
        <f aca="false">IF(AND(Y247=1,AL247="Cheap"),IF(AND(ISERROR(SEARCH("FRN",AP247)),ISERROR(SEARCH("BBB0미만",AP247))),AK247+ROW()/1000000000,-999),-999)</f>
        <v>-999</v>
      </c>
      <c r="AR247" s="92" t="n">
        <f aca="false">IF(AND(ISNUMBER(D247),ISNUMBER(K247)),D247+AN247*MAX(K247-1,0)/100,"")</f>
        <v>3.733</v>
      </c>
      <c r="AS247" s="93" t="n">
        <f aca="false">IF(AND(ISNUMBER(E247),ISNUMBER(K247)),IF(K247&gt;0,(E247+AN247*MAX(K247-1,0))/K247,""),"")</f>
        <v>41.8062146892655</v>
      </c>
      <c r="AT247" s="90" t="n">
        <f aca="false">IFERROR(IF(AND(Y247=1,ROW()&lt;&gt;스왑분석!$C$12+1,ABS(K247-INDEX($K$2:$K$601,스왑분석!$C$12))&lt;=스왑분석!$C$5,ISERROR(SEARCH("FRN",AP247)),ISERROR(SEARCH("BBB0미만",AP247))),IF(AND(OR(스왑분석!$C$6="N",L247=INDEX($L$2:$L$601,스왑분석!$C$12)),OR(스왑분석!$C$7="N",N247=INDEX($N$2:$N$601,스왑분석!$C$12)),OR(스왑분석!$C$8="N",AO247=0),E247-INDEX($E$2:$E$601,스왑분석!$C$12)&gt;=스왑분석!$C$9),E247-INDEX($E$2:$E$601,스왑분석!$C$12)+ROW()/1000000000,-999),-999),-999)</f>
        <v>-999</v>
      </c>
      <c r="AU247" s="90" t="n">
        <f aca="false">IF(AND(Y247=1,AO247&gt;0,AL247="Rich"),-AK247+ROW()/1000000000,-999)</f>
        <v>-999</v>
      </c>
    </row>
    <row r="248" customFormat="false" ht="15" hidden="false" customHeight="false" outlineLevel="0" collapsed="false">
      <c r="A248" s="83" t="str">
        <f aca="false">IFERROR(IF(INDEX(원자료_시장!$A$1:$BZ$1000,설정!$L$6+ROW()-1,설정!$L$24)&amp;""="0","",INDEX(원자료_시장!$A$1:$BZ$1000,설정!$L$6+ROW()-1,설정!$L$24)),"")</f>
        <v>KOREAN 4 09/30/30</v>
      </c>
      <c r="B248" s="83" t="str">
        <f aca="false">IFERROR(IF(INDEX(원자료_시장!$A$1:$BZ$1000,설정!$L$6+ROW()-1,설정!$L$37)&amp;""="0","",INDEX(원자료_시장!$A$1:$BZ$1000,설정!$L$6+ROW()-1,설정!$L$37)),"")</f>
        <v>KOREAN AIR LINES CO LTD</v>
      </c>
      <c r="C248" s="83" t="str">
        <f aca="false">IFERROR(IF(INDEX(원자료_시장!$A$1:$BZ$1000,설정!$L$6+ROW()-1,설정!$L$25)&amp;""="0","",INDEX(원자료_시장!$A$1:$BZ$1000,설정!$L$6+ROW()-1,설정!$L$25)),"")</f>
        <v>USD</v>
      </c>
      <c r="D248" s="85" t="n">
        <f aca="false">IFERROR(IF(ISNUMBER(INDEX(원자료_시장!$A$1:$BZ$1000,설정!$L$6+ROW()-1,설정!$L$26)),INDEX(원자료_시장!$A$1:$BZ$1000,설정!$L$6+ROW()-1,설정!$L$26),""),"")</f>
        <v>5.524</v>
      </c>
      <c r="E248" s="97" t="n">
        <f aca="false">IFERROR(IF(ISNUMBER(INDEX(원자료_시장!$A$1:$BZ$1000,설정!$L$6+ROW()-1,설정!$L$27)),INDEX(원자료_시장!$A$1:$BZ$1000,설정!$L$6+ROW()-1,설정!$L$27),""),"")</f>
        <v>43.749</v>
      </c>
      <c r="F248" s="97" t="n">
        <f aca="false">IFERROR(IF(ISNUMBER(INDEX(원자료_시장!$A$1:$BZ$1000,설정!$L$6+ROW()-1,설정!$L$28)),INDEX(원자료_시장!$A$1:$BZ$1000,설정!$L$6+ROW()-1,설정!$L$28),""),"")</f>
        <v>77.885</v>
      </c>
      <c r="G248" s="97" t="n">
        <f aca="false">IFERROR(IF(ISNUMBER(INDEX(원자료_시장!$A$1:$BZ$1000,설정!$L$6+ROW()-1,설정!$L$29)),INDEX(원자료_시장!$A$1:$BZ$1000,설정!$L$6+ROW()-1,설정!$L$29),""),"")</f>
        <v>0.1</v>
      </c>
      <c r="H248" s="97" t="n">
        <f aca="false">IFERROR(IF(ISNUMBER(INDEX(원자료_시장!$A$1:$BZ$1000,설정!$L$6+ROW()-1,설정!$L$30)),INDEX(원자료_시장!$A$1:$BZ$1000,설정!$L$6+ROW()-1,설정!$L$30),""),"")</f>
        <v>2.4</v>
      </c>
      <c r="I248" s="97" t="n">
        <f aca="false">IFERROR(IF(ISNUMBER(INDEX(원자료_시장!$A$1:$BZ$1000,설정!$L$6+ROW()-1,설정!$L$31)),INDEX(원자료_시장!$A$1:$BZ$1000,설정!$L$6+ROW()-1,설정!$L$31),""),"")</f>
        <v>3.3</v>
      </c>
      <c r="J248" s="97" t="n">
        <f aca="false">IFERROR(IF(ISNUMBER(INDEX(원자료_시장!$A$1:$BZ$1000,설정!$L$6+ROW()-1,설정!$L$32)),INDEX(원자료_시장!$A$1:$BZ$1000,설정!$L$6+ROW()-1,설정!$L$32),""),"")</f>
        <v>7.1</v>
      </c>
      <c r="K248" s="85" t="n">
        <f aca="false">IFERROR(IF(ISNUMBER(INDEX(원자료_시장!$A$1:$BZ$1000,설정!$L$6+ROW()-1,설정!$L$33)),INDEX(원자료_시장!$A$1:$BZ$1000,설정!$L$6+ROW()-1,설정!$L$33),""),"")</f>
        <v>3.713</v>
      </c>
      <c r="L248" s="83" t="str">
        <f aca="false">IFERROR(IF(INDEX(원자료_시장!$A$1:$BZ$1000,설정!$L$6+ROW()-1,설정!$L$34)&amp;""="0","",INDEX(원자료_시장!$A$1:$BZ$1000,설정!$L$6+ROW()-1,설정!$L$34)),"")</f>
        <v>자유 소비재</v>
      </c>
      <c r="M248" s="83" t="str">
        <f aca="false">IFERROR(IF(INDEX(원자료_시장!$A$1:$BZ$1000,설정!$L$6+ROW()-1,설정!$L$35)&amp;""="0","",INDEX(원자료_시장!$A$1:$BZ$1000,설정!$L$6+ROW()-1,설정!$L$35)),"")</f>
        <v>AA</v>
      </c>
      <c r="N248" s="83" t="str">
        <f aca="false">IFERROR(IF(INDEX(원자료_시장!$A$1:$BZ$1000,설정!$L$6+ROW()-1,설정!$L$36)&amp;""="0","",INDEX(원자료_시장!$A$1:$BZ$1000,설정!$L$6+ROW()-1,설정!$L$36)),"")</f>
        <v>아시아/기타</v>
      </c>
      <c r="O248" s="43" t="str">
        <f aca="false">IF($A248="","",UPPER(LEFT($A248,FIND(" ",$A248&amp;" ")-1)))</f>
        <v>KOREAN</v>
      </c>
      <c r="P248" s="43" t="str">
        <f aca="false">IF($A248="","",TRIM(RIGHT(SUBSTITUTE(TRIM($A248)," ",REPT(" ",30)),30)))</f>
        <v>09/30/30</v>
      </c>
      <c r="Q248" s="98" t="n">
        <f aca="false">IF($A248="","",IFERROR(DATE(IF(LEN(P248)=8,2000+VALUE(RIGHT(P248,2)),VALUE(RIGHT(P248,4))),VALUE(LEFT(P248,2)),VALUE(MID(P248,4,2))),""))</f>
        <v>47756</v>
      </c>
      <c r="R248" s="89" t="n">
        <f aca="false">IF($A248="",0,IF(ISNUMBER(SEARCH("Float",$A248)),1,0))</f>
        <v>0</v>
      </c>
      <c r="S248" s="43" t="str">
        <f aca="false">IF($A248="","",TRIM(MID($A248,LEN(O248)+2,LEN($A248)-LEN(O248)-LEN(P248)-1)))</f>
        <v>4</v>
      </c>
      <c r="T248" s="92" t="n">
        <f aca="false">IF(OR($A248="",R248=1),"",IFERROR(IF(ISNUMBER(FIND("/",S248)),IF(ISNUMBER(FIND(" ",S248)),VALUE(LEFT(S248,FIND(" ",S248)-1))+VALUE(MID(S248,FIND(" ",S248)+1,FIND("/",S248)-FIND(" ",S248)-1))/VALUE(MID(S248,FIND("/",S248)+1,9)),VALUE(LEFT(S248,FIND("/",S248)-1))/VALUE(MID(S248,FIND("/",S248)+1,9))),VALUE(S248)),""))</f>
        <v>4</v>
      </c>
      <c r="U248" s="43" t="str">
        <f aca="false">IF(OR($A248="",NOT(ISNUMBER(Q248))),"",TEXT(Q248,"yyyymmdd")&amp;"|"&amp;IF(R248=1,"F",TEXT(T248,"0.000")))</f>
        <v>20300930|4.000</v>
      </c>
      <c r="V248" s="43" t="str">
        <f aca="false">IF(U248="","",O248&amp;"|"&amp;U248)</f>
        <v>KOREAN|20300930|4.000</v>
      </c>
      <c r="W248" s="43" t="str">
        <f aca="false">IF($A248="","",IFERROR(IF(VLOOKUP(O248,매핑!$A$4:$E$92,3,0)="","미분류",VLOOKUP(O248,매핑!$A$4:$E$92,3,0)),"미분류"))</f>
        <v>한국</v>
      </c>
      <c r="X248" s="89" t="n">
        <f aca="false">IF($A248="",0,IF(O248="T",1,0))</f>
        <v>0</v>
      </c>
      <c r="Y248" s="89" t="n">
        <f aca="false">IF($A248="",0,IF(AND(C248="USD",X248=0,ISNUMBER(E248),ISNUMBER(K248)),IF(K248&gt;=설정!$C$8,1,0),0))</f>
        <v>1</v>
      </c>
      <c r="Z248" s="43" t="str">
        <f aca="false">IF($A248="","",N248&amp;"|"&amp;L248)</f>
        <v>아시아/기타|자유 소비재</v>
      </c>
      <c r="AA248" s="92" t="n">
        <f aca="false">IF(Y248=1,LN(K248),0)</f>
        <v>1.31184017519494</v>
      </c>
      <c r="AB248" s="93" t="n">
        <f aca="false">IF(Y248=1,E248,0)</f>
        <v>43.749</v>
      </c>
      <c r="AC248" s="89" t="n">
        <f aca="false">IF(Y248=1,COUNTIFS($Z$2:$Z$601,Z248,$Y$2:$Y$601,1),0)</f>
        <v>11</v>
      </c>
      <c r="AD248" s="89" t="n">
        <f aca="false">IF(Y248=1,COUNTIFS($N$2:$N$601,N248,$Y$2:$Y$601,1),0)</f>
        <v>137</v>
      </c>
      <c r="AE248" s="43" t="str">
        <f aca="false">IF(Y248&lt;&gt;1,"",IF(AND(AC248&gt;=설정!$C$7,ISNUMBER(MATCH(Z248,피어커브!$A:$A,0))),Z248,IF(AND(AD248&gt;=설정!$C$7,ISNUMBER(MATCH(N248&amp;"|전체",피어커브!$A:$A,0))),N248&amp;"|전체","전체|전체")))</f>
        <v>아시아/기타|자유 소비재</v>
      </c>
      <c r="AF248" s="93" t="n">
        <f aca="false">IF(AE248="","",INDEX(피어커브!$K:$K,MATCH(AE248,피어커브!$A:$A,0)))</f>
        <v>34.9855900051434</v>
      </c>
      <c r="AG248" s="93" t="n">
        <f aca="false">IF(AE248="","",INDEX(피어커브!$J:$J,MATCH(AE248,피어커브!$A:$A,0)))</f>
        <v>40.0993538941787</v>
      </c>
      <c r="AH248" s="93" t="n">
        <f aca="false">IF(AE248="","",INDEX(피어커브!$L:$L,MATCH(AE248,피어커브!$A:$A,0)))</f>
        <v>20.7149409525972</v>
      </c>
      <c r="AI248" s="93" t="n">
        <f aca="false">IF(AE248="","",AF248+AG248*AA248)</f>
        <v>87.5895334428868</v>
      </c>
      <c r="AJ248" s="96" t="n">
        <f aca="false">IF(AE248="","",E248-AI248)</f>
        <v>-43.8405334428868</v>
      </c>
      <c r="AK248" s="95" t="n">
        <f aca="false">IF(AE248="","",IF(ISNUMBER(AH248),IF(AH248&gt;0,AJ248/AH248,""),""))</f>
        <v>-2.11637260000928</v>
      </c>
      <c r="AL248" s="43" t="str">
        <f aca="false">IF(AK248="","-",IF(AK248&gt;=설정!$C$6,"Cheap",IF(AK248&lt;=-설정!$C$6,"Rich","Fair")))</f>
        <v>Rich</v>
      </c>
      <c r="AM248" s="96" t="n">
        <f aca="false">IF(AE248="","",AJ248-AVERAGEIFS($AJ$2:$AJ$601,$B$2:$B$601,B248,$Y$2:$Y$601,1))</f>
        <v>-7.77614607851436</v>
      </c>
      <c r="AN248" s="93" t="n">
        <f aca="false">IF(AE248="",0,IF(K248&gt;1+설정!$C$8,AG248*(AA248-LN(K248-1)),0))</f>
        <v>12.5825814364712</v>
      </c>
      <c r="AO248" s="99" t="n">
        <f aca="false">IF($A248="",0,SUMIFS(보유분석!$AA$2:$AA$801,보유분석!$AB$2:$AB$801,ROW(),보유분석!$AC$2:$AC$801,1))</f>
        <v>0</v>
      </c>
      <c r="AP248" s="43" t="str">
        <f aca="false">IF($A248="","",TRIM(IF(R248=1,"FRN ","")&amp;IF(IFERROR(VLOOKUP(M248,설정!$A$15:$D$47,4,0),0)&gt;=10,IF(IFERROR(VLOOKUP(M248,설정!$A$15:$D$47,4,0),0)&lt;99,"BBB0미만 ",""),"")&amp;IF(OR(M248="",M248="NR"),"등급미입력 ","")&amp;IF(C248&lt;&gt;"USD","비USD ","")))</f>
        <v/>
      </c>
      <c r="AQ248" s="90" t="n">
        <f aca="false">IF(AND(Y248=1,AL248="Cheap"),IF(AND(ISERROR(SEARCH("FRN",AP248)),ISERROR(SEARCH("BBB0미만",AP248))),AK248+ROW()/1000000000,-999),-999)</f>
        <v>-999</v>
      </c>
      <c r="AR248" s="92" t="n">
        <f aca="false">IF(AND(ISNUMBER(D248),ISNUMBER(K248)),D248+AN248*MAX(K248-1,0)/100,"")</f>
        <v>5.86536543437146</v>
      </c>
      <c r="AS248" s="93" t="n">
        <f aca="false">IF(AND(ISNUMBER(E248),ISNUMBER(K248)),IF(K248&gt;0,(E248+AN248*MAX(K248-1,0))/K248,""),"")</f>
        <v>20.9764458489486</v>
      </c>
      <c r="AT248" s="90" t="n">
        <f aca="false">IFERROR(IF(AND(Y248=1,ROW()&lt;&gt;스왑분석!$C$12+1,ABS(K248-INDEX($K$2:$K$601,스왑분석!$C$12))&lt;=스왑분석!$C$5,ISERROR(SEARCH("FRN",AP248)),ISERROR(SEARCH("BBB0미만",AP248))),IF(AND(OR(스왑분석!$C$6="N",L248=INDEX($L$2:$L$601,스왑분석!$C$12)),OR(스왑분석!$C$7="N",N248=INDEX($N$2:$N$601,스왑분석!$C$12)),OR(스왑분석!$C$8="N",AO248=0),E248-INDEX($E$2:$E$601,스왑분석!$C$12)&gt;=스왑분석!$C$9),E248-INDEX($E$2:$E$601,스왑분석!$C$12)+ROW()/1000000000,-999),-999),-999)</f>
        <v>-999</v>
      </c>
      <c r="AU248" s="90" t="n">
        <f aca="false">IF(AND(Y248=1,AO248&gt;0,AL248="Rich"),-AK248+ROW()/1000000000,-999)</f>
        <v>-999</v>
      </c>
    </row>
    <row r="249" customFormat="false" ht="15" hidden="false" customHeight="false" outlineLevel="0" collapsed="false">
      <c r="A249" s="83" t="str">
        <f aca="false">IFERROR(IF(INDEX(원자료_시장!$A$1:$BZ$1000,설정!$L$6+ROW()-1,설정!$L$24)&amp;""="0","",INDEX(원자료_시장!$A$1:$BZ$1000,설정!$L$6+ROW()-1,설정!$L$24)),"")</f>
        <v>HANMIL 4 1/4 10/01/30</v>
      </c>
      <c r="B249" s="83" t="str">
        <f aca="false">IFERROR(IF(INDEX(원자료_시장!$A$1:$BZ$1000,설정!$L$6+ROW()-1,설정!$L$37)&amp;""="0","",INDEX(원자료_시장!$A$1:$BZ$1000,설정!$L$6+ROW()-1,설정!$L$37)),"")</f>
        <v>KB CAPITAL CO LTD</v>
      </c>
      <c r="C249" s="83" t="str">
        <f aca="false">IFERROR(IF(INDEX(원자료_시장!$A$1:$BZ$1000,설정!$L$6+ROW()-1,설정!$L$25)&amp;""="0","",INDEX(원자료_시장!$A$1:$BZ$1000,설정!$L$6+ROW()-1,설정!$L$25)),"")</f>
        <v>USD</v>
      </c>
      <c r="D249" s="85" t="n">
        <f aca="false">IFERROR(IF(ISNUMBER(INDEX(원자료_시장!$A$1:$BZ$1000,설정!$L$6+ROW()-1,설정!$L$26)),INDEX(원자료_시장!$A$1:$BZ$1000,설정!$L$6+ROW()-1,설정!$L$26),""),"")</f>
        <v>5.859</v>
      </c>
      <c r="E249" s="97" t="n">
        <f aca="false">IFERROR(IF(ISNUMBER(INDEX(원자료_시장!$A$1:$BZ$1000,설정!$L$6+ROW()-1,설정!$L$27)),INDEX(원자료_시장!$A$1:$BZ$1000,설정!$L$6+ROW()-1,설정!$L$27),""),"")</f>
        <v>77.27</v>
      </c>
      <c r="F249" s="97" t="n">
        <f aca="false">IFERROR(IF(ISNUMBER(INDEX(원자료_시장!$A$1:$BZ$1000,설정!$L$6+ROW()-1,설정!$L$28)),INDEX(원자료_시장!$A$1:$BZ$1000,설정!$L$6+ROW()-1,설정!$L$28),""),"")</f>
        <v>111.404</v>
      </c>
      <c r="G249" s="97" t="n">
        <f aca="false">IFERROR(IF(ISNUMBER(INDEX(원자료_시장!$A$1:$BZ$1000,설정!$L$6+ROW()-1,설정!$L$29)),INDEX(원자료_시장!$A$1:$BZ$1000,설정!$L$6+ROW()-1,설정!$L$29),""),"")</f>
        <v>0.2</v>
      </c>
      <c r="H249" s="97" t="n">
        <f aca="false">IFERROR(IF(ISNUMBER(INDEX(원자료_시장!$A$1:$BZ$1000,설정!$L$6+ROW()-1,설정!$L$30)),INDEX(원자료_시장!$A$1:$BZ$1000,설정!$L$6+ROW()-1,설정!$L$30),""),"")</f>
        <v>2.9</v>
      </c>
      <c r="I249" s="97" t="n">
        <f aca="false">IFERROR(IF(ISNUMBER(INDEX(원자료_시장!$A$1:$BZ$1000,설정!$L$6+ROW()-1,설정!$L$31)),INDEX(원자료_시장!$A$1:$BZ$1000,설정!$L$6+ROW()-1,설정!$L$31),""),"")</f>
        <v>0.5</v>
      </c>
      <c r="J249" s="97" t="n">
        <f aca="false">IFERROR(IF(ISNUMBER(INDEX(원자료_시장!$A$1:$BZ$1000,설정!$L$6+ROW()-1,설정!$L$32)),INDEX(원자료_시장!$A$1:$BZ$1000,설정!$L$6+ROW()-1,설정!$L$32),""),"")</f>
        <v>1.6</v>
      </c>
      <c r="K249" s="85" t="n">
        <f aca="false">IFERROR(IF(ISNUMBER(INDEX(원자료_시장!$A$1:$BZ$1000,설정!$L$6+ROW()-1,설정!$L$33)),INDEX(원자료_시장!$A$1:$BZ$1000,설정!$L$6+ROW()-1,설정!$L$33),""),"")</f>
        <v>3.699</v>
      </c>
      <c r="L249" s="83" t="str">
        <f aca="false">IFERROR(IF(INDEX(원자료_시장!$A$1:$BZ$1000,설정!$L$6+ROW()-1,설정!$L$34)&amp;""="0","",INDEX(원자료_시장!$A$1:$BZ$1000,설정!$L$6+ROW()-1,설정!$L$34)),"")</f>
        <v>금융기관</v>
      </c>
      <c r="M249" s="83" t="n">
        <f aca="false">IFERROR(IF(INDEX(원자료_시장!$A$1:$BZ$1000,설정!$L$6+ROW()-1,설정!$L$35)&amp;""="0","",INDEX(원자료_시장!$A$1:$BZ$1000,설정!$L$6+ROW()-1,설정!$L$35)),"")</f>
        <v>0</v>
      </c>
      <c r="N249" s="83" t="str">
        <f aca="false">IFERROR(IF(INDEX(원자료_시장!$A$1:$BZ$1000,설정!$L$6+ROW()-1,설정!$L$36)&amp;""="0","",INDEX(원자료_시장!$A$1:$BZ$1000,설정!$L$6+ROW()-1,설정!$L$36)),"")</f>
        <v>아시아/기타</v>
      </c>
      <c r="O249" s="43" t="str">
        <f aca="false">IF($A249="","",UPPER(LEFT($A249,FIND(" ",$A249&amp;" ")-1)))</f>
        <v>HANMIL</v>
      </c>
      <c r="P249" s="43" t="str">
        <f aca="false">IF($A249="","",TRIM(RIGHT(SUBSTITUTE(TRIM($A249)," ",REPT(" ",30)),30)))</f>
        <v>10/01/30</v>
      </c>
      <c r="Q249" s="98" t="n">
        <f aca="false">IF($A249="","",IFERROR(DATE(IF(LEN(P249)=8,2000+VALUE(RIGHT(P249,2)),VALUE(RIGHT(P249,4))),VALUE(LEFT(P249,2)),VALUE(MID(P249,4,2))),""))</f>
        <v>47757</v>
      </c>
      <c r="R249" s="89" t="n">
        <f aca="false">IF($A249="",0,IF(ISNUMBER(SEARCH("Float",$A249)),1,0))</f>
        <v>0</v>
      </c>
      <c r="S249" s="43" t="str">
        <f aca="false">IF($A249="","",TRIM(MID($A249,LEN(O249)+2,LEN($A249)-LEN(O249)-LEN(P249)-1)))</f>
        <v>4 1/4</v>
      </c>
      <c r="T249" s="92" t="n">
        <f aca="false">IF(OR($A249="",R249=1),"",IFERROR(IF(ISNUMBER(FIND("/",S249)),IF(ISNUMBER(FIND(" ",S249)),VALUE(LEFT(S249,FIND(" ",S249)-1))+VALUE(MID(S249,FIND(" ",S249)+1,FIND("/",S249)-FIND(" ",S249)-1))/VALUE(MID(S249,FIND("/",S249)+1,9)),VALUE(LEFT(S249,FIND("/",S249)-1))/VALUE(MID(S249,FIND("/",S249)+1,9))),VALUE(S249)),""))</f>
        <v>4.25</v>
      </c>
      <c r="U249" s="43" t="str">
        <f aca="false">IF(OR($A249="",NOT(ISNUMBER(Q249))),"",TEXT(Q249,"yyyymmdd")&amp;"|"&amp;IF(R249=1,"F",TEXT(T249,"0.000")))</f>
        <v>20301001|4.250</v>
      </c>
      <c r="V249" s="43" t="str">
        <f aca="false">IF(U249="","",O249&amp;"|"&amp;U249)</f>
        <v>HANMIL|20301001|4.250</v>
      </c>
      <c r="W249" s="43" t="str">
        <f aca="false">IF($A249="","",IFERROR(IF(VLOOKUP(O249,매핑!$A$4:$E$92,3,0)="","미분류",VLOOKUP(O249,매핑!$A$4:$E$92,3,0)),"미분류"))</f>
        <v>한국</v>
      </c>
      <c r="X249" s="89" t="n">
        <f aca="false">IF($A249="",0,IF(O249="T",1,0))</f>
        <v>0</v>
      </c>
      <c r="Y249" s="89" t="n">
        <f aca="false">IF($A249="",0,IF(AND(C249="USD",X249=0,ISNUMBER(E249),ISNUMBER(K249)),IF(K249&gt;=설정!$C$8,1,0),0))</f>
        <v>1</v>
      </c>
      <c r="Z249" s="43" t="str">
        <f aca="false">IF($A249="","",N249&amp;"|"&amp;L249)</f>
        <v>아시아/기타|금융기관</v>
      </c>
      <c r="AA249" s="92" t="n">
        <f aca="false">IF(Y249=1,LN(K249),0)</f>
        <v>1.30806251285032</v>
      </c>
      <c r="AB249" s="93" t="n">
        <f aca="false">IF(Y249=1,E249,0)</f>
        <v>77.27</v>
      </c>
      <c r="AC249" s="89" t="n">
        <f aca="false">IF(Y249=1,COUNTIFS($Z$2:$Z$601,Z249,$Y$2:$Y$601,1),0)</f>
        <v>42</v>
      </c>
      <c r="AD249" s="89" t="n">
        <f aca="false">IF(Y249=1,COUNTIFS($N$2:$N$601,N249,$Y$2:$Y$601,1),0)</f>
        <v>137</v>
      </c>
      <c r="AE249" s="43" t="str">
        <f aca="false">IF(Y249&lt;&gt;1,"",IF(AND(AC249&gt;=설정!$C$7,ISNUMBER(MATCH(Z249,피어커브!$A:$A,0))),Z249,IF(AND(AD249&gt;=설정!$C$7,ISNUMBER(MATCH(N249&amp;"|전체",피어커브!$A:$A,0))),N249&amp;"|전체","전체|전체")))</f>
        <v>아시아/기타|금융기관</v>
      </c>
      <c r="AF249" s="93" t="n">
        <f aca="false">IF(AE249="","",INDEX(피어커브!$K:$K,MATCH(AE249,피어커브!$A:$A,0)))</f>
        <v>50.117430292991</v>
      </c>
      <c r="AG249" s="93" t="n">
        <f aca="false">IF(AE249="","",INDEX(피어커브!$J:$J,MATCH(AE249,피어커브!$A:$A,0)))</f>
        <v>13.9183160321618</v>
      </c>
      <c r="AH249" s="93" t="n">
        <f aca="false">IF(AE249="","",INDEX(피어커브!$L:$L,MATCH(AE249,피어커브!$A:$A,0)))</f>
        <v>20.4735875466442</v>
      </c>
      <c r="AI249" s="93" t="n">
        <f aca="false">IF(AE249="","",AF249+AG249*AA249)</f>
        <v>68.3234577366655</v>
      </c>
      <c r="AJ249" s="96" t="n">
        <f aca="false">IF(AE249="","",E249-AI249)</f>
        <v>8.94654226333454</v>
      </c>
      <c r="AK249" s="95" t="n">
        <f aca="false">IF(AE249="","",IF(ISNUMBER(AH249),IF(AH249&gt;0,AJ249/AH249,""),""))</f>
        <v>0.436979705825957</v>
      </c>
      <c r="AL249" s="43" t="str">
        <f aca="false">IF(AK249="","-",IF(AK249&gt;=설정!$C$6,"Cheap",IF(AK249&lt;=-설정!$C$6,"Rich","Fair")))</f>
        <v>Fair</v>
      </c>
      <c r="AM249" s="96" t="n">
        <f aca="false">IF(AE249="","",AJ249-AVERAGEIFS($AJ$2:$AJ$601,$B$2:$B$601,B249,$Y$2:$Y$601,1))</f>
        <v>0</v>
      </c>
      <c r="AN249" s="93" t="n">
        <f aca="false">IF(AE249="",0,IF(K249&gt;1+설정!$C$8,AG249*(AA249-LN(K249-1)),0))</f>
        <v>4.38679125412881</v>
      </c>
      <c r="AO249" s="99" t="n">
        <f aca="false">IF($A249="",0,SUMIFS(보유분석!$AA$2:$AA$801,보유분석!$AB$2:$AB$801,ROW(),보유분석!$AC$2:$AC$801,1))</f>
        <v>4.9155288</v>
      </c>
      <c r="AP249" s="43" t="str">
        <f aca="false">IF($A249="","",TRIM(IF(R249=1,"FRN ","")&amp;IF(IFERROR(VLOOKUP(M249,설정!$A$15:$D$47,4,0),0)&gt;=10,IF(IFERROR(VLOOKUP(M249,설정!$A$15:$D$47,4,0),0)&lt;99,"BBB0미만 ",""),"")&amp;IF(OR(M249="",M249="NR"),"등급미입력 ","")&amp;IF(C249&lt;&gt;"USD","비USD ","")))</f>
        <v>등급미입력</v>
      </c>
      <c r="AQ249" s="90" t="n">
        <f aca="false">IF(AND(Y249=1,AL249="Cheap"),IF(AND(ISERROR(SEARCH("FRN",AP249)),ISERROR(SEARCH("BBB0미만",AP249))),AK249+ROW()/1000000000,-999),-999)</f>
        <v>-999</v>
      </c>
      <c r="AR249" s="92" t="n">
        <f aca="false">IF(AND(ISNUMBER(D249),ISNUMBER(K249)),D249+AN249*MAX(K249-1,0)/100,"")</f>
        <v>5.97739949594894</v>
      </c>
      <c r="AS249" s="93" t="n">
        <f aca="false">IF(AND(ISNUMBER(E249),ISNUMBER(K249)),IF(K249&gt;0,(E249+AN249*MAX(K249-1,0))/K249,""),"")</f>
        <v>24.0902810475517</v>
      </c>
      <c r="AT249" s="90" t="n">
        <f aca="false">IFERROR(IF(AND(Y249=1,ROW()&lt;&gt;스왑분석!$C$12+1,ABS(K249-INDEX($K$2:$K$601,스왑분석!$C$12))&lt;=스왑분석!$C$5,ISERROR(SEARCH("FRN",AP249)),ISERROR(SEARCH("BBB0미만",AP249))),IF(AND(OR(스왑분석!$C$6="N",L249=INDEX($L$2:$L$601,스왑분석!$C$12)),OR(스왑분석!$C$7="N",N249=INDEX($N$2:$N$601,스왑분석!$C$12)),OR(스왑분석!$C$8="N",AO249=0),E249-INDEX($E$2:$E$601,스왑분석!$C$12)&gt;=스왑분석!$C$9),E249-INDEX($E$2:$E$601,스왑분석!$C$12)+ROW()/1000000000,-999),-999),-999)</f>
        <v>28.778000249</v>
      </c>
      <c r="AU249" s="90" t="n">
        <f aca="false">IF(AND(Y249=1,AO249&gt;0,AL249="Rich"),-AK249+ROW()/1000000000,-999)</f>
        <v>-999</v>
      </c>
    </row>
    <row r="250" customFormat="false" ht="15" hidden="false" customHeight="false" outlineLevel="0" collapsed="false">
      <c r="A250" s="83" t="str">
        <f aca="false">IFERROR(IF(INDEX(원자료_시장!$A$1:$BZ$1000,설정!$L$6+ROW()-1,설정!$L$24)&amp;""="0","",INDEX(원자료_시장!$A$1:$BZ$1000,설정!$L$6+ROW()-1,설정!$L$24)),"")</f>
        <v>DAESEC 4 3/8 10/14/28</v>
      </c>
      <c r="B250" s="83" t="str">
        <f aca="false">IFERROR(IF(INDEX(원자료_시장!$A$1:$BZ$1000,설정!$L$6+ROW()-1,설정!$L$37)&amp;""="0","",INDEX(원자료_시장!$A$1:$BZ$1000,설정!$L$6+ROW()-1,설정!$L$37)),"")</f>
        <v>MIRAE ASSET SECURITIES</v>
      </c>
      <c r="C250" s="83" t="str">
        <f aca="false">IFERROR(IF(INDEX(원자료_시장!$A$1:$BZ$1000,설정!$L$6+ROW()-1,설정!$L$25)&amp;""="0","",INDEX(원자료_시장!$A$1:$BZ$1000,설정!$L$6+ROW()-1,설정!$L$25)),"")</f>
        <v>USD</v>
      </c>
      <c r="D250" s="85" t="n">
        <f aca="false">IFERROR(IF(ISNUMBER(INDEX(원자료_시장!$A$1:$BZ$1000,설정!$L$6+ROW()-1,설정!$L$26)),INDEX(원자료_시장!$A$1:$BZ$1000,설정!$L$6+ROW()-1,설정!$L$26),""),"")</f>
        <v>5.708</v>
      </c>
      <c r="E250" s="97" t="n">
        <f aca="false">IFERROR(IF(ISNUMBER(INDEX(원자료_시장!$A$1:$BZ$1000,설정!$L$6+ROW()-1,설정!$L$27)),INDEX(원자료_시장!$A$1:$BZ$1000,설정!$L$6+ROW()-1,설정!$L$27),""),"")</f>
        <v>81.835</v>
      </c>
      <c r="F250" s="97" t="n">
        <f aca="false">IFERROR(IF(ISNUMBER(INDEX(원자료_시장!$A$1:$BZ$1000,설정!$L$6+ROW()-1,설정!$L$28)),INDEX(원자료_시장!$A$1:$BZ$1000,설정!$L$6+ROW()-1,설정!$L$28),""),"")</f>
        <v>101.443</v>
      </c>
      <c r="G250" s="97" t="n">
        <f aca="false">IFERROR(IF(ISNUMBER(INDEX(원자료_시장!$A$1:$BZ$1000,설정!$L$6+ROW()-1,설정!$L$29)),INDEX(원자료_시장!$A$1:$BZ$1000,설정!$L$6+ROW()-1,설정!$L$29),""),"")</f>
        <v>0.1</v>
      </c>
      <c r="H250" s="97" t="n">
        <f aca="false">IFERROR(IF(ISNUMBER(INDEX(원자료_시장!$A$1:$BZ$1000,설정!$L$6+ROW()-1,설정!$L$30)),INDEX(원자료_시장!$A$1:$BZ$1000,설정!$L$6+ROW()-1,설정!$L$30),""),"")</f>
        <v>6.3</v>
      </c>
      <c r="I250" s="97" t="n">
        <f aca="false">IFERROR(IF(ISNUMBER(INDEX(원자료_시장!$A$1:$BZ$1000,설정!$L$6+ROW()-1,설정!$L$31)),INDEX(원자료_시장!$A$1:$BZ$1000,설정!$L$6+ROW()-1,설정!$L$31),""),"")</f>
        <v>2.5</v>
      </c>
      <c r="J250" s="97" t="n">
        <f aca="false">IFERROR(IF(ISNUMBER(INDEX(원자료_시장!$A$1:$BZ$1000,설정!$L$6+ROW()-1,설정!$L$32)),INDEX(원자료_시장!$A$1:$BZ$1000,설정!$L$6+ROW()-1,설정!$L$32),""),"")</f>
        <v>-0.4</v>
      </c>
      <c r="K250" s="85" t="n">
        <f aca="false">IFERROR(IF(ISNUMBER(INDEX(원자료_시장!$A$1:$BZ$1000,설정!$L$6+ROW()-1,설정!$L$33)),INDEX(원자료_시장!$A$1:$BZ$1000,설정!$L$6+ROW()-1,설정!$L$33),""),"")</f>
        <v>1.918</v>
      </c>
      <c r="L250" s="83" t="str">
        <f aca="false">IFERROR(IF(INDEX(원자료_시장!$A$1:$BZ$1000,설정!$L$6+ROW()-1,설정!$L$34)&amp;""="0","",INDEX(원자료_시장!$A$1:$BZ$1000,설정!$L$6+ROW()-1,설정!$L$34)),"")</f>
        <v>금융기관</v>
      </c>
      <c r="M250" s="83" t="n">
        <f aca="false">IFERROR(IF(INDEX(원자료_시장!$A$1:$BZ$1000,설정!$L$6+ROW()-1,설정!$L$35)&amp;""="0","",INDEX(원자료_시장!$A$1:$BZ$1000,설정!$L$6+ROW()-1,설정!$L$35)),"")</f>
        <v>0</v>
      </c>
      <c r="N250" s="83" t="str">
        <f aca="false">IFERROR(IF(INDEX(원자료_시장!$A$1:$BZ$1000,설정!$L$6+ROW()-1,설정!$L$36)&amp;""="0","",INDEX(원자료_시장!$A$1:$BZ$1000,설정!$L$6+ROW()-1,설정!$L$36)),"")</f>
        <v>아시아/기타</v>
      </c>
      <c r="O250" s="43" t="str">
        <f aca="false">IF($A250="","",UPPER(LEFT($A250,FIND(" ",$A250&amp;" ")-1)))</f>
        <v>DAESEC</v>
      </c>
      <c r="P250" s="43" t="str">
        <f aca="false">IF($A250="","",TRIM(RIGHT(SUBSTITUTE(TRIM($A250)," ",REPT(" ",30)),30)))</f>
        <v>10/14/28</v>
      </c>
      <c r="Q250" s="98" t="n">
        <f aca="false">IF($A250="","",IFERROR(DATE(IF(LEN(P250)=8,2000+VALUE(RIGHT(P250,2)),VALUE(RIGHT(P250,4))),VALUE(LEFT(P250,2)),VALUE(MID(P250,4,2))),""))</f>
        <v>47040</v>
      </c>
      <c r="R250" s="89" t="n">
        <f aca="false">IF($A250="",0,IF(ISNUMBER(SEARCH("Float",$A250)),1,0))</f>
        <v>0</v>
      </c>
      <c r="S250" s="43" t="str">
        <f aca="false">IF($A250="","",TRIM(MID($A250,LEN(O250)+2,LEN($A250)-LEN(O250)-LEN(P250)-1)))</f>
        <v>4 3/8</v>
      </c>
      <c r="T250" s="92" t="n">
        <f aca="false">IF(OR($A250="",R250=1),"",IFERROR(IF(ISNUMBER(FIND("/",S250)),IF(ISNUMBER(FIND(" ",S250)),VALUE(LEFT(S250,FIND(" ",S250)-1))+VALUE(MID(S250,FIND(" ",S250)+1,FIND("/",S250)-FIND(" ",S250)-1))/VALUE(MID(S250,FIND("/",S250)+1,9)),VALUE(LEFT(S250,FIND("/",S250)-1))/VALUE(MID(S250,FIND("/",S250)+1,9))),VALUE(S250)),""))</f>
        <v>4.375</v>
      </c>
      <c r="U250" s="43" t="str">
        <f aca="false">IF(OR($A250="",NOT(ISNUMBER(Q250))),"",TEXT(Q250,"yyyymmdd")&amp;"|"&amp;IF(R250=1,"F",TEXT(T250,"0.000")))</f>
        <v>20281014|4.375</v>
      </c>
      <c r="V250" s="43" t="str">
        <f aca="false">IF(U250="","",O250&amp;"|"&amp;U250)</f>
        <v>DAESEC|20281014|4.375</v>
      </c>
      <c r="W250" s="43" t="str">
        <f aca="false">IF($A250="","",IFERROR(IF(VLOOKUP(O250,매핑!$A$4:$E$92,3,0)="","미분류",VLOOKUP(O250,매핑!$A$4:$E$92,3,0)),"미분류"))</f>
        <v>한국</v>
      </c>
      <c r="X250" s="89" t="n">
        <f aca="false">IF($A250="",0,IF(O250="T",1,0))</f>
        <v>0</v>
      </c>
      <c r="Y250" s="89" t="n">
        <f aca="false">IF($A250="",0,IF(AND(C250="USD",X250=0,ISNUMBER(E250),ISNUMBER(K250)),IF(K250&gt;=설정!$C$8,1,0),0))</f>
        <v>1</v>
      </c>
      <c r="Z250" s="43" t="str">
        <f aca="false">IF($A250="","",N250&amp;"|"&amp;L250)</f>
        <v>아시아/기타|금융기관</v>
      </c>
      <c r="AA250" s="92" t="n">
        <f aca="false">IF(Y250=1,LN(K250),0)</f>
        <v>0.651282976461246</v>
      </c>
      <c r="AB250" s="93" t="n">
        <f aca="false">IF(Y250=1,E250,0)</f>
        <v>81.835</v>
      </c>
      <c r="AC250" s="89" t="n">
        <f aca="false">IF(Y250=1,COUNTIFS($Z$2:$Z$601,Z250,$Y$2:$Y$601,1),0)</f>
        <v>42</v>
      </c>
      <c r="AD250" s="89" t="n">
        <f aca="false">IF(Y250=1,COUNTIFS($N$2:$N$601,N250,$Y$2:$Y$601,1),0)</f>
        <v>137</v>
      </c>
      <c r="AE250" s="43" t="str">
        <f aca="false">IF(Y250&lt;&gt;1,"",IF(AND(AC250&gt;=설정!$C$7,ISNUMBER(MATCH(Z250,피어커브!$A:$A,0))),Z250,IF(AND(AD250&gt;=설정!$C$7,ISNUMBER(MATCH(N250&amp;"|전체",피어커브!$A:$A,0))),N250&amp;"|전체","전체|전체")))</f>
        <v>아시아/기타|금융기관</v>
      </c>
      <c r="AF250" s="93" t="n">
        <f aca="false">IF(AE250="","",INDEX(피어커브!$K:$K,MATCH(AE250,피어커브!$A:$A,0)))</f>
        <v>50.117430292991</v>
      </c>
      <c r="AG250" s="93" t="n">
        <f aca="false">IF(AE250="","",INDEX(피어커브!$J:$J,MATCH(AE250,피어커브!$A:$A,0)))</f>
        <v>13.9183160321618</v>
      </c>
      <c r="AH250" s="93" t="n">
        <f aca="false">IF(AE250="","",INDEX(피어커브!$L:$L,MATCH(AE250,피어커브!$A:$A,0)))</f>
        <v>20.4735875466442</v>
      </c>
      <c r="AI250" s="93" t="n">
        <f aca="false">IF(AE250="","",AF250+AG250*AA250)</f>
        <v>59.1821925857457</v>
      </c>
      <c r="AJ250" s="96" t="n">
        <f aca="false">IF(AE250="","",E250-AI250)</f>
        <v>22.6528074142543</v>
      </c>
      <c r="AK250" s="95" t="n">
        <f aca="false">IF(AE250="","",IF(ISNUMBER(AH250),IF(AH250&gt;0,AJ250/AH250,""),""))</f>
        <v>1.10644054749298</v>
      </c>
      <c r="AL250" s="43" t="str">
        <f aca="false">IF(AK250="","-",IF(AK250&gt;=설정!$C$6,"Cheap",IF(AK250&lt;=-설정!$C$6,"Rich","Fair")))</f>
        <v>Cheap</v>
      </c>
      <c r="AM250" s="96" t="n">
        <f aca="false">IF(AE250="","",AJ250-AVERAGEIFS($AJ$2:$AJ$601,$B$2:$B$601,B250,$Y$2:$Y$601,1))</f>
        <v>1.00511372936167</v>
      </c>
      <c r="AN250" s="93" t="n">
        <f aca="false">IF(AE250="",0,IF(K250&gt;1+설정!$C$8,AG250*(AA250-LN(K250-1)),0))</f>
        <v>10.2555840220164</v>
      </c>
      <c r="AO250" s="99" t="n">
        <f aca="false">IF($A250="",0,SUMIFS(보유분석!$AA$2:$AA$801,보유분석!$AB$2:$AB$801,ROW(),보유분석!$AC$2:$AC$801,1))</f>
        <v>26.32986</v>
      </c>
      <c r="AP250" s="43" t="str">
        <f aca="false">IF($A250="","",TRIM(IF(R250=1,"FRN ","")&amp;IF(IFERROR(VLOOKUP(M250,설정!$A$15:$D$47,4,0),0)&gt;=10,IF(IFERROR(VLOOKUP(M250,설정!$A$15:$D$47,4,0),0)&lt;99,"BBB0미만 ",""),"")&amp;IF(OR(M250="",M250="NR"),"등급미입력 ","")&amp;IF(C250&lt;&gt;"USD","비USD ","")))</f>
        <v>등급미입력</v>
      </c>
      <c r="AQ250" s="90" t="n">
        <f aca="false">IF(AND(Y250=1,AL250="Cheap"),IF(AND(ISERROR(SEARCH("FRN",AP250)),ISERROR(SEARCH("BBB0미만",AP250))),AK250+ROW()/1000000000,-999),-999)</f>
        <v>1.10644079749298</v>
      </c>
      <c r="AR250" s="92" t="n">
        <f aca="false">IF(AND(ISNUMBER(D250),ISNUMBER(K250)),D250+AN250*MAX(K250-1,0)/100,"")</f>
        <v>5.80214626132211</v>
      </c>
      <c r="AS250" s="93" t="n">
        <f aca="false">IF(AND(ISNUMBER(E250),ISNUMBER(K250)),IF(K250&gt;0,(E250+AN250*MAX(K250-1,0))/K250,""),"")</f>
        <v>47.5754046570444</v>
      </c>
      <c r="AT250" s="90" t="n">
        <f aca="false">IFERROR(IF(AND(Y250=1,ROW()&lt;&gt;스왑분석!$C$12+1,ABS(K250-INDEX($K$2:$K$601,스왑분석!$C$12))&lt;=스왑분석!$C$5,ISERROR(SEARCH("FRN",AP250)),ISERROR(SEARCH("BBB0미만",AP250))),IF(AND(OR(스왑분석!$C$6="N",L250=INDEX($L$2:$L$601,스왑분석!$C$12)),OR(스왑분석!$C$7="N",N250=INDEX($N$2:$N$601,스왑분석!$C$12)),OR(스왑분석!$C$8="N",AO250=0),E250-INDEX($E$2:$E$601,스왑분석!$C$12)&gt;=스왑분석!$C$9),E250-INDEX($E$2:$E$601,스왑분석!$C$12)+ROW()/1000000000,-999),-999),-999)</f>
        <v>-999</v>
      </c>
      <c r="AU250" s="90" t="n">
        <f aca="false">IF(AND(Y250=1,AO250&gt;0,AL250="Rich"),-AK250+ROW()/1000000000,-999)</f>
        <v>-999</v>
      </c>
    </row>
    <row r="251" customFormat="false" ht="15" hidden="false" customHeight="false" outlineLevel="0" collapsed="false">
      <c r="A251" s="83" t="str">
        <f aca="false">IFERROR(IF(INDEX(원자료_시장!$A$1:$BZ$1000,설정!$L$6+ROW()-1,설정!$L$24)&amp;""="0","",INDEX(원자료_시장!$A$1:$BZ$1000,설정!$L$6+ROW()-1,설정!$L$24)),"")</f>
        <v>KOEWPW 4 05/04/31</v>
      </c>
      <c r="B251" s="83" t="str">
        <f aca="false">IFERROR(IF(INDEX(원자료_시장!$A$1:$BZ$1000,설정!$L$6+ROW()-1,설정!$L$37)&amp;""="0","",INDEX(원자료_시장!$A$1:$BZ$1000,설정!$L$6+ROW()-1,설정!$L$37)),"")</f>
        <v>KOREA EAST-WEST POWER CO</v>
      </c>
      <c r="C251" s="83" t="str">
        <f aca="false">IFERROR(IF(INDEX(원자료_시장!$A$1:$BZ$1000,설정!$L$6+ROW()-1,설정!$L$25)&amp;""="0","",INDEX(원자료_시장!$A$1:$BZ$1000,설정!$L$6+ROW()-1,설정!$L$25)),"")</f>
        <v>USD</v>
      </c>
      <c r="D251" s="85" t="n">
        <f aca="false">IFERROR(IF(ISNUMBER(INDEX(원자료_시장!$A$1:$BZ$1000,설정!$L$6+ROW()-1,설정!$L$26)),INDEX(원자료_시장!$A$1:$BZ$1000,설정!$L$6+ROW()-1,설정!$L$26),""),"")</f>
        <v>5.536</v>
      </c>
      <c r="E251" s="97" t="n">
        <f aca="false">IFERROR(IF(ISNUMBER(INDEX(원자료_시장!$A$1:$BZ$1000,설정!$L$6+ROW()-1,설정!$L$27)),INDEX(원자료_시장!$A$1:$BZ$1000,설정!$L$6+ROW()-1,설정!$L$27),""),"")</f>
        <v>44.963</v>
      </c>
      <c r="F251" s="97" t="n">
        <f aca="false">IFERROR(IF(ISNUMBER(INDEX(원자료_시장!$A$1:$BZ$1000,설정!$L$6+ROW()-1,설정!$L$28)),INDEX(원자료_시장!$A$1:$BZ$1000,설정!$L$6+ROW()-1,설정!$L$28),""),"")</f>
        <v>78.571</v>
      </c>
      <c r="G251" s="97" t="n">
        <f aca="false">IFERROR(IF(ISNUMBER(INDEX(원자료_시장!$A$1:$BZ$1000,설정!$L$6+ROW()-1,설정!$L$29)),INDEX(원자료_시장!$A$1:$BZ$1000,설정!$L$6+ROW()-1,설정!$L$29),""),"")</f>
        <v>-0.7</v>
      </c>
      <c r="H251" s="97" t="n">
        <f aca="false">IFERROR(IF(ISNUMBER(INDEX(원자료_시장!$A$1:$BZ$1000,설정!$L$6+ROW()-1,설정!$L$30)),INDEX(원자료_시장!$A$1:$BZ$1000,설정!$L$6+ROW()-1,설정!$L$30),""),"")</f>
        <v>3.4</v>
      </c>
      <c r="I251" s="97" t="n">
        <f aca="false">IFERROR(IF(ISNUMBER(INDEX(원자료_시장!$A$1:$BZ$1000,설정!$L$6+ROW()-1,설정!$L$31)),INDEX(원자료_시장!$A$1:$BZ$1000,설정!$L$6+ROW()-1,설정!$L$31),""),"")</f>
        <v>-1</v>
      </c>
      <c r="J251" s="97" t="n">
        <f aca="false">IFERROR(IF(ISNUMBER(INDEX(원자료_시장!$A$1:$BZ$1000,설정!$L$6+ROW()-1,설정!$L$32)),INDEX(원자료_시장!$A$1:$BZ$1000,설정!$L$6+ROW()-1,설정!$L$32),""),"")</f>
        <v>4.4</v>
      </c>
      <c r="K251" s="85" t="n">
        <f aca="false">IFERROR(IF(ISNUMBER(INDEX(원자료_시장!$A$1:$BZ$1000,설정!$L$6+ROW()-1,설정!$L$33)),INDEX(원자료_시장!$A$1:$BZ$1000,설정!$L$6+ROW()-1,설정!$L$33),""),"")</f>
        <v>4.144</v>
      </c>
      <c r="L251" s="83" t="str">
        <f aca="false">IFERROR(IF(INDEX(원자료_시장!$A$1:$BZ$1000,설정!$L$6+ROW()-1,설정!$L$34)&amp;""="0","",INDEX(원자료_시장!$A$1:$BZ$1000,설정!$L$6+ROW()-1,설정!$L$34)),"")</f>
        <v>유틸리티</v>
      </c>
      <c r="M251" s="83" t="n">
        <f aca="false">IFERROR(IF(INDEX(원자료_시장!$A$1:$BZ$1000,설정!$L$6+ROW()-1,설정!$L$35)&amp;""="0","",INDEX(원자료_시장!$A$1:$BZ$1000,설정!$L$6+ROW()-1,설정!$L$35)),"")</f>
        <v>0</v>
      </c>
      <c r="N251" s="83" t="str">
        <f aca="false">IFERROR(IF(INDEX(원자료_시장!$A$1:$BZ$1000,설정!$L$6+ROW()-1,설정!$L$36)&amp;""="0","",INDEX(원자료_시장!$A$1:$BZ$1000,설정!$L$6+ROW()-1,설정!$L$36)),"")</f>
        <v>아시아/기타</v>
      </c>
      <c r="O251" s="43" t="str">
        <f aca="false">IF($A251="","",UPPER(LEFT($A251,FIND(" ",$A251&amp;" ")-1)))</f>
        <v>KOEWPW</v>
      </c>
      <c r="P251" s="43" t="str">
        <f aca="false">IF($A251="","",TRIM(RIGHT(SUBSTITUTE(TRIM($A251)," ",REPT(" ",30)),30)))</f>
        <v>05/04/31</v>
      </c>
      <c r="Q251" s="98" t="n">
        <f aca="false">IF($A251="","",IFERROR(DATE(IF(LEN(P251)=8,2000+VALUE(RIGHT(P251,2)),VALUE(RIGHT(P251,4))),VALUE(LEFT(P251,2)),VALUE(MID(P251,4,2))),""))</f>
        <v>47972</v>
      </c>
      <c r="R251" s="89" t="n">
        <f aca="false">IF($A251="",0,IF(ISNUMBER(SEARCH("Float",$A251)),1,0))</f>
        <v>0</v>
      </c>
      <c r="S251" s="43" t="str">
        <f aca="false">IF($A251="","",TRIM(MID($A251,LEN(O251)+2,LEN($A251)-LEN(O251)-LEN(P251)-1)))</f>
        <v>4</v>
      </c>
      <c r="T251" s="92" t="n">
        <f aca="false">IF(OR($A251="",R251=1),"",IFERROR(IF(ISNUMBER(FIND("/",S251)),IF(ISNUMBER(FIND(" ",S251)),VALUE(LEFT(S251,FIND(" ",S251)-1))+VALUE(MID(S251,FIND(" ",S251)+1,FIND("/",S251)-FIND(" ",S251)-1))/VALUE(MID(S251,FIND("/",S251)+1,9)),VALUE(LEFT(S251,FIND("/",S251)-1))/VALUE(MID(S251,FIND("/",S251)+1,9))),VALUE(S251)),""))</f>
        <v>4</v>
      </c>
      <c r="U251" s="43" t="str">
        <f aca="false">IF(OR($A251="",NOT(ISNUMBER(Q251))),"",TEXT(Q251,"yyyymmdd")&amp;"|"&amp;IF(R251=1,"F",TEXT(T251,"0.000")))</f>
        <v>20310504|4.000</v>
      </c>
      <c r="V251" s="43" t="str">
        <f aca="false">IF(U251="","",O251&amp;"|"&amp;U251)</f>
        <v>KOEWPW|20310504|4.000</v>
      </c>
      <c r="W251" s="43" t="str">
        <f aca="false">IF($A251="","",IFERROR(IF(VLOOKUP(O251,매핑!$A$4:$E$92,3,0)="","미분류",VLOOKUP(O251,매핑!$A$4:$E$92,3,0)),"미분류"))</f>
        <v>한국</v>
      </c>
      <c r="X251" s="89" t="n">
        <f aca="false">IF($A251="",0,IF(O251="T",1,0))</f>
        <v>0</v>
      </c>
      <c r="Y251" s="89" t="n">
        <f aca="false">IF($A251="",0,IF(AND(C251="USD",X251=0,ISNUMBER(E251),ISNUMBER(K251)),IF(K251&gt;=설정!$C$8,1,0),0))</f>
        <v>1</v>
      </c>
      <c r="Z251" s="43" t="str">
        <f aca="false">IF($A251="","",N251&amp;"|"&amp;L251)</f>
        <v>아시아/기타|유틸리티</v>
      </c>
      <c r="AA251" s="92" t="n">
        <f aca="false">IF(Y251=1,LN(K251),0)</f>
        <v>1.42166150495718</v>
      </c>
      <c r="AB251" s="93" t="n">
        <f aca="false">IF(Y251=1,E251,0)</f>
        <v>44.963</v>
      </c>
      <c r="AC251" s="89" t="n">
        <f aca="false">IF(Y251=1,COUNTIFS($Z$2:$Z$601,Z251,$Y$2:$Y$601,1),0)</f>
        <v>5</v>
      </c>
      <c r="AD251" s="89" t="n">
        <f aca="false">IF(Y251=1,COUNTIFS($N$2:$N$601,N251,$Y$2:$Y$601,1),0)</f>
        <v>137</v>
      </c>
      <c r="AE251" s="43" t="str">
        <f aca="false">IF(Y251&lt;&gt;1,"",IF(AND(AC251&gt;=설정!$C$7,ISNUMBER(MATCH(Z251,피어커브!$A:$A,0))),Z251,IF(AND(AD251&gt;=설정!$C$7,ISNUMBER(MATCH(N251&amp;"|전체",피어커브!$A:$A,0))),N251&amp;"|전체","전체|전체")))</f>
        <v>아시아/기타|유틸리티</v>
      </c>
      <c r="AF251" s="93" t="n">
        <f aca="false">IF(AE251="","",INDEX(피어커브!$K:$K,MATCH(AE251,피어커브!$A:$A,0)))</f>
        <v>-5.75296194923287</v>
      </c>
      <c r="AG251" s="93" t="n">
        <f aca="false">IF(AE251="","",INDEX(피어커브!$J:$J,MATCH(AE251,피어커브!$A:$A,0)))</f>
        <v>37.7569760298006</v>
      </c>
      <c r="AH251" s="93" t="n">
        <f aca="false">IF(AE251="","",INDEX(피어커브!$L:$L,MATCH(AE251,피어커브!$A:$A,0)))</f>
        <v>5.35723070209121</v>
      </c>
      <c r="AI251" s="93" t="n">
        <f aca="false">IF(AE251="","",AF251+AG251*AA251)</f>
        <v>47.9246774159257</v>
      </c>
      <c r="AJ251" s="96" t="n">
        <f aca="false">IF(AE251="","",E251-AI251)</f>
        <v>-2.96167741592573</v>
      </c>
      <c r="AK251" s="95" t="n">
        <f aca="false">IF(AE251="","",IF(ISNUMBER(AH251),IF(AH251&gt;0,AJ251/AH251,""),""))</f>
        <v>-0.552837385698105</v>
      </c>
      <c r="AL251" s="43" t="str">
        <f aca="false">IF(AK251="","-",IF(AK251&gt;=설정!$C$6,"Cheap",IF(AK251&lt;=-설정!$C$6,"Rich","Fair")))</f>
        <v>Fair</v>
      </c>
      <c r="AM251" s="96" t="n">
        <f aca="false">IF(AE251="","",AJ251-AVERAGEIFS($AJ$2:$AJ$601,$B$2:$B$601,B251,$Y$2:$Y$601,1))</f>
        <v>-4.47363908473976</v>
      </c>
      <c r="AN251" s="93" t="n">
        <f aca="false">IF(AE251="",0,IF(K251&gt;1+설정!$C$8,AG251*(AA251-LN(K251-1)),0))</f>
        <v>10.4271790868984</v>
      </c>
      <c r="AO251" s="99" t="n">
        <f aca="false">IF($A251="",0,SUMIFS(보유분석!$AA$2:$AA$801,보유분석!$AB$2:$AB$801,ROW(),보유분석!$AC$2:$AC$801,1))</f>
        <v>16.46267</v>
      </c>
      <c r="AP251" s="43" t="str">
        <f aca="false">IF($A251="","",TRIM(IF(R251=1,"FRN ","")&amp;IF(IFERROR(VLOOKUP(M251,설정!$A$15:$D$47,4,0),0)&gt;=10,IF(IFERROR(VLOOKUP(M251,설정!$A$15:$D$47,4,0),0)&lt;99,"BBB0미만 ",""),"")&amp;IF(OR(M251="",M251="NR"),"등급미입력 ","")&amp;IF(C251&lt;&gt;"USD","비USD ","")))</f>
        <v>등급미입력</v>
      </c>
      <c r="AQ251" s="90" t="n">
        <f aca="false">IF(AND(Y251=1,AL251="Cheap"),IF(AND(ISERROR(SEARCH("FRN",AP251)),ISERROR(SEARCH("BBB0미만",AP251))),AK251+ROW()/1000000000,-999),-999)</f>
        <v>-999</v>
      </c>
      <c r="AR251" s="92" t="n">
        <f aca="false">IF(AND(ISNUMBER(D251),ISNUMBER(K251)),D251+AN251*MAX(K251-1,0)/100,"")</f>
        <v>5.86383051049209</v>
      </c>
      <c r="AS251" s="93" t="n">
        <f aca="false">IF(AND(ISNUMBER(E251),ISNUMBER(K251)),IF(K251&gt;0,(E251+AN251*MAX(K251-1,0))/K251,""),"")</f>
        <v>18.7611127049248</v>
      </c>
      <c r="AT251" s="90" t="n">
        <f aca="false">IFERROR(IF(AND(Y251=1,ROW()&lt;&gt;스왑분석!$C$12+1,ABS(K251-INDEX($K$2:$K$601,스왑분석!$C$12))&lt;=스왑분석!$C$5,ISERROR(SEARCH("FRN",AP251)),ISERROR(SEARCH("BBB0미만",AP251))),IF(AND(OR(스왑분석!$C$6="N",L251=INDEX($L$2:$L$601,스왑분석!$C$12)),OR(스왑분석!$C$7="N",N251=INDEX($N$2:$N$601,스왑분석!$C$12)),OR(스왑분석!$C$8="N",AO251=0),E251-INDEX($E$2:$E$601,스왑분석!$C$12)&gt;=스왑분석!$C$9),E251-INDEX($E$2:$E$601,스왑분석!$C$12)+ROW()/1000000000,-999),-999),-999)</f>
        <v>-999</v>
      </c>
      <c r="AU251" s="90" t="n">
        <f aca="false">IF(AND(Y251=1,AO251&gt;0,AL251="Rich"),-AK251+ROW()/1000000000,-999)</f>
        <v>-999</v>
      </c>
    </row>
    <row r="252" customFormat="false" ht="15" hidden="false" customHeight="false" outlineLevel="0" collapsed="false">
      <c r="A252" s="83" t="str">
        <f aca="false">IFERROR(IF(INDEX(원자료_시장!$A$1:$BZ$1000,설정!$L$6+ROW()-1,설정!$L$24)&amp;""="0","",INDEX(원자료_시장!$A$1:$BZ$1000,설정!$L$6+ROW()-1,설정!$L$24)),"")</f>
        <v>HYUCAP 2.861 01/21/29</v>
      </c>
      <c r="B252" s="83" t="str">
        <f aca="false">IFERROR(IF(INDEX(원자료_시장!$A$1:$BZ$1000,설정!$L$6+ROW()-1,설정!$L$37)&amp;""="0","",INDEX(원자료_시장!$A$1:$BZ$1000,설정!$L$6+ROW()-1,설정!$L$37)),"")</f>
        <v>HYUNDAI CAPITAL SERVICES</v>
      </c>
      <c r="C252" s="83" t="str">
        <f aca="false">IFERROR(IF(INDEX(원자료_시장!$A$1:$BZ$1000,설정!$L$6+ROW()-1,설정!$L$25)&amp;""="0","",INDEX(원자료_시장!$A$1:$BZ$1000,설정!$L$6+ROW()-1,설정!$L$25)),"")</f>
        <v>EUR</v>
      </c>
      <c r="D252" s="85" t="n">
        <f aca="false">IFERROR(IF(ISNUMBER(INDEX(원자료_시장!$A$1:$BZ$1000,설정!$L$6+ROW()-1,설정!$L$26)),INDEX(원자료_시장!$A$1:$BZ$1000,설정!$L$6+ROW()-1,설정!$L$26),""),"")</f>
        <v>4.002</v>
      </c>
      <c r="E252" s="97" t="n">
        <f aca="false">IFERROR(IF(ISNUMBER(INDEX(원자료_시장!$A$1:$BZ$1000,설정!$L$6+ROW()-1,설정!$L$27)),INDEX(원자료_시장!$A$1:$BZ$1000,설정!$L$6+ROW()-1,설정!$L$27),""),"")</f>
        <v>78.855</v>
      </c>
      <c r="F252" s="97" t="n">
        <f aca="false">IFERROR(IF(ISNUMBER(INDEX(원자료_시장!$A$1:$BZ$1000,설정!$L$6+ROW()-1,설정!$L$28)),INDEX(원자료_시장!$A$1:$BZ$1000,설정!$L$6+ROW()-1,설정!$L$28),""),"")</f>
        <v>45.045</v>
      </c>
      <c r="G252" s="97" t="str">
        <f aca="false">IFERROR(IF(ISNUMBER(INDEX(원자료_시장!$A$1:$BZ$1000,설정!$L$6+ROW()-1,설정!$L$29)),INDEX(원자료_시장!$A$1:$BZ$1000,설정!$L$6+ROW()-1,설정!$L$29),""),"")</f>
        <v/>
      </c>
      <c r="H252" s="97" t="str">
        <f aca="false">IFERROR(IF(ISNUMBER(INDEX(원자료_시장!$A$1:$BZ$1000,설정!$L$6+ROW()-1,설정!$L$30)),INDEX(원자료_시장!$A$1:$BZ$1000,설정!$L$6+ROW()-1,설정!$L$30),""),"")</f>
        <v/>
      </c>
      <c r="I252" s="97" t="str">
        <f aca="false">IFERROR(IF(ISNUMBER(INDEX(원자료_시장!$A$1:$BZ$1000,설정!$L$6+ROW()-1,설정!$L$31)),INDEX(원자료_시장!$A$1:$BZ$1000,설정!$L$6+ROW()-1,설정!$L$31),""),"")</f>
        <v/>
      </c>
      <c r="J252" s="97" t="str">
        <f aca="false">IFERROR(IF(ISNUMBER(INDEX(원자료_시장!$A$1:$BZ$1000,설정!$L$6+ROW()-1,설정!$L$32)),INDEX(원자료_시장!$A$1:$BZ$1000,설정!$L$6+ROW()-1,설정!$L$32),""),"")</f>
        <v/>
      </c>
      <c r="K252" s="85" t="n">
        <f aca="false">IFERROR(IF(ISNUMBER(INDEX(원자료_시장!$A$1:$BZ$1000,설정!$L$6+ROW()-1,설정!$L$33)),INDEX(원자료_시장!$A$1:$BZ$1000,설정!$L$6+ROW()-1,설정!$L$33),""),"")</f>
        <v>2.212</v>
      </c>
      <c r="L252" s="83" t="str">
        <f aca="false">IFERROR(IF(INDEX(원자료_시장!$A$1:$BZ$1000,설정!$L$6+ROW()-1,설정!$L$34)&amp;""="0","",INDEX(원자료_시장!$A$1:$BZ$1000,설정!$L$6+ROW()-1,설정!$L$34)),"")</f>
        <v>자유 소비재</v>
      </c>
      <c r="M252" s="83" t="n">
        <f aca="false">IFERROR(IF(INDEX(원자료_시장!$A$1:$BZ$1000,설정!$L$6+ROW()-1,설정!$L$35)&amp;""="0","",INDEX(원자료_시장!$A$1:$BZ$1000,설정!$L$6+ROW()-1,설정!$L$35)),"")</f>
        <v>0</v>
      </c>
      <c r="N252" s="83" t="str">
        <f aca="false">IFERROR(IF(INDEX(원자료_시장!$A$1:$BZ$1000,설정!$L$6+ROW()-1,설정!$L$36)&amp;""="0","",INDEX(원자료_시장!$A$1:$BZ$1000,설정!$L$6+ROW()-1,설정!$L$36)),"")</f>
        <v>아시아/기타</v>
      </c>
      <c r="O252" s="43" t="str">
        <f aca="false">IF($A252="","",UPPER(LEFT($A252,FIND(" ",$A252&amp;" ")-1)))</f>
        <v>HYUCAP</v>
      </c>
      <c r="P252" s="43" t="str">
        <f aca="false">IF($A252="","",TRIM(RIGHT(SUBSTITUTE(TRIM($A252)," ",REPT(" ",30)),30)))</f>
        <v>01/21/29</v>
      </c>
      <c r="Q252" s="98" t="n">
        <f aca="false">IF($A252="","",IFERROR(DATE(IF(LEN(P252)=8,2000+VALUE(RIGHT(P252,2)),VALUE(RIGHT(P252,4))),VALUE(LEFT(P252,2)),VALUE(MID(P252,4,2))),""))</f>
        <v>47139</v>
      </c>
      <c r="R252" s="89" t="n">
        <f aca="false">IF($A252="",0,IF(ISNUMBER(SEARCH("Float",$A252)),1,0))</f>
        <v>0</v>
      </c>
      <c r="S252" s="43" t="str">
        <f aca="false">IF($A252="","",TRIM(MID($A252,LEN(O252)+2,LEN($A252)-LEN(O252)-LEN(P252)-1)))</f>
        <v>2.861</v>
      </c>
      <c r="T252" s="92" t="n">
        <f aca="false">IF(OR($A252="",R252=1),"",IFERROR(IF(ISNUMBER(FIND("/",S252)),IF(ISNUMBER(FIND(" ",S252)),VALUE(LEFT(S252,FIND(" ",S252)-1))+VALUE(MID(S252,FIND(" ",S252)+1,FIND("/",S252)-FIND(" ",S252)-1))/VALUE(MID(S252,FIND("/",S252)+1,9)),VALUE(LEFT(S252,FIND("/",S252)-1))/VALUE(MID(S252,FIND("/",S252)+1,9))),VALUE(S252)),""))</f>
        <v>2.861</v>
      </c>
      <c r="U252" s="43" t="str">
        <f aca="false">IF(OR($A252="",NOT(ISNUMBER(Q252))),"",TEXT(Q252,"yyyymmdd")&amp;"|"&amp;IF(R252=1,"F",TEXT(T252,"0.000")))</f>
        <v>20290121|2.861</v>
      </c>
      <c r="V252" s="43" t="str">
        <f aca="false">IF(U252="","",O252&amp;"|"&amp;U252)</f>
        <v>HYUCAP|20290121|2.861</v>
      </c>
      <c r="W252" s="43" t="str">
        <f aca="false">IF($A252="","",IFERROR(IF(VLOOKUP(O252,매핑!$A$4:$E$92,3,0)="","미분류",VLOOKUP(O252,매핑!$A$4:$E$92,3,0)),"미분류"))</f>
        <v>한국</v>
      </c>
      <c r="X252" s="89" t="n">
        <f aca="false">IF($A252="",0,IF(O252="T",1,0))</f>
        <v>0</v>
      </c>
      <c r="Y252" s="89" t="n">
        <f aca="false">IF($A252="",0,IF(AND(C252="USD",X252=0,ISNUMBER(E252),ISNUMBER(K252)),IF(K252&gt;=설정!$C$8,1,0),0))</f>
        <v>0</v>
      </c>
      <c r="Z252" s="43" t="str">
        <f aca="false">IF($A252="","",N252&amp;"|"&amp;L252)</f>
        <v>아시아/기타|자유 소비재</v>
      </c>
      <c r="AA252" s="92" t="n">
        <f aca="false">IF(Y252=1,LN(K252),0)</f>
        <v>0</v>
      </c>
      <c r="AB252" s="93" t="n">
        <f aca="false">IF(Y252=1,E252,0)</f>
        <v>0</v>
      </c>
      <c r="AC252" s="89" t="n">
        <f aca="false">IF(Y252=1,COUNTIFS($Z$2:$Z$601,Z252,$Y$2:$Y$601,1),0)</f>
        <v>0</v>
      </c>
      <c r="AD252" s="89" t="n">
        <f aca="false">IF(Y252=1,COUNTIFS($N$2:$N$601,N252,$Y$2:$Y$601,1),0)</f>
        <v>0</v>
      </c>
      <c r="AE252" s="43" t="str">
        <f aca="false">IF(Y252&lt;&gt;1,"",IF(AND(AC252&gt;=설정!$C$7,ISNUMBER(MATCH(Z252,피어커브!$A:$A,0))),Z252,IF(AND(AD252&gt;=설정!$C$7,ISNUMBER(MATCH(N252&amp;"|전체",피어커브!$A:$A,0))),N252&amp;"|전체","전체|전체")))</f>
        <v/>
      </c>
      <c r="AF252" s="93" t="str">
        <f aca="false">IF(AE252="","",INDEX(피어커브!$K:$K,MATCH(AE252,피어커브!$A:$A,0)))</f>
        <v/>
      </c>
      <c r="AG252" s="93" t="str">
        <f aca="false">IF(AE252="","",INDEX(피어커브!$J:$J,MATCH(AE252,피어커브!$A:$A,0)))</f>
        <v/>
      </c>
      <c r="AH252" s="93" t="str">
        <f aca="false">IF(AE252="","",INDEX(피어커브!$L:$L,MATCH(AE252,피어커브!$A:$A,0)))</f>
        <v/>
      </c>
      <c r="AI252" s="93" t="str">
        <f aca="false">IF(AE252="","",AF252+AG252*AA252)</f>
        <v/>
      </c>
      <c r="AJ252" s="96" t="str">
        <f aca="false">IF(AE252="","",E252-AI252)</f>
        <v/>
      </c>
      <c r="AK252" s="95" t="str">
        <f aca="false">IF(AE252="","",IF(ISNUMBER(AH252),IF(AH252&gt;0,AJ252/AH252,""),""))</f>
        <v/>
      </c>
      <c r="AL252" s="43" t="str">
        <f aca="false">IF(AK252="","-",IF(AK252&gt;=설정!$C$6,"Cheap",IF(AK252&lt;=-설정!$C$6,"Rich","Fair")))</f>
        <v>-</v>
      </c>
      <c r="AM252" s="96" t="str">
        <f aca="false">IF(AE252="","",AJ252-AVERAGEIFS($AJ$2:$AJ$601,$B$2:$B$601,B252,$Y$2:$Y$601,1))</f>
        <v/>
      </c>
      <c r="AN252" s="93" t="n">
        <f aca="false">IF(AE252="",0,IF(K252&gt;1+설정!$C$8,AG252*(AA252-LN(K252-1)),0))</f>
        <v>0</v>
      </c>
      <c r="AO252" s="99" t="n">
        <f aca="false">IF($A252="",0,SUMIFS(보유분석!$AA$2:$AA$801,보유분석!$AB$2:$AB$801,ROW(),보유분석!$AC$2:$AC$801,1))</f>
        <v>0</v>
      </c>
      <c r="AP252" s="43" t="str">
        <f aca="false">IF($A252="","",TRIM(IF(R252=1,"FRN ","")&amp;IF(IFERROR(VLOOKUP(M252,설정!$A$15:$D$47,4,0),0)&gt;=10,IF(IFERROR(VLOOKUP(M252,설정!$A$15:$D$47,4,0),0)&lt;99,"BBB0미만 ",""),"")&amp;IF(OR(M252="",M252="NR"),"등급미입력 ","")&amp;IF(C252&lt;&gt;"USD","비USD ","")))</f>
        <v>등급미입력 비USD</v>
      </c>
      <c r="AQ252" s="90" t="n">
        <f aca="false">IF(AND(Y252=1,AL252="Cheap"),IF(AND(ISERROR(SEARCH("FRN",AP252)),ISERROR(SEARCH("BBB0미만",AP252))),AK252+ROW()/1000000000,-999),-999)</f>
        <v>-999</v>
      </c>
      <c r="AR252" s="92" t="n">
        <f aca="false">IF(AND(ISNUMBER(D252),ISNUMBER(K252)),D252+AN252*MAX(K252-1,0)/100,"")</f>
        <v>4.002</v>
      </c>
      <c r="AS252" s="93" t="n">
        <f aca="false">IF(AND(ISNUMBER(E252),ISNUMBER(K252)),IF(K252&gt;0,(E252+AN252*MAX(K252-1,0))/K252,""),"")</f>
        <v>35.6487341772152</v>
      </c>
      <c r="AT252" s="90" t="n">
        <f aca="false">IFERROR(IF(AND(Y252=1,ROW()&lt;&gt;스왑분석!$C$12+1,ABS(K252-INDEX($K$2:$K$601,스왑분석!$C$12))&lt;=스왑분석!$C$5,ISERROR(SEARCH("FRN",AP252)),ISERROR(SEARCH("BBB0미만",AP252))),IF(AND(OR(스왑분석!$C$6="N",L252=INDEX($L$2:$L$601,스왑분석!$C$12)),OR(스왑분석!$C$7="N",N252=INDEX($N$2:$N$601,스왑분석!$C$12)),OR(스왑분석!$C$8="N",AO252=0),E252-INDEX($E$2:$E$601,스왑분석!$C$12)&gt;=스왑분석!$C$9),E252-INDEX($E$2:$E$601,스왑분석!$C$12)+ROW()/1000000000,-999),-999),-999)</f>
        <v>-999</v>
      </c>
      <c r="AU252" s="90" t="n">
        <f aca="false">IF(AND(Y252=1,AO252&gt;0,AL252="Rich"),-AK252+ROW()/1000000000,-999)</f>
        <v>-999</v>
      </c>
    </row>
    <row r="253" customFormat="false" ht="15" hidden="false" customHeight="false" outlineLevel="0" collapsed="false">
      <c r="A253" s="83" t="str">
        <f aca="false">IFERROR(IF(INDEX(원자료_시장!$A$1:$BZ$1000,설정!$L$6+ROW()-1,설정!$L$24)&amp;""="0","",INDEX(원자료_시장!$A$1:$BZ$1000,설정!$L$6+ROW()-1,설정!$L$24)),"")</f>
        <v>DAESEC 4 1/4 03/11/29</v>
      </c>
      <c r="B253" s="83" t="str">
        <f aca="false">IFERROR(IF(INDEX(원자료_시장!$A$1:$BZ$1000,설정!$L$6+ROW()-1,설정!$L$37)&amp;""="0","",INDEX(원자료_시장!$A$1:$BZ$1000,설정!$L$6+ROW()-1,설정!$L$37)),"")</f>
        <v>MIRAE ASSET SECURITIES</v>
      </c>
      <c r="C253" s="83" t="str">
        <f aca="false">IFERROR(IF(INDEX(원자료_시장!$A$1:$BZ$1000,설정!$L$6+ROW()-1,설정!$L$25)&amp;""="0","",INDEX(원자료_시장!$A$1:$BZ$1000,설정!$L$6+ROW()-1,설정!$L$25)),"")</f>
        <v>USD</v>
      </c>
      <c r="D253" s="85" t="n">
        <f aca="false">IFERROR(IF(ISNUMBER(INDEX(원자료_시장!$A$1:$BZ$1000,설정!$L$6+ROW()-1,설정!$L$26)),INDEX(원자료_시장!$A$1:$BZ$1000,설정!$L$6+ROW()-1,설정!$L$26),""),"")</f>
        <v>5.764</v>
      </c>
      <c r="E253" s="97" t="n">
        <f aca="false">IFERROR(IF(ISNUMBER(INDEX(원자료_시장!$A$1:$BZ$1000,설정!$L$6+ROW()-1,설정!$L$27)),INDEX(원자료_시장!$A$1:$BZ$1000,설정!$L$6+ROW()-1,설정!$L$27),""),"")</f>
        <v>76.351</v>
      </c>
      <c r="F253" s="97" t="n">
        <f aca="false">IFERROR(IF(ISNUMBER(INDEX(원자료_시장!$A$1:$BZ$1000,설정!$L$6+ROW()-1,설정!$L$28)),INDEX(원자료_시장!$A$1:$BZ$1000,설정!$L$6+ROW()-1,설정!$L$28),""),"")</f>
        <v>105.256</v>
      </c>
      <c r="G253" s="97" t="n">
        <f aca="false">IFERROR(IF(ISNUMBER(INDEX(원자료_시장!$A$1:$BZ$1000,설정!$L$6+ROW()-1,설정!$L$29)),INDEX(원자료_시장!$A$1:$BZ$1000,설정!$L$6+ROW()-1,설정!$L$29),""),"")</f>
        <v>-1.2</v>
      </c>
      <c r="H253" s="97" t="n">
        <f aca="false">IFERROR(IF(ISNUMBER(INDEX(원자료_시장!$A$1:$BZ$1000,설정!$L$6+ROW()-1,설정!$L$30)),INDEX(원자료_시장!$A$1:$BZ$1000,설정!$L$6+ROW()-1,설정!$L$30),""),"")</f>
        <v>1.1</v>
      </c>
      <c r="I253" s="97" t="n">
        <f aca="false">IFERROR(IF(ISNUMBER(INDEX(원자료_시장!$A$1:$BZ$1000,설정!$L$6+ROW()-1,설정!$L$31)),INDEX(원자료_시장!$A$1:$BZ$1000,설정!$L$6+ROW()-1,설정!$L$31),""),"")</f>
        <v>-4.1</v>
      </c>
      <c r="J253" s="97" t="n">
        <f aca="false">IFERROR(IF(ISNUMBER(INDEX(원자료_시장!$A$1:$BZ$1000,설정!$L$6+ROW()-1,설정!$L$32)),INDEX(원자료_시장!$A$1:$BZ$1000,설정!$L$6+ROW()-1,설정!$L$32),""),"")</f>
        <v>-10.5</v>
      </c>
      <c r="K253" s="85" t="n">
        <f aca="false">IFERROR(IF(ISNUMBER(INDEX(원자료_시장!$A$1:$BZ$1000,설정!$L$6+ROW()-1,설정!$L$33)),INDEX(원자료_시장!$A$1:$BZ$1000,설정!$L$6+ROW()-1,설정!$L$33),""),"")</f>
        <v>2.329</v>
      </c>
      <c r="L253" s="83" t="str">
        <f aca="false">IFERROR(IF(INDEX(원자료_시장!$A$1:$BZ$1000,설정!$L$6+ROW()-1,설정!$L$34)&amp;""="0","",INDEX(원자료_시장!$A$1:$BZ$1000,설정!$L$6+ROW()-1,설정!$L$34)),"")</f>
        <v>금융기관</v>
      </c>
      <c r="M253" s="83" t="n">
        <f aca="false">IFERROR(IF(INDEX(원자료_시장!$A$1:$BZ$1000,설정!$L$6+ROW()-1,설정!$L$35)&amp;""="0","",INDEX(원자료_시장!$A$1:$BZ$1000,설정!$L$6+ROW()-1,설정!$L$35)),"")</f>
        <v>0</v>
      </c>
      <c r="N253" s="83" t="str">
        <f aca="false">IFERROR(IF(INDEX(원자료_시장!$A$1:$BZ$1000,설정!$L$6+ROW()-1,설정!$L$36)&amp;""="0","",INDEX(원자료_시장!$A$1:$BZ$1000,설정!$L$6+ROW()-1,설정!$L$36)),"")</f>
        <v>아시아/기타</v>
      </c>
      <c r="O253" s="43" t="str">
        <f aca="false">IF($A253="","",UPPER(LEFT($A253,FIND(" ",$A253&amp;" ")-1)))</f>
        <v>DAESEC</v>
      </c>
      <c r="P253" s="43" t="str">
        <f aca="false">IF($A253="","",TRIM(RIGHT(SUBSTITUTE(TRIM($A253)," ",REPT(" ",30)),30)))</f>
        <v>03/11/29</v>
      </c>
      <c r="Q253" s="98" t="n">
        <f aca="false">IF($A253="","",IFERROR(DATE(IF(LEN(P253)=8,2000+VALUE(RIGHT(P253,2)),VALUE(RIGHT(P253,4))),VALUE(LEFT(P253,2)),VALUE(MID(P253,4,2))),""))</f>
        <v>47188</v>
      </c>
      <c r="R253" s="89" t="n">
        <f aca="false">IF($A253="",0,IF(ISNUMBER(SEARCH("Float",$A253)),1,0))</f>
        <v>0</v>
      </c>
      <c r="S253" s="43" t="str">
        <f aca="false">IF($A253="","",TRIM(MID($A253,LEN(O253)+2,LEN($A253)-LEN(O253)-LEN(P253)-1)))</f>
        <v>4 1/4</v>
      </c>
      <c r="T253" s="92" t="n">
        <f aca="false">IF(OR($A253="",R253=1),"",IFERROR(IF(ISNUMBER(FIND("/",S253)),IF(ISNUMBER(FIND(" ",S253)),VALUE(LEFT(S253,FIND(" ",S253)-1))+VALUE(MID(S253,FIND(" ",S253)+1,FIND("/",S253)-FIND(" ",S253)-1))/VALUE(MID(S253,FIND("/",S253)+1,9)),VALUE(LEFT(S253,FIND("/",S253)-1))/VALUE(MID(S253,FIND("/",S253)+1,9))),VALUE(S253)),""))</f>
        <v>4.25</v>
      </c>
      <c r="U253" s="43" t="str">
        <f aca="false">IF(OR($A253="",NOT(ISNUMBER(Q253))),"",TEXT(Q253,"yyyymmdd")&amp;"|"&amp;IF(R253=1,"F",TEXT(T253,"0.000")))</f>
        <v>20290311|4.250</v>
      </c>
      <c r="V253" s="43" t="str">
        <f aca="false">IF(U253="","",O253&amp;"|"&amp;U253)</f>
        <v>DAESEC|20290311|4.250</v>
      </c>
      <c r="W253" s="43" t="str">
        <f aca="false">IF($A253="","",IFERROR(IF(VLOOKUP(O253,매핑!$A$4:$E$92,3,0)="","미분류",VLOOKUP(O253,매핑!$A$4:$E$92,3,0)),"미분류"))</f>
        <v>한국</v>
      </c>
      <c r="X253" s="89" t="n">
        <f aca="false">IF($A253="",0,IF(O253="T",1,0))</f>
        <v>0</v>
      </c>
      <c r="Y253" s="89" t="n">
        <f aca="false">IF($A253="",0,IF(AND(C253="USD",X253=0,ISNUMBER(E253),ISNUMBER(K253)),IF(K253&gt;=설정!$C$8,1,0),0))</f>
        <v>1</v>
      </c>
      <c r="Z253" s="43" t="str">
        <f aca="false">IF($A253="","",N253&amp;"|"&amp;L253)</f>
        <v>아시아/기타|금융기관</v>
      </c>
      <c r="AA253" s="92" t="n">
        <f aca="false">IF(Y253=1,LN(K253),0)</f>
        <v>0.845438990902204</v>
      </c>
      <c r="AB253" s="93" t="n">
        <f aca="false">IF(Y253=1,E253,0)</f>
        <v>76.351</v>
      </c>
      <c r="AC253" s="89" t="n">
        <f aca="false">IF(Y253=1,COUNTIFS($Z$2:$Z$601,Z253,$Y$2:$Y$601,1),0)</f>
        <v>42</v>
      </c>
      <c r="AD253" s="89" t="n">
        <f aca="false">IF(Y253=1,COUNTIFS($N$2:$N$601,N253,$Y$2:$Y$601,1),0)</f>
        <v>137</v>
      </c>
      <c r="AE253" s="43" t="str">
        <f aca="false">IF(Y253&lt;&gt;1,"",IF(AND(AC253&gt;=설정!$C$7,ISNUMBER(MATCH(Z253,피어커브!$A:$A,0))),Z253,IF(AND(AD253&gt;=설정!$C$7,ISNUMBER(MATCH(N253&amp;"|전체",피어커브!$A:$A,0))),N253&amp;"|전체","전체|전체")))</f>
        <v>아시아/기타|금융기관</v>
      </c>
      <c r="AF253" s="93" t="n">
        <f aca="false">IF(AE253="","",INDEX(피어커브!$K:$K,MATCH(AE253,피어커브!$A:$A,0)))</f>
        <v>50.117430292991</v>
      </c>
      <c r="AG253" s="93" t="n">
        <f aca="false">IF(AE253="","",INDEX(피어커브!$J:$J,MATCH(AE253,피어커브!$A:$A,0)))</f>
        <v>13.9183160321618</v>
      </c>
      <c r="AH253" s="93" t="n">
        <f aca="false">IF(AE253="","",INDEX(피어커브!$L:$L,MATCH(AE253,피어커브!$A:$A,0)))</f>
        <v>20.4735875466442</v>
      </c>
      <c r="AI253" s="93" t="n">
        <f aca="false">IF(AE253="","",AF253+AG253*AA253)</f>
        <v>61.8845173542799</v>
      </c>
      <c r="AJ253" s="96" t="n">
        <f aca="false">IF(AE253="","",E253-AI253)</f>
        <v>14.4664826457201</v>
      </c>
      <c r="AK253" s="95" t="n">
        <f aca="false">IF(AE253="","",IF(ISNUMBER(AH253),IF(AH253&gt;0,AJ253/AH253,""),""))</f>
        <v>0.706592462740676</v>
      </c>
      <c r="AL253" s="43" t="str">
        <f aca="false">IF(AK253="","-",IF(AK253&gt;=설정!$C$6,"Cheap",IF(AK253&lt;=-설정!$C$6,"Rich","Fair")))</f>
        <v>Fair</v>
      </c>
      <c r="AM253" s="96" t="n">
        <f aca="false">IF(AE253="","",AJ253-AVERAGEIFS($AJ$2:$AJ$601,$B$2:$B$601,B253,$Y$2:$Y$601,1))</f>
        <v>-7.18121103917254</v>
      </c>
      <c r="AN253" s="93" t="n">
        <f aca="false">IF(AE253="",0,IF(K253&gt;1+설정!$C$8,AG253*(AA253-LN(K253-1)),0))</f>
        <v>7.80834525298121</v>
      </c>
      <c r="AO253" s="99" t="n">
        <f aca="false">IF($A253="",0,SUMIFS(보유분석!$AA$2:$AA$801,보유분석!$AB$2:$AB$801,ROW(),보유분석!$AC$2:$AC$801,1))</f>
        <v>52.5586144</v>
      </c>
      <c r="AP253" s="43" t="str">
        <f aca="false">IF($A253="","",TRIM(IF(R253=1,"FRN ","")&amp;IF(IFERROR(VLOOKUP(M253,설정!$A$15:$D$47,4,0),0)&gt;=10,IF(IFERROR(VLOOKUP(M253,설정!$A$15:$D$47,4,0),0)&lt;99,"BBB0미만 ",""),"")&amp;IF(OR(M253="",M253="NR"),"등급미입력 ","")&amp;IF(C253&lt;&gt;"USD","비USD ","")))</f>
        <v>등급미입력</v>
      </c>
      <c r="AQ253" s="90" t="n">
        <f aca="false">IF(AND(Y253=1,AL253="Cheap"),IF(AND(ISERROR(SEARCH("FRN",AP253)),ISERROR(SEARCH("BBB0미만",AP253))),AK253+ROW()/1000000000,-999),-999)</f>
        <v>-999</v>
      </c>
      <c r="AR253" s="92" t="n">
        <f aca="false">IF(AND(ISNUMBER(D253),ISNUMBER(K253)),D253+AN253*MAX(K253-1,0)/100,"")</f>
        <v>5.86777290841212</v>
      </c>
      <c r="AS253" s="93" t="n">
        <f aca="false">IF(AND(ISNUMBER(E253),ISNUMBER(K253)),IF(K253&gt;0,(E253+AN253*MAX(K253-1,0))/K253,""),"")</f>
        <v>37.2384245775921</v>
      </c>
      <c r="AT253" s="90" t="n">
        <f aca="false">IFERROR(IF(AND(Y253=1,ROW()&lt;&gt;스왑분석!$C$12+1,ABS(K253-INDEX($K$2:$K$601,스왑분석!$C$12))&lt;=스왑분석!$C$5,ISERROR(SEARCH("FRN",AP253)),ISERROR(SEARCH("BBB0미만",AP253))),IF(AND(OR(스왑분석!$C$6="N",L253=INDEX($L$2:$L$601,스왑분석!$C$12)),OR(스왑분석!$C$7="N",N253=INDEX($N$2:$N$601,스왑분석!$C$12)),OR(스왑분석!$C$8="N",AO253=0),E253-INDEX($E$2:$E$601,스왑분석!$C$12)&gt;=스왑분석!$C$9),E253-INDEX($E$2:$E$601,스왑분석!$C$12)+ROW()/1000000000,-999),-999),-999)</f>
        <v>27.859000253</v>
      </c>
      <c r="AU253" s="90" t="n">
        <f aca="false">IF(AND(Y253=1,AO253&gt;0,AL253="Rich"),-AK253+ROW()/1000000000,-999)</f>
        <v>-999</v>
      </c>
    </row>
    <row r="254" customFormat="false" ht="15" hidden="false" customHeight="false" outlineLevel="0" collapsed="false">
      <c r="A254" s="83" t="str">
        <f aca="false">IFERROR(IF(INDEX(원자료_시장!$A$1:$BZ$1000,설정!$L$6+ROW()-1,설정!$L$24)&amp;""="0","",INDEX(원자료_시장!$A$1:$BZ$1000,설정!$L$6+ROW()-1,설정!$L$24)),"")</f>
        <v>DAESEC 4 3/8 03/11/31</v>
      </c>
      <c r="B254" s="83" t="str">
        <f aca="false">IFERROR(IF(INDEX(원자료_시장!$A$1:$BZ$1000,설정!$L$6+ROW()-1,설정!$L$37)&amp;""="0","",INDEX(원자료_시장!$A$1:$BZ$1000,설정!$L$6+ROW()-1,설정!$L$37)),"")</f>
        <v>MIRAE ASSET SECURITIES</v>
      </c>
      <c r="C254" s="83" t="str">
        <f aca="false">IFERROR(IF(INDEX(원자료_시장!$A$1:$BZ$1000,설정!$L$6+ROW()-1,설정!$L$25)&amp;""="0","",INDEX(원자료_시장!$A$1:$BZ$1000,설정!$L$6+ROW()-1,설정!$L$25)),"")</f>
        <v>USD</v>
      </c>
      <c r="D254" s="85" t="n">
        <f aca="false">IFERROR(IF(ISNUMBER(INDEX(원자료_시장!$A$1:$BZ$1000,설정!$L$6+ROW()-1,설정!$L$26)),INDEX(원자료_시장!$A$1:$BZ$1000,설정!$L$6+ROW()-1,설정!$L$26),""),"")</f>
        <v>6.087</v>
      </c>
      <c r="E254" s="97" t="n">
        <f aca="false">IFERROR(IF(ISNUMBER(INDEX(원자료_시장!$A$1:$BZ$1000,설정!$L$6+ROW()-1,설정!$L$27)),INDEX(원자료_시장!$A$1:$BZ$1000,설정!$L$6+ROW()-1,설정!$L$27),""),"")</f>
        <v>100.03</v>
      </c>
      <c r="F254" s="97" t="n">
        <f aca="false">IFERROR(IF(ISNUMBER(INDEX(원자료_시장!$A$1:$BZ$1000,설정!$L$6+ROW()-1,설정!$L$28)),INDEX(원자료_시장!$A$1:$BZ$1000,설정!$L$6+ROW()-1,설정!$L$28),""),"")</f>
        <v>133.771</v>
      </c>
      <c r="G254" s="97" t="n">
        <f aca="false">IFERROR(IF(ISNUMBER(INDEX(원자료_시장!$A$1:$BZ$1000,설정!$L$6+ROW()-1,설정!$L$29)),INDEX(원자료_시장!$A$1:$BZ$1000,설정!$L$6+ROW()-1,설정!$L$29),""),"")</f>
        <v>0.3</v>
      </c>
      <c r="H254" s="97" t="n">
        <f aca="false">IFERROR(IF(ISNUMBER(INDEX(원자료_시장!$A$1:$BZ$1000,설정!$L$6+ROW()-1,설정!$L$30)),INDEX(원자료_시장!$A$1:$BZ$1000,설정!$L$6+ROW()-1,설정!$L$30),""),"")</f>
        <v>4.7</v>
      </c>
      <c r="I254" s="97" t="n">
        <f aca="false">IFERROR(IF(ISNUMBER(INDEX(원자료_시장!$A$1:$BZ$1000,설정!$L$6+ROW()-1,설정!$L$31)),INDEX(원자료_시장!$A$1:$BZ$1000,설정!$L$6+ROW()-1,설정!$L$31),""),"")</f>
        <v>-1.1</v>
      </c>
      <c r="J254" s="97" t="n">
        <f aca="false">IFERROR(IF(ISNUMBER(INDEX(원자료_시장!$A$1:$BZ$1000,설정!$L$6+ROW()-1,설정!$L$32)),INDEX(원자료_시장!$A$1:$BZ$1000,설정!$L$6+ROW()-1,설정!$L$32),""),"")</f>
        <v>-2</v>
      </c>
      <c r="K254" s="85" t="n">
        <f aca="false">IFERROR(IF(ISNUMBER(INDEX(원자료_시장!$A$1:$BZ$1000,설정!$L$6+ROW()-1,설정!$L$33)),INDEX(원자료_시장!$A$1:$BZ$1000,설정!$L$6+ROW()-1,설정!$L$33),""),"")</f>
        <v>4.051</v>
      </c>
      <c r="L254" s="83" t="str">
        <f aca="false">IFERROR(IF(INDEX(원자료_시장!$A$1:$BZ$1000,설정!$L$6+ROW()-1,설정!$L$34)&amp;""="0","",INDEX(원자료_시장!$A$1:$BZ$1000,설정!$L$6+ROW()-1,설정!$L$34)),"")</f>
        <v>금융기관</v>
      </c>
      <c r="M254" s="83" t="n">
        <f aca="false">IFERROR(IF(INDEX(원자료_시장!$A$1:$BZ$1000,설정!$L$6+ROW()-1,설정!$L$35)&amp;""="0","",INDEX(원자료_시장!$A$1:$BZ$1000,설정!$L$6+ROW()-1,설정!$L$35)),"")</f>
        <v>0</v>
      </c>
      <c r="N254" s="83" t="str">
        <f aca="false">IFERROR(IF(INDEX(원자료_시장!$A$1:$BZ$1000,설정!$L$6+ROW()-1,설정!$L$36)&amp;""="0","",INDEX(원자료_시장!$A$1:$BZ$1000,설정!$L$6+ROW()-1,설정!$L$36)),"")</f>
        <v>아시아/기타</v>
      </c>
      <c r="O254" s="43" t="str">
        <f aca="false">IF($A254="","",UPPER(LEFT($A254,FIND(" ",$A254&amp;" ")-1)))</f>
        <v>DAESEC</v>
      </c>
      <c r="P254" s="43" t="str">
        <f aca="false">IF($A254="","",TRIM(RIGHT(SUBSTITUTE(TRIM($A254)," ",REPT(" ",30)),30)))</f>
        <v>03/11/31</v>
      </c>
      <c r="Q254" s="98" t="n">
        <f aca="false">IF($A254="","",IFERROR(DATE(IF(LEN(P254)=8,2000+VALUE(RIGHT(P254,2)),VALUE(RIGHT(P254,4))),VALUE(LEFT(P254,2)),VALUE(MID(P254,4,2))),""))</f>
        <v>47918</v>
      </c>
      <c r="R254" s="89" t="n">
        <f aca="false">IF($A254="",0,IF(ISNUMBER(SEARCH("Float",$A254)),1,0))</f>
        <v>0</v>
      </c>
      <c r="S254" s="43" t="str">
        <f aca="false">IF($A254="","",TRIM(MID($A254,LEN(O254)+2,LEN($A254)-LEN(O254)-LEN(P254)-1)))</f>
        <v>4 3/8</v>
      </c>
      <c r="T254" s="92" t="n">
        <f aca="false">IF(OR($A254="",R254=1),"",IFERROR(IF(ISNUMBER(FIND("/",S254)),IF(ISNUMBER(FIND(" ",S254)),VALUE(LEFT(S254,FIND(" ",S254)-1))+VALUE(MID(S254,FIND(" ",S254)+1,FIND("/",S254)-FIND(" ",S254)-1))/VALUE(MID(S254,FIND("/",S254)+1,9)),VALUE(LEFT(S254,FIND("/",S254)-1))/VALUE(MID(S254,FIND("/",S254)+1,9))),VALUE(S254)),""))</f>
        <v>4.375</v>
      </c>
      <c r="U254" s="43" t="str">
        <f aca="false">IF(OR($A254="",NOT(ISNUMBER(Q254))),"",TEXT(Q254,"yyyymmdd")&amp;"|"&amp;IF(R254=1,"F",TEXT(T254,"0.000")))</f>
        <v>20310311|4.375</v>
      </c>
      <c r="V254" s="43" t="str">
        <f aca="false">IF(U254="","",O254&amp;"|"&amp;U254)</f>
        <v>DAESEC|20310311|4.375</v>
      </c>
      <c r="W254" s="43" t="str">
        <f aca="false">IF($A254="","",IFERROR(IF(VLOOKUP(O254,매핑!$A$4:$E$92,3,0)="","미분류",VLOOKUP(O254,매핑!$A$4:$E$92,3,0)),"미분류"))</f>
        <v>한국</v>
      </c>
      <c r="X254" s="89" t="n">
        <f aca="false">IF($A254="",0,IF(O254="T",1,0))</f>
        <v>0</v>
      </c>
      <c r="Y254" s="89" t="n">
        <f aca="false">IF($A254="",0,IF(AND(C254="USD",X254=0,ISNUMBER(E254),ISNUMBER(K254)),IF(K254&gt;=설정!$C$8,1,0),0))</f>
        <v>1</v>
      </c>
      <c r="Z254" s="43" t="str">
        <f aca="false">IF($A254="","",N254&amp;"|"&amp;L254)</f>
        <v>아시아/기타|금융기관</v>
      </c>
      <c r="AA254" s="92" t="n">
        <f aca="false">IF(Y254=1,LN(K254),0)</f>
        <v>1.39896376422055</v>
      </c>
      <c r="AB254" s="93" t="n">
        <f aca="false">IF(Y254=1,E254,0)</f>
        <v>100.03</v>
      </c>
      <c r="AC254" s="89" t="n">
        <f aca="false">IF(Y254=1,COUNTIFS($Z$2:$Z$601,Z254,$Y$2:$Y$601,1),0)</f>
        <v>42</v>
      </c>
      <c r="AD254" s="89" t="n">
        <f aca="false">IF(Y254=1,COUNTIFS($N$2:$N$601,N254,$Y$2:$Y$601,1),0)</f>
        <v>137</v>
      </c>
      <c r="AE254" s="43" t="str">
        <f aca="false">IF(Y254&lt;&gt;1,"",IF(AND(AC254&gt;=설정!$C$7,ISNUMBER(MATCH(Z254,피어커브!$A:$A,0))),Z254,IF(AND(AD254&gt;=설정!$C$7,ISNUMBER(MATCH(N254&amp;"|전체",피어커브!$A:$A,0))),N254&amp;"|전체","전체|전체")))</f>
        <v>아시아/기타|금융기관</v>
      </c>
      <c r="AF254" s="93" t="n">
        <f aca="false">IF(AE254="","",INDEX(피어커브!$K:$K,MATCH(AE254,피어커브!$A:$A,0)))</f>
        <v>50.117430292991</v>
      </c>
      <c r="AG254" s="93" t="n">
        <f aca="false">IF(AE254="","",INDEX(피어커브!$J:$J,MATCH(AE254,피어커브!$A:$A,0)))</f>
        <v>13.9183160321618</v>
      </c>
      <c r="AH254" s="93" t="n">
        <f aca="false">IF(AE254="","",INDEX(피어커브!$L:$L,MATCH(AE254,피어커브!$A:$A,0)))</f>
        <v>20.4735875466442</v>
      </c>
      <c r="AI254" s="93" t="n">
        <f aca="false">IF(AE254="","",AF254+AG254*AA254)</f>
        <v>69.5886500809554</v>
      </c>
      <c r="AJ254" s="96" t="n">
        <f aca="false">IF(AE254="","",E254-AI254)</f>
        <v>30.4413499190446</v>
      </c>
      <c r="AK254" s="95" t="n">
        <f aca="false">IF(AE254="","",IF(ISNUMBER(AH254),IF(AH254&gt;0,AJ254/AH254,""),""))</f>
        <v>1.48685958675739</v>
      </c>
      <c r="AL254" s="43" t="str">
        <f aca="false">IF(AK254="","-",IF(AK254&gt;=설정!$C$6,"Cheap",IF(AK254&lt;=-설정!$C$6,"Rich","Fair")))</f>
        <v>Cheap</v>
      </c>
      <c r="AM254" s="96" t="n">
        <f aca="false">IF(AE254="","",AJ254-AVERAGEIFS($AJ$2:$AJ$601,$B$2:$B$601,B254,$Y$2:$Y$601,1))</f>
        <v>8.79365623415194</v>
      </c>
      <c r="AN254" s="93" t="n">
        <f aca="false">IF(AE254="",0,IF(K254&gt;1+설정!$C$8,AG254*(AA254-LN(K254-1)),0))</f>
        <v>3.94576407474341</v>
      </c>
      <c r="AO254" s="99" t="n">
        <f aca="false">IF($A254="",0,SUMIFS(보유분석!$AA$2:$AA$801,보유분석!$AB$2:$AB$801,ROW(),보유분석!$AC$2:$AC$801,1))</f>
        <v>2.808048</v>
      </c>
      <c r="AP254" s="43" t="str">
        <f aca="false">IF($A254="","",TRIM(IF(R254=1,"FRN ","")&amp;IF(IFERROR(VLOOKUP(M254,설정!$A$15:$D$47,4,0),0)&gt;=10,IF(IFERROR(VLOOKUP(M254,설정!$A$15:$D$47,4,0),0)&lt;99,"BBB0미만 ",""),"")&amp;IF(OR(M254="",M254="NR"),"등급미입력 ","")&amp;IF(C254&lt;&gt;"USD","비USD ","")))</f>
        <v>등급미입력</v>
      </c>
      <c r="AQ254" s="90" t="n">
        <f aca="false">IF(AND(Y254=1,AL254="Cheap"),IF(AND(ISERROR(SEARCH("FRN",AP254)),ISERROR(SEARCH("BBB0미만",AP254))),AK254+ROW()/1000000000,-999),-999)</f>
        <v>1.48685984075739</v>
      </c>
      <c r="AR254" s="92" t="n">
        <f aca="false">IF(AND(ISNUMBER(D254),ISNUMBER(K254)),D254+AN254*MAX(K254-1,0)/100,"")</f>
        <v>6.20738526192042</v>
      </c>
      <c r="AS254" s="93" t="n">
        <f aca="false">IF(AND(ISNUMBER(E254),ISNUMBER(K254)),IF(K254&gt;0,(E254+AN254*MAX(K254-1,0))/K254,""),"")</f>
        <v>27.6644103164755</v>
      </c>
      <c r="AT254" s="90" t="n">
        <f aca="false">IFERROR(IF(AND(Y254=1,ROW()&lt;&gt;스왑분석!$C$12+1,ABS(K254-INDEX($K$2:$K$601,스왑분석!$C$12))&lt;=스왑분석!$C$5,ISERROR(SEARCH("FRN",AP254)),ISERROR(SEARCH("BBB0미만",AP254))),IF(AND(OR(스왑분석!$C$6="N",L254=INDEX($L$2:$L$601,스왑분석!$C$12)),OR(스왑분석!$C$7="N",N254=INDEX($N$2:$N$601,스왑분석!$C$12)),OR(스왑분석!$C$8="N",AO254=0),E254-INDEX($E$2:$E$601,스왑분석!$C$12)&gt;=스왑분석!$C$9),E254-INDEX($E$2:$E$601,스왑분석!$C$12)+ROW()/1000000000,-999),-999),-999)</f>
        <v>51.538000254</v>
      </c>
      <c r="AU254" s="90" t="n">
        <f aca="false">IF(AND(Y254=1,AO254&gt;0,AL254="Rich"),-AK254+ROW()/1000000000,-999)</f>
        <v>-999</v>
      </c>
    </row>
    <row r="255" customFormat="false" ht="15" hidden="false" customHeight="false" outlineLevel="0" collapsed="false">
      <c r="A255" s="83" t="str">
        <f aca="false">IFERROR(IF(INDEX(원자료_시장!$A$1:$BZ$1000,설정!$L$6+ROW()-1,설정!$L$24)&amp;""="0","",INDEX(원자료_시장!$A$1:$BZ$1000,설정!$L$6+ROW()-1,설정!$L$24)),"")</f>
        <v>STANLN 4.529 06/05/32</v>
      </c>
      <c r="B255" s="83" t="str">
        <f aca="false">IFERROR(IF(INDEX(원자료_시장!$A$1:$BZ$1000,설정!$L$6+ROW()-1,설정!$L$37)&amp;""="0","",INDEX(원자료_시장!$A$1:$BZ$1000,설정!$L$6+ROW()-1,설정!$L$37)),"")</f>
        <v>STANDARD CHARTERED PLC</v>
      </c>
      <c r="C255" s="83" t="str">
        <f aca="false">IFERROR(IF(INDEX(원자료_시장!$A$1:$BZ$1000,설정!$L$6+ROW()-1,설정!$L$25)&amp;""="0","",INDEX(원자료_시장!$A$1:$BZ$1000,설정!$L$6+ROW()-1,설정!$L$25)),"")</f>
        <v>USD</v>
      </c>
      <c r="D255" s="85" t="n">
        <f aca="false">IFERROR(IF(ISNUMBER(INDEX(원자료_시장!$A$1:$BZ$1000,설정!$L$6+ROW()-1,설정!$L$26)),INDEX(원자료_시장!$A$1:$BZ$1000,설정!$L$6+ROW()-1,설정!$L$26),""),"")</f>
        <v>5.923</v>
      </c>
      <c r="E255" s="97" t="n">
        <f aca="false">IFERROR(IF(ISNUMBER(INDEX(원자료_시장!$A$1:$BZ$1000,설정!$L$6+ROW()-1,설정!$L$27)),INDEX(원자료_시장!$A$1:$BZ$1000,설정!$L$6+ROW()-1,설정!$L$27),""),"")</f>
        <v>91.699</v>
      </c>
      <c r="F255" s="97" t="n">
        <f aca="false">IFERROR(IF(ISNUMBER(INDEX(원자료_시장!$A$1:$BZ$1000,설정!$L$6+ROW()-1,설정!$L$28)),INDEX(원자료_시장!$A$1:$BZ$1000,설정!$L$6+ROW()-1,설정!$L$28),""),"")</f>
        <v>125.229</v>
      </c>
      <c r="G255" s="97" t="n">
        <f aca="false">IFERROR(IF(ISNUMBER(INDEX(원자료_시장!$A$1:$BZ$1000,설정!$L$6+ROW()-1,설정!$L$29)),INDEX(원자료_시장!$A$1:$BZ$1000,설정!$L$6+ROW()-1,설정!$L$29),""),"")</f>
        <v>-1.3</v>
      </c>
      <c r="H255" s="97" t="n">
        <f aca="false">IFERROR(IF(ISNUMBER(INDEX(원자료_시장!$A$1:$BZ$1000,설정!$L$6+ROW()-1,설정!$L$30)),INDEX(원자료_시장!$A$1:$BZ$1000,설정!$L$6+ROW()-1,설정!$L$30),""),"")</f>
        <v>6.3</v>
      </c>
      <c r="I255" s="97" t="n">
        <f aca="false">IFERROR(IF(ISNUMBER(INDEX(원자료_시장!$A$1:$BZ$1000,설정!$L$6+ROW()-1,설정!$L$31)),INDEX(원자료_시장!$A$1:$BZ$1000,설정!$L$6+ROW()-1,설정!$L$31),""),"")</f>
        <v>1.4</v>
      </c>
      <c r="J255" s="97" t="n">
        <f aca="false">IFERROR(IF(ISNUMBER(INDEX(원자료_시장!$A$1:$BZ$1000,설정!$L$6+ROW()-1,설정!$L$32)),INDEX(원자료_시장!$A$1:$BZ$1000,설정!$L$6+ROW()-1,설정!$L$32),""),"")</f>
        <v>4.5</v>
      </c>
      <c r="K255" s="85" t="n">
        <f aca="false">IFERROR(IF(ISNUMBER(INDEX(원자료_시장!$A$1:$BZ$1000,설정!$L$6+ROW()-1,설정!$L$33)),INDEX(원자료_시장!$A$1:$BZ$1000,설정!$L$6+ROW()-1,설정!$L$33),""),"")</f>
        <v>4.178</v>
      </c>
      <c r="L255" s="83" t="str">
        <f aca="false">IFERROR(IF(INDEX(원자료_시장!$A$1:$BZ$1000,설정!$L$6+ROW()-1,설정!$L$34)&amp;""="0","",INDEX(원자료_시장!$A$1:$BZ$1000,설정!$L$6+ROW()-1,설정!$L$34)),"")</f>
        <v>금융기관</v>
      </c>
      <c r="M255" s="83" t="str">
        <f aca="false">IFERROR(IF(INDEX(원자료_시장!$A$1:$BZ$1000,설정!$L$6+ROW()-1,설정!$L$35)&amp;""="0","",INDEX(원자료_시장!$A$1:$BZ$1000,설정!$L$6+ROW()-1,설정!$L$35)),"")</f>
        <v>BBB+</v>
      </c>
      <c r="N255" s="83" t="str">
        <f aca="false">IFERROR(IF(INDEX(원자료_시장!$A$1:$BZ$1000,설정!$L$6+ROW()-1,설정!$L$36)&amp;""="0","",INDEX(원자료_시장!$A$1:$BZ$1000,설정!$L$6+ROW()-1,설정!$L$36)),"")</f>
        <v>유럽</v>
      </c>
      <c r="O255" s="43" t="str">
        <f aca="false">IF($A255="","",UPPER(LEFT($A255,FIND(" ",$A255&amp;" ")-1)))</f>
        <v>STANLN</v>
      </c>
      <c r="P255" s="43" t="str">
        <f aca="false">IF($A255="","",TRIM(RIGHT(SUBSTITUTE(TRIM($A255)," ",REPT(" ",30)),30)))</f>
        <v>06/05/32</v>
      </c>
      <c r="Q255" s="98" t="n">
        <f aca="false">IF($A255="","",IFERROR(DATE(IF(LEN(P255)=8,2000+VALUE(RIGHT(P255,2)),VALUE(RIGHT(P255,4))),VALUE(LEFT(P255,2)),VALUE(MID(P255,4,2))),""))</f>
        <v>48370</v>
      </c>
      <c r="R255" s="89" t="n">
        <f aca="false">IF($A255="",0,IF(ISNUMBER(SEARCH("Float",$A255)),1,0))</f>
        <v>0</v>
      </c>
      <c r="S255" s="43" t="str">
        <f aca="false">IF($A255="","",TRIM(MID($A255,LEN(O255)+2,LEN($A255)-LEN(O255)-LEN(P255)-1)))</f>
        <v>4.529</v>
      </c>
      <c r="T255" s="92" t="n">
        <f aca="false">IF(OR($A255="",R255=1),"",IFERROR(IF(ISNUMBER(FIND("/",S255)),IF(ISNUMBER(FIND(" ",S255)),VALUE(LEFT(S255,FIND(" ",S255)-1))+VALUE(MID(S255,FIND(" ",S255)+1,FIND("/",S255)-FIND(" ",S255)-1))/VALUE(MID(S255,FIND("/",S255)+1,9)),VALUE(LEFT(S255,FIND("/",S255)-1))/VALUE(MID(S255,FIND("/",S255)+1,9))),VALUE(S255)),""))</f>
        <v>4.529</v>
      </c>
      <c r="U255" s="43" t="str">
        <f aca="false">IF(OR($A255="",NOT(ISNUMBER(Q255))),"",TEXT(Q255,"yyyymmdd")&amp;"|"&amp;IF(R255=1,"F",TEXT(T255,"0.000")))</f>
        <v>20320605|4.529</v>
      </c>
      <c r="V255" s="43" t="str">
        <f aca="false">IF(U255="","",O255&amp;"|"&amp;U255)</f>
        <v>STANLN|20320605|4.529</v>
      </c>
      <c r="W255" s="43" t="str">
        <f aca="false">IF($A255="","",IFERROR(IF(VLOOKUP(O255,매핑!$A$4:$E$92,3,0)="","미분류",VLOOKUP(O255,매핑!$A$4:$E$92,3,0)),"미분류"))</f>
        <v>영국</v>
      </c>
      <c r="X255" s="89" t="n">
        <f aca="false">IF($A255="",0,IF(O255="T",1,0))</f>
        <v>0</v>
      </c>
      <c r="Y255" s="89" t="n">
        <f aca="false">IF($A255="",0,IF(AND(C255="USD",X255=0,ISNUMBER(E255),ISNUMBER(K255)),IF(K255&gt;=설정!$C$8,1,0),0))</f>
        <v>1</v>
      </c>
      <c r="Z255" s="43" t="str">
        <f aca="false">IF($A255="","",N255&amp;"|"&amp;L255)</f>
        <v>유럽|금융기관</v>
      </c>
      <c r="AA255" s="92" t="n">
        <f aca="false">IF(Y255=1,LN(K255),0)</f>
        <v>1.42983266313437</v>
      </c>
      <c r="AB255" s="93" t="n">
        <f aca="false">IF(Y255=1,E255,0)</f>
        <v>91.699</v>
      </c>
      <c r="AC255" s="89" t="n">
        <f aca="false">IF(Y255=1,COUNTIFS($Z$2:$Z$601,Z255,$Y$2:$Y$601,1),0)</f>
        <v>32</v>
      </c>
      <c r="AD255" s="89" t="n">
        <f aca="false">IF(Y255=1,COUNTIFS($N$2:$N$601,N255,$Y$2:$Y$601,1),0)</f>
        <v>32</v>
      </c>
      <c r="AE255" s="43" t="str">
        <f aca="false">IF(Y255&lt;&gt;1,"",IF(AND(AC255&gt;=설정!$C$7,ISNUMBER(MATCH(Z255,피어커브!$A:$A,0))),Z255,IF(AND(AD255&gt;=설정!$C$7,ISNUMBER(MATCH(N255&amp;"|전체",피어커브!$A:$A,0))),N255&amp;"|전체","전체|전체")))</f>
        <v>유럽|금융기관</v>
      </c>
      <c r="AF255" s="93" t="n">
        <f aca="false">IF(AE255="","",INDEX(피어커브!$K:$K,MATCH(AE255,피어커브!$A:$A,0)))</f>
        <v>43.3660967921697</v>
      </c>
      <c r="AG255" s="93" t="n">
        <f aca="false">IF(AE255="","",INDEX(피어커브!$J:$J,MATCH(AE255,피어커브!$A:$A,0)))</f>
        <v>30.582858826536</v>
      </c>
      <c r="AH255" s="93" t="n">
        <f aca="false">IF(AE255="","",INDEX(피어커브!$L:$L,MATCH(AE255,피어커브!$A:$A,0)))</f>
        <v>10.9882810943096</v>
      </c>
      <c r="AI255" s="93" t="n">
        <f aca="false">IF(AE255="","",AF255+AG255*AA255)</f>
        <v>87.0944672743783</v>
      </c>
      <c r="AJ255" s="96" t="n">
        <f aca="false">IF(AE255="","",E255-AI255)</f>
        <v>4.60453272562172</v>
      </c>
      <c r="AK255" s="95" t="n">
        <f aca="false">IF(AE255="","",IF(ISNUMBER(AH255),IF(AH255&gt;0,AJ255/AH255,""),""))</f>
        <v>0.41904031086411</v>
      </c>
      <c r="AL255" s="43" t="str">
        <f aca="false">IF(AK255="","-",IF(AK255&gt;=설정!$C$6,"Cheap",IF(AK255&lt;=-설정!$C$6,"Rich","Fair")))</f>
        <v>Fair</v>
      </c>
      <c r="AM255" s="96" t="n">
        <f aca="false">IF(AE255="","",AJ255-AVERAGEIFS($AJ$2:$AJ$601,$B$2:$B$601,B255,$Y$2:$Y$601,1))</f>
        <v>0.775739500261826</v>
      </c>
      <c r="AN255" s="93" t="n">
        <f aca="false">IF(AE255="",0,IF(K255&gt;1+설정!$C$8,AG255*(AA255-LN(K255-1)),0))</f>
        <v>8.36687671517179</v>
      </c>
      <c r="AO255" s="99" t="n">
        <f aca="false">IF($A255="",0,SUMIFS(보유분석!$AA$2:$AA$801,보유분석!$AB$2:$AB$801,ROW(),보유분석!$AC$2:$AC$801,1))</f>
        <v>9.41618</v>
      </c>
      <c r="AP255" s="43" t="str">
        <f aca="false">IF($A255="","",TRIM(IF(R255=1,"FRN ","")&amp;IF(IFERROR(VLOOKUP(M255,설정!$A$15:$D$47,4,0),0)&gt;=10,IF(IFERROR(VLOOKUP(M255,설정!$A$15:$D$47,4,0),0)&lt;99,"BBB0미만 ",""),"")&amp;IF(OR(M255="",M255="NR"),"등급미입력 ","")&amp;IF(C255&lt;&gt;"USD","비USD ","")))</f>
        <v/>
      </c>
      <c r="AQ255" s="90" t="n">
        <f aca="false">IF(AND(Y255=1,AL255="Cheap"),IF(AND(ISERROR(SEARCH("FRN",AP255)),ISERROR(SEARCH("BBB0미만",AP255))),AK255+ROW()/1000000000,-999),-999)</f>
        <v>-999</v>
      </c>
      <c r="AR255" s="92" t="n">
        <f aca="false">IF(AND(ISNUMBER(D255),ISNUMBER(K255)),D255+AN255*MAX(K255-1,0)/100,"")</f>
        <v>6.18889934200816</v>
      </c>
      <c r="AS255" s="93" t="n">
        <f aca="false">IF(AND(ISNUMBER(E255),ISNUMBER(K255)),IF(K255&gt;0,(E255+AN255*MAX(K255-1,0))/K255,""),"")</f>
        <v>28.3123346579263</v>
      </c>
      <c r="AT255" s="90" t="n">
        <f aca="false">IFERROR(IF(AND(Y255=1,ROW()&lt;&gt;스왑분석!$C$12+1,ABS(K255-INDEX($K$2:$K$601,스왑분석!$C$12))&lt;=스왑분석!$C$5,ISERROR(SEARCH("FRN",AP255)),ISERROR(SEARCH("BBB0미만",AP255))),IF(AND(OR(스왑분석!$C$6="N",L255=INDEX($L$2:$L$601,스왑분석!$C$12)),OR(스왑분석!$C$7="N",N255=INDEX($N$2:$N$601,스왑분석!$C$12)),OR(스왑분석!$C$8="N",AO255=0),E255-INDEX($E$2:$E$601,스왑분석!$C$12)&gt;=스왑분석!$C$9),E255-INDEX($E$2:$E$601,스왑분석!$C$12)+ROW()/1000000000,-999),-999),-999)</f>
        <v>43.207000255</v>
      </c>
      <c r="AU255" s="90" t="n">
        <f aca="false">IF(AND(Y255=1,AO255&gt;0,AL255="Rich"),-AK255+ROW()/1000000000,-999)</f>
        <v>-999</v>
      </c>
    </row>
    <row r="256" customFormat="false" ht="15" hidden="false" customHeight="false" outlineLevel="0" collapsed="false">
      <c r="A256" s="83" t="str">
        <f aca="false">IFERROR(IF(INDEX(원자료_시장!$A$1:$BZ$1000,설정!$L$6+ROW()-1,설정!$L$24)&amp;""="0","",INDEX(원자료_시장!$A$1:$BZ$1000,설정!$L$6+ROW()-1,설정!$L$24)),"")</f>
        <v>KOMRMR 4 7/8 04/13/31</v>
      </c>
      <c r="B256" s="83" t="str">
        <f aca="false">IFERROR(IF(INDEX(원자료_시장!$A$1:$BZ$1000,설정!$L$6+ROW()-1,설정!$L$37)&amp;""="0","",INDEX(원자료_시장!$A$1:$BZ$1000,설정!$L$6+ROW()-1,설정!$L$37)),"")</f>
        <v>KOREA MINE REHAB MINERAL</v>
      </c>
      <c r="C256" s="83" t="str">
        <f aca="false">IFERROR(IF(INDEX(원자료_시장!$A$1:$BZ$1000,설정!$L$6+ROW()-1,설정!$L$25)&amp;""="0","",INDEX(원자료_시장!$A$1:$BZ$1000,설정!$L$6+ROW()-1,설정!$L$25)),"")</f>
        <v>USD</v>
      </c>
      <c r="D256" s="85" t="n">
        <f aca="false">IFERROR(IF(ISNUMBER(INDEX(원자료_시장!$A$1:$BZ$1000,설정!$L$6+ROW()-1,설정!$L$26)),INDEX(원자료_시장!$A$1:$BZ$1000,설정!$L$6+ROW()-1,설정!$L$26),""),"")</f>
        <v>5.651</v>
      </c>
      <c r="E256" s="97" t="n">
        <f aca="false">IFERROR(IF(ISNUMBER(INDEX(원자료_시장!$A$1:$BZ$1000,설정!$L$6+ROW()-1,설정!$L$27)),INDEX(원자료_시장!$A$1:$BZ$1000,설정!$L$6+ROW()-1,설정!$L$27),""),"")</f>
        <v>56.385</v>
      </c>
      <c r="F256" s="97" t="n">
        <f aca="false">IFERROR(IF(ISNUMBER(INDEX(원자료_시장!$A$1:$BZ$1000,설정!$L$6+ROW()-1,설정!$L$28)),INDEX(원자료_시장!$A$1:$BZ$1000,설정!$L$6+ROW()-1,설정!$L$28),""),"")</f>
        <v>90.045</v>
      </c>
      <c r="G256" s="97" t="n">
        <f aca="false">IFERROR(IF(ISNUMBER(INDEX(원자료_시장!$A$1:$BZ$1000,설정!$L$6+ROW()-1,설정!$L$29)),INDEX(원자료_시장!$A$1:$BZ$1000,설정!$L$6+ROW()-1,설정!$L$29),""),"")</f>
        <v>-1.8</v>
      </c>
      <c r="H256" s="97" t="n">
        <f aca="false">IFERROR(IF(ISNUMBER(INDEX(원자료_시장!$A$1:$BZ$1000,설정!$L$6+ROW()-1,설정!$L$30)),INDEX(원자료_시장!$A$1:$BZ$1000,설정!$L$6+ROW()-1,설정!$L$30),""),"")</f>
        <v>2.8</v>
      </c>
      <c r="I256" s="97" t="n">
        <f aca="false">IFERROR(IF(ISNUMBER(INDEX(원자료_시장!$A$1:$BZ$1000,설정!$L$6+ROW()-1,설정!$L$31)),INDEX(원자료_시장!$A$1:$BZ$1000,설정!$L$6+ROW()-1,설정!$L$31),""),"")</f>
        <v>0.2</v>
      </c>
      <c r="J256" s="97" t="n">
        <f aca="false">IFERROR(IF(ISNUMBER(INDEX(원자료_시장!$A$1:$BZ$1000,설정!$L$6+ROW()-1,설정!$L$32)),INDEX(원자료_시장!$A$1:$BZ$1000,설정!$L$6+ROW()-1,설정!$L$32),""),"")</f>
        <v>0.9</v>
      </c>
      <c r="K256" s="85" t="n">
        <f aca="false">IFERROR(IF(ISNUMBER(INDEX(원자료_시장!$A$1:$BZ$1000,설정!$L$6+ROW()-1,설정!$L$33)),INDEX(원자료_시장!$A$1:$BZ$1000,설정!$L$6+ROW()-1,설정!$L$33),""),"")</f>
        <v>4.009</v>
      </c>
      <c r="L256" s="83" t="str">
        <f aca="false">IFERROR(IF(INDEX(원자료_시장!$A$1:$BZ$1000,설정!$L$6+ROW()-1,설정!$L$34)&amp;""="0","",INDEX(원자료_시장!$A$1:$BZ$1000,설정!$L$6+ROW()-1,설정!$L$34)),"")</f>
        <v>정부</v>
      </c>
      <c r="M256" s="83" t="str">
        <f aca="false">IFERROR(IF(INDEX(원자료_시장!$A$1:$BZ$1000,설정!$L$6+ROW()-1,설정!$L$35)&amp;""="0","",INDEX(원자료_시장!$A$1:$BZ$1000,설정!$L$6+ROW()-1,설정!$L$35)),"")</f>
        <v>A+</v>
      </c>
      <c r="N256" s="83" t="str">
        <f aca="false">IFERROR(IF(INDEX(원자료_시장!$A$1:$BZ$1000,설정!$L$6+ROW()-1,설정!$L$36)&amp;""="0","",INDEX(원자료_시장!$A$1:$BZ$1000,설정!$L$6+ROW()-1,설정!$L$36)),"")</f>
        <v>아시아/기타</v>
      </c>
      <c r="O256" s="43" t="str">
        <f aca="false">IF($A256="","",UPPER(LEFT($A256,FIND(" ",$A256&amp;" ")-1)))</f>
        <v>KOMRMR</v>
      </c>
      <c r="P256" s="43" t="str">
        <f aca="false">IF($A256="","",TRIM(RIGHT(SUBSTITUTE(TRIM($A256)," ",REPT(" ",30)),30)))</f>
        <v>04/13/31</v>
      </c>
      <c r="Q256" s="98" t="n">
        <f aca="false">IF($A256="","",IFERROR(DATE(IF(LEN(P256)=8,2000+VALUE(RIGHT(P256,2)),VALUE(RIGHT(P256,4))),VALUE(LEFT(P256,2)),VALUE(MID(P256,4,2))),""))</f>
        <v>47951</v>
      </c>
      <c r="R256" s="89" t="n">
        <f aca="false">IF($A256="",0,IF(ISNUMBER(SEARCH("Float",$A256)),1,0))</f>
        <v>0</v>
      </c>
      <c r="S256" s="43" t="str">
        <f aca="false">IF($A256="","",TRIM(MID($A256,LEN(O256)+2,LEN($A256)-LEN(O256)-LEN(P256)-1)))</f>
        <v>4 7/8</v>
      </c>
      <c r="T256" s="92" t="n">
        <f aca="false">IF(OR($A256="",R256=1),"",IFERROR(IF(ISNUMBER(FIND("/",S256)),IF(ISNUMBER(FIND(" ",S256)),VALUE(LEFT(S256,FIND(" ",S256)-1))+VALUE(MID(S256,FIND(" ",S256)+1,FIND("/",S256)-FIND(" ",S256)-1))/VALUE(MID(S256,FIND("/",S256)+1,9)),VALUE(LEFT(S256,FIND("/",S256)-1))/VALUE(MID(S256,FIND("/",S256)+1,9))),VALUE(S256)),""))</f>
        <v>4.875</v>
      </c>
      <c r="U256" s="43" t="str">
        <f aca="false">IF(OR($A256="",NOT(ISNUMBER(Q256))),"",TEXT(Q256,"yyyymmdd")&amp;"|"&amp;IF(R256=1,"F",TEXT(T256,"0.000")))</f>
        <v>20310413|4.875</v>
      </c>
      <c r="V256" s="43" t="str">
        <f aca="false">IF(U256="","",O256&amp;"|"&amp;U256)</f>
        <v>KOMRMR|20310413|4.875</v>
      </c>
      <c r="W256" s="43" t="str">
        <f aca="false">IF($A256="","",IFERROR(IF(VLOOKUP(O256,매핑!$A$4:$E$92,3,0)="","미분류",VLOOKUP(O256,매핑!$A$4:$E$92,3,0)),"미분류"))</f>
        <v>한국</v>
      </c>
      <c r="X256" s="89" t="n">
        <f aca="false">IF($A256="",0,IF(O256="T",1,0))</f>
        <v>0</v>
      </c>
      <c r="Y256" s="89" t="n">
        <f aca="false">IF($A256="",0,IF(AND(C256="USD",X256=0,ISNUMBER(E256),ISNUMBER(K256)),IF(K256&gt;=설정!$C$8,1,0),0))</f>
        <v>1</v>
      </c>
      <c r="Z256" s="43" t="str">
        <f aca="false">IF($A256="","",N256&amp;"|"&amp;L256)</f>
        <v>아시아/기타|정부</v>
      </c>
      <c r="AA256" s="92" t="n">
        <f aca="false">IF(Y256=1,LN(K256),0)</f>
        <v>1.38854183366037</v>
      </c>
      <c r="AB256" s="93" t="n">
        <f aca="false">IF(Y256=1,E256,0)</f>
        <v>56.385</v>
      </c>
      <c r="AC256" s="89" t="n">
        <f aca="false">IF(Y256=1,COUNTIFS($Z$2:$Z$601,Z256,$Y$2:$Y$601,1),0)</f>
        <v>51</v>
      </c>
      <c r="AD256" s="89" t="n">
        <f aca="false">IF(Y256=1,COUNTIFS($N$2:$N$601,N256,$Y$2:$Y$601,1),0)</f>
        <v>137</v>
      </c>
      <c r="AE256" s="43" t="str">
        <f aca="false">IF(Y256&lt;&gt;1,"",IF(AND(AC256&gt;=설정!$C$7,ISNUMBER(MATCH(Z256,피어커브!$A:$A,0))),Z256,IF(AND(AD256&gt;=설정!$C$7,ISNUMBER(MATCH(N256&amp;"|전체",피어커브!$A:$A,0))),N256&amp;"|전체","전체|전체")))</f>
        <v>아시아/기타|정부</v>
      </c>
      <c r="AF256" s="93" t="n">
        <f aca="false">IF(AE256="","",INDEX(피어커브!$K:$K,MATCH(AE256,피어커브!$A:$A,0)))</f>
        <v>-1.54860147302313</v>
      </c>
      <c r="AG256" s="93" t="n">
        <f aca="false">IF(AE256="","",INDEX(피어커브!$J:$J,MATCH(AE256,피어커브!$A:$A,0)))</f>
        <v>19.8674994409945</v>
      </c>
      <c r="AH256" s="93" t="n">
        <f aca="false">IF(AE256="","",INDEX(피어커브!$L:$L,MATCH(AE256,피어커브!$A:$A,0)))</f>
        <v>13.6930241146778</v>
      </c>
      <c r="AI256" s="93" t="n">
        <f aca="false">IF(AE256="","",AF256+AG256*AA256)</f>
        <v>26.0382526310218</v>
      </c>
      <c r="AJ256" s="96" t="n">
        <f aca="false">IF(AE256="","",E256-AI256)</f>
        <v>30.3467473689782</v>
      </c>
      <c r="AK256" s="95" t="n">
        <f aca="false">IF(AE256="","",IF(ISNUMBER(AH256),IF(AH256&gt;0,AJ256/AH256,""),""))</f>
        <v>2.21621952278963</v>
      </c>
      <c r="AL256" s="43" t="str">
        <f aca="false">IF(AK256="","-",IF(AK256&gt;=설정!$C$6,"Cheap",IF(AK256&lt;=-설정!$C$6,"Rich","Fair")))</f>
        <v>Cheap</v>
      </c>
      <c r="AM256" s="96" t="n">
        <f aca="false">IF(AE256="","",AJ256-AVERAGEIFS($AJ$2:$AJ$601,$B$2:$B$601,B256,$Y$2:$Y$601,1))</f>
        <v>0</v>
      </c>
      <c r="AN256" s="93" t="n">
        <f aca="false">IF(AE256="",0,IF(K256&gt;1+설정!$C$8,AG256*(AA256-LN(K256-1)),0))</f>
        <v>5.70066180007989</v>
      </c>
      <c r="AO256" s="99" t="n">
        <f aca="false">IF($A256="",0,SUMIFS(보유분석!$AA$2:$AA$801,보유분석!$AB$2:$AB$801,ROW(),보유분석!$AC$2:$AC$801,1))</f>
        <v>0</v>
      </c>
      <c r="AP256" s="43" t="str">
        <f aca="false">IF($A256="","",TRIM(IF(R256=1,"FRN ","")&amp;IF(IFERROR(VLOOKUP(M256,설정!$A$15:$D$47,4,0),0)&gt;=10,IF(IFERROR(VLOOKUP(M256,설정!$A$15:$D$47,4,0),0)&lt;99,"BBB0미만 ",""),"")&amp;IF(OR(M256="",M256="NR"),"등급미입력 ","")&amp;IF(C256&lt;&gt;"USD","비USD ","")))</f>
        <v/>
      </c>
      <c r="AQ256" s="90" t="n">
        <f aca="false">IF(AND(Y256=1,AL256="Cheap"),IF(AND(ISERROR(SEARCH("FRN",AP256)),ISERROR(SEARCH("BBB0미만",AP256))),AK256+ROW()/1000000000,-999),-999)</f>
        <v>2.21621977878963</v>
      </c>
      <c r="AR256" s="92" t="n">
        <f aca="false">IF(AND(ISNUMBER(D256),ISNUMBER(K256)),D256+AN256*MAX(K256-1,0)/100,"")</f>
        <v>5.8225329135644</v>
      </c>
      <c r="AS256" s="93" t="n">
        <f aca="false">IF(AND(ISNUMBER(E256),ISNUMBER(K256)),IF(K256&gt;0,(E256+AN256*MAX(K256-1,0))/K256,""),"")</f>
        <v>18.3433004131804</v>
      </c>
      <c r="AT256" s="90" t="n">
        <f aca="false">IFERROR(IF(AND(Y256=1,ROW()&lt;&gt;스왑분석!$C$12+1,ABS(K256-INDEX($K$2:$K$601,스왑분석!$C$12))&lt;=스왑분석!$C$5,ISERROR(SEARCH("FRN",AP256)),ISERROR(SEARCH("BBB0미만",AP256))),IF(AND(OR(스왑분석!$C$6="N",L256=INDEX($L$2:$L$601,스왑분석!$C$12)),OR(스왑분석!$C$7="N",N256=INDEX($N$2:$N$601,스왑분석!$C$12)),OR(스왑분석!$C$8="N",AO256=0),E256-INDEX($E$2:$E$601,스왑분석!$C$12)&gt;=스왑분석!$C$9),E256-INDEX($E$2:$E$601,스왑분석!$C$12)+ROW()/1000000000,-999),-999),-999)</f>
        <v>7.893000256</v>
      </c>
      <c r="AU256" s="90" t="n">
        <f aca="false">IF(AND(Y256=1,AO256&gt;0,AL256="Rich"),-AK256+ROW()/1000000000,-999)</f>
        <v>-999</v>
      </c>
    </row>
    <row r="257" customFormat="false" ht="15" hidden="false" customHeight="false" outlineLevel="0" collapsed="false">
      <c r="A257" s="83" t="str">
        <f aca="false">IFERROR(IF(INDEX(원자료_시장!$A$1:$BZ$1000,설정!$L$6+ROW()-1,설정!$L$24)&amp;""="0","",INDEX(원자료_시장!$A$1:$BZ$1000,설정!$L$6+ROW()-1,설정!$L$24)),"")</f>
        <v>KORAIR 4 1/8 04/21/29</v>
      </c>
      <c r="B257" s="83" t="str">
        <f aca="false">IFERROR(IF(INDEX(원자료_시장!$A$1:$BZ$1000,설정!$L$6+ROW()-1,설정!$L$37)&amp;""="0","",INDEX(원자료_시장!$A$1:$BZ$1000,설정!$L$6+ROW()-1,설정!$L$37)),"")</f>
        <v>INCHEON INTL AIRPORT</v>
      </c>
      <c r="C257" s="83" t="str">
        <f aca="false">IFERROR(IF(INDEX(원자료_시장!$A$1:$BZ$1000,설정!$L$6+ROW()-1,설정!$L$25)&amp;""="0","",INDEX(원자료_시장!$A$1:$BZ$1000,설정!$L$6+ROW()-1,설정!$L$25)),"")</f>
        <v>USD</v>
      </c>
      <c r="D257" s="85" t="n">
        <f aca="false">IFERROR(IF(ISNUMBER(INDEX(원자료_시장!$A$1:$BZ$1000,설정!$L$6+ROW()-1,설정!$L$26)),INDEX(원자료_시장!$A$1:$BZ$1000,설정!$L$6+ROW()-1,설정!$L$26),""),"")</f>
        <v>5.203</v>
      </c>
      <c r="E257" s="97" t="n">
        <f aca="false">IFERROR(IF(ISNUMBER(INDEX(원자료_시장!$A$1:$BZ$1000,설정!$L$6+ROW()-1,설정!$L$27)),INDEX(원자료_시장!$A$1:$BZ$1000,설정!$L$6+ROW()-1,설정!$L$27),""),"")</f>
        <v>20.232</v>
      </c>
      <c r="F257" s="97" t="n">
        <f aca="false">IFERROR(IF(ISNUMBER(INDEX(원자료_시장!$A$1:$BZ$1000,설정!$L$6+ROW()-1,설정!$L$28)),INDEX(원자료_시장!$A$1:$BZ$1000,설정!$L$6+ROW()-1,설정!$L$28),""),"")</f>
        <v>48.635</v>
      </c>
      <c r="G257" s="97" t="n">
        <f aca="false">IFERROR(IF(ISNUMBER(INDEX(원자료_시장!$A$1:$BZ$1000,설정!$L$6+ROW()-1,설정!$L$29)),INDEX(원자료_시장!$A$1:$BZ$1000,설정!$L$6+ROW()-1,설정!$L$29),""),"")</f>
        <v>-2.9</v>
      </c>
      <c r="H257" s="97" t="n">
        <f aca="false">IFERROR(IF(ISNUMBER(INDEX(원자료_시장!$A$1:$BZ$1000,설정!$L$6+ROW()-1,설정!$L$30)),INDEX(원자료_시장!$A$1:$BZ$1000,설정!$L$6+ROW()-1,설정!$L$30),""),"")</f>
        <v>2.1</v>
      </c>
      <c r="I257" s="97" t="n">
        <f aca="false">IFERROR(IF(ISNUMBER(INDEX(원자료_시장!$A$1:$BZ$1000,설정!$L$6+ROW()-1,설정!$L$31)),INDEX(원자료_시장!$A$1:$BZ$1000,설정!$L$6+ROW()-1,설정!$L$31),""),"")</f>
        <v>-0.9</v>
      </c>
      <c r="J257" s="97" t="n">
        <f aca="false">IFERROR(IF(ISNUMBER(INDEX(원자료_시장!$A$1:$BZ$1000,설정!$L$6+ROW()-1,설정!$L$32)),INDEX(원자료_시장!$A$1:$BZ$1000,설정!$L$6+ROW()-1,설정!$L$32),""),"")</f>
        <v>-8.3</v>
      </c>
      <c r="K257" s="85" t="n">
        <f aca="false">IFERROR(IF(ISNUMBER(INDEX(원자료_시장!$A$1:$BZ$1000,설정!$L$6+ROW()-1,설정!$L$33)),INDEX(원자료_시장!$A$1:$BZ$1000,설정!$L$6+ROW()-1,설정!$L$33),""),"")</f>
        <v>2.394</v>
      </c>
      <c r="L257" s="83" t="str">
        <f aca="false">IFERROR(IF(INDEX(원자료_시장!$A$1:$BZ$1000,설정!$L$6+ROW()-1,설정!$L$34)&amp;""="0","",INDEX(원자료_시장!$A$1:$BZ$1000,설정!$L$6+ROW()-1,설정!$L$34)),"")</f>
        <v>산업</v>
      </c>
      <c r="M257" s="83" t="str">
        <f aca="false">IFERROR(IF(INDEX(원자료_시장!$A$1:$BZ$1000,설정!$L$6+ROW()-1,설정!$L$35)&amp;""="0","",INDEX(원자료_시장!$A$1:$BZ$1000,설정!$L$6+ROW()-1,설정!$L$35)),"")</f>
        <v>AA</v>
      </c>
      <c r="N257" s="83" t="str">
        <f aca="false">IFERROR(IF(INDEX(원자료_시장!$A$1:$BZ$1000,설정!$L$6+ROW()-1,설정!$L$36)&amp;""="0","",INDEX(원자료_시장!$A$1:$BZ$1000,설정!$L$6+ROW()-1,설정!$L$36)),"")</f>
        <v>아시아/기타</v>
      </c>
      <c r="O257" s="43" t="str">
        <f aca="false">IF($A257="","",UPPER(LEFT($A257,FIND(" ",$A257&amp;" ")-1)))</f>
        <v>KORAIR</v>
      </c>
      <c r="P257" s="43" t="str">
        <f aca="false">IF($A257="","",TRIM(RIGHT(SUBSTITUTE(TRIM($A257)," ",REPT(" ",30)),30)))</f>
        <v>04/21/29</v>
      </c>
      <c r="Q257" s="98" t="n">
        <f aca="false">IF($A257="","",IFERROR(DATE(IF(LEN(P257)=8,2000+VALUE(RIGHT(P257,2)),VALUE(RIGHT(P257,4))),VALUE(LEFT(P257,2)),VALUE(MID(P257,4,2))),""))</f>
        <v>47229</v>
      </c>
      <c r="R257" s="89" t="n">
        <f aca="false">IF($A257="",0,IF(ISNUMBER(SEARCH("Float",$A257)),1,0))</f>
        <v>0</v>
      </c>
      <c r="S257" s="43" t="str">
        <f aca="false">IF($A257="","",TRIM(MID($A257,LEN(O257)+2,LEN($A257)-LEN(O257)-LEN(P257)-1)))</f>
        <v>4 1/8</v>
      </c>
      <c r="T257" s="92" t="n">
        <f aca="false">IF(OR($A257="",R257=1),"",IFERROR(IF(ISNUMBER(FIND("/",S257)),IF(ISNUMBER(FIND(" ",S257)),VALUE(LEFT(S257,FIND(" ",S257)-1))+VALUE(MID(S257,FIND(" ",S257)+1,FIND("/",S257)-FIND(" ",S257)-1))/VALUE(MID(S257,FIND("/",S257)+1,9)),VALUE(LEFT(S257,FIND("/",S257)-1))/VALUE(MID(S257,FIND("/",S257)+1,9))),VALUE(S257)),""))</f>
        <v>4.125</v>
      </c>
      <c r="U257" s="43" t="str">
        <f aca="false">IF(OR($A257="",NOT(ISNUMBER(Q257))),"",TEXT(Q257,"yyyymmdd")&amp;"|"&amp;IF(R257=1,"F",TEXT(T257,"0.000")))</f>
        <v>20290421|4.125</v>
      </c>
      <c r="V257" s="43" t="str">
        <f aca="false">IF(U257="","",O257&amp;"|"&amp;U257)</f>
        <v>KORAIR|20290421|4.125</v>
      </c>
      <c r="W257" s="43" t="str">
        <f aca="false">IF($A257="","",IFERROR(IF(VLOOKUP(O257,매핑!$A$4:$E$92,3,0)="","미분류",VLOOKUP(O257,매핑!$A$4:$E$92,3,0)),"미분류"))</f>
        <v>한국</v>
      </c>
      <c r="X257" s="89" t="n">
        <f aca="false">IF($A257="",0,IF(O257="T",1,0))</f>
        <v>0</v>
      </c>
      <c r="Y257" s="89" t="n">
        <f aca="false">IF($A257="",0,IF(AND(C257="USD",X257=0,ISNUMBER(E257),ISNUMBER(K257)),IF(K257&gt;=설정!$C$8,1,0),0))</f>
        <v>1</v>
      </c>
      <c r="Z257" s="43" t="str">
        <f aca="false">IF($A257="","",N257&amp;"|"&amp;L257)</f>
        <v>아시아/기타|산업</v>
      </c>
      <c r="AA257" s="92" t="n">
        <f aca="false">IF(Y257=1,LN(K257),0)</f>
        <v>0.872965607135781</v>
      </c>
      <c r="AB257" s="93" t="n">
        <f aca="false">IF(Y257=1,E257,0)</f>
        <v>20.232</v>
      </c>
      <c r="AC257" s="89" t="n">
        <f aca="false">IF(Y257=1,COUNTIFS($Z$2:$Z$601,Z257,$Y$2:$Y$601,1),0)</f>
        <v>3</v>
      </c>
      <c r="AD257" s="89" t="n">
        <f aca="false">IF(Y257=1,COUNTIFS($N$2:$N$601,N257,$Y$2:$Y$601,1),0)</f>
        <v>137</v>
      </c>
      <c r="AE257" s="43" t="str">
        <f aca="false">IF(Y257&lt;&gt;1,"",IF(AND(AC257&gt;=설정!$C$7,ISNUMBER(MATCH(Z257,피어커브!$A:$A,0))),Z257,IF(AND(AD257&gt;=설정!$C$7,ISNUMBER(MATCH(N257&amp;"|전체",피어커브!$A:$A,0))),N257&amp;"|전체","전체|전체")))</f>
        <v>아시아/기타|전체</v>
      </c>
      <c r="AF257" s="93" t="n">
        <f aca="false">IF(AE257="","",INDEX(피어커브!$K:$K,MATCH(AE257,피어커브!$A:$A,0)))</f>
        <v>19.1102274022067</v>
      </c>
      <c r="AG257" s="93" t="n">
        <f aca="false">IF(AE257="","",INDEX(피어커브!$J:$J,MATCH(AE257,피어커브!$A:$A,0)))</f>
        <v>26.6985069081074</v>
      </c>
      <c r="AH257" s="93" t="n">
        <f aca="false">IF(AE257="","",INDEX(피어커브!$L:$L,MATCH(AE257,피어커브!$A:$A,0)))</f>
        <v>27.5778213758018</v>
      </c>
      <c r="AI257" s="93" t="n">
        <f aca="false">IF(AE257="","",AF257+AG257*AA257)</f>
        <v>42.4171056948615</v>
      </c>
      <c r="AJ257" s="96" t="n">
        <f aca="false">IF(AE257="","",E257-AI257)</f>
        <v>-22.1851056948615</v>
      </c>
      <c r="AK257" s="95" t="n">
        <f aca="false">IF(AE257="","",IF(ISNUMBER(AH257),IF(AH257&gt;0,AJ257/AH257,""),""))</f>
        <v>-0.804454615632832</v>
      </c>
      <c r="AL257" s="43" t="str">
        <f aca="false">IF(AK257="","-",IF(AK257&gt;=설정!$C$6,"Cheap",IF(AK257&lt;=-설정!$C$6,"Rich","Fair")))</f>
        <v>Fair</v>
      </c>
      <c r="AM257" s="96" t="n">
        <f aca="false">IF(AE257="","",AJ257-AVERAGEIFS($AJ$2:$AJ$601,$B$2:$B$601,B257,$Y$2:$Y$601,1))</f>
        <v>0</v>
      </c>
      <c r="AN257" s="93" t="n">
        <f aca="false">IF(AE257="",0,IF(K257&gt;1+설정!$C$8,AG257*(AA257-LN(K257-1)),0))</f>
        <v>14.4382400244733</v>
      </c>
      <c r="AO257" s="99" t="n">
        <f aca="false">IF($A257="",0,SUMIFS(보유분석!$AA$2:$AA$801,보유분석!$AB$2:$AB$801,ROW(),보유분석!$AC$2:$AC$801,1))</f>
        <v>0</v>
      </c>
      <c r="AP257" s="43" t="str">
        <f aca="false">IF($A257="","",TRIM(IF(R257=1,"FRN ","")&amp;IF(IFERROR(VLOOKUP(M257,설정!$A$15:$D$47,4,0),0)&gt;=10,IF(IFERROR(VLOOKUP(M257,설정!$A$15:$D$47,4,0),0)&lt;99,"BBB0미만 ",""),"")&amp;IF(OR(M257="",M257="NR"),"등급미입력 ","")&amp;IF(C257&lt;&gt;"USD","비USD ","")))</f>
        <v/>
      </c>
      <c r="AQ257" s="90" t="n">
        <f aca="false">IF(AND(Y257=1,AL257="Cheap"),IF(AND(ISERROR(SEARCH("FRN",AP257)),ISERROR(SEARCH("BBB0미만",AP257))),AK257+ROW()/1000000000,-999),-999)</f>
        <v>-999</v>
      </c>
      <c r="AR257" s="92" t="n">
        <f aca="false">IF(AND(ISNUMBER(D257),ISNUMBER(K257)),D257+AN257*MAX(K257-1,0)/100,"")</f>
        <v>5.40426906594116</v>
      </c>
      <c r="AS257" s="93" t="n">
        <f aca="false">IF(AND(ISNUMBER(E257),ISNUMBER(K257)),IF(K257&gt;0,(E257+AN257*MAX(K257-1,0))/K257,""),"")</f>
        <v>16.8583569733149</v>
      </c>
      <c r="AT257" s="90" t="n">
        <f aca="false">IFERROR(IF(AND(Y257=1,ROW()&lt;&gt;스왑분석!$C$12+1,ABS(K257-INDEX($K$2:$K$601,스왑분석!$C$12))&lt;=스왑분석!$C$5,ISERROR(SEARCH("FRN",AP257)),ISERROR(SEARCH("BBB0미만",AP257))),IF(AND(OR(스왑분석!$C$6="N",L257=INDEX($L$2:$L$601,스왑분석!$C$12)),OR(스왑분석!$C$7="N",N257=INDEX($N$2:$N$601,스왑분석!$C$12)),OR(스왑분석!$C$8="N",AO257=0),E257-INDEX($E$2:$E$601,스왑분석!$C$12)&gt;=스왑분석!$C$9),E257-INDEX($E$2:$E$601,스왑분석!$C$12)+ROW()/1000000000,-999),-999),-999)</f>
        <v>-999</v>
      </c>
      <c r="AU257" s="90" t="n">
        <f aca="false">IF(AND(Y257=1,AO257&gt;0,AL257="Rich"),-AK257+ROW()/1000000000,-999)</f>
        <v>-999</v>
      </c>
    </row>
    <row r="258" customFormat="false" ht="15" hidden="false" customHeight="false" outlineLevel="0" collapsed="false">
      <c r="A258" s="83" t="str">
        <f aca="false">IFERROR(IF(INDEX(원자료_시장!$A$1:$BZ$1000,설정!$L$6+ROW()-1,설정!$L$24)&amp;""="0","",INDEX(원자료_시장!$A$1:$BZ$1000,설정!$L$6+ROW()-1,설정!$L$24)),"")</f>
        <v>HANFGI 4 7/8 06/02/31</v>
      </c>
      <c r="B258" s="83" t="str">
        <f aca="false">IFERROR(IF(INDEX(원자료_시장!$A$1:$BZ$1000,설정!$L$6+ROW()-1,설정!$L$37)&amp;""="0","",INDEX(원자료_시장!$A$1:$BZ$1000,설정!$L$6+ROW()-1,설정!$L$37)),"")</f>
        <v>HANA SECURITIES CO LTD</v>
      </c>
      <c r="C258" s="83" t="str">
        <f aca="false">IFERROR(IF(INDEX(원자료_시장!$A$1:$BZ$1000,설정!$L$6+ROW()-1,설정!$L$25)&amp;""="0","",INDEX(원자료_시장!$A$1:$BZ$1000,설정!$L$6+ROW()-1,설정!$L$25)),"")</f>
        <v>USD</v>
      </c>
      <c r="D258" s="85" t="n">
        <f aca="false">IFERROR(IF(ISNUMBER(INDEX(원자료_시장!$A$1:$BZ$1000,설정!$L$6+ROW()-1,설정!$L$26)),INDEX(원자료_시장!$A$1:$BZ$1000,설정!$L$6+ROW()-1,설정!$L$26),""),"")</f>
        <v>5.987</v>
      </c>
      <c r="E258" s="97" t="n">
        <f aca="false">IFERROR(IF(ISNUMBER(INDEX(원자료_시장!$A$1:$BZ$1000,설정!$L$6+ROW()-1,설정!$L$27)),INDEX(원자료_시장!$A$1:$BZ$1000,설정!$L$6+ROW()-1,설정!$L$27),""),"")</f>
        <v>90.057</v>
      </c>
      <c r="F258" s="97" t="n">
        <f aca="false">IFERROR(IF(ISNUMBER(INDEX(원자료_시장!$A$1:$BZ$1000,설정!$L$6+ROW()-1,설정!$L$28)),INDEX(원자료_시장!$A$1:$BZ$1000,설정!$L$6+ROW()-1,설정!$L$28),""),"")</f>
        <v>123.595</v>
      </c>
      <c r="G258" s="97" t="n">
        <f aca="false">IFERROR(IF(ISNUMBER(INDEX(원자료_시장!$A$1:$BZ$1000,설정!$L$6+ROW()-1,설정!$L$29)),INDEX(원자료_시장!$A$1:$BZ$1000,설정!$L$6+ROW()-1,설정!$L$29),""),"")</f>
        <v>-0.1</v>
      </c>
      <c r="H258" s="97" t="n">
        <f aca="false">IFERROR(IF(ISNUMBER(INDEX(원자료_시장!$A$1:$BZ$1000,설정!$L$6+ROW()-1,설정!$L$30)),INDEX(원자료_시장!$A$1:$BZ$1000,설정!$L$6+ROW()-1,설정!$L$30),""),"")</f>
        <v>3.3</v>
      </c>
      <c r="I258" s="97" t="n">
        <f aca="false">IFERROR(IF(ISNUMBER(INDEX(원자료_시장!$A$1:$BZ$1000,설정!$L$6+ROW()-1,설정!$L$31)),INDEX(원자료_시장!$A$1:$BZ$1000,설정!$L$6+ROW()-1,설정!$L$31),""),"")</f>
        <v>-1.8</v>
      </c>
      <c r="J258" s="97" t="n">
        <f aca="false">IFERROR(IF(ISNUMBER(INDEX(원자료_시장!$A$1:$BZ$1000,설정!$L$6+ROW()-1,설정!$L$32)),INDEX(원자료_시장!$A$1:$BZ$1000,설정!$L$6+ROW()-1,설정!$L$32),""),"")</f>
        <v>2.6</v>
      </c>
      <c r="K258" s="85" t="n">
        <f aca="false">IFERROR(IF(ISNUMBER(INDEX(원자료_시장!$A$1:$BZ$1000,설정!$L$6+ROW()-1,설정!$L$33)),INDEX(원자료_시장!$A$1:$BZ$1000,설정!$L$6+ROW()-1,설정!$L$33),""),"")</f>
        <v>4.141</v>
      </c>
      <c r="L258" s="83" t="str">
        <f aca="false">IFERROR(IF(INDEX(원자료_시장!$A$1:$BZ$1000,설정!$L$6+ROW()-1,설정!$L$34)&amp;""="0","",INDEX(원자료_시장!$A$1:$BZ$1000,설정!$L$6+ROW()-1,설정!$L$34)),"")</f>
        <v>금융기관</v>
      </c>
      <c r="M258" s="83" t="str">
        <f aca="false">IFERROR(IF(INDEX(원자료_시장!$A$1:$BZ$1000,설정!$L$6+ROW()-1,설정!$L$35)&amp;""="0","",INDEX(원자료_시장!$A$1:$BZ$1000,설정!$L$6+ROW()-1,설정!$L$35)),"")</f>
        <v>A-</v>
      </c>
      <c r="N258" s="83" t="str">
        <f aca="false">IFERROR(IF(INDEX(원자료_시장!$A$1:$BZ$1000,설정!$L$6+ROW()-1,설정!$L$36)&amp;""="0","",INDEX(원자료_시장!$A$1:$BZ$1000,설정!$L$6+ROW()-1,설정!$L$36)),"")</f>
        <v>아시아/기타</v>
      </c>
      <c r="O258" s="43" t="str">
        <f aca="false">IF($A258="","",UPPER(LEFT($A258,FIND(" ",$A258&amp;" ")-1)))</f>
        <v>HANFGI</v>
      </c>
      <c r="P258" s="43" t="str">
        <f aca="false">IF($A258="","",TRIM(RIGHT(SUBSTITUTE(TRIM($A258)," ",REPT(" ",30)),30)))</f>
        <v>06/02/31</v>
      </c>
      <c r="Q258" s="98" t="n">
        <f aca="false">IF($A258="","",IFERROR(DATE(IF(LEN(P258)=8,2000+VALUE(RIGHT(P258,2)),VALUE(RIGHT(P258,4))),VALUE(LEFT(P258,2)),VALUE(MID(P258,4,2))),""))</f>
        <v>48001</v>
      </c>
      <c r="R258" s="89" t="n">
        <f aca="false">IF($A258="",0,IF(ISNUMBER(SEARCH("Float",$A258)),1,0))</f>
        <v>0</v>
      </c>
      <c r="S258" s="43" t="str">
        <f aca="false">IF($A258="","",TRIM(MID($A258,LEN(O258)+2,LEN($A258)-LEN(O258)-LEN(P258)-1)))</f>
        <v>4 7/8</v>
      </c>
      <c r="T258" s="92" t="n">
        <f aca="false">IF(OR($A258="",R258=1),"",IFERROR(IF(ISNUMBER(FIND("/",S258)),IF(ISNUMBER(FIND(" ",S258)),VALUE(LEFT(S258,FIND(" ",S258)-1))+VALUE(MID(S258,FIND(" ",S258)+1,FIND("/",S258)-FIND(" ",S258)-1))/VALUE(MID(S258,FIND("/",S258)+1,9)),VALUE(LEFT(S258,FIND("/",S258)-1))/VALUE(MID(S258,FIND("/",S258)+1,9))),VALUE(S258)),""))</f>
        <v>4.875</v>
      </c>
      <c r="U258" s="43" t="str">
        <f aca="false">IF(OR($A258="",NOT(ISNUMBER(Q258))),"",TEXT(Q258,"yyyymmdd")&amp;"|"&amp;IF(R258=1,"F",TEXT(T258,"0.000")))</f>
        <v>20310602|4.875</v>
      </c>
      <c r="V258" s="43" t="str">
        <f aca="false">IF(U258="","",O258&amp;"|"&amp;U258)</f>
        <v>HANFGI|20310602|4.875</v>
      </c>
      <c r="W258" s="43" t="str">
        <f aca="false">IF($A258="","",IFERROR(IF(VLOOKUP(O258,매핑!$A$4:$E$92,3,0)="","미분류",VLOOKUP(O258,매핑!$A$4:$E$92,3,0)),"미분류"))</f>
        <v>한국</v>
      </c>
      <c r="X258" s="89" t="n">
        <f aca="false">IF($A258="",0,IF(O258="T",1,0))</f>
        <v>0</v>
      </c>
      <c r="Y258" s="89" t="n">
        <f aca="false">IF($A258="",0,IF(AND(C258="USD",X258=0,ISNUMBER(E258),ISNUMBER(K258)),IF(K258&gt;=설정!$C$8,1,0),0))</f>
        <v>1</v>
      </c>
      <c r="Z258" s="43" t="str">
        <f aca="false">IF($A258="","",N258&amp;"|"&amp;L258)</f>
        <v>아시아/기타|금융기관</v>
      </c>
      <c r="AA258" s="92" t="n">
        <f aca="false">IF(Y258=1,LN(K258),0)</f>
        <v>1.42093730456343</v>
      </c>
      <c r="AB258" s="93" t="n">
        <f aca="false">IF(Y258=1,E258,0)</f>
        <v>90.057</v>
      </c>
      <c r="AC258" s="89" t="n">
        <f aca="false">IF(Y258=1,COUNTIFS($Z$2:$Z$601,Z258,$Y$2:$Y$601,1),0)</f>
        <v>42</v>
      </c>
      <c r="AD258" s="89" t="n">
        <f aca="false">IF(Y258=1,COUNTIFS($N$2:$N$601,N258,$Y$2:$Y$601,1),0)</f>
        <v>137</v>
      </c>
      <c r="AE258" s="43" t="str">
        <f aca="false">IF(Y258&lt;&gt;1,"",IF(AND(AC258&gt;=설정!$C$7,ISNUMBER(MATCH(Z258,피어커브!$A:$A,0))),Z258,IF(AND(AD258&gt;=설정!$C$7,ISNUMBER(MATCH(N258&amp;"|전체",피어커브!$A:$A,0))),N258&amp;"|전체","전체|전체")))</f>
        <v>아시아/기타|금융기관</v>
      </c>
      <c r="AF258" s="93" t="n">
        <f aca="false">IF(AE258="","",INDEX(피어커브!$K:$K,MATCH(AE258,피어커브!$A:$A,0)))</f>
        <v>50.117430292991</v>
      </c>
      <c r="AG258" s="93" t="n">
        <f aca="false">IF(AE258="","",INDEX(피어커브!$J:$J,MATCH(AE258,피어커브!$A:$A,0)))</f>
        <v>13.9183160321618</v>
      </c>
      <c r="AH258" s="93" t="n">
        <f aca="false">IF(AE258="","",INDEX(피어커브!$L:$L,MATCH(AE258,피어커브!$A:$A,0)))</f>
        <v>20.4735875466442</v>
      </c>
      <c r="AI258" s="93" t="n">
        <f aca="false">IF(AE258="","",AF258+AG258*AA258)</f>
        <v>69.894484759793</v>
      </c>
      <c r="AJ258" s="96" t="n">
        <f aca="false">IF(AE258="","",E258-AI258)</f>
        <v>20.162515240207</v>
      </c>
      <c r="AK258" s="95" t="n">
        <f aca="false">IF(AE258="","",IF(ISNUMBER(AH258),IF(AH258&gt;0,AJ258/AH258,""),""))</f>
        <v>0.984806165224905</v>
      </c>
      <c r="AL258" s="43" t="str">
        <f aca="false">IF(AK258="","-",IF(AK258&gt;=설정!$C$6,"Cheap",IF(AK258&lt;=-설정!$C$6,"Rich","Fair")))</f>
        <v>Fair</v>
      </c>
      <c r="AM258" s="96" t="n">
        <f aca="false">IF(AE258="","",AJ258-AVERAGEIFS($AJ$2:$AJ$601,$B$2:$B$601,B258,$Y$2:$Y$601,1))</f>
        <v>6.68273627099723</v>
      </c>
      <c r="AN258" s="93" t="n">
        <f aca="false">IF(AE258="",0,IF(K258&gt;1+설정!$C$8,AG258*(AA258-LN(K258-1)),0))</f>
        <v>3.84696804726027</v>
      </c>
      <c r="AO258" s="99" t="n">
        <f aca="false">IF($A258="",0,SUMIFS(보유분석!$AA$2:$AA$801,보유분석!$AB$2:$AB$801,ROW(),보유분석!$AC$2:$AC$801,1))</f>
        <v>0</v>
      </c>
      <c r="AP258" s="43" t="str">
        <f aca="false">IF($A258="","",TRIM(IF(R258=1,"FRN ","")&amp;IF(IFERROR(VLOOKUP(M258,설정!$A$15:$D$47,4,0),0)&gt;=10,IF(IFERROR(VLOOKUP(M258,설정!$A$15:$D$47,4,0),0)&lt;99,"BBB0미만 ",""),"")&amp;IF(OR(M258="",M258="NR"),"등급미입력 ","")&amp;IF(C258&lt;&gt;"USD","비USD ","")))</f>
        <v/>
      </c>
      <c r="AQ258" s="90" t="n">
        <f aca="false">IF(AND(Y258=1,AL258="Cheap"),IF(AND(ISERROR(SEARCH("FRN",AP258)),ISERROR(SEARCH("BBB0미만",AP258))),AK258+ROW()/1000000000,-999),-999)</f>
        <v>-999</v>
      </c>
      <c r="AR258" s="92" t="n">
        <f aca="false">IF(AND(ISNUMBER(D258),ISNUMBER(K258)),D258+AN258*MAX(K258-1,0)/100,"")</f>
        <v>6.10783326636445</v>
      </c>
      <c r="AS258" s="93" t="n">
        <f aca="false">IF(AND(ISNUMBER(E258),ISNUMBER(K258)),IF(K258&gt;0,(E258+AN258*MAX(K258-1,0))/K258,""),"")</f>
        <v>24.6656186033433</v>
      </c>
      <c r="AT258" s="90" t="n">
        <f aca="false">IFERROR(IF(AND(Y258=1,ROW()&lt;&gt;스왑분석!$C$12+1,ABS(K258-INDEX($K$2:$K$601,스왑분석!$C$12))&lt;=스왑분석!$C$5,ISERROR(SEARCH("FRN",AP258)),ISERROR(SEARCH("BBB0미만",AP258))),IF(AND(OR(스왑분석!$C$6="N",L258=INDEX($L$2:$L$601,스왑분석!$C$12)),OR(스왑분석!$C$7="N",N258=INDEX($N$2:$N$601,스왑분석!$C$12)),OR(스왑분석!$C$8="N",AO258=0),E258-INDEX($E$2:$E$601,스왑분석!$C$12)&gt;=스왑분석!$C$9),E258-INDEX($E$2:$E$601,스왑분석!$C$12)+ROW()/1000000000,-999),-999),-999)</f>
        <v>41.565000258</v>
      </c>
      <c r="AU258" s="90" t="n">
        <f aca="false">IF(AND(Y258=1,AO258&gt;0,AL258="Rich"),-AK258+ROW()/1000000000,-999)</f>
        <v>-999</v>
      </c>
    </row>
    <row r="259" customFormat="false" ht="15" hidden="false" customHeight="false" outlineLevel="0" collapsed="false">
      <c r="A259" s="83" t="str">
        <f aca="false">IFERROR(IF(INDEX(원자료_시장!$A$1:$BZ$1000,설정!$L$6+ROW()-1,설정!$L$24)&amp;""="0","",INDEX(원자료_시장!$A$1:$BZ$1000,설정!$L$6+ROW()-1,설정!$L$24)),"")</f>
        <v>DAESEC 5 1/8 07/06/29</v>
      </c>
      <c r="B259" s="83" t="str">
        <f aca="false">IFERROR(IF(INDEX(원자료_시장!$A$1:$BZ$1000,설정!$L$6+ROW()-1,설정!$L$37)&amp;""="0","",INDEX(원자료_시장!$A$1:$BZ$1000,설정!$L$6+ROW()-1,설정!$L$37)),"")</f>
        <v>MIRAE ASSET SECURITIES</v>
      </c>
      <c r="C259" s="83" t="str">
        <f aca="false">IFERROR(IF(INDEX(원자료_시장!$A$1:$BZ$1000,설정!$L$6+ROW()-1,설정!$L$25)&amp;""="0","",INDEX(원자료_시장!$A$1:$BZ$1000,설정!$L$6+ROW()-1,설정!$L$25)),"")</f>
        <v>USD</v>
      </c>
      <c r="D259" s="85" t="n">
        <f aca="false">IFERROR(IF(ISNUMBER(INDEX(원자료_시장!$A$1:$BZ$1000,설정!$L$6+ROW()-1,설정!$L$26)),INDEX(원자료_시장!$A$1:$BZ$1000,설정!$L$6+ROW()-1,설정!$L$26),""),"")</f>
        <v>5.805</v>
      </c>
      <c r="E259" s="97" t="n">
        <f aca="false">IFERROR(IF(ISNUMBER(INDEX(원자료_시장!$A$1:$BZ$1000,설정!$L$6+ROW()-1,설정!$L$27)),INDEX(원자료_시장!$A$1:$BZ$1000,설정!$L$6+ROW()-1,설정!$L$27),""),"")</f>
        <v>80.439</v>
      </c>
      <c r="F259" s="97" t="n">
        <f aca="false">IFERROR(IF(ISNUMBER(INDEX(원자료_시장!$A$1:$BZ$1000,설정!$L$6+ROW()-1,설정!$L$28)),INDEX(원자료_시장!$A$1:$BZ$1000,설정!$L$6+ROW()-1,설정!$L$28),""),"")</f>
        <v>107.912</v>
      </c>
      <c r="G259" s="97" t="n">
        <f aca="false">IFERROR(IF(ISNUMBER(INDEX(원자료_시장!$A$1:$BZ$1000,설정!$L$6+ROW()-1,설정!$L$29)),INDEX(원자료_시장!$A$1:$BZ$1000,설정!$L$6+ROW()-1,설정!$L$29),""),"")</f>
        <v>-1.4</v>
      </c>
      <c r="H259" s="97" t="n">
        <f aca="false">IFERROR(IF(ISNUMBER(INDEX(원자료_시장!$A$1:$BZ$1000,설정!$L$6+ROW()-1,설정!$L$30)),INDEX(원자료_시장!$A$1:$BZ$1000,설정!$L$6+ROW()-1,설정!$L$30),""),"")</f>
        <v>6.2</v>
      </c>
      <c r="I259" s="97" t="n">
        <f aca="false">IFERROR(IF(ISNUMBER(INDEX(원자료_시장!$A$1:$BZ$1000,설정!$L$6+ROW()-1,설정!$L$31)),INDEX(원자료_시장!$A$1:$BZ$1000,설정!$L$6+ROW()-1,설정!$L$31),""),"")</f>
        <v>-4.7</v>
      </c>
      <c r="J259" s="97" t="n">
        <f aca="false">IFERROR(IF(ISNUMBER(INDEX(원자료_시장!$A$1:$BZ$1000,설정!$L$6+ROW()-1,설정!$L$32)),INDEX(원자료_시장!$A$1:$BZ$1000,설정!$L$6+ROW()-1,설정!$L$32),""),"")</f>
        <v>-11</v>
      </c>
      <c r="K259" s="85" t="n">
        <f aca="false">IFERROR(IF(ISNUMBER(INDEX(원자료_시장!$A$1:$BZ$1000,설정!$L$6+ROW()-1,설정!$L$33)),INDEX(원자료_시장!$A$1:$BZ$1000,설정!$L$6+ROW()-1,설정!$L$33),""),"")</f>
        <v>2.57</v>
      </c>
      <c r="L259" s="83" t="str">
        <f aca="false">IFERROR(IF(INDEX(원자료_시장!$A$1:$BZ$1000,설정!$L$6+ROW()-1,설정!$L$34)&amp;""="0","",INDEX(원자료_시장!$A$1:$BZ$1000,설정!$L$6+ROW()-1,설정!$L$34)),"")</f>
        <v>금융기관</v>
      </c>
      <c r="M259" s="83" t="n">
        <f aca="false">IFERROR(IF(INDEX(원자료_시장!$A$1:$BZ$1000,설정!$L$6+ROW()-1,설정!$L$35)&amp;""="0","",INDEX(원자료_시장!$A$1:$BZ$1000,설정!$L$6+ROW()-1,설정!$L$35)),"")</f>
        <v>0</v>
      </c>
      <c r="N259" s="83" t="str">
        <f aca="false">IFERROR(IF(INDEX(원자료_시장!$A$1:$BZ$1000,설정!$L$6+ROW()-1,설정!$L$36)&amp;""="0","",INDEX(원자료_시장!$A$1:$BZ$1000,설정!$L$6+ROW()-1,설정!$L$36)),"")</f>
        <v>아시아/기타</v>
      </c>
      <c r="O259" s="43" t="str">
        <f aca="false">IF($A259="","",UPPER(LEFT($A259,FIND(" ",$A259&amp;" ")-1)))</f>
        <v>DAESEC</v>
      </c>
      <c r="P259" s="43" t="str">
        <f aca="false">IF($A259="","",TRIM(RIGHT(SUBSTITUTE(TRIM($A259)," ",REPT(" ",30)),30)))</f>
        <v>07/06/29</v>
      </c>
      <c r="Q259" s="98" t="n">
        <f aca="false">IF($A259="","",IFERROR(DATE(IF(LEN(P259)=8,2000+VALUE(RIGHT(P259,2)),VALUE(RIGHT(P259,4))),VALUE(LEFT(P259,2)),VALUE(MID(P259,4,2))),""))</f>
        <v>47305</v>
      </c>
      <c r="R259" s="89" t="n">
        <f aca="false">IF($A259="",0,IF(ISNUMBER(SEARCH("Float",$A259)),1,0))</f>
        <v>0</v>
      </c>
      <c r="S259" s="43" t="str">
        <f aca="false">IF($A259="","",TRIM(MID($A259,LEN(O259)+2,LEN($A259)-LEN(O259)-LEN(P259)-1)))</f>
        <v>5 1/8</v>
      </c>
      <c r="T259" s="92" t="n">
        <f aca="false">IF(OR($A259="",R259=1),"",IFERROR(IF(ISNUMBER(FIND("/",S259)),IF(ISNUMBER(FIND(" ",S259)),VALUE(LEFT(S259,FIND(" ",S259)-1))+VALUE(MID(S259,FIND(" ",S259)+1,FIND("/",S259)-FIND(" ",S259)-1))/VALUE(MID(S259,FIND("/",S259)+1,9)),VALUE(LEFT(S259,FIND("/",S259)-1))/VALUE(MID(S259,FIND("/",S259)+1,9))),VALUE(S259)),""))</f>
        <v>5.125</v>
      </c>
      <c r="U259" s="43" t="str">
        <f aca="false">IF(OR($A259="",NOT(ISNUMBER(Q259))),"",TEXT(Q259,"yyyymmdd")&amp;"|"&amp;IF(R259=1,"F",TEXT(T259,"0.000")))</f>
        <v>20290706|5.125</v>
      </c>
      <c r="V259" s="43" t="str">
        <f aca="false">IF(U259="","",O259&amp;"|"&amp;U259)</f>
        <v>DAESEC|20290706|5.125</v>
      </c>
      <c r="W259" s="43" t="str">
        <f aca="false">IF($A259="","",IFERROR(IF(VLOOKUP(O259,매핑!$A$4:$E$92,3,0)="","미분류",VLOOKUP(O259,매핑!$A$4:$E$92,3,0)),"미분류"))</f>
        <v>한국</v>
      </c>
      <c r="X259" s="89" t="n">
        <f aca="false">IF($A259="",0,IF(O259="T",1,0))</f>
        <v>0</v>
      </c>
      <c r="Y259" s="89" t="n">
        <f aca="false">IF($A259="",0,IF(AND(C259="USD",X259=0,ISNUMBER(E259),ISNUMBER(K259)),IF(K259&gt;=설정!$C$8,1,0),0))</f>
        <v>1</v>
      </c>
      <c r="Z259" s="43" t="str">
        <f aca="false">IF($A259="","",N259&amp;"|"&amp;L259)</f>
        <v>아시아/기타|금융기관</v>
      </c>
      <c r="AA259" s="92" t="n">
        <f aca="false">IF(Y259=1,LN(K259),0)</f>
        <v>0.943905898907128</v>
      </c>
      <c r="AB259" s="93" t="n">
        <f aca="false">IF(Y259=1,E259,0)</f>
        <v>80.439</v>
      </c>
      <c r="AC259" s="89" t="n">
        <f aca="false">IF(Y259=1,COUNTIFS($Z$2:$Z$601,Z259,$Y$2:$Y$601,1),0)</f>
        <v>42</v>
      </c>
      <c r="AD259" s="89" t="n">
        <f aca="false">IF(Y259=1,COUNTIFS($N$2:$N$601,N259,$Y$2:$Y$601,1),0)</f>
        <v>137</v>
      </c>
      <c r="AE259" s="43" t="str">
        <f aca="false">IF(Y259&lt;&gt;1,"",IF(AND(AC259&gt;=설정!$C$7,ISNUMBER(MATCH(Z259,피어커브!$A:$A,0))),Z259,IF(AND(AD259&gt;=설정!$C$7,ISNUMBER(MATCH(N259&amp;"|전체",피어커브!$A:$A,0))),N259&amp;"|전체","전체|전체")))</f>
        <v>아시아/기타|금융기관</v>
      </c>
      <c r="AF259" s="93" t="n">
        <f aca="false">IF(AE259="","",INDEX(피어커브!$K:$K,MATCH(AE259,피어커브!$A:$A,0)))</f>
        <v>50.117430292991</v>
      </c>
      <c r="AG259" s="93" t="n">
        <f aca="false">IF(AE259="","",INDEX(피어커브!$J:$J,MATCH(AE259,피어커브!$A:$A,0)))</f>
        <v>13.9183160321618</v>
      </c>
      <c r="AH259" s="93" t="n">
        <f aca="false">IF(AE259="","",INDEX(피어커브!$L:$L,MATCH(AE259,피어커브!$A:$A,0)))</f>
        <v>20.4735875466442</v>
      </c>
      <c r="AI259" s="93" t="n">
        <f aca="false">IF(AE259="","",AF259+AG259*AA259)</f>
        <v>63.2550108986022</v>
      </c>
      <c r="AJ259" s="96" t="n">
        <f aca="false">IF(AE259="","",E259-AI259)</f>
        <v>17.1839891013978</v>
      </c>
      <c r="AK259" s="95" t="n">
        <f aca="false">IF(AE259="","",IF(ISNUMBER(AH259),IF(AH259&gt;0,AJ259/AH259,""),""))</f>
        <v>0.839324767203021</v>
      </c>
      <c r="AL259" s="43" t="str">
        <f aca="false">IF(AK259="","-",IF(AK259&gt;=설정!$C$6,"Cheap",IF(AK259&lt;=-설정!$C$6,"Rich","Fair")))</f>
        <v>Fair</v>
      </c>
      <c r="AM259" s="96" t="n">
        <f aca="false">IF(AE259="","",AJ259-AVERAGEIFS($AJ$2:$AJ$601,$B$2:$B$601,B259,$Y$2:$Y$601,1))</f>
        <v>-4.46370458349489</v>
      </c>
      <c r="AN259" s="93" t="n">
        <f aca="false">IF(AE259="",0,IF(K259&gt;1+설정!$C$8,AG259*(AA259-LN(K259-1)),0))</f>
        <v>6.85936758095257</v>
      </c>
      <c r="AO259" s="99" t="n">
        <f aca="false">IF($A259="",0,SUMIFS(보유분석!$AA$2:$AA$801,보유분석!$AB$2:$AB$801,ROW(),보유분석!$AC$2:$AC$801,1))</f>
        <v>9.83138</v>
      </c>
      <c r="AP259" s="43" t="str">
        <f aca="false">IF($A259="","",TRIM(IF(R259=1,"FRN ","")&amp;IF(IFERROR(VLOOKUP(M259,설정!$A$15:$D$47,4,0),0)&gt;=10,IF(IFERROR(VLOOKUP(M259,설정!$A$15:$D$47,4,0),0)&lt;99,"BBB0미만 ",""),"")&amp;IF(OR(M259="",M259="NR"),"등급미입력 ","")&amp;IF(C259&lt;&gt;"USD","비USD ","")))</f>
        <v>등급미입력</v>
      </c>
      <c r="AQ259" s="90" t="n">
        <f aca="false">IF(AND(Y259=1,AL259="Cheap"),IF(AND(ISERROR(SEARCH("FRN",AP259)),ISERROR(SEARCH("BBB0미만",AP259))),AK259+ROW()/1000000000,-999),-999)</f>
        <v>-999</v>
      </c>
      <c r="AR259" s="92" t="n">
        <f aca="false">IF(AND(ISNUMBER(D259),ISNUMBER(K259)),D259+AN259*MAX(K259-1,0)/100,"")</f>
        <v>5.91269207102096</v>
      </c>
      <c r="AS259" s="93" t="n">
        <f aca="false">IF(AND(ISNUMBER(E259),ISNUMBER(K259)),IF(K259&gt;0,(E259+AN259*MAX(K259-1,0))/K259,""),"")</f>
        <v>35.4895747478971</v>
      </c>
      <c r="AT259" s="90" t="n">
        <f aca="false">IFERROR(IF(AND(Y259=1,ROW()&lt;&gt;스왑분석!$C$12+1,ABS(K259-INDEX($K$2:$K$601,스왑분석!$C$12))&lt;=스왑분석!$C$5,ISERROR(SEARCH("FRN",AP259)),ISERROR(SEARCH("BBB0미만",AP259))),IF(AND(OR(스왑분석!$C$6="N",L259=INDEX($L$2:$L$601,스왑분석!$C$12)),OR(스왑분석!$C$7="N",N259=INDEX($N$2:$N$601,스왑분석!$C$12)),OR(스왑분석!$C$8="N",AO259=0),E259-INDEX($E$2:$E$601,스왑분석!$C$12)&gt;=스왑분석!$C$9),E259-INDEX($E$2:$E$601,스왑분석!$C$12)+ROW()/1000000000,-999),-999),-999)</f>
        <v>31.947000259</v>
      </c>
      <c r="AU259" s="90" t="n">
        <f aca="false">IF(AND(Y259=1,AO259&gt;0,AL259="Rich"),-AK259+ROW()/1000000000,-999)</f>
        <v>-999</v>
      </c>
    </row>
    <row r="260" customFormat="false" ht="15" hidden="false" customHeight="false" outlineLevel="0" collapsed="false">
      <c r="A260" s="83" t="str">
        <f aca="false">IFERROR(IF(INDEX(원자료_시장!$A$1:$BZ$1000,설정!$L$6+ROW()-1,설정!$L$24)&amp;""="0","",INDEX(원자료_시장!$A$1:$BZ$1000,설정!$L$6+ROW()-1,설정!$L$24)),"")</f>
        <v>DAESEC 5 1/4 07/06/31</v>
      </c>
      <c r="B260" s="83" t="str">
        <f aca="false">IFERROR(IF(INDEX(원자료_시장!$A$1:$BZ$1000,설정!$L$6+ROW()-1,설정!$L$37)&amp;""="0","",INDEX(원자료_시장!$A$1:$BZ$1000,설정!$L$6+ROW()-1,설정!$L$37)),"")</f>
        <v>MIRAE ASSET SECURITIES</v>
      </c>
      <c r="C260" s="83" t="str">
        <f aca="false">IFERROR(IF(INDEX(원자료_시장!$A$1:$BZ$1000,설정!$L$6+ROW()-1,설정!$L$25)&amp;""="0","",INDEX(원자료_시장!$A$1:$BZ$1000,설정!$L$6+ROW()-1,설정!$L$25)),"")</f>
        <v>USD</v>
      </c>
      <c r="D260" s="85" t="n">
        <f aca="false">IFERROR(IF(ISNUMBER(INDEX(원자료_시장!$A$1:$BZ$1000,설정!$L$6+ROW()-1,설정!$L$26)),INDEX(원자료_시장!$A$1:$BZ$1000,설정!$L$6+ROW()-1,설정!$L$26),""),"")</f>
        <v>6.11</v>
      </c>
      <c r="E260" s="97" t="n">
        <f aca="false">IFERROR(IF(ISNUMBER(INDEX(원자료_시장!$A$1:$BZ$1000,설정!$L$6+ROW()-1,설정!$L$27)),INDEX(원자료_시장!$A$1:$BZ$1000,설정!$L$6+ROW()-1,설정!$L$27),""),"")</f>
        <v>102.298</v>
      </c>
      <c r="F260" s="97" t="n">
        <f aca="false">IFERROR(IF(ISNUMBER(INDEX(원자료_시장!$A$1:$BZ$1000,설정!$L$6+ROW()-1,설정!$L$28)),INDEX(원자료_시장!$A$1:$BZ$1000,설정!$L$6+ROW()-1,설정!$L$28),""),"")</f>
        <v>135.753</v>
      </c>
      <c r="G260" s="97" t="n">
        <f aca="false">IFERROR(IF(ISNUMBER(INDEX(원자료_시장!$A$1:$BZ$1000,설정!$L$6+ROW()-1,설정!$L$29)),INDEX(원자료_시장!$A$1:$BZ$1000,설정!$L$6+ROW()-1,설정!$L$29),""),"")</f>
        <v>0.1</v>
      </c>
      <c r="H260" s="97" t="n">
        <f aca="false">IFERROR(IF(ISNUMBER(INDEX(원자료_시장!$A$1:$BZ$1000,설정!$L$6+ROW()-1,설정!$L$30)),INDEX(원자료_시장!$A$1:$BZ$1000,설정!$L$6+ROW()-1,설정!$L$30),""),"")</f>
        <v>4.9</v>
      </c>
      <c r="I260" s="97" t="n">
        <f aca="false">IFERROR(IF(ISNUMBER(INDEX(원자료_시장!$A$1:$BZ$1000,설정!$L$6+ROW()-1,설정!$L$31)),INDEX(원자료_시장!$A$1:$BZ$1000,설정!$L$6+ROW()-1,설정!$L$31),""),"")</f>
        <v>-2.3</v>
      </c>
      <c r="J260" s="97" t="n">
        <f aca="false">IFERROR(IF(ISNUMBER(INDEX(원자료_시장!$A$1:$BZ$1000,설정!$L$6+ROW()-1,설정!$L$32)),INDEX(원자료_시장!$A$1:$BZ$1000,설정!$L$6+ROW()-1,설정!$L$32),""),"")</f>
        <v>-5.8</v>
      </c>
      <c r="K260" s="85" t="n">
        <f aca="false">IFERROR(IF(ISNUMBER(INDEX(원자료_시장!$A$1:$BZ$1000,설정!$L$6+ROW()-1,설정!$L$33)),INDEX(원자료_시장!$A$1:$BZ$1000,설정!$L$6+ROW()-1,설정!$L$33),""),"")</f>
        <v>4.203</v>
      </c>
      <c r="L260" s="83" t="str">
        <f aca="false">IFERROR(IF(INDEX(원자료_시장!$A$1:$BZ$1000,설정!$L$6+ROW()-1,설정!$L$34)&amp;""="0","",INDEX(원자료_시장!$A$1:$BZ$1000,설정!$L$6+ROW()-1,설정!$L$34)),"")</f>
        <v>금융기관</v>
      </c>
      <c r="M260" s="83" t="n">
        <f aca="false">IFERROR(IF(INDEX(원자료_시장!$A$1:$BZ$1000,설정!$L$6+ROW()-1,설정!$L$35)&amp;""="0","",INDEX(원자료_시장!$A$1:$BZ$1000,설정!$L$6+ROW()-1,설정!$L$35)),"")</f>
        <v>0</v>
      </c>
      <c r="N260" s="83" t="str">
        <f aca="false">IFERROR(IF(INDEX(원자료_시장!$A$1:$BZ$1000,설정!$L$6+ROW()-1,설정!$L$36)&amp;""="0","",INDEX(원자료_시장!$A$1:$BZ$1000,설정!$L$6+ROW()-1,설정!$L$36)),"")</f>
        <v>아시아/기타</v>
      </c>
      <c r="O260" s="43" t="str">
        <f aca="false">IF($A260="","",UPPER(LEFT($A260,FIND(" ",$A260&amp;" ")-1)))</f>
        <v>DAESEC</v>
      </c>
      <c r="P260" s="43" t="str">
        <f aca="false">IF($A260="","",TRIM(RIGHT(SUBSTITUTE(TRIM($A260)," ",REPT(" ",30)),30)))</f>
        <v>07/06/31</v>
      </c>
      <c r="Q260" s="98" t="n">
        <f aca="false">IF($A260="","",IFERROR(DATE(IF(LEN(P260)=8,2000+VALUE(RIGHT(P260,2)),VALUE(RIGHT(P260,4))),VALUE(LEFT(P260,2)),VALUE(MID(P260,4,2))),""))</f>
        <v>48035</v>
      </c>
      <c r="R260" s="89" t="n">
        <f aca="false">IF($A260="",0,IF(ISNUMBER(SEARCH("Float",$A260)),1,0))</f>
        <v>0</v>
      </c>
      <c r="S260" s="43" t="str">
        <f aca="false">IF($A260="","",TRIM(MID($A260,LEN(O260)+2,LEN($A260)-LEN(O260)-LEN(P260)-1)))</f>
        <v>5 1/4</v>
      </c>
      <c r="T260" s="92" t="n">
        <f aca="false">IF(OR($A260="",R260=1),"",IFERROR(IF(ISNUMBER(FIND("/",S260)),IF(ISNUMBER(FIND(" ",S260)),VALUE(LEFT(S260,FIND(" ",S260)-1))+VALUE(MID(S260,FIND(" ",S260)+1,FIND("/",S260)-FIND(" ",S260)-1))/VALUE(MID(S260,FIND("/",S260)+1,9)),VALUE(LEFT(S260,FIND("/",S260)-1))/VALUE(MID(S260,FIND("/",S260)+1,9))),VALUE(S260)),""))</f>
        <v>5.25</v>
      </c>
      <c r="U260" s="43" t="str">
        <f aca="false">IF(OR($A260="",NOT(ISNUMBER(Q260))),"",TEXT(Q260,"yyyymmdd")&amp;"|"&amp;IF(R260=1,"F",TEXT(T260,"0.000")))</f>
        <v>20310706|5.250</v>
      </c>
      <c r="V260" s="43" t="str">
        <f aca="false">IF(U260="","",O260&amp;"|"&amp;U260)</f>
        <v>DAESEC|20310706|5.250</v>
      </c>
      <c r="W260" s="43" t="str">
        <f aca="false">IF($A260="","",IFERROR(IF(VLOOKUP(O260,매핑!$A$4:$E$92,3,0)="","미분류",VLOOKUP(O260,매핑!$A$4:$E$92,3,0)),"미분류"))</f>
        <v>한국</v>
      </c>
      <c r="X260" s="89" t="n">
        <f aca="false">IF($A260="",0,IF(O260="T",1,0))</f>
        <v>0</v>
      </c>
      <c r="Y260" s="89" t="n">
        <f aca="false">IF($A260="",0,IF(AND(C260="USD",X260=0,ISNUMBER(E260),ISNUMBER(K260)),IF(K260&gt;=설정!$C$8,1,0),0))</f>
        <v>1</v>
      </c>
      <c r="Z260" s="43" t="str">
        <f aca="false">IF($A260="","",N260&amp;"|"&amp;L260)</f>
        <v>아시아/기타|금융기관</v>
      </c>
      <c r="AA260" s="92" t="n">
        <f aca="false">IF(Y260=1,LN(K260),0)</f>
        <v>1.43579855602298</v>
      </c>
      <c r="AB260" s="93" t="n">
        <f aca="false">IF(Y260=1,E260,0)</f>
        <v>102.298</v>
      </c>
      <c r="AC260" s="89" t="n">
        <f aca="false">IF(Y260=1,COUNTIFS($Z$2:$Z$601,Z260,$Y$2:$Y$601,1),0)</f>
        <v>42</v>
      </c>
      <c r="AD260" s="89" t="n">
        <f aca="false">IF(Y260=1,COUNTIFS($N$2:$N$601,N260,$Y$2:$Y$601,1),0)</f>
        <v>137</v>
      </c>
      <c r="AE260" s="43" t="str">
        <f aca="false">IF(Y260&lt;&gt;1,"",IF(AND(AC260&gt;=설정!$C$7,ISNUMBER(MATCH(Z260,피어커브!$A:$A,0))),Z260,IF(AND(AD260&gt;=설정!$C$7,ISNUMBER(MATCH(N260&amp;"|전체",피어커브!$A:$A,0))),N260&amp;"|전체","전체|전체")))</f>
        <v>아시아/기타|금융기관</v>
      </c>
      <c r="AF260" s="93" t="n">
        <f aca="false">IF(AE260="","",INDEX(피어커브!$K:$K,MATCH(AE260,피어커브!$A:$A,0)))</f>
        <v>50.117430292991</v>
      </c>
      <c r="AG260" s="93" t="n">
        <f aca="false">IF(AE260="","",INDEX(피어커브!$J:$J,MATCH(AE260,피어커브!$A:$A,0)))</f>
        <v>13.9183160321618</v>
      </c>
      <c r="AH260" s="93" t="n">
        <f aca="false">IF(AE260="","",INDEX(피어커브!$L:$L,MATCH(AE260,피어커브!$A:$A,0)))</f>
        <v>20.4735875466442</v>
      </c>
      <c r="AI260" s="93" t="n">
        <f aca="false">IF(AE260="","",AF260+AG260*AA260)</f>
        <v>70.1013283542405</v>
      </c>
      <c r="AJ260" s="96" t="n">
        <f aca="false">IF(AE260="","",E260-AI260)</f>
        <v>32.1966716457596</v>
      </c>
      <c r="AK260" s="95" t="n">
        <f aca="false">IF(AE260="","",IF(ISNUMBER(AH260),IF(AH260&gt;0,AJ260/AH260,""),""))</f>
        <v>1.57259550005133</v>
      </c>
      <c r="AL260" s="43" t="str">
        <f aca="false">IF(AK260="","-",IF(AK260&gt;=설정!$C$6,"Cheap",IF(AK260&lt;=-설정!$C$6,"Rich","Fair")))</f>
        <v>Cheap</v>
      </c>
      <c r="AM260" s="96" t="n">
        <f aca="false">IF(AE260="","",AJ260-AVERAGEIFS($AJ$2:$AJ$601,$B$2:$B$601,B260,$Y$2:$Y$601,1))</f>
        <v>10.5489779608669</v>
      </c>
      <c r="AN260" s="93" t="n">
        <f aca="false">IF(AE260="",0,IF(K260&gt;1+설정!$C$8,AG260*(AA260-LN(K260-1)),0))</f>
        <v>3.78175518865624</v>
      </c>
      <c r="AO260" s="99" t="n">
        <f aca="false">IF($A260="",0,SUMIFS(보유분석!$AA$2:$AA$801,보유분석!$AB$2:$AB$801,ROW(),보유분석!$AC$2:$AC$801,1))</f>
        <v>21.7531125</v>
      </c>
      <c r="AP260" s="43" t="str">
        <f aca="false">IF($A260="","",TRIM(IF(R260=1,"FRN ","")&amp;IF(IFERROR(VLOOKUP(M260,설정!$A$15:$D$47,4,0),0)&gt;=10,IF(IFERROR(VLOOKUP(M260,설정!$A$15:$D$47,4,0),0)&lt;99,"BBB0미만 ",""),"")&amp;IF(OR(M260="",M260="NR"),"등급미입력 ","")&amp;IF(C260&lt;&gt;"USD","비USD ","")))</f>
        <v>등급미입력</v>
      </c>
      <c r="AQ260" s="90" t="n">
        <f aca="false">IF(AND(Y260=1,AL260="Cheap"),IF(AND(ISERROR(SEARCH("FRN",AP260)),ISERROR(SEARCH("BBB0미만",AP260))),AK260+ROW()/1000000000,-999),-999)</f>
        <v>1.57259576005133</v>
      </c>
      <c r="AR260" s="92" t="n">
        <f aca="false">IF(AND(ISNUMBER(D260),ISNUMBER(K260)),D260+AN260*MAX(K260-1,0)/100,"")</f>
        <v>6.23112961869266</v>
      </c>
      <c r="AS260" s="93" t="n">
        <f aca="false">IF(AND(ISNUMBER(E260),ISNUMBER(K260)),IF(K260&gt;0,(E260+AN260*MAX(K260-1,0))/K260,""),"")</f>
        <v>27.2212614487904</v>
      </c>
      <c r="AT260" s="90" t="n">
        <f aca="false">IFERROR(IF(AND(Y260=1,ROW()&lt;&gt;스왑분석!$C$12+1,ABS(K260-INDEX($K$2:$K$601,스왑분석!$C$12))&lt;=스왑분석!$C$5,ISERROR(SEARCH("FRN",AP260)),ISERROR(SEARCH("BBB0미만",AP260))),IF(AND(OR(스왑분석!$C$6="N",L260=INDEX($L$2:$L$601,스왑분석!$C$12)),OR(스왑분석!$C$7="N",N260=INDEX($N$2:$N$601,스왑분석!$C$12)),OR(스왑분석!$C$8="N",AO260=0),E260-INDEX($E$2:$E$601,스왑분석!$C$12)&gt;=스왑분석!$C$9),E260-INDEX($E$2:$E$601,스왑분석!$C$12)+ROW()/1000000000,-999),-999),-999)</f>
        <v>53.80600026</v>
      </c>
      <c r="AU260" s="90" t="n">
        <f aca="false">IF(AND(Y260=1,AO260&gt;0,AL260="Rich"),-AK260+ROW()/1000000000,-999)</f>
        <v>-999</v>
      </c>
    </row>
    <row r="261" customFormat="false" ht="15" hidden="false" customHeight="false" outlineLevel="0" collapsed="false">
      <c r="A261" s="83" t="str">
        <f aca="false">IFERROR(IF(INDEX(원자료_시장!$A$1:$BZ$1000,설정!$L$6+ROW()-1,설정!$L$24)&amp;""="0","",INDEX(원자료_시장!$A$1:$BZ$1000,설정!$L$6+ROW()-1,설정!$L$24)),"")</f>
        <v>NHSECS 5 06/29/31</v>
      </c>
      <c r="B261" s="83" t="str">
        <f aca="false">IFERROR(IF(INDEX(원자료_시장!$A$1:$BZ$1000,설정!$L$6+ROW()-1,설정!$L$37)&amp;""="0","",INDEX(원자료_시장!$A$1:$BZ$1000,설정!$L$6+ROW()-1,설정!$L$37)),"")</f>
        <v>NH INVESTMENT &amp; SECS</v>
      </c>
      <c r="C261" s="83" t="str">
        <f aca="false">IFERROR(IF(INDEX(원자료_시장!$A$1:$BZ$1000,설정!$L$6+ROW()-1,설정!$L$25)&amp;""="0","",INDEX(원자료_시장!$A$1:$BZ$1000,설정!$L$6+ROW()-1,설정!$L$25)),"")</f>
        <v>USD</v>
      </c>
      <c r="D261" s="85" t="n">
        <f aca="false">IFERROR(IF(ISNUMBER(INDEX(원자료_시장!$A$1:$BZ$1000,설정!$L$6+ROW()-1,설정!$L$26)),INDEX(원자료_시장!$A$1:$BZ$1000,설정!$L$6+ROW()-1,설정!$L$26),""),"")</f>
        <v>5.96</v>
      </c>
      <c r="E261" s="97" t="n">
        <f aca="false">IFERROR(IF(ISNUMBER(INDEX(원자료_시장!$A$1:$BZ$1000,설정!$L$6+ROW()-1,설정!$L$27)),INDEX(원자료_시장!$A$1:$BZ$1000,설정!$L$6+ROW()-1,설정!$L$27),""),"")</f>
        <v>87.277</v>
      </c>
      <c r="F261" s="97" t="n">
        <f aca="false">IFERROR(IF(ISNUMBER(INDEX(원자료_시장!$A$1:$BZ$1000,설정!$L$6+ROW()-1,설정!$L$28)),INDEX(원자료_시장!$A$1:$BZ$1000,설정!$L$6+ROW()-1,설정!$L$28),""),"")</f>
        <v>120.749</v>
      </c>
      <c r="G261" s="97" t="n">
        <f aca="false">IFERROR(IF(ISNUMBER(INDEX(원자료_시장!$A$1:$BZ$1000,설정!$L$6+ROW()-1,설정!$L$29)),INDEX(원자료_시장!$A$1:$BZ$1000,설정!$L$6+ROW()-1,설정!$L$29),""),"")</f>
        <v>0</v>
      </c>
      <c r="H261" s="97" t="n">
        <f aca="false">IFERROR(IF(ISNUMBER(INDEX(원자료_시장!$A$1:$BZ$1000,설정!$L$6+ROW()-1,설정!$L$30)),INDEX(원자료_시장!$A$1:$BZ$1000,설정!$L$6+ROW()-1,설정!$L$30),""),"")</f>
        <v>4.6</v>
      </c>
      <c r="I261" s="97" t="n">
        <f aca="false">IFERROR(IF(ISNUMBER(INDEX(원자료_시장!$A$1:$BZ$1000,설정!$L$6+ROW()-1,설정!$L$31)),INDEX(원자료_시장!$A$1:$BZ$1000,설정!$L$6+ROW()-1,설정!$L$31),""),"")</f>
        <v>-2.8</v>
      </c>
      <c r="J261" s="97" t="n">
        <f aca="false">IFERROR(IF(ISNUMBER(INDEX(원자료_시장!$A$1:$BZ$1000,설정!$L$6+ROW()-1,설정!$L$32)),INDEX(원자료_시장!$A$1:$BZ$1000,설정!$L$6+ROW()-1,설정!$L$32),""),"")</f>
        <v>0.3</v>
      </c>
      <c r="K261" s="85" t="n">
        <f aca="false">IFERROR(IF(ISNUMBER(INDEX(원자료_시장!$A$1:$BZ$1000,설정!$L$6+ROW()-1,설정!$L$33)),INDEX(원자료_시장!$A$1:$BZ$1000,설정!$L$6+ROW()-1,설정!$L$33),""),"")</f>
        <v>4.206</v>
      </c>
      <c r="L261" s="83" t="str">
        <f aca="false">IFERROR(IF(INDEX(원자료_시장!$A$1:$BZ$1000,설정!$L$6+ROW()-1,설정!$L$34)&amp;""="0","",INDEX(원자료_시장!$A$1:$BZ$1000,설정!$L$6+ROW()-1,설정!$L$34)),"")</f>
        <v>금융기관</v>
      </c>
      <c r="M261" s="83" t="str">
        <f aca="false">IFERROR(IF(INDEX(원자료_시장!$A$1:$BZ$1000,설정!$L$6+ROW()-1,설정!$L$35)&amp;""="0","",INDEX(원자료_시장!$A$1:$BZ$1000,설정!$L$6+ROW()-1,설정!$L$35)),"")</f>
        <v>A-</v>
      </c>
      <c r="N261" s="83" t="str">
        <f aca="false">IFERROR(IF(INDEX(원자료_시장!$A$1:$BZ$1000,설정!$L$6+ROW()-1,설정!$L$36)&amp;""="0","",INDEX(원자료_시장!$A$1:$BZ$1000,설정!$L$6+ROW()-1,설정!$L$36)),"")</f>
        <v>아시아/기타</v>
      </c>
      <c r="O261" s="43" t="str">
        <f aca="false">IF($A261="","",UPPER(LEFT($A261,FIND(" ",$A261&amp;" ")-1)))</f>
        <v>NHSECS</v>
      </c>
      <c r="P261" s="43" t="str">
        <f aca="false">IF($A261="","",TRIM(RIGHT(SUBSTITUTE(TRIM($A261)," ",REPT(" ",30)),30)))</f>
        <v>06/29/31</v>
      </c>
      <c r="Q261" s="98" t="n">
        <f aca="false">IF($A261="","",IFERROR(DATE(IF(LEN(P261)=8,2000+VALUE(RIGHT(P261,2)),VALUE(RIGHT(P261,4))),VALUE(LEFT(P261,2)),VALUE(MID(P261,4,2))),""))</f>
        <v>48028</v>
      </c>
      <c r="R261" s="89" t="n">
        <f aca="false">IF($A261="",0,IF(ISNUMBER(SEARCH("Float",$A261)),1,0))</f>
        <v>0</v>
      </c>
      <c r="S261" s="43" t="str">
        <f aca="false">IF($A261="","",TRIM(MID($A261,LEN(O261)+2,LEN($A261)-LEN(O261)-LEN(P261)-1)))</f>
        <v>5</v>
      </c>
      <c r="T261" s="92" t="n">
        <f aca="false">IF(OR($A261="",R261=1),"",IFERROR(IF(ISNUMBER(FIND("/",S261)),IF(ISNUMBER(FIND(" ",S261)),VALUE(LEFT(S261,FIND(" ",S261)-1))+VALUE(MID(S261,FIND(" ",S261)+1,FIND("/",S261)-FIND(" ",S261)-1))/VALUE(MID(S261,FIND("/",S261)+1,9)),VALUE(LEFT(S261,FIND("/",S261)-1))/VALUE(MID(S261,FIND("/",S261)+1,9))),VALUE(S261)),""))</f>
        <v>5</v>
      </c>
      <c r="U261" s="43" t="str">
        <f aca="false">IF(OR($A261="",NOT(ISNUMBER(Q261))),"",TEXT(Q261,"yyyymmdd")&amp;"|"&amp;IF(R261=1,"F",TEXT(T261,"0.000")))</f>
        <v>20310629|5.000</v>
      </c>
      <c r="V261" s="43" t="str">
        <f aca="false">IF(U261="","",O261&amp;"|"&amp;U261)</f>
        <v>NHSECS|20310629|5.000</v>
      </c>
      <c r="W261" s="43" t="str">
        <f aca="false">IF($A261="","",IFERROR(IF(VLOOKUP(O261,매핑!$A$4:$E$92,3,0)="","미분류",VLOOKUP(O261,매핑!$A$4:$E$92,3,0)),"미분류"))</f>
        <v>한국</v>
      </c>
      <c r="X261" s="89" t="n">
        <f aca="false">IF($A261="",0,IF(O261="T",1,0))</f>
        <v>0</v>
      </c>
      <c r="Y261" s="89" t="n">
        <f aca="false">IF($A261="",0,IF(AND(C261="USD",X261=0,ISNUMBER(E261),ISNUMBER(K261)),IF(K261&gt;=설정!$C$8,1,0),0))</f>
        <v>1</v>
      </c>
      <c r="Z261" s="43" t="str">
        <f aca="false">IF($A261="","",N261&amp;"|"&amp;L261)</f>
        <v>아시아/기타|금융기관</v>
      </c>
      <c r="AA261" s="92" t="n">
        <f aca="false">IF(Y261=1,LN(K261),0)</f>
        <v>1.43651207728051</v>
      </c>
      <c r="AB261" s="93" t="n">
        <f aca="false">IF(Y261=1,E261,0)</f>
        <v>87.277</v>
      </c>
      <c r="AC261" s="89" t="n">
        <f aca="false">IF(Y261=1,COUNTIFS($Z$2:$Z$601,Z261,$Y$2:$Y$601,1),0)</f>
        <v>42</v>
      </c>
      <c r="AD261" s="89" t="n">
        <f aca="false">IF(Y261=1,COUNTIFS($N$2:$N$601,N261,$Y$2:$Y$601,1),0)</f>
        <v>137</v>
      </c>
      <c r="AE261" s="43" t="str">
        <f aca="false">IF(Y261&lt;&gt;1,"",IF(AND(AC261&gt;=설정!$C$7,ISNUMBER(MATCH(Z261,피어커브!$A:$A,0))),Z261,IF(AND(AD261&gt;=설정!$C$7,ISNUMBER(MATCH(N261&amp;"|전체",피어커브!$A:$A,0))),N261&amp;"|전체","전체|전체")))</f>
        <v>아시아/기타|금융기관</v>
      </c>
      <c r="AF261" s="93" t="n">
        <f aca="false">IF(AE261="","",INDEX(피어커브!$K:$K,MATCH(AE261,피어커브!$A:$A,0)))</f>
        <v>50.117430292991</v>
      </c>
      <c r="AG261" s="93" t="n">
        <f aca="false">IF(AE261="","",INDEX(피어커브!$J:$J,MATCH(AE261,피어커브!$A:$A,0)))</f>
        <v>13.9183160321618</v>
      </c>
      <c r="AH261" s="93" t="n">
        <f aca="false">IF(AE261="","",INDEX(피어커브!$L:$L,MATCH(AE261,피어커브!$A:$A,0)))</f>
        <v>20.4735875466442</v>
      </c>
      <c r="AI261" s="93" t="n">
        <f aca="false">IF(AE261="","",AF261+AG261*AA261)</f>
        <v>70.1112593685984</v>
      </c>
      <c r="AJ261" s="96" t="n">
        <f aca="false">IF(AE261="","",E261-AI261)</f>
        <v>17.1657406314016</v>
      </c>
      <c r="AK261" s="95" t="n">
        <f aca="false">IF(AE261="","",IF(ISNUMBER(AH261),IF(AH261&gt;0,AJ261/AH261,""),""))</f>
        <v>0.838433449550237</v>
      </c>
      <c r="AL261" s="43" t="str">
        <f aca="false">IF(AK261="","-",IF(AK261&gt;=설정!$C$6,"Cheap",IF(AK261&lt;=-설정!$C$6,"Rich","Fair")))</f>
        <v>Fair</v>
      </c>
      <c r="AM261" s="96" t="n">
        <f aca="false">IF(AE261="","",AJ261-AVERAGEIFS($AJ$2:$AJ$601,$B$2:$B$601,B261,$Y$2:$Y$601,1))</f>
        <v>10.4058886087699</v>
      </c>
      <c r="AN261" s="93" t="n">
        <f aca="false">IF(AE261="",0,IF(K261&gt;1+설정!$C$8,AG261*(AA261-LN(K261-1)),0))</f>
        <v>3.77865610435726</v>
      </c>
      <c r="AO261" s="99" t="n">
        <f aca="false">IF($A261="",0,SUMIFS(보유분석!$AA$2:$AA$801,보유분석!$AB$2:$AB$801,ROW(),보유분석!$AC$2:$AC$801,1))</f>
        <v>6.746768</v>
      </c>
      <c r="AP261" s="43" t="str">
        <f aca="false">IF($A261="","",TRIM(IF(R261=1,"FRN ","")&amp;IF(IFERROR(VLOOKUP(M261,설정!$A$15:$D$47,4,0),0)&gt;=10,IF(IFERROR(VLOOKUP(M261,설정!$A$15:$D$47,4,0),0)&lt;99,"BBB0미만 ",""),"")&amp;IF(OR(M261="",M261="NR"),"등급미입력 ","")&amp;IF(C261&lt;&gt;"USD","비USD ","")))</f>
        <v/>
      </c>
      <c r="AQ261" s="90" t="n">
        <f aca="false">IF(AND(Y261=1,AL261="Cheap"),IF(AND(ISERROR(SEARCH("FRN",AP261)),ISERROR(SEARCH("BBB0미만",AP261))),AK261+ROW()/1000000000,-999),-999)</f>
        <v>-999</v>
      </c>
      <c r="AR261" s="92" t="n">
        <f aca="false">IF(AND(ISNUMBER(D261),ISNUMBER(K261)),D261+AN261*MAX(K261-1,0)/100,"")</f>
        <v>6.08114371470569</v>
      </c>
      <c r="AS261" s="93" t="n">
        <f aca="false">IF(AND(ISNUMBER(E261),ISNUMBER(K261)),IF(K261&gt;0,(E261+AN261*MAX(K261-1,0))/K261,""),"")</f>
        <v>23.6308538921943</v>
      </c>
      <c r="AT261" s="90" t="n">
        <f aca="false">IFERROR(IF(AND(Y261=1,ROW()&lt;&gt;스왑분석!$C$12+1,ABS(K261-INDEX($K$2:$K$601,스왑분석!$C$12))&lt;=스왑분석!$C$5,ISERROR(SEARCH("FRN",AP261)),ISERROR(SEARCH("BBB0미만",AP261))),IF(AND(OR(스왑분석!$C$6="N",L261=INDEX($L$2:$L$601,스왑분석!$C$12)),OR(스왑분석!$C$7="N",N261=INDEX($N$2:$N$601,스왑분석!$C$12)),OR(스왑분석!$C$8="N",AO261=0),E261-INDEX($E$2:$E$601,스왑분석!$C$12)&gt;=스왑분석!$C$9),E261-INDEX($E$2:$E$601,스왑분석!$C$12)+ROW()/1000000000,-999),-999),-999)</f>
        <v>38.785000261</v>
      </c>
      <c r="AU261" s="90" t="n">
        <f aca="false">IF(AND(Y261=1,AO261&gt;0,AL261="Rich"),-AK261+ROW()/1000000000,-999)</f>
        <v>-999</v>
      </c>
    </row>
    <row r="262" customFormat="false" ht="15" hidden="false" customHeight="false" outlineLevel="0" collapsed="false">
      <c r="A262" s="83" t="str">
        <f aca="false">IFERROR(IF(INDEX(원자료_시장!$A$1:$BZ$1000,설정!$L$6+ROW()-1,설정!$L$24)&amp;""="0","",INDEX(원자료_시장!$A$1:$BZ$1000,설정!$L$6+ROW()-1,설정!$L$24)),"")</f>
        <v>NHSECS 4 7/8 06/29/29</v>
      </c>
      <c r="B262" s="83" t="str">
        <f aca="false">IFERROR(IF(INDEX(원자료_시장!$A$1:$BZ$1000,설정!$L$6+ROW()-1,설정!$L$37)&amp;""="0","",INDEX(원자료_시장!$A$1:$BZ$1000,설정!$L$6+ROW()-1,설정!$L$37)),"")</f>
        <v>NH INVESTMENT &amp; SECS</v>
      </c>
      <c r="C262" s="83" t="str">
        <f aca="false">IFERROR(IF(INDEX(원자료_시장!$A$1:$BZ$1000,설정!$L$6+ROW()-1,설정!$L$25)&amp;""="0","",INDEX(원자료_시장!$A$1:$BZ$1000,설정!$L$6+ROW()-1,설정!$L$25)),"")</f>
        <v>USD</v>
      </c>
      <c r="D262" s="85" t="n">
        <f aca="false">IFERROR(IF(ISNUMBER(INDEX(원자료_시장!$A$1:$BZ$1000,설정!$L$6+ROW()-1,설정!$L$26)),INDEX(원자료_시장!$A$1:$BZ$1000,설정!$L$6+ROW()-1,설정!$L$26),""),"")</f>
        <v>5.615</v>
      </c>
      <c r="E262" s="97" t="n">
        <f aca="false">IFERROR(IF(ISNUMBER(INDEX(원자료_시장!$A$1:$BZ$1000,설정!$L$6+ROW()-1,설정!$L$27)),INDEX(원자료_시장!$A$1:$BZ$1000,설정!$L$6+ROW()-1,설정!$L$27),""),"")</f>
        <v>61.473</v>
      </c>
      <c r="F262" s="97" t="n">
        <f aca="false">IFERROR(IF(ISNUMBER(INDEX(원자료_시장!$A$1:$BZ$1000,설정!$L$6+ROW()-1,설정!$L$28)),INDEX(원자료_시장!$A$1:$BZ$1000,설정!$L$6+ROW()-1,설정!$L$28),""),"")</f>
        <v>89.031</v>
      </c>
      <c r="G262" s="97" t="n">
        <f aca="false">IFERROR(IF(ISNUMBER(INDEX(원자료_시장!$A$1:$BZ$1000,설정!$L$6+ROW()-1,설정!$L$29)),INDEX(원자료_시장!$A$1:$BZ$1000,설정!$L$6+ROW()-1,설정!$L$29),""),"")</f>
        <v>-1.6</v>
      </c>
      <c r="H262" s="97" t="n">
        <f aca="false">IFERROR(IF(ISNUMBER(INDEX(원자료_시장!$A$1:$BZ$1000,설정!$L$6+ROW()-1,설정!$L$30)),INDEX(원자료_시장!$A$1:$BZ$1000,설정!$L$6+ROW()-1,설정!$L$30),""),"")</f>
        <v>0.7</v>
      </c>
      <c r="I262" s="97" t="n">
        <f aca="false">IFERROR(IF(ISNUMBER(INDEX(원자료_시장!$A$1:$BZ$1000,설정!$L$6+ROW()-1,설정!$L$31)),INDEX(원자료_시장!$A$1:$BZ$1000,설정!$L$6+ROW()-1,설정!$L$31),""),"")</f>
        <v>-8.8</v>
      </c>
      <c r="J262" s="97" t="n">
        <f aca="false">IFERROR(IF(ISNUMBER(INDEX(원자료_시장!$A$1:$BZ$1000,설정!$L$6+ROW()-1,설정!$L$32)),INDEX(원자료_시장!$A$1:$BZ$1000,설정!$L$6+ROW()-1,설정!$L$32),""),"")</f>
        <v>-12.7</v>
      </c>
      <c r="K262" s="85" t="n">
        <f aca="false">IFERROR(IF(ISNUMBER(INDEX(원자료_시장!$A$1:$BZ$1000,설정!$L$6+ROW()-1,설정!$L$33)),INDEX(원자료_시장!$A$1:$BZ$1000,설정!$L$6+ROW()-1,설정!$L$33),""),"")</f>
        <v>2.558</v>
      </c>
      <c r="L262" s="83" t="str">
        <f aca="false">IFERROR(IF(INDEX(원자료_시장!$A$1:$BZ$1000,설정!$L$6+ROW()-1,설정!$L$34)&amp;""="0","",INDEX(원자료_시장!$A$1:$BZ$1000,설정!$L$6+ROW()-1,설정!$L$34)),"")</f>
        <v>금융기관</v>
      </c>
      <c r="M262" s="83" t="str">
        <f aca="false">IFERROR(IF(INDEX(원자료_시장!$A$1:$BZ$1000,설정!$L$6+ROW()-1,설정!$L$35)&amp;""="0","",INDEX(원자료_시장!$A$1:$BZ$1000,설정!$L$6+ROW()-1,설정!$L$35)),"")</f>
        <v>A-</v>
      </c>
      <c r="N262" s="83" t="str">
        <f aca="false">IFERROR(IF(INDEX(원자료_시장!$A$1:$BZ$1000,설정!$L$6+ROW()-1,설정!$L$36)&amp;""="0","",INDEX(원자료_시장!$A$1:$BZ$1000,설정!$L$6+ROW()-1,설정!$L$36)),"")</f>
        <v>아시아/기타</v>
      </c>
      <c r="O262" s="43" t="str">
        <f aca="false">IF($A262="","",UPPER(LEFT($A262,FIND(" ",$A262&amp;" ")-1)))</f>
        <v>NHSECS</v>
      </c>
      <c r="P262" s="43" t="str">
        <f aca="false">IF($A262="","",TRIM(RIGHT(SUBSTITUTE(TRIM($A262)," ",REPT(" ",30)),30)))</f>
        <v>06/29/29</v>
      </c>
      <c r="Q262" s="98" t="n">
        <f aca="false">IF($A262="","",IFERROR(DATE(IF(LEN(P262)=8,2000+VALUE(RIGHT(P262,2)),VALUE(RIGHT(P262,4))),VALUE(LEFT(P262,2)),VALUE(MID(P262,4,2))),""))</f>
        <v>47298</v>
      </c>
      <c r="R262" s="89" t="n">
        <f aca="false">IF($A262="",0,IF(ISNUMBER(SEARCH("Float",$A262)),1,0))</f>
        <v>0</v>
      </c>
      <c r="S262" s="43" t="str">
        <f aca="false">IF($A262="","",TRIM(MID($A262,LEN(O262)+2,LEN($A262)-LEN(O262)-LEN(P262)-1)))</f>
        <v>4 7/8</v>
      </c>
      <c r="T262" s="92" t="n">
        <f aca="false">IF(OR($A262="",R262=1),"",IFERROR(IF(ISNUMBER(FIND("/",S262)),IF(ISNUMBER(FIND(" ",S262)),VALUE(LEFT(S262,FIND(" ",S262)-1))+VALUE(MID(S262,FIND(" ",S262)+1,FIND("/",S262)-FIND(" ",S262)-1))/VALUE(MID(S262,FIND("/",S262)+1,9)),VALUE(LEFT(S262,FIND("/",S262)-1))/VALUE(MID(S262,FIND("/",S262)+1,9))),VALUE(S262)),""))</f>
        <v>4.875</v>
      </c>
      <c r="U262" s="43" t="str">
        <f aca="false">IF(OR($A262="",NOT(ISNUMBER(Q262))),"",TEXT(Q262,"yyyymmdd")&amp;"|"&amp;IF(R262=1,"F",TEXT(T262,"0.000")))</f>
        <v>20290629|4.875</v>
      </c>
      <c r="V262" s="43" t="str">
        <f aca="false">IF(U262="","",O262&amp;"|"&amp;U262)</f>
        <v>NHSECS|20290629|4.875</v>
      </c>
      <c r="W262" s="43" t="str">
        <f aca="false">IF($A262="","",IFERROR(IF(VLOOKUP(O262,매핑!$A$4:$E$92,3,0)="","미분류",VLOOKUP(O262,매핑!$A$4:$E$92,3,0)),"미분류"))</f>
        <v>한국</v>
      </c>
      <c r="X262" s="89" t="n">
        <f aca="false">IF($A262="",0,IF(O262="T",1,0))</f>
        <v>0</v>
      </c>
      <c r="Y262" s="89" t="n">
        <f aca="false">IF($A262="",0,IF(AND(C262="USD",X262=0,ISNUMBER(E262),ISNUMBER(K262)),IF(K262&gt;=설정!$C$8,1,0),0))</f>
        <v>1</v>
      </c>
      <c r="Z262" s="43" t="str">
        <f aca="false">IF($A262="","",N262&amp;"|"&amp;L262)</f>
        <v>아시아/기타|금융기관</v>
      </c>
      <c r="AA262" s="92" t="n">
        <f aca="false">IF(Y262=1,LN(K262),0)</f>
        <v>0.939225703156651</v>
      </c>
      <c r="AB262" s="93" t="n">
        <f aca="false">IF(Y262=1,E262,0)</f>
        <v>61.473</v>
      </c>
      <c r="AC262" s="89" t="n">
        <f aca="false">IF(Y262=1,COUNTIFS($Z$2:$Z$601,Z262,$Y$2:$Y$601,1),0)</f>
        <v>42</v>
      </c>
      <c r="AD262" s="89" t="n">
        <f aca="false">IF(Y262=1,COUNTIFS($N$2:$N$601,N262,$Y$2:$Y$601,1),0)</f>
        <v>137</v>
      </c>
      <c r="AE262" s="43" t="str">
        <f aca="false">IF(Y262&lt;&gt;1,"",IF(AND(AC262&gt;=설정!$C$7,ISNUMBER(MATCH(Z262,피어커브!$A:$A,0))),Z262,IF(AND(AD262&gt;=설정!$C$7,ISNUMBER(MATCH(N262&amp;"|전체",피어커브!$A:$A,0))),N262&amp;"|전체","전체|전체")))</f>
        <v>아시아/기타|금융기관</v>
      </c>
      <c r="AF262" s="93" t="n">
        <f aca="false">IF(AE262="","",INDEX(피어커브!$K:$K,MATCH(AE262,피어커브!$A:$A,0)))</f>
        <v>50.117430292991</v>
      </c>
      <c r="AG262" s="93" t="n">
        <f aca="false">IF(AE262="","",INDEX(피어커브!$J:$J,MATCH(AE262,피어커브!$A:$A,0)))</f>
        <v>13.9183160321618</v>
      </c>
      <c r="AH262" s="93" t="n">
        <f aca="false">IF(AE262="","",INDEX(피어커브!$L:$L,MATCH(AE262,피어커브!$A:$A,0)))</f>
        <v>20.4735875466442</v>
      </c>
      <c r="AI262" s="93" t="n">
        <f aca="false">IF(AE262="","",AF262+AG262*AA262)</f>
        <v>63.1898704550547</v>
      </c>
      <c r="AJ262" s="96" t="n">
        <f aca="false">IF(AE262="","",E262-AI262)</f>
        <v>-1.71687045505469</v>
      </c>
      <c r="AK262" s="95" t="n">
        <f aca="false">IF(AE262="","",IF(ISNUMBER(AH262),IF(AH262&gt;0,AJ262/AH262,""),""))</f>
        <v>-0.0838578217492764</v>
      </c>
      <c r="AL262" s="43" t="str">
        <f aca="false">IF(AK262="","-",IF(AK262&gt;=설정!$C$6,"Cheap",IF(AK262&lt;=-설정!$C$6,"Rich","Fair")))</f>
        <v>Fair</v>
      </c>
      <c r="AM262" s="96" t="n">
        <f aca="false">IF(AE262="","",AJ262-AVERAGEIFS($AJ$2:$AJ$601,$B$2:$B$601,B262,$Y$2:$Y$601,1))</f>
        <v>-8.47672247768641</v>
      </c>
      <c r="AN262" s="93" t="n">
        <f aca="false">IF(AE262="",0,IF(K262&gt;1+설정!$C$8,AG262*(AA262-LN(K262-1)),0))</f>
        <v>6.90101780988262</v>
      </c>
      <c r="AO262" s="99" t="n">
        <f aca="false">IF($A262="",0,SUMIFS(보유분석!$AA$2:$AA$801,보유분석!$AB$2:$AB$801,ROW(),보유분석!$AC$2:$AC$801,1))</f>
        <v>3.925288</v>
      </c>
      <c r="AP262" s="43" t="str">
        <f aca="false">IF($A262="","",TRIM(IF(R262=1,"FRN ","")&amp;IF(IFERROR(VLOOKUP(M262,설정!$A$15:$D$47,4,0),0)&gt;=10,IF(IFERROR(VLOOKUP(M262,설정!$A$15:$D$47,4,0),0)&lt;99,"BBB0미만 ",""),"")&amp;IF(OR(M262="",M262="NR"),"등급미입력 ","")&amp;IF(C262&lt;&gt;"USD","비USD ","")))</f>
        <v/>
      </c>
      <c r="AQ262" s="90" t="n">
        <f aca="false">IF(AND(Y262=1,AL262="Cheap"),IF(AND(ISERROR(SEARCH("FRN",AP262)),ISERROR(SEARCH("BBB0미만",AP262))),AK262+ROW()/1000000000,-999),-999)</f>
        <v>-999</v>
      </c>
      <c r="AR262" s="92" t="n">
        <f aca="false">IF(AND(ISNUMBER(D262),ISNUMBER(K262)),D262+AN262*MAX(K262-1,0)/100,"")</f>
        <v>5.72251785747797</v>
      </c>
      <c r="AS262" s="93" t="n">
        <f aca="false">IF(AND(ISNUMBER(E262),ISNUMBER(K262)),IF(K262&gt;0,(E262+AN262*MAX(K262-1,0))/K262,""),"")</f>
        <v>28.2348654213437</v>
      </c>
      <c r="AT262" s="90" t="n">
        <f aca="false">IFERROR(IF(AND(Y262=1,ROW()&lt;&gt;스왑분석!$C$12+1,ABS(K262-INDEX($K$2:$K$601,스왑분석!$C$12))&lt;=스왑분석!$C$5,ISERROR(SEARCH("FRN",AP262)),ISERROR(SEARCH("BBB0미만",AP262))),IF(AND(OR(스왑분석!$C$6="N",L262=INDEX($L$2:$L$601,스왑분석!$C$12)),OR(스왑분석!$C$7="N",N262=INDEX($N$2:$N$601,스왑분석!$C$12)),OR(스왑분석!$C$8="N",AO262=0),E262-INDEX($E$2:$E$601,스왑분석!$C$12)&gt;=스왑분석!$C$9),E262-INDEX($E$2:$E$601,스왑분석!$C$12)+ROW()/1000000000,-999),-999),-999)</f>
        <v>12.981000262</v>
      </c>
      <c r="AU262" s="90" t="n">
        <f aca="false">IF(AND(Y262=1,AO262&gt;0,AL262="Rich"),-AK262+ROW()/1000000000,-999)</f>
        <v>-999</v>
      </c>
    </row>
    <row r="263" customFormat="false" ht="15" hidden="false" customHeight="false" outlineLevel="0" collapsed="false">
      <c r="A263" s="83" t="str">
        <f aca="false">IFERROR(IF(INDEX(원자료_시장!$A$1:$BZ$1000,설정!$L$6+ROW()-1,설정!$L$24)&amp;""="0","",INDEX(원자료_시장!$A$1:$BZ$1000,설정!$L$6+ROW()-1,설정!$L$24)),"")</f>
        <v>KTGC 4 7/8 01/21/30</v>
      </c>
      <c r="B263" s="83" t="str">
        <f aca="false">IFERROR(IF(INDEX(원자료_시장!$A$1:$BZ$1000,설정!$L$6+ROW()-1,설정!$L$37)&amp;""="0","",INDEX(원자료_시장!$A$1:$BZ$1000,설정!$L$6+ROW()-1,설정!$L$37)),"")</f>
        <v>KOREA TOBACCO &amp; GINSENG</v>
      </c>
      <c r="C263" s="83" t="str">
        <f aca="false">IFERROR(IF(INDEX(원자료_시장!$A$1:$BZ$1000,설정!$L$6+ROW()-1,설정!$L$25)&amp;""="0","",INDEX(원자료_시장!$A$1:$BZ$1000,설정!$L$6+ROW()-1,설정!$L$25)),"")</f>
        <v>USD</v>
      </c>
      <c r="D263" s="85" t="n">
        <f aca="false">IFERROR(IF(ISNUMBER(INDEX(원자료_시장!$A$1:$BZ$1000,설정!$L$6+ROW()-1,설정!$L$26)),INDEX(원자료_시장!$A$1:$BZ$1000,설정!$L$6+ROW()-1,설정!$L$26),""),"")</f>
        <v>5.607</v>
      </c>
      <c r="E263" s="97" t="n">
        <f aca="false">IFERROR(IF(ISNUMBER(INDEX(원자료_시장!$A$1:$BZ$1000,설정!$L$6+ROW()-1,설정!$L$27)),INDEX(원자료_시장!$A$1:$BZ$1000,설정!$L$6+ROW()-1,설정!$L$27),""),"")</f>
        <v>60.626</v>
      </c>
      <c r="F263" s="97" t="n">
        <f aca="false">IFERROR(IF(ISNUMBER(INDEX(원자료_시장!$A$1:$BZ$1000,설정!$L$6+ROW()-1,설정!$L$28)),INDEX(원자료_시장!$A$1:$BZ$1000,설정!$L$6+ROW()-1,설정!$L$28),""),"")</f>
        <v>86.749</v>
      </c>
      <c r="G263" s="97" t="n">
        <f aca="false">IFERROR(IF(ISNUMBER(INDEX(원자료_시장!$A$1:$BZ$1000,설정!$L$6+ROW()-1,설정!$L$29)),INDEX(원자료_시장!$A$1:$BZ$1000,설정!$L$6+ROW()-1,설정!$L$29),""),"")</f>
        <v>1.1</v>
      </c>
      <c r="H263" s="97" t="n">
        <f aca="false">IFERROR(IF(ISNUMBER(INDEX(원자료_시장!$A$1:$BZ$1000,설정!$L$6+ROW()-1,설정!$L$30)),INDEX(원자료_시장!$A$1:$BZ$1000,설정!$L$6+ROW()-1,설정!$L$30),""),"")</f>
        <v>13.5</v>
      </c>
      <c r="I263" s="97" t="n">
        <f aca="false">IFERROR(IF(ISNUMBER(INDEX(원자료_시장!$A$1:$BZ$1000,설정!$L$6+ROW()-1,설정!$L$31)),INDEX(원자료_시장!$A$1:$BZ$1000,설정!$L$6+ROW()-1,설정!$L$31),""),"")</f>
        <v>-0.4</v>
      </c>
      <c r="J263" s="97" t="n">
        <f aca="false">IFERROR(IF(ISNUMBER(INDEX(원자료_시장!$A$1:$BZ$1000,설정!$L$6+ROW()-1,설정!$L$32)),INDEX(원자료_시장!$A$1:$BZ$1000,설정!$L$6+ROW()-1,설정!$L$32),""),"")</f>
        <v>-1.2</v>
      </c>
      <c r="K263" s="85" t="n">
        <f aca="false">IFERROR(IF(ISNUMBER(INDEX(원자료_시장!$A$1:$BZ$1000,설정!$L$6+ROW()-1,설정!$L$33)),INDEX(원자료_시장!$A$1:$BZ$1000,설정!$L$6+ROW()-1,설정!$L$33),""),"")</f>
        <v>3.051</v>
      </c>
      <c r="L263" s="83" t="str">
        <f aca="false">IFERROR(IF(INDEX(원자료_시장!$A$1:$BZ$1000,설정!$L$6+ROW()-1,설정!$L$34)&amp;""="0","",INDEX(원자료_시장!$A$1:$BZ$1000,설정!$L$6+ROW()-1,설정!$L$34)),"")</f>
        <v>기본소비재</v>
      </c>
      <c r="M263" s="83" t="str">
        <f aca="false">IFERROR(IF(INDEX(원자료_시장!$A$1:$BZ$1000,설정!$L$6+ROW()-1,설정!$L$35)&amp;""="0","",INDEX(원자료_시장!$A$1:$BZ$1000,설정!$L$6+ROW()-1,설정!$L$35)),"")</f>
        <v>A-</v>
      </c>
      <c r="N263" s="83" t="str">
        <f aca="false">IFERROR(IF(INDEX(원자료_시장!$A$1:$BZ$1000,설정!$L$6+ROW()-1,설정!$L$36)&amp;""="0","",INDEX(원자료_시장!$A$1:$BZ$1000,설정!$L$6+ROW()-1,설정!$L$36)),"")</f>
        <v>아시아/기타</v>
      </c>
      <c r="O263" s="43" t="str">
        <f aca="false">IF($A263="","",UPPER(LEFT($A263,FIND(" ",$A263&amp;" ")-1)))</f>
        <v>KTGC</v>
      </c>
      <c r="P263" s="43" t="str">
        <f aca="false">IF($A263="","",TRIM(RIGHT(SUBSTITUTE(TRIM($A263)," ",REPT(" ",30)),30)))</f>
        <v>01/21/30</v>
      </c>
      <c r="Q263" s="98" t="n">
        <f aca="false">IF($A263="","",IFERROR(DATE(IF(LEN(P263)=8,2000+VALUE(RIGHT(P263,2)),VALUE(RIGHT(P263,4))),VALUE(LEFT(P263,2)),VALUE(MID(P263,4,2))),""))</f>
        <v>47504</v>
      </c>
      <c r="R263" s="89" t="n">
        <f aca="false">IF($A263="",0,IF(ISNUMBER(SEARCH("Float",$A263)),1,0))</f>
        <v>0</v>
      </c>
      <c r="S263" s="43" t="str">
        <f aca="false">IF($A263="","",TRIM(MID($A263,LEN(O263)+2,LEN($A263)-LEN(O263)-LEN(P263)-1)))</f>
        <v>4 7/8</v>
      </c>
      <c r="T263" s="92" t="n">
        <f aca="false">IF(OR($A263="",R263=1),"",IFERROR(IF(ISNUMBER(FIND("/",S263)),IF(ISNUMBER(FIND(" ",S263)),VALUE(LEFT(S263,FIND(" ",S263)-1))+VALUE(MID(S263,FIND(" ",S263)+1,FIND("/",S263)-FIND(" ",S263)-1))/VALUE(MID(S263,FIND("/",S263)+1,9)),VALUE(LEFT(S263,FIND("/",S263)-1))/VALUE(MID(S263,FIND("/",S263)+1,9))),VALUE(S263)),""))</f>
        <v>4.875</v>
      </c>
      <c r="U263" s="43" t="str">
        <f aca="false">IF(OR($A263="",NOT(ISNUMBER(Q263))),"",TEXT(Q263,"yyyymmdd")&amp;"|"&amp;IF(R263=1,"F",TEXT(T263,"0.000")))</f>
        <v>20300121|4.875</v>
      </c>
      <c r="V263" s="43" t="str">
        <f aca="false">IF(U263="","",O263&amp;"|"&amp;U263)</f>
        <v>KTGC|20300121|4.875</v>
      </c>
      <c r="W263" s="43" t="str">
        <f aca="false">IF($A263="","",IFERROR(IF(VLOOKUP(O263,매핑!$A$4:$E$92,3,0)="","미분류",VLOOKUP(O263,매핑!$A$4:$E$92,3,0)),"미분류"))</f>
        <v>한국</v>
      </c>
      <c r="X263" s="89" t="n">
        <f aca="false">IF($A263="",0,IF(O263="T",1,0))</f>
        <v>0</v>
      </c>
      <c r="Y263" s="89" t="n">
        <f aca="false">IF($A263="",0,IF(AND(C263="USD",X263=0,ISNUMBER(E263),ISNUMBER(K263)),IF(K263&gt;=설정!$C$8,1,0),0))</f>
        <v>1</v>
      </c>
      <c r="Z263" s="43" t="str">
        <f aca="false">IF($A263="","",N263&amp;"|"&amp;L263)</f>
        <v>아시아/기타|기본소비재</v>
      </c>
      <c r="AA263" s="92" t="n">
        <f aca="false">IF(Y263=1,LN(K263),0)</f>
        <v>1.11546940573453</v>
      </c>
      <c r="AB263" s="93" t="n">
        <f aca="false">IF(Y263=1,E263,0)</f>
        <v>60.626</v>
      </c>
      <c r="AC263" s="89" t="n">
        <f aca="false">IF(Y263=1,COUNTIFS($Z$2:$Z$601,Z263,$Y$2:$Y$601,1),0)</f>
        <v>2</v>
      </c>
      <c r="AD263" s="89" t="n">
        <f aca="false">IF(Y263=1,COUNTIFS($N$2:$N$601,N263,$Y$2:$Y$601,1),0)</f>
        <v>137</v>
      </c>
      <c r="AE263" s="43" t="str">
        <f aca="false">IF(Y263&lt;&gt;1,"",IF(AND(AC263&gt;=설정!$C$7,ISNUMBER(MATCH(Z263,피어커브!$A:$A,0))),Z263,IF(AND(AD263&gt;=설정!$C$7,ISNUMBER(MATCH(N263&amp;"|전체",피어커브!$A:$A,0))),N263&amp;"|전체","전체|전체")))</f>
        <v>아시아/기타|전체</v>
      </c>
      <c r="AF263" s="93" t="n">
        <f aca="false">IF(AE263="","",INDEX(피어커브!$K:$K,MATCH(AE263,피어커브!$A:$A,0)))</f>
        <v>19.1102274022067</v>
      </c>
      <c r="AG263" s="93" t="n">
        <f aca="false">IF(AE263="","",INDEX(피어커브!$J:$J,MATCH(AE263,피어커브!$A:$A,0)))</f>
        <v>26.6985069081074</v>
      </c>
      <c r="AH263" s="93" t="n">
        <f aca="false">IF(AE263="","",INDEX(피어커브!$L:$L,MATCH(AE263,피어커브!$A:$A,0)))</f>
        <v>27.5778213758018</v>
      </c>
      <c r="AI263" s="93" t="n">
        <f aca="false">IF(AE263="","",AF263+AG263*AA263)</f>
        <v>48.8915950369926</v>
      </c>
      <c r="AJ263" s="96" t="n">
        <f aca="false">IF(AE263="","",E263-AI263)</f>
        <v>11.7344049630074</v>
      </c>
      <c r="AK263" s="95" t="n">
        <f aca="false">IF(AE263="","",IF(ISNUMBER(AH263),IF(AH263&gt;0,AJ263/AH263,""),""))</f>
        <v>0.425501521788222</v>
      </c>
      <c r="AL263" s="43" t="str">
        <f aca="false">IF(AK263="","-",IF(AK263&gt;=설정!$C$6,"Cheap",IF(AK263&lt;=-설정!$C$6,"Rich","Fair")))</f>
        <v>Fair</v>
      </c>
      <c r="AM263" s="96" t="n">
        <f aca="false">IF(AE263="","",AJ263-AVERAGEIFS($AJ$2:$AJ$601,$B$2:$B$601,B263,$Y$2:$Y$601,1))</f>
        <v>6.26914452146412</v>
      </c>
      <c r="AN263" s="93" t="n">
        <f aca="false">IF(AE263="",0,IF(K263&gt;1+설정!$C$8,AG263*(AA263-LN(K263-1)),0))</f>
        <v>10.6030964720116</v>
      </c>
      <c r="AO263" s="99" t="n">
        <f aca="false">IF($A263="",0,SUMIFS(보유분석!$AA$2:$AA$801,보유분석!$AB$2:$AB$801,ROW(),보유분석!$AC$2:$AC$801,1))</f>
        <v>0</v>
      </c>
      <c r="AP263" s="43" t="str">
        <f aca="false">IF($A263="","",TRIM(IF(R263=1,"FRN ","")&amp;IF(IFERROR(VLOOKUP(M263,설정!$A$15:$D$47,4,0),0)&gt;=10,IF(IFERROR(VLOOKUP(M263,설정!$A$15:$D$47,4,0),0)&lt;99,"BBB0미만 ",""),"")&amp;IF(OR(M263="",M263="NR"),"등급미입력 ","")&amp;IF(C263&lt;&gt;"USD","비USD ","")))</f>
        <v/>
      </c>
      <c r="AQ263" s="90" t="n">
        <f aca="false">IF(AND(Y263=1,AL263="Cheap"),IF(AND(ISERROR(SEARCH("FRN",AP263)),ISERROR(SEARCH("BBB0미만",AP263))),AK263+ROW()/1000000000,-999),-999)</f>
        <v>-999</v>
      </c>
      <c r="AR263" s="92" t="n">
        <f aca="false">IF(AND(ISNUMBER(D263),ISNUMBER(K263)),D263+AN263*MAX(K263-1,0)/100,"")</f>
        <v>5.82446950864096</v>
      </c>
      <c r="AS263" s="93" t="n">
        <f aca="false">IF(AND(ISNUMBER(E263),ISNUMBER(K263)),IF(K263&gt;0,(E263+AN263*MAX(K263-1,0))/K263,""),"")</f>
        <v>26.9986728495889</v>
      </c>
      <c r="AT263" s="90" t="n">
        <f aca="false">IFERROR(IF(AND(Y263=1,ROW()&lt;&gt;스왑분석!$C$12+1,ABS(K263-INDEX($K$2:$K$601,스왑분석!$C$12))&lt;=스왑분석!$C$5,ISERROR(SEARCH("FRN",AP263)),ISERROR(SEARCH("BBB0미만",AP263))),IF(AND(OR(스왑분석!$C$6="N",L263=INDEX($L$2:$L$601,스왑분석!$C$12)),OR(스왑분석!$C$7="N",N263=INDEX($N$2:$N$601,스왑분석!$C$12)),OR(스왑분석!$C$8="N",AO263=0),E263-INDEX($E$2:$E$601,스왑분석!$C$12)&gt;=스왑분석!$C$9),E263-INDEX($E$2:$E$601,스왑분석!$C$12)+ROW()/1000000000,-999),-999),-999)</f>
        <v>12.134000263</v>
      </c>
      <c r="AU263" s="90" t="n">
        <f aca="false">IF(AND(Y263=1,AO263&gt;0,AL263="Rich"),-AK263+ROW()/1000000000,-999)</f>
        <v>-999</v>
      </c>
    </row>
    <row r="264" customFormat="false" ht="15" hidden="false" customHeight="false" outlineLevel="0" collapsed="false">
      <c r="A264" s="83" t="str">
        <f aca="false">IFERROR(IF(INDEX(원자료_시장!$A$1:$BZ$1000,설정!$L$6+ROW()-1,설정!$L$24)&amp;""="0","",INDEX(원자료_시장!$A$1:$BZ$1000,설정!$L$6+ROW()-1,설정!$L$24)),"")</f>
        <v>KOMIPW 4 3/4 07/28/29</v>
      </c>
      <c r="B264" s="83" t="str">
        <f aca="false">IFERROR(IF(INDEX(원자료_시장!$A$1:$BZ$1000,설정!$L$6+ROW()-1,설정!$L$37)&amp;""="0","",INDEX(원자료_시장!$A$1:$BZ$1000,설정!$L$6+ROW()-1,설정!$L$37)),"")</f>
        <v>KOREA MIDLAND POWER CO</v>
      </c>
      <c r="C264" s="83" t="str">
        <f aca="false">IFERROR(IF(INDEX(원자료_시장!$A$1:$BZ$1000,설정!$L$6+ROW()-1,설정!$L$25)&amp;""="0","",INDEX(원자료_시장!$A$1:$BZ$1000,설정!$L$6+ROW()-1,설정!$L$25)),"")</f>
        <v>USD</v>
      </c>
      <c r="D264" s="85" t="n">
        <f aca="false">IFERROR(IF(ISNUMBER(INDEX(원자료_시장!$A$1:$BZ$1000,설정!$L$6+ROW()-1,설정!$L$26)),INDEX(원자료_시장!$A$1:$BZ$1000,설정!$L$6+ROW()-1,설정!$L$26),""),"")</f>
        <v>5.349</v>
      </c>
      <c r="E264" s="97" t="n">
        <f aca="false">IFERROR(IF(ISNUMBER(INDEX(원자료_시장!$A$1:$BZ$1000,설정!$L$6+ROW()-1,설정!$L$27)),INDEX(원자료_시장!$A$1:$BZ$1000,설정!$L$6+ROW()-1,설정!$L$27),""),"")</f>
        <v>34.912</v>
      </c>
      <c r="F264" s="97" t="n">
        <f aca="false">IFERROR(IF(ISNUMBER(INDEX(원자료_시장!$A$1:$BZ$1000,설정!$L$6+ROW()-1,설정!$L$28)),INDEX(원자료_시장!$A$1:$BZ$1000,설정!$L$6+ROW()-1,설정!$L$28),""),"")</f>
        <v>62.116</v>
      </c>
      <c r="G264" s="97" t="n">
        <f aca="false">IFERROR(IF(ISNUMBER(INDEX(원자료_시장!$A$1:$BZ$1000,설정!$L$6+ROW()-1,설정!$L$29)),INDEX(원자료_시장!$A$1:$BZ$1000,설정!$L$6+ROW()-1,설정!$L$29),""),"")</f>
        <v>-1.2</v>
      </c>
      <c r="H264" s="97" t="n">
        <f aca="false">IFERROR(IF(ISNUMBER(INDEX(원자료_시장!$A$1:$BZ$1000,설정!$L$6+ROW()-1,설정!$L$30)),INDEX(원자료_시장!$A$1:$BZ$1000,설정!$L$6+ROW()-1,설정!$L$30),""),"")</f>
        <v>2.4</v>
      </c>
      <c r="I264" s="97" t="n">
        <f aca="false">IFERROR(IF(ISNUMBER(INDEX(원자료_시장!$A$1:$BZ$1000,설정!$L$6+ROW()-1,설정!$L$31)),INDEX(원자료_시장!$A$1:$BZ$1000,설정!$L$6+ROW()-1,설정!$L$31),""),"")</f>
        <v>-5.5</v>
      </c>
      <c r="J264" s="97" t="n">
        <f aca="false">IFERROR(IF(ISNUMBER(INDEX(원자료_시장!$A$1:$BZ$1000,설정!$L$6+ROW()-1,설정!$L$32)),INDEX(원자료_시장!$A$1:$BZ$1000,설정!$L$6+ROW()-1,설정!$L$32),""),"")</f>
        <v>-17.4</v>
      </c>
      <c r="K264" s="85" t="n">
        <f aca="false">IFERROR(IF(ISNUMBER(INDEX(원자료_시장!$A$1:$BZ$1000,설정!$L$6+ROW()-1,설정!$L$33)),INDEX(원자료_시장!$A$1:$BZ$1000,설정!$L$6+ROW()-1,설정!$L$33),""),"")</f>
        <v>2.644</v>
      </c>
      <c r="L264" s="83" t="str">
        <f aca="false">IFERROR(IF(INDEX(원자료_시장!$A$1:$BZ$1000,설정!$L$6+ROW()-1,설정!$L$34)&amp;""="0","",INDEX(원자료_시장!$A$1:$BZ$1000,설정!$L$6+ROW()-1,설정!$L$34)),"")</f>
        <v>유틸리티</v>
      </c>
      <c r="M264" s="83" t="str">
        <f aca="false">IFERROR(IF(INDEX(원자료_시장!$A$1:$BZ$1000,설정!$L$6+ROW()-1,설정!$L$35)&amp;""="0","",INDEX(원자료_시장!$A$1:$BZ$1000,설정!$L$6+ROW()-1,설정!$L$35)),"")</f>
        <v>AA</v>
      </c>
      <c r="N264" s="83" t="str">
        <f aca="false">IFERROR(IF(INDEX(원자료_시장!$A$1:$BZ$1000,설정!$L$6+ROW()-1,설정!$L$36)&amp;""="0","",INDEX(원자료_시장!$A$1:$BZ$1000,설정!$L$6+ROW()-1,설정!$L$36)),"")</f>
        <v>아시아/기타</v>
      </c>
      <c r="O264" s="43" t="str">
        <f aca="false">IF($A264="","",UPPER(LEFT($A264,FIND(" ",$A264&amp;" ")-1)))</f>
        <v>KOMIPW</v>
      </c>
      <c r="P264" s="43" t="str">
        <f aca="false">IF($A264="","",TRIM(RIGHT(SUBSTITUTE(TRIM($A264)," ",REPT(" ",30)),30)))</f>
        <v>07/28/29</v>
      </c>
      <c r="Q264" s="98" t="n">
        <f aca="false">IF($A264="","",IFERROR(DATE(IF(LEN(P264)=8,2000+VALUE(RIGHT(P264,2)),VALUE(RIGHT(P264,4))),VALUE(LEFT(P264,2)),VALUE(MID(P264,4,2))),""))</f>
        <v>47327</v>
      </c>
      <c r="R264" s="89" t="n">
        <f aca="false">IF($A264="",0,IF(ISNUMBER(SEARCH("Float",$A264)),1,0))</f>
        <v>0</v>
      </c>
      <c r="S264" s="43" t="str">
        <f aca="false">IF($A264="","",TRIM(MID($A264,LEN(O264)+2,LEN($A264)-LEN(O264)-LEN(P264)-1)))</f>
        <v>4 3/4</v>
      </c>
      <c r="T264" s="92" t="n">
        <f aca="false">IF(OR($A264="",R264=1),"",IFERROR(IF(ISNUMBER(FIND("/",S264)),IF(ISNUMBER(FIND(" ",S264)),VALUE(LEFT(S264,FIND(" ",S264)-1))+VALUE(MID(S264,FIND(" ",S264)+1,FIND("/",S264)-FIND(" ",S264)-1))/VALUE(MID(S264,FIND("/",S264)+1,9)),VALUE(LEFT(S264,FIND("/",S264)-1))/VALUE(MID(S264,FIND("/",S264)+1,9))),VALUE(S264)),""))</f>
        <v>4.75</v>
      </c>
      <c r="U264" s="43" t="str">
        <f aca="false">IF(OR($A264="",NOT(ISNUMBER(Q264))),"",TEXT(Q264,"yyyymmdd")&amp;"|"&amp;IF(R264=1,"F",TEXT(T264,"0.000")))</f>
        <v>20290728|4.750</v>
      </c>
      <c r="V264" s="43" t="str">
        <f aca="false">IF(U264="","",O264&amp;"|"&amp;U264)</f>
        <v>KOMIPW|20290728|4.750</v>
      </c>
      <c r="W264" s="43" t="str">
        <f aca="false">IF($A264="","",IFERROR(IF(VLOOKUP(O264,매핑!$A$4:$E$92,3,0)="","미분류",VLOOKUP(O264,매핑!$A$4:$E$92,3,0)),"미분류"))</f>
        <v>한국</v>
      </c>
      <c r="X264" s="89" t="n">
        <f aca="false">IF($A264="",0,IF(O264="T",1,0))</f>
        <v>0</v>
      </c>
      <c r="Y264" s="89" t="n">
        <f aca="false">IF($A264="",0,IF(AND(C264="USD",X264=0,ISNUMBER(E264),ISNUMBER(K264)),IF(K264&gt;=설정!$C$8,1,0),0))</f>
        <v>1</v>
      </c>
      <c r="Z264" s="43" t="str">
        <f aca="false">IF($A264="","",N264&amp;"|"&amp;L264)</f>
        <v>아시아/기타|유틸리티</v>
      </c>
      <c r="AA264" s="92" t="n">
        <f aca="false">IF(Y264=1,LN(K264),0)</f>
        <v>0.97229292198944</v>
      </c>
      <c r="AB264" s="93" t="n">
        <f aca="false">IF(Y264=1,E264,0)</f>
        <v>34.912</v>
      </c>
      <c r="AC264" s="89" t="n">
        <f aca="false">IF(Y264=1,COUNTIFS($Z$2:$Z$601,Z264,$Y$2:$Y$601,1),0)</f>
        <v>5</v>
      </c>
      <c r="AD264" s="89" t="n">
        <f aca="false">IF(Y264=1,COUNTIFS($N$2:$N$601,N264,$Y$2:$Y$601,1),0)</f>
        <v>137</v>
      </c>
      <c r="AE264" s="43" t="str">
        <f aca="false">IF(Y264&lt;&gt;1,"",IF(AND(AC264&gt;=설정!$C$7,ISNUMBER(MATCH(Z264,피어커브!$A:$A,0))),Z264,IF(AND(AD264&gt;=설정!$C$7,ISNUMBER(MATCH(N264&amp;"|전체",피어커브!$A:$A,0))),N264&amp;"|전체","전체|전체")))</f>
        <v>아시아/기타|유틸리티</v>
      </c>
      <c r="AF264" s="93" t="n">
        <f aca="false">IF(AE264="","",INDEX(피어커브!$K:$K,MATCH(AE264,피어커브!$A:$A,0)))</f>
        <v>-5.75296194923287</v>
      </c>
      <c r="AG264" s="93" t="n">
        <f aca="false">IF(AE264="","",INDEX(피어커브!$J:$J,MATCH(AE264,피어커브!$A:$A,0)))</f>
        <v>37.7569760298006</v>
      </c>
      <c r="AH264" s="93" t="n">
        <f aca="false">IF(AE264="","",INDEX(피어커브!$L:$L,MATCH(AE264,피어커브!$A:$A,0)))</f>
        <v>5.35723070209121</v>
      </c>
      <c r="AI264" s="93" t="n">
        <f aca="false">IF(AE264="","",AF264+AG264*AA264)</f>
        <v>30.9578786002672</v>
      </c>
      <c r="AJ264" s="96" t="n">
        <f aca="false">IF(AE264="","",E264-AI264)</f>
        <v>3.95412139973278</v>
      </c>
      <c r="AK264" s="95" t="n">
        <f aca="false">IF(AE264="","",IF(ISNUMBER(AH264),IF(AH264&gt;0,AJ264/AH264,""),""))</f>
        <v>0.738090558278418</v>
      </c>
      <c r="AL264" s="43" t="str">
        <f aca="false">IF(AK264="","-",IF(AK264&gt;=설정!$C$6,"Cheap",IF(AK264&lt;=-설정!$C$6,"Rich","Fair")))</f>
        <v>Fair</v>
      </c>
      <c r="AM264" s="96" t="n">
        <f aca="false">IF(AE264="","",AJ264-AVERAGEIFS($AJ$2:$AJ$601,$B$2:$B$601,B264,$Y$2:$Y$601,1))</f>
        <v>0</v>
      </c>
      <c r="AN264" s="93" t="n">
        <f aca="false">IF(AE264="",0,IF(K264&gt;1+설정!$C$8,AG264*(AA264-LN(K264-1)),0))</f>
        <v>17.9406283418509</v>
      </c>
      <c r="AO264" s="99" t="n">
        <f aca="false">IF($A264="",0,SUMIFS(보유분석!$AA$2:$AA$801,보유분석!$AB$2:$AB$801,ROW(),보유분석!$AC$2:$AC$801,1))</f>
        <v>0</v>
      </c>
      <c r="AP264" s="43" t="str">
        <f aca="false">IF($A264="","",TRIM(IF(R264=1,"FRN ","")&amp;IF(IFERROR(VLOOKUP(M264,설정!$A$15:$D$47,4,0),0)&gt;=10,IF(IFERROR(VLOOKUP(M264,설정!$A$15:$D$47,4,0),0)&lt;99,"BBB0미만 ",""),"")&amp;IF(OR(M264="",M264="NR"),"등급미입력 ","")&amp;IF(C264&lt;&gt;"USD","비USD ","")))</f>
        <v/>
      </c>
      <c r="AQ264" s="90" t="n">
        <f aca="false">IF(AND(Y264=1,AL264="Cheap"),IF(AND(ISERROR(SEARCH("FRN",AP264)),ISERROR(SEARCH("BBB0미만",AP264))),AK264+ROW()/1000000000,-999),-999)</f>
        <v>-999</v>
      </c>
      <c r="AR264" s="92" t="n">
        <f aca="false">IF(AND(ISNUMBER(D264),ISNUMBER(K264)),D264+AN264*MAX(K264-1,0)/100,"")</f>
        <v>5.64394392994003</v>
      </c>
      <c r="AS264" s="93" t="n">
        <f aca="false">IF(AND(ISNUMBER(E264),ISNUMBER(K264)),IF(K264&gt;0,(E264+AN264*MAX(K264-1,0))/K264,""),"")</f>
        <v>24.3594527208785</v>
      </c>
      <c r="AT264" s="90" t="n">
        <f aca="false">IFERROR(IF(AND(Y264=1,ROW()&lt;&gt;스왑분석!$C$12+1,ABS(K264-INDEX($K$2:$K$601,스왑분석!$C$12))&lt;=스왑분석!$C$5,ISERROR(SEARCH("FRN",AP264)),ISERROR(SEARCH("BBB0미만",AP264))),IF(AND(OR(스왑분석!$C$6="N",L264=INDEX($L$2:$L$601,스왑분석!$C$12)),OR(스왑분석!$C$7="N",N264=INDEX($N$2:$N$601,스왑분석!$C$12)),OR(스왑분석!$C$8="N",AO264=0),E264-INDEX($E$2:$E$601,스왑분석!$C$12)&gt;=스왑분석!$C$9),E264-INDEX($E$2:$E$601,스왑분석!$C$12)+ROW()/1000000000,-999),-999),-999)</f>
        <v>-999</v>
      </c>
      <c r="AU264" s="90" t="n">
        <f aca="false">IF(AND(Y264=1,AO264&gt;0,AL264="Rich"),-AK264+ROW()/1000000000,-999)</f>
        <v>-999</v>
      </c>
    </row>
    <row r="265" customFormat="false" ht="15" hidden="false" customHeight="false" outlineLevel="0" collapsed="false">
      <c r="A265" s="83" t="str">
        <f aca="false">IFERROR(IF(INDEX(원자료_시장!$A$1:$BZ$1000,설정!$L$6+ROW()-1,설정!$L$24)&amp;""="0","",INDEX(원자료_시장!$A$1:$BZ$1000,설정!$L$6+ROW()-1,설정!$L$24)),"")</f>
        <v>SAMAER 5 07/27/29</v>
      </c>
      <c r="B265" s="83" t="str">
        <f aca="false">IFERROR(IF(INDEX(원자료_시장!$A$1:$BZ$1000,설정!$L$6+ROW()-1,설정!$L$37)&amp;""="0","",INDEX(원자료_시장!$A$1:$BZ$1000,설정!$L$6+ROW()-1,설정!$L$37)),"")</f>
        <v>HANWHA AEROSPACE CO LTD</v>
      </c>
      <c r="C265" s="83" t="str">
        <f aca="false">IFERROR(IF(INDEX(원자료_시장!$A$1:$BZ$1000,설정!$L$6+ROW()-1,설정!$L$25)&amp;""="0","",INDEX(원자료_시장!$A$1:$BZ$1000,설정!$L$6+ROW()-1,설정!$L$25)),"")</f>
        <v>USD</v>
      </c>
      <c r="D265" s="85" t="n">
        <f aca="false">IFERROR(IF(ISNUMBER(INDEX(원자료_시장!$A$1:$BZ$1000,설정!$L$6+ROW()-1,설정!$L$26)),INDEX(원자료_시장!$A$1:$BZ$1000,설정!$L$6+ROW()-1,설정!$L$26),""),"")</f>
        <v>5.616</v>
      </c>
      <c r="E265" s="97" t="n">
        <f aca="false">IFERROR(IF(ISNUMBER(INDEX(원자료_시장!$A$1:$BZ$1000,설정!$L$6+ROW()-1,설정!$L$27)),INDEX(원자료_시장!$A$1:$BZ$1000,설정!$L$6+ROW()-1,설정!$L$27),""),"")</f>
        <v>61.571</v>
      </c>
      <c r="F265" s="97" t="n">
        <f aca="false">IFERROR(IF(ISNUMBER(INDEX(원자료_시장!$A$1:$BZ$1000,설정!$L$6+ROW()-1,설정!$L$28)),INDEX(원자료_시장!$A$1:$BZ$1000,설정!$L$6+ROW()-1,설정!$L$28),""),"")</f>
        <v>88.787</v>
      </c>
      <c r="G265" s="97" t="n">
        <f aca="false">IFERROR(IF(ISNUMBER(INDEX(원자료_시장!$A$1:$BZ$1000,설정!$L$6+ROW()-1,설정!$L$29)),INDEX(원자료_시장!$A$1:$BZ$1000,설정!$L$6+ROW()-1,설정!$L$29),""),"")</f>
        <v>-2</v>
      </c>
      <c r="H265" s="97" t="n">
        <f aca="false">IFERROR(IF(ISNUMBER(INDEX(원자료_시장!$A$1:$BZ$1000,설정!$L$6+ROW()-1,설정!$L$30)),INDEX(원자료_시장!$A$1:$BZ$1000,설정!$L$6+ROW()-1,설정!$L$30),""),"")</f>
        <v>0.4</v>
      </c>
      <c r="I265" s="97" t="n">
        <f aca="false">IFERROR(IF(ISNUMBER(INDEX(원자료_시장!$A$1:$BZ$1000,설정!$L$6+ROW()-1,설정!$L$31)),INDEX(원자료_시장!$A$1:$BZ$1000,설정!$L$6+ROW()-1,설정!$L$31),""),"")</f>
        <v>-5.7</v>
      </c>
      <c r="J265" s="97" t="n">
        <f aca="false">IFERROR(IF(ISNUMBER(INDEX(원자료_시장!$A$1:$BZ$1000,설정!$L$6+ROW()-1,설정!$L$32)),INDEX(원자료_시장!$A$1:$BZ$1000,설정!$L$6+ROW()-1,설정!$L$32),""),"")</f>
        <v>-22.9</v>
      </c>
      <c r="K265" s="85" t="n">
        <f aca="false">IFERROR(IF(ISNUMBER(INDEX(원자료_시장!$A$1:$BZ$1000,설정!$L$6+ROW()-1,설정!$L$33)),INDEX(원자료_시장!$A$1:$BZ$1000,설정!$L$6+ROW()-1,설정!$L$33),""),"")</f>
        <v>2.632</v>
      </c>
      <c r="L265" s="83" t="str">
        <f aca="false">IFERROR(IF(INDEX(원자료_시장!$A$1:$BZ$1000,설정!$L$6+ROW()-1,설정!$L$34)&amp;""="0","",INDEX(원자료_시장!$A$1:$BZ$1000,설정!$L$6+ROW()-1,설정!$L$34)),"")</f>
        <v>산업</v>
      </c>
      <c r="M265" s="83" t="str">
        <f aca="false">IFERROR(IF(INDEX(원자료_시장!$A$1:$BZ$1000,설정!$L$6+ROW()-1,설정!$L$35)&amp;""="0","",INDEX(원자료_시장!$A$1:$BZ$1000,설정!$L$6+ROW()-1,설정!$L$35)),"")</f>
        <v>A-</v>
      </c>
      <c r="N265" s="83" t="str">
        <f aca="false">IFERROR(IF(INDEX(원자료_시장!$A$1:$BZ$1000,설정!$L$6+ROW()-1,설정!$L$36)&amp;""="0","",INDEX(원자료_시장!$A$1:$BZ$1000,설정!$L$6+ROW()-1,설정!$L$36)),"")</f>
        <v>아시아/기타</v>
      </c>
      <c r="O265" s="43" t="str">
        <f aca="false">IF($A265="","",UPPER(LEFT($A265,FIND(" ",$A265&amp;" ")-1)))</f>
        <v>SAMAER</v>
      </c>
      <c r="P265" s="43" t="str">
        <f aca="false">IF($A265="","",TRIM(RIGHT(SUBSTITUTE(TRIM($A265)," ",REPT(" ",30)),30)))</f>
        <v>07/27/29</v>
      </c>
      <c r="Q265" s="98" t="n">
        <f aca="false">IF($A265="","",IFERROR(DATE(IF(LEN(P265)=8,2000+VALUE(RIGHT(P265,2)),VALUE(RIGHT(P265,4))),VALUE(LEFT(P265,2)),VALUE(MID(P265,4,2))),""))</f>
        <v>47326</v>
      </c>
      <c r="R265" s="89" t="n">
        <f aca="false">IF($A265="",0,IF(ISNUMBER(SEARCH("Float",$A265)),1,0))</f>
        <v>0</v>
      </c>
      <c r="S265" s="43" t="str">
        <f aca="false">IF($A265="","",TRIM(MID($A265,LEN(O265)+2,LEN($A265)-LEN(O265)-LEN(P265)-1)))</f>
        <v>5</v>
      </c>
      <c r="T265" s="92" t="n">
        <f aca="false">IF(OR($A265="",R265=1),"",IFERROR(IF(ISNUMBER(FIND("/",S265)),IF(ISNUMBER(FIND(" ",S265)),VALUE(LEFT(S265,FIND(" ",S265)-1))+VALUE(MID(S265,FIND(" ",S265)+1,FIND("/",S265)-FIND(" ",S265)-1))/VALUE(MID(S265,FIND("/",S265)+1,9)),VALUE(LEFT(S265,FIND("/",S265)-1))/VALUE(MID(S265,FIND("/",S265)+1,9))),VALUE(S265)),""))</f>
        <v>5</v>
      </c>
      <c r="U265" s="43" t="str">
        <f aca="false">IF(OR($A265="",NOT(ISNUMBER(Q265))),"",TEXT(Q265,"yyyymmdd")&amp;"|"&amp;IF(R265=1,"F",TEXT(T265,"0.000")))</f>
        <v>20290727|5.000</v>
      </c>
      <c r="V265" s="43" t="str">
        <f aca="false">IF(U265="","",O265&amp;"|"&amp;U265)</f>
        <v>SAMAER|20290727|5.000</v>
      </c>
      <c r="W265" s="43" t="str">
        <f aca="false">IF($A265="","",IFERROR(IF(VLOOKUP(O265,매핑!$A$4:$E$92,3,0)="","미분류",VLOOKUP(O265,매핑!$A$4:$E$92,3,0)),"미분류"))</f>
        <v>한국</v>
      </c>
      <c r="X265" s="89" t="n">
        <f aca="false">IF($A265="",0,IF(O265="T",1,0))</f>
        <v>0</v>
      </c>
      <c r="Y265" s="89" t="n">
        <f aca="false">IF($A265="",0,IF(AND(C265="USD",X265=0,ISNUMBER(E265),ISNUMBER(K265)),IF(K265&gt;=설정!$C$8,1,0),0))</f>
        <v>1</v>
      </c>
      <c r="Z265" s="43" t="str">
        <f aca="false">IF($A265="","",N265&amp;"|"&amp;L265)</f>
        <v>아시아/기타|산업</v>
      </c>
      <c r="AA265" s="92" t="n">
        <f aca="false">IF(Y265=1,LN(K265),0)</f>
        <v>0.967744013463071</v>
      </c>
      <c r="AB265" s="93" t="n">
        <f aca="false">IF(Y265=1,E265,0)</f>
        <v>61.571</v>
      </c>
      <c r="AC265" s="89" t="n">
        <f aca="false">IF(Y265=1,COUNTIFS($Z$2:$Z$601,Z265,$Y$2:$Y$601,1),0)</f>
        <v>3</v>
      </c>
      <c r="AD265" s="89" t="n">
        <f aca="false">IF(Y265=1,COUNTIFS($N$2:$N$601,N265,$Y$2:$Y$601,1),0)</f>
        <v>137</v>
      </c>
      <c r="AE265" s="43" t="str">
        <f aca="false">IF(Y265&lt;&gt;1,"",IF(AND(AC265&gt;=설정!$C$7,ISNUMBER(MATCH(Z265,피어커브!$A:$A,0))),Z265,IF(AND(AD265&gt;=설정!$C$7,ISNUMBER(MATCH(N265&amp;"|전체",피어커브!$A:$A,0))),N265&amp;"|전체","전체|전체")))</f>
        <v>아시아/기타|전체</v>
      </c>
      <c r="AF265" s="93" t="n">
        <f aca="false">IF(AE265="","",INDEX(피어커브!$K:$K,MATCH(AE265,피어커브!$A:$A,0)))</f>
        <v>19.1102274022067</v>
      </c>
      <c r="AG265" s="93" t="n">
        <f aca="false">IF(AE265="","",INDEX(피어커브!$J:$J,MATCH(AE265,피어커브!$A:$A,0)))</f>
        <v>26.6985069081074</v>
      </c>
      <c r="AH265" s="93" t="n">
        <f aca="false">IF(AE265="","",INDEX(피어커브!$L:$L,MATCH(AE265,피어커브!$A:$A,0)))</f>
        <v>27.5778213758018</v>
      </c>
      <c r="AI265" s="93" t="n">
        <f aca="false">IF(AE265="","",AF265+AG265*AA265)</f>
        <v>44.9475476309301</v>
      </c>
      <c r="AJ265" s="96" t="n">
        <f aca="false">IF(AE265="","",E265-AI265)</f>
        <v>16.6234523690699</v>
      </c>
      <c r="AK265" s="95" t="n">
        <f aca="false">IF(AE265="","",IF(ISNUMBER(AH265),IF(AH265&gt;0,AJ265/AH265,""),""))</f>
        <v>0.602783379533243</v>
      </c>
      <c r="AL265" s="43" t="str">
        <f aca="false">IF(AK265="","-",IF(AK265&gt;=설정!$C$6,"Cheap",IF(AK265&lt;=-설정!$C$6,"Rich","Fair")))</f>
        <v>Fair</v>
      </c>
      <c r="AM265" s="96" t="n">
        <f aca="false">IF(AE265="","",AJ265-AVERAGEIFS($AJ$2:$AJ$601,$B$2:$B$601,B265,$Y$2:$Y$601,1))</f>
        <v>0</v>
      </c>
      <c r="AN265" s="93" t="n">
        <f aca="false">IF(AE265="",0,IF(K265&gt;1+설정!$C$8,AG265*(AA265-LN(K265-1)),0))</f>
        <v>12.7602245048048</v>
      </c>
      <c r="AO265" s="99" t="n">
        <f aca="false">IF($A265="",0,SUMIFS(보유분석!$AA$2:$AA$801,보유분석!$AB$2:$AB$801,ROW(),보유분석!$AC$2:$AC$801,1))</f>
        <v>0.1968852</v>
      </c>
      <c r="AP265" s="43" t="str">
        <f aca="false">IF($A265="","",TRIM(IF(R265=1,"FRN ","")&amp;IF(IFERROR(VLOOKUP(M265,설정!$A$15:$D$47,4,0),0)&gt;=10,IF(IFERROR(VLOOKUP(M265,설정!$A$15:$D$47,4,0),0)&lt;99,"BBB0미만 ",""),"")&amp;IF(OR(M265="",M265="NR"),"등급미입력 ","")&amp;IF(C265&lt;&gt;"USD","비USD ","")))</f>
        <v/>
      </c>
      <c r="AQ265" s="90" t="n">
        <f aca="false">IF(AND(Y265=1,AL265="Cheap"),IF(AND(ISERROR(SEARCH("FRN",AP265)),ISERROR(SEARCH("BBB0미만",AP265))),AK265+ROW()/1000000000,-999),-999)</f>
        <v>-999</v>
      </c>
      <c r="AR265" s="92" t="n">
        <f aca="false">IF(AND(ISNUMBER(D265),ISNUMBER(K265)),D265+AN265*MAX(K265-1,0)/100,"")</f>
        <v>5.82424686391842</v>
      </c>
      <c r="AS265" s="93" t="n">
        <f aca="false">IF(AND(ISNUMBER(E265),ISNUMBER(K265)),IF(K265&gt;0,(E265+AN265*MAX(K265-1,0))/K265,""),"")</f>
        <v>31.3053519725842</v>
      </c>
      <c r="AT265" s="90" t="n">
        <f aca="false">IFERROR(IF(AND(Y265=1,ROW()&lt;&gt;스왑분석!$C$12+1,ABS(K265-INDEX($K$2:$K$601,스왑분석!$C$12))&lt;=스왑분석!$C$5,ISERROR(SEARCH("FRN",AP265)),ISERROR(SEARCH("BBB0미만",AP265))),IF(AND(OR(스왑분석!$C$6="N",L265=INDEX($L$2:$L$601,스왑분석!$C$12)),OR(스왑분석!$C$7="N",N265=INDEX($N$2:$N$601,스왑분석!$C$12)),OR(스왑분석!$C$8="N",AO265=0),E265-INDEX($E$2:$E$601,스왑분석!$C$12)&gt;=스왑분석!$C$9),E265-INDEX($E$2:$E$601,스왑분석!$C$12)+ROW()/1000000000,-999),-999),-999)</f>
        <v>13.079000265</v>
      </c>
      <c r="AU265" s="90" t="n">
        <f aca="false">IF(AND(Y265=1,AO265&gt;0,AL265="Rich"),-AK265+ROW()/1000000000,-999)</f>
        <v>-999</v>
      </c>
    </row>
    <row r="266" customFormat="false" ht="15" hidden="false" customHeight="false" outlineLevel="0" collapsed="false">
      <c r="A266" s="83" t="str">
        <f aca="false">IFERROR(IF(INDEX(원자료_시장!$A$1:$BZ$1000,설정!$L$6+ROW()-1,설정!$L$24)&amp;""="0","",INDEX(원자료_시장!$A$1:$BZ$1000,설정!$L$6+ROW()-1,설정!$L$24)),"")</f>
        <v>KOREAN 4 3/4 08/11/29</v>
      </c>
      <c r="B266" s="83" t="str">
        <f aca="false">IFERROR(IF(INDEX(원자료_시장!$A$1:$BZ$1000,설정!$L$6+ROW()-1,설정!$L$37)&amp;""="0","",INDEX(원자료_시장!$A$1:$BZ$1000,설정!$L$6+ROW()-1,설정!$L$37)),"")</f>
        <v>KOREAN AIR LINES CO LTD</v>
      </c>
      <c r="C266" s="83" t="str">
        <f aca="false">IFERROR(IF(INDEX(원자료_시장!$A$1:$BZ$1000,설정!$L$6+ROW()-1,설정!$L$25)&amp;""="0","",INDEX(원자료_시장!$A$1:$BZ$1000,설정!$L$6+ROW()-1,설정!$L$25)),"")</f>
        <v>USD</v>
      </c>
      <c r="D266" s="85" t="n">
        <f aca="false">IFERROR(IF(ISNUMBER(INDEX(원자료_시장!$A$1:$BZ$1000,설정!$L$6+ROW()-1,설정!$L$26)),INDEX(원자료_시장!$A$1:$BZ$1000,설정!$L$6+ROW()-1,설정!$L$26),""),"")</f>
        <v>5.462</v>
      </c>
      <c r="E266" s="97" t="n">
        <f aca="false">IFERROR(IF(ISNUMBER(INDEX(원자료_시장!$A$1:$BZ$1000,설정!$L$6+ROW()-1,설정!$L$27)),INDEX(원자료_시장!$A$1:$BZ$1000,설정!$L$6+ROW()-1,설정!$L$27),""),"")</f>
        <v>46.213</v>
      </c>
      <c r="F266" s="97" t="n">
        <f aca="false">IFERROR(IF(ISNUMBER(INDEX(원자료_시장!$A$1:$BZ$1000,설정!$L$6+ROW()-1,설정!$L$28)),INDEX(원자료_시장!$A$1:$BZ$1000,설정!$L$6+ROW()-1,설정!$L$28),""),"")</f>
        <v>73.245</v>
      </c>
      <c r="G266" s="97" t="n">
        <f aca="false">IFERROR(IF(ISNUMBER(INDEX(원자료_시장!$A$1:$BZ$1000,설정!$L$6+ROW()-1,설정!$L$29)),INDEX(원자료_시장!$A$1:$BZ$1000,설정!$L$6+ROW()-1,설정!$L$29),""),"")</f>
        <v>-0.9</v>
      </c>
      <c r="H266" s="97" t="n">
        <f aca="false">IFERROR(IF(ISNUMBER(INDEX(원자료_시장!$A$1:$BZ$1000,설정!$L$6+ROW()-1,설정!$L$30)),INDEX(원자료_시장!$A$1:$BZ$1000,설정!$L$6+ROW()-1,설정!$L$30),""),"")</f>
        <v>-0.3</v>
      </c>
      <c r="I266" s="97" t="n">
        <f aca="false">IFERROR(IF(ISNUMBER(INDEX(원자료_시장!$A$1:$BZ$1000,설정!$L$6+ROW()-1,설정!$L$31)),INDEX(원자료_시장!$A$1:$BZ$1000,설정!$L$6+ROW()-1,설정!$L$31),""),"")</f>
        <v>-2.7</v>
      </c>
      <c r="J266" s="97" t="n">
        <f aca="false">IFERROR(IF(ISNUMBER(INDEX(원자료_시장!$A$1:$BZ$1000,설정!$L$6+ROW()-1,설정!$L$32)),INDEX(원자료_시장!$A$1:$BZ$1000,설정!$L$6+ROW()-1,설정!$L$32),""),"")</f>
        <v>-6</v>
      </c>
      <c r="K266" s="85" t="n">
        <f aca="false">IFERROR(IF(ISNUMBER(INDEX(원자료_시장!$A$1:$BZ$1000,설정!$L$6+ROW()-1,설정!$L$33)),INDEX(원자료_시장!$A$1:$BZ$1000,설정!$L$6+ROW()-1,설정!$L$33),""),"")</f>
        <v>2.679</v>
      </c>
      <c r="L266" s="83" t="str">
        <f aca="false">IFERROR(IF(INDEX(원자료_시장!$A$1:$BZ$1000,설정!$L$6+ROW()-1,설정!$L$34)&amp;""="0","",INDEX(원자료_시장!$A$1:$BZ$1000,설정!$L$6+ROW()-1,설정!$L$34)),"")</f>
        <v>자유 소비재</v>
      </c>
      <c r="M266" s="83" t="n">
        <f aca="false">IFERROR(IF(INDEX(원자료_시장!$A$1:$BZ$1000,설정!$L$6+ROW()-1,설정!$L$35)&amp;""="0","",INDEX(원자료_시장!$A$1:$BZ$1000,설정!$L$6+ROW()-1,설정!$L$35)),"")</f>
        <v>0</v>
      </c>
      <c r="N266" s="83" t="str">
        <f aca="false">IFERROR(IF(INDEX(원자료_시장!$A$1:$BZ$1000,설정!$L$6+ROW()-1,설정!$L$36)&amp;""="0","",INDEX(원자료_시장!$A$1:$BZ$1000,설정!$L$6+ROW()-1,설정!$L$36)),"")</f>
        <v>아시아/기타</v>
      </c>
      <c r="O266" s="43" t="str">
        <f aca="false">IF($A266="","",UPPER(LEFT($A266,FIND(" ",$A266&amp;" ")-1)))</f>
        <v>KOREAN</v>
      </c>
      <c r="P266" s="43" t="str">
        <f aca="false">IF($A266="","",TRIM(RIGHT(SUBSTITUTE(TRIM($A266)," ",REPT(" ",30)),30)))</f>
        <v>08/11/29</v>
      </c>
      <c r="Q266" s="98" t="n">
        <f aca="false">IF($A266="","",IFERROR(DATE(IF(LEN(P266)=8,2000+VALUE(RIGHT(P266,2)),VALUE(RIGHT(P266,4))),VALUE(LEFT(P266,2)),VALUE(MID(P266,4,2))),""))</f>
        <v>47341</v>
      </c>
      <c r="R266" s="89" t="n">
        <f aca="false">IF($A266="",0,IF(ISNUMBER(SEARCH("Float",$A266)),1,0))</f>
        <v>0</v>
      </c>
      <c r="S266" s="43" t="str">
        <f aca="false">IF($A266="","",TRIM(MID($A266,LEN(O266)+2,LEN($A266)-LEN(O266)-LEN(P266)-1)))</f>
        <v>4 3/4</v>
      </c>
      <c r="T266" s="92" t="n">
        <f aca="false">IF(OR($A266="",R266=1),"",IFERROR(IF(ISNUMBER(FIND("/",S266)),IF(ISNUMBER(FIND(" ",S266)),VALUE(LEFT(S266,FIND(" ",S266)-1))+VALUE(MID(S266,FIND(" ",S266)+1,FIND("/",S266)-FIND(" ",S266)-1))/VALUE(MID(S266,FIND("/",S266)+1,9)),VALUE(LEFT(S266,FIND("/",S266)-1))/VALUE(MID(S266,FIND("/",S266)+1,9))),VALUE(S266)),""))</f>
        <v>4.75</v>
      </c>
      <c r="U266" s="43" t="str">
        <f aca="false">IF(OR($A266="",NOT(ISNUMBER(Q266))),"",TEXT(Q266,"yyyymmdd")&amp;"|"&amp;IF(R266=1,"F",TEXT(T266,"0.000")))</f>
        <v>20290811|4.750</v>
      </c>
      <c r="V266" s="43" t="str">
        <f aca="false">IF(U266="","",O266&amp;"|"&amp;U266)</f>
        <v>KOREAN|20290811|4.750</v>
      </c>
      <c r="W266" s="43" t="str">
        <f aca="false">IF($A266="","",IFERROR(IF(VLOOKUP(O266,매핑!$A$4:$E$92,3,0)="","미분류",VLOOKUP(O266,매핑!$A$4:$E$92,3,0)),"미분류"))</f>
        <v>한국</v>
      </c>
      <c r="X266" s="89" t="n">
        <f aca="false">IF($A266="",0,IF(O266="T",1,0))</f>
        <v>0</v>
      </c>
      <c r="Y266" s="89" t="n">
        <f aca="false">IF($A266="",0,IF(AND(C266="USD",X266=0,ISNUMBER(E266),ISNUMBER(K266)),IF(K266&gt;=설정!$C$8,1,0),0))</f>
        <v>1</v>
      </c>
      <c r="Z266" s="43" t="str">
        <f aca="false">IF($A266="","",N266&amp;"|"&amp;L266)</f>
        <v>아시아/기타|자유 소비재</v>
      </c>
      <c r="AA266" s="92" t="n">
        <f aca="false">IF(Y266=1,LN(K266),0)</f>
        <v>0.985443590562472</v>
      </c>
      <c r="AB266" s="93" t="n">
        <f aca="false">IF(Y266=1,E266,0)</f>
        <v>46.213</v>
      </c>
      <c r="AC266" s="89" t="n">
        <f aca="false">IF(Y266=1,COUNTIFS($Z$2:$Z$601,Z266,$Y$2:$Y$601,1),0)</f>
        <v>11</v>
      </c>
      <c r="AD266" s="89" t="n">
        <f aca="false">IF(Y266=1,COUNTIFS($N$2:$N$601,N266,$Y$2:$Y$601,1),0)</f>
        <v>137</v>
      </c>
      <c r="AE266" s="43" t="str">
        <f aca="false">IF(Y266&lt;&gt;1,"",IF(AND(AC266&gt;=설정!$C$7,ISNUMBER(MATCH(Z266,피어커브!$A:$A,0))),Z266,IF(AND(AD266&gt;=설정!$C$7,ISNUMBER(MATCH(N266&amp;"|전체",피어커브!$A:$A,0))),N266&amp;"|전체","전체|전체")))</f>
        <v>아시아/기타|자유 소비재</v>
      </c>
      <c r="AF266" s="93" t="n">
        <f aca="false">IF(AE266="","",INDEX(피어커브!$K:$K,MATCH(AE266,피어커브!$A:$A,0)))</f>
        <v>34.9855900051434</v>
      </c>
      <c r="AG266" s="93" t="n">
        <f aca="false">IF(AE266="","",INDEX(피어커브!$J:$J,MATCH(AE266,피어커브!$A:$A,0)))</f>
        <v>40.0993538941787</v>
      </c>
      <c r="AH266" s="93" t="n">
        <f aca="false">IF(AE266="","",INDEX(피어커브!$L:$L,MATCH(AE266,피어커브!$A:$A,0)))</f>
        <v>20.7149409525972</v>
      </c>
      <c r="AI266" s="93" t="n">
        <f aca="false">IF(AE266="","",AF266+AG266*AA266)</f>
        <v>74.501241285858</v>
      </c>
      <c r="AJ266" s="96" t="n">
        <f aca="false">IF(AE266="","",E266-AI266)</f>
        <v>-28.288241285858</v>
      </c>
      <c r="AK266" s="95" t="n">
        <f aca="false">IF(AE266="","",IF(ISNUMBER(AH266),IF(AH266&gt;0,AJ266/AH266,""),""))</f>
        <v>-1.36559603769043</v>
      </c>
      <c r="AL266" s="43" t="str">
        <f aca="false">IF(AK266="","-",IF(AK266&gt;=설정!$C$6,"Cheap",IF(AK266&lt;=-설정!$C$6,"Rich","Fair")))</f>
        <v>Rich</v>
      </c>
      <c r="AM266" s="96" t="n">
        <f aca="false">IF(AE266="","",AJ266-AVERAGEIFS($AJ$2:$AJ$601,$B$2:$B$601,B266,$Y$2:$Y$601,1))</f>
        <v>7.77614607851436</v>
      </c>
      <c r="AN266" s="93" t="n">
        <f aca="false">IF(AE266="",0,IF(K266&gt;1+설정!$C$8,AG266*(AA266-LN(K266-1)),0))</f>
        <v>18.7362311300777</v>
      </c>
      <c r="AO266" s="99" t="n">
        <f aca="false">IF($A266="",0,SUMIFS(보유분석!$AA$2:$AA$801,보유분석!$AB$2:$AB$801,ROW(),보유분석!$AC$2:$AC$801,1))</f>
        <v>0</v>
      </c>
      <c r="AP266" s="43" t="str">
        <f aca="false">IF($A266="","",TRIM(IF(R266=1,"FRN ","")&amp;IF(IFERROR(VLOOKUP(M266,설정!$A$15:$D$47,4,0),0)&gt;=10,IF(IFERROR(VLOOKUP(M266,설정!$A$15:$D$47,4,0),0)&lt;99,"BBB0미만 ",""),"")&amp;IF(OR(M266="",M266="NR"),"등급미입력 ","")&amp;IF(C266&lt;&gt;"USD","비USD ","")))</f>
        <v>등급미입력</v>
      </c>
      <c r="AQ266" s="90" t="n">
        <f aca="false">IF(AND(Y266=1,AL266="Cheap"),IF(AND(ISERROR(SEARCH("FRN",AP266)),ISERROR(SEARCH("BBB0미만",AP266))),AK266+ROW()/1000000000,-999),-999)</f>
        <v>-999</v>
      </c>
      <c r="AR266" s="92" t="n">
        <f aca="false">IF(AND(ISNUMBER(D266),ISNUMBER(K266)),D266+AN266*MAX(K266-1,0)/100,"")</f>
        <v>5.776581320674</v>
      </c>
      <c r="AS266" s="93" t="n">
        <f aca="false">IF(AND(ISNUMBER(E266),ISNUMBER(K266)),IF(K266&gt;0,(E266+AN266*MAX(K266-1,0))/K266,""),"")</f>
        <v>28.9925838250841</v>
      </c>
      <c r="AT266" s="90" t="n">
        <f aca="false">IFERROR(IF(AND(Y266=1,ROW()&lt;&gt;스왑분석!$C$12+1,ABS(K266-INDEX($K$2:$K$601,스왑분석!$C$12))&lt;=스왑분석!$C$5,ISERROR(SEARCH("FRN",AP266)),ISERROR(SEARCH("BBB0미만",AP266))),IF(AND(OR(스왑분석!$C$6="N",L266=INDEX($L$2:$L$601,스왑분석!$C$12)),OR(스왑분석!$C$7="N",N266=INDEX($N$2:$N$601,스왑분석!$C$12)),OR(스왑분석!$C$8="N",AO266=0),E266-INDEX($E$2:$E$601,스왑분석!$C$12)&gt;=스왑분석!$C$9),E266-INDEX($E$2:$E$601,스왑분석!$C$12)+ROW()/1000000000,-999),-999),-999)</f>
        <v>-999</v>
      </c>
      <c r="AU266" s="90" t="n">
        <f aca="false">IF(AND(Y266=1,AO266&gt;0,AL266="Rich"),-AK266+ROW()/1000000000,-999)</f>
        <v>-999</v>
      </c>
    </row>
    <row r="267" customFormat="false" ht="15" hidden="false" customHeight="false" outlineLevel="0" collapsed="false">
      <c r="A267" s="83" t="n">
        <f aca="false">IFERROR(IF(INDEX(원자료_시장!$A$1:$BZ$1000,설정!$L$6+ROW()-1,설정!$L$24)&amp;""="0","",INDEX(원자료_시장!$A$1:$BZ$1000,설정!$L$6+ROW()-1,설정!$L$24)),"")</f>
        <v>0</v>
      </c>
      <c r="B267" s="83" t="n">
        <f aca="false">IFERROR(IF(INDEX(원자료_시장!$A$1:$BZ$1000,설정!$L$6+ROW()-1,설정!$L$37)&amp;""="0","",INDEX(원자료_시장!$A$1:$BZ$1000,설정!$L$6+ROW()-1,설정!$L$37)),"")</f>
        <v>0</v>
      </c>
      <c r="C267" s="83" t="n">
        <f aca="false">IFERROR(IF(INDEX(원자료_시장!$A$1:$BZ$1000,설정!$L$6+ROW()-1,설정!$L$25)&amp;""="0","",INDEX(원자료_시장!$A$1:$BZ$1000,설정!$L$6+ROW()-1,설정!$L$25)),"")</f>
        <v>0</v>
      </c>
      <c r="D267" s="85" t="str">
        <f aca="false">IFERROR(IF(ISNUMBER(INDEX(원자료_시장!$A$1:$BZ$1000,설정!$L$6+ROW()-1,설정!$L$26)),INDEX(원자료_시장!$A$1:$BZ$1000,설정!$L$6+ROW()-1,설정!$L$26),""),"")</f>
        <v/>
      </c>
      <c r="E267" s="97" t="str">
        <f aca="false">IFERROR(IF(ISNUMBER(INDEX(원자료_시장!$A$1:$BZ$1000,설정!$L$6+ROW()-1,설정!$L$27)),INDEX(원자료_시장!$A$1:$BZ$1000,설정!$L$6+ROW()-1,설정!$L$27),""),"")</f>
        <v/>
      </c>
      <c r="F267" s="97" t="str">
        <f aca="false">IFERROR(IF(ISNUMBER(INDEX(원자료_시장!$A$1:$BZ$1000,설정!$L$6+ROW()-1,설정!$L$28)),INDEX(원자료_시장!$A$1:$BZ$1000,설정!$L$6+ROW()-1,설정!$L$28),""),"")</f>
        <v/>
      </c>
      <c r="G267" s="97" t="str">
        <f aca="false">IFERROR(IF(ISNUMBER(INDEX(원자료_시장!$A$1:$BZ$1000,설정!$L$6+ROW()-1,설정!$L$29)),INDEX(원자료_시장!$A$1:$BZ$1000,설정!$L$6+ROW()-1,설정!$L$29),""),"")</f>
        <v/>
      </c>
      <c r="H267" s="97" t="str">
        <f aca="false">IFERROR(IF(ISNUMBER(INDEX(원자료_시장!$A$1:$BZ$1000,설정!$L$6+ROW()-1,설정!$L$30)),INDEX(원자료_시장!$A$1:$BZ$1000,설정!$L$6+ROW()-1,설정!$L$30),""),"")</f>
        <v/>
      </c>
      <c r="I267" s="97" t="str">
        <f aca="false">IFERROR(IF(ISNUMBER(INDEX(원자료_시장!$A$1:$BZ$1000,설정!$L$6+ROW()-1,설정!$L$31)),INDEX(원자료_시장!$A$1:$BZ$1000,설정!$L$6+ROW()-1,설정!$L$31),""),"")</f>
        <v/>
      </c>
      <c r="J267" s="97" t="str">
        <f aca="false">IFERROR(IF(ISNUMBER(INDEX(원자료_시장!$A$1:$BZ$1000,설정!$L$6+ROW()-1,설정!$L$32)),INDEX(원자료_시장!$A$1:$BZ$1000,설정!$L$6+ROW()-1,설정!$L$32),""),"")</f>
        <v/>
      </c>
      <c r="K267" s="85" t="str">
        <f aca="false">IFERROR(IF(ISNUMBER(INDEX(원자료_시장!$A$1:$BZ$1000,설정!$L$6+ROW()-1,설정!$L$33)),INDEX(원자료_시장!$A$1:$BZ$1000,설정!$L$6+ROW()-1,설정!$L$33),""),"")</f>
        <v/>
      </c>
      <c r="L267" s="83" t="n">
        <f aca="false">IFERROR(IF(INDEX(원자료_시장!$A$1:$BZ$1000,설정!$L$6+ROW()-1,설정!$L$34)&amp;""="0","",INDEX(원자료_시장!$A$1:$BZ$1000,설정!$L$6+ROW()-1,설정!$L$34)),"")</f>
        <v>0</v>
      </c>
      <c r="M267" s="83" t="n">
        <f aca="false">IFERROR(IF(INDEX(원자료_시장!$A$1:$BZ$1000,설정!$L$6+ROW()-1,설정!$L$35)&amp;""="0","",INDEX(원자료_시장!$A$1:$BZ$1000,설정!$L$6+ROW()-1,설정!$L$35)),"")</f>
        <v>0</v>
      </c>
      <c r="N267" s="83" t="n">
        <f aca="false">IFERROR(IF(INDEX(원자료_시장!$A$1:$BZ$1000,설정!$L$6+ROW()-1,설정!$L$36)&amp;""="0","",INDEX(원자료_시장!$A$1:$BZ$1000,설정!$L$6+ROW()-1,설정!$L$36)),"")</f>
        <v>0</v>
      </c>
      <c r="O267" s="43" t="str">
        <f aca="false">IF($A267="","",UPPER(LEFT($A267,FIND(" ",$A267&amp;" ")-1)))</f>
        <v/>
      </c>
      <c r="P267" s="43" t="str">
        <f aca="false">IF($A267="","",TRIM(RIGHT(SUBSTITUTE(TRIM($A267)," ",REPT(" ",30)),30)))</f>
        <v/>
      </c>
      <c r="Q267" s="98" t="str">
        <f aca="false">IF($A267="","",IFERROR(DATE(IF(LEN(P267)=8,2000+VALUE(RIGHT(P267,2)),VALUE(RIGHT(P267,4))),VALUE(LEFT(P267,2)),VALUE(MID(P267,4,2))),""))</f>
        <v/>
      </c>
      <c r="R267" s="89" t="n">
        <f aca="false">IF($A267="",0,IF(ISNUMBER(SEARCH("Float",$A267)),1,0))</f>
        <v>0</v>
      </c>
      <c r="S267" s="43" t="str">
        <f aca="false">IF($A267="","",TRIM(MID($A267,LEN(O267)+2,LEN($A267)-LEN(O267)-LEN(P267)-1)))</f>
        <v/>
      </c>
      <c r="T267" s="92" t="str">
        <f aca="false">IF(OR($A267="",R267=1),"",IFERROR(IF(ISNUMBER(FIND("/",S267)),IF(ISNUMBER(FIND(" ",S267)),VALUE(LEFT(S267,FIND(" ",S267)-1))+VALUE(MID(S267,FIND(" ",S267)+1,FIND("/",S267)-FIND(" ",S267)-1))/VALUE(MID(S267,FIND("/",S267)+1,9)),VALUE(LEFT(S267,FIND("/",S267)-1))/VALUE(MID(S267,FIND("/",S267)+1,9))),VALUE(S267)),""))</f>
        <v/>
      </c>
      <c r="U267" s="43" t="str">
        <f aca="false">IF(OR($A267="",NOT(ISNUMBER(Q267))),"",TEXT(Q267,"yyyymmdd")&amp;"|"&amp;IF(R267=1,"F",TEXT(T267,"0.000")))</f>
        <v/>
      </c>
      <c r="V267" s="43" t="str">
        <f aca="false">IF(U267="","",O267&amp;"|"&amp;U267)</f>
        <v/>
      </c>
      <c r="W267" s="43" t="str">
        <f aca="false">IF($A267="","",IFERROR(IF(VLOOKUP(O267,매핑!$A$4:$E$92,3,0)="","미분류",VLOOKUP(O267,매핑!$A$4:$E$92,3,0)),"미분류"))</f>
        <v/>
      </c>
      <c r="X267" s="89" t="n">
        <f aca="false">IF($A267="",0,IF(O267="T",1,0))</f>
        <v>0</v>
      </c>
      <c r="Y267" s="89" t="n">
        <f aca="false">IF($A267="",0,IF(AND(C267="USD",X267=0,ISNUMBER(E267),ISNUMBER(K267)),IF(K267&gt;=설정!$C$8,1,0),0))</f>
        <v>0</v>
      </c>
      <c r="Z267" s="43" t="str">
        <f aca="false">IF($A267="","",N267&amp;"|"&amp;L267)</f>
        <v/>
      </c>
      <c r="AA267" s="92" t="n">
        <f aca="false">IF(Y267=1,LN(K267),0)</f>
        <v>0</v>
      </c>
      <c r="AB267" s="93" t="n">
        <f aca="false">IF(Y267=1,E267,0)</f>
        <v>0</v>
      </c>
      <c r="AC267" s="89" t="n">
        <f aca="false">IF(Y267=1,COUNTIFS($Z$2:$Z$601,Z267,$Y$2:$Y$601,1),0)</f>
        <v>0</v>
      </c>
      <c r="AD267" s="89" t="n">
        <f aca="false">IF(Y267=1,COUNTIFS($N$2:$N$601,N267,$Y$2:$Y$601,1),0)</f>
        <v>0</v>
      </c>
      <c r="AE267" s="43" t="str">
        <f aca="false">IF(Y267&lt;&gt;1,"",IF(AND(AC267&gt;=설정!$C$7,ISNUMBER(MATCH(Z267,피어커브!$A:$A,0))),Z267,IF(AND(AD267&gt;=설정!$C$7,ISNUMBER(MATCH(N267&amp;"|전체",피어커브!$A:$A,0))),N267&amp;"|전체","전체|전체")))</f>
        <v/>
      </c>
      <c r="AF267" s="93" t="str">
        <f aca="false">IF(AE267="","",INDEX(피어커브!$K:$K,MATCH(AE267,피어커브!$A:$A,0)))</f>
        <v/>
      </c>
      <c r="AG267" s="93" t="str">
        <f aca="false">IF(AE267="","",INDEX(피어커브!$J:$J,MATCH(AE267,피어커브!$A:$A,0)))</f>
        <v/>
      </c>
      <c r="AH267" s="93" t="str">
        <f aca="false">IF(AE267="","",INDEX(피어커브!$L:$L,MATCH(AE267,피어커브!$A:$A,0)))</f>
        <v/>
      </c>
      <c r="AI267" s="93" t="str">
        <f aca="false">IF(AE267="","",AF267+AG267*AA267)</f>
        <v/>
      </c>
      <c r="AJ267" s="96" t="str">
        <f aca="false">IF(AE267="","",E267-AI267)</f>
        <v/>
      </c>
      <c r="AK267" s="95" t="str">
        <f aca="false">IF(AE267="","",IF(ISNUMBER(AH267),IF(AH267&gt;0,AJ267/AH267,""),""))</f>
        <v/>
      </c>
      <c r="AL267" s="43" t="str">
        <f aca="false">IF(AK267="","-",IF(AK267&gt;=설정!$C$6,"Cheap",IF(AK267&lt;=-설정!$C$6,"Rich","Fair")))</f>
        <v>-</v>
      </c>
      <c r="AM267" s="96" t="str">
        <f aca="false">IF(AE267="","",AJ267-AVERAGEIFS($AJ$2:$AJ$601,$B$2:$B$601,B267,$Y$2:$Y$601,1))</f>
        <v/>
      </c>
      <c r="AN267" s="93" t="n">
        <f aca="false">IF(AE267="",0,IF(K267&gt;1+설정!$C$8,AG267*(AA267-LN(K267-1)),0))</f>
        <v>0</v>
      </c>
      <c r="AO267" s="99" t="n">
        <f aca="false">IF($A267="",0,SUMIFS(보유분석!$AA$2:$AA$801,보유분석!$AB$2:$AB$801,ROW(),보유분석!$AC$2:$AC$801,1))</f>
        <v>0</v>
      </c>
      <c r="AP267" s="43" t="str">
        <f aca="false">IF($A267="","",TRIM(IF(R267=1,"FRN ","")&amp;IF(IFERROR(VLOOKUP(M267,설정!$A$15:$D$47,4,0),0)&gt;=10,IF(IFERROR(VLOOKUP(M267,설정!$A$15:$D$47,4,0),0)&lt;99,"BBB0미만 ",""),"")&amp;IF(OR(M267="",M267="NR"),"등급미입력 ","")&amp;IF(C267&lt;&gt;"USD","비USD ","")))</f>
        <v/>
      </c>
      <c r="AQ267" s="90" t="n">
        <f aca="false">IF(AND(Y267=1,AL267="Cheap"),IF(AND(ISERROR(SEARCH("FRN",AP267)),ISERROR(SEARCH("BBB0미만",AP267))),AK267+ROW()/1000000000,-999),-999)</f>
        <v>-999</v>
      </c>
      <c r="AR267" s="92" t="str">
        <f aca="false">IF(AND(ISNUMBER(D267),ISNUMBER(K267)),D267+AN267*MAX(K267-1,0)/100,"")</f>
        <v/>
      </c>
      <c r="AS267" s="93" t="str">
        <f aca="false">IF(AND(ISNUMBER(E267),ISNUMBER(K267)),IF(K267&gt;0,(E267+AN267*MAX(K267-1,0))/K267,""),"")</f>
        <v/>
      </c>
      <c r="AT267" s="90" t="n">
        <f aca="false">IFERROR(IF(AND(Y267=1,ROW()&lt;&gt;스왑분석!$C$12+1,ABS(K267-INDEX($K$2:$K$601,스왑분석!$C$12))&lt;=스왑분석!$C$5,ISERROR(SEARCH("FRN",AP267)),ISERROR(SEARCH("BBB0미만",AP267))),IF(AND(OR(스왑분석!$C$6="N",L267=INDEX($L$2:$L$601,스왑분석!$C$12)),OR(스왑분석!$C$7="N",N267=INDEX($N$2:$N$601,스왑분석!$C$12)),OR(스왑분석!$C$8="N",AO267=0),E267-INDEX($E$2:$E$601,스왑분석!$C$12)&gt;=스왑분석!$C$9),E267-INDEX($E$2:$E$601,스왑분석!$C$12)+ROW()/1000000000,-999),-999),-999)</f>
        <v>-999</v>
      </c>
      <c r="AU267" s="90" t="n">
        <f aca="false">IF(AND(Y267=1,AO267&gt;0,AL267="Rich"),-AK267+ROW()/1000000000,-999)</f>
        <v>-999</v>
      </c>
    </row>
    <row r="268" customFormat="false" ht="15" hidden="false" customHeight="false" outlineLevel="0" collapsed="false">
      <c r="A268" s="83" t="n">
        <f aca="false">IFERROR(IF(INDEX(원자료_시장!$A$1:$BZ$1000,설정!$L$6+ROW()-1,설정!$L$24)&amp;""="0","",INDEX(원자료_시장!$A$1:$BZ$1000,설정!$L$6+ROW()-1,설정!$L$24)),"")</f>
        <v>0</v>
      </c>
      <c r="B268" s="83" t="n">
        <f aca="false">IFERROR(IF(INDEX(원자료_시장!$A$1:$BZ$1000,설정!$L$6+ROW()-1,설정!$L$37)&amp;""="0","",INDEX(원자료_시장!$A$1:$BZ$1000,설정!$L$6+ROW()-1,설정!$L$37)),"")</f>
        <v>0</v>
      </c>
      <c r="C268" s="83" t="n">
        <f aca="false">IFERROR(IF(INDEX(원자료_시장!$A$1:$BZ$1000,설정!$L$6+ROW()-1,설정!$L$25)&amp;""="0","",INDEX(원자료_시장!$A$1:$BZ$1000,설정!$L$6+ROW()-1,설정!$L$25)),"")</f>
        <v>0</v>
      </c>
      <c r="D268" s="85" t="str">
        <f aca="false">IFERROR(IF(ISNUMBER(INDEX(원자료_시장!$A$1:$BZ$1000,설정!$L$6+ROW()-1,설정!$L$26)),INDEX(원자료_시장!$A$1:$BZ$1000,설정!$L$6+ROW()-1,설정!$L$26),""),"")</f>
        <v/>
      </c>
      <c r="E268" s="97" t="str">
        <f aca="false">IFERROR(IF(ISNUMBER(INDEX(원자료_시장!$A$1:$BZ$1000,설정!$L$6+ROW()-1,설정!$L$27)),INDEX(원자료_시장!$A$1:$BZ$1000,설정!$L$6+ROW()-1,설정!$L$27),""),"")</f>
        <v/>
      </c>
      <c r="F268" s="97" t="str">
        <f aca="false">IFERROR(IF(ISNUMBER(INDEX(원자료_시장!$A$1:$BZ$1000,설정!$L$6+ROW()-1,설정!$L$28)),INDEX(원자료_시장!$A$1:$BZ$1000,설정!$L$6+ROW()-1,설정!$L$28),""),"")</f>
        <v/>
      </c>
      <c r="G268" s="97" t="str">
        <f aca="false">IFERROR(IF(ISNUMBER(INDEX(원자료_시장!$A$1:$BZ$1000,설정!$L$6+ROW()-1,설정!$L$29)),INDEX(원자료_시장!$A$1:$BZ$1000,설정!$L$6+ROW()-1,설정!$L$29),""),"")</f>
        <v/>
      </c>
      <c r="H268" s="97" t="str">
        <f aca="false">IFERROR(IF(ISNUMBER(INDEX(원자료_시장!$A$1:$BZ$1000,설정!$L$6+ROW()-1,설정!$L$30)),INDEX(원자료_시장!$A$1:$BZ$1000,설정!$L$6+ROW()-1,설정!$L$30),""),"")</f>
        <v/>
      </c>
      <c r="I268" s="97" t="str">
        <f aca="false">IFERROR(IF(ISNUMBER(INDEX(원자료_시장!$A$1:$BZ$1000,설정!$L$6+ROW()-1,설정!$L$31)),INDEX(원자료_시장!$A$1:$BZ$1000,설정!$L$6+ROW()-1,설정!$L$31),""),"")</f>
        <v/>
      </c>
      <c r="J268" s="97" t="str">
        <f aca="false">IFERROR(IF(ISNUMBER(INDEX(원자료_시장!$A$1:$BZ$1000,설정!$L$6+ROW()-1,설정!$L$32)),INDEX(원자료_시장!$A$1:$BZ$1000,설정!$L$6+ROW()-1,설정!$L$32),""),"")</f>
        <v/>
      </c>
      <c r="K268" s="85" t="str">
        <f aca="false">IFERROR(IF(ISNUMBER(INDEX(원자료_시장!$A$1:$BZ$1000,설정!$L$6+ROW()-1,설정!$L$33)),INDEX(원자료_시장!$A$1:$BZ$1000,설정!$L$6+ROW()-1,설정!$L$33),""),"")</f>
        <v/>
      </c>
      <c r="L268" s="83" t="n">
        <f aca="false">IFERROR(IF(INDEX(원자료_시장!$A$1:$BZ$1000,설정!$L$6+ROW()-1,설정!$L$34)&amp;""="0","",INDEX(원자료_시장!$A$1:$BZ$1000,설정!$L$6+ROW()-1,설정!$L$34)),"")</f>
        <v>0</v>
      </c>
      <c r="M268" s="83" t="n">
        <f aca="false">IFERROR(IF(INDEX(원자료_시장!$A$1:$BZ$1000,설정!$L$6+ROW()-1,설정!$L$35)&amp;""="0","",INDEX(원자료_시장!$A$1:$BZ$1000,설정!$L$6+ROW()-1,설정!$L$35)),"")</f>
        <v>0</v>
      </c>
      <c r="N268" s="83" t="n">
        <f aca="false">IFERROR(IF(INDEX(원자료_시장!$A$1:$BZ$1000,설정!$L$6+ROW()-1,설정!$L$36)&amp;""="0","",INDEX(원자료_시장!$A$1:$BZ$1000,설정!$L$6+ROW()-1,설정!$L$36)),"")</f>
        <v>0</v>
      </c>
      <c r="O268" s="43" t="str">
        <f aca="false">IF($A268="","",UPPER(LEFT($A268,FIND(" ",$A268&amp;" ")-1)))</f>
        <v/>
      </c>
      <c r="P268" s="43" t="str">
        <f aca="false">IF($A268="","",TRIM(RIGHT(SUBSTITUTE(TRIM($A268)," ",REPT(" ",30)),30)))</f>
        <v/>
      </c>
      <c r="Q268" s="98" t="str">
        <f aca="false">IF($A268="","",IFERROR(DATE(IF(LEN(P268)=8,2000+VALUE(RIGHT(P268,2)),VALUE(RIGHT(P268,4))),VALUE(LEFT(P268,2)),VALUE(MID(P268,4,2))),""))</f>
        <v/>
      </c>
      <c r="R268" s="89" t="n">
        <f aca="false">IF($A268="",0,IF(ISNUMBER(SEARCH("Float",$A268)),1,0))</f>
        <v>0</v>
      </c>
      <c r="S268" s="43" t="str">
        <f aca="false">IF($A268="","",TRIM(MID($A268,LEN(O268)+2,LEN($A268)-LEN(O268)-LEN(P268)-1)))</f>
        <v/>
      </c>
      <c r="T268" s="92" t="str">
        <f aca="false">IF(OR($A268="",R268=1),"",IFERROR(IF(ISNUMBER(FIND("/",S268)),IF(ISNUMBER(FIND(" ",S268)),VALUE(LEFT(S268,FIND(" ",S268)-1))+VALUE(MID(S268,FIND(" ",S268)+1,FIND("/",S268)-FIND(" ",S268)-1))/VALUE(MID(S268,FIND("/",S268)+1,9)),VALUE(LEFT(S268,FIND("/",S268)-1))/VALUE(MID(S268,FIND("/",S268)+1,9))),VALUE(S268)),""))</f>
        <v/>
      </c>
      <c r="U268" s="43" t="str">
        <f aca="false">IF(OR($A268="",NOT(ISNUMBER(Q268))),"",TEXT(Q268,"yyyymmdd")&amp;"|"&amp;IF(R268=1,"F",TEXT(T268,"0.000")))</f>
        <v/>
      </c>
      <c r="V268" s="43" t="str">
        <f aca="false">IF(U268="","",O268&amp;"|"&amp;U268)</f>
        <v/>
      </c>
      <c r="W268" s="43" t="str">
        <f aca="false">IF($A268="","",IFERROR(IF(VLOOKUP(O268,매핑!$A$4:$E$92,3,0)="","미분류",VLOOKUP(O268,매핑!$A$4:$E$92,3,0)),"미분류"))</f>
        <v/>
      </c>
      <c r="X268" s="89" t="n">
        <f aca="false">IF($A268="",0,IF(O268="T",1,0))</f>
        <v>0</v>
      </c>
      <c r="Y268" s="89" t="n">
        <f aca="false">IF($A268="",0,IF(AND(C268="USD",X268=0,ISNUMBER(E268),ISNUMBER(K268)),IF(K268&gt;=설정!$C$8,1,0),0))</f>
        <v>0</v>
      </c>
      <c r="Z268" s="43" t="str">
        <f aca="false">IF($A268="","",N268&amp;"|"&amp;L268)</f>
        <v/>
      </c>
      <c r="AA268" s="92" t="n">
        <f aca="false">IF(Y268=1,LN(K268),0)</f>
        <v>0</v>
      </c>
      <c r="AB268" s="93" t="n">
        <f aca="false">IF(Y268=1,E268,0)</f>
        <v>0</v>
      </c>
      <c r="AC268" s="89" t="n">
        <f aca="false">IF(Y268=1,COUNTIFS($Z$2:$Z$601,Z268,$Y$2:$Y$601,1),0)</f>
        <v>0</v>
      </c>
      <c r="AD268" s="89" t="n">
        <f aca="false">IF(Y268=1,COUNTIFS($N$2:$N$601,N268,$Y$2:$Y$601,1),0)</f>
        <v>0</v>
      </c>
      <c r="AE268" s="43" t="str">
        <f aca="false">IF(Y268&lt;&gt;1,"",IF(AND(AC268&gt;=설정!$C$7,ISNUMBER(MATCH(Z268,피어커브!$A:$A,0))),Z268,IF(AND(AD268&gt;=설정!$C$7,ISNUMBER(MATCH(N268&amp;"|전체",피어커브!$A:$A,0))),N268&amp;"|전체","전체|전체")))</f>
        <v/>
      </c>
      <c r="AF268" s="93" t="str">
        <f aca="false">IF(AE268="","",INDEX(피어커브!$K:$K,MATCH(AE268,피어커브!$A:$A,0)))</f>
        <v/>
      </c>
      <c r="AG268" s="93" t="str">
        <f aca="false">IF(AE268="","",INDEX(피어커브!$J:$J,MATCH(AE268,피어커브!$A:$A,0)))</f>
        <v/>
      </c>
      <c r="AH268" s="93" t="str">
        <f aca="false">IF(AE268="","",INDEX(피어커브!$L:$L,MATCH(AE268,피어커브!$A:$A,0)))</f>
        <v/>
      </c>
      <c r="AI268" s="93" t="str">
        <f aca="false">IF(AE268="","",AF268+AG268*AA268)</f>
        <v/>
      </c>
      <c r="AJ268" s="96" t="str">
        <f aca="false">IF(AE268="","",E268-AI268)</f>
        <v/>
      </c>
      <c r="AK268" s="95" t="str">
        <f aca="false">IF(AE268="","",IF(ISNUMBER(AH268),IF(AH268&gt;0,AJ268/AH268,""),""))</f>
        <v/>
      </c>
      <c r="AL268" s="43" t="str">
        <f aca="false">IF(AK268="","-",IF(AK268&gt;=설정!$C$6,"Cheap",IF(AK268&lt;=-설정!$C$6,"Rich","Fair")))</f>
        <v>-</v>
      </c>
      <c r="AM268" s="96" t="str">
        <f aca="false">IF(AE268="","",AJ268-AVERAGEIFS($AJ$2:$AJ$601,$B$2:$B$601,B268,$Y$2:$Y$601,1))</f>
        <v/>
      </c>
      <c r="AN268" s="93" t="n">
        <f aca="false">IF(AE268="",0,IF(K268&gt;1+설정!$C$8,AG268*(AA268-LN(K268-1)),0))</f>
        <v>0</v>
      </c>
      <c r="AO268" s="99" t="n">
        <f aca="false">IF($A268="",0,SUMIFS(보유분석!$AA$2:$AA$801,보유분석!$AB$2:$AB$801,ROW(),보유분석!$AC$2:$AC$801,1))</f>
        <v>0</v>
      </c>
      <c r="AP268" s="43" t="str">
        <f aca="false">IF($A268="","",TRIM(IF(R268=1,"FRN ","")&amp;IF(IFERROR(VLOOKUP(M268,설정!$A$15:$D$47,4,0),0)&gt;=10,IF(IFERROR(VLOOKUP(M268,설정!$A$15:$D$47,4,0),0)&lt;99,"BBB0미만 ",""),"")&amp;IF(OR(M268="",M268="NR"),"등급미입력 ","")&amp;IF(C268&lt;&gt;"USD","비USD ","")))</f>
        <v/>
      </c>
      <c r="AQ268" s="90" t="n">
        <f aca="false">IF(AND(Y268=1,AL268="Cheap"),IF(AND(ISERROR(SEARCH("FRN",AP268)),ISERROR(SEARCH("BBB0미만",AP268))),AK268+ROW()/1000000000,-999),-999)</f>
        <v>-999</v>
      </c>
      <c r="AR268" s="92" t="str">
        <f aca="false">IF(AND(ISNUMBER(D268),ISNUMBER(K268)),D268+AN268*MAX(K268-1,0)/100,"")</f>
        <v/>
      </c>
      <c r="AS268" s="93" t="str">
        <f aca="false">IF(AND(ISNUMBER(E268),ISNUMBER(K268)),IF(K268&gt;0,(E268+AN268*MAX(K268-1,0))/K268,""),"")</f>
        <v/>
      </c>
      <c r="AT268" s="90" t="n">
        <f aca="false">IFERROR(IF(AND(Y268=1,ROW()&lt;&gt;스왑분석!$C$12+1,ABS(K268-INDEX($K$2:$K$601,스왑분석!$C$12))&lt;=스왑분석!$C$5,ISERROR(SEARCH("FRN",AP268)),ISERROR(SEARCH("BBB0미만",AP268))),IF(AND(OR(스왑분석!$C$6="N",L268=INDEX($L$2:$L$601,스왑분석!$C$12)),OR(스왑분석!$C$7="N",N268=INDEX($N$2:$N$601,스왑분석!$C$12)),OR(스왑분석!$C$8="N",AO268=0),E268-INDEX($E$2:$E$601,스왑분석!$C$12)&gt;=스왑분석!$C$9),E268-INDEX($E$2:$E$601,스왑분석!$C$12)+ROW()/1000000000,-999),-999),-999)</f>
        <v>-999</v>
      </c>
      <c r="AU268" s="90" t="n">
        <f aca="false">IF(AND(Y268=1,AO268&gt;0,AL268="Rich"),-AK268+ROW()/1000000000,-999)</f>
        <v>-999</v>
      </c>
    </row>
    <row r="269" customFormat="false" ht="15" hidden="false" customHeight="false" outlineLevel="0" collapsed="false">
      <c r="A269" s="83" t="n">
        <f aca="false">IFERROR(IF(INDEX(원자료_시장!$A$1:$BZ$1000,설정!$L$6+ROW()-1,설정!$L$24)&amp;""="0","",INDEX(원자료_시장!$A$1:$BZ$1000,설정!$L$6+ROW()-1,설정!$L$24)),"")</f>
        <v>0</v>
      </c>
      <c r="B269" s="83" t="n">
        <f aca="false">IFERROR(IF(INDEX(원자료_시장!$A$1:$BZ$1000,설정!$L$6+ROW()-1,설정!$L$37)&amp;""="0","",INDEX(원자료_시장!$A$1:$BZ$1000,설정!$L$6+ROW()-1,설정!$L$37)),"")</f>
        <v>0</v>
      </c>
      <c r="C269" s="83" t="n">
        <f aca="false">IFERROR(IF(INDEX(원자료_시장!$A$1:$BZ$1000,설정!$L$6+ROW()-1,설정!$L$25)&amp;""="0","",INDEX(원자료_시장!$A$1:$BZ$1000,설정!$L$6+ROW()-1,설정!$L$25)),"")</f>
        <v>0</v>
      </c>
      <c r="D269" s="85" t="str">
        <f aca="false">IFERROR(IF(ISNUMBER(INDEX(원자료_시장!$A$1:$BZ$1000,설정!$L$6+ROW()-1,설정!$L$26)),INDEX(원자료_시장!$A$1:$BZ$1000,설정!$L$6+ROW()-1,설정!$L$26),""),"")</f>
        <v/>
      </c>
      <c r="E269" s="97" t="str">
        <f aca="false">IFERROR(IF(ISNUMBER(INDEX(원자료_시장!$A$1:$BZ$1000,설정!$L$6+ROW()-1,설정!$L$27)),INDEX(원자료_시장!$A$1:$BZ$1000,설정!$L$6+ROW()-1,설정!$L$27),""),"")</f>
        <v/>
      </c>
      <c r="F269" s="97" t="str">
        <f aca="false">IFERROR(IF(ISNUMBER(INDEX(원자료_시장!$A$1:$BZ$1000,설정!$L$6+ROW()-1,설정!$L$28)),INDEX(원자료_시장!$A$1:$BZ$1000,설정!$L$6+ROW()-1,설정!$L$28),""),"")</f>
        <v/>
      </c>
      <c r="G269" s="97" t="str">
        <f aca="false">IFERROR(IF(ISNUMBER(INDEX(원자료_시장!$A$1:$BZ$1000,설정!$L$6+ROW()-1,설정!$L$29)),INDEX(원자료_시장!$A$1:$BZ$1000,설정!$L$6+ROW()-1,설정!$L$29),""),"")</f>
        <v/>
      </c>
      <c r="H269" s="97" t="str">
        <f aca="false">IFERROR(IF(ISNUMBER(INDEX(원자료_시장!$A$1:$BZ$1000,설정!$L$6+ROW()-1,설정!$L$30)),INDEX(원자료_시장!$A$1:$BZ$1000,설정!$L$6+ROW()-1,설정!$L$30),""),"")</f>
        <v/>
      </c>
      <c r="I269" s="97" t="str">
        <f aca="false">IFERROR(IF(ISNUMBER(INDEX(원자료_시장!$A$1:$BZ$1000,설정!$L$6+ROW()-1,설정!$L$31)),INDEX(원자료_시장!$A$1:$BZ$1000,설정!$L$6+ROW()-1,설정!$L$31),""),"")</f>
        <v/>
      </c>
      <c r="J269" s="97" t="str">
        <f aca="false">IFERROR(IF(ISNUMBER(INDEX(원자료_시장!$A$1:$BZ$1000,설정!$L$6+ROW()-1,설정!$L$32)),INDEX(원자료_시장!$A$1:$BZ$1000,설정!$L$6+ROW()-1,설정!$L$32),""),"")</f>
        <v/>
      </c>
      <c r="K269" s="85" t="str">
        <f aca="false">IFERROR(IF(ISNUMBER(INDEX(원자료_시장!$A$1:$BZ$1000,설정!$L$6+ROW()-1,설정!$L$33)),INDEX(원자료_시장!$A$1:$BZ$1000,설정!$L$6+ROW()-1,설정!$L$33),""),"")</f>
        <v/>
      </c>
      <c r="L269" s="83" t="n">
        <f aca="false">IFERROR(IF(INDEX(원자료_시장!$A$1:$BZ$1000,설정!$L$6+ROW()-1,설정!$L$34)&amp;""="0","",INDEX(원자료_시장!$A$1:$BZ$1000,설정!$L$6+ROW()-1,설정!$L$34)),"")</f>
        <v>0</v>
      </c>
      <c r="M269" s="83" t="n">
        <f aca="false">IFERROR(IF(INDEX(원자료_시장!$A$1:$BZ$1000,설정!$L$6+ROW()-1,설정!$L$35)&amp;""="0","",INDEX(원자료_시장!$A$1:$BZ$1000,설정!$L$6+ROW()-1,설정!$L$35)),"")</f>
        <v>0</v>
      </c>
      <c r="N269" s="83" t="n">
        <f aca="false">IFERROR(IF(INDEX(원자료_시장!$A$1:$BZ$1000,설정!$L$6+ROW()-1,설정!$L$36)&amp;""="0","",INDEX(원자료_시장!$A$1:$BZ$1000,설정!$L$6+ROW()-1,설정!$L$36)),"")</f>
        <v>0</v>
      </c>
      <c r="O269" s="43" t="str">
        <f aca="false">IF($A269="","",UPPER(LEFT($A269,FIND(" ",$A269&amp;" ")-1)))</f>
        <v/>
      </c>
      <c r="P269" s="43" t="str">
        <f aca="false">IF($A269="","",TRIM(RIGHT(SUBSTITUTE(TRIM($A269)," ",REPT(" ",30)),30)))</f>
        <v/>
      </c>
      <c r="Q269" s="98" t="str">
        <f aca="false">IF($A269="","",IFERROR(DATE(IF(LEN(P269)=8,2000+VALUE(RIGHT(P269,2)),VALUE(RIGHT(P269,4))),VALUE(LEFT(P269,2)),VALUE(MID(P269,4,2))),""))</f>
        <v/>
      </c>
      <c r="R269" s="89" t="n">
        <f aca="false">IF($A269="",0,IF(ISNUMBER(SEARCH("Float",$A269)),1,0))</f>
        <v>0</v>
      </c>
      <c r="S269" s="43" t="str">
        <f aca="false">IF($A269="","",TRIM(MID($A269,LEN(O269)+2,LEN($A269)-LEN(O269)-LEN(P269)-1)))</f>
        <v/>
      </c>
      <c r="T269" s="92" t="str">
        <f aca="false">IF(OR($A269="",R269=1),"",IFERROR(IF(ISNUMBER(FIND("/",S269)),IF(ISNUMBER(FIND(" ",S269)),VALUE(LEFT(S269,FIND(" ",S269)-1))+VALUE(MID(S269,FIND(" ",S269)+1,FIND("/",S269)-FIND(" ",S269)-1))/VALUE(MID(S269,FIND("/",S269)+1,9)),VALUE(LEFT(S269,FIND("/",S269)-1))/VALUE(MID(S269,FIND("/",S269)+1,9))),VALUE(S269)),""))</f>
        <v/>
      </c>
      <c r="U269" s="43" t="str">
        <f aca="false">IF(OR($A269="",NOT(ISNUMBER(Q269))),"",TEXT(Q269,"yyyymmdd")&amp;"|"&amp;IF(R269=1,"F",TEXT(T269,"0.000")))</f>
        <v/>
      </c>
      <c r="V269" s="43" t="str">
        <f aca="false">IF(U269="","",O269&amp;"|"&amp;U269)</f>
        <v/>
      </c>
      <c r="W269" s="43" t="str">
        <f aca="false">IF($A269="","",IFERROR(IF(VLOOKUP(O269,매핑!$A$4:$E$92,3,0)="","미분류",VLOOKUP(O269,매핑!$A$4:$E$92,3,0)),"미분류"))</f>
        <v/>
      </c>
      <c r="X269" s="89" t="n">
        <f aca="false">IF($A269="",0,IF(O269="T",1,0))</f>
        <v>0</v>
      </c>
      <c r="Y269" s="89" t="n">
        <f aca="false">IF($A269="",0,IF(AND(C269="USD",X269=0,ISNUMBER(E269),ISNUMBER(K269)),IF(K269&gt;=설정!$C$8,1,0),0))</f>
        <v>0</v>
      </c>
      <c r="Z269" s="43" t="str">
        <f aca="false">IF($A269="","",N269&amp;"|"&amp;L269)</f>
        <v/>
      </c>
      <c r="AA269" s="92" t="n">
        <f aca="false">IF(Y269=1,LN(K269),0)</f>
        <v>0</v>
      </c>
      <c r="AB269" s="93" t="n">
        <f aca="false">IF(Y269=1,E269,0)</f>
        <v>0</v>
      </c>
      <c r="AC269" s="89" t="n">
        <f aca="false">IF(Y269=1,COUNTIFS($Z$2:$Z$601,Z269,$Y$2:$Y$601,1),0)</f>
        <v>0</v>
      </c>
      <c r="AD269" s="89" t="n">
        <f aca="false">IF(Y269=1,COUNTIFS($N$2:$N$601,N269,$Y$2:$Y$601,1),0)</f>
        <v>0</v>
      </c>
      <c r="AE269" s="43" t="str">
        <f aca="false">IF(Y269&lt;&gt;1,"",IF(AND(AC269&gt;=설정!$C$7,ISNUMBER(MATCH(Z269,피어커브!$A:$A,0))),Z269,IF(AND(AD269&gt;=설정!$C$7,ISNUMBER(MATCH(N269&amp;"|전체",피어커브!$A:$A,0))),N269&amp;"|전체","전체|전체")))</f>
        <v/>
      </c>
      <c r="AF269" s="93" t="str">
        <f aca="false">IF(AE269="","",INDEX(피어커브!$K:$K,MATCH(AE269,피어커브!$A:$A,0)))</f>
        <v/>
      </c>
      <c r="AG269" s="93" t="str">
        <f aca="false">IF(AE269="","",INDEX(피어커브!$J:$J,MATCH(AE269,피어커브!$A:$A,0)))</f>
        <v/>
      </c>
      <c r="AH269" s="93" t="str">
        <f aca="false">IF(AE269="","",INDEX(피어커브!$L:$L,MATCH(AE269,피어커브!$A:$A,0)))</f>
        <v/>
      </c>
      <c r="AI269" s="93" t="str">
        <f aca="false">IF(AE269="","",AF269+AG269*AA269)</f>
        <v/>
      </c>
      <c r="AJ269" s="96" t="str">
        <f aca="false">IF(AE269="","",E269-AI269)</f>
        <v/>
      </c>
      <c r="AK269" s="95" t="str">
        <f aca="false">IF(AE269="","",IF(ISNUMBER(AH269),IF(AH269&gt;0,AJ269/AH269,""),""))</f>
        <v/>
      </c>
      <c r="AL269" s="43" t="str">
        <f aca="false">IF(AK269="","-",IF(AK269&gt;=설정!$C$6,"Cheap",IF(AK269&lt;=-설정!$C$6,"Rich","Fair")))</f>
        <v>-</v>
      </c>
      <c r="AM269" s="96" t="str">
        <f aca="false">IF(AE269="","",AJ269-AVERAGEIFS($AJ$2:$AJ$601,$B$2:$B$601,B269,$Y$2:$Y$601,1))</f>
        <v/>
      </c>
      <c r="AN269" s="93" t="n">
        <f aca="false">IF(AE269="",0,IF(K269&gt;1+설정!$C$8,AG269*(AA269-LN(K269-1)),0))</f>
        <v>0</v>
      </c>
      <c r="AO269" s="99" t="n">
        <f aca="false">IF($A269="",0,SUMIFS(보유분석!$AA$2:$AA$801,보유분석!$AB$2:$AB$801,ROW(),보유분석!$AC$2:$AC$801,1))</f>
        <v>0</v>
      </c>
      <c r="AP269" s="43" t="str">
        <f aca="false">IF($A269="","",TRIM(IF(R269=1,"FRN ","")&amp;IF(IFERROR(VLOOKUP(M269,설정!$A$15:$D$47,4,0),0)&gt;=10,IF(IFERROR(VLOOKUP(M269,설정!$A$15:$D$47,4,0),0)&lt;99,"BBB0미만 ",""),"")&amp;IF(OR(M269="",M269="NR"),"등급미입력 ","")&amp;IF(C269&lt;&gt;"USD","비USD ","")))</f>
        <v/>
      </c>
      <c r="AQ269" s="90" t="n">
        <f aca="false">IF(AND(Y269=1,AL269="Cheap"),IF(AND(ISERROR(SEARCH("FRN",AP269)),ISERROR(SEARCH("BBB0미만",AP269))),AK269+ROW()/1000000000,-999),-999)</f>
        <v>-999</v>
      </c>
      <c r="AR269" s="92" t="str">
        <f aca="false">IF(AND(ISNUMBER(D269),ISNUMBER(K269)),D269+AN269*MAX(K269-1,0)/100,"")</f>
        <v/>
      </c>
      <c r="AS269" s="93" t="str">
        <f aca="false">IF(AND(ISNUMBER(E269),ISNUMBER(K269)),IF(K269&gt;0,(E269+AN269*MAX(K269-1,0))/K269,""),"")</f>
        <v/>
      </c>
      <c r="AT269" s="90" t="n">
        <f aca="false">IFERROR(IF(AND(Y269=1,ROW()&lt;&gt;스왑분석!$C$12+1,ABS(K269-INDEX($K$2:$K$601,스왑분석!$C$12))&lt;=스왑분석!$C$5,ISERROR(SEARCH("FRN",AP269)),ISERROR(SEARCH("BBB0미만",AP269))),IF(AND(OR(스왑분석!$C$6="N",L269=INDEX($L$2:$L$601,스왑분석!$C$12)),OR(스왑분석!$C$7="N",N269=INDEX($N$2:$N$601,스왑분석!$C$12)),OR(스왑분석!$C$8="N",AO269=0),E269-INDEX($E$2:$E$601,스왑분석!$C$12)&gt;=스왑분석!$C$9),E269-INDEX($E$2:$E$601,스왑분석!$C$12)+ROW()/1000000000,-999),-999),-999)</f>
        <v>-999</v>
      </c>
      <c r="AU269" s="90" t="n">
        <f aca="false">IF(AND(Y269=1,AO269&gt;0,AL269="Rich"),-AK269+ROW()/1000000000,-999)</f>
        <v>-999</v>
      </c>
    </row>
    <row r="270" customFormat="false" ht="15" hidden="false" customHeight="false" outlineLevel="0" collapsed="false">
      <c r="A270" s="83" t="n">
        <f aca="false">IFERROR(IF(INDEX(원자료_시장!$A$1:$BZ$1000,설정!$L$6+ROW()-1,설정!$L$24)&amp;""="0","",INDEX(원자료_시장!$A$1:$BZ$1000,설정!$L$6+ROW()-1,설정!$L$24)),"")</f>
        <v>0</v>
      </c>
      <c r="B270" s="83" t="n">
        <f aca="false">IFERROR(IF(INDEX(원자료_시장!$A$1:$BZ$1000,설정!$L$6+ROW()-1,설정!$L$37)&amp;""="0","",INDEX(원자료_시장!$A$1:$BZ$1000,설정!$L$6+ROW()-1,설정!$L$37)),"")</f>
        <v>0</v>
      </c>
      <c r="C270" s="83" t="n">
        <f aca="false">IFERROR(IF(INDEX(원자료_시장!$A$1:$BZ$1000,설정!$L$6+ROW()-1,설정!$L$25)&amp;""="0","",INDEX(원자료_시장!$A$1:$BZ$1000,설정!$L$6+ROW()-1,설정!$L$25)),"")</f>
        <v>0</v>
      </c>
      <c r="D270" s="85" t="str">
        <f aca="false">IFERROR(IF(ISNUMBER(INDEX(원자료_시장!$A$1:$BZ$1000,설정!$L$6+ROW()-1,설정!$L$26)),INDEX(원자료_시장!$A$1:$BZ$1000,설정!$L$6+ROW()-1,설정!$L$26),""),"")</f>
        <v/>
      </c>
      <c r="E270" s="97" t="str">
        <f aca="false">IFERROR(IF(ISNUMBER(INDEX(원자료_시장!$A$1:$BZ$1000,설정!$L$6+ROW()-1,설정!$L$27)),INDEX(원자료_시장!$A$1:$BZ$1000,설정!$L$6+ROW()-1,설정!$L$27),""),"")</f>
        <v/>
      </c>
      <c r="F270" s="97" t="str">
        <f aca="false">IFERROR(IF(ISNUMBER(INDEX(원자료_시장!$A$1:$BZ$1000,설정!$L$6+ROW()-1,설정!$L$28)),INDEX(원자료_시장!$A$1:$BZ$1000,설정!$L$6+ROW()-1,설정!$L$28),""),"")</f>
        <v/>
      </c>
      <c r="G270" s="97" t="str">
        <f aca="false">IFERROR(IF(ISNUMBER(INDEX(원자료_시장!$A$1:$BZ$1000,설정!$L$6+ROW()-1,설정!$L$29)),INDEX(원자료_시장!$A$1:$BZ$1000,설정!$L$6+ROW()-1,설정!$L$29),""),"")</f>
        <v/>
      </c>
      <c r="H270" s="97" t="str">
        <f aca="false">IFERROR(IF(ISNUMBER(INDEX(원자료_시장!$A$1:$BZ$1000,설정!$L$6+ROW()-1,설정!$L$30)),INDEX(원자료_시장!$A$1:$BZ$1000,설정!$L$6+ROW()-1,설정!$L$30),""),"")</f>
        <v/>
      </c>
      <c r="I270" s="97" t="str">
        <f aca="false">IFERROR(IF(ISNUMBER(INDEX(원자료_시장!$A$1:$BZ$1000,설정!$L$6+ROW()-1,설정!$L$31)),INDEX(원자료_시장!$A$1:$BZ$1000,설정!$L$6+ROW()-1,설정!$L$31),""),"")</f>
        <v/>
      </c>
      <c r="J270" s="97" t="str">
        <f aca="false">IFERROR(IF(ISNUMBER(INDEX(원자료_시장!$A$1:$BZ$1000,설정!$L$6+ROW()-1,설정!$L$32)),INDEX(원자료_시장!$A$1:$BZ$1000,설정!$L$6+ROW()-1,설정!$L$32),""),"")</f>
        <v/>
      </c>
      <c r="K270" s="85" t="str">
        <f aca="false">IFERROR(IF(ISNUMBER(INDEX(원자료_시장!$A$1:$BZ$1000,설정!$L$6+ROW()-1,설정!$L$33)),INDEX(원자료_시장!$A$1:$BZ$1000,설정!$L$6+ROW()-1,설정!$L$33),""),"")</f>
        <v/>
      </c>
      <c r="L270" s="83" t="n">
        <f aca="false">IFERROR(IF(INDEX(원자료_시장!$A$1:$BZ$1000,설정!$L$6+ROW()-1,설정!$L$34)&amp;""="0","",INDEX(원자료_시장!$A$1:$BZ$1000,설정!$L$6+ROW()-1,설정!$L$34)),"")</f>
        <v>0</v>
      </c>
      <c r="M270" s="83" t="n">
        <f aca="false">IFERROR(IF(INDEX(원자료_시장!$A$1:$BZ$1000,설정!$L$6+ROW()-1,설정!$L$35)&amp;""="0","",INDEX(원자료_시장!$A$1:$BZ$1000,설정!$L$6+ROW()-1,설정!$L$35)),"")</f>
        <v>0</v>
      </c>
      <c r="N270" s="83" t="n">
        <f aca="false">IFERROR(IF(INDEX(원자료_시장!$A$1:$BZ$1000,설정!$L$6+ROW()-1,설정!$L$36)&amp;""="0","",INDEX(원자료_시장!$A$1:$BZ$1000,설정!$L$6+ROW()-1,설정!$L$36)),"")</f>
        <v>0</v>
      </c>
      <c r="O270" s="43" t="str">
        <f aca="false">IF($A270="","",UPPER(LEFT($A270,FIND(" ",$A270&amp;" ")-1)))</f>
        <v/>
      </c>
      <c r="P270" s="43" t="str">
        <f aca="false">IF($A270="","",TRIM(RIGHT(SUBSTITUTE(TRIM($A270)," ",REPT(" ",30)),30)))</f>
        <v/>
      </c>
      <c r="Q270" s="98" t="str">
        <f aca="false">IF($A270="","",IFERROR(DATE(IF(LEN(P270)=8,2000+VALUE(RIGHT(P270,2)),VALUE(RIGHT(P270,4))),VALUE(LEFT(P270,2)),VALUE(MID(P270,4,2))),""))</f>
        <v/>
      </c>
      <c r="R270" s="89" t="n">
        <f aca="false">IF($A270="",0,IF(ISNUMBER(SEARCH("Float",$A270)),1,0))</f>
        <v>0</v>
      </c>
      <c r="S270" s="43" t="str">
        <f aca="false">IF($A270="","",TRIM(MID($A270,LEN(O270)+2,LEN($A270)-LEN(O270)-LEN(P270)-1)))</f>
        <v/>
      </c>
      <c r="T270" s="92" t="str">
        <f aca="false">IF(OR($A270="",R270=1),"",IFERROR(IF(ISNUMBER(FIND("/",S270)),IF(ISNUMBER(FIND(" ",S270)),VALUE(LEFT(S270,FIND(" ",S270)-1))+VALUE(MID(S270,FIND(" ",S270)+1,FIND("/",S270)-FIND(" ",S270)-1))/VALUE(MID(S270,FIND("/",S270)+1,9)),VALUE(LEFT(S270,FIND("/",S270)-1))/VALUE(MID(S270,FIND("/",S270)+1,9))),VALUE(S270)),""))</f>
        <v/>
      </c>
      <c r="U270" s="43" t="str">
        <f aca="false">IF(OR($A270="",NOT(ISNUMBER(Q270))),"",TEXT(Q270,"yyyymmdd")&amp;"|"&amp;IF(R270=1,"F",TEXT(T270,"0.000")))</f>
        <v/>
      </c>
      <c r="V270" s="43" t="str">
        <f aca="false">IF(U270="","",O270&amp;"|"&amp;U270)</f>
        <v/>
      </c>
      <c r="W270" s="43" t="str">
        <f aca="false">IF($A270="","",IFERROR(IF(VLOOKUP(O270,매핑!$A$4:$E$92,3,0)="","미분류",VLOOKUP(O270,매핑!$A$4:$E$92,3,0)),"미분류"))</f>
        <v/>
      </c>
      <c r="X270" s="89" t="n">
        <f aca="false">IF($A270="",0,IF(O270="T",1,0))</f>
        <v>0</v>
      </c>
      <c r="Y270" s="89" t="n">
        <f aca="false">IF($A270="",0,IF(AND(C270="USD",X270=0,ISNUMBER(E270),ISNUMBER(K270)),IF(K270&gt;=설정!$C$8,1,0),0))</f>
        <v>0</v>
      </c>
      <c r="Z270" s="43" t="str">
        <f aca="false">IF($A270="","",N270&amp;"|"&amp;L270)</f>
        <v/>
      </c>
      <c r="AA270" s="92" t="n">
        <f aca="false">IF(Y270=1,LN(K270),0)</f>
        <v>0</v>
      </c>
      <c r="AB270" s="93" t="n">
        <f aca="false">IF(Y270=1,E270,0)</f>
        <v>0</v>
      </c>
      <c r="AC270" s="89" t="n">
        <f aca="false">IF(Y270=1,COUNTIFS($Z$2:$Z$601,Z270,$Y$2:$Y$601,1),0)</f>
        <v>0</v>
      </c>
      <c r="AD270" s="89" t="n">
        <f aca="false">IF(Y270=1,COUNTIFS($N$2:$N$601,N270,$Y$2:$Y$601,1),0)</f>
        <v>0</v>
      </c>
      <c r="AE270" s="43" t="str">
        <f aca="false">IF(Y270&lt;&gt;1,"",IF(AND(AC270&gt;=설정!$C$7,ISNUMBER(MATCH(Z270,피어커브!$A:$A,0))),Z270,IF(AND(AD270&gt;=설정!$C$7,ISNUMBER(MATCH(N270&amp;"|전체",피어커브!$A:$A,0))),N270&amp;"|전체","전체|전체")))</f>
        <v/>
      </c>
      <c r="AF270" s="93" t="str">
        <f aca="false">IF(AE270="","",INDEX(피어커브!$K:$K,MATCH(AE270,피어커브!$A:$A,0)))</f>
        <v/>
      </c>
      <c r="AG270" s="93" t="str">
        <f aca="false">IF(AE270="","",INDEX(피어커브!$J:$J,MATCH(AE270,피어커브!$A:$A,0)))</f>
        <v/>
      </c>
      <c r="AH270" s="93" t="str">
        <f aca="false">IF(AE270="","",INDEX(피어커브!$L:$L,MATCH(AE270,피어커브!$A:$A,0)))</f>
        <v/>
      </c>
      <c r="AI270" s="93" t="str">
        <f aca="false">IF(AE270="","",AF270+AG270*AA270)</f>
        <v/>
      </c>
      <c r="AJ270" s="96" t="str">
        <f aca="false">IF(AE270="","",E270-AI270)</f>
        <v/>
      </c>
      <c r="AK270" s="95" t="str">
        <f aca="false">IF(AE270="","",IF(ISNUMBER(AH270),IF(AH270&gt;0,AJ270/AH270,""),""))</f>
        <v/>
      </c>
      <c r="AL270" s="43" t="str">
        <f aca="false">IF(AK270="","-",IF(AK270&gt;=설정!$C$6,"Cheap",IF(AK270&lt;=-설정!$C$6,"Rich","Fair")))</f>
        <v>-</v>
      </c>
      <c r="AM270" s="96" t="str">
        <f aca="false">IF(AE270="","",AJ270-AVERAGEIFS($AJ$2:$AJ$601,$B$2:$B$601,B270,$Y$2:$Y$601,1))</f>
        <v/>
      </c>
      <c r="AN270" s="93" t="n">
        <f aca="false">IF(AE270="",0,IF(K270&gt;1+설정!$C$8,AG270*(AA270-LN(K270-1)),0))</f>
        <v>0</v>
      </c>
      <c r="AO270" s="99" t="n">
        <f aca="false">IF($A270="",0,SUMIFS(보유분석!$AA$2:$AA$801,보유분석!$AB$2:$AB$801,ROW(),보유분석!$AC$2:$AC$801,1))</f>
        <v>0</v>
      </c>
      <c r="AP270" s="43" t="str">
        <f aca="false">IF($A270="","",TRIM(IF(R270=1,"FRN ","")&amp;IF(IFERROR(VLOOKUP(M270,설정!$A$15:$D$47,4,0),0)&gt;=10,IF(IFERROR(VLOOKUP(M270,설정!$A$15:$D$47,4,0),0)&lt;99,"BBB0미만 ",""),"")&amp;IF(OR(M270="",M270="NR"),"등급미입력 ","")&amp;IF(C270&lt;&gt;"USD","비USD ","")))</f>
        <v/>
      </c>
      <c r="AQ270" s="90" t="n">
        <f aca="false">IF(AND(Y270=1,AL270="Cheap"),IF(AND(ISERROR(SEARCH("FRN",AP270)),ISERROR(SEARCH("BBB0미만",AP270))),AK270+ROW()/1000000000,-999),-999)</f>
        <v>-999</v>
      </c>
      <c r="AR270" s="92" t="str">
        <f aca="false">IF(AND(ISNUMBER(D270),ISNUMBER(K270)),D270+AN270*MAX(K270-1,0)/100,"")</f>
        <v/>
      </c>
      <c r="AS270" s="93" t="str">
        <f aca="false">IF(AND(ISNUMBER(E270),ISNUMBER(K270)),IF(K270&gt;0,(E270+AN270*MAX(K270-1,0))/K270,""),"")</f>
        <v/>
      </c>
      <c r="AT270" s="90" t="n">
        <f aca="false">IFERROR(IF(AND(Y270=1,ROW()&lt;&gt;스왑분석!$C$12+1,ABS(K270-INDEX($K$2:$K$601,스왑분석!$C$12))&lt;=스왑분석!$C$5,ISERROR(SEARCH("FRN",AP270)),ISERROR(SEARCH("BBB0미만",AP270))),IF(AND(OR(스왑분석!$C$6="N",L270=INDEX($L$2:$L$601,스왑분석!$C$12)),OR(스왑분석!$C$7="N",N270=INDEX($N$2:$N$601,스왑분석!$C$12)),OR(스왑분석!$C$8="N",AO270=0),E270-INDEX($E$2:$E$601,스왑분석!$C$12)&gt;=스왑분석!$C$9),E270-INDEX($E$2:$E$601,스왑분석!$C$12)+ROW()/1000000000,-999),-999),-999)</f>
        <v>-999</v>
      </c>
      <c r="AU270" s="90" t="n">
        <f aca="false">IF(AND(Y270=1,AO270&gt;0,AL270="Rich"),-AK270+ROW()/1000000000,-999)</f>
        <v>-999</v>
      </c>
    </row>
    <row r="271" customFormat="false" ht="15" hidden="false" customHeight="false" outlineLevel="0" collapsed="false">
      <c r="A271" s="83" t="n">
        <f aca="false">IFERROR(IF(INDEX(원자료_시장!$A$1:$BZ$1000,설정!$L$6+ROW()-1,설정!$L$24)&amp;""="0","",INDEX(원자료_시장!$A$1:$BZ$1000,설정!$L$6+ROW()-1,설정!$L$24)),"")</f>
        <v>0</v>
      </c>
      <c r="B271" s="83" t="n">
        <f aca="false">IFERROR(IF(INDEX(원자료_시장!$A$1:$BZ$1000,설정!$L$6+ROW()-1,설정!$L$37)&amp;""="0","",INDEX(원자료_시장!$A$1:$BZ$1000,설정!$L$6+ROW()-1,설정!$L$37)),"")</f>
        <v>0</v>
      </c>
      <c r="C271" s="83" t="n">
        <f aca="false">IFERROR(IF(INDEX(원자료_시장!$A$1:$BZ$1000,설정!$L$6+ROW()-1,설정!$L$25)&amp;""="0","",INDEX(원자료_시장!$A$1:$BZ$1000,설정!$L$6+ROW()-1,설정!$L$25)),"")</f>
        <v>0</v>
      </c>
      <c r="D271" s="85" t="str">
        <f aca="false">IFERROR(IF(ISNUMBER(INDEX(원자료_시장!$A$1:$BZ$1000,설정!$L$6+ROW()-1,설정!$L$26)),INDEX(원자료_시장!$A$1:$BZ$1000,설정!$L$6+ROW()-1,설정!$L$26),""),"")</f>
        <v/>
      </c>
      <c r="E271" s="97" t="str">
        <f aca="false">IFERROR(IF(ISNUMBER(INDEX(원자료_시장!$A$1:$BZ$1000,설정!$L$6+ROW()-1,설정!$L$27)),INDEX(원자료_시장!$A$1:$BZ$1000,설정!$L$6+ROW()-1,설정!$L$27),""),"")</f>
        <v/>
      </c>
      <c r="F271" s="97" t="str">
        <f aca="false">IFERROR(IF(ISNUMBER(INDEX(원자료_시장!$A$1:$BZ$1000,설정!$L$6+ROW()-1,설정!$L$28)),INDEX(원자료_시장!$A$1:$BZ$1000,설정!$L$6+ROW()-1,설정!$L$28),""),"")</f>
        <v/>
      </c>
      <c r="G271" s="97" t="str">
        <f aca="false">IFERROR(IF(ISNUMBER(INDEX(원자료_시장!$A$1:$BZ$1000,설정!$L$6+ROW()-1,설정!$L$29)),INDEX(원자료_시장!$A$1:$BZ$1000,설정!$L$6+ROW()-1,설정!$L$29),""),"")</f>
        <v/>
      </c>
      <c r="H271" s="97" t="str">
        <f aca="false">IFERROR(IF(ISNUMBER(INDEX(원자료_시장!$A$1:$BZ$1000,설정!$L$6+ROW()-1,설정!$L$30)),INDEX(원자료_시장!$A$1:$BZ$1000,설정!$L$6+ROW()-1,설정!$L$30),""),"")</f>
        <v/>
      </c>
      <c r="I271" s="97" t="str">
        <f aca="false">IFERROR(IF(ISNUMBER(INDEX(원자료_시장!$A$1:$BZ$1000,설정!$L$6+ROW()-1,설정!$L$31)),INDEX(원자료_시장!$A$1:$BZ$1000,설정!$L$6+ROW()-1,설정!$L$31),""),"")</f>
        <v/>
      </c>
      <c r="J271" s="97" t="str">
        <f aca="false">IFERROR(IF(ISNUMBER(INDEX(원자료_시장!$A$1:$BZ$1000,설정!$L$6+ROW()-1,설정!$L$32)),INDEX(원자료_시장!$A$1:$BZ$1000,설정!$L$6+ROW()-1,설정!$L$32),""),"")</f>
        <v/>
      </c>
      <c r="K271" s="85" t="str">
        <f aca="false">IFERROR(IF(ISNUMBER(INDEX(원자료_시장!$A$1:$BZ$1000,설정!$L$6+ROW()-1,설정!$L$33)),INDEX(원자료_시장!$A$1:$BZ$1000,설정!$L$6+ROW()-1,설정!$L$33),""),"")</f>
        <v/>
      </c>
      <c r="L271" s="83" t="n">
        <f aca="false">IFERROR(IF(INDEX(원자료_시장!$A$1:$BZ$1000,설정!$L$6+ROW()-1,설정!$L$34)&amp;""="0","",INDEX(원자료_시장!$A$1:$BZ$1000,설정!$L$6+ROW()-1,설정!$L$34)),"")</f>
        <v>0</v>
      </c>
      <c r="M271" s="83" t="n">
        <f aca="false">IFERROR(IF(INDEX(원자료_시장!$A$1:$BZ$1000,설정!$L$6+ROW()-1,설정!$L$35)&amp;""="0","",INDEX(원자료_시장!$A$1:$BZ$1000,설정!$L$6+ROW()-1,설정!$L$35)),"")</f>
        <v>0</v>
      </c>
      <c r="N271" s="83" t="n">
        <f aca="false">IFERROR(IF(INDEX(원자료_시장!$A$1:$BZ$1000,설정!$L$6+ROW()-1,설정!$L$36)&amp;""="0","",INDEX(원자료_시장!$A$1:$BZ$1000,설정!$L$6+ROW()-1,설정!$L$36)),"")</f>
        <v>0</v>
      </c>
      <c r="O271" s="43" t="str">
        <f aca="false">IF($A271="","",UPPER(LEFT($A271,FIND(" ",$A271&amp;" ")-1)))</f>
        <v/>
      </c>
      <c r="P271" s="43" t="str">
        <f aca="false">IF($A271="","",TRIM(RIGHT(SUBSTITUTE(TRIM($A271)," ",REPT(" ",30)),30)))</f>
        <v/>
      </c>
      <c r="Q271" s="98" t="str">
        <f aca="false">IF($A271="","",IFERROR(DATE(IF(LEN(P271)=8,2000+VALUE(RIGHT(P271,2)),VALUE(RIGHT(P271,4))),VALUE(LEFT(P271,2)),VALUE(MID(P271,4,2))),""))</f>
        <v/>
      </c>
      <c r="R271" s="89" t="n">
        <f aca="false">IF($A271="",0,IF(ISNUMBER(SEARCH("Float",$A271)),1,0))</f>
        <v>0</v>
      </c>
      <c r="S271" s="43" t="str">
        <f aca="false">IF($A271="","",TRIM(MID($A271,LEN(O271)+2,LEN($A271)-LEN(O271)-LEN(P271)-1)))</f>
        <v/>
      </c>
      <c r="T271" s="92" t="str">
        <f aca="false">IF(OR($A271="",R271=1),"",IFERROR(IF(ISNUMBER(FIND("/",S271)),IF(ISNUMBER(FIND(" ",S271)),VALUE(LEFT(S271,FIND(" ",S271)-1))+VALUE(MID(S271,FIND(" ",S271)+1,FIND("/",S271)-FIND(" ",S271)-1))/VALUE(MID(S271,FIND("/",S271)+1,9)),VALUE(LEFT(S271,FIND("/",S271)-1))/VALUE(MID(S271,FIND("/",S271)+1,9))),VALUE(S271)),""))</f>
        <v/>
      </c>
      <c r="U271" s="43" t="str">
        <f aca="false">IF(OR($A271="",NOT(ISNUMBER(Q271))),"",TEXT(Q271,"yyyymmdd")&amp;"|"&amp;IF(R271=1,"F",TEXT(T271,"0.000")))</f>
        <v/>
      </c>
      <c r="V271" s="43" t="str">
        <f aca="false">IF(U271="","",O271&amp;"|"&amp;U271)</f>
        <v/>
      </c>
      <c r="W271" s="43" t="str">
        <f aca="false">IF($A271="","",IFERROR(IF(VLOOKUP(O271,매핑!$A$4:$E$92,3,0)="","미분류",VLOOKUP(O271,매핑!$A$4:$E$92,3,0)),"미분류"))</f>
        <v/>
      </c>
      <c r="X271" s="89" t="n">
        <f aca="false">IF($A271="",0,IF(O271="T",1,0))</f>
        <v>0</v>
      </c>
      <c r="Y271" s="89" t="n">
        <f aca="false">IF($A271="",0,IF(AND(C271="USD",X271=0,ISNUMBER(E271),ISNUMBER(K271)),IF(K271&gt;=설정!$C$8,1,0),0))</f>
        <v>0</v>
      </c>
      <c r="Z271" s="43" t="str">
        <f aca="false">IF($A271="","",N271&amp;"|"&amp;L271)</f>
        <v/>
      </c>
      <c r="AA271" s="92" t="n">
        <f aca="false">IF(Y271=1,LN(K271),0)</f>
        <v>0</v>
      </c>
      <c r="AB271" s="93" t="n">
        <f aca="false">IF(Y271=1,E271,0)</f>
        <v>0</v>
      </c>
      <c r="AC271" s="89" t="n">
        <f aca="false">IF(Y271=1,COUNTIFS($Z$2:$Z$601,Z271,$Y$2:$Y$601,1),0)</f>
        <v>0</v>
      </c>
      <c r="AD271" s="89" t="n">
        <f aca="false">IF(Y271=1,COUNTIFS($N$2:$N$601,N271,$Y$2:$Y$601,1),0)</f>
        <v>0</v>
      </c>
      <c r="AE271" s="43" t="str">
        <f aca="false">IF(Y271&lt;&gt;1,"",IF(AND(AC271&gt;=설정!$C$7,ISNUMBER(MATCH(Z271,피어커브!$A:$A,0))),Z271,IF(AND(AD271&gt;=설정!$C$7,ISNUMBER(MATCH(N271&amp;"|전체",피어커브!$A:$A,0))),N271&amp;"|전체","전체|전체")))</f>
        <v/>
      </c>
      <c r="AF271" s="93" t="str">
        <f aca="false">IF(AE271="","",INDEX(피어커브!$K:$K,MATCH(AE271,피어커브!$A:$A,0)))</f>
        <v/>
      </c>
      <c r="AG271" s="93" t="str">
        <f aca="false">IF(AE271="","",INDEX(피어커브!$J:$J,MATCH(AE271,피어커브!$A:$A,0)))</f>
        <v/>
      </c>
      <c r="AH271" s="93" t="str">
        <f aca="false">IF(AE271="","",INDEX(피어커브!$L:$L,MATCH(AE271,피어커브!$A:$A,0)))</f>
        <v/>
      </c>
      <c r="AI271" s="93" t="str">
        <f aca="false">IF(AE271="","",AF271+AG271*AA271)</f>
        <v/>
      </c>
      <c r="AJ271" s="96" t="str">
        <f aca="false">IF(AE271="","",E271-AI271)</f>
        <v/>
      </c>
      <c r="AK271" s="95" t="str">
        <f aca="false">IF(AE271="","",IF(ISNUMBER(AH271),IF(AH271&gt;0,AJ271/AH271,""),""))</f>
        <v/>
      </c>
      <c r="AL271" s="43" t="str">
        <f aca="false">IF(AK271="","-",IF(AK271&gt;=설정!$C$6,"Cheap",IF(AK271&lt;=-설정!$C$6,"Rich","Fair")))</f>
        <v>-</v>
      </c>
      <c r="AM271" s="96" t="str">
        <f aca="false">IF(AE271="","",AJ271-AVERAGEIFS($AJ$2:$AJ$601,$B$2:$B$601,B271,$Y$2:$Y$601,1))</f>
        <v/>
      </c>
      <c r="AN271" s="93" t="n">
        <f aca="false">IF(AE271="",0,IF(K271&gt;1+설정!$C$8,AG271*(AA271-LN(K271-1)),0))</f>
        <v>0</v>
      </c>
      <c r="AO271" s="99" t="n">
        <f aca="false">IF($A271="",0,SUMIFS(보유분석!$AA$2:$AA$801,보유분석!$AB$2:$AB$801,ROW(),보유분석!$AC$2:$AC$801,1))</f>
        <v>0</v>
      </c>
      <c r="AP271" s="43" t="str">
        <f aca="false">IF($A271="","",TRIM(IF(R271=1,"FRN ","")&amp;IF(IFERROR(VLOOKUP(M271,설정!$A$15:$D$47,4,0),0)&gt;=10,IF(IFERROR(VLOOKUP(M271,설정!$A$15:$D$47,4,0),0)&lt;99,"BBB0미만 ",""),"")&amp;IF(OR(M271="",M271="NR"),"등급미입력 ","")&amp;IF(C271&lt;&gt;"USD","비USD ","")))</f>
        <v/>
      </c>
      <c r="AQ271" s="90" t="n">
        <f aca="false">IF(AND(Y271=1,AL271="Cheap"),IF(AND(ISERROR(SEARCH("FRN",AP271)),ISERROR(SEARCH("BBB0미만",AP271))),AK271+ROW()/1000000000,-999),-999)</f>
        <v>-999</v>
      </c>
      <c r="AR271" s="92" t="str">
        <f aca="false">IF(AND(ISNUMBER(D271),ISNUMBER(K271)),D271+AN271*MAX(K271-1,0)/100,"")</f>
        <v/>
      </c>
      <c r="AS271" s="93" t="str">
        <f aca="false">IF(AND(ISNUMBER(E271),ISNUMBER(K271)),IF(K271&gt;0,(E271+AN271*MAX(K271-1,0))/K271,""),"")</f>
        <v/>
      </c>
      <c r="AT271" s="90" t="n">
        <f aca="false">IFERROR(IF(AND(Y271=1,ROW()&lt;&gt;스왑분석!$C$12+1,ABS(K271-INDEX($K$2:$K$601,스왑분석!$C$12))&lt;=스왑분석!$C$5,ISERROR(SEARCH("FRN",AP271)),ISERROR(SEARCH("BBB0미만",AP271))),IF(AND(OR(스왑분석!$C$6="N",L271=INDEX($L$2:$L$601,스왑분석!$C$12)),OR(스왑분석!$C$7="N",N271=INDEX($N$2:$N$601,스왑분석!$C$12)),OR(스왑분석!$C$8="N",AO271=0),E271-INDEX($E$2:$E$601,스왑분석!$C$12)&gt;=스왑분석!$C$9),E271-INDEX($E$2:$E$601,스왑분석!$C$12)+ROW()/1000000000,-999),-999),-999)</f>
        <v>-999</v>
      </c>
      <c r="AU271" s="90" t="n">
        <f aca="false">IF(AND(Y271=1,AO271&gt;0,AL271="Rich"),-AK271+ROW()/1000000000,-999)</f>
        <v>-999</v>
      </c>
    </row>
    <row r="272" customFormat="false" ht="15" hidden="false" customHeight="false" outlineLevel="0" collapsed="false">
      <c r="A272" s="83" t="n">
        <f aca="false">IFERROR(IF(INDEX(원자료_시장!$A$1:$BZ$1000,설정!$L$6+ROW()-1,설정!$L$24)&amp;""="0","",INDEX(원자료_시장!$A$1:$BZ$1000,설정!$L$6+ROW()-1,설정!$L$24)),"")</f>
        <v>0</v>
      </c>
      <c r="B272" s="83" t="n">
        <f aca="false">IFERROR(IF(INDEX(원자료_시장!$A$1:$BZ$1000,설정!$L$6+ROW()-1,설정!$L$37)&amp;""="0","",INDEX(원자료_시장!$A$1:$BZ$1000,설정!$L$6+ROW()-1,설정!$L$37)),"")</f>
        <v>0</v>
      </c>
      <c r="C272" s="83" t="n">
        <f aca="false">IFERROR(IF(INDEX(원자료_시장!$A$1:$BZ$1000,설정!$L$6+ROW()-1,설정!$L$25)&amp;""="0","",INDEX(원자료_시장!$A$1:$BZ$1000,설정!$L$6+ROW()-1,설정!$L$25)),"")</f>
        <v>0</v>
      </c>
      <c r="D272" s="85" t="str">
        <f aca="false">IFERROR(IF(ISNUMBER(INDEX(원자료_시장!$A$1:$BZ$1000,설정!$L$6+ROW()-1,설정!$L$26)),INDEX(원자료_시장!$A$1:$BZ$1000,설정!$L$6+ROW()-1,설정!$L$26),""),"")</f>
        <v/>
      </c>
      <c r="E272" s="97" t="str">
        <f aca="false">IFERROR(IF(ISNUMBER(INDEX(원자료_시장!$A$1:$BZ$1000,설정!$L$6+ROW()-1,설정!$L$27)),INDEX(원자료_시장!$A$1:$BZ$1000,설정!$L$6+ROW()-1,설정!$L$27),""),"")</f>
        <v/>
      </c>
      <c r="F272" s="97" t="str">
        <f aca="false">IFERROR(IF(ISNUMBER(INDEX(원자료_시장!$A$1:$BZ$1000,설정!$L$6+ROW()-1,설정!$L$28)),INDEX(원자료_시장!$A$1:$BZ$1000,설정!$L$6+ROW()-1,설정!$L$28),""),"")</f>
        <v/>
      </c>
      <c r="G272" s="97" t="str">
        <f aca="false">IFERROR(IF(ISNUMBER(INDEX(원자료_시장!$A$1:$BZ$1000,설정!$L$6+ROW()-1,설정!$L$29)),INDEX(원자료_시장!$A$1:$BZ$1000,설정!$L$6+ROW()-1,설정!$L$29),""),"")</f>
        <v/>
      </c>
      <c r="H272" s="97" t="str">
        <f aca="false">IFERROR(IF(ISNUMBER(INDEX(원자료_시장!$A$1:$BZ$1000,설정!$L$6+ROW()-1,설정!$L$30)),INDEX(원자료_시장!$A$1:$BZ$1000,설정!$L$6+ROW()-1,설정!$L$30),""),"")</f>
        <v/>
      </c>
      <c r="I272" s="97" t="str">
        <f aca="false">IFERROR(IF(ISNUMBER(INDEX(원자료_시장!$A$1:$BZ$1000,설정!$L$6+ROW()-1,설정!$L$31)),INDEX(원자료_시장!$A$1:$BZ$1000,설정!$L$6+ROW()-1,설정!$L$31),""),"")</f>
        <v/>
      </c>
      <c r="J272" s="97" t="str">
        <f aca="false">IFERROR(IF(ISNUMBER(INDEX(원자료_시장!$A$1:$BZ$1000,설정!$L$6+ROW()-1,설정!$L$32)),INDEX(원자료_시장!$A$1:$BZ$1000,설정!$L$6+ROW()-1,설정!$L$32),""),"")</f>
        <v/>
      </c>
      <c r="K272" s="85" t="str">
        <f aca="false">IFERROR(IF(ISNUMBER(INDEX(원자료_시장!$A$1:$BZ$1000,설정!$L$6+ROW()-1,설정!$L$33)),INDEX(원자료_시장!$A$1:$BZ$1000,설정!$L$6+ROW()-1,설정!$L$33),""),"")</f>
        <v/>
      </c>
      <c r="L272" s="83" t="n">
        <f aca="false">IFERROR(IF(INDEX(원자료_시장!$A$1:$BZ$1000,설정!$L$6+ROW()-1,설정!$L$34)&amp;""="0","",INDEX(원자료_시장!$A$1:$BZ$1000,설정!$L$6+ROW()-1,설정!$L$34)),"")</f>
        <v>0</v>
      </c>
      <c r="M272" s="83" t="n">
        <f aca="false">IFERROR(IF(INDEX(원자료_시장!$A$1:$BZ$1000,설정!$L$6+ROW()-1,설정!$L$35)&amp;""="0","",INDEX(원자료_시장!$A$1:$BZ$1000,설정!$L$6+ROW()-1,설정!$L$35)),"")</f>
        <v>0</v>
      </c>
      <c r="N272" s="83" t="n">
        <f aca="false">IFERROR(IF(INDEX(원자료_시장!$A$1:$BZ$1000,설정!$L$6+ROW()-1,설정!$L$36)&amp;""="0","",INDEX(원자료_시장!$A$1:$BZ$1000,설정!$L$6+ROW()-1,설정!$L$36)),"")</f>
        <v>0</v>
      </c>
      <c r="O272" s="43" t="str">
        <f aca="false">IF($A272="","",UPPER(LEFT($A272,FIND(" ",$A272&amp;" ")-1)))</f>
        <v/>
      </c>
      <c r="P272" s="43" t="str">
        <f aca="false">IF($A272="","",TRIM(RIGHT(SUBSTITUTE(TRIM($A272)," ",REPT(" ",30)),30)))</f>
        <v/>
      </c>
      <c r="Q272" s="98" t="str">
        <f aca="false">IF($A272="","",IFERROR(DATE(IF(LEN(P272)=8,2000+VALUE(RIGHT(P272,2)),VALUE(RIGHT(P272,4))),VALUE(LEFT(P272,2)),VALUE(MID(P272,4,2))),""))</f>
        <v/>
      </c>
      <c r="R272" s="89" t="n">
        <f aca="false">IF($A272="",0,IF(ISNUMBER(SEARCH("Float",$A272)),1,0))</f>
        <v>0</v>
      </c>
      <c r="S272" s="43" t="str">
        <f aca="false">IF($A272="","",TRIM(MID($A272,LEN(O272)+2,LEN($A272)-LEN(O272)-LEN(P272)-1)))</f>
        <v/>
      </c>
      <c r="T272" s="92" t="str">
        <f aca="false">IF(OR($A272="",R272=1),"",IFERROR(IF(ISNUMBER(FIND("/",S272)),IF(ISNUMBER(FIND(" ",S272)),VALUE(LEFT(S272,FIND(" ",S272)-1))+VALUE(MID(S272,FIND(" ",S272)+1,FIND("/",S272)-FIND(" ",S272)-1))/VALUE(MID(S272,FIND("/",S272)+1,9)),VALUE(LEFT(S272,FIND("/",S272)-1))/VALUE(MID(S272,FIND("/",S272)+1,9))),VALUE(S272)),""))</f>
        <v/>
      </c>
      <c r="U272" s="43" t="str">
        <f aca="false">IF(OR($A272="",NOT(ISNUMBER(Q272))),"",TEXT(Q272,"yyyymmdd")&amp;"|"&amp;IF(R272=1,"F",TEXT(T272,"0.000")))</f>
        <v/>
      </c>
      <c r="V272" s="43" t="str">
        <f aca="false">IF(U272="","",O272&amp;"|"&amp;U272)</f>
        <v/>
      </c>
      <c r="W272" s="43" t="str">
        <f aca="false">IF($A272="","",IFERROR(IF(VLOOKUP(O272,매핑!$A$4:$E$92,3,0)="","미분류",VLOOKUP(O272,매핑!$A$4:$E$92,3,0)),"미분류"))</f>
        <v/>
      </c>
      <c r="X272" s="89" t="n">
        <f aca="false">IF($A272="",0,IF(O272="T",1,0))</f>
        <v>0</v>
      </c>
      <c r="Y272" s="89" t="n">
        <f aca="false">IF($A272="",0,IF(AND(C272="USD",X272=0,ISNUMBER(E272),ISNUMBER(K272)),IF(K272&gt;=설정!$C$8,1,0),0))</f>
        <v>0</v>
      </c>
      <c r="Z272" s="43" t="str">
        <f aca="false">IF($A272="","",N272&amp;"|"&amp;L272)</f>
        <v/>
      </c>
      <c r="AA272" s="92" t="n">
        <f aca="false">IF(Y272=1,LN(K272),0)</f>
        <v>0</v>
      </c>
      <c r="AB272" s="93" t="n">
        <f aca="false">IF(Y272=1,E272,0)</f>
        <v>0</v>
      </c>
      <c r="AC272" s="89" t="n">
        <f aca="false">IF(Y272=1,COUNTIFS($Z$2:$Z$601,Z272,$Y$2:$Y$601,1),0)</f>
        <v>0</v>
      </c>
      <c r="AD272" s="89" t="n">
        <f aca="false">IF(Y272=1,COUNTIFS($N$2:$N$601,N272,$Y$2:$Y$601,1),0)</f>
        <v>0</v>
      </c>
      <c r="AE272" s="43" t="str">
        <f aca="false">IF(Y272&lt;&gt;1,"",IF(AND(AC272&gt;=설정!$C$7,ISNUMBER(MATCH(Z272,피어커브!$A:$A,0))),Z272,IF(AND(AD272&gt;=설정!$C$7,ISNUMBER(MATCH(N272&amp;"|전체",피어커브!$A:$A,0))),N272&amp;"|전체","전체|전체")))</f>
        <v/>
      </c>
      <c r="AF272" s="93" t="str">
        <f aca="false">IF(AE272="","",INDEX(피어커브!$K:$K,MATCH(AE272,피어커브!$A:$A,0)))</f>
        <v/>
      </c>
      <c r="AG272" s="93" t="str">
        <f aca="false">IF(AE272="","",INDEX(피어커브!$J:$J,MATCH(AE272,피어커브!$A:$A,0)))</f>
        <v/>
      </c>
      <c r="AH272" s="93" t="str">
        <f aca="false">IF(AE272="","",INDEX(피어커브!$L:$L,MATCH(AE272,피어커브!$A:$A,0)))</f>
        <v/>
      </c>
      <c r="AI272" s="93" t="str">
        <f aca="false">IF(AE272="","",AF272+AG272*AA272)</f>
        <v/>
      </c>
      <c r="AJ272" s="96" t="str">
        <f aca="false">IF(AE272="","",E272-AI272)</f>
        <v/>
      </c>
      <c r="AK272" s="95" t="str">
        <f aca="false">IF(AE272="","",IF(ISNUMBER(AH272),IF(AH272&gt;0,AJ272/AH272,""),""))</f>
        <v/>
      </c>
      <c r="AL272" s="43" t="str">
        <f aca="false">IF(AK272="","-",IF(AK272&gt;=설정!$C$6,"Cheap",IF(AK272&lt;=-설정!$C$6,"Rich","Fair")))</f>
        <v>-</v>
      </c>
      <c r="AM272" s="96" t="str">
        <f aca="false">IF(AE272="","",AJ272-AVERAGEIFS($AJ$2:$AJ$601,$B$2:$B$601,B272,$Y$2:$Y$601,1))</f>
        <v/>
      </c>
      <c r="AN272" s="93" t="n">
        <f aca="false">IF(AE272="",0,IF(K272&gt;1+설정!$C$8,AG272*(AA272-LN(K272-1)),0))</f>
        <v>0</v>
      </c>
      <c r="AO272" s="99" t="n">
        <f aca="false">IF($A272="",0,SUMIFS(보유분석!$AA$2:$AA$801,보유분석!$AB$2:$AB$801,ROW(),보유분석!$AC$2:$AC$801,1))</f>
        <v>0</v>
      </c>
      <c r="AP272" s="43" t="str">
        <f aca="false">IF($A272="","",TRIM(IF(R272=1,"FRN ","")&amp;IF(IFERROR(VLOOKUP(M272,설정!$A$15:$D$47,4,0),0)&gt;=10,IF(IFERROR(VLOOKUP(M272,설정!$A$15:$D$47,4,0),0)&lt;99,"BBB0미만 ",""),"")&amp;IF(OR(M272="",M272="NR"),"등급미입력 ","")&amp;IF(C272&lt;&gt;"USD","비USD ","")))</f>
        <v/>
      </c>
      <c r="AQ272" s="90" t="n">
        <f aca="false">IF(AND(Y272=1,AL272="Cheap"),IF(AND(ISERROR(SEARCH("FRN",AP272)),ISERROR(SEARCH("BBB0미만",AP272))),AK272+ROW()/1000000000,-999),-999)</f>
        <v>-999</v>
      </c>
      <c r="AR272" s="92" t="str">
        <f aca="false">IF(AND(ISNUMBER(D272),ISNUMBER(K272)),D272+AN272*MAX(K272-1,0)/100,"")</f>
        <v/>
      </c>
      <c r="AS272" s="93" t="str">
        <f aca="false">IF(AND(ISNUMBER(E272),ISNUMBER(K272)),IF(K272&gt;0,(E272+AN272*MAX(K272-1,0))/K272,""),"")</f>
        <v/>
      </c>
      <c r="AT272" s="90" t="n">
        <f aca="false">IFERROR(IF(AND(Y272=1,ROW()&lt;&gt;스왑분석!$C$12+1,ABS(K272-INDEX($K$2:$K$601,스왑분석!$C$12))&lt;=스왑분석!$C$5,ISERROR(SEARCH("FRN",AP272)),ISERROR(SEARCH("BBB0미만",AP272))),IF(AND(OR(스왑분석!$C$6="N",L272=INDEX($L$2:$L$601,스왑분석!$C$12)),OR(스왑분석!$C$7="N",N272=INDEX($N$2:$N$601,스왑분석!$C$12)),OR(스왑분석!$C$8="N",AO272=0),E272-INDEX($E$2:$E$601,스왑분석!$C$12)&gt;=스왑분석!$C$9),E272-INDEX($E$2:$E$601,스왑분석!$C$12)+ROW()/1000000000,-999),-999),-999)</f>
        <v>-999</v>
      </c>
      <c r="AU272" s="90" t="n">
        <f aca="false">IF(AND(Y272=1,AO272&gt;0,AL272="Rich"),-AK272+ROW()/1000000000,-999)</f>
        <v>-999</v>
      </c>
    </row>
    <row r="273" customFormat="false" ht="15" hidden="false" customHeight="false" outlineLevel="0" collapsed="false">
      <c r="A273" s="83" t="n">
        <f aca="false">IFERROR(IF(INDEX(원자료_시장!$A$1:$BZ$1000,설정!$L$6+ROW()-1,설정!$L$24)&amp;""="0","",INDEX(원자료_시장!$A$1:$BZ$1000,설정!$L$6+ROW()-1,설정!$L$24)),"")</f>
        <v>0</v>
      </c>
      <c r="B273" s="83" t="n">
        <f aca="false">IFERROR(IF(INDEX(원자료_시장!$A$1:$BZ$1000,설정!$L$6+ROW()-1,설정!$L$37)&amp;""="0","",INDEX(원자료_시장!$A$1:$BZ$1000,설정!$L$6+ROW()-1,설정!$L$37)),"")</f>
        <v>0</v>
      </c>
      <c r="C273" s="83" t="n">
        <f aca="false">IFERROR(IF(INDEX(원자료_시장!$A$1:$BZ$1000,설정!$L$6+ROW()-1,설정!$L$25)&amp;""="0","",INDEX(원자료_시장!$A$1:$BZ$1000,설정!$L$6+ROW()-1,설정!$L$25)),"")</f>
        <v>0</v>
      </c>
      <c r="D273" s="85" t="str">
        <f aca="false">IFERROR(IF(ISNUMBER(INDEX(원자료_시장!$A$1:$BZ$1000,설정!$L$6+ROW()-1,설정!$L$26)),INDEX(원자료_시장!$A$1:$BZ$1000,설정!$L$6+ROW()-1,설정!$L$26),""),"")</f>
        <v/>
      </c>
      <c r="E273" s="97" t="str">
        <f aca="false">IFERROR(IF(ISNUMBER(INDEX(원자료_시장!$A$1:$BZ$1000,설정!$L$6+ROW()-1,설정!$L$27)),INDEX(원자료_시장!$A$1:$BZ$1000,설정!$L$6+ROW()-1,설정!$L$27),""),"")</f>
        <v/>
      </c>
      <c r="F273" s="97" t="str">
        <f aca="false">IFERROR(IF(ISNUMBER(INDEX(원자료_시장!$A$1:$BZ$1000,설정!$L$6+ROW()-1,설정!$L$28)),INDEX(원자료_시장!$A$1:$BZ$1000,설정!$L$6+ROW()-1,설정!$L$28),""),"")</f>
        <v/>
      </c>
      <c r="G273" s="97" t="str">
        <f aca="false">IFERROR(IF(ISNUMBER(INDEX(원자료_시장!$A$1:$BZ$1000,설정!$L$6+ROW()-1,설정!$L$29)),INDEX(원자료_시장!$A$1:$BZ$1000,설정!$L$6+ROW()-1,설정!$L$29),""),"")</f>
        <v/>
      </c>
      <c r="H273" s="97" t="str">
        <f aca="false">IFERROR(IF(ISNUMBER(INDEX(원자료_시장!$A$1:$BZ$1000,설정!$L$6+ROW()-1,설정!$L$30)),INDEX(원자료_시장!$A$1:$BZ$1000,설정!$L$6+ROW()-1,설정!$L$30),""),"")</f>
        <v/>
      </c>
      <c r="I273" s="97" t="str">
        <f aca="false">IFERROR(IF(ISNUMBER(INDEX(원자료_시장!$A$1:$BZ$1000,설정!$L$6+ROW()-1,설정!$L$31)),INDEX(원자료_시장!$A$1:$BZ$1000,설정!$L$6+ROW()-1,설정!$L$31),""),"")</f>
        <v/>
      </c>
      <c r="J273" s="97" t="str">
        <f aca="false">IFERROR(IF(ISNUMBER(INDEX(원자료_시장!$A$1:$BZ$1000,설정!$L$6+ROW()-1,설정!$L$32)),INDEX(원자료_시장!$A$1:$BZ$1000,설정!$L$6+ROW()-1,설정!$L$32),""),"")</f>
        <v/>
      </c>
      <c r="K273" s="85" t="str">
        <f aca="false">IFERROR(IF(ISNUMBER(INDEX(원자료_시장!$A$1:$BZ$1000,설정!$L$6+ROW()-1,설정!$L$33)),INDEX(원자료_시장!$A$1:$BZ$1000,설정!$L$6+ROW()-1,설정!$L$33),""),"")</f>
        <v/>
      </c>
      <c r="L273" s="83" t="n">
        <f aca="false">IFERROR(IF(INDEX(원자료_시장!$A$1:$BZ$1000,설정!$L$6+ROW()-1,설정!$L$34)&amp;""="0","",INDEX(원자료_시장!$A$1:$BZ$1000,설정!$L$6+ROW()-1,설정!$L$34)),"")</f>
        <v>0</v>
      </c>
      <c r="M273" s="83" t="n">
        <f aca="false">IFERROR(IF(INDEX(원자료_시장!$A$1:$BZ$1000,설정!$L$6+ROW()-1,설정!$L$35)&amp;""="0","",INDEX(원자료_시장!$A$1:$BZ$1000,설정!$L$6+ROW()-1,설정!$L$35)),"")</f>
        <v>0</v>
      </c>
      <c r="N273" s="83" t="n">
        <f aca="false">IFERROR(IF(INDEX(원자료_시장!$A$1:$BZ$1000,설정!$L$6+ROW()-1,설정!$L$36)&amp;""="0","",INDEX(원자료_시장!$A$1:$BZ$1000,설정!$L$6+ROW()-1,설정!$L$36)),"")</f>
        <v>0</v>
      </c>
      <c r="O273" s="43" t="str">
        <f aca="false">IF($A273="","",UPPER(LEFT($A273,FIND(" ",$A273&amp;" ")-1)))</f>
        <v/>
      </c>
      <c r="P273" s="43" t="str">
        <f aca="false">IF($A273="","",TRIM(RIGHT(SUBSTITUTE(TRIM($A273)," ",REPT(" ",30)),30)))</f>
        <v/>
      </c>
      <c r="Q273" s="98" t="str">
        <f aca="false">IF($A273="","",IFERROR(DATE(IF(LEN(P273)=8,2000+VALUE(RIGHT(P273,2)),VALUE(RIGHT(P273,4))),VALUE(LEFT(P273,2)),VALUE(MID(P273,4,2))),""))</f>
        <v/>
      </c>
      <c r="R273" s="89" t="n">
        <f aca="false">IF($A273="",0,IF(ISNUMBER(SEARCH("Float",$A273)),1,0))</f>
        <v>0</v>
      </c>
      <c r="S273" s="43" t="str">
        <f aca="false">IF($A273="","",TRIM(MID($A273,LEN(O273)+2,LEN($A273)-LEN(O273)-LEN(P273)-1)))</f>
        <v/>
      </c>
      <c r="T273" s="92" t="str">
        <f aca="false">IF(OR($A273="",R273=1),"",IFERROR(IF(ISNUMBER(FIND("/",S273)),IF(ISNUMBER(FIND(" ",S273)),VALUE(LEFT(S273,FIND(" ",S273)-1))+VALUE(MID(S273,FIND(" ",S273)+1,FIND("/",S273)-FIND(" ",S273)-1))/VALUE(MID(S273,FIND("/",S273)+1,9)),VALUE(LEFT(S273,FIND("/",S273)-1))/VALUE(MID(S273,FIND("/",S273)+1,9))),VALUE(S273)),""))</f>
        <v/>
      </c>
      <c r="U273" s="43" t="str">
        <f aca="false">IF(OR($A273="",NOT(ISNUMBER(Q273))),"",TEXT(Q273,"yyyymmdd")&amp;"|"&amp;IF(R273=1,"F",TEXT(T273,"0.000")))</f>
        <v/>
      </c>
      <c r="V273" s="43" t="str">
        <f aca="false">IF(U273="","",O273&amp;"|"&amp;U273)</f>
        <v/>
      </c>
      <c r="W273" s="43" t="str">
        <f aca="false">IF($A273="","",IFERROR(IF(VLOOKUP(O273,매핑!$A$4:$E$92,3,0)="","미분류",VLOOKUP(O273,매핑!$A$4:$E$92,3,0)),"미분류"))</f>
        <v/>
      </c>
      <c r="X273" s="89" t="n">
        <f aca="false">IF($A273="",0,IF(O273="T",1,0))</f>
        <v>0</v>
      </c>
      <c r="Y273" s="89" t="n">
        <f aca="false">IF($A273="",0,IF(AND(C273="USD",X273=0,ISNUMBER(E273),ISNUMBER(K273)),IF(K273&gt;=설정!$C$8,1,0),0))</f>
        <v>0</v>
      </c>
      <c r="Z273" s="43" t="str">
        <f aca="false">IF($A273="","",N273&amp;"|"&amp;L273)</f>
        <v/>
      </c>
      <c r="AA273" s="92" t="n">
        <f aca="false">IF(Y273=1,LN(K273),0)</f>
        <v>0</v>
      </c>
      <c r="AB273" s="93" t="n">
        <f aca="false">IF(Y273=1,E273,0)</f>
        <v>0</v>
      </c>
      <c r="AC273" s="89" t="n">
        <f aca="false">IF(Y273=1,COUNTIFS($Z$2:$Z$601,Z273,$Y$2:$Y$601,1),0)</f>
        <v>0</v>
      </c>
      <c r="AD273" s="89" t="n">
        <f aca="false">IF(Y273=1,COUNTIFS($N$2:$N$601,N273,$Y$2:$Y$601,1),0)</f>
        <v>0</v>
      </c>
      <c r="AE273" s="43" t="str">
        <f aca="false">IF(Y273&lt;&gt;1,"",IF(AND(AC273&gt;=설정!$C$7,ISNUMBER(MATCH(Z273,피어커브!$A:$A,0))),Z273,IF(AND(AD273&gt;=설정!$C$7,ISNUMBER(MATCH(N273&amp;"|전체",피어커브!$A:$A,0))),N273&amp;"|전체","전체|전체")))</f>
        <v/>
      </c>
      <c r="AF273" s="93" t="str">
        <f aca="false">IF(AE273="","",INDEX(피어커브!$K:$K,MATCH(AE273,피어커브!$A:$A,0)))</f>
        <v/>
      </c>
      <c r="AG273" s="93" t="str">
        <f aca="false">IF(AE273="","",INDEX(피어커브!$J:$J,MATCH(AE273,피어커브!$A:$A,0)))</f>
        <v/>
      </c>
      <c r="AH273" s="93" t="str">
        <f aca="false">IF(AE273="","",INDEX(피어커브!$L:$L,MATCH(AE273,피어커브!$A:$A,0)))</f>
        <v/>
      </c>
      <c r="AI273" s="93" t="str">
        <f aca="false">IF(AE273="","",AF273+AG273*AA273)</f>
        <v/>
      </c>
      <c r="AJ273" s="96" t="str">
        <f aca="false">IF(AE273="","",E273-AI273)</f>
        <v/>
      </c>
      <c r="AK273" s="95" t="str">
        <f aca="false">IF(AE273="","",IF(ISNUMBER(AH273),IF(AH273&gt;0,AJ273/AH273,""),""))</f>
        <v/>
      </c>
      <c r="AL273" s="43" t="str">
        <f aca="false">IF(AK273="","-",IF(AK273&gt;=설정!$C$6,"Cheap",IF(AK273&lt;=-설정!$C$6,"Rich","Fair")))</f>
        <v>-</v>
      </c>
      <c r="AM273" s="96" t="str">
        <f aca="false">IF(AE273="","",AJ273-AVERAGEIFS($AJ$2:$AJ$601,$B$2:$B$601,B273,$Y$2:$Y$601,1))</f>
        <v/>
      </c>
      <c r="AN273" s="93" t="n">
        <f aca="false">IF(AE273="",0,IF(K273&gt;1+설정!$C$8,AG273*(AA273-LN(K273-1)),0))</f>
        <v>0</v>
      </c>
      <c r="AO273" s="99" t="n">
        <f aca="false">IF($A273="",0,SUMIFS(보유분석!$AA$2:$AA$801,보유분석!$AB$2:$AB$801,ROW(),보유분석!$AC$2:$AC$801,1))</f>
        <v>0</v>
      </c>
      <c r="AP273" s="43" t="str">
        <f aca="false">IF($A273="","",TRIM(IF(R273=1,"FRN ","")&amp;IF(IFERROR(VLOOKUP(M273,설정!$A$15:$D$47,4,0),0)&gt;=10,IF(IFERROR(VLOOKUP(M273,설정!$A$15:$D$47,4,0),0)&lt;99,"BBB0미만 ",""),"")&amp;IF(OR(M273="",M273="NR"),"등급미입력 ","")&amp;IF(C273&lt;&gt;"USD","비USD ","")))</f>
        <v/>
      </c>
      <c r="AQ273" s="90" t="n">
        <f aca="false">IF(AND(Y273=1,AL273="Cheap"),IF(AND(ISERROR(SEARCH("FRN",AP273)),ISERROR(SEARCH("BBB0미만",AP273))),AK273+ROW()/1000000000,-999),-999)</f>
        <v>-999</v>
      </c>
      <c r="AR273" s="92" t="str">
        <f aca="false">IF(AND(ISNUMBER(D273),ISNUMBER(K273)),D273+AN273*MAX(K273-1,0)/100,"")</f>
        <v/>
      </c>
      <c r="AS273" s="93" t="str">
        <f aca="false">IF(AND(ISNUMBER(E273),ISNUMBER(K273)),IF(K273&gt;0,(E273+AN273*MAX(K273-1,0))/K273,""),"")</f>
        <v/>
      </c>
      <c r="AT273" s="90" t="n">
        <f aca="false">IFERROR(IF(AND(Y273=1,ROW()&lt;&gt;스왑분석!$C$12+1,ABS(K273-INDEX($K$2:$K$601,스왑분석!$C$12))&lt;=스왑분석!$C$5,ISERROR(SEARCH("FRN",AP273)),ISERROR(SEARCH("BBB0미만",AP273))),IF(AND(OR(스왑분석!$C$6="N",L273=INDEX($L$2:$L$601,스왑분석!$C$12)),OR(스왑분석!$C$7="N",N273=INDEX($N$2:$N$601,스왑분석!$C$12)),OR(스왑분석!$C$8="N",AO273=0),E273-INDEX($E$2:$E$601,스왑분석!$C$12)&gt;=스왑분석!$C$9),E273-INDEX($E$2:$E$601,스왑분석!$C$12)+ROW()/1000000000,-999),-999),-999)</f>
        <v>-999</v>
      </c>
      <c r="AU273" s="90" t="n">
        <f aca="false">IF(AND(Y273=1,AO273&gt;0,AL273="Rich"),-AK273+ROW()/1000000000,-999)</f>
        <v>-999</v>
      </c>
    </row>
    <row r="274" customFormat="false" ht="15" hidden="false" customHeight="false" outlineLevel="0" collapsed="false">
      <c r="A274" s="83" t="n">
        <f aca="false">IFERROR(IF(INDEX(원자료_시장!$A$1:$BZ$1000,설정!$L$6+ROW()-1,설정!$L$24)&amp;""="0","",INDEX(원자료_시장!$A$1:$BZ$1000,설정!$L$6+ROW()-1,설정!$L$24)),"")</f>
        <v>0</v>
      </c>
      <c r="B274" s="83" t="n">
        <f aca="false">IFERROR(IF(INDEX(원자료_시장!$A$1:$BZ$1000,설정!$L$6+ROW()-1,설정!$L$37)&amp;""="0","",INDEX(원자료_시장!$A$1:$BZ$1000,설정!$L$6+ROW()-1,설정!$L$37)),"")</f>
        <v>0</v>
      </c>
      <c r="C274" s="83" t="n">
        <f aca="false">IFERROR(IF(INDEX(원자료_시장!$A$1:$BZ$1000,설정!$L$6+ROW()-1,설정!$L$25)&amp;""="0","",INDEX(원자료_시장!$A$1:$BZ$1000,설정!$L$6+ROW()-1,설정!$L$25)),"")</f>
        <v>0</v>
      </c>
      <c r="D274" s="85" t="str">
        <f aca="false">IFERROR(IF(ISNUMBER(INDEX(원자료_시장!$A$1:$BZ$1000,설정!$L$6+ROW()-1,설정!$L$26)),INDEX(원자료_시장!$A$1:$BZ$1000,설정!$L$6+ROW()-1,설정!$L$26),""),"")</f>
        <v/>
      </c>
      <c r="E274" s="97" t="str">
        <f aca="false">IFERROR(IF(ISNUMBER(INDEX(원자료_시장!$A$1:$BZ$1000,설정!$L$6+ROW()-1,설정!$L$27)),INDEX(원자료_시장!$A$1:$BZ$1000,설정!$L$6+ROW()-1,설정!$L$27),""),"")</f>
        <v/>
      </c>
      <c r="F274" s="97" t="str">
        <f aca="false">IFERROR(IF(ISNUMBER(INDEX(원자료_시장!$A$1:$BZ$1000,설정!$L$6+ROW()-1,설정!$L$28)),INDEX(원자료_시장!$A$1:$BZ$1000,설정!$L$6+ROW()-1,설정!$L$28),""),"")</f>
        <v/>
      </c>
      <c r="G274" s="97" t="str">
        <f aca="false">IFERROR(IF(ISNUMBER(INDEX(원자료_시장!$A$1:$BZ$1000,설정!$L$6+ROW()-1,설정!$L$29)),INDEX(원자료_시장!$A$1:$BZ$1000,설정!$L$6+ROW()-1,설정!$L$29),""),"")</f>
        <v/>
      </c>
      <c r="H274" s="97" t="str">
        <f aca="false">IFERROR(IF(ISNUMBER(INDEX(원자료_시장!$A$1:$BZ$1000,설정!$L$6+ROW()-1,설정!$L$30)),INDEX(원자료_시장!$A$1:$BZ$1000,설정!$L$6+ROW()-1,설정!$L$30),""),"")</f>
        <v/>
      </c>
      <c r="I274" s="97" t="str">
        <f aca="false">IFERROR(IF(ISNUMBER(INDEX(원자료_시장!$A$1:$BZ$1000,설정!$L$6+ROW()-1,설정!$L$31)),INDEX(원자료_시장!$A$1:$BZ$1000,설정!$L$6+ROW()-1,설정!$L$31),""),"")</f>
        <v/>
      </c>
      <c r="J274" s="97" t="str">
        <f aca="false">IFERROR(IF(ISNUMBER(INDEX(원자료_시장!$A$1:$BZ$1000,설정!$L$6+ROW()-1,설정!$L$32)),INDEX(원자료_시장!$A$1:$BZ$1000,설정!$L$6+ROW()-1,설정!$L$32),""),"")</f>
        <v/>
      </c>
      <c r="K274" s="85" t="str">
        <f aca="false">IFERROR(IF(ISNUMBER(INDEX(원자료_시장!$A$1:$BZ$1000,설정!$L$6+ROW()-1,설정!$L$33)),INDEX(원자료_시장!$A$1:$BZ$1000,설정!$L$6+ROW()-1,설정!$L$33),""),"")</f>
        <v/>
      </c>
      <c r="L274" s="83" t="n">
        <f aca="false">IFERROR(IF(INDEX(원자료_시장!$A$1:$BZ$1000,설정!$L$6+ROW()-1,설정!$L$34)&amp;""="0","",INDEX(원자료_시장!$A$1:$BZ$1000,설정!$L$6+ROW()-1,설정!$L$34)),"")</f>
        <v>0</v>
      </c>
      <c r="M274" s="83" t="n">
        <f aca="false">IFERROR(IF(INDEX(원자료_시장!$A$1:$BZ$1000,설정!$L$6+ROW()-1,설정!$L$35)&amp;""="0","",INDEX(원자료_시장!$A$1:$BZ$1000,설정!$L$6+ROW()-1,설정!$L$35)),"")</f>
        <v>0</v>
      </c>
      <c r="N274" s="83" t="n">
        <f aca="false">IFERROR(IF(INDEX(원자료_시장!$A$1:$BZ$1000,설정!$L$6+ROW()-1,설정!$L$36)&amp;""="0","",INDEX(원자료_시장!$A$1:$BZ$1000,설정!$L$6+ROW()-1,설정!$L$36)),"")</f>
        <v>0</v>
      </c>
      <c r="O274" s="43" t="str">
        <f aca="false">IF($A274="","",UPPER(LEFT($A274,FIND(" ",$A274&amp;" ")-1)))</f>
        <v/>
      </c>
      <c r="P274" s="43" t="str">
        <f aca="false">IF($A274="","",TRIM(RIGHT(SUBSTITUTE(TRIM($A274)," ",REPT(" ",30)),30)))</f>
        <v/>
      </c>
      <c r="Q274" s="98" t="str">
        <f aca="false">IF($A274="","",IFERROR(DATE(IF(LEN(P274)=8,2000+VALUE(RIGHT(P274,2)),VALUE(RIGHT(P274,4))),VALUE(LEFT(P274,2)),VALUE(MID(P274,4,2))),""))</f>
        <v/>
      </c>
      <c r="R274" s="89" t="n">
        <f aca="false">IF($A274="",0,IF(ISNUMBER(SEARCH("Float",$A274)),1,0))</f>
        <v>0</v>
      </c>
      <c r="S274" s="43" t="str">
        <f aca="false">IF($A274="","",TRIM(MID($A274,LEN(O274)+2,LEN($A274)-LEN(O274)-LEN(P274)-1)))</f>
        <v/>
      </c>
      <c r="T274" s="92" t="str">
        <f aca="false">IF(OR($A274="",R274=1),"",IFERROR(IF(ISNUMBER(FIND("/",S274)),IF(ISNUMBER(FIND(" ",S274)),VALUE(LEFT(S274,FIND(" ",S274)-1))+VALUE(MID(S274,FIND(" ",S274)+1,FIND("/",S274)-FIND(" ",S274)-1))/VALUE(MID(S274,FIND("/",S274)+1,9)),VALUE(LEFT(S274,FIND("/",S274)-1))/VALUE(MID(S274,FIND("/",S274)+1,9))),VALUE(S274)),""))</f>
        <v/>
      </c>
      <c r="U274" s="43" t="str">
        <f aca="false">IF(OR($A274="",NOT(ISNUMBER(Q274))),"",TEXT(Q274,"yyyymmdd")&amp;"|"&amp;IF(R274=1,"F",TEXT(T274,"0.000")))</f>
        <v/>
      </c>
      <c r="V274" s="43" t="str">
        <f aca="false">IF(U274="","",O274&amp;"|"&amp;U274)</f>
        <v/>
      </c>
      <c r="W274" s="43" t="str">
        <f aca="false">IF($A274="","",IFERROR(IF(VLOOKUP(O274,매핑!$A$4:$E$92,3,0)="","미분류",VLOOKUP(O274,매핑!$A$4:$E$92,3,0)),"미분류"))</f>
        <v/>
      </c>
      <c r="X274" s="89" t="n">
        <f aca="false">IF($A274="",0,IF(O274="T",1,0))</f>
        <v>0</v>
      </c>
      <c r="Y274" s="89" t="n">
        <f aca="false">IF($A274="",0,IF(AND(C274="USD",X274=0,ISNUMBER(E274),ISNUMBER(K274)),IF(K274&gt;=설정!$C$8,1,0),0))</f>
        <v>0</v>
      </c>
      <c r="Z274" s="43" t="str">
        <f aca="false">IF($A274="","",N274&amp;"|"&amp;L274)</f>
        <v/>
      </c>
      <c r="AA274" s="92" t="n">
        <f aca="false">IF(Y274=1,LN(K274),0)</f>
        <v>0</v>
      </c>
      <c r="AB274" s="93" t="n">
        <f aca="false">IF(Y274=1,E274,0)</f>
        <v>0</v>
      </c>
      <c r="AC274" s="89" t="n">
        <f aca="false">IF(Y274=1,COUNTIFS($Z$2:$Z$601,Z274,$Y$2:$Y$601,1),0)</f>
        <v>0</v>
      </c>
      <c r="AD274" s="89" t="n">
        <f aca="false">IF(Y274=1,COUNTIFS($N$2:$N$601,N274,$Y$2:$Y$601,1),0)</f>
        <v>0</v>
      </c>
      <c r="AE274" s="43" t="str">
        <f aca="false">IF(Y274&lt;&gt;1,"",IF(AND(AC274&gt;=설정!$C$7,ISNUMBER(MATCH(Z274,피어커브!$A:$A,0))),Z274,IF(AND(AD274&gt;=설정!$C$7,ISNUMBER(MATCH(N274&amp;"|전체",피어커브!$A:$A,0))),N274&amp;"|전체","전체|전체")))</f>
        <v/>
      </c>
      <c r="AF274" s="93" t="str">
        <f aca="false">IF(AE274="","",INDEX(피어커브!$K:$K,MATCH(AE274,피어커브!$A:$A,0)))</f>
        <v/>
      </c>
      <c r="AG274" s="93" t="str">
        <f aca="false">IF(AE274="","",INDEX(피어커브!$J:$J,MATCH(AE274,피어커브!$A:$A,0)))</f>
        <v/>
      </c>
      <c r="AH274" s="93" t="str">
        <f aca="false">IF(AE274="","",INDEX(피어커브!$L:$L,MATCH(AE274,피어커브!$A:$A,0)))</f>
        <v/>
      </c>
      <c r="AI274" s="93" t="str">
        <f aca="false">IF(AE274="","",AF274+AG274*AA274)</f>
        <v/>
      </c>
      <c r="AJ274" s="96" t="str">
        <f aca="false">IF(AE274="","",E274-AI274)</f>
        <v/>
      </c>
      <c r="AK274" s="95" t="str">
        <f aca="false">IF(AE274="","",IF(ISNUMBER(AH274),IF(AH274&gt;0,AJ274/AH274,""),""))</f>
        <v/>
      </c>
      <c r="AL274" s="43" t="str">
        <f aca="false">IF(AK274="","-",IF(AK274&gt;=설정!$C$6,"Cheap",IF(AK274&lt;=-설정!$C$6,"Rich","Fair")))</f>
        <v>-</v>
      </c>
      <c r="AM274" s="96" t="str">
        <f aca="false">IF(AE274="","",AJ274-AVERAGEIFS($AJ$2:$AJ$601,$B$2:$B$601,B274,$Y$2:$Y$601,1))</f>
        <v/>
      </c>
      <c r="AN274" s="93" t="n">
        <f aca="false">IF(AE274="",0,IF(K274&gt;1+설정!$C$8,AG274*(AA274-LN(K274-1)),0))</f>
        <v>0</v>
      </c>
      <c r="AO274" s="99" t="n">
        <f aca="false">IF($A274="",0,SUMIFS(보유분석!$AA$2:$AA$801,보유분석!$AB$2:$AB$801,ROW(),보유분석!$AC$2:$AC$801,1))</f>
        <v>0</v>
      </c>
      <c r="AP274" s="43" t="str">
        <f aca="false">IF($A274="","",TRIM(IF(R274=1,"FRN ","")&amp;IF(IFERROR(VLOOKUP(M274,설정!$A$15:$D$47,4,0),0)&gt;=10,IF(IFERROR(VLOOKUP(M274,설정!$A$15:$D$47,4,0),0)&lt;99,"BBB0미만 ",""),"")&amp;IF(OR(M274="",M274="NR"),"등급미입력 ","")&amp;IF(C274&lt;&gt;"USD","비USD ","")))</f>
        <v/>
      </c>
      <c r="AQ274" s="90" t="n">
        <f aca="false">IF(AND(Y274=1,AL274="Cheap"),IF(AND(ISERROR(SEARCH("FRN",AP274)),ISERROR(SEARCH("BBB0미만",AP274))),AK274+ROW()/1000000000,-999),-999)</f>
        <v>-999</v>
      </c>
      <c r="AR274" s="92" t="str">
        <f aca="false">IF(AND(ISNUMBER(D274),ISNUMBER(K274)),D274+AN274*MAX(K274-1,0)/100,"")</f>
        <v/>
      </c>
      <c r="AS274" s="93" t="str">
        <f aca="false">IF(AND(ISNUMBER(E274),ISNUMBER(K274)),IF(K274&gt;0,(E274+AN274*MAX(K274-1,0))/K274,""),"")</f>
        <v/>
      </c>
      <c r="AT274" s="90" t="n">
        <f aca="false">IFERROR(IF(AND(Y274=1,ROW()&lt;&gt;스왑분석!$C$12+1,ABS(K274-INDEX($K$2:$K$601,스왑분석!$C$12))&lt;=스왑분석!$C$5,ISERROR(SEARCH("FRN",AP274)),ISERROR(SEARCH("BBB0미만",AP274))),IF(AND(OR(스왑분석!$C$6="N",L274=INDEX($L$2:$L$601,스왑분석!$C$12)),OR(스왑분석!$C$7="N",N274=INDEX($N$2:$N$601,스왑분석!$C$12)),OR(스왑분석!$C$8="N",AO274=0),E274-INDEX($E$2:$E$601,스왑분석!$C$12)&gt;=스왑분석!$C$9),E274-INDEX($E$2:$E$601,스왑분석!$C$12)+ROW()/1000000000,-999),-999),-999)</f>
        <v>-999</v>
      </c>
      <c r="AU274" s="90" t="n">
        <f aca="false">IF(AND(Y274=1,AO274&gt;0,AL274="Rich"),-AK274+ROW()/1000000000,-999)</f>
        <v>-999</v>
      </c>
    </row>
    <row r="275" customFormat="false" ht="15" hidden="false" customHeight="false" outlineLevel="0" collapsed="false">
      <c r="A275" s="83" t="n">
        <f aca="false">IFERROR(IF(INDEX(원자료_시장!$A$1:$BZ$1000,설정!$L$6+ROW()-1,설정!$L$24)&amp;""="0","",INDEX(원자료_시장!$A$1:$BZ$1000,설정!$L$6+ROW()-1,설정!$L$24)),"")</f>
        <v>0</v>
      </c>
      <c r="B275" s="83" t="n">
        <f aca="false">IFERROR(IF(INDEX(원자료_시장!$A$1:$BZ$1000,설정!$L$6+ROW()-1,설정!$L$37)&amp;""="0","",INDEX(원자료_시장!$A$1:$BZ$1000,설정!$L$6+ROW()-1,설정!$L$37)),"")</f>
        <v>0</v>
      </c>
      <c r="C275" s="83" t="n">
        <f aca="false">IFERROR(IF(INDEX(원자료_시장!$A$1:$BZ$1000,설정!$L$6+ROW()-1,설정!$L$25)&amp;""="0","",INDEX(원자료_시장!$A$1:$BZ$1000,설정!$L$6+ROW()-1,설정!$L$25)),"")</f>
        <v>0</v>
      </c>
      <c r="D275" s="85" t="str">
        <f aca="false">IFERROR(IF(ISNUMBER(INDEX(원자료_시장!$A$1:$BZ$1000,설정!$L$6+ROW()-1,설정!$L$26)),INDEX(원자료_시장!$A$1:$BZ$1000,설정!$L$6+ROW()-1,설정!$L$26),""),"")</f>
        <v/>
      </c>
      <c r="E275" s="97" t="str">
        <f aca="false">IFERROR(IF(ISNUMBER(INDEX(원자료_시장!$A$1:$BZ$1000,설정!$L$6+ROW()-1,설정!$L$27)),INDEX(원자료_시장!$A$1:$BZ$1000,설정!$L$6+ROW()-1,설정!$L$27),""),"")</f>
        <v/>
      </c>
      <c r="F275" s="97" t="str">
        <f aca="false">IFERROR(IF(ISNUMBER(INDEX(원자료_시장!$A$1:$BZ$1000,설정!$L$6+ROW()-1,설정!$L$28)),INDEX(원자료_시장!$A$1:$BZ$1000,설정!$L$6+ROW()-1,설정!$L$28),""),"")</f>
        <v/>
      </c>
      <c r="G275" s="97" t="str">
        <f aca="false">IFERROR(IF(ISNUMBER(INDEX(원자료_시장!$A$1:$BZ$1000,설정!$L$6+ROW()-1,설정!$L$29)),INDEX(원자료_시장!$A$1:$BZ$1000,설정!$L$6+ROW()-1,설정!$L$29),""),"")</f>
        <v/>
      </c>
      <c r="H275" s="97" t="str">
        <f aca="false">IFERROR(IF(ISNUMBER(INDEX(원자료_시장!$A$1:$BZ$1000,설정!$L$6+ROW()-1,설정!$L$30)),INDEX(원자료_시장!$A$1:$BZ$1000,설정!$L$6+ROW()-1,설정!$L$30),""),"")</f>
        <v/>
      </c>
      <c r="I275" s="97" t="str">
        <f aca="false">IFERROR(IF(ISNUMBER(INDEX(원자료_시장!$A$1:$BZ$1000,설정!$L$6+ROW()-1,설정!$L$31)),INDEX(원자료_시장!$A$1:$BZ$1000,설정!$L$6+ROW()-1,설정!$L$31),""),"")</f>
        <v/>
      </c>
      <c r="J275" s="97" t="str">
        <f aca="false">IFERROR(IF(ISNUMBER(INDEX(원자료_시장!$A$1:$BZ$1000,설정!$L$6+ROW()-1,설정!$L$32)),INDEX(원자료_시장!$A$1:$BZ$1000,설정!$L$6+ROW()-1,설정!$L$32),""),"")</f>
        <v/>
      </c>
      <c r="K275" s="85" t="str">
        <f aca="false">IFERROR(IF(ISNUMBER(INDEX(원자료_시장!$A$1:$BZ$1000,설정!$L$6+ROW()-1,설정!$L$33)),INDEX(원자료_시장!$A$1:$BZ$1000,설정!$L$6+ROW()-1,설정!$L$33),""),"")</f>
        <v/>
      </c>
      <c r="L275" s="83" t="n">
        <f aca="false">IFERROR(IF(INDEX(원자료_시장!$A$1:$BZ$1000,설정!$L$6+ROW()-1,설정!$L$34)&amp;""="0","",INDEX(원자료_시장!$A$1:$BZ$1000,설정!$L$6+ROW()-1,설정!$L$34)),"")</f>
        <v>0</v>
      </c>
      <c r="M275" s="83" t="n">
        <f aca="false">IFERROR(IF(INDEX(원자료_시장!$A$1:$BZ$1000,설정!$L$6+ROW()-1,설정!$L$35)&amp;""="0","",INDEX(원자료_시장!$A$1:$BZ$1000,설정!$L$6+ROW()-1,설정!$L$35)),"")</f>
        <v>0</v>
      </c>
      <c r="N275" s="83" t="n">
        <f aca="false">IFERROR(IF(INDEX(원자료_시장!$A$1:$BZ$1000,설정!$L$6+ROW()-1,설정!$L$36)&amp;""="0","",INDEX(원자료_시장!$A$1:$BZ$1000,설정!$L$6+ROW()-1,설정!$L$36)),"")</f>
        <v>0</v>
      </c>
      <c r="O275" s="43" t="str">
        <f aca="false">IF($A275="","",UPPER(LEFT($A275,FIND(" ",$A275&amp;" ")-1)))</f>
        <v/>
      </c>
      <c r="P275" s="43" t="str">
        <f aca="false">IF($A275="","",TRIM(RIGHT(SUBSTITUTE(TRIM($A275)," ",REPT(" ",30)),30)))</f>
        <v/>
      </c>
      <c r="Q275" s="98" t="str">
        <f aca="false">IF($A275="","",IFERROR(DATE(IF(LEN(P275)=8,2000+VALUE(RIGHT(P275,2)),VALUE(RIGHT(P275,4))),VALUE(LEFT(P275,2)),VALUE(MID(P275,4,2))),""))</f>
        <v/>
      </c>
      <c r="R275" s="89" t="n">
        <f aca="false">IF($A275="",0,IF(ISNUMBER(SEARCH("Float",$A275)),1,0))</f>
        <v>0</v>
      </c>
      <c r="S275" s="43" t="str">
        <f aca="false">IF($A275="","",TRIM(MID($A275,LEN(O275)+2,LEN($A275)-LEN(O275)-LEN(P275)-1)))</f>
        <v/>
      </c>
      <c r="T275" s="92" t="str">
        <f aca="false">IF(OR($A275="",R275=1),"",IFERROR(IF(ISNUMBER(FIND("/",S275)),IF(ISNUMBER(FIND(" ",S275)),VALUE(LEFT(S275,FIND(" ",S275)-1))+VALUE(MID(S275,FIND(" ",S275)+1,FIND("/",S275)-FIND(" ",S275)-1))/VALUE(MID(S275,FIND("/",S275)+1,9)),VALUE(LEFT(S275,FIND("/",S275)-1))/VALUE(MID(S275,FIND("/",S275)+1,9))),VALUE(S275)),""))</f>
        <v/>
      </c>
      <c r="U275" s="43" t="str">
        <f aca="false">IF(OR($A275="",NOT(ISNUMBER(Q275))),"",TEXT(Q275,"yyyymmdd")&amp;"|"&amp;IF(R275=1,"F",TEXT(T275,"0.000")))</f>
        <v/>
      </c>
      <c r="V275" s="43" t="str">
        <f aca="false">IF(U275="","",O275&amp;"|"&amp;U275)</f>
        <v/>
      </c>
      <c r="W275" s="43" t="str">
        <f aca="false">IF($A275="","",IFERROR(IF(VLOOKUP(O275,매핑!$A$4:$E$92,3,0)="","미분류",VLOOKUP(O275,매핑!$A$4:$E$92,3,0)),"미분류"))</f>
        <v/>
      </c>
      <c r="X275" s="89" t="n">
        <f aca="false">IF($A275="",0,IF(O275="T",1,0))</f>
        <v>0</v>
      </c>
      <c r="Y275" s="89" t="n">
        <f aca="false">IF($A275="",0,IF(AND(C275="USD",X275=0,ISNUMBER(E275),ISNUMBER(K275)),IF(K275&gt;=설정!$C$8,1,0),0))</f>
        <v>0</v>
      </c>
      <c r="Z275" s="43" t="str">
        <f aca="false">IF($A275="","",N275&amp;"|"&amp;L275)</f>
        <v/>
      </c>
      <c r="AA275" s="92" t="n">
        <f aca="false">IF(Y275=1,LN(K275),0)</f>
        <v>0</v>
      </c>
      <c r="AB275" s="93" t="n">
        <f aca="false">IF(Y275=1,E275,0)</f>
        <v>0</v>
      </c>
      <c r="AC275" s="89" t="n">
        <f aca="false">IF(Y275=1,COUNTIFS($Z$2:$Z$601,Z275,$Y$2:$Y$601,1),0)</f>
        <v>0</v>
      </c>
      <c r="AD275" s="89" t="n">
        <f aca="false">IF(Y275=1,COUNTIFS($N$2:$N$601,N275,$Y$2:$Y$601,1),0)</f>
        <v>0</v>
      </c>
      <c r="AE275" s="43" t="str">
        <f aca="false">IF(Y275&lt;&gt;1,"",IF(AND(AC275&gt;=설정!$C$7,ISNUMBER(MATCH(Z275,피어커브!$A:$A,0))),Z275,IF(AND(AD275&gt;=설정!$C$7,ISNUMBER(MATCH(N275&amp;"|전체",피어커브!$A:$A,0))),N275&amp;"|전체","전체|전체")))</f>
        <v/>
      </c>
      <c r="AF275" s="93" t="str">
        <f aca="false">IF(AE275="","",INDEX(피어커브!$K:$K,MATCH(AE275,피어커브!$A:$A,0)))</f>
        <v/>
      </c>
      <c r="AG275" s="93" t="str">
        <f aca="false">IF(AE275="","",INDEX(피어커브!$J:$J,MATCH(AE275,피어커브!$A:$A,0)))</f>
        <v/>
      </c>
      <c r="AH275" s="93" t="str">
        <f aca="false">IF(AE275="","",INDEX(피어커브!$L:$L,MATCH(AE275,피어커브!$A:$A,0)))</f>
        <v/>
      </c>
      <c r="AI275" s="93" t="str">
        <f aca="false">IF(AE275="","",AF275+AG275*AA275)</f>
        <v/>
      </c>
      <c r="AJ275" s="96" t="str">
        <f aca="false">IF(AE275="","",E275-AI275)</f>
        <v/>
      </c>
      <c r="AK275" s="95" t="str">
        <f aca="false">IF(AE275="","",IF(ISNUMBER(AH275),IF(AH275&gt;0,AJ275/AH275,""),""))</f>
        <v/>
      </c>
      <c r="AL275" s="43" t="str">
        <f aca="false">IF(AK275="","-",IF(AK275&gt;=설정!$C$6,"Cheap",IF(AK275&lt;=-설정!$C$6,"Rich","Fair")))</f>
        <v>-</v>
      </c>
      <c r="AM275" s="96" t="str">
        <f aca="false">IF(AE275="","",AJ275-AVERAGEIFS($AJ$2:$AJ$601,$B$2:$B$601,B275,$Y$2:$Y$601,1))</f>
        <v/>
      </c>
      <c r="AN275" s="93" t="n">
        <f aca="false">IF(AE275="",0,IF(K275&gt;1+설정!$C$8,AG275*(AA275-LN(K275-1)),0))</f>
        <v>0</v>
      </c>
      <c r="AO275" s="99" t="n">
        <f aca="false">IF($A275="",0,SUMIFS(보유분석!$AA$2:$AA$801,보유분석!$AB$2:$AB$801,ROW(),보유분석!$AC$2:$AC$801,1))</f>
        <v>0</v>
      </c>
      <c r="AP275" s="43" t="str">
        <f aca="false">IF($A275="","",TRIM(IF(R275=1,"FRN ","")&amp;IF(IFERROR(VLOOKUP(M275,설정!$A$15:$D$47,4,0),0)&gt;=10,IF(IFERROR(VLOOKUP(M275,설정!$A$15:$D$47,4,0),0)&lt;99,"BBB0미만 ",""),"")&amp;IF(OR(M275="",M275="NR"),"등급미입력 ","")&amp;IF(C275&lt;&gt;"USD","비USD ","")))</f>
        <v/>
      </c>
      <c r="AQ275" s="90" t="n">
        <f aca="false">IF(AND(Y275=1,AL275="Cheap"),IF(AND(ISERROR(SEARCH("FRN",AP275)),ISERROR(SEARCH("BBB0미만",AP275))),AK275+ROW()/1000000000,-999),-999)</f>
        <v>-999</v>
      </c>
      <c r="AR275" s="92" t="str">
        <f aca="false">IF(AND(ISNUMBER(D275),ISNUMBER(K275)),D275+AN275*MAX(K275-1,0)/100,"")</f>
        <v/>
      </c>
      <c r="AS275" s="93" t="str">
        <f aca="false">IF(AND(ISNUMBER(E275),ISNUMBER(K275)),IF(K275&gt;0,(E275+AN275*MAX(K275-1,0))/K275,""),"")</f>
        <v/>
      </c>
      <c r="AT275" s="90" t="n">
        <f aca="false">IFERROR(IF(AND(Y275=1,ROW()&lt;&gt;스왑분석!$C$12+1,ABS(K275-INDEX($K$2:$K$601,스왑분석!$C$12))&lt;=스왑분석!$C$5,ISERROR(SEARCH("FRN",AP275)),ISERROR(SEARCH("BBB0미만",AP275))),IF(AND(OR(스왑분석!$C$6="N",L275=INDEX($L$2:$L$601,스왑분석!$C$12)),OR(스왑분석!$C$7="N",N275=INDEX($N$2:$N$601,스왑분석!$C$12)),OR(스왑분석!$C$8="N",AO275=0),E275-INDEX($E$2:$E$601,스왑분석!$C$12)&gt;=스왑분석!$C$9),E275-INDEX($E$2:$E$601,스왑분석!$C$12)+ROW()/1000000000,-999),-999),-999)</f>
        <v>-999</v>
      </c>
      <c r="AU275" s="90" t="n">
        <f aca="false">IF(AND(Y275=1,AO275&gt;0,AL275="Rich"),-AK275+ROW()/1000000000,-999)</f>
        <v>-999</v>
      </c>
    </row>
    <row r="276" customFormat="false" ht="15" hidden="false" customHeight="false" outlineLevel="0" collapsed="false">
      <c r="A276" s="83" t="n">
        <f aca="false">IFERROR(IF(INDEX(원자료_시장!$A$1:$BZ$1000,설정!$L$6+ROW()-1,설정!$L$24)&amp;""="0","",INDEX(원자료_시장!$A$1:$BZ$1000,설정!$L$6+ROW()-1,설정!$L$24)),"")</f>
        <v>0</v>
      </c>
      <c r="B276" s="83" t="n">
        <f aca="false">IFERROR(IF(INDEX(원자료_시장!$A$1:$BZ$1000,설정!$L$6+ROW()-1,설정!$L$37)&amp;""="0","",INDEX(원자료_시장!$A$1:$BZ$1000,설정!$L$6+ROW()-1,설정!$L$37)),"")</f>
        <v>0</v>
      </c>
      <c r="C276" s="83" t="n">
        <f aca="false">IFERROR(IF(INDEX(원자료_시장!$A$1:$BZ$1000,설정!$L$6+ROW()-1,설정!$L$25)&amp;""="0","",INDEX(원자료_시장!$A$1:$BZ$1000,설정!$L$6+ROW()-1,설정!$L$25)),"")</f>
        <v>0</v>
      </c>
      <c r="D276" s="85" t="str">
        <f aca="false">IFERROR(IF(ISNUMBER(INDEX(원자료_시장!$A$1:$BZ$1000,설정!$L$6+ROW()-1,설정!$L$26)),INDEX(원자료_시장!$A$1:$BZ$1000,설정!$L$6+ROW()-1,설정!$L$26),""),"")</f>
        <v/>
      </c>
      <c r="E276" s="97" t="str">
        <f aca="false">IFERROR(IF(ISNUMBER(INDEX(원자료_시장!$A$1:$BZ$1000,설정!$L$6+ROW()-1,설정!$L$27)),INDEX(원자료_시장!$A$1:$BZ$1000,설정!$L$6+ROW()-1,설정!$L$27),""),"")</f>
        <v/>
      </c>
      <c r="F276" s="97" t="str">
        <f aca="false">IFERROR(IF(ISNUMBER(INDEX(원자료_시장!$A$1:$BZ$1000,설정!$L$6+ROW()-1,설정!$L$28)),INDEX(원자료_시장!$A$1:$BZ$1000,설정!$L$6+ROW()-1,설정!$L$28),""),"")</f>
        <v/>
      </c>
      <c r="G276" s="97" t="str">
        <f aca="false">IFERROR(IF(ISNUMBER(INDEX(원자료_시장!$A$1:$BZ$1000,설정!$L$6+ROW()-1,설정!$L$29)),INDEX(원자료_시장!$A$1:$BZ$1000,설정!$L$6+ROW()-1,설정!$L$29),""),"")</f>
        <v/>
      </c>
      <c r="H276" s="97" t="str">
        <f aca="false">IFERROR(IF(ISNUMBER(INDEX(원자료_시장!$A$1:$BZ$1000,설정!$L$6+ROW()-1,설정!$L$30)),INDEX(원자료_시장!$A$1:$BZ$1000,설정!$L$6+ROW()-1,설정!$L$30),""),"")</f>
        <v/>
      </c>
      <c r="I276" s="97" t="str">
        <f aca="false">IFERROR(IF(ISNUMBER(INDEX(원자료_시장!$A$1:$BZ$1000,설정!$L$6+ROW()-1,설정!$L$31)),INDEX(원자료_시장!$A$1:$BZ$1000,설정!$L$6+ROW()-1,설정!$L$31),""),"")</f>
        <v/>
      </c>
      <c r="J276" s="97" t="str">
        <f aca="false">IFERROR(IF(ISNUMBER(INDEX(원자료_시장!$A$1:$BZ$1000,설정!$L$6+ROW()-1,설정!$L$32)),INDEX(원자료_시장!$A$1:$BZ$1000,설정!$L$6+ROW()-1,설정!$L$32),""),"")</f>
        <v/>
      </c>
      <c r="K276" s="85" t="str">
        <f aca="false">IFERROR(IF(ISNUMBER(INDEX(원자료_시장!$A$1:$BZ$1000,설정!$L$6+ROW()-1,설정!$L$33)),INDEX(원자료_시장!$A$1:$BZ$1000,설정!$L$6+ROW()-1,설정!$L$33),""),"")</f>
        <v/>
      </c>
      <c r="L276" s="83" t="n">
        <f aca="false">IFERROR(IF(INDEX(원자료_시장!$A$1:$BZ$1000,설정!$L$6+ROW()-1,설정!$L$34)&amp;""="0","",INDEX(원자료_시장!$A$1:$BZ$1000,설정!$L$6+ROW()-1,설정!$L$34)),"")</f>
        <v>0</v>
      </c>
      <c r="M276" s="83" t="n">
        <f aca="false">IFERROR(IF(INDEX(원자료_시장!$A$1:$BZ$1000,설정!$L$6+ROW()-1,설정!$L$35)&amp;""="0","",INDEX(원자료_시장!$A$1:$BZ$1000,설정!$L$6+ROW()-1,설정!$L$35)),"")</f>
        <v>0</v>
      </c>
      <c r="N276" s="83" t="n">
        <f aca="false">IFERROR(IF(INDEX(원자료_시장!$A$1:$BZ$1000,설정!$L$6+ROW()-1,설정!$L$36)&amp;""="0","",INDEX(원자료_시장!$A$1:$BZ$1000,설정!$L$6+ROW()-1,설정!$L$36)),"")</f>
        <v>0</v>
      </c>
      <c r="O276" s="43" t="str">
        <f aca="false">IF($A276="","",UPPER(LEFT($A276,FIND(" ",$A276&amp;" ")-1)))</f>
        <v/>
      </c>
      <c r="P276" s="43" t="str">
        <f aca="false">IF($A276="","",TRIM(RIGHT(SUBSTITUTE(TRIM($A276)," ",REPT(" ",30)),30)))</f>
        <v/>
      </c>
      <c r="Q276" s="98" t="str">
        <f aca="false">IF($A276="","",IFERROR(DATE(IF(LEN(P276)=8,2000+VALUE(RIGHT(P276,2)),VALUE(RIGHT(P276,4))),VALUE(LEFT(P276,2)),VALUE(MID(P276,4,2))),""))</f>
        <v/>
      </c>
      <c r="R276" s="89" t="n">
        <f aca="false">IF($A276="",0,IF(ISNUMBER(SEARCH("Float",$A276)),1,0))</f>
        <v>0</v>
      </c>
      <c r="S276" s="43" t="str">
        <f aca="false">IF($A276="","",TRIM(MID($A276,LEN(O276)+2,LEN($A276)-LEN(O276)-LEN(P276)-1)))</f>
        <v/>
      </c>
      <c r="T276" s="92" t="str">
        <f aca="false">IF(OR($A276="",R276=1),"",IFERROR(IF(ISNUMBER(FIND("/",S276)),IF(ISNUMBER(FIND(" ",S276)),VALUE(LEFT(S276,FIND(" ",S276)-1))+VALUE(MID(S276,FIND(" ",S276)+1,FIND("/",S276)-FIND(" ",S276)-1))/VALUE(MID(S276,FIND("/",S276)+1,9)),VALUE(LEFT(S276,FIND("/",S276)-1))/VALUE(MID(S276,FIND("/",S276)+1,9))),VALUE(S276)),""))</f>
        <v/>
      </c>
      <c r="U276" s="43" t="str">
        <f aca="false">IF(OR($A276="",NOT(ISNUMBER(Q276))),"",TEXT(Q276,"yyyymmdd")&amp;"|"&amp;IF(R276=1,"F",TEXT(T276,"0.000")))</f>
        <v/>
      </c>
      <c r="V276" s="43" t="str">
        <f aca="false">IF(U276="","",O276&amp;"|"&amp;U276)</f>
        <v/>
      </c>
      <c r="W276" s="43" t="str">
        <f aca="false">IF($A276="","",IFERROR(IF(VLOOKUP(O276,매핑!$A$4:$E$92,3,0)="","미분류",VLOOKUP(O276,매핑!$A$4:$E$92,3,0)),"미분류"))</f>
        <v/>
      </c>
      <c r="X276" s="89" t="n">
        <f aca="false">IF($A276="",0,IF(O276="T",1,0))</f>
        <v>0</v>
      </c>
      <c r="Y276" s="89" t="n">
        <f aca="false">IF($A276="",0,IF(AND(C276="USD",X276=0,ISNUMBER(E276),ISNUMBER(K276)),IF(K276&gt;=설정!$C$8,1,0),0))</f>
        <v>0</v>
      </c>
      <c r="Z276" s="43" t="str">
        <f aca="false">IF($A276="","",N276&amp;"|"&amp;L276)</f>
        <v/>
      </c>
      <c r="AA276" s="92" t="n">
        <f aca="false">IF(Y276=1,LN(K276),0)</f>
        <v>0</v>
      </c>
      <c r="AB276" s="93" t="n">
        <f aca="false">IF(Y276=1,E276,0)</f>
        <v>0</v>
      </c>
      <c r="AC276" s="89" t="n">
        <f aca="false">IF(Y276=1,COUNTIFS($Z$2:$Z$601,Z276,$Y$2:$Y$601,1),0)</f>
        <v>0</v>
      </c>
      <c r="AD276" s="89" t="n">
        <f aca="false">IF(Y276=1,COUNTIFS($N$2:$N$601,N276,$Y$2:$Y$601,1),0)</f>
        <v>0</v>
      </c>
      <c r="AE276" s="43" t="str">
        <f aca="false">IF(Y276&lt;&gt;1,"",IF(AND(AC276&gt;=설정!$C$7,ISNUMBER(MATCH(Z276,피어커브!$A:$A,0))),Z276,IF(AND(AD276&gt;=설정!$C$7,ISNUMBER(MATCH(N276&amp;"|전체",피어커브!$A:$A,0))),N276&amp;"|전체","전체|전체")))</f>
        <v/>
      </c>
      <c r="AF276" s="93" t="str">
        <f aca="false">IF(AE276="","",INDEX(피어커브!$K:$K,MATCH(AE276,피어커브!$A:$A,0)))</f>
        <v/>
      </c>
      <c r="AG276" s="93" t="str">
        <f aca="false">IF(AE276="","",INDEX(피어커브!$J:$J,MATCH(AE276,피어커브!$A:$A,0)))</f>
        <v/>
      </c>
      <c r="AH276" s="93" t="str">
        <f aca="false">IF(AE276="","",INDEX(피어커브!$L:$L,MATCH(AE276,피어커브!$A:$A,0)))</f>
        <v/>
      </c>
      <c r="AI276" s="93" t="str">
        <f aca="false">IF(AE276="","",AF276+AG276*AA276)</f>
        <v/>
      </c>
      <c r="AJ276" s="96" t="str">
        <f aca="false">IF(AE276="","",E276-AI276)</f>
        <v/>
      </c>
      <c r="AK276" s="95" t="str">
        <f aca="false">IF(AE276="","",IF(ISNUMBER(AH276),IF(AH276&gt;0,AJ276/AH276,""),""))</f>
        <v/>
      </c>
      <c r="AL276" s="43" t="str">
        <f aca="false">IF(AK276="","-",IF(AK276&gt;=설정!$C$6,"Cheap",IF(AK276&lt;=-설정!$C$6,"Rich","Fair")))</f>
        <v>-</v>
      </c>
      <c r="AM276" s="96" t="str">
        <f aca="false">IF(AE276="","",AJ276-AVERAGEIFS($AJ$2:$AJ$601,$B$2:$B$601,B276,$Y$2:$Y$601,1))</f>
        <v/>
      </c>
      <c r="AN276" s="93" t="n">
        <f aca="false">IF(AE276="",0,IF(K276&gt;1+설정!$C$8,AG276*(AA276-LN(K276-1)),0))</f>
        <v>0</v>
      </c>
      <c r="AO276" s="99" t="n">
        <f aca="false">IF($A276="",0,SUMIFS(보유분석!$AA$2:$AA$801,보유분석!$AB$2:$AB$801,ROW(),보유분석!$AC$2:$AC$801,1))</f>
        <v>0</v>
      </c>
      <c r="AP276" s="43" t="str">
        <f aca="false">IF($A276="","",TRIM(IF(R276=1,"FRN ","")&amp;IF(IFERROR(VLOOKUP(M276,설정!$A$15:$D$47,4,0),0)&gt;=10,IF(IFERROR(VLOOKUP(M276,설정!$A$15:$D$47,4,0),0)&lt;99,"BBB0미만 ",""),"")&amp;IF(OR(M276="",M276="NR"),"등급미입력 ","")&amp;IF(C276&lt;&gt;"USD","비USD ","")))</f>
        <v/>
      </c>
      <c r="AQ276" s="90" t="n">
        <f aca="false">IF(AND(Y276=1,AL276="Cheap"),IF(AND(ISERROR(SEARCH("FRN",AP276)),ISERROR(SEARCH("BBB0미만",AP276))),AK276+ROW()/1000000000,-999),-999)</f>
        <v>-999</v>
      </c>
      <c r="AR276" s="92" t="str">
        <f aca="false">IF(AND(ISNUMBER(D276),ISNUMBER(K276)),D276+AN276*MAX(K276-1,0)/100,"")</f>
        <v/>
      </c>
      <c r="AS276" s="93" t="str">
        <f aca="false">IF(AND(ISNUMBER(E276),ISNUMBER(K276)),IF(K276&gt;0,(E276+AN276*MAX(K276-1,0))/K276,""),"")</f>
        <v/>
      </c>
      <c r="AT276" s="90" t="n">
        <f aca="false">IFERROR(IF(AND(Y276=1,ROW()&lt;&gt;스왑분석!$C$12+1,ABS(K276-INDEX($K$2:$K$601,스왑분석!$C$12))&lt;=스왑분석!$C$5,ISERROR(SEARCH("FRN",AP276)),ISERROR(SEARCH("BBB0미만",AP276))),IF(AND(OR(스왑분석!$C$6="N",L276=INDEX($L$2:$L$601,스왑분석!$C$12)),OR(스왑분석!$C$7="N",N276=INDEX($N$2:$N$601,스왑분석!$C$12)),OR(스왑분석!$C$8="N",AO276=0),E276-INDEX($E$2:$E$601,스왑분석!$C$12)&gt;=스왑분석!$C$9),E276-INDEX($E$2:$E$601,스왑분석!$C$12)+ROW()/1000000000,-999),-999),-999)</f>
        <v>-999</v>
      </c>
      <c r="AU276" s="90" t="n">
        <f aca="false">IF(AND(Y276=1,AO276&gt;0,AL276="Rich"),-AK276+ROW()/1000000000,-999)</f>
        <v>-999</v>
      </c>
    </row>
    <row r="277" customFormat="false" ht="15" hidden="false" customHeight="false" outlineLevel="0" collapsed="false">
      <c r="A277" s="83" t="n">
        <f aca="false">IFERROR(IF(INDEX(원자료_시장!$A$1:$BZ$1000,설정!$L$6+ROW()-1,설정!$L$24)&amp;""="0","",INDEX(원자료_시장!$A$1:$BZ$1000,설정!$L$6+ROW()-1,설정!$L$24)),"")</f>
        <v>0</v>
      </c>
      <c r="B277" s="83" t="n">
        <f aca="false">IFERROR(IF(INDEX(원자료_시장!$A$1:$BZ$1000,설정!$L$6+ROW()-1,설정!$L$37)&amp;""="0","",INDEX(원자료_시장!$A$1:$BZ$1000,설정!$L$6+ROW()-1,설정!$L$37)),"")</f>
        <v>0</v>
      </c>
      <c r="C277" s="83" t="n">
        <f aca="false">IFERROR(IF(INDEX(원자료_시장!$A$1:$BZ$1000,설정!$L$6+ROW()-1,설정!$L$25)&amp;""="0","",INDEX(원자료_시장!$A$1:$BZ$1000,설정!$L$6+ROW()-1,설정!$L$25)),"")</f>
        <v>0</v>
      </c>
      <c r="D277" s="85" t="str">
        <f aca="false">IFERROR(IF(ISNUMBER(INDEX(원자료_시장!$A$1:$BZ$1000,설정!$L$6+ROW()-1,설정!$L$26)),INDEX(원자료_시장!$A$1:$BZ$1000,설정!$L$6+ROW()-1,설정!$L$26),""),"")</f>
        <v/>
      </c>
      <c r="E277" s="97" t="str">
        <f aca="false">IFERROR(IF(ISNUMBER(INDEX(원자료_시장!$A$1:$BZ$1000,설정!$L$6+ROW()-1,설정!$L$27)),INDEX(원자료_시장!$A$1:$BZ$1000,설정!$L$6+ROW()-1,설정!$L$27),""),"")</f>
        <v/>
      </c>
      <c r="F277" s="97" t="str">
        <f aca="false">IFERROR(IF(ISNUMBER(INDEX(원자료_시장!$A$1:$BZ$1000,설정!$L$6+ROW()-1,설정!$L$28)),INDEX(원자료_시장!$A$1:$BZ$1000,설정!$L$6+ROW()-1,설정!$L$28),""),"")</f>
        <v/>
      </c>
      <c r="G277" s="97" t="str">
        <f aca="false">IFERROR(IF(ISNUMBER(INDEX(원자료_시장!$A$1:$BZ$1000,설정!$L$6+ROW()-1,설정!$L$29)),INDEX(원자료_시장!$A$1:$BZ$1000,설정!$L$6+ROW()-1,설정!$L$29),""),"")</f>
        <v/>
      </c>
      <c r="H277" s="97" t="str">
        <f aca="false">IFERROR(IF(ISNUMBER(INDEX(원자료_시장!$A$1:$BZ$1000,설정!$L$6+ROW()-1,설정!$L$30)),INDEX(원자료_시장!$A$1:$BZ$1000,설정!$L$6+ROW()-1,설정!$L$30),""),"")</f>
        <v/>
      </c>
      <c r="I277" s="97" t="str">
        <f aca="false">IFERROR(IF(ISNUMBER(INDEX(원자료_시장!$A$1:$BZ$1000,설정!$L$6+ROW()-1,설정!$L$31)),INDEX(원자료_시장!$A$1:$BZ$1000,설정!$L$6+ROW()-1,설정!$L$31),""),"")</f>
        <v/>
      </c>
      <c r="J277" s="97" t="str">
        <f aca="false">IFERROR(IF(ISNUMBER(INDEX(원자료_시장!$A$1:$BZ$1000,설정!$L$6+ROW()-1,설정!$L$32)),INDEX(원자료_시장!$A$1:$BZ$1000,설정!$L$6+ROW()-1,설정!$L$32),""),"")</f>
        <v/>
      </c>
      <c r="K277" s="85" t="str">
        <f aca="false">IFERROR(IF(ISNUMBER(INDEX(원자료_시장!$A$1:$BZ$1000,설정!$L$6+ROW()-1,설정!$L$33)),INDEX(원자료_시장!$A$1:$BZ$1000,설정!$L$6+ROW()-1,설정!$L$33),""),"")</f>
        <v/>
      </c>
      <c r="L277" s="83" t="n">
        <f aca="false">IFERROR(IF(INDEX(원자료_시장!$A$1:$BZ$1000,설정!$L$6+ROW()-1,설정!$L$34)&amp;""="0","",INDEX(원자료_시장!$A$1:$BZ$1000,설정!$L$6+ROW()-1,설정!$L$34)),"")</f>
        <v>0</v>
      </c>
      <c r="M277" s="83" t="n">
        <f aca="false">IFERROR(IF(INDEX(원자료_시장!$A$1:$BZ$1000,설정!$L$6+ROW()-1,설정!$L$35)&amp;""="0","",INDEX(원자료_시장!$A$1:$BZ$1000,설정!$L$6+ROW()-1,설정!$L$35)),"")</f>
        <v>0</v>
      </c>
      <c r="N277" s="83" t="n">
        <f aca="false">IFERROR(IF(INDEX(원자료_시장!$A$1:$BZ$1000,설정!$L$6+ROW()-1,설정!$L$36)&amp;""="0","",INDEX(원자료_시장!$A$1:$BZ$1000,설정!$L$6+ROW()-1,설정!$L$36)),"")</f>
        <v>0</v>
      </c>
      <c r="O277" s="43" t="str">
        <f aca="false">IF($A277="","",UPPER(LEFT($A277,FIND(" ",$A277&amp;" ")-1)))</f>
        <v/>
      </c>
      <c r="P277" s="43" t="str">
        <f aca="false">IF($A277="","",TRIM(RIGHT(SUBSTITUTE(TRIM($A277)," ",REPT(" ",30)),30)))</f>
        <v/>
      </c>
      <c r="Q277" s="98" t="str">
        <f aca="false">IF($A277="","",IFERROR(DATE(IF(LEN(P277)=8,2000+VALUE(RIGHT(P277,2)),VALUE(RIGHT(P277,4))),VALUE(LEFT(P277,2)),VALUE(MID(P277,4,2))),""))</f>
        <v/>
      </c>
      <c r="R277" s="89" t="n">
        <f aca="false">IF($A277="",0,IF(ISNUMBER(SEARCH("Float",$A277)),1,0))</f>
        <v>0</v>
      </c>
      <c r="S277" s="43" t="str">
        <f aca="false">IF($A277="","",TRIM(MID($A277,LEN(O277)+2,LEN($A277)-LEN(O277)-LEN(P277)-1)))</f>
        <v/>
      </c>
      <c r="T277" s="92" t="str">
        <f aca="false">IF(OR($A277="",R277=1),"",IFERROR(IF(ISNUMBER(FIND("/",S277)),IF(ISNUMBER(FIND(" ",S277)),VALUE(LEFT(S277,FIND(" ",S277)-1))+VALUE(MID(S277,FIND(" ",S277)+1,FIND("/",S277)-FIND(" ",S277)-1))/VALUE(MID(S277,FIND("/",S277)+1,9)),VALUE(LEFT(S277,FIND("/",S277)-1))/VALUE(MID(S277,FIND("/",S277)+1,9))),VALUE(S277)),""))</f>
        <v/>
      </c>
      <c r="U277" s="43" t="str">
        <f aca="false">IF(OR($A277="",NOT(ISNUMBER(Q277))),"",TEXT(Q277,"yyyymmdd")&amp;"|"&amp;IF(R277=1,"F",TEXT(T277,"0.000")))</f>
        <v/>
      </c>
      <c r="V277" s="43" t="str">
        <f aca="false">IF(U277="","",O277&amp;"|"&amp;U277)</f>
        <v/>
      </c>
      <c r="W277" s="43" t="str">
        <f aca="false">IF($A277="","",IFERROR(IF(VLOOKUP(O277,매핑!$A$4:$E$92,3,0)="","미분류",VLOOKUP(O277,매핑!$A$4:$E$92,3,0)),"미분류"))</f>
        <v/>
      </c>
      <c r="X277" s="89" t="n">
        <f aca="false">IF($A277="",0,IF(O277="T",1,0))</f>
        <v>0</v>
      </c>
      <c r="Y277" s="89" t="n">
        <f aca="false">IF($A277="",0,IF(AND(C277="USD",X277=0,ISNUMBER(E277),ISNUMBER(K277)),IF(K277&gt;=설정!$C$8,1,0),0))</f>
        <v>0</v>
      </c>
      <c r="Z277" s="43" t="str">
        <f aca="false">IF($A277="","",N277&amp;"|"&amp;L277)</f>
        <v/>
      </c>
      <c r="AA277" s="92" t="n">
        <f aca="false">IF(Y277=1,LN(K277),0)</f>
        <v>0</v>
      </c>
      <c r="AB277" s="93" t="n">
        <f aca="false">IF(Y277=1,E277,0)</f>
        <v>0</v>
      </c>
      <c r="AC277" s="89" t="n">
        <f aca="false">IF(Y277=1,COUNTIFS($Z$2:$Z$601,Z277,$Y$2:$Y$601,1),0)</f>
        <v>0</v>
      </c>
      <c r="AD277" s="89" t="n">
        <f aca="false">IF(Y277=1,COUNTIFS($N$2:$N$601,N277,$Y$2:$Y$601,1),0)</f>
        <v>0</v>
      </c>
      <c r="AE277" s="43" t="str">
        <f aca="false">IF(Y277&lt;&gt;1,"",IF(AND(AC277&gt;=설정!$C$7,ISNUMBER(MATCH(Z277,피어커브!$A:$A,0))),Z277,IF(AND(AD277&gt;=설정!$C$7,ISNUMBER(MATCH(N277&amp;"|전체",피어커브!$A:$A,0))),N277&amp;"|전체","전체|전체")))</f>
        <v/>
      </c>
      <c r="AF277" s="93" t="str">
        <f aca="false">IF(AE277="","",INDEX(피어커브!$K:$K,MATCH(AE277,피어커브!$A:$A,0)))</f>
        <v/>
      </c>
      <c r="AG277" s="93" t="str">
        <f aca="false">IF(AE277="","",INDEX(피어커브!$J:$J,MATCH(AE277,피어커브!$A:$A,0)))</f>
        <v/>
      </c>
      <c r="AH277" s="93" t="str">
        <f aca="false">IF(AE277="","",INDEX(피어커브!$L:$L,MATCH(AE277,피어커브!$A:$A,0)))</f>
        <v/>
      </c>
      <c r="AI277" s="93" t="str">
        <f aca="false">IF(AE277="","",AF277+AG277*AA277)</f>
        <v/>
      </c>
      <c r="AJ277" s="96" t="str">
        <f aca="false">IF(AE277="","",E277-AI277)</f>
        <v/>
      </c>
      <c r="AK277" s="95" t="str">
        <f aca="false">IF(AE277="","",IF(ISNUMBER(AH277),IF(AH277&gt;0,AJ277/AH277,""),""))</f>
        <v/>
      </c>
      <c r="AL277" s="43" t="str">
        <f aca="false">IF(AK277="","-",IF(AK277&gt;=설정!$C$6,"Cheap",IF(AK277&lt;=-설정!$C$6,"Rich","Fair")))</f>
        <v>-</v>
      </c>
      <c r="AM277" s="96" t="str">
        <f aca="false">IF(AE277="","",AJ277-AVERAGEIFS($AJ$2:$AJ$601,$B$2:$B$601,B277,$Y$2:$Y$601,1))</f>
        <v/>
      </c>
      <c r="AN277" s="93" t="n">
        <f aca="false">IF(AE277="",0,IF(K277&gt;1+설정!$C$8,AG277*(AA277-LN(K277-1)),0))</f>
        <v>0</v>
      </c>
      <c r="AO277" s="99" t="n">
        <f aca="false">IF($A277="",0,SUMIFS(보유분석!$AA$2:$AA$801,보유분석!$AB$2:$AB$801,ROW(),보유분석!$AC$2:$AC$801,1))</f>
        <v>0</v>
      </c>
      <c r="AP277" s="43" t="str">
        <f aca="false">IF($A277="","",TRIM(IF(R277=1,"FRN ","")&amp;IF(IFERROR(VLOOKUP(M277,설정!$A$15:$D$47,4,0),0)&gt;=10,IF(IFERROR(VLOOKUP(M277,설정!$A$15:$D$47,4,0),0)&lt;99,"BBB0미만 ",""),"")&amp;IF(OR(M277="",M277="NR"),"등급미입력 ","")&amp;IF(C277&lt;&gt;"USD","비USD ","")))</f>
        <v/>
      </c>
      <c r="AQ277" s="90" t="n">
        <f aca="false">IF(AND(Y277=1,AL277="Cheap"),IF(AND(ISERROR(SEARCH("FRN",AP277)),ISERROR(SEARCH("BBB0미만",AP277))),AK277+ROW()/1000000000,-999),-999)</f>
        <v>-999</v>
      </c>
      <c r="AR277" s="92" t="str">
        <f aca="false">IF(AND(ISNUMBER(D277),ISNUMBER(K277)),D277+AN277*MAX(K277-1,0)/100,"")</f>
        <v/>
      </c>
      <c r="AS277" s="93" t="str">
        <f aca="false">IF(AND(ISNUMBER(E277),ISNUMBER(K277)),IF(K277&gt;0,(E277+AN277*MAX(K277-1,0))/K277,""),"")</f>
        <v/>
      </c>
      <c r="AT277" s="90" t="n">
        <f aca="false">IFERROR(IF(AND(Y277=1,ROW()&lt;&gt;스왑분석!$C$12+1,ABS(K277-INDEX($K$2:$K$601,스왑분석!$C$12))&lt;=스왑분석!$C$5,ISERROR(SEARCH("FRN",AP277)),ISERROR(SEARCH("BBB0미만",AP277))),IF(AND(OR(스왑분석!$C$6="N",L277=INDEX($L$2:$L$601,스왑분석!$C$12)),OR(스왑분석!$C$7="N",N277=INDEX($N$2:$N$601,스왑분석!$C$12)),OR(스왑분석!$C$8="N",AO277=0),E277-INDEX($E$2:$E$601,스왑분석!$C$12)&gt;=스왑분석!$C$9),E277-INDEX($E$2:$E$601,스왑분석!$C$12)+ROW()/1000000000,-999),-999),-999)</f>
        <v>-999</v>
      </c>
      <c r="AU277" s="90" t="n">
        <f aca="false">IF(AND(Y277=1,AO277&gt;0,AL277="Rich"),-AK277+ROW()/1000000000,-999)</f>
        <v>-999</v>
      </c>
    </row>
    <row r="278" customFormat="false" ht="15" hidden="false" customHeight="false" outlineLevel="0" collapsed="false">
      <c r="A278" s="83" t="n">
        <f aca="false">IFERROR(IF(INDEX(원자료_시장!$A$1:$BZ$1000,설정!$L$6+ROW()-1,설정!$L$24)&amp;""="0","",INDEX(원자료_시장!$A$1:$BZ$1000,설정!$L$6+ROW()-1,설정!$L$24)),"")</f>
        <v>0</v>
      </c>
      <c r="B278" s="83" t="n">
        <f aca="false">IFERROR(IF(INDEX(원자료_시장!$A$1:$BZ$1000,설정!$L$6+ROW()-1,설정!$L$37)&amp;""="0","",INDEX(원자료_시장!$A$1:$BZ$1000,설정!$L$6+ROW()-1,설정!$L$37)),"")</f>
        <v>0</v>
      </c>
      <c r="C278" s="83" t="n">
        <f aca="false">IFERROR(IF(INDEX(원자료_시장!$A$1:$BZ$1000,설정!$L$6+ROW()-1,설정!$L$25)&amp;""="0","",INDEX(원자료_시장!$A$1:$BZ$1000,설정!$L$6+ROW()-1,설정!$L$25)),"")</f>
        <v>0</v>
      </c>
      <c r="D278" s="85" t="str">
        <f aca="false">IFERROR(IF(ISNUMBER(INDEX(원자료_시장!$A$1:$BZ$1000,설정!$L$6+ROW()-1,설정!$L$26)),INDEX(원자료_시장!$A$1:$BZ$1000,설정!$L$6+ROW()-1,설정!$L$26),""),"")</f>
        <v/>
      </c>
      <c r="E278" s="97" t="str">
        <f aca="false">IFERROR(IF(ISNUMBER(INDEX(원자료_시장!$A$1:$BZ$1000,설정!$L$6+ROW()-1,설정!$L$27)),INDEX(원자료_시장!$A$1:$BZ$1000,설정!$L$6+ROW()-1,설정!$L$27),""),"")</f>
        <v/>
      </c>
      <c r="F278" s="97" t="str">
        <f aca="false">IFERROR(IF(ISNUMBER(INDEX(원자료_시장!$A$1:$BZ$1000,설정!$L$6+ROW()-1,설정!$L$28)),INDEX(원자료_시장!$A$1:$BZ$1000,설정!$L$6+ROW()-1,설정!$L$28),""),"")</f>
        <v/>
      </c>
      <c r="G278" s="97" t="str">
        <f aca="false">IFERROR(IF(ISNUMBER(INDEX(원자료_시장!$A$1:$BZ$1000,설정!$L$6+ROW()-1,설정!$L$29)),INDEX(원자료_시장!$A$1:$BZ$1000,설정!$L$6+ROW()-1,설정!$L$29),""),"")</f>
        <v/>
      </c>
      <c r="H278" s="97" t="str">
        <f aca="false">IFERROR(IF(ISNUMBER(INDEX(원자료_시장!$A$1:$BZ$1000,설정!$L$6+ROW()-1,설정!$L$30)),INDEX(원자료_시장!$A$1:$BZ$1000,설정!$L$6+ROW()-1,설정!$L$30),""),"")</f>
        <v/>
      </c>
      <c r="I278" s="97" t="str">
        <f aca="false">IFERROR(IF(ISNUMBER(INDEX(원자료_시장!$A$1:$BZ$1000,설정!$L$6+ROW()-1,설정!$L$31)),INDEX(원자료_시장!$A$1:$BZ$1000,설정!$L$6+ROW()-1,설정!$L$31),""),"")</f>
        <v/>
      </c>
      <c r="J278" s="97" t="str">
        <f aca="false">IFERROR(IF(ISNUMBER(INDEX(원자료_시장!$A$1:$BZ$1000,설정!$L$6+ROW()-1,설정!$L$32)),INDEX(원자료_시장!$A$1:$BZ$1000,설정!$L$6+ROW()-1,설정!$L$32),""),"")</f>
        <v/>
      </c>
      <c r="K278" s="85" t="str">
        <f aca="false">IFERROR(IF(ISNUMBER(INDEX(원자료_시장!$A$1:$BZ$1000,설정!$L$6+ROW()-1,설정!$L$33)),INDEX(원자료_시장!$A$1:$BZ$1000,설정!$L$6+ROW()-1,설정!$L$33),""),"")</f>
        <v/>
      </c>
      <c r="L278" s="83" t="n">
        <f aca="false">IFERROR(IF(INDEX(원자료_시장!$A$1:$BZ$1000,설정!$L$6+ROW()-1,설정!$L$34)&amp;""="0","",INDEX(원자료_시장!$A$1:$BZ$1000,설정!$L$6+ROW()-1,설정!$L$34)),"")</f>
        <v>0</v>
      </c>
      <c r="M278" s="83" t="n">
        <f aca="false">IFERROR(IF(INDEX(원자료_시장!$A$1:$BZ$1000,설정!$L$6+ROW()-1,설정!$L$35)&amp;""="0","",INDEX(원자료_시장!$A$1:$BZ$1000,설정!$L$6+ROW()-1,설정!$L$35)),"")</f>
        <v>0</v>
      </c>
      <c r="N278" s="83" t="n">
        <f aca="false">IFERROR(IF(INDEX(원자료_시장!$A$1:$BZ$1000,설정!$L$6+ROW()-1,설정!$L$36)&amp;""="0","",INDEX(원자료_시장!$A$1:$BZ$1000,설정!$L$6+ROW()-1,설정!$L$36)),"")</f>
        <v>0</v>
      </c>
      <c r="O278" s="43" t="str">
        <f aca="false">IF($A278="","",UPPER(LEFT($A278,FIND(" ",$A278&amp;" ")-1)))</f>
        <v/>
      </c>
      <c r="P278" s="43" t="str">
        <f aca="false">IF($A278="","",TRIM(RIGHT(SUBSTITUTE(TRIM($A278)," ",REPT(" ",30)),30)))</f>
        <v/>
      </c>
      <c r="Q278" s="98" t="str">
        <f aca="false">IF($A278="","",IFERROR(DATE(IF(LEN(P278)=8,2000+VALUE(RIGHT(P278,2)),VALUE(RIGHT(P278,4))),VALUE(LEFT(P278,2)),VALUE(MID(P278,4,2))),""))</f>
        <v/>
      </c>
      <c r="R278" s="89" t="n">
        <f aca="false">IF($A278="",0,IF(ISNUMBER(SEARCH("Float",$A278)),1,0))</f>
        <v>0</v>
      </c>
      <c r="S278" s="43" t="str">
        <f aca="false">IF($A278="","",TRIM(MID($A278,LEN(O278)+2,LEN($A278)-LEN(O278)-LEN(P278)-1)))</f>
        <v/>
      </c>
      <c r="T278" s="92" t="str">
        <f aca="false">IF(OR($A278="",R278=1),"",IFERROR(IF(ISNUMBER(FIND("/",S278)),IF(ISNUMBER(FIND(" ",S278)),VALUE(LEFT(S278,FIND(" ",S278)-1))+VALUE(MID(S278,FIND(" ",S278)+1,FIND("/",S278)-FIND(" ",S278)-1))/VALUE(MID(S278,FIND("/",S278)+1,9)),VALUE(LEFT(S278,FIND("/",S278)-1))/VALUE(MID(S278,FIND("/",S278)+1,9))),VALUE(S278)),""))</f>
        <v/>
      </c>
      <c r="U278" s="43" t="str">
        <f aca="false">IF(OR($A278="",NOT(ISNUMBER(Q278))),"",TEXT(Q278,"yyyymmdd")&amp;"|"&amp;IF(R278=1,"F",TEXT(T278,"0.000")))</f>
        <v/>
      </c>
      <c r="V278" s="43" t="str">
        <f aca="false">IF(U278="","",O278&amp;"|"&amp;U278)</f>
        <v/>
      </c>
      <c r="W278" s="43" t="str">
        <f aca="false">IF($A278="","",IFERROR(IF(VLOOKUP(O278,매핑!$A$4:$E$92,3,0)="","미분류",VLOOKUP(O278,매핑!$A$4:$E$92,3,0)),"미분류"))</f>
        <v/>
      </c>
      <c r="X278" s="89" t="n">
        <f aca="false">IF($A278="",0,IF(O278="T",1,0))</f>
        <v>0</v>
      </c>
      <c r="Y278" s="89" t="n">
        <f aca="false">IF($A278="",0,IF(AND(C278="USD",X278=0,ISNUMBER(E278),ISNUMBER(K278)),IF(K278&gt;=설정!$C$8,1,0),0))</f>
        <v>0</v>
      </c>
      <c r="Z278" s="43" t="str">
        <f aca="false">IF($A278="","",N278&amp;"|"&amp;L278)</f>
        <v/>
      </c>
      <c r="AA278" s="92" t="n">
        <f aca="false">IF(Y278=1,LN(K278),0)</f>
        <v>0</v>
      </c>
      <c r="AB278" s="93" t="n">
        <f aca="false">IF(Y278=1,E278,0)</f>
        <v>0</v>
      </c>
      <c r="AC278" s="89" t="n">
        <f aca="false">IF(Y278=1,COUNTIFS($Z$2:$Z$601,Z278,$Y$2:$Y$601,1),0)</f>
        <v>0</v>
      </c>
      <c r="AD278" s="89" t="n">
        <f aca="false">IF(Y278=1,COUNTIFS($N$2:$N$601,N278,$Y$2:$Y$601,1),0)</f>
        <v>0</v>
      </c>
      <c r="AE278" s="43" t="str">
        <f aca="false">IF(Y278&lt;&gt;1,"",IF(AND(AC278&gt;=설정!$C$7,ISNUMBER(MATCH(Z278,피어커브!$A:$A,0))),Z278,IF(AND(AD278&gt;=설정!$C$7,ISNUMBER(MATCH(N278&amp;"|전체",피어커브!$A:$A,0))),N278&amp;"|전체","전체|전체")))</f>
        <v/>
      </c>
      <c r="AF278" s="93" t="str">
        <f aca="false">IF(AE278="","",INDEX(피어커브!$K:$K,MATCH(AE278,피어커브!$A:$A,0)))</f>
        <v/>
      </c>
      <c r="AG278" s="93" t="str">
        <f aca="false">IF(AE278="","",INDEX(피어커브!$J:$J,MATCH(AE278,피어커브!$A:$A,0)))</f>
        <v/>
      </c>
      <c r="AH278" s="93" t="str">
        <f aca="false">IF(AE278="","",INDEX(피어커브!$L:$L,MATCH(AE278,피어커브!$A:$A,0)))</f>
        <v/>
      </c>
      <c r="AI278" s="93" t="str">
        <f aca="false">IF(AE278="","",AF278+AG278*AA278)</f>
        <v/>
      </c>
      <c r="AJ278" s="96" t="str">
        <f aca="false">IF(AE278="","",E278-AI278)</f>
        <v/>
      </c>
      <c r="AK278" s="95" t="str">
        <f aca="false">IF(AE278="","",IF(ISNUMBER(AH278),IF(AH278&gt;0,AJ278/AH278,""),""))</f>
        <v/>
      </c>
      <c r="AL278" s="43" t="str">
        <f aca="false">IF(AK278="","-",IF(AK278&gt;=설정!$C$6,"Cheap",IF(AK278&lt;=-설정!$C$6,"Rich","Fair")))</f>
        <v>-</v>
      </c>
      <c r="AM278" s="96" t="str">
        <f aca="false">IF(AE278="","",AJ278-AVERAGEIFS($AJ$2:$AJ$601,$B$2:$B$601,B278,$Y$2:$Y$601,1))</f>
        <v/>
      </c>
      <c r="AN278" s="93" t="n">
        <f aca="false">IF(AE278="",0,IF(K278&gt;1+설정!$C$8,AG278*(AA278-LN(K278-1)),0))</f>
        <v>0</v>
      </c>
      <c r="AO278" s="99" t="n">
        <f aca="false">IF($A278="",0,SUMIFS(보유분석!$AA$2:$AA$801,보유분석!$AB$2:$AB$801,ROW(),보유분석!$AC$2:$AC$801,1))</f>
        <v>0</v>
      </c>
      <c r="AP278" s="43" t="str">
        <f aca="false">IF($A278="","",TRIM(IF(R278=1,"FRN ","")&amp;IF(IFERROR(VLOOKUP(M278,설정!$A$15:$D$47,4,0),0)&gt;=10,IF(IFERROR(VLOOKUP(M278,설정!$A$15:$D$47,4,0),0)&lt;99,"BBB0미만 ",""),"")&amp;IF(OR(M278="",M278="NR"),"등급미입력 ","")&amp;IF(C278&lt;&gt;"USD","비USD ","")))</f>
        <v/>
      </c>
      <c r="AQ278" s="90" t="n">
        <f aca="false">IF(AND(Y278=1,AL278="Cheap"),IF(AND(ISERROR(SEARCH("FRN",AP278)),ISERROR(SEARCH("BBB0미만",AP278))),AK278+ROW()/1000000000,-999),-999)</f>
        <v>-999</v>
      </c>
      <c r="AR278" s="92" t="str">
        <f aca="false">IF(AND(ISNUMBER(D278),ISNUMBER(K278)),D278+AN278*MAX(K278-1,0)/100,"")</f>
        <v/>
      </c>
      <c r="AS278" s="93" t="str">
        <f aca="false">IF(AND(ISNUMBER(E278),ISNUMBER(K278)),IF(K278&gt;0,(E278+AN278*MAX(K278-1,0))/K278,""),"")</f>
        <v/>
      </c>
      <c r="AT278" s="90" t="n">
        <f aca="false">IFERROR(IF(AND(Y278=1,ROW()&lt;&gt;스왑분석!$C$12+1,ABS(K278-INDEX($K$2:$K$601,스왑분석!$C$12))&lt;=스왑분석!$C$5,ISERROR(SEARCH("FRN",AP278)),ISERROR(SEARCH("BBB0미만",AP278))),IF(AND(OR(스왑분석!$C$6="N",L278=INDEX($L$2:$L$601,스왑분석!$C$12)),OR(스왑분석!$C$7="N",N278=INDEX($N$2:$N$601,스왑분석!$C$12)),OR(스왑분석!$C$8="N",AO278=0),E278-INDEX($E$2:$E$601,스왑분석!$C$12)&gt;=스왑분석!$C$9),E278-INDEX($E$2:$E$601,스왑분석!$C$12)+ROW()/1000000000,-999),-999),-999)</f>
        <v>-999</v>
      </c>
      <c r="AU278" s="90" t="n">
        <f aca="false">IF(AND(Y278=1,AO278&gt;0,AL278="Rich"),-AK278+ROW()/1000000000,-999)</f>
        <v>-999</v>
      </c>
    </row>
    <row r="279" customFormat="false" ht="15" hidden="false" customHeight="false" outlineLevel="0" collapsed="false">
      <c r="A279" s="83" t="n">
        <f aca="false">IFERROR(IF(INDEX(원자료_시장!$A$1:$BZ$1000,설정!$L$6+ROW()-1,설정!$L$24)&amp;""="0","",INDEX(원자료_시장!$A$1:$BZ$1000,설정!$L$6+ROW()-1,설정!$L$24)),"")</f>
        <v>0</v>
      </c>
      <c r="B279" s="83" t="n">
        <f aca="false">IFERROR(IF(INDEX(원자료_시장!$A$1:$BZ$1000,설정!$L$6+ROW()-1,설정!$L$37)&amp;""="0","",INDEX(원자료_시장!$A$1:$BZ$1000,설정!$L$6+ROW()-1,설정!$L$37)),"")</f>
        <v>0</v>
      </c>
      <c r="C279" s="83" t="n">
        <f aca="false">IFERROR(IF(INDEX(원자료_시장!$A$1:$BZ$1000,설정!$L$6+ROW()-1,설정!$L$25)&amp;""="0","",INDEX(원자료_시장!$A$1:$BZ$1000,설정!$L$6+ROW()-1,설정!$L$25)),"")</f>
        <v>0</v>
      </c>
      <c r="D279" s="85" t="str">
        <f aca="false">IFERROR(IF(ISNUMBER(INDEX(원자료_시장!$A$1:$BZ$1000,설정!$L$6+ROW()-1,설정!$L$26)),INDEX(원자료_시장!$A$1:$BZ$1000,설정!$L$6+ROW()-1,설정!$L$26),""),"")</f>
        <v/>
      </c>
      <c r="E279" s="97" t="str">
        <f aca="false">IFERROR(IF(ISNUMBER(INDEX(원자료_시장!$A$1:$BZ$1000,설정!$L$6+ROW()-1,설정!$L$27)),INDEX(원자료_시장!$A$1:$BZ$1000,설정!$L$6+ROW()-1,설정!$L$27),""),"")</f>
        <v/>
      </c>
      <c r="F279" s="97" t="str">
        <f aca="false">IFERROR(IF(ISNUMBER(INDEX(원자료_시장!$A$1:$BZ$1000,설정!$L$6+ROW()-1,설정!$L$28)),INDEX(원자료_시장!$A$1:$BZ$1000,설정!$L$6+ROW()-1,설정!$L$28),""),"")</f>
        <v/>
      </c>
      <c r="G279" s="97" t="str">
        <f aca="false">IFERROR(IF(ISNUMBER(INDEX(원자료_시장!$A$1:$BZ$1000,설정!$L$6+ROW()-1,설정!$L$29)),INDEX(원자료_시장!$A$1:$BZ$1000,설정!$L$6+ROW()-1,설정!$L$29),""),"")</f>
        <v/>
      </c>
      <c r="H279" s="97" t="str">
        <f aca="false">IFERROR(IF(ISNUMBER(INDEX(원자료_시장!$A$1:$BZ$1000,설정!$L$6+ROW()-1,설정!$L$30)),INDEX(원자료_시장!$A$1:$BZ$1000,설정!$L$6+ROW()-1,설정!$L$30),""),"")</f>
        <v/>
      </c>
      <c r="I279" s="97" t="str">
        <f aca="false">IFERROR(IF(ISNUMBER(INDEX(원자료_시장!$A$1:$BZ$1000,설정!$L$6+ROW()-1,설정!$L$31)),INDEX(원자료_시장!$A$1:$BZ$1000,설정!$L$6+ROW()-1,설정!$L$31),""),"")</f>
        <v/>
      </c>
      <c r="J279" s="97" t="str">
        <f aca="false">IFERROR(IF(ISNUMBER(INDEX(원자료_시장!$A$1:$BZ$1000,설정!$L$6+ROW()-1,설정!$L$32)),INDEX(원자료_시장!$A$1:$BZ$1000,설정!$L$6+ROW()-1,설정!$L$32),""),"")</f>
        <v/>
      </c>
      <c r="K279" s="85" t="str">
        <f aca="false">IFERROR(IF(ISNUMBER(INDEX(원자료_시장!$A$1:$BZ$1000,설정!$L$6+ROW()-1,설정!$L$33)),INDEX(원자료_시장!$A$1:$BZ$1000,설정!$L$6+ROW()-1,설정!$L$33),""),"")</f>
        <v/>
      </c>
      <c r="L279" s="83" t="n">
        <f aca="false">IFERROR(IF(INDEX(원자료_시장!$A$1:$BZ$1000,설정!$L$6+ROW()-1,설정!$L$34)&amp;""="0","",INDEX(원자료_시장!$A$1:$BZ$1000,설정!$L$6+ROW()-1,설정!$L$34)),"")</f>
        <v>0</v>
      </c>
      <c r="M279" s="83" t="n">
        <f aca="false">IFERROR(IF(INDEX(원자료_시장!$A$1:$BZ$1000,설정!$L$6+ROW()-1,설정!$L$35)&amp;""="0","",INDEX(원자료_시장!$A$1:$BZ$1000,설정!$L$6+ROW()-1,설정!$L$35)),"")</f>
        <v>0</v>
      </c>
      <c r="N279" s="83" t="n">
        <f aca="false">IFERROR(IF(INDEX(원자료_시장!$A$1:$BZ$1000,설정!$L$6+ROW()-1,설정!$L$36)&amp;""="0","",INDEX(원자료_시장!$A$1:$BZ$1000,설정!$L$6+ROW()-1,설정!$L$36)),"")</f>
        <v>0</v>
      </c>
      <c r="O279" s="43" t="str">
        <f aca="false">IF($A279="","",UPPER(LEFT($A279,FIND(" ",$A279&amp;" ")-1)))</f>
        <v/>
      </c>
      <c r="P279" s="43" t="str">
        <f aca="false">IF($A279="","",TRIM(RIGHT(SUBSTITUTE(TRIM($A279)," ",REPT(" ",30)),30)))</f>
        <v/>
      </c>
      <c r="Q279" s="98" t="str">
        <f aca="false">IF($A279="","",IFERROR(DATE(IF(LEN(P279)=8,2000+VALUE(RIGHT(P279,2)),VALUE(RIGHT(P279,4))),VALUE(LEFT(P279,2)),VALUE(MID(P279,4,2))),""))</f>
        <v/>
      </c>
      <c r="R279" s="89" t="n">
        <f aca="false">IF($A279="",0,IF(ISNUMBER(SEARCH("Float",$A279)),1,0))</f>
        <v>0</v>
      </c>
      <c r="S279" s="43" t="str">
        <f aca="false">IF($A279="","",TRIM(MID($A279,LEN(O279)+2,LEN($A279)-LEN(O279)-LEN(P279)-1)))</f>
        <v/>
      </c>
      <c r="T279" s="92" t="str">
        <f aca="false">IF(OR($A279="",R279=1),"",IFERROR(IF(ISNUMBER(FIND("/",S279)),IF(ISNUMBER(FIND(" ",S279)),VALUE(LEFT(S279,FIND(" ",S279)-1))+VALUE(MID(S279,FIND(" ",S279)+1,FIND("/",S279)-FIND(" ",S279)-1))/VALUE(MID(S279,FIND("/",S279)+1,9)),VALUE(LEFT(S279,FIND("/",S279)-1))/VALUE(MID(S279,FIND("/",S279)+1,9))),VALUE(S279)),""))</f>
        <v/>
      </c>
      <c r="U279" s="43" t="str">
        <f aca="false">IF(OR($A279="",NOT(ISNUMBER(Q279))),"",TEXT(Q279,"yyyymmdd")&amp;"|"&amp;IF(R279=1,"F",TEXT(T279,"0.000")))</f>
        <v/>
      </c>
      <c r="V279" s="43" t="str">
        <f aca="false">IF(U279="","",O279&amp;"|"&amp;U279)</f>
        <v/>
      </c>
      <c r="W279" s="43" t="str">
        <f aca="false">IF($A279="","",IFERROR(IF(VLOOKUP(O279,매핑!$A$4:$E$92,3,0)="","미분류",VLOOKUP(O279,매핑!$A$4:$E$92,3,0)),"미분류"))</f>
        <v/>
      </c>
      <c r="X279" s="89" t="n">
        <f aca="false">IF($A279="",0,IF(O279="T",1,0))</f>
        <v>0</v>
      </c>
      <c r="Y279" s="89" t="n">
        <f aca="false">IF($A279="",0,IF(AND(C279="USD",X279=0,ISNUMBER(E279),ISNUMBER(K279)),IF(K279&gt;=설정!$C$8,1,0),0))</f>
        <v>0</v>
      </c>
      <c r="Z279" s="43" t="str">
        <f aca="false">IF($A279="","",N279&amp;"|"&amp;L279)</f>
        <v/>
      </c>
      <c r="AA279" s="92" t="n">
        <f aca="false">IF(Y279=1,LN(K279),0)</f>
        <v>0</v>
      </c>
      <c r="AB279" s="93" t="n">
        <f aca="false">IF(Y279=1,E279,0)</f>
        <v>0</v>
      </c>
      <c r="AC279" s="89" t="n">
        <f aca="false">IF(Y279=1,COUNTIFS($Z$2:$Z$601,Z279,$Y$2:$Y$601,1),0)</f>
        <v>0</v>
      </c>
      <c r="AD279" s="89" t="n">
        <f aca="false">IF(Y279=1,COUNTIFS($N$2:$N$601,N279,$Y$2:$Y$601,1),0)</f>
        <v>0</v>
      </c>
      <c r="AE279" s="43" t="str">
        <f aca="false">IF(Y279&lt;&gt;1,"",IF(AND(AC279&gt;=설정!$C$7,ISNUMBER(MATCH(Z279,피어커브!$A:$A,0))),Z279,IF(AND(AD279&gt;=설정!$C$7,ISNUMBER(MATCH(N279&amp;"|전체",피어커브!$A:$A,0))),N279&amp;"|전체","전체|전체")))</f>
        <v/>
      </c>
      <c r="AF279" s="93" t="str">
        <f aca="false">IF(AE279="","",INDEX(피어커브!$K:$K,MATCH(AE279,피어커브!$A:$A,0)))</f>
        <v/>
      </c>
      <c r="AG279" s="93" t="str">
        <f aca="false">IF(AE279="","",INDEX(피어커브!$J:$J,MATCH(AE279,피어커브!$A:$A,0)))</f>
        <v/>
      </c>
      <c r="AH279" s="93" t="str">
        <f aca="false">IF(AE279="","",INDEX(피어커브!$L:$L,MATCH(AE279,피어커브!$A:$A,0)))</f>
        <v/>
      </c>
      <c r="AI279" s="93" t="str">
        <f aca="false">IF(AE279="","",AF279+AG279*AA279)</f>
        <v/>
      </c>
      <c r="AJ279" s="96" t="str">
        <f aca="false">IF(AE279="","",E279-AI279)</f>
        <v/>
      </c>
      <c r="AK279" s="95" t="str">
        <f aca="false">IF(AE279="","",IF(ISNUMBER(AH279),IF(AH279&gt;0,AJ279/AH279,""),""))</f>
        <v/>
      </c>
      <c r="AL279" s="43" t="str">
        <f aca="false">IF(AK279="","-",IF(AK279&gt;=설정!$C$6,"Cheap",IF(AK279&lt;=-설정!$C$6,"Rich","Fair")))</f>
        <v>-</v>
      </c>
      <c r="AM279" s="96" t="str">
        <f aca="false">IF(AE279="","",AJ279-AVERAGEIFS($AJ$2:$AJ$601,$B$2:$B$601,B279,$Y$2:$Y$601,1))</f>
        <v/>
      </c>
      <c r="AN279" s="93" t="n">
        <f aca="false">IF(AE279="",0,IF(K279&gt;1+설정!$C$8,AG279*(AA279-LN(K279-1)),0))</f>
        <v>0</v>
      </c>
      <c r="AO279" s="99" t="n">
        <f aca="false">IF($A279="",0,SUMIFS(보유분석!$AA$2:$AA$801,보유분석!$AB$2:$AB$801,ROW(),보유분석!$AC$2:$AC$801,1))</f>
        <v>0</v>
      </c>
      <c r="AP279" s="43" t="str">
        <f aca="false">IF($A279="","",TRIM(IF(R279=1,"FRN ","")&amp;IF(IFERROR(VLOOKUP(M279,설정!$A$15:$D$47,4,0),0)&gt;=10,IF(IFERROR(VLOOKUP(M279,설정!$A$15:$D$47,4,0),0)&lt;99,"BBB0미만 ",""),"")&amp;IF(OR(M279="",M279="NR"),"등급미입력 ","")&amp;IF(C279&lt;&gt;"USD","비USD ","")))</f>
        <v/>
      </c>
      <c r="AQ279" s="90" t="n">
        <f aca="false">IF(AND(Y279=1,AL279="Cheap"),IF(AND(ISERROR(SEARCH("FRN",AP279)),ISERROR(SEARCH("BBB0미만",AP279))),AK279+ROW()/1000000000,-999),-999)</f>
        <v>-999</v>
      </c>
      <c r="AR279" s="92" t="str">
        <f aca="false">IF(AND(ISNUMBER(D279),ISNUMBER(K279)),D279+AN279*MAX(K279-1,0)/100,"")</f>
        <v/>
      </c>
      <c r="AS279" s="93" t="str">
        <f aca="false">IF(AND(ISNUMBER(E279),ISNUMBER(K279)),IF(K279&gt;0,(E279+AN279*MAX(K279-1,0))/K279,""),"")</f>
        <v/>
      </c>
      <c r="AT279" s="90" t="n">
        <f aca="false">IFERROR(IF(AND(Y279=1,ROW()&lt;&gt;스왑분석!$C$12+1,ABS(K279-INDEX($K$2:$K$601,스왑분석!$C$12))&lt;=스왑분석!$C$5,ISERROR(SEARCH("FRN",AP279)),ISERROR(SEARCH("BBB0미만",AP279))),IF(AND(OR(스왑분석!$C$6="N",L279=INDEX($L$2:$L$601,스왑분석!$C$12)),OR(스왑분석!$C$7="N",N279=INDEX($N$2:$N$601,스왑분석!$C$12)),OR(스왑분석!$C$8="N",AO279=0),E279-INDEX($E$2:$E$601,스왑분석!$C$12)&gt;=스왑분석!$C$9),E279-INDEX($E$2:$E$601,스왑분석!$C$12)+ROW()/1000000000,-999),-999),-999)</f>
        <v>-999</v>
      </c>
      <c r="AU279" s="90" t="n">
        <f aca="false">IF(AND(Y279=1,AO279&gt;0,AL279="Rich"),-AK279+ROW()/1000000000,-999)</f>
        <v>-999</v>
      </c>
    </row>
    <row r="280" customFormat="false" ht="15" hidden="false" customHeight="false" outlineLevel="0" collapsed="false">
      <c r="A280" s="83" t="n">
        <f aca="false">IFERROR(IF(INDEX(원자료_시장!$A$1:$BZ$1000,설정!$L$6+ROW()-1,설정!$L$24)&amp;""="0","",INDEX(원자료_시장!$A$1:$BZ$1000,설정!$L$6+ROW()-1,설정!$L$24)),"")</f>
        <v>0</v>
      </c>
      <c r="B280" s="83" t="n">
        <f aca="false">IFERROR(IF(INDEX(원자료_시장!$A$1:$BZ$1000,설정!$L$6+ROW()-1,설정!$L$37)&amp;""="0","",INDEX(원자료_시장!$A$1:$BZ$1000,설정!$L$6+ROW()-1,설정!$L$37)),"")</f>
        <v>0</v>
      </c>
      <c r="C280" s="83" t="n">
        <f aca="false">IFERROR(IF(INDEX(원자료_시장!$A$1:$BZ$1000,설정!$L$6+ROW()-1,설정!$L$25)&amp;""="0","",INDEX(원자료_시장!$A$1:$BZ$1000,설정!$L$6+ROW()-1,설정!$L$25)),"")</f>
        <v>0</v>
      </c>
      <c r="D280" s="85" t="str">
        <f aca="false">IFERROR(IF(ISNUMBER(INDEX(원자료_시장!$A$1:$BZ$1000,설정!$L$6+ROW()-1,설정!$L$26)),INDEX(원자료_시장!$A$1:$BZ$1000,설정!$L$6+ROW()-1,설정!$L$26),""),"")</f>
        <v/>
      </c>
      <c r="E280" s="97" t="str">
        <f aca="false">IFERROR(IF(ISNUMBER(INDEX(원자료_시장!$A$1:$BZ$1000,설정!$L$6+ROW()-1,설정!$L$27)),INDEX(원자료_시장!$A$1:$BZ$1000,설정!$L$6+ROW()-1,설정!$L$27),""),"")</f>
        <v/>
      </c>
      <c r="F280" s="97" t="str">
        <f aca="false">IFERROR(IF(ISNUMBER(INDEX(원자료_시장!$A$1:$BZ$1000,설정!$L$6+ROW()-1,설정!$L$28)),INDEX(원자료_시장!$A$1:$BZ$1000,설정!$L$6+ROW()-1,설정!$L$28),""),"")</f>
        <v/>
      </c>
      <c r="G280" s="97" t="str">
        <f aca="false">IFERROR(IF(ISNUMBER(INDEX(원자료_시장!$A$1:$BZ$1000,설정!$L$6+ROW()-1,설정!$L$29)),INDEX(원자료_시장!$A$1:$BZ$1000,설정!$L$6+ROW()-1,설정!$L$29),""),"")</f>
        <v/>
      </c>
      <c r="H280" s="97" t="str">
        <f aca="false">IFERROR(IF(ISNUMBER(INDEX(원자료_시장!$A$1:$BZ$1000,설정!$L$6+ROW()-1,설정!$L$30)),INDEX(원자료_시장!$A$1:$BZ$1000,설정!$L$6+ROW()-1,설정!$L$30),""),"")</f>
        <v/>
      </c>
      <c r="I280" s="97" t="str">
        <f aca="false">IFERROR(IF(ISNUMBER(INDEX(원자료_시장!$A$1:$BZ$1000,설정!$L$6+ROW()-1,설정!$L$31)),INDEX(원자료_시장!$A$1:$BZ$1000,설정!$L$6+ROW()-1,설정!$L$31),""),"")</f>
        <v/>
      </c>
      <c r="J280" s="97" t="str">
        <f aca="false">IFERROR(IF(ISNUMBER(INDEX(원자료_시장!$A$1:$BZ$1000,설정!$L$6+ROW()-1,설정!$L$32)),INDEX(원자료_시장!$A$1:$BZ$1000,설정!$L$6+ROW()-1,설정!$L$32),""),"")</f>
        <v/>
      </c>
      <c r="K280" s="85" t="str">
        <f aca="false">IFERROR(IF(ISNUMBER(INDEX(원자료_시장!$A$1:$BZ$1000,설정!$L$6+ROW()-1,설정!$L$33)),INDEX(원자료_시장!$A$1:$BZ$1000,설정!$L$6+ROW()-1,설정!$L$33),""),"")</f>
        <v/>
      </c>
      <c r="L280" s="83" t="n">
        <f aca="false">IFERROR(IF(INDEX(원자료_시장!$A$1:$BZ$1000,설정!$L$6+ROW()-1,설정!$L$34)&amp;""="0","",INDEX(원자료_시장!$A$1:$BZ$1000,설정!$L$6+ROW()-1,설정!$L$34)),"")</f>
        <v>0</v>
      </c>
      <c r="M280" s="83" t="n">
        <f aca="false">IFERROR(IF(INDEX(원자료_시장!$A$1:$BZ$1000,설정!$L$6+ROW()-1,설정!$L$35)&amp;""="0","",INDEX(원자료_시장!$A$1:$BZ$1000,설정!$L$6+ROW()-1,설정!$L$35)),"")</f>
        <v>0</v>
      </c>
      <c r="N280" s="83" t="n">
        <f aca="false">IFERROR(IF(INDEX(원자료_시장!$A$1:$BZ$1000,설정!$L$6+ROW()-1,설정!$L$36)&amp;""="0","",INDEX(원자료_시장!$A$1:$BZ$1000,설정!$L$6+ROW()-1,설정!$L$36)),"")</f>
        <v>0</v>
      </c>
      <c r="O280" s="43" t="str">
        <f aca="false">IF($A280="","",UPPER(LEFT($A280,FIND(" ",$A280&amp;" ")-1)))</f>
        <v/>
      </c>
      <c r="P280" s="43" t="str">
        <f aca="false">IF($A280="","",TRIM(RIGHT(SUBSTITUTE(TRIM($A280)," ",REPT(" ",30)),30)))</f>
        <v/>
      </c>
      <c r="Q280" s="98" t="str">
        <f aca="false">IF($A280="","",IFERROR(DATE(IF(LEN(P280)=8,2000+VALUE(RIGHT(P280,2)),VALUE(RIGHT(P280,4))),VALUE(LEFT(P280,2)),VALUE(MID(P280,4,2))),""))</f>
        <v/>
      </c>
      <c r="R280" s="89" t="n">
        <f aca="false">IF($A280="",0,IF(ISNUMBER(SEARCH("Float",$A280)),1,0))</f>
        <v>0</v>
      </c>
      <c r="S280" s="43" t="str">
        <f aca="false">IF($A280="","",TRIM(MID($A280,LEN(O280)+2,LEN($A280)-LEN(O280)-LEN(P280)-1)))</f>
        <v/>
      </c>
      <c r="T280" s="92" t="str">
        <f aca="false">IF(OR($A280="",R280=1),"",IFERROR(IF(ISNUMBER(FIND("/",S280)),IF(ISNUMBER(FIND(" ",S280)),VALUE(LEFT(S280,FIND(" ",S280)-1))+VALUE(MID(S280,FIND(" ",S280)+1,FIND("/",S280)-FIND(" ",S280)-1))/VALUE(MID(S280,FIND("/",S280)+1,9)),VALUE(LEFT(S280,FIND("/",S280)-1))/VALUE(MID(S280,FIND("/",S280)+1,9))),VALUE(S280)),""))</f>
        <v/>
      </c>
      <c r="U280" s="43" t="str">
        <f aca="false">IF(OR($A280="",NOT(ISNUMBER(Q280))),"",TEXT(Q280,"yyyymmdd")&amp;"|"&amp;IF(R280=1,"F",TEXT(T280,"0.000")))</f>
        <v/>
      </c>
      <c r="V280" s="43" t="str">
        <f aca="false">IF(U280="","",O280&amp;"|"&amp;U280)</f>
        <v/>
      </c>
      <c r="W280" s="43" t="str">
        <f aca="false">IF($A280="","",IFERROR(IF(VLOOKUP(O280,매핑!$A$4:$E$92,3,0)="","미분류",VLOOKUP(O280,매핑!$A$4:$E$92,3,0)),"미분류"))</f>
        <v/>
      </c>
      <c r="X280" s="89" t="n">
        <f aca="false">IF($A280="",0,IF(O280="T",1,0))</f>
        <v>0</v>
      </c>
      <c r="Y280" s="89" t="n">
        <f aca="false">IF($A280="",0,IF(AND(C280="USD",X280=0,ISNUMBER(E280),ISNUMBER(K280)),IF(K280&gt;=설정!$C$8,1,0),0))</f>
        <v>0</v>
      </c>
      <c r="Z280" s="43" t="str">
        <f aca="false">IF($A280="","",N280&amp;"|"&amp;L280)</f>
        <v/>
      </c>
      <c r="AA280" s="92" t="n">
        <f aca="false">IF(Y280=1,LN(K280),0)</f>
        <v>0</v>
      </c>
      <c r="AB280" s="93" t="n">
        <f aca="false">IF(Y280=1,E280,0)</f>
        <v>0</v>
      </c>
      <c r="AC280" s="89" t="n">
        <f aca="false">IF(Y280=1,COUNTIFS($Z$2:$Z$601,Z280,$Y$2:$Y$601,1),0)</f>
        <v>0</v>
      </c>
      <c r="AD280" s="89" t="n">
        <f aca="false">IF(Y280=1,COUNTIFS($N$2:$N$601,N280,$Y$2:$Y$601,1),0)</f>
        <v>0</v>
      </c>
      <c r="AE280" s="43" t="str">
        <f aca="false">IF(Y280&lt;&gt;1,"",IF(AND(AC280&gt;=설정!$C$7,ISNUMBER(MATCH(Z280,피어커브!$A:$A,0))),Z280,IF(AND(AD280&gt;=설정!$C$7,ISNUMBER(MATCH(N280&amp;"|전체",피어커브!$A:$A,0))),N280&amp;"|전체","전체|전체")))</f>
        <v/>
      </c>
      <c r="AF280" s="93" t="str">
        <f aca="false">IF(AE280="","",INDEX(피어커브!$K:$K,MATCH(AE280,피어커브!$A:$A,0)))</f>
        <v/>
      </c>
      <c r="AG280" s="93" t="str">
        <f aca="false">IF(AE280="","",INDEX(피어커브!$J:$J,MATCH(AE280,피어커브!$A:$A,0)))</f>
        <v/>
      </c>
      <c r="AH280" s="93" t="str">
        <f aca="false">IF(AE280="","",INDEX(피어커브!$L:$L,MATCH(AE280,피어커브!$A:$A,0)))</f>
        <v/>
      </c>
      <c r="AI280" s="93" t="str">
        <f aca="false">IF(AE280="","",AF280+AG280*AA280)</f>
        <v/>
      </c>
      <c r="AJ280" s="96" t="str">
        <f aca="false">IF(AE280="","",E280-AI280)</f>
        <v/>
      </c>
      <c r="AK280" s="95" t="str">
        <f aca="false">IF(AE280="","",IF(ISNUMBER(AH280),IF(AH280&gt;0,AJ280/AH280,""),""))</f>
        <v/>
      </c>
      <c r="AL280" s="43" t="str">
        <f aca="false">IF(AK280="","-",IF(AK280&gt;=설정!$C$6,"Cheap",IF(AK280&lt;=-설정!$C$6,"Rich","Fair")))</f>
        <v>-</v>
      </c>
      <c r="AM280" s="96" t="str">
        <f aca="false">IF(AE280="","",AJ280-AVERAGEIFS($AJ$2:$AJ$601,$B$2:$B$601,B280,$Y$2:$Y$601,1))</f>
        <v/>
      </c>
      <c r="AN280" s="93" t="n">
        <f aca="false">IF(AE280="",0,IF(K280&gt;1+설정!$C$8,AG280*(AA280-LN(K280-1)),0))</f>
        <v>0</v>
      </c>
      <c r="AO280" s="99" t="n">
        <f aca="false">IF($A280="",0,SUMIFS(보유분석!$AA$2:$AA$801,보유분석!$AB$2:$AB$801,ROW(),보유분석!$AC$2:$AC$801,1))</f>
        <v>0</v>
      </c>
      <c r="AP280" s="43" t="str">
        <f aca="false">IF($A280="","",TRIM(IF(R280=1,"FRN ","")&amp;IF(IFERROR(VLOOKUP(M280,설정!$A$15:$D$47,4,0),0)&gt;=10,IF(IFERROR(VLOOKUP(M280,설정!$A$15:$D$47,4,0),0)&lt;99,"BBB0미만 ",""),"")&amp;IF(OR(M280="",M280="NR"),"등급미입력 ","")&amp;IF(C280&lt;&gt;"USD","비USD ","")))</f>
        <v/>
      </c>
      <c r="AQ280" s="90" t="n">
        <f aca="false">IF(AND(Y280=1,AL280="Cheap"),IF(AND(ISERROR(SEARCH("FRN",AP280)),ISERROR(SEARCH("BBB0미만",AP280))),AK280+ROW()/1000000000,-999),-999)</f>
        <v>-999</v>
      </c>
      <c r="AR280" s="92" t="str">
        <f aca="false">IF(AND(ISNUMBER(D280),ISNUMBER(K280)),D280+AN280*MAX(K280-1,0)/100,"")</f>
        <v/>
      </c>
      <c r="AS280" s="93" t="str">
        <f aca="false">IF(AND(ISNUMBER(E280),ISNUMBER(K280)),IF(K280&gt;0,(E280+AN280*MAX(K280-1,0))/K280,""),"")</f>
        <v/>
      </c>
      <c r="AT280" s="90" t="n">
        <f aca="false">IFERROR(IF(AND(Y280=1,ROW()&lt;&gt;스왑분석!$C$12+1,ABS(K280-INDEX($K$2:$K$601,스왑분석!$C$12))&lt;=스왑분석!$C$5,ISERROR(SEARCH("FRN",AP280)),ISERROR(SEARCH("BBB0미만",AP280))),IF(AND(OR(스왑분석!$C$6="N",L280=INDEX($L$2:$L$601,스왑분석!$C$12)),OR(스왑분석!$C$7="N",N280=INDEX($N$2:$N$601,스왑분석!$C$12)),OR(스왑분석!$C$8="N",AO280=0),E280-INDEX($E$2:$E$601,스왑분석!$C$12)&gt;=스왑분석!$C$9),E280-INDEX($E$2:$E$601,스왑분석!$C$12)+ROW()/1000000000,-999),-999),-999)</f>
        <v>-999</v>
      </c>
      <c r="AU280" s="90" t="n">
        <f aca="false">IF(AND(Y280=1,AO280&gt;0,AL280="Rich"),-AK280+ROW()/1000000000,-999)</f>
        <v>-999</v>
      </c>
    </row>
    <row r="281" customFormat="false" ht="15" hidden="false" customHeight="false" outlineLevel="0" collapsed="false">
      <c r="A281" s="83" t="n">
        <f aca="false">IFERROR(IF(INDEX(원자료_시장!$A$1:$BZ$1000,설정!$L$6+ROW()-1,설정!$L$24)&amp;""="0","",INDEX(원자료_시장!$A$1:$BZ$1000,설정!$L$6+ROW()-1,설정!$L$24)),"")</f>
        <v>0</v>
      </c>
      <c r="B281" s="83" t="n">
        <f aca="false">IFERROR(IF(INDEX(원자료_시장!$A$1:$BZ$1000,설정!$L$6+ROW()-1,설정!$L$37)&amp;""="0","",INDEX(원자료_시장!$A$1:$BZ$1000,설정!$L$6+ROW()-1,설정!$L$37)),"")</f>
        <v>0</v>
      </c>
      <c r="C281" s="83" t="n">
        <f aca="false">IFERROR(IF(INDEX(원자료_시장!$A$1:$BZ$1000,설정!$L$6+ROW()-1,설정!$L$25)&amp;""="0","",INDEX(원자료_시장!$A$1:$BZ$1000,설정!$L$6+ROW()-1,설정!$L$25)),"")</f>
        <v>0</v>
      </c>
      <c r="D281" s="85" t="str">
        <f aca="false">IFERROR(IF(ISNUMBER(INDEX(원자료_시장!$A$1:$BZ$1000,설정!$L$6+ROW()-1,설정!$L$26)),INDEX(원자료_시장!$A$1:$BZ$1000,설정!$L$6+ROW()-1,설정!$L$26),""),"")</f>
        <v/>
      </c>
      <c r="E281" s="97" t="str">
        <f aca="false">IFERROR(IF(ISNUMBER(INDEX(원자료_시장!$A$1:$BZ$1000,설정!$L$6+ROW()-1,설정!$L$27)),INDEX(원자료_시장!$A$1:$BZ$1000,설정!$L$6+ROW()-1,설정!$L$27),""),"")</f>
        <v/>
      </c>
      <c r="F281" s="97" t="str">
        <f aca="false">IFERROR(IF(ISNUMBER(INDEX(원자료_시장!$A$1:$BZ$1000,설정!$L$6+ROW()-1,설정!$L$28)),INDEX(원자료_시장!$A$1:$BZ$1000,설정!$L$6+ROW()-1,설정!$L$28),""),"")</f>
        <v/>
      </c>
      <c r="G281" s="97" t="str">
        <f aca="false">IFERROR(IF(ISNUMBER(INDEX(원자료_시장!$A$1:$BZ$1000,설정!$L$6+ROW()-1,설정!$L$29)),INDEX(원자료_시장!$A$1:$BZ$1000,설정!$L$6+ROW()-1,설정!$L$29),""),"")</f>
        <v/>
      </c>
      <c r="H281" s="97" t="str">
        <f aca="false">IFERROR(IF(ISNUMBER(INDEX(원자료_시장!$A$1:$BZ$1000,설정!$L$6+ROW()-1,설정!$L$30)),INDEX(원자료_시장!$A$1:$BZ$1000,설정!$L$6+ROW()-1,설정!$L$30),""),"")</f>
        <v/>
      </c>
      <c r="I281" s="97" t="str">
        <f aca="false">IFERROR(IF(ISNUMBER(INDEX(원자료_시장!$A$1:$BZ$1000,설정!$L$6+ROW()-1,설정!$L$31)),INDEX(원자료_시장!$A$1:$BZ$1000,설정!$L$6+ROW()-1,설정!$L$31),""),"")</f>
        <v/>
      </c>
      <c r="J281" s="97" t="str">
        <f aca="false">IFERROR(IF(ISNUMBER(INDEX(원자료_시장!$A$1:$BZ$1000,설정!$L$6+ROW()-1,설정!$L$32)),INDEX(원자료_시장!$A$1:$BZ$1000,설정!$L$6+ROW()-1,설정!$L$32),""),"")</f>
        <v/>
      </c>
      <c r="K281" s="85" t="str">
        <f aca="false">IFERROR(IF(ISNUMBER(INDEX(원자료_시장!$A$1:$BZ$1000,설정!$L$6+ROW()-1,설정!$L$33)),INDEX(원자료_시장!$A$1:$BZ$1000,설정!$L$6+ROW()-1,설정!$L$33),""),"")</f>
        <v/>
      </c>
      <c r="L281" s="83" t="n">
        <f aca="false">IFERROR(IF(INDEX(원자료_시장!$A$1:$BZ$1000,설정!$L$6+ROW()-1,설정!$L$34)&amp;""="0","",INDEX(원자료_시장!$A$1:$BZ$1000,설정!$L$6+ROW()-1,설정!$L$34)),"")</f>
        <v>0</v>
      </c>
      <c r="M281" s="83" t="n">
        <f aca="false">IFERROR(IF(INDEX(원자료_시장!$A$1:$BZ$1000,설정!$L$6+ROW()-1,설정!$L$35)&amp;""="0","",INDEX(원자료_시장!$A$1:$BZ$1000,설정!$L$6+ROW()-1,설정!$L$35)),"")</f>
        <v>0</v>
      </c>
      <c r="N281" s="83" t="n">
        <f aca="false">IFERROR(IF(INDEX(원자료_시장!$A$1:$BZ$1000,설정!$L$6+ROW()-1,설정!$L$36)&amp;""="0","",INDEX(원자료_시장!$A$1:$BZ$1000,설정!$L$6+ROW()-1,설정!$L$36)),"")</f>
        <v>0</v>
      </c>
      <c r="O281" s="43" t="str">
        <f aca="false">IF($A281="","",UPPER(LEFT($A281,FIND(" ",$A281&amp;" ")-1)))</f>
        <v/>
      </c>
      <c r="P281" s="43" t="str">
        <f aca="false">IF($A281="","",TRIM(RIGHT(SUBSTITUTE(TRIM($A281)," ",REPT(" ",30)),30)))</f>
        <v/>
      </c>
      <c r="Q281" s="98" t="str">
        <f aca="false">IF($A281="","",IFERROR(DATE(IF(LEN(P281)=8,2000+VALUE(RIGHT(P281,2)),VALUE(RIGHT(P281,4))),VALUE(LEFT(P281,2)),VALUE(MID(P281,4,2))),""))</f>
        <v/>
      </c>
      <c r="R281" s="89" t="n">
        <f aca="false">IF($A281="",0,IF(ISNUMBER(SEARCH("Float",$A281)),1,0))</f>
        <v>0</v>
      </c>
      <c r="S281" s="43" t="str">
        <f aca="false">IF($A281="","",TRIM(MID($A281,LEN(O281)+2,LEN($A281)-LEN(O281)-LEN(P281)-1)))</f>
        <v/>
      </c>
      <c r="T281" s="92" t="str">
        <f aca="false">IF(OR($A281="",R281=1),"",IFERROR(IF(ISNUMBER(FIND("/",S281)),IF(ISNUMBER(FIND(" ",S281)),VALUE(LEFT(S281,FIND(" ",S281)-1))+VALUE(MID(S281,FIND(" ",S281)+1,FIND("/",S281)-FIND(" ",S281)-1))/VALUE(MID(S281,FIND("/",S281)+1,9)),VALUE(LEFT(S281,FIND("/",S281)-1))/VALUE(MID(S281,FIND("/",S281)+1,9))),VALUE(S281)),""))</f>
        <v/>
      </c>
      <c r="U281" s="43" t="str">
        <f aca="false">IF(OR($A281="",NOT(ISNUMBER(Q281))),"",TEXT(Q281,"yyyymmdd")&amp;"|"&amp;IF(R281=1,"F",TEXT(T281,"0.000")))</f>
        <v/>
      </c>
      <c r="V281" s="43" t="str">
        <f aca="false">IF(U281="","",O281&amp;"|"&amp;U281)</f>
        <v/>
      </c>
      <c r="W281" s="43" t="str">
        <f aca="false">IF($A281="","",IFERROR(IF(VLOOKUP(O281,매핑!$A$4:$E$92,3,0)="","미분류",VLOOKUP(O281,매핑!$A$4:$E$92,3,0)),"미분류"))</f>
        <v/>
      </c>
      <c r="X281" s="89" t="n">
        <f aca="false">IF($A281="",0,IF(O281="T",1,0))</f>
        <v>0</v>
      </c>
      <c r="Y281" s="89" t="n">
        <f aca="false">IF($A281="",0,IF(AND(C281="USD",X281=0,ISNUMBER(E281),ISNUMBER(K281)),IF(K281&gt;=설정!$C$8,1,0),0))</f>
        <v>0</v>
      </c>
      <c r="Z281" s="43" t="str">
        <f aca="false">IF($A281="","",N281&amp;"|"&amp;L281)</f>
        <v/>
      </c>
      <c r="AA281" s="92" t="n">
        <f aca="false">IF(Y281=1,LN(K281),0)</f>
        <v>0</v>
      </c>
      <c r="AB281" s="93" t="n">
        <f aca="false">IF(Y281=1,E281,0)</f>
        <v>0</v>
      </c>
      <c r="AC281" s="89" t="n">
        <f aca="false">IF(Y281=1,COUNTIFS($Z$2:$Z$601,Z281,$Y$2:$Y$601,1),0)</f>
        <v>0</v>
      </c>
      <c r="AD281" s="89" t="n">
        <f aca="false">IF(Y281=1,COUNTIFS($N$2:$N$601,N281,$Y$2:$Y$601,1),0)</f>
        <v>0</v>
      </c>
      <c r="AE281" s="43" t="str">
        <f aca="false">IF(Y281&lt;&gt;1,"",IF(AND(AC281&gt;=설정!$C$7,ISNUMBER(MATCH(Z281,피어커브!$A:$A,0))),Z281,IF(AND(AD281&gt;=설정!$C$7,ISNUMBER(MATCH(N281&amp;"|전체",피어커브!$A:$A,0))),N281&amp;"|전체","전체|전체")))</f>
        <v/>
      </c>
      <c r="AF281" s="93" t="str">
        <f aca="false">IF(AE281="","",INDEX(피어커브!$K:$K,MATCH(AE281,피어커브!$A:$A,0)))</f>
        <v/>
      </c>
      <c r="AG281" s="93" t="str">
        <f aca="false">IF(AE281="","",INDEX(피어커브!$J:$J,MATCH(AE281,피어커브!$A:$A,0)))</f>
        <v/>
      </c>
      <c r="AH281" s="93" t="str">
        <f aca="false">IF(AE281="","",INDEX(피어커브!$L:$L,MATCH(AE281,피어커브!$A:$A,0)))</f>
        <v/>
      </c>
      <c r="AI281" s="93" t="str">
        <f aca="false">IF(AE281="","",AF281+AG281*AA281)</f>
        <v/>
      </c>
      <c r="AJ281" s="96" t="str">
        <f aca="false">IF(AE281="","",E281-AI281)</f>
        <v/>
      </c>
      <c r="AK281" s="95" t="str">
        <f aca="false">IF(AE281="","",IF(ISNUMBER(AH281),IF(AH281&gt;0,AJ281/AH281,""),""))</f>
        <v/>
      </c>
      <c r="AL281" s="43" t="str">
        <f aca="false">IF(AK281="","-",IF(AK281&gt;=설정!$C$6,"Cheap",IF(AK281&lt;=-설정!$C$6,"Rich","Fair")))</f>
        <v>-</v>
      </c>
      <c r="AM281" s="96" t="str">
        <f aca="false">IF(AE281="","",AJ281-AVERAGEIFS($AJ$2:$AJ$601,$B$2:$B$601,B281,$Y$2:$Y$601,1))</f>
        <v/>
      </c>
      <c r="AN281" s="93" t="n">
        <f aca="false">IF(AE281="",0,IF(K281&gt;1+설정!$C$8,AG281*(AA281-LN(K281-1)),0))</f>
        <v>0</v>
      </c>
      <c r="AO281" s="99" t="n">
        <f aca="false">IF($A281="",0,SUMIFS(보유분석!$AA$2:$AA$801,보유분석!$AB$2:$AB$801,ROW(),보유분석!$AC$2:$AC$801,1))</f>
        <v>0</v>
      </c>
      <c r="AP281" s="43" t="str">
        <f aca="false">IF($A281="","",TRIM(IF(R281=1,"FRN ","")&amp;IF(IFERROR(VLOOKUP(M281,설정!$A$15:$D$47,4,0),0)&gt;=10,IF(IFERROR(VLOOKUP(M281,설정!$A$15:$D$47,4,0),0)&lt;99,"BBB0미만 ",""),"")&amp;IF(OR(M281="",M281="NR"),"등급미입력 ","")&amp;IF(C281&lt;&gt;"USD","비USD ","")))</f>
        <v/>
      </c>
      <c r="AQ281" s="90" t="n">
        <f aca="false">IF(AND(Y281=1,AL281="Cheap"),IF(AND(ISERROR(SEARCH("FRN",AP281)),ISERROR(SEARCH("BBB0미만",AP281))),AK281+ROW()/1000000000,-999),-999)</f>
        <v>-999</v>
      </c>
      <c r="AR281" s="92" t="str">
        <f aca="false">IF(AND(ISNUMBER(D281),ISNUMBER(K281)),D281+AN281*MAX(K281-1,0)/100,"")</f>
        <v/>
      </c>
      <c r="AS281" s="93" t="str">
        <f aca="false">IF(AND(ISNUMBER(E281),ISNUMBER(K281)),IF(K281&gt;0,(E281+AN281*MAX(K281-1,0))/K281,""),"")</f>
        <v/>
      </c>
      <c r="AT281" s="90" t="n">
        <f aca="false">IFERROR(IF(AND(Y281=1,ROW()&lt;&gt;스왑분석!$C$12+1,ABS(K281-INDEX($K$2:$K$601,스왑분석!$C$12))&lt;=스왑분석!$C$5,ISERROR(SEARCH("FRN",AP281)),ISERROR(SEARCH("BBB0미만",AP281))),IF(AND(OR(스왑분석!$C$6="N",L281=INDEX($L$2:$L$601,스왑분석!$C$12)),OR(스왑분석!$C$7="N",N281=INDEX($N$2:$N$601,스왑분석!$C$12)),OR(스왑분석!$C$8="N",AO281=0),E281-INDEX($E$2:$E$601,스왑분석!$C$12)&gt;=스왑분석!$C$9),E281-INDEX($E$2:$E$601,스왑분석!$C$12)+ROW()/1000000000,-999),-999),-999)</f>
        <v>-999</v>
      </c>
      <c r="AU281" s="90" t="n">
        <f aca="false">IF(AND(Y281=1,AO281&gt;0,AL281="Rich"),-AK281+ROW()/1000000000,-999)</f>
        <v>-999</v>
      </c>
    </row>
    <row r="282" customFormat="false" ht="15" hidden="false" customHeight="false" outlineLevel="0" collapsed="false">
      <c r="A282" s="83" t="n">
        <f aca="false">IFERROR(IF(INDEX(원자료_시장!$A$1:$BZ$1000,설정!$L$6+ROW()-1,설정!$L$24)&amp;""="0","",INDEX(원자료_시장!$A$1:$BZ$1000,설정!$L$6+ROW()-1,설정!$L$24)),"")</f>
        <v>0</v>
      </c>
      <c r="B282" s="83" t="n">
        <f aca="false">IFERROR(IF(INDEX(원자료_시장!$A$1:$BZ$1000,설정!$L$6+ROW()-1,설정!$L$37)&amp;""="0","",INDEX(원자료_시장!$A$1:$BZ$1000,설정!$L$6+ROW()-1,설정!$L$37)),"")</f>
        <v>0</v>
      </c>
      <c r="C282" s="83" t="n">
        <f aca="false">IFERROR(IF(INDEX(원자료_시장!$A$1:$BZ$1000,설정!$L$6+ROW()-1,설정!$L$25)&amp;""="0","",INDEX(원자료_시장!$A$1:$BZ$1000,설정!$L$6+ROW()-1,설정!$L$25)),"")</f>
        <v>0</v>
      </c>
      <c r="D282" s="85" t="str">
        <f aca="false">IFERROR(IF(ISNUMBER(INDEX(원자료_시장!$A$1:$BZ$1000,설정!$L$6+ROW()-1,설정!$L$26)),INDEX(원자료_시장!$A$1:$BZ$1000,설정!$L$6+ROW()-1,설정!$L$26),""),"")</f>
        <v/>
      </c>
      <c r="E282" s="97" t="str">
        <f aca="false">IFERROR(IF(ISNUMBER(INDEX(원자료_시장!$A$1:$BZ$1000,설정!$L$6+ROW()-1,설정!$L$27)),INDEX(원자료_시장!$A$1:$BZ$1000,설정!$L$6+ROW()-1,설정!$L$27),""),"")</f>
        <v/>
      </c>
      <c r="F282" s="97" t="str">
        <f aca="false">IFERROR(IF(ISNUMBER(INDEX(원자료_시장!$A$1:$BZ$1000,설정!$L$6+ROW()-1,설정!$L$28)),INDEX(원자료_시장!$A$1:$BZ$1000,설정!$L$6+ROW()-1,설정!$L$28),""),"")</f>
        <v/>
      </c>
      <c r="G282" s="97" t="str">
        <f aca="false">IFERROR(IF(ISNUMBER(INDEX(원자료_시장!$A$1:$BZ$1000,설정!$L$6+ROW()-1,설정!$L$29)),INDEX(원자료_시장!$A$1:$BZ$1000,설정!$L$6+ROW()-1,설정!$L$29),""),"")</f>
        <v/>
      </c>
      <c r="H282" s="97" t="str">
        <f aca="false">IFERROR(IF(ISNUMBER(INDEX(원자료_시장!$A$1:$BZ$1000,설정!$L$6+ROW()-1,설정!$L$30)),INDEX(원자료_시장!$A$1:$BZ$1000,설정!$L$6+ROW()-1,설정!$L$30),""),"")</f>
        <v/>
      </c>
      <c r="I282" s="97" t="str">
        <f aca="false">IFERROR(IF(ISNUMBER(INDEX(원자료_시장!$A$1:$BZ$1000,설정!$L$6+ROW()-1,설정!$L$31)),INDEX(원자료_시장!$A$1:$BZ$1000,설정!$L$6+ROW()-1,설정!$L$31),""),"")</f>
        <v/>
      </c>
      <c r="J282" s="97" t="str">
        <f aca="false">IFERROR(IF(ISNUMBER(INDEX(원자료_시장!$A$1:$BZ$1000,설정!$L$6+ROW()-1,설정!$L$32)),INDEX(원자료_시장!$A$1:$BZ$1000,설정!$L$6+ROW()-1,설정!$L$32),""),"")</f>
        <v/>
      </c>
      <c r="K282" s="85" t="str">
        <f aca="false">IFERROR(IF(ISNUMBER(INDEX(원자료_시장!$A$1:$BZ$1000,설정!$L$6+ROW()-1,설정!$L$33)),INDEX(원자료_시장!$A$1:$BZ$1000,설정!$L$6+ROW()-1,설정!$L$33),""),"")</f>
        <v/>
      </c>
      <c r="L282" s="83" t="n">
        <f aca="false">IFERROR(IF(INDEX(원자료_시장!$A$1:$BZ$1000,설정!$L$6+ROW()-1,설정!$L$34)&amp;""="0","",INDEX(원자료_시장!$A$1:$BZ$1000,설정!$L$6+ROW()-1,설정!$L$34)),"")</f>
        <v>0</v>
      </c>
      <c r="M282" s="83" t="n">
        <f aca="false">IFERROR(IF(INDEX(원자료_시장!$A$1:$BZ$1000,설정!$L$6+ROW()-1,설정!$L$35)&amp;""="0","",INDEX(원자료_시장!$A$1:$BZ$1000,설정!$L$6+ROW()-1,설정!$L$35)),"")</f>
        <v>0</v>
      </c>
      <c r="N282" s="83" t="n">
        <f aca="false">IFERROR(IF(INDEX(원자료_시장!$A$1:$BZ$1000,설정!$L$6+ROW()-1,설정!$L$36)&amp;""="0","",INDEX(원자료_시장!$A$1:$BZ$1000,설정!$L$6+ROW()-1,설정!$L$36)),"")</f>
        <v>0</v>
      </c>
      <c r="O282" s="43" t="str">
        <f aca="false">IF($A282="","",UPPER(LEFT($A282,FIND(" ",$A282&amp;" ")-1)))</f>
        <v/>
      </c>
      <c r="P282" s="43" t="str">
        <f aca="false">IF($A282="","",TRIM(RIGHT(SUBSTITUTE(TRIM($A282)," ",REPT(" ",30)),30)))</f>
        <v/>
      </c>
      <c r="Q282" s="98" t="str">
        <f aca="false">IF($A282="","",IFERROR(DATE(IF(LEN(P282)=8,2000+VALUE(RIGHT(P282,2)),VALUE(RIGHT(P282,4))),VALUE(LEFT(P282,2)),VALUE(MID(P282,4,2))),""))</f>
        <v/>
      </c>
      <c r="R282" s="89" t="n">
        <f aca="false">IF($A282="",0,IF(ISNUMBER(SEARCH("Float",$A282)),1,0))</f>
        <v>0</v>
      </c>
      <c r="S282" s="43" t="str">
        <f aca="false">IF($A282="","",TRIM(MID($A282,LEN(O282)+2,LEN($A282)-LEN(O282)-LEN(P282)-1)))</f>
        <v/>
      </c>
      <c r="T282" s="92" t="str">
        <f aca="false">IF(OR($A282="",R282=1),"",IFERROR(IF(ISNUMBER(FIND("/",S282)),IF(ISNUMBER(FIND(" ",S282)),VALUE(LEFT(S282,FIND(" ",S282)-1))+VALUE(MID(S282,FIND(" ",S282)+1,FIND("/",S282)-FIND(" ",S282)-1))/VALUE(MID(S282,FIND("/",S282)+1,9)),VALUE(LEFT(S282,FIND("/",S282)-1))/VALUE(MID(S282,FIND("/",S282)+1,9))),VALUE(S282)),""))</f>
        <v/>
      </c>
      <c r="U282" s="43" t="str">
        <f aca="false">IF(OR($A282="",NOT(ISNUMBER(Q282))),"",TEXT(Q282,"yyyymmdd")&amp;"|"&amp;IF(R282=1,"F",TEXT(T282,"0.000")))</f>
        <v/>
      </c>
      <c r="V282" s="43" t="str">
        <f aca="false">IF(U282="","",O282&amp;"|"&amp;U282)</f>
        <v/>
      </c>
      <c r="W282" s="43" t="str">
        <f aca="false">IF($A282="","",IFERROR(IF(VLOOKUP(O282,매핑!$A$4:$E$92,3,0)="","미분류",VLOOKUP(O282,매핑!$A$4:$E$92,3,0)),"미분류"))</f>
        <v/>
      </c>
      <c r="X282" s="89" t="n">
        <f aca="false">IF($A282="",0,IF(O282="T",1,0))</f>
        <v>0</v>
      </c>
      <c r="Y282" s="89" t="n">
        <f aca="false">IF($A282="",0,IF(AND(C282="USD",X282=0,ISNUMBER(E282),ISNUMBER(K282)),IF(K282&gt;=설정!$C$8,1,0),0))</f>
        <v>0</v>
      </c>
      <c r="Z282" s="43" t="str">
        <f aca="false">IF($A282="","",N282&amp;"|"&amp;L282)</f>
        <v/>
      </c>
      <c r="AA282" s="92" t="n">
        <f aca="false">IF(Y282=1,LN(K282),0)</f>
        <v>0</v>
      </c>
      <c r="AB282" s="93" t="n">
        <f aca="false">IF(Y282=1,E282,0)</f>
        <v>0</v>
      </c>
      <c r="AC282" s="89" t="n">
        <f aca="false">IF(Y282=1,COUNTIFS($Z$2:$Z$601,Z282,$Y$2:$Y$601,1),0)</f>
        <v>0</v>
      </c>
      <c r="AD282" s="89" t="n">
        <f aca="false">IF(Y282=1,COUNTIFS($N$2:$N$601,N282,$Y$2:$Y$601,1),0)</f>
        <v>0</v>
      </c>
      <c r="AE282" s="43" t="str">
        <f aca="false">IF(Y282&lt;&gt;1,"",IF(AND(AC282&gt;=설정!$C$7,ISNUMBER(MATCH(Z282,피어커브!$A:$A,0))),Z282,IF(AND(AD282&gt;=설정!$C$7,ISNUMBER(MATCH(N282&amp;"|전체",피어커브!$A:$A,0))),N282&amp;"|전체","전체|전체")))</f>
        <v/>
      </c>
      <c r="AF282" s="93" t="str">
        <f aca="false">IF(AE282="","",INDEX(피어커브!$K:$K,MATCH(AE282,피어커브!$A:$A,0)))</f>
        <v/>
      </c>
      <c r="AG282" s="93" t="str">
        <f aca="false">IF(AE282="","",INDEX(피어커브!$J:$J,MATCH(AE282,피어커브!$A:$A,0)))</f>
        <v/>
      </c>
      <c r="AH282" s="93" t="str">
        <f aca="false">IF(AE282="","",INDEX(피어커브!$L:$L,MATCH(AE282,피어커브!$A:$A,0)))</f>
        <v/>
      </c>
      <c r="AI282" s="93" t="str">
        <f aca="false">IF(AE282="","",AF282+AG282*AA282)</f>
        <v/>
      </c>
      <c r="AJ282" s="96" t="str">
        <f aca="false">IF(AE282="","",E282-AI282)</f>
        <v/>
      </c>
      <c r="AK282" s="95" t="str">
        <f aca="false">IF(AE282="","",IF(ISNUMBER(AH282),IF(AH282&gt;0,AJ282/AH282,""),""))</f>
        <v/>
      </c>
      <c r="AL282" s="43" t="str">
        <f aca="false">IF(AK282="","-",IF(AK282&gt;=설정!$C$6,"Cheap",IF(AK282&lt;=-설정!$C$6,"Rich","Fair")))</f>
        <v>-</v>
      </c>
      <c r="AM282" s="96" t="str">
        <f aca="false">IF(AE282="","",AJ282-AVERAGEIFS($AJ$2:$AJ$601,$B$2:$B$601,B282,$Y$2:$Y$601,1))</f>
        <v/>
      </c>
      <c r="AN282" s="93" t="n">
        <f aca="false">IF(AE282="",0,IF(K282&gt;1+설정!$C$8,AG282*(AA282-LN(K282-1)),0))</f>
        <v>0</v>
      </c>
      <c r="AO282" s="99" t="n">
        <f aca="false">IF($A282="",0,SUMIFS(보유분석!$AA$2:$AA$801,보유분석!$AB$2:$AB$801,ROW(),보유분석!$AC$2:$AC$801,1))</f>
        <v>0</v>
      </c>
      <c r="AP282" s="43" t="str">
        <f aca="false">IF($A282="","",TRIM(IF(R282=1,"FRN ","")&amp;IF(IFERROR(VLOOKUP(M282,설정!$A$15:$D$47,4,0),0)&gt;=10,IF(IFERROR(VLOOKUP(M282,설정!$A$15:$D$47,4,0),0)&lt;99,"BBB0미만 ",""),"")&amp;IF(OR(M282="",M282="NR"),"등급미입력 ","")&amp;IF(C282&lt;&gt;"USD","비USD ","")))</f>
        <v/>
      </c>
      <c r="AQ282" s="90" t="n">
        <f aca="false">IF(AND(Y282=1,AL282="Cheap"),IF(AND(ISERROR(SEARCH("FRN",AP282)),ISERROR(SEARCH("BBB0미만",AP282))),AK282+ROW()/1000000000,-999),-999)</f>
        <v>-999</v>
      </c>
      <c r="AR282" s="92" t="str">
        <f aca="false">IF(AND(ISNUMBER(D282),ISNUMBER(K282)),D282+AN282*MAX(K282-1,0)/100,"")</f>
        <v/>
      </c>
      <c r="AS282" s="93" t="str">
        <f aca="false">IF(AND(ISNUMBER(E282),ISNUMBER(K282)),IF(K282&gt;0,(E282+AN282*MAX(K282-1,0))/K282,""),"")</f>
        <v/>
      </c>
      <c r="AT282" s="90" t="n">
        <f aca="false">IFERROR(IF(AND(Y282=1,ROW()&lt;&gt;스왑분석!$C$12+1,ABS(K282-INDEX($K$2:$K$601,스왑분석!$C$12))&lt;=스왑분석!$C$5,ISERROR(SEARCH("FRN",AP282)),ISERROR(SEARCH("BBB0미만",AP282))),IF(AND(OR(스왑분석!$C$6="N",L282=INDEX($L$2:$L$601,스왑분석!$C$12)),OR(스왑분석!$C$7="N",N282=INDEX($N$2:$N$601,스왑분석!$C$12)),OR(스왑분석!$C$8="N",AO282=0),E282-INDEX($E$2:$E$601,스왑분석!$C$12)&gt;=스왑분석!$C$9),E282-INDEX($E$2:$E$601,스왑분석!$C$12)+ROW()/1000000000,-999),-999),-999)</f>
        <v>-999</v>
      </c>
      <c r="AU282" s="90" t="n">
        <f aca="false">IF(AND(Y282=1,AO282&gt;0,AL282="Rich"),-AK282+ROW()/1000000000,-999)</f>
        <v>-999</v>
      </c>
    </row>
    <row r="283" customFormat="false" ht="15" hidden="false" customHeight="false" outlineLevel="0" collapsed="false">
      <c r="A283" s="83" t="n">
        <f aca="false">IFERROR(IF(INDEX(원자료_시장!$A$1:$BZ$1000,설정!$L$6+ROW()-1,설정!$L$24)&amp;""="0","",INDEX(원자료_시장!$A$1:$BZ$1000,설정!$L$6+ROW()-1,설정!$L$24)),"")</f>
        <v>0</v>
      </c>
      <c r="B283" s="83" t="n">
        <f aca="false">IFERROR(IF(INDEX(원자료_시장!$A$1:$BZ$1000,설정!$L$6+ROW()-1,설정!$L$37)&amp;""="0","",INDEX(원자료_시장!$A$1:$BZ$1000,설정!$L$6+ROW()-1,설정!$L$37)),"")</f>
        <v>0</v>
      </c>
      <c r="C283" s="83" t="n">
        <f aca="false">IFERROR(IF(INDEX(원자료_시장!$A$1:$BZ$1000,설정!$L$6+ROW()-1,설정!$L$25)&amp;""="0","",INDEX(원자료_시장!$A$1:$BZ$1000,설정!$L$6+ROW()-1,설정!$L$25)),"")</f>
        <v>0</v>
      </c>
      <c r="D283" s="85" t="str">
        <f aca="false">IFERROR(IF(ISNUMBER(INDEX(원자료_시장!$A$1:$BZ$1000,설정!$L$6+ROW()-1,설정!$L$26)),INDEX(원자료_시장!$A$1:$BZ$1000,설정!$L$6+ROW()-1,설정!$L$26),""),"")</f>
        <v/>
      </c>
      <c r="E283" s="97" t="str">
        <f aca="false">IFERROR(IF(ISNUMBER(INDEX(원자료_시장!$A$1:$BZ$1000,설정!$L$6+ROW()-1,설정!$L$27)),INDEX(원자료_시장!$A$1:$BZ$1000,설정!$L$6+ROW()-1,설정!$L$27),""),"")</f>
        <v/>
      </c>
      <c r="F283" s="97" t="str">
        <f aca="false">IFERROR(IF(ISNUMBER(INDEX(원자료_시장!$A$1:$BZ$1000,설정!$L$6+ROW()-1,설정!$L$28)),INDEX(원자료_시장!$A$1:$BZ$1000,설정!$L$6+ROW()-1,설정!$L$28),""),"")</f>
        <v/>
      </c>
      <c r="G283" s="97" t="str">
        <f aca="false">IFERROR(IF(ISNUMBER(INDEX(원자료_시장!$A$1:$BZ$1000,설정!$L$6+ROW()-1,설정!$L$29)),INDEX(원자료_시장!$A$1:$BZ$1000,설정!$L$6+ROW()-1,설정!$L$29),""),"")</f>
        <v/>
      </c>
      <c r="H283" s="97" t="str">
        <f aca="false">IFERROR(IF(ISNUMBER(INDEX(원자료_시장!$A$1:$BZ$1000,설정!$L$6+ROW()-1,설정!$L$30)),INDEX(원자료_시장!$A$1:$BZ$1000,설정!$L$6+ROW()-1,설정!$L$30),""),"")</f>
        <v/>
      </c>
      <c r="I283" s="97" t="str">
        <f aca="false">IFERROR(IF(ISNUMBER(INDEX(원자료_시장!$A$1:$BZ$1000,설정!$L$6+ROW()-1,설정!$L$31)),INDEX(원자료_시장!$A$1:$BZ$1000,설정!$L$6+ROW()-1,설정!$L$31),""),"")</f>
        <v/>
      </c>
      <c r="J283" s="97" t="str">
        <f aca="false">IFERROR(IF(ISNUMBER(INDEX(원자료_시장!$A$1:$BZ$1000,설정!$L$6+ROW()-1,설정!$L$32)),INDEX(원자료_시장!$A$1:$BZ$1000,설정!$L$6+ROW()-1,설정!$L$32),""),"")</f>
        <v/>
      </c>
      <c r="K283" s="85" t="str">
        <f aca="false">IFERROR(IF(ISNUMBER(INDEX(원자료_시장!$A$1:$BZ$1000,설정!$L$6+ROW()-1,설정!$L$33)),INDEX(원자료_시장!$A$1:$BZ$1000,설정!$L$6+ROW()-1,설정!$L$33),""),"")</f>
        <v/>
      </c>
      <c r="L283" s="83" t="n">
        <f aca="false">IFERROR(IF(INDEX(원자료_시장!$A$1:$BZ$1000,설정!$L$6+ROW()-1,설정!$L$34)&amp;""="0","",INDEX(원자료_시장!$A$1:$BZ$1000,설정!$L$6+ROW()-1,설정!$L$34)),"")</f>
        <v>0</v>
      </c>
      <c r="M283" s="83" t="n">
        <f aca="false">IFERROR(IF(INDEX(원자료_시장!$A$1:$BZ$1000,설정!$L$6+ROW()-1,설정!$L$35)&amp;""="0","",INDEX(원자료_시장!$A$1:$BZ$1000,설정!$L$6+ROW()-1,설정!$L$35)),"")</f>
        <v>0</v>
      </c>
      <c r="N283" s="83" t="n">
        <f aca="false">IFERROR(IF(INDEX(원자료_시장!$A$1:$BZ$1000,설정!$L$6+ROW()-1,설정!$L$36)&amp;""="0","",INDEX(원자료_시장!$A$1:$BZ$1000,설정!$L$6+ROW()-1,설정!$L$36)),"")</f>
        <v>0</v>
      </c>
      <c r="O283" s="43" t="str">
        <f aca="false">IF($A283="","",UPPER(LEFT($A283,FIND(" ",$A283&amp;" ")-1)))</f>
        <v/>
      </c>
      <c r="P283" s="43" t="str">
        <f aca="false">IF($A283="","",TRIM(RIGHT(SUBSTITUTE(TRIM($A283)," ",REPT(" ",30)),30)))</f>
        <v/>
      </c>
      <c r="Q283" s="98" t="str">
        <f aca="false">IF($A283="","",IFERROR(DATE(IF(LEN(P283)=8,2000+VALUE(RIGHT(P283,2)),VALUE(RIGHT(P283,4))),VALUE(LEFT(P283,2)),VALUE(MID(P283,4,2))),""))</f>
        <v/>
      </c>
      <c r="R283" s="89" t="n">
        <f aca="false">IF($A283="",0,IF(ISNUMBER(SEARCH("Float",$A283)),1,0))</f>
        <v>0</v>
      </c>
      <c r="S283" s="43" t="str">
        <f aca="false">IF($A283="","",TRIM(MID($A283,LEN(O283)+2,LEN($A283)-LEN(O283)-LEN(P283)-1)))</f>
        <v/>
      </c>
      <c r="T283" s="92" t="str">
        <f aca="false">IF(OR($A283="",R283=1),"",IFERROR(IF(ISNUMBER(FIND("/",S283)),IF(ISNUMBER(FIND(" ",S283)),VALUE(LEFT(S283,FIND(" ",S283)-1))+VALUE(MID(S283,FIND(" ",S283)+1,FIND("/",S283)-FIND(" ",S283)-1))/VALUE(MID(S283,FIND("/",S283)+1,9)),VALUE(LEFT(S283,FIND("/",S283)-1))/VALUE(MID(S283,FIND("/",S283)+1,9))),VALUE(S283)),""))</f>
        <v/>
      </c>
      <c r="U283" s="43" t="str">
        <f aca="false">IF(OR($A283="",NOT(ISNUMBER(Q283))),"",TEXT(Q283,"yyyymmdd")&amp;"|"&amp;IF(R283=1,"F",TEXT(T283,"0.000")))</f>
        <v/>
      </c>
      <c r="V283" s="43" t="str">
        <f aca="false">IF(U283="","",O283&amp;"|"&amp;U283)</f>
        <v/>
      </c>
      <c r="W283" s="43" t="str">
        <f aca="false">IF($A283="","",IFERROR(IF(VLOOKUP(O283,매핑!$A$4:$E$92,3,0)="","미분류",VLOOKUP(O283,매핑!$A$4:$E$92,3,0)),"미분류"))</f>
        <v/>
      </c>
      <c r="X283" s="89" t="n">
        <f aca="false">IF($A283="",0,IF(O283="T",1,0))</f>
        <v>0</v>
      </c>
      <c r="Y283" s="89" t="n">
        <f aca="false">IF($A283="",0,IF(AND(C283="USD",X283=0,ISNUMBER(E283),ISNUMBER(K283)),IF(K283&gt;=설정!$C$8,1,0),0))</f>
        <v>0</v>
      </c>
      <c r="Z283" s="43" t="str">
        <f aca="false">IF($A283="","",N283&amp;"|"&amp;L283)</f>
        <v/>
      </c>
      <c r="AA283" s="92" t="n">
        <f aca="false">IF(Y283=1,LN(K283),0)</f>
        <v>0</v>
      </c>
      <c r="AB283" s="93" t="n">
        <f aca="false">IF(Y283=1,E283,0)</f>
        <v>0</v>
      </c>
      <c r="AC283" s="89" t="n">
        <f aca="false">IF(Y283=1,COUNTIFS($Z$2:$Z$601,Z283,$Y$2:$Y$601,1),0)</f>
        <v>0</v>
      </c>
      <c r="AD283" s="89" t="n">
        <f aca="false">IF(Y283=1,COUNTIFS($N$2:$N$601,N283,$Y$2:$Y$601,1),0)</f>
        <v>0</v>
      </c>
      <c r="AE283" s="43" t="str">
        <f aca="false">IF(Y283&lt;&gt;1,"",IF(AND(AC283&gt;=설정!$C$7,ISNUMBER(MATCH(Z283,피어커브!$A:$A,0))),Z283,IF(AND(AD283&gt;=설정!$C$7,ISNUMBER(MATCH(N283&amp;"|전체",피어커브!$A:$A,0))),N283&amp;"|전체","전체|전체")))</f>
        <v/>
      </c>
      <c r="AF283" s="93" t="str">
        <f aca="false">IF(AE283="","",INDEX(피어커브!$K:$K,MATCH(AE283,피어커브!$A:$A,0)))</f>
        <v/>
      </c>
      <c r="AG283" s="93" t="str">
        <f aca="false">IF(AE283="","",INDEX(피어커브!$J:$J,MATCH(AE283,피어커브!$A:$A,0)))</f>
        <v/>
      </c>
      <c r="AH283" s="93" t="str">
        <f aca="false">IF(AE283="","",INDEX(피어커브!$L:$L,MATCH(AE283,피어커브!$A:$A,0)))</f>
        <v/>
      </c>
      <c r="AI283" s="93" t="str">
        <f aca="false">IF(AE283="","",AF283+AG283*AA283)</f>
        <v/>
      </c>
      <c r="AJ283" s="96" t="str">
        <f aca="false">IF(AE283="","",E283-AI283)</f>
        <v/>
      </c>
      <c r="AK283" s="95" t="str">
        <f aca="false">IF(AE283="","",IF(ISNUMBER(AH283),IF(AH283&gt;0,AJ283/AH283,""),""))</f>
        <v/>
      </c>
      <c r="AL283" s="43" t="str">
        <f aca="false">IF(AK283="","-",IF(AK283&gt;=설정!$C$6,"Cheap",IF(AK283&lt;=-설정!$C$6,"Rich","Fair")))</f>
        <v>-</v>
      </c>
      <c r="AM283" s="96" t="str">
        <f aca="false">IF(AE283="","",AJ283-AVERAGEIFS($AJ$2:$AJ$601,$B$2:$B$601,B283,$Y$2:$Y$601,1))</f>
        <v/>
      </c>
      <c r="AN283" s="93" t="n">
        <f aca="false">IF(AE283="",0,IF(K283&gt;1+설정!$C$8,AG283*(AA283-LN(K283-1)),0))</f>
        <v>0</v>
      </c>
      <c r="AO283" s="99" t="n">
        <f aca="false">IF($A283="",0,SUMIFS(보유분석!$AA$2:$AA$801,보유분석!$AB$2:$AB$801,ROW(),보유분석!$AC$2:$AC$801,1))</f>
        <v>0</v>
      </c>
      <c r="AP283" s="43" t="str">
        <f aca="false">IF($A283="","",TRIM(IF(R283=1,"FRN ","")&amp;IF(IFERROR(VLOOKUP(M283,설정!$A$15:$D$47,4,0),0)&gt;=10,IF(IFERROR(VLOOKUP(M283,설정!$A$15:$D$47,4,0),0)&lt;99,"BBB0미만 ",""),"")&amp;IF(OR(M283="",M283="NR"),"등급미입력 ","")&amp;IF(C283&lt;&gt;"USD","비USD ","")))</f>
        <v/>
      </c>
      <c r="AQ283" s="90" t="n">
        <f aca="false">IF(AND(Y283=1,AL283="Cheap"),IF(AND(ISERROR(SEARCH("FRN",AP283)),ISERROR(SEARCH("BBB0미만",AP283))),AK283+ROW()/1000000000,-999),-999)</f>
        <v>-999</v>
      </c>
      <c r="AR283" s="92" t="str">
        <f aca="false">IF(AND(ISNUMBER(D283),ISNUMBER(K283)),D283+AN283*MAX(K283-1,0)/100,"")</f>
        <v/>
      </c>
      <c r="AS283" s="93" t="str">
        <f aca="false">IF(AND(ISNUMBER(E283),ISNUMBER(K283)),IF(K283&gt;0,(E283+AN283*MAX(K283-1,0))/K283,""),"")</f>
        <v/>
      </c>
      <c r="AT283" s="90" t="n">
        <f aca="false">IFERROR(IF(AND(Y283=1,ROW()&lt;&gt;스왑분석!$C$12+1,ABS(K283-INDEX($K$2:$K$601,스왑분석!$C$12))&lt;=스왑분석!$C$5,ISERROR(SEARCH("FRN",AP283)),ISERROR(SEARCH("BBB0미만",AP283))),IF(AND(OR(스왑분석!$C$6="N",L283=INDEX($L$2:$L$601,스왑분석!$C$12)),OR(스왑분석!$C$7="N",N283=INDEX($N$2:$N$601,스왑분석!$C$12)),OR(스왑분석!$C$8="N",AO283=0),E283-INDEX($E$2:$E$601,스왑분석!$C$12)&gt;=스왑분석!$C$9),E283-INDEX($E$2:$E$601,스왑분석!$C$12)+ROW()/1000000000,-999),-999),-999)</f>
        <v>-999</v>
      </c>
      <c r="AU283" s="90" t="n">
        <f aca="false">IF(AND(Y283=1,AO283&gt;0,AL283="Rich"),-AK283+ROW()/1000000000,-999)</f>
        <v>-999</v>
      </c>
    </row>
    <row r="284" customFormat="false" ht="15" hidden="false" customHeight="false" outlineLevel="0" collapsed="false">
      <c r="A284" s="83" t="n">
        <f aca="false">IFERROR(IF(INDEX(원자료_시장!$A$1:$BZ$1000,설정!$L$6+ROW()-1,설정!$L$24)&amp;""="0","",INDEX(원자료_시장!$A$1:$BZ$1000,설정!$L$6+ROW()-1,설정!$L$24)),"")</f>
        <v>0</v>
      </c>
      <c r="B284" s="83" t="n">
        <f aca="false">IFERROR(IF(INDEX(원자료_시장!$A$1:$BZ$1000,설정!$L$6+ROW()-1,설정!$L$37)&amp;""="0","",INDEX(원자료_시장!$A$1:$BZ$1000,설정!$L$6+ROW()-1,설정!$L$37)),"")</f>
        <v>0</v>
      </c>
      <c r="C284" s="83" t="n">
        <f aca="false">IFERROR(IF(INDEX(원자료_시장!$A$1:$BZ$1000,설정!$L$6+ROW()-1,설정!$L$25)&amp;""="0","",INDEX(원자료_시장!$A$1:$BZ$1000,설정!$L$6+ROW()-1,설정!$L$25)),"")</f>
        <v>0</v>
      </c>
      <c r="D284" s="85" t="str">
        <f aca="false">IFERROR(IF(ISNUMBER(INDEX(원자료_시장!$A$1:$BZ$1000,설정!$L$6+ROW()-1,설정!$L$26)),INDEX(원자료_시장!$A$1:$BZ$1000,설정!$L$6+ROW()-1,설정!$L$26),""),"")</f>
        <v/>
      </c>
      <c r="E284" s="97" t="str">
        <f aca="false">IFERROR(IF(ISNUMBER(INDEX(원자료_시장!$A$1:$BZ$1000,설정!$L$6+ROW()-1,설정!$L$27)),INDEX(원자료_시장!$A$1:$BZ$1000,설정!$L$6+ROW()-1,설정!$L$27),""),"")</f>
        <v/>
      </c>
      <c r="F284" s="97" t="str">
        <f aca="false">IFERROR(IF(ISNUMBER(INDEX(원자료_시장!$A$1:$BZ$1000,설정!$L$6+ROW()-1,설정!$L$28)),INDEX(원자료_시장!$A$1:$BZ$1000,설정!$L$6+ROW()-1,설정!$L$28),""),"")</f>
        <v/>
      </c>
      <c r="G284" s="97" t="str">
        <f aca="false">IFERROR(IF(ISNUMBER(INDEX(원자료_시장!$A$1:$BZ$1000,설정!$L$6+ROW()-1,설정!$L$29)),INDEX(원자료_시장!$A$1:$BZ$1000,설정!$L$6+ROW()-1,설정!$L$29),""),"")</f>
        <v/>
      </c>
      <c r="H284" s="97" t="str">
        <f aca="false">IFERROR(IF(ISNUMBER(INDEX(원자료_시장!$A$1:$BZ$1000,설정!$L$6+ROW()-1,설정!$L$30)),INDEX(원자료_시장!$A$1:$BZ$1000,설정!$L$6+ROW()-1,설정!$L$30),""),"")</f>
        <v/>
      </c>
      <c r="I284" s="97" t="str">
        <f aca="false">IFERROR(IF(ISNUMBER(INDEX(원자료_시장!$A$1:$BZ$1000,설정!$L$6+ROW()-1,설정!$L$31)),INDEX(원자료_시장!$A$1:$BZ$1000,설정!$L$6+ROW()-1,설정!$L$31),""),"")</f>
        <v/>
      </c>
      <c r="J284" s="97" t="str">
        <f aca="false">IFERROR(IF(ISNUMBER(INDEX(원자료_시장!$A$1:$BZ$1000,설정!$L$6+ROW()-1,설정!$L$32)),INDEX(원자료_시장!$A$1:$BZ$1000,설정!$L$6+ROW()-1,설정!$L$32),""),"")</f>
        <v/>
      </c>
      <c r="K284" s="85" t="str">
        <f aca="false">IFERROR(IF(ISNUMBER(INDEX(원자료_시장!$A$1:$BZ$1000,설정!$L$6+ROW()-1,설정!$L$33)),INDEX(원자료_시장!$A$1:$BZ$1000,설정!$L$6+ROW()-1,설정!$L$33),""),"")</f>
        <v/>
      </c>
      <c r="L284" s="83" t="n">
        <f aca="false">IFERROR(IF(INDEX(원자료_시장!$A$1:$BZ$1000,설정!$L$6+ROW()-1,설정!$L$34)&amp;""="0","",INDEX(원자료_시장!$A$1:$BZ$1000,설정!$L$6+ROW()-1,설정!$L$34)),"")</f>
        <v>0</v>
      </c>
      <c r="M284" s="83" t="n">
        <f aca="false">IFERROR(IF(INDEX(원자료_시장!$A$1:$BZ$1000,설정!$L$6+ROW()-1,설정!$L$35)&amp;""="0","",INDEX(원자료_시장!$A$1:$BZ$1000,설정!$L$6+ROW()-1,설정!$L$35)),"")</f>
        <v>0</v>
      </c>
      <c r="N284" s="83" t="n">
        <f aca="false">IFERROR(IF(INDEX(원자료_시장!$A$1:$BZ$1000,설정!$L$6+ROW()-1,설정!$L$36)&amp;""="0","",INDEX(원자료_시장!$A$1:$BZ$1000,설정!$L$6+ROW()-1,설정!$L$36)),"")</f>
        <v>0</v>
      </c>
      <c r="O284" s="43" t="str">
        <f aca="false">IF($A284="","",UPPER(LEFT($A284,FIND(" ",$A284&amp;" ")-1)))</f>
        <v/>
      </c>
      <c r="P284" s="43" t="str">
        <f aca="false">IF($A284="","",TRIM(RIGHT(SUBSTITUTE(TRIM($A284)," ",REPT(" ",30)),30)))</f>
        <v/>
      </c>
      <c r="Q284" s="98" t="str">
        <f aca="false">IF($A284="","",IFERROR(DATE(IF(LEN(P284)=8,2000+VALUE(RIGHT(P284,2)),VALUE(RIGHT(P284,4))),VALUE(LEFT(P284,2)),VALUE(MID(P284,4,2))),""))</f>
        <v/>
      </c>
      <c r="R284" s="89" t="n">
        <f aca="false">IF($A284="",0,IF(ISNUMBER(SEARCH("Float",$A284)),1,0))</f>
        <v>0</v>
      </c>
      <c r="S284" s="43" t="str">
        <f aca="false">IF($A284="","",TRIM(MID($A284,LEN(O284)+2,LEN($A284)-LEN(O284)-LEN(P284)-1)))</f>
        <v/>
      </c>
      <c r="T284" s="92" t="str">
        <f aca="false">IF(OR($A284="",R284=1),"",IFERROR(IF(ISNUMBER(FIND("/",S284)),IF(ISNUMBER(FIND(" ",S284)),VALUE(LEFT(S284,FIND(" ",S284)-1))+VALUE(MID(S284,FIND(" ",S284)+1,FIND("/",S284)-FIND(" ",S284)-1))/VALUE(MID(S284,FIND("/",S284)+1,9)),VALUE(LEFT(S284,FIND("/",S284)-1))/VALUE(MID(S284,FIND("/",S284)+1,9))),VALUE(S284)),""))</f>
        <v/>
      </c>
      <c r="U284" s="43" t="str">
        <f aca="false">IF(OR($A284="",NOT(ISNUMBER(Q284))),"",TEXT(Q284,"yyyymmdd")&amp;"|"&amp;IF(R284=1,"F",TEXT(T284,"0.000")))</f>
        <v/>
      </c>
      <c r="V284" s="43" t="str">
        <f aca="false">IF(U284="","",O284&amp;"|"&amp;U284)</f>
        <v/>
      </c>
      <c r="W284" s="43" t="str">
        <f aca="false">IF($A284="","",IFERROR(IF(VLOOKUP(O284,매핑!$A$4:$E$92,3,0)="","미분류",VLOOKUP(O284,매핑!$A$4:$E$92,3,0)),"미분류"))</f>
        <v/>
      </c>
      <c r="X284" s="89" t="n">
        <f aca="false">IF($A284="",0,IF(O284="T",1,0))</f>
        <v>0</v>
      </c>
      <c r="Y284" s="89" t="n">
        <f aca="false">IF($A284="",0,IF(AND(C284="USD",X284=0,ISNUMBER(E284),ISNUMBER(K284)),IF(K284&gt;=설정!$C$8,1,0),0))</f>
        <v>0</v>
      </c>
      <c r="Z284" s="43" t="str">
        <f aca="false">IF($A284="","",N284&amp;"|"&amp;L284)</f>
        <v/>
      </c>
      <c r="AA284" s="92" t="n">
        <f aca="false">IF(Y284=1,LN(K284),0)</f>
        <v>0</v>
      </c>
      <c r="AB284" s="93" t="n">
        <f aca="false">IF(Y284=1,E284,0)</f>
        <v>0</v>
      </c>
      <c r="AC284" s="89" t="n">
        <f aca="false">IF(Y284=1,COUNTIFS($Z$2:$Z$601,Z284,$Y$2:$Y$601,1),0)</f>
        <v>0</v>
      </c>
      <c r="AD284" s="89" t="n">
        <f aca="false">IF(Y284=1,COUNTIFS($N$2:$N$601,N284,$Y$2:$Y$601,1),0)</f>
        <v>0</v>
      </c>
      <c r="AE284" s="43" t="str">
        <f aca="false">IF(Y284&lt;&gt;1,"",IF(AND(AC284&gt;=설정!$C$7,ISNUMBER(MATCH(Z284,피어커브!$A:$A,0))),Z284,IF(AND(AD284&gt;=설정!$C$7,ISNUMBER(MATCH(N284&amp;"|전체",피어커브!$A:$A,0))),N284&amp;"|전체","전체|전체")))</f>
        <v/>
      </c>
      <c r="AF284" s="93" t="str">
        <f aca="false">IF(AE284="","",INDEX(피어커브!$K:$K,MATCH(AE284,피어커브!$A:$A,0)))</f>
        <v/>
      </c>
      <c r="AG284" s="93" t="str">
        <f aca="false">IF(AE284="","",INDEX(피어커브!$J:$J,MATCH(AE284,피어커브!$A:$A,0)))</f>
        <v/>
      </c>
      <c r="AH284" s="93" t="str">
        <f aca="false">IF(AE284="","",INDEX(피어커브!$L:$L,MATCH(AE284,피어커브!$A:$A,0)))</f>
        <v/>
      </c>
      <c r="AI284" s="93" t="str">
        <f aca="false">IF(AE284="","",AF284+AG284*AA284)</f>
        <v/>
      </c>
      <c r="AJ284" s="96" t="str">
        <f aca="false">IF(AE284="","",E284-AI284)</f>
        <v/>
      </c>
      <c r="AK284" s="95" t="str">
        <f aca="false">IF(AE284="","",IF(ISNUMBER(AH284),IF(AH284&gt;0,AJ284/AH284,""),""))</f>
        <v/>
      </c>
      <c r="AL284" s="43" t="str">
        <f aca="false">IF(AK284="","-",IF(AK284&gt;=설정!$C$6,"Cheap",IF(AK284&lt;=-설정!$C$6,"Rich","Fair")))</f>
        <v>-</v>
      </c>
      <c r="AM284" s="96" t="str">
        <f aca="false">IF(AE284="","",AJ284-AVERAGEIFS($AJ$2:$AJ$601,$B$2:$B$601,B284,$Y$2:$Y$601,1))</f>
        <v/>
      </c>
      <c r="AN284" s="93" t="n">
        <f aca="false">IF(AE284="",0,IF(K284&gt;1+설정!$C$8,AG284*(AA284-LN(K284-1)),0))</f>
        <v>0</v>
      </c>
      <c r="AO284" s="99" t="n">
        <f aca="false">IF($A284="",0,SUMIFS(보유분석!$AA$2:$AA$801,보유분석!$AB$2:$AB$801,ROW(),보유분석!$AC$2:$AC$801,1))</f>
        <v>0</v>
      </c>
      <c r="AP284" s="43" t="str">
        <f aca="false">IF($A284="","",TRIM(IF(R284=1,"FRN ","")&amp;IF(IFERROR(VLOOKUP(M284,설정!$A$15:$D$47,4,0),0)&gt;=10,IF(IFERROR(VLOOKUP(M284,설정!$A$15:$D$47,4,0),0)&lt;99,"BBB0미만 ",""),"")&amp;IF(OR(M284="",M284="NR"),"등급미입력 ","")&amp;IF(C284&lt;&gt;"USD","비USD ","")))</f>
        <v/>
      </c>
      <c r="AQ284" s="90" t="n">
        <f aca="false">IF(AND(Y284=1,AL284="Cheap"),IF(AND(ISERROR(SEARCH("FRN",AP284)),ISERROR(SEARCH("BBB0미만",AP284))),AK284+ROW()/1000000000,-999),-999)</f>
        <v>-999</v>
      </c>
      <c r="AR284" s="92" t="str">
        <f aca="false">IF(AND(ISNUMBER(D284),ISNUMBER(K284)),D284+AN284*MAX(K284-1,0)/100,"")</f>
        <v/>
      </c>
      <c r="AS284" s="93" t="str">
        <f aca="false">IF(AND(ISNUMBER(E284),ISNUMBER(K284)),IF(K284&gt;0,(E284+AN284*MAX(K284-1,0))/K284,""),"")</f>
        <v/>
      </c>
      <c r="AT284" s="90" t="n">
        <f aca="false">IFERROR(IF(AND(Y284=1,ROW()&lt;&gt;스왑분석!$C$12+1,ABS(K284-INDEX($K$2:$K$601,스왑분석!$C$12))&lt;=스왑분석!$C$5,ISERROR(SEARCH("FRN",AP284)),ISERROR(SEARCH("BBB0미만",AP284))),IF(AND(OR(스왑분석!$C$6="N",L284=INDEX($L$2:$L$601,스왑분석!$C$12)),OR(스왑분석!$C$7="N",N284=INDEX($N$2:$N$601,스왑분석!$C$12)),OR(스왑분석!$C$8="N",AO284=0),E284-INDEX($E$2:$E$601,스왑분석!$C$12)&gt;=스왑분석!$C$9),E284-INDEX($E$2:$E$601,스왑분석!$C$12)+ROW()/1000000000,-999),-999),-999)</f>
        <v>-999</v>
      </c>
      <c r="AU284" s="90" t="n">
        <f aca="false">IF(AND(Y284=1,AO284&gt;0,AL284="Rich"),-AK284+ROW()/1000000000,-999)</f>
        <v>-999</v>
      </c>
    </row>
    <row r="285" customFormat="false" ht="15" hidden="false" customHeight="false" outlineLevel="0" collapsed="false">
      <c r="A285" s="83" t="n">
        <f aca="false">IFERROR(IF(INDEX(원자료_시장!$A$1:$BZ$1000,설정!$L$6+ROW()-1,설정!$L$24)&amp;""="0","",INDEX(원자료_시장!$A$1:$BZ$1000,설정!$L$6+ROW()-1,설정!$L$24)),"")</f>
        <v>0</v>
      </c>
      <c r="B285" s="83" t="n">
        <f aca="false">IFERROR(IF(INDEX(원자료_시장!$A$1:$BZ$1000,설정!$L$6+ROW()-1,설정!$L$37)&amp;""="0","",INDEX(원자료_시장!$A$1:$BZ$1000,설정!$L$6+ROW()-1,설정!$L$37)),"")</f>
        <v>0</v>
      </c>
      <c r="C285" s="83" t="n">
        <f aca="false">IFERROR(IF(INDEX(원자료_시장!$A$1:$BZ$1000,설정!$L$6+ROW()-1,설정!$L$25)&amp;""="0","",INDEX(원자료_시장!$A$1:$BZ$1000,설정!$L$6+ROW()-1,설정!$L$25)),"")</f>
        <v>0</v>
      </c>
      <c r="D285" s="85" t="str">
        <f aca="false">IFERROR(IF(ISNUMBER(INDEX(원자료_시장!$A$1:$BZ$1000,설정!$L$6+ROW()-1,설정!$L$26)),INDEX(원자료_시장!$A$1:$BZ$1000,설정!$L$6+ROW()-1,설정!$L$26),""),"")</f>
        <v/>
      </c>
      <c r="E285" s="97" t="str">
        <f aca="false">IFERROR(IF(ISNUMBER(INDEX(원자료_시장!$A$1:$BZ$1000,설정!$L$6+ROW()-1,설정!$L$27)),INDEX(원자료_시장!$A$1:$BZ$1000,설정!$L$6+ROW()-1,설정!$L$27),""),"")</f>
        <v/>
      </c>
      <c r="F285" s="97" t="str">
        <f aca="false">IFERROR(IF(ISNUMBER(INDEX(원자료_시장!$A$1:$BZ$1000,설정!$L$6+ROW()-1,설정!$L$28)),INDEX(원자료_시장!$A$1:$BZ$1000,설정!$L$6+ROW()-1,설정!$L$28),""),"")</f>
        <v/>
      </c>
      <c r="G285" s="97" t="str">
        <f aca="false">IFERROR(IF(ISNUMBER(INDEX(원자료_시장!$A$1:$BZ$1000,설정!$L$6+ROW()-1,설정!$L$29)),INDEX(원자료_시장!$A$1:$BZ$1000,설정!$L$6+ROW()-1,설정!$L$29),""),"")</f>
        <v/>
      </c>
      <c r="H285" s="97" t="str">
        <f aca="false">IFERROR(IF(ISNUMBER(INDEX(원자료_시장!$A$1:$BZ$1000,설정!$L$6+ROW()-1,설정!$L$30)),INDEX(원자료_시장!$A$1:$BZ$1000,설정!$L$6+ROW()-1,설정!$L$30),""),"")</f>
        <v/>
      </c>
      <c r="I285" s="97" t="str">
        <f aca="false">IFERROR(IF(ISNUMBER(INDEX(원자료_시장!$A$1:$BZ$1000,설정!$L$6+ROW()-1,설정!$L$31)),INDEX(원자료_시장!$A$1:$BZ$1000,설정!$L$6+ROW()-1,설정!$L$31),""),"")</f>
        <v/>
      </c>
      <c r="J285" s="97" t="str">
        <f aca="false">IFERROR(IF(ISNUMBER(INDEX(원자료_시장!$A$1:$BZ$1000,설정!$L$6+ROW()-1,설정!$L$32)),INDEX(원자료_시장!$A$1:$BZ$1000,설정!$L$6+ROW()-1,설정!$L$32),""),"")</f>
        <v/>
      </c>
      <c r="K285" s="85" t="str">
        <f aca="false">IFERROR(IF(ISNUMBER(INDEX(원자료_시장!$A$1:$BZ$1000,설정!$L$6+ROW()-1,설정!$L$33)),INDEX(원자료_시장!$A$1:$BZ$1000,설정!$L$6+ROW()-1,설정!$L$33),""),"")</f>
        <v/>
      </c>
      <c r="L285" s="83" t="n">
        <f aca="false">IFERROR(IF(INDEX(원자료_시장!$A$1:$BZ$1000,설정!$L$6+ROW()-1,설정!$L$34)&amp;""="0","",INDEX(원자료_시장!$A$1:$BZ$1000,설정!$L$6+ROW()-1,설정!$L$34)),"")</f>
        <v>0</v>
      </c>
      <c r="M285" s="83" t="n">
        <f aca="false">IFERROR(IF(INDEX(원자료_시장!$A$1:$BZ$1000,설정!$L$6+ROW()-1,설정!$L$35)&amp;""="0","",INDEX(원자료_시장!$A$1:$BZ$1000,설정!$L$6+ROW()-1,설정!$L$35)),"")</f>
        <v>0</v>
      </c>
      <c r="N285" s="83" t="n">
        <f aca="false">IFERROR(IF(INDEX(원자료_시장!$A$1:$BZ$1000,설정!$L$6+ROW()-1,설정!$L$36)&amp;""="0","",INDEX(원자료_시장!$A$1:$BZ$1000,설정!$L$6+ROW()-1,설정!$L$36)),"")</f>
        <v>0</v>
      </c>
      <c r="O285" s="43" t="str">
        <f aca="false">IF($A285="","",UPPER(LEFT($A285,FIND(" ",$A285&amp;" ")-1)))</f>
        <v/>
      </c>
      <c r="P285" s="43" t="str">
        <f aca="false">IF($A285="","",TRIM(RIGHT(SUBSTITUTE(TRIM($A285)," ",REPT(" ",30)),30)))</f>
        <v/>
      </c>
      <c r="Q285" s="98" t="str">
        <f aca="false">IF($A285="","",IFERROR(DATE(IF(LEN(P285)=8,2000+VALUE(RIGHT(P285,2)),VALUE(RIGHT(P285,4))),VALUE(LEFT(P285,2)),VALUE(MID(P285,4,2))),""))</f>
        <v/>
      </c>
      <c r="R285" s="89" t="n">
        <f aca="false">IF($A285="",0,IF(ISNUMBER(SEARCH("Float",$A285)),1,0))</f>
        <v>0</v>
      </c>
      <c r="S285" s="43" t="str">
        <f aca="false">IF($A285="","",TRIM(MID($A285,LEN(O285)+2,LEN($A285)-LEN(O285)-LEN(P285)-1)))</f>
        <v/>
      </c>
      <c r="T285" s="92" t="str">
        <f aca="false">IF(OR($A285="",R285=1),"",IFERROR(IF(ISNUMBER(FIND("/",S285)),IF(ISNUMBER(FIND(" ",S285)),VALUE(LEFT(S285,FIND(" ",S285)-1))+VALUE(MID(S285,FIND(" ",S285)+1,FIND("/",S285)-FIND(" ",S285)-1))/VALUE(MID(S285,FIND("/",S285)+1,9)),VALUE(LEFT(S285,FIND("/",S285)-1))/VALUE(MID(S285,FIND("/",S285)+1,9))),VALUE(S285)),""))</f>
        <v/>
      </c>
      <c r="U285" s="43" t="str">
        <f aca="false">IF(OR($A285="",NOT(ISNUMBER(Q285))),"",TEXT(Q285,"yyyymmdd")&amp;"|"&amp;IF(R285=1,"F",TEXT(T285,"0.000")))</f>
        <v/>
      </c>
      <c r="V285" s="43" t="str">
        <f aca="false">IF(U285="","",O285&amp;"|"&amp;U285)</f>
        <v/>
      </c>
      <c r="W285" s="43" t="str">
        <f aca="false">IF($A285="","",IFERROR(IF(VLOOKUP(O285,매핑!$A$4:$E$92,3,0)="","미분류",VLOOKUP(O285,매핑!$A$4:$E$92,3,0)),"미분류"))</f>
        <v/>
      </c>
      <c r="X285" s="89" t="n">
        <f aca="false">IF($A285="",0,IF(O285="T",1,0))</f>
        <v>0</v>
      </c>
      <c r="Y285" s="89" t="n">
        <f aca="false">IF($A285="",0,IF(AND(C285="USD",X285=0,ISNUMBER(E285),ISNUMBER(K285)),IF(K285&gt;=설정!$C$8,1,0),0))</f>
        <v>0</v>
      </c>
      <c r="Z285" s="43" t="str">
        <f aca="false">IF($A285="","",N285&amp;"|"&amp;L285)</f>
        <v/>
      </c>
      <c r="AA285" s="92" t="n">
        <f aca="false">IF(Y285=1,LN(K285),0)</f>
        <v>0</v>
      </c>
      <c r="AB285" s="93" t="n">
        <f aca="false">IF(Y285=1,E285,0)</f>
        <v>0</v>
      </c>
      <c r="AC285" s="89" t="n">
        <f aca="false">IF(Y285=1,COUNTIFS($Z$2:$Z$601,Z285,$Y$2:$Y$601,1),0)</f>
        <v>0</v>
      </c>
      <c r="AD285" s="89" t="n">
        <f aca="false">IF(Y285=1,COUNTIFS($N$2:$N$601,N285,$Y$2:$Y$601,1),0)</f>
        <v>0</v>
      </c>
      <c r="AE285" s="43" t="str">
        <f aca="false">IF(Y285&lt;&gt;1,"",IF(AND(AC285&gt;=설정!$C$7,ISNUMBER(MATCH(Z285,피어커브!$A:$A,0))),Z285,IF(AND(AD285&gt;=설정!$C$7,ISNUMBER(MATCH(N285&amp;"|전체",피어커브!$A:$A,0))),N285&amp;"|전체","전체|전체")))</f>
        <v/>
      </c>
      <c r="AF285" s="93" t="str">
        <f aca="false">IF(AE285="","",INDEX(피어커브!$K:$K,MATCH(AE285,피어커브!$A:$A,0)))</f>
        <v/>
      </c>
      <c r="AG285" s="93" t="str">
        <f aca="false">IF(AE285="","",INDEX(피어커브!$J:$J,MATCH(AE285,피어커브!$A:$A,0)))</f>
        <v/>
      </c>
      <c r="AH285" s="93" t="str">
        <f aca="false">IF(AE285="","",INDEX(피어커브!$L:$L,MATCH(AE285,피어커브!$A:$A,0)))</f>
        <v/>
      </c>
      <c r="AI285" s="93" t="str">
        <f aca="false">IF(AE285="","",AF285+AG285*AA285)</f>
        <v/>
      </c>
      <c r="AJ285" s="96" t="str">
        <f aca="false">IF(AE285="","",E285-AI285)</f>
        <v/>
      </c>
      <c r="AK285" s="95" t="str">
        <f aca="false">IF(AE285="","",IF(ISNUMBER(AH285),IF(AH285&gt;0,AJ285/AH285,""),""))</f>
        <v/>
      </c>
      <c r="AL285" s="43" t="str">
        <f aca="false">IF(AK285="","-",IF(AK285&gt;=설정!$C$6,"Cheap",IF(AK285&lt;=-설정!$C$6,"Rich","Fair")))</f>
        <v>-</v>
      </c>
      <c r="AM285" s="96" t="str">
        <f aca="false">IF(AE285="","",AJ285-AVERAGEIFS($AJ$2:$AJ$601,$B$2:$B$601,B285,$Y$2:$Y$601,1))</f>
        <v/>
      </c>
      <c r="AN285" s="93" t="n">
        <f aca="false">IF(AE285="",0,IF(K285&gt;1+설정!$C$8,AG285*(AA285-LN(K285-1)),0))</f>
        <v>0</v>
      </c>
      <c r="AO285" s="99" t="n">
        <f aca="false">IF($A285="",0,SUMIFS(보유분석!$AA$2:$AA$801,보유분석!$AB$2:$AB$801,ROW(),보유분석!$AC$2:$AC$801,1))</f>
        <v>0</v>
      </c>
      <c r="AP285" s="43" t="str">
        <f aca="false">IF($A285="","",TRIM(IF(R285=1,"FRN ","")&amp;IF(IFERROR(VLOOKUP(M285,설정!$A$15:$D$47,4,0),0)&gt;=10,IF(IFERROR(VLOOKUP(M285,설정!$A$15:$D$47,4,0),0)&lt;99,"BBB0미만 ",""),"")&amp;IF(OR(M285="",M285="NR"),"등급미입력 ","")&amp;IF(C285&lt;&gt;"USD","비USD ","")))</f>
        <v/>
      </c>
      <c r="AQ285" s="90" t="n">
        <f aca="false">IF(AND(Y285=1,AL285="Cheap"),IF(AND(ISERROR(SEARCH("FRN",AP285)),ISERROR(SEARCH("BBB0미만",AP285))),AK285+ROW()/1000000000,-999),-999)</f>
        <v>-999</v>
      </c>
      <c r="AR285" s="92" t="str">
        <f aca="false">IF(AND(ISNUMBER(D285),ISNUMBER(K285)),D285+AN285*MAX(K285-1,0)/100,"")</f>
        <v/>
      </c>
      <c r="AS285" s="93" t="str">
        <f aca="false">IF(AND(ISNUMBER(E285),ISNUMBER(K285)),IF(K285&gt;0,(E285+AN285*MAX(K285-1,0))/K285,""),"")</f>
        <v/>
      </c>
      <c r="AT285" s="90" t="n">
        <f aca="false">IFERROR(IF(AND(Y285=1,ROW()&lt;&gt;스왑분석!$C$12+1,ABS(K285-INDEX($K$2:$K$601,스왑분석!$C$12))&lt;=스왑분석!$C$5,ISERROR(SEARCH("FRN",AP285)),ISERROR(SEARCH("BBB0미만",AP285))),IF(AND(OR(스왑분석!$C$6="N",L285=INDEX($L$2:$L$601,스왑분석!$C$12)),OR(스왑분석!$C$7="N",N285=INDEX($N$2:$N$601,스왑분석!$C$12)),OR(스왑분석!$C$8="N",AO285=0),E285-INDEX($E$2:$E$601,스왑분석!$C$12)&gt;=스왑분석!$C$9),E285-INDEX($E$2:$E$601,스왑분석!$C$12)+ROW()/1000000000,-999),-999),-999)</f>
        <v>-999</v>
      </c>
      <c r="AU285" s="90" t="n">
        <f aca="false">IF(AND(Y285=1,AO285&gt;0,AL285="Rich"),-AK285+ROW()/1000000000,-999)</f>
        <v>-999</v>
      </c>
    </row>
    <row r="286" customFormat="false" ht="15" hidden="false" customHeight="false" outlineLevel="0" collapsed="false">
      <c r="A286" s="83" t="n">
        <f aca="false">IFERROR(IF(INDEX(원자료_시장!$A$1:$BZ$1000,설정!$L$6+ROW()-1,설정!$L$24)&amp;""="0","",INDEX(원자료_시장!$A$1:$BZ$1000,설정!$L$6+ROW()-1,설정!$L$24)),"")</f>
        <v>0</v>
      </c>
      <c r="B286" s="83" t="n">
        <f aca="false">IFERROR(IF(INDEX(원자료_시장!$A$1:$BZ$1000,설정!$L$6+ROW()-1,설정!$L$37)&amp;""="0","",INDEX(원자료_시장!$A$1:$BZ$1000,설정!$L$6+ROW()-1,설정!$L$37)),"")</f>
        <v>0</v>
      </c>
      <c r="C286" s="83" t="n">
        <f aca="false">IFERROR(IF(INDEX(원자료_시장!$A$1:$BZ$1000,설정!$L$6+ROW()-1,설정!$L$25)&amp;""="0","",INDEX(원자료_시장!$A$1:$BZ$1000,설정!$L$6+ROW()-1,설정!$L$25)),"")</f>
        <v>0</v>
      </c>
      <c r="D286" s="85" t="str">
        <f aca="false">IFERROR(IF(ISNUMBER(INDEX(원자료_시장!$A$1:$BZ$1000,설정!$L$6+ROW()-1,설정!$L$26)),INDEX(원자료_시장!$A$1:$BZ$1000,설정!$L$6+ROW()-1,설정!$L$26),""),"")</f>
        <v/>
      </c>
      <c r="E286" s="97" t="str">
        <f aca="false">IFERROR(IF(ISNUMBER(INDEX(원자료_시장!$A$1:$BZ$1000,설정!$L$6+ROW()-1,설정!$L$27)),INDEX(원자료_시장!$A$1:$BZ$1000,설정!$L$6+ROW()-1,설정!$L$27),""),"")</f>
        <v/>
      </c>
      <c r="F286" s="97" t="str">
        <f aca="false">IFERROR(IF(ISNUMBER(INDEX(원자료_시장!$A$1:$BZ$1000,설정!$L$6+ROW()-1,설정!$L$28)),INDEX(원자료_시장!$A$1:$BZ$1000,설정!$L$6+ROW()-1,설정!$L$28),""),"")</f>
        <v/>
      </c>
      <c r="G286" s="97" t="str">
        <f aca="false">IFERROR(IF(ISNUMBER(INDEX(원자료_시장!$A$1:$BZ$1000,설정!$L$6+ROW()-1,설정!$L$29)),INDEX(원자료_시장!$A$1:$BZ$1000,설정!$L$6+ROW()-1,설정!$L$29),""),"")</f>
        <v/>
      </c>
      <c r="H286" s="97" t="str">
        <f aca="false">IFERROR(IF(ISNUMBER(INDEX(원자료_시장!$A$1:$BZ$1000,설정!$L$6+ROW()-1,설정!$L$30)),INDEX(원자료_시장!$A$1:$BZ$1000,설정!$L$6+ROW()-1,설정!$L$30),""),"")</f>
        <v/>
      </c>
      <c r="I286" s="97" t="str">
        <f aca="false">IFERROR(IF(ISNUMBER(INDEX(원자료_시장!$A$1:$BZ$1000,설정!$L$6+ROW()-1,설정!$L$31)),INDEX(원자료_시장!$A$1:$BZ$1000,설정!$L$6+ROW()-1,설정!$L$31),""),"")</f>
        <v/>
      </c>
      <c r="J286" s="97" t="str">
        <f aca="false">IFERROR(IF(ISNUMBER(INDEX(원자료_시장!$A$1:$BZ$1000,설정!$L$6+ROW()-1,설정!$L$32)),INDEX(원자료_시장!$A$1:$BZ$1000,설정!$L$6+ROW()-1,설정!$L$32),""),"")</f>
        <v/>
      </c>
      <c r="K286" s="85" t="str">
        <f aca="false">IFERROR(IF(ISNUMBER(INDEX(원자료_시장!$A$1:$BZ$1000,설정!$L$6+ROW()-1,설정!$L$33)),INDEX(원자료_시장!$A$1:$BZ$1000,설정!$L$6+ROW()-1,설정!$L$33),""),"")</f>
        <v/>
      </c>
      <c r="L286" s="83" t="n">
        <f aca="false">IFERROR(IF(INDEX(원자료_시장!$A$1:$BZ$1000,설정!$L$6+ROW()-1,설정!$L$34)&amp;""="0","",INDEX(원자료_시장!$A$1:$BZ$1000,설정!$L$6+ROW()-1,설정!$L$34)),"")</f>
        <v>0</v>
      </c>
      <c r="M286" s="83" t="n">
        <f aca="false">IFERROR(IF(INDEX(원자료_시장!$A$1:$BZ$1000,설정!$L$6+ROW()-1,설정!$L$35)&amp;""="0","",INDEX(원자료_시장!$A$1:$BZ$1000,설정!$L$6+ROW()-1,설정!$L$35)),"")</f>
        <v>0</v>
      </c>
      <c r="N286" s="83" t="n">
        <f aca="false">IFERROR(IF(INDEX(원자료_시장!$A$1:$BZ$1000,설정!$L$6+ROW()-1,설정!$L$36)&amp;""="0","",INDEX(원자료_시장!$A$1:$BZ$1000,설정!$L$6+ROW()-1,설정!$L$36)),"")</f>
        <v>0</v>
      </c>
      <c r="O286" s="43" t="str">
        <f aca="false">IF($A286="","",UPPER(LEFT($A286,FIND(" ",$A286&amp;" ")-1)))</f>
        <v/>
      </c>
      <c r="P286" s="43" t="str">
        <f aca="false">IF($A286="","",TRIM(RIGHT(SUBSTITUTE(TRIM($A286)," ",REPT(" ",30)),30)))</f>
        <v/>
      </c>
      <c r="Q286" s="98" t="str">
        <f aca="false">IF($A286="","",IFERROR(DATE(IF(LEN(P286)=8,2000+VALUE(RIGHT(P286,2)),VALUE(RIGHT(P286,4))),VALUE(LEFT(P286,2)),VALUE(MID(P286,4,2))),""))</f>
        <v/>
      </c>
      <c r="R286" s="89" t="n">
        <f aca="false">IF($A286="",0,IF(ISNUMBER(SEARCH("Float",$A286)),1,0))</f>
        <v>0</v>
      </c>
      <c r="S286" s="43" t="str">
        <f aca="false">IF($A286="","",TRIM(MID($A286,LEN(O286)+2,LEN($A286)-LEN(O286)-LEN(P286)-1)))</f>
        <v/>
      </c>
      <c r="T286" s="92" t="str">
        <f aca="false">IF(OR($A286="",R286=1),"",IFERROR(IF(ISNUMBER(FIND("/",S286)),IF(ISNUMBER(FIND(" ",S286)),VALUE(LEFT(S286,FIND(" ",S286)-1))+VALUE(MID(S286,FIND(" ",S286)+1,FIND("/",S286)-FIND(" ",S286)-1))/VALUE(MID(S286,FIND("/",S286)+1,9)),VALUE(LEFT(S286,FIND("/",S286)-1))/VALUE(MID(S286,FIND("/",S286)+1,9))),VALUE(S286)),""))</f>
        <v/>
      </c>
      <c r="U286" s="43" t="str">
        <f aca="false">IF(OR($A286="",NOT(ISNUMBER(Q286))),"",TEXT(Q286,"yyyymmdd")&amp;"|"&amp;IF(R286=1,"F",TEXT(T286,"0.000")))</f>
        <v/>
      </c>
      <c r="V286" s="43" t="str">
        <f aca="false">IF(U286="","",O286&amp;"|"&amp;U286)</f>
        <v/>
      </c>
      <c r="W286" s="43" t="str">
        <f aca="false">IF($A286="","",IFERROR(IF(VLOOKUP(O286,매핑!$A$4:$E$92,3,0)="","미분류",VLOOKUP(O286,매핑!$A$4:$E$92,3,0)),"미분류"))</f>
        <v/>
      </c>
      <c r="X286" s="89" t="n">
        <f aca="false">IF($A286="",0,IF(O286="T",1,0))</f>
        <v>0</v>
      </c>
      <c r="Y286" s="89" t="n">
        <f aca="false">IF($A286="",0,IF(AND(C286="USD",X286=0,ISNUMBER(E286),ISNUMBER(K286)),IF(K286&gt;=설정!$C$8,1,0),0))</f>
        <v>0</v>
      </c>
      <c r="Z286" s="43" t="str">
        <f aca="false">IF($A286="","",N286&amp;"|"&amp;L286)</f>
        <v/>
      </c>
      <c r="AA286" s="92" t="n">
        <f aca="false">IF(Y286=1,LN(K286),0)</f>
        <v>0</v>
      </c>
      <c r="AB286" s="93" t="n">
        <f aca="false">IF(Y286=1,E286,0)</f>
        <v>0</v>
      </c>
      <c r="AC286" s="89" t="n">
        <f aca="false">IF(Y286=1,COUNTIFS($Z$2:$Z$601,Z286,$Y$2:$Y$601,1),0)</f>
        <v>0</v>
      </c>
      <c r="AD286" s="89" t="n">
        <f aca="false">IF(Y286=1,COUNTIFS($N$2:$N$601,N286,$Y$2:$Y$601,1),0)</f>
        <v>0</v>
      </c>
      <c r="AE286" s="43" t="str">
        <f aca="false">IF(Y286&lt;&gt;1,"",IF(AND(AC286&gt;=설정!$C$7,ISNUMBER(MATCH(Z286,피어커브!$A:$A,0))),Z286,IF(AND(AD286&gt;=설정!$C$7,ISNUMBER(MATCH(N286&amp;"|전체",피어커브!$A:$A,0))),N286&amp;"|전체","전체|전체")))</f>
        <v/>
      </c>
      <c r="AF286" s="93" t="str">
        <f aca="false">IF(AE286="","",INDEX(피어커브!$K:$K,MATCH(AE286,피어커브!$A:$A,0)))</f>
        <v/>
      </c>
      <c r="AG286" s="93" t="str">
        <f aca="false">IF(AE286="","",INDEX(피어커브!$J:$J,MATCH(AE286,피어커브!$A:$A,0)))</f>
        <v/>
      </c>
      <c r="AH286" s="93" t="str">
        <f aca="false">IF(AE286="","",INDEX(피어커브!$L:$L,MATCH(AE286,피어커브!$A:$A,0)))</f>
        <v/>
      </c>
      <c r="AI286" s="93" t="str">
        <f aca="false">IF(AE286="","",AF286+AG286*AA286)</f>
        <v/>
      </c>
      <c r="AJ286" s="96" t="str">
        <f aca="false">IF(AE286="","",E286-AI286)</f>
        <v/>
      </c>
      <c r="AK286" s="95" t="str">
        <f aca="false">IF(AE286="","",IF(ISNUMBER(AH286),IF(AH286&gt;0,AJ286/AH286,""),""))</f>
        <v/>
      </c>
      <c r="AL286" s="43" t="str">
        <f aca="false">IF(AK286="","-",IF(AK286&gt;=설정!$C$6,"Cheap",IF(AK286&lt;=-설정!$C$6,"Rich","Fair")))</f>
        <v>-</v>
      </c>
      <c r="AM286" s="96" t="str">
        <f aca="false">IF(AE286="","",AJ286-AVERAGEIFS($AJ$2:$AJ$601,$B$2:$B$601,B286,$Y$2:$Y$601,1))</f>
        <v/>
      </c>
      <c r="AN286" s="93" t="n">
        <f aca="false">IF(AE286="",0,IF(K286&gt;1+설정!$C$8,AG286*(AA286-LN(K286-1)),0))</f>
        <v>0</v>
      </c>
      <c r="AO286" s="99" t="n">
        <f aca="false">IF($A286="",0,SUMIFS(보유분석!$AA$2:$AA$801,보유분석!$AB$2:$AB$801,ROW(),보유분석!$AC$2:$AC$801,1))</f>
        <v>0</v>
      </c>
      <c r="AP286" s="43" t="str">
        <f aca="false">IF($A286="","",TRIM(IF(R286=1,"FRN ","")&amp;IF(IFERROR(VLOOKUP(M286,설정!$A$15:$D$47,4,0),0)&gt;=10,IF(IFERROR(VLOOKUP(M286,설정!$A$15:$D$47,4,0),0)&lt;99,"BBB0미만 ",""),"")&amp;IF(OR(M286="",M286="NR"),"등급미입력 ","")&amp;IF(C286&lt;&gt;"USD","비USD ","")))</f>
        <v/>
      </c>
      <c r="AQ286" s="90" t="n">
        <f aca="false">IF(AND(Y286=1,AL286="Cheap"),IF(AND(ISERROR(SEARCH("FRN",AP286)),ISERROR(SEARCH("BBB0미만",AP286))),AK286+ROW()/1000000000,-999),-999)</f>
        <v>-999</v>
      </c>
      <c r="AR286" s="92" t="str">
        <f aca="false">IF(AND(ISNUMBER(D286),ISNUMBER(K286)),D286+AN286*MAX(K286-1,0)/100,"")</f>
        <v/>
      </c>
      <c r="AS286" s="93" t="str">
        <f aca="false">IF(AND(ISNUMBER(E286),ISNUMBER(K286)),IF(K286&gt;0,(E286+AN286*MAX(K286-1,0))/K286,""),"")</f>
        <v/>
      </c>
      <c r="AT286" s="90" t="n">
        <f aca="false">IFERROR(IF(AND(Y286=1,ROW()&lt;&gt;스왑분석!$C$12+1,ABS(K286-INDEX($K$2:$K$601,스왑분석!$C$12))&lt;=스왑분석!$C$5,ISERROR(SEARCH("FRN",AP286)),ISERROR(SEARCH("BBB0미만",AP286))),IF(AND(OR(스왑분석!$C$6="N",L286=INDEX($L$2:$L$601,스왑분석!$C$12)),OR(스왑분석!$C$7="N",N286=INDEX($N$2:$N$601,스왑분석!$C$12)),OR(스왑분석!$C$8="N",AO286=0),E286-INDEX($E$2:$E$601,스왑분석!$C$12)&gt;=스왑분석!$C$9),E286-INDEX($E$2:$E$601,스왑분석!$C$12)+ROW()/1000000000,-999),-999),-999)</f>
        <v>-999</v>
      </c>
      <c r="AU286" s="90" t="n">
        <f aca="false">IF(AND(Y286=1,AO286&gt;0,AL286="Rich"),-AK286+ROW()/1000000000,-999)</f>
        <v>-999</v>
      </c>
    </row>
    <row r="287" customFormat="false" ht="15" hidden="false" customHeight="false" outlineLevel="0" collapsed="false">
      <c r="A287" s="83" t="n">
        <f aca="false">IFERROR(IF(INDEX(원자료_시장!$A$1:$BZ$1000,설정!$L$6+ROW()-1,설정!$L$24)&amp;""="0","",INDEX(원자료_시장!$A$1:$BZ$1000,설정!$L$6+ROW()-1,설정!$L$24)),"")</f>
        <v>0</v>
      </c>
      <c r="B287" s="83" t="n">
        <f aca="false">IFERROR(IF(INDEX(원자료_시장!$A$1:$BZ$1000,설정!$L$6+ROW()-1,설정!$L$37)&amp;""="0","",INDEX(원자료_시장!$A$1:$BZ$1000,설정!$L$6+ROW()-1,설정!$L$37)),"")</f>
        <v>0</v>
      </c>
      <c r="C287" s="83" t="n">
        <f aca="false">IFERROR(IF(INDEX(원자료_시장!$A$1:$BZ$1000,설정!$L$6+ROW()-1,설정!$L$25)&amp;""="0","",INDEX(원자료_시장!$A$1:$BZ$1000,설정!$L$6+ROW()-1,설정!$L$25)),"")</f>
        <v>0</v>
      </c>
      <c r="D287" s="85" t="str">
        <f aca="false">IFERROR(IF(ISNUMBER(INDEX(원자료_시장!$A$1:$BZ$1000,설정!$L$6+ROW()-1,설정!$L$26)),INDEX(원자료_시장!$A$1:$BZ$1000,설정!$L$6+ROW()-1,설정!$L$26),""),"")</f>
        <v/>
      </c>
      <c r="E287" s="97" t="str">
        <f aca="false">IFERROR(IF(ISNUMBER(INDEX(원자료_시장!$A$1:$BZ$1000,설정!$L$6+ROW()-1,설정!$L$27)),INDEX(원자료_시장!$A$1:$BZ$1000,설정!$L$6+ROW()-1,설정!$L$27),""),"")</f>
        <v/>
      </c>
      <c r="F287" s="97" t="str">
        <f aca="false">IFERROR(IF(ISNUMBER(INDEX(원자료_시장!$A$1:$BZ$1000,설정!$L$6+ROW()-1,설정!$L$28)),INDEX(원자료_시장!$A$1:$BZ$1000,설정!$L$6+ROW()-1,설정!$L$28),""),"")</f>
        <v/>
      </c>
      <c r="G287" s="97" t="str">
        <f aca="false">IFERROR(IF(ISNUMBER(INDEX(원자료_시장!$A$1:$BZ$1000,설정!$L$6+ROW()-1,설정!$L$29)),INDEX(원자료_시장!$A$1:$BZ$1000,설정!$L$6+ROW()-1,설정!$L$29),""),"")</f>
        <v/>
      </c>
      <c r="H287" s="97" t="str">
        <f aca="false">IFERROR(IF(ISNUMBER(INDEX(원자료_시장!$A$1:$BZ$1000,설정!$L$6+ROW()-1,설정!$L$30)),INDEX(원자료_시장!$A$1:$BZ$1000,설정!$L$6+ROW()-1,설정!$L$30),""),"")</f>
        <v/>
      </c>
      <c r="I287" s="97" t="str">
        <f aca="false">IFERROR(IF(ISNUMBER(INDEX(원자료_시장!$A$1:$BZ$1000,설정!$L$6+ROW()-1,설정!$L$31)),INDEX(원자료_시장!$A$1:$BZ$1000,설정!$L$6+ROW()-1,설정!$L$31),""),"")</f>
        <v/>
      </c>
      <c r="J287" s="97" t="str">
        <f aca="false">IFERROR(IF(ISNUMBER(INDEX(원자료_시장!$A$1:$BZ$1000,설정!$L$6+ROW()-1,설정!$L$32)),INDEX(원자료_시장!$A$1:$BZ$1000,설정!$L$6+ROW()-1,설정!$L$32),""),"")</f>
        <v/>
      </c>
      <c r="K287" s="85" t="str">
        <f aca="false">IFERROR(IF(ISNUMBER(INDEX(원자료_시장!$A$1:$BZ$1000,설정!$L$6+ROW()-1,설정!$L$33)),INDEX(원자료_시장!$A$1:$BZ$1000,설정!$L$6+ROW()-1,설정!$L$33),""),"")</f>
        <v/>
      </c>
      <c r="L287" s="83" t="n">
        <f aca="false">IFERROR(IF(INDEX(원자료_시장!$A$1:$BZ$1000,설정!$L$6+ROW()-1,설정!$L$34)&amp;""="0","",INDEX(원자료_시장!$A$1:$BZ$1000,설정!$L$6+ROW()-1,설정!$L$34)),"")</f>
        <v>0</v>
      </c>
      <c r="M287" s="83" t="n">
        <f aca="false">IFERROR(IF(INDEX(원자료_시장!$A$1:$BZ$1000,설정!$L$6+ROW()-1,설정!$L$35)&amp;""="0","",INDEX(원자료_시장!$A$1:$BZ$1000,설정!$L$6+ROW()-1,설정!$L$35)),"")</f>
        <v>0</v>
      </c>
      <c r="N287" s="83" t="n">
        <f aca="false">IFERROR(IF(INDEX(원자료_시장!$A$1:$BZ$1000,설정!$L$6+ROW()-1,설정!$L$36)&amp;""="0","",INDEX(원자료_시장!$A$1:$BZ$1000,설정!$L$6+ROW()-1,설정!$L$36)),"")</f>
        <v>0</v>
      </c>
      <c r="O287" s="43" t="str">
        <f aca="false">IF($A287="","",UPPER(LEFT($A287,FIND(" ",$A287&amp;" ")-1)))</f>
        <v/>
      </c>
      <c r="P287" s="43" t="str">
        <f aca="false">IF($A287="","",TRIM(RIGHT(SUBSTITUTE(TRIM($A287)," ",REPT(" ",30)),30)))</f>
        <v/>
      </c>
      <c r="Q287" s="98" t="str">
        <f aca="false">IF($A287="","",IFERROR(DATE(IF(LEN(P287)=8,2000+VALUE(RIGHT(P287,2)),VALUE(RIGHT(P287,4))),VALUE(LEFT(P287,2)),VALUE(MID(P287,4,2))),""))</f>
        <v/>
      </c>
      <c r="R287" s="89" t="n">
        <f aca="false">IF($A287="",0,IF(ISNUMBER(SEARCH("Float",$A287)),1,0))</f>
        <v>0</v>
      </c>
      <c r="S287" s="43" t="str">
        <f aca="false">IF($A287="","",TRIM(MID($A287,LEN(O287)+2,LEN($A287)-LEN(O287)-LEN(P287)-1)))</f>
        <v/>
      </c>
      <c r="T287" s="92" t="str">
        <f aca="false">IF(OR($A287="",R287=1),"",IFERROR(IF(ISNUMBER(FIND("/",S287)),IF(ISNUMBER(FIND(" ",S287)),VALUE(LEFT(S287,FIND(" ",S287)-1))+VALUE(MID(S287,FIND(" ",S287)+1,FIND("/",S287)-FIND(" ",S287)-1))/VALUE(MID(S287,FIND("/",S287)+1,9)),VALUE(LEFT(S287,FIND("/",S287)-1))/VALUE(MID(S287,FIND("/",S287)+1,9))),VALUE(S287)),""))</f>
        <v/>
      </c>
      <c r="U287" s="43" t="str">
        <f aca="false">IF(OR($A287="",NOT(ISNUMBER(Q287))),"",TEXT(Q287,"yyyymmdd")&amp;"|"&amp;IF(R287=1,"F",TEXT(T287,"0.000")))</f>
        <v/>
      </c>
      <c r="V287" s="43" t="str">
        <f aca="false">IF(U287="","",O287&amp;"|"&amp;U287)</f>
        <v/>
      </c>
      <c r="W287" s="43" t="str">
        <f aca="false">IF($A287="","",IFERROR(IF(VLOOKUP(O287,매핑!$A$4:$E$92,3,0)="","미분류",VLOOKUP(O287,매핑!$A$4:$E$92,3,0)),"미분류"))</f>
        <v/>
      </c>
      <c r="X287" s="89" t="n">
        <f aca="false">IF($A287="",0,IF(O287="T",1,0))</f>
        <v>0</v>
      </c>
      <c r="Y287" s="89" t="n">
        <f aca="false">IF($A287="",0,IF(AND(C287="USD",X287=0,ISNUMBER(E287),ISNUMBER(K287)),IF(K287&gt;=설정!$C$8,1,0),0))</f>
        <v>0</v>
      </c>
      <c r="Z287" s="43" t="str">
        <f aca="false">IF($A287="","",N287&amp;"|"&amp;L287)</f>
        <v/>
      </c>
      <c r="AA287" s="92" t="n">
        <f aca="false">IF(Y287=1,LN(K287),0)</f>
        <v>0</v>
      </c>
      <c r="AB287" s="93" t="n">
        <f aca="false">IF(Y287=1,E287,0)</f>
        <v>0</v>
      </c>
      <c r="AC287" s="89" t="n">
        <f aca="false">IF(Y287=1,COUNTIFS($Z$2:$Z$601,Z287,$Y$2:$Y$601,1),0)</f>
        <v>0</v>
      </c>
      <c r="AD287" s="89" t="n">
        <f aca="false">IF(Y287=1,COUNTIFS($N$2:$N$601,N287,$Y$2:$Y$601,1),0)</f>
        <v>0</v>
      </c>
      <c r="AE287" s="43" t="str">
        <f aca="false">IF(Y287&lt;&gt;1,"",IF(AND(AC287&gt;=설정!$C$7,ISNUMBER(MATCH(Z287,피어커브!$A:$A,0))),Z287,IF(AND(AD287&gt;=설정!$C$7,ISNUMBER(MATCH(N287&amp;"|전체",피어커브!$A:$A,0))),N287&amp;"|전체","전체|전체")))</f>
        <v/>
      </c>
      <c r="AF287" s="93" t="str">
        <f aca="false">IF(AE287="","",INDEX(피어커브!$K:$K,MATCH(AE287,피어커브!$A:$A,0)))</f>
        <v/>
      </c>
      <c r="AG287" s="93" t="str">
        <f aca="false">IF(AE287="","",INDEX(피어커브!$J:$J,MATCH(AE287,피어커브!$A:$A,0)))</f>
        <v/>
      </c>
      <c r="AH287" s="93" t="str">
        <f aca="false">IF(AE287="","",INDEX(피어커브!$L:$L,MATCH(AE287,피어커브!$A:$A,0)))</f>
        <v/>
      </c>
      <c r="AI287" s="93" t="str">
        <f aca="false">IF(AE287="","",AF287+AG287*AA287)</f>
        <v/>
      </c>
      <c r="AJ287" s="96" t="str">
        <f aca="false">IF(AE287="","",E287-AI287)</f>
        <v/>
      </c>
      <c r="AK287" s="95" t="str">
        <f aca="false">IF(AE287="","",IF(ISNUMBER(AH287),IF(AH287&gt;0,AJ287/AH287,""),""))</f>
        <v/>
      </c>
      <c r="AL287" s="43" t="str">
        <f aca="false">IF(AK287="","-",IF(AK287&gt;=설정!$C$6,"Cheap",IF(AK287&lt;=-설정!$C$6,"Rich","Fair")))</f>
        <v>-</v>
      </c>
      <c r="AM287" s="96" t="str">
        <f aca="false">IF(AE287="","",AJ287-AVERAGEIFS($AJ$2:$AJ$601,$B$2:$B$601,B287,$Y$2:$Y$601,1))</f>
        <v/>
      </c>
      <c r="AN287" s="93" t="n">
        <f aca="false">IF(AE287="",0,IF(K287&gt;1+설정!$C$8,AG287*(AA287-LN(K287-1)),0))</f>
        <v>0</v>
      </c>
      <c r="AO287" s="99" t="n">
        <f aca="false">IF($A287="",0,SUMIFS(보유분석!$AA$2:$AA$801,보유분석!$AB$2:$AB$801,ROW(),보유분석!$AC$2:$AC$801,1))</f>
        <v>0</v>
      </c>
      <c r="AP287" s="43" t="str">
        <f aca="false">IF($A287="","",TRIM(IF(R287=1,"FRN ","")&amp;IF(IFERROR(VLOOKUP(M287,설정!$A$15:$D$47,4,0),0)&gt;=10,IF(IFERROR(VLOOKUP(M287,설정!$A$15:$D$47,4,0),0)&lt;99,"BBB0미만 ",""),"")&amp;IF(OR(M287="",M287="NR"),"등급미입력 ","")&amp;IF(C287&lt;&gt;"USD","비USD ","")))</f>
        <v/>
      </c>
      <c r="AQ287" s="90" t="n">
        <f aca="false">IF(AND(Y287=1,AL287="Cheap"),IF(AND(ISERROR(SEARCH("FRN",AP287)),ISERROR(SEARCH("BBB0미만",AP287))),AK287+ROW()/1000000000,-999),-999)</f>
        <v>-999</v>
      </c>
      <c r="AR287" s="92" t="str">
        <f aca="false">IF(AND(ISNUMBER(D287),ISNUMBER(K287)),D287+AN287*MAX(K287-1,0)/100,"")</f>
        <v/>
      </c>
      <c r="AS287" s="93" t="str">
        <f aca="false">IF(AND(ISNUMBER(E287),ISNUMBER(K287)),IF(K287&gt;0,(E287+AN287*MAX(K287-1,0))/K287,""),"")</f>
        <v/>
      </c>
      <c r="AT287" s="90" t="n">
        <f aca="false">IFERROR(IF(AND(Y287=1,ROW()&lt;&gt;스왑분석!$C$12+1,ABS(K287-INDEX($K$2:$K$601,스왑분석!$C$12))&lt;=스왑분석!$C$5,ISERROR(SEARCH("FRN",AP287)),ISERROR(SEARCH("BBB0미만",AP287))),IF(AND(OR(스왑분석!$C$6="N",L287=INDEX($L$2:$L$601,스왑분석!$C$12)),OR(스왑분석!$C$7="N",N287=INDEX($N$2:$N$601,스왑분석!$C$12)),OR(스왑분석!$C$8="N",AO287=0),E287-INDEX($E$2:$E$601,스왑분석!$C$12)&gt;=스왑분석!$C$9),E287-INDEX($E$2:$E$601,스왑분석!$C$12)+ROW()/1000000000,-999),-999),-999)</f>
        <v>-999</v>
      </c>
      <c r="AU287" s="90" t="n">
        <f aca="false">IF(AND(Y287=1,AO287&gt;0,AL287="Rich"),-AK287+ROW()/1000000000,-999)</f>
        <v>-999</v>
      </c>
    </row>
    <row r="288" customFormat="false" ht="15" hidden="false" customHeight="false" outlineLevel="0" collapsed="false">
      <c r="A288" s="83" t="n">
        <f aca="false">IFERROR(IF(INDEX(원자료_시장!$A$1:$BZ$1000,설정!$L$6+ROW()-1,설정!$L$24)&amp;""="0","",INDEX(원자료_시장!$A$1:$BZ$1000,설정!$L$6+ROW()-1,설정!$L$24)),"")</f>
        <v>0</v>
      </c>
      <c r="B288" s="83" t="n">
        <f aca="false">IFERROR(IF(INDEX(원자료_시장!$A$1:$BZ$1000,설정!$L$6+ROW()-1,설정!$L$37)&amp;""="0","",INDEX(원자료_시장!$A$1:$BZ$1000,설정!$L$6+ROW()-1,설정!$L$37)),"")</f>
        <v>0</v>
      </c>
      <c r="C288" s="83" t="n">
        <f aca="false">IFERROR(IF(INDEX(원자료_시장!$A$1:$BZ$1000,설정!$L$6+ROW()-1,설정!$L$25)&amp;""="0","",INDEX(원자료_시장!$A$1:$BZ$1000,설정!$L$6+ROW()-1,설정!$L$25)),"")</f>
        <v>0</v>
      </c>
      <c r="D288" s="85" t="str">
        <f aca="false">IFERROR(IF(ISNUMBER(INDEX(원자료_시장!$A$1:$BZ$1000,설정!$L$6+ROW()-1,설정!$L$26)),INDEX(원자료_시장!$A$1:$BZ$1000,설정!$L$6+ROW()-1,설정!$L$26),""),"")</f>
        <v/>
      </c>
      <c r="E288" s="97" t="str">
        <f aca="false">IFERROR(IF(ISNUMBER(INDEX(원자료_시장!$A$1:$BZ$1000,설정!$L$6+ROW()-1,설정!$L$27)),INDEX(원자료_시장!$A$1:$BZ$1000,설정!$L$6+ROW()-1,설정!$L$27),""),"")</f>
        <v/>
      </c>
      <c r="F288" s="97" t="str">
        <f aca="false">IFERROR(IF(ISNUMBER(INDEX(원자료_시장!$A$1:$BZ$1000,설정!$L$6+ROW()-1,설정!$L$28)),INDEX(원자료_시장!$A$1:$BZ$1000,설정!$L$6+ROW()-1,설정!$L$28),""),"")</f>
        <v/>
      </c>
      <c r="G288" s="97" t="str">
        <f aca="false">IFERROR(IF(ISNUMBER(INDEX(원자료_시장!$A$1:$BZ$1000,설정!$L$6+ROW()-1,설정!$L$29)),INDEX(원자료_시장!$A$1:$BZ$1000,설정!$L$6+ROW()-1,설정!$L$29),""),"")</f>
        <v/>
      </c>
      <c r="H288" s="97" t="str">
        <f aca="false">IFERROR(IF(ISNUMBER(INDEX(원자료_시장!$A$1:$BZ$1000,설정!$L$6+ROW()-1,설정!$L$30)),INDEX(원자료_시장!$A$1:$BZ$1000,설정!$L$6+ROW()-1,설정!$L$30),""),"")</f>
        <v/>
      </c>
      <c r="I288" s="97" t="str">
        <f aca="false">IFERROR(IF(ISNUMBER(INDEX(원자료_시장!$A$1:$BZ$1000,설정!$L$6+ROW()-1,설정!$L$31)),INDEX(원자료_시장!$A$1:$BZ$1000,설정!$L$6+ROW()-1,설정!$L$31),""),"")</f>
        <v/>
      </c>
      <c r="J288" s="97" t="str">
        <f aca="false">IFERROR(IF(ISNUMBER(INDEX(원자료_시장!$A$1:$BZ$1000,설정!$L$6+ROW()-1,설정!$L$32)),INDEX(원자료_시장!$A$1:$BZ$1000,설정!$L$6+ROW()-1,설정!$L$32),""),"")</f>
        <v/>
      </c>
      <c r="K288" s="85" t="str">
        <f aca="false">IFERROR(IF(ISNUMBER(INDEX(원자료_시장!$A$1:$BZ$1000,설정!$L$6+ROW()-1,설정!$L$33)),INDEX(원자료_시장!$A$1:$BZ$1000,설정!$L$6+ROW()-1,설정!$L$33),""),"")</f>
        <v/>
      </c>
      <c r="L288" s="83" t="n">
        <f aca="false">IFERROR(IF(INDEX(원자료_시장!$A$1:$BZ$1000,설정!$L$6+ROW()-1,설정!$L$34)&amp;""="0","",INDEX(원자료_시장!$A$1:$BZ$1000,설정!$L$6+ROW()-1,설정!$L$34)),"")</f>
        <v>0</v>
      </c>
      <c r="M288" s="83" t="n">
        <f aca="false">IFERROR(IF(INDEX(원자료_시장!$A$1:$BZ$1000,설정!$L$6+ROW()-1,설정!$L$35)&amp;""="0","",INDEX(원자료_시장!$A$1:$BZ$1000,설정!$L$6+ROW()-1,설정!$L$35)),"")</f>
        <v>0</v>
      </c>
      <c r="N288" s="83" t="n">
        <f aca="false">IFERROR(IF(INDEX(원자료_시장!$A$1:$BZ$1000,설정!$L$6+ROW()-1,설정!$L$36)&amp;""="0","",INDEX(원자료_시장!$A$1:$BZ$1000,설정!$L$6+ROW()-1,설정!$L$36)),"")</f>
        <v>0</v>
      </c>
      <c r="O288" s="43" t="str">
        <f aca="false">IF($A288="","",UPPER(LEFT($A288,FIND(" ",$A288&amp;" ")-1)))</f>
        <v/>
      </c>
      <c r="P288" s="43" t="str">
        <f aca="false">IF($A288="","",TRIM(RIGHT(SUBSTITUTE(TRIM($A288)," ",REPT(" ",30)),30)))</f>
        <v/>
      </c>
      <c r="Q288" s="98" t="str">
        <f aca="false">IF($A288="","",IFERROR(DATE(IF(LEN(P288)=8,2000+VALUE(RIGHT(P288,2)),VALUE(RIGHT(P288,4))),VALUE(LEFT(P288,2)),VALUE(MID(P288,4,2))),""))</f>
        <v/>
      </c>
      <c r="R288" s="89" t="n">
        <f aca="false">IF($A288="",0,IF(ISNUMBER(SEARCH("Float",$A288)),1,0))</f>
        <v>0</v>
      </c>
      <c r="S288" s="43" t="str">
        <f aca="false">IF($A288="","",TRIM(MID($A288,LEN(O288)+2,LEN($A288)-LEN(O288)-LEN(P288)-1)))</f>
        <v/>
      </c>
      <c r="T288" s="92" t="str">
        <f aca="false">IF(OR($A288="",R288=1),"",IFERROR(IF(ISNUMBER(FIND("/",S288)),IF(ISNUMBER(FIND(" ",S288)),VALUE(LEFT(S288,FIND(" ",S288)-1))+VALUE(MID(S288,FIND(" ",S288)+1,FIND("/",S288)-FIND(" ",S288)-1))/VALUE(MID(S288,FIND("/",S288)+1,9)),VALUE(LEFT(S288,FIND("/",S288)-1))/VALUE(MID(S288,FIND("/",S288)+1,9))),VALUE(S288)),""))</f>
        <v/>
      </c>
      <c r="U288" s="43" t="str">
        <f aca="false">IF(OR($A288="",NOT(ISNUMBER(Q288))),"",TEXT(Q288,"yyyymmdd")&amp;"|"&amp;IF(R288=1,"F",TEXT(T288,"0.000")))</f>
        <v/>
      </c>
      <c r="V288" s="43" t="str">
        <f aca="false">IF(U288="","",O288&amp;"|"&amp;U288)</f>
        <v/>
      </c>
      <c r="W288" s="43" t="str">
        <f aca="false">IF($A288="","",IFERROR(IF(VLOOKUP(O288,매핑!$A$4:$E$92,3,0)="","미분류",VLOOKUP(O288,매핑!$A$4:$E$92,3,0)),"미분류"))</f>
        <v/>
      </c>
      <c r="X288" s="89" t="n">
        <f aca="false">IF($A288="",0,IF(O288="T",1,0))</f>
        <v>0</v>
      </c>
      <c r="Y288" s="89" t="n">
        <f aca="false">IF($A288="",0,IF(AND(C288="USD",X288=0,ISNUMBER(E288),ISNUMBER(K288)),IF(K288&gt;=설정!$C$8,1,0),0))</f>
        <v>0</v>
      </c>
      <c r="Z288" s="43" t="str">
        <f aca="false">IF($A288="","",N288&amp;"|"&amp;L288)</f>
        <v/>
      </c>
      <c r="AA288" s="92" t="n">
        <f aca="false">IF(Y288=1,LN(K288),0)</f>
        <v>0</v>
      </c>
      <c r="AB288" s="93" t="n">
        <f aca="false">IF(Y288=1,E288,0)</f>
        <v>0</v>
      </c>
      <c r="AC288" s="89" t="n">
        <f aca="false">IF(Y288=1,COUNTIFS($Z$2:$Z$601,Z288,$Y$2:$Y$601,1),0)</f>
        <v>0</v>
      </c>
      <c r="AD288" s="89" t="n">
        <f aca="false">IF(Y288=1,COUNTIFS($N$2:$N$601,N288,$Y$2:$Y$601,1),0)</f>
        <v>0</v>
      </c>
      <c r="AE288" s="43" t="str">
        <f aca="false">IF(Y288&lt;&gt;1,"",IF(AND(AC288&gt;=설정!$C$7,ISNUMBER(MATCH(Z288,피어커브!$A:$A,0))),Z288,IF(AND(AD288&gt;=설정!$C$7,ISNUMBER(MATCH(N288&amp;"|전체",피어커브!$A:$A,0))),N288&amp;"|전체","전체|전체")))</f>
        <v/>
      </c>
      <c r="AF288" s="93" t="str">
        <f aca="false">IF(AE288="","",INDEX(피어커브!$K:$K,MATCH(AE288,피어커브!$A:$A,0)))</f>
        <v/>
      </c>
      <c r="AG288" s="93" t="str">
        <f aca="false">IF(AE288="","",INDEX(피어커브!$J:$J,MATCH(AE288,피어커브!$A:$A,0)))</f>
        <v/>
      </c>
      <c r="AH288" s="93" t="str">
        <f aca="false">IF(AE288="","",INDEX(피어커브!$L:$L,MATCH(AE288,피어커브!$A:$A,0)))</f>
        <v/>
      </c>
      <c r="AI288" s="93" t="str">
        <f aca="false">IF(AE288="","",AF288+AG288*AA288)</f>
        <v/>
      </c>
      <c r="AJ288" s="96" t="str">
        <f aca="false">IF(AE288="","",E288-AI288)</f>
        <v/>
      </c>
      <c r="AK288" s="95" t="str">
        <f aca="false">IF(AE288="","",IF(ISNUMBER(AH288),IF(AH288&gt;0,AJ288/AH288,""),""))</f>
        <v/>
      </c>
      <c r="AL288" s="43" t="str">
        <f aca="false">IF(AK288="","-",IF(AK288&gt;=설정!$C$6,"Cheap",IF(AK288&lt;=-설정!$C$6,"Rich","Fair")))</f>
        <v>-</v>
      </c>
      <c r="AM288" s="96" t="str">
        <f aca="false">IF(AE288="","",AJ288-AVERAGEIFS($AJ$2:$AJ$601,$B$2:$B$601,B288,$Y$2:$Y$601,1))</f>
        <v/>
      </c>
      <c r="AN288" s="93" t="n">
        <f aca="false">IF(AE288="",0,IF(K288&gt;1+설정!$C$8,AG288*(AA288-LN(K288-1)),0))</f>
        <v>0</v>
      </c>
      <c r="AO288" s="99" t="n">
        <f aca="false">IF($A288="",0,SUMIFS(보유분석!$AA$2:$AA$801,보유분석!$AB$2:$AB$801,ROW(),보유분석!$AC$2:$AC$801,1))</f>
        <v>0</v>
      </c>
      <c r="AP288" s="43" t="str">
        <f aca="false">IF($A288="","",TRIM(IF(R288=1,"FRN ","")&amp;IF(IFERROR(VLOOKUP(M288,설정!$A$15:$D$47,4,0),0)&gt;=10,IF(IFERROR(VLOOKUP(M288,설정!$A$15:$D$47,4,0),0)&lt;99,"BBB0미만 ",""),"")&amp;IF(OR(M288="",M288="NR"),"등급미입력 ","")&amp;IF(C288&lt;&gt;"USD","비USD ","")))</f>
        <v/>
      </c>
      <c r="AQ288" s="90" t="n">
        <f aca="false">IF(AND(Y288=1,AL288="Cheap"),IF(AND(ISERROR(SEARCH("FRN",AP288)),ISERROR(SEARCH("BBB0미만",AP288))),AK288+ROW()/1000000000,-999),-999)</f>
        <v>-999</v>
      </c>
      <c r="AR288" s="92" t="str">
        <f aca="false">IF(AND(ISNUMBER(D288),ISNUMBER(K288)),D288+AN288*MAX(K288-1,0)/100,"")</f>
        <v/>
      </c>
      <c r="AS288" s="93" t="str">
        <f aca="false">IF(AND(ISNUMBER(E288),ISNUMBER(K288)),IF(K288&gt;0,(E288+AN288*MAX(K288-1,0))/K288,""),"")</f>
        <v/>
      </c>
      <c r="AT288" s="90" t="n">
        <f aca="false">IFERROR(IF(AND(Y288=1,ROW()&lt;&gt;스왑분석!$C$12+1,ABS(K288-INDEX($K$2:$K$601,스왑분석!$C$12))&lt;=스왑분석!$C$5,ISERROR(SEARCH("FRN",AP288)),ISERROR(SEARCH("BBB0미만",AP288))),IF(AND(OR(스왑분석!$C$6="N",L288=INDEX($L$2:$L$601,스왑분석!$C$12)),OR(스왑분석!$C$7="N",N288=INDEX($N$2:$N$601,스왑분석!$C$12)),OR(스왑분석!$C$8="N",AO288=0),E288-INDEX($E$2:$E$601,스왑분석!$C$12)&gt;=스왑분석!$C$9),E288-INDEX($E$2:$E$601,스왑분석!$C$12)+ROW()/1000000000,-999),-999),-999)</f>
        <v>-999</v>
      </c>
      <c r="AU288" s="90" t="n">
        <f aca="false">IF(AND(Y288=1,AO288&gt;0,AL288="Rich"),-AK288+ROW()/1000000000,-999)</f>
        <v>-999</v>
      </c>
    </row>
    <row r="289" customFormat="false" ht="15" hidden="false" customHeight="false" outlineLevel="0" collapsed="false">
      <c r="A289" s="83" t="n">
        <f aca="false">IFERROR(IF(INDEX(원자료_시장!$A$1:$BZ$1000,설정!$L$6+ROW()-1,설정!$L$24)&amp;""="0","",INDEX(원자료_시장!$A$1:$BZ$1000,설정!$L$6+ROW()-1,설정!$L$24)),"")</f>
        <v>0</v>
      </c>
      <c r="B289" s="83" t="n">
        <f aca="false">IFERROR(IF(INDEX(원자료_시장!$A$1:$BZ$1000,설정!$L$6+ROW()-1,설정!$L$37)&amp;""="0","",INDEX(원자료_시장!$A$1:$BZ$1000,설정!$L$6+ROW()-1,설정!$L$37)),"")</f>
        <v>0</v>
      </c>
      <c r="C289" s="83" t="n">
        <f aca="false">IFERROR(IF(INDEX(원자료_시장!$A$1:$BZ$1000,설정!$L$6+ROW()-1,설정!$L$25)&amp;""="0","",INDEX(원자료_시장!$A$1:$BZ$1000,설정!$L$6+ROW()-1,설정!$L$25)),"")</f>
        <v>0</v>
      </c>
      <c r="D289" s="85" t="str">
        <f aca="false">IFERROR(IF(ISNUMBER(INDEX(원자료_시장!$A$1:$BZ$1000,설정!$L$6+ROW()-1,설정!$L$26)),INDEX(원자료_시장!$A$1:$BZ$1000,설정!$L$6+ROW()-1,설정!$L$26),""),"")</f>
        <v/>
      </c>
      <c r="E289" s="97" t="str">
        <f aca="false">IFERROR(IF(ISNUMBER(INDEX(원자료_시장!$A$1:$BZ$1000,설정!$L$6+ROW()-1,설정!$L$27)),INDEX(원자료_시장!$A$1:$BZ$1000,설정!$L$6+ROW()-1,설정!$L$27),""),"")</f>
        <v/>
      </c>
      <c r="F289" s="97" t="str">
        <f aca="false">IFERROR(IF(ISNUMBER(INDEX(원자료_시장!$A$1:$BZ$1000,설정!$L$6+ROW()-1,설정!$L$28)),INDEX(원자료_시장!$A$1:$BZ$1000,설정!$L$6+ROW()-1,설정!$L$28),""),"")</f>
        <v/>
      </c>
      <c r="G289" s="97" t="str">
        <f aca="false">IFERROR(IF(ISNUMBER(INDEX(원자료_시장!$A$1:$BZ$1000,설정!$L$6+ROW()-1,설정!$L$29)),INDEX(원자료_시장!$A$1:$BZ$1000,설정!$L$6+ROW()-1,설정!$L$29),""),"")</f>
        <v/>
      </c>
      <c r="H289" s="97" t="str">
        <f aca="false">IFERROR(IF(ISNUMBER(INDEX(원자료_시장!$A$1:$BZ$1000,설정!$L$6+ROW()-1,설정!$L$30)),INDEX(원자료_시장!$A$1:$BZ$1000,설정!$L$6+ROW()-1,설정!$L$30),""),"")</f>
        <v/>
      </c>
      <c r="I289" s="97" t="str">
        <f aca="false">IFERROR(IF(ISNUMBER(INDEX(원자료_시장!$A$1:$BZ$1000,설정!$L$6+ROW()-1,설정!$L$31)),INDEX(원자료_시장!$A$1:$BZ$1000,설정!$L$6+ROW()-1,설정!$L$31),""),"")</f>
        <v/>
      </c>
      <c r="J289" s="97" t="str">
        <f aca="false">IFERROR(IF(ISNUMBER(INDEX(원자료_시장!$A$1:$BZ$1000,설정!$L$6+ROW()-1,설정!$L$32)),INDEX(원자료_시장!$A$1:$BZ$1000,설정!$L$6+ROW()-1,설정!$L$32),""),"")</f>
        <v/>
      </c>
      <c r="K289" s="85" t="str">
        <f aca="false">IFERROR(IF(ISNUMBER(INDEX(원자료_시장!$A$1:$BZ$1000,설정!$L$6+ROW()-1,설정!$L$33)),INDEX(원자료_시장!$A$1:$BZ$1000,설정!$L$6+ROW()-1,설정!$L$33),""),"")</f>
        <v/>
      </c>
      <c r="L289" s="83" t="n">
        <f aca="false">IFERROR(IF(INDEX(원자료_시장!$A$1:$BZ$1000,설정!$L$6+ROW()-1,설정!$L$34)&amp;""="0","",INDEX(원자료_시장!$A$1:$BZ$1000,설정!$L$6+ROW()-1,설정!$L$34)),"")</f>
        <v>0</v>
      </c>
      <c r="M289" s="83" t="n">
        <f aca="false">IFERROR(IF(INDEX(원자료_시장!$A$1:$BZ$1000,설정!$L$6+ROW()-1,설정!$L$35)&amp;""="0","",INDEX(원자료_시장!$A$1:$BZ$1000,설정!$L$6+ROW()-1,설정!$L$35)),"")</f>
        <v>0</v>
      </c>
      <c r="N289" s="83" t="n">
        <f aca="false">IFERROR(IF(INDEX(원자료_시장!$A$1:$BZ$1000,설정!$L$6+ROW()-1,설정!$L$36)&amp;""="0","",INDEX(원자료_시장!$A$1:$BZ$1000,설정!$L$6+ROW()-1,설정!$L$36)),"")</f>
        <v>0</v>
      </c>
      <c r="O289" s="43" t="str">
        <f aca="false">IF($A289="","",UPPER(LEFT($A289,FIND(" ",$A289&amp;" ")-1)))</f>
        <v/>
      </c>
      <c r="P289" s="43" t="str">
        <f aca="false">IF($A289="","",TRIM(RIGHT(SUBSTITUTE(TRIM($A289)," ",REPT(" ",30)),30)))</f>
        <v/>
      </c>
      <c r="Q289" s="98" t="str">
        <f aca="false">IF($A289="","",IFERROR(DATE(IF(LEN(P289)=8,2000+VALUE(RIGHT(P289,2)),VALUE(RIGHT(P289,4))),VALUE(LEFT(P289,2)),VALUE(MID(P289,4,2))),""))</f>
        <v/>
      </c>
      <c r="R289" s="89" t="n">
        <f aca="false">IF($A289="",0,IF(ISNUMBER(SEARCH("Float",$A289)),1,0))</f>
        <v>0</v>
      </c>
      <c r="S289" s="43" t="str">
        <f aca="false">IF($A289="","",TRIM(MID($A289,LEN(O289)+2,LEN($A289)-LEN(O289)-LEN(P289)-1)))</f>
        <v/>
      </c>
      <c r="T289" s="92" t="str">
        <f aca="false">IF(OR($A289="",R289=1),"",IFERROR(IF(ISNUMBER(FIND("/",S289)),IF(ISNUMBER(FIND(" ",S289)),VALUE(LEFT(S289,FIND(" ",S289)-1))+VALUE(MID(S289,FIND(" ",S289)+1,FIND("/",S289)-FIND(" ",S289)-1))/VALUE(MID(S289,FIND("/",S289)+1,9)),VALUE(LEFT(S289,FIND("/",S289)-1))/VALUE(MID(S289,FIND("/",S289)+1,9))),VALUE(S289)),""))</f>
        <v/>
      </c>
      <c r="U289" s="43" t="str">
        <f aca="false">IF(OR($A289="",NOT(ISNUMBER(Q289))),"",TEXT(Q289,"yyyymmdd")&amp;"|"&amp;IF(R289=1,"F",TEXT(T289,"0.000")))</f>
        <v/>
      </c>
      <c r="V289" s="43" t="str">
        <f aca="false">IF(U289="","",O289&amp;"|"&amp;U289)</f>
        <v/>
      </c>
      <c r="W289" s="43" t="str">
        <f aca="false">IF($A289="","",IFERROR(IF(VLOOKUP(O289,매핑!$A$4:$E$92,3,0)="","미분류",VLOOKUP(O289,매핑!$A$4:$E$92,3,0)),"미분류"))</f>
        <v/>
      </c>
      <c r="X289" s="89" t="n">
        <f aca="false">IF($A289="",0,IF(O289="T",1,0))</f>
        <v>0</v>
      </c>
      <c r="Y289" s="89" t="n">
        <f aca="false">IF($A289="",0,IF(AND(C289="USD",X289=0,ISNUMBER(E289),ISNUMBER(K289)),IF(K289&gt;=설정!$C$8,1,0),0))</f>
        <v>0</v>
      </c>
      <c r="Z289" s="43" t="str">
        <f aca="false">IF($A289="","",N289&amp;"|"&amp;L289)</f>
        <v/>
      </c>
      <c r="AA289" s="92" t="n">
        <f aca="false">IF(Y289=1,LN(K289),0)</f>
        <v>0</v>
      </c>
      <c r="AB289" s="93" t="n">
        <f aca="false">IF(Y289=1,E289,0)</f>
        <v>0</v>
      </c>
      <c r="AC289" s="89" t="n">
        <f aca="false">IF(Y289=1,COUNTIFS($Z$2:$Z$601,Z289,$Y$2:$Y$601,1),0)</f>
        <v>0</v>
      </c>
      <c r="AD289" s="89" t="n">
        <f aca="false">IF(Y289=1,COUNTIFS($N$2:$N$601,N289,$Y$2:$Y$601,1),0)</f>
        <v>0</v>
      </c>
      <c r="AE289" s="43" t="str">
        <f aca="false">IF(Y289&lt;&gt;1,"",IF(AND(AC289&gt;=설정!$C$7,ISNUMBER(MATCH(Z289,피어커브!$A:$A,0))),Z289,IF(AND(AD289&gt;=설정!$C$7,ISNUMBER(MATCH(N289&amp;"|전체",피어커브!$A:$A,0))),N289&amp;"|전체","전체|전체")))</f>
        <v/>
      </c>
      <c r="AF289" s="93" t="str">
        <f aca="false">IF(AE289="","",INDEX(피어커브!$K:$K,MATCH(AE289,피어커브!$A:$A,0)))</f>
        <v/>
      </c>
      <c r="AG289" s="93" t="str">
        <f aca="false">IF(AE289="","",INDEX(피어커브!$J:$J,MATCH(AE289,피어커브!$A:$A,0)))</f>
        <v/>
      </c>
      <c r="AH289" s="93" t="str">
        <f aca="false">IF(AE289="","",INDEX(피어커브!$L:$L,MATCH(AE289,피어커브!$A:$A,0)))</f>
        <v/>
      </c>
      <c r="AI289" s="93" t="str">
        <f aca="false">IF(AE289="","",AF289+AG289*AA289)</f>
        <v/>
      </c>
      <c r="AJ289" s="96" t="str">
        <f aca="false">IF(AE289="","",E289-AI289)</f>
        <v/>
      </c>
      <c r="AK289" s="95" t="str">
        <f aca="false">IF(AE289="","",IF(ISNUMBER(AH289),IF(AH289&gt;0,AJ289/AH289,""),""))</f>
        <v/>
      </c>
      <c r="AL289" s="43" t="str">
        <f aca="false">IF(AK289="","-",IF(AK289&gt;=설정!$C$6,"Cheap",IF(AK289&lt;=-설정!$C$6,"Rich","Fair")))</f>
        <v>-</v>
      </c>
      <c r="AM289" s="96" t="str">
        <f aca="false">IF(AE289="","",AJ289-AVERAGEIFS($AJ$2:$AJ$601,$B$2:$B$601,B289,$Y$2:$Y$601,1))</f>
        <v/>
      </c>
      <c r="AN289" s="93" t="n">
        <f aca="false">IF(AE289="",0,IF(K289&gt;1+설정!$C$8,AG289*(AA289-LN(K289-1)),0))</f>
        <v>0</v>
      </c>
      <c r="AO289" s="99" t="n">
        <f aca="false">IF($A289="",0,SUMIFS(보유분석!$AA$2:$AA$801,보유분석!$AB$2:$AB$801,ROW(),보유분석!$AC$2:$AC$801,1))</f>
        <v>0</v>
      </c>
      <c r="AP289" s="43" t="str">
        <f aca="false">IF($A289="","",TRIM(IF(R289=1,"FRN ","")&amp;IF(IFERROR(VLOOKUP(M289,설정!$A$15:$D$47,4,0),0)&gt;=10,IF(IFERROR(VLOOKUP(M289,설정!$A$15:$D$47,4,0),0)&lt;99,"BBB0미만 ",""),"")&amp;IF(OR(M289="",M289="NR"),"등급미입력 ","")&amp;IF(C289&lt;&gt;"USD","비USD ","")))</f>
        <v/>
      </c>
      <c r="AQ289" s="90" t="n">
        <f aca="false">IF(AND(Y289=1,AL289="Cheap"),IF(AND(ISERROR(SEARCH("FRN",AP289)),ISERROR(SEARCH("BBB0미만",AP289))),AK289+ROW()/1000000000,-999),-999)</f>
        <v>-999</v>
      </c>
      <c r="AR289" s="92" t="str">
        <f aca="false">IF(AND(ISNUMBER(D289),ISNUMBER(K289)),D289+AN289*MAX(K289-1,0)/100,"")</f>
        <v/>
      </c>
      <c r="AS289" s="93" t="str">
        <f aca="false">IF(AND(ISNUMBER(E289),ISNUMBER(K289)),IF(K289&gt;0,(E289+AN289*MAX(K289-1,0))/K289,""),"")</f>
        <v/>
      </c>
      <c r="AT289" s="90" t="n">
        <f aca="false">IFERROR(IF(AND(Y289=1,ROW()&lt;&gt;스왑분석!$C$12+1,ABS(K289-INDEX($K$2:$K$601,스왑분석!$C$12))&lt;=스왑분석!$C$5,ISERROR(SEARCH("FRN",AP289)),ISERROR(SEARCH("BBB0미만",AP289))),IF(AND(OR(스왑분석!$C$6="N",L289=INDEX($L$2:$L$601,스왑분석!$C$12)),OR(스왑분석!$C$7="N",N289=INDEX($N$2:$N$601,스왑분석!$C$12)),OR(스왑분석!$C$8="N",AO289=0),E289-INDEX($E$2:$E$601,스왑분석!$C$12)&gt;=스왑분석!$C$9),E289-INDEX($E$2:$E$601,스왑분석!$C$12)+ROW()/1000000000,-999),-999),-999)</f>
        <v>-999</v>
      </c>
      <c r="AU289" s="90" t="n">
        <f aca="false">IF(AND(Y289=1,AO289&gt;0,AL289="Rich"),-AK289+ROW()/1000000000,-999)</f>
        <v>-999</v>
      </c>
    </row>
    <row r="290" customFormat="false" ht="15" hidden="false" customHeight="false" outlineLevel="0" collapsed="false">
      <c r="A290" s="83" t="n">
        <f aca="false">IFERROR(IF(INDEX(원자료_시장!$A$1:$BZ$1000,설정!$L$6+ROW()-1,설정!$L$24)&amp;""="0","",INDEX(원자료_시장!$A$1:$BZ$1000,설정!$L$6+ROW()-1,설정!$L$24)),"")</f>
        <v>0</v>
      </c>
      <c r="B290" s="83" t="n">
        <f aca="false">IFERROR(IF(INDEX(원자료_시장!$A$1:$BZ$1000,설정!$L$6+ROW()-1,설정!$L$37)&amp;""="0","",INDEX(원자료_시장!$A$1:$BZ$1000,설정!$L$6+ROW()-1,설정!$L$37)),"")</f>
        <v>0</v>
      </c>
      <c r="C290" s="83" t="n">
        <f aca="false">IFERROR(IF(INDEX(원자료_시장!$A$1:$BZ$1000,설정!$L$6+ROW()-1,설정!$L$25)&amp;""="0","",INDEX(원자료_시장!$A$1:$BZ$1000,설정!$L$6+ROW()-1,설정!$L$25)),"")</f>
        <v>0</v>
      </c>
      <c r="D290" s="85" t="str">
        <f aca="false">IFERROR(IF(ISNUMBER(INDEX(원자료_시장!$A$1:$BZ$1000,설정!$L$6+ROW()-1,설정!$L$26)),INDEX(원자료_시장!$A$1:$BZ$1000,설정!$L$6+ROW()-1,설정!$L$26),""),"")</f>
        <v/>
      </c>
      <c r="E290" s="97" t="str">
        <f aca="false">IFERROR(IF(ISNUMBER(INDEX(원자료_시장!$A$1:$BZ$1000,설정!$L$6+ROW()-1,설정!$L$27)),INDEX(원자료_시장!$A$1:$BZ$1000,설정!$L$6+ROW()-1,설정!$L$27),""),"")</f>
        <v/>
      </c>
      <c r="F290" s="97" t="str">
        <f aca="false">IFERROR(IF(ISNUMBER(INDEX(원자료_시장!$A$1:$BZ$1000,설정!$L$6+ROW()-1,설정!$L$28)),INDEX(원자료_시장!$A$1:$BZ$1000,설정!$L$6+ROW()-1,설정!$L$28),""),"")</f>
        <v/>
      </c>
      <c r="G290" s="97" t="str">
        <f aca="false">IFERROR(IF(ISNUMBER(INDEX(원자료_시장!$A$1:$BZ$1000,설정!$L$6+ROW()-1,설정!$L$29)),INDEX(원자료_시장!$A$1:$BZ$1000,설정!$L$6+ROW()-1,설정!$L$29),""),"")</f>
        <v/>
      </c>
      <c r="H290" s="97" t="str">
        <f aca="false">IFERROR(IF(ISNUMBER(INDEX(원자료_시장!$A$1:$BZ$1000,설정!$L$6+ROW()-1,설정!$L$30)),INDEX(원자료_시장!$A$1:$BZ$1000,설정!$L$6+ROW()-1,설정!$L$30),""),"")</f>
        <v/>
      </c>
      <c r="I290" s="97" t="str">
        <f aca="false">IFERROR(IF(ISNUMBER(INDEX(원자료_시장!$A$1:$BZ$1000,설정!$L$6+ROW()-1,설정!$L$31)),INDEX(원자료_시장!$A$1:$BZ$1000,설정!$L$6+ROW()-1,설정!$L$31),""),"")</f>
        <v/>
      </c>
      <c r="J290" s="97" t="str">
        <f aca="false">IFERROR(IF(ISNUMBER(INDEX(원자료_시장!$A$1:$BZ$1000,설정!$L$6+ROW()-1,설정!$L$32)),INDEX(원자료_시장!$A$1:$BZ$1000,설정!$L$6+ROW()-1,설정!$L$32),""),"")</f>
        <v/>
      </c>
      <c r="K290" s="85" t="str">
        <f aca="false">IFERROR(IF(ISNUMBER(INDEX(원자료_시장!$A$1:$BZ$1000,설정!$L$6+ROW()-1,설정!$L$33)),INDEX(원자료_시장!$A$1:$BZ$1000,설정!$L$6+ROW()-1,설정!$L$33),""),"")</f>
        <v/>
      </c>
      <c r="L290" s="83" t="n">
        <f aca="false">IFERROR(IF(INDEX(원자료_시장!$A$1:$BZ$1000,설정!$L$6+ROW()-1,설정!$L$34)&amp;""="0","",INDEX(원자료_시장!$A$1:$BZ$1000,설정!$L$6+ROW()-1,설정!$L$34)),"")</f>
        <v>0</v>
      </c>
      <c r="M290" s="83" t="n">
        <f aca="false">IFERROR(IF(INDEX(원자료_시장!$A$1:$BZ$1000,설정!$L$6+ROW()-1,설정!$L$35)&amp;""="0","",INDEX(원자료_시장!$A$1:$BZ$1000,설정!$L$6+ROW()-1,설정!$L$35)),"")</f>
        <v>0</v>
      </c>
      <c r="N290" s="83" t="n">
        <f aca="false">IFERROR(IF(INDEX(원자료_시장!$A$1:$BZ$1000,설정!$L$6+ROW()-1,설정!$L$36)&amp;""="0","",INDEX(원자료_시장!$A$1:$BZ$1000,설정!$L$6+ROW()-1,설정!$L$36)),"")</f>
        <v>0</v>
      </c>
      <c r="O290" s="43" t="str">
        <f aca="false">IF($A290="","",UPPER(LEFT($A290,FIND(" ",$A290&amp;" ")-1)))</f>
        <v/>
      </c>
      <c r="P290" s="43" t="str">
        <f aca="false">IF($A290="","",TRIM(RIGHT(SUBSTITUTE(TRIM($A290)," ",REPT(" ",30)),30)))</f>
        <v/>
      </c>
      <c r="Q290" s="98" t="str">
        <f aca="false">IF($A290="","",IFERROR(DATE(IF(LEN(P290)=8,2000+VALUE(RIGHT(P290,2)),VALUE(RIGHT(P290,4))),VALUE(LEFT(P290,2)),VALUE(MID(P290,4,2))),""))</f>
        <v/>
      </c>
      <c r="R290" s="89" t="n">
        <f aca="false">IF($A290="",0,IF(ISNUMBER(SEARCH("Float",$A290)),1,0))</f>
        <v>0</v>
      </c>
      <c r="S290" s="43" t="str">
        <f aca="false">IF($A290="","",TRIM(MID($A290,LEN(O290)+2,LEN($A290)-LEN(O290)-LEN(P290)-1)))</f>
        <v/>
      </c>
      <c r="T290" s="92" t="str">
        <f aca="false">IF(OR($A290="",R290=1),"",IFERROR(IF(ISNUMBER(FIND("/",S290)),IF(ISNUMBER(FIND(" ",S290)),VALUE(LEFT(S290,FIND(" ",S290)-1))+VALUE(MID(S290,FIND(" ",S290)+1,FIND("/",S290)-FIND(" ",S290)-1))/VALUE(MID(S290,FIND("/",S290)+1,9)),VALUE(LEFT(S290,FIND("/",S290)-1))/VALUE(MID(S290,FIND("/",S290)+1,9))),VALUE(S290)),""))</f>
        <v/>
      </c>
      <c r="U290" s="43" t="str">
        <f aca="false">IF(OR($A290="",NOT(ISNUMBER(Q290))),"",TEXT(Q290,"yyyymmdd")&amp;"|"&amp;IF(R290=1,"F",TEXT(T290,"0.000")))</f>
        <v/>
      </c>
      <c r="V290" s="43" t="str">
        <f aca="false">IF(U290="","",O290&amp;"|"&amp;U290)</f>
        <v/>
      </c>
      <c r="W290" s="43" t="str">
        <f aca="false">IF($A290="","",IFERROR(IF(VLOOKUP(O290,매핑!$A$4:$E$92,3,0)="","미분류",VLOOKUP(O290,매핑!$A$4:$E$92,3,0)),"미분류"))</f>
        <v/>
      </c>
      <c r="X290" s="89" t="n">
        <f aca="false">IF($A290="",0,IF(O290="T",1,0))</f>
        <v>0</v>
      </c>
      <c r="Y290" s="89" t="n">
        <f aca="false">IF($A290="",0,IF(AND(C290="USD",X290=0,ISNUMBER(E290),ISNUMBER(K290)),IF(K290&gt;=설정!$C$8,1,0),0))</f>
        <v>0</v>
      </c>
      <c r="Z290" s="43" t="str">
        <f aca="false">IF($A290="","",N290&amp;"|"&amp;L290)</f>
        <v/>
      </c>
      <c r="AA290" s="92" t="n">
        <f aca="false">IF(Y290=1,LN(K290),0)</f>
        <v>0</v>
      </c>
      <c r="AB290" s="93" t="n">
        <f aca="false">IF(Y290=1,E290,0)</f>
        <v>0</v>
      </c>
      <c r="AC290" s="89" t="n">
        <f aca="false">IF(Y290=1,COUNTIFS($Z$2:$Z$601,Z290,$Y$2:$Y$601,1),0)</f>
        <v>0</v>
      </c>
      <c r="AD290" s="89" t="n">
        <f aca="false">IF(Y290=1,COUNTIFS($N$2:$N$601,N290,$Y$2:$Y$601,1),0)</f>
        <v>0</v>
      </c>
      <c r="AE290" s="43" t="str">
        <f aca="false">IF(Y290&lt;&gt;1,"",IF(AND(AC290&gt;=설정!$C$7,ISNUMBER(MATCH(Z290,피어커브!$A:$A,0))),Z290,IF(AND(AD290&gt;=설정!$C$7,ISNUMBER(MATCH(N290&amp;"|전체",피어커브!$A:$A,0))),N290&amp;"|전체","전체|전체")))</f>
        <v/>
      </c>
      <c r="AF290" s="93" t="str">
        <f aca="false">IF(AE290="","",INDEX(피어커브!$K:$K,MATCH(AE290,피어커브!$A:$A,0)))</f>
        <v/>
      </c>
      <c r="AG290" s="93" t="str">
        <f aca="false">IF(AE290="","",INDEX(피어커브!$J:$J,MATCH(AE290,피어커브!$A:$A,0)))</f>
        <v/>
      </c>
      <c r="AH290" s="93" t="str">
        <f aca="false">IF(AE290="","",INDEX(피어커브!$L:$L,MATCH(AE290,피어커브!$A:$A,0)))</f>
        <v/>
      </c>
      <c r="AI290" s="93" t="str">
        <f aca="false">IF(AE290="","",AF290+AG290*AA290)</f>
        <v/>
      </c>
      <c r="AJ290" s="96" t="str">
        <f aca="false">IF(AE290="","",E290-AI290)</f>
        <v/>
      </c>
      <c r="AK290" s="95" t="str">
        <f aca="false">IF(AE290="","",IF(ISNUMBER(AH290),IF(AH290&gt;0,AJ290/AH290,""),""))</f>
        <v/>
      </c>
      <c r="AL290" s="43" t="str">
        <f aca="false">IF(AK290="","-",IF(AK290&gt;=설정!$C$6,"Cheap",IF(AK290&lt;=-설정!$C$6,"Rich","Fair")))</f>
        <v>-</v>
      </c>
      <c r="AM290" s="96" t="str">
        <f aca="false">IF(AE290="","",AJ290-AVERAGEIFS($AJ$2:$AJ$601,$B$2:$B$601,B290,$Y$2:$Y$601,1))</f>
        <v/>
      </c>
      <c r="AN290" s="93" t="n">
        <f aca="false">IF(AE290="",0,IF(K290&gt;1+설정!$C$8,AG290*(AA290-LN(K290-1)),0))</f>
        <v>0</v>
      </c>
      <c r="AO290" s="99" t="n">
        <f aca="false">IF($A290="",0,SUMIFS(보유분석!$AA$2:$AA$801,보유분석!$AB$2:$AB$801,ROW(),보유분석!$AC$2:$AC$801,1))</f>
        <v>0</v>
      </c>
      <c r="AP290" s="43" t="str">
        <f aca="false">IF($A290="","",TRIM(IF(R290=1,"FRN ","")&amp;IF(IFERROR(VLOOKUP(M290,설정!$A$15:$D$47,4,0),0)&gt;=10,IF(IFERROR(VLOOKUP(M290,설정!$A$15:$D$47,4,0),0)&lt;99,"BBB0미만 ",""),"")&amp;IF(OR(M290="",M290="NR"),"등급미입력 ","")&amp;IF(C290&lt;&gt;"USD","비USD ","")))</f>
        <v/>
      </c>
      <c r="AQ290" s="90" t="n">
        <f aca="false">IF(AND(Y290=1,AL290="Cheap"),IF(AND(ISERROR(SEARCH("FRN",AP290)),ISERROR(SEARCH("BBB0미만",AP290))),AK290+ROW()/1000000000,-999),-999)</f>
        <v>-999</v>
      </c>
      <c r="AR290" s="92" t="str">
        <f aca="false">IF(AND(ISNUMBER(D290),ISNUMBER(K290)),D290+AN290*MAX(K290-1,0)/100,"")</f>
        <v/>
      </c>
      <c r="AS290" s="93" t="str">
        <f aca="false">IF(AND(ISNUMBER(E290),ISNUMBER(K290)),IF(K290&gt;0,(E290+AN290*MAX(K290-1,0))/K290,""),"")</f>
        <v/>
      </c>
      <c r="AT290" s="90" t="n">
        <f aca="false">IFERROR(IF(AND(Y290=1,ROW()&lt;&gt;스왑분석!$C$12+1,ABS(K290-INDEX($K$2:$K$601,스왑분석!$C$12))&lt;=스왑분석!$C$5,ISERROR(SEARCH("FRN",AP290)),ISERROR(SEARCH("BBB0미만",AP290))),IF(AND(OR(스왑분석!$C$6="N",L290=INDEX($L$2:$L$601,스왑분석!$C$12)),OR(스왑분석!$C$7="N",N290=INDEX($N$2:$N$601,스왑분석!$C$12)),OR(스왑분석!$C$8="N",AO290=0),E290-INDEX($E$2:$E$601,스왑분석!$C$12)&gt;=스왑분석!$C$9),E290-INDEX($E$2:$E$601,스왑분석!$C$12)+ROW()/1000000000,-999),-999),-999)</f>
        <v>-999</v>
      </c>
      <c r="AU290" s="90" t="n">
        <f aca="false">IF(AND(Y290=1,AO290&gt;0,AL290="Rich"),-AK290+ROW()/1000000000,-999)</f>
        <v>-999</v>
      </c>
    </row>
    <row r="291" customFormat="false" ht="15" hidden="false" customHeight="false" outlineLevel="0" collapsed="false">
      <c r="A291" s="83" t="n">
        <f aca="false">IFERROR(IF(INDEX(원자료_시장!$A$1:$BZ$1000,설정!$L$6+ROW()-1,설정!$L$24)&amp;""="0","",INDEX(원자료_시장!$A$1:$BZ$1000,설정!$L$6+ROW()-1,설정!$L$24)),"")</f>
        <v>0</v>
      </c>
      <c r="B291" s="83" t="n">
        <f aca="false">IFERROR(IF(INDEX(원자료_시장!$A$1:$BZ$1000,설정!$L$6+ROW()-1,설정!$L$37)&amp;""="0","",INDEX(원자료_시장!$A$1:$BZ$1000,설정!$L$6+ROW()-1,설정!$L$37)),"")</f>
        <v>0</v>
      </c>
      <c r="C291" s="83" t="n">
        <f aca="false">IFERROR(IF(INDEX(원자료_시장!$A$1:$BZ$1000,설정!$L$6+ROW()-1,설정!$L$25)&amp;""="0","",INDEX(원자료_시장!$A$1:$BZ$1000,설정!$L$6+ROW()-1,설정!$L$25)),"")</f>
        <v>0</v>
      </c>
      <c r="D291" s="85" t="str">
        <f aca="false">IFERROR(IF(ISNUMBER(INDEX(원자료_시장!$A$1:$BZ$1000,설정!$L$6+ROW()-1,설정!$L$26)),INDEX(원자료_시장!$A$1:$BZ$1000,설정!$L$6+ROW()-1,설정!$L$26),""),"")</f>
        <v/>
      </c>
      <c r="E291" s="97" t="str">
        <f aca="false">IFERROR(IF(ISNUMBER(INDEX(원자료_시장!$A$1:$BZ$1000,설정!$L$6+ROW()-1,설정!$L$27)),INDEX(원자료_시장!$A$1:$BZ$1000,설정!$L$6+ROW()-1,설정!$L$27),""),"")</f>
        <v/>
      </c>
      <c r="F291" s="97" t="str">
        <f aca="false">IFERROR(IF(ISNUMBER(INDEX(원자료_시장!$A$1:$BZ$1000,설정!$L$6+ROW()-1,설정!$L$28)),INDEX(원자료_시장!$A$1:$BZ$1000,설정!$L$6+ROW()-1,설정!$L$28),""),"")</f>
        <v/>
      </c>
      <c r="G291" s="97" t="str">
        <f aca="false">IFERROR(IF(ISNUMBER(INDEX(원자료_시장!$A$1:$BZ$1000,설정!$L$6+ROW()-1,설정!$L$29)),INDEX(원자료_시장!$A$1:$BZ$1000,설정!$L$6+ROW()-1,설정!$L$29),""),"")</f>
        <v/>
      </c>
      <c r="H291" s="97" t="str">
        <f aca="false">IFERROR(IF(ISNUMBER(INDEX(원자료_시장!$A$1:$BZ$1000,설정!$L$6+ROW()-1,설정!$L$30)),INDEX(원자료_시장!$A$1:$BZ$1000,설정!$L$6+ROW()-1,설정!$L$30),""),"")</f>
        <v/>
      </c>
      <c r="I291" s="97" t="str">
        <f aca="false">IFERROR(IF(ISNUMBER(INDEX(원자료_시장!$A$1:$BZ$1000,설정!$L$6+ROW()-1,설정!$L$31)),INDEX(원자료_시장!$A$1:$BZ$1000,설정!$L$6+ROW()-1,설정!$L$31),""),"")</f>
        <v/>
      </c>
      <c r="J291" s="97" t="str">
        <f aca="false">IFERROR(IF(ISNUMBER(INDEX(원자료_시장!$A$1:$BZ$1000,설정!$L$6+ROW()-1,설정!$L$32)),INDEX(원자료_시장!$A$1:$BZ$1000,설정!$L$6+ROW()-1,설정!$L$32),""),"")</f>
        <v/>
      </c>
      <c r="K291" s="85" t="str">
        <f aca="false">IFERROR(IF(ISNUMBER(INDEX(원자료_시장!$A$1:$BZ$1000,설정!$L$6+ROW()-1,설정!$L$33)),INDEX(원자료_시장!$A$1:$BZ$1000,설정!$L$6+ROW()-1,설정!$L$33),""),"")</f>
        <v/>
      </c>
      <c r="L291" s="83" t="n">
        <f aca="false">IFERROR(IF(INDEX(원자료_시장!$A$1:$BZ$1000,설정!$L$6+ROW()-1,설정!$L$34)&amp;""="0","",INDEX(원자료_시장!$A$1:$BZ$1000,설정!$L$6+ROW()-1,설정!$L$34)),"")</f>
        <v>0</v>
      </c>
      <c r="M291" s="83" t="n">
        <f aca="false">IFERROR(IF(INDEX(원자료_시장!$A$1:$BZ$1000,설정!$L$6+ROW()-1,설정!$L$35)&amp;""="0","",INDEX(원자료_시장!$A$1:$BZ$1000,설정!$L$6+ROW()-1,설정!$L$35)),"")</f>
        <v>0</v>
      </c>
      <c r="N291" s="83" t="n">
        <f aca="false">IFERROR(IF(INDEX(원자료_시장!$A$1:$BZ$1000,설정!$L$6+ROW()-1,설정!$L$36)&amp;""="0","",INDEX(원자료_시장!$A$1:$BZ$1000,설정!$L$6+ROW()-1,설정!$L$36)),"")</f>
        <v>0</v>
      </c>
      <c r="O291" s="43" t="str">
        <f aca="false">IF($A291="","",UPPER(LEFT($A291,FIND(" ",$A291&amp;" ")-1)))</f>
        <v/>
      </c>
      <c r="P291" s="43" t="str">
        <f aca="false">IF($A291="","",TRIM(RIGHT(SUBSTITUTE(TRIM($A291)," ",REPT(" ",30)),30)))</f>
        <v/>
      </c>
      <c r="Q291" s="98" t="str">
        <f aca="false">IF($A291="","",IFERROR(DATE(IF(LEN(P291)=8,2000+VALUE(RIGHT(P291,2)),VALUE(RIGHT(P291,4))),VALUE(LEFT(P291,2)),VALUE(MID(P291,4,2))),""))</f>
        <v/>
      </c>
      <c r="R291" s="89" t="n">
        <f aca="false">IF($A291="",0,IF(ISNUMBER(SEARCH("Float",$A291)),1,0))</f>
        <v>0</v>
      </c>
      <c r="S291" s="43" t="str">
        <f aca="false">IF($A291="","",TRIM(MID($A291,LEN(O291)+2,LEN($A291)-LEN(O291)-LEN(P291)-1)))</f>
        <v/>
      </c>
      <c r="T291" s="92" t="str">
        <f aca="false">IF(OR($A291="",R291=1),"",IFERROR(IF(ISNUMBER(FIND("/",S291)),IF(ISNUMBER(FIND(" ",S291)),VALUE(LEFT(S291,FIND(" ",S291)-1))+VALUE(MID(S291,FIND(" ",S291)+1,FIND("/",S291)-FIND(" ",S291)-1))/VALUE(MID(S291,FIND("/",S291)+1,9)),VALUE(LEFT(S291,FIND("/",S291)-1))/VALUE(MID(S291,FIND("/",S291)+1,9))),VALUE(S291)),""))</f>
        <v/>
      </c>
      <c r="U291" s="43" t="str">
        <f aca="false">IF(OR($A291="",NOT(ISNUMBER(Q291))),"",TEXT(Q291,"yyyymmdd")&amp;"|"&amp;IF(R291=1,"F",TEXT(T291,"0.000")))</f>
        <v/>
      </c>
      <c r="V291" s="43" t="str">
        <f aca="false">IF(U291="","",O291&amp;"|"&amp;U291)</f>
        <v/>
      </c>
      <c r="W291" s="43" t="str">
        <f aca="false">IF($A291="","",IFERROR(IF(VLOOKUP(O291,매핑!$A$4:$E$92,3,0)="","미분류",VLOOKUP(O291,매핑!$A$4:$E$92,3,0)),"미분류"))</f>
        <v/>
      </c>
      <c r="X291" s="89" t="n">
        <f aca="false">IF($A291="",0,IF(O291="T",1,0))</f>
        <v>0</v>
      </c>
      <c r="Y291" s="89" t="n">
        <f aca="false">IF($A291="",0,IF(AND(C291="USD",X291=0,ISNUMBER(E291),ISNUMBER(K291)),IF(K291&gt;=설정!$C$8,1,0),0))</f>
        <v>0</v>
      </c>
      <c r="Z291" s="43" t="str">
        <f aca="false">IF($A291="","",N291&amp;"|"&amp;L291)</f>
        <v/>
      </c>
      <c r="AA291" s="92" t="n">
        <f aca="false">IF(Y291=1,LN(K291),0)</f>
        <v>0</v>
      </c>
      <c r="AB291" s="93" t="n">
        <f aca="false">IF(Y291=1,E291,0)</f>
        <v>0</v>
      </c>
      <c r="AC291" s="89" t="n">
        <f aca="false">IF(Y291=1,COUNTIFS($Z$2:$Z$601,Z291,$Y$2:$Y$601,1),0)</f>
        <v>0</v>
      </c>
      <c r="AD291" s="89" t="n">
        <f aca="false">IF(Y291=1,COUNTIFS($N$2:$N$601,N291,$Y$2:$Y$601,1),0)</f>
        <v>0</v>
      </c>
      <c r="AE291" s="43" t="str">
        <f aca="false">IF(Y291&lt;&gt;1,"",IF(AND(AC291&gt;=설정!$C$7,ISNUMBER(MATCH(Z291,피어커브!$A:$A,0))),Z291,IF(AND(AD291&gt;=설정!$C$7,ISNUMBER(MATCH(N291&amp;"|전체",피어커브!$A:$A,0))),N291&amp;"|전체","전체|전체")))</f>
        <v/>
      </c>
      <c r="AF291" s="93" t="str">
        <f aca="false">IF(AE291="","",INDEX(피어커브!$K:$K,MATCH(AE291,피어커브!$A:$A,0)))</f>
        <v/>
      </c>
      <c r="AG291" s="93" t="str">
        <f aca="false">IF(AE291="","",INDEX(피어커브!$J:$J,MATCH(AE291,피어커브!$A:$A,0)))</f>
        <v/>
      </c>
      <c r="AH291" s="93" t="str">
        <f aca="false">IF(AE291="","",INDEX(피어커브!$L:$L,MATCH(AE291,피어커브!$A:$A,0)))</f>
        <v/>
      </c>
      <c r="AI291" s="93" t="str">
        <f aca="false">IF(AE291="","",AF291+AG291*AA291)</f>
        <v/>
      </c>
      <c r="AJ291" s="96" t="str">
        <f aca="false">IF(AE291="","",E291-AI291)</f>
        <v/>
      </c>
      <c r="AK291" s="95" t="str">
        <f aca="false">IF(AE291="","",IF(ISNUMBER(AH291),IF(AH291&gt;0,AJ291/AH291,""),""))</f>
        <v/>
      </c>
      <c r="AL291" s="43" t="str">
        <f aca="false">IF(AK291="","-",IF(AK291&gt;=설정!$C$6,"Cheap",IF(AK291&lt;=-설정!$C$6,"Rich","Fair")))</f>
        <v>-</v>
      </c>
      <c r="AM291" s="96" t="str">
        <f aca="false">IF(AE291="","",AJ291-AVERAGEIFS($AJ$2:$AJ$601,$B$2:$B$601,B291,$Y$2:$Y$601,1))</f>
        <v/>
      </c>
      <c r="AN291" s="93" t="n">
        <f aca="false">IF(AE291="",0,IF(K291&gt;1+설정!$C$8,AG291*(AA291-LN(K291-1)),0))</f>
        <v>0</v>
      </c>
      <c r="AO291" s="99" t="n">
        <f aca="false">IF($A291="",0,SUMIFS(보유분석!$AA$2:$AA$801,보유분석!$AB$2:$AB$801,ROW(),보유분석!$AC$2:$AC$801,1))</f>
        <v>0</v>
      </c>
      <c r="AP291" s="43" t="str">
        <f aca="false">IF($A291="","",TRIM(IF(R291=1,"FRN ","")&amp;IF(IFERROR(VLOOKUP(M291,설정!$A$15:$D$47,4,0),0)&gt;=10,IF(IFERROR(VLOOKUP(M291,설정!$A$15:$D$47,4,0),0)&lt;99,"BBB0미만 ",""),"")&amp;IF(OR(M291="",M291="NR"),"등급미입력 ","")&amp;IF(C291&lt;&gt;"USD","비USD ","")))</f>
        <v/>
      </c>
      <c r="AQ291" s="90" t="n">
        <f aca="false">IF(AND(Y291=1,AL291="Cheap"),IF(AND(ISERROR(SEARCH("FRN",AP291)),ISERROR(SEARCH("BBB0미만",AP291))),AK291+ROW()/1000000000,-999),-999)</f>
        <v>-999</v>
      </c>
      <c r="AR291" s="92" t="str">
        <f aca="false">IF(AND(ISNUMBER(D291),ISNUMBER(K291)),D291+AN291*MAX(K291-1,0)/100,"")</f>
        <v/>
      </c>
      <c r="AS291" s="93" t="str">
        <f aca="false">IF(AND(ISNUMBER(E291),ISNUMBER(K291)),IF(K291&gt;0,(E291+AN291*MAX(K291-1,0))/K291,""),"")</f>
        <v/>
      </c>
      <c r="AT291" s="90" t="n">
        <f aca="false">IFERROR(IF(AND(Y291=1,ROW()&lt;&gt;스왑분석!$C$12+1,ABS(K291-INDEX($K$2:$K$601,스왑분석!$C$12))&lt;=스왑분석!$C$5,ISERROR(SEARCH("FRN",AP291)),ISERROR(SEARCH("BBB0미만",AP291))),IF(AND(OR(스왑분석!$C$6="N",L291=INDEX($L$2:$L$601,스왑분석!$C$12)),OR(스왑분석!$C$7="N",N291=INDEX($N$2:$N$601,스왑분석!$C$12)),OR(스왑분석!$C$8="N",AO291=0),E291-INDEX($E$2:$E$601,스왑분석!$C$12)&gt;=스왑분석!$C$9),E291-INDEX($E$2:$E$601,스왑분석!$C$12)+ROW()/1000000000,-999),-999),-999)</f>
        <v>-999</v>
      </c>
      <c r="AU291" s="90" t="n">
        <f aca="false">IF(AND(Y291=1,AO291&gt;0,AL291="Rich"),-AK291+ROW()/1000000000,-999)</f>
        <v>-999</v>
      </c>
    </row>
    <row r="292" customFormat="false" ht="15" hidden="false" customHeight="false" outlineLevel="0" collapsed="false">
      <c r="A292" s="83" t="n">
        <f aca="false">IFERROR(IF(INDEX(원자료_시장!$A$1:$BZ$1000,설정!$L$6+ROW()-1,설정!$L$24)&amp;""="0","",INDEX(원자료_시장!$A$1:$BZ$1000,설정!$L$6+ROW()-1,설정!$L$24)),"")</f>
        <v>0</v>
      </c>
      <c r="B292" s="83" t="n">
        <f aca="false">IFERROR(IF(INDEX(원자료_시장!$A$1:$BZ$1000,설정!$L$6+ROW()-1,설정!$L$37)&amp;""="0","",INDEX(원자료_시장!$A$1:$BZ$1000,설정!$L$6+ROW()-1,설정!$L$37)),"")</f>
        <v>0</v>
      </c>
      <c r="C292" s="83" t="n">
        <f aca="false">IFERROR(IF(INDEX(원자료_시장!$A$1:$BZ$1000,설정!$L$6+ROW()-1,설정!$L$25)&amp;""="0","",INDEX(원자료_시장!$A$1:$BZ$1000,설정!$L$6+ROW()-1,설정!$L$25)),"")</f>
        <v>0</v>
      </c>
      <c r="D292" s="85" t="str">
        <f aca="false">IFERROR(IF(ISNUMBER(INDEX(원자료_시장!$A$1:$BZ$1000,설정!$L$6+ROW()-1,설정!$L$26)),INDEX(원자료_시장!$A$1:$BZ$1000,설정!$L$6+ROW()-1,설정!$L$26),""),"")</f>
        <v/>
      </c>
      <c r="E292" s="97" t="str">
        <f aca="false">IFERROR(IF(ISNUMBER(INDEX(원자료_시장!$A$1:$BZ$1000,설정!$L$6+ROW()-1,설정!$L$27)),INDEX(원자료_시장!$A$1:$BZ$1000,설정!$L$6+ROW()-1,설정!$L$27),""),"")</f>
        <v/>
      </c>
      <c r="F292" s="97" t="str">
        <f aca="false">IFERROR(IF(ISNUMBER(INDEX(원자료_시장!$A$1:$BZ$1000,설정!$L$6+ROW()-1,설정!$L$28)),INDEX(원자료_시장!$A$1:$BZ$1000,설정!$L$6+ROW()-1,설정!$L$28),""),"")</f>
        <v/>
      </c>
      <c r="G292" s="97" t="str">
        <f aca="false">IFERROR(IF(ISNUMBER(INDEX(원자료_시장!$A$1:$BZ$1000,설정!$L$6+ROW()-1,설정!$L$29)),INDEX(원자료_시장!$A$1:$BZ$1000,설정!$L$6+ROW()-1,설정!$L$29),""),"")</f>
        <v/>
      </c>
      <c r="H292" s="97" t="str">
        <f aca="false">IFERROR(IF(ISNUMBER(INDEX(원자료_시장!$A$1:$BZ$1000,설정!$L$6+ROW()-1,설정!$L$30)),INDEX(원자료_시장!$A$1:$BZ$1000,설정!$L$6+ROW()-1,설정!$L$30),""),"")</f>
        <v/>
      </c>
      <c r="I292" s="97" t="str">
        <f aca="false">IFERROR(IF(ISNUMBER(INDEX(원자료_시장!$A$1:$BZ$1000,설정!$L$6+ROW()-1,설정!$L$31)),INDEX(원자료_시장!$A$1:$BZ$1000,설정!$L$6+ROW()-1,설정!$L$31),""),"")</f>
        <v/>
      </c>
      <c r="J292" s="97" t="str">
        <f aca="false">IFERROR(IF(ISNUMBER(INDEX(원자료_시장!$A$1:$BZ$1000,설정!$L$6+ROW()-1,설정!$L$32)),INDEX(원자료_시장!$A$1:$BZ$1000,설정!$L$6+ROW()-1,설정!$L$32),""),"")</f>
        <v/>
      </c>
      <c r="K292" s="85" t="str">
        <f aca="false">IFERROR(IF(ISNUMBER(INDEX(원자료_시장!$A$1:$BZ$1000,설정!$L$6+ROW()-1,설정!$L$33)),INDEX(원자료_시장!$A$1:$BZ$1000,설정!$L$6+ROW()-1,설정!$L$33),""),"")</f>
        <v/>
      </c>
      <c r="L292" s="83" t="n">
        <f aca="false">IFERROR(IF(INDEX(원자료_시장!$A$1:$BZ$1000,설정!$L$6+ROW()-1,설정!$L$34)&amp;""="0","",INDEX(원자료_시장!$A$1:$BZ$1000,설정!$L$6+ROW()-1,설정!$L$34)),"")</f>
        <v>0</v>
      </c>
      <c r="M292" s="83" t="n">
        <f aca="false">IFERROR(IF(INDEX(원자료_시장!$A$1:$BZ$1000,설정!$L$6+ROW()-1,설정!$L$35)&amp;""="0","",INDEX(원자료_시장!$A$1:$BZ$1000,설정!$L$6+ROW()-1,설정!$L$35)),"")</f>
        <v>0</v>
      </c>
      <c r="N292" s="83" t="n">
        <f aca="false">IFERROR(IF(INDEX(원자료_시장!$A$1:$BZ$1000,설정!$L$6+ROW()-1,설정!$L$36)&amp;""="0","",INDEX(원자료_시장!$A$1:$BZ$1000,설정!$L$6+ROW()-1,설정!$L$36)),"")</f>
        <v>0</v>
      </c>
      <c r="O292" s="43" t="str">
        <f aca="false">IF($A292="","",UPPER(LEFT($A292,FIND(" ",$A292&amp;" ")-1)))</f>
        <v/>
      </c>
      <c r="P292" s="43" t="str">
        <f aca="false">IF($A292="","",TRIM(RIGHT(SUBSTITUTE(TRIM($A292)," ",REPT(" ",30)),30)))</f>
        <v/>
      </c>
      <c r="Q292" s="98" t="str">
        <f aca="false">IF($A292="","",IFERROR(DATE(IF(LEN(P292)=8,2000+VALUE(RIGHT(P292,2)),VALUE(RIGHT(P292,4))),VALUE(LEFT(P292,2)),VALUE(MID(P292,4,2))),""))</f>
        <v/>
      </c>
      <c r="R292" s="89" t="n">
        <f aca="false">IF($A292="",0,IF(ISNUMBER(SEARCH("Float",$A292)),1,0))</f>
        <v>0</v>
      </c>
      <c r="S292" s="43" t="str">
        <f aca="false">IF($A292="","",TRIM(MID($A292,LEN(O292)+2,LEN($A292)-LEN(O292)-LEN(P292)-1)))</f>
        <v/>
      </c>
      <c r="T292" s="92" t="str">
        <f aca="false">IF(OR($A292="",R292=1),"",IFERROR(IF(ISNUMBER(FIND("/",S292)),IF(ISNUMBER(FIND(" ",S292)),VALUE(LEFT(S292,FIND(" ",S292)-1))+VALUE(MID(S292,FIND(" ",S292)+1,FIND("/",S292)-FIND(" ",S292)-1))/VALUE(MID(S292,FIND("/",S292)+1,9)),VALUE(LEFT(S292,FIND("/",S292)-1))/VALUE(MID(S292,FIND("/",S292)+1,9))),VALUE(S292)),""))</f>
        <v/>
      </c>
      <c r="U292" s="43" t="str">
        <f aca="false">IF(OR($A292="",NOT(ISNUMBER(Q292))),"",TEXT(Q292,"yyyymmdd")&amp;"|"&amp;IF(R292=1,"F",TEXT(T292,"0.000")))</f>
        <v/>
      </c>
      <c r="V292" s="43" t="str">
        <f aca="false">IF(U292="","",O292&amp;"|"&amp;U292)</f>
        <v/>
      </c>
      <c r="W292" s="43" t="str">
        <f aca="false">IF($A292="","",IFERROR(IF(VLOOKUP(O292,매핑!$A$4:$E$92,3,0)="","미분류",VLOOKUP(O292,매핑!$A$4:$E$92,3,0)),"미분류"))</f>
        <v/>
      </c>
      <c r="X292" s="89" t="n">
        <f aca="false">IF($A292="",0,IF(O292="T",1,0))</f>
        <v>0</v>
      </c>
      <c r="Y292" s="89" t="n">
        <f aca="false">IF($A292="",0,IF(AND(C292="USD",X292=0,ISNUMBER(E292),ISNUMBER(K292)),IF(K292&gt;=설정!$C$8,1,0),0))</f>
        <v>0</v>
      </c>
      <c r="Z292" s="43" t="str">
        <f aca="false">IF($A292="","",N292&amp;"|"&amp;L292)</f>
        <v/>
      </c>
      <c r="AA292" s="92" t="n">
        <f aca="false">IF(Y292=1,LN(K292),0)</f>
        <v>0</v>
      </c>
      <c r="AB292" s="93" t="n">
        <f aca="false">IF(Y292=1,E292,0)</f>
        <v>0</v>
      </c>
      <c r="AC292" s="89" t="n">
        <f aca="false">IF(Y292=1,COUNTIFS($Z$2:$Z$601,Z292,$Y$2:$Y$601,1),0)</f>
        <v>0</v>
      </c>
      <c r="AD292" s="89" t="n">
        <f aca="false">IF(Y292=1,COUNTIFS($N$2:$N$601,N292,$Y$2:$Y$601,1),0)</f>
        <v>0</v>
      </c>
      <c r="AE292" s="43" t="str">
        <f aca="false">IF(Y292&lt;&gt;1,"",IF(AND(AC292&gt;=설정!$C$7,ISNUMBER(MATCH(Z292,피어커브!$A:$A,0))),Z292,IF(AND(AD292&gt;=설정!$C$7,ISNUMBER(MATCH(N292&amp;"|전체",피어커브!$A:$A,0))),N292&amp;"|전체","전체|전체")))</f>
        <v/>
      </c>
      <c r="AF292" s="93" t="str">
        <f aca="false">IF(AE292="","",INDEX(피어커브!$K:$K,MATCH(AE292,피어커브!$A:$A,0)))</f>
        <v/>
      </c>
      <c r="AG292" s="93" t="str">
        <f aca="false">IF(AE292="","",INDEX(피어커브!$J:$J,MATCH(AE292,피어커브!$A:$A,0)))</f>
        <v/>
      </c>
      <c r="AH292" s="93" t="str">
        <f aca="false">IF(AE292="","",INDEX(피어커브!$L:$L,MATCH(AE292,피어커브!$A:$A,0)))</f>
        <v/>
      </c>
      <c r="AI292" s="93" t="str">
        <f aca="false">IF(AE292="","",AF292+AG292*AA292)</f>
        <v/>
      </c>
      <c r="AJ292" s="96" t="str">
        <f aca="false">IF(AE292="","",E292-AI292)</f>
        <v/>
      </c>
      <c r="AK292" s="95" t="str">
        <f aca="false">IF(AE292="","",IF(ISNUMBER(AH292),IF(AH292&gt;0,AJ292/AH292,""),""))</f>
        <v/>
      </c>
      <c r="AL292" s="43" t="str">
        <f aca="false">IF(AK292="","-",IF(AK292&gt;=설정!$C$6,"Cheap",IF(AK292&lt;=-설정!$C$6,"Rich","Fair")))</f>
        <v>-</v>
      </c>
      <c r="AM292" s="96" t="str">
        <f aca="false">IF(AE292="","",AJ292-AVERAGEIFS($AJ$2:$AJ$601,$B$2:$B$601,B292,$Y$2:$Y$601,1))</f>
        <v/>
      </c>
      <c r="AN292" s="93" t="n">
        <f aca="false">IF(AE292="",0,IF(K292&gt;1+설정!$C$8,AG292*(AA292-LN(K292-1)),0))</f>
        <v>0</v>
      </c>
      <c r="AO292" s="99" t="n">
        <f aca="false">IF($A292="",0,SUMIFS(보유분석!$AA$2:$AA$801,보유분석!$AB$2:$AB$801,ROW(),보유분석!$AC$2:$AC$801,1))</f>
        <v>0</v>
      </c>
      <c r="AP292" s="43" t="str">
        <f aca="false">IF($A292="","",TRIM(IF(R292=1,"FRN ","")&amp;IF(IFERROR(VLOOKUP(M292,설정!$A$15:$D$47,4,0),0)&gt;=10,IF(IFERROR(VLOOKUP(M292,설정!$A$15:$D$47,4,0),0)&lt;99,"BBB0미만 ",""),"")&amp;IF(OR(M292="",M292="NR"),"등급미입력 ","")&amp;IF(C292&lt;&gt;"USD","비USD ","")))</f>
        <v/>
      </c>
      <c r="AQ292" s="90" t="n">
        <f aca="false">IF(AND(Y292=1,AL292="Cheap"),IF(AND(ISERROR(SEARCH("FRN",AP292)),ISERROR(SEARCH("BBB0미만",AP292))),AK292+ROW()/1000000000,-999),-999)</f>
        <v>-999</v>
      </c>
      <c r="AR292" s="92" t="str">
        <f aca="false">IF(AND(ISNUMBER(D292),ISNUMBER(K292)),D292+AN292*MAX(K292-1,0)/100,"")</f>
        <v/>
      </c>
      <c r="AS292" s="93" t="str">
        <f aca="false">IF(AND(ISNUMBER(E292),ISNUMBER(K292)),IF(K292&gt;0,(E292+AN292*MAX(K292-1,0))/K292,""),"")</f>
        <v/>
      </c>
      <c r="AT292" s="90" t="n">
        <f aca="false">IFERROR(IF(AND(Y292=1,ROW()&lt;&gt;스왑분석!$C$12+1,ABS(K292-INDEX($K$2:$K$601,스왑분석!$C$12))&lt;=스왑분석!$C$5,ISERROR(SEARCH("FRN",AP292)),ISERROR(SEARCH("BBB0미만",AP292))),IF(AND(OR(스왑분석!$C$6="N",L292=INDEX($L$2:$L$601,스왑분석!$C$12)),OR(스왑분석!$C$7="N",N292=INDEX($N$2:$N$601,스왑분석!$C$12)),OR(스왑분석!$C$8="N",AO292=0),E292-INDEX($E$2:$E$601,스왑분석!$C$12)&gt;=스왑분석!$C$9),E292-INDEX($E$2:$E$601,스왑분석!$C$12)+ROW()/1000000000,-999),-999),-999)</f>
        <v>-999</v>
      </c>
      <c r="AU292" s="90" t="n">
        <f aca="false">IF(AND(Y292=1,AO292&gt;0,AL292="Rich"),-AK292+ROW()/1000000000,-999)</f>
        <v>-999</v>
      </c>
    </row>
    <row r="293" customFormat="false" ht="15" hidden="false" customHeight="false" outlineLevel="0" collapsed="false">
      <c r="A293" s="83" t="n">
        <f aca="false">IFERROR(IF(INDEX(원자료_시장!$A$1:$BZ$1000,설정!$L$6+ROW()-1,설정!$L$24)&amp;""="0","",INDEX(원자료_시장!$A$1:$BZ$1000,설정!$L$6+ROW()-1,설정!$L$24)),"")</f>
        <v>0</v>
      </c>
      <c r="B293" s="83" t="n">
        <f aca="false">IFERROR(IF(INDEX(원자료_시장!$A$1:$BZ$1000,설정!$L$6+ROW()-1,설정!$L$37)&amp;""="0","",INDEX(원자료_시장!$A$1:$BZ$1000,설정!$L$6+ROW()-1,설정!$L$37)),"")</f>
        <v>0</v>
      </c>
      <c r="C293" s="83" t="n">
        <f aca="false">IFERROR(IF(INDEX(원자료_시장!$A$1:$BZ$1000,설정!$L$6+ROW()-1,설정!$L$25)&amp;""="0","",INDEX(원자료_시장!$A$1:$BZ$1000,설정!$L$6+ROW()-1,설정!$L$25)),"")</f>
        <v>0</v>
      </c>
      <c r="D293" s="85" t="str">
        <f aca="false">IFERROR(IF(ISNUMBER(INDEX(원자료_시장!$A$1:$BZ$1000,설정!$L$6+ROW()-1,설정!$L$26)),INDEX(원자료_시장!$A$1:$BZ$1000,설정!$L$6+ROW()-1,설정!$L$26),""),"")</f>
        <v/>
      </c>
      <c r="E293" s="97" t="str">
        <f aca="false">IFERROR(IF(ISNUMBER(INDEX(원자료_시장!$A$1:$BZ$1000,설정!$L$6+ROW()-1,설정!$L$27)),INDEX(원자료_시장!$A$1:$BZ$1000,설정!$L$6+ROW()-1,설정!$L$27),""),"")</f>
        <v/>
      </c>
      <c r="F293" s="97" t="str">
        <f aca="false">IFERROR(IF(ISNUMBER(INDEX(원자료_시장!$A$1:$BZ$1000,설정!$L$6+ROW()-1,설정!$L$28)),INDEX(원자료_시장!$A$1:$BZ$1000,설정!$L$6+ROW()-1,설정!$L$28),""),"")</f>
        <v/>
      </c>
      <c r="G293" s="97" t="str">
        <f aca="false">IFERROR(IF(ISNUMBER(INDEX(원자료_시장!$A$1:$BZ$1000,설정!$L$6+ROW()-1,설정!$L$29)),INDEX(원자료_시장!$A$1:$BZ$1000,설정!$L$6+ROW()-1,설정!$L$29),""),"")</f>
        <v/>
      </c>
      <c r="H293" s="97" t="str">
        <f aca="false">IFERROR(IF(ISNUMBER(INDEX(원자료_시장!$A$1:$BZ$1000,설정!$L$6+ROW()-1,설정!$L$30)),INDEX(원자료_시장!$A$1:$BZ$1000,설정!$L$6+ROW()-1,설정!$L$30),""),"")</f>
        <v/>
      </c>
      <c r="I293" s="97" t="str">
        <f aca="false">IFERROR(IF(ISNUMBER(INDEX(원자료_시장!$A$1:$BZ$1000,설정!$L$6+ROW()-1,설정!$L$31)),INDEX(원자료_시장!$A$1:$BZ$1000,설정!$L$6+ROW()-1,설정!$L$31),""),"")</f>
        <v/>
      </c>
      <c r="J293" s="97" t="str">
        <f aca="false">IFERROR(IF(ISNUMBER(INDEX(원자료_시장!$A$1:$BZ$1000,설정!$L$6+ROW()-1,설정!$L$32)),INDEX(원자료_시장!$A$1:$BZ$1000,설정!$L$6+ROW()-1,설정!$L$32),""),"")</f>
        <v/>
      </c>
      <c r="K293" s="85" t="str">
        <f aca="false">IFERROR(IF(ISNUMBER(INDEX(원자료_시장!$A$1:$BZ$1000,설정!$L$6+ROW()-1,설정!$L$33)),INDEX(원자료_시장!$A$1:$BZ$1000,설정!$L$6+ROW()-1,설정!$L$33),""),"")</f>
        <v/>
      </c>
      <c r="L293" s="83" t="n">
        <f aca="false">IFERROR(IF(INDEX(원자료_시장!$A$1:$BZ$1000,설정!$L$6+ROW()-1,설정!$L$34)&amp;""="0","",INDEX(원자료_시장!$A$1:$BZ$1000,설정!$L$6+ROW()-1,설정!$L$34)),"")</f>
        <v>0</v>
      </c>
      <c r="M293" s="83" t="n">
        <f aca="false">IFERROR(IF(INDEX(원자료_시장!$A$1:$BZ$1000,설정!$L$6+ROW()-1,설정!$L$35)&amp;""="0","",INDEX(원자료_시장!$A$1:$BZ$1000,설정!$L$6+ROW()-1,설정!$L$35)),"")</f>
        <v>0</v>
      </c>
      <c r="N293" s="83" t="n">
        <f aca="false">IFERROR(IF(INDEX(원자료_시장!$A$1:$BZ$1000,설정!$L$6+ROW()-1,설정!$L$36)&amp;""="0","",INDEX(원자료_시장!$A$1:$BZ$1000,설정!$L$6+ROW()-1,설정!$L$36)),"")</f>
        <v>0</v>
      </c>
      <c r="O293" s="43" t="str">
        <f aca="false">IF($A293="","",UPPER(LEFT($A293,FIND(" ",$A293&amp;" ")-1)))</f>
        <v/>
      </c>
      <c r="P293" s="43" t="str">
        <f aca="false">IF($A293="","",TRIM(RIGHT(SUBSTITUTE(TRIM($A293)," ",REPT(" ",30)),30)))</f>
        <v/>
      </c>
      <c r="Q293" s="98" t="str">
        <f aca="false">IF($A293="","",IFERROR(DATE(IF(LEN(P293)=8,2000+VALUE(RIGHT(P293,2)),VALUE(RIGHT(P293,4))),VALUE(LEFT(P293,2)),VALUE(MID(P293,4,2))),""))</f>
        <v/>
      </c>
      <c r="R293" s="89" t="n">
        <f aca="false">IF($A293="",0,IF(ISNUMBER(SEARCH("Float",$A293)),1,0))</f>
        <v>0</v>
      </c>
      <c r="S293" s="43" t="str">
        <f aca="false">IF($A293="","",TRIM(MID($A293,LEN(O293)+2,LEN($A293)-LEN(O293)-LEN(P293)-1)))</f>
        <v/>
      </c>
      <c r="T293" s="92" t="str">
        <f aca="false">IF(OR($A293="",R293=1),"",IFERROR(IF(ISNUMBER(FIND("/",S293)),IF(ISNUMBER(FIND(" ",S293)),VALUE(LEFT(S293,FIND(" ",S293)-1))+VALUE(MID(S293,FIND(" ",S293)+1,FIND("/",S293)-FIND(" ",S293)-1))/VALUE(MID(S293,FIND("/",S293)+1,9)),VALUE(LEFT(S293,FIND("/",S293)-1))/VALUE(MID(S293,FIND("/",S293)+1,9))),VALUE(S293)),""))</f>
        <v/>
      </c>
      <c r="U293" s="43" t="str">
        <f aca="false">IF(OR($A293="",NOT(ISNUMBER(Q293))),"",TEXT(Q293,"yyyymmdd")&amp;"|"&amp;IF(R293=1,"F",TEXT(T293,"0.000")))</f>
        <v/>
      </c>
      <c r="V293" s="43" t="str">
        <f aca="false">IF(U293="","",O293&amp;"|"&amp;U293)</f>
        <v/>
      </c>
      <c r="W293" s="43" t="str">
        <f aca="false">IF($A293="","",IFERROR(IF(VLOOKUP(O293,매핑!$A$4:$E$92,3,0)="","미분류",VLOOKUP(O293,매핑!$A$4:$E$92,3,0)),"미분류"))</f>
        <v/>
      </c>
      <c r="X293" s="89" t="n">
        <f aca="false">IF($A293="",0,IF(O293="T",1,0))</f>
        <v>0</v>
      </c>
      <c r="Y293" s="89" t="n">
        <f aca="false">IF($A293="",0,IF(AND(C293="USD",X293=0,ISNUMBER(E293),ISNUMBER(K293)),IF(K293&gt;=설정!$C$8,1,0),0))</f>
        <v>0</v>
      </c>
      <c r="Z293" s="43" t="str">
        <f aca="false">IF($A293="","",N293&amp;"|"&amp;L293)</f>
        <v/>
      </c>
      <c r="AA293" s="92" t="n">
        <f aca="false">IF(Y293=1,LN(K293),0)</f>
        <v>0</v>
      </c>
      <c r="AB293" s="93" t="n">
        <f aca="false">IF(Y293=1,E293,0)</f>
        <v>0</v>
      </c>
      <c r="AC293" s="89" t="n">
        <f aca="false">IF(Y293=1,COUNTIFS($Z$2:$Z$601,Z293,$Y$2:$Y$601,1),0)</f>
        <v>0</v>
      </c>
      <c r="AD293" s="89" t="n">
        <f aca="false">IF(Y293=1,COUNTIFS($N$2:$N$601,N293,$Y$2:$Y$601,1),0)</f>
        <v>0</v>
      </c>
      <c r="AE293" s="43" t="str">
        <f aca="false">IF(Y293&lt;&gt;1,"",IF(AND(AC293&gt;=설정!$C$7,ISNUMBER(MATCH(Z293,피어커브!$A:$A,0))),Z293,IF(AND(AD293&gt;=설정!$C$7,ISNUMBER(MATCH(N293&amp;"|전체",피어커브!$A:$A,0))),N293&amp;"|전체","전체|전체")))</f>
        <v/>
      </c>
      <c r="AF293" s="93" t="str">
        <f aca="false">IF(AE293="","",INDEX(피어커브!$K:$K,MATCH(AE293,피어커브!$A:$A,0)))</f>
        <v/>
      </c>
      <c r="AG293" s="93" t="str">
        <f aca="false">IF(AE293="","",INDEX(피어커브!$J:$J,MATCH(AE293,피어커브!$A:$A,0)))</f>
        <v/>
      </c>
      <c r="AH293" s="93" t="str">
        <f aca="false">IF(AE293="","",INDEX(피어커브!$L:$L,MATCH(AE293,피어커브!$A:$A,0)))</f>
        <v/>
      </c>
      <c r="AI293" s="93" t="str">
        <f aca="false">IF(AE293="","",AF293+AG293*AA293)</f>
        <v/>
      </c>
      <c r="AJ293" s="96" t="str">
        <f aca="false">IF(AE293="","",E293-AI293)</f>
        <v/>
      </c>
      <c r="AK293" s="95" t="str">
        <f aca="false">IF(AE293="","",IF(ISNUMBER(AH293),IF(AH293&gt;0,AJ293/AH293,""),""))</f>
        <v/>
      </c>
      <c r="AL293" s="43" t="str">
        <f aca="false">IF(AK293="","-",IF(AK293&gt;=설정!$C$6,"Cheap",IF(AK293&lt;=-설정!$C$6,"Rich","Fair")))</f>
        <v>-</v>
      </c>
      <c r="AM293" s="96" t="str">
        <f aca="false">IF(AE293="","",AJ293-AVERAGEIFS($AJ$2:$AJ$601,$B$2:$B$601,B293,$Y$2:$Y$601,1))</f>
        <v/>
      </c>
      <c r="AN293" s="93" t="n">
        <f aca="false">IF(AE293="",0,IF(K293&gt;1+설정!$C$8,AG293*(AA293-LN(K293-1)),0))</f>
        <v>0</v>
      </c>
      <c r="AO293" s="99" t="n">
        <f aca="false">IF($A293="",0,SUMIFS(보유분석!$AA$2:$AA$801,보유분석!$AB$2:$AB$801,ROW(),보유분석!$AC$2:$AC$801,1))</f>
        <v>0</v>
      </c>
      <c r="AP293" s="43" t="str">
        <f aca="false">IF($A293="","",TRIM(IF(R293=1,"FRN ","")&amp;IF(IFERROR(VLOOKUP(M293,설정!$A$15:$D$47,4,0),0)&gt;=10,IF(IFERROR(VLOOKUP(M293,설정!$A$15:$D$47,4,0),0)&lt;99,"BBB0미만 ",""),"")&amp;IF(OR(M293="",M293="NR"),"등급미입력 ","")&amp;IF(C293&lt;&gt;"USD","비USD ","")))</f>
        <v/>
      </c>
      <c r="AQ293" s="90" t="n">
        <f aca="false">IF(AND(Y293=1,AL293="Cheap"),IF(AND(ISERROR(SEARCH("FRN",AP293)),ISERROR(SEARCH("BBB0미만",AP293))),AK293+ROW()/1000000000,-999),-999)</f>
        <v>-999</v>
      </c>
      <c r="AR293" s="92" t="str">
        <f aca="false">IF(AND(ISNUMBER(D293),ISNUMBER(K293)),D293+AN293*MAX(K293-1,0)/100,"")</f>
        <v/>
      </c>
      <c r="AS293" s="93" t="str">
        <f aca="false">IF(AND(ISNUMBER(E293),ISNUMBER(K293)),IF(K293&gt;0,(E293+AN293*MAX(K293-1,0))/K293,""),"")</f>
        <v/>
      </c>
      <c r="AT293" s="90" t="n">
        <f aca="false">IFERROR(IF(AND(Y293=1,ROW()&lt;&gt;스왑분석!$C$12+1,ABS(K293-INDEX($K$2:$K$601,스왑분석!$C$12))&lt;=스왑분석!$C$5,ISERROR(SEARCH("FRN",AP293)),ISERROR(SEARCH("BBB0미만",AP293))),IF(AND(OR(스왑분석!$C$6="N",L293=INDEX($L$2:$L$601,스왑분석!$C$12)),OR(스왑분석!$C$7="N",N293=INDEX($N$2:$N$601,스왑분석!$C$12)),OR(스왑분석!$C$8="N",AO293=0),E293-INDEX($E$2:$E$601,스왑분석!$C$12)&gt;=스왑분석!$C$9),E293-INDEX($E$2:$E$601,스왑분석!$C$12)+ROW()/1000000000,-999),-999),-999)</f>
        <v>-999</v>
      </c>
      <c r="AU293" s="90" t="n">
        <f aca="false">IF(AND(Y293=1,AO293&gt;0,AL293="Rich"),-AK293+ROW()/1000000000,-999)</f>
        <v>-999</v>
      </c>
    </row>
    <row r="294" customFormat="false" ht="15" hidden="false" customHeight="false" outlineLevel="0" collapsed="false">
      <c r="A294" s="83" t="n">
        <f aca="false">IFERROR(IF(INDEX(원자료_시장!$A$1:$BZ$1000,설정!$L$6+ROW()-1,설정!$L$24)&amp;""="0","",INDEX(원자료_시장!$A$1:$BZ$1000,설정!$L$6+ROW()-1,설정!$L$24)),"")</f>
        <v>0</v>
      </c>
      <c r="B294" s="83" t="n">
        <f aca="false">IFERROR(IF(INDEX(원자료_시장!$A$1:$BZ$1000,설정!$L$6+ROW()-1,설정!$L$37)&amp;""="0","",INDEX(원자료_시장!$A$1:$BZ$1000,설정!$L$6+ROW()-1,설정!$L$37)),"")</f>
        <v>0</v>
      </c>
      <c r="C294" s="83" t="n">
        <f aca="false">IFERROR(IF(INDEX(원자료_시장!$A$1:$BZ$1000,설정!$L$6+ROW()-1,설정!$L$25)&amp;""="0","",INDEX(원자료_시장!$A$1:$BZ$1000,설정!$L$6+ROW()-1,설정!$L$25)),"")</f>
        <v>0</v>
      </c>
      <c r="D294" s="85" t="str">
        <f aca="false">IFERROR(IF(ISNUMBER(INDEX(원자료_시장!$A$1:$BZ$1000,설정!$L$6+ROW()-1,설정!$L$26)),INDEX(원자료_시장!$A$1:$BZ$1000,설정!$L$6+ROW()-1,설정!$L$26),""),"")</f>
        <v/>
      </c>
      <c r="E294" s="97" t="str">
        <f aca="false">IFERROR(IF(ISNUMBER(INDEX(원자료_시장!$A$1:$BZ$1000,설정!$L$6+ROW()-1,설정!$L$27)),INDEX(원자료_시장!$A$1:$BZ$1000,설정!$L$6+ROW()-1,설정!$L$27),""),"")</f>
        <v/>
      </c>
      <c r="F294" s="97" t="str">
        <f aca="false">IFERROR(IF(ISNUMBER(INDEX(원자료_시장!$A$1:$BZ$1000,설정!$L$6+ROW()-1,설정!$L$28)),INDEX(원자료_시장!$A$1:$BZ$1000,설정!$L$6+ROW()-1,설정!$L$28),""),"")</f>
        <v/>
      </c>
      <c r="G294" s="97" t="str">
        <f aca="false">IFERROR(IF(ISNUMBER(INDEX(원자료_시장!$A$1:$BZ$1000,설정!$L$6+ROW()-1,설정!$L$29)),INDEX(원자료_시장!$A$1:$BZ$1000,설정!$L$6+ROW()-1,설정!$L$29),""),"")</f>
        <v/>
      </c>
      <c r="H294" s="97" t="str">
        <f aca="false">IFERROR(IF(ISNUMBER(INDEX(원자료_시장!$A$1:$BZ$1000,설정!$L$6+ROW()-1,설정!$L$30)),INDEX(원자료_시장!$A$1:$BZ$1000,설정!$L$6+ROW()-1,설정!$L$30),""),"")</f>
        <v/>
      </c>
      <c r="I294" s="97" t="str">
        <f aca="false">IFERROR(IF(ISNUMBER(INDEX(원자료_시장!$A$1:$BZ$1000,설정!$L$6+ROW()-1,설정!$L$31)),INDEX(원자료_시장!$A$1:$BZ$1000,설정!$L$6+ROW()-1,설정!$L$31),""),"")</f>
        <v/>
      </c>
      <c r="J294" s="97" t="str">
        <f aca="false">IFERROR(IF(ISNUMBER(INDEX(원자료_시장!$A$1:$BZ$1000,설정!$L$6+ROW()-1,설정!$L$32)),INDEX(원자료_시장!$A$1:$BZ$1000,설정!$L$6+ROW()-1,설정!$L$32),""),"")</f>
        <v/>
      </c>
      <c r="K294" s="85" t="str">
        <f aca="false">IFERROR(IF(ISNUMBER(INDEX(원자료_시장!$A$1:$BZ$1000,설정!$L$6+ROW()-1,설정!$L$33)),INDEX(원자료_시장!$A$1:$BZ$1000,설정!$L$6+ROW()-1,설정!$L$33),""),"")</f>
        <v/>
      </c>
      <c r="L294" s="83" t="n">
        <f aca="false">IFERROR(IF(INDEX(원자료_시장!$A$1:$BZ$1000,설정!$L$6+ROW()-1,설정!$L$34)&amp;""="0","",INDEX(원자료_시장!$A$1:$BZ$1000,설정!$L$6+ROW()-1,설정!$L$34)),"")</f>
        <v>0</v>
      </c>
      <c r="M294" s="83" t="n">
        <f aca="false">IFERROR(IF(INDEX(원자료_시장!$A$1:$BZ$1000,설정!$L$6+ROW()-1,설정!$L$35)&amp;""="0","",INDEX(원자료_시장!$A$1:$BZ$1000,설정!$L$6+ROW()-1,설정!$L$35)),"")</f>
        <v>0</v>
      </c>
      <c r="N294" s="83" t="n">
        <f aca="false">IFERROR(IF(INDEX(원자료_시장!$A$1:$BZ$1000,설정!$L$6+ROW()-1,설정!$L$36)&amp;""="0","",INDEX(원자료_시장!$A$1:$BZ$1000,설정!$L$6+ROW()-1,설정!$L$36)),"")</f>
        <v>0</v>
      </c>
      <c r="O294" s="43" t="str">
        <f aca="false">IF($A294="","",UPPER(LEFT($A294,FIND(" ",$A294&amp;" ")-1)))</f>
        <v/>
      </c>
      <c r="P294" s="43" t="str">
        <f aca="false">IF($A294="","",TRIM(RIGHT(SUBSTITUTE(TRIM($A294)," ",REPT(" ",30)),30)))</f>
        <v/>
      </c>
      <c r="Q294" s="98" t="str">
        <f aca="false">IF($A294="","",IFERROR(DATE(IF(LEN(P294)=8,2000+VALUE(RIGHT(P294,2)),VALUE(RIGHT(P294,4))),VALUE(LEFT(P294,2)),VALUE(MID(P294,4,2))),""))</f>
        <v/>
      </c>
      <c r="R294" s="89" t="n">
        <f aca="false">IF($A294="",0,IF(ISNUMBER(SEARCH("Float",$A294)),1,0))</f>
        <v>0</v>
      </c>
      <c r="S294" s="43" t="str">
        <f aca="false">IF($A294="","",TRIM(MID($A294,LEN(O294)+2,LEN($A294)-LEN(O294)-LEN(P294)-1)))</f>
        <v/>
      </c>
      <c r="T294" s="92" t="str">
        <f aca="false">IF(OR($A294="",R294=1),"",IFERROR(IF(ISNUMBER(FIND("/",S294)),IF(ISNUMBER(FIND(" ",S294)),VALUE(LEFT(S294,FIND(" ",S294)-1))+VALUE(MID(S294,FIND(" ",S294)+1,FIND("/",S294)-FIND(" ",S294)-1))/VALUE(MID(S294,FIND("/",S294)+1,9)),VALUE(LEFT(S294,FIND("/",S294)-1))/VALUE(MID(S294,FIND("/",S294)+1,9))),VALUE(S294)),""))</f>
        <v/>
      </c>
      <c r="U294" s="43" t="str">
        <f aca="false">IF(OR($A294="",NOT(ISNUMBER(Q294))),"",TEXT(Q294,"yyyymmdd")&amp;"|"&amp;IF(R294=1,"F",TEXT(T294,"0.000")))</f>
        <v/>
      </c>
      <c r="V294" s="43" t="str">
        <f aca="false">IF(U294="","",O294&amp;"|"&amp;U294)</f>
        <v/>
      </c>
      <c r="W294" s="43" t="str">
        <f aca="false">IF($A294="","",IFERROR(IF(VLOOKUP(O294,매핑!$A$4:$E$92,3,0)="","미분류",VLOOKUP(O294,매핑!$A$4:$E$92,3,0)),"미분류"))</f>
        <v/>
      </c>
      <c r="X294" s="89" t="n">
        <f aca="false">IF($A294="",0,IF(O294="T",1,0))</f>
        <v>0</v>
      </c>
      <c r="Y294" s="89" t="n">
        <f aca="false">IF($A294="",0,IF(AND(C294="USD",X294=0,ISNUMBER(E294),ISNUMBER(K294)),IF(K294&gt;=설정!$C$8,1,0),0))</f>
        <v>0</v>
      </c>
      <c r="Z294" s="43" t="str">
        <f aca="false">IF($A294="","",N294&amp;"|"&amp;L294)</f>
        <v/>
      </c>
      <c r="AA294" s="92" t="n">
        <f aca="false">IF(Y294=1,LN(K294),0)</f>
        <v>0</v>
      </c>
      <c r="AB294" s="93" t="n">
        <f aca="false">IF(Y294=1,E294,0)</f>
        <v>0</v>
      </c>
      <c r="AC294" s="89" t="n">
        <f aca="false">IF(Y294=1,COUNTIFS($Z$2:$Z$601,Z294,$Y$2:$Y$601,1),0)</f>
        <v>0</v>
      </c>
      <c r="AD294" s="89" t="n">
        <f aca="false">IF(Y294=1,COUNTIFS($N$2:$N$601,N294,$Y$2:$Y$601,1),0)</f>
        <v>0</v>
      </c>
      <c r="AE294" s="43" t="str">
        <f aca="false">IF(Y294&lt;&gt;1,"",IF(AND(AC294&gt;=설정!$C$7,ISNUMBER(MATCH(Z294,피어커브!$A:$A,0))),Z294,IF(AND(AD294&gt;=설정!$C$7,ISNUMBER(MATCH(N294&amp;"|전체",피어커브!$A:$A,0))),N294&amp;"|전체","전체|전체")))</f>
        <v/>
      </c>
      <c r="AF294" s="93" t="str">
        <f aca="false">IF(AE294="","",INDEX(피어커브!$K:$K,MATCH(AE294,피어커브!$A:$A,0)))</f>
        <v/>
      </c>
      <c r="AG294" s="93" t="str">
        <f aca="false">IF(AE294="","",INDEX(피어커브!$J:$J,MATCH(AE294,피어커브!$A:$A,0)))</f>
        <v/>
      </c>
      <c r="AH294" s="93" t="str">
        <f aca="false">IF(AE294="","",INDEX(피어커브!$L:$L,MATCH(AE294,피어커브!$A:$A,0)))</f>
        <v/>
      </c>
      <c r="AI294" s="93" t="str">
        <f aca="false">IF(AE294="","",AF294+AG294*AA294)</f>
        <v/>
      </c>
      <c r="AJ294" s="96" t="str">
        <f aca="false">IF(AE294="","",E294-AI294)</f>
        <v/>
      </c>
      <c r="AK294" s="95" t="str">
        <f aca="false">IF(AE294="","",IF(ISNUMBER(AH294),IF(AH294&gt;0,AJ294/AH294,""),""))</f>
        <v/>
      </c>
      <c r="AL294" s="43" t="str">
        <f aca="false">IF(AK294="","-",IF(AK294&gt;=설정!$C$6,"Cheap",IF(AK294&lt;=-설정!$C$6,"Rich","Fair")))</f>
        <v>-</v>
      </c>
      <c r="AM294" s="96" t="str">
        <f aca="false">IF(AE294="","",AJ294-AVERAGEIFS($AJ$2:$AJ$601,$B$2:$B$601,B294,$Y$2:$Y$601,1))</f>
        <v/>
      </c>
      <c r="AN294" s="93" t="n">
        <f aca="false">IF(AE294="",0,IF(K294&gt;1+설정!$C$8,AG294*(AA294-LN(K294-1)),0))</f>
        <v>0</v>
      </c>
      <c r="AO294" s="99" t="n">
        <f aca="false">IF($A294="",0,SUMIFS(보유분석!$AA$2:$AA$801,보유분석!$AB$2:$AB$801,ROW(),보유분석!$AC$2:$AC$801,1))</f>
        <v>0</v>
      </c>
      <c r="AP294" s="43" t="str">
        <f aca="false">IF($A294="","",TRIM(IF(R294=1,"FRN ","")&amp;IF(IFERROR(VLOOKUP(M294,설정!$A$15:$D$47,4,0),0)&gt;=10,IF(IFERROR(VLOOKUP(M294,설정!$A$15:$D$47,4,0),0)&lt;99,"BBB0미만 ",""),"")&amp;IF(OR(M294="",M294="NR"),"등급미입력 ","")&amp;IF(C294&lt;&gt;"USD","비USD ","")))</f>
        <v/>
      </c>
      <c r="AQ294" s="90" t="n">
        <f aca="false">IF(AND(Y294=1,AL294="Cheap"),IF(AND(ISERROR(SEARCH("FRN",AP294)),ISERROR(SEARCH("BBB0미만",AP294))),AK294+ROW()/1000000000,-999),-999)</f>
        <v>-999</v>
      </c>
      <c r="AR294" s="92" t="str">
        <f aca="false">IF(AND(ISNUMBER(D294),ISNUMBER(K294)),D294+AN294*MAX(K294-1,0)/100,"")</f>
        <v/>
      </c>
      <c r="AS294" s="93" t="str">
        <f aca="false">IF(AND(ISNUMBER(E294),ISNUMBER(K294)),IF(K294&gt;0,(E294+AN294*MAX(K294-1,0))/K294,""),"")</f>
        <v/>
      </c>
      <c r="AT294" s="90" t="n">
        <f aca="false">IFERROR(IF(AND(Y294=1,ROW()&lt;&gt;스왑분석!$C$12+1,ABS(K294-INDEX($K$2:$K$601,스왑분석!$C$12))&lt;=스왑분석!$C$5,ISERROR(SEARCH("FRN",AP294)),ISERROR(SEARCH("BBB0미만",AP294))),IF(AND(OR(스왑분석!$C$6="N",L294=INDEX($L$2:$L$601,스왑분석!$C$12)),OR(스왑분석!$C$7="N",N294=INDEX($N$2:$N$601,스왑분석!$C$12)),OR(스왑분석!$C$8="N",AO294=0),E294-INDEX($E$2:$E$601,스왑분석!$C$12)&gt;=스왑분석!$C$9),E294-INDEX($E$2:$E$601,스왑분석!$C$12)+ROW()/1000000000,-999),-999),-999)</f>
        <v>-999</v>
      </c>
      <c r="AU294" s="90" t="n">
        <f aca="false">IF(AND(Y294=1,AO294&gt;0,AL294="Rich"),-AK294+ROW()/1000000000,-999)</f>
        <v>-999</v>
      </c>
    </row>
    <row r="295" customFormat="false" ht="15" hidden="false" customHeight="false" outlineLevel="0" collapsed="false">
      <c r="A295" s="83" t="n">
        <f aca="false">IFERROR(IF(INDEX(원자료_시장!$A$1:$BZ$1000,설정!$L$6+ROW()-1,설정!$L$24)&amp;""="0","",INDEX(원자료_시장!$A$1:$BZ$1000,설정!$L$6+ROW()-1,설정!$L$24)),"")</f>
        <v>0</v>
      </c>
      <c r="B295" s="83" t="n">
        <f aca="false">IFERROR(IF(INDEX(원자료_시장!$A$1:$BZ$1000,설정!$L$6+ROW()-1,설정!$L$37)&amp;""="0","",INDEX(원자료_시장!$A$1:$BZ$1000,설정!$L$6+ROW()-1,설정!$L$37)),"")</f>
        <v>0</v>
      </c>
      <c r="C295" s="83" t="n">
        <f aca="false">IFERROR(IF(INDEX(원자료_시장!$A$1:$BZ$1000,설정!$L$6+ROW()-1,설정!$L$25)&amp;""="0","",INDEX(원자료_시장!$A$1:$BZ$1000,설정!$L$6+ROW()-1,설정!$L$25)),"")</f>
        <v>0</v>
      </c>
      <c r="D295" s="85" t="str">
        <f aca="false">IFERROR(IF(ISNUMBER(INDEX(원자료_시장!$A$1:$BZ$1000,설정!$L$6+ROW()-1,설정!$L$26)),INDEX(원자료_시장!$A$1:$BZ$1000,설정!$L$6+ROW()-1,설정!$L$26),""),"")</f>
        <v/>
      </c>
      <c r="E295" s="97" t="str">
        <f aca="false">IFERROR(IF(ISNUMBER(INDEX(원자료_시장!$A$1:$BZ$1000,설정!$L$6+ROW()-1,설정!$L$27)),INDEX(원자료_시장!$A$1:$BZ$1000,설정!$L$6+ROW()-1,설정!$L$27),""),"")</f>
        <v/>
      </c>
      <c r="F295" s="97" t="str">
        <f aca="false">IFERROR(IF(ISNUMBER(INDEX(원자료_시장!$A$1:$BZ$1000,설정!$L$6+ROW()-1,설정!$L$28)),INDEX(원자료_시장!$A$1:$BZ$1000,설정!$L$6+ROW()-1,설정!$L$28),""),"")</f>
        <v/>
      </c>
      <c r="G295" s="97" t="str">
        <f aca="false">IFERROR(IF(ISNUMBER(INDEX(원자료_시장!$A$1:$BZ$1000,설정!$L$6+ROW()-1,설정!$L$29)),INDEX(원자료_시장!$A$1:$BZ$1000,설정!$L$6+ROW()-1,설정!$L$29),""),"")</f>
        <v/>
      </c>
      <c r="H295" s="97" t="str">
        <f aca="false">IFERROR(IF(ISNUMBER(INDEX(원자료_시장!$A$1:$BZ$1000,설정!$L$6+ROW()-1,설정!$L$30)),INDEX(원자료_시장!$A$1:$BZ$1000,설정!$L$6+ROW()-1,설정!$L$30),""),"")</f>
        <v/>
      </c>
      <c r="I295" s="97" t="str">
        <f aca="false">IFERROR(IF(ISNUMBER(INDEX(원자료_시장!$A$1:$BZ$1000,설정!$L$6+ROW()-1,설정!$L$31)),INDEX(원자료_시장!$A$1:$BZ$1000,설정!$L$6+ROW()-1,설정!$L$31),""),"")</f>
        <v/>
      </c>
      <c r="J295" s="97" t="str">
        <f aca="false">IFERROR(IF(ISNUMBER(INDEX(원자료_시장!$A$1:$BZ$1000,설정!$L$6+ROW()-1,설정!$L$32)),INDEX(원자료_시장!$A$1:$BZ$1000,설정!$L$6+ROW()-1,설정!$L$32),""),"")</f>
        <v/>
      </c>
      <c r="K295" s="85" t="str">
        <f aca="false">IFERROR(IF(ISNUMBER(INDEX(원자료_시장!$A$1:$BZ$1000,설정!$L$6+ROW()-1,설정!$L$33)),INDEX(원자료_시장!$A$1:$BZ$1000,설정!$L$6+ROW()-1,설정!$L$33),""),"")</f>
        <v/>
      </c>
      <c r="L295" s="83" t="n">
        <f aca="false">IFERROR(IF(INDEX(원자료_시장!$A$1:$BZ$1000,설정!$L$6+ROW()-1,설정!$L$34)&amp;""="0","",INDEX(원자료_시장!$A$1:$BZ$1000,설정!$L$6+ROW()-1,설정!$L$34)),"")</f>
        <v>0</v>
      </c>
      <c r="M295" s="83" t="n">
        <f aca="false">IFERROR(IF(INDEX(원자료_시장!$A$1:$BZ$1000,설정!$L$6+ROW()-1,설정!$L$35)&amp;""="0","",INDEX(원자료_시장!$A$1:$BZ$1000,설정!$L$6+ROW()-1,설정!$L$35)),"")</f>
        <v>0</v>
      </c>
      <c r="N295" s="83" t="n">
        <f aca="false">IFERROR(IF(INDEX(원자료_시장!$A$1:$BZ$1000,설정!$L$6+ROW()-1,설정!$L$36)&amp;""="0","",INDEX(원자료_시장!$A$1:$BZ$1000,설정!$L$6+ROW()-1,설정!$L$36)),"")</f>
        <v>0</v>
      </c>
      <c r="O295" s="43" t="str">
        <f aca="false">IF($A295="","",UPPER(LEFT($A295,FIND(" ",$A295&amp;" ")-1)))</f>
        <v/>
      </c>
      <c r="P295" s="43" t="str">
        <f aca="false">IF($A295="","",TRIM(RIGHT(SUBSTITUTE(TRIM($A295)," ",REPT(" ",30)),30)))</f>
        <v/>
      </c>
      <c r="Q295" s="98" t="str">
        <f aca="false">IF($A295="","",IFERROR(DATE(IF(LEN(P295)=8,2000+VALUE(RIGHT(P295,2)),VALUE(RIGHT(P295,4))),VALUE(LEFT(P295,2)),VALUE(MID(P295,4,2))),""))</f>
        <v/>
      </c>
      <c r="R295" s="89" t="n">
        <f aca="false">IF($A295="",0,IF(ISNUMBER(SEARCH("Float",$A295)),1,0))</f>
        <v>0</v>
      </c>
      <c r="S295" s="43" t="str">
        <f aca="false">IF($A295="","",TRIM(MID($A295,LEN(O295)+2,LEN($A295)-LEN(O295)-LEN(P295)-1)))</f>
        <v/>
      </c>
      <c r="T295" s="92" t="str">
        <f aca="false">IF(OR($A295="",R295=1),"",IFERROR(IF(ISNUMBER(FIND("/",S295)),IF(ISNUMBER(FIND(" ",S295)),VALUE(LEFT(S295,FIND(" ",S295)-1))+VALUE(MID(S295,FIND(" ",S295)+1,FIND("/",S295)-FIND(" ",S295)-1))/VALUE(MID(S295,FIND("/",S295)+1,9)),VALUE(LEFT(S295,FIND("/",S295)-1))/VALUE(MID(S295,FIND("/",S295)+1,9))),VALUE(S295)),""))</f>
        <v/>
      </c>
      <c r="U295" s="43" t="str">
        <f aca="false">IF(OR($A295="",NOT(ISNUMBER(Q295))),"",TEXT(Q295,"yyyymmdd")&amp;"|"&amp;IF(R295=1,"F",TEXT(T295,"0.000")))</f>
        <v/>
      </c>
      <c r="V295" s="43" t="str">
        <f aca="false">IF(U295="","",O295&amp;"|"&amp;U295)</f>
        <v/>
      </c>
      <c r="W295" s="43" t="str">
        <f aca="false">IF($A295="","",IFERROR(IF(VLOOKUP(O295,매핑!$A$4:$E$92,3,0)="","미분류",VLOOKUP(O295,매핑!$A$4:$E$92,3,0)),"미분류"))</f>
        <v/>
      </c>
      <c r="X295" s="89" t="n">
        <f aca="false">IF($A295="",0,IF(O295="T",1,0))</f>
        <v>0</v>
      </c>
      <c r="Y295" s="89" t="n">
        <f aca="false">IF($A295="",0,IF(AND(C295="USD",X295=0,ISNUMBER(E295),ISNUMBER(K295)),IF(K295&gt;=설정!$C$8,1,0),0))</f>
        <v>0</v>
      </c>
      <c r="Z295" s="43" t="str">
        <f aca="false">IF($A295="","",N295&amp;"|"&amp;L295)</f>
        <v/>
      </c>
      <c r="AA295" s="92" t="n">
        <f aca="false">IF(Y295=1,LN(K295),0)</f>
        <v>0</v>
      </c>
      <c r="AB295" s="93" t="n">
        <f aca="false">IF(Y295=1,E295,0)</f>
        <v>0</v>
      </c>
      <c r="AC295" s="89" t="n">
        <f aca="false">IF(Y295=1,COUNTIFS($Z$2:$Z$601,Z295,$Y$2:$Y$601,1),0)</f>
        <v>0</v>
      </c>
      <c r="AD295" s="89" t="n">
        <f aca="false">IF(Y295=1,COUNTIFS($N$2:$N$601,N295,$Y$2:$Y$601,1),0)</f>
        <v>0</v>
      </c>
      <c r="AE295" s="43" t="str">
        <f aca="false">IF(Y295&lt;&gt;1,"",IF(AND(AC295&gt;=설정!$C$7,ISNUMBER(MATCH(Z295,피어커브!$A:$A,0))),Z295,IF(AND(AD295&gt;=설정!$C$7,ISNUMBER(MATCH(N295&amp;"|전체",피어커브!$A:$A,0))),N295&amp;"|전체","전체|전체")))</f>
        <v/>
      </c>
      <c r="AF295" s="93" t="str">
        <f aca="false">IF(AE295="","",INDEX(피어커브!$K:$K,MATCH(AE295,피어커브!$A:$A,0)))</f>
        <v/>
      </c>
      <c r="AG295" s="93" t="str">
        <f aca="false">IF(AE295="","",INDEX(피어커브!$J:$J,MATCH(AE295,피어커브!$A:$A,0)))</f>
        <v/>
      </c>
      <c r="AH295" s="93" t="str">
        <f aca="false">IF(AE295="","",INDEX(피어커브!$L:$L,MATCH(AE295,피어커브!$A:$A,0)))</f>
        <v/>
      </c>
      <c r="AI295" s="93" t="str">
        <f aca="false">IF(AE295="","",AF295+AG295*AA295)</f>
        <v/>
      </c>
      <c r="AJ295" s="96" t="str">
        <f aca="false">IF(AE295="","",E295-AI295)</f>
        <v/>
      </c>
      <c r="AK295" s="95" t="str">
        <f aca="false">IF(AE295="","",IF(ISNUMBER(AH295),IF(AH295&gt;0,AJ295/AH295,""),""))</f>
        <v/>
      </c>
      <c r="AL295" s="43" t="str">
        <f aca="false">IF(AK295="","-",IF(AK295&gt;=설정!$C$6,"Cheap",IF(AK295&lt;=-설정!$C$6,"Rich","Fair")))</f>
        <v>-</v>
      </c>
      <c r="AM295" s="96" t="str">
        <f aca="false">IF(AE295="","",AJ295-AVERAGEIFS($AJ$2:$AJ$601,$B$2:$B$601,B295,$Y$2:$Y$601,1))</f>
        <v/>
      </c>
      <c r="AN295" s="93" t="n">
        <f aca="false">IF(AE295="",0,IF(K295&gt;1+설정!$C$8,AG295*(AA295-LN(K295-1)),0))</f>
        <v>0</v>
      </c>
      <c r="AO295" s="99" t="n">
        <f aca="false">IF($A295="",0,SUMIFS(보유분석!$AA$2:$AA$801,보유분석!$AB$2:$AB$801,ROW(),보유분석!$AC$2:$AC$801,1))</f>
        <v>0</v>
      </c>
      <c r="AP295" s="43" t="str">
        <f aca="false">IF($A295="","",TRIM(IF(R295=1,"FRN ","")&amp;IF(IFERROR(VLOOKUP(M295,설정!$A$15:$D$47,4,0),0)&gt;=10,IF(IFERROR(VLOOKUP(M295,설정!$A$15:$D$47,4,0),0)&lt;99,"BBB0미만 ",""),"")&amp;IF(OR(M295="",M295="NR"),"등급미입력 ","")&amp;IF(C295&lt;&gt;"USD","비USD ","")))</f>
        <v/>
      </c>
      <c r="AQ295" s="90" t="n">
        <f aca="false">IF(AND(Y295=1,AL295="Cheap"),IF(AND(ISERROR(SEARCH("FRN",AP295)),ISERROR(SEARCH("BBB0미만",AP295))),AK295+ROW()/1000000000,-999),-999)</f>
        <v>-999</v>
      </c>
      <c r="AR295" s="92" t="str">
        <f aca="false">IF(AND(ISNUMBER(D295),ISNUMBER(K295)),D295+AN295*MAX(K295-1,0)/100,"")</f>
        <v/>
      </c>
      <c r="AS295" s="93" t="str">
        <f aca="false">IF(AND(ISNUMBER(E295),ISNUMBER(K295)),IF(K295&gt;0,(E295+AN295*MAX(K295-1,0))/K295,""),"")</f>
        <v/>
      </c>
      <c r="AT295" s="90" t="n">
        <f aca="false">IFERROR(IF(AND(Y295=1,ROW()&lt;&gt;스왑분석!$C$12+1,ABS(K295-INDEX($K$2:$K$601,스왑분석!$C$12))&lt;=스왑분석!$C$5,ISERROR(SEARCH("FRN",AP295)),ISERROR(SEARCH("BBB0미만",AP295))),IF(AND(OR(스왑분석!$C$6="N",L295=INDEX($L$2:$L$601,스왑분석!$C$12)),OR(스왑분석!$C$7="N",N295=INDEX($N$2:$N$601,스왑분석!$C$12)),OR(스왑분석!$C$8="N",AO295=0),E295-INDEX($E$2:$E$601,스왑분석!$C$12)&gt;=스왑분석!$C$9),E295-INDEX($E$2:$E$601,스왑분석!$C$12)+ROW()/1000000000,-999),-999),-999)</f>
        <v>-999</v>
      </c>
      <c r="AU295" s="90" t="n">
        <f aca="false">IF(AND(Y295=1,AO295&gt;0,AL295="Rich"),-AK295+ROW()/1000000000,-999)</f>
        <v>-999</v>
      </c>
    </row>
    <row r="296" customFormat="false" ht="15" hidden="false" customHeight="false" outlineLevel="0" collapsed="false">
      <c r="A296" s="83" t="n">
        <f aca="false">IFERROR(IF(INDEX(원자료_시장!$A$1:$BZ$1000,설정!$L$6+ROW()-1,설정!$L$24)&amp;""="0","",INDEX(원자료_시장!$A$1:$BZ$1000,설정!$L$6+ROW()-1,설정!$L$24)),"")</f>
        <v>0</v>
      </c>
      <c r="B296" s="83" t="n">
        <f aca="false">IFERROR(IF(INDEX(원자료_시장!$A$1:$BZ$1000,설정!$L$6+ROW()-1,설정!$L$37)&amp;""="0","",INDEX(원자료_시장!$A$1:$BZ$1000,설정!$L$6+ROW()-1,설정!$L$37)),"")</f>
        <v>0</v>
      </c>
      <c r="C296" s="83" t="n">
        <f aca="false">IFERROR(IF(INDEX(원자료_시장!$A$1:$BZ$1000,설정!$L$6+ROW()-1,설정!$L$25)&amp;""="0","",INDEX(원자료_시장!$A$1:$BZ$1000,설정!$L$6+ROW()-1,설정!$L$25)),"")</f>
        <v>0</v>
      </c>
      <c r="D296" s="85" t="str">
        <f aca="false">IFERROR(IF(ISNUMBER(INDEX(원자료_시장!$A$1:$BZ$1000,설정!$L$6+ROW()-1,설정!$L$26)),INDEX(원자료_시장!$A$1:$BZ$1000,설정!$L$6+ROW()-1,설정!$L$26),""),"")</f>
        <v/>
      </c>
      <c r="E296" s="97" t="str">
        <f aca="false">IFERROR(IF(ISNUMBER(INDEX(원자료_시장!$A$1:$BZ$1000,설정!$L$6+ROW()-1,설정!$L$27)),INDEX(원자료_시장!$A$1:$BZ$1000,설정!$L$6+ROW()-1,설정!$L$27),""),"")</f>
        <v/>
      </c>
      <c r="F296" s="97" t="str">
        <f aca="false">IFERROR(IF(ISNUMBER(INDEX(원자료_시장!$A$1:$BZ$1000,설정!$L$6+ROW()-1,설정!$L$28)),INDEX(원자료_시장!$A$1:$BZ$1000,설정!$L$6+ROW()-1,설정!$L$28),""),"")</f>
        <v/>
      </c>
      <c r="G296" s="97" t="str">
        <f aca="false">IFERROR(IF(ISNUMBER(INDEX(원자료_시장!$A$1:$BZ$1000,설정!$L$6+ROW()-1,설정!$L$29)),INDEX(원자료_시장!$A$1:$BZ$1000,설정!$L$6+ROW()-1,설정!$L$29),""),"")</f>
        <v/>
      </c>
      <c r="H296" s="97" t="str">
        <f aca="false">IFERROR(IF(ISNUMBER(INDEX(원자료_시장!$A$1:$BZ$1000,설정!$L$6+ROW()-1,설정!$L$30)),INDEX(원자료_시장!$A$1:$BZ$1000,설정!$L$6+ROW()-1,설정!$L$30),""),"")</f>
        <v/>
      </c>
      <c r="I296" s="97" t="str">
        <f aca="false">IFERROR(IF(ISNUMBER(INDEX(원자료_시장!$A$1:$BZ$1000,설정!$L$6+ROW()-1,설정!$L$31)),INDEX(원자료_시장!$A$1:$BZ$1000,설정!$L$6+ROW()-1,설정!$L$31),""),"")</f>
        <v/>
      </c>
      <c r="J296" s="97" t="str">
        <f aca="false">IFERROR(IF(ISNUMBER(INDEX(원자료_시장!$A$1:$BZ$1000,설정!$L$6+ROW()-1,설정!$L$32)),INDEX(원자료_시장!$A$1:$BZ$1000,설정!$L$6+ROW()-1,설정!$L$32),""),"")</f>
        <v/>
      </c>
      <c r="K296" s="85" t="str">
        <f aca="false">IFERROR(IF(ISNUMBER(INDEX(원자료_시장!$A$1:$BZ$1000,설정!$L$6+ROW()-1,설정!$L$33)),INDEX(원자료_시장!$A$1:$BZ$1000,설정!$L$6+ROW()-1,설정!$L$33),""),"")</f>
        <v/>
      </c>
      <c r="L296" s="83" t="n">
        <f aca="false">IFERROR(IF(INDEX(원자료_시장!$A$1:$BZ$1000,설정!$L$6+ROW()-1,설정!$L$34)&amp;""="0","",INDEX(원자료_시장!$A$1:$BZ$1000,설정!$L$6+ROW()-1,설정!$L$34)),"")</f>
        <v>0</v>
      </c>
      <c r="M296" s="83" t="n">
        <f aca="false">IFERROR(IF(INDEX(원자료_시장!$A$1:$BZ$1000,설정!$L$6+ROW()-1,설정!$L$35)&amp;""="0","",INDEX(원자료_시장!$A$1:$BZ$1000,설정!$L$6+ROW()-1,설정!$L$35)),"")</f>
        <v>0</v>
      </c>
      <c r="N296" s="83" t="n">
        <f aca="false">IFERROR(IF(INDEX(원자료_시장!$A$1:$BZ$1000,설정!$L$6+ROW()-1,설정!$L$36)&amp;""="0","",INDEX(원자료_시장!$A$1:$BZ$1000,설정!$L$6+ROW()-1,설정!$L$36)),"")</f>
        <v>0</v>
      </c>
      <c r="O296" s="43" t="str">
        <f aca="false">IF($A296="","",UPPER(LEFT($A296,FIND(" ",$A296&amp;" ")-1)))</f>
        <v/>
      </c>
      <c r="P296" s="43" t="str">
        <f aca="false">IF($A296="","",TRIM(RIGHT(SUBSTITUTE(TRIM($A296)," ",REPT(" ",30)),30)))</f>
        <v/>
      </c>
      <c r="Q296" s="98" t="str">
        <f aca="false">IF($A296="","",IFERROR(DATE(IF(LEN(P296)=8,2000+VALUE(RIGHT(P296,2)),VALUE(RIGHT(P296,4))),VALUE(LEFT(P296,2)),VALUE(MID(P296,4,2))),""))</f>
        <v/>
      </c>
      <c r="R296" s="89" t="n">
        <f aca="false">IF($A296="",0,IF(ISNUMBER(SEARCH("Float",$A296)),1,0))</f>
        <v>0</v>
      </c>
      <c r="S296" s="43" t="str">
        <f aca="false">IF($A296="","",TRIM(MID($A296,LEN(O296)+2,LEN($A296)-LEN(O296)-LEN(P296)-1)))</f>
        <v/>
      </c>
      <c r="T296" s="92" t="str">
        <f aca="false">IF(OR($A296="",R296=1),"",IFERROR(IF(ISNUMBER(FIND("/",S296)),IF(ISNUMBER(FIND(" ",S296)),VALUE(LEFT(S296,FIND(" ",S296)-1))+VALUE(MID(S296,FIND(" ",S296)+1,FIND("/",S296)-FIND(" ",S296)-1))/VALUE(MID(S296,FIND("/",S296)+1,9)),VALUE(LEFT(S296,FIND("/",S296)-1))/VALUE(MID(S296,FIND("/",S296)+1,9))),VALUE(S296)),""))</f>
        <v/>
      </c>
      <c r="U296" s="43" t="str">
        <f aca="false">IF(OR($A296="",NOT(ISNUMBER(Q296))),"",TEXT(Q296,"yyyymmdd")&amp;"|"&amp;IF(R296=1,"F",TEXT(T296,"0.000")))</f>
        <v/>
      </c>
      <c r="V296" s="43" t="str">
        <f aca="false">IF(U296="","",O296&amp;"|"&amp;U296)</f>
        <v/>
      </c>
      <c r="W296" s="43" t="str">
        <f aca="false">IF($A296="","",IFERROR(IF(VLOOKUP(O296,매핑!$A$4:$E$92,3,0)="","미분류",VLOOKUP(O296,매핑!$A$4:$E$92,3,0)),"미분류"))</f>
        <v/>
      </c>
      <c r="X296" s="89" t="n">
        <f aca="false">IF($A296="",0,IF(O296="T",1,0))</f>
        <v>0</v>
      </c>
      <c r="Y296" s="89" t="n">
        <f aca="false">IF($A296="",0,IF(AND(C296="USD",X296=0,ISNUMBER(E296),ISNUMBER(K296)),IF(K296&gt;=설정!$C$8,1,0),0))</f>
        <v>0</v>
      </c>
      <c r="Z296" s="43" t="str">
        <f aca="false">IF($A296="","",N296&amp;"|"&amp;L296)</f>
        <v/>
      </c>
      <c r="AA296" s="92" t="n">
        <f aca="false">IF(Y296=1,LN(K296),0)</f>
        <v>0</v>
      </c>
      <c r="AB296" s="93" t="n">
        <f aca="false">IF(Y296=1,E296,0)</f>
        <v>0</v>
      </c>
      <c r="AC296" s="89" t="n">
        <f aca="false">IF(Y296=1,COUNTIFS($Z$2:$Z$601,Z296,$Y$2:$Y$601,1),0)</f>
        <v>0</v>
      </c>
      <c r="AD296" s="89" t="n">
        <f aca="false">IF(Y296=1,COUNTIFS($N$2:$N$601,N296,$Y$2:$Y$601,1),0)</f>
        <v>0</v>
      </c>
      <c r="AE296" s="43" t="str">
        <f aca="false">IF(Y296&lt;&gt;1,"",IF(AND(AC296&gt;=설정!$C$7,ISNUMBER(MATCH(Z296,피어커브!$A:$A,0))),Z296,IF(AND(AD296&gt;=설정!$C$7,ISNUMBER(MATCH(N296&amp;"|전체",피어커브!$A:$A,0))),N296&amp;"|전체","전체|전체")))</f>
        <v/>
      </c>
      <c r="AF296" s="93" t="str">
        <f aca="false">IF(AE296="","",INDEX(피어커브!$K:$K,MATCH(AE296,피어커브!$A:$A,0)))</f>
        <v/>
      </c>
      <c r="AG296" s="93" t="str">
        <f aca="false">IF(AE296="","",INDEX(피어커브!$J:$J,MATCH(AE296,피어커브!$A:$A,0)))</f>
        <v/>
      </c>
      <c r="AH296" s="93" t="str">
        <f aca="false">IF(AE296="","",INDEX(피어커브!$L:$L,MATCH(AE296,피어커브!$A:$A,0)))</f>
        <v/>
      </c>
      <c r="AI296" s="93" t="str">
        <f aca="false">IF(AE296="","",AF296+AG296*AA296)</f>
        <v/>
      </c>
      <c r="AJ296" s="96" t="str">
        <f aca="false">IF(AE296="","",E296-AI296)</f>
        <v/>
      </c>
      <c r="AK296" s="95" t="str">
        <f aca="false">IF(AE296="","",IF(ISNUMBER(AH296),IF(AH296&gt;0,AJ296/AH296,""),""))</f>
        <v/>
      </c>
      <c r="AL296" s="43" t="str">
        <f aca="false">IF(AK296="","-",IF(AK296&gt;=설정!$C$6,"Cheap",IF(AK296&lt;=-설정!$C$6,"Rich","Fair")))</f>
        <v>-</v>
      </c>
      <c r="AM296" s="96" t="str">
        <f aca="false">IF(AE296="","",AJ296-AVERAGEIFS($AJ$2:$AJ$601,$B$2:$B$601,B296,$Y$2:$Y$601,1))</f>
        <v/>
      </c>
      <c r="AN296" s="93" t="n">
        <f aca="false">IF(AE296="",0,IF(K296&gt;1+설정!$C$8,AG296*(AA296-LN(K296-1)),0))</f>
        <v>0</v>
      </c>
      <c r="AO296" s="99" t="n">
        <f aca="false">IF($A296="",0,SUMIFS(보유분석!$AA$2:$AA$801,보유분석!$AB$2:$AB$801,ROW(),보유분석!$AC$2:$AC$801,1))</f>
        <v>0</v>
      </c>
      <c r="AP296" s="43" t="str">
        <f aca="false">IF($A296="","",TRIM(IF(R296=1,"FRN ","")&amp;IF(IFERROR(VLOOKUP(M296,설정!$A$15:$D$47,4,0),0)&gt;=10,IF(IFERROR(VLOOKUP(M296,설정!$A$15:$D$47,4,0),0)&lt;99,"BBB0미만 ",""),"")&amp;IF(OR(M296="",M296="NR"),"등급미입력 ","")&amp;IF(C296&lt;&gt;"USD","비USD ","")))</f>
        <v/>
      </c>
      <c r="AQ296" s="90" t="n">
        <f aca="false">IF(AND(Y296=1,AL296="Cheap"),IF(AND(ISERROR(SEARCH("FRN",AP296)),ISERROR(SEARCH("BBB0미만",AP296))),AK296+ROW()/1000000000,-999),-999)</f>
        <v>-999</v>
      </c>
      <c r="AR296" s="92" t="str">
        <f aca="false">IF(AND(ISNUMBER(D296),ISNUMBER(K296)),D296+AN296*MAX(K296-1,0)/100,"")</f>
        <v/>
      </c>
      <c r="AS296" s="93" t="str">
        <f aca="false">IF(AND(ISNUMBER(E296),ISNUMBER(K296)),IF(K296&gt;0,(E296+AN296*MAX(K296-1,0))/K296,""),"")</f>
        <v/>
      </c>
      <c r="AT296" s="90" t="n">
        <f aca="false">IFERROR(IF(AND(Y296=1,ROW()&lt;&gt;스왑분석!$C$12+1,ABS(K296-INDEX($K$2:$K$601,스왑분석!$C$12))&lt;=스왑분석!$C$5,ISERROR(SEARCH("FRN",AP296)),ISERROR(SEARCH("BBB0미만",AP296))),IF(AND(OR(스왑분석!$C$6="N",L296=INDEX($L$2:$L$601,스왑분석!$C$12)),OR(스왑분석!$C$7="N",N296=INDEX($N$2:$N$601,스왑분석!$C$12)),OR(스왑분석!$C$8="N",AO296=0),E296-INDEX($E$2:$E$601,스왑분석!$C$12)&gt;=스왑분석!$C$9),E296-INDEX($E$2:$E$601,스왑분석!$C$12)+ROW()/1000000000,-999),-999),-999)</f>
        <v>-999</v>
      </c>
      <c r="AU296" s="90" t="n">
        <f aca="false">IF(AND(Y296=1,AO296&gt;0,AL296="Rich"),-AK296+ROW()/1000000000,-999)</f>
        <v>-999</v>
      </c>
    </row>
    <row r="297" customFormat="false" ht="15" hidden="false" customHeight="false" outlineLevel="0" collapsed="false">
      <c r="A297" s="83" t="n">
        <f aca="false">IFERROR(IF(INDEX(원자료_시장!$A$1:$BZ$1000,설정!$L$6+ROW()-1,설정!$L$24)&amp;""="0","",INDEX(원자료_시장!$A$1:$BZ$1000,설정!$L$6+ROW()-1,설정!$L$24)),"")</f>
        <v>0</v>
      </c>
      <c r="B297" s="83" t="n">
        <f aca="false">IFERROR(IF(INDEX(원자료_시장!$A$1:$BZ$1000,설정!$L$6+ROW()-1,설정!$L$37)&amp;""="0","",INDEX(원자료_시장!$A$1:$BZ$1000,설정!$L$6+ROW()-1,설정!$L$37)),"")</f>
        <v>0</v>
      </c>
      <c r="C297" s="83" t="n">
        <f aca="false">IFERROR(IF(INDEX(원자료_시장!$A$1:$BZ$1000,설정!$L$6+ROW()-1,설정!$L$25)&amp;""="0","",INDEX(원자료_시장!$A$1:$BZ$1000,설정!$L$6+ROW()-1,설정!$L$25)),"")</f>
        <v>0</v>
      </c>
      <c r="D297" s="85" t="str">
        <f aca="false">IFERROR(IF(ISNUMBER(INDEX(원자료_시장!$A$1:$BZ$1000,설정!$L$6+ROW()-1,설정!$L$26)),INDEX(원자료_시장!$A$1:$BZ$1000,설정!$L$6+ROW()-1,설정!$L$26),""),"")</f>
        <v/>
      </c>
      <c r="E297" s="97" t="str">
        <f aca="false">IFERROR(IF(ISNUMBER(INDEX(원자료_시장!$A$1:$BZ$1000,설정!$L$6+ROW()-1,설정!$L$27)),INDEX(원자료_시장!$A$1:$BZ$1000,설정!$L$6+ROW()-1,설정!$L$27),""),"")</f>
        <v/>
      </c>
      <c r="F297" s="97" t="str">
        <f aca="false">IFERROR(IF(ISNUMBER(INDEX(원자료_시장!$A$1:$BZ$1000,설정!$L$6+ROW()-1,설정!$L$28)),INDEX(원자료_시장!$A$1:$BZ$1000,설정!$L$6+ROW()-1,설정!$L$28),""),"")</f>
        <v/>
      </c>
      <c r="G297" s="97" t="str">
        <f aca="false">IFERROR(IF(ISNUMBER(INDEX(원자료_시장!$A$1:$BZ$1000,설정!$L$6+ROW()-1,설정!$L$29)),INDEX(원자료_시장!$A$1:$BZ$1000,설정!$L$6+ROW()-1,설정!$L$29),""),"")</f>
        <v/>
      </c>
      <c r="H297" s="97" t="str">
        <f aca="false">IFERROR(IF(ISNUMBER(INDEX(원자료_시장!$A$1:$BZ$1000,설정!$L$6+ROW()-1,설정!$L$30)),INDEX(원자료_시장!$A$1:$BZ$1000,설정!$L$6+ROW()-1,설정!$L$30),""),"")</f>
        <v/>
      </c>
      <c r="I297" s="97" t="str">
        <f aca="false">IFERROR(IF(ISNUMBER(INDEX(원자료_시장!$A$1:$BZ$1000,설정!$L$6+ROW()-1,설정!$L$31)),INDEX(원자료_시장!$A$1:$BZ$1000,설정!$L$6+ROW()-1,설정!$L$31),""),"")</f>
        <v/>
      </c>
      <c r="J297" s="97" t="str">
        <f aca="false">IFERROR(IF(ISNUMBER(INDEX(원자료_시장!$A$1:$BZ$1000,설정!$L$6+ROW()-1,설정!$L$32)),INDEX(원자료_시장!$A$1:$BZ$1000,설정!$L$6+ROW()-1,설정!$L$32),""),"")</f>
        <v/>
      </c>
      <c r="K297" s="85" t="str">
        <f aca="false">IFERROR(IF(ISNUMBER(INDEX(원자료_시장!$A$1:$BZ$1000,설정!$L$6+ROW()-1,설정!$L$33)),INDEX(원자료_시장!$A$1:$BZ$1000,설정!$L$6+ROW()-1,설정!$L$33),""),"")</f>
        <v/>
      </c>
      <c r="L297" s="83" t="n">
        <f aca="false">IFERROR(IF(INDEX(원자료_시장!$A$1:$BZ$1000,설정!$L$6+ROW()-1,설정!$L$34)&amp;""="0","",INDEX(원자료_시장!$A$1:$BZ$1000,설정!$L$6+ROW()-1,설정!$L$34)),"")</f>
        <v>0</v>
      </c>
      <c r="M297" s="83" t="n">
        <f aca="false">IFERROR(IF(INDEX(원자료_시장!$A$1:$BZ$1000,설정!$L$6+ROW()-1,설정!$L$35)&amp;""="0","",INDEX(원자료_시장!$A$1:$BZ$1000,설정!$L$6+ROW()-1,설정!$L$35)),"")</f>
        <v>0</v>
      </c>
      <c r="N297" s="83" t="n">
        <f aca="false">IFERROR(IF(INDEX(원자료_시장!$A$1:$BZ$1000,설정!$L$6+ROW()-1,설정!$L$36)&amp;""="0","",INDEX(원자료_시장!$A$1:$BZ$1000,설정!$L$6+ROW()-1,설정!$L$36)),"")</f>
        <v>0</v>
      </c>
      <c r="O297" s="43" t="str">
        <f aca="false">IF($A297="","",UPPER(LEFT($A297,FIND(" ",$A297&amp;" ")-1)))</f>
        <v/>
      </c>
      <c r="P297" s="43" t="str">
        <f aca="false">IF($A297="","",TRIM(RIGHT(SUBSTITUTE(TRIM($A297)," ",REPT(" ",30)),30)))</f>
        <v/>
      </c>
      <c r="Q297" s="98" t="str">
        <f aca="false">IF($A297="","",IFERROR(DATE(IF(LEN(P297)=8,2000+VALUE(RIGHT(P297,2)),VALUE(RIGHT(P297,4))),VALUE(LEFT(P297,2)),VALUE(MID(P297,4,2))),""))</f>
        <v/>
      </c>
      <c r="R297" s="89" t="n">
        <f aca="false">IF($A297="",0,IF(ISNUMBER(SEARCH("Float",$A297)),1,0))</f>
        <v>0</v>
      </c>
      <c r="S297" s="43" t="str">
        <f aca="false">IF($A297="","",TRIM(MID($A297,LEN(O297)+2,LEN($A297)-LEN(O297)-LEN(P297)-1)))</f>
        <v/>
      </c>
      <c r="T297" s="92" t="str">
        <f aca="false">IF(OR($A297="",R297=1),"",IFERROR(IF(ISNUMBER(FIND("/",S297)),IF(ISNUMBER(FIND(" ",S297)),VALUE(LEFT(S297,FIND(" ",S297)-1))+VALUE(MID(S297,FIND(" ",S297)+1,FIND("/",S297)-FIND(" ",S297)-1))/VALUE(MID(S297,FIND("/",S297)+1,9)),VALUE(LEFT(S297,FIND("/",S297)-1))/VALUE(MID(S297,FIND("/",S297)+1,9))),VALUE(S297)),""))</f>
        <v/>
      </c>
      <c r="U297" s="43" t="str">
        <f aca="false">IF(OR($A297="",NOT(ISNUMBER(Q297))),"",TEXT(Q297,"yyyymmdd")&amp;"|"&amp;IF(R297=1,"F",TEXT(T297,"0.000")))</f>
        <v/>
      </c>
      <c r="V297" s="43" t="str">
        <f aca="false">IF(U297="","",O297&amp;"|"&amp;U297)</f>
        <v/>
      </c>
      <c r="W297" s="43" t="str">
        <f aca="false">IF($A297="","",IFERROR(IF(VLOOKUP(O297,매핑!$A$4:$E$92,3,0)="","미분류",VLOOKUP(O297,매핑!$A$4:$E$92,3,0)),"미분류"))</f>
        <v/>
      </c>
      <c r="X297" s="89" t="n">
        <f aca="false">IF($A297="",0,IF(O297="T",1,0))</f>
        <v>0</v>
      </c>
      <c r="Y297" s="89" t="n">
        <f aca="false">IF($A297="",0,IF(AND(C297="USD",X297=0,ISNUMBER(E297),ISNUMBER(K297)),IF(K297&gt;=설정!$C$8,1,0),0))</f>
        <v>0</v>
      </c>
      <c r="Z297" s="43" t="str">
        <f aca="false">IF($A297="","",N297&amp;"|"&amp;L297)</f>
        <v/>
      </c>
      <c r="AA297" s="92" t="n">
        <f aca="false">IF(Y297=1,LN(K297),0)</f>
        <v>0</v>
      </c>
      <c r="AB297" s="93" t="n">
        <f aca="false">IF(Y297=1,E297,0)</f>
        <v>0</v>
      </c>
      <c r="AC297" s="89" t="n">
        <f aca="false">IF(Y297=1,COUNTIFS($Z$2:$Z$601,Z297,$Y$2:$Y$601,1),0)</f>
        <v>0</v>
      </c>
      <c r="AD297" s="89" t="n">
        <f aca="false">IF(Y297=1,COUNTIFS($N$2:$N$601,N297,$Y$2:$Y$601,1),0)</f>
        <v>0</v>
      </c>
      <c r="AE297" s="43" t="str">
        <f aca="false">IF(Y297&lt;&gt;1,"",IF(AND(AC297&gt;=설정!$C$7,ISNUMBER(MATCH(Z297,피어커브!$A:$A,0))),Z297,IF(AND(AD297&gt;=설정!$C$7,ISNUMBER(MATCH(N297&amp;"|전체",피어커브!$A:$A,0))),N297&amp;"|전체","전체|전체")))</f>
        <v/>
      </c>
      <c r="AF297" s="93" t="str">
        <f aca="false">IF(AE297="","",INDEX(피어커브!$K:$K,MATCH(AE297,피어커브!$A:$A,0)))</f>
        <v/>
      </c>
      <c r="AG297" s="93" t="str">
        <f aca="false">IF(AE297="","",INDEX(피어커브!$J:$J,MATCH(AE297,피어커브!$A:$A,0)))</f>
        <v/>
      </c>
      <c r="AH297" s="93" t="str">
        <f aca="false">IF(AE297="","",INDEX(피어커브!$L:$L,MATCH(AE297,피어커브!$A:$A,0)))</f>
        <v/>
      </c>
      <c r="AI297" s="93" t="str">
        <f aca="false">IF(AE297="","",AF297+AG297*AA297)</f>
        <v/>
      </c>
      <c r="AJ297" s="96" t="str">
        <f aca="false">IF(AE297="","",E297-AI297)</f>
        <v/>
      </c>
      <c r="AK297" s="95" t="str">
        <f aca="false">IF(AE297="","",IF(ISNUMBER(AH297),IF(AH297&gt;0,AJ297/AH297,""),""))</f>
        <v/>
      </c>
      <c r="AL297" s="43" t="str">
        <f aca="false">IF(AK297="","-",IF(AK297&gt;=설정!$C$6,"Cheap",IF(AK297&lt;=-설정!$C$6,"Rich","Fair")))</f>
        <v>-</v>
      </c>
      <c r="AM297" s="96" t="str">
        <f aca="false">IF(AE297="","",AJ297-AVERAGEIFS($AJ$2:$AJ$601,$B$2:$B$601,B297,$Y$2:$Y$601,1))</f>
        <v/>
      </c>
      <c r="AN297" s="93" t="n">
        <f aca="false">IF(AE297="",0,IF(K297&gt;1+설정!$C$8,AG297*(AA297-LN(K297-1)),0))</f>
        <v>0</v>
      </c>
      <c r="AO297" s="99" t="n">
        <f aca="false">IF($A297="",0,SUMIFS(보유분석!$AA$2:$AA$801,보유분석!$AB$2:$AB$801,ROW(),보유분석!$AC$2:$AC$801,1))</f>
        <v>0</v>
      </c>
      <c r="AP297" s="43" t="str">
        <f aca="false">IF($A297="","",TRIM(IF(R297=1,"FRN ","")&amp;IF(IFERROR(VLOOKUP(M297,설정!$A$15:$D$47,4,0),0)&gt;=10,IF(IFERROR(VLOOKUP(M297,설정!$A$15:$D$47,4,0),0)&lt;99,"BBB0미만 ",""),"")&amp;IF(OR(M297="",M297="NR"),"등급미입력 ","")&amp;IF(C297&lt;&gt;"USD","비USD ","")))</f>
        <v/>
      </c>
      <c r="AQ297" s="90" t="n">
        <f aca="false">IF(AND(Y297=1,AL297="Cheap"),IF(AND(ISERROR(SEARCH("FRN",AP297)),ISERROR(SEARCH("BBB0미만",AP297))),AK297+ROW()/1000000000,-999),-999)</f>
        <v>-999</v>
      </c>
      <c r="AR297" s="92" t="str">
        <f aca="false">IF(AND(ISNUMBER(D297),ISNUMBER(K297)),D297+AN297*MAX(K297-1,0)/100,"")</f>
        <v/>
      </c>
      <c r="AS297" s="93" t="str">
        <f aca="false">IF(AND(ISNUMBER(E297),ISNUMBER(K297)),IF(K297&gt;0,(E297+AN297*MAX(K297-1,0))/K297,""),"")</f>
        <v/>
      </c>
      <c r="AT297" s="90" t="n">
        <f aca="false">IFERROR(IF(AND(Y297=1,ROW()&lt;&gt;스왑분석!$C$12+1,ABS(K297-INDEX($K$2:$K$601,스왑분석!$C$12))&lt;=스왑분석!$C$5,ISERROR(SEARCH("FRN",AP297)),ISERROR(SEARCH("BBB0미만",AP297))),IF(AND(OR(스왑분석!$C$6="N",L297=INDEX($L$2:$L$601,스왑분석!$C$12)),OR(스왑분석!$C$7="N",N297=INDEX($N$2:$N$601,스왑분석!$C$12)),OR(스왑분석!$C$8="N",AO297=0),E297-INDEX($E$2:$E$601,스왑분석!$C$12)&gt;=스왑분석!$C$9),E297-INDEX($E$2:$E$601,스왑분석!$C$12)+ROW()/1000000000,-999),-999),-999)</f>
        <v>-999</v>
      </c>
      <c r="AU297" s="90" t="n">
        <f aca="false">IF(AND(Y297=1,AO297&gt;0,AL297="Rich"),-AK297+ROW()/1000000000,-999)</f>
        <v>-999</v>
      </c>
    </row>
    <row r="298" customFormat="false" ht="15" hidden="false" customHeight="false" outlineLevel="0" collapsed="false">
      <c r="A298" s="83" t="n">
        <f aca="false">IFERROR(IF(INDEX(원자료_시장!$A$1:$BZ$1000,설정!$L$6+ROW()-1,설정!$L$24)&amp;""="0","",INDEX(원자료_시장!$A$1:$BZ$1000,설정!$L$6+ROW()-1,설정!$L$24)),"")</f>
        <v>0</v>
      </c>
      <c r="B298" s="83" t="n">
        <f aca="false">IFERROR(IF(INDEX(원자료_시장!$A$1:$BZ$1000,설정!$L$6+ROW()-1,설정!$L$37)&amp;""="0","",INDEX(원자료_시장!$A$1:$BZ$1000,설정!$L$6+ROW()-1,설정!$L$37)),"")</f>
        <v>0</v>
      </c>
      <c r="C298" s="83" t="n">
        <f aca="false">IFERROR(IF(INDEX(원자료_시장!$A$1:$BZ$1000,설정!$L$6+ROW()-1,설정!$L$25)&amp;""="0","",INDEX(원자료_시장!$A$1:$BZ$1000,설정!$L$6+ROW()-1,설정!$L$25)),"")</f>
        <v>0</v>
      </c>
      <c r="D298" s="85" t="str">
        <f aca="false">IFERROR(IF(ISNUMBER(INDEX(원자료_시장!$A$1:$BZ$1000,설정!$L$6+ROW()-1,설정!$L$26)),INDEX(원자료_시장!$A$1:$BZ$1000,설정!$L$6+ROW()-1,설정!$L$26),""),"")</f>
        <v/>
      </c>
      <c r="E298" s="97" t="str">
        <f aca="false">IFERROR(IF(ISNUMBER(INDEX(원자료_시장!$A$1:$BZ$1000,설정!$L$6+ROW()-1,설정!$L$27)),INDEX(원자료_시장!$A$1:$BZ$1000,설정!$L$6+ROW()-1,설정!$L$27),""),"")</f>
        <v/>
      </c>
      <c r="F298" s="97" t="str">
        <f aca="false">IFERROR(IF(ISNUMBER(INDEX(원자료_시장!$A$1:$BZ$1000,설정!$L$6+ROW()-1,설정!$L$28)),INDEX(원자료_시장!$A$1:$BZ$1000,설정!$L$6+ROW()-1,설정!$L$28),""),"")</f>
        <v/>
      </c>
      <c r="G298" s="97" t="str">
        <f aca="false">IFERROR(IF(ISNUMBER(INDEX(원자료_시장!$A$1:$BZ$1000,설정!$L$6+ROW()-1,설정!$L$29)),INDEX(원자료_시장!$A$1:$BZ$1000,설정!$L$6+ROW()-1,설정!$L$29),""),"")</f>
        <v/>
      </c>
      <c r="H298" s="97" t="str">
        <f aca="false">IFERROR(IF(ISNUMBER(INDEX(원자료_시장!$A$1:$BZ$1000,설정!$L$6+ROW()-1,설정!$L$30)),INDEX(원자료_시장!$A$1:$BZ$1000,설정!$L$6+ROW()-1,설정!$L$30),""),"")</f>
        <v/>
      </c>
      <c r="I298" s="97" t="str">
        <f aca="false">IFERROR(IF(ISNUMBER(INDEX(원자료_시장!$A$1:$BZ$1000,설정!$L$6+ROW()-1,설정!$L$31)),INDEX(원자료_시장!$A$1:$BZ$1000,설정!$L$6+ROW()-1,설정!$L$31),""),"")</f>
        <v/>
      </c>
      <c r="J298" s="97" t="str">
        <f aca="false">IFERROR(IF(ISNUMBER(INDEX(원자료_시장!$A$1:$BZ$1000,설정!$L$6+ROW()-1,설정!$L$32)),INDEX(원자료_시장!$A$1:$BZ$1000,설정!$L$6+ROW()-1,설정!$L$32),""),"")</f>
        <v/>
      </c>
      <c r="K298" s="85" t="str">
        <f aca="false">IFERROR(IF(ISNUMBER(INDEX(원자료_시장!$A$1:$BZ$1000,설정!$L$6+ROW()-1,설정!$L$33)),INDEX(원자료_시장!$A$1:$BZ$1000,설정!$L$6+ROW()-1,설정!$L$33),""),"")</f>
        <v/>
      </c>
      <c r="L298" s="83" t="n">
        <f aca="false">IFERROR(IF(INDEX(원자료_시장!$A$1:$BZ$1000,설정!$L$6+ROW()-1,설정!$L$34)&amp;""="0","",INDEX(원자료_시장!$A$1:$BZ$1000,설정!$L$6+ROW()-1,설정!$L$34)),"")</f>
        <v>0</v>
      </c>
      <c r="M298" s="83" t="n">
        <f aca="false">IFERROR(IF(INDEX(원자료_시장!$A$1:$BZ$1000,설정!$L$6+ROW()-1,설정!$L$35)&amp;""="0","",INDEX(원자료_시장!$A$1:$BZ$1000,설정!$L$6+ROW()-1,설정!$L$35)),"")</f>
        <v>0</v>
      </c>
      <c r="N298" s="83" t="n">
        <f aca="false">IFERROR(IF(INDEX(원자료_시장!$A$1:$BZ$1000,설정!$L$6+ROW()-1,설정!$L$36)&amp;""="0","",INDEX(원자료_시장!$A$1:$BZ$1000,설정!$L$6+ROW()-1,설정!$L$36)),"")</f>
        <v>0</v>
      </c>
      <c r="O298" s="43" t="str">
        <f aca="false">IF($A298="","",UPPER(LEFT($A298,FIND(" ",$A298&amp;" ")-1)))</f>
        <v/>
      </c>
      <c r="P298" s="43" t="str">
        <f aca="false">IF($A298="","",TRIM(RIGHT(SUBSTITUTE(TRIM($A298)," ",REPT(" ",30)),30)))</f>
        <v/>
      </c>
      <c r="Q298" s="98" t="str">
        <f aca="false">IF($A298="","",IFERROR(DATE(IF(LEN(P298)=8,2000+VALUE(RIGHT(P298,2)),VALUE(RIGHT(P298,4))),VALUE(LEFT(P298,2)),VALUE(MID(P298,4,2))),""))</f>
        <v/>
      </c>
      <c r="R298" s="89" t="n">
        <f aca="false">IF($A298="",0,IF(ISNUMBER(SEARCH("Float",$A298)),1,0))</f>
        <v>0</v>
      </c>
      <c r="S298" s="43" t="str">
        <f aca="false">IF($A298="","",TRIM(MID($A298,LEN(O298)+2,LEN($A298)-LEN(O298)-LEN(P298)-1)))</f>
        <v/>
      </c>
      <c r="T298" s="92" t="str">
        <f aca="false">IF(OR($A298="",R298=1),"",IFERROR(IF(ISNUMBER(FIND("/",S298)),IF(ISNUMBER(FIND(" ",S298)),VALUE(LEFT(S298,FIND(" ",S298)-1))+VALUE(MID(S298,FIND(" ",S298)+1,FIND("/",S298)-FIND(" ",S298)-1))/VALUE(MID(S298,FIND("/",S298)+1,9)),VALUE(LEFT(S298,FIND("/",S298)-1))/VALUE(MID(S298,FIND("/",S298)+1,9))),VALUE(S298)),""))</f>
        <v/>
      </c>
      <c r="U298" s="43" t="str">
        <f aca="false">IF(OR($A298="",NOT(ISNUMBER(Q298))),"",TEXT(Q298,"yyyymmdd")&amp;"|"&amp;IF(R298=1,"F",TEXT(T298,"0.000")))</f>
        <v/>
      </c>
      <c r="V298" s="43" t="str">
        <f aca="false">IF(U298="","",O298&amp;"|"&amp;U298)</f>
        <v/>
      </c>
      <c r="W298" s="43" t="str">
        <f aca="false">IF($A298="","",IFERROR(IF(VLOOKUP(O298,매핑!$A$4:$E$92,3,0)="","미분류",VLOOKUP(O298,매핑!$A$4:$E$92,3,0)),"미분류"))</f>
        <v/>
      </c>
      <c r="X298" s="89" t="n">
        <f aca="false">IF($A298="",0,IF(O298="T",1,0))</f>
        <v>0</v>
      </c>
      <c r="Y298" s="89" t="n">
        <f aca="false">IF($A298="",0,IF(AND(C298="USD",X298=0,ISNUMBER(E298),ISNUMBER(K298)),IF(K298&gt;=설정!$C$8,1,0),0))</f>
        <v>0</v>
      </c>
      <c r="Z298" s="43" t="str">
        <f aca="false">IF($A298="","",N298&amp;"|"&amp;L298)</f>
        <v/>
      </c>
      <c r="AA298" s="92" t="n">
        <f aca="false">IF(Y298=1,LN(K298),0)</f>
        <v>0</v>
      </c>
      <c r="AB298" s="93" t="n">
        <f aca="false">IF(Y298=1,E298,0)</f>
        <v>0</v>
      </c>
      <c r="AC298" s="89" t="n">
        <f aca="false">IF(Y298=1,COUNTIFS($Z$2:$Z$601,Z298,$Y$2:$Y$601,1),0)</f>
        <v>0</v>
      </c>
      <c r="AD298" s="89" t="n">
        <f aca="false">IF(Y298=1,COUNTIFS($N$2:$N$601,N298,$Y$2:$Y$601,1),0)</f>
        <v>0</v>
      </c>
      <c r="AE298" s="43" t="str">
        <f aca="false">IF(Y298&lt;&gt;1,"",IF(AND(AC298&gt;=설정!$C$7,ISNUMBER(MATCH(Z298,피어커브!$A:$A,0))),Z298,IF(AND(AD298&gt;=설정!$C$7,ISNUMBER(MATCH(N298&amp;"|전체",피어커브!$A:$A,0))),N298&amp;"|전체","전체|전체")))</f>
        <v/>
      </c>
      <c r="AF298" s="93" t="str">
        <f aca="false">IF(AE298="","",INDEX(피어커브!$K:$K,MATCH(AE298,피어커브!$A:$A,0)))</f>
        <v/>
      </c>
      <c r="AG298" s="93" t="str">
        <f aca="false">IF(AE298="","",INDEX(피어커브!$J:$J,MATCH(AE298,피어커브!$A:$A,0)))</f>
        <v/>
      </c>
      <c r="AH298" s="93" t="str">
        <f aca="false">IF(AE298="","",INDEX(피어커브!$L:$L,MATCH(AE298,피어커브!$A:$A,0)))</f>
        <v/>
      </c>
      <c r="AI298" s="93" t="str">
        <f aca="false">IF(AE298="","",AF298+AG298*AA298)</f>
        <v/>
      </c>
      <c r="AJ298" s="96" t="str">
        <f aca="false">IF(AE298="","",E298-AI298)</f>
        <v/>
      </c>
      <c r="AK298" s="95" t="str">
        <f aca="false">IF(AE298="","",IF(ISNUMBER(AH298),IF(AH298&gt;0,AJ298/AH298,""),""))</f>
        <v/>
      </c>
      <c r="AL298" s="43" t="str">
        <f aca="false">IF(AK298="","-",IF(AK298&gt;=설정!$C$6,"Cheap",IF(AK298&lt;=-설정!$C$6,"Rich","Fair")))</f>
        <v>-</v>
      </c>
      <c r="AM298" s="96" t="str">
        <f aca="false">IF(AE298="","",AJ298-AVERAGEIFS($AJ$2:$AJ$601,$B$2:$B$601,B298,$Y$2:$Y$601,1))</f>
        <v/>
      </c>
      <c r="AN298" s="93" t="n">
        <f aca="false">IF(AE298="",0,IF(K298&gt;1+설정!$C$8,AG298*(AA298-LN(K298-1)),0))</f>
        <v>0</v>
      </c>
      <c r="AO298" s="99" t="n">
        <f aca="false">IF($A298="",0,SUMIFS(보유분석!$AA$2:$AA$801,보유분석!$AB$2:$AB$801,ROW(),보유분석!$AC$2:$AC$801,1))</f>
        <v>0</v>
      </c>
      <c r="AP298" s="43" t="str">
        <f aca="false">IF($A298="","",TRIM(IF(R298=1,"FRN ","")&amp;IF(IFERROR(VLOOKUP(M298,설정!$A$15:$D$47,4,0),0)&gt;=10,IF(IFERROR(VLOOKUP(M298,설정!$A$15:$D$47,4,0),0)&lt;99,"BBB0미만 ",""),"")&amp;IF(OR(M298="",M298="NR"),"등급미입력 ","")&amp;IF(C298&lt;&gt;"USD","비USD ","")))</f>
        <v/>
      </c>
      <c r="AQ298" s="90" t="n">
        <f aca="false">IF(AND(Y298=1,AL298="Cheap"),IF(AND(ISERROR(SEARCH("FRN",AP298)),ISERROR(SEARCH("BBB0미만",AP298))),AK298+ROW()/1000000000,-999),-999)</f>
        <v>-999</v>
      </c>
      <c r="AR298" s="92" t="str">
        <f aca="false">IF(AND(ISNUMBER(D298),ISNUMBER(K298)),D298+AN298*MAX(K298-1,0)/100,"")</f>
        <v/>
      </c>
      <c r="AS298" s="93" t="str">
        <f aca="false">IF(AND(ISNUMBER(E298),ISNUMBER(K298)),IF(K298&gt;0,(E298+AN298*MAX(K298-1,0))/K298,""),"")</f>
        <v/>
      </c>
      <c r="AT298" s="90" t="n">
        <f aca="false">IFERROR(IF(AND(Y298=1,ROW()&lt;&gt;스왑분석!$C$12+1,ABS(K298-INDEX($K$2:$K$601,스왑분석!$C$12))&lt;=스왑분석!$C$5,ISERROR(SEARCH("FRN",AP298)),ISERROR(SEARCH("BBB0미만",AP298))),IF(AND(OR(스왑분석!$C$6="N",L298=INDEX($L$2:$L$601,스왑분석!$C$12)),OR(스왑분석!$C$7="N",N298=INDEX($N$2:$N$601,스왑분석!$C$12)),OR(스왑분석!$C$8="N",AO298=0),E298-INDEX($E$2:$E$601,스왑분석!$C$12)&gt;=스왑분석!$C$9),E298-INDEX($E$2:$E$601,스왑분석!$C$12)+ROW()/1000000000,-999),-999),-999)</f>
        <v>-999</v>
      </c>
      <c r="AU298" s="90" t="n">
        <f aca="false">IF(AND(Y298=1,AO298&gt;0,AL298="Rich"),-AK298+ROW()/1000000000,-999)</f>
        <v>-999</v>
      </c>
    </row>
    <row r="299" customFormat="false" ht="15" hidden="false" customHeight="false" outlineLevel="0" collapsed="false">
      <c r="A299" s="83" t="n">
        <f aca="false">IFERROR(IF(INDEX(원자료_시장!$A$1:$BZ$1000,설정!$L$6+ROW()-1,설정!$L$24)&amp;""="0","",INDEX(원자료_시장!$A$1:$BZ$1000,설정!$L$6+ROW()-1,설정!$L$24)),"")</f>
        <v>0</v>
      </c>
      <c r="B299" s="83" t="n">
        <f aca="false">IFERROR(IF(INDEX(원자료_시장!$A$1:$BZ$1000,설정!$L$6+ROW()-1,설정!$L$37)&amp;""="0","",INDEX(원자료_시장!$A$1:$BZ$1000,설정!$L$6+ROW()-1,설정!$L$37)),"")</f>
        <v>0</v>
      </c>
      <c r="C299" s="83" t="n">
        <f aca="false">IFERROR(IF(INDEX(원자료_시장!$A$1:$BZ$1000,설정!$L$6+ROW()-1,설정!$L$25)&amp;""="0","",INDEX(원자료_시장!$A$1:$BZ$1000,설정!$L$6+ROW()-1,설정!$L$25)),"")</f>
        <v>0</v>
      </c>
      <c r="D299" s="85" t="str">
        <f aca="false">IFERROR(IF(ISNUMBER(INDEX(원자료_시장!$A$1:$BZ$1000,설정!$L$6+ROW()-1,설정!$L$26)),INDEX(원자료_시장!$A$1:$BZ$1000,설정!$L$6+ROW()-1,설정!$L$26),""),"")</f>
        <v/>
      </c>
      <c r="E299" s="97" t="str">
        <f aca="false">IFERROR(IF(ISNUMBER(INDEX(원자료_시장!$A$1:$BZ$1000,설정!$L$6+ROW()-1,설정!$L$27)),INDEX(원자료_시장!$A$1:$BZ$1000,설정!$L$6+ROW()-1,설정!$L$27),""),"")</f>
        <v/>
      </c>
      <c r="F299" s="97" t="str">
        <f aca="false">IFERROR(IF(ISNUMBER(INDEX(원자료_시장!$A$1:$BZ$1000,설정!$L$6+ROW()-1,설정!$L$28)),INDEX(원자료_시장!$A$1:$BZ$1000,설정!$L$6+ROW()-1,설정!$L$28),""),"")</f>
        <v/>
      </c>
      <c r="G299" s="97" t="str">
        <f aca="false">IFERROR(IF(ISNUMBER(INDEX(원자료_시장!$A$1:$BZ$1000,설정!$L$6+ROW()-1,설정!$L$29)),INDEX(원자료_시장!$A$1:$BZ$1000,설정!$L$6+ROW()-1,설정!$L$29),""),"")</f>
        <v/>
      </c>
      <c r="H299" s="97" t="str">
        <f aca="false">IFERROR(IF(ISNUMBER(INDEX(원자료_시장!$A$1:$BZ$1000,설정!$L$6+ROW()-1,설정!$L$30)),INDEX(원자료_시장!$A$1:$BZ$1000,설정!$L$6+ROW()-1,설정!$L$30),""),"")</f>
        <v/>
      </c>
      <c r="I299" s="97" t="str">
        <f aca="false">IFERROR(IF(ISNUMBER(INDEX(원자료_시장!$A$1:$BZ$1000,설정!$L$6+ROW()-1,설정!$L$31)),INDEX(원자료_시장!$A$1:$BZ$1000,설정!$L$6+ROW()-1,설정!$L$31),""),"")</f>
        <v/>
      </c>
      <c r="J299" s="97" t="str">
        <f aca="false">IFERROR(IF(ISNUMBER(INDEX(원자료_시장!$A$1:$BZ$1000,설정!$L$6+ROW()-1,설정!$L$32)),INDEX(원자료_시장!$A$1:$BZ$1000,설정!$L$6+ROW()-1,설정!$L$32),""),"")</f>
        <v/>
      </c>
      <c r="K299" s="85" t="str">
        <f aca="false">IFERROR(IF(ISNUMBER(INDEX(원자료_시장!$A$1:$BZ$1000,설정!$L$6+ROW()-1,설정!$L$33)),INDEX(원자료_시장!$A$1:$BZ$1000,설정!$L$6+ROW()-1,설정!$L$33),""),"")</f>
        <v/>
      </c>
      <c r="L299" s="83" t="n">
        <f aca="false">IFERROR(IF(INDEX(원자료_시장!$A$1:$BZ$1000,설정!$L$6+ROW()-1,설정!$L$34)&amp;""="0","",INDEX(원자료_시장!$A$1:$BZ$1000,설정!$L$6+ROW()-1,설정!$L$34)),"")</f>
        <v>0</v>
      </c>
      <c r="M299" s="83" t="n">
        <f aca="false">IFERROR(IF(INDEX(원자료_시장!$A$1:$BZ$1000,설정!$L$6+ROW()-1,설정!$L$35)&amp;""="0","",INDEX(원자료_시장!$A$1:$BZ$1000,설정!$L$6+ROW()-1,설정!$L$35)),"")</f>
        <v>0</v>
      </c>
      <c r="N299" s="83" t="n">
        <f aca="false">IFERROR(IF(INDEX(원자료_시장!$A$1:$BZ$1000,설정!$L$6+ROW()-1,설정!$L$36)&amp;""="0","",INDEX(원자료_시장!$A$1:$BZ$1000,설정!$L$6+ROW()-1,설정!$L$36)),"")</f>
        <v>0</v>
      </c>
      <c r="O299" s="43" t="str">
        <f aca="false">IF($A299="","",UPPER(LEFT($A299,FIND(" ",$A299&amp;" ")-1)))</f>
        <v/>
      </c>
      <c r="P299" s="43" t="str">
        <f aca="false">IF($A299="","",TRIM(RIGHT(SUBSTITUTE(TRIM($A299)," ",REPT(" ",30)),30)))</f>
        <v/>
      </c>
      <c r="Q299" s="98" t="str">
        <f aca="false">IF($A299="","",IFERROR(DATE(IF(LEN(P299)=8,2000+VALUE(RIGHT(P299,2)),VALUE(RIGHT(P299,4))),VALUE(LEFT(P299,2)),VALUE(MID(P299,4,2))),""))</f>
        <v/>
      </c>
      <c r="R299" s="89" t="n">
        <f aca="false">IF($A299="",0,IF(ISNUMBER(SEARCH("Float",$A299)),1,0))</f>
        <v>0</v>
      </c>
      <c r="S299" s="43" t="str">
        <f aca="false">IF($A299="","",TRIM(MID($A299,LEN(O299)+2,LEN($A299)-LEN(O299)-LEN(P299)-1)))</f>
        <v/>
      </c>
      <c r="T299" s="92" t="str">
        <f aca="false">IF(OR($A299="",R299=1),"",IFERROR(IF(ISNUMBER(FIND("/",S299)),IF(ISNUMBER(FIND(" ",S299)),VALUE(LEFT(S299,FIND(" ",S299)-1))+VALUE(MID(S299,FIND(" ",S299)+1,FIND("/",S299)-FIND(" ",S299)-1))/VALUE(MID(S299,FIND("/",S299)+1,9)),VALUE(LEFT(S299,FIND("/",S299)-1))/VALUE(MID(S299,FIND("/",S299)+1,9))),VALUE(S299)),""))</f>
        <v/>
      </c>
      <c r="U299" s="43" t="str">
        <f aca="false">IF(OR($A299="",NOT(ISNUMBER(Q299))),"",TEXT(Q299,"yyyymmdd")&amp;"|"&amp;IF(R299=1,"F",TEXT(T299,"0.000")))</f>
        <v/>
      </c>
      <c r="V299" s="43" t="str">
        <f aca="false">IF(U299="","",O299&amp;"|"&amp;U299)</f>
        <v/>
      </c>
      <c r="W299" s="43" t="str">
        <f aca="false">IF($A299="","",IFERROR(IF(VLOOKUP(O299,매핑!$A$4:$E$92,3,0)="","미분류",VLOOKUP(O299,매핑!$A$4:$E$92,3,0)),"미분류"))</f>
        <v/>
      </c>
      <c r="X299" s="89" t="n">
        <f aca="false">IF($A299="",0,IF(O299="T",1,0))</f>
        <v>0</v>
      </c>
      <c r="Y299" s="89" t="n">
        <f aca="false">IF($A299="",0,IF(AND(C299="USD",X299=0,ISNUMBER(E299),ISNUMBER(K299)),IF(K299&gt;=설정!$C$8,1,0),0))</f>
        <v>0</v>
      </c>
      <c r="Z299" s="43" t="str">
        <f aca="false">IF($A299="","",N299&amp;"|"&amp;L299)</f>
        <v/>
      </c>
      <c r="AA299" s="92" t="n">
        <f aca="false">IF(Y299=1,LN(K299),0)</f>
        <v>0</v>
      </c>
      <c r="AB299" s="93" t="n">
        <f aca="false">IF(Y299=1,E299,0)</f>
        <v>0</v>
      </c>
      <c r="AC299" s="89" t="n">
        <f aca="false">IF(Y299=1,COUNTIFS($Z$2:$Z$601,Z299,$Y$2:$Y$601,1),0)</f>
        <v>0</v>
      </c>
      <c r="AD299" s="89" t="n">
        <f aca="false">IF(Y299=1,COUNTIFS($N$2:$N$601,N299,$Y$2:$Y$601,1),0)</f>
        <v>0</v>
      </c>
      <c r="AE299" s="43" t="str">
        <f aca="false">IF(Y299&lt;&gt;1,"",IF(AND(AC299&gt;=설정!$C$7,ISNUMBER(MATCH(Z299,피어커브!$A:$A,0))),Z299,IF(AND(AD299&gt;=설정!$C$7,ISNUMBER(MATCH(N299&amp;"|전체",피어커브!$A:$A,0))),N299&amp;"|전체","전체|전체")))</f>
        <v/>
      </c>
      <c r="AF299" s="93" t="str">
        <f aca="false">IF(AE299="","",INDEX(피어커브!$K:$K,MATCH(AE299,피어커브!$A:$A,0)))</f>
        <v/>
      </c>
      <c r="AG299" s="93" t="str">
        <f aca="false">IF(AE299="","",INDEX(피어커브!$J:$J,MATCH(AE299,피어커브!$A:$A,0)))</f>
        <v/>
      </c>
      <c r="AH299" s="93" t="str">
        <f aca="false">IF(AE299="","",INDEX(피어커브!$L:$L,MATCH(AE299,피어커브!$A:$A,0)))</f>
        <v/>
      </c>
      <c r="AI299" s="93" t="str">
        <f aca="false">IF(AE299="","",AF299+AG299*AA299)</f>
        <v/>
      </c>
      <c r="AJ299" s="96" t="str">
        <f aca="false">IF(AE299="","",E299-AI299)</f>
        <v/>
      </c>
      <c r="AK299" s="95" t="str">
        <f aca="false">IF(AE299="","",IF(ISNUMBER(AH299),IF(AH299&gt;0,AJ299/AH299,""),""))</f>
        <v/>
      </c>
      <c r="AL299" s="43" t="str">
        <f aca="false">IF(AK299="","-",IF(AK299&gt;=설정!$C$6,"Cheap",IF(AK299&lt;=-설정!$C$6,"Rich","Fair")))</f>
        <v>-</v>
      </c>
      <c r="AM299" s="96" t="str">
        <f aca="false">IF(AE299="","",AJ299-AVERAGEIFS($AJ$2:$AJ$601,$B$2:$B$601,B299,$Y$2:$Y$601,1))</f>
        <v/>
      </c>
      <c r="AN299" s="93" t="n">
        <f aca="false">IF(AE299="",0,IF(K299&gt;1+설정!$C$8,AG299*(AA299-LN(K299-1)),0))</f>
        <v>0</v>
      </c>
      <c r="AO299" s="99" t="n">
        <f aca="false">IF($A299="",0,SUMIFS(보유분석!$AA$2:$AA$801,보유분석!$AB$2:$AB$801,ROW(),보유분석!$AC$2:$AC$801,1))</f>
        <v>0</v>
      </c>
      <c r="AP299" s="43" t="str">
        <f aca="false">IF($A299="","",TRIM(IF(R299=1,"FRN ","")&amp;IF(IFERROR(VLOOKUP(M299,설정!$A$15:$D$47,4,0),0)&gt;=10,IF(IFERROR(VLOOKUP(M299,설정!$A$15:$D$47,4,0),0)&lt;99,"BBB0미만 ",""),"")&amp;IF(OR(M299="",M299="NR"),"등급미입력 ","")&amp;IF(C299&lt;&gt;"USD","비USD ","")))</f>
        <v/>
      </c>
      <c r="AQ299" s="90" t="n">
        <f aca="false">IF(AND(Y299=1,AL299="Cheap"),IF(AND(ISERROR(SEARCH("FRN",AP299)),ISERROR(SEARCH("BBB0미만",AP299))),AK299+ROW()/1000000000,-999),-999)</f>
        <v>-999</v>
      </c>
      <c r="AR299" s="92" t="str">
        <f aca="false">IF(AND(ISNUMBER(D299),ISNUMBER(K299)),D299+AN299*MAX(K299-1,0)/100,"")</f>
        <v/>
      </c>
      <c r="AS299" s="93" t="str">
        <f aca="false">IF(AND(ISNUMBER(E299),ISNUMBER(K299)),IF(K299&gt;0,(E299+AN299*MAX(K299-1,0))/K299,""),"")</f>
        <v/>
      </c>
      <c r="AT299" s="90" t="n">
        <f aca="false">IFERROR(IF(AND(Y299=1,ROW()&lt;&gt;스왑분석!$C$12+1,ABS(K299-INDEX($K$2:$K$601,스왑분석!$C$12))&lt;=스왑분석!$C$5,ISERROR(SEARCH("FRN",AP299)),ISERROR(SEARCH("BBB0미만",AP299))),IF(AND(OR(스왑분석!$C$6="N",L299=INDEX($L$2:$L$601,스왑분석!$C$12)),OR(스왑분석!$C$7="N",N299=INDEX($N$2:$N$601,스왑분석!$C$12)),OR(스왑분석!$C$8="N",AO299=0),E299-INDEX($E$2:$E$601,스왑분석!$C$12)&gt;=스왑분석!$C$9),E299-INDEX($E$2:$E$601,스왑분석!$C$12)+ROW()/1000000000,-999),-999),-999)</f>
        <v>-999</v>
      </c>
      <c r="AU299" s="90" t="n">
        <f aca="false">IF(AND(Y299=1,AO299&gt;0,AL299="Rich"),-AK299+ROW()/1000000000,-999)</f>
        <v>-999</v>
      </c>
    </row>
    <row r="300" customFormat="false" ht="15" hidden="false" customHeight="false" outlineLevel="0" collapsed="false">
      <c r="A300" s="83" t="n">
        <f aca="false">IFERROR(IF(INDEX(원자료_시장!$A$1:$BZ$1000,설정!$L$6+ROW()-1,설정!$L$24)&amp;""="0","",INDEX(원자료_시장!$A$1:$BZ$1000,설정!$L$6+ROW()-1,설정!$L$24)),"")</f>
        <v>0</v>
      </c>
      <c r="B300" s="83" t="n">
        <f aca="false">IFERROR(IF(INDEX(원자료_시장!$A$1:$BZ$1000,설정!$L$6+ROW()-1,설정!$L$37)&amp;""="0","",INDEX(원자료_시장!$A$1:$BZ$1000,설정!$L$6+ROW()-1,설정!$L$37)),"")</f>
        <v>0</v>
      </c>
      <c r="C300" s="83" t="n">
        <f aca="false">IFERROR(IF(INDEX(원자료_시장!$A$1:$BZ$1000,설정!$L$6+ROW()-1,설정!$L$25)&amp;""="0","",INDEX(원자료_시장!$A$1:$BZ$1000,설정!$L$6+ROW()-1,설정!$L$25)),"")</f>
        <v>0</v>
      </c>
      <c r="D300" s="85" t="str">
        <f aca="false">IFERROR(IF(ISNUMBER(INDEX(원자료_시장!$A$1:$BZ$1000,설정!$L$6+ROW()-1,설정!$L$26)),INDEX(원자료_시장!$A$1:$BZ$1000,설정!$L$6+ROW()-1,설정!$L$26),""),"")</f>
        <v/>
      </c>
      <c r="E300" s="97" t="str">
        <f aca="false">IFERROR(IF(ISNUMBER(INDEX(원자료_시장!$A$1:$BZ$1000,설정!$L$6+ROW()-1,설정!$L$27)),INDEX(원자료_시장!$A$1:$BZ$1000,설정!$L$6+ROW()-1,설정!$L$27),""),"")</f>
        <v/>
      </c>
      <c r="F300" s="97" t="str">
        <f aca="false">IFERROR(IF(ISNUMBER(INDEX(원자료_시장!$A$1:$BZ$1000,설정!$L$6+ROW()-1,설정!$L$28)),INDEX(원자료_시장!$A$1:$BZ$1000,설정!$L$6+ROW()-1,설정!$L$28),""),"")</f>
        <v/>
      </c>
      <c r="G300" s="97" t="str">
        <f aca="false">IFERROR(IF(ISNUMBER(INDEX(원자료_시장!$A$1:$BZ$1000,설정!$L$6+ROW()-1,설정!$L$29)),INDEX(원자료_시장!$A$1:$BZ$1000,설정!$L$6+ROW()-1,설정!$L$29),""),"")</f>
        <v/>
      </c>
      <c r="H300" s="97" t="str">
        <f aca="false">IFERROR(IF(ISNUMBER(INDEX(원자료_시장!$A$1:$BZ$1000,설정!$L$6+ROW()-1,설정!$L$30)),INDEX(원자료_시장!$A$1:$BZ$1000,설정!$L$6+ROW()-1,설정!$L$30),""),"")</f>
        <v/>
      </c>
      <c r="I300" s="97" t="str">
        <f aca="false">IFERROR(IF(ISNUMBER(INDEX(원자료_시장!$A$1:$BZ$1000,설정!$L$6+ROW()-1,설정!$L$31)),INDEX(원자료_시장!$A$1:$BZ$1000,설정!$L$6+ROW()-1,설정!$L$31),""),"")</f>
        <v/>
      </c>
      <c r="J300" s="97" t="str">
        <f aca="false">IFERROR(IF(ISNUMBER(INDEX(원자료_시장!$A$1:$BZ$1000,설정!$L$6+ROW()-1,설정!$L$32)),INDEX(원자료_시장!$A$1:$BZ$1000,설정!$L$6+ROW()-1,설정!$L$32),""),"")</f>
        <v/>
      </c>
      <c r="K300" s="85" t="str">
        <f aca="false">IFERROR(IF(ISNUMBER(INDEX(원자료_시장!$A$1:$BZ$1000,설정!$L$6+ROW()-1,설정!$L$33)),INDEX(원자료_시장!$A$1:$BZ$1000,설정!$L$6+ROW()-1,설정!$L$33),""),"")</f>
        <v/>
      </c>
      <c r="L300" s="83" t="n">
        <f aca="false">IFERROR(IF(INDEX(원자료_시장!$A$1:$BZ$1000,설정!$L$6+ROW()-1,설정!$L$34)&amp;""="0","",INDEX(원자료_시장!$A$1:$BZ$1000,설정!$L$6+ROW()-1,설정!$L$34)),"")</f>
        <v>0</v>
      </c>
      <c r="M300" s="83" t="n">
        <f aca="false">IFERROR(IF(INDEX(원자료_시장!$A$1:$BZ$1000,설정!$L$6+ROW()-1,설정!$L$35)&amp;""="0","",INDEX(원자료_시장!$A$1:$BZ$1000,설정!$L$6+ROW()-1,설정!$L$35)),"")</f>
        <v>0</v>
      </c>
      <c r="N300" s="83" t="n">
        <f aca="false">IFERROR(IF(INDEX(원자료_시장!$A$1:$BZ$1000,설정!$L$6+ROW()-1,설정!$L$36)&amp;""="0","",INDEX(원자료_시장!$A$1:$BZ$1000,설정!$L$6+ROW()-1,설정!$L$36)),"")</f>
        <v>0</v>
      </c>
      <c r="O300" s="43" t="str">
        <f aca="false">IF($A300="","",UPPER(LEFT($A300,FIND(" ",$A300&amp;" ")-1)))</f>
        <v/>
      </c>
      <c r="P300" s="43" t="str">
        <f aca="false">IF($A300="","",TRIM(RIGHT(SUBSTITUTE(TRIM($A300)," ",REPT(" ",30)),30)))</f>
        <v/>
      </c>
      <c r="Q300" s="98" t="str">
        <f aca="false">IF($A300="","",IFERROR(DATE(IF(LEN(P300)=8,2000+VALUE(RIGHT(P300,2)),VALUE(RIGHT(P300,4))),VALUE(LEFT(P300,2)),VALUE(MID(P300,4,2))),""))</f>
        <v/>
      </c>
      <c r="R300" s="89" t="n">
        <f aca="false">IF($A300="",0,IF(ISNUMBER(SEARCH("Float",$A300)),1,0))</f>
        <v>0</v>
      </c>
      <c r="S300" s="43" t="str">
        <f aca="false">IF($A300="","",TRIM(MID($A300,LEN(O300)+2,LEN($A300)-LEN(O300)-LEN(P300)-1)))</f>
        <v/>
      </c>
      <c r="T300" s="92" t="str">
        <f aca="false">IF(OR($A300="",R300=1),"",IFERROR(IF(ISNUMBER(FIND("/",S300)),IF(ISNUMBER(FIND(" ",S300)),VALUE(LEFT(S300,FIND(" ",S300)-1))+VALUE(MID(S300,FIND(" ",S300)+1,FIND("/",S300)-FIND(" ",S300)-1))/VALUE(MID(S300,FIND("/",S300)+1,9)),VALUE(LEFT(S300,FIND("/",S300)-1))/VALUE(MID(S300,FIND("/",S300)+1,9))),VALUE(S300)),""))</f>
        <v/>
      </c>
      <c r="U300" s="43" t="str">
        <f aca="false">IF(OR($A300="",NOT(ISNUMBER(Q300))),"",TEXT(Q300,"yyyymmdd")&amp;"|"&amp;IF(R300=1,"F",TEXT(T300,"0.000")))</f>
        <v/>
      </c>
      <c r="V300" s="43" t="str">
        <f aca="false">IF(U300="","",O300&amp;"|"&amp;U300)</f>
        <v/>
      </c>
      <c r="W300" s="43" t="str">
        <f aca="false">IF($A300="","",IFERROR(IF(VLOOKUP(O300,매핑!$A$4:$E$92,3,0)="","미분류",VLOOKUP(O300,매핑!$A$4:$E$92,3,0)),"미분류"))</f>
        <v/>
      </c>
      <c r="X300" s="89" t="n">
        <f aca="false">IF($A300="",0,IF(O300="T",1,0))</f>
        <v>0</v>
      </c>
      <c r="Y300" s="89" t="n">
        <f aca="false">IF($A300="",0,IF(AND(C300="USD",X300=0,ISNUMBER(E300),ISNUMBER(K300)),IF(K300&gt;=설정!$C$8,1,0),0))</f>
        <v>0</v>
      </c>
      <c r="Z300" s="43" t="str">
        <f aca="false">IF($A300="","",N300&amp;"|"&amp;L300)</f>
        <v/>
      </c>
      <c r="AA300" s="92" t="n">
        <f aca="false">IF(Y300=1,LN(K300),0)</f>
        <v>0</v>
      </c>
      <c r="AB300" s="93" t="n">
        <f aca="false">IF(Y300=1,E300,0)</f>
        <v>0</v>
      </c>
      <c r="AC300" s="89" t="n">
        <f aca="false">IF(Y300=1,COUNTIFS($Z$2:$Z$601,Z300,$Y$2:$Y$601,1),0)</f>
        <v>0</v>
      </c>
      <c r="AD300" s="89" t="n">
        <f aca="false">IF(Y300=1,COUNTIFS($N$2:$N$601,N300,$Y$2:$Y$601,1),0)</f>
        <v>0</v>
      </c>
      <c r="AE300" s="43" t="str">
        <f aca="false">IF(Y300&lt;&gt;1,"",IF(AND(AC300&gt;=설정!$C$7,ISNUMBER(MATCH(Z300,피어커브!$A:$A,0))),Z300,IF(AND(AD300&gt;=설정!$C$7,ISNUMBER(MATCH(N300&amp;"|전체",피어커브!$A:$A,0))),N300&amp;"|전체","전체|전체")))</f>
        <v/>
      </c>
      <c r="AF300" s="93" t="str">
        <f aca="false">IF(AE300="","",INDEX(피어커브!$K:$K,MATCH(AE300,피어커브!$A:$A,0)))</f>
        <v/>
      </c>
      <c r="AG300" s="93" t="str">
        <f aca="false">IF(AE300="","",INDEX(피어커브!$J:$J,MATCH(AE300,피어커브!$A:$A,0)))</f>
        <v/>
      </c>
      <c r="AH300" s="93" t="str">
        <f aca="false">IF(AE300="","",INDEX(피어커브!$L:$L,MATCH(AE300,피어커브!$A:$A,0)))</f>
        <v/>
      </c>
      <c r="AI300" s="93" t="str">
        <f aca="false">IF(AE300="","",AF300+AG300*AA300)</f>
        <v/>
      </c>
      <c r="AJ300" s="96" t="str">
        <f aca="false">IF(AE300="","",E300-AI300)</f>
        <v/>
      </c>
      <c r="AK300" s="95" t="str">
        <f aca="false">IF(AE300="","",IF(ISNUMBER(AH300),IF(AH300&gt;0,AJ300/AH300,""),""))</f>
        <v/>
      </c>
      <c r="AL300" s="43" t="str">
        <f aca="false">IF(AK300="","-",IF(AK300&gt;=설정!$C$6,"Cheap",IF(AK300&lt;=-설정!$C$6,"Rich","Fair")))</f>
        <v>-</v>
      </c>
      <c r="AM300" s="96" t="str">
        <f aca="false">IF(AE300="","",AJ300-AVERAGEIFS($AJ$2:$AJ$601,$B$2:$B$601,B300,$Y$2:$Y$601,1))</f>
        <v/>
      </c>
      <c r="AN300" s="93" t="n">
        <f aca="false">IF(AE300="",0,IF(K300&gt;1+설정!$C$8,AG300*(AA300-LN(K300-1)),0))</f>
        <v>0</v>
      </c>
      <c r="AO300" s="99" t="n">
        <f aca="false">IF($A300="",0,SUMIFS(보유분석!$AA$2:$AA$801,보유분석!$AB$2:$AB$801,ROW(),보유분석!$AC$2:$AC$801,1))</f>
        <v>0</v>
      </c>
      <c r="AP300" s="43" t="str">
        <f aca="false">IF($A300="","",TRIM(IF(R300=1,"FRN ","")&amp;IF(IFERROR(VLOOKUP(M300,설정!$A$15:$D$47,4,0),0)&gt;=10,IF(IFERROR(VLOOKUP(M300,설정!$A$15:$D$47,4,0),0)&lt;99,"BBB0미만 ",""),"")&amp;IF(OR(M300="",M300="NR"),"등급미입력 ","")&amp;IF(C300&lt;&gt;"USD","비USD ","")))</f>
        <v/>
      </c>
      <c r="AQ300" s="90" t="n">
        <f aca="false">IF(AND(Y300=1,AL300="Cheap"),IF(AND(ISERROR(SEARCH("FRN",AP300)),ISERROR(SEARCH("BBB0미만",AP300))),AK300+ROW()/1000000000,-999),-999)</f>
        <v>-999</v>
      </c>
      <c r="AR300" s="92" t="str">
        <f aca="false">IF(AND(ISNUMBER(D300),ISNUMBER(K300)),D300+AN300*MAX(K300-1,0)/100,"")</f>
        <v/>
      </c>
      <c r="AS300" s="93" t="str">
        <f aca="false">IF(AND(ISNUMBER(E300),ISNUMBER(K300)),IF(K300&gt;0,(E300+AN300*MAX(K300-1,0))/K300,""),"")</f>
        <v/>
      </c>
      <c r="AT300" s="90" t="n">
        <f aca="false">IFERROR(IF(AND(Y300=1,ROW()&lt;&gt;스왑분석!$C$12+1,ABS(K300-INDEX($K$2:$K$601,스왑분석!$C$12))&lt;=스왑분석!$C$5,ISERROR(SEARCH("FRN",AP300)),ISERROR(SEARCH("BBB0미만",AP300))),IF(AND(OR(스왑분석!$C$6="N",L300=INDEX($L$2:$L$601,스왑분석!$C$12)),OR(스왑분석!$C$7="N",N300=INDEX($N$2:$N$601,스왑분석!$C$12)),OR(스왑분석!$C$8="N",AO300=0),E300-INDEX($E$2:$E$601,스왑분석!$C$12)&gt;=스왑분석!$C$9),E300-INDEX($E$2:$E$601,스왑분석!$C$12)+ROW()/1000000000,-999),-999),-999)</f>
        <v>-999</v>
      </c>
      <c r="AU300" s="90" t="n">
        <f aca="false">IF(AND(Y300=1,AO300&gt;0,AL300="Rich"),-AK300+ROW()/1000000000,-999)</f>
        <v>-999</v>
      </c>
    </row>
    <row r="301" customFormat="false" ht="15" hidden="false" customHeight="false" outlineLevel="0" collapsed="false">
      <c r="A301" s="83" t="n">
        <f aca="false">IFERROR(IF(INDEX(원자료_시장!$A$1:$BZ$1000,설정!$L$6+ROW()-1,설정!$L$24)&amp;""="0","",INDEX(원자료_시장!$A$1:$BZ$1000,설정!$L$6+ROW()-1,설정!$L$24)),"")</f>
        <v>0</v>
      </c>
      <c r="B301" s="83" t="n">
        <f aca="false">IFERROR(IF(INDEX(원자료_시장!$A$1:$BZ$1000,설정!$L$6+ROW()-1,설정!$L$37)&amp;""="0","",INDEX(원자료_시장!$A$1:$BZ$1000,설정!$L$6+ROW()-1,설정!$L$37)),"")</f>
        <v>0</v>
      </c>
      <c r="C301" s="83" t="n">
        <f aca="false">IFERROR(IF(INDEX(원자료_시장!$A$1:$BZ$1000,설정!$L$6+ROW()-1,설정!$L$25)&amp;""="0","",INDEX(원자료_시장!$A$1:$BZ$1000,설정!$L$6+ROW()-1,설정!$L$25)),"")</f>
        <v>0</v>
      </c>
      <c r="D301" s="85" t="str">
        <f aca="false">IFERROR(IF(ISNUMBER(INDEX(원자료_시장!$A$1:$BZ$1000,설정!$L$6+ROW()-1,설정!$L$26)),INDEX(원자료_시장!$A$1:$BZ$1000,설정!$L$6+ROW()-1,설정!$L$26),""),"")</f>
        <v/>
      </c>
      <c r="E301" s="97" t="str">
        <f aca="false">IFERROR(IF(ISNUMBER(INDEX(원자료_시장!$A$1:$BZ$1000,설정!$L$6+ROW()-1,설정!$L$27)),INDEX(원자료_시장!$A$1:$BZ$1000,설정!$L$6+ROW()-1,설정!$L$27),""),"")</f>
        <v/>
      </c>
      <c r="F301" s="97" t="str">
        <f aca="false">IFERROR(IF(ISNUMBER(INDEX(원자료_시장!$A$1:$BZ$1000,설정!$L$6+ROW()-1,설정!$L$28)),INDEX(원자료_시장!$A$1:$BZ$1000,설정!$L$6+ROW()-1,설정!$L$28),""),"")</f>
        <v/>
      </c>
      <c r="G301" s="97" t="str">
        <f aca="false">IFERROR(IF(ISNUMBER(INDEX(원자료_시장!$A$1:$BZ$1000,설정!$L$6+ROW()-1,설정!$L$29)),INDEX(원자료_시장!$A$1:$BZ$1000,설정!$L$6+ROW()-1,설정!$L$29),""),"")</f>
        <v/>
      </c>
      <c r="H301" s="97" t="str">
        <f aca="false">IFERROR(IF(ISNUMBER(INDEX(원자료_시장!$A$1:$BZ$1000,설정!$L$6+ROW()-1,설정!$L$30)),INDEX(원자료_시장!$A$1:$BZ$1000,설정!$L$6+ROW()-1,설정!$L$30),""),"")</f>
        <v/>
      </c>
      <c r="I301" s="97" t="str">
        <f aca="false">IFERROR(IF(ISNUMBER(INDEX(원자료_시장!$A$1:$BZ$1000,설정!$L$6+ROW()-1,설정!$L$31)),INDEX(원자료_시장!$A$1:$BZ$1000,설정!$L$6+ROW()-1,설정!$L$31),""),"")</f>
        <v/>
      </c>
      <c r="J301" s="97" t="str">
        <f aca="false">IFERROR(IF(ISNUMBER(INDEX(원자료_시장!$A$1:$BZ$1000,설정!$L$6+ROW()-1,설정!$L$32)),INDEX(원자료_시장!$A$1:$BZ$1000,설정!$L$6+ROW()-1,설정!$L$32),""),"")</f>
        <v/>
      </c>
      <c r="K301" s="85" t="str">
        <f aca="false">IFERROR(IF(ISNUMBER(INDEX(원자료_시장!$A$1:$BZ$1000,설정!$L$6+ROW()-1,설정!$L$33)),INDEX(원자료_시장!$A$1:$BZ$1000,설정!$L$6+ROW()-1,설정!$L$33),""),"")</f>
        <v/>
      </c>
      <c r="L301" s="83" t="n">
        <f aca="false">IFERROR(IF(INDEX(원자료_시장!$A$1:$BZ$1000,설정!$L$6+ROW()-1,설정!$L$34)&amp;""="0","",INDEX(원자료_시장!$A$1:$BZ$1000,설정!$L$6+ROW()-1,설정!$L$34)),"")</f>
        <v>0</v>
      </c>
      <c r="M301" s="83" t="n">
        <f aca="false">IFERROR(IF(INDEX(원자료_시장!$A$1:$BZ$1000,설정!$L$6+ROW()-1,설정!$L$35)&amp;""="0","",INDEX(원자료_시장!$A$1:$BZ$1000,설정!$L$6+ROW()-1,설정!$L$35)),"")</f>
        <v>0</v>
      </c>
      <c r="N301" s="83" t="n">
        <f aca="false">IFERROR(IF(INDEX(원자료_시장!$A$1:$BZ$1000,설정!$L$6+ROW()-1,설정!$L$36)&amp;""="0","",INDEX(원자료_시장!$A$1:$BZ$1000,설정!$L$6+ROW()-1,설정!$L$36)),"")</f>
        <v>0</v>
      </c>
      <c r="O301" s="43" t="str">
        <f aca="false">IF($A301="","",UPPER(LEFT($A301,FIND(" ",$A301&amp;" ")-1)))</f>
        <v/>
      </c>
      <c r="P301" s="43" t="str">
        <f aca="false">IF($A301="","",TRIM(RIGHT(SUBSTITUTE(TRIM($A301)," ",REPT(" ",30)),30)))</f>
        <v/>
      </c>
      <c r="Q301" s="98" t="str">
        <f aca="false">IF($A301="","",IFERROR(DATE(IF(LEN(P301)=8,2000+VALUE(RIGHT(P301,2)),VALUE(RIGHT(P301,4))),VALUE(LEFT(P301,2)),VALUE(MID(P301,4,2))),""))</f>
        <v/>
      </c>
      <c r="R301" s="89" t="n">
        <f aca="false">IF($A301="",0,IF(ISNUMBER(SEARCH("Float",$A301)),1,0))</f>
        <v>0</v>
      </c>
      <c r="S301" s="43" t="str">
        <f aca="false">IF($A301="","",TRIM(MID($A301,LEN(O301)+2,LEN($A301)-LEN(O301)-LEN(P301)-1)))</f>
        <v/>
      </c>
      <c r="T301" s="92" t="str">
        <f aca="false">IF(OR($A301="",R301=1),"",IFERROR(IF(ISNUMBER(FIND("/",S301)),IF(ISNUMBER(FIND(" ",S301)),VALUE(LEFT(S301,FIND(" ",S301)-1))+VALUE(MID(S301,FIND(" ",S301)+1,FIND("/",S301)-FIND(" ",S301)-1))/VALUE(MID(S301,FIND("/",S301)+1,9)),VALUE(LEFT(S301,FIND("/",S301)-1))/VALUE(MID(S301,FIND("/",S301)+1,9))),VALUE(S301)),""))</f>
        <v/>
      </c>
      <c r="U301" s="43" t="str">
        <f aca="false">IF(OR($A301="",NOT(ISNUMBER(Q301))),"",TEXT(Q301,"yyyymmdd")&amp;"|"&amp;IF(R301=1,"F",TEXT(T301,"0.000")))</f>
        <v/>
      </c>
      <c r="V301" s="43" t="str">
        <f aca="false">IF(U301="","",O301&amp;"|"&amp;U301)</f>
        <v/>
      </c>
      <c r="W301" s="43" t="str">
        <f aca="false">IF($A301="","",IFERROR(IF(VLOOKUP(O301,매핑!$A$4:$E$92,3,0)="","미분류",VLOOKUP(O301,매핑!$A$4:$E$92,3,0)),"미분류"))</f>
        <v/>
      </c>
      <c r="X301" s="89" t="n">
        <f aca="false">IF($A301="",0,IF(O301="T",1,0))</f>
        <v>0</v>
      </c>
      <c r="Y301" s="89" t="n">
        <f aca="false">IF($A301="",0,IF(AND(C301="USD",X301=0,ISNUMBER(E301),ISNUMBER(K301)),IF(K301&gt;=설정!$C$8,1,0),0))</f>
        <v>0</v>
      </c>
      <c r="Z301" s="43" t="str">
        <f aca="false">IF($A301="","",N301&amp;"|"&amp;L301)</f>
        <v/>
      </c>
      <c r="AA301" s="92" t="n">
        <f aca="false">IF(Y301=1,LN(K301),0)</f>
        <v>0</v>
      </c>
      <c r="AB301" s="93" t="n">
        <f aca="false">IF(Y301=1,E301,0)</f>
        <v>0</v>
      </c>
      <c r="AC301" s="89" t="n">
        <f aca="false">IF(Y301=1,COUNTIFS($Z$2:$Z$601,Z301,$Y$2:$Y$601,1),0)</f>
        <v>0</v>
      </c>
      <c r="AD301" s="89" t="n">
        <f aca="false">IF(Y301=1,COUNTIFS($N$2:$N$601,N301,$Y$2:$Y$601,1),0)</f>
        <v>0</v>
      </c>
      <c r="AE301" s="43" t="str">
        <f aca="false">IF(Y301&lt;&gt;1,"",IF(AND(AC301&gt;=설정!$C$7,ISNUMBER(MATCH(Z301,피어커브!$A:$A,0))),Z301,IF(AND(AD301&gt;=설정!$C$7,ISNUMBER(MATCH(N301&amp;"|전체",피어커브!$A:$A,0))),N301&amp;"|전체","전체|전체")))</f>
        <v/>
      </c>
      <c r="AF301" s="93" t="str">
        <f aca="false">IF(AE301="","",INDEX(피어커브!$K:$K,MATCH(AE301,피어커브!$A:$A,0)))</f>
        <v/>
      </c>
      <c r="AG301" s="93" t="str">
        <f aca="false">IF(AE301="","",INDEX(피어커브!$J:$J,MATCH(AE301,피어커브!$A:$A,0)))</f>
        <v/>
      </c>
      <c r="AH301" s="93" t="str">
        <f aca="false">IF(AE301="","",INDEX(피어커브!$L:$L,MATCH(AE301,피어커브!$A:$A,0)))</f>
        <v/>
      </c>
      <c r="AI301" s="93" t="str">
        <f aca="false">IF(AE301="","",AF301+AG301*AA301)</f>
        <v/>
      </c>
      <c r="AJ301" s="96" t="str">
        <f aca="false">IF(AE301="","",E301-AI301)</f>
        <v/>
      </c>
      <c r="AK301" s="95" t="str">
        <f aca="false">IF(AE301="","",IF(ISNUMBER(AH301),IF(AH301&gt;0,AJ301/AH301,""),""))</f>
        <v/>
      </c>
      <c r="AL301" s="43" t="str">
        <f aca="false">IF(AK301="","-",IF(AK301&gt;=설정!$C$6,"Cheap",IF(AK301&lt;=-설정!$C$6,"Rich","Fair")))</f>
        <v>-</v>
      </c>
      <c r="AM301" s="96" t="str">
        <f aca="false">IF(AE301="","",AJ301-AVERAGEIFS($AJ$2:$AJ$601,$B$2:$B$601,B301,$Y$2:$Y$601,1))</f>
        <v/>
      </c>
      <c r="AN301" s="93" t="n">
        <f aca="false">IF(AE301="",0,IF(K301&gt;1+설정!$C$8,AG301*(AA301-LN(K301-1)),0))</f>
        <v>0</v>
      </c>
      <c r="AO301" s="99" t="n">
        <f aca="false">IF($A301="",0,SUMIFS(보유분석!$AA$2:$AA$801,보유분석!$AB$2:$AB$801,ROW(),보유분석!$AC$2:$AC$801,1))</f>
        <v>0</v>
      </c>
      <c r="AP301" s="43" t="str">
        <f aca="false">IF($A301="","",TRIM(IF(R301=1,"FRN ","")&amp;IF(IFERROR(VLOOKUP(M301,설정!$A$15:$D$47,4,0),0)&gt;=10,IF(IFERROR(VLOOKUP(M301,설정!$A$15:$D$47,4,0),0)&lt;99,"BBB0미만 ",""),"")&amp;IF(OR(M301="",M301="NR"),"등급미입력 ","")&amp;IF(C301&lt;&gt;"USD","비USD ","")))</f>
        <v/>
      </c>
      <c r="AQ301" s="90" t="n">
        <f aca="false">IF(AND(Y301=1,AL301="Cheap"),IF(AND(ISERROR(SEARCH("FRN",AP301)),ISERROR(SEARCH("BBB0미만",AP301))),AK301+ROW()/1000000000,-999),-999)</f>
        <v>-999</v>
      </c>
      <c r="AR301" s="92" t="str">
        <f aca="false">IF(AND(ISNUMBER(D301),ISNUMBER(K301)),D301+AN301*MAX(K301-1,0)/100,"")</f>
        <v/>
      </c>
      <c r="AS301" s="93" t="str">
        <f aca="false">IF(AND(ISNUMBER(E301),ISNUMBER(K301)),IF(K301&gt;0,(E301+AN301*MAX(K301-1,0))/K301,""),"")</f>
        <v/>
      </c>
      <c r="AT301" s="90" t="n">
        <f aca="false">IFERROR(IF(AND(Y301=1,ROW()&lt;&gt;스왑분석!$C$12+1,ABS(K301-INDEX($K$2:$K$601,스왑분석!$C$12))&lt;=스왑분석!$C$5,ISERROR(SEARCH("FRN",AP301)),ISERROR(SEARCH("BBB0미만",AP301))),IF(AND(OR(스왑분석!$C$6="N",L301=INDEX($L$2:$L$601,스왑분석!$C$12)),OR(스왑분석!$C$7="N",N301=INDEX($N$2:$N$601,스왑분석!$C$12)),OR(스왑분석!$C$8="N",AO301=0),E301-INDEX($E$2:$E$601,스왑분석!$C$12)&gt;=스왑분석!$C$9),E301-INDEX($E$2:$E$601,스왑분석!$C$12)+ROW()/1000000000,-999),-999),-999)</f>
        <v>-999</v>
      </c>
      <c r="AU301" s="90" t="n">
        <f aca="false">IF(AND(Y301=1,AO301&gt;0,AL301="Rich"),-AK301+ROW()/1000000000,-999)</f>
        <v>-999</v>
      </c>
    </row>
    <row r="302" customFormat="false" ht="15" hidden="false" customHeight="false" outlineLevel="0" collapsed="false">
      <c r="A302" s="83" t="n">
        <f aca="false">IFERROR(IF(INDEX(원자료_시장!$A$1:$BZ$1000,설정!$L$6+ROW()-1,설정!$L$24)&amp;""="0","",INDEX(원자료_시장!$A$1:$BZ$1000,설정!$L$6+ROW()-1,설정!$L$24)),"")</f>
        <v>0</v>
      </c>
      <c r="B302" s="83" t="n">
        <f aca="false">IFERROR(IF(INDEX(원자료_시장!$A$1:$BZ$1000,설정!$L$6+ROW()-1,설정!$L$37)&amp;""="0","",INDEX(원자료_시장!$A$1:$BZ$1000,설정!$L$6+ROW()-1,설정!$L$37)),"")</f>
        <v>0</v>
      </c>
      <c r="C302" s="83" t="n">
        <f aca="false">IFERROR(IF(INDEX(원자료_시장!$A$1:$BZ$1000,설정!$L$6+ROW()-1,설정!$L$25)&amp;""="0","",INDEX(원자료_시장!$A$1:$BZ$1000,설정!$L$6+ROW()-1,설정!$L$25)),"")</f>
        <v>0</v>
      </c>
      <c r="D302" s="85" t="str">
        <f aca="false">IFERROR(IF(ISNUMBER(INDEX(원자료_시장!$A$1:$BZ$1000,설정!$L$6+ROW()-1,설정!$L$26)),INDEX(원자료_시장!$A$1:$BZ$1000,설정!$L$6+ROW()-1,설정!$L$26),""),"")</f>
        <v/>
      </c>
      <c r="E302" s="97" t="str">
        <f aca="false">IFERROR(IF(ISNUMBER(INDEX(원자료_시장!$A$1:$BZ$1000,설정!$L$6+ROW()-1,설정!$L$27)),INDEX(원자료_시장!$A$1:$BZ$1000,설정!$L$6+ROW()-1,설정!$L$27),""),"")</f>
        <v/>
      </c>
      <c r="F302" s="97" t="str">
        <f aca="false">IFERROR(IF(ISNUMBER(INDEX(원자료_시장!$A$1:$BZ$1000,설정!$L$6+ROW()-1,설정!$L$28)),INDEX(원자료_시장!$A$1:$BZ$1000,설정!$L$6+ROW()-1,설정!$L$28),""),"")</f>
        <v/>
      </c>
      <c r="G302" s="97" t="str">
        <f aca="false">IFERROR(IF(ISNUMBER(INDEX(원자료_시장!$A$1:$BZ$1000,설정!$L$6+ROW()-1,설정!$L$29)),INDEX(원자료_시장!$A$1:$BZ$1000,설정!$L$6+ROW()-1,설정!$L$29),""),"")</f>
        <v/>
      </c>
      <c r="H302" s="97" t="str">
        <f aca="false">IFERROR(IF(ISNUMBER(INDEX(원자료_시장!$A$1:$BZ$1000,설정!$L$6+ROW()-1,설정!$L$30)),INDEX(원자료_시장!$A$1:$BZ$1000,설정!$L$6+ROW()-1,설정!$L$30),""),"")</f>
        <v/>
      </c>
      <c r="I302" s="97" t="str">
        <f aca="false">IFERROR(IF(ISNUMBER(INDEX(원자료_시장!$A$1:$BZ$1000,설정!$L$6+ROW()-1,설정!$L$31)),INDEX(원자료_시장!$A$1:$BZ$1000,설정!$L$6+ROW()-1,설정!$L$31),""),"")</f>
        <v/>
      </c>
      <c r="J302" s="97" t="str">
        <f aca="false">IFERROR(IF(ISNUMBER(INDEX(원자료_시장!$A$1:$BZ$1000,설정!$L$6+ROW()-1,설정!$L$32)),INDEX(원자료_시장!$A$1:$BZ$1000,설정!$L$6+ROW()-1,설정!$L$32),""),"")</f>
        <v/>
      </c>
      <c r="K302" s="85" t="str">
        <f aca="false">IFERROR(IF(ISNUMBER(INDEX(원자료_시장!$A$1:$BZ$1000,설정!$L$6+ROW()-1,설정!$L$33)),INDEX(원자료_시장!$A$1:$BZ$1000,설정!$L$6+ROW()-1,설정!$L$33),""),"")</f>
        <v/>
      </c>
      <c r="L302" s="83" t="n">
        <f aca="false">IFERROR(IF(INDEX(원자료_시장!$A$1:$BZ$1000,설정!$L$6+ROW()-1,설정!$L$34)&amp;""="0","",INDEX(원자료_시장!$A$1:$BZ$1000,설정!$L$6+ROW()-1,설정!$L$34)),"")</f>
        <v>0</v>
      </c>
      <c r="M302" s="83" t="n">
        <f aca="false">IFERROR(IF(INDEX(원자료_시장!$A$1:$BZ$1000,설정!$L$6+ROW()-1,설정!$L$35)&amp;""="0","",INDEX(원자료_시장!$A$1:$BZ$1000,설정!$L$6+ROW()-1,설정!$L$35)),"")</f>
        <v>0</v>
      </c>
      <c r="N302" s="83" t="n">
        <f aca="false">IFERROR(IF(INDEX(원자료_시장!$A$1:$BZ$1000,설정!$L$6+ROW()-1,설정!$L$36)&amp;""="0","",INDEX(원자료_시장!$A$1:$BZ$1000,설정!$L$6+ROW()-1,설정!$L$36)),"")</f>
        <v>0</v>
      </c>
      <c r="O302" s="43" t="str">
        <f aca="false">IF($A302="","",UPPER(LEFT($A302,FIND(" ",$A302&amp;" ")-1)))</f>
        <v/>
      </c>
      <c r="P302" s="43" t="str">
        <f aca="false">IF($A302="","",TRIM(RIGHT(SUBSTITUTE(TRIM($A302)," ",REPT(" ",30)),30)))</f>
        <v/>
      </c>
      <c r="Q302" s="98" t="str">
        <f aca="false">IF($A302="","",IFERROR(DATE(IF(LEN(P302)=8,2000+VALUE(RIGHT(P302,2)),VALUE(RIGHT(P302,4))),VALUE(LEFT(P302,2)),VALUE(MID(P302,4,2))),""))</f>
        <v/>
      </c>
      <c r="R302" s="89" t="n">
        <f aca="false">IF($A302="",0,IF(ISNUMBER(SEARCH("Float",$A302)),1,0))</f>
        <v>0</v>
      </c>
      <c r="S302" s="43" t="str">
        <f aca="false">IF($A302="","",TRIM(MID($A302,LEN(O302)+2,LEN($A302)-LEN(O302)-LEN(P302)-1)))</f>
        <v/>
      </c>
      <c r="T302" s="92" t="str">
        <f aca="false">IF(OR($A302="",R302=1),"",IFERROR(IF(ISNUMBER(FIND("/",S302)),IF(ISNUMBER(FIND(" ",S302)),VALUE(LEFT(S302,FIND(" ",S302)-1))+VALUE(MID(S302,FIND(" ",S302)+1,FIND("/",S302)-FIND(" ",S302)-1))/VALUE(MID(S302,FIND("/",S302)+1,9)),VALUE(LEFT(S302,FIND("/",S302)-1))/VALUE(MID(S302,FIND("/",S302)+1,9))),VALUE(S302)),""))</f>
        <v/>
      </c>
      <c r="U302" s="43" t="str">
        <f aca="false">IF(OR($A302="",NOT(ISNUMBER(Q302))),"",TEXT(Q302,"yyyymmdd")&amp;"|"&amp;IF(R302=1,"F",TEXT(T302,"0.000")))</f>
        <v/>
      </c>
      <c r="V302" s="43" t="str">
        <f aca="false">IF(U302="","",O302&amp;"|"&amp;U302)</f>
        <v/>
      </c>
      <c r="W302" s="43" t="str">
        <f aca="false">IF($A302="","",IFERROR(IF(VLOOKUP(O302,매핑!$A$4:$E$92,3,0)="","미분류",VLOOKUP(O302,매핑!$A$4:$E$92,3,0)),"미분류"))</f>
        <v/>
      </c>
      <c r="X302" s="89" t="n">
        <f aca="false">IF($A302="",0,IF(O302="T",1,0))</f>
        <v>0</v>
      </c>
      <c r="Y302" s="89" t="n">
        <f aca="false">IF($A302="",0,IF(AND(C302="USD",X302=0,ISNUMBER(E302),ISNUMBER(K302)),IF(K302&gt;=설정!$C$8,1,0),0))</f>
        <v>0</v>
      </c>
      <c r="Z302" s="43" t="str">
        <f aca="false">IF($A302="","",N302&amp;"|"&amp;L302)</f>
        <v/>
      </c>
      <c r="AA302" s="92" t="n">
        <f aca="false">IF(Y302=1,LN(K302),0)</f>
        <v>0</v>
      </c>
      <c r="AB302" s="93" t="n">
        <f aca="false">IF(Y302=1,E302,0)</f>
        <v>0</v>
      </c>
      <c r="AC302" s="89" t="n">
        <f aca="false">IF(Y302=1,COUNTIFS($Z$2:$Z$601,Z302,$Y$2:$Y$601,1),0)</f>
        <v>0</v>
      </c>
      <c r="AD302" s="89" t="n">
        <f aca="false">IF(Y302=1,COUNTIFS($N$2:$N$601,N302,$Y$2:$Y$601,1),0)</f>
        <v>0</v>
      </c>
      <c r="AE302" s="43" t="str">
        <f aca="false">IF(Y302&lt;&gt;1,"",IF(AND(AC302&gt;=설정!$C$7,ISNUMBER(MATCH(Z302,피어커브!$A:$A,0))),Z302,IF(AND(AD302&gt;=설정!$C$7,ISNUMBER(MATCH(N302&amp;"|전체",피어커브!$A:$A,0))),N302&amp;"|전체","전체|전체")))</f>
        <v/>
      </c>
      <c r="AF302" s="93" t="str">
        <f aca="false">IF(AE302="","",INDEX(피어커브!$K:$K,MATCH(AE302,피어커브!$A:$A,0)))</f>
        <v/>
      </c>
      <c r="AG302" s="93" t="str">
        <f aca="false">IF(AE302="","",INDEX(피어커브!$J:$J,MATCH(AE302,피어커브!$A:$A,0)))</f>
        <v/>
      </c>
      <c r="AH302" s="93" t="str">
        <f aca="false">IF(AE302="","",INDEX(피어커브!$L:$L,MATCH(AE302,피어커브!$A:$A,0)))</f>
        <v/>
      </c>
      <c r="AI302" s="93" t="str">
        <f aca="false">IF(AE302="","",AF302+AG302*AA302)</f>
        <v/>
      </c>
      <c r="AJ302" s="96" t="str">
        <f aca="false">IF(AE302="","",E302-AI302)</f>
        <v/>
      </c>
      <c r="AK302" s="95" t="str">
        <f aca="false">IF(AE302="","",IF(ISNUMBER(AH302),IF(AH302&gt;0,AJ302/AH302,""),""))</f>
        <v/>
      </c>
      <c r="AL302" s="43" t="str">
        <f aca="false">IF(AK302="","-",IF(AK302&gt;=설정!$C$6,"Cheap",IF(AK302&lt;=-설정!$C$6,"Rich","Fair")))</f>
        <v>-</v>
      </c>
      <c r="AM302" s="96" t="str">
        <f aca="false">IF(AE302="","",AJ302-AVERAGEIFS($AJ$2:$AJ$601,$B$2:$B$601,B302,$Y$2:$Y$601,1))</f>
        <v/>
      </c>
      <c r="AN302" s="93" t="n">
        <f aca="false">IF(AE302="",0,IF(K302&gt;1+설정!$C$8,AG302*(AA302-LN(K302-1)),0))</f>
        <v>0</v>
      </c>
      <c r="AO302" s="99" t="n">
        <f aca="false">IF($A302="",0,SUMIFS(보유분석!$AA$2:$AA$801,보유분석!$AB$2:$AB$801,ROW(),보유분석!$AC$2:$AC$801,1))</f>
        <v>0</v>
      </c>
      <c r="AP302" s="43" t="str">
        <f aca="false">IF($A302="","",TRIM(IF(R302=1,"FRN ","")&amp;IF(IFERROR(VLOOKUP(M302,설정!$A$15:$D$47,4,0),0)&gt;=10,IF(IFERROR(VLOOKUP(M302,설정!$A$15:$D$47,4,0),0)&lt;99,"BBB0미만 ",""),"")&amp;IF(OR(M302="",M302="NR"),"등급미입력 ","")&amp;IF(C302&lt;&gt;"USD","비USD ","")))</f>
        <v/>
      </c>
      <c r="AQ302" s="90" t="n">
        <f aca="false">IF(AND(Y302=1,AL302="Cheap"),IF(AND(ISERROR(SEARCH("FRN",AP302)),ISERROR(SEARCH("BBB0미만",AP302))),AK302+ROW()/1000000000,-999),-999)</f>
        <v>-999</v>
      </c>
      <c r="AR302" s="92" t="str">
        <f aca="false">IF(AND(ISNUMBER(D302),ISNUMBER(K302)),D302+AN302*MAX(K302-1,0)/100,"")</f>
        <v/>
      </c>
      <c r="AS302" s="93" t="str">
        <f aca="false">IF(AND(ISNUMBER(E302),ISNUMBER(K302)),IF(K302&gt;0,(E302+AN302*MAX(K302-1,0))/K302,""),"")</f>
        <v/>
      </c>
      <c r="AT302" s="90" t="n">
        <f aca="false">IFERROR(IF(AND(Y302=1,ROW()&lt;&gt;스왑분석!$C$12+1,ABS(K302-INDEX($K$2:$K$601,스왑분석!$C$12))&lt;=스왑분석!$C$5,ISERROR(SEARCH("FRN",AP302)),ISERROR(SEARCH("BBB0미만",AP302))),IF(AND(OR(스왑분석!$C$6="N",L302=INDEX($L$2:$L$601,스왑분석!$C$12)),OR(스왑분석!$C$7="N",N302=INDEX($N$2:$N$601,스왑분석!$C$12)),OR(스왑분석!$C$8="N",AO302=0),E302-INDEX($E$2:$E$601,스왑분석!$C$12)&gt;=스왑분석!$C$9),E302-INDEX($E$2:$E$601,스왑분석!$C$12)+ROW()/1000000000,-999),-999),-999)</f>
        <v>-999</v>
      </c>
      <c r="AU302" s="90" t="n">
        <f aca="false">IF(AND(Y302=1,AO302&gt;0,AL302="Rich"),-AK302+ROW()/1000000000,-999)</f>
        <v>-999</v>
      </c>
    </row>
    <row r="303" customFormat="false" ht="15" hidden="false" customHeight="false" outlineLevel="0" collapsed="false">
      <c r="A303" s="83" t="n">
        <f aca="false">IFERROR(IF(INDEX(원자료_시장!$A$1:$BZ$1000,설정!$L$6+ROW()-1,설정!$L$24)&amp;""="0","",INDEX(원자료_시장!$A$1:$BZ$1000,설정!$L$6+ROW()-1,설정!$L$24)),"")</f>
        <v>0</v>
      </c>
      <c r="B303" s="83" t="n">
        <f aca="false">IFERROR(IF(INDEX(원자료_시장!$A$1:$BZ$1000,설정!$L$6+ROW()-1,설정!$L$37)&amp;""="0","",INDEX(원자료_시장!$A$1:$BZ$1000,설정!$L$6+ROW()-1,설정!$L$37)),"")</f>
        <v>0</v>
      </c>
      <c r="C303" s="83" t="n">
        <f aca="false">IFERROR(IF(INDEX(원자료_시장!$A$1:$BZ$1000,설정!$L$6+ROW()-1,설정!$L$25)&amp;""="0","",INDEX(원자료_시장!$A$1:$BZ$1000,설정!$L$6+ROW()-1,설정!$L$25)),"")</f>
        <v>0</v>
      </c>
      <c r="D303" s="85" t="str">
        <f aca="false">IFERROR(IF(ISNUMBER(INDEX(원자료_시장!$A$1:$BZ$1000,설정!$L$6+ROW()-1,설정!$L$26)),INDEX(원자료_시장!$A$1:$BZ$1000,설정!$L$6+ROW()-1,설정!$L$26),""),"")</f>
        <v/>
      </c>
      <c r="E303" s="97" t="str">
        <f aca="false">IFERROR(IF(ISNUMBER(INDEX(원자료_시장!$A$1:$BZ$1000,설정!$L$6+ROW()-1,설정!$L$27)),INDEX(원자료_시장!$A$1:$BZ$1000,설정!$L$6+ROW()-1,설정!$L$27),""),"")</f>
        <v/>
      </c>
      <c r="F303" s="97" t="str">
        <f aca="false">IFERROR(IF(ISNUMBER(INDEX(원자료_시장!$A$1:$BZ$1000,설정!$L$6+ROW()-1,설정!$L$28)),INDEX(원자료_시장!$A$1:$BZ$1000,설정!$L$6+ROW()-1,설정!$L$28),""),"")</f>
        <v/>
      </c>
      <c r="G303" s="97" t="str">
        <f aca="false">IFERROR(IF(ISNUMBER(INDEX(원자료_시장!$A$1:$BZ$1000,설정!$L$6+ROW()-1,설정!$L$29)),INDEX(원자료_시장!$A$1:$BZ$1000,설정!$L$6+ROW()-1,설정!$L$29),""),"")</f>
        <v/>
      </c>
      <c r="H303" s="97" t="str">
        <f aca="false">IFERROR(IF(ISNUMBER(INDEX(원자료_시장!$A$1:$BZ$1000,설정!$L$6+ROW()-1,설정!$L$30)),INDEX(원자료_시장!$A$1:$BZ$1000,설정!$L$6+ROW()-1,설정!$L$30),""),"")</f>
        <v/>
      </c>
      <c r="I303" s="97" t="str">
        <f aca="false">IFERROR(IF(ISNUMBER(INDEX(원자료_시장!$A$1:$BZ$1000,설정!$L$6+ROW()-1,설정!$L$31)),INDEX(원자료_시장!$A$1:$BZ$1000,설정!$L$6+ROW()-1,설정!$L$31),""),"")</f>
        <v/>
      </c>
      <c r="J303" s="97" t="str">
        <f aca="false">IFERROR(IF(ISNUMBER(INDEX(원자료_시장!$A$1:$BZ$1000,설정!$L$6+ROW()-1,설정!$L$32)),INDEX(원자료_시장!$A$1:$BZ$1000,설정!$L$6+ROW()-1,설정!$L$32),""),"")</f>
        <v/>
      </c>
      <c r="K303" s="85" t="str">
        <f aca="false">IFERROR(IF(ISNUMBER(INDEX(원자료_시장!$A$1:$BZ$1000,설정!$L$6+ROW()-1,설정!$L$33)),INDEX(원자료_시장!$A$1:$BZ$1000,설정!$L$6+ROW()-1,설정!$L$33),""),"")</f>
        <v/>
      </c>
      <c r="L303" s="83" t="n">
        <f aca="false">IFERROR(IF(INDEX(원자료_시장!$A$1:$BZ$1000,설정!$L$6+ROW()-1,설정!$L$34)&amp;""="0","",INDEX(원자료_시장!$A$1:$BZ$1000,설정!$L$6+ROW()-1,설정!$L$34)),"")</f>
        <v>0</v>
      </c>
      <c r="M303" s="83" t="n">
        <f aca="false">IFERROR(IF(INDEX(원자료_시장!$A$1:$BZ$1000,설정!$L$6+ROW()-1,설정!$L$35)&amp;""="0","",INDEX(원자료_시장!$A$1:$BZ$1000,설정!$L$6+ROW()-1,설정!$L$35)),"")</f>
        <v>0</v>
      </c>
      <c r="N303" s="83" t="n">
        <f aca="false">IFERROR(IF(INDEX(원자료_시장!$A$1:$BZ$1000,설정!$L$6+ROW()-1,설정!$L$36)&amp;""="0","",INDEX(원자료_시장!$A$1:$BZ$1000,설정!$L$6+ROW()-1,설정!$L$36)),"")</f>
        <v>0</v>
      </c>
      <c r="O303" s="43" t="str">
        <f aca="false">IF($A303="","",UPPER(LEFT($A303,FIND(" ",$A303&amp;" ")-1)))</f>
        <v/>
      </c>
      <c r="P303" s="43" t="str">
        <f aca="false">IF($A303="","",TRIM(RIGHT(SUBSTITUTE(TRIM($A303)," ",REPT(" ",30)),30)))</f>
        <v/>
      </c>
      <c r="Q303" s="98" t="str">
        <f aca="false">IF($A303="","",IFERROR(DATE(IF(LEN(P303)=8,2000+VALUE(RIGHT(P303,2)),VALUE(RIGHT(P303,4))),VALUE(LEFT(P303,2)),VALUE(MID(P303,4,2))),""))</f>
        <v/>
      </c>
      <c r="R303" s="89" t="n">
        <f aca="false">IF($A303="",0,IF(ISNUMBER(SEARCH("Float",$A303)),1,0))</f>
        <v>0</v>
      </c>
      <c r="S303" s="43" t="str">
        <f aca="false">IF($A303="","",TRIM(MID($A303,LEN(O303)+2,LEN($A303)-LEN(O303)-LEN(P303)-1)))</f>
        <v/>
      </c>
      <c r="T303" s="92" t="str">
        <f aca="false">IF(OR($A303="",R303=1),"",IFERROR(IF(ISNUMBER(FIND("/",S303)),IF(ISNUMBER(FIND(" ",S303)),VALUE(LEFT(S303,FIND(" ",S303)-1))+VALUE(MID(S303,FIND(" ",S303)+1,FIND("/",S303)-FIND(" ",S303)-1))/VALUE(MID(S303,FIND("/",S303)+1,9)),VALUE(LEFT(S303,FIND("/",S303)-1))/VALUE(MID(S303,FIND("/",S303)+1,9))),VALUE(S303)),""))</f>
        <v/>
      </c>
      <c r="U303" s="43" t="str">
        <f aca="false">IF(OR($A303="",NOT(ISNUMBER(Q303))),"",TEXT(Q303,"yyyymmdd")&amp;"|"&amp;IF(R303=1,"F",TEXT(T303,"0.000")))</f>
        <v/>
      </c>
      <c r="V303" s="43" t="str">
        <f aca="false">IF(U303="","",O303&amp;"|"&amp;U303)</f>
        <v/>
      </c>
      <c r="W303" s="43" t="str">
        <f aca="false">IF($A303="","",IFERROR(IF(VLOOKUP(O303,매핑!$A$4:$E$92,3,0)="","미분류",VLOOKUP(O303,매핑!$A$4:$E$92,3,0)),"미분류"))</f>
        <v/>
      </c>
      <c r="X303" s="89" t="n">
        <f aca="false">IF($A303="",0,IF(O303="T",1,0))</f>
        <v>0</v>
      </c>
      <c r="Y303" s="89" t="n">
        <f aca="false">IF($A303="",0,IF(AND(C303="USD",X303=0,ISNUMBER(E303),ISNUMBER(K303)),IF(K303&gt;=설정!$C$8,1,0),0))</f>
        <v>0</v>
      </c>
      <c r="Z303" s="43" t="str">
        <f aca="false">IF($A303="","",N303&amp;"|"&amp;L303)</f>
        <v/>
      </c>
      <c r="AA303" s="92" t="n">
        <f aca="false">IF(Y303=1,LN(K303),0)</f>
        <v>0</v>
      </c>
      <c r="AB303" s="93" t="n">
        <f aca="false">IF(Y303=1,E303,0)</f>
        <v>0</v>
      </c>
      <c r="AC303" s="89" t="n">
        <f aca="false">IF(Y303=1,COUNTIFS($Z$2:$Z$601,Z303,$Y$2:$Y$601,1),0)</f>
        <v>0</v>
      </c>
      <c r="AD303" s="89" t="n">
        <f aca="false">IF(Y303=1,COUNTIFS($N$2:$N$601,N303,$Y$2:$Y$601,1),0)</f>
        <v>0</v>
      </c>
      <c r="AE303" s="43" t="str">
        <f aca="false">IF(Y303&lt;&gt;1,"",IF(AND(AC303&gt;=설정!$C$7,ISNUMBER(MATCH(Z303,피어커브!$A:$A,0))),Z303,IF(AND(AD303&gt;=설정!$C$7,ISNUMBER(MATCH(N303&amp;"|전체",피어커브!$A:$A,0))),N303&amp;"|전체","전체|전체")))</f>
        <v/>
      </c>
      <c r="AF303" s="93" t="str">
        <f aca="false">IF(AE303="","",INDEX(피어커브!$K:$K,MATCH(AE303,피어커브!$A:$A,0)))</f>
        <v/>
      </c>
      <c r="AG303" s="93" t="str">
        <f aca="false">IF(AE303="","",INDEX(피어커브!$J:$J,MATCH(AE303,피어커브!$A:$A,0)))</f>
        <v/>
      </c>
      <c r="AH303" s="93" t="str">
        <f aca="false">IF(AE303="","",INDEX(피어커브!$L:$L,MATCH(AE303,피어커브!$A:$A,0)))</f>
        <v/>
      </c>
      <c r="AI303" s="93" t="str">
        <f aca="false">IF(AE303="","",AF303+AG303*AA303)</f>
        <v/>
      </c>
      <c r="AJ303" s="96" t="str">
        <f aca="false">IF(AE303="","",E303-AI303)</f>
        <v/>
      </c>
      <c r="AK303" s="95" t="str">
        <f aca="false">IF(AE303="","",IF(ISNUMBER(AH303),IF(AH303&gt;0,AJ303/AH303,""),""))</f>
        <v/>
      </c>
      <c r="AL303" s="43" t="str">
        <f aca="false">IF(AK303="","-",IF(AK303&gt;=설정!$C$6,"Cheap",IF(AK303&lt;=-설정!$C$6,"Rich","Fair")))</f>
        <v>-</v>
      </c>
      <c r="AM303" s="96" t="str">
        <f aca="false">IF(AE303="","",AJ303-AVERAGEIFS($AJ$2:$AJ$601,$B$2:$B$601,B303,$Y$2:$Y$601,1))</f>
        <v/>
      </c>
      <c r="AN303" s="93" t="n">
        <f aca="false">IF(AE303="",0,IF(K303&gt;1+설정!$C$8,AG303*(AA303-LN(K303-1)),0))</f>
        <v>0</v>
      </c>
      <c r="AO303" s="99" t="n">
        <f aca="false">IF($A303="",0,SUMIFS(보유분석!$AA$2:$AA$801,보유분석!$AB$2:$AB$801,ROW(),보유분석!$AC$2:$AC$801,1))</f>
        <v>0</v>
      </c>
      <c r="AP303" s="43" t="str">
        <f aca="false">IF($A303="","",TRIM(IF(R303=1,"FRN ","")&amp;IF(IFERROR(VLOOKUP(M303,설정!$A$15:$D$47,4,0),0)&gt;=10,IF(IFERROR(VLOOKUP(M303,설정!$A$15:$D$47,4,0),0)&lt;99,"BBB0미만 ",""),"")&amp;IF(OR(M303="",M303="NR"),"등급미입력 ","")&amp;IF(C303&lt;&gt;"USD","비USD ","")))</f>
        <v/>
      </c>
      <c r="AQ303" s="90" t="n">
        <f aca="false">IF(AND(Y303=1,AL303="Cheap"),IF(AND(ISERROR(SEARCH("FRN",AP303)),ISERROR(SEARCH("BBB0미만",AP303))),AK303+ROW()/1000000000,-999),-999)</f>
        <v>-999</v>
      </c>
      <c r="AR303" s="92" t="str">
        <f aca="false">IF(AND(ISNUMBER(D303),ISNUMBER(K303)),D303+AN303*MAX(K303-1,0)/100,"")</f>
        <v/>
      </c>
      <c r="AS303" s="93" t="str">
        <f aca="false">IF(AND(ISNUMBER(E303),ISNUMBER(K303)),IF(K303&gt;0,(E303+AN303*MAX(K303-1,0))/K303,""),"")</f>
        <v/>
      </c>
      <c r="AT303" s="90" t="n">
        <f aca="false">IFERROR(IF(AND(Y303=1,ROW()&lt;&gt;스왑분석!$C$12+1,ABS(K303-INDEX($K$2:$K$601,스왑분석!$C$12))&lt;=스왑분석!$C$5,ISERROR(SEARCH("FRN",AP303)),ISERROR(SEARCH("BBB0미만",AP303))),IF(AND(OR(스왑분석!$C$6="N",L303=INDEX($L$2:$L$601,스왑분석!$C$12)),OR(스왑분석!$C$7="N",N303=INDEX($N$2:$N$601,스왑분석!$C$12)),OR(스왑분석!$C$8="N",AO303=0),E303-INDEX($E$2:$E$601,스왑분석!$C$12)&gt;=스왑분석!$C$9),E303-INDEX($E$2:$E$601,스왑분석!$C$12)+ROW()/1000000000,-999),-999),-999)</f>
        <v>-999</v>
      </c>
      <c r="AU303" s="90" t="n">
        <f aca="false">IF(AND(Y303=1,AO303&gt;0,AL303="Rich"),-AK303+ROW()/1000000000,-999)</f>
        <v>-999</v>
      </c>
    </row>
    <row r="304" customFormat="false" ht="15" hidden="false" customHeight="false" outlineLevel="0" collapsed="false">
      <c r="A304" s="83" t="n">
        <f aca="false">IFERROR(IF(INDEX(원자료_시장!$A$1:$BZ$1000,설정!$L$6+ROW()-1,설정!$L$24)&amp;""="0","",INDEX(원자료_시장!$A$1:$BZ$1000,설정!$L$6+ROW()-1,설정!$L$24)),"")</f>
        <v>0</v>
      </c>
      <c r="B304" s="83" t="n">
        <f aca="false">IFERROR(IF(INDEX(원자료_시장!$A$1:$BZ$1000,설정!$L$6+ROW()-1,설정!$L$37)&amp;""="0","",INDEX(원자료_시장!$A$1:$BZ$1000,설정!$L$6+ROW()-1,설정!$L$37)),"")</f>
        <v>0</v>
      </c>
      <c r="C304" s="83" t="n">
        <f aca="false">IFERROR(IF(INDEX(원자료_시장!$A$1:$BZ$1000,설정!$L$6+ROW()-1,설정!$L$25)&amp;""="0","",INDEX(원자료_시장!$A$1:$BZ$1000,설정!$L$6+ROW()-1,설정!$L$25)),"")</f>
        <v>0</v>
      </c>
      <c r="D304" s="85" t="str">
        <f aca="false">IFERROR(IF(ISNUMBER(INDEX(원자료_시장!$A$1:$BZ$1000,설정!$L$6+ROW()-1,설정!$L$26)),INDEX(원자료_시장!$A$1:$BZ$1000,설정!$L$6+ROW()-1,설정!$L$26),""),"")</f>
        <v/>
      </c>
      <c r="E304" s="97" t="str">
        <f aca="false">IFERROR(IF(ISNUMBER(INDEX(원자료_시장!$A$1:$BZ$1000,설정!$L$6+ROW()-1,설정!$L$27)),INDEX(원자료_시장!$A$1:$BZ$1000,설정!$L$6+ROW()-1,설정!$L$27),""),"")</f>
        <v/>
      </c>
      <c r="F304" s="97" t="str">
        <f aca="false">IFERROR(IF(ISNUMBER(INDEX(원자료_시장!$A$1:$BZ$1000,설정!$L$6+ROW()-1,설정!$L$28)),INDEX(원자료_시장!$A$1:$BZ$1000,설정!$L$6+ROW()-1,설정!$L$28),""),"")</f>
        <v/>
      </c>
      <c r="G304" s="97" t="str">
        <f aca="false">IFERROR(IF(ISNUMBER(INDEX(원자료_시장!$A$1:$BZ$1000,설정!$L$6+ROW()-1,설정!$L$29)),INDEX(원자료_시장!$A$1:$BZ$1000,설정!$L$6+ROW()-1,설정!$L$29),""),"")</f>
        <v/>
      </c>
      <c r="H304" s="97" t="str">
        <f aca="false">IFERROR(IF(ISNUMBER(INDEX(원자료_시장!$A$1:$BZ$1000,설정!$L$6+ROW()-1,설정!$L$30)),INDEX(원자료_시장!$A$1:$BZ$1000,설정!$L$6+ROW()-1,설정!$L$30),""),"")</f>
        <v/>
      </c>
      <c r="I304" s="97" t="str">
        <f aca="false">IFERROR(IF(ISNUMBER(INDEX(원자료_시장!$A$1:$BZ$1000,설정!$L$6+ROW()-1,설정!$L$31)),INDEX(원자료_시장!$A$1:$BZ$1000,설정!$L$6+ROW()-1,설정!$L$31),""),"")</f>
        <v/>
      </c>
      <c r="J304" s="97" t="str">
        <f aca="false">IFERROR(IF(ISNUMBER(INDEX(원자료_시장!$A$1:$BZ$1000,설정!$L$6+ROW()-1,설정!$L$32)),INDEX(원자료_시장!$A$1:$BZ$1000,설정!$L$6+ROW()-1,설정!$L$32),""),"")</f>
        <v/>
      </c>
      <c r="K304" s="85" t="str">
        <f aca="false">IFERROR(IF(ISNUMBER(INDEX(원자료_시장!$A$1:$BZ$1000,설정!$L$6+ROW()-1,설정!$L$33)),INDEX(원자료_시장!$A$1:$BZ$1000,설정!$L$6+ROW()-1,설정!$L$33),""),"")</f>
        <v/>
      </c>
      <c r="L304" s="83" t="n">
        <f aca="false">IFERROR(IF(INDEX(원자료_시장!$A$1:$BZ$1000,설정!$L$6+ROW()-1,설정!$L$34)&amp;""="0","",INDEX(원자료_시장!$A$1:$BZ$1000,설정!$L$6+ROW()-1,설정!$L$34)),"")</f>
        <v>0</v>
      </c>
      <c r="M304" s="83" t="n">
        <f aca="false">IFERROR(IF(INDEX(원자료_시장!$A$1:$BZ$1000,설정!$L$6+ROW()-1,설정!$L$35)&amp;""="0","",INDEX(원자료_시장!$A$1:$BZ$1000,설정!$L$6+ROW()-1,설정!$L$35)),"")</f>
        <v>0</v>
      </c>
      <c r="N304" s="83" t="n">
        <f aca="false">IFERROR(IF(INDEX(원자료_시장!$A$1:$BZ$1000,설정!$L$6+ROW()-1,설정!$L$36)&amp;""="0","",INDEX(원자료_시장!$A$1:$BZ$1000,설정!$L$6+ROW()-1,설정!$L$36)),"")</f>
        <v>0</v>
      </c>
      <c r="O304" s="43" t="str">
        <f aca="false">IF($A304="","",UPPER(LEFT($A304,FIND(" ",$A304&amp;" ")-1)))</f>
        <v/>
      </c>
      <c r="P304" s="43" t="str">
        <f aca="false">IF($A304="","",TRIM(RIGHT(SUBSTITUTE(TRIM($A304)," ",REPT(" ",30)),30)))</f>
        <v/>
      </c>
      <c r="Q304" s="98" t="str">
        <f aca="false">IF($A304="","",IFERROR(DATE(IF(LEN(P304)=8,2000+VALUE(RIGHT(P304,2)),VALUE(RIGHT(P304,4))),VALUE(LEFT(P304,2)),VALUE(MID(P304,4,2))),""))</f>
        <v/>
      </c>
      <c r="R304" s="89" t="n">
        <f aca="false">IF($A304="",0,IF(ISNUMBER(SEARCH("Float",$A304)),1,0))</f>
        <v>0</v>
      </c>
      <c r="S304" s="43" t="str">
        <f aca="false">IF($A304="","",TRIM(MID($A304,LEN(O304)+2,LEN($A304)-LEN(O304)-LEN(P304)-1)))</f>
        <v/>
      </c>
      <c r="T304" s="92" t="str">
        <f aca="false">IF(OR($A304="",R304=1),"",IFERROR(IF(ISNUMBER(FIND("/",S304)),IF(ISNUMBER(FIND(" ",S304)),VALUE(LEFT(S304,FIND(" ",S304)-1))+VALUE(MID(S304,FIND(" ",S304)+1,FIND("/",S304)-FIND(" ",S304)-1))/VALUE(MID(S304,FIND("/",S304)+1,9)),VALUE(LEFT(S304,FIND("/",S304)-1))/VALUE(MID(S304,FIND("/",S304)+1,9))),VALUE(S304)),""))</f>
        <v/>
      </c>
      <c r="U304" s="43" t="str">
        <f aca="false">IF(OR($A304="",NOT(ISNUMBER(Q304))),"",TEXT(Q304,"yyyymmdd")&amp;"|"&amp;IF(R304=1,"F",TEXT(T304,"0.000")))</f>
        <v/>
      </c>
      <c r="V304" s="43" t="str">
        <f aca="false">IF(U304="","",O304&amp;"|"&amp;U304)</f>
        <v/>
      </c>
      <c r="W304" s="43" t="str">
        <f aca="false">IF($A304="","",IFERROR(IF(VLOOKUP(O304,매핑!$A$4:$E$92,3,0)="","미분류",VLOOKUP(O304,매핑!$A$4:$E$92,3,0)),"미분류"))</f>
        <v/>
      </c>
      <c r="X304" s="89" t="n">
        <f aca="false">IF($A304="",0,IF(O304="T",1,0))</f>
        <v>0</v>
      </c>
      <c r="Y304" s="89" t="n">
        <f aca="false">IF($A304="",0,IF(AND(C304="USD",X304=0,ISNUMBER(E304),ISNUMBER(K304)),IF(K304&gt;=설정!$C$8,1,0),0))</f>
        <v>0</v>
      </c>
      <c r="Z304" s="43" t="str">
        <f aca="false">IF($A304="","",N304&amp;"|"&amp;L304)</f>
        <v/>
      </c>
      <c r="AA304" s="92" t="n">
        <f aca="false">IF(Y304=1,LN(K304),0)</f>
        <v>0</v>
      </c>
      <c r="AB304" s="93" t="n">
        <f aca="false">IF(Y304=1,E304,0)</f>
        <v>0</v>
      </c>
      <c r="AC304" s="89" t="n">
        <f aca="false">IF(Y304=1,COUNTIFS($Z$2:$Z$601,Z304,$Y$2:$Y$601,1),0)</f>
        <v>0</v>
      </c>
      <c r="AD304" s="89" t="n">
        <f aca="false">IF(Y304=1,COUNTIFS($N$2:$N$601,N304,$Y$2:$Y$601,1),0)</f>
        <v>0</v>
      </c>
      <c r="AE304" s="43" t="str">
        <f aca="false">IF(Y304&lt;&gt;1,"",IF(AND(AC304&gt;=설정!$C$7,ISNUMBER(MATCH(Z304,피어커브!$A:$A,0))),Z304,IF(AND(AD304&gt;=설정!$C$7,ISNUMBER(MATCH(N304&amp;"|전체",피어커브!$A:$A,0))),N304&amp;"|전체","전체|전체")))</f>
        <v/>
      </c>
      <c r="AF304" s="93" t="str">
        <f aca="false">IF(AE304="","",INDEX(피어커브!$K:$K,MATCH(AE304,피어커브!$A:$A,0)))</f>
        <v/>
      </c>
      <c r="AG304" s="93" t="str">
        <f aca="false">IF(AE304="","",INDEX(피어커브!$J:$J,MATCH(AE304,피어커브!$A:$A,0)))</f>
        <v/>
      </c>
      <c r="AH304" s="93" t="str">
        <f aca="false">IF(AE304="","",INDEX(피어커브!$L:$L,MATCH(AE304,피어커브!$A:$A,0)))</f>
        <v/>
      </c>
      <c r="AI304" s="93" t="str">
        <f aca="false">IF(AE304="","",AF304+AG304*AA304)</f>
        <v/>
      </c>
      <c r="AJ304" s="96" t="str">
        <f aca="false">IF(AE304="","",E304-AI304)</f>
        <v/>
      </c>
      <c r="AK304" s="95" t="str">
        <f aca="false">IF(AE304="","",IF(ISNUMBER(AH304),IF(AH304&gt;0,AJ304/AH304,""),""))</f>
        <v/>
      </c>
      <c r="AL304" s="43" t="str">
        <f aca="false">IF(AK304="","-",IF(AK304&gt;=설정!$C$6,"Cheap",IF(AK304&lt;=-설정!$C$6,"Rich","Fair")))</f>
        <v>-</v>
      </c>
      <c r="AM304" s="96" t="str">
        <f aca="false">IF(AE304="","",AJ304-AVERAGEIFS($AJ$2:$AJ$601,$B$2:$B$601,B304,$Y$2:$Y$601,1))</f>
        <v/>
      </c>
      <c r="AN304" s="93" t="n">
        <f aca="false">IF(AE304="",0,IF(K304&gt;1+설정!$C$8,AG304*(AA304-LN(K304-1)),0))</f>
        <v>0</v>
      </c>
      <c r="AO304" s="99" t="n">
        <f aca="false">IF($A304="",0,SUMIFS(보유분석!$AA$2:$AA$801,보유분석!$AB$2:$AB$801,ROW(),보유분석!$AC$2:$AC$801,1))</f>
        <v>0</v>
      </c>
      <c r="AP304" s="43" t="str">
        <f aca="false">IF($A304="","",TRIM(IF(R304=1,"FRN ","")&amp;IF(IFERROR(VLOOKUP(M304,설정!$A$15:$D$47,4,0),0)&gt;=10,IF(IFERROR(VLOOKUP(M304,설정!$A$15:$D$47,4,0),0)&lt;99,"BBB0미만 ",""),"")&amp;IF(OR(M304="",M304="NR"),"등급미입력 ","")&amp;IF(C304&lt;&gt;"USD","비USD ","")))</f>
        <v/>
      </c>
      <c r="AQ304" s="90" t="n">
        <f aca="false">IF(AND(Y304=1,AL304="Cheap"),IF(AND(ISERROR(SEARCH("FRN",AP304)),ISERROR(SEARCH("BBB0미만",AP304))),AK304+ROW()/1000000000,-999),-999)</f>
        <v>-999</v>
      </c>
      <c r="AR304" s="92" t="str">
        <f aca="false">IF(AND(ISNUMBER(D304),ISNUMBER(K304)),D304+AN304*MAX(K304-1,0)/100,"")</f>
        <v/>
      </c>
      <c r="AS304" s="93" t="str">
        <f aca="false">IF(AND(ISNUMBER(E304),ISNUMBER(K304)),IF(K304&gt;0,(E304+AN304*MAX(K304-1,0))/K304,""),"")</f>
        <v/>
      </c>
      <c r="AT304" s="90" t="n">
        <f aca="false">IFERROR(IF(AND(Y304=1,ROW()&lt;&gt;스왑분석!$C$12+1,ABS(K304-INDEX($K$2:$K$601,스왑분석!$C$12))&lt;=스왑분석!$C$5,ISERROR(SEARCH("FRN",AP304)),ISERROR(SEARCH("BBB0미만",AP304))),IF(AND(OR(스왑분석!$C$6="N",L304=INDEX($L$2:$L$601,스왑분석!$C$12)),OR(스왑분석!$C$7="N",N304=INDEX($N$2:$N$601,스왑분석!$C$12)),OR(스왑분석!$C$8="N",AO304=0),E304-INDEX($E$2:$E$601,스왑분석!$C$12)&gt;=스왑분석!$C$9),E304-INDEX($E$2:$E$601,스왑분석!$C$12)+ROW()/1000000000,-999),-999),-999)</f>
        <v>-999</v>
      </c>
      <c r="AU304" s="90" t="n">
        <f aca="false">IF(AND(Y304=1,AO304&gt;0,AL304="Rich"),-AK304+ROW()/1000000000,-999)</f>
        <v>-999</v>
      </c>
    </row>
    <row r="305" customFormat="false" ht="15" hidden="false" customHeight="false" outlineLevel="0" collapsed="false">
      <c r="A305" s="83" t="n">
        <f aca="false">IFERROR(IF(INDEX(원자료_시장!$A$1:$BZ$1000,설정!$L$6+ROW()-1,설정!$L$24)&amp;""="0","",INDEX(원자료_시장!$A$1:$BZ$1000,설정!$L$6+ROW()-1,설정!$L$24)),"")</f>
        <v>0</v>
      </c>
      <c r="B305" s="83" t="n">
        <f aca="false">IFERROR(IF(INDEX(원자료_시장!$A$1:$BZ$1000,설정!$L$6+ROW()-1,설정!$L$37)&amp;""="0","",INDEX(원자료_시장!$A$1:$BZ$1000,설정!$L$6+ROW()-1,설정!$L$37)),"")</f>
        <v>0</v>
      </c>
      <c r="C305" s="83" t="n">
        <f aca="false">IFERROR(IF(INDEX(원자료_시장!$A$1:$BZ$1000,설정!$L$6+ROW()-1,설정!$L$25)&amp;""="0","",INDEX(원자료_시장!$A$1:$BZ$1000,설정!$L$6+ROW()-1,설정!$L$25)),"")</f>
        <v>0</v>
      </c>
      <c r="D305" s="85" t="str">
        <f aca="false">IFERROR(IF(ISNUMBER(INDEX(원자료_시장!$A$1:$BZ$1000,설정!$L$6+ROW()-1,설정!$L$26)),INDEX(원자료_시장!$A$1:$BZ$1000,설정!$L$6+ROW()-1,설정!$L$26),""),"")</f>
        <v/>
      </c>
      <c r="E305" s="97" t="str">
        <f aca="false">IFERROR(IF(ISNUMBER(INDEX(원자료_시장!$A$1:$BZ$1000,설정!$L$6+ROW()-1,설정!$L$27)),INDEX(원자료_시장!$A$1:$BZ$1000,설정!$L$6+ROW()-1,설정!$L$27),""),"")</f>
        <v/>
      </c>
      <c r="F305" s="97" t="str">
        <f aca="false">IFERROR(IF(ISNUMBER(INDEX(원자료_시장!$A$1:$BZ$1000,설정!$L$6+ROW()-1,설정!$L$28)),INDEX(원자료_시장!$A$1:$BZ$1000,설정!$L$6+ROW()-1,설정!$L$28),""),"")</f>
        <v/>
      </c>
      <c r="G305" s="97" t="str">
        <f aca="false">IFERROR(IF(ISNUMBER(INDEX(원자료_시장!$A$1:$BZ$1000,설정!$L$6+ROW()-1,설정!$L$29)),INDEX(원자료_시장!$A$1:$BZ$1000,설정!$L$6+ROW()-1,설정!$L$29),""),"")</f>
        <v/>
      </c>
      <c r="H305" s="97" t="str">
        <f aca="false">IFERROR(IF(ISNUMBER(INDEX(원자료_시장!$A$1:$BZ$1000,설정!$L$6+ROW()-1,설정!$L$30)),INDEX(원자료_시장!$A$1:$BZ$1000,설정!$L$6+ROW()-1,설정!$L$30),""),"")</f>
        <v/>
      </c>
      <c r="I305" s="97" t="str">
        <f aca="false">IFERROR(IF(ISNUMBER(INDEX(원자료_시장!$A$1:$BZ$1000,설정!$L$6+ROW()-1,설정!$L$31)),INDEX(원자료_시장!$A$1:$BZ$1000,설정!$L$6+ROW()-1,설정!$L$31),""),"")</f>
        <v/>
      </c>
      <c r="J305" s="97" t="str">
        <f aca="false">IFERROR(IF(ISNUMBER(INDEX(원자료_시장!$A$1:$BZ$1000,설정!$L$6+ROW()-1,설정!$L$32)),INDEX(원자료_시장!$A$1:$BZ$1000,설정!$L$6+ROW()-1,설정!$L$32),""),"")</f>
        <v/>
      </c>
      <c r="K305" s="85" t="str">
        <f aca="false">IFERROR(IF(ISNUMBER(INDEX(원자료_시장!$A$1:$BZ$1000,설정!$L$6+ROW()-1,설정!$L$33)),INDEX(원자료_시장!$A$1:$BZ$1000,설정!$L$6+ROW()-1,설정!$L$33),""),"")</f>
        <v/>
      </c>
      <c r="L305" s="83" t="n">
        <f aca="false">IFERROR(IF(INDEX(원자료_시장!$A$1:$BZ$1000,설정!$L$6+ROW()-1,설정!$L$34)&amp;""="0","",INDEX(원자료_시장!$A$1:$BZ$1000,설정!$L$6+ROW()-1,설정!$L$34)),"")</f>
        <v>0</v>
      </c>
      <c r="M305" s="83" t="n">
        <f aca="false">IFERROR(IF(INDEX(원자료_시장!$A$1:$BZ$1000,설정!$L$6+ROW()-1,설정!$L$35)&amp;""="0","",INDEX(원자료_시장!$A$1:$BZ$1000,설정!$L$6+ROW()-1,설정!$L$35)),"")</f>
        <v>0</v>
      </c>
      <c r="N305" s="83" t="n">
        <f aca="false">IFERROR(IF(INDEX(원자료_시장!$A$1:$BZ$1000,설정!$L$6+ROW()-1,설정!$L$36)&amp;""="0","",INDEX(원자료_시장!$A$1:$BZ$1000,설정!$L$6+ROW()-1,설정!$L$36)),"")</f>
        <v>0</v>
      </c>
      <c r="O305" s="43" t="str">
        <f aca="false">IF($A305="","",UPPER(LEFT($A305,FIND(" ",$A305&amp;" ")-1)))</f>
        <v/>
      </c>
      <c r="P305" s="43" t="str">
        <f aca="false">IF($A305="","",TRIM(RIGHT(SUBSTITUTE(TRIM($A305)," ",REPT(" ",30)),30)))</f>
        <v/>
      </c>
      <c r="Q305" s="98" t="str">
        <f aca="false">IF($A305="","",IFERROR(DATE(IF(LEN(P305)=8,2000+VALUE(RIGHT(P305,2)),VALUE(RIGHT(P305,4))),VALUE(LEFT(P305,2)),VALUE(MID(P305,4,2))),""))</f>
        <v/>
      </c>
      <c r="R305" s="89" t="n">
        <f aca="false">IF($A305="",0,IF(ISNUMBER(SEARCH("Float",$A305)),1,0))</f>
        <v>0</v>
      </c>
      <c r="S305" s="43" t="str">
        <f aca="false">IF($A305="","",TRIM(MID($A305,LEN(O305)+2,LEN($A305)-LEN(O305)-LEN(P305)-1)))</f>
        <v/>
      </c>
      <c r="T305" s="92" t="str">
        <f aca="false">IF(OR($A305="",R305=1),"",IFERROR(IF(ISNUMBER(FIND("/",S305)),IF(ISNUMBER(FIND(" ",S305)),VALUE(LEFT(S305,FIND(" ",S305)-1))+VALUE(MID(S305,FIND(" ",S305)+1,FIND("/",S305)-FIND(" ",S305)-1))/VALUE(MID(S305,FIND("/",S305)+1,9)),VALUE(LEFT(S305,FIND("/",S305)-1))/VALUE(MID(S305,FIND("/",S305)+1,9))),VALUE(S305)),""))</f>
        <v/>
      </c>
      <c r="U305" s="43" t="str">
        <f aca="false">IF(OR($A305="",NOT(ISNUMBER(Q305))),"",TEXT(Q305,"yyyymmdd")&amp;"|"&amp;IF(R305=1,"F",TEXT(T305,"0.000")))</f>
        <v/>
      </c>
      <c r="V305" s="43" t="str">
        <f aca="false">IF(U305="","",O305&amp;"|"&amp;U305)</f>
        <v/>
      </c>
      <c r="W305" s="43" t="str">
        <f aca="false">IF($A305="","",IFERROR(IF(VLOOKUP(O305,매핑!$A$4:$E$92,3,0)="","미분류",VLOOKUP(O305,매핑!$A$4:$E$92,3,0)),"미분류"))</f>
        <v/>
      </c>
      <c r="X305" s="89" t="n">
        <f aca="false">IF($A305="",0,IF(O305="T",1,0))</f>
        <v>0</v>
      </c>
      <c r="Y305" s="89" t="n">
        <f aca="false">IF($A305="",0,IF(AND(C305="USD",X305=0,ISNUMBER(E305),ISNUMBER(K305)),IF(K305&gt;=설정!$C$8,1,0),0))</f>
        <v>0</v>
      </c>
      <c r="Z305" s="43" t="str">
        <f aca="false">IF($A305="","",N305&amp;"|"&amp;L305)</f>
        <v/>
      </c>
      <c r="AA305" s="92" t="n">
        <f aca="false">IF(Y305=1,LN(K305),0)</f>
        <v>0</v>
      </c>
      <c r="AB305" s="93" t="n">
        <f aca="false">IF(Y305=1,E305,0)</f>
        <v>0</v>
      </c>
      <c r="AC305" s="89" t="n">
        <f aca="false">IF(Y305=1,COUNTIFS($Z$2:$Z$601,Z305,$Y$2:$Y$601,1),0)</f>
        <v>0</v>
      </c>
      <c r="AD305" s="89" t="n">
        <f aca="false">IF(Y305=1,COUNTIFS($N$2:$N$601,N305,$Y$2:$Y$601,1),0)</f>
        <v>0</v>
      </c>
      <c r="AE305" s="43" t="str">
        <f aca="false">IF(Y305&lt;&gt;1,"",IF(AND(AC305&gt;=설정!$C$7,ISNUMBER(MATCH(Z305,피어커브!$A:$A,0))),Z305,IF(AND(AD305&gt;=설정!$C$7,ISNUMBER(MATCH(N305&amp;"|전체",피어커브!$A:$A,0))),N305&amp;"|전체","전체|전체")))</f>
        <v/>
      </c>
      <c r="AF305" s="93" t="str">
        <f aca="false">IF(AE305="","",INDEX(피어커브!$K:$K,MATCH(AE305,피어커브!$A:$A,0)))</f>
        <v/>
      </c>
      <c r="AG305" s="93" t="str">
        <f aca="false">IF(AE305="","",INDEX(피어커브!$J:$J,MATCH(AE305,피어커브!$A:$A,0)))</f>
        <v/>
      </c>
      <c r="AH305" s="93" t="str">
        <f aca="false">IF(AE305="","",INDEX(피어커브!$L:$L,MATCH(AE305,피어커브!$A:$A,0)))</f>
        <v/>
      </c>
      <c r="AI305" s="93" t="str">
        <f aca="false">IF(AE305="","",AF305+AG305*AA305)</f>
        <v/>
      </c>
      <c r="AJ305" s="96" t="str">
        <f aca="false">IF(AE305="","",E305-AI305)</f>
        <v/>
      </c>
      <c r="AK305" s="95" t="str">
        <f aca="false">IF(AE305="","",IF(ISNUMBER(AH305),IF(AH305&gt;0,AJ305/AH305,""),""))</f>
        <v/>
      </c>
      <c r="AL305" s="43" t="str">
        <f aca="false">IF(AK305="","-",IF(AK305&gt;=설정!$C$6,"Cheap",IF(AK305&lt;=-설정!$C$6,"Rich","Fair")))</f>
        <v>-</v>
      </c>
      <c r="AM305" s="96" t="str">
        <f aca="false">IF(AE305="","",AJ305-AVERAGEIFS($AJ$2:$AJ$601,$B$2:$B$601,B305,$Y$2:$Y$601,1))</f>
        <v/>
      </c>
      <c r="AN305" s="93" t="n">
        <f aca="false">IF(AE305="",0,IF(K305&gt;1+설정!$C$8,AG305*(AA305-LN(K305-1)),0))</f>
        <v>0</v>
      </c>
      <c r="AO305" s="99" t="n">
        <f aca="false">IF($A305="",0,SUMIFS(보유분석!$AA$2:$AA$801,보유분석!$AB$2:$AB$801,ROW(),보유분석!$AC$2:$AC$801,1))</f>
        <v>0</v>
      </c>
      <c r="AP305" s="43" t="str">
        <f aca="false">IF($A305="","",TRIM(IF(R305=1,"FRN ","")&amp;IF(IFERROR(VLOOKUP(M305,설정!$A$15:$D$47,4,0),0)&gt;=10,IF(IFERROR(VLOOKUP(M305,설정!$A$15:$D$47,4,0),0)&lt;99,"BBB0미만 ",""),"")&amp;IF(OR(M305="",M305="NR"),"등급미입력 ","")&amp;IF(C305&lt;&gt;"USD","비USD ","")))</f>
        <v/>
      </c>
      <c r="AQ305" s="90" t="n">
        <f aca="false">IF(AND(Y305=1,AL305="Cheap"),IF(AND(ISERROR(SEARCH("FRN",AP305)),ISERROR(SEARCH("BBB0미만",AP305))),AK305+ROW()/1000000000,-999),-999)</f>
        <v>-999</v>
      </c>
      <c r="AR305" s="92" t="str">
        <f aca="false">IF(AND(ISNUMBER(D305),ISNUMBER(K305)),D305+AN305*MAX(K305-1,0)/100,"")</f>
        <v/>
      </c>
      <c r="AS305" s="93" t="str">
        <f aca="false">IF(AND(ISNUMBER(E305),ISNUMBER(K305)),IF(K305&gt;0,(E305+AN305*MAX(K305-1,0))/K305,""),"")</f>
        <v/>
      </c>
      <c r="AT305" s="90" t="n">
        <f aca="false">IFERROR(IF(AND(Y305=1,ROW()&lt;&gt;스왑분석!$C$12+1,ABS(K305-INDEX($K$2:$K$601,스왑분석!$C$12))&lt;=스왑분석!$C$5,ISERROR(SEARCH("FRN",AP305)),ISERROR(SEARCH("BBB0미만",AP305))),IF(AND(OR(스왑분석!$C$6="N",L305=INDEX($L$2:$L$601,스왑분석!$C$12)),OR(스왑분석!$C$7="N",N305=INDEX($N$2:$N$601,스왑분석!$C$12)),OR(스왑분석!$C$8="N",AO305=0),E305-INDEX($E$2:$E$601,스왑분석!$C$12)&gt;=스왑분석!$C$9),E305-INDEX($E$2:$E$601,스왑분석!$C$12)+ROW()/1000000000,-999),-999),-999)</f>
        <v>-999</v>
      </c>
      <c r="AU305" s="90" t="n">
        <f aca="false">IF(AND(Y305=1,AO305&gt;0,AL305="Rich"),-AK305+ROW()/1000000000,-999)</f>
        <v>-999</v>
      </c>
    </row>
    <row r="306" customFormat="false" ht="15" hidden="false" customHeight="false" outlineLevel="0" collapsed="false">
      <c r="A306" s="83" t="n">
        <f aca="false">IFERROR(IF(INDEX(원자료_시장!$A$1:$BZ$1000,설정!$L$6+ROW()-1,설정!$L$24)&amp;""="0","",INDEX(원자료_시장!$A$1:$BZ$1000,설정!$L$6+ROW()-1,설정!$L$24)),"")</f>
        <v>0</v>
      </c>
      <c r="B306" s="83" t="n">
        <f aca="false">IFERROR(IF(INDEX(원자료_시장!$A$1:$BZ$1000,설정!$L$6+ROW()-1,설정!$L$37)&amp;""="0","",INDEX(원자료_시장!$A$1:$BZ$1000,설정!$L$6+ROW()-1,설정!$L$37)),"")</f>
        <v>0</v>
      </c>
      <c r="C306" s="83" t="n">
        <f aca="false">IFERROR(IF(INDEX(원자료_시장!$A$1:$BZ$1000,설정!$L$6+ROW()-1,설정!$L$25)&amp;""="0","",INDEX(원자료_시장!$A$1:$BZ$1000,설정!$L$6+ROW()-1,설정!$L$25)),"")</f>
        <v>0</v>
      </c>
      <c r="D306" s="85" t="str">
        <f aca="false">IFERROR(IF(ISNUMBER(INDEX(원자료_시장!$A$1:$BZ$1000,설정!$L$6+ROW()-1,설정!$L$26)),INDEX(원자료_시장!$A$1:$BZ$1000,설정!$L$6+ROW()-1,설정!$L$26),""),"")</f>
        <v/>
      </c>
      <c r="E306" s="97" t="str">
        <f aca="false">IFERROR(IF(ISNUMBER(INDEX(원자료_시장!$A$1:$BZ$1000,설정!$L$6+ROW()-1,설정!$L$27)),INDEX(원자료_시장!$A$1:$BZ$1000,설정!$L$6+ROW()-1,설정!$L$27),""),"")</f>
        <v/>
      </c>
      <c r="F306" s="97" t="str">
        <f aca="false">IFERROR(IF(ISNUMBER(INDEX(원자료_시장!$A$1:$BZ$1000,설정!$L$6+ROW()-1,설정!$L$28)),INDEX(원자료_시장!$A$1:$BZ$1000,설정!$L$6+ROW()-1,설정!$L$28),""),"")</f>
        <v/>
      </c>
      <c r="G306" s="97" t="str">
        <f aca="false">IFERROR(IF(ISNUMBER(INDEX(원자료_시장!$A$1:$BZ$1000,설정!$L$6+ROW()-1,설정!$L$29)),INDEX(원자료_시장!$A$1:$BZ$1000,설정!$L$6+ROW()-1,설정!$L$29),""),"")</f>
        <v/>
      </c>
      <c r="H306" s="97" t="str">
        <f aca="false">IFERROR(IF(ISNUMBER(INDEX(원자료_시장!$A$1:$BZ$1000,설정!$L$6+ROW()-1,설정!$L$30)),INDEX(원자료_시장!$A$1:$BZ$1000,설정!$L$6+ROW()-1,설정!$L$30),""),"")</f>
        <v/>
      </c>
      <c r="I306" s="97" t="str">
        <f aca="false">IFERROR(IF(ISNUMBER(INDEX(원자료_시장!$A$1:$BZ$1000,설정!$L$6+ROW()-1,설정!$L$31)),INDEX(원자료_시장!$A$1:$BZ$1000,설정!$L$6+ROW()-1,설정!$L$31),""),"")</f>
        <v/>
      </c>
      <c r="J306" s="97" t="str">
        <f aca="false">IFERROR(IF(ISNUMBER(INDEX(원자료_시장!$A$1:$BZ$1000,설정!$L$6+ROW()-1,설정!$L$32)),INDEX(원자료_시장!$A$1:$BZ$1000,설정!$L$6+ROW()-1,설정!$L$32),""),"")</f>
        <v/>
      </c>
      <c r="K306" s="85" t="str">
        <f aca="false">IFERROR(IF(ISNUMBER(INDEX(원자료_시장!$A$1:$BZ$1000,설정!$L$6+ROW()-1,설정!$L$33)),INDEX(원자료_시장!$A$1:$BZ$1000,설정!$L$6+ROW()-1,설정!$L$33),""),"")</f>
        <v/>
      </c>
      <c r="L306" s="83" t="n">
        <f aca="false">IFERROR(IF(INDEX(원자료_시장!$A$1:$BZ$1000,설정!$L$6+ROW()-1,설정!$L$34)&amp;""="0","",INDEX(원자료_시장!$A$1:$BZ$1000,설정!$L$6+ROW()-1,설정!$L$34)),"")</f>
        <v>0</v>
      </c>
      <c r="M306" s="83" t="n">
        <f aca="false">IFERROR(IF(INDEX(원자료_시장!$A$1:$BZ$1000,설정!$L$6+ROW()-1,설정!$L$35)&amp;""="0","",INDEX(원자료_시장!$A$1:$BZ$1000,설정!$L$6+ROW()-1,설정!$L$35)),"")</f>
        <v>0</v>
      </c>
      <c r="N306" s="83" t="n">
        <f aca="false">IFERROR(IF(INDEX(원자료_시장!$A$1:$BZ$1000,설정!$L$6+ROW()-1,설정!$L$36)&amp;""="0","",INDEX(원자료_시장!$A$1:$BZ$1000,설정!$L$6+ROW()-1,설정!$L$36)),"")</f>
        <v>0</v>
      </c>
      <c r="O306" s="43" t="str">
        <f aca="false">IF($A306="","",UPPER(LEFT($A306,FIND(" ",$A306&amp;" ")-1)))</f>
        <v/>
      </c>
      <c r="P306" s="43" t="str">
        <f aca="false">IF($A306="","",TRIM(RIGHT(SUBSTITUTE(TRIM($A306)," ",REPT(" ",30)),30)))</f>
        <v/>
      </c>
      <c r="Q306" s="98" t="str">
        <f aca="false">IF($A306="","",IFERROR(DATE(IF(LEN(P306)=8,2000+VALUE(RIGHT(P306,2)),VALUE(RIGHT(P306,4))),VALUE(LEFT(P306,2)),VALUE(MID(P306,4,2))),""))</f>
        <v/>
      </c>
      <c r="R306" s="89" t="n">
        <f aca="false">IF($A306="",0,IF(ISNUMBER(SEARCH("Float",$A306)),1,0))</f>
        <v>0</v>
      </c>
      <c r="S306" s="43" t="str">
        <f aca="false">IF($A306="","",TRIM(MID($A306,LEN(O306)+2,LEN($A306)-LEN(O306)-LEN(P306)-1)))</f>
        <v/>
      </c>
      <c r="T306" s="92" t="str">
        <f aca="false">IF(OR($A306="",R306=1),"",IFERROR(IF(ISNUMBER(FIND("/",S306)),IF(ISNUMBER(FIND(" ",S306)),VALUE(LEFT(S306,FIND(" ",S306)-1))+VALUE(MID(S306,FIND(" ",S306)+1,FIND("/",S306)-FIND(" ",S306)-1))/VALUE(MID(S306,FIND("/",S306)+1,9)),VALUE(LEFT(S306,FIND("/",S306)-1))/VALUE(MID(S306,FIND("/",S306)+1,9))),VALUE(S306)),""))</f>
        <v/>
      </c>
      <c r="U306" s="43" t="str">
        <f aca="false">IF(OR($A306="",NOT(ISNUMBER(Q306))),"",TEXT(Q306,"yyyymmdd")&amp;"|"&amp;IF(R306=1,"F",TEXT(T306,"0.000")))</f>
        <v/>
      </c>
      <c r="V306" s="43" t="str">
        <f aca="false">IF(U306="","",O306&amp;"|"&amp;U306)</f>
        <v/>
      </c>
      <c r="W306" s="43" t="str">
        <f aca="false">IF($A306="","",IFERROR(IF(VLOOKUP(O306,매핑!$A$4:$E$92,3,0)="","미분류",VLOOKUP(O306,매핑!$A$4:$E$92,3,0)),"미분류"))</f>
        <v/>
      </c>
      <c r="X306" s="89" t="n">
        <f aca="false">IF($A306="",0,IF(O306="T",1,0))</f>
        <v>0</v>
      </c>
      <c r="Y306" s="89" t="n">
        <f aca="false">IF($A306="",0,IF(AND(C306="USD",X306=0,ISNUMBER(E306),ISNUMBER(K306)),IF(K306&gt;=설정!$C$8,1,0),0))</f>
        <v>0</v>
      </c>
      <c r="Z306" s="43" t="str">
        <f aca="false">IF($A306="","",N306&amp;"|"&amp;L306)</f>
        <v/>
      </c>
      <c r="AA306" s="92" t="n">
        <f aca="false">IF(Y306=1,LN(K306),0)</f>
        <v>0</v>
      </c>
      <c r="AB306" s="93" t="n">
        <f aca="false">IF(Y306=1,E306,0)</f>
        <v>0</v>
      </c>
      <c r="AC306" s="89" t="n">
        <f aca="false">IF(Y306=1,COUNTIFS($Z$2:$Z$601,Z306,$Y$2:$Y$601,1),0)</f>
        <v>0</v>
      </c>
      <c r="AD306" s="89" t="n">
        <f aca="false">IF(Y306=1,COUNTIFS($N$2:$N$601,N306,$Y$2:$Y$601,1),0)</f>
        <v>0</v>
      </c>
      <c r="AE306" s="43" t="str">
        <f aca="false">IF(Y306&lt;&gt;1,"",IF(AND(AC306&gt;=설정!$C$7,ISNUMBER(MATCH(Z306,피어커브!$A:$A,0))),Z306,IF(AND(AD306&gt;=설정!$C$7,ISNUMBER(MATCH(N306&amp;"|전체",피어커브!$A:$A,0))),N306&amp;"|전체","전체|전체")))</f>
        <v/>
      </c>
      <c r="AF306" s="93" t="str">
        <f aca="false">IF(AE306="","",INDEX(피어커브!$K:$K,MATCH(AE306,피어커브!$A:$A,0)))</f>
        <v/>
      </c>
      <c r="AG306" s="93" t="str">
        <f aca="false">IF(AE306="","",INDEX(피어커브!$J:$J,MATCH(AE306,피어커브!$A:$A,0)))</f>
        <v/>
      </c>
      <c r="AH306" s="93" t="str">
        <f aca="false">IF(AE306="","",INDEX(피어커브!$L:$L,MATCH(AE306,피어커브!$A:$A,0)))</f>
        <v/>
      </c>
      <c r="AI306" s="93" t="str">
        <f aca="false">IF(AE306="","",AF306+AG306*AA306)</f>
        <v/>
      </c>
      <c r="AJ306" s="96" t="str">
        <f aca="false">IF(AE306="","",E306-AI306)</f>
        <v/>
      </c>
      <c r="AK306" s="95" t="str">
        <f aca="false">IF(AE306="","",IF(ISNUMBER(AH306),IF(AH306&gt;0,AJ306/AH306,""),""))</f>
        <v/>
      </c>
      <c r="AL306" s="43" t="str">
        <f aca="false">IF(AK306="","-",IF(AK306&gt;=설정!$C$6,"Cheap",IF(AK306&lt;=-설정!$C$6,"Rich","Fair")))</f>
        <v>-</v>
      </c>
      <c r="AM306" s="96" t="str">
        <f aca="false">IF(AE306="","",AJ306-AVERAGEIFS($AJ$2:$AJ$601,$B$2:$B$601,B306,$Y$2:$Y$601,1))</f>
        <v/>
      </c>
      <c r="AN306" s="93" t="n">
        <f aca="false">IF(AE306="",0,IF(K306&gt;1+설정!$C$8,AG306*(AA306-LN(K306-1)),0))</f>
        <v>0</v>
      </c>
      <c r="AO306" s="99" t="n">
        <f aca="false">IF($A306="",0,SUMIFS(보유분석!$AA$2:$AA$801,보유분석!$AB$2:$AB$801,ROW(),보유분석!$AC$2:$AC$801,1))</f>
        <v>0</v>
      </c>
      <c r="AP306" s="43" t="str">
        <f aca="false">IF($A306="","",TRIM(IF(R306=1,"FRN ","")&amp;IF(IFERROR(VLOOKUP(M306,설정!$A$15:$D$47,4,0),0)&gt;=10,IF(IFERROR(VLOOKUP(M306,설정!$A$15:$D$47,4,0),0)&lt;99,"BBB0미만 ",""),"")&amp;IF(OR(M306="",M306="NR"),"등급미입력 ","")&amp;IF(C306&lt;&gt;"USD","비USD ","")))</f>
        <v/>
      </c>
      <c r="AQ306" s="90" t="n">
        <f aca="false">IF(AND(Y306=1,AL306="Cheap"),IF(AND(ISERROR(SEARCH("FRN",AP306)),ISERROR(SEARCH("BBB0미만",AP306))),AK306+ROW()/1000000000,-999),-999)</f>
        <v>-999</v>
      </c>
      <c r="AR306" s="92" t="str">
        <f aca="false">IF(AND(ISNUMBER(D306),ISNUMBER(K306)),D306+AN306*MAX(K306-1,0)/100,"")</f>
        <v/>
      </c>
      <c r="AS306" s="93" t="str">
        <f aca="false">IF(AND(ISNUMBER(E306),ISNUMBER(K306)),IF(K306&gt;0,(E306+AN306*MAX(K306-1,0))/K306,""),"")</f>
        <v/>
      </c>
      <c r="AT306" s="90" t="n">
        <f aca="false">IFERROR(IF(AND(Y306=1,ROW()&lt;&gt;스왑분석!$C$12+1,ABS(K306-INDEX($K$2:$K$601,스왑분석!$C$12))&lt;=스왑분석!$C$5,ISERROR(SEARCH("FRN",AP306)),ISERROR(SEARCH("BBB0미만",AP306))),IF(AND(OR(스왑분석!$C$6="N",L306=INDEX($L$2:$L$601,스왑분석!$C$12)),OR(스왑분석!$C$7="N",N306=INDEX($N$2:$N$601,스왑분석!$C$12)),OR(스왑분석!$C$8="N",AO306=0),E306-INDEX($E$2:$E$601,스왑분석!$C$12)&gt;=스왑분석!$C$9),E306-INDEX($E$2:$E$601,스왑분석!$C$12)+ROW()/1000000000,-999),-999),-999)</f>
        <v>-999</v>
      </c>
      <c r="AU306" s="90" t="n">
        <f aca="false">IF(AND(Y306=1,AO306&gt;0,AL306="Rich"),-AK306+ROW()/1000000000,-999)</f>
        <v>-999</v>
      </c>
    </row>
    <row r="307" customFormat="false" ht="15" hidden="false" customHeight="false" outlineLevel="0" collapsed="false">
      <c r="A307" s="83" t="n">
        <f aca="false">IFERROR(IF(INDEX(원자료_시장!$A$1:$BZ$1000,설정!$L$6+ROW()-1,설정!$L$24)&amp;""="0","",INDEX(원자료_시장!$A$1:$BZ$1000,설정!$L$6+ROW()-1,설정!$L$24)),"")</f>
        <v>0</v>
      </c>
      <c r="B307" s="83" t="n">
        <f aca="false">IFERROR(IF(INDEX(원자료_시장!$A$1:$BZ$1000,설정!$L$6+ROW()-1,설정!$L$37)&amp;""="0","",INDEX(원자료_시장!$A$1:$BZ$1000,설정!$L$6+ROW()-1,설정!$L$37)),"")</f>
        <v>0</v>
      </c>
      <c r="C307" s="83" t="n">
        <f aca="false">IFERROR(IF(INDEX(원자료_시장!$A$1:$BZ$1000,설정!$L$6+ROW()-1,설정!$L$25)&amp;""="0","",INDEX(원자료_시장!$A$1:$BZ$1000,설정!$L$6+ROW()-1,설정!$L$25)),"")</f>
        <v>0</v>
      </c>
      <c r="D307" s="85" t="str">
        <f aca="false">IFERROR(IF(ISNUMBER(INDEX(원자료_시장!$A$1:$BZ$1000,설정!$L$6+ROW()-1,설정!$L$26)),INDEX(원자료_시장!$A$1:$BZ$1000,설정!$L$6+ROW()-1,설정!$L$26),""),"")</f>
        <v/>
      </c>
      <c r="E307" s="97" t="str">
        <f aca="false">IFERROR(IF(ISNUMBER(INDEX(원자료_시장!$A$1:$BZ$1000,설정!$L$6+ROW()-1,설정!$L$27)),INDEX(원자료_시장!$A$1:$BZ$1000,설정!$L$6+ROW()-1,설정!$L$27),""),"")</f>
        <v/>
      </c>
      <c r="F307" s="97" t="str">
        <f aca="false">IFERROR(IF(ISNUMBER(INDEX(원자료_시장!$A$1:$BZ$1000,설정!$L$6+ROW()-1,설정!$L$28)),INDEX(원자료_시장!$A$1:$BZ$1000,설정!$L$6+ROW()-1,설정!$L$28),""),"")</f>
        <v/>
      </c>
      <c r="G307" s="97" t="str">
        <f aca="false">IFERROR(IF(ISNUMBER(INDEX(원자료_시장!$A$1:$BZ$1000,설정!$L$6+ROW()-1,설정!$L$29)),INDEX(원자료_시장!$A$1:$BZ$1000,설정!$L$6+ROW()-1,설정!$L$29),""),"")</f>
        <v/>
      </c>
      <c r="H307" s="97" t="str">
        <f aca="false">IFERROR(IF(ISNUMBER(INDEX(원자료_시장!$A$1:$BZ$1000,설정!$L$6+ROW()-1,설정!$L$30)),INDEX(원자료_시장!$A$1:$BZ$1000,설정!$L$6+ROW()-1,설정!$L$30),""),"")</f>
        <v/>
      </c>
      <c r="I307" s="97" t="str">
        <f aca="false">IFERROR(IF(ISNUMBER(INDEX(원자료_시장!$A$1:$BZ$1000,설정!$L$6+ROW()-1,설정!$L$31)),INDEX(원자료_시장!$A$1:$BZ$1000,설정!$L$6+ROW()-1,설정!$L$31),""),"")</f>
        <v/>
      </c>
      <c r="J307" s="97" t="str">
        <f aca="false">IFERROR(IF(ISNUMBER(INDEX(원자료_시장!$A$1:$BZ$1000,설정!$L$6+ROW()-1,설정!$L$32)),INDEX(원자료_시장!$A$1:$BZ$1000,설정!$L$6+ROW()-1,설정!$L$32),""),"")</f>
        <v/>
      </c>
      <c r="K307" s="85" t="str">
        <f aca="false">IFERROR(IF(ISNUMBER(INDEX(원자료_시장!$A$1:$BZ$1000,설정!$L$6+ROW()-1,설정!$L$33)),INDEX(원자료_시장!$A$1:$BZ$1000,설정!$L$6+ROW()-1,설정!$L$33),""),"")</f>
        <v/>
      </c>
      <c r="L307" s="83" t="n">
        <f aca="false">IFERROR(IF(INDEX(원자료_시장!$A$1:$BZ$1000,설정!$L$6+ROW()-1,설정!$L$34)&amp;""="0","",INDEX(원자료_시장!$A$1:$BZ$1000,설정!$L$6+ROW()-1,설정!$L$34)),"")</f>
        <v>0</v>
      </c>
      <c r="M307" s="83" t="n">
        <f aca="false">IFERROR(IF(INDEX(원자료_시장!$A$1:$BZ$1000,설정!$L$6+ROW()-1,설정!$L$35)&amp;""="0","",INDEX(원자료_시장!$A$1:$BZ$1000,설정!$L$6+ROW()-1,설정!$L$35)),"")</f>
        <v>0</v>
      </c>
      <c r="N307" s="83" t="n">
        <f aca="false">IFERROR(IF(INDEX(원자료_시장!$A$1:$BZ$1000,설정!$L$6+ROW()-1,설정!$L$36)&amp;""="0","",INDEX(원자료_시장!$A$1:$BZ$1000,설정!$L$6+ROW()-1,설정!$L$36)),"")</f>
        <v>0</v>
      </c>
      <c r="O307" s="43" t="str">
        <f aca="false">IF($A307="","",UPPER(LEFT($A307,FIND(" ",$A307&amp;" ")-1)))</f>
        <v/>
      </c>
      <c r="P307" s="43" t="str">
        <f aca="false">IF($A307="","",TRIM(RIGHT(SUBSTITUTE(TRIM($A307)," ",REPT(" ",30)),30)))</f>
        <v/>
      </c>
      <c r="Q307" s="98" t="str">
        <f aca="false">IF($A307="","",IFERROR(DATE(IF(LEN(P307)=8,2000+VALUE(RIGHT(P307,2)),VALUE(RIGHT(P307,4))),VALUE(LEFT(P307,2)),VALUE(MID(P307,4,2))),""))</f>
        <v/>
      </c>
      <c r="R307" s="89" t="n">
        <f aca="false">IF($A307="",0,IF(ISNUMBER(SEARCH("Float",$A307)),1,0))</f>
        <v>0</v>
      </c>
      <c r="S307" s="43" t="str">
        <f aca="false">IF($A307="","",TRIM(MID($A307,LEN(O307)+2,LEN($A307)-LEN(O307)-LEN(P307)-1)))</f>
        <v/>
      </c>
      <c r="T307" s="92" t="str">
        <f aca="false">IF(OR($A307="",R307=1),"",IFERROR(IF(ISNUMBER(FIND("/",S307)),IF(ISNUMBER(FIND(" ",S307)),VALUE(LEFT(S307,FIND(" ",S307)-1))+VALUE(MID(S307,FIND(" ",S307)+1,FIND("/",S307)-FIND(" ",S307)-1))/VALUE(MID(S307,FIND("/",S307)+1,9)),VALUE(LEFT(S307,FIND("/",S307)-1))/VALUE(MID(S307,FIND("/",S307)+1,9))),VALUE(S307)),""))</f>
        <v/>
      </c>
      <c r="U307" s="43" t="str">
        <f aca="false">IF(OR($A307="",NOT(ISNUMBER(Q307))),"",TEXT(Q307,"yyyymmdd")&amp;"|"&amp;IF(R307=1,"F",TEXT(T307,"0.000")))</f>
        <v/>
      </c>
      <c r="V307" s="43" t="str">
        <f aca="false">IF(U307="","",O307&amp;"|"&amp;U307)</f>
        <v/>
      </c>
      <c r="W307" s="43" t="str">
        <f aca="false">IF($A307="","",IFERROR(IF(VLOOKUP(O307,매핑!$A$4:$E$92,3,0)="","미분류",VLOOKUP(O307,매핑!$A$4:$E$92,3,0)),"미분류"))</f>
        <v/>
      </c>
      <c r="X307" s="89" t="n">
        <f aca="false">IF($A307="",0,IF(O307="T",1,0))</f>
        <v>0</v>
      </c>
      <c r="Y307" s="89" t="n">
        <f aca="false">IF($A307="",0,IF(AND(C307="USD",X307=0,ISNUMBER(E307),ISNUMBER(K307)),IF(K307&gt;=설정!$C$8,1,0),0))</f>
        <v>0</v>
      </c>
      <c r="Z307" s="43" t="str">
        <f aca="false">IF($A307="","",N307&amp;"|"&amp;L307)</f>
        <v/>
      </c>
      <c r="AA307" s="92" t="n">
        <f aca="false">IF(Y307=1,LN(K307),0)</f>
        <v>0</v>
      </c>
      <c r="AB307" s="93" t="n">
        <f aca="false">IF(Y307=1,E307,0)</f>
        <v>0</v>
      </c>
      <c r="AC307" s="89" t="n">
        <f aca="false">IF(Y307=1,COUNTIFS($Z$2:$Z$601,Z307,$Y$2:$Y$601,1),0)</f>
        <v>0</v>
      </c>
      <c r="AD307" s="89" t="n">
        <f aca="false">IF(Y307=1,COUNTIFS($N$2:$N$601,N307,$Y$2:$Y$601,1),0)</f>
        <v>0</v>
      </c>
      <c r="AE307" s="43" t="str">
        <f aca="false">IF(Y307&lt;&gt;1,"",IF(AND(AC307&gt;=설정!$C$7,ISNUMBER(MATCH(Z307,피어커브!$A:$A,0))),Z307,IF(AND(AD307&gt;=설정!$C$7,ISNUMBER(MATCH(N307&amp;"|전체",피어커브!$A:$A,0))),N307&amp;"|전체","전체|전체")))</f>
        <v/>
      </c>
      <c r="AF307" s="93" t="str">
        <f aca="false">IF(AE307="","",INDEX(피어커브!$K:$K,MATCH(AE307,피어커브!$A:$A,0)))</f>
        <v/>
      </c>
      <c r="AG307" s="93" t="str">
        <f aca="false">IF(AE307="","",INDEX(피어커브!$J:$J,MATCH(AE307,피어커브!$A:$A,0)))</f>
        <v/>
      </c>
      <c r="AH307" s="93" t="str">
        <f aca="false">IF(AE307="","",INDEX(피어커브!$L:$L,MATCH(AE307,피어커브!$A:$A,0)))</f>
        <v/>
      </c>
      <c r="AI307" s="93" t="str">
        <f aca="false">IF(AE307="","",AF307+AG307*AA307)</f>
        <v/>
      </c>
      <c r="AJ307" s="96" t="str">
        <f aca="false">IF(AE307="","",E307-AI307)</f>
        <v/>
      </c>
      <c r="AK307" s="95" t="str">
        <f aca="false">IF(AE307="","",IF(ISNUMBER(AH307),IF(AH307&gt;0,AJ307/AH307,""),""))</f>
        <v/>
      </c>
      <c r="AL307" s="43" t="str">
        <f aca="false">IF(AK307="","-",IF(AK307&gt;=설정!$C$6,"Cheap",IF(AK307&lt;=-설정!$C$6,"Rich","Fair")))</f>
        <v>-</v>
      </c>
      <c r="AM307" s="96" t="str">
        <f aca="false">IF(AE307="","",AJ307-AVERAGEIFS($AJ$2:$AJ$601,$B$2:$B$601,B307,$Y$2:$Y$601,1))</f>
        <v/>
      </c>
      <c r="AN307" s="93" t="n">
        <f aca="false">IF(AE307="",0,IF(K307&gt;1+설정!$C$8,AG307*(AA307-LN(K307-1)),0))</f>
        <v>0</v>
      </c>
      <c r="AO307" s="99" t="n">
        <f aca="false">IF($A307="",0,SUMIFS(보유분석!$AA$2:$AA$801,보유분석!$AB$2:$AB$801,ROW(),보유분석!$AC$2:$AC$801,1))</f>
        <v>0</v>
      </c>
      <c r="AP307" s="43" t="str">
        <f aca="false">IF($A307="","",TRIM(IF(R307=1,"FRN ","")&amp;IF(IFERROR(VLOOKUP(M307,설정!$A$15:$D$47,4,0),0)&gt;=10,IF(IFERROR(VLOOKUP(M307,설정!$A$15:$D$47,4,0),0)&lt;99,"BBB0미만 ",""),"")&amp;IF(OR(M307="",M307="NR"),"등급미입력 ","")&amp;IF(C307&lt;&gt;"USD","비USD ","")))</f>
        <v/>
      </c>
      <c r="AQ307" s="90" t="n">
        <f aca="false">IF(AND(Y307=1,AL307="Cheap"),IF(AND(ISERROR(SEARCH("FRN",AP307)),ISERROR(SEARCH("BBB0미만",AP307))),AK307+ROW()/1000000000,-999),-999)</f>
        <v>-999</v>
      </c>
      <c r="AR307" s="92" t="str">
        <f aca="false">IF(AND(ISNUMBER(D307),ISNUMBER(K307)),D307+AN307*MAX(K307-1,0)/100,"")</f>
        <v/>
      </c>
      <c r="AS307" s="93" t="str">
        <f aca="false">IF(AND(ISNUMBER(E307),ISNUMBER(K307)),IF(K307&gt;0,(E307+AN307*MAX(K307-1,0))/K307,""),"")</f>
        <v/>
      </c>
      <c r="AT307" s="90" t="n">
        <f aca="false">IFERROR(IF(AND(Y307=1,ROW()&lt;&gt;스왑분석!$C$12+1,ABS(K307-INDEX($K$2:$K$601,스왑분석!$C$12))&lt;=스왑분석!$C$5,ISERROR(SEARCH("FRN",AP307)),ISERROR(SEARCH("BBB0미만",AP307))),IF(AND(OR(스왑분석!$C$6="N",L307=INDEX($L$2:$L$601,스왑분석!$C$12)),OR(스왑분석!$C$7="N",N307=INDEX($N$2:$N$601,스왑분석!$C$12)),OR(스왑분석!$C$8="N",AO307=0),E307-INDEX($E$2:$E$601,스왑분석!$C$12)&gt;=스왑분석!$C$9),E307-INDEX($E$2:$E$601,스왑분석!$C$12)+ROW()/1000000000,-999),-999),-999)</f>
        <v>-999</v>
      </c>
      <c r="AU307" s="90" t="n">
        <f aca="false">IF(AND(Y307=1,AO307&gt;0,AL307="Rich"),-AK307+ROW()/1000000000,-999)</f>
        <v>-999</v>
      </c>
    </row>
    <row r="308" customFormat="false" ht="15" hidden="false" customHeight="false" outlineLevel="0" collapsed="false">
      <c r="A308" s="83" t="n">
        <f aca="false">IFERROR(IF(INDEX(원자료_시장!$A$1:$BZ$1000,설정!$L$6+ROW()-1,설정!$L$24)&amp;""="0","",INDEX(원자료_시장!$A$1:$BZ$1000,설정!$L$6+ROW()-1,설정!$L$24)),"")</f>
        <v>0</v>
      </c>
      <c r="B308" s="83" t="n">
        <f aca="false">IFERROR(IF(INDEX(원자료_시장!$A$1:$BZ$1000,설정!$L$6+ROW()-1,설정!$L$37)&amp;""="0","",INDEX(원자료_시장!$A$1:$BZ$1000,설정!$L$6+ROW()-1,설정!$L$37)),"")</f>
        <v>0</v>
      </c>
      <c r="C308" s="83" t="n">
        <f aca="false">IFERROR(IF(INDEX(원자료_시장!$A$1:$BZ$1000,설정!$L$6+ROW()-1,설정!$L$25)&amp;""="0","",INDEX(원자료_시장!$A$1:$BZ$1000,설정!$L$6+ROW()-1,설정!$L$25)),"")</f>
        <v>0</v>
      </c>
      <c r="D308" s="85" t="str">
        <f aca="false">IFERROR(IF(ISNUMBER(INDEX(원자료_시장!$A$1:$BZ$1000,설정!$L$6+ROW()-1,설정!$L$26)),INDEX(원자료_시장!$A$1:$BZ$1000,설정!$L$6+ROW()-1,설정!$L$26),""),"")</f>
        <v/>
      </c>
      <c r="E308" s="97" t="str">
        <f aca="false">IFERROR(IF(ISNUMBER(INDEX(원자료_시장!$A$1:$BZ$1000,설정!$L$6+ROW()-1,설정!$L$27)),INDEX(원자료_시장!$A$1:$BZ$1000,설정!$L$6+ROW()-1,설정!$L$27),""),"")</f>
        <v/>
      </c>
      <c r="F308" s="97" t="str">
        <f aca="false">IFERROR(IF(ISNUMBER(INDEX(원자료_시장!$A$1:$BZ$1000,설정!$L$6+ROW()-1,설정!$L$28)),INDEX(원자료_시장!$A$1:$BZ$1000,설정!$L$6+ROW()-1,설정!$L$28),""),"")</f>
        <v/>
      </c>
      <c r="G308" s="97" t="str">
        <f aca="false">IFERROR(IF(ISNUMBER(INDEX(원자료_시장!$A$1:$BZ$1000,설정!$L$6+ROW()-1,설정!$L$29)),INDEX(원자료_시장!$A$1:$BZ$1000,설정!$L$6+ROW()-1,설정!$L$29),""),"")</f>
        <v/>
      </c>
      <c r="H308" s="97" t="str">
        <f aca="false">IFERROR(IF(ISNUMBER(INDEX(원자료_시장!$A$1:$BZ$1000,설정!$L$6+ROW()-1,설정!$L$30)),INDEX(원자료_시장!$A$1:$BZ$1000,설정!$L$6+ROW()-1,설정!$L$30),""),"")</f>
        <v/>
      </c>
      <c r="I308" s="97" t="str">
        <f aca="false">IFERROR(IF(ISNUMBER(INDEX(원자료_시장!$A$1:$BZ$1000,설정!$L$6+ROW()-1,설정!$L$31)),INDEX(원자료_시장!$A$1:$BZ$1000,설정!$L$6+ROW()-1,설정!$L$31),""),"")</f>
        <v/>
      </c>
      <c r="J308" s="97" t="str">
        <f aca="false">IFERROR(IF(ISNUMBER(INDEX(원자료_시장!$A$1:$BZ$1000,설정!$L$6+ROW()-1,설정!$L$32)),INDEX(원자료_시장!$A$1:$BZ$1000,설정!$L$6+ROW()-1,설정!$L$32),""),"")</f>
        <v/>
      </c>
      <c r="K308" s="85" t="str">
        <f aca="false">IFERROR(IF(ISNUMBER(INDEX(원자료_시장!$A$1:$BZ$1000,설정!$L$6+ROW()-1,설정!$L$33)),INDEX(원자료_시장!$A$1:$BZ$1000,설정!$L$6+ROW()-1,설정!$L$33),""),"")</f>
        <v/>
      </c>
      <c r="L308" s="83" t="n">
        <f aca="false">IFERROR(IF(INDEX(원자료_시장!$A$1:$BZ$1000,설정!$L$6+ROW()-1,설정!$L$34)&amp;""="0","",INDEX(원자료_시장!$A$1:$BZ$1000,설정!$L$6+ROW()-1,설정!$L$34)),"")</f>
        <v>0</v>
      </c>
      <c r="M308" s="83" t="n">
        <f aca="false">IFERROR(IF(INDEX(원자료_시장!$A$1:$BZ$1000,설정!$L$6+ROW()-1,설정!$L$35)&amp;""="0","",INDEX(원자료_시장!$A$1:$BZ$1000,설정!$L$6+ROW()-1,설정!$L$35)),"")</f>
        <v>0</v>
      </c>
      <c r="N308" s="83" t="n">
        <f aca="false">IFERROR(IF(INDEX(원자료_시장!$A$1:$BZ$1000,설정!$L$6+ROW()-1,설정!$L$36)&amp;""="0","",INDEX(원자료_시장!$A$1:$BZ$1000,설정!$L$6+ROW()-1,설정!$L$36)),"")</f>
        <v>0</v>
      </c>
      <c r="O308" s="43" t="str">
        <f aca="false">IF($A308="","",UPPER(LEFT($A308,FIND(" ",$A308&amp;" ")-1)))</f>
        <v/>
      </c>
      <c r="P308" s="43" t="str">
        <f aca="false">IF($A308="","",TRIM(RIGHT(SUBSTITUTE(TRIM($A308)," ",REPT(" ",30)),30)))</f>
        <v/>
      </c>
      <c r="Q308" s="98" t="str">
        <f aca="false">IF($A308="","",IFERROR(DATE(IF(LEN(P308)=8,2000+VALUE(RIGHT(P308,2)),VALUE(RIGHT(P308,4))),VALUE(LEFT(P308,2)),VALUE(MID(P308,4,2))),""))</f>
        <v/>
      </c>
      <c r="R308" s="89" t="n">
        <f aca="false">IF($A308="",0,IF(ISNUMBER(SEARCH("Float",$A308)),1,0))</f>
        <v>0</v>
      </c>
      <c r="S308" s="43" t="str">
        <f aca="false">IF($A308="","",TRIM(MID($A308,LEN(O308)+2,LEN($A308)-LEN(O308)-LEN(P308)-1)))</f>
        <v/>
      </c>
      <c r="T308" s="92" t="str">
        <f aca="false">IF(OR($A308="",R308=1),"",IFERROR(IF(ISNUMBER(FIND("/",S308)),IF(ISNUMBER(FIND(" ",S308)),VALUE(LEFT(S308,FIND(" ",S308)-1))+VALUE(MID(S308,FIND(" ",S308)+1,FIND("/",S308)-FIND(" ",S308)-1))/VALUE(MID(S308,FIND("/",S308)+1,9)),VALUE(LEFT(S308,FIND("/",S308)-1))/VALUE(MID(S308,FIND("/",S308)+1,9))),VALUE(S308)),""))</f>
        <v/>
      </c>
      <c r="U308" s="43" t="str">
        <f aca="false">IF(OR($A308="",NOT(ISNUMBER(Q308))),"",TEXT(Q308,"yyyymmdd")&amp;"|"&amp;IF(R308=1,"F",TEXT(T308,"0.000")))</f>
        <v/>
      </c>
      <c r="V308" s="43" t="str">
        <f aca="false">IF(U308="","",O308&amp;"|"&amp;U308)</f>
        <v/>
      </c>
      <c r="W308" s="43" t="str">
        <f aca="false">IF($A308="","",IFERROR(IF(VLOOKUP(O308,매핑!$A$4:$E$92,3,0)="","미분류",VLOOKUP(O308,매핑!$A$4:$E$92,3,0)),"미분류"))</f>
        <v/>
      </c>
      <c r="X308" s="89" t="n">
        <f aca="false">IF($A308="",0,IF(O308="T",1,0))</f>
        <v>0</v>
      </c>
      <c r="Y308" s="89" t="n">
        <f aca="false">IF($A308="",0,IF(AND(C308="USD",X308=0,ISNUMBER(E308),ISNUMBER(K308)),IF(K308&gt;=설정!$C$8,1,0),0))</f>
        <v>0</v>
      </c>
      <c r="Z308" s="43" t="str">
        <f aca="false">IF($A308="","",N308&amp;"|"&amp;L308)</f>
        <v/>
      </c>
      <c r="AA308" s="92" t="n">
        <f aca="false">IF(Y308=1,LN(K308),0)</f>
        <v>0</v>
      </c>
      <c r="AB308" s="93" t="n">
        <f aca="false">IF(Y308=1,E308,0)</f>
        <v>0</v>
      </c>
      <c r="AC308" s="89" t="n">
        <f aca="false">IF(Y308=1,COUNTIFS($Z$2:$Z$601,Z308,$Y$2:$Y$601,1),0)</f>
        <v>0</v>
      </c>
      <c r="AD308" s="89" t="n">
        <f aca="false">IF(Y308=1,COUNTIFS($N$2:$N$601,N308,$Y$2:$Y$601,1),0)</f>
        <v>0</v>
      </c>
      <c r="AE308" s="43" t="str">
        <f aca="false">IF(Y308&lt;&gt;1,"",IF(AND(AC308&gt;=설정!$C$7,ISNUMBER(MATCH(Z308,피어커브!$A:$A,0))),Z308,IF(AND(AD308&gt;=설정!$C$7,ISNUMBER(MATCH(N308&amp;"|전체",피어커브!$A:$A,0))),N308&amp;"|전체","전체|전체")))</f>
        <v/>
      </c>
      <c r="AF308" s="93" t="str">
        <f aca="false">IF(AE308="","",INDEX(피어커브!$K:$K,MATCH(AE308,피어커브!$A:$A,0)))</f>
        <v/>
      </c>
      <c r="AG308" s="93" t="str">
        <f aca="false">IF(AE308="","",INDEX(피어커브!$J:$J,MATCH(AE308,피어커브!$A:$A,0)))</f>
        <v/>
      </c>
      <c r="AH308" s="93" t="str">
        <f aca="false">IF(AE308="","",INDEX(피어커브!$L:$L,MATCH(AE308,피어커브!$A:$A,0)))</f>
        <v/>
      </c>
      <c r="AI308" s="93" t="str">
        <f aca="false">IF(AE308="","",AF308+AG308*AA308)</f>
        <v/>
      </c>
      <c r="AJ308" s="96" t="str">
        <f aca="false">IF(AE308="","",E308-AI308)</f>
        <v/>
      </c>
      <c r="AK308" s="95" t="str">
        <f aca="false">IF(AE308="","",IF(ISNUMBER(AH308),IF(AH308&gt;0,AJ308/AH308,""),""))</f>
        <v/>
      </c>
      <c r="AL308" s="43" t="str">
        <f aca="false">IF(AK308="","-",IF(AK308&gt;=설정!$C$6,"Cheap",IF(AK308&lt;=-설정!$C$6,"Rich","Fair")))</f>
        <v>-</v>
      </c>
      <c r="AM308" s="96" t="str">
        <f aca="false">IF(AE308="","",AJ308-AVERAGEIFS($AJ$2:$AJ$601,$B$2:$B$601,B308,$Y$2:$Y$601,1))</f>
        <v/>
      </c>
      <c r="AN308" s="93" t="n">
        <f aca="false">IF(AE308="",0,IF(K308&gt;1+설정!$C$8,AG308*(AA308-LN(K308-1)),0))</f>
        <v>0</v>
      </c>
      <c r="AO308" s="99" t="n">
        <f aca="false">IF($A308="",0,SUMIFS(보유분석!$AA$2:$AA$801,보유분석!$AB$2:$AB$801,ROW(),보유분석!$AC$2:$AC$801,1))</f>
        <v>0</v>
      </c>
      <c r="AP308" s="43" t="str">
        <f aca="false">IF($A308="","",TRIM(IF(R308=1,"FRN ","")&amp;IF(IFERROR(VLOOKUP(M308,설정!$A$15:$D$47,4,0),0)&gt;=10,IF(IFERROR(VLOOKUP(M308,설정!$A$15:$D$47,4,0),0)&lt;99,"BBB0미만 ",""),"")&amp;IF(OR(M308="",M308="NR"),"등급미입력 ","")&amp;IF(C308&lt;&gt;"USD","비USD ","")))</f>
        <v/>
      </c>
      <c r="AQ308" s="90" t="n">
        <f aca="false">IF(AND(Y308=1,AL308="Cheap"),IF(AND(ISERROR(SEARCH("FRN",AP308)),ISERROR(SEARCH("BBB0미만",AP308))),AK308+ROW()/1000000000,-999),-999)</f>
        <v>-999</v>
      </c>
      <c r="AR308" s="92" t="str">
        <f aca="false">IF(AND(ISNUMBER(D308),ISNUMBER(K308)),D308+AN308*MAX(K308-1,0)/100,"")</f>
        <v/>
      </c>
      <c r="AS308" s="93" t="str">
        <f aca="false">IF(AND(ISNUMBER(E308),ISNUMBER(K308)),IF(K308&gt;0,(E308+AN308*MAX(K308-1,0))/K308,""),"")</f>
        <v/>
      </c>
      <c r="AT308" s="90" t="n">
        <f aca="false">IFERROR(IF(AND(Y308=1,ROW()&lt;&gt;스왑분석!$C$12+1,ABS(K308-INDEX($K$2:$K$601,스왑분석!$C$12))&lt;=스왑분석!$C$5,ISERROR(SEARCH("FRN",AP308)),ISERROR(SEARCH("BBB0미만",AP308))),IF(AND(OR(스왑분석!$C$6="N",L308=INDEX($L$2:$L$601,스왑분석!$C$12)),OR(스왑분석!$C$7="N",N308=INDEX($N$2:$N$601,스왑분석!$C$12)),OR(스왑분석!$C$8="N",AO308=0),E308-INDEX($E$2:$E$601,스왑분석!$C$12)&gt;=스왑분석!$C$9),E308-INDEX($E$2:$E$601,스왑분석!$C$12)+ROW()/1000000000,-999),-999),-999)</f>
        <v>-999</v>
      </c>
      <c r="AU308" s="90" t="n">
        <f aca="false">IF(AND(Y308=1,AO308&gt;0,AL308="Rich"),-AK308+ROW()/1000000000,-999)</f>
        <v>-999</v>
      </c>
    </row>
    <row r="309" customFormat="false" ht="15" hidden="false" customHeight="false" outlineLevel="0" collapsed="false">
      <c r="A309" s="83" t="n">
        <f aca="false">IFERROR(IF(INDEX(원자료_시장!$A$1:$BZ$1000,설정!$L$6+ROW()-1,설정!$L$24)&amp;""="0","",INDEX(원자료_시장!$A$1:$BZ$1000,설정!$L$6+ROW()-1,설정!$L$24)),"")</f>
        <v>0</v>
      </c>
      <c r="B309" s="83" t="n">
        <f aca="false">IFERROR(IF(INDEX(원자료_시장!$A$1:$BZ$1000,설정!$L$6+ROW()-1,설정!$L$37)&amp;""="0","",INDEX(원자료_시장!$A$1:$BZ$1000,설정!$L$6+ROW()-1,설정!$L$37)),"")</f>
        <v>0</v>
      </c>
      <c r="C309" s="83" t="n">
        <f aca="false">IFERROR(IF(INDEX(원자료_시장!$A$1:$BZ$1000,설정!$L$6+ROW()-1,설정!$L$25)&amp;""="0","",INDEX(원자료_시장!$A$1:$BZ$1000,설정!$L$6+ROW()-1,설정!$L$25)),"")</f>
        <v>0</v>
      </c>
      <c r="D309" s="85" t="str">
        <f aca="false">IFERROR(IF(ISNUMBER(INDEX(원자료_시장!$A$1:$BZ$1000,설정!$L$6+ROW()-1,설정!$L$26)),INDEX(원자료_시장!$A$1:$BZ$1000,설정!$L$6+ROW()-1,설정!$L$26),""),"")</f>
        <v/>
      </c>
      <c r="E309" s="97" t="str">
        <f aca="false">IFERROR(IF(ISNUMBER(INDEX(원자료_시장!$A$1:$BZ$1000,설정!$L$6+ROW()-1,설정!$L$27)),INDEX(원자료_시장!$A$1:$BZ$1000,설정!$L$6+ROW()-1,설정!$L$27),""),"")</f>
        <v/>
      </c>
      <c r="F309" s="97" t="str">
        <f aca="false">IFERROR(IF(ISNUMBER(INDEX(원자료_시장!$A$1:$BZ$1000,설정!$L$6+ROW()-1,설정!$L$28)),INDEX(원자료_시장!$A$1:$BZ$1000,설정!$L$6+ROW()-1,설정!$L$28),""),"")</f>
        <v/>
      </c>
      <c r="G309" s="97" t="str">
        <f aca="false">IFERROR(IF(ISNUMBER(INDEX(원자료_시장!$A$1:$BZ$1000,설정!$L$6+ROW()-1,설정!$L$29)),INDEX(원자료_시장!$A$1:$BZ$1000,설정!$L$6+ROW()-1,설정!$L$29),""),"")</f>
        <v/>
      </c>
      <c r="H309" s="97" t="str">
        <f aca="false">IFERROR(IF(ISNUMBER(INDEX(원자료_시장!$A$1:$BZ$1000,설정!$L$6+ROW()-1,설정!$L$30)),INDEX(원자료_시장!$A$1:$BZ$1000,설정!$L$6+ROW()-1,설정!$L$30),""),"")</f>
        <v/>
      </c>
      <c r="I309" s="97" t="str">
        <f aca="false">IFERROR(IF(ISNUMBER(INDEX(원자료_시장!$A$1:$BZ$1000,설정!$L$6+ROW()-1,설정!$L$31)),INDEX(원자료_시장!$A$1:$BZ$1000,설정!$L$6+ROW()-1,설정!$L$31),""),"")</f>
        <v/>
      </c>
      <c r="J309" s="97" t="str">
        <f aca="false">IFERROR(IF(ISNUMBER(INDEX(원자료_시장!$A$1:$BZ$1000,설정!$L$6+ROW()-1,설정!$L$32)),INDEX(원자료_시장!$A$1:$BZ$1000,설정!$L$6+ROW()-1,설정!$L$32),""),"")</f>
        <v/>
      </c>
      <c r="K309" s="85" t="str">
        <f aca="false">IFERROR(IF(ISNUMBER(INDEX(원자료_시장!$A$1:$BZ$1000,설정!$L$6+ROW()-1,설정!$L$33)),INDEX(원자료_시장!$A$1:$BZ$1000,설정!$L$6+ROW()-1,설정!$L$33),""),"")</f>
        <v/>
      </c>
      <c r="L309" s="83" t="n">
        <f aca="false">IFERROR(IF(INDEX(원자료_시장!$A$1:$BZ$1000,설정!$L$6+ROW()-1,설정!$L$34)&amp;""="0","",INDEX(원자료_시장!$A$1:$BZ$1000,설정!$L$6+ROW()-1,설정!$L$34)),"")</f>
        <v>0</v>
      </c>
      <c r="M309" s="83" t="n">
        <f aca="false">IFERROR(IF(INDEX(원자료_시장!$A$1:$BZ$1000,설정!$L$6+ROW()-1,설정!$L$35)&amp;""="0","",INDEX(원자료_시장!$A$1:$BZ$1000,설정!$L$6+ROW()-1,설정!$L$35)),"")</f>
        <v>0</v>
      </c>
      <c r="N309" s="83" t="n">
        <f aca="false">IFERROR(IF(INDEX(원자료_시장!$A$1:$BZ$1000,설정!$L$6+ROW()-1,설정!$L$36)&amp;""="0","",INDEX(원자료_시장!$A$1:$BZ$1000,설정!$L$6+ROW()-1,설정!$L$36)),"")</f>
        <v>0</v>
      </c>
      <c r="O309" s="43" t="str">
        <f aca="false">IF($A309="","",UPPER(LEFT($A309,FIND(" ",$A309&amp;" ")-1)))</f>
        <v/>
      </c>
      <c r="P309" s="43" t="str">
        <f aca="false">IF($A309="","",TRIM(RIGHT(SUBSTITUTE(TRIM($A309)," ",REPT(" ",30)),30)))</f>
        <v/>
      </c>
      <c r="Q309" s="98" t="str">
        <f aca="false">IF($A309="","",IFERROR(DATE(IF(LEN(P309)=8,2000+VALUE(RIGHT(P309,2)),VALUE(RIGHT(P309,4))),VALUE(LEFT(P309,2)),VALUE(MID(P309,4,2))),""))</f>
        <v/>
      </c>
      <c r="R309" s="89" t="n">
        <f aca="false">IF($A309="",0,IF(ISNUMBER(SEARCH("Float",$A309)),1,0))</f>
        <v>0</v>
      </c>
      <c r="S309" s="43" t="str">
        <f aca="false">IF($A309="","",TRIM(MID($A309,LEN(O309)+2,LEN($A309)-LEN(O309)-LEN(P309)-1)))</f>
        <v/>
      </c>
      <c r="T309" s="92" t="str">
        <f aca="false">IF(OR($A309="",R309=1),"",IFERROR(IF(ISNUMBER(FIND("/",S309)),IF(ISNUMBER(FIND(" ",S309)),VALUE(LEFT(S309,FIND(" ",S309)-1))+VALUE(MID(S309,FIND(" ",S309)+1,FIND("/",S309)-FIND(" ",S309)-1))/VALUE(MID(S309,FIND("/",S309)+1,9)),VALUE(LEFT(S309,FIND("/",S309)-1))/VALUE(MID(S309,FIND("/",S309)+1,9))),VALUE(S309)),""))</f>
        <v/>
      </c>
      <c r="U309" s="43" t="str">
        <f aca="false">IF(OR($A309="",NOT(ISNUMBER(Q309))),"",TEXT(Q309,"yyyymmdd")&amp;"|"&amp;IF(R309=1,"F",TEXT(T309,"0.000")))</f>
        <v/>
      </c>
      <c r="V309" s="43" t="str">
        <f aca="false">IF(U309="","",O309&amp;"|"&amp;U309)</f>
        <v/>
      </c>
      <c r="W309" s="43" t="str">
        <f aca="false">IF($A309="","",IFERROR(IF(VLOOKUP(O309,매핑!$A$4:$E$92,3,0)="","미분류",VLOOKUP(O309,매핑!$A$4:$E$92,3,0)),"미분류"))</f>
        <v/>
      </c>
      <c r="X309" s="89" t="n">
        <f aca="false">IF($A309="",0,IF(O309="T",1,0))</f>
        <v>0</v>
      </c>
      <c r="Y309" s="89" t="n">
        <f aca="false">IF($A309="",0,IF(AND(C309="USD",X309=0,ISNUMBER(E309),ISNUMBER(K309)),IF(K309&gt;=설정!$C$8,1,0),0))</f>
        <v>0</v>
      </c>
      <c r="Z309" s="43" t="str">
        <f aca="false">IF($A309="","",N309&amp;"|"&amp;L309)</f>
        <v/>
      </c>
      <c r="AA309" s="92" t="n">
        <f aca="false">IF(Y309=1,LN(K309),0)</f>
        <v>0</v>
      </c>
      <c r="AB309" s="93" t="n">
        <f aca="false">IF(Y309=1,E309,0)</f>
        <v>0</v>
      </c>
      <c r="AC309" s="89" t="n">
        <f aca="false">IF(Y309=1,COUNTIFS($Z$2:$Z$601,Z309,$Y$2:$Y$601,1),0)</f>
        <v>0</v>
      </c>
      <c r="AD309" s="89" t="n">
        <f aca="false">IF(Y309=1,COUNTIFS($N$2:$N$601,N309,$Y$2:$Y$601,1),0)</f>
        <v>0</v>
      </c>
      <c r="AE309" s="43" t="str">
        <f aca="false">IF(Y309&lt;&gt;1,"",IF(AND(AC309&gt;=설정!$C$7,ISNUMBER(MATCH(Z309,피어커브!$A:$A,0))),Z309,IF(AND(AD309&gt;=설정!$C$7,ISNUMBER(MATCH(N309&amp;"|전체",피어커브!$A:$A,0))),N309&amp;"|전체","전체|전체")))</f>
        <v/>
      </c>
      <c r="AF309" s="93" t="str">
        <f aca="false">IF(AE309="","",INDEX(피어커브!$K:$K,MATCH(AE309,피어커브!$A:$A,0)))</f>
        <v/>
      </c>
      <c r="AG309" s="93" t="str">
        <f aca="false">IF(AE309="","",INDEX(피어커브!$J:$J,MATCH(AE309,피어커브!$A:$A,0)))</f>
        <v/>
      </c>
      <c r="AH309" s="93" t="str">
        <f aca="false">IF(AE309="","",INDEX(피어커브!$L:$L,MATCH(AE309,피어커브!$A:$A,0)))</f>
        <v/>
      </c>
      <c r="AI309" s="93" t="str">
        <f aca="false">IF(AE309="","",AF309+AG309*AA309)</f>
        <v/>
      </c>
      <c r="AJ309" s="96" t="str">
        <f aca="false">IF(AE309="","",E309-AI309)</f>
        <v/>
      </c>
      <c r="AK309" s="95" t="str">
        <f aca="false">IF(AE309="","",IF(ISNUMBER(AH309),IF(AH309&gt;0,AJ309/AH309,""),""))</f>
        <v/>
      </c>
      <c r="AL309" s="43" t="str">
        <f aca="false">IF(AK309="","-",IF(AK309&gt;=설정!$C$6,"Cheap",IF(AK309&lt;=-설정!$C$6,"Rich","Fair")))</f>
        <v>-</v>
      </c>
      <c r="AM309" s="96" t="str">
        <f aca="false">IF(AE309="","",AJ309-AVERAGEIFS($AJ$2:$AJ$601,$B$2:$B$601,B309,$Y$2:$Y$601,1))</f>
        <v/>
      </c>
      <c r="AN309" s="93" t="n">
        <f aca="false">IF(AE309="",0,IF(K309&gt;1+설정!$C$8,AG309*(AA309-LN(K309-1)),0))</f>
        <v>0</v>
      </c>
      <c r="AO309" s="99" t="n">
        <f aca="false">IF($A309="",0,SUMIFS(보유분석!$AA$2:$AA$801,보유분석!$AB$2:$AB$801,ROW(),보유분석!$AC$2:$AC$801,1))</f>
        <v>0</v>
      </c>
      <c r="AP309" s="43" t="str">
        <f aca="false">IF($A309="","",TRIM(IF(R309=1,"FRN ","")&amp;IF(IFERROR(VLOOKUP(M309,설정!$A$15:$D$47,4,0),0)&gt;=10,IF(IFERROR(VLOOKUP(M309,설정!$A$15:$D$47,4,0),0)&lt;99,"BBB0미만 ",""),"")&amp;IF(OR(M309="",M309="NR"),"등급미입력 ","")&amp;IF(C309&lt;&gt;"USD","비USD ","")))</f>
        <v/>
      </c>
      <c r="AQ309" s="90" t="n">
        <f aca="false">IF(AND(Y309=1,AL309="Cheap"),IF(AND(ISERROR(SEARCH("FRN",AP309)),ISERROR(SEARCH("BBB0미만",AP309))),AK309+ROW()/1000000000,-999),-999)</f>
        <v>-999</v>
      </c>
      <c r="AR309" s="92" t="str">
        <f aca="false">IF(AND(ISNUMBER(D309),ISNUMBER(K309)),D309+AN309*MAX(K309-1,0)/100,"")</f>
        <v/>
      </c>
      <c r="AS309" s="93" t="str">
        <f aca="false">IF(AND(ISNUMBER(E309),ISNUMBER(K309)),IF(K309&gt;0,(E309+AN309*MAX(K309-1,0))/K309,""),"")</f>
        <v/>
      </c>
      <c r="AT309" s="90" t="n">
        <f aca="false">IFERROR(IF(AND(Y309=1,ROW()&lt;&gt;스왑분석!$C$12+1,ABS(K309-INDEX($K$2:$K$601,스왑분석!$C$12))&lt;=스왑분석!$C$5,ISERROR(SEARCH("FRN",AP309)),ISERROR(SEARCH("BBB0미만",AP309))),IF(AND(OR(스왑분석!$C$6="N",L309=INDEX($L$2:$L$601,스왑분석!$C$12)),OR(스왑분석!$C$7="N",N309=INDEX($N$2:$N$601,스왑분석!$C$12)),OR(스왑분석!$C$8="N",AO309=0),E309-INDEX($E$2:$E$601,스왑분석!$C$12)&gt;=스왑분석!$C$9),E309-INDEX($E$2:$E$601,스왑분석!$C$12)+ROW()/1000000000,-999),-999),-999)</f>
        <v>-999</v>
      </c>
      <c r="AU309" s="90" t="n">
        <f aca="false">IF(AND(Y309=1,AO309&gt;0,AL309="Rich"),-AK309+ROW()/1000000000,-999)</f>
        <v>-999</v>
      </c>
    </row>
    <row r="310" customFormat="false" ht="15" hidden="false" customHeight="false" outlineLevel="0" collapsed="false">
      <c r="A310" s="83" t="n">
        <f aca="false">IFERROR(IF(INDEX(원자료_시장!$A$1:$BZ$1000,설정!$L$6+ROW()-1,설정!$L$24)&amp;""="0","",INDEX(원자료_시장!$A$1:$BZ$1000,설정!$L$6+ROW()-1,설정!$L$24)),"")</f>
        <v>0</v>
      </c>
      <c r="B310" s="83" t="n">
        <f aca="false">IFERROR(IF(INDEX(원자료_시장!$A$1:$BZ$1000,설정!$L$6+ROW()-1,설정!$L$37)&amp;""="0","",INDEX(원자료_시장!$A$1:$BZ$1000,설정!$L$6+ROW()-1,설정!$L$37)),"")</f>
        <v>0</v>
      </c>
      <c r="C310" s="83" t="n">
        <f aca="false">IFERROR(IF(INDEX(원자료_시장!$A$1:$BZ$1000,설정!$L$6+ROW()-1,설정!$L$25)&amp;""="0","",INDEX(원자료_시장!$A$1:$BZ$1000,설정!$L$6+ROW()-1,설정!$L$25)),"")</f>
        <v>0</v>
      </c>
      <c r="D310" s="85" t="str">
        <f aca="false">IFERROR(IF(ISNUMBER(INDEX(원자료_시장!$A$1:$BZ$1000,설정!$L$6+ROW()-1,설정!$L$26)),INDEX(원자료_시장!$A$1:$BZ$1000,설정!$L$6+ROW()-1,설정!$L$26),""),"")</f>
        <v/>
      </c>
      <c r="E310" s="97" t="str">
        <f aca="false">IFERROR(IF(ISNUMBER(INDEX(원자료_시장!$A$1:$BZ$1000,설정!$L$6+ROW()-1,설정!$L$27)),INDEX(원자료_시장!$A$1:$BZ$1000,설정!$L$6+ROW()-1,설정!$L$27),""),"")</f>
        <v/>
      </c>
      <c r="F310" s="97" t="str">
        <f aca="false">IFERROR(IF(ISNUMBER(INDEX(원자료_시장!$A$1:$BZ$1000,설정!$L$6+ROW()-1,설정!$L$28)),INDEX(원자료_시장!$A$1:$BZ$1000,설정!$L$6+ROW()-1,설정!$L$28),""),"")</f>
        <v/>
      </c>
      <c r="G310" s="97" t="str">
        <f aca="false">IFERROR(IF(ISNUMBER(INDEX(원자료_시장!$A$1:$BZ$1000,설정!$L$6+ROW()-1,설정!$L$29)),INDEX(원자료_시장!$A$1:$BZ$1000,설정!$L$6+ROW()-1,설정!$L$29),""),"")</f>
        <v/>
      </c>
      <c r="H310" s="97" t="str">
        <f aca="false">IFERROR(IF(ISNUMBER(INDEX(원자료_시장!$A$1:$BZ$1000,설정!$L$6+ROW()-1,설정!$L$30)),INDEX(원자료_시장!$A$1:$BZ$1000,설정!$L$6+ROW()-1,설정!$L$30),""),"")</f>
        <v/>
      </c>
      <c r="I310" s="97" t="str">
        <f aca="false">IFERROR(IF(ISNUMBER(INDEX(원자료_시장!$A$1:$BZ$1000,설정!$L$6+ROW()-1,설정!$L$31)),INDEX(원자료_시장!$A$1:$BZ$1000,설정!$L$6+ROW()-1,설정!$L$31),""),"")</f>
        <v/>
      </c>
      <c r="J310" s="97" t="str">
        <f aca="false">IFERROR(IF(ISNUMBER(INDEX(원자료_시장!$A$1:$BZ$1000,설정!$L$6+ROW()-1,설정!$L$32)),INDEX(원자료_시장!$A$1:$BZ$1000,설정!$L$6+ROW()-1,설정!$L$32),""),"")</f>
        <v/>
      </c>
      <c r="K310" s="85" t="str">
        <f aca="false">IFERROR(IF(ISNUMBER(INDEX(원자료_시장!$A$1:$BZ$1000,설정!$L$6+ROW()-1,설정!$L$33)),INDEX(원자료_시장!$A$1:$BZ$1000,설정!$L$6+ROW()-1,설정!$L$33),""),"")</f>
        <v/>
      </c>
      <c r="L310" s="83" t="n">
        <f aca="false">IFERROR(IF(INDEX(원자료_시장!$A$1:$BZ$1000,설정!$L$6+ROW()-1,설정!$L$34)&amp;""="0","",INDEX(원자료_시장!$A$1:$BZ$1000,설정!$L$6+ROW()-1,설정!$L$34)),"")</f>
        <v>0</v>
      </c>
      <c r="M310" s="83" t="n">
        <f aca="false">IFERROR(IF(INDEX(원자료_시장!$A$1:$BZ$1000,설정!$L$6+ROW()-1,설정!$L$35)&amp;""="0","",INDEX(원자료_시장!$A$1:$BZ$1000,설정!$L$6+ROW()-1,설정!$L$35)),"")</f>
        <v>0</v>
      </c>
      <c r="N310" s="83" t="n">
        <f aca="false">IFERROR(IF(INDEX(원자료_시장!$A$1:$BZ$1000,설정!$L$6+ROW()-1,설정!$L$36)&amp;""="0","",INDEX(원자료_시장!$A$1:$BZ$1000,설정!$L$6+ROW()-1,설정!$L$36)),"")</f>
        <v>0</v>
      </c>
      <c r="O310" s="43" t="str">
        <f aca="false">IF($A310="","",UPPER(LEFT($A310,FIND(" ",$A310&amp;" ")-1)))</f>
        <v/>
      </c>
      <c r="P310" s="43" t="str">
        <f aca="false">IF($A310="","",TRIM(RIGHT(SUBSTITUTE(TRIM($A310)," ",REPT(" ",30)),30)))</f>
        <v/>
      </c>
      <c r="Q310" s="98" t="str">
        <f aca="false">IF($A310="","",IFERROR(DATE(IF(LEN(P310)=8,2000+VALUE(RIGHT(P310,2)),VALUE(RIGHT(P310,4))),VALUE(LEFT(P310,2)),VALUE(MID(P310,4,2))),""))</f>
        <v/>
      </c>
      <c r="R310" s="89" t="n">
        <f aca="false">IF($A310="",0,IF(ISNUMBER(SEARCH("Float",$A310)),1,0))</f>
        <v>0</v>
      </c>
      <c r="S310" s="43" t="str">
        <f aca="false">IF($A310="","",TRIM(MID($A310,LEN(O310)+2,LEN($A310)-LEN(O310)-LEN(P310)-1)))</f>
        <v/>
      </c>
      <c r="T310" s="92" t="str">
        <f aca="false">IF(OR($A310="",R310=1),"",IFERROR(IF(ISNUMBER(FIND("/",S310)),IF(ISNUMBER(FIND(" ",S310)),VALUE(LEFT(S310,FIND(" ",S310)-1))+VALUE(MID(S310,FIND(" ",S310)+1,FIND("/",S310)-FIND(" ",S310)-1))/VALUE(MID(S310,FIND("/",S310)+1,9)),VALUE(LEFT(S310,FIND("/",S310)-1))/VALUE(MID(S310,FIND("/",S310)+1,9))),VALUE(S310)),""))</f>
        <v/>
      </c>
      <c r="U310" s="43" t="str">
        <f aca="false">IF(OR($A310="",NOT(ISNUMBER(Q310))),"",TEXT(Q310,"yyyymmdd")&amp;"|"&amp;IF(R310=1,"F",TEXT(T310,"0.000")))</f>
        <v/>
      </c>
      <c r="V310" s="43" t="str">
        <f aca="false">IF(U310="","",O310&amp;"|"&amp;U310)</f>
        <v/>
      </c>
      <c r="W310" s="43" t="str">
        <f aca="false">IF($A310="","",IFERROR(IF(VLOOKUP(O310,매핑!$A$4:$E$92,3,0)="","미분류",VLOOKUP(O310,매핑!$A$4:$E$92,3,0)),"미분류"))</f>
        <v/>
      </c>
      <c r="X310" s="89" t="n">
        <f aca="false">IF($A310="",0,IF(O310="T",1,0))</f>
        <v>0</v>
      </c>
      <c r="Y310" s="89" t="n">
        <f aca="false">IF($A310="",0,IF(AND(C310="USD",X310=0,ISNUMBER(E310),ISNUMBER(K310)),IF(K310&gt;=설정!$C$8,1,0),0))</f>
        <v>0</v>
      </c>
      <c r="Z310" s="43" t="str">
        <f aca="false">IF($A310="","",N310&amp;"|"&amp;L310)</f>
        <v/>
      </c>
      <c r="AA310" s="92" t="n">
        <f aca="false">IF(Y310=1,LN(K310),0)</f>
        <v>0</v>
      </c>
      <c r="AB310" s="93" t="n">
        <f aca="false">IF(Y310=1,E310,0)</f>
        <v>0</v>
      </c>
      <c r="AC310" s="89" t="n">
        <f aca="false">IF(Y310=1,COUNTIFS($Z$2:$Z$601,Z310,$Y$2:$Y$601,1),0)</f>
        <v>0</v>
      </c>
      <c r="AD310" s="89" t="n">
        <f aca="false">IF(Y310=1,COUNTIFS($N$2:$N$601,N310,$Y$2:$Y$601,1),0)</f>
        <v>0</v>
      </c>
      <c r="AE310" s="43" t="str">
        <f aca="false">IF(Y310&lt;&gt;1,"",IF(AND(AC310&gt;=설정!$C$7,ISNUMBER(MATCH(Z310,피어커브!$A:$A,0))),Z310,IF(AND(AD310&gt;=설정!$C$7,ISNUMBER(MATCH(N310&amp;"|전체",피어커브!$A:$A,0))),N310&amp;"|전체","전체|전체")))</f>
        <v/>
      </c>
      <c r="AF310" s="93" t="str">
        <f aca="false">IF(AE310="","",INDEX(피어커브!$K:$K,MATCH(AE310,피어커브!$A:$A,0)))</f>
        <v/>
      </c>
      <c r="AG310" s="93" t="str">
        <f aca="false">IF(AE310="","",INDEX(피어커브!$J:$J,MATCH(AE310,피어커브!$A:$A,0)))</f>
        <v/>
      </c>
      <c r="AH310" s="93" t="str">
        <f aca="false">IF(AE310="","",INDEX(피어커브!$L:$L,MATCH(AE310,피어커브!$A:$A,0)))</f>
        <v/>
      </c>
      <c r="AI310" s="93" t="str">
        <f aca="false">IF(AE310="","",AF310+AG310*AA310)</f>
        <v/>
      </c>
      <c r="AJ310" s="96" t="str">
        <f aca="false">IF(AE310="","",E310-AI310)</f>
        <v/>
      </c>
      <c r="AK310" s="95" t="str">
        <f aca="false">IF(AE310="","",IF(ISNUMBER(AH310),IF(AH310&gt;0,AJ310/AH310,""),""))</f>
        <v/>
      </c>
      <c r="AL310" s="43" t="str">
        <f aca="false">IF(AK310="","-",IF(AK310&gt;=설정!$C$6,"Cheap",IF(AK310&lt;=-설정!$C$6,"Rich","Fair")))</f>
        <v>-</v>
      </c>
      <c r="AM310" s="96" t="str">
        <f aca="false">IF(AE310="","",AJ310-AVERAGEIFS($AJ$2:$AJ$601,$B$2:$B$601,B310,$Y$2:$Y$601,1))</f>
        <v/>
      </c>
      <c r="AN310" s="93" t="n">
        <f aca="false">IF(AE310="",0,IF(K310&gt;1+설정!$C$8,AG310*(AA310-LN(K310-1)),0))</f>
        <v>0</v>
      </c>
      <c r="AO310" s="99" t="n">
        <f aca="false">IF($A310="",0,SUMIFS(보유분석!$AA$2:$AA$801,보유분석!$AB$2:$AB$801,ROW(),보유분석!$AC$2:$AC$801,1))</f>
        <v>0</v>
      </c>
      <c r="AP310" s="43" t="str">
        <f aca="false">IF($A310="","",TRIM(IF(R310=1,"FRN ","")&amp;IF(IFERROR(VLOOKUP(M310,설정!$A$15:$D$47,4,0),0)&gt;=10,IF(IFERROR(VLOOKUP(M310,설정!$A$15:$D$47,4,0),0)&lt;99,"BBB0미만 ",""),"")&amp;IF(OR(M310="",M310="NR"),"등급미입력 ","")&amp;IF(C310&lt;&gt;"USD","비USD ","")))</f>
        <v/>
      </c>
      <c r="AQ310" s="90" t="n">
        <f aca="false">IF(AND(Y310=1,AL310="Cheap"),IF(AND(ISERROR(SEARCH("FRN",AP310)),ISERROR(SEARCH("BBB0미만",AP310))),AK310+ROW()/1000000000,-999),-999)</f>
        <v>-999</v>
      </c>
      <c r="AR310" s="92" t="str">
        <f aca="false">IF(AND(ISNUMBER(D310),ISNUMBER(K310)),D310+AN310*MAX(K310-1,0)/100,"")</f>
        <v/>
      </c>
      <c r="AS310" s="93" t="str">
        <f aca="false">IF(AND(ISNUMBER(E310),ISNUMBER(K310)),IF(K310&gt;0,(E310+AN310*MAX(K310-1,0))/K310,""),"")</f>
        <v/>
      </c>
      <c r="AT310" s="90" t="n">
        <f aca="false">IFERROR(IF(AND(Y310=1,ROW()&lt;&gt;스왑분석!$C$12+1,ABS(K310-INDEX($K$2:$K$601,스왑분석!$C$12))&lt;=스왑분석!$C$5,ISERROR(SEARCH("FRN",AP310)),ISERROR(SEARCH("BBB0미만",AP310))),IF(AND(OR(스왑분석!$C$6="N",L310=INDEX($L$2:$L$601,스왑분석!$C$12)),OR(스왑분석!$C$7="N",N310=INDEX($N$2:$N$601,스왑분석!$C$12)),OR(스왑분석!$C$8="N",AO310=0),E310-INDEX($E$2:$E$601,스왑분석!$C$12)&gt;=스왑분석!$C$9),E310-INDEX($E$2:$E$601,스왑분석!$C$12)+ROW()/1000000000,-999),-999),-999)</f>
        <v>-999</v>
      </c>
      <c r="AU310" s="90" t="n">
        <f aca="false">IF(AND(Y310=1,AO310&gt;0,AL310="Rich"),-AK310+ROW()/1000000000,-999)</f>
        <v>-999</v>
      </c>
    </row>
    <row r="311" customFormat="false" ht="15" hidden="false" customHeight="false" outlineLevel="0" collapsed="false">
      <c r="A311" s="83" t="n">
        <f aca="false">IFERROR(IF(INDEX(원자료_시장!$A$1:$BZ$1000,설정!$L$6+ROW()-1,설정!$L$24)&amp;""="0","",INDEX(원자료_시장!$A$1:$BZ$1000,설정!$L$6+ROW()-1,설정!$L$24)),"")</f>
        <v>0</v>
      </c>
      <c r="B311" s="83" t="n">
        <f aca="false">IFERROR(IF(INDEX(원자료_시장!$A$1:$BZ$1000,설정!$L$6+ROW()-1,설정!$L$37)&amp;""="0","",INDEX(원자료_시장!$A$1:$BZ$1000,설정!$L$6+ROW()-1,설정!$L$37)),"")</f>
        <v>0</v>
      </c>
      <c r="C311" s="83" t="n">
        <f aca="false">IFERROR(IF(INDEX(원자료_시장!$A$1:$BZ$1000,설정!$L$6+ROW()-1,설정!$L$25)&amp;""="0","",INDEX(원자료_시장!$A$1:$BZ$1000,설정!$L$6+ROW()-1,설정!$L$25)),"")</f>
        <v>0</v>
      </c>
      <c r="D311" s="85" t="str">
        <f aca="false">IFERROR(IF(ISNUMBER(INDEX(원자료_시장!$A$1:$BZ$1000,설정!$L$6+ROW()-1,설정!$L$26)),INDEX(원자료_시장!$A$1:$BZ$1000,설정!$L$6+ROW()-1,설정!$L$26),""),"")</f>
        <v/>
      </c>
      <c r="E311" s="97" t="str">
        <f aca="false">IFERROR(IF(ISNUMBER(INDEX(원자료_시장!$A$1:$BZ$1000,설정!$L$6+ROW()-1,설정!$L$27)),INDEX(원자료_시장!$A$1:$BZ$1000,설정!$L$6+ROW()-1,설정!$L$27),""),"")</f>
        <v/>
      </c>
      <c r="F311" s="97" t="str">
        <f aca="false">IFERROR(IF(ISNUMBER(INDEX(원자료_시장!$A$1:$BZ$1000,설정!$L$6+ROW()-1,설정!$L$28)),INDEX(원자료_시장!$A$1:$BZ$1000,설정!$L$6+ROW()-1,설정!$L$28),""),"")</f>
        <v/>
      </c>
      <c r="G311" s="97" t="str">
        <f aca="false">IFERROR(IF(ISNUMBER(INDEX(원자료_시장!$A$1:$BZ$1000,설정!$L$6+ROW()-1,설정!$L$29)),INDEX(원자료_시장!$A$1:$BZ$1000,설정!$L$6+ROW()-1,설정!$L$29),""),"")</f>
        <v/>
      </c>
      <c r="H311" s="97" t="str">
        <f aca="false">IFERROR(IF(ISNUMBER(INDEX(원자료_시장!$A$1:$BZ$1000,설정!$L$6+ROW()-1,설정!$L$30)),INDEX(원자료_시장!$A$1:$BZ$1000,설정!$L$6+ROW()-1,설정!$L$30),""),"")</f>
        <v/>
      </c>
      <c r="I311" s="97" t="str">
        <f aca="false">IFERROR(IF(ISNUMBER(INDEX(원자료_시장!$A$1:$BZ$1000,설정!$L$6+ROW()-1,설정!$L$31)),INDEX(원자료_시장!$A$1:$BZ$1000,설정!$L$6+ROW()-1,설정!$L$31),""),"")</f>
        <v/>
      </c>
      <c r="J311" s="97" t="str">
        <f aca="false">IFERROR(IF(ISNUMBER(INDEX(원자료_시장!$A$1:$BZ$1000,설정!$L$6+ROW()-1,설정!$L$32)),INDEX(원자료_시장!$A$1:$BZ$1000,설정!$L$6+ROW()-1,설정!$L$32),""),"")</f>
        <v/>
      </c>
      <c r="K311" s="85" t="str">
        <f aca="false">IFERROR(IF(ISNUMBER(INDEX(원자료_시장!$A$1:$BZ$1000,설정!$L$6+ROW()-1,설정!$L$33)),INDEX(원자료_시장!$A$1:$BZ$1000,설정!$L$6+ROW()-1,설정!$L$33),""),"")</f>
        <v/>
      </c>
      <c r="L311" s="83" t="n">
        <f aca="false">IFERROR(IF(INDEX(원자료_시장!$A$1:$BZ$1000,설정!$L$6+ROW()-1,설정!$L$34)&amp;""="0","",INDEX(원자료_시장!$A$1:$BZ$1000,설정!$L$6+ROW()-1,설정!$L$34)),"")</f>
        <v>0</v>
      </c>
      <c r="M311" s="83" t="n">
        <f aca="false">IFERROR(IF(INDEX(원자료_시장!$A$1:$BZ$1000,설정!$L$6+ROW()-1,설정!$L$35)&amp;""="0","",INDEX(원자료_시장!$A$1:$BZ$1000,설정!$L$6+ROW()-1,설정!$L$35)),"")</f>
        <v>0</v>
      </c>
      <c r="N311" s="83" t="n">
        <f aca="false">IFERROR(IF(INDEX(원자료_시장!$A$1:$BZ$1000,설정!$L$6+ROW()-1,설정!$L$36)&amp;""="0","",INDEX(원자료_시장!$A$1:$BZ$1000,설정!$L$6+ROW()-1,설정!$L$36)),"")</f>
        <v>0</v>
      </c>
      <c r="O311" s="43" t="str">
        <f aca="false">IF($A311="","",UPPER(LEFT($A311,FIND(" ",$A311&amp;" ")-1)))</f>
        <v/>
      </c>
      <c r="P311" s="43" t="str">
        <f aca="false">IF($A311="","",TRIM(RIGHT(SUBSTITUTE(TRIM($A311)," ",REPT(" ",30)),30)))</f>
        <v/>
      </c>
      <c r="Q311" s="98" t="str">
        <f aca="false">IF($A311="","",IFERROR(DATE(IF(LEN(P311)=8,2000+VALUE(RIGHT(P311,2)),VALUE(RIGHT(P311,4))),VALUE(LEFT(P311,2)),VALUE(MID(P311,4,2))),""))</f>
        <v/>
      </c>
      <c r="R311" s="89" t="n">
        <f aca="false">IF($A311="",0,IF(ISNUMBER(SEARCH("Float",$A311)),1,0))</f>
        <v>0</v>
      </c>
      <c r="S311" s="43" t="str">
        <f aca="false">IF($A311="","",TRIM(MID($A311,LEN(O311)+2,LEN($A311)-LEN(O311)-LEN(P311)-1)))</f>
        <v/>
      </c>
      <c r="T311" s="92" t="str">
        <f aca="false">IF(OR($A311="",R311=1),"",IFERROR(IF(ISNUMBER(FIND("/",S311)),IF(ISNUMBER(FIND(" ",S311)),VALUE(LEFT(S311,FIND(" ",S311)-1))+VALUE(MID(S311,FIND(" ",S311)+1,FIND("/",S311)-FIND(" ",S311)-1))/VALUE(MID(S311,FIND("/",S311)+1,9)),VALUE(LEFT(S311,FIND("/",S311)-1))/VALUE(MID(S311,FIND("/",S311)+1,9))),VALUE(S311)),""))</f>
        <v/>
      </c>
      <c r="U311" s="43" t="str">
        <f aca="false">IF(OR($A311="",NOT(ISNUMBER(Q311))),"",TEXT(Q311,"yyyymmdd")&amp;"|"&amp;IF(R311=1,"F",TEXT(T311,"0.000")))</f>
        <v/>
      </c>
      <c r="V311" s="43" t="str">
        <f aca="false">IF(U311="","",O311&amp;"|"&amp;U311)</f>
        <v/>
      </c>
      <c r="W311" s="43" t="str">
        <f aca="false">IF($A311="","",IFERROR(IF(VLOOKUP(O311,매핑!$A$4:$E$92,3,0)="","미분류",VLOOKUP(O311,매핑!$A$4:$E$92,3,0)),"미분류"))</f>
        <v/>
      </c>
      <c r="X311" s="89" t="n">
        <f aca="false">IF($A311="",0,IF(O311="T",1,0))</f>
        <v>0</v>
      </c>
      <c r="Y311" s="89" t="n">
        <f aca="false">IF($A311="",0,IF(AND(C311="USD",X311=0,ISNUMBER(E311),ISNUMBER(K311)),IF(K311&gt;=설정!$C$8,1,0),0))</f>
        <v>0</v>
      </c>
      <c r="Z311" s="43" t="str">
        <f aca="false">IF($A311="","",N311&amp;"|"&amp;L311)</f>
        <v/>
      </c>
      <c r="AA311" s="92" t="n">
        <f aca="false">IF(Y311=1,LN(K311),0)</f>
        <v>0</v>
      </c>
      <c r="AB311" s="93" t="n">
        <f aca="false">IF(Y311=1,E311,0)</f>
        <v>0</v>
      </c>
      <c r="AC311" s="89" t="n">
        <f aca="false">IF(Y311=1,COUNTIFS($Z$2:$Z$601,Z311,$Y$2:$Y$601,1),0)</f>
        <v>0</v>
      </c>
      <c r="AD311" s="89" t="n">
        <f aca="false">IF(Y311=1,COUNTIFS($N$2:$N$601,N311,$Y$2:$Y$601,1),0)</f>
        <v>0</v>
      </c>
      <c r="AE311" s="43" t="str">
        <f aca="false">IF(Y311&lt;&gt;1,"",IF(AND(AC311&gt;=설정!$C$7,ISNUMBER(MATCH(Z311,피어커브!$A:$A,0))),Z311,IF(AND(AD311&gt;=설정!$C$7,ISNUMBER(MATCH(N311&amp;"|전체",피어커브!$A:$A,0))),N311&amp;"|전체","전체|전체")))</f>
        <v/>
      </c>
      <c r="AF311" s="93" t="str">
        <f aca="false">IF(AE311="","",INDEX(피어커브!$K:$K,MATCH(AE311,피어커브!$A:$A,0)))</f>
        <v/>
      </c>
      <c r="AG311" s="93" t="str">
        <f aca="false">IF(AE311="","",INDEX(피어커브!$J:$J,MATCH(AE311,피어커브!$A:$A,0)))</f>
        <v/>
      </c>
      <c r="AH311" s="93" t="str">
        <f aca="false">IF(AE311="","",INDEX(피어커브!$L:$L,MATCH(AE311,피어커브!$A:$A,0)))</f>
        <v/>
      </c>
      <c r="AI311" s="93" t="str">
        <f aca="false">IF(AE311="","",AF311+AG311*AA311)</f>
        <v/>
      </c>
      <c r="AJ311" s="96" t="str">
        <f aca="false">IF(AE311="","",E311-AI311)</f>
        <v/>
      </c>
      <c r="AK311" s="95" t="str">
        <f aca="false">IF(AE311="","",IF(ISNUMBER(AH311),IF(AH311&gt;0,AJ311/AH311,""),""))</f>
        <v/>
      </c>
      <c r="AL311" s="43" t="str">
        <f aca="false">IF(AK311="","-",IF(AK311&gt;=설정!$C$6,"Cheap",IF(AK311&lt;=-설정!$C$6,"Rich","Fair")))</f>
        <v>-</v>
      </c>
      <c r="AM311" s="96" t="str">
        <f aca="false">IF(AE311="","",AJ311-AVERAGEIFS($AJ$2:$AJ$601,$B$2:$B$601,B311,$Y$2:$Y$601,1))</f>
        <v/>
      </c>
      <c r="AN311" s="93" t="n">
        <f aca="false">IF(AE311="",0,IF(K311&gt;1+설정!$C$8,AG311*(AA311-LN(K311-1)),0))</f>
        <v>0</v>
      </c>
      <c r="AO311" s="99" t="n">
        <f aca="false">IF($A311="",0,SUMIFS(보유분석!$AA$2:$AA$801,보유분석!$AB$2:$AB$801,ROW(),보유분석!$AC$2:$AC$801,1))</f>
        <v>0</v>
      </c>
      <c r="AP311" s="43" t="str">
        <f aca="false">IF($A311="","",TRIM(IF(R311=1,"FRN ","")&amp;IF(IFERROR(VLOOKUP(M311,설정!$A$15:$D$47,4,0),0)&gt;=10,IF(IFERROR(VLOOKUP(M311,설정!$A$15:$D$47,4,0),0)&lt;99,"BBB0미만 ",""),"")&amp;IF(OR(M311="",M311="NR"),"등급미입력 ","")&amp;IF(C311&lt;&gt;"USD","비USD ","")))</f>
        <v/>
      </c>
      <c r="AQ311" s="90" t="n">
        <f aca="false">IF(AND(Y311=1,AL311="Cheap"),IF(AND(ISERROR(SEARCH("FRN",AP311)),ISERROR(SEARCH("BBB0미만",AP311))),AK311+ROW()/1000000000,-999),-999)</f>
        <v>-999</v>
      </c>
      <c r="AR311" s="92" t="str">
        <f aca="false">IF(AND(ISNUMBER(D311),ISNUMBER(K311)),D311+AN311*MAX(K311-1,0)/100,"")</f>
        <v/>
      </c>
      <c r="AS311" s="93" t="str">
        <f aca="false">IF(AND(ISNUMBER(E311),ISNUMBER(K311)),IF(K311&gt;0,(E311+AN311*MAX(K311-1,0))/K311,""),"")</f>
        <v/>
      </c>
      <c r="AT311" s="90" t="n">
        <f aca="false">IFERROR(IF(AND(Y311=1,ROW()&lt;&gt;스왑분석!$C$12+1,ABS(K311-INDEX($K$2:$K$601,스왑분석!$C$12))&lt;=스왑분석!$C$5,ISERROR(SEARCH("FRN",AP311)),ISERROR(SEARCH("BBB0미만",AP311))),IF(AND(OR(스왑분석!$C$6="N",L311=INDEX($L$2:$L$601,스왑분석!$C$12)),OR(스왑분석!$C$7="N",N311=INDEX($N$2:$N$601,스왑분석!$C$12)),OR(스왑분석!$C$8="N",AO311=0),E311-INDEX($E$2:$E$601,스왑분석!$C$12)&gt;=스왑분석!$C$9),E311-INDEX($E$2:$E$601,스왑분석!$C$12)+ROW()/1000000000,-999),-999),-999)</f>
        <v>-999</v>
      </c>
      <c r="AU311" s="90" t="n">
        <f aca="false">IF(AND(Y311=1,AO311&gt;0,AL311="Rich"),-AK311+ROW()/1000000000,-999)</f>
        <v>-999</v>
      </c>
    </row>
    <row r="312" customFormat="false" ht="15" hidden="false" customHeight="false" outlineLevel="0" collapsed="false">
      <c r="A312" s="83" t="n">
        <f aca="false">IFERROR(IF(INDEX(원자료_시장!$A$1:$BZ$1000,설정!$L$6+ROW()-1,설정!$L$24)&amp;""="0","",INDEX(원자료_시장!$A$1:$BZ$1000,설정!$L$6+ROW()-1,설정!$L$24)),"")</f>
        <v>0</v>
      </c>
      <c r="B312" s="83" t="n">
        <f aca="false">IFERROR(IF(INDEX(원자료_시장!$A$1:$BZ$1000,설정!$L$6+ROW()-1,설정!$L$37)&amp;""="0","",INDEX(원자료_시장!$A$1:$BZ$1000,설정!$L$6+ROW()-1,설정!$L$37)),"")</f>
        <v>0</v>
      </c>
      <c r="C312" s="83" t="n">
        <f aca="false">IFERROR(IF(INDEX(원자료_시장!$A$1:$BZ$1000,설정!$L$6+ROW()-1,설정!$L$25)&amp;""="0","",INDEX(원자료_시장!$A$1:$BZ$1000,설정!$L$6+ROW()-1,설정!$L$25)),"")</f>
        <v>0</v>
      </c>
      <c r="D312" s="85" t="str">
        <f aca="false">IFERROR(IF(ISNUMBER(INDEX(원자료_시장!$A$1:$BZ$1000,설정!$L$6+ROW()-1,설정!$L$26)),INDEX(원자료_시장!$A$1:$BZ$1000,설정!$L$6+ROW()-1,설정!$L$26),""),"")</f>
        <v/>
      </c>
      <c r="E312" s="97" t="str">
        <f aca="false">IFERROR(IF(ISNUMBER(INDEX(원자료_시장!$A$1:$BZ$1000,설정!$L$6+ROW()-1,설정!$L$27)),INDEX(원자료_시장!$A$1:$BZ$1000,설정!$L$6+ROW()-1,설정!$L$27),""),"")</f>
        <v/>
      </c>
      <c r="F312" s="97" t="str">
        <f aca="false">IFERROR(IF(ISNUMBER(INDEX(원자료_시장!$A$1:$BZ$1000,설정!$L$6+ROW()-1,설정!$L$28)),INDEX(원자료_시장!$A$1:$BZ$1000,설정!$L$6+ROW()-1,설정!$L$28),""),"")</f>
        <v/>
      </c>
      <c r="G312" s="97" t="str">
        <f aca="false">IFERROR(IF(ISNUMBER(INDEX(원자료_시장!$A$1:$BZ$1000,설정!$L$6+ROW()-1,설정!$L$29)),INDEX(원자료_시장!$A$1:$BZ$1000,설정!$L$6+ROW()-1,설정!$L$29),""),"")</f>
        <v/>
      </c>
      <c r="H312" s="97" t="str">
        <f aca="false">IFERROR(IF(ISNUMBER(INDEX(원자료_시장!$A$1:$BZ$1000,설정!$L$6+ROW()-1,설정!$L$30)),INDEX(원자료_시장!$A$1:$BZ$1000,설정!$L$6+ROW()-1,설정!$L$30),""),"")</f>
        <v/>
      </c>
      <c r="I312" s="97" t="str">
        <f aca="false">IFERROR(IF(ISNUMBER(INDEX(원자료_시장!$A$1:$BZ$1000,설정!$L$6+ROW()-1,설정!$L$31)),INDEX(원자료_시장!$A$1:$BZ$1000,설정!$L$6+ROW()-1,설정!$L$31),""),"")</f>
        <v/>
      </c>
      <c r="J312" s="97" t="str">
        <f aca="false">IFERROR(IF(ISNUMBER(INDEX(원자료_시장!$A$1:$BZ$1000,설정!$L$6+ROW()-1,설정!$L$32)),INDEX(원자료_시장!$A$1:$BZ$1000,설정!$L$6+ROW()-1,설정!$L$32),""),"")</f>
        <v/>
      </c>
      <c r="K312" s="85" t="str">
        <f aca="false">IFERROR(IF(ISNUMBER(INDEX(원자료_시장!$A$1:$BZ$1000,설정!$L$6+ROW()-1,설정!$L$33)),INDEX(원자료_시장!$A$1:$BZ$1000,설정!$L$6+ROW()-1,설정!$L$33),""),"")</f>
        <v/>
      </c>
      <c r="L312" s="83" t="n">
        <f aca="false">IFERROR(IF(INDEX(원자료_시장!$A$1:$BZ$1000,설정!$L$6+ROW()-1,설정!$L$34)&amp;""="0","",INDEX(원자료_시장!$A$1:$BZ$1000,설정!$L$6+ROW()-1,설정!$L$34)),"")</f>
        <v>0</v>
      </c>
      <c r="M312" s="83" t="n">
        <f aca="false">IFERROR(IF(INDEX(원자료_시장!$A$1:$BZ$1000,설정!$L$6+ROW()-1,설정!$L$35)&amp;""="0","",INDEX(원자료_시장!$A$1:$BZ$1000,설정!$L$6+ROW()-1,설정!$L$35)),"")</f>
        <v>0</v>
      </c>
      <c r="N312" s="83" t="n">
        <f aca="false">IFERROR(IF(INDEX(원자료_시장!$A$1:$BZ$1000,설정!$L$6+ROW()-1,설정!$L$36)&amp;""="0","",INDEX(원자료_시장!$A$1:$BZ$1000,설정!$L$6+ROW()-1,설정!$L$36)),"")</f>
        <v>0</v>
      </c>
      <c r="O312" s="43" t="str">
        <f aca="false">IF($A312="","",UPPER(LEFT($A312,FIND(" ",$A312&amp;" ")-1)))</f>
        <v/>
      </c>
      <c r="P312" s="43" t="str">
        <f aca="false">IF($A312="","",TRIM(RIGHT(SUBSTITUTE(TRIM($A312)," ",REPT(" ",30)),30)))</f>
        <v/>
      </c>
      <c r="Q312" s="98" t="str">
        <f aca="false">IF($A312="","",IFERROR(DATE(IF(LEN(P312)=8,2000+VALUE(RIGHT(P312,2)),VALUE(RIGHT(P312,4))),VALUE(LEFT(P312,2)),VALUE(MID(P312,4,2))),""))</f>
        <v/>
      </c>
      <c r="R312" s="89" t="n">
        <f aca="false">IF($A312="",0,IF(ISNUMBER(SEARCH("Float",$A312)),1,0))</f>
        <v>0</v>
      </c>
      <c r="S312" s="43" t="str">
        <f aca="false">IF($A312="","",TRIM(MID($A312,LEN(O312)+2,LEN($A312)-LEN(O312)-LEN(P312)-1)))</f>
        <v/>
      </c>
      <c r="T312" s="92" t="str">
        <f aca="false">IF(OR($A312="",R312=1),"",IFERROR(IF(ISNUMBER(FIND("/",S312)),IF(ISNUMBER(FIND(" ",S312)),VALUE(LEFT(S312,FIND(" ",S312)-1))+VALUE(MID(S312,FIND(" ",S312)+1,FIND("/",S312)-FIND(" ",S312)-1))/VALUE(MID(S312,FIND("/",S312)+1,9)),VALUE(LEFT(S312,FIND("/",S312)-1))/VALUE(MID(S312,FIND("/",S312)+1,9))),VALUE(S312)),""))</f>
        <v/>
      </c>
      <c r="U312" s="43" t="str">
        <f aca="false">IF(OR($A312="",NOT(ISNUMBER(Q312))),"",TEXT(Q312,"yyyymmdd")&amp;"|"&amp;IF(R312=1,"F",TEXT(T312,"0.000")))</f>
        <v/>
      </c>
      <c r="V312" s="43" t="str">
        <f aca="false">IF(U312="","",O312&amp;"|"&amp;U312)</f>
        <v/>
      </c>
      <c r="W312" s="43" t="str">
        <f aca="false">IF($A312="","",IFERROR(IF(VLOOKUP(O312,매핑!$A$4:$E$92,3,0)="","미분류",VLOOKUP(O312,매핑!$A$4:$E$92,3,0)),"미분류"))</f>
        <v/>
      </c>
      <c r="X312" s="89" t="n">
        <f aca="false">IF($A312="",0,IF(O312="T",1,0))</f>
        <v>0</v>
      </c>
      <c r="Y312" s="89" t="n">
        <f aca="false">IF($A312="",0,IF(AND(C312="USD",X312=0,ISNUMBER(E312),ISNUMBER(K312)),IF(K312&gt;=설정!$C$8,1,0),0))</f>
        <v>0</v>
      </c>
      <c r="Z312" s="43" t="str">
        <f aca="false">IF($A312="","",N312&amp;"|"&amp;L312)</f>
        <v/>
      </c>
      <c r="AA312" s="92" t="n">
        <f aca="false">IF(Y312=1,LN(K312),0)</f>
        <v>0</v>
      </c>
      <c r="AB312" s="93" t="n">
        <f aca="false">IF(Y312=1,E312,0)</f>
        <v>0</v>
      </c>
      <c r="AC312" s="89" t="n">
        <f aca="false">IF(Y312=1,COUNTIFS($Z$2:$Z$601,Z312,$Y$2:$Y$601,1),0)</f>
        <v>0</v>
      </c>
      <c r="AD312" s="89" t="n">
        <f aca="false">IF(Y312=1,COUNTIFS($N$2:$N$601,N312,$Y$2:$Y$601,1),0)</f>
        <v>0</v>
      </c>
      <c r="AE312" s="43" t="str">
        <f aca="false">IF(Y312&lt;&gt;1,"",IF(AND(AC312&gt;=설정!$C$7,ISNUMBER(MATCH(Z312,피어커브!$A:$A,0))),Z312,IF(AND(AD312&gt;=설정!$C$7,ISNUMBER(MATCH(N312&amp;"|전체",피어커브!$A:$A,0))),N312&amp;"|전체","전체|전체")))</f>
        <v/>
      </c>
      <c r="AF312" s="93" t="str">
        <f aca="false">IF(AE312="","",INDEX(피어커브!$K:$K,MATCH(AE312,피어커브!$A:$A,0)))</f>
        <v/>
      </c>
      <c r="AG312" s="93" t="str">
        <f aca="false">IF(AE312="","",INDEX(피어커브!$J:$J,MATCH(AE312,피어커브!$A:$A,0)))</f>
        <v/>
      </c>
      <c r="AH312" s="93" t="str">
        <f aca="false">IF(AE312="","",INDEX(피어커브!$L:$L,MATCH(AE312,피어커브!$A:$A,0)))</f>
        <v/>
      </c>
      <c r="AI312" s="93" t="str">
        <f aca="false">IF(AE312="","",AF312+AG312*AA312)</f>
        <v/>
      </c>
      <c r="AJ312" s="96" t="str">
        <f aca="false">IF(AE312="","",E312-AI312)</f>
        <v/>
      </c>
      <c r="AK312" s="95" t="str">
        <f aca="false">IF(AE312="","",IF(ISNUMBER(AH312),IF(AH312&gt;0,AJ312/AH312,""),""))</f>
        <v/>
      </c>
      <c r="AL312" s="43" t="str">
        <f aca="false">IF(AK312="","-",IF(AK312&gt;=설정!$C$6,"Cheap",IF(AK312&lt;=-설정!$C$6,"Rich","Fair")))</f>
        <v>-</v>
      </c>
      <c r="AM312" s="96" t="str">
        <f aca="false">IF(AE312="","",AJ312-AVERAGEIFS($AJ$2:$AJ$601,$B$2:$B$601,B312,$Y$2:$Y$601,1))</f>
        <v/>
      </c>
      <c r="AN312" s="93" t="n">
        <f aca="false">IF(AE312="",0,IF(K312&gt;1+설정!$C$8,AG312*(AA312-LN(K312-1)),0))</f>
        <v>0</v>
      </c>
      <c r="AO312" s="99" t="n">
        <f aca="false">IF($A312="",0,SUMIFS(보유분석!$AA$2:$AA$801,보유분석!$AB$2:$AB$801,ROW(),보유분석!$AC$2:$AC$801,1))</f>
        <v>0</v>
      </c>
      <c r="AP312" s="43" t="str">
        <f aca="false">IF($A312="","",TRIM(IF(R312=1,"FRN ","")&amp;IF(IFERROR(VLOOKUP(M312,설정!$A$15:$D$47,4,0),0)&gt;=10,IF(IFERROR(VLOOKUP(M312,설정!$A$15:$D$47,4,0),0)&lt;99,"BBB0미만 ",""),"")&amp;IF(OR(M312="",M312="NR"),"등급미입력 ","")&amp;IF(C312&lt;&gt;"USD","비USD ","")))</f>
        <v/>
      </c>
      <c r="AQ312" s="90" t="n">
        <f aca="false">IF(AND(Y312=1,AL312="Cheap"),IF(AND(ISERROR(SEARCH("FRN",AP312)),ISERROR(SEARCH("BBB0미만",AP312))),AK312+ROW()/1000000000,-999),-999)</f>
        <v>-999</v>
      </c>
      <c r="AR312" s="92" t="str">
        <f aca="false">IF(AND(ISNUMBER(D312),ISNUMBER(K312)),D312+AN312*MAX(K312-1,0)/100,"")</f>
        <v/>
      </c>
      <c r="AS312" s="93" t="str">
        <f aca="false">IF(AND(ISNUMBER(E312),ISNUMBER(K312)),IF(K312&gt;0,(E312+AN312*MAX(K312-1,0))/K312,""),"")</f>
        <v/>
      </c>
      <c r="AT312" s="90" t="n">
        <f aca="false">IFERROR(IF(AND(Y312=1,ROW()&lt;&gt;스왑분석!$C$12+1,ABS(K312-INDEX($K$2:$K$601,스왑분석!$C$12))&lt;=스왑분석!$C$5,ISERROR(SEARCH("FRN",AP312)),ISERROR(SEARCH("BBB0미만",AP312))),IF(AND(OR(스왑분석!$C$6="N",L312=INDEX($L$2:$L$601,스왑분석!$C$12)),OR(스왑분석!$C$7="N",N312=INDEX($N$2:$N$601,스왑분석!$C$12)),OR(스왑분석!$C$8="N",AO312=0),E312-INDEX($E$2:$E$601,스왑분석!$C$12)&gt;=스왑분석!$C$9),E312-INDEX($E$2:$E$601,스왑분석!$C$12)+ROW()/1000000000,-999),-999),-999)</f>
        <v>-999</v>
      </c>
      <c r="AU312" s="90" t="n">
        <f aca="false">IF(AND(Y312=1,AO312&gt;0,AL312="Rich"),-AK312+ROW()/1000000000,-999)</f>
        <v>-999</v>
      </c>
    </row>
    <row r="313" customFormat="false" ht="15" hidden="false" customHeight="false" outlineLevel="0" collapsed="false">
      <c r="A313" s="83" t="n">
        <f aca="false">IFERROR(IF(INDEX(원자료_시장!$A$1:$BZ$1000,설정!$L$6+ROW()-1,설정!$L$24)&amp;""="0","",INDEX(원자료_시장!$A$1:$BZ$1000,설정!$L$6+ROW()-1,설정!$L$24)),"")</f>
        <v>0</v>
      </c>
      <c r="B313" s="83" t="n">
        <f aca="false">IFERROR(IF(INDEX(원자료_시장!$A$1:$BZ$1000,설정!$L$6+ROW()-1,설정!$L$37)&amp;""="0","",INDEX(원자료_시장!$A$1:$BZ$1000,설정!$L$6+ROW()-1,설정!$L$37)),"")</f>
        <v>0</v>
      </c>
      <c r="C313" s="83" t="n">
        <f aca="false">IFERROR(IF(INDEX(원자료_시장!$A$1:$BZ$1000,설정!$L$6+ROW()-1,설정!$L$25)&amp;""="0","",INDEX(원자료_시장!$A$1:$BZ$1000,설정!$L$6+ROW()-1,설정!$L$25)),"")</f>
        <v>0</v>
      </c>
      <c r="D313" s="85" t="str">
        <f aca="false">IFERROR(IF(ISNUMBER(INDEX(원자료_시장!$A$1:$BZ$1000,설정!$L$6+ROW()-1,설정!$L$26)),INDEX(원자료_시장!$A$1:$BZ$1000,설정!$L$6+ROW()-1,설정!$L$26),""),"")</f>
        <v/>
      </c>
      <c r="E313" s="97" t="str">
        <f aca="false">IFERROR(IF(ISNUMBER(INDEX(원자료_시장!$A$1:$BZ$1000,설정!$L$6+ROW()-1,설정!$L$27)),INDEX(원자료_시장!$A$1:$BZ$1000,설정!$L$6+ROW()-1,설정!$L$27),""),"")</f>
        <v/>
      </c>
      <c r="F313" s="97" t="str">
        <f aca="false">IFERROR(IF(ISNUMBER(INDEX(원자료_시장!$A$1:$BZ$1000,설정!$L$6+ROW()-1,설정!$L$28)),INDEX(원자료_시장!$A$1:$BZ$1000,설정!$L$6+ROW()-1,설정!$L$28),""),"")</f>
        <v/>
      </c>
      <c r="G313" s="97" t="str">
        <f aca="false">IFERROR(IF(ISNUMBER(INDEX(원자료_시장!$A$1:$BZ$1000,설정!$L$6+ROW()-1,설정!$L$29)),INDEX(원자료_시장!$A$1:$BZ$1000,설정!$L$6+ROW()-1,설정!$L$29),""),"")</f>
        <v/>
      </c>
      <c r="H313" s="97" t="str">
        <f aca="false">IFERROR(IF(ISNUMBER(INDEX(원자료_시장!$A$1:$BZ$1000,설정!$L$6+ROW()-1,설정!$L$30)),INDEX(원자료_시장!$A$1:$BZ$1000,설정!$L$6+ROW()-1,설정!$L$30),""),"")</f>
        <v/>
      </c>
      <c r="I313" s="97" t="str">
        <f aca="false">IFERROR(IF(ISNUMBER(INDEX(원자료_시장!$A$1:$BZ$1000,설정!$L$6+ROW()-1,설정!$L$31)),INDEX(원자료_시장!$A$1:$BZ$1000,설정!$L$6+ROW()-1,설정!$L$31),""),"")</f>
        <v/>
      </c>
      <c r="J313" s="97" t="str">
        <f aca="false">IFERROR(IF(ISNUMBER(INDEX(원자료_시장!$A$1:$BZ$1000,설정!$L$6+ROW()-1,설정!$L$32)),INDEX(원자료_시장!$A$1:$BZ$1000,설정!$L$6+ROW()-1,설정!$L$32),""),"")</f>
        <v/>
      </c>
      <c r="K313" s="85" t="str">
        <f aca="false">IFERROR(IF(ISNUMBER(INDEX(원자료_시장!$A$1:$BZ$1000,설정!$L$6+ROW()-1,설정!$L$33)),INDEX(원자료_시장!$A$1:$BZ$1000,설정!$L$6+ROW()-1,설정!$L$33),""),"")</f>
        <v/>
      </c>
      <c r="L313" s="83" t="n">
        <f aca="false">IFERROR(IF(INDEX(원자료_시장!$A$1:$BZ$1000,설정!$L$6+ROW()-1,설정!$L$34)&amp;""="0","",INDEX(원자료_시장!$A$1:$BZ$1000,설정!$L$6+ROW()-1,설정!$L$34)),"")</f>
        <v>0</v>
      </c>
      <c r="M313" s="83" t="n">
        <f aca="false">IFERROR(IF(INDEX(원자료_시장!$A$1:$BZ$1000,설정!$L$6+ROW()-1,설정!$L$35)&amp;""="0","",INDEX(원자료_시장!$A$1:$BZ$1000,설정!$L$6+ROW()-1,설정!$L$35)),"")</f>
        <v>0</v>
      </c>
      <c r="N313" s="83" t="n">
        <f aca="false">IFERROR(IF(INDEX(원자료_시장!$A$1:$BZ$1000,설정!$L$6+ROW()-1,설정!$L$36)&amp;""="0","",INDEX(원자료_시장!$A$1:$BZ$1000,설정!$L$6+ROW()-1,설정!$L$36)),"")</f>
        <v>0</v>
      </c>
      <c r="O313" s="43" t="str">
        <f aca="false">IF($A313="","",UPPER(LEFT($A313,FIND(" ",$A313&amp;" ")-1)))</f>
        <v/>
      </c>
      <c r="P313" s="43" t="str">
        <f aca="false">IF($A313="","",TRIM(RIGHT(SUBSTITUTE(TRIM($A313)," ",REPT(" ",30)),30)))</f>
        <v/>
      </c>
      <c r="Q313" s="98" t="str">
        <f aca="false">IF($A313="","",IFERROR(DATE(IF(LEN(P313)=8,2000+VALUE(RIGHT(P313,2)),VALUE(RIGHT(P313,4))),VALUE(LEFT(P313,2)),VALUE(MID(P313,4,2))),""))</f>
        <v/>
      </c>
      <c r="R313" s="89" t="n">
        <f aca="false">IF($A313="",0,IF(ISNUMBER(SEARCH("Float",$A313)),1,0))</f>
        <v>0</v>
      </c>
      <c r="S313" s="43" t="str">
        <f aca="false">IF($A313="","",TRIM(MID($A313,LEN(O313)+2,LEN($A313)-LEN(O313)-LEN(P313)-1)))</f>
        <v/>
      </c>
      <c r="T313" s="92" t="str">
        <f aca="false">IF(OR($A313="",R313=1),"",IFERROR(IF(ISNUMBER(FIND("/",S313)),IF(ISNUMBER(FIND(" ",S313)),VALUE(LEFT(S313,FIND(" ",S313)-1))+VALUE(MID(S313,FIND(" ",S313)+1,FIND("/",S313)-FIND(" ",S313)-1))/VALUE(MID(S313,FIND("/",S313)+1,9)),VALUE(LEFT(S313,FIND("/",S313)-1))/VALUE(MID(S313,FIND("/",S313)+1,9))),VALUE(S313)),""))</f>
        <v/>
      </c>
      <c r="U313" s="43" t="str">
        <f aca="false">IF(OR($A313="",NOT(ISNUMBER(Q313))),"",TEXT(Q313,"yyyymmdd")&amp;"|"&amp;IF(R313=1,"F",TEXT(T313,"0.000")))</f>
        <v/>
      </c>
      <c r="V313" s="43" t="str">
        <f aca="false">IF(U313="","",O313&amp;"|"&amp;U313)</f>
        <v/>
      </c>
      <c r="W313" s="43" t="str">
        <f aca="false">IF($A313="","",IFERROR(IF(VLOOKUP(O313,매핑!$A$4:$E$92,3,0)="","미분류",VLOOKUP(O313,매핑!$A$4:$E$92,3,0)),"미분류"))</f>
        <v/>
      </c>
      <c r="X313" s="89" t="n">
        <f aca="false">IF($A313="",0,IF(O313="T",1,0))</f>
        <v>0</v>
      </c>
      <c r="Y313" s="89" t="n">
        <f aca="false">IF($A313="",0,IF(AND(C313="USD",X313=0,ISNUMBER(E313),ISNUMBER(K313)),IF(K313&gt;=설정!$C$8,1,0),0))</f>
        <v>0</v>
      </c>
      <c r="Z313" s="43" t="str">
        <f aca="false">IF($A313="","",N313&amp;"|"&amp;L313)</f>
        <v/>
      </c>
      <c r="AA313" s="92" t="n">
        <f aca="false">IF(Y313=1,LN(K313),0)</f>
        <v>0</v>
      </c>
      <c r="AB313" s="93" t="n">
        <f aca="false">IF(Y313=1,E313,0)</f>
        <v>0</v>
      </c>
      <c r="AC313" s="89" t="n">
        <f aca="false">IF(Y313=1,COUNTIFS($Z$2:$Z$601,Z313,$Y$2:$Y$601,1),0)</f>
        <v>0</v>
      </c>
      <c r="AD313" s="89" t="n">
        <f aca="false">IF(Y313=1,COUNTIFS($N$2:$N$601,N313,$Y$2:$Y$601,1),0)</f>
        <v>0</v>
      </c>
      <c r="AE313" s="43" t="str">
        <f aca="false">IF(Y313&lt;&gt;1,"",IF(AND(AC313&gt;=설정!$C$7,ISNUMBER(MATCH(Z313,피어커브!$A:$A,0))),Z313,IF(AND(AD313&gt;=설정!$C$7,ISNUMBER(MATCH(N313&amp;"|전체",피어커브!$A:$A,0))),N313&amp;"|전체","전체|전체")))</f>
        <v/>
      </c>
      <c r="AF313" s="93" t="str">
        <f aca="false">IF(AE313="","",INDEX(피어커브!$K:$K,MATCH(AE313,피어커브!$A:$A,0)))</f>
        <v/>
      </c>
      <c r="AG313" s="93" t="str">
        <f aca="false">IF(AE313="","",INDEX(피어커브!$J:$J,MATCH(AE313,피어커브!$A:$A,0)))</f>
        <v/>
      </c>
      <c r="AH313" s="93" t="str">
        <f aca="false">IF(AE313="","",INDEX(피어커브!$L:$L,MATCH(AE313,피어커브!$A:$A,0)))</f>
        <v/>
      </c>
      <c r="AI313" s="93" t="str">
        <f aca="false">IF(AE313="","",AF313+AG313*AA313)</f>
        <v/>
      </c>
      <c r="AJ313" s="96" t="str">
        <f aca="false">IF(AE313="","",E313-AI313)</f>
        <v/>
      </c>
      <c r="AK313" s="95" t="str">
        <f aca="false">IF(AE313="","",IF(ISNUMBER(AH313),IF(AH313&gt;0,AJ313/AH313,""),""))</f>
        <v/>
      </c>
      <c r="AL313" s="43" t="str">
        <f aca="false">IF(AK313="","-",IF(AK313&gt;=설정!$C$6,"Cheap",IF(AK313&lt;=-설정!$C$6,"Rich","Fair")))</f>
        <v>-</v>
      </c>
      <c r="AM313" s="96" t="str">
        <f aca="false">IF(AE313="","",AJ313-AVERAGEIFS($AJ$2:$AJ$601,$B$2:$B$601,B313,$Y$2:$Y$601,1))</f>
        <v/>
      </c>
      <c r="AN313" s="93" t="n">
        <f aca="false">IF(AE313="",0,IF(K313&gt;1+설정!$C$8,AG313*(AA313-LN(K313-1)),0))</f>
        <v>0</v>
      </c>
      <c r="AO313" s="99" t="n">
        <f aca="false">IF($A313="",0,SUMIFS(보유분석!$AA$2:$AA$801,보유분석!$AB$2:$AB$801,ROW(),보유분석!$AC$2:$AC$801,1))</f>
        <v>0</v>
      </c>
      <c r="AP313" s="43" t="str">
        <f aca="false">IF($A313="","",TRIM(IF(R313=1,"FRN ","")&amp;IF(IFERROR(VLOOKUP(M313,설정!$A$15:$D$47,4,0),0)&gt;=10,IF(IFERROR(VLOOKUP(M313,설정!$A$15:$D$47,4,0),0)&lt;99,"BBB0미만 ",""),"")&amp;IF(OR(M313="",M313="NR"),"등급미입력 ","")&amp;IF(C313&lt;&gt;"USD","비USD ","")))</f>
        <v/>
      </c>
      <c r="AQ313" s="90" t="n">
        <f aca="false">IF(AND(Y313=1,AL313="Cheap"),IF(AND(ISERROR(SEARCH("FRN",AP313)),ISERROR(SEARCH("BBB0미만",AP313))),AK313+ROW()/1000000000,-999),-999)</f>
        <v>-999</v>
      </c>
      <c r="AR313" s="92" t="str">
        <f aca="false">IF(AND(ISNUMBER(D313),ISNUMBER(K313)),D313+AN313*MAX(K313-1,0)/100,"")</f>
        <v/>
      </c>
      <c r="AS313" s="93" t="str">
        <f aca="false">IF(AND(ISNUMBER(E313),ISNUMBER(K313)),IF(K313&gt;0,(E313+AN313*MAX(K313-1,0))/K313,""),"")</f>
        <v/>
      </c>
      <c r="AT313" s="90" t="n">
        <f aca="false">IFERROR(IF(AND(Y313=1,ROW()&lt;&gt;스왑분석!$C$12+1,ABS(K313-INDEX($K$2:$K$601,스왑분석!$C$12))&lt;=스왑분석!$C$5,ISERROR(SEARCH("FRN",AP313)),ISERROR(SEARCH("BBB0미만",AP313))),IF(AND(OR(스왑분석!$C$6="N",L313=INDEX($L$2:$L$601,스왑분석!$C$12)),OR(스왑분석!$C$7="N",N313=INDEX($N$2:$N$601,스왑분석!$C$12)),OR(스왑분석!$C$8="N",AO313=0),E313-INDEX($E$2:$E$601,스왑분석!$C$12)&gt;=스왑분석!$C$9),E313-INDEX($E$2:$E$601,스왑분석!$C$12)+ROW()/1000000000,-999),-999),-999)</f>
        <v>-999</v>
      </c>
      <c r="AU313" s="90" t="n">
        <f aca="false">IF(AND(Y313=1,AO313&gt;0,AL313="Rich"),-AK313+ROW()/1000000000,-999)</f>
        <v>-999</v>
      </c>
    </row>
    <row r="314" customFormat="false" ht="15" hidden="false" customHeight="false" outlineLevel="0" collapsed="false">
      <c r="A314" s="83" t="n">
        <f aca="false">IFERROR(IF(INDEX(원자료_시장!$A$1:$BZ$1000,설정!$L$6+ROW()-1,설정!$L$24)&amp;""="0","",INDEX(원자료_시장!$A$1:$BZ$1000,설정!$L$6+ROW()-1,설정!$L$24)),"")</f>
        <v>0</v>
      </c>
      <c r="B314" s="83" t="n">
        <f aca="false">IFERROR(IF(INDEX(원자료_시장!$A$1:$BZ$1000,설정!$L$6+ROW()-1,설정!$L$37)&amp;""="0","",INDEX(원자료_시장!$A$1:$BZ$1000,설정!$L$6+ROW()-1,설정!$L$37)),"")</f>
        <v>0</v>
      </c>
      <c r="C314" s="83" t="n">
        <f aca="false">IFERROR(IF(INDEX(원자료_시장!$A$1:$BZ$1000,설정!$L$6+ROW()-1,설정!$L$25)&amp;""="0","",INDEX(원자료_시장!$A$1:$BZ$1000,설정!$L$6+ROW()-1,설정!$L$25)),"")</f>
        <v>0</v>
      </c>
      <c r="D314" s="85" t="str">
        <f aca="false">IFERROR(IF(ISNUMBER(INDEX(원자료_시장!$A$1:$BZ$1000,설정!$L$6+ROW()-1,설정!$L$26)),INDEX(원자료_시장!$A$1:$BZ$1000,설정!$L$6+ROW()-1,설정!$L$26),""),"")</f>
        <v/>
      </c>
      <c r="E314" s="97" t="str">
        <f aca="false">IFERROR(IF(ISNUMBER(INDEX(원자료_시장!$A$1:$BZ$1000,설정!$L$6+ROW()-1,설정!$L$27)),INDEX(원자료_시장!$A$1:$BZ$1000,설정!$L$6+ROW()-1,설정!$L$27),""),"")</f>
        <v/>
      </c>
      <c r="F314" s="97" t="str">
        <f aca="false">IFERROR(IF(ISNUMBER(INDEX(원자료_시장!$A$1:$BZ$1000,설정!$L$6+ROW()-1,설정!$L$28)),INDEX(원자료_시장!$A$1:$BZ$1000,설정!$L$6+ROW()-1,설정!$L$28),""),"")</f>
        <v/>
      </c>
      <c r="G314" s="97" t="str">
        <f aca="false">IFERROR(IF(ISNUMBER(INDEX(원자료_시장!$A$1:$BZ$1000,설정!$L$6+ROW()-1,설정!$L$29)),INDEX(원자료_시장!$A$1:$BZ$1000,설정!$L$6+ROW()-1,설정!$L$29),""),"")</f>
        <v/>
      </c>
      <c r="H314" s="97" t="str">
        <f aca="false">IFERROR(IF(ISNUMBER(INDEX(원자료_시장!$A$1:$BZ$1000,설정!$L$6+ROW()-1,설정!$L$30)),INDEX(원자료_시장!$A$1:$BZ$1000,설정!$L$6+ROW()-1,설정!$L$30),""),"")</f>
        <v/>
      </c>
      <c r="I314" s="97" t="str">
        <f aca="false">IFERROR(IF(ISNUMBER(INDEX(원자료_시장!$A$1:$BZ$1000,설정!$L$6+ROW()-1,설정!$L$31)),INDEX(원자료_시장!$A$1:$BZ$1000,설정!$L$6+ROW()-1,설정!$L$31),""),"")</f>
        <v/>
      </c>
      <c r="J314" s="97" t="str">
        <f aca="false">IFERROR(IF(ISNUMBER(INDEX(원자료_시장!$A$1:$BZ$1000,설정!$L$6+ROW()-1,설정!$L$32)),INDEX(원자료_시장!$A$1:$BZ$1000,설정!$L$6+ROW()-1,설정!$L$32),""),"")</f>
        <v/>
      </c>
      <c r="K314" s="85" t="str">
        <f aca="false">IFERROR(IF(ISNUMBER(INDEX(원자료_시장!$A$1:$BZ$1000,설정!$L$6+ROW()-1,설정!$L$33)),INDEX(원자료_시장!$A$1:$BZ$1000,설정!$L$6+ROW()-1,설정!$L$33),""),"")</f>
        <v/>
      </c>
      <c r="L314" s="83" t="n">
        <f aca="false">IFERROR(IF(INDEX(원자료_시장!$A$1:$BZ$1000,설정!$L$6+ROW()-1,설정!$L$34)&amp;""="0","",INDEX(원자료_시장!$A$1:$BZ$1000,설정!$L$6+ROW()-1,설정!$L$34)),"")</f>
        <v>0</v>
      </c>
      <c r="M314" s="83" t="n">
        <f aca="false">IFERROR(IF(INDEX(원자료_시장!$A$1:$BZ$1000,설정!$L$6+ROW()-1,설정!$L$35)&amp;""="0","",INDEX(원자료_시장!$A$1:$BZ$1000,설정!$L$6+ROW()-1,설정!$L$35)),"")</f>
        <v>0</v>
      </c>
      <c r="N314" s="83" t="n">
        <f aca="false">IFERROR(IF(INDEX(원자료_시장!$A$1:$BZ$1000,설정!$L$6+ROW()-1,설정!$L$36)&amp;""="0","",INDEX(원자료_시장!$A$1:$BZ$1000,설정!$L$6+ROW()-1,설정!$L$36)),"")</f>
        <v>0</v>
      </c>
      <c r="O314" s="43" t="str">
        <f aca="false">IF($A314="","",UPPER(LEFT($A314,FIND(" ",$A314&amp;" ")-1)))</f>
        <v/>
      </c>
      <c r="P314" s="43" t="str">
        <f aca="false">IF($A314="","",TRIM(RIGHT(SUBSTITUTE(TRIM($A314)," ",REPT(" ",30)),30)))</f>
        <v/>
      </c>
      <c r="Q314" s="98" t="str">
        <f aca="false">IF($A314="","",IFERROR(DATE(IF(LEN(P314)=8,2000+VALUE(RIGHT(P314,2)),VALUE(RIGHT(P314,4))),VALUE(LEFT(P314,2)),VALUE(MID(P314,4,2))),""))</f>
        <v/>
      </c>
      <c r="R314" s="89" t="n">
        <f aca="false">IF($A314="",0,IF(ISNUMBER(SEARCH("Float",$A314)),1,0))</f>
        <v>0</v>
      </c>
      <c r="S314" s="43" t="str">
        <f aca="false">IF($A314="","",TRIM(MID($A314,LEN(O314)+2,LEN($A314)-LEN(O314)-LEN(P314)-1)))</f>
        <v/>
      </c>
      <c r="T314" s="92" t="str">
        <f aca="false">IF(OR($A314="",R314=1),"",IFERROR(IF(ISNUMBER(FIND("/",S314)),IF(ISNUMBER(FIND(" ",S314)),VALUE(LEFT(S314,FIND(" ",S314)-1))+VALUE(MID(S314,FIND(" ",S314)+1,FIND("/",S314)-FIND(" ",S314)-1))/VALUE(MID(S314,FIND("/",S314)+1,9)),VALUE(LEFT(S314,FIND("/",S314)-1))/VALUE(MID(S314,FIND("/",S314)+1,9))),VALUE(S314)),""))</f>
        <v/>
      </c>
      <c r="U314" s="43" t="str">
        <f aca="false">IF(OR($A314="",NOT(ISNUMBER(Q314))),"",TEXT(Q314,"yyyymmdd")&amp;"|"&amp;IF(R314=1,"F",TEXT(T314,"0.000")))</f>
        <v/>
      </c>
      <c r="V314" s="43" t="str">
        <f aca="false">IF(U314="","",O314&amp;"|"&amp;U314)</f>
        <v/>
      </c>
      <c r="W314" s="43" t="str">
        <f aca="false">IF($A314="","",IFERROR(IF(VLOOKUP(O314,매핑!$A$4:$E$92,3,0)="","미분류",VLOOKUP(O314,매핑!$A$4:$E$92,3,0)),"미분류"))</f>
        <v/>
      </c>
      <c r="X314" s="89" t="n">
        <f aca="false">IF($A314="",0,IF(O314="T",1,0))</f>
        <v>0</v>
      </c>
      <c r="Y314" s="89" t="n">
        <f aca="false">IF($A314="",0,IF(AND(C314="USD",X314=0,ISNUMBER(E314),ISNUMBER(K314)),IF(K314&gt;=설정!$C$8,1,0),0))</f>
        <v>0</v>
      </c>
      <c r="Z314" s="43" t="str">
        <f aca="false">IF($A314="","",N314&amp;"|"&amp;L314)</f>
        <v/>
      </c>
      <c r="AA314" s="92" t="n">
        <f aca="false">IF(Y314=1,LN(K314),0)</f>
        <v>0</v>
      </c>
      <c r="AB314" s="93" t="n">
        <f aca="false">IF(Y314=1,E314,0)</f>
        <v>0</v>
      </c>
      <c r="AC314" s="89" t="n">
        <f aca="false">IF(Y314=1,COUNTIFS($Z$2:$Z$601,Z314,$Y$2:$Y$601,1),0)</f>
        <v>0</v>
      </c>
      <c r="AD314" s="89" t="n">
        <f aca="false">IF(Y314=1,COUNTIFS($N$2:$N$601,N314,$Y$2:$Y$601,1),0)</f>
        <v>0</v>
      </c>
      <c r="AE314" s="43" t="str">
        <f aca="false">IF(Y314&lt;&gt;1,"",IF(AND(AC314&gt;=설정!$C$7,ISNUMBER(MATCH(Z314,피어커브!$A:$A,0))),Z314,IF(AND(AD314&gt;=설정!$C$7,ISNUMBER(MATCH(N314&amp;"|전체",피어커브!$A:$A,0))),N314&amp;"|전체","전체|전체")))</f>
        <v/>
      </c>
      <c r="AF314" s="93" t="str">
        <f aca="false">IF(AE314="","",INDEX(피어커브!$K:$K,MATCH(AE314,피어커브!$A:$A,0)))</f>
        <v/>
      </c>
      <c r="AG314" s="93" t="str">
        <f aca="false">IF(AE314="","",INDEX(피어커브!$J:$J,MATCH(AE314,피어커브!$A:$A,0)))</f>
        <v/>
      </c>
      <c r="AH314" s="93" t="str">
        <f aca="false">IF(AE314="","",INDEX(피어커브!$L:$L,MATCH(AE314,피어커브!$A:$A,0)))</f>
        <v/>
      </c>
      <c r="AI314" s="93" t="str">
        <f aca="false">IF(AE314="","",AF314+AG314*AA314)</f>
        <v/>
      </c>
      <c r="AJ314" s="96" t="str">
        <f aca="false">IF(AE314="","",E314-AI314)</f>
        <v/>
      </c>
      <c r="AK314" s="95" t="str">
        <f aca="false">IF(AE314="","",IF(ISNUMBER(AH314),IF(AH314&gt;0,AJ314/AH314,""),""))</f>
        <v/>
      </c>
      <c r="AL314" s="43" t="str">
        <f aca="false">IF(AK314="","-",IF(AK314&gt;=설정!$C$6,"Cheap",IF(AK314&lt;=-설정!$C$6,"Rich","Fair")))</f>
        <v>-</v>
      </c>
      <c r="AM314" s="96" t="str">
        <f aca="false">IF(AE314="","",AJ314-AVERAGEIFS($AJ$2:$AJ$601,$B$2:$B$601,B314,$Y$2:$Y$601,1))</f>
        <v/>
      </c>
      <c r="AN314" s="93" t="n">
        <f aca="false">IF(AE314="",0,IF(K314&gt;1+설정!$C$8,AG314*(AA314-LN(K314-1)),0))</f>
        <v>0</v>
      </c>
      <c r="AO314" s="99" t="n">
        <f aca="false">IF($A314="",0,SUMIFS(보유분석!$AA$2:$AA$801,보유분석!$AB$2:$AB$801,ROW(),보유분석!$AC$2:$AC$801,1))</f>
        <v>0</v>
      </c>
      <c r="AP314" s="43" t="str">
        <f aca="false">IF($A314="","",TRIM(IF(R314=1,"FRN ","")&amp;IF(IFERROR(VLOOKUP(M314,설정!$A$15:$D$47,4,0),0)&gt;=10,IF(IFERROR(VLOOKUP(M314,설정!$A$15:$D$47,4,0),0)&lt;99,"BBB0미만 ",""),"")&amp;IF(OR(M314="",M314="NR"),"등급미입력 ","")&amp;IF(C314&lt;&gt;"USD","비USD ","")))</f>
        <v/>
      </c>
      <c r="AQ314" s="90" t="n">
        <f aca="false">IF(AND(Y314=1,AL314="Cheap"),IF(AND(ISERROR(SEARCH("FRN",AP314)),ISERROR(SEARCH("BBB0미만",AP314))),AK314+ROW()/1000000000,-999),-999)</f>
        <v>-999</v>
      </c>
      <c r="AR314" s="92" t="str">
        <f aca="false">IF(AND(ISNUMBER(D314),ISNUMBER(K314)),D314+AN314*MAX(K314-1,0)/100,"")</f>
        <v/>
      </c>
      <c r="AS314" s="93" t="str">
        <f aca="false">IF(AND(ISNUMBER(E314),ISNUMBER(K314)),IF(K314&gt;0,(E314+AN314*MAX(K314-1,0))/K314,""),"")</f>
        <v/>
      </c>
      <c r="AT314" s="90" t="n">
        <f aca="false">IFERROR(IF(AND(Y314=1,ROW()&lt;&gt;스왑분석!$C$12+1,ABS(K314-INDEX($K$2:$K$601,스왑분석!$C$12))&lt;=스왑분석!$C$5,ISERROR(SEARCH("FRN",AP314)),ISERROR(SEARCH("BBB0미만",AP314))),IF(AND(OR(스왑분석!$C$6="N",L314=INDEX($L$2:$L$601,스왑분석!$C$12)),OR(스왑분석!$C$7="N",N314=INDEX($N$2:$N$601,스왑분석!$C$12)),OR(스왑분석!$C$8="N",AO314=0),E314-INDEX($E$2:$E$601,스왑분석!$C$12)&gt;=스왑분석!$C$9),E314-INDEX($E$2:$E$601,스왑분석!$C$12)+ROW()/1000000000,-999),-999),-999)</f>
        <v>-999</v>
      </c>
      <c r="AU314" s="90" t="n">
        <f aca="false">IF(AND(Y314=1,AO314&gt;0,AL314="Rich"),-AK314+ROW()/1000000000,-999)</f>
        <v>-999</v>
      </c>
    </row>
    <row r="315" customFormat="false" ht="15" hidden="false" customHeight="false" outlineLevel="0" collapsed="false">
      <c r="A315" s="83" t="n">
        <f aca="false">IFERROR(IF(INDEX(원자료_시장!$A$1:$BZ$1000,설정!$L$6+ROW()-1,설정!$L$24)&amp;""="0","",INDEX(원자료_시장!$A$1:$BZ$1000,설정!$L$6+ROW()-1,설정!$L$24)),"")</f>
        <v>0</v>
      </c>
      <c r="B315" s="83" t="n">
        <f aca="false">IFERROR(IF(INDEX(원자료_시장!$A$1:$BZ$1000,설정!$L$6+ROW()-1,설정!$L$37)&amp;""="0","",INDEX(원자료_시장!$A$1:$BZ$1000,설정!$L$6+ROW()-1,설정!$L$37)),"")</f>
        <v>0</v>
      </c>
      <c r="C315" s="83" t="n">
        <f aca="false">IFERROR(IF(INDEX(원자료_시장!$A$1:$BZ$1000,설정!$L$6+ROW()-1,설정!$L$25)&amp;""="0","",INDEX(원자료_시장!$A$1:$BZ$1000,설정!$L$6+ROW()-1,설정!$L$25)),"")</f>
        <v>0</v>
      </c>
      <c r="D315" s="85" t="str">
        <f aca="false">IFERROR(IF(ISNUMBER(INDEX(원자료_시장!$A$1:$BZ$1000,설정!$L$6+ROW()-1,설정!$L$26)),INDEX(원자료_시장!$A$1:$BZ$1000,설정!$L$6+ROW()-1,설정!$L$26),""),"")</f>
        <v/>
      </c>
      <c r="E315" s="97" t="str">
        <f aca="false">IFERROR(IF(ISNUMBER(INDEX(원자료_시장!$A$1:$BZ$1000,설정!$L$6+ROW()-1,설정!$L$27)),INDEX(원자료_시장!$A$1:$BZ$1000,설정!$L$6+ROW()-1,설정!$L$27),""),"")</f>
        <v/>
      </c>
      <c r="F315" s="97" t="str">
        <f aca="false">IFERROR(IF(ISNUMBER(INDEX(원자료_시장!$A$1:$BZ$1000,설정!$L$6+ROW()-1,설정!$L$28)),INDEX(원자료_시장!$A$1:$BZ$1000,설정!$L$6+ROW()-1,설정!$L$28),""),"")</f>
        <v/>
      </c>
      <c r="G315" s="97" t="str">
        <f aca="false">IFERROR(IF(ISNUMBER(INDEX(원자료_시장!$A$1:$BZ$1000,설정!$L$6+ROW()-1,설정!$L$29)),INDEX(원자료_시장!$A$1:$BZ$1000,설정!$L$6+ROW()-1,설정!$L$29),""),"")</f>
        <v/>
      </c>
      <c r="H315" s="97" t="str">
        <f aca="false">IFERROR(IF(ISNUMBER(INDEX(원자료_시장!$A$1:$BZ$1000,설정!$L$6+ROW()-1,설정!$L$30)),INDEX(원자료_시장!$A$1:$BZ$1000,설정!$L$6+ROW()-1,설정!$L$30),""),"")</f>
        <v/>
      </c>
      <c r="I315" s="97" t="str">
        <f aca="false">IFERROR(IF(ISNUMBER(INDEX(원자료_시장!$A$1:$BZ$1000,설정!$L$6+ROW()-1,설정!$L$31)),INDEX(원자료_시장!$A$1:$BZ$1000,설정!$L$6+ROW()-1,설정!$L$31),""),"")</f>
        <v/>
      </c>
      <c r="J315" s="97" t="str">
        <f aca="false">IFERROR(IF(ISNUMBER(INDEX(원자료_시장!$A$1:$BZ$1000,설정!$L$6+ROW()-1,설정!$L$32)),INDEX(원자료_시장!$A$1:$BZ$1000,설정!$L$6+ROW()-1,설정!$L$32),""),"")</f>
        <v/>
      </c>
      <c r="K315" s="85" t="str">
        <f aca="false">IFERROR(IF(ISNUMBER(INDEX(원자료_시장!$A$1:$BZ$1000,설정!$L$6+ROW()-1,설정!$L$33)),INDEX(원자료_시장!$A$1:$BZ$1000,설정!$L$6+ROW()-1,설정!$L$33),""),"")</f>
        <v/>
      </c>
      <c r="L315" s="83" t="n">
        <f aca="false">IFERROR(IF(INDEX(원자료_시장!$A$1:$BZ$1000,설정!$L$6+ROW()-1,설정!$L$34)&amp;""="0","",INDEX(원자료_시장!$A$1:$BZ$1000,설정!$L$6+ROW()-1,설정!$L$34)),"")</f>
        <v>0</v>
      </c>
      <c r="M315" s="83" t="n">
        <f aca="false">IFERROR(IF(INDEX(원자료_시장!$A$1:$BZ$1000,설정!$L$6+ROW()-1,설정!$L$35)&amp;""="0","",INDEX(원자료_시장!$A$1:$BZ$1000,설정!$L$6+ROW()-1,설정!$L$35)),"")</f>
        <v>0</v>
      </c>
      <c r="N315" s="83" t="n">
        <f aca="false">IFERROR(IF(INDEX(원자료_시장!$A$1:$BZ$1000,설정!$L$6+ROW()-1,설정!$L$36)&amp;""="0","",INDEX(원자료_시장!$A$1:$BZ$1000,설정!$L$6+ROW()-1,설정!$L$36)),"")</f>
        <v>0</v>
      </c>
      <c r="O315" s="43" t="str">
        <f aca="false">IF($A315="","",UPPER(LEFT($A315,FIND(" ",$A315&amp;" ")-1)))</f>
        <v/>
      </c>
      <c r="P315" s="43" t="str">
        <f aca="false">IF($A315="","",TRIM(RIGHT(SUBSTITUTE(TRIM($A315)," ",REPT(" ",30)),30)))</f>
        <v/>
      </c>
      <c r="Q315" s="98" t="str">
        <f aca="false">IF($A315="","",IFERROR(DATE(IF(LEN(P315)=8,2000+VALUE(RIGHT(P315,2)),VALUE(RIGHT(P315,4))),VALUE(LEFT(P315,2)),VALUE(MID(P315,4,2))),""))</f>
        <v/>
      </c>
      <c r="R315" s="89" t="n">
        <f aca="false">IF($A315="",0,IF(ISNUMBER(SEARCH("Float",$A315)),1,0))</f>
        <v>0</v>
      </c>
      <c r="S315" s="43" t="str">
        <f aca="false">IF($A315="","",TRIM(MID($A315,LEN(O315)+2,LEN($A315)-LEN(O315)-LEN(P315)-1)))</f>
        <v/>
      </c>
      <c r="T315" s="92" t="str">
        <f aca="false">IF(OR($A315="",R315=1),"",IFERROR(IF(ISNUMBER(FIND("/",S315)),IF(ISNUMBER(FIND(" ",S315)),VALUE(LEFT(S315,FIND(" ",S315)-1))+VALUE(MID(S315,FIND(" ",S315)+1,FIND("/",S315)-FIND(" ",S315)-1))/VALUE(MID(S315,FIND("/",S315)+1,9)),VALUE(LEFT(S315,FIND("/",S315)-1))/VALUE(MID(S315,FIND("/",S315)+1,9))),VALUE(S315)),""))</f>
        <v/>
      </c>
      <c r="U315" s="43" t="str">
        <f aca="false">IF(OR($A315="",NOT(ISNUMBER(Q315))),"",TEXT(Q315,"yyyymmdd")&amp;"|"&amp;IF(R315=1,"F",TEXT(T315,"0.000")))</f>
        <v/>
      </c>
      <c r="V315" s="43" t="str">
        <f aca="false">IF(U315="","",O315&amp;"|"&amp;U315)</f>
        <v/>
      </c>
      <c r="W315" s="43" t="str">
        <f aca="false">IF($A315="","",IFERROR(IF(VLOOKUP(O315,매핑!$A$4:$E$92,3,0)="","미분류",VLOOKUP(O315,매핑!$A$4:$E$92,3,0)),"미분류"))</f>
        <v/>
      </c>
      <c r="X315" s="89" t="n">
        <f aca="false">IF($A315="",0,IF(O315="T",1,0))</f>
        <v>0</v>
      </c>
      <c r="Y315" s="89" t="n">
        <f aca="false">IF($A315="",0,IF(AND(C315="USD",X315=0,ISNUMBER(E315),ISNUMBER(K315)),IF(K315&gt;=설정!$C$8,1,0),0))</f>
        <v>0</v>
      </c>
      <c r="Z315" s="43" t="str">
        <f aca="false">IF($A315="","",N315&amp;"|"&amp;L315)</f>
        <v/>
      </c>
      <c r="AA315" s="92" t="n">
        <f aca="false">IF(Y315=1,LN(K315),0)</f>
        <v>0</v>
      </c>
      <c r="AB315" s="93" t="n">
        <f aca="false">IF(Y315=1,E315,0)</f>
        <v>0</v>
      </c>
      <c r="AC315" s="89" t="n">
        <f aca="false">IF(Y315=1,COUNTIFS($Z$2:$Z$601,Z315,$Y$2:$Y$601,1),0)</f>
        <v>0</v>
      </c>
      <c r="AD315" s="89" t="n">
        <f aca="false">IF(Y315=1,COUNTIFS($N$2:$N$601,N315,$Y$2:$Y$601,1),0)</f>
        <v>0</v>
      </c>
      <c r="AE315" s="43" t="str">
        <f aca="false">IF(Y315&lt;&gt;1,"",IF(AND(AC315&gt;=설정!$C$7,ISNUMBER(MATCH(Z315,피어커브!$A:$A,0))),Z315,IF(AND(AD315&gt;=설정!$C$7,ISNUMBER(MATCH(N315&amp;"|전체",피어커브!$A:$A,0))),N315&amp;"|전체","전체|전체")))</f>
        <v/>
      </c>
      <c r="AF315" s="93" t="str">
        <f aca="false">IF(AE315="","",INDEX(피어커브!$K:$K,MATCH(AE315,피어커브!$A:$A,0)))</f>
        <v/>
      </c>
      <c r="AG315" s="93" t="str">
        <f aca="false">IF(AE315="","",INDEX(피어커브!$J:$J,MATCH(AE315,피어커브!$A:$A,0)))</f>
        <v/>
      </c>
      <c r="AH315" s="93" t="str">
        <f aca="false">IF(AE315="","",INDEX(피어커브!$L:$L,MATCH(AE315,피어커브!$A:$A,0)))</f>
        <v/>
      </c>
      <c r="AI315" s="93" t="str">
        <f aca="false">IF(AE315="","",AF315+AG315*AA315)</f>
        <v/>
      </c>
      <c r="AJ315" s="96" t="str">
        <f aca="false">IF(AE315="","",E315-AI315)</f>
        <v/>
      </c>
      <c r="AK315" s="95" t="str">
        <f aca="false">IF(AE315="","",IF(ISNUMBER(AH315),IF(AH315&gt;0,AJ315/AH315,""),""))</f>
        <v/>
      </c>
      <c r="AL315" s="43" t="str">
        <f aca="false">IF(AK315="","-",IF(AK315&gt;=설정!$C$6,"Cheap",IF(AK315&lt;=-설정!$C$6,"Rich","Fair")))</f>
        <v>-</v>
      </c>
      <c r="AM315" s="96" t="str">
        <f aca="false">IF(AE315="","",AJ315-AVERAGEIFS($AJ$2:$AJ$601,$B$2:$B$601,B315,$Y$2:$Y$601,1))</f>
        <v/>
      </c>
      <c r="AN315" s="93" t="n">
        <f aca="false">IF(AE315="",0,IF(K315&gt;1+설정!$C$8,AG315*(AA315-LN(K315-1)),0))</f>
        <v>0</v>
      </c>
      <c r="AO315" s="99" t="n">
        <f aca="false">IF($A315="",0,SUMIFS(보유분석!$AA$2:$AA$801,보유분석!$AB$2:$AB$801,ROW(),보유분석!$AC$2:$AC$801,1))</f>
        <v>0</v>
      </c>
      <c r="AP315" s="43" t="str">
        <f aca="false">IF($A315="","",TRIM(IF(R315=1,"FRN ","")&amp;IF(IFERROR(VLOOKUP(M315,설정!$A$15:$D$47,4,0),0)&gt;=10,IF(IFERROR(VLOOKUP(M315,설정!$A$15:$D$47,4,0),0)&lt;99,"BBB0미만 ",""),"")&amp;IF(OR(M315="",M315="NR"),"등급미입력 ","")&amp;IF(C315&lt;&gt;"USD","비USD ","")))</f>
        <v/>
      </c>
      <c r="AQ315" s="90" t="n">
        <f aca="false">IF(AND(Y315=1,AL315="Cheap"),IF(AND(ISERROR(SEARCH("FRN",AP315)),ISERROR(SEARCH("BBB0미만",AP315))),AK315+ROW()/1000000000,-999),-999)</f>
        <v>-999</v>
      </c>
      <c r="AR315" s="92" t="str">
        <f aca="false">IF(AND(ISNUMBER(D315),ISNUMBER(K315)),D315+AN315*MAX(K315-1,0)/100,"")</f>
        <v/>
      </c>
      <c r="AS315" s="93" t="str">
        <f aca="false">IF(AND(ISNUMBER(E315),ISNUMBER(K315)),IF(K315&gt;0,(E315+AN315*MAX(K315-1,0))/K315,""),"")</f>
        <v/>
      </c>
      <c r="AT315" s="90" t="n">
        <f aca="false">IFERROR(IF(AND(Y315=1,ROW()&lt;&gt;스왑분석!$C$12+1,ABS(K315-INDEX($K$2:$K$601,스왑분석!$C$12))&lt;=스왑분석!$C$5,ISERROR(SEARCH("FRN",AP315)),ISERROR(SEARCH("BBB0미만",AP315))),IF(AND(OR(스왑분석!$C$6="N",L315=INDEX($L$2:$L$601,스왑분석!$C$12)),OR(스왑분석!$C$7="N",N315=INDEX($N$2:$N$601,스왑분석!$C$12)),OR(스왑분석!$C$8="N",AO315=0),E315-INDEX($E$2:$E$601,스왑분석!$C$12)&gt;=스왑분석!$C$9),E315-INDEX($E$2:$E$601,스왑분석!$C$12)+ROW()/1000000000,-999),-999),-999)</f>
        <v>-999</v>
      </c>
      <c r="AU315" s="90" t="n">
        <f aca="false">IF(AND(Y315=1,AO315&gt;0,AL315="Rich"),-AK315+ROW()/1000000000,-999)</f>
        <v>-999</v>
      </c>
    </row>
    <row r="316" customFormat="false" ht="15" hidden="false" customHeight="false" outlineLevel="0" collapsed="false">
      <c r="A316" s="83" t="n">
        <f aca="false">IFERROR(IF(INDEX(원자료_시장!$A$1:$BZ$1000,설정!$L$6+ROW()-1,설정!$L$24)&amp;""="0","",INDEX(원자료_시장!$A$1:$BZ$1000,설정!$L$6+ROW()-1,설정!$L$24)),"")</f>
        <v>0</v>
      </c>
      <c r="B316" s="83" t="n">
        <f aca="false">IFERROR(IF(INDEX(원자료_시장!$A$1:$BZ$1000,설정!$L$6+ROW()-1,설정!$L$37)&amp;""="0","",INDEX(원자료_시장!$A$1:$BZ$1000,설정!$L$6+ROW()-1,설정!$L$37)),"")</f>
        <v>0</v>
      </c>
      <c r="C316" s="83" t="n">
        <f aca="false">IFERROR(IF(INDEX(원자료_시장!$A$1:$BZ$1000,설정!$L$6+ROW()-1,설정!$L$25)&amp;""="0","",INDEX(원자료_시장!$A$1:$BZ$1000,설정!$L$6+ROW()-1,설정!$L$25)),"")</f>
        <v>0</v>
      </c>
      <c r="D316" s="85" t="str">
        <f aca="false">IFERROR(IF(ISNUMBER(INDEX(원자료_시장!$A$1:$BZ$1000,설정!$L$6+ROW()-1,설정!$L$26)),INDEX(원자료_시장!$A$1:$BZ$1000,설정!$L$6+ROW()-1,설정!$L$26),""),"")</f>
        <v/>
      </c>
      <c r="E316" s="97" t="str">
        <f aca="false">IFERROR(IF(ISNUMBER(INDEX(원자료_시장!$A$1:$BZ$1000,설정!$L$6+ROW()-1,설정!$L$27)),INDEX(원자료_시장!$A$1:$BZ$1000,설정!$L$6+ROW()-1,설정!$L$27),""),"")</f>
        <v/>
      </c>
      <c r="F316" s="97" t="str">
        <f aca="false">IFERROR(IF(ISNUMBER(INDEX(원자료_시장!$A$1:$BZ$1000,설정!$L$6+ROW()-1,설정!$L$28)),INDEX(원자료_시장!$A$1:$BZ$1000,설정!$L$6+ROW()-1,설정!$L$28),""),"")</f>
        <v/>
      </c>
      <c r="G316" s="97" t="str">
        <f aca="false">IFERROR(IF(ISNUMBER(INDEX(원자료_시장!$A$1:$BZ$1000,설정!$L$6+ROW()-1,설정!$L$29)),INDEX(원자료_시장!$A$1:$BZ$1000,설정!$L$6+ROW()-1,설정!$L$29),""),"")</f>
        <v/>
      </c>
      <c r="H316" s="97" t="str">
        <f aca="false">IFERROR(IF(ISNUMBER(INDEX(원자료_시장!$A$1:$BZ$1000,설정!$L$6+ROW()-1,설정!$L$30)),INDEX(원자료_시장!$A$1:$BZ$1000,설정!$L$6+ROW()-1,설정!$L$30),""),"")</f>
        <v/>
      </c>
      <c r="I316" s="97" t="str">
        <f aca="false">IFERROR(IF(ISNUMBER(INDEX(원자료_시장!$A$1:$BZ$1000,설정!$L$6+ROW()-1,설정!$L$31)),INDEX(원자료_시장!$A$1:$BZ$1000,설정!$L$6+ROW()-1,설정!$L$31),""),"")</f>
        <v/>
      </c>
      <c r="J316" s="97" t="str">
        <f aca="false">IFERROR(IF(ISNUMBER(INDEX(원자료_시장!$A$1:$BZ$1000,설정!$L$6+ROW()-1,설정!$L$32)),INDEX(원자료_시장!$A$1:$BZ$1000,설정!$L$6+ROW()-1,설정!$L$32),""),"")</f>
        <v/>
      </c>
      <c r="K316" s="85" t="str">
        <f aca="false">IFERROR(IF(ISNUMBER(INDEX(원자료_시장!$A$1:$BZ$1000,설정!$L$6+ROW()-1,설정!$L$33)),INDEX(원자료_시장!$A$1:$BZ$1000,설정!$L$6+ROW()-1,설정!$L$33),""),"")</f>
        <v/>
      </c>
      <c r="L316" s="83" t="n">
        <f aca="false">IFERROR(IF(INDEX(원자료_시장!$A$1:$BZ$1000,설정!$L$6+ROW()-1,설정!$L$34)&amp;""="0","",INDEX(원자료_시장!$A$1:$BZ$1000,설정!$L$6+ROW()-1,설정!$L$34)),"")</f>
        <v>0</v>
      </c>
      <c r="M316" s="83" t="n">
        <f aca="false">IFERROR(IF(INDEX(원자료_시장!$A$1:$BZ$1000,설정!$L$6+ROW()-1,설정!$L$35)&amp;""="0","",INDEX(원자료_시장!$A$1:$BZ$1000,설정!$L$6+ROW()-1,설정!$L$35)),"")</f>
        <v>0</v>
      </c>
      <c r="N316" s="83" t="n">
        <f aca="false">IFERROR(IF(INDEX(원자료_시장!$A$1:$BZ$1000,설정!$L$6+ROW()-1,설정!$L$36)&amp;""="0","",INDEX(원자료_시장!$A$1:$BZ$1000,설정!$L$6+ROW()-1,설정!$L$36)),"")</f>
        <v>0</v>
      </c>
      <c r="O316" s="43" t="str">
        <f aca="false">IF($A316="","",UPPER(LEFT($A316,FIND(" ",$A316&amp;" ")-1)))</f>
        <v/>
      </c>
      <c r="P316" s="43" t="str">
        <f aca="false">IF($A316="","",TRIM(RIGHT(SUBSTITUTE(TRIM($A316)," ",REPT(" ",30)),30)))</f>
        <v/>
      </c>
      <c r="Q316" s="98" t="str">
        <f aca="false">IF($A316="","",IFERROR(DATE(IF(LEN(P316)=8,2000+VALUE(RIGHT(P316,2)),VALUE(RIGHT(P316,4))),VALUE(LEFT(P316,2)),VALUE(MID(P316,4,2))),""))</f>
        <v/>
      </c>
      <c r="R316" s="89" t="n">
        <f aca="false">IF($A316="",0,IF(ISNUMBER(SEARCH("Float",$A316)),1,0))</f>
        <v>0</v>
      </c>
      <c r="S316" s="43" t="str">
        <f aca="false">IF($A316="","",TRIM(MID($A316,LEN(O316)+2,LEN($A316)-LEN(O316)-LEN(P316)-1)))</f>
        <v/>
      </c>
      <c r="T316" s="92" t="str">
        <f aca="false">IF(OR($A316="",R316=1),"",IFERROR(IF(ISNUMBER(FIND("/",S316)),IF(ISNUMBER(FIND(" ",S316)),VALUE(LEFT(S316,FIND(" ",S316)-1))+VALUE(MID(S316,FIND(" ",S316)+1,FIND("/",S316)-FIND(" ",S316)-1))/VALUE(MID(S316,FIND("/",S316)+1,9)),VALUE(LEFT(S316,FIND("/",S316)-1))/VALUE(MID(S316,FIND("/",S316)+1,9))),VALUE(S316)),""))</f>
        <v/>
      </c>
      <c r="U316" s="43" t="str">
        <f aca="false">IF(OR($A316="",NOT(ISNUMBER(Q316))),"",TEXT(Q316,"yyyymmdd")&amp;"|"&amp;IF(R316=1,"F",TEXT(T316,"0.000")))</f>
        <v/>
      </c>
      <c r="V316" s="43" t="str">
        <f aca="false">IF(U316="","",O316&amp;"|"&amp;U316)</f>
        <v/>
      </c>
      <c r="W316" s="43" t="str">
        <f aca="false">IF($A316="","",IFERROR(IF(VLOOKUP(O316,매핑!$A$4:$E$92,3,0)="","미분류",VLOOKUP(O316,매핑!$A$4:$E$92,3,0)),"미분류"))</f>
        <v/>
      </c>
      <c r="X316" s="89" t="n">
        <f aca="false">IF($A316="",0,IF(O316="T",1,0))</f>
        <v>0</v>
      </c>
      <c r="Y316" s="89" t="n">
        <f aca="false">IF($A316="",0,IF(AND(C316="USD",X316=0,ISNUMBER(E316),ISNUMBER(K316)),IF(K316&gt;=설정!$C$8,1,0),0))</f>
        <v>0</v>
      </c>
      <c r="Z316" s="43" t="str">
        <f aca="false">IF($A316="","",N316&amp;"|"&amp;L316)</f>
        <v/>
      </c>
      <c r="AA316" s="92" t="n">
        <f aca="false">IF(Y316=1,LN(K316),0)</f>
        <v>0</v>
      </c>
      <c r="AB316" s="93" t="n">
        <f aca="false">IF(Y316=1,E316,0)</f>
        <v>0</v>
      </c>
      <c r="AC316" s="89" t="n">
        <f aca="false">IF(Y316=1,COUNTIFS($Z$2:$Z$601,Z316,$Y$2:$Y$601,1),0)</f>
        <v>0</v>
      </c>
      <c r="AD316" s="89" t="n">
        <f aca="false">IF(Y316=1,COUNTIFS($N$2:$N$601,N316,$Y$2:$Y$601,1),0)</f>
        <v>0</v>
      </c>
      <c r="AE316" s="43" t="str">
        <f aca="false">IF(Y316&lt;&gt;1,"",IF(AND(AC316&gt;=설정!$C$7,ISNUMBER(MATCH(Z316,피어커브!$A:$A,0))),Z316,IF(AND(AD316&gt;=설정!$C$7,ISNUMBER(MATCH(N316&amp;"|전체",피어커브!$A:$A,0))),N316&amp;"|전체","전체|전체")))</f>
        <v/>
      </c>
      <c r="AF316" s="93" t="str">
        <f aca="false">IF(AE316="","",INDEX(피어커브!$K:$K,MATCH(AE316,피어커브!$A:$A,0)))</f>
        <v/>
      </c>
      <c r="AG316" s="93" t="str">
        <f aca="false">IF(AE316="","",INDEX(피어커브!$J:$J,MATCH(AE316,피어커브!$A:$A,0)))</f>
        <v/>
      </c>
      <c r="AH316" s="93" t="str">
        <f aca="false">IF(AE316="","",INDEX(피어커브!$L:$L,MATCH(AE316,피어커브!$A:$A,0)))</f>
        <v/>
      </c>
      <c r="AI316" s="93" t="str">
        <f aca="false">IF(AE316="","",AF316+AG316*AA316)</f>
        <v/>
      </c>
      <c r="AJ316" s="96" t="str">
        <f aca="false">IF(AE316="","",E316-AI316)</f>
        <v/>
      </c>
      <c r="AK316" s="95" t="str">
        <f aca="false">IF(AE316="","",IF(ISNUMBER(AH316),IF(AH316&gt;0,AJ316/AH316,""),""))</f>
        <v/>
      </c>
      <c r="AL316" s="43" t="str">
        <f aca="false">IF(AK316="","-",IF(AK316&gt;=설정!$C$6,"Cheap",IF(AK316&lt;=-설정!$C$6,"Rich","Fair")))</f>
        <v>-</v>
      </c>
      <c r="AM316" s="96" t="str">
        <f aca="false">IF(AE316="","",AJ316-AVERAGEIFS($AJ$2:$AJ$601,$B$2:$B$601,B316,$Y$2:$Y$601,1))</f>
        <v/>
      </c>
      <c r="AN316" s="93" t="n">
        <f aca="false">IF(AE316="",0,IF(K316&gt;1+설정!$C$8,AG316*(AA316-LN(K316-1)),0))</f>
        <v>0</v>
      </c>
      <c r="AO316" s="99" t="n">
        <f aca="false">IF($A316="",0,SUMIFS(보유분석!$AA$2:$AA$801,보유분석!$AB$2:$AB$801,ROW(),보유분석!$AC$2:$AC$801,1))</f>
        <v>0</v>
      </c>
      <c r="AP316" s="43" t="str">
        <f aca="false">IF($A316="","",TRIM(IF(R316=1,"FRN ","")&amp;IF(IFERROR(VLOOKUP(M316,설정!$A$15:$D$47,4,0),0)&gt;=10,IF(IFERROR(VLOOKUP(M316,설정!$A$15:$D$47,4,0),0)&lt;99,"BBB0미만 ",""),"")&amp;IF(OR(M316="",M316="NR"),"등급미입력 ","")&amp;IF(C316&lt;&gt;"USD","비USD ","")))</f>
        <v/>
      </c>
      <c r="AQ316" s="90" t="n">
        <f aca="false">IF(AND(Y316=1,AL316="Cheap"),IF(AND(ISERROR(SEARCH("FRN",AP316)),ISERROR(SEARCH("BBB0미만",AP316))),AK316+ROW()/1000000000,-999),-999)</f>
        <v>-999</v>
      </c>
      <c r="AR316" s="92" t="str">
        <f aca="false">IF(AND(ISNUMBER(D316),ISNUMBER(K316)),D316+AN316*MAX(K316-1,0)/100,"")</f>
        <v/>
      </c>
      <c r="AS316" s="93" t="str">
        <f aca="false">IF(AND(ISNUMBER(E316),ISNUMBER(K316)),IF(K316&gt;0,(E316+AN316*MAX(K316-1,0))/K316,""),"")</f>
        <v/>
      </c>
      <c r="AT316" s="90" t="n">
        <f aca="false">IFERROR(IF(AND(Y316=1,ROW()&lt;&gt;스왑분석!$C$12+1,ABS(K316-INDEX($K$2:$K$601,스왑분석!$C$12))&lt;=스왑분석!$C$5,ISERROR(SEARCH("FRN",AP316)),ISERROR(SEARCH("BBB0미만",AP316))),IF(AND(OR(스왑분석!$C$6="N",L316=INDEX($L$2:$L$601,스왑분석!$C$12)),OR(스왑분석!$C$7="N",N316=INDEX($N$2:$N$601,스왑분석!$C$12)),OR(스왑분석!$C$8="N",AO316=0),E316-INDEX($E$2:$E$601,스왑분석!$C$12)&gt;=스왑분석!$C$9),E316-INDEX($E$2:$E$601,스왑분석!$C$12)+ROW()/1000000000,-999),-999),-999)</f>
        <v>-999</v>
      </c>
      <c r="AU316" s="90" t="n">
        <f aca="false">IF(AND(Y316=1,AO316&gt;0,AL316="Rich"),-AK316+ROW()/1000000000,-999)</f>
        <v>-999</v>
      </c>
    </row>
    <row r="317" customFormat="false" ht="15" hidden="false" customHeight="false" outlineLevel="0" collapsed="false">
      <c r="A317" s="83" t="n">
        <f aca="false">IFERROR(IF(INDEX(원자료_시장!$A$1:$BZ$1000,설정!$L$6+ROW()-1,설정!$L$24)&amp;""="0","",INDEX(원자료_시장!$A$1:$BZ$1000,설정!$L$6+ROW()-1,설정!$L$24)),"")</f>
        <v>0</v>
      </c>
      <c r="B317" s="83" t="n">
        <f aca="false">IFERROR(IF(INDEX(원자료_시장!$A$1:$BZ$1000,설정!$L$6+ROW()-1,설정!$L$37)&amp;""="0","",INDEX(원자료_시장!$A$1:$BZ$1000,설정!$L$6+ROW()-1,설정!$L$37)),"")</f>
        <v>0</v>
      </c>
      <c r="C317" s="83" t="n">
        <f aca="false">IFERROR(IF(INDEX(원자료_시장!$A$1:$BZ$1000,설정!$L$6+ROW()-1,설정!$L$25)&amp;""="0","",INDEX(원자료_시장!$A$1:$BZ$1000,설정!$L$6+ROW()-1,설정!$L$25)),"")</f>
        <v>0</v>
      </c>
      <c r="D317" s="85" t="str">
        <f aca="false">IFERROR(IF(ISNUMBER(INDEX(원자료_시장!$A$1:$BZ$1000,설정!$L$6+ROW()-1,설정!$L$26)),INDEX(원자료_시장!$A$1:$BZ$1000,설정!$L$6+ROW()-1,설정!$L$26),""),"")</f>
        <v/>
      </c>
      <c r="E317" s="97" t="str">
        <f aca="false">IFERROR(IF(ISNUMBER(INDEX(원자료_시장!$A$1:$BZ$1000,설정!$L$6+ROW()-1,설정!$L$27)),INDEX(원자료_시장!$A$1:$BZ$1000,설정!$L$6+ROW()-1,설정!$L$27),""),"")</f>
        <v/>
      </c>
      <c r="F317" s="97" t="str">
        <f aca="false">IFERROR(IF(ISNUMBER(INDEX(원자료_시장!$A$1:$BZ$1000,설정!$L$6+ROW()-1,설정!$L$28)),INDEX(원자료_시장!$A$1:$BZ$1000,설정!$L$6+ROW()-1,설정!$L$28),""),"")</f>
        <v/>
      </c>
      <c r="G317" s="97" t="str">
        <f aca="false">IFERROR(IF(ISNUMBER(INDEX(원자료_시장!$A$1:$BZ$1000,설정!$L$6+ROW()-1,설정!$L$29)),INDEX(원자료_시장!$A$1:$BZ$1000,설정!$L$6+ROW()-1,설정!$L$29),""),"")</f>
        <v/>
      </c>
      <c r="H317" s="97" t="str">
        <f aca="false">IFERROR(IF(ISNUMBER(INDEX(원자료_시장!$A$1:$BZ$1000,설정!$L$6+ROW()-1,설정!$L$30)),INDEX(원자료_시장!$A$1:$BZ$1000,설정!$L$6+ROW()-1,설정!$L$30),""),"")</f>
        <v/>
      </c>
      <c r="I317" s="97" t="str">
        <f aca="false">IFERROR(IF(ISNUMBER(INDEX(원자료_시장!$A$1:$BZ$1000,설정!$L$6+ROW()-1,설정!$L$31)),INDEX(원자료_시장!$A$1:$BZ$1000,설정!$L$6+ROW()-1,설정!$L$31),""),"")</f>
        <v/>
      </c>
      <c r="J317" s="97" t="str">
        <f aca="false">IFERROR(IF(ISNUMBER(INDEX(원자료_시장!$A$1:$BZ$1000,설정!$L$6+ROW()-1,설정!$L$32)),INDEX(원자료_시장!$A$1:$BZ$1000,설정!$L$6+ROW()-1,설정!$L$32),""),"")</f>
        <v/>
      </c>
      <c r="K317" s="85" t="str">
        <f aca="false">IFERROR(IF(ISNUMBER(INDEX(원자료_시장!$A$1:$BZ$1000,설정!$L$6+ROW()-1,설정!$L$33)),INDEX(원자료_시장!$A$1:$BZ$1000,설정!$L$6+ROW()-1,설정!$L$33),""),"")</f>
        <v/>
      </c>
      <c r="L317" s="83" t="n">
        <f aca="false">IFERROR(IF(INDEX(원자료_시장!$A$1:$BZ$1000,설정!$L$6+ROW()-1,설정!$L$34)&amp;""="0","",INDEX(원자료_시장!$A$1:$BZ$1000,설정!$L$6+ROW()-1,설정!$L$34)),"")</f>
        <v>0</v>
      </c>
      <c r="M317" s="83" t="n">
        <f aca="false">IFERROR(IF(INDEX(원자료_시장!$A$1:$BZ$1000,설정!$L$6+ROW()-1,설정!$L$35)&amp;""="0","",INDEX(원자료_시장!$A$1:$BZ$1000,설정!$L$6+ROW()-1,설정!$L$35)),"")</f>
        <v>0</v>
      </c>
      <c r="N317" s="83" t="n">
        <f aca="false">IFERROR(IF(INDEX(원자료_시장!$A$1:$BZ$1000,설정!$L$6+ROW()-1,설정!$L$36)&amp;""="0","",INDEX(원자료_시장!$A$1:$BZ$1000,설정!$L$6+ROW()-1,설정!$L$36)),"")</f>
        <v>0</v>
      </c>
      <c r="O317" s="43" t="str">
        <f aca="false">IF($A317="","",UPPER(LEFT($A317,FIND(" ",$A317&amp;" ")-1)))</f>
        <v/>
      </c>
      <c r="P317" s="43" t="str">
        <f aca="false">IF($A317="","",TRIM(RIGHT(SUBSTITUTE(TRIM($A317)," ",REPT(" ",30)),30)))</f>
        <v/>
      </c>
      <c r="Q317" s="98" t="str">
        <f aca="false">IF($A317="","",IFERROR(DATE(IF(LEN(P317)=8,2000+VALUE(RIGHT(P317,2)),VALUE(RIGHT(P317,4))),VALUE(LEFT(P317,2)),VALUE(MID(P317,4,2))),""))</f>
        <v/>
      </c>
      <c r="R317" s="89" t="n">
        <f aca="false">IF($A317="",0,IF(ISNUMBER(SEARCH("Float",$A317)),1,0))</f>
        <v>0</v>
      </c>
      <c r="S317" s="43" t="str">
        <f aca="false">IF($A317="","",TRIM(MID($A317,LEN(O317)+2,LEN($A317)-LEN(O317)-LEN(P317)-1)))</f>
        <v/>
      </c>
      <c r="T317" s="92" t="str">
        <f aca="false">IF(OR($A317="",R317=1),"",IFERROR(IF(ISNUMBER(FIND("/",S317)),IF(ISNUMBER(FIND(" ",S317)),VALUE(LEFT(S317,FIND(" ",S317)-1))+VALUE(MID(S317,FIND(" ",S317)+1,FIND("/",S317)-FIND(" ",S317)-1))/VALUE(MID(S317,FIND("/",S317)+1,9)),VALUE(LEFT(S317,FIND("/",S317)-1))/VALUE(MID(S317,FIND("/",S317)+1,9))),VALUE(S317)),""))</f>
        <v/>
      </c>
      <c r="U317" s="43" t="str">
        <f aca="false">IF(OR($A317="",NOT(ISNUMBER(Q317))),"",TEXT(Q317,"yyyymmdd")&amp;"|"&amp;IF(R317=1,"F",TEXT(T317,"0.000")))</f>
        <v/>
      </c>
      <c r="V317" s="43" t="str">
        <f aca="false">IF(U317="","",O317&amp;"|"&amp;U317)</f>
        <v/>
      </c>
      <c r="W317" s="43" t="str">
        <f aca="false">IF($A317="","",IFERROR(IF(VLOOKUP(O317,매핑!$A$4:$E$92,3,0)="","미분류",VLOOKUP(O317,매핑!$A$4:$E$92,3,0)),"미분류"))</f>
        <v/>
      </c>
      <c r="X317" s="89" t="n">
        <f aca="false">IF($A317="",0,IF(O317="T",1,0))</f>
        <v>0</v>
      </c>
      <c r="Y317" s="89" t="n">
        <f aca="false">IF($A317="",0,IF(AND(C317="USD",X317=0,ISNUMBER(E317),ISNUMBER(K317)),IF(K317&gt;=설정!$C$8,1,0),0))</f>
        <v>0</v>
      </c>
      <c r="Z317" s="43" t="str">
        <f aca="false">IF($A317="","",N317&amp;"|"&amp;L317)</f>
        <v/>
      </c>
      <c r="AA317" s="92" t="n">
        <f aca="false">IF(Y317=1,LN(K317),0)</f>
        <v>0</v>
      </c>
      <c r="AB317" s="93" t="n">
        <f aca="false">IF(Y317=1,E317,0)</f>
        <v>0</v>
      </c>
      <c r="AC317" s="89" t="n">
        <f aca="false">IF(Y317=1,COUNTIFS($Z$2:$Z$601,Z317,$Y$2:$Y$601,1),0)</f>
        <v>0</v>
      </c>
      <c r="AD317" s="89" t="n">
        <f aca="false">IF(Y317=1,COUNTIFS($N$2:$N$601,N317,$Y$2:$Y$601,1),0)</f>
        <v>0</v>
      </c>
      <c r="AE317" s="43" t="str">
        <f aca="false">IF(Y317&lt;&gt;1,"",IF(AND(AC317&gt;=설정!$C$7,ISNUMBER(MATCH(Z317,피어커브!$A:$A,0))),Z317,IF(AND(AD317&gt;=설정!$C$7,ISNUMBER(MATCH(N317&amp;"|전체",피어커브!$A:$A,0))),N317&amp;"|전체","전체|전체")))</f>
        <v/>
      </c>
      <c r="AF317" s="93" t="str">
        <f aca="false">IF(AE317="","",INDEX(피어커브!$K:$K,MATCH(AE317,피어커브!$A:$A,0)))</f>
        <v/>
      </c>
      <c r="AG317" s="93" t="str">
        <f aca="false">IF(AE317="","",INDEX(피어커브!$J:$J,MATCH(AE317,피어커브!$A:$A,0)))</f>
        <v/>
      </c>
      <c r="AH317" s="93" t="str">
        <f aca="false">IF(AE317="","",INDEX(피어커브!$L:$L,MATCH(AE317,피어커브!$A:$A,0)))</f>
        <v/>
      </c>
      <c r="AI317" s="93" t="str">
        <f aca="false">IF(AE317="","",AF317+AG317*AA317)</f>
        <v/>
      </c>
      <c r="AJ317" s="96" t="str">
        <f aca="false">IF(AE317="","",E317-AI317)</f>
        <v/>
      </c>
      <c r="AK317" s="95" t="str">
        <f aca="false">IF(AE317="","",IF(ISNUMBER(AH317),IF(AH317&gt;0,AJ317/AH317,""),""))</f>
        <v/>
      </c>
      <c r="AL317" s="43" t="str">
        <f aca="false">IF(AK317="","-",IF(AK317&gt;=설정!$C$6,"Cheap",IF(AK317&lt;=-설정!$C$6,"Rich","Fair")))</f>
        <v>-</v>
      </c>
      <c r="AM317" s="96" t="str">
        <f aca="false">IF(AE317="","",AJ317-AVERAGEIFS($AJ$2:$AJ$601,$B$2:$B$601,B317,$Y$2:$Y$601,1))</f>
        <v/>
      </c>
      <c r="AN317" s="93" t="n">
        <f aca="false">IF(AE317="",0,IF(K317&gt;1+설정!$C$8,AG317*(AA317-LN(K317-1)),0))</f>
        <v>0</v>
      </c>
      <c r="AO317" s="99" t="n">
        <f aca="false">IF($A317="",0,SUMIFS(보유분석!$AA$2:$AA$801,보유분석!$AB$2:$AB$801,ROW(),보유분석!$AC$2:$AC$801,1))</f>
        <v>0</v>
      </c>
      <c r="AP317" s="43" t="str">
        <f aca="false">IF($A317="","",TRIM(IF(R317=1,"FRN ","")&amp;IF(IFERROR(VLOOKUP(M317,설정!$A$15:$D$47,4,0),0)&gt;=10,IF(IFERROR(VLOOKUP(M317,설정!$A$15:$D$47,4,0),0)&lt;99,"BBB0미만 ",""),"")&amp;IF(OR(M317="",M317="NR"),"등급미입력 ","")&amp;IF(C317&lt;&gt;"USD","비USD ","")))</f>
        <v/>
      </c>
      <c r="AQ317" s="90" t="n">
        <f aca="false">IF(AND(Y317=1,AL317="Cheap"),IF(AND(ISERROR(SEARCH("FRN",AP317)),ISERROR(SEARCH("BBB0미만",AP317))),AK317+ROW()/1000000000,-999),-999)</f>
        <v>-999</v>
      </c>
      <c r="AR317" s="92" t="str">
        <f aca="false">IF(AND(ISNUMBER(D317),ISNUMBER(K317)),D317+AN317*MAX(K317-1,0)/100,"")</f>
        <v/>
      </c>
      <c r="AS317" s="93" t="str">
        <f aca="false">IF(AND(ISNUMBER(E317),ISNUMBER(K317)),IF(K317&gt;0,(E317+AN317*MAX(K317-1,0))/K317,""),"")</f>
        <v/>
      </c>
      <c r="AT317" s="90" t="n">
        <f aca="false">IFERROR(IF(AND(Y317=1,ROW()&lt;&gt;스왑분석!$C$12+1,ABS(K317-INDEX($K$2:$K$601,스왑분석!$C$12))&lt;=스왑분석!$C$5,ISERROR(SEARCH("FRN",AP317)),ISERROR(SEARCH("BBB0미만",AP317))),IF(AND(OR(스왑분석!$C$6="N",L317=INDEX($L$2:$L$601,스왑분석!$C$12)),OR(스왑분석!$C$7="N",N317=INDEX($N$2:$N$601,스왑분석!$C$12)),OR(스왑분석!$C$8="N",AO317=0),E317-INDEX($E$2:$E$601,스왑분석!$C$12)&gt;=스왑분석!$C$9),E317-INDEX($E$2:$E$601,스왑분석!$C$12)+ROW()/1000000000,-999),-999),-999)</f>
        <v>-999</v>
      </c>
      <c r="AU317" s="90" t="n">
        <f aca="false">IF(AND(Y317=1,AO317&gt;0,AL317="Rich"),-AK317+ROW()/1000000000,-999)</f>
        <v>-999</v>
      </c>
    </row>
    <row r="318" customFormat="false" ht="15" hidden="false" customHeight="false" outlineLevel="0" collapsed="false">
      <c r="A318" s="83" t="n">
        <f aca="false">IFERROR(IF(INDEX(원자료_시장!$A$1:$BZ$1000,설정!$L$6+ROW()-1,설정!$L$24)&amp;""="0","",INDEX(원자료_시장!$A$1:$BZ$1000,설정!$L$6+ROW()-1,설정!$L$24)),"")</f>
        <v>0</v>
      </c>
      <c r="B318" s="83" t="n">
        <f aca="false">IFERROR(IF(INDEX(원자료_시장!$A$1:$BZ$1000,설정!$L$6+ROW()-1,설정!$L$37)&amp;""="0","",INDEX(원자료_시장!$A$1:$BZ$1000,설정!$L$6+ROW()-1,설정!$L$37)),"")</f>
        <v>0</v>
      </c>
      <c r="C318" s="83" t="n">
        <f aca="false">IFERROR(IF(INDEX(원자료_시장!$A$1:$BZ$1000,설정!$L$6+ROW()-1,설정!$L$25)&amp;""="0","",INDEX(원자료_시장!$A$1:$BZ$1000,설정!$L$6+ROW()-1,설정!$L$25)),"")</f>
        <v>0</v>
      </c>
      <c r="D318" s="85" t="str">
        <f aca="false">IFERROR(IF(ISNUMBER(INDEX(원자료_시장!$A$1:$BZ$1000,설정!$L$6+ROW()-1,설정!$L$26)),INDEX(원자료_시장!$A$1:$BZ$1000,설정!$L$6+ROW()-1,설정!$L$26),""),"")</f>
        <v/>
      </c>
      <c r="E318" s="97" t="str">
        <f aca="false">IFERROR(IF(ISNUMBER(INDEX(원자료_시장!$A$1:$BZ$1000,설정!$L$6+ROW()-1,설정!$L$27)),INDEX(원자료_시장!$A$1:$BZ$1000,설정!$L$6+ROW()-1,설정!$L$27),""),"")</f>
        <v/>
      </c>
      <c r="F318" s="97" t="str">
        <f aca="false">IFERROR(IF(ISNUMBER(INDEX(원자료_시장!$A$1:$BZ$1000,설정!$L$6+ROW()-1,설정!$L$28)),INDEX(원자료_시장!$A$1:$BZ$1000,설정!$L$6+ROW()-1,설정!$L$28),""),"")</f>
        <v/>
      </c>
      <c r="G318" s="97" t="str">
        <f aca="false">IFERROR(IF(ISNUMBER(INDEX(원자료_시장!$A$1:$BZ$1000,설정!$L$6+ROW()-1,설정!$L$29)),INDEX(원자료_시장!$A$1:$BZ$1000,설정!$L$6+ROW()-1,설정!$L$29),""),"")</f>
        <v/>
      </c>
      <c r="H318" s="97" t="str">
        <f aca="false">IFERROR(IF(ISNUMBER(INDEX(원자료_시장!$A$1:$BZ$1000,설정!$L$6+ROW()-1,설정!$L$30)),INDEX(원자료_시장!$A$1:$BZ$1000,설정!$L$6+ROW()-1,설정!$L$30),""),"")</f>
        <v/>
      </c>
      <c r="I318" s="97" t="str">
        <f aca="false">IFERROR(IF(ISNUMBER(INDEX(원자료_시장!$A$1:$BZ$1000,설정!$L$6+ROW()-1,설정!$L$31)),INDEX(원자료_시장!$A$1:$BZ$1000,설정!$L$6+ROW()-1,설정!$L$31),""),"")</f>
        <v/>
      </c>
      <c r="J318" s="97" t="str">
        <f aca="false">IFERROR(IF(ISNUMBER(INDEX(원자료_시장!$A$1:$BZ$1000,설정!$L$6+ROW()-1,설정!$L$32)),INDEX(원자료_시장!$A$1:$BZ$1000,설정!$L$6+ROW()-1,설정!$L$32),""),"")</f>
        <v/>
      </c>
      <c r="K318" s="85" t="str">
        <f aca="false">IFERROR(IF(ISNUMBER(INDEX(원자료_시장!$A$1:$BZ$1000,설정!$L$6+ROW()-1,설정!$L$33)),INDEX(원자료_시장!$A$1:$BZ$1000,설정!$L$6+ROW()-1,설정!$L$33),""),"")</f>
        <v/>
      </c>
      <c r="L318" s="83" t="n">
        <f aca="false">IFERROR(IF(INDEX(원자료_시장!$A$1:$BZ$1000,설정!$L$6+ROW()-1,설정!$L$34)&amp;""="0","",INDEX(원자료_시장!$A$1:$BZ$1000,설정!$L$6+ROW()-1,설정!$L$34)),"")</f>
        <v>0</v>
      </c>
      <c r="M318" s="83" t="n">
        <f aca="false">IFERROR(IF(INDEX(원자료_시장!$A$1:$BZ$1000,설정!$L$6+ROW()-1,설정!$L$35)&amp;""="0","",INDEX(원자료_시장!$A$1:$BZ$1000,설정!$L$6+ROW()-1,설정!$L$35)),"")</f>
        <v>0</v>
      </c>
      <c r="N318" s="83" t="n">
        <f aca="false">IFERROR(IF(INDEX(원자료_시장!$A$1:$BZ$1000,설정!$L$6+ROW()-1,설정!$L$36)&amp;""="0","",INDEX(원자료_시장!$A$1:$BZ$1000,설정!$L$6+ROW()-1,설정!$L$36)),"")</f>
        <v>0</v>
      </c>
      <c r="O318" s="43" t="str">
        <f aca="false">IF($A318="","",UPPER(LEFT($A318,FIND(" ",$A318&amp;" ")-1)))</f>
        <v/>
      </c>
      <c r="P318" s="43" t="str">
        <f aca="false">IF($A318="","",TRIM(RIGHT(SUBSTITUTE(TRIM($A318)," ",REPT(" ",30)),30)))</f>
        <v/>
      </c>
      <c r="Q318" s="98" t="str">
        <f aca="false">IF($A318="","",IFERROR(DATE(IF(LEN(P318)=8,2000+VALUE(RIGHT(P318,2)),VALUE(RIGHT(P318,4))),VALUE(LEFT(P318,2)),VALUE(MID(P318,4,2))),""))</f>
        <v/>
      </c>
      <c r="R318" s="89" t="n">
        <f aca="false">IF($A318="",0,IF(ISNUMBER(SEARCH("Float",$A318)),1,0))</f>
        <v>0</v>
      </c>
      <c r="S318" s="43" t="str">
        <f aca="false">IF($A318="","",TRIM(MID($A318,LEN(O318)+2,LEN($A318)-LEN(O318)-LEN(P318)-1)))</f>
        <v/>
      </c>
      <c r="T318" s="92" t="str">
        <f aca="false">IF(OR($A318="",R318=1),"",IFERROR(IF(ISNUMBER(FIND("/",S318)),IF(ISNUMBER(FIND(" ",S318)),VALUE(LEFT(S318,FIND(" ",S318)-1))+VALUE(MID(S318,FIND(" ",S318)+1,FIND("/",S318)-FIND(" ",S318)-1))/VALUE(MID(S318,FIND("/",S318)+1,9)),VALUE(LEFT(S318,FIND("/",S318)-1))/VALUE(MID(S318,FIND("/",S318)+1,9))),VALUE(S318)),""))</f>
        <v/>
      </c>
      <c r="U318" s="43" t="str">
        <f aca="false">IF(OR($A318="",NOT(ISNUMBER(Q318))),"",TEXT(Q318,"yyyymmdd")&amp;"|"&amp;IF(R318=1,"F",TEXT(T318,"0.000")))</f>
        <v/>
      </c>
      <c r="V318" s="43" t="str">
        <f aca="false">IF(U318="","",O318&amp;"|"&amp;U318)</f>
        <v/>
      </c>
      <c r="W318" s="43" t="str">
        <f aca="false">IF($A318="","",IFERROR(IF(VLOOKUP(O318,매핑!$A$4:$E$92,3,0)="","미분류",VLOOKUP(O318,매핑!$A$4:$E$92,3,0)),"미분류"))</f>
        <v/>
      </c>
      <c r="X318" s="89" t="n">
        <f aca="false">IF($A318="",0,IF(O318="T",1,0))</f>
        <v>0</v>
      </c>
      <c r="Y318" s="89" t="n">
        <f aca="false">IF($A318="",0,IF(AND(C318="USD",X318=0,ISNUMBER(E318),ISNUMBER(K318)),IF(K318&gt;=설정!$C$8,1,0),0))</f>
        <v>0</v>
      </c>
      <c r="Z318" s="43" t="str">
        <f aca="false">IF($A318="","",N318&amp;"|"&amp;L318)</f>
        <v/>
      </c>
      <c r="AA318" s="92" t="n">
        <f aca="false">IF(Y318=1,LN(K318),0)</f>
        <v>0</v>
      </c>
      <c r="AB318" s="93" t="n">
        <f aca="false">IF(Y318=1,E318,0)</f>
        <v>0</v>
      </c>
      <c r="AC318" s="89" t="n">
        <f aca="false">IF(Y318=1,COUNTIFS($Z$2:$Z$601,Z318,$Y$2:$Y$601,1),0)</f>
        <v>0</v>
      </c>
      <c r="AD318" s="89" t="n">
        <f aca="false">IF(Y318=1,COUNTIFS($N$2:$N$601,N318,$Y$2:$Y$601,1),0)</f>
        <v>0</v>
      </c>
      <c r="AE318" s="43" t="str">
        <f aca="false">IF(Y318&lt;&gt;1,"",IF(AND(AC318&gt;=설정!$C$7,ISNUMBER(MATCH(Z318,피어커브!$A:$A,0))),Z318,IF(AND(AD318&gt;=설정!$C$7,ISNUMBER(MATCH(N318&amp;"|전체",피어커브!$A:$A,0))),N318&amp;"|전체","전체|전체")))</f>
        <v/>
      </c>
      <c r="AF318" s="93" t="str">
        <f aca="false">IF(AE318="","",INDEX(피어커브!$K:$K,MATCH(AE318,피어커브!$A:$A,0)))</f>
        <v/>
      </c>
      <c r="AG318" s="93" t="str">
        <f aca="false">IF(AE318="","",INDEX(피어커브!$J:$J,MATCH(AE318,피어커브!$A:$A,0)))</f>
        <v/>
      </c>
      <c r="AH318" s="93" t="str">
        <f aca="false">IF(AE318="","",INDEX(피어커브!$L:$L,MATCH(AE318,피어커브!$A:$A,0)))</f>
        <v/>
      </c>
      <c r="AI318" s="93" t="str">
        <f aca="false">IF(AE318="","",AF318+AG318*AA318)</f>
        <v/>
      </c>
      <c r="AJ318" s="96" t="str">
        <f aca="false">IF(AE318="","",E318-AI318)</f>
        <v/>
      </c>
      <c r="AK318" s="95" t="str">
        <f aca="false">IF(AE318="","",IF(ISNUMBER(AH318),IF(AH318&gt;0,AJ318/AH318,""),""))</f>
        <v/>
      </c>
      <c r="AL318" s="43" t="str">
        <f aca="false">IF(AK318="","-",IF(AK318&gt;=설정!$C$6,"Cheap",IF(AK318&lt;=-설정!$C$6,"Rich","Fair")))</f>
        <v>-</v>
      </c>
      <c r="AM318" s="96" t="str">
        <f aca="false">IF(AE318="","",AJ318-AVERAGEIFS($AJ$2:$AJ$601,$B$2:$B$601,B318,$Y$2:$Y$601,1))</f>
        <v/>
      </c>
      <c r="AN318" s="93" t="n">
        <f aca="false">IF(AE318="",0,IF(K318&gt;1+설정!$C$8,AG318*(AA318-LN(K318-1)),0))</f>
        <v>0</v>
      </c>
      <c r="AO318" s="99" t="n">
        <f aca="false">IF($A318="",0,SUMIFS(보유분석!$AA$2:$AA$801,보유분석!$AB$2:$AB$801,ROW(),보유분석!$AC$2:$AC$801,1))</f>
        <v>0</v>
      </c>
      <c r="AP318" s="43" t="str">
        <f aca="false">IF($A318="","",TRIM(IF(R318=1,"FRN ","")&amp;IF(IFERROR(VLOOKUP(M318,설정!$A$15:$D$47,4,0),0)&gt;=10,IF(IFERROR(VLOOKUP(M318,설정!$A$15:$D$47,4,0),0)&lt;99,"BBB0미만 ",""),"")&amp;IF(OR(M318="",M318="NR"),"등급미입력 ","")&amp;IF(C318&lt;&gt;"USD","비USD ","")))</f>
        <v/>
      </c>
      <c r="AQ318" s="90" t="n">
        <f aca="false">IF(AND(Y318=1,AL318="Cheap"),IF(AND(ISERROR(SEARCH("FRN",AP318)),ISERROR(SEARCH("BBB0미만",AP318))),AK318+ROW()/1000000000,-999),-999)</f>
        <v>-999</v>
      </c>
      <c r="AR318" s="92" t="str">
        <f aca="false">IF(AND(ISNUMBER(D318),ISNUMBER(K318)),D318+AN318*MAX(K318-1,0)/100,"")</f>
        <v/>
      </c>
      <c r="AS318" s="93" t="str">
        <f aca="false">IF(AND(ISNUMBER(E318),ISNUMBER(K318)),IF(K318&gt;0,(E318+AN318*MAX(K318-1,0))/K318,""),"")</f>
        <v/>
      </c>
      <c r="AT318" s="90" t="n">
        <f aca="false">IFERROR(IF(AND(Y318=1,ROW()&lt;&gt;스왑분석!$C$12+1,ABS(K318-INDEX($K$2:$K$601,스왑분석!$C$12))&lt;=스왑분석!$C$5,ISERROR(SEARCH("FRN",AP318)),ISERROR(SEARCH("BBB0미만",AP318))),IF(AND(OR(스왑분석!$C$6="N",L318=INDEX($L$2:$L$601,스왑분석!$C$12)),OR(스왑분석!$C$7="N",N318=INDEX($N$2:$N$601,스왑분석!$C$12)),OR(스왑분석!$C$8="N",AO318=0),E318-INDEX($E$2:$E$601,스왑분석!$C$12)&gt;=스왑분석!$C$9),E318-INDEX($E$2:$E$601,스왑분석!$C$12)+ROW()/1000000000,-999),-999),-999)</f>
        <v>-999</v>
      </c>
      <c r="AU318" s="90" t="n">
        <f aca="false">IF(AND(Y318=1,AO318&gt;0,AL318="Rich"),-AK318+ROW()/1000000000,-999)</f>
        <v>-999</v>
      </c>
    </row>
    <row r="319" customFormat="false" ht="15" hidden="false" customHeight="false" outlineLevel="0" collapsed="false">
      <c r="A319" s="83" t="n">
        <f aca="false">IFERROR(IF(INDEX(원자료_시장!$A$1:$BZ$1000,설정!$L$6+ROW()-1,설정!$L$24)&amp;""="0","",INDEX(원자료_시장!$A$1:$BZ$1000,설정!$L$6+ROW()-1,설정!$L$24)),"")</f>
        <v>0</v>
      </c>
      <c r="B319" s="83" t="n">
        <f aca="false">IFERROR(IF(INDEX(원자료_시장!$A$1:$BZ$1000,설정!$L$6+ROW()-1,설정!$L$37)&amp;""="0","",INDEX(원자료_시장!$A$1:$BZ$1000,설정!$L$6+ROW()-1,설정!$L$37)),"")</f>
        <v>0</v>
      </c>
      <c r="C319" s="83" t="n">
        <f aca="false">IFERROR(IF(INDEX(원자료_시장!$A$1:$BZ$1000,설정!$L$6+ROW()-1,설정!$L$25)&amp;""="0","",INDEX(원자료_시장!$A$1:$BZ$1000,설정!$L$6+ROW()-1,설정!$L$25)),"")</f>
        <v>0</v>
      </c>
      <c r="D319" s="85" t="str">
        <f aca="false">IFERROR(IF(ISNUMBER(INDEX(원자료_시장!$A$1:$BZ$1000,설정!$L$6+ROW()-1,설정!$L$26)),INDEX(원자료_시장!$A$1:$BZ$1000,설정!$L$6+ROW()-1,설정!$L$26),""),"")</f>
        <v/>
      </c>
      <c r="E319" s="97" t="str">
        <f aca="false">IFERROR(IF(ISNUMBER(INDEX(원자료_시장!$A$1:$BZ$1000,설정!$L$6+ROW()-1,설정!$L$27)),INDEX(원자료_시장!$A$1:$BZ$1000,설정!$L$6+ROW()-1,설정!$L$27),""),"")</f>
        <v/>
      </c>
      <c r="F319" s="97" t="str">
        <f aca="false">IFERROR(IF(ISNUMBER(INDEX(원자료_시장!$A$1:$BZ$1000,설정!$L$6+ROW()-1,설정!$L$28)),INDEX(원자료_시장!$A$1:$BZ$1000,설정!$L$6+ROW()-1,설정!$L$28),""),"")</f>
        <v/>
      </c>
      <c r="G319" s="97" t="str">
        <f aca="false">IFERROR(IF(ISNUMBER(INDEX(원자료_시장!$A$1:$BZ$1000,설정!$L$6+ROW()-1,설정!$L$29)),INDEX(원자료_시장!$A$1:$BZ$1000,설정!$L$6+ROW()-1,설정!$L$29),""),"")</f>
        <v/>
      </c>
      <c r="H319" s="97" t="str">
        <f aca="false">IFERROR(IF(ISNUMBER(INDEX(원자료_시장!$A$1:$BZ$1000,설정!$L$6+ROW()-1,설정!$L$30)),INDEX(원자료_시장!$A$1:$BZ$1000,설정!$L$6+ROW()-1,설정!$L$30),""),"")</f>
        <v/>
      </c>
      <c r="I319" s="97" t="str">
        <f aca="false">IFERROR(IF(ISNUMBER(INDEX(원자료_시장!$A$1:$BZ$1000,설정!$L$6+ROW()-1,설정!$L$31)),INDEX(원자료_시장!$A$1:$BZ$1000,설정!$L$6+ROW()-1,설정!$L$31),""),"")</f>
        <v/>
      </c>
      <c r="J319" s="97" t="str">
        <f aca="false">IFERROR(IF(ISNUMBER(INDEX(원자료_시장!$A$1:$BZ$1000,설정!$L$6+ROW()-1,설정!$L$32)),INDEX(원자료_시장!$A$1:$BZ$1000,설정!$L$6+ROW()-1,설정!$L$32),""),"")</f>
        <v/>
      </c>
      <c r="K319" s="85" t="str">
        <f aca="false">IFERROR(IF(ISNUMBER(INDEX(원자료_시장!$A$1:$BZ$1000,설정!$L$6+ROW()-1,설정!$L$33)),INDEX(원자료_시장!$A$1:$BZ$1000,설정!$L$6+ROW()-1,설정!$L$33),""),"")</f>
        <v/>
      </c>
      <c r="L319" s="83" t="n">
        <f aca="false">IFERROR(IF(INDEX(원자료_시장!$A$1:$BZ$1000,설정!$L$6+ROW()-1,설정!$L$34)&amp;""="0","",INDEX(원자료_시장!$A$1:$BZ$1000,설정!$L$6+ROW()-1,설정!$L$34)),"")</f>
        <v>0</v>
      </c>
      <c r="M319" s="83" t="n">
        <f aca="false">IFERROR(IF(INDEX(원자료_시장!$A$1:$BZ$1000,설정!$L$6+ROW()-1,설정!$L$35)&amp;""="0","",INDEX(원자료_시장!$A$1:$BZ$1000,설정!$L$6+ROW()-1,설정!$L$35)),"")</f>
        <v>0</v>
      </c>
      <c r="N319" s="83" t="n">
        <f aca="false">IFERROR(IF(INDEX(원자료_시장!$A$1:$BZ$1000,설정!$L$6+ROW()-1,설정!$L$36)&amp;""="0","",INDEX(원자료_시장!$A$1:$BZ$1000,설정!$L$6+ROW()-1,설정!$L$36)),"")</f>
        <v>0</v>
      </c>
      <c r="O319" s="43" t="str">
        <f aca="false">IF($A319="","",UPPER(LEFT($A319,FIND(" ",$A319&amp;" ")-1)))</f>
        <v/>
      </c>
      <c r="P319" s="43" t="str">
        <f aca="false">IF($A319="","",TRIM(RIGHT(SUBSTITUTE(TRIM($A319)," ",REPT(" ",30)),30)))</f>
        <v/>
      </c>
      <c r="Q319" s="98" t="str">
        <f aca="false">IF($A319="","",IFERROR(DATE(IF(LEN(P319)=8,2000+VALUE(RIGHT(P319,2)),VALUE(RIGHT(P319,4))),VALUE(LEFT(P319,2)),VALUE(MID(P319,4,2))),""))</f>
        <v/>
      </c>
      <c r="R319" s="89" t="n">
        <f aca="false">IF($A319="",0,IF(ISNUMBER(SEARCH("Float",$A319)),1,0))</f>
        <v>0</v>
      </c>
      <c r="S319" s="43" t="str">
        <f aca="false">IF($A319="","",TRIM(MID($A319,LEN(O319)+2,LEN($A319)-LEN(O319)-LEN(P319)-1)))</f>
        <v/>
      </c>
      <c r="T319" s="92" t="str">
        <f aca="false">IF(OR($A319="",R319=1),"",IFERROR(IF(ISNUMBER(FIND("/",S319)),IF(ISNUMBER(FIND(" ",S319)),VALUE(LEFT(S319,FIND(" ",S319)-1))+VALUE(MID(S319,FIND(" ",S319)+1,FIND("/",S319)-FIND(" ",S319)-1))/VALUE(MID(S319,FIND("/",S319)+1,9)),VALUE(LEFT(S319,FIND("/",S319)-1))/VALUE(MID(S319,FIND("/",S319)+1,9))),VALUE(S319)),""))</f>
        <v/>
      </c>
      <c r="U319" s="43" t="str">
        <f aca="false">IF(OR($A319="",NOT(ISNUMBER(Q319))),"",TEXT(Q319,"yyyymmdd")&amp;"|"&amp;IF(R319=1,"F",TEXT(T319,"0.000")))</f>
        <v/>
      </c>
      <c r="V319" s="43" t="str">
        <f aca="false">IF(U319="","",O319&amp;"|"&amp;U319)</f>
        <v/>
      </c>
      <c r="W319" s="43" t="str">
        <f aca="false">IF($A319="","",IFERROR(IF(VLOOKUP(O319,매핑!$A$4:$E$92,3,0)="","미분류",VLOOKUP(O319,매핑!$A$4:$E$92,3,0)),"미분류"))</f>
        <v/>
      </c>
      <c r="X319" s="89" t="n">
        <f aca="false">IF($A319="",0,IF(O319="T",1,0))</f>
        <v>0</v>
      </c>
      <c r="Y319" s="89" t="n">
        <f aca="false">IF($A319="",0,IF(AND(C319="USD",X319=0,ISNUMBER(E319),ISNUMBER(K319)),IF(K319&gt;=설정!$C$8,1,0),0))</f>
        <v>0</v>
      </c>
      <c r="Z319" s="43" t="str">
        <f aca="false">IF($A319="","",N319&amp;"|"&amp;L319)</f>
        <v/>
      </c>
      <c r="AA319" s="92" t="n">
        <f aca="false">IF(Y319=1,LN(K319),0)</f>
        <v>0</v>
      </c>
      <c r="AB319" s="93" t="n">
        <f aca="false">IF(Y319=1,E319,0)</f>
        <v>0</v>
      </c>
      <c r="AC319" s="89" t="n">
        <f aca="false">IF(Y319=1,COUNTIFS($Z$2:$Z$601,Z319,$Y$2:$Y$601,1),0)</f>
        <v>0</v>
      </c>
      <c r="AD319" s="89" t="n">
        <f aca="false">IF(Y319=1,COUNTIFS($N$2:$N$601,N319,$Y$2:$Y$601,1),0)</f>
        <v>0</v>
      </c>
      <c r="AE319" s="43" t="str">
        <f aca="false">IF(Y319&lt;&gt;1,"",IF(AND(AC319&gt;=설정!$C$7,ISNUMBER(MATCH(Z319,피어커브!$A:$A,0))),Z319,IF(AND(AD319&gt;=설정!$C$7,ISNUMBER(MATCH(N319&amp;"|전체",피어커브!$A:$A,0))),N319&amp;"|전체","전체|전체")))</f>
        <v/>
      </c>
      <c r="AF319" s="93" t="str">
        <f aca="false">IF(AE319="","",INDEX(피어커브!$K:$K,MATCH(AE319,피어커브!$A:$A,0)))</f>
        <v/>
      </c>
      <c r="AG319" s="93" t="str">
        <f aca="false">IF(AE319="","",INDEX(피어커브!$J:$J,MATCH(AE319,피어커브!$A:$A,0)))</f>
        <v/>
      </c>
      <c r="AH319" s="93" t="str">
        <f aca="false">IF(AE319="","",INDEX(피어커브!$L:$L,MATCH(AE319,피어커브!$A:$A,0)))</f>
        <v/>
      </c>
      <c r="AI319" s="93" t="str">
        <f aca="false">IF(AE319="","",AF319+AG319*AA319)</f>
        <v/>
      </c>
      <c r="AJ319" s="96" t="str">
        <f aca="false">IF(AE319="","",E319-AI319)</f>
        <v/>
      </c>
      <c r="AK319" s="95" t="str">
        <f aca="false">IF(AE319="","",IF(ISNUMBER(AH319),IF(AH319&gt;0,AJ319/AH319,""),""))</f>
        <v/>
      </c>
      <c r="AL319" s="43" t="str">
        <f aca="false">IF(AK319="","-",IF(AK319&gt;=설정!$C$6,"Cheap",IF(AK319&lt;=-설정!$C$6,"Rich","Fair")))</f>
        <v>-</v>
      </c>
      <c r="AM319" s="96" t="str">
        <f aca="false">IF(AE319="","",AJ319-AVERAGEIFS($AJ$2:$AJ$601,$B$2:$B$601,B319,$Y$2:$Y$601,1))</f>
        <v/>
      </c>
      <c r="AN319" s="93" t="n">
        <f aca="false">IF(AE319="",0,IF(K319&gt;1+설정!$C$8,AG319*(AA319-LN(K319-1)),0))</f>
        <v>0</v>
      </c>
      <c r="AO319" s="99" t="n">
        <f aca="false">IF($A319="",0,SUMIFS(보유분석!$AA$2:$AA$801,보유분석!$AB$2:$AB$801,ROW(),보유분석!$AC$2:$AC$801,1))</f>
        <v>0</v>
      </c>
      <c r="AP319" s="43" t="str">
        <f aca="false">IF($A319="","",TRIM(IF(R319=1,"FRN ","")&amp;IF(IFERROR(VLOOKUP(M319,설정!$A$15:$D$47,4,0),0)&gt;=10,IF(IFERROR(VLOOKUP(M319,설정!$A$15:$D$47,4,0),0)&lt;99,"BBB0미만 ",""),"")&amp;IF(OR(M319="",M319="NR"),"등급미입력 ","")&amp;IF(C319&lt;&gt;"USD","비USD ","")))</f>
        <v/>
      </c>
      <c r="AQ319" s="90" t="n">
        <f aca="false">IF(AND(Y319=1,AL319="Cheap"),IF(AND(ISERROR(SEARCH("FRN",AP319)),ISERROR(SEARCH("BBB0미만",AP319))),AK319+ROW()/1000000000,-999),-999)</f>
        <v>-999</v>
      </c>
      <c r="AR319" s="92" t="str">
        <f aca="false">IF(AND(ISNUMBER(D319),ISNUMBER(K319)),D319+AN319*MAX(K319-1,0)/100,"")</f>
        <v/>
      </c>
      <c r="AS319" s="93" t="str">
        <f aca="false">IF(AND(ISNUMBER(E319),ISNUMBER(K319)),IF(K319&gt;0,(E319+AN319*MAX(K319-1,0))/K319,""),"")</f>
        <v/>
      </c>
      <c r="AT319" s="90" t="n">
        <f aca="false">IFERROR(IF(AND(Y319=1,ROW()&lt;&gt;스왑분석!$C$12+1,ABS(K319-INDEX($K$2:$K$601,스왑분석!$C$12))&lt;=스왑분석!$C$5,ISERROR(SEARCH("FRN",AP319)),ISERROR(SEARCH("BBB0미만",AP319))),IF(AND(OR(스왑분석!$C$6="N",L319=INDEX($L$2:$L$601,스왑분석!$C$12)),OR(스왑분석!$C$7="N",N319=INDEX($N$2:$N$601,스왑분석!$C$12)),OR(스왑분석!$C$8="N",AO319=0),E319-INDEX($E$2:$E$601,스왑분석!$C$12)&gt;=스왑분석!$C$9),E319-INDEX($E$2:$E$601,스왑분석!$C$12)+ROW()/1000000000,-999),-999),-999)</f>
        <v>-999</v>
      </c>
      <c r="AU319" s="90" t="n">
        <f aca="false">IF(AND(Y319=1,AO319&gt;0,AL319="Rich"),-AK319+ROW()/1000000000,-999)</f>
        <v>-999</v>
      </c>
    </row>
    <row r="320" customFormat="false" ht="15" hidden="false" customHeight="false" outlineLevel="0" collapsed="false">
      <c r="A320" s="83" t="n">
        <f aca="false">IFERROR(IF(INDEX(원자료_시장!$A$1:$BZ$1000,설정!$L$6+ROW()-1,설정!$L$24)&amp;""="0","",INDEX(원자료_시장!$A$1:$BZ$1000,설정!$L$6+ROW()-1,설정!$L$24)),"")</f>
        <v>0</v>
      </c>
      <c r="B320" s="83" t="n">
        <f aca="false">IFERROR(IF(INDEX(원자료_시장!$A$1:$BZ$1000,설정!$L$6+ROW()-1,설정!$L$37)&amp;""="0","",INDEX(원자료_시장!$A$1:$BZ$1000,설정!$L$6+ROW()-1,설정!$L$37)),"")</f>
        <v>0</v>
      </c>
      <c r="C320" s="83" t="n">
        <f aca="false">IFERROR(IF(INDEX(원자료_시장!$A$1:$BZ$1000,설정!$L$6+ROW()-1,설정!$L$25)&amp;""="0","",INDEX(원자료_시장!$A$1:$BZ$1000,설정!$L$6+ROW()-1,설정!$L$25)),"")</f>
        <v>0</v>
      </c>
      <c r="D320" s="85" t="str">
        <f aca="false">IFERROR(IF(ISNUMBER(INDEX(원자료_시장!$A$1:$BZ$1000,설정!$L$6+ROW()-1,설정!$L$26)),INDEX(원자료_시장!$A$1:$BZ$1000,설정!$L$6+ROW()-1,설정!$L$26),""),"")</f>
        <v/>
      </c>
      <c r="E320" s="97" t="str">
        <f aca="false">IFERROR(IF(ISNUMBER(INDEX(원자료_시장!$A$1:$BZ$1000,설정!$L$6+ROW()-1,설정!$L$27)),INDEX(원자료_시장!$A$1:$BZ$1000,설정!$L$6+ROW()-1,설정!$L$27),""),"")</f>
        <v/>
      </c>
      <c r="F320" s="97" t="str">
        <f aca="false">IFERROR(IF(ISNUMBER(INDEX(원자료_시장!$A$1:$BZ$1000,설정!$L$6+ROW()-1,설정!$L$28)),INDEX(원자료_시장!$A$1:$BZ$1000,설정!$L$6+ROW()-1,설정!$L$28),""),"")</f>
        <v/>
      </c>
      <c r="G320" s="97" t="str">
        <f aca="false">IFERROR(IF(ISNUMBER(INDEX(원자료_시장!$A$1:$BZ$1000,설정!$L$6+ROW()-1,설정!$L$29)),INDEX(원자료_시장!$A$1:$BZ$1000,설정!$L$6+ROW()-1,설정!$L$29),""),"")</f>
        <v/>
      </c>
      <c r="H320" s="97" t="str">
        <f aca="false">IFERROR(IF(ISNUMBER(INDEX(원자료_시장!$A$1:$BZ$1000,설정!$L$6+ROW()-1,설정!$L$30)),INDEX(원자료_시장!$A$1:$BZ$1000,설정!$L$6+ROW()-1,설정!$L$30),""),"")</f>
        <v/>
      </c>
      <c r="I320" s="97" t="str">
        <f aca="false">IFERROR(IF(ISNUMBER(INDEX(원자료_시장!$A$1:$BZ$1000,설정!$L$6+ROW()-1,설정!$L$31)),INDEX(원자료_시장!$A$1:$BZ$1000,설정!$L$6+ROW()-1,설정!$L$31),""),"")</f>
        <v/>
      </c>
      <c r="J320" s="97" t="str">
        <f aca="false">IFERROR(IF(ISNUMBER(INDEX(원자료_시장!$A$1:$BZ$1000,설정!$L$6+ROW()-1,설정!$L$32)),INDEX(원자료_시장!$A$1:$BZ$1000,설정!$L$6+ROW()-1,설정!$L$32),""),"")</f>
        <v/>
      </c>
      <c r="K320" s="85" t="str">
        <f aca="false">IFERROR(IF(ISNUMBER(INDEX(원자료_시장!$A$1:$BZ$1000,설정!$L$6+ROW()-1,설정!$L$33)),INDEX(원자료_시장!$A$1:$BZ$1000,설정!$L$6+ROW()-1,설정!$L$33),""),"")</f>
        <v/>
      </c>
      <c r="L320" s="83" t="n">
        <f aca="false">IFERROR(IF(INDEX(원자료_시장!$A$1:$BZ$1000,설정!$L$6+ROW()-1,설정!$L$34)&amp;""="0","",INDEX(원자료_시장!$A$1:$BZ$1000,설정!$L$6+ROW()-1,설정!$L$34)),"")</f>
        <v>0</v>
      </c>
      <c r="M320" s="83" t="n">
        <f aca="false">IFERROR(IF(INDEX(원자료_시장!$A$1:$BZ$1000,설정!$L$6+ROW()-1,설정!$L$35)&amp;""="0","",INDEX(원자료_시장!$A$1:$BZ$1000,설정!$L$6+ROW()-1,설정!$L$35)),"")</f>
        <v>0</v>
      </c>
      <c r="N320" s="83" t="n">
        <f aca="false">IFERROR(IF(INDEX(원자료_시장!$A$1:$BZ$1000,설정!$L$6+ROW()-1,설정!$L$36)&amp;""="0","",INDEX(원자료_시장!$A$1:$BZ$1000,설정!$L$6+ROW()-1,설정!$L$36)),"")</f>
        <v>0</v>
      </c>
      <c r="O320" s="43" t="str">
        <f aca="false">IF($A320="","",UPPER(LEFT($A320,FIND(" ",$A320&amp;" ")-1)))</f>
        <v/>
      </c>
      <c r="P320" s="43" t="str">
        <f aca="false">IF($A320="","",TRIM(RIGHT(SUBSTITUTE(TRIM($A320)," ",REPT(" ",30)),30)))</f>
        <v/>
      </c>
      <c r="Q320" s="98" t="str">
        <f aca="false">IF($A320="","",IFERROR(DATE(IF(LEN(P320)=8,2000+VALUE(RIGHT(P320,2)),VALUE(RIGHT(P320,4))),VALUE(LEFT(P320,2)),VALUE(MID(P320,4,2))),""))</f>
        <v/>
      </c>
      <c r="R320" s="89" t="n">
        <f aca="false">IF($A320="",0,IF(ISNUMBER(SEARCH("Float",$A320)),1,0))</f>
        <v>0</v>
      </c>
      <c r="S320" s="43" t="str">
        <f aca="false">IF($A320="","",TRIM(MID($A320,LEN(O320)+2,LEN($A320)-LEN(O320)-LEN(P320)-1)))</f>
        <v/>
      </c>
      <c r="T320" s="92" t="str">
        <f aca="false">IF(OR($A320="",R320=1),"",IFERROR(IF(ISNUMBER(FIND("/",S320)),IF(ISNUMBER(FIND(" ",S320)),VALUE(LEFT(S320,FIND(" ",S320)-1))+VALUE(MID(S320,FIND(" ",S320)+1,FIND("/",S320)-FIND(" ",S320)-1))/VALUE(MID(S320,FIND("/",S320)+1,9)),VALUE(LEFT(S320,FIND("/",S320)-1))/VALUE(MID(S320,FIND("/",S320)+1,9))),VALUE(S320)),""))</f>
        <v/>
      </c>
      <c r="U320" s="43" t="str">
        <f aca="false">IF(OR($A320="",NOT(ISNUMBER(Q320))),"",TEXT(Q320,"yyyymmdd")&amp;"|"&amp;IF(R320=1,"F",TEXT(T320,"0.000")))</f>
        <v/>
      </c>
      <c r="V320" s="43" t="str">
        <f aca="false">IF(U320="","",O320&amp;"|"&amp;U320)</f>
        <v/>
      </c>
      <c r="W320" s="43" t="str">
        <f aca="false">IF($A320="","",IFERROR(IF(VLOOKUP(O320,매핑!$A$4:$E$92,3,0)="","미분류",VLOOKUP(O320,매핑!$A$4:$E$92,3,0)),"미분류"))</f>
        <v/>
      </c>
      <c r="X320" s="89" t="n">
        <f aca="false">IF($A320="",0,IF(O320="T",1,0))</f>
        <v>0</v>
      </c>
      <c r="Y320" s="89" t="n">
        <f aca="false">IF($A320="",0,IF(AND(C320="USD",X320=0,ISNUMBER(E320),ISNUMBER(K320)),IF(K320&gt;=설정!$C$8,1,0),0))</f>
        <v>0</v>
      </c>
      <c r="Z320" s="43" t="str">
        <f aca="false">IF($A320="","",N320&amp;"|"&amp;L320)</f>
        <v/>
      </c>
      <c r="AA320" s="92" t="n">
        <f aca="false">IF(Y320=1,LN(K320),0)</f>
        <v>0</v>
      </c>
      <c r="AB320" s="93" t="n">
        <f aca="false">IF(Y320=1,E320,0)</f>
        <v>0</v>
      </c>
      <c r="AC320" s="89" t="n">
        <f aca="false">IF(Y320=1,COUNTIFS($Z$2:$Z$601,Z320,$Y$2:$Y$601,1),0)</f>
        <v>0</v>
      </c>
      <c r="AD320" s="89" t="n">
        <f aca="false">IF(Y320=1,COUNTIFS($N$2:$N$601,N320,$Y$2:$Y$601,1),0)</f>
        <v>0</v>
      </c>
      <c r="AE320" s="43" t="str">
        <f aca="false">IF(Y320&lt;&gt;1,"",IF(AND(AC320&gt;=설정!$C$7,ISNUMBER(MATCH(Z320,피어커브!$A:$A,0))),Z320,IF(AND(AD320&gt;=설정!$C$7,ISNUMBER(MATCH(N320&amp;"|전체",피어커브!$A:$A,0))),N320&amp;"|전체","전체|전체")))</f>
        <v/>
      </c>
      <c r="AF320" s="93" t="str">
        <f aca="false">IF(AE320="","",INDEX(피어커브!$K:$K,MATCH(AE320,피어커브!$A:$A,0)))</f>
        <v/>
      </c>
      <c r="AG320" s="93" t="str">
        <f aca="false">IF(AE320="","",INDEX(피어커브!$J:$J,MATCH(AE320,피어커브!$A:$A,0)))</f>
        <v/>
      </c>
      <c r="AH320" s="93" t="str">
        <f aca="false">IF(AE320="","",INDEX(피어커브!$L:$L,MATCH(AE320,피어커브!$A:$A,0)))</f>
        <v/>
      </c>
      <c r="AI320" s="93" t="str">
        <f aca="false">IF(AE320="","",AF320+AG320*AA320)</f>
        <v/>
      </c>
      <c r="AJ320" s="96" t="str">
        <f aca="false">IF(AE320="","",E320-AI320)</f>
        <v/>
      </c>
      <c r="AK320" s="95" t="str">
        <f aca="false">IF(AE320="","",IF(ISNUMBER(AH320),IF(AH320&gt;0,AJ320/AH320,""),""))</f>
        <v/>
      </c>
      <c r="AL320" s="43" t="str">
        <f aca="false">IF(AK320="","-",IF(AK320&gt;=설정!$C$6,"Cheap",IF(AK320&lt;=-설정!$C$6,"Rich","Fair")))</f>
        <v>-</v>
      </c>
      <c r="AM320" s="96" t="str">
        <f aca="false">IF(AE320="","",AJ320-AVERAGEIFS($AJ$2:$AJ$601,$B$2:$B$601,B320,$Y$2:$Y$601,1))</f>
        <v/>
      </c>
      <c r="AN320" s="93" t="n">
        <f aca="false">IF(AE320="",0,IF(K320&gt;1+설정!$C$8,AG320*(AA320-LN(K320-1)),0))</f>
        <v>0</v>
      </c>
      <c r="AO320" s="99" t="n">
        <f aca="false">IF($A320="",0,SUMIFS(보유분석!$AA$2:$AA$801,보유분석!$AB$2:$AB$801,ROW(),보유분석!$AC$2:$AC$801,1))</f>
        <v>0</v>
      </c>
      <c r="AP320" s="43" t="str">
        <f aca="false">IF($A320="","",TRIM(IF(R320=1,"FRN ","")&amp;IF(IFERROR(VLOOKUP(M320,설정!$A$15:$D$47,4,0),0)&gt;=10,IF(IFERROR(VLOOKUP(M320,설정!$A$15:$D$47,4,0),0)&lt;99,"BBB0미만 ",""),"")&amp;IF(OR(M320="",M320="NR"),"등급미입력 ","")&amp;IF(C320&lt;&gt;"USD","비USD ","")))</f>
        <v/>
      </c>
      <c r="AQ320" s="90" t="n">
        <f aca="false">IF(AND(Y320=1,AL320="Cheap"),IF(AND(ISERROR(SEARCH("FRN",AP320)),ISERROR(SEARCH("BBB0미만",AP320))),AK320+ROW()/1000000000,-999),-999)</f>
        <v>-999</v>
      </c>
      <c r="AR320" s="92" t="str">
        <f aca="false">IF(AND(ISNUMBER(D320),ISNUMBER(K320)),D320+AN320*MAX(K320-1,0)/100,"")</f>
        <v/>
      </c>
      <c r="AS320" s="93" t="str">
        <f aca="false">IF(AND(ISNUMBER(E320),ISNUMBER(K320)),IF(K320&gt;0,(E320+AN320*MAX(K320-1,0))/K320,""),"")</f>
        <v/>
      </c>
      <c r="AT320" s="90" t="n">
        <f aca="false">IFERROR(IF(AND(Y320=1,ROW()&lt;&gt;스왑분석!$C$12+1,ABS(K320-INDEX($K$2:$K$601,스왑분석!$C$12))&lt;=스왑분석!$C$5,ISERROR(SEARCH("FRN",AP320)),ISERROR(SEARCH("BBB0미만",AP320))),IF(AND(OR(스왑분석!$C$6="N",L320=INDEX($L$2:$L$601,스왑분석!$C$12)),OR(스왑분석!$C$7="N",N320=INDEX($N$2:$N$601,스왑분석!$C$12)),OR(스왑분석!$C$8="N",AO320=0),E320-INDEX($E$2:$E$601,스왑분석!$C$12)&gt;=스왑분석!$C$9),E320-INDEX($E$2:$E$601,스왑분석!$C$12)+ROW()/1000000000,-999),-999),-999)</f>
        <v>-999</v>
      </c>
      <c r="AU320" s="90" t="n">
        <f aca="false">IF(AND(Y320=1,AO320&gt;0,AL320="Rich"),-AK320+ROW()/1000000000,-999)</f>
        <v>-999</v>
      </c>
    </row>
    <row r="321" customFormat="false" ht="15" hidden="false" customHeight="false" outlineLevel="0" collapsed="false">
      <c r="A321" s="83" t="n">
        <f aca="false">IFERROR(IF(INDEX(원자료_시장!$A$1:$BZ$1000,설정!$L$6+ROW()-1,설정!$L$24)&amp;""="0","",INDEX(원자료_시장!$A$1:$BZ$1000,설정!$L$6+ROW()-1,설정!$L$24)),"")</f>
        <v>0</v>
      </c>
      <c r="B321" s="83" t="n">
        <f aca="false">IFERROR(IF(INDEX(원자료_시장!$A$1:$BZ$1000,설정!$L$6+ROW()-1,설정!$L$37)&amp;""="0","",INDEX(원자료_시장!$A$1:$BZ$1000,설정!$L$6+ROW()-1,설정!$L$37)),"")</f>
        <v>0</v>
      </c>
      <c r="C321" s="83" t="n">
        <f aca="false">IFERROR(IF(INDEX(원자료_시장!$A$1:$BZ$1000,설정!$L$6+ROW()-1,설정!$L$25)&amp;""="0","",INDEX(원자료_시장!$A$1:$BZ$1000,설정!$L$6+ROW()-1,설정!$L$25)),"")</f>
        <v>0</v>
      </c>
      <c r="D321" s="85" t="str">
        <f aca="false">IFERROR(IF(ISNUMBER(INDEX(원자료_시장!$A$1:$BZ$1000,설정!$L$6+ROW()-1,설정!$L$26)),INDEX(원자료_시장!$A$1:$BZ$1000,설정!$L$6+ROW()-1,설정!$L$26),""),"")</f>
        <v/>
      </c>
      <c r="E321" s="97" t="str">
        <f aca="false">IFERROR(IF(ISNUMBER(INDEX(원자료_시장!$A$1:$BZ$1000,설정!$L$6+ROW()-1,설정!$L$27)),INDEX(원자료_시장!$A$1:$BZ$1000,설정!$L$6+ROW()-1,설정!$L$27),""),"")</f>
        <v/>
      </c>
      <c r="F321" s="97" t="str">
        <f aca="false">IFERROR(IF(ISNUMBER(INDEX(원자료_시장!$A$1:$BZ$1000,설정!$L$6+ROW()-1,설정!$L$28)),INDEX(원자료_시장!$A$1:$BZ$1000,설정!$L$6+ROW()-1,설정!$L$28),""),"")</f>
        <v/>
      </c>
      <c r="G321" s="97" t="str">
        <f aca="false">IFERROR(IF(ISNUMBER(INDEX(원자료_시장!$A$1:$BZ$1000,설정!$L$6+ROW()-1,설정!$L$29)),INDEX(원자료_시장!$A$1:$BZ$1000,설정!$L$6+ROW()-1,설정!$L$29),""),"")</f>
        <v/>
      </c>
      <c r="H321" s="97" t="str">
        <f aca="false">IFERROR(IF(ISNUMBER(INDEX(원자료_시장!$A$1:$BZ$1000,설정!$L$6+ROW()-1,설정!$L$30)),INDEX(원자료_시장!$A$1:$BZ$1000,설정!$L$6+ROW()-1,설정!$L$30),""),"")</f>
        <v/>
      </c>
      <c r="I321" s="97" t="str">
        <f aca="false">IFERROR(IF(ISNUMBER(INDEX(원자료_시장!$A$1:$BZ$1000,설정!$L$6+ROW()-1,설정!$L$31)),INDEX(원자료_시장!$A$1:$BZ$1000,설정!$L$6+ROW()-1,설정!$L$31),""),"")</f>
        <v/>
      </c>
      <c r="J321" s="97" t="str">
        <f aca="false">IFERROR(IF(ISNUMBER(INDEX(원자료_시장!$A$1:$BZ$1000,설정!$L$6+ROW()-1,설정!$L$32)),INDEX(원자료_시장!$A$1:$BZ$1000,설정!$L$6+ROW()-1,설정!$L$32),""),"")</f>
        <v/>
      </c>
      <c r="K321" s="85" t="str">
        <f aca="false">IFERROR(IF(ISNUMBER(INDEX(원자료_시장!$A$1:$BZ$1000,설정!$L$6+ROW()-1,설정!$L$33)),INDEX(원자료_시장!$A$1:$BZ$1000,설정!$L$6+ROW()-1,설정!$L$33),""),"")</f>
        <v/>
      </c>
      <c r="L321" s="83" t="n">
        <f aca="false">IFERROR(IF(INDEX(원자료_시장!$A$1:$BZ$1000,설정!$L$6+ROW()-1,설정!$L$34)&amp;""="0","",INDEX(원자료_시장!$A$1:$BZ$1000,설정!$L$6+ROW()-1,설정!$L$34)),"")</f>
        <v>0</v>
      </c>
      <c r="M321" s="83" t="n">
        <f aca="false">IFERROR(IF(INDEX(원자료_시장!$A$1:$BZ$1000,설정!$L$6+ROW()-1,설정!$L$35)&amp;""="0","",INDEX(원자료_시장!$A$1:$BZ$1000,설정!$L$6+ROW()-1,설정!$L$35)),"")</f>
        <v>0</v>
      </c>
      <c r="N321" s="83" t="n">
        <f aca="false">IFERROR(IF(INDEX(원자료_시장!$A$1:$BZ$1000,설정!$L$6+ROW()-1,설정!$L$36)&amp;""="0","",INDEX(원자료_시장!$A$1:$BZ$1000,설정!$L$6+ROW()-1,설정!$L$36)),"")</f>
        <v>0</v>
      </c>
      <c r="O321" s="43" t="str">
        <f aca="false">IF($A321="","",UPPER(LEFT($A321,FIND(" ",$A321&amp;" ")-1)))</f>
        <v/>
      </c>
      <c r="P321" s="43" t="str">
        <f aca="false">IF($A321="","",TRIM(RIGHT(SUBSTITUTE(TRIM($A321)," ",REPT(" ",30)),30)))</f>
        <v/>
      </c>
      <c r="Q321" s="98" t="str">
        <f aca="false">IF($A321="","",IFERROR(DATE(IF(LEN(P321)=8,2000+VALUE(RIGHT(P321,2)),VALUE(RIGHT(P321,4))),VALUE(LEFT(P321,2)),VALUE(MID(P321,4,2))),""))</f>
        <v/>
      </c>
      <c r="R321" s="89" t="n">
        <f aca="false">IF($A321="",0,IF(ISNUMBER(SEARCH("Float",$A321)),1,0))</f>
        <v>0</v>
      </c>
      <c r="S321" s="43" t="str">
        <f aca="false">IF($A321="","",TRIM(MID($A321,LEN(O321)+2,LEN($A321)-LEN(O321)-LEN(P321)-1)))</f>
        <v/>
      </c>
      <c r="T321" s="92" t="str">
        <f aca="false">IF(OR($A321="",R321=1),"",IFERROR(IF(ISNUMBER(FIND("/",S321)),IF(ISNUMBER(FIND(" ",S321)),VALUE(LEFT(S321,FIND(" ",S321)-1))+VALUE(MID(S321,FIND(" ",S321)+1,FIND("/",S321)-FIND(" ",S321)-1))/VALUE(MID(S321,FIND("/",S321)+1,9)),VALUE(LEFT(S321,FIND("/",S321)-1))/VALUE(MID(S321,FIND("/",S321)+1,9))),VALUE(S321)),""))</f>
        <v/>
      </c>
      <c r="U321" s="43" t="str">
        <f aca="false">IF(OR($A321="",NOT(ISNUMBER(Q321))),"",TEXT(Q321,"yyyymmdd")&amp;"|"&amp;IF(R321=1,"F",TEXT(T321,"0.000")))</f>
        <v/>
      </c>
      <c r="V321" s="43" t="str">
        <f aca="false">IF(U321="","",O321&amp;"|"&amp;U321)</f>
        <v/>
      </c>
      <c r="W321" s="43" t="str">
        <f aca="false">IF($A321="","",IFERROR(IF(VLOOKUP(O321,매핑!$A$4:$E$92,3,0)="","미분류",VLOOKUP(O321,매핑!$A$4:$E$92,3,0)),"미분류"))</f>
        <v/>
      </c>
      <c r="X321" s="89" t="n">
        <f aca="false">IF($A321="",0,IF(O321="T",1,0))</f>
        <v>0</v>
      </c>
      <c r="Y321" s="89" t="n">
        <f aca="false">IF($A321="",0,IF(AND(C321="USD",X321=0,ISNUMBER(E321),ISNUMBER(K321)),IF(K321&gt;=설정!$C$8,1,0),0))</f>
        <v>0</v>
      </c>
      <c r="Z321" s="43" t="str">
        <f aca="false">IF($A321="","",N321&amp;"|"&amp;L321)</f>
        <v/>
      </c>
      <c r="AA321" s="92" t="n">
        <f aca="false">IF(Y321=1,LN(K321),0)</f>
        <v>0</v>
      </c>
      <c r="AB321" s="93" t="n">
        <f aca="false">IF(Y321=1,E321,0)</f>
        <v>0</v>
      </c>
      <c r="AC321" s="89" t="n">
        <f aca="false">IF(Y321=1,COUNTIFS($Z$2:$Z$601,Z321,$Y$2:$Y$601,1),0)</f>
        <v>0</v>
      </c>
      <c r="AD321" s="89" t="n">
        <f aca="false">IF(Y321=1,COUNTIFS($N$2:$N$601,N321,$Y$2:$Y$601,1),0)</f>
        <v>0</v>
      </c>
      <c r="AE321" s="43" t="str">
        <f aca="false">IF(Y321&lt;&gt;1,"",IF(AND(AC321&gt;=설정!$C$7,ISNUMBER(MATCH(Z321,피어커브!$A:$A,0))),Z321,IF(AND(AD321&gt;=설정!$C$7,ISNUMBER(MATCH(N321&amp;"|전체",피어커브!$A:$A,0))),N321&amp;"|전체","전체|전체")))</f>
        <v/>
      </c>
      <c r="AF321" s="93" t="str">
        <f aca="false">IF(AE321="","",INDEX(피어커브!$K:$K,MATCH(AE321,피어커브!$A:$A,0)))</f>
        <v/>
      </c>
      <c r="AG321" s="93" t="str">
        <f aca="false">IF(AE321="","",INDEX(피어커브!$J:$J,MATCH(AE321,피어커브!$A:$A,0)))</f>
        <v/>
      </c>
      <c r="AH321" s="93" t="str">
        <f aca="false">IF(AE321="","",INDEX(피어커브!$L:$L,MATCH(AE321,피어커브!$A:$A,0)))</f>
        <v/>
      </c>
      <c r="AI321" s="93" t="str">
        <f aca="false">IF(AE321="","",AF321+AG321*AA321)</f>
        <v/>
      </c>
      <c r="AJ321" s="96" t="str">
        <f aca="false">IF(AE321="","",E321-AI321)</f>
        <v/>
      </c>
      <c r="AK321" s="95" t="str">
        <f aca="false">IF(AE321="","",IF(ISNUMBER(AH321),IF(AH321&gt;0,AJ321/AH321,""),""))</f>
        <v/>
      </c>
      <c r="AL321" s="43" t="str">
        <f aca="false">IF(AK321="","-",IF(AK321&gt;=설정!$C$6,"Cheap",IF(AK321&lt;=-설정!$C$6,"Rich","Fair")))</f>
        <v>-</v>
      </c>
      <c r="AM321" s="96" t="str">
        <f aca="false">IF(AE321="","",AJ321-AVERAGEIFS($AJ$2:$AJ$601,$B$2:$B$601,B321,$Y$2:$Y$601,1))</f>
        <v/>
      </c>
      <c r="AN321" s="93" t="n">
        <f aca="false">IF(AE321="",0,IF(K321&gt;1+설정!$C$8,AG321*(AA321-LN(K321-1)),0))</f>
        <v>0</v>
      </c>
      <c r="AO321" s="99" t="n">
        <f aca="false">IF($A321="",0,SUMIFS(보유분석!$AA$2:$AA$801,보유분석!$AB$2:$AB$801,ROW(),보유분석!$AC$2:$AC$801,1))</f>
        <v>0</v>
      </c>
      <c r="AP321" s="43" t="str">
        <f aca="false">IF($A321="","",TRIM(IF(R321=1,"FRN ","")&amp;IF(IFERROR(VLOOKUP(M321,설정!$A$15:$D$47,4,0),0)&gt;=10,IF(IFERROR(VLOOKUP(M321,설정!$A$15:$D$47,4,0),0)&lt;99,"BBB0미만 ",""),"")&amp;IF(OR(M321="",M321="NR"),"등급미입력 ","")&amp;IF(C321&lt;&gt;"USD","비USD ","")))</f>
        <v/>
      </c>
      <c r="AQ321" s="90" t="n">
        <f aca="false">IF(AND(Y321=1,AL321="Cheap"),IF(AND(ISERROR(SEARCH("FRN",AP321)),ISERROR(SEARCH("BBB0미만",AP321))),AK321+ROW()/1000000000,-999),-999)</f>
        <v>-999</v>
      </c>
      <c r="AR321" s="92" t="str">
        <f aca="false">IF(AND(ISNUMBER(D321),ISNUMBER(K321)),D321+AN321*MAX(K321-1,0)/100,"")</f>
        <v/>
      </c>
      <c r="AS321" s="93" t="str">
        <f aca="false">IF(AND(ISNUMBER(E321),ISNUMBER(K321)),IF(K321&gt;0,(E321+AN321*MAX(K321-1,0))/K321,""),"")</f>
        <v/>
      </c>
      <c r="AT321" s="90" t="n">
        <f aca="false">IFERROR(IF(AND(Y321=1,ROW()&lt;&gt;스왑분석!$C$12+1,ABS(K321-INDEX($K$2:$K$601,스왑분석!$C$12))&lt;=스왑분석!$C$5,ISERROR(SEARCH("FRN",AP321)),ISERROR(SEARCH("BBB0미만",AP321))),IF(AND(OR(스왑분석!$C$6="N",L321=INDEX($L$2:$L$601,스왑분석!$C$12)),OR(스왑분석!$C$7="N",N321=INDEX($N$2:$N$601,스왑분석!$C$12)),OR(스왑분석!$C$8="N",AO321=0),E321-INDEX($E$2:$E$601,스왑분석!$C$12)&gt;=스왑분석!$C$9),E321-INDEX($E$2:$E$601,스왑분석!$C$12)+ROW()/1000000000,-999),-999),-999)</f>
        <v>-999</v>
      </c>
      <c r="AU321" s="90" t="n">
        <f aca="false">IF(AND(Y321=1,AO321&gt;0,AL321="Rich"),-AK321+ROW()/1000000000,-999)</f>
        <v>-999</v>
      </c>
    </row>
    <row r="322" customFormat="false" ht="15" hidden="false" customHeight="false" outlineLevel="0" collapsed="false">
      <c r="A322" s="83" t="n">
        <f aca="false">IFERROR(IF(INDEX(원자료_시장!$A$1:$BZ$1000,설정!$L$6+ROW()-1,설정!$L$24)&amp;""="0","",INDEX(원자료_시장!$A$1:$BZ$1000,설정!$L$6+ROW()-1,설정!$L$24)),"")</f>
        <v>0</v>
      </c>
      <c r="B322" s="83" t="n">
        <f aca="false">IFERROR(IF(INDEX(원자료_시장!$A$1:$BZ$1000,설정!$L$6+ROW()-1,설정!$L$37)&amp;""="0","",INDEX(원자료_시장!$A$1:$BZ$1000,설정!$L$6+ROW()-1,설정!$L$37)),"")</f>
        <v>0</v>
      </c>
      <c r="C322" s="83" t="n">
        <f aca="false">IFERROR(IF(INDEX(원자료_시장!$A$1:$BZ$1000,설정!$L$6+ROW()-1,설정!$L$25)&amp;""="0","",INDEX(원자료_시장!$A$1:$BZ$1000,설정!$L$6+ROW()-1,설정!$L$25)),"")</f>
        <v>0</v>
      </c>
      <c r="D322" s="85" t="str">
        <f aca="false">IFERROR(IF(ISNUMBER(INDEX(원자료_시장!$A$1:$BZ$1000,설정!$L$6+ROW()-1,설정!$L$26)),INDEX(원자료_시장!$A$1:$BZ$1000,설정!$L$6+ROW()-1,설정!$L$26),""),"")</f>
        <v/>
      </c>
      <c r="E322" s="97" t="str">
        <f aca="false">IFERROR(IF(ISNUMBER(INDEX(원자료_시장!$A$1:$BZ$1000,설정!$L$6+ROW()-1,설정!$L$27)),INDEX(원자료_시장!$A$1:$BZ$1000,설정!$L$6+ROW()-1,설정!$L$27),""),"")</f>
        <v/>
      </c>
      <c r="F322" s="97" t="str">
        <f aca="false">IFERROR(IF(ISNUMBER(INDEX(원자료_시장!$A$1:$BZ$1000,설정!$L$6+ROW()-1,설정!$L$28)),INDEX(원자료_시장!$A$1:$BZ$1000,설정!$L$6+ROW()-1,설정!$L$28),""),"")</f>
        <v/>
      </c>
      <c r="G322" s="97" t="str">
        <f aca="false">IFERROR(IF(ISNUMBER(INDEX(원자료_시장!$A$1:$BZ$1000,설정!$L$6+ROW()-1,설정!$L$29)),INDEX(원자료_시장!$A$1:$BZ$1000,설정!$L$6+ROW()-1,설정!$L$29),""),"")</f>
        <v/>
      </c>
      <c r="H322" s="97" t="str">
        <f aca="false">IFERROR(IF(ISNUMBER(INDEX(원자료_시장!$A$1:$BZ$1000,설정!$L$6+ROW()-1,설정!$L$30)),INDEX(원자료_시장!$A$1:$BZ$1000,설정!$L$6+ROW()-1,설정!$L$30),""),"")</f>
        <v/>
      </c>
      <c r="I322" s="97" t="str">
        <f aca="false">IFERROR(IF(ISNUMBER(INDEX(원자료_시장!$A$1:$BZ$1000,설정!$L$6+ROW()-1,설정!$L$31)),INDEX(원자료_시장!$A$1:$BZ$1000,설정!$L$6+ROW()-1,설정!$L$31),""),"")</f>
        <v/>
      </c>
      <c r="J322" s="97" t="str">
        <f aca="false">IFERROR(IF(ISNUMBER(INDEX(원자료_시장!$A$1:$BZ$1000,설정!$L$6+ROW()-1,설정!$L$32)),INDEX(원자료_시장!$A$1:$BZ$1000,설정!$L$6+ROW()-1,설정!$L$32),""),"")</f>
        <v/>
      </c>
      <c r="K322" s="85" t="str">
        <f aca="false">IFERROR(IF(ISNUMBER(INDEX(원자료_시장!$A$1:$BZ$1000,설정!$L$6+ROW()-1,설정!$L$33)),INDEX(원자료_시장!$A$1:$BZ$1000,설정!$L$6+ROW()-1,설정!$L$33),""),"")</f>
        <v/>
      </c>
      <c r="L322" s="83" t="n">
        <f aca="false">IFERROR(IF(INDEX(원자료_시장!$A$1:$BZ$1000,설정!$L$6+ROW()-1,설정!$L$34)&amp;""="0","",INDEX(원자료_시장!$A$1:$BZ$1000,설정!$L$6+ROW()-1,설정!$L$34)),"")</f>
        <v>0</v>
      </c>
      <c r="M322" s="83" t="n">
        <f aca="false">IFERROR(IF(INDEX(원자료_시장!$A$1:$BZ$1000,설정!$L$6+ROW()-1,설정!$L$35)&amp;""="0","",INDEX(원자료_시장!$A$1:$BZ$1000,설정!$L$6+ROW()-1,설정!$L$35)),"")</f>
        <v>0</v>
      </c>
      <c r="N322" s="83" t="n">
        <f aca="false">IFERROR(IF(INDEX(원자료_시장!$A$1:$BZ$1000,설정!$L$6+ROW()-1,설정!$L$36)&amp;""="0","",INDEX(원자료_시장!$A$1:$BZ$1000,설정!$L$6+ROW()-1,설정!$L$36)),"")</f>
        <v>0</v>
      </c>
      <c r="O322" s="43" t="str">
        <f aca="false">IF($A322="","",UPPER(LEFT($A322,FIND(" ",$A322&amp;" ")-1)))</f>
        <v/>
      </c>
      <c r="P322" s="43" t="str">
        <f aca="false">IF($A322="","",TRIM(RIGHT(SUBSTITUTE(TRIM($A322)," ",REPT(" ",30)),30)))</f>
        <v/>
      </c>
      <c r="Q322" s="98" t="str">
        <f aca="false">IF($A322="","",IFERROR(DATE(IF(LEN(P322)=8,2000+VALUE(RIGHT(P322,2)),VALUE(RIGHT(P322,4))),VALUE(LEFT(P322,2)),VALUE(MID(P322,4,2))),""))</f>
        <v/>
      </c>
      <c r="R322" s="89" t="n">
        <f aca="false">IF($A322="",0,IF(ISNUMBER(SEARCH("Float",$A322)),1,0))</f>
        <v>0</v>
      </c>
      <c r="S322" s="43" t="str">
        <f aca="false">IF($A322="","",TRIM(MID($A322,LEN(O322)+2,LEN($A322)-LEN(O322)-LEN(P322)-1)))</f>
        <v/>
      </c>
      <c r="T322" s="92" t="str">
        <f aca="false">IF(OR($A322="",R322=1),"",IFERROR(IF(ISNUMBER(FIND("/",S322)),IF(ISNUMBER(FIND(" ",S322)),VALUE(LEFT(S322,FIND(" ",S322)-1))+VALUE(MID(S322,FIND(" ",S322)+1,FIND("/",S322)-FIND(" ",S322)-1))/VALUE(MID(S322,FIND("/",S322)+1,9)),VALUE(LEFT(S322,FIND("/",S322)-1))/VALUE(MID(S322,FIND("/",S322)+1,9))),VALUE(S322)),""))</f>
        <v/>
      </c>
      <c r="U322" s="43" t="str">
        <f aca="false">IF(OR($A322="",NOT(ISNUMBER(Q322))),"",TEXT(Q322,"yyyymmdd")&amp;"|"&amp;IF(R322=1,"F",TEXT(T322,"0.000")))</f>
        <v/>
      </c>
      <c r="V322" s="43" t="str">
        <f aca="false">IF(U322="","",O322&amp;"|"&amp;U322)</f>
        <v/>
      </c>
      <c r="W322" s="43" t="str">
        <f aca="false">IF($A322="","",IFERROR(IF(VLOOKUP(O322,매핑!$A$4:$E$92,3,0)="","미분류",VLOOKUP(O322,매핑!$A$4:$E$92,3,0)),"미분류"))</f>
        <v/>
      </c>
      <c r="X322" s="89" t="n">
        <f aca="false">IF($A322="",0,IF(O322="T",1,0))</f>
        <v>0</v>
      </c>
      <c r="Y322" s="89" t="n">
        <f aca="false">IF($A322="",0,IF(AND(C322="USD",X322=0,ISNUMBER(E322),ISNUMBER(K322)),IF(K322&gt;=설정!$C$8,1,0),0))</f>
        <v>0</v>
      </c>
      <c r="Z322" s="43" t="str">
        <f aca="false">IF($A322="","",N322&amp;"|"&amp;L322)</f>
        <v/>
      </c>
      <c r="AA322" s="92" t="n">
        <f aca="false">IF(Y322=1,LN(K322),0)</f>
        <v>0</v>
      </c>
      <c r="AB322" s="93" t="n">
        <f aca="false">IF(Y322=1,E322,0)</f>
        <v>0</v>
      </c>
      <c r="AC322" s="89" t="n">
        <f aca="false">IF(Y322=1,COUNTIFS($Z$2:$Z$601,Z322,$Y$2:$Y$601,1),0)</f>
        <v>0</v>
      </c>
      <c r="AD322" s="89" t="n">
        <f aca="false">IF(Y322=1,COUNTIFS($N$2:$N$601,N322,$Y$2:$Y$601,1),0)</f>
        <v>0</v>
      </c>
      <c r="AE322" s="43" t="str">
        <f aca="false">IF(Y322&lt;&gt;1,"",IF(AND(AC322&gt;=설정!$C$7,ISNUMBER(MATCH(Z322,피어커브!$A:$A,0))),Z322,IF(AND(AD322&gt;=설정!$C$7,ISNUMBER(MATCH(N322&amp;"|전체",피어커브!$A:$A,0))),N322&amp;"|전체","전체|전체")))</f>
        <v/>
      </c>
      <c r="AF322" s="93" t="str">
        <f aca="false">IF(AE322="","",INDEX(피어커브!$K:$K,MATCH(AE322,피어커브!$A:$A,0)))</f>
        <v/>
      </c>
      <c r="AG322" s="93" t="str">
        <f aca="false">IF(AE322="","",INDEX(피어커브!$J:$J,MATCH(AE322,피어커브!$A:$A,0)))</f>
        <v/>
      </c>
      <c r="AH322" s="93" t="str">
        <f aca="false">IF(AE322="","",INDEX(피어커브!$L:$L,MATCH(AE322,피어커브!$A:$A,0)))</f>
        <v/>
      </c>
      <c r="AI322" s="93" t="str">
        <f aca="false">IF(AE322="","",AF322+AG322*AA322)</f>
        <v/>
      </c>
      <c r="AJ322" s="96" t="str">
        <f aca="false">IF(AE322="","",E322-AI322)</f>
        <v/>
      </c>
      <c r="AK322" s="95" t="str">
        <f aca="false">IF(AE322="","",IF(ISNUMBER(AH322),IF(AH322&gt;0,AJ322/AH322,""),""))</f>
        <v/>
      </c>
      <c r="AL322" s="43" t="str">
        <f aca="false">IF(AK322="","-",IF(AK322&gt;=설정!$C$6,"Cheap",IF(AK322&lt;=-설정!$C$6,"Rich","Fair")))</f>
        <v>-</v>
      </c>
      <c r="AM322" s="96" t="str">
        <f aca="false">IF(AE322="","",AJ322-AVERAGEIFS($AJ$2:$AJ$601,$B$2:$B$601,B322,$Y$2:$Y$601,1))</f>
        <v/>
      </c>
      <c r="AN322" s="93" t="n">
        <f aca="false">IF(AE322="",0,IF(K322&gt;1+설정!$C$8,AG322*(AA322-LN(K322-1)),0))</f>
        <v>0</v>
      </c>
      <c r="AO322" s="99" t="n">
        <f aca="false">IF($A322="",0,SUMIFS(보유분석!$AA$2:$AA$801,보유분석!$AB$2:$AB$801,ROW(),보유분석!$AC$2:$AC$801,1))</f>
        <v>0</v>
      </c>
      <c r="AP322" s="43" t="str">
        <f aca="false">IF($A322="","",TRIM(IF(R322=1,"FRN ","")&amp;IF(IFERROR(VLOOKUP(M322,설정!$A$15:$D$47,4,0),0)&gt;=10,IF(IFERROR(VLOOKUP(M322,설정!$A$15:$D$47,4,0),0)&lt;99,"BBB0미만 ",""),"")&amp;IF(OR(M322="",M322="NR"),"등급미입력 ","")&amp;IF(C322&lt;&gt;"USD","비USD ","")))</f>
        <v/>
      </c>
      <c r="AQ322" s="90" t="n">
        <f aca="false">IF(AND(Y322=1,AL322="Cheap"),IF(AND(ISERROR(SEARCH("FRN",AP322)),ISERROR(SEARCH("BBB0미만",AP322))),AK322+ROW()/1000000000,-999),-999)</f>
        <v>-999</v>
      </c>
      <c r="AR322" s="92" t="str">
        <f aca="false">IF(AND(ISNUMBER(D322),ISNUMBER(K322)),D322+AN322*MAX(K322-1,0)/100,"")</f>
        <v/>
      </c>
      <c r="AS322" s="93" t="str">
        <f aca="false">IF(AND(ISNUMBER(E322),ISNUMBER(K322)),IF(K322&gt;0,(E322+AN322*MAX(K322-1,0))/K322,""),"")</f>
        <v/>
      </c>
      <c r="AT322" s="90" t="n">
        <f aca="false">IFERROR(IF(AND(Y322=1,ROW()&lt;&gt;스왑분석!$C$12+1,ABS(K322-INDEX($K$2:$K$601,스왑분석!$C$12))&lt;=스왑분석!$C$5,ISERROR(SEARCH("FRN",AP322)),ISERROR(SEARCH("BBB0미만",AP322))),IF(AND(OR(스왑분석!$C$6="N",L322=INDEX($L$2:$L$601,스왑분석!$C$12)),OR(스왑분석!$C$7="N",N322=INDEX($N$2:$N$601,스왑분석!$C$12)),OR(스왑분석!$C$8="N",AO322=0),E322-INDEX($E$2:$E$601,스왑분석!$C$12)&gt;=스왑분석!$C$9),E322-INDEX($E$2:$E$601,스왑분석!$C$12)+ROW()/1000000000,-999),-999),-999)</f>
        <v>-999</v>
      </c>
      <c r="AU322" s="90" t="n">
        <f aca="false">IF(AND(Y322=1,AO322&gt;0,AL322="Rich"),-AK322+ROW()/1000000000,-999)</f>
        <v>-999</v>
      </c>
    </row>
    <row r="323" customFormat="false" ht="15" hidden="false" customHeight="false" outlineLevel="0" collapsed="false">
      <c r="A323" s="83" t="n">
        <f aca="false">IFERROR(IF(INDEX(원자료_시장!$A$1:$BZ$1000,설정!$L$6+ROW()-1,설정!$L$24)&amp;""="0","",INDEX(원자료_시장!$A$1:$BZ$1000,설정!$L$6+ROW()-1,설정!$L$24)),"")</f>
        <v>0</v>
      </c>
      <c r="B323" s="83" t="n">
        <f aca="false">IFERROR(IF(INDEX(원자료_시장!$A$1:$BZ$1000,설정!$L$6+ROW()-1,설정!$L$37)&amp;""="0","",INDEX(원자료_시장!$A$1:$BZ$1000,설정!$L$6+ROW()-1,설정!$L$37)),"")</f>
        <v>0</v>
      </c>
      <c r="C323" s="83" t="n">
        <f aca="false">IFERROR(IF(INDEX(원자료_시장!$A$1:$BZ$1000,설정!$L$6+ROW()-1,설정!$L$25)&amp;""="0","",INDEX(원자료_시장!$A$1:$BZ$1000,설정!$L$6+ROW()-1,설정!$L$25)),"")</f>
        <v>0</v>
      </c>
      <c r="D323" s="85" t="str">
        <f aca="false">IFERROR(IF(ISNUMBER(INDEX(원자료_시장!$A$1:$BZ$1000,설정!$L$6+ROW()-1,설정!$L$26)),INDEX(원자료_시장!$A$1:$BZ$1000,설정!$L$6+ROW()-1,설정!$L$26),""),"")</f>
        <v/>
      </c>
      <c r="E323" s="97" t="str">
        <f aca="false">IFERROR(IF(ISNUMBER(INDEX(원자료_시장!$A$1:$BZ$1000,설정!$L$6+ROW()-1,설정!$L$27)),INDEX(원자료_시장!$A$1:$BZ$1000,설정!$L$6+ROW()-1,설정!$L$27),""),"")</f>
        <v/>
      </c>
      <c r="F323" s="97" t="str">
        <f aca="false">IFERROR(IF(ISNUMBER(INDEX(원자료_시장!$A$1:$BZ$1000,설정!$L$6+ROW()-1,설정!$L$28)),INDEX(원자료_시장!$A$1:$BZ$1000,설정!$L$6+ROW()-1,설정!$L$28),""),"")</f>
        <v/>
      </c>
      <c r="G323" s="97" t="str">
        <f aca="false">IFERROR(IF(ISNUMBER(INDEX(원자료_시장!$A$1:$BZ$1000,설정!$L$6+ROW()-1,설정!$L$29)),INDEX(원자료_시장!$A$1:$BZ$1000,설정!$L$6+ROW()-1,설정!$L$29),""),"")</f>
        <v/>
      </c>
      <c r="H323" s="97" t="str">
        <f aca="false">IFERROR(IF(ISNUMBER(INDEX(원자료_시장!$A$1:$BZ$1000,설정!$L$6+ROW()-1,설정!$L$30)),INDEX(원자료_시장!$A$1:$BZ$1000,설정!$L$6+ROW()-1,설정!$L$30),""),"")</f>
        <v/>
      </c>
      <c r="I323" s="97" t="str">
        <f aca="false">IFERROR(IF(ISNUMBER(INDEX(원자료_시장!$A$1:$BZ$1000,설정!$L$6+ROW()-1,설정!$L$31)),INDEX(원자료_시장!$A$1:$BZ$1000,설정!$L$6+ROW()-1,설정!$L$31),""),"")</f>
        <v/>
      </c>
      <c r="J323" s="97" t="str">
        <f aca="false">IFERROR(IF(ISNUMBER(INDEX(원자료_시장!$A$1:$BZ$1000,설정!$L$6+ROW()-1,설정!$L$32)),INDEX(원자료_시장!$A$1:$BZ$1000,설정!$L$6+ROW()-1,설정!$L$32),""),"")</f>
        <v/>
      </c>
      <c r="K323" s="85" t="str">
        <f aca="false">IFERROR(IF(ISNUMBER(INDEX(원자료_시장!$A$1:$BZ$1000,설정!$L$6+ROW()-1,설정!$L$33)),INDEX(원자료_시장!$A$1:$BZ$1000,설정!$L$6+ROW()-1,설정!$L$33),""),"")</f>
        <v/>
      </c>
      <c r="L323" s="83" t="n">
        <f aca="false">IFERROR(IF(INDEX(원자료_시장!$A$1:$BZ$1000,설정!$L$6+ROW()-1,설정!$L$34)&amp;""="0","",INDEX(원자료_시장!$A$1:$BZ$1000,설정!$L$6+ROW()-1,설정!$L$34)),"")</f>
        <v>0</v>
      </c>
      <c r="M323" s="83" t="n">
        <f aca="false">IFERROR(IF(INDEX(원자료_시장!$A$1:$BZ$1000,설정!$L$6+ROW()-1,설정!$L$35)&amp;""="0","",INDEX(원자료_시장!$A$1:$BZ$1000,설정!$L$6+ROW()-1,설정!$L$35)),"")</f>
        <v>0</v>
      </c>
      <c r="N323" s="83" t="n">
        <f aca="false">IFERROR(IF(INDEX(원자료_시장!$A$1:$BZ$1000,설정!$L$6+ROW()-1,설정!$L$36)&amp;""="0","",INDEX(원자료_시장!$A$1:$BZ$1000,설정!$L$6+ROW()-1,설정!$L$36)),"")</f>
        <v>0</v>
      </c>
      <c r="O323" s="43" t="str">
        <f aca="false">IF($A323="","",UPPER(LEFT($A323,FIND(" ",$A323&amp;" ")-1)))</f>
        <v/>
      </c>
      <c r="P323" s="43" t="str">
        <f aca="false">IF($A323="","",TRIM(RIGHT(SUBSTITUTE(TRIM($A323)," ",REPT(" ",30)),30)))</f>
        <v/>
      </c>
      <c r="Q323" s="98" t="str">
        <f aca="false">IF($A323="","",IFERROR(DATE(IF(LEN(P323)=8,2000+VALUE(RIGHT(P323,2)),VALUE(RIGHT(P323,4))),VALUE(LEFT(P323,2)),VALUE(MID(P323,4,2))),""))</f>
        <v/>
      </c>
      <c r="R323" s="89" t="n">
        <f aca="false">IF($A323="",0,IF(ISNUMBER(SEARCH("Float",$A323)),1,0))</f>
        <v>0</v>
      </c>
      <c r="S323" s="43" t="str">
        <f aca="false">IF($A323="","",TRIM(MID($A323,LEN(O323)+2,LEN($A323)-LEN(O323)-LEN(P323)-1)))</f>
        <v/>
      </c>
      <c r="T323" s="92" t="str">
        <f aca="false">IF(OR($A323="",R323=1),"",IFERROR(IF(ISNUMBER(FIND("/",S323)),IF(ISNUMBER(FIND(" ",S323)),VALUE(LEFT(S323,FIND(" ",S323)-1))+VALUE(MID(S323,FIND(" ",S323)+1,FIND("/",S323)-FIND(" ",S323)-1))/VALUE(MID(S323,FIND("/",S323)+1,9)),VALUE(LEFT(S323,FIND("/",S323)-1))/VALUE(MID(S323,FIND("/",S323)+1,9))),VALUE(S323)),""))</f>
        <v/>
      </c>
      <c r="U323" s="43" t="str">
        <f aca="false">IF(OR($A323="",NOT(ISNUMBER(Q323))),"",TEXT(Q323,"yyyymmdd")&amp;"|"&amp;IF(R323=1,"F",TEXT(T323,"0.000")))</f>
        <v/>
      </c>
      <c r="V323" s="43" t="str">
        <f aca="false">IF(U323="","",O323&amp;"|"&amp;U323)</f>
        <v/>
      </c>
      <c r="W323" s="43" t="str">
        <f aca="false">IF($A323="","",IFERROR(IF(VLOOKUP(O323,매핑!$A$4:$E$92,3,0)="","미분류",VLOOKUP(O323,매핑!$A$4:$E$92,3,0)),"미분류"))</f>
        <v/>
      </c>
      <c r="X323" s="89" t="n">
        <f aca="false">IF($A323="",0,IF(O323="T",1,0))</f>
        <v>0</v>
      </c>
      <c r="Y323" s="89" t="n">
        <f aca="false">IF($A323="",0,IF(AND(C323="USD",X323=0,ISNUMBER(E323),ISNUMBER(K323)),IF(K323&gt;=설정!$C$8,1,0),0))</f>
        <v>0</v>
      </c>
      <c r="Z323" s="43" t="str">
        <f aca="false">IF($A323="","",N323&amp;"|"&amp;L323)</f>
        <v/>
      </c>
      <c r="AA323" s="92" t="n">
        <f aca="false">IF(Y323=1,LN(K323),0)</f>
        <v>0</v>
      </c>
      <c r="AB323" s="93" t="n">
        <f aca="false">IF(Y323=1,E323,0)</f>
        <v>0</v>
      </c>
      <c r="AC323" s="89" t="n">
        <f aca="false">IF(Y323=1,COUNTIFS($Z$2:$Z$601,Z323,$Y$2:$Y$601,1),0)</f>
        <v>0</v>
      </c>
      <c r="AD323" s="89" t="n">
        <f aca="false">IF(Y323=1,COUNTIFS($N$2:$N$601,N323,$Y$2:$Y$601,1),0)</f>
        <v>0</v>
      </c>
      <c r="AE323" s="43" t="str">
        <f aca="false">IF(Y323&lt;&gt;1,"",IF(AND(AC323&gt;=설정!$C$7,ISNUMBER(MATCH(Z323,피어커브!$A:$A,0))),Z323,IF(AND(AD323&gt;=설정!$C$7,ISNUMBER(MATCH(N323&amp;"|전체",피어커브!$A:$A,0))),N323&amp;"|전체","전체|전체")))</f>
        <v/>
      </c>
      <c r="AF323" s="93" t="str">
        <f aca="false">IF(AE323="","",INDEX(피어커브!$K:$K,MATCH(AE323,피어커브!$A:$A,0)))</f>
        <v/>
      </c>
      <c r="AG323" s="93" t="str">
        <f aca="false">IF(AE323="","",INDEX(피어커브!$J:$J,MATCH(AE323,피어커브!$A:$A,0)))</f>
        <v/>
      </c>
      <c r="AH323" s="93" t="str">
        <f aca="false">IF(AE323="","",INDEX(피어커브!$L:$L,MATCH(AE323,피어커브!$A:$A,0)))</f>
        <v/>
      </c>
      <c r="AI323" s="93" t="str">
        <f aca="false">IF(AE323="","",AF323+AG323*AA323)</f>
        <v/>
      </c>
      <c r="AJ323" s="96" t="str">
        <f aca="false">IF(AE323="","",E323-AI323)</f>
        <v/>
      </c>
      <c r="AK323" s="95" t="str">
        <f aca="false">IF(AE323="","",IF(ISNUMBER(AH323),IF(AH323&gt;0,AJ323/AH323,""),""))</f>
        <v/>
      </c>
      <c r="AL323" s="43" t="str">
        <f aca="false">IF(AK323="","-",IF(AK323&gt;=설정!$C$6,"Cheap",IF(AK323&lt;=-설정!$C$6,"Rich","Fair")))</f>
        <v>-</v>
      </c>
      <c r="AM323" s="96" t="str">
        <f aca="false">IF(AE323="","",AJ323-AVERAGEIFS($AJ$2:$AJ$601,$B$2:$B$601,B323,$Y$2:$Y$601,1))</f>
        <v/>
      </c>
      <c r="AN323" s="93" t="n">
        <f aca="false">IF(AE323="",0,IF(K323&gt;1+설정!$C$8,AG323*(AA323-LN(K323-1)),0))</f>
        <v>0</v>
      </c>
      <c r="AO323" s="99" t="n">
        <f aca="false">IF($A323="",0,SUMIFS(보유분석!$AA$2:$AA$801,보유분석!$AB$2:$AB$801,ROW(),보유분석!$AC$2:$AC$801,1))</f>
        <v>0</v>
      </c>
      <c r="AP323" s="43" t="str">
        <f aca="false">IF($A323="","",TRIM(IF(R323=1,"FRN ","")&amp;IF(IFERROR(VLOOKUP(M323,설정!$A$15:$D$47,4,0),0)&gt;=10,IF(IFERROR(VLOOKUP(M323,설정!$A$15:$D$47,4,0),0)&lt;99,"BBB0미만 ",""),"")&amp;IF(OR(M323="",M323="NR"),"등급미입력 ","")&amp;IF(C323&lt;&gt;"USD","비USD ","")))</f>
        <v/>
      </c>
      <c r="AQ323" s="90" t="n">
        <f aca="false">IF(AND(Y323=1,AL323="Cheap"),IF(AND(ISERROR(SEARCH("FRN",AP323)),ISERROR(SEARCH("BBB0미만",AP323))),AK323+ROW()/1000000000,-999),-999)</f>
        <v>-999</v>
      </c>
      <c r="AR323" s="92" t="str">
        <f aca="false">IF(AND(ISNUMBER(D323),ISNUMBER(K323)),D323+AN323*MAX(K323-1,0)/100,"")</f>
        <v/>
      </c>
      <c r="AS323" s="93" t="str">
        <f aca="false">IF(AND(ISNUMBER(E323),ISNUMBER(K323)),IF(K323&gt;0,(E323+AN323*MAX(K323-1,0))/K323,""),"")</f>
        <v/>
      </c>
      <c r="AT323" s="90" t="n">
        <f aca="false">IFERROR(IF(AND(Y323=1,ROW()&lt;&gt;스왑분석!$C$12+1,ABS(K323-INDEX($K$2:$K$601,스왑분석!$C$12))&lt;=스왑분석!$C$5,ISERROR(SEARCH("FRN",AP323)),ISERROR(SEARCH("BBB0미만",AP323))),IF(AND(OR(스왑분석!$C$6="N",L323=INDEX($L$2:$L$601,스왑분석!$C$12)),OR(스왑분석!$C$7="N",N323=INDEX($N$2:$N$601,스왑분석!$C$12)),OR(스왑분석!$C$8="N",AO323=0),E323-INDEX($E$2:$E$601,스왑분석!$C$12)&gt;=스왑분석!$C$9),E323-INDEX($E$2:$E$601,스왑분석!$C$12)+ROW()/1000000000,-999),-999),-999)</f>
        <v>-999</v>
      </c>
      <c r="AU323" s="90" t="n">
        <f aca="false">IF(AND(Y323=1,AO323&gt;0,AL323="Rich"),-AK323+ROW()/1000000000,-999)</f>
        <v>-999</v>
      </c>
    </row>
    <row r="324" customFormat="false" ht="15" hidden="false" customHeight="false" outlineLevel="0" collapsed="false">
      <c r="A324" s="83" t="n">
        <f aca="false">IFERROR(IF(INDEX(원자료_시장!$A$1:$BZ$1000,설정!$L$6+ROW()-1,설정!$L$24)&amp;""="0","",INDEX(원자료_시장!$A$1:$BZ$1000,설정!$L$6+ROW()-1,설정!$L$24)),"")</f>
        <v>0</v>
      </c>
      <c r="B324" s="83" t="n">
        <f aca="false">IFERROR(IF(INDEX(원자료_시장!$A$1:$BZ$1000,설정!$L$6+ROW()-1,설정!$L$37)&amp;""="0","",INDEX(원자료_시장!$A$1:$BZ$1000,설정!$L$6+ROW()-1,설정!$L$37)),"")</f>
        <v>0</v>
      </c>
      <c r="C324" s="83" t="n">
        <f aca="false">IFERROR(IF(INDEX(원자료_시장!$A$1:$BZ$1000,설정!$L$6+ROW()-1,설정!$L$25)&amp;""="0","",INDEX(원자료_시장!$A$1:$BZ$1000,설정!$L$6+ROW()-1,설정!$L$25)),"")</f>
        <v>0</v>
      </c>
      <c r="D324" s="85" t="str">
        <f aca="false">IFERROR(IF(ISNUMBER(INDEX(원자료_시장!$A$1:$BZ$1000,설정!$L$6+ROW()-1,설정!$L$26)),INDEX(원자료_시장!$A$1:$BZ$1000,설정!$L$6+ROW()-1,설정!$L$26),""),"")</f>
        <v/>
      </c>
      <c r="E324" s="97" t="str">
        <f aca="false">IFERROR(IF(ISNUMBER(INDEX(원자료_시장!$A$1:$BZ$1000,설정!$L$6+ROW()-1,설정!$L$27)),INDEX(원자료_시장!$A$1:$BZ$1000,설정!$L$6+ROW()-1,설정!$L$27),""),"")</f>
        <v/>
      </c>
      <c r="F324" s="97" t="str">
        <f aca="false">IFERROR(IF(ISNUMBER(INDEX(원자료_시장!$A$1:$BZ$1000,설정!$L$6+ROW()-1,설정!$L$28)),INDEX(원자료_시장!$A$1:$BZ$1000,설정!$L$6+ROW()-1,설정!$L$28),""),"")</f>
        <v/>
      </c>
      <c r="G324" s="97" t="str">
        <f aca="false">IFERROR(IF(ISNUMBER(INDEX(원자료_시장!$A$1:$BZ$1000,설정!$L$6+ROW()-1,설정!$L$29)),INDEX(원자료_시장!$A$1:$BZ$1000,설정!$L$6+ROW()-1,설정!$L$29),""),"")</f>
        <v/>
      </c>
      <c r="H324" s="97" t="str">
        <f aca="false">IFERROR(IF(ISNUMBER(INDEX(원자료_시장!$A$1:$BZ$1000,설정!$L$6+ROW()-1,설정!$L$30)),INDEX(원자료_시장!$A$1:$BZ$1000,설정!$L$6+ROW()-1,설정!$L$30),""),"")</f>
        <v/>
      </c>
      <c r="I324" s="97" t="str">
        <f aca="false">IFERROR(IF(ISNUMBER(INDEX(원자료_시장!$A$1:$BZ$1000,설정!$L$6+ROW()-1,설정!$L$31)),INDEX(원자료_시장!$A$1:$BZ$1000,설정!$L$6+ROW()-1,설정!$L$31),""),"")</f>
        <v/>
      </c>
      <c r="J324" s="97" t="str">
        <f aca="false">IFERROR(IF(ISNUMBER(INDEX(원자료_시장!$A$1:$BZ$1000,설정!$L$6+ROW()-1,설정!$L$32)),INDEX(원자료_시장!$A$1:$BZ$1000,설정!$L$6+ROW()-1,설정!$L$32),""),"")</f>
        <v/>
      </c>
      <c r="K324" s="85" t="str">
        <f aca="false">IFERROR(IF(ISNUMBER(INDEX(원자료_시장!$A$1:$BZ$1000,설정!$L$6+ROW()-1,설정!$L$33)),INDEX(원자료_시장!$A$1:$BZ$1000,설정!$L$6+ROW()-1,설정!$L$33),""),"")</f>
        <v/>
      </c>
      <c r="L324" s="83" t="n">
        <f aca="false">IFERROR(IF(INDEX(원자료_시장!$A$1:$BZ$1000,설정!$L$6+ROW()-1,설정!$L$34)&amp;""="0","",INDEX(원자료_시장!$A$1:$BZ$1000,설정!$L$6+ROW()-1,설정!$L$34)),"")</f>
        <v>0</v>
      </c>
      <c r="M324" s="83" t="n">
        <f aca="false">IFERROR(IF(INDEX(원자료_시장!$A$1:$BZ$1000,설정!$L$6+ROW()-1,설정!$L$35)&amp;""="0","",INDEX(원자료_시장!$A$1:$BZ$1000,설정!$L$6+ROW()-1,설정!$L$35)),"")</f>
        <v>0</v>
      </c>
      <c r="N324" s="83" t="n">
        <f aca="false">IFERROR(IF(INDEX(원자료_시장!$A$1:$BZ$1000,설정!$L$6+ROW()-1,설정!$L$36)&amp;""="0","",INDEX(원자료_시장!$A$1:$BZ$1000,설정!$L$6+ROW()-1,설정!$L$36)),"")</f>
        <v>0</v>
      </c>
      <c r="O324" s="43" t="str">
        <f aca="false">IF($A324="","",UPPER(LEFT($A324,FIND(" ",$A324&amp;" ")-1)))</f>
        <v/>
      </c>
      <c r="P324" s="43" t="str">
        <f aca="false">IF($A324="","",TRIM(RIGHT(SUBSTITUTE(TRIM($A324)," ",REPT(" ",30)),30)))</f>
        <v/>
      </c>
      <c r="Q324" s="98" t="str">
        <f aca="false">IF($A324="","",IFERROR(DATE(IF(LEN(P324)=8,2000+VALUE(RIGHT(P324,2)),VALUE(RIGHT(P324,4))),VALUE(LEFT(P324,2)),VALUE(MID(P324,4,2))),""))</f>
        <v/>
      </c>
      <c r="R324" s="89" t="n">
        <f aca="false">IF($A324="",0,IF(ISNUMBER(SEARCH("Float",$A324)),1,0))</f>
        <v>0</v>
      </c>
      <c r="S324" s="43" t="str">
        <f aca="false">IF($A324="","",TRIM(MID($A324,LEN(O324)+2,LEN($A324)-LEN(O324)-LEN(P324)-1)))</f>
        <v/>
      </c>
      <c r="T324" s="92" t="str">
        <f aca="false">IF(OR($A324="",R324=1),"",IFERROR(IF(ISNUMBER(FIND("/",S324)),IF(ISNUMBER(FIND(" ",S324)),VALUE(LEFT(S324,FIND(" ",S324)-1))+VALUE(MID(S324,FIND(" ",S324)+1,FIND("/",S324)-FIND(" ",S324)-1))/VALUE(MID(S324,FIND("/",S324)+1,9)),VALUE(LEFT(S324,FIND("/",S324)-1))/VALUE(MID(S324,FIND("/",S324)+1,9))),VALUE(S324)),""))</f>
        <v/>
      </c>
      <c r="U324" s="43" t="str">
        <f aca="false">IF(OR($A324="",NOT(ISNUMBER(Q324))),"",TEXT(Q324,"yyyymmdd")&amp;"|"&amp;IF(R324=1,"F",TEXT(T324,"0.000")))</f>
        <v/>
      </c>
      <c r="V324" s="43" t="str">
        <f aca="false">IF(U324="","",O324&amp;"|"&amp;U324)</f>
        <v/>
      </c>
      <c r="W324" s="43" t="str">
        <f aca="false">IF($A324="","",IFERROR(IF(VLOOKUP(O324,매핑!$A$4:$E$92,3,0)="","미분류",VLOOKUP(O324,매핑!$A$4:$E$92,3,0)),"미분류"))</f>
        <v/>
      </c>
      <c r="X324" s="89" t="n">
        <f aca="false">IF($A324="",0,IF(O324="T",1,0))</f>
        <v>0</v>
      </c>
      <c r="Y324" s="89" t="n">
        <f aca="false">IF($A324="",0,IF(AND(C324="USD",X324=0,ISNUMBER(E324),ISNUMBER(K324)),IF(K324&gt;=설정!$C$8,1,0),0))</f>
        <v>0</v>
      </c>
      <c r="Z324" s="43" t="str">
        <f aca="false">IF($A324="","",N324&amp;"|"&amp;L324)</f>
        <v/>
      </c>
      <c r="AA324" s="92" t="n">
        <f aca="false">IF(Y324=1,LN(K324),0)</f>
        <v>0</v>
      </c>
      <c r="AB324" s="93" t="n">
        <f aca="false">IF(Y324=1,E324,0)</f>
        <v>0</v>
      </c>
      <c r="AC324" s="89" t="n">
        <f aca="false">IF(Y324=1,COUNTIFS($Z$2:$Z$601,Z324,$Y$2:$Y$601,1),0)</f>
        <v>0</v>
      </c>
      <c r="AD324" s="89" t="n">
        <f aca="false">IF(Y324=1,COUNTIFS($N$2:$N$601,N324,$Y$2:$Y$601,1),0)</f>
        <v>0</v>
      </c>
      <c r="AE324" s="43" t="str">
        <f aca="false">IF(Y324&lt;&gt;1,"",IF(AND(AC324&gt;=설정!$C$7,ISNUMBER(MATCH(Z324,피어커브!$A:$A,0))),Z324,IF(AND(AD324&gt;=설정!$C$7,ISNUMBER(MATCH(N324&amp;"|전체",피어커브!$A:$A,0))),N324&amp;"|전체","전체|전체")))</f>
        <v/>
      </c>
      <c r="AF324" s="93" t="str">
        <f aca="false">IF(AE324="","",INDEX(피어커브!$K:$K,MATCH(AE324,피어커브!$A:$A,0)))</f>
        <v/>
      </c>
      <c r="AG324" s="93" t="str">
        <f aca="false">IF(AE324="","",INDEX(피어커브!$J:$J,MATCH(AE324,피어커브!$A:$A,0)))</f>
        <v/>
      </c>
      <c r="AH324" s="93" t="str">
        <f aca="false">IF(AE324="","",INDEX(피어커브!$L:$L,MATCH(AE324,피어커브!$A:$A,0)))</f>
        <v/>
      </c>
      <c r="AI324" s="93" t="str">
        <f aca="false">IF(AE324="","",AF324+AG324*AA324)</f>
        <v/>
      </c>
      <c r="AJ324" s="96" t="str">
        <f aca="false">IF(AE324="","",E324-AI324)</f>
        <v/>
      </c>
      <c r="AK324" s="95" t="str">
        <f aca="false">IF(AE324="","",IF(ISNUMBER(AH324),IF(AH324&gt;0,AJ324/AH324,""),""))</f>
        <v/>
      </c>
      <c r="AL324" s="43" t="str">
        <f aca="false">IF(AK324="","-",IF(AK324&gt;=설정!$C$6,"Cheap",IF(AK324&lt;=-설정!$C$6,"Rich","Fair")))</f>
        <v>-</v>
      </c>
      <c r="AM324" s="96" t="str">
        <f aca="false">IF(AE324="","",AJ324-AVERAGEIFS($AJ$2:$AJ$601,$B$2:$B$601,B324,$Y$2:$Y$601,1))</f>
        <v/>
      </c>
      <c r="AN324" s="93" t="n">
        <f aca="false">IF(AE324="",0,IF(K324&gt;1+설정!$C$8,AG324*(AA324-LN(K324-1)),0))</f>
        <v>0</v>
      </c>
      <c r="AO324" s="99" t="n">
        <f aca="false">IF($A324="",0,SUMIFS(보유분석!$AA$2:$AA$801,보유분석!$AB$2:$AB$801,ROW(),보유분석!$AC$2:$AC$801,1))</f>
        <v>0</v>
      </c>
      <c r="AP324" s="43" t="str">
        <f aca="false">IF($A324="","",TRIM(IF(R324=1,"FRN ","")&amp;IF(IFERROR(VLOOKUP(M324,설정!$A$15:$D$47,4,0),0)&gt;=10,IF(IFERROR(VLOOKUP(M324,설정!$A$15:$D$47,4,0),0)&lt;99,"BBB0미만 ",""),"")&amp;IF(OR(M324="",M324="NR"),"등급미입력 ","")&amp;IF(C324&lt;&gt;"USD","비USD ","")))</f>
        <v/>
      </c>
      <c r="AQ324" s="90" t="n">
        <f aca="false">IF(AND(Y324=1,AL324="Cheap"),IF(AND(ISERROR(SEARCH("FRN",AP324)),ISERROR(SEARCH("BBB0미만",AP324))),AK324+ROW()/1000000000,-999),-999)</f>
        <v>-999</v>
      </c>
      <c r="AR324" s="92" t="str">
        <f aca="false">IF(AND(ISNUMBER(D324),ISNUMBER(K324)),D324+AN324*MAX(K324-1,0)/100,"")</f>
        <v/>
      </c>
      <c r="AS324" s="93" t="str">
        <f aca="false">IF(AND(ISNUMBER(E324),ISNUMBER(K324)),IF(K324&gt;0,(E324+AN324*MAX(K324-1,0))/K324,""),"")</f>
        <v/>
      </c>
      <c r="AT324" s="90" t="n">
        <f aca="false">IFERROR(IF(AND(Y324=1,ROW()&lt;&gt;스왑분석!$C$12+1,ABS(K324-INDEX($K$2:$K$601,스왑분석!$C$12))&lt;=스왑분석!$C$5,ISERROR(SEARCH("FRN",AP324)),ISERROR(SEARCH("BBB0미만",AP324))),IF(AND(OR(스왑분석!$C$6="N",L324=INDEX($L$2:$L$601,스왑분석!$C$12)),OR(스왑분석!$C$7="N",N324=INDEX($N$2:$N$601,스왑분석!$C$12)),OR(스왑분석!$C$8="N",AO324=0),E324-INDEX($E$2:$E$601,스왑분석!$C$12)&gt;=스왑분석!$C$9),E324-INDEX($E$2:$E$601,스왑분석!$C$12)+ROW()/1000000000,-999),-999),-999)</f>
        <v>-999</v>
      </c>
      <c r="AU324" s="90" t="n">
        <f aca="false">IF(AND(Y324=1,AO324&gt;0,AL324="Rich"),-AK324+ROW()/1000000000,-999)</f>
        <v>-999</v>
      </c>
    </row>
    <row r="325" customFormat="false" ht="15" hidden="false" customHeight="false" outlineLevel="0" collapsed="false">
      <c r="A325" s="83" t="n">
        <f aca="false">IFERROR(IF(INDEX(원자료_시장!$A$1:$BZ$1000,설정!$L$6+ROW()-1,설정!$L$24)&amp;""="0","",INDEX(원자료_시장!$A$1:$BZ$1000,설정!$L$6+ROW()-1,설정!$L$24)),"")</f>
        <v>0</v>
      </c>
      <c r="B325" s="83" t="n">
        <f aca="false">IFERROR(IF(INDEX(원자료_시장!$A$1:$BZ$1000,설정!$L$6+ROW()-1,설정!$L$37)&amp;""="0","",INDEX(원자료_시장!$A$1:$BZ$1000,설정!$L$6+ROW()-1,설정!$L$37)),"")</f>
        <v>0</v>
      </c>
      <c r="C325" s="83" t="n">
        <f aca="false">IFERROR(IF(INDEX(원자료_시장!$A$1:$BZ$1000,설정!$L$6+ROW()-1,설정!$L$25)&amp;""="0","",INDEX(원자료_시장!$A$1:$BZ$1000,설정!$L$6+ROW()-1,설정!$L$25)),"")</f>
        <v>0</v>
      </c>
      <c r="D325" s="85" t="str">
        <f aca="false">IFERROR(IF(ISNUMBER(INDEX(원자료_시장!$A$1:$BZ$1000,설정!$L$6+ROW()-1,설정!$L$26)),INDEX(원자료_시장!$A$1:$BZ$1000,설정!$L$6+ROW()-1,설정!$L$26),""),"")</f>
        <v/>
      </c>
      <c r="E325" s="97" t="str">
        <f aca="false">IFERROR(IF(ISNUMBER(INDEX(원자료_시장!$A$1:$BZ$1000,설정!$L$6+ROW()-1,설정!$L$27)),INDEX(원자료_시장!$A$1:$BZ$1000,설정!$L$6+ROW()-1,설정!$L$27),""),"")</f>
        <v/>
      </c>
      <c r="F325" s="97" t="str">
        <f aca="false">IFERROR(IF(ISNUMBER(INDEX(원자료_시장!$A$1:$BZ$1000,설정!$L$6+ROW()-1,설정!$L$28)),INDEX(원자료_시장!$A$1:$BZ$1000,설정!$L$6+ROW()-1,설정!$L$28),""),"")</f>
        <v/>
      </c>
      <c r="G325" s="97" t="str">
        <f aca="false">IFERROR(IF(ISNUMBER(INDEX(원자료_시장!$A$1:$BZ$1000,설정!$L$6+ROW()-1,설정!$L$29)),INDEX(원자료_시장!$A$1:$BZ$1000,설정!$L$6+ROW()-1,설정!$L$29),""),"")</f>
        <v/>
      </c>
      <c r="H325" s="97" t="str">
        <f aca="false">IFERROR(IF(ISNUMBER(INDEX(원자료_시장!$A$1:$BZ$1000,설정!$L$6+ROW()-1,설정!$L$30)),INDEX(원자료_시장!$A$1:$BZ$1000,설정!$L$6+ROW()-1,설정!$L$30),""),"")</f>
        <v/>
      </c>
      <c r="I325" s="97" t="str">
        <f aca="false">IFERROR(IF(ISNUMBER(INDEX(원자료_시장!$A$1:$BZ$1000,설정!$L$6+ROW()-1,설정!$L$31)),INDEX(원자료_시장!$A$1:$BZ$1000,설정!$L$6+ROW()-1,설정!$L$31),""),"")</f>
        <v/>
      </c>
      <c r="J325" s="97" t="str">
        <f aca="false">IFERROR(IF(ISNUMBER(INDEX(원자료_시장!$A$1:$BZ$1000,설정!$L$6+ROW()-1,설정!$L$32)),INDEX(원자료_시장!$A$1:$BZ$1000,설정!$L$6+ROW()-1,설정!$L$32),""),"")</f>
        <v/>
      </c>
      <c r="K325" s="85" t="str">
        <f aca="false">IFERROR(IF(ISNUMBER(INDEX(원자료_시장!$A$1:$BZ$1000,설정!$L$6+ROW()-1,설정!$L$33)),INDEX(원자료_시장!$A$1:$BZ$1000,설정!$L$6+ROW()-1,설정!$L$33),""),"")</f>
        <v/>
      </c>
      <c r="L325" s="83" t="n">
        <f aca="false">IFERROR(IF(INDEX(원자료_시장!$A$1:$BZ$1000,설정!$L$6+ROW()-1,설정!$L$34)&amp;""="0","",INDEX(원자료_시장!$A$1:$BZ$1000,설정!$L$6+ROW()-1,설정!$L$34)),"")</f>
        <v>0</v>
      </c>
      <c r="M325" s="83" t="n">
        <f aca="false">IFERROR(IF(INDEX(원자료_시장!$A$1:$BZ$1000,설정!$L$6+ROW()-1,설정!$L$35)&amp;""="0","",INDEX(원자료_시장!$A$1:$BZ$1000,설정!$L$6+ROW()-1,설정!$L$35)),"")</f>
        <v>0</v>
      </c>
      <c r="N325" s="83" t="n">
        <f aca="false">IFERROR(IF(INDEX(원자료_시장!$A$1:$BZ$1000,설정!$L$6+ROW()-1,설정!$L$36)&amp;""="0","",INDEX(원자료_시장!$A$1:$BZ$1000,설정!$L$6+ROW()-1,설정!$L$36)),"")</f>
        <v>0</v>
      </c>
      <c r="O325" s="43" t="str">
        <f aca="false">IF($A325="","",UPPER(LEFT($A325,FIND(" ",$A325&amp;" ")-1)))</f>
        <v/>
      </c>
      <c r="P325" s="43" t="str">
        <f aca="false">IF($A325="","",TRIM(RIGHT(SUBSTITUTE(TRIM($A325)," ",REPT(" ",30)),30)))</f>
        <v/>
      </c>
      <c r="Q325" s="98" t="str">
        <f aca="false">IF($A325="","",IFERROR(DATE(IF(LEN(P325)=8,2000+VALUE(RIGHT(P325,2)),VALUE(RIGHT(P325,4))),VALUE(LEFT(P325,2)),VALUE(MID(P325,4,2))),""))</f>
        <v/>
      </c>
      <c r="R325" s="89" t="n">
        <f aca="false">IF($A325="",0,IF(ISNUMBER(SEARCH("Float",$A325)),1,0))</f>
        <v>0</v>
      </c>
      <c r="S325" s="43" t="str">
        <f aca="false">IF($A325="","",TRIM(MID($A325,LEN(O325)+2,LEN($A325)-LEN(O325)-LEN(P325)-1)))</f>
        <v/>
      </c>
      <c r="T325" s="92" t="str">
        <f aca="false">IF(OR($A325="",R325=1),"",IFERROR(IF(ISNUMBER(FIND("/",S325)),IF(ISNUMBER(FIND(" ",S325)),VALUE(LEFT(S325,FIND(" ",S325)-1))+VALUE(MID(S325,FIND(" ",S325)+1,FIND("/",S325)-FIND(" ",S325)-1))/VALUE(MID(S325,FIND("/",S325)+1,9)),VALUE(LEFT(S325,FIND("/",S325)-1))/VALUE(MID(S325,FIND("/",S325)+1,9))),VALUE(S325)),""))</f>
        <v/>
      </c>
      <c r="U325" s="43" t="str">
        <f aca="false">IF(OR($A325="",NOT(ISNUMBER(Q325))),"",TEXT(Q325,"yyyymmdd")&amp;"|"&amp;IF(R325=1,"F",TEXT(T325,"0.000")))</f>
        <v/>
      </c>
      <c r="V325" s="43" t="str">
        <f aca="false">IF(U325="","",O325&amp;"|"&amp;U325)</f>
        <v/>
      </c>
      <c r="W325" s="43" t="str">
        <f aca="false">IF($A325="","",IFERROR(IF(VLOOKUP(O325,매핑!$A$4:$E$92,3,0)="","미분류",VLOOKUP(O325,매핑!$A$4:$E$92,3,0)),"미분류"))</f>
        <v/>
      </c>
      <c r="X325" s="89" t="n">
        <f aca="false">IF($A325="",0,IF(O325="T",1,0))</f>
        <v>0</v>
      </c>
      <c r="Y325" s="89" t="n">
        <f aca="false">IF($A325="",0,IF(AND(C325="USD",X325=0,ISNUMBER(E325),ISNUMBER(K325)),IF(K325&gt;=설정!$C$8,1,0),0))</f>
        <v>0</v>
      </c>
      <c r="Z325" s="43" t="str">
        <f aca="false">IF($A325="","",N325&amp;"|"&amp;L325)</f>
        <v/>
      </c>
      <c r="AA325" s="92" t="n">
        <f aca="false">IF(Y325=1,LN(K325),0)</f>
        <v>0</v>
      </c>
      <c r="AB325" s="93" t="n">
        <f aca="false">IF(Y325=1,E325,0)</f>
        <v>0</v>
      </c>
      <c r="AC325" s="89" t="n">
        <f aca="false">IF(Y325=1,COUNTIFS($Z$2:$Z$601,Z325,$Y$2:$Y$601,1),0)</f>
        <v>0</v>
      </c>
      <c r="AD325" s="89" t="n">
        <f aca="false">IF(Y325=1,COUNTIFS($N$2:$N$601,N325,$Y$2:$Y$601,1),0)</f>
        <v>0</v>
      </c>
      <c r="AE325" s="43" t="str">
        <f aca="false">IF(Y325&lt;&gt;1,"",IF(AND(AC325&gt;=설정!$C$7,ISNUMBER(MATCH(Z325,피어커브!$A:$A,0))),Z325,IF(AND(AD325&gt;=설정!$C$7,ISNUMBER(MATCH(N325&amp;"|전체",피어커브!$A:$A,0))),N325&amp;"|전체","전체|전체")))</f>
        <v/>
      </c>
      <c r="AF325" s="93" t="str">
        <f aca="false">IF(AE325="","",INDEX(피어커브!$K:$K,MATCH(AE325,피어커브!$A:$A,0)))</f>
        <v/>
      </c>
      <c r="AG325" s="93" t="str">
        <f aca="false">IF(AE325="","",INDEX(피어커브!$J:$J,MATCH(AE325,피어커브!$A:$A,0)))</f>
        <v/>
      </c>
      <c r="AH325" s="93" t="str">
        <f aca="false">IF(AE325="","",INDEX(피어커브!$L:$L,MATCH(AE325,피어커브!$A:$A,0)))</f>
        <v/>
      </c>
      <c r="AI325" s="93" t="str">
        <f aca="false">IF(AE325="","",AF325+AG325*AA325)</f>
        <v/>
      </c>
      <c r="AJ325" s="96" t="str">
        <f aca="false">IF(AE325="","",E325-AI325)</f>
        <v/>
      </c>
      <c r="AK325" s="95" t="str">
        <f aca="false">IF(AE325="","",IF(ISNUMBER(AH325),IF(AH325&gt;0,AJ325/AH325,""),""))</f>
        <v/>
      </c>
      <c r="AL325" s="43" t="str">
        <f aca="false">IF(AK325="","-",IF(AK325&gt;=설정!$C$6,"Cheap",IF(AK325&lt;=-설정!$C$6,"Rich","Fair")))</f>
        <v>-</v>
      </c>
      <c r="AM325" s="96" t="str">
        <f aca="false">IF(AE325="","",AJ325-AVERAGEIFS($AJ$2:$AJ$601,$B$2:$B$601,B325,$Y$2:$Y$601,1))</f>
        <v/>
      </c>
      <c r="AN325" s="93" t="n">
        <f aca="false">IF(AE325="",0,IF(K325&gt;1+설정!$C$8,AG325*(AA325-LN(K325-1)),0))</f>
        <v>0</v>
      </c>
      <c r="AO325" s="99" t="n">
        <f aca="false">IF($A325="",0,SUMIFS(보유분석!$AA$2:$AA$801,보유분석!$AB$2:$AB$801,ROW(),보유분석!$AC$2:$AC$801,1))</f>
        <v>0</v>
      </c>
      <c r="AP325" s="43" t="str">
        <f aca="false">IF($A325="","",TRIM(IF(R325=1,"FRN ","")&amp;IF(IFERROR(VLOOKUP(M325,설정!$A$15:$D$47,4,0),0)&gt;=10,IF(IFERROR(VLOOKUP(M325,설정!$A$15:$D$47,4,0),0)&lt;99,"BBB0미만 ",""),"")&amp;IF(OR(M325="",M325="NR"),"등급미입력 ","")&amp;IF(C325&lt;&gt;"USD","비USD ","")))</f>
        <v/>
      </c>
      <c r="AQ325" s="90" t="n">
        <f aca="false">IF(AND(Y325=1,AL325="Cheap"),IF(AND(ISERROR(SEARCH("FRN",AP325)),ISERROR(SEARCH("BBB0미만",AP325))),AK325+ROW()/1000000000,-999),-999)</f>
        <v>-999</v>
      </c>
      <c r="AR325" s="92" t="str">
        <f aca="false">IF(AND(ISNUMBER(D325),ISNUMBER(K325)),D325+AN325*MAX(K325-1,0)/100,"")</f>
        <v/>
      </c>
      <c r="AS325" s="93" t="str">
        <f aca="false">IF(AND(ISNUMBER(E325),ISNUMBER(K325)),IF(K325&gt;0,(E325+AN325*MAX(K325-1,0))/K325,""),"")</f>
        <v/>
      </c>
      <c r="AT325" s="90" t="n">
        <f aca="false">IFERROR(IF(AND(Y325=1,ROW()&lt;&gt;스왑분석!$C$12+1,ABS(K325-INDEX($K$2:$K$601,스왑분석!$C$12))&lt;=스왑분석!$C$5,ISERROR(SEARCH("FRN",AP325)),ISERROR(SEARCH("BBB0미만",AP325))),IF(AND(OR(스왑분석!$C$6="N",L325=INDEX($L$2:$L$601,스왑분석!$C$12)),OR(스왑분석!$C$7="N",N325=INDEX($N$2:$N$601,스왑분석!$C$12)),OR(스왑분석!$C$8="N",AO325=0),E325-INDEX($E$2:$E$601,스왑분석!$C$12)&gt;=스왑분석!$C$9),E325-INDEX($E$2:$E$601,스왑분석!$C$12)+ROW()/1000000000,-999),-999),-999)</f>
        <v>-999</v>
      </c>
      <c r="AU325" s="90" t="n">
        <f aca="false">IF(AND(Y325=1,AO325&gt;0,AL325="Rich"),-AK325+ROW()/1000000000,-999)</f>
        <v>-999</v>
      </c>
    </row>
    <row r="326" customFormat="false" ht="15" hidden="false" customHeight="false" outlineLevel="0" collapsed="false">
      <c r="A326" s="83" t="n">
        <f aca="false">IFERROR(IF(INDEX(원자료_시장!$A$1:$BZ$1000,설정!$L$6+ROW()-1,설정!$L$24)&amp;""="0","",INDEX(원자료_시장!$A$1:$BZ$1000,설정!$L$6+ROW()-1,설정!$L$24)),"")</f>
        <v>0</v>
      </c>
      <c r="B326" s="83" t="n">
        <f aca="false">IFERROR(IF(INDEX(원자료_시장!$A$1:$BZ$1000,설정!$L$6+ROW()-1,설정!$L$37)&amp;""="0","",INDEX(원자료_시장!$A$1:$BZ$1000,설정!$L$6+ROW()-1,설정!$L$37)),"")</f>
        <v>0</v>
      </c>
      <c r="C326" s="83" t="n">
        <f aca="false">IFERROR(IF(INDEX(원자료_시장!$A$1:$BZ$1000,설정!$L$6+ROW()-1,설정!$L$25)&amp;""="0","",INDEX(원자료_시장!$A$1:$BZ$1000,설정!$L$6+ROW()-1,설정!$L$25)),"")</f>
        <v>0</v>
      </c>
      <c r="D326" s="85" t="str">
        <f aca="false">IFERROR(IF(ISNUMBER(INDEX(원자료_시장!$A$1:$BZ$1000,설정!$L$6+ROW()-1,설정!$L$26)),INDEX(원자료_시장!$A$1:$BZ$1000,설정!$L$6+ROW()-1,설정!$L$26),""),"")</f>
        <v/>
      </c>
      <c r="E326" s="97" t="str">
        <f aca="false">IFERROR(IF(ISNUMBER(INDEX(원자료_시장!$A$1:$BZ$1000,설정!$L$6+ROW()-1,설정!$L$27)),INDEX(원자료_시장!$A$1:$BZ$1000,설정!$L$6+ROW()-1,설정!$L$27),""),"")</f>
        <v/>
      </c>
      <c r="F326" s="97" t="str">
        <f aca="false">IFERROR(IF(ISNUMBER(INDEX(원자료_시장!$A$1:$BZ$1000,설정!$L$6+ROW()-1,설정!$L$28)),INDEX(원자료_시장!$A$1:$BZ$1000,설정!$L$6+ROW()-1,설정!$L$28),""),"")</f>
        <v/>
      </c>
      <c r="G326" s="97" t="str">
        <f aca="false">IFERROR(IF(ISNUMBER(INDEX(원자료_시장!$A$1:$BZ$1000,설정!$L$6+ROW()-1,설정!$L$29)),INDEX(원자료_시장!$A$1:$BZ$1000,설정!$L$6+ROW()-1,설정!$L$29),""),"")</f>
        <v/>
      </c>
      <c r="H326" s="97" t="str">
        <f aca="false">IFERROR(IF(ISNUMBER(INDEX(원자료_시장!$A$1:$BZ$1000,설정!$L$6+ROW()-1,설정!$L$30)),INDEX(원자료_시장!$A$1:$BZ$1000,설정!$L$6+ROW()-1,설정!$L$30),""),"")</f>
        <v/>
      </c>
      <c r="I326" s="97" t="str">
        <f aca="false">IFERROR(IF(ISNUMBER(INDEX(원자료_시장!$A$1:$BZ$1000,설정!$L$6+ROW()-1,설정!$L$31)),INDEX(원자료_시장!$A$1:$BZ$1000,설정!$L$6+ROW()-1,설정!$L$31),""),"")</f>
        <v/>
      </c>
      <c r="J326" s="97" t="str">
        <f aca="false">IFERROR(IF(ISNUMBER(INDEX(원자료_시장!$A$1:$BZ$1000,설정!$L$6+ROW()-1,설정!$L$32)),INDEX(원자료_시장!$A$1:$BZ$1000,설정!$L$6+ROW()-1,설정!$L$32),""),"")</f>
        <v/>
      </c>
      <c r="K326" s="85" t="str">
        <f aca="false">IFERROR(IF(ISNUMBER(INDEX(원자료_시장!$A$1:$BZ$1000,설정!$L$6+ROW()-1,설정!$L$33)),INDEX(원자료_시장!$A$1:$BZ$1000,설정!$L$6+ROW()-1,설정!$L$33),""),"")</f>
        <v/>
      </c>
      <c r="L326" s="83" t="n">
        <f aca="false">IFERROR(IF(INDEX(원자료_시장!$A$1:$BZ$1000,설정!$L$6+ROW()-1,설정!$L$34)&amp;""="0","",INDEX(원자료_시장!$A$1:$BZ$1000,설정!$L$6+ROW()-1,설정!$L$34)),"")</f>
        <v>0</v>
      </c>
      <c r="M326" s="83" t="n">
        <f aca="false">IFERROR(IF(INDEX(원자료_시장!$A$1:$BZ$1000,설정!$L$6+ROW()-1,설정!$L$35)&amp;""="0","",INDEX(원자료_시장!$A$1:$BZ$1000,설정!$L$6+ROW()-1,설정!$L$35)),"")</f>
        <v>0</v>
      </c>
      <c r="N326" s="83" t="n">
        <f aca="false">IFERROR(IF(INDEX(원자료_시장!$A$1:$BZ$1000,설정!$L$6+ROW()-1,설정!$L$36)&amp;""="0","",INDEX(원자료_시장!$A$1:$BZ$1000,설정!$L$6+ROW()-1,설정!$L$36)),"")</f>
        <v>0</v>
      </c>
      <c r="O326" s="43" t="str">
        <f aca="false">IF($A326="","",UPPER(LEFT($A326,FIND(" ",$A326&amp;" ")-1)))</f>
        <v/>
      </c>
      <c r="P326" s="43" t="str">
        <f aca="false">IF($A326="","",TRIM(RIGHT(SUBSTITUTE(TRIM($A326)," ",REPT(" ",30)),30)))</f>
        <v/>
      </c>
      <c r="Q326" s="98" t="str">
        <f aca="false">IF($A326="","",IFERROR(DATE(IF(LEN(P326)=8,2000+VALUE(RIGHT(P326,2)),VALUE(RIGHT(P326,4))),VALUE(LEFT(P326,2)),VALUE(MID(P326,4,2))),""))</f>
        <v/>
      </c>
      <c r="R326" s="89" t="n">
        <f aca="false">IF($A326="",0,IF(ISNUMBER(SEARCH("Float",$A326)),1,0))</f>
        <v>0</v>
      </c>
      <c r="S326" s="43" t="str">
        <f aca="false">IF($A326="","",TRIM(MID($A326,LEN(O326)+2,LEN($A326)-LEN(O326)-LEN(P326)-1)))</f>
        <v/>
      </c>
      <c r="T326" s="92" t="str">
        <f aca="false">IF(OR($A326="",R326=1),"",IFERROR(IF(ISNUMBER(FIND("/",S326)),IF(ISNUMBER(FIND(" ",S326)),VALUE(LEFT(S326,FIND(" ",S326)-1))+VALUE(MID(S326,FIND(" ",S326)+1,FIND("/",S326)-FIND(" ",S326)-1))/VALUE(MID(S326,FIND("/",S326)+1,9)),VALUE(LEFT(S326,FIND("/",S326)-1))/VALUE(MID(S326,FIND("/",S326)+1,9))),VALUE(S326)),""))</f>
        <v/>
      </c>
      <c r="U326" s="43" t="str">
        <f aca="false">IF(OR($A326="",NOT(ISNUMBER(Q326))),"",TEXT(Q326,"yyyymmdd")&amp;"|"&amp;IF(R326=1,"F",TEXT(T326,"0.000")))</f>
        <v/>
      </c>
      <c r="V326" s="43" t="str">
        <f aca="false">IF(U326="","",O326&amp;"|"&amp;U326)</f>
        <v/>
      </c>
      <c r="W326" s="43" t="str">
        <f aca="false">IF($A326="","",IFERROR(IF(VLOOKUP(O326,매핑!$A$4:$E$92,3,0)="","미분류",VLOOKUP(O326,매핑!$A$4:$E$92,3,0)),"미분류"))</f>
        <v/>
      </c>
      <c r="X326" s="89" t="n">
        <f aca="false">IF($A326="",0,IF(O326="T",1,0))</f>
        <v>0</v>
      </c>
      <c r="Y326" s="89" t="n">
        <f aca="false">IF($A326="",0,IF(AND(C326="USD",X326=0,ISNUMBER(E326),ISNUMBER(K326)),IF(K326&gt;=설정!$C$8,1,0),0))</f>
        <v>0</v>
      </c>
      <c r="Z326" s="43" t="str">
        <f aca="false">IF($A326="","",N326&amp;"|"&amp;L326)</f>
        <v/>
      </c>
      <c r="AA326" s="92" t="n">
        <f aca="false">IF(Y326=1,LN(K326),0)</f>
        <v>0</v>
      </c>
      <c r="AB326" s="93" t="n">
        <f aca="false">IF(Y326=1,E326,0)</f>
        <v>0</v>
      </c>
      <c r="AC326" s="89" t="n">
        <f aca="false">IF(Y326=1,COUNTIFS($Z$2:$Z$601,Z326,$Y$2:$Y$601,1),0)</f>
        <v>0</v>
      </c>
      <c r="AD326" s="89" t="n">
        <f aca="false">IF(Y326=1,COUNTIFS($N$2:$N$601,N326,$Y$2:$Y$601,1),0)</f>
        <v>0</v>
      </c>
      <c r="AE326" s="43" t="str">
        <f aca="false">IF(Y326&lt;&gt;1,"",IF(AND(AC326&gt;=설정!$C$7,ISNUMBER(MATCH(Z326,피어커브!$A:$A,0))),Z326,IF(AND(AD326&gt;=설정!$C$7,ISNUMBER(MATCH(N326&amp;"|전체",피어커브!$A:$A,0))),N326&amp;"|전체","전체|전체")))</f>
        <v/>
      </c>
      <c r="AF326" s="93" t="str">
        <f aca="false">IF(AE326="","",INDEX(피어커브!$K:$K,MATCH(AE326,피어커브!$A:$A,0)))</f>
        <v/>
      </c>
      <c r="AG326" s="93" t="str">
        <f aca="false">IF(AE326="","",INDEX(피어커브!$J:$J,MATCH(AE326,피어커브!$A:$A,0)))</f>
        <v/>
      </c>
      <c r="AH326" s="93" t="str">
        <f aca="false">IF(AE326="","",INDEX(피어커브!$L:$L,MATCH(AE326,피어커브!$A:$A,0)))</f>
        <v/>
      </c>
      <c r="AI326" s="93" t="str">
        <f aca="false">IF(AE326="","",AF326+AG326*AA326)</f>
        <v/>
      </c>
      <c r="AJ326" s="96" t="str">
        <f aca="false">IF(AE326="","",E326-AI326)</f>
        <v/>
      </c>
      <c r="AK326" s="95" t="str">
        <f aca="false">IF(AE326="","",IF(ISNUMBER(AH326),IF(AH326&gt;0,AJ326/AH326,""),""))</f>
        <v/>
      </c>
      <c r="AL326" s="43" t="str">
        <f aca="false">IF(AK326="","-",IF(AK326&gt;=설정!$C$6,"Cheap",IF(AK326&lt;=-설정!$C$6,"Rich","Fair")))</f>
        <v>-</v>
      </c>
      <c r="AM326" s="96" t="str">
        <f aca="false">IF(AE326="","",AJ326-AVERAGEIFS($AJ$2:$AJ$601,$B$2:$B$601,B326,$Y$2:$Y$601,1))</f>
        <v/>
      </c>
      <c r="AN326" s="93" t="n">
        <f aca="false">IF(AE326="",0,IF(K326&gt;1+설정!$C$8,AG326*(AA326-LN(K326-1)),0))</f>
        <v>0</v>
      </c>
      <c r="AO326" s="99" t="n">
        <f aca="false">IF($A326="",0,SUMIFS(보유분석!$AA$2:$AA$801,보유분석!$AB$2:$AB$801,ROW(),보유분석!$AC$2:$AC$801,1))</f>
        <v>0</v>
      </c>
      <c r="AP326" s="43" t="str">
        <f aca="false">IF($A326="","",TRIM(IF(R326=1,"FRN ","")&amp;IF(IFERROR(VLOOKUP(M326,설정!$A$15:$D$47,4,0),0)&gt;=10,IF(IFERROR(VLOOKUP(M326,설정!$A$15:$D$47,4,0),0)&lt;99,"BBB0미만 ",""),"")&amp;IF(OR(M326="",M326="NR"),"등급미입력 ","")&amp;IF(C326&lt;&gt;"USD","비USD ","")))</f>
        <v/>
      </c>
      <c r="AQ326" s="90" t="n">
        <f aca="false">IF(AND(Y326=1,AL326="Cheap"),IF(AND(ISERROR(SEARCH("FRN",AP326)),ISERROR(SEARCH("BBB0미만",AP326))),AK326+ROW()/1000000000,-999),-999)</f>
        <v>-999</v>
      </c>
      <c r="AR326" s="92" t="str">
        <f aca="false">IF(AND(ISNUMBER(D326),ISNUMBER(K326)),D326+AN326*MAX(K326-1,0)/100,"")</f>
        <v/>
      </c>
      <c r="AS326" s="93" t="str">
        <f aca="false">IF(AND(ISNUMBER(E326),ISNUMBER(K326)),IF(K326&gt;0,(E326+AN326*MAX(K326-1,0))/K326,""),"")</f>
        <v/>
      </c>
      <c r="AT326" s="90" t="n">
        <f aca="false">IFERROR(IF(AND(Y326=1,ROW()&lt;&gt;스왑분석!$C$12+1,ABS(K326-INDEX($K$2:$K$601,스왑분석!$C$12))&lt;=스왑분석!$C$5,ISERROR(SEARCH("FRN",AP326)),ISERROR(SEARCH("BBB0미만",AP326))),IF(AND(OR(스왑분석!$C$6="N",L326=INDEX($L$2:$L$601,스왑분석!$C$12)),OR(스왑분석!$C$7="N",N326=INDEX($N$2:$N$601,스왑분석!$C$12)),OR(스왑분석!$C$8="N",AO326=0),E326-INDEX($E$2:$E$601,스왑분석!$C$12)&gt;=스왑분석!$C$9),E326-INDEX($E$2:$E$601,스왑분석!$C$12)+ROW()/1000000000,-999),-999),-999)</f>
        <v>-999</v>
      </c>
      <c r="AU326" s="90" t="n">
        <f aca="false">IF(AND(Y326=1,AO326&gt;0,AL326="Rich"),-AK326+ROW()/1000000000,-999)</f>
        <v>-999</v>
      </c>
    </row>
    <row r="327" customFormat="false" ht="15" hidden="false" customHeight="false" outlineLevel="0" collapsed="false">
      <c r="A327" s="83" t="n">
        <f aca="false">IFERROR(IF(INDEX(원자료_시장!$A$1:$BZ$1000,설정!$L$6+ROW()-1,설정!$L$24)&amp;""="0","",INDEX(원자료_시장!$A$1:$BZ$1000,설정!$L$6+ROW()-1,설정!$L$24)),"")</f>
        <v>0</v>
      </c>
      <c r="B327" s="83" t="n">
        <f aca="false">IFERROR(IF(INDEX(원자료_시장!$A$1:$BZ$1000,설정!$L$6+ROW()-1,설정!$L$37)&amp;""="0","",INDEX(원자료_시장!$A$1:$BZ$1000,설정!$L$6+ROW()-1,설정!$L$37)),"")</f>
        <v>0</v>
      </c>
      <c r="C327" s="83" t="n">
        <f aca="false">IFERROR(IF(INDEX(원자료_시장!$A$1:$BZ$1000,설정!$L$6+ROW()-1,설정!$L$25)&amp;""="0","",INDEX(원자료_시장!$A$1:$BZ$1000,설정!$L$6+ROW()-1,설정!$L$25)),"")</f>
        <v>0</v>
      </c>
      <c r="D327" s="85" t="str">
        <f aca="false">IFERROR(IF(ISNUMBER(INDEX(원자료_시장!$A$1:$BZ$1000,설정!$L$6+ROW()-1,설정!$L$26)),INDEX(원자료_시장!$A$1:$BZ$1000,설정!$L$6+ROW()-1,설정!$L$26),""),"")</f>
        <v/>
      </c>
      <c r="E327" s="97" t="str">
        <f aca="false">IFERROR(IF(ISNUMBER(INDEX(원자료_시장!$A$1:$BZ$1000,설정!$L$6+ROW()-1,설정!$L$27)),INDEX(원자료_시장!$A$1:$BZ$1000,설정!$L$6+ROW()-1,설정!$L$27),""),"")</f>
        <v/>
      </c>
      <c r="F327" s="97" t="str">
        <f aca="false">IFERROR(IF(ISNUMBER(INDEX(원자료_시장!$A$1:$BZ$1000,설정!$L$6+ROW()-1,설정!$L$28)),INDEX(원자료_시장!$A$1:$BZ$1000,설정!$L$6+ROW()-1,설정!$L$28),""),"")</f>
        <v/>
      </c>
      <c r="G327" s="97" t="str">
        <f aca="false">IFERROR(IF(ISNUMBER(INDEX(원자료_시장!$A$1:$BZ$1000,설정!$L$6+ROW()-1,설정!$L$29)),INDEX(원자료_시장!$A$1:$BZ$1000,설정!$L$6+ROW()-1,설정!$L$29),""),"")</f>
        <v/>
      </c>
      <c r="H327" s="97" t="str">
        <f aca="false">IFERROR(IF(ISNUMBER(INDEX(원자료_시장!$A$1:$BZ$1000,설정!$L$6+ROW()-1,설정!$L$30)),INDEX(원자료_시장!$A$1:$BZ$1000,설정!$L$6+ROW()-1,설정!$L$30),""),"")</f>
        <v/>
      </c>
      <c r="I327" s="97" t="str">
        <f aca="false">IFERROR(IF(ISNUMBER(INDEX(원자료_시장!$A$1:$BZ$1000,설정!$L$6+ROW()-1,설정!$L$31)),INDEX(원자료_시장!$A$1:$BZ$1000,설정!$L$6+ROW()-1,설정!$L$31),""),"")</f>
        <v/>
      </c>
      <c r="J327" s="97" t="str">
        <f aca="false">IFERROR(IF(ISNUMBER(INDEX(원자료_시장!$A$1:$BZ$1000,설정!$L$6+ROW()-1,설정!$L$32)),INDEX(원자료_시장!$A$1:$BZ$1000,설정!$L$6+ROW()-1,설정!$L$32),""),"")</f>
        <v/>
      </c>
      <c r="K327" s="85" t="str">
        <f aca="false">IFERROR(IF(ISNUMBER(INDEX(원자료_시장!$A$1:$BZ$1000,설정!$L$6+ROW()-1,설정!$L$33)),INDEX(원자료_시장!$A$1:$BZ$1000,설정!$L$6+ROW()-1,설정!$L$33),""),"")</f>
        <v/>
      </c>
      <c r="L327" s="83" t="n">
        <f aca="false">IFERROR(IF(INDEX(원자료_시장!$A$1:$BZ$1000,설정!$L$6+ROW()-1,설정!$L$34)&amp;""="0","",INDEX(원자료_시장!$A$1:$BZ$1000,설정!$L$6+ROW()-1,설정!$L$34)),"")</f>
        <v>0</v>
      </c>
      <c r="M327" s="83" t="n">
        <f aca="false">IFERROR(IF(INDEX(원자료_시장!$A$1:$BZ$1000,설정!$L$6+ROW()-1,설정!$L$35)&amp;""="0","",INDEX(원자료_시장!$A$1:$BZ$1000,설정!$L$6+ROW()-1,설정!$L$35)),"")</f>
        <v>0</v>
      </c>
      <c r="N327" s="83" t="n">
        <f aca="false">IFERROR(IF(INDEX(원자료_시장!$A$1:$BZ$1000,설정!$L$6+ROW()-1,설정!$L$36)&amp;""="0","",INDEX(원자료_시장!$A$1:$BZ$1000,설정!$L$6+ROW()-1,설정!$L$36)),"")</f>
        <v>0</v>
      </c>
      <c r="O327" s="43" t="str">
        <f aca="false">IF($A327="","",UPPER(LEFT($A327,FIND(" ",$A327&amp;" ")-1)))</f>
        <v/>
      </c>
      <c r="P327" s="43" t="str">
        <f aca="false">IF($A327="","",TRIM(RIGHT(SUBSTITUTE(TRIM($A327)," ",REPT(" ",30)),30)))</f>
        <v/>
      </c>
      <c r="Q327" s="98" t="str">
        <f aca="false">IF($A327="","",IFERROR(DATE(IF(LEN(P327)=8,2000+VALUE(RIGHT(P327,2)),VALUE(RIGHT(P327,4))),VALUE(LEFT(P327,2)),VALUE(MID(P327,4,2))),""))</f>
        <v/>
      </c>
      <c r="R327" s="89" t="n">
        <f aca="false">IF($A327="",0,IF(ISNUMBER(SEARCH("Float",$A327)),1,0))</f>
        <v>0</v>
      </c>
      <c r="S327" s="43" t="str">
        <f aca="false">IF($A327="","",TRIM(MID($A327,LEN(O327)+2,LEN($A327)-LEN(O327)-LEN(P327)-1)))</f>
        <v/>
      </c>
      <c r="T327" s="92" t="str">
        <f aca="false">IF(OR($A327="",R327=1),"",IFERROR(IF(ISNUMBER(FIND("/",S327)),IF(ISNUMBER(FIND(" ",S327)),VALUE(LEFT(S327,FIND(" ",S327)-1))+VALUE(MID(S327,FIND(" ",S327)+1,FIND("/",S327)-FIND(" ",S327)-1))/VALUE(MID(S327,FIND("/",S327)+1,9)),VALUE(LEFT(S327,FIND("/",S327)-1))/VALUE(MID(S327,FIND("/",S327)+1,9))),VALUE(S327)),""))</f>
        <v/>
      </c>
      <c r="U327" s="43" t="str">
        <f aca="false">IF(OR($A327="",NOT(ISNUMBER(Q327))),"",TEXT(Q327,"yyyymmdd")&amp;"|"&amp;IF(R327=1,"F",TEXT(T327,"0.000")))</f>
        <v/>
      </c>
      <c r="V327" s="43" t="str">
        <f aca="false">IF(U327="","",O327&amp;"|"&amp;U327)</f>
        <v/>
      </c>
      <c r="W327" s="43" t="str">
        <f aca="false">IF($A327="","",IFERROR(IF(VLOOKUP(O327,매핑!$A$4:$E$92,3,0)="","미분류",VLOOKUP(O327,매핑!$A$4:$E$92,3,0)),"미분류"))</f>
        <v/>
      </c>
      <c r="X327" s="89" t="n">
        <f aca="false">IF($A327="",0,IF(O327="T",1,0))</f>
        <v>0</v>
      </c>
      <c r="Y327" s="89" t="n">
        <f aca="false">IF($A327="",0,IF(AND(C327="USD",X327=0,ISNUMBER(E327),ISNUMBER(K327)),IF(K327&gt;=설정!$C$8,1,0),0))</f>
        <v>0</v>
      </c>
      <c r="Z327" s="43" t="str">
        <f aca="false">IF($A327="","",N327&amp;"|"&amp;L327)</f>
        <v/>
      </c>
      <c r="AA327" s="92" t="n">
        <f aca="false">IF(Y327=1,LN(K327),0)</f>
        <v>0</v>
      </c>
      <c r="AB327" s="93" t="n">
        <f aca="false">IF(Y327=1,E327,0)</f>
        <v>0</v>
      </c>
      <c r="AC327" s="89" t="n">
        <f aca="false">IF(Y327=1,COUNTIFS($Z$2:$Z$601,Z327,$Y$2:$Y$601,1),0)</f>
        <v>0</v>
      </c>
      <c r="AD327" s="89" t="n">
        <f aca="false">IF(Y327=1,COUNTIFS($N$2:$N$601,N327,$Y$2:$Y$601,1),0)</f>
        <v>0</v>
      </c>
      <c r="AE327" s="43" t="str">
        <f aca="false">IF(Y327&lt;&gt;1,"",IF(AND(AC327&gt;=설정!$C$7,ISNUMBER(MATCH(Z327,피어커브!$A:$A,0))),Z327,IF(AND(AD327&gt;=설정!$C$7,ISNUMBER(MATCH(N327&amp;"|전체",피어커브!$A:$A,0))),N327&amp;"|전체","전체|전체")))</f>
        <v/>
      </c>
      <c r="AF327" s="93" t="str">
        <f aca="false">IF(AE327="","",INDEX(피어커브!$K:$K,MATCH(AE327,피어커브!$A:$A,0)))</f>
        <v/>
      </c>
      <c r="AG327" s="93" t="str">
        <f aca="false">IF(AE327="","",INDEX(피어커브!$J:$J,MATCH(AE327,피어커브!$A:$A,0)))</f>
        <v/>
      </c>
      <c r="AH327" s="93" t="str">
        <f aca="false">IF(AE327="","",INDEX(피어커브!$L:$L,MATCH(AE327,피어커브!$A:$A,0)))</f>
        <v/>
      </c>
      <c r="AI327" s="93" t="str">
        <f aca="false">IF(AE327="","",AF327+AG327*AA327)</f>
        <v/>
      </c>
      <c r="AJ327" s="96" t="str">
        <f aca="false">IF(AE327="","",E327-AI327)</f>
        <v/>
      </c>
      <c r="AK327" s="95" t="str">
        <f aca="false">IF(AE327="","",IF(ISNUMBER(AH327),IF(AH327&gt;0,AJ327/AH327,""),""))</f>
        <v/>
      </c>
      <c r="AL327" s="43" t="str">
        <f aca="false">IF(AK327="","-",IF(AK327&gt;=설정!$C$6,"Cheap",IF(AK327&lt;=-설정!$C$6,"Rich","Fair")))</f>
        <v>-</v>
      </c>
      <c r="AM327" s="96" t="str">
        <f aca="false">IF(AE327="","",AJ327-AVERAGEIFS($AJ$2:$AJ$601,$B$2:$B$601,B327,$Y$2:$Y$601,1))</f>
        <v/>
      </c>
      <c r="AN327" s="93" t="n">
        <f aca="false">IF(AE327="",0,IF(K327&gt;1+설정!$C$8,AG327*(AA327-LN(K327-1)),0))</f>
        <v>0</v>
      </c>
      <c r="AO327" s="99" t="n">
        <f aca="false">IF($A327="",0,SUMIFS(보유분석!$AA$2:$AA$801,보유분석!$AB$2:$AB$801,ROW(),보유분석!$AC$2:$AC$801,1))</f>
        <v>0</v>
      </c>
      <c r="AP327" s="43" t="str">
        <f aca="false">IF($A327="","",TRIM(IF(R327=1,"FRN ","")&amp;IF(IFERROR(VLOOKUP(M327,설정!$A$15:$D$47,4,0),0)&gt;=10,IF(IFERROR(VLOOKUP(M327,설정!$A$15:$D$47,4,0),0)&lt;99,"BBB0미만 ",""),"")&amp;IF(OR(M327="",M327="NR"),"등급미입력 ","")&amp;IF(C327&lt;&gt;"USD","비USD ","")))</f>
        <v/>
      </c>
      <c r="AQ327" s="90" t="n">
        <f aca="false">IF(AND(Y327=1,AL327="Cheap"),IF(AND(ISERROR(SEARCH("FRN",AP327)),ISERROR(SEARCH("BBB0미만",AP327))),AK327+ROW()/1000000000,-999),-999)</f>
        <v>-999</v>
      </c>
      <c r="AR327" s="92" t="str">
        <f aca="false">IF(AND(ISNUMBER(D327),ISNUMBER(K327)),D327+AN327*MAX(K327-1,0)/100,"")</f>
        <v/>
      </c>
      <c r="AS327" s="93" t="str">
        <f aca="false">IF(AND(ISNUMBER(E327),ISNUMBER(K327)),IF(K327&gt;0,(E327+AN327*MAX(K327-1,0))/K327,""),"")</f>
        <v/>
      </c>
      <c r="AT327" s="90" t="n">
        <f aca="false">IFERROR(IF(AND(Y327=1,ROW()&lt;&gt;스왑분석!$C$12+1,ABS(K327-INDEX($K$2:$K$601,스왑분석!$C$12))&lt;=스왑분석!$C$5,ISERROR(SEARCH("FRN",AP327)),ISERROR(SEARCH("BBB0미만",AP327))),IF(AND(OR(스왑분석!$C$6="N",L327=INDEX($L$2:$L$601,스왑분석!$C$12)),OR(스왑분석!$C$7="N",N327=INDEX($N$2:$N$601,스왑분석!$C$12)),OR(스왑분석!$C$8="N",AO327=0),E327-INDEX($E$2:$E$601,스왑분석!$C$12)&gt;=스왑분석!$C$9),E327-INDEX($E$2:$E$601,스왑분석!$C$12)+ROW()/1000000000,-999),-999),-999)</f>
        <v>-999</v>
      </c>
      <c r="AU327" s="90" t="n">
        <f aca="false">IF(AND(Y327=1,AO327&gt;0,AL327="Rich"),-AK327+ROW()/1000000000,-999)</f>
        <v>-999</v>
      </c>
    </row>
    <row r="328" customFormat="false" ht="15" hidden="false" customHeight="false" outlineLevel="0" collapsed="false">
      <c r="A328" s="83" t="n">
        <f aca="false">IFERROR(IF(INDEX(원자료_시장!$A$1:$BZ$1000,설정!$L$6+ROW()-1,설정!$L$24)&amp;""="0","",INDEX(원자료_시장!$A$1:$BZ$1000,설정!$L$6+ROW()-1,설정!$L$24)),"")</f>
        <v>0</v>
      </c>
      <c r="B328" s="83" t="n">
        <f aca="false">IFERROR(IF(INDEX(원자료_시장!$A$1:$BZ$1000,설정!$L$6+ROW()-1,설정!$L$37)&amp;""="0","",INDEX(원자료_시장!$A$1:$BZ$1000,설정!$L$6+ROW()-1,설정!$L$37)),"")</f>
        <v>0</v>
      </c>
      <c r="C328" s="83" t="n">
        <f aca="false">IFERROR(IF(INDEX(원자료_시장!$A$1:$BZ$1000,설정!$L$6+ROW()-1,설정!$L$25)&amp;""="0","",INDEX(원자료_시장!$A$1:$BZ$1000,설정!$L$6+ROW()-1,설정!$L$25)),"")</f>
        <v>0</v>
      </c>
      <c r="D328" s="85" t="str">
        <f aca="false">IFERROR(IF(ISNUMBER(INDEX(원자료_시장!$A$1:$BZ$1000,설정!$L$6+ROW()-1,설정!$L$26)),INDEX(원자료_시장!$A$1:$BZ$1000,설정!$L$6+ROW()-1,설정!$L$26),""),"")</f>
        <v/>
      </c>
      <c r="E328" s="97" t="str">
        <f aca="false">IFERROR(IF(ISNUMBER(INDEX(원자료_시장!$A$1:$BZ$1000,설정!$L$6+ROW()-1,설정!$L$27)),INDEX(원자료_시장!$A$1:$BZ$1000,설정!$L$6+ROW()-1,설정!$L$27),""),"")</f>
        <v/>
      </c>
      <c r="F328" s="97" t="str">
        <f aca="false">IFERROR(IF(ISNUMBER(INDEX(원자료_시장!$A$1:$BZ$1000,설정!$L$6+ROW()-1,설정!$L$28)),INDEX(원자료_시장!$A$1:$BZ$1000,설정!$L$6+ROW()-1,설정!$L$28),""),"")</f>
        <v/>
      </c>
      <c r="G328" s="97" t="str">
        <f aca="false">IFERROR(IF(ISNUMBER(INDEX(원자료_시장!$A$1:$BZ$1000,설정!$L$6+ROW()-1,설정!$L$29)),INDEX(원자료_시장!$A$1:$BZ$1000,설정!$L$6+ROW()-1,설정!$L$29),""),"")</f>
        <v/>
      </c>
      <c r="H328" s="97" t="str">
        <f aca="false">IFERROR(IF(ISNUMBER(INDEX(원자료_시장!$A$1:$BZ$1000,설정!$L$6+ROW()-1,설정!$L$30)),INDEX(원자료_시장!$A$1:$BZ$1000,설정!$L$6+ROW()-1,설정!$L$30),""),"")</f>
        <v/>
      </c>
      <c r="I328" s="97" t="str">
        <f aca="false">IFERROR(IF(ISNUMBER(INDEX(원자료_시장!$A$1:$BZ$1000,설정!$L$6+ROW()-1,설정!$L$31)),INDEX(원자료_시장!$A$1:$BZ$1000,설정!$L$6+ROW()-1,설정!$L$31),""),"")</f>
        <v/>
      </c>
      <c r="J328" s="97" t="str">
        <f aca="false">IFERROR(IF(ISNUMBER(INDEX(원자료_시장!$A$1:$BZ$1000,설정!$L$6+ROW()-1,설정!$L$32)),INDEX(원자료_시장!$A$1:$BZ$1000,설정!$L$6+ROW()-1,설정!$L$32),""),"")</f>
        <v/>
      </c>
      <c r="K328" s="85" t="str">
        <f aca="false">IFERROR(IF(ISNUMBER(INDEX(원자료_시장!$A$1:$BZ$1000,설정!$L$6+ROW()-1,설정!$L$33)),INDEX(원자료_시장!$A$1:$BZ$1000,설정!$L$6+ROW()-1,설정!$L$33),""),"")</f>
        <v/>
      </c>
      <c r="L328" s="83" t="n">
        <f aca="false">IFERROR(IF(INDEX(원자료_시장!$A$1:$BZ$1000,설정!$L$6+ROW()-1,설정!$L$34)&amp;""="0","",INDEX(원자료_시장!$A$1:$BZ$1000,설정!$L$6+ROW()-1,설정!$L$34)),"")</f>
        <v>0</v>
      </c>
      <c r="M328" s="83" t="n">
        <f aca="false">IFERROR(IF(INDEX(원자료_시장!$A$1:$BZ$1000,설정!$L$6+ROW()-1,설정!$L$35)&amp;""="0","",INDEX(원자료_시장!$A$1:$BZ$1000,설정!$L$6+ROW()-1,설정!$L$35)),"")</f>
        <v>0</v>
      </c>
      <c r="N328" s="83" t="n">
        <f aca="false">IFERROR(IF(INDEX(원자료_시장!$A$1:$BZ$1000,설정!$L$6+ROW()-1,설정!$L$36)&amp;""="0","",INDEX(원자료_시장!$A$1:$BZ$1000,설정!$L$6+ROW()-1,설정!$L$36)),"")</f>
        <v>0</v>
      </c>
      <c r="O328" s="43" t="str">
        <f aca="false">IF($A328="","",UPPER(LEFT($A328,FIND(" ",$A328&amp;" ")-1)))</f>
        <v/>
      </c>
      <c r="P328" s="43" t="str">
        <f aca="false">IF($A328="","",TRIM(RIGHT(SUBSTITUTE(TRIM($A328)," ",REPT(" ",30)),30)))</f>
        <v/>
      </c>
      <c r="Q328" s="98" t="str">
        <f aca="false">IF($A328="","",IFERROR(DATE(IF(LEN(P328)=8,2000+VALUE(RIGHT(P328,2)),VALUE(RIGHT(P328,4))),VALUE(LEFT(P328,2)),VALUE(MID(P328,4,2))),""))</f>
        <v/>
      </c>
      <c r="R328" s="89" t="n">
        <f aca="false">IF($A328="",0,IF(ISNUMBER(SEARCH("Float",$A328)),1,0))</f>
        <v>0</v>
      </c>
      <c r="S328" s="43" t="str">
        <f aca="false">IF($A328="","",TRIM(MID($A328,LEN(O328)+2,LEN($A328)-LEN(O328)-LEN(P328)-1)))</f>
        <v/>
      </c>
      <c r="T328" s="92" t="str">
        <f aca="false">IF(OR($A328="",R328=1),"",IFERROR(IF(ISNUMBER(FIND("/",S328)),IF(ISNUMBER(FIND(" ",S328)),VALUE(LEFT(S328,FIND(" ",S328)-1))+VALUE(MID(S328,FIND(" ",S328)+1,FIND("/",S328)-FIND(" ",S328)-1))/VALUE(MID(S328,FIND("/",S328)+1,9)),VALUE(LEFT(S328,FIND("/",S328)-1))/VALUE(MID(S328,FIND("/",S328)+1,9))),VALUE(S328)),""))</f>
        <v/>
      </c>
      <c r="U328" s="43" t="str">
        <f aca="false">IF(OR($A328="",NOT(ISNUMBER(Q328))),"",TEXT(Q328,"yyyymmdd")&amp;"|"&amp;IF(R328=1,"F",TEXT(T328,"0.000")))</f>
        <v/>
      </c>
      <c r="V328" s="43" t="str">
        <f aca="false">IF(U328="","",O328&amp;"|"&amp;U328)</f>
        <v/>
      </c>
      <c r="W328" s="43" t="str">
        <f aca="false">IF($A328="","",IFERROR(IF(VLOOKUP(O328,매핑!$A$4:$E$92,3,0)="","미분류",VLOOKUP(O328,매핑!$A$4:$E$92,3,0)),"미분류"))</f>
        <v/>
      </c>
      <c r="X328" s="89" t="n">
        <f aca="false">IF($A328="",0,IF(O328="T",1,0))</f>
        <v>0</v>
      </c>
      <c r="Y328" s="89" t="n">
        <f aca="false">IF($A328="",0,IF(AND(C328="USD",X328=0,ISNUMBER(E328),ISNUMBER(K328)),IF(K328&gt;=설정!$C$8,1,0),0))</f>
        <v>0</v>
      </c>
      <c r="Z328" s="43" t="str">
        <f aca="false">IF($A328="","",N328&amp;"|"&amp;L328)</f>
        <v/>
      </c>
      <c r="AA328" s="92" t="n">
        <f aca="false">IF(Y328=1,LN(K328),0)</f>
        <v>0</v>
      </c>
      <c r="AB328" s="93" t="n">
        <f aca="false">IF(Y328=1,E328,0)</f>
        <v>0</v>
      </c>
      <c r="AC328" s="89" t="n">
        <f aca="false">IF(Y328=1,COUNTIFS($Z$2:$Z$601,Z328,$Y$2:$Y$601,1),0)</f>
        <v>0</v>
      </c>
      <c r="AD328" s="89" t="n">
        <f aca="false">IF(Y328=1,COUNTIFS($N$2:$N$601,N328,$Y$2:$Y$601,1),0)</f>
        <v>0</v>
      </c>
      <c r="AE328" s="43" t="str">
        <f aca="false">IF(Y328&lt;&gt;1,"",IF(AND(AC328&gt;=설정!$C$7,ISNUMBER(MATCH(Z328,피어커브!$A:$A,0))),Z328,IF(AND(AD328&gt;=설정!$C$7,ISNUMBER(MATCH(N328&amp;"|전체",피어커브!$A:$A,0))),N328&amp;"|전체","전체|전체")))</f>
        <v/>
      </c>
      <c r="AF328" s="93" t="str">
        <f aca="false">IF(AE328="","",INDEX(피어커브!$K:$K,MATCH(AE328,피어커브!$A:$A,0)))</f>
        <v/>
      </c>
      <c r="AG328" s="93" t="str">
        <f aca="false">IF(AE328="","",INDEX(피어커브!$J:$J,MATCH(AE328,피어커브!$A:$A,0)))</f>
        <v/>
      </c>
      <c r="AH328" s="93" t="str">
        <f aca="false">IF(AE328="","",INDEX(피어커브!$L:$L,MATCH(AE328,피어커브!$A:$A,0)))</f>
        <v/>
      </c>
      <c r="AI328" s="93" t="str">
        <f aca="false">IF(AE328="","",AF328+AG328*AA328)</f>
        <v/>
      </c>
      <c r="AJ328" s="96" t="str">
        <f aca="false">IF(AE328="","",E328-AI328)</f>
        <v/>
      </c>
      <c r="AK328" s="95" t="str">
        <f aca="false">IF(AE328="","",IF(ISNUMBER(AH328),IF(AH328&gt;0,AJ328/AH328,""),""))</f>
        <v/>
      </c>
      <c r="AL328" s="43" t="str">
        <f aca="false">IF(AK328="","-",IF(AK328&gt;=설정!$C$6,"Cheap",IF(AK328&lt;=-설정!$C$6,"Rich","Fair")))</f>
        <v>-</v>
      </c>
      <c r="AM328" s="96" t="str">
        <f aca="false">IF(AE328="","",AJ328-AVERAGEIFS($AJ$2:$AJ$601,$B$2:$B$601,B328,$Y$2:$Y$601,1))</f>
        <v/>
      </c>
      <c r="AN328" s="93" t="n">
        <f aca="false">IF(AE328="",0,IF(K328&gt;1+설정!$C$8,AG328*(AA328-LN(K328-1)),0))</f>
        <v>0</v>
      </c>
      <c r="AO328" s="99" t="n">
        <f aca="false">IF($A328="",0,SUMIFS(보유분석!$AA$2:$AA$801,보유분석!$AB$2:$AB$801,ROW(),보유분석!$AC$2:$AC$801,1))</f>
        <v>0</v>
      </c>
      <c r="AP328" s="43" t="str">
        <f aca="false">IF($A328="","",TRIM(IF(R328=1,"FRN ","")&amp;IF(IFERROR(VLOOKUP(M328,설정!$A$15:$D$47,4,0),0)&gt;=10,IF(IFERROR(VLOOKUP(M328,설정!$A$15:$D$47,4,0),0)&lt;99,"BBB0미만 ",""),"")&amp;IF(OR(M328="",M328="NR"),"등급미입력 ","")&amp;IF(C328&lt;&gt;"USD","비USD ","")))</f>
        <v/>
      </c>
      <c r="AQ328" s="90" t="n">
        <f aca="false">IF(AND(Y328=1,AL328="Cheap"),IF(AND(ISERROR(SEARCH("FRN",AP328)),ISERROR(SEARCH("BBB0미만",AP328))),AK328+ROW()/1000000000,-999),-999)</f>
        <v>-999</v>
      </c>
      <c r="AR328" s="92" t="str">
        <f aca="false">IF(AND(ISNUMBER(D328),ISNUMBER(K328)),D328+AN328*MAX(K328-1,0)/100,"")</f>
        <v/>
      </c>
      <c r="AS328" s="93" t="str">
        <f aca="false">IF(AND(ISNUMBER(E328),ISNUMBER(K328)),IF(K328&gt;0,(E328+AN328*MAX(K328-1,0))/K328,""),"")</f>
        <v/>
      </c>
      <c r="AT328" s="90" t="n">
        <f aca="false">IFERROR(IF(AND(Y328=1,ROW()&lt;&gt;스왑분석!$C$12+1,ABS(K328-INDEX($K$2:$K$601,스왑분석!$C$12))&lt;=스왑분석!$C$5,ISERROR(SEARCH("FRN",AP328)),ISERROR(SEARCH("BBB0미만",AP328))),IF(AND(OR(스왑분석!$C$6="N",L328=INDEX($L$2:$L$601,스왑분석!$C$12)),OR(스왑분석!$C$7="N",N328=INDEX($N$2:$N$601,스왑분석!$C$12)),OR(스왑분석!$C$8="N",AO328=0),E328-INDEX($E$2:$E$601,스왑분석!$C$12)&gt;=스왑분석!$C$9),E328-INDEX($E$2:$E$601,스왑분석!$C$12)+ROW()/1000000000,-999),-999),-999)</f>
        <v>-999</v>
      </c>
      <c r="AU328" s="90" t="n">
        <f aca="false">IF(AND(Y328=1,AO328&gt;0,AL328="Rich"),-AK328+ROW()/1000000000,-999)</f>
        <v>-999</v>
      </c>
    </row>
    <row r="329" customFormat="false" ht="15" hidden="false" customHeight="false" outlineLevel="0" collapsed="false">
      <c r="A329" s="83" t="n">
        <f aca="false">IFERROR(IF(INDEX(원자료_시장!$A$1:$BZ$1000,설정!$L$6+ROW()-1,설정!$L$24)&amp;""="0","",INDEX(원자료_시장!$A$1:$BZ$1000,설정!$L$6+ROW()-1,설정!$L$24)),"")</f>
        <v>0</v>
      </c>
      <c r="B329" s="83" t="n">
        <f aca="false">IFERROR(IF(INDEX(원자료_시장!$A$1:$BZ$1000,설정!$L$6+ROW()-1,설정!$L$37)&amp;""="0","",INDEX(원자료_시장!$A$1:$BZ$1000,설정!$L$6+ROW()-1,설정!$L$37)),"")</f>
        <v>0</v>
      </c>
      <c r="C329" s="83" t="n">
        <f aca="false">IFERROR(IF(INDEX(원자료_시장!$A$1:$BZ$1000,설정!$L$6+ROW()-1,설정!$L$25)&amp;""="0","",INDEX(원자료_시장!$A$1:$BZ$1000,설정!$L$6+ROW()-1,설정!$L$25)),"")</f>
        <v>0</v>
      </c>
      <c r="D329" s="85" t="str">
        <f aca="false">IFERROR(IF(ISNUMBER(INDEX(원자료_시장!$A$1:$BZ$1000,설정!$L$6+ROW()-1,설정!$L$26)),INDEX(원자료_시장!$A$1:$BZ$1000,설정!$L$6+ROW()-1,설정!$L$26),""),"")</f>
        <v/>
      </c>
      <c r="E329" s="97" t="str">
        <f aca="false">IFERROR(IF(ISNUMBER(INDEX(원자료_시장!$A$1:$BZ$1000,설정!$L$6+ROW()-1,설정!$L$27)),INDEX(원자료_시장!$A$1:$BZ$1000,설정!$L$6+ROW()-1,설정!$L$27),""),"")</f>
        <v/>
      </c>
      <c r="F329" s="97" t="str">
        <f aca="false">IFERROR(IF(ISNUMBER(INDEX(원자료_시장!$A$1:$BZ$1000,설정!$L$6+ROW()-1,설정!$L$28)),INDEX(원자료_시장!$A$1:$BZ$1000,설정!$L$6+ROW()-1,설정!$L$28),""),"")</f>
        <v/>
      </c>
      <c r="G329" s="97" t="str">
        <f aca="false">IFERROR(IF(ISNUMBER(INDEX(원자료_시장!$A$1:$BZ$1000,설정!$L$6+ROW()-1,설정!$L$29)),INDEX(원자료_시장!$A$1:$BZ$1000,설정!$L$6+ROW()-1,설정!$L$29),""),"")</f>
        <v/>
      </c>
      <c r="H329" s="97" t="str">
        <f aca="false">IFERROR(IF(ISNUMBER(INDEX(원자료_시장!$A$1:$BZ$1000,설정!$L$6+ROW()-1,설정!$L$30)),INDEX(원자료_시장!$A$1:$BZ$1000,설정!$L$6+ROW()-1,설정!$L$30),""),"")</f>
        <v/>
      </c>
      <c r="I329" s="97" t="str">
        <f aca="false">IFERROR(IF(ISNUMBER(INDEX(원자료_시장!$A$1:$BZ$1000,설정!$L$6+ROW()-1,설정!$L$31)),INDEX(원자료_시장!$A$1:$BZ$1000,설정!$L$6+ROW()-1,설정!$L$31),""),"")</f>
        <v/>
      </c>
      <c r="J329" s="97" t="str">
        <f aca="false">IFERROR(IF(ISNUMBER(INDEX(원자료_시장!$A$1:$BZ$1000,설정!$L$6+ROW()-1,설정!$L$32)),INDEX(원자료_시장!$A$1:$BZ$1000,설정!$L$6+ROW()-1,설정!$L$32),""),"")</f>
        <v/>
      </c>
      <c r="K329" s="85" t="str">
        <f aca="false">IFERROR(IF(ISNUMBER(INDEX(원자료_시장!$A$1:$BZ$1000,설정!$L$6+ROW()-1,설정!$L$33)),INDEX(원자료_시장!$A$1:$BZ$1000,설정!$L$6+ROW()-1,설정!$L$33),""),"")</f>
        <v/>
      </c>
      <c r="L329" s="83" t="n">
        <f aca="false">IFERROR(IF(INDEX(원자료_시장!$A$1:$BZ$1000,설정!$L$6+ROW()-1,설정!$L$34)&amp;""="0","",INDEX(원자료_시장!$A$1:$BZ$1000,설정!$L$6+ROW()-1,설정!$L$34)),"")</f>
        <v>0</v>
      </c>
      <c r="M329" s="83" t="n">
        <f aca="false">IFERROR(IF(INDEX(원자료_시장!$A$1:$BZ$1000,설정!$L$6+ROW()-1,설정!$L$35)&amp;""="0","",INDEX(원자료_시장!$A$1:$BZ$1000,설정!$L$6+ROW()-1,설정!$L$35)),"")</f>
        <v>0</v>
      </c>
      <c r="N329" s="83" t="n">
        <f aca="false">IFERROR(IF(INDEX(원자료_시장!$A$1:$BZ$1000,설정!$L$6+ROW()-1,설정!$L$36)&amp;""="0","",INDEX(원자료_시장!$A$1:$BZ$1000,설정!$L$6+ROW()-1,설정!$L$36)),"")</f>
        <v>0</v>
      </c>
      <c r="O329" s="43" t="str">
        <f aca="false">IF($A329="","",UPPER(LEFT($A329,FIND(" ",$A329&amp;" ")-1)))</f>
        <v/>
      </c>
      <c r="P329" s="43" t="str">
        <f aca="false">IF($A329="","",TRIM(RIGHT(SUBSTITUTE(TRIM($A329)," ",REPT(" ",30)),30)))</f>
        <v/>
      </c>
      <c r="Q329" s="98" t="str">
        <f aca="false">IF($A329="","",IFERROR(DATE(IF(LEN(P329)=8,2000+VALUE(RIGHT(P329,2)),VALUE(RIGHT(P329,4))),VALUE(LEFT(P329,2)),VALUE(MID(P329,4,2))),""))</f>
        <v/>
      </c>
      <c r="R329" s="89" t="n">
        <f aca="false">IF($A329="",0,IF(ISNUMBER(SEARCH("Float",$A329)),1,0))</f>
        <v>0</v>
      </c>
      <c r="S329" s="43" t="str">
        <f aca="false">IF($A329="","",TRIM(MID($A329,LEN(O329)+2,LEN($A329)-LEN(O329)-LEN(P329)-1)))</f>
        <v/>
      </c>
      <c r="T329" s="92" t="str">
        <f aca="false">IF(OR($A329="",R329=1),"",IFERROR(IF(ISNUMBER(FIND("/",S329)),IF(ISNUMBER(FIND(" ",S329)),VALUE(LEFT(S329,FIND(" ",S329)-1))+VALUE(MID(S329,FIND(" ",S329)+1,FIND("/",S329)-FIND(" ",S329)-1))/VALUE(MID(S329,FIND("/",S329)+1,9)),VALUE(LEFT(S329,FIND("/",S329)-1))/VALUE(MID(S329,FIND("/",S329)+1,9))),VALUE(S329)),""))</f>
        <v/>
      </c>
      <c r="U329" s="43" t="str">
        <f aca="false">IF(OR($A329="",NOT(ISNUMBER(Q329))),"",TEXT(Q329,"yyyymmdd")&amp;"|"&amp;IF(R329=1,"F",TEXT(T329,"0.000")))</f>
        <v/>
      </c>
      <c r="V329" s="43" t="str">
        <f aca="false">IF(U329="","",O329&amp;"|"&amp;U329)</f>
        <v/>
      </c>
      <c r="W329" s="43" t="str">
        <f aca="false">IF($A329="","",IFERROR(IF(VLOOKUP(O329,매핑!$A$4:$E$92,3,0)="","미분류",VLOOKUP(O329,매핑!$A$4:$E$92,3,0)),"미분류"))</f>
        <v/>
      </c>
      <c r="X329" s="89" t="n">
        <f aca="false">IF($A329="",0,IF(O329="T",1,0))</f>
        <v>0</v>
      </c>
      <c r="Y329" s="89" t="n">
        <f aca="false">IF($A329="",0,IF(AND(C329="USD",X329=0,ISNUMBER(E329),ISNUMBER(K329)),IF(K329&gt;=설정!$C$8,1,0),0))</f>
        <v>0</v>
      </c>
      <c r="Z329" s="43" t="str">
        <f aca="false">IF($A329="","",N329&amp;"|"&amp;L329)</f>
        <v/>
      </c>
      <c r="AA329" s="92" t="n">
        <f aca="false">IF(Y329=1,LN(K329),0)</f>
        <v>0</v>
      </c>
      <c r="AB329" s="93" t="n">
        <f aca="false">IF(Y329=1,E329,0)</f>
        <v>0</v>
      </c>
      <c r="AC329" s="89" t="n">
        <f aca="false">IF(Y329=1,COUNTIFS($Z$2:$Z$601,Z329,$Y$2:$Y$601,1),0)</f>
        <v>0</v>
      </c>
      <c r="AD329" s="89" t="n">
        <f aca="false">IF(Y329=1,COUNTIFS($N$2:$N$601,N329,$Y$2:$Y$601,1),0)</f>
        <v>0</v>
      </c>
      <c r="AE329" s="43" t="str">
        <f aca="false">IF(Y329&lt;&gt;1,"",IF(AND(AC329&gt;=설정!$C$7,ISNUMBER(MATCH(Z329,피어커브!$A:$A,0))),Z329,IF(AND(AD329&gt;=설정!$C$7,ISNUMBER(MATCH(N329&amp;"|전체",피어커브!$A:$A,0))),N329&amp;"|전체","전체|전체")))</f>
        <v/>
      </c>
      <c r="AF329" s="93" t="str">
        <f aca="false">IF(AE329="","",INDEX(피어커브!$K:$K,MATCH(AE329,피어커브!$A:$A,0)))</f>
        <v/>
      </c>
      <c r="AG329" s="93" t="str">
        <f aca="false">IF(AE329="","",INDEX(피어커브!$J:$J,MATCH(AE329,피어커브!$A:$A,0)))</f>
        <v/>
      </c>
      <c r="AH329" s="93" t="str">
        <f aca="false">IF(AE329="","",INDEX(피어커브!$L:$L,MATCH(AE329,피어커브!$A:$A,0)))</f>
        <v/>
      </c>
      <c r="AI329" s="93" t="str">
        <f aca="false">IF(AE329="","",AF329+AG329*AA329)</f>
        <v/>
      </c>
      <c r="AJ329" s="96" t="str">
        <f aca="false">IF(AE329="","",E329-AI329)</f>
        <v/>
      </c>
      <c r="AK329" s="95" t="str">
        <f aca="false">IF(AE329="","",IF(ISNUMBER(AH329),IF(AH329&gt;0,AJ329/AH329,""),""))</f>
        <v/>
      </c>
      <c r="AL329" s="43" t="str">
        <f aca="false">IF(AK329="","-",IF(AK329&gt;=설정!$C$6,"Cheap",IF(AK329&lt;=-설정!$C$6,"Rich","Fair")))</f>
        <v>-</v>
      </c>
      <c r="AM329" s="96" t="str">
        <f aca="false">IF(AE329="","",AJ329-AVERAGEIFS($AJ$2:$AJ$601,$B$2:$B$601,B329,$Y$2:$Y$601,1))</f>
        <v/>
      </c>
      <c r="AN329" s="93" t="n">
        <f aca="false">IF(AE329="",0,IF(K329&gt;1+설정!$C$8,AG329*(AA329-LN(K329-1)),0))</f>
        <v>0</v>
      </c>
      <c r="AO329" s="99" t="n">
        <f aca="false">IF($A329="",0,SUMIFS(보유분석!$AA$2:$AA$801,보유분석!$AB$2:$AB$801,ROW(),보유분석!$AC$2:$AC$801,1))</f>
        <v>0</v>
      </c>
      <c r="AP329" s="43" t="str">
        <f aca="false">IF($A329="","",TRIM(IF(R329=1,"FRN ","")&amp;IF(IFERROR(VLOOKUP(M329,설정!$A$15:$D$47,4,0),0)&gt;=10,IF(IFERROR(VLOOKUP(M329,설정!$A$15:$D$47,4,0),0)&lt;99,"BBB0미만 ",""),"")&amp;IF(OR(M329="",M329="NR"),"등급미입력 ","")&amp;IF(C329&lt;&gt;"USD","비USD ","")))</f>
        <v/>
      </c>
      <c r="AQ329" s="90" t="n">
        <f aca="false">IF(AND(Y329=1,AL329="Cheap"),IF(AND(ISERROR(SEARCH("FRN",AP329)),ISERROR(SEARCH("BBB0미만",AP329))),AK329+ROW()/1000000000,-999),-999)</f>
        <v>-999</v>
      </c>
      <c r="AR329" s="92" t="str">
        <f aca="false">IF(AND(ISNUMBER(D329),ISNUMBER(K329)),D329+AN329*MAX(K329-1,0)/100,"")</f>
        <v/>
      </c>
      <c r="AS329" s="93" t="str">
        <f aca="false">IF(AND(ISNUMBER(E329),ISNUMBER(K329)),IF(K329&gt;0,(E329+AN329*MAX(K329-1,0))/K329,""),"")</f>
        <v/>
      </c>
      <c r="AT329" s="90" t="n">
        <f aca="false">IFERROR(IF(AND(Y329=1,ROW()&lt;&gt;스왑분석!$C$12+1,ABS(K329-INDEX($K$2:$K$601,스왑분석!$C$12))&lt;=스왑분석!$C$5,ISERROR(SEARCH("FRN",AP329)),ISERROR(SEARCH("BBB0미만",AP329))),IF(AND(OR(스왑분석!$C$6="N",L329=INDEX($L$2:$L$601,스왑분석!$C$12)),OR(스왑분석!$C$7="N",N329=INDEX($N$2:$N$601,스왑분석!$C$12)),OR(스왑분석!$C$8="N",AO329=0),E329-INDEX($E$2:$E$601,스왑분석!$C$12)&gt;=스왑분석!$C$9),E329-INDEX($E$2:$E$601,스왑분석!$C$12)+ROW()/1000000000,-999),-999),-999)</f>
        <v>-999</v>
      </c>
      <c r="AU329" s="90" t="n">
        <f aca="false">IF(AND(Y329=1,AO329&gt;0,AL329="Rich"),-AK329+ROW()/1000000000,-999)</f>
        <v>-999</v>
      </c>
    </row>
    <row r="330" customFormat="false" ht="15" hidden="false" customHeight="false" outlineLevel="0" collapsed="false">
      <c r="A330" s="83" t="n">
        <f aca="false">IFERROR(IF(INDEX(원자료_시장!$A$1:$BZ$1000,설정!$L$6+ROW()-1,설정!$L$24)&amp;""="0","",INDEX(원자료_시장!$A$1:$BZ$1000,설정!$L$6+ROW()-1,설정!$L$24)),"")</f>
        <v>0</v>
      </c>
      <c r="B330" s="83" t="n">
        <f aca="false">IFERROR(IF(INDEX(원자료_시장!$A$1:$BZ$1000,설정!$L$6+ROW()-1,설정!$L$37)&amp;""="0","",INDEX(원자료_시장!$A$1:$BZ$1000,설정!$L$6+ROW()-1,설정!$L$37)),"")</f>
        <v>0</v>
      </c>
      <c r="C330" s="83" t="n">
        <f aca="false">IFERROR(IF(INDEX(원자료_시장!$A$1:$BZ$1000,설정!$L$6+ROW()-1,설정!$L$25)&amp;""="0","",INDEX(원자료_시장!$A$1:$BZ$1000,설정!$L$6+ROW()-1,설정!$L$25)),"")</f>
        <v>0</v>
      </c>
      <c r="D330" s="85" t="str">
        <f aca="false">IFERROR(IF(ISNUMBER(INDEX(원자료_시장!$A$1:$BZ$1000,설정!$L$6+ROW()-1,설정!$L$26)),INDEX(원자료_시장!$A$1:$BZ$1000,설정!$L$6+ROW()-1,설정!$L$26),""),"")</f>
        <v/>
      </c>
      <c r="E330" s="97" t="str">
        <f aca="false">IFERROR(IF(ISNUMBER(INDEX(원자료_시장!$A$1:$BZ$1000,설정!$L$6+ROW()-1,설정!$L$27)),INDEX(원자료_시장!$A$1:$BZ$1000,설정!$L$6+ROW()-1,설정!$L$27),""),"")</f>
        <v/>
      </c>
      <c r="F330" s="97" t="str">
        <f aca="false">IFERROR(IF(ISNUMBER(INDEX(원자료_시장!$A$1:$BZ$1000,설정!$L$6+ROW()-1,설정!$L$28)),INDEX(원자료_시장!$A$1:$BZ$1000,설정!$L$6+ROW()-1,설정!$L$28),""),"")</f>
        <v/>
      </c>
      <c r="G330" s="97" t="str">
        <f aca="false">IFERROR(IF(ISNUMBER(INDEX(원자료_시장!$A$1:$BZ$1000,설정!$L$6+ROW()-1,설정!$L$29)),INDEX(원자료_시장!$A$1:$BZ$1000,설정!$L$6+ROW()-1,설정!$L$29),""),"")</f>
        <v/>
      </c>
      <c r="H330" s="97" t="str">
        <f aca="false">IFERROR(IF(ISNUMBER(INDEX(원자료_시장!$A$1:$BZ$1000,설정!$L$6+ROW()-1,설정!$L$30)),INDEX(원자료_시장!$A$1:$BZ$1000,설정!$L$6+ROW()-1,설정!$L$30),""),"")</f>
        <v/>
      </c>
      <c r="I330" s="97" t="str">
        <f aca="false">IFERROR(IF(ISNUMBER(INDEX(원자료_시장!$A$1:$BZ$1000,설정!$L$6+ROW()-1,설정!$L$31)),INDEX(원자료_시장!$A$1:$BZ$1000,설정!$L$6+ROW()-1,설정!$L$31),""),"")</f>
        <v/>
      </c>
      <c r="J330" s="97" t="str">
        <f aca="false">IFERROR(IF(ISNUMBER(INDEX(원자료_시장!$A$1:$BZ$1000,설정!$L$6+ROW()-1,설정!$L$32)),INDEX(원자료_시장!$A$1:$BZ$1000,설정!$L$6+ROW()-1,설정!$L$32),""),"")</f>
        <v/>
      </c>
      <c r="K330" s="85" t="str">
        <f aca="false">IFERROR(IF(ISNUMBER(INDEX(원자료_시장!$A$1:$BZ$1000,설정!$L$6+ROW()-1,설정!$L$33)),INDEX(원자료_시장!$A$1:$BZ$1000,설정!$L$6+ROW()-1,설정!$L$33),""),"")</f>
        <v/>
      </c>
      <c r="L330" s="83" t="n">
        <f aca="false">IFERROR(IF(INDEX(원자료_시장!$A$1:$BZ$1000,설정!$L$6+ROW()-1,설정!$L$34)&amp;""="0","",INDEX(원자료_시장!$A$1:$BZ$1000,설정!$L$6+ROW()-1,설정!$L$34)),"")</f>
        <v>0</v>
      </c>
      <c r="M330" s="83" t="n">
        <f aca="false">IFERROR(IF(INDEX(원자료_시장!$A$1:$BZ$1000,설정!$L$6+ROW()-1,설정!$L$35)&amp;""="0","",INDEX(원자료_시장!$A$1:$BZ$1000,설정!$L$6+ROW()-1,설정!$L$35)),"")</f>
        <v>0</v>
      </c>
      <c r="N330" s="83" t="n">
        <f aca="false">IFERROR(IF(INDEX(원자료_시장!$A$1:$BZ$1000,설정!$L$6+ROW()-1,설정!$L$36)&amp;""="0","",INDEX(원자료_시장!$A$1:$BZ$1000,설정!$L$6+ROW()-1,설정!$L$36)),"")</f>
        <v>0</v>
      </c>
      <c r="O330" s="43" t="str">
        <f aca="false">IF($A330="","",UPPER(LEFT($A330,FIND(" ",$A330&amp;" ")-1)))</f>
        <v/>
      </c>
      <c r="P330" s="43" t="str">
        <f aca="false">IF($A330="","",TRIM(RIGHT(SUBSTITUTE(TRIM($A330)," ",REPT(" ",30)),30)))</f>
        <v/>
      </c>
      <c r="Q330" s="98" t="str">
        <f aca="false">IF($A330="","",IFERROR(DATE(IF(LEN(P330)=8,2000+VALUE(RIGHT(P330,2)),VALUE(RIGHT(P330,4))),VALUE(LEFT(P330,2)),VALUE(MID(P330,4,2))),""))</f>
        <v/>
      </c>
      <c r="R330" s="89" t="n">
        <f aca="false">IF($A330="",0,IF(ISNUMBER(SEARCH("Float",$A330)),1,0))</f>
        <v>0</v>
      </c>
      <c r="S330" s="43" t="str">
        <f aca="false">IF($A330="","",TRIM(MID($A330,LEN(O330)+2,LEN($A330)-LEN(O330)-LEN(P330)-1)))</f>
        <v/>
      </c>
      <c r="T330" s="92" t="str">
        <f aca="false">IF(OR($A330="",R330=1),"",IFERROR(IF(ISNUMBER(FIND("/",S330)),IF(ISNUMBER(FIND(" ",S330)),VALUE(LEFT(S330,FIND(" ",S330)-1))+VALUE(MID(S330,FIND(" ",S330)+1,FIND("/",S330)-FIND(" ",S330)-1))/VALUE(MID(S330,FIND("/",S330)+1,9)),VALUE(LEFT(S330,FIND("/",S330)-1))/VALUE(MID(S330,FIND("/",S330)+1,9))),VALUE(S330)),""))</f>
        <v/>
      </c>
      <c r="U330" s="43" t="str">
        <f aca="false">IF(OR($A330="",NOT(ISNUMBER(Q330))),"",TEXT(Q330,"yyyymmdd")&amp;"|"&amp;IF(R330=1,"F",TEXT(T330,"0.000")))</f>
        <v/>
      </c>
      <c r="V330" s="43" t="str">
        <f aca="false">IF(U330="","",O330&amp;"|"&amp;U330)</f>
        <v/>
      </c>
      <c r="W330" s="43" t="str">
        <f aca="false">IF($A330="","",IFERROR(IF(VLOOKUP(O330,매핑!$A$4:$E$92,3,0)="","미분류",VLOOKUP(O330,매핑!$A$4:$E$92,3,0)),"미분류"))</f>
        <v/>
      </c>
      <c r="X330" s="89" t="n">
        <f aca="false">IF($A330="",0,IF(O330="T",1,0))</f>
        <v>0</v>
      </c>
      <c r="Y330" s="89" t="n">
        <f aca="false">IF($A330="",0,IF(AND(C330="USD",X330=0,ISNUMBER(E330),ISNUMBER(K330)),IF(K330&gt;=설정!$C$8,1,0),0))</f>
        <v>0</v>
      </c>
      <c r="Z330" s="43" t="str">
        <f aca="false">IF($A330="","",N330&amp;"|"&amp;L330)</f>
        <v/>
      </c>
      <c r="AA330" s="92" t="n">
        <f aca="false">IF(Y330=1,LN(K330),0)</f>
        <v>0</v>
      </c>
      <c r="AB330" s="93" t="n">
        <f aca="false">IF(Y330=1,E330,0)</f>
        <v>0</v>
      </c>
      <c r="AC330" s="89" t="n">
        <f aca="false">IF(Y330=1,COUNTIFS($Z$2:$Z$601,Z330,$Y$2:$Y$601,1),0)</f>
        <v>0</v>
      </c>
      <c r="AD330" s="89" t="n">
        <f aca="false">IF(Y330=1,COUNTIFS($N$2:$N$601,N330,$Y$2:$Y$601,1),0)</f>
        <v>0</v>
      </c>
      <c r="AE330" s="43" t="str">
        <f aca="false">IF(Y330&lt;&gt;1,"",IF(AND(AC330&gt;=설정!$C$7,ISNUMBER(MATCH(Z330,피어커브!$A:$A,0))),Z330,IF(AND(AD330&gt;=설정!$C$7,ISNUMBER(MATCH(N330&amp;"|전체",피어커브!$A:$A,0))),N330&amp;"|전체","전체|전체")))</f>
        <v/>
      </c>
      <c r="AF330" s="93" t="str">
        <f aca="false">IF(AE330="","",INDEX(피어커브!$K:$K,MATCH(AE330,피어커브!$A:$A,0)))</f>
        <v/>
      </c>
      <c r="AG330" s="93" t="str">
        <f aca="false">IF(AE330="","",INDEX(피어커브!$J:$J,MATCH(AE330,피어커브!$A:$A,0)))</f>
        <v/>
      </c>
      <c r="AH330" s="93" t="str">
        <f aca="false">IF(AE330="","",INDEX(피어커브!$L:$L,MATCH(AE330,피어커브!$A:$A,0)))</f>
        <v/>
      </c>
      <c r="AI330" s="93" t="str">
        <f aca="false">IF(AE330="","",AF330+AG330*AA330)</f>
        <v/>
      </c>
      <c r="AJ330" s="96" t="str">
        <f aca="false">IF(AE330="","",E330-AI330)</f>
        <v/>
      </c>
      <c r="AK330" s="95" t="str">
        <f aca="false">IF(AE330="","",IF(ISNUMBER(AH330),IF(AH330&gt;0,AJ330/AH330,""),""))</f>
        <v/>
      </c>
      <c r="AL330" s="43" t="str">
        <f aca="false">IF(AK330="","-",IF(AK330&gt;=설정!$C$6,"Cheap",IF(AK330&lt;=-설정!$C$6,"Rich","Fair")))</f>
        <v>-</v>
      </c>
      <c r="AM330" s="96" t="str">
        <f aca="false">IF(AE330="","",AJ330-AVERAGEIFS($AJ$2:$AJ$601,$B$2:$B$601,B330,$Y$2:$Y$601,1))</f>
        <v/>
      </c>
      <c r="AN330" s="93" t="n">
        <f aca="false">IF(AE330="",0,IF(K330&gt;1+설정!$C$8,AG330*(AA330-LN(K330-1)),0))</f>
        <v>0</v>
      </c>
      <c r="AO330" s="99" t="n">
        <f aca="false">IF($A330="",0,SUMIFS(보유분석!$AA$2:$AA$801,보유분석!$AB$2:$AB$801,ROW(),보유분석!$AC$2:$AC$801,1))</f>
        <v>0</v>
      </c>
      <c r="AP330" s="43" t="str">
        <f aca="false">IF($A330="","",TRIM(IF(R330=1,"FRN ","")&amp;IF(IFERROR(VLOOKUP(M330,설정!$A$15:$D$47,4,0),0)&gt;=10,IF(IFERROR(VLOOKUP(M330,설정!$A$15:$D$47,4,0),0)&lt;99,"BBB0미만 ",""),"")&amp;IF(OR(M330="",M330="NR"),"등급미입력 ","")&amp;IF(C330&lt;&gt;"USD","비USD ","")))</f>
        <v/>
      </c>
      <c r="AQ330" s="90" t="n">
        <f aca="false">IF(AND(Y330=1,AL330="Cheap"),IF(AND(ISERROR(SEARCH("FRN",AP330)),ISERROR(SEARCH("BBB0미만",AP330))),AK330+ROW()/1000000000,-999),-999)</f>
        <v>-999</v>
      </c>
      <c r="AR330" s="92" t="str">
        <f aca="false">IF(AND(ISNUMBER(D330),ISNUMBER(K330)),D330+AN330*MAX(K330-1,0)/100,"")</f>
        <v/>
      </c>
      <c r="AS330" s="93" t="str">
        <f aca="false">IF(AND(ISNUMBER(E330),ISNUMBER(K330)),IF(K330&gt;0,(E330+AN330*MAX(K330-1,0))/K330,""),"")</f>
        <v/>
      </c>
      <c r="AT330" s="90" t="n">
        <f aca="false">IFERROR(IF(AND(Y330=1,ROW()&lt;&gt;스왑분석!$C$12+1,ABS(K330-INDEX($K$2:$K$601,스왑분석!$C$12))&lt;=스왑분석!$C$5,ISERROR(SEARCH("FRN",AP330)),ISERROR(SEARCH("BBB0미만",AP330))),IF(AND(OR(스왑분석!$C$6="N",L330=INDEX($L$2:$L$601,스왑분석!$C$12)),OR(스왑분석!$C$7="N",N330=INDEX($N$2:$N$601,스왑분석!$C$12)),OR(스왑분석!$C$8="N",AO330=0),E330-INDEX($E$2:$E$601,스왑분석!$C$12)&gt;=스왑분석!$C$9),E330-INDEX($E$2:$E$601,스왑분석!$C$12)+ROW()/1000000000,-999),-999),-999)</f>
        <v>-999</v>
      </c>
      <c r="AU330" s="90" t="n">
        <f aca="false">IF(AND(Y330=1,AO330&gt;0,AL330="Rich"),-AK330+ROW()/1000000000,-999)</f>
        <v>-999</v>
      </c>
    </row>
    <row r="331" customFormat="false" ht="15" hidden="false" customHeight="false" outlineLevel="0" collapsed="false">
      <c r="A331" s="83" t="n">
        <f aca="false">IFERROR(IF(INDEX(원자료_시장!$A$1:$BZ$1000,설정!$L$6+ROW()-1,설정!$L$24)&amp;""="0","",INDEX(원자료_시장!$A$1:$BZ$1000,설정!$L$6+ROW()-1,설정!$L$24)),"")</f>
        <v>0</v>
      </c>
      <c r="B331" s="83" t="n">
        <f aca="false">IFERROR(IF(INDEX(원자료_시장!$A$1:$BZ$1000,설정!$L$6+ROW()-1,설정!$L$37)&amp;""="0","",INDEX(원자료_시장!$A$1:$BZ$1000,설정!$L$6+ROW()-1,설정!$L$37)),"")</f>
        <v>0</v>
      </c>
      <c r="C331" s="83" t="n">
        <f aca="false">IFERROR(IF(INDEX(원자료_시장!$A$1:$BZ$1000,설정!$L$6+ROW()-1,설정!$L$25)&amp;""="0","",INDEX(원자료_시장!$A$1:$BZ$1000,설정!$L$6+ROW()-1,설정!$L$25)),"")</f>
        <v>0</v>
      </c>
      <c r="D331" s="85" t="str">
        <f aca="false">IFERROR(IF(ISNUMBER(INDEX(원자료_시장!$A$1:$BZ$1000,설정!$L$6+ROW()-1,설정!$L$26)),INDEX(원자료_시장!$A$1:$BZ$1000,설정!$L$6+ROW()-1,설정!$L$26),""),"")</f>
        <v/>
      </c>
      <c r="E331" s="97" t="str">
        <f aca="false">IFERROR(IF(ISNUMBER(INDEX(원자료_시장!$A$1:$BZ$1000,설정!$L$6+ROW()-1,설정!$L$27)),INDEX(원자료_시장!$A$1:$BZ$1000,설정!$L$6+ROW()-1,설정!$L$27),""),"")</f>
        <v/>
      </c>
      <c r="F331" s="97" t="str">
        <f aca="false">IFERROR(IF(ISNUMBER(INDEX(원자료_시장!$A$1:$BZ$1000,설정!$L$6+ROW()-1,설정!$L$28)),INDEX(원자료_시장!$A$1:$BZ$1000,설정!$L$6+ROW()-1,설정!$L$28),""),"")</f>
        <v/>
      </c>
      <c r="G331" s="97" t="str">
        <f aca="false">IFERROR(IF(ISNUMBER(INDEX(원자료_시장!$A$1:$BZ$1000,설정!$L$6+ROW()-1,설정!$L$29)),INDEX(원자료_시장!$A$1:$BZ$1000,설정!$L$6+ROW()-1,설정!$L$29),""),"")</f>
        <v/>
      </c>
      <c r="H331" s="97" t="str">
        <f aca="false">IFERROR(IF(ISNUMBER(INDEX(원자료_시장!$A$1:$BZ$1000,설정!$L$6+ROW()-1,설정!$L$30)),INDEX(원자료_시장!$A$1:$BZ$1000,설정!$L$6+ROW()-1,설정!$L$30),""),"")</f>
        <v/>
      </c>
      <c r="I331" s="97" t="str">
        <f aca="false">IFERROR(IF(ISNUMBER(INDEX(원자료_시장!$A$1:$BZ$1000,설정!$L$6+ROW()-1,설정!$L$31)),INDEX(원자료_시장!$A$1:$BZ$1000,설정!$L$6+ROW()-1,설정!$L$31),""),"")</f>
        <v/>
      </c>
      <c r="J331" s="97" t="str">
        <f aca="false">IFERROR(IF(ISNUMBER(INDEX(원자료_시장!$A$1:$BZ$1000,설정!$L$6+ROW()-1,설정!$L$32)),INDEX(원자료_시장!$A$1:$BZ$1000,설정!$L$6+ROW()-1,설정!$L$32),""),"")</f>
        <v/>
      </c>
      <c r="K331" s="85" t="str">
        <f aca="false">IFERROR(IF(ISNUMBER(INDEX(원자료_시장!$A$1:$BZ$1000,설정!$L$6+ROW()-1,설정!$L$33)),INDEX(원자료_시장!$A$1:$BZ$1000,설정!$L$6+ROW()-1,설정!$L$33),""),"")</f>
        <v/>
      </c>
      <c r="L331" s="83" t="n">
        <f aca="false">IFERROR(IF(INDEX(원자료_시장!$A$1:$BZ$1000,설정!$L$6+ROW()-1,설정!$L$34)&amp;""="0","",INDEX(원자료_시장!$A$1:$BZ$1000,설정!$L$6+ROW()-1,설정!$L$34)),"")</f>
        <v>0</v>
      </c>
      <c r="M331" s="83" t="n">
        <f aca="false">IFERROR(IF(INDEX(원자료_시장!$A$1:$BZ$1000,설정!$L$6+ROW()-1,설정!$L$35)&amp;""="0","",INDEX(원자료_시장!$A$1:$BZ$1000,설정!$L$6+ROW()-1,설정!$L$35)),"")</f>
        <v>0</v>
      </c>
      <c r="N331" s="83" t="n">
        <f aca="false">IFERROR(IF(INDEX(원자료_시장!$A$1:$BZ$1000,설정!$L$6+ROW()-1,설정!$L$36)&amp;""="0","",INDEX(원자료_시장!$A$1:$BZ$1000,설정!$L$6+ROW()-1,설정!$L$36)),"")</f>
        <v>0</v>
      </c>
      <c r="O331" s="43" t="str">
        <f aca="false">IF($A331="","",UPPER(LEFT($A331,FIND(" ",$A331&amp;" ")-1)))</f>
        <v/>
      </c>
      <c r="P331" s="43" t="str">
        <f aca="false">IF($A331="","",TRIM(RIGHT(SUBSTITUTE(TRIM($A331)," ",REPT(" ",30)),30)))</f>
        <v/>
      </c>
      <c r="Q331" s="98" t="str">
        <f aca="false">IF($A331="","",IFERROR(DATE(IF(LEN(P331)=8,2000+VALUE(RIGHT(P331,2)),VALUE(RIGHT(P331,4))),VALUE(LEFT(P331,2)),VALUE(MID(P331,4,2))),""))</f>
        <v/>
      </c>
      <c r="R331" s="89" t="n">
        <f aca="false">IF($A331="",0,IF(ISNUMBER(SEARCH("Float",$A331)),1,0))</f>
        <v>0</v>
      </c>
      <c r="S331" s="43" t="str">
        <f aca="false">IF($A331="","",TRIM(MID($A331,LEN(O331)+2,LEN($A331)-LEN(O331)-LEN(P331)-1)))</f>
        <v/>
      </c>
      <c r="T331" s="92" t="str">
        <f aca="false">IF(OR($A331="",R331=1),"",IFERROR(IF(ISNUMBER(FIND("/",S331)),IF(ISNUMBER(FIND(" ",S331)),VALUE(LEFT(S331,FIND(" ",S331)-1))+VALUE(MID(S331,FIND(" ",S331)+1,FIND("/",S331)-FIND(" ",S331)-1))/VALUE(MID(S331,FIND("/",S331)+1,9)),VALUE(LEFT(S331,FIND("/",S331)-1))/VALUE(MID(S331,FIND("/",S331)+1,9))),VALUE(S331)),""))</f>
        <v/>
      </c>
      <c r="U331" s="43" t="str">
        <f aca="false">IF(OR($A331="",NOT(ISNUMBER(Q331))),"",TEXT(Q331,"yyyymmdd")&amp;"|"&amp;IF(R331=1,"F",TEXT(T331,"0.000")))</f>
        <v/>
      </c>
      <c r="V331" s="43" t="str">
        <f aca="false">IF(U331="","",O331&amp;"|"&amp;U331)</f>
        <v/>
      </c>
      <c r="W331" s="43" t="str">
        <f aca="false">IF($A331="","",IFERROR(IF(VLOOKUP(O331,매핑!$A$4:$E$92,3,0)="","미분류",VLOOKUP(O331,매핑!$A$4:$E$92,3,0)),"미분류"))</f>
        <v/>
      </c>
      <c r="X331" s="89" t="n">
        <f aca="false">IF($A331="",0,IF(O331="T",1,0))</f>
        <v>0</v>
      </c>
      <c r="Y331" s="89" t="n">
        <f aca="false">IF($A331="",0,IF(AND(C331="USD",X331=0,ISNUMBER(E331),ISNUMBER(K331)),IF(K331&gt;=설정!$C$8,1,0),0))</f>
        <v>0</v>
      </c>
      <c r="Z331" s="43" t="str">
        <f aca="false">IF($A331="","",N331&amp;"|"&amp;L331)</f>
        <v/>
      </c>
      <c r="AA331" s="92" t="n">
        <f aca="false">IF(Y331=1,LN(K331),0)</f>
        <v>0</v>
      </c>
      <c r="AB331" s="93" t="n">
        <f aca="false">IF(Y331=1,E331,0)</f>
        <v>0</v>
      </c>
      <c r="AC331" s="89" t="n">
        <f aca="false">IF(Y331=1,COUNTIFS($Z$2:$Z$601,Z331,$Y$2:$Y$601,1),0)</f>
        <v>0</v>
      </c>
      <c r="AD331" s="89" t="n">
        <f aca="false">IF(Y331=1,COUNTIFS($N$2:$N$601,N331,$Y$2:$Y$601,1),0)</f>
        <v>0</v>
      </c>
      <c r="AE331" s="43" t="str">
        <f aca="false">IF(Y331&lt;&gt;1,"",IF(AND(AC331&gt;=설정!$C$7,ISNUMBER(MATCH(Z331,피어커브!$A:$A,0))),Z331,IF(AND(AD331&gt;=설정!$C$7,ISNUMBER(MATCH(N331&amp;"|전체",피어커브!$A:$A,0))),N331&amp;"|전체","전체|전체")))</f>
        <v/>
      </c>
      <c r="AF331" s="93" t="str">
        <f aca="false">IF(AE331="","",INDEX(피어커브!$K:$K,MATCH(AE331,피어커브!$A:$A,0)))</f>
        <v/>
      </c>
      <c r="AG331" s="93" t="str">
        <f aca="false">IF(AE331="","",INDEX(피어커브!$J:$J,MATCH(AE331,피어커브!$A:$A,0)))</f>
        <v/>
      </c>
      <c r="AH331" s="93" t="str">
        <f aca="false">IF(AE331="","",INDEX(피어커브!$L:$L,MATCH(AE331,피어커브!$A:$A,0)))</f>
        <v/>
      </c>
      <c r="AI331" s="93" t="str">
        <f aca="false">IF(AE331="","",AF331+AG331*AA331)</f>
        <v/>
      </c>
      <c r="AJ331" s="96" t="str">
        <f aca="false">IF(AE331="","",E331-AI331)</f>
        <v/>
      </c>
      <c r="AK331" s="95" t="str">
        <f aca="false">IF(AE331="","",IF(ISNUMBER(AH331),IF(AH331&gt;0,AJ331/AH331,""),""))</f>
        <v/>
      </c>
      <c r="AL331" s="43" t="str">
        <f aca="false">IF(AK331="","-",IF(AK331&gt;=설정!$C$6,"Cheap",IF(AK331&lt;=-설정!$C$6,"Rich","Fair")))</f>
        <v>-</v>
      </c>
      <c r="AM331" s="96" t="str">
        <f aca="false">IF(AE331="","",AJ331-AVERAGEIFS($AJ$2:$AJ$601,$B$2:$B$601,B331,$Y$2:$Y$601,1))</f>
        <v/>
      </c>
      <c r="AN331" s="93" t="n">
        <f aca="false">IF(AE331="",0,IF(K331&gt;1+설정!$C$8,AG331*(AA331-LN(K331-1)),0))</f>
        <v>0</v>
      </c>
      <c r="AO331" s="99" t="n">
        <f aca="false">IF($A331="",0,SUMIFS(보유분석!$AA$2:$AA$801,보유분석!$AB$2:$AB$801,ROW(),보유분석!$AC$2:$AC$801,1))</f>
        <v>0</v>
      </c>
      <c r="AP331" s="43" t="str">
        <f aca="false">IF($A331="","",TRIM(IF(R331=1,"FRN ","")&amp;IF(IFERROR(VLOOKUP(M331,설정!$A$15:$D$47,4,0),0)&gt;=10,IF(IFERROR(VLOOKUP(M331,설정!$A$15:$D$47,4,0),0)&lt;99,"BBB0미만 ",""),"")&amp;IF(OR(M331="",M331="NR"),"등급미입력 ","")&amp;IF(C331&lt;&gt;"USD","비USD ","")))</f>
        <v/>
      </c>
      <c r="AQ331" s="90" t="n">
        <f aca="false">IF(AND(Y331=1,AL331="Cheap"),IF(AND(ISERROR(SEARCH("FRN",AP331)),ISERROR(SEARCH("BBB0미만",AP331))),AK331+ROW()/1000000000,-999),-999)</f>
        <v>-999</v>
      </c>
      <c r="AR331" s="92" t="str">
        <f aca="false">IF(AND(ISNUMBER(D331),ISNUMBER(K331)),D331+AN331*MAX(K331-1,0)/100,"")</f>
        <v/>
      </c>
      <c r="AS331" s="93" t="str">
        <f aca="false">IF(AND(ISNUMBER(E331),ISNUMBER(K331)),IF(K331&gt;0,(E331+AN331*MAX(K331-1,0))/K331,""),"")</f>
        <v/>
      </c>
      <c r="AT331" s="90" t="n">
        <f aca="false">IFERROR(IF(AND(Y331=1,ROW()&lt;&gt;스왑분석!$C$12+1,ABS(K331-INDEX($K$2:$K$601,스왑분석!$C$12))&lt;=스왑분석!$C$5,ISERROR(SEARCH("FRN",AP331)),ISERROR(SEARCH("BBB0미만",AP331))),IF(AND(OR(스왑분석!$C$6="N",L331=INDEX($L$2:$L$601,스왑분석!$C$12)),OR(스왑분석!$C$7="N",N331=INDEX($N$2:$N$601,스왑분석!$C$12)),OR(스왑분석!$C$8="N",AO331=0),E331-INDEX($E$2:$E$601,스왑분석!$C$12)&gt;=스왑분석!$C$9),E331-INDEX($E$2:$E$601,스왑분석!$C$12)+ROW()/1000000000,-999),-999),-999)</f>
        <v>-999</v>
      </c>
      <c r="AU331" s="90" t="n">
        <f aca="false">IF(AND(Y331=1,AO331&gt;0,AL331="Rich"),-AK331+ROW()/1000000000,-999)</f>
        <v>-999</v>
      </c>
    </row>
    <row r="332" customFormat="false" ht="15" hidden="false" customHeight="false" outlineLevel="0" collapsed="false">
      <c r="A332" s="83" t="n">
        <f aca="false">IFERROR(IF(INDEX(원자료_시장!$A$1:$BZ$1000,설정!$L$6+ROW()-1,설정!$L$24)&amp;""="0","",INDEX(원자료_시장!$A$1:$BZ$1000,설정!$L$6+ROW()-1,설정!$L$24)),"")</f>
        <v>0</v>
      </c>
      <c r="B332" s="83" t="n">
        <f aca="false">IFERROR(IF(INDEX(원자료_시장!$A$1:$BZ$1000,설정!$L$6+ROW()-1,설정!$L$37)&amp;""="0","",INDEX(원자료_시장!$A$1:$BZ$1000,설정!$L$6+ROW()-1,설정!$L$37)),"")</f>
        <v>0</v>
      </c>
      <c r="C332" s="83" t="n">
        <f aca="false">IFERROR(IF(INDEX(원자료_시장!$A$1:$BZ$1000,설정!$L$6+ROW()-1,설정!$L$25)&amp;""="0","",INDEX(원자료_시장!$A$1:$BZ$1000,설정!$L$6+ROW()-1,설정!$L$25)),"")</f>
        <v>0</v>
      </c>
      <c r="D332" s="85" t="str">
        <f aca="false">IFERROR(IF(ISNUMBER(INDEX(원자료_시장!$A$1:$BZ$1000,설정!$L$6+ROW()-1,설정!$L$26)),INDEX(원자료_시장!$A$1:$BZ$1000,설정!$L$6+ROW()-1,설정!$L$26),""),"")</f>
        <v/>
      </c>
      <c r="E332" s="97" t="str">
        <f aca="false">IFERROR(IF(ISNUMBER(INDEX(원자료_시장!$A$1:$BZ$1000,설정!$L$6+ROW()-1,설정!$L$27)),INDEX(원자료_시장!$A$1:$BZ$1000,설정!$L$6+ROW()-1,설정!$L$27),""),"")</f>
        <v/>
      </c>
      <c r="F332" s="97" t="str">
        <f aca="false">IFERROR(IF(ISNUMBER(INDEX(원자료_시장!$A$1:$BZ$1000,설정!$L$6+ROW()-1,설정!$L$28)),INDEX(원자료_시장!$A$1:$BZ$1000,설정!$L$6+ROW()-1,설정!$L$28),""),"")</f>
        <v/>
      </c>
      <c r="G332" s="97" t="str">
        <f aca="false">IFERROR(IF(ISNUMBER(INDEX(원자료_시장!$A$1:$BZ$1000,설정!$L$6+ROW()-1,설정!$L$29)),INDEX(원자료_시장!$A$1:$BZ$1000,설정!$L$6+ROW()-1,설정!$L$29),""),"")</f>
        <v/>
      </c>
      <c r="H332" s="97" t="str">
        <f aca="false">IFERROR(IF(ISNUMBER(INDEX(원자료_시장!$A$1:$BZ$1000,설정!$L$6+ROW()-1,설정!$L$30)),INDEX(원자료_시장!$A$1:$BZ$1000,설정!$L$6+ROW()-1,설정!$L$30),""),"")</f>
        <v/>
      </c>
      <c r="I332" s="97" t="str">
        <f aca="false">IFERROR(IF(ISNUMBER(INDEX(원자료_시장!$A$1:$BZ$1000,설정!$L$6+ROW()-1,설정!$L$31)),INDEX(원자료_시장!$A$1:$BZ$1000,설정!$L$6+ROW()-1,설정!$L$31),""),"")</f>
        <v/>
      </c>
      <c r="J332" s="97" t="str">
        <f aca="false">IFERROR(IF(ISNUMBER(INDEX(원자료_시장!$A$1:$BZ$1000,설정!$L$6+ROW()-1,설정!$L$32)),INDEX(원자료_시장!$A$1:$BZ$1000,설정!$L$6+ROW()-1,설정!$L$32),""),"")</f>
        <v/>
      </c>
      <c r="K332" s="85" t="str">
        <f aca="false">IFERROR(IF(ISNUMBER(INDEX(원자료_시장!$A$1:$BZ$1000,설정!$L$6+ROW()-1,설정!$L$33)),INDEX(원자료_시장!$A$1:$BZ$1000,설정!$L$6+ROW()-1,설정!$L$33),""),"")</f>
        <v/>
      </c>
      <c r="L332" s="83" t="n">
        <f aca="false">IFERROR(IF(INDEX(원자료_시장!$A$1:$BZ$1000,설정!$L$6+ROW()-1,설정!$L$34)&amp;""="0","",INDEX(원자료_시장!$A$1:$BZ$1000,설정!$L$6+ROW()-1,설정!$L$34)),"")</f>
        <v>0</v>
      </c>
      <c r="M332" s="83" t="n">
        <f aca="false">IFERROR(IF(INDEX(원자료_시장!$A$1:$BZ$1000,설정!$L$6+ROW()-1,설정!$L$35)&amp;""="0","",INDEX(원자료_시장!$A$1:$BZ$1000,설정!$L$6+ROW()-1,설정!$L$35)),"")</f>
        <v>0</v>
      </c>
      <c r="N332" s="83" t="n">
        <f aca="false">IFERROR(IF(INDEX(원자료_시장!$A$1:$BZ$1000,설정!$L$6+ROW()-1,설정!$L$36)&amp;""="0","",INDEX(원자료_시장!$A$1:$BZ$1000,설정!$L$6+ROW()-1,설정!$L$36)),"")</f>
        <v>0</v>
      </c>
      <c r="O332" s="43" t="str">
        <f aca="false">IF($A332="","",UPPER(LEFT($A332,FIND(" ",$A332&amp;" ")-1)))</f>
        <v/>
      </c>
      <c r="P332" s="43" t="str">
        <f aca="false">IF($A332="","",TRIM(RIGHT(SUBSTITUTE(TRIM($A332)," ",REPT(" ",30)),30)))</f>
        <v/>
      </c>
      <c r="Q332" s="98" t="str">
        <f aca="false">IF($A332="","",IFERROR(DATE(IF(LEN(P332)=8,2000+VALUE(RIGHT(P332,2)),VALUE(RIGHT(P332,4))),VALUE(LEFT(P332,2)),VALUE(MID(P332,4,2))),""))</f>
        <v/>
      </c>
      <c r="R332" s="89" t="n">
        <f aca="false">IF($A332="",0,IF(ISNUMBER(SEARCH("Float",$A332)),1,0))</f>
        <v>0</v>
      </c>
      <c r="S332" s="43" t="str">
        <f aca="false">IF($A332="","",TRIM(MID($A332,LEN(O332)+2,LEN($A332)-LEN(O332)-LEN(P332)-1)))</f>
        <v/>
      </c>
      <c r="T332" s="92" t="str">
        <f aca="false">IF(OR($A332="",R332=1),"",IFERROR(IF(ISNUMBER(FIND("/",S332)),IF(ISNUMBER(FIND(" ",S332)),VALUE(LEFT(S332,FIND(" ",S332)-1))+VALUE(MID(S332,FIND(" ",S332)+1,FIND("/",S332)-FIND(" ",S332)-1))/VALUE(MID(S332,FIND("/",S332)+1,9)),VALUE(LEFT(S332,FIND("/",S332)-1))/VALUE(MID(S332,FIND("/",S332)+1,9))),VALUE(S332)),""))</f>
        <v/>
      </c>
      <c r="U332" s="43" t="str">
        <f aca="false">IF(OR($A332="",NOT(ISNUMBER(Q332))),"",TEXT(Q332,"yyyymmdd")&amp;"|"&amp;IF(R332=1,"F",TEXT(T332,"0.000")))</f>
        <v/>
      </c>
      <c r="V332" s="43" t="str">
        <f aca="false">IF(U332="","",O332&amp;"|"&amp;U332)</f>
        <v/>
      </c>
      <c r="W332" s="43" t="str">
        <f aca="false">IF($A332="","",IFERROR(IF(VLOOKUP(O332,매핑!$A$4:$E$92,3,0)="","미분류",VLOOKUP(O332,매핑!$A$4:$E$92,3,0)),"미분류"))</f>
        <v/>
      </c>
      <c r="X332" s="89" t="n">
        <f aca="false">IF($A332="",0,IF(O332="T",1,0))</f>
        <v>0</v>
      </c>
      <c r="Y332" s="89" t="n">
        <f aca="false">IF($A332="",0,IF(AND(C332="USD",X332=0,ISNUMBER(E332),ISNUMBER(K332)),IF(K332&gt;=설정!$C$8,1,0),0))</f>
        <v>0</v>
      </c>
      <c r="Z332" s="43" t="str">
        <f aca="false">IF($A332="","",N332&amp;"|"&amp;L332)</f>
        <v/>
      </c>
      <c r="AA332" s="92" t="n">
        <f aca="false">IF(Y332=1,LN(K332),0)</f>
        <v>0</v>
      </c>
      <c r="AB332" s="93" t="n">
        <f aca="false">IF(Y332=1,E332,0)</f>
        <v>0</v>
      </c>
      <c r="AC332" s="89" t="n">
        <f aca="false">IF(Y332=1,COUNTIFS($Z$2:$Z$601,Z332,$Y$2:$Y$601,1),0)</f>
        <v>0</v>
      </c>
      <c r="AD332" s="89" t="n">
        <f aca="false">IF(Y332=1,COUNTIFS($N$2:$N$601,N332,$Y$2:$Y$601,1),0)</f>
        <v>0</v>
      </c>
      <c r="AE332" s="43" t="str">
        <f aca="false">IF(Y332&lt;&gt;1,"",IF(AND(AC332&gt;=설정!$C$7,ISNUMBER(MATCH(Z332,피어커브!$A:$A,0))),Z332,IF(AND(AD332&gt;=설정!$C$7,ISNUMBER(MATCH(N332&amp;"|전체",피어커브!$A:$A,0))),N332&amp;"|전체","전체|전체")))</f>
        <v/>
      </c>
      <c r="AF332" s="93" t="str">
        <f aca="false">IF(AE332="","",INDEX(피어커브!$K:$K,MATCH(AE332,피어커브!$A:$A,0)))</f>
        <v/>
      </c>
      <c r="AG332" s="93" t="str">
        <f aca="false">IF(AE332="","",INDEX(피어커브!$J:$J,MATCH(AE332,피어커브!$A:$A,0)))</f>
        <v/>
      </c>
      <c r="AH332" s="93" t="str">
        <f aca="false">IF(AE332="","",INDEX(피어커브!$L:$L,MATCH(AE332,피어커브!$A:$A,0)))</f>
        <v/>
      </c>
      <c r="AI332" s="93" t="str">
        <f aca="false">IF(AE332="","",AF332+AG332*AA332)</f>
        <v/>
      </c>
      <c r="AJ332" s="96" t="str">
        <f aca="false">IF(AE332="","",E332-AI332)</f>
        <v/>
      </c>
      <c r="AK332" s="95" t="str">
        <f aca="false">IF(AE332="","",IF(ISNUMBER(AH332),IF(AH332&gt;0,AJ332/AH332,""),""))</f>
        <v/>
      </c>
      <c r="AL332" s="43" t="str">
        <f aca="false">IF(AK332="","-",IF(AK332&gt;=설정!$C$6,"Cheap",IF(AK332&lt;=-설정!$C$6,"Rich","Fair")))</f>
        <v>-</v>
      </c>
      <c r="AM332" s="96" t="str">
        <f aca="false">IF(AE332="","",AJ332-AVERAGEIFS($AJ$2:$AJ$601,$B$2:$B$601,B332,$Y$2:$Y$601,1))</f>
        <v/>
      </c>
      <c r="AN332" s="93" t="n">
        <f aca="false">IF(AE332="",0,IF(K332&gt;1+설정!$C$8,AG332*(AA332-LN(K332-1)),0))</f>
        <v>0</v>
      </c>
      <c r="AO332" s="99" t="n">
        <f aca="false">IF($A332="",0,SUMIFS(보유분석!$AA$2:$AA$801,보유분석!$AB$2:$AB$801,ROW(),보유분석!$AC$2:$AC$801,1))</f>
        <v>0</v>
      </c>
      <c r="AP332" s="43" t="str">
        <f aca="false">IF($A332="","",TRIM(IF(R332=1,"FRN ","")&amp;IF(IFERROR(VLOOKUP(M332,설정!$A$15:$D$47,4,0),0)&gt;=10,IF(IFERROR(VLOOKUP(M332,설정!$A$15:$D$47,4,0),0)&lt;99,"BBB0미만 ",""),"")&amp;IF(OR(M332="",M332="NR"),"등급미입력 ","")&amp;IF(C332&lt;&gt;"USD","비USD ","")))</f>
        <v/>
      </c>
      <c r="AQ332" s="90" t="n">
        <f aca="false">IF(AND(Y332=1,AL332="Cheap"),IF(AND(ISERROR(SEARCH("FRN",AP332)),ISERROR(SEARCH("BBB0미만",AP332))),AK332+ROW()/1000000000,-999),-999)</f>
        <v>-999</v>
      </c>
      <c r="AR332" s="92" t="str">
        <f aca="false">IF(AND(ISNUMBER(D332),ISNUMBER(K332)),D332+AN332*MAX(K332-1,0)/100,"")</f>
        <v/>
      </c>
      <c r="AS332" s="93" t="str">
        <f aca="false">IF(AND(ISNUMBER(E332),ISNUMBER(K332)),IF(K332&gt;0,(E332+AN332*MAX(K332-1,0))/K332,""),"")</f>
        <v/>
      </c>
      <c r="AT332" s="90" t="n">
        <f aca="false">IFERROR(IF(AND(Y332=1,ROW()&lt;&gt;스왑분석!$C$12+1,ABS(K332-INDEX($K$2:$K$601,스왑분석!$C$12))&lt;=스왑분석!$C$5,ISERROR(SEARCH("FRN",AP332)),ISERROR(SEARCH("BBB0미만",AP332))),IF(AND(OR(스왑분석!$C$6="N",L332=INDEX($L$2:$L$601,스왑분석!$C$12)),OR(스왑분석!$C$7="N",N332=INDEX($N$2:$N$601,스왑분석!$C$12)),OR(스왑분석!$C$8="N",AO332=0),E332-INDEX($E$2:$E$601,스왑분석!$C$12)&gt;=스왑분석!$C$9),E332-INDEX($E$2:$E$601,스왑분석!$C$12)+ROW()/1000000000,-999),-999),-999)</f>
        <v>-999</v>
      </c>
      <c r="AU332" s="90" t="n">
        <f aca="false">IF(AND(Y332=1,AO332&gt;0,AL332="Rich"),-AK332+ROW()/1000000000,-999)</f>
        <v>-999</v>
      </c>
    </row>
    <row r="333" customFormat="false" ht="15" hidden="false" customHeight="false" outlineLevel="0" collapsed="false">
      <c r="A333" s="83" t="n">
        <f aca="false">IFERROR(IF(INDEX(원자료_시장!$A$1:$BZ$1000,설정!$L$6+ROW()-1,설정!$L$24)&amp;""="0","",INDEX(원자료_시장!$A$1:$BZ$1000,설정!$L$6+ROW()-1,설정!$L$24)),"")</f>
        <v>0</v>
      </c>
      <c r="B333" s="83" t="n">
        <f aca="false">IFERROR(IF(INDEX(원자료_시장!$A$1:$BZ$1000,설정!$L$6+ROW()-1,설정!$L$37)&amp;""="0","",INDEX(원자료_시장!$A$1:$BZ$1000,설정!$L$6+ROW()-1,설정!$L$37)),"")</f>
        <v>0</v>
      </c>
      <c r="C333" s="83" t="n">
        <f aca="false">IFERROR(IF(INDEX(원자료_시장!$A$1:$BZ$1000,설정!$L$6+ROW()-1,설정!$L$25)&amp;""="0","",INDEX(원자료_시장!$A$1:$BZ$1000,설정!$L$6+ROW()-1,설정!$L$25)),"")</f>
        <v>0</v>
      </c>
      <c r="D333" s="85" t="str">
        <f aca="false">IFERROR(IF(ISNUMBER(INDEX(원자료_시장!$A$1:$BZ$1000,설정!$L$6+ROW()-1,설정!$L$26)),INDEX(원자료_시장!$A$1:$BZ$1000,설정!$L$6+ROW()-1,설정!$L$26),""),"")</f>
        <v/>
      </c>
      <c r="E333" s="97" t="str">
        <f aca="false">IFERROR(IF(ISNUMBER(INDEX(원자료_시장!$A$1:$BZ$1000,설정!$L$6+ROW()-1,설정!$L$27)),INDEX(원자료_시장!$A$1:$BZ$1000,설정!$L$6+ROW()-1,설정!$L$27),""),"")</f>
        <v/>
      </c>
      <c r="F333" s="97" t="str">
        <f aca="false">IFERROR(IF(ISNUMBER(INDEX(원자료_시장!$A$1:$BZ$1000,설정!$L$6+ROW()-1,설정!$L$28)),INDEX(원자료_시장!$A$1:$BZ$1000,설정!$L$6+ROW()-1,설정!$L$28),""),"")</f>
        <v/>
      </c>
      <c r="G333" s="97" t="str">
        <f aca="false">IFERROR(IF(ISNUMBER(INDEX(원자료_시장!$A$1:$BZ$1000,설정!$L$6+ROW()-1,설정!$L$29)),INDEX(원자료_시장!$A$1:$BZ$1000,설정!$L$6+ROW()-1,설정!$L$29),""),"")</f>
        <v/>
      </c>
      <c r="H333" s="97" t="str">
        <f aca="false">IFERROR(IF(ISNUMBER(INDEX(원자료_시장!$A$1:$BZ$1000,설정!$L$6+ROW()-1,설정!$L$30)),INDEX(원자료_시장!$A$1:$BZ$1000,설정!$L$6+ROW()-1,설정!$L$30),""),"")</f>
        <v/>
      </c>
      <c r="I333" s="97" t="str">
        <f aca="false">IFERROR(IF(ISNUMBER(INDEX(원자료_시장!$A$1:$BZ$1000,설정!$L$6+ROW()-1,설정!$L$31)),INDEX(원자료_시장!$A$1:$BZ$1000,설정!$L$6+ROW()-1,설정!$L$31),""),"")</f>
        <v/>
      </c>
      <c r="J333" s="97" t="str">
        <f aca="false">IFERROR(IF(ISNUMBER(INDEX(원자료_시장!$A$1:$BZ$1000,설정!$L$6+ROW()-1,설정!$L$32)),INDEX(원자료_시장!$A$1:$BZ$1000,설정!$L$6+ROW()-1,설정!$L$32),""),"")</f>
        <v/>
      </c>
      <c r="K333" s="85" t="str">
        <f aca="false">IFERROR(IF(ISNUMBER(INDEX(원자료_시장!$A$1:$BZ$1000,설정!$L$6+ROW()-1,설정!$L$33)),INDEX(원자료_시장!$A$1:$BZ$1000,설정!$L$6+ROW()-1,설정!$L$33),""),"")</f>
        <v/>
      </c>
      <c r="L333" s="83" t="n">
        <f aca="false">IFERROR(IF(INDEX(원자료_시장!$A$1:$BZ$1000,설정!$L$6+ROW()-1,설정!$L$34)&amp;""="0","",INDEX(원자료_시장!$A$1:$BZ$1000,설정!$L$6+ROW()-1,설정!$L$34)),"")</f>
        <v>0</v>
      </c>
      <c r="M333" s="83" t="n">
        <f aca="false">IFERROR(IF(INDEX(원자료_시장!$A$1:$BZ$1000,설정!$L$6+ROW()-1,설정!$L$35)&amp;""="0","",INDEX(원자료_시장!$A$1:$BZ$1000,설정!$L$6+ROW()-1,설정!$L$35)),"")</f>
        <v>0</v>
      </c>
      <c r="N333" s="83" t="n">
        <f aca="false">IFERROR(IF(INDEX(원자료_시장!$A$1:$BZ$1000,설정!$L$6+ROW()-1,설정!$L$36)&amp;""="0","",INDEX(원자료_시장!$A$1:$BZ$1000,설정!$L$6+ROW()-1,설정!$L$36)),"")</f>
        <v>0</v>
      </c>
      <c r="O333" s="43" t="str">
        <f aca="false">IF($A333="","",UPPER(LEFT($A333,FIND(" ",$A333&amp;" ")-1)))</f>
        <v/>
      </c>
      <c r="P333" s="43" t="str">
        <f aca="false">IF($A333="","",TRIM(RIGHT(SUBSTITUTE(TRIM($A333)," ",REPT(" ",30)),30)))</f>
        <v/>
      </c>
      <c r="Q333" s="98" t="str">
        <f aca="false">IF($A333="","",IFERROR(DATE(IF(LEN(P333)=8,2000+VALUE(RIGHT(P333,2)),VALUE(RIGHT(P333,4))),VALUE(LEFT(P333,2)),VALUE(MID(P333,4,2))),""))</f>
        <v/>
      </c>
      <c r="R333" s="89" t="n">
        <f aca="false">IF($A333="",0,IF(ISNUMBER(SEARCH("Float",$A333)),1,0))</f>
        <v>0</v>
      </c>
      <c r="S333" s="43" t="str">
        <f aca="false">IF($A333="","",TRIM(MID($A333,LEN(O333)+2,LEN($A333)-LEN(O333)-LEN(P333)-1)))</f>
        <v/>
      </c>
      <c r="T333" s="92" t="str">
        <f aca="false">IF(OR($A333="",R333=1),"",IFERROR(IF(ISNUMBER(FIND("/",S333)),IF(ISNUMBER(FIND(" ",S333)),VALUE(LEFT(S333,FIND(" ",S333)-1))+VALUE(MID(S333,FIND(" ",S333)+1,FIND("/",S333)-FIND(" ",S333)-1))/VALUE(MID(S333,FIND("/",S333)+1,9)),VALUE(LEFT(S333,FIND("/",S333)-1))/VALUE(MID(S333,FIND("/",S333)+1,9))),VALUE(S333)),""))</f>
        <v/>
      </c>
      <c r="U333" s="43" t="str">
        <f aca="false">IF(OR($A333="",NOT(ISNUMBER(Q333))),"",TEXT(Q333,"yyyymmdd")&amp;"|"&amp;IF(R333=1,"F",TEXT(T333,"0.000")))</f>
        <v/>
      </c>
      <c r="V333" s="43" t="str">
        <f aca="false">IF(U333="","",O333&amp;"|"&amp;U333)</f>
        <v/>
      </c>
      <c r="W333" s="43" t="str">
        <f aca="false">IF($A333="","",IFERROR(IF(VLOOKUP(O333,매핑!$A$4:$E$92,3,0)="","미분류",VLOOKUP(O333,매핑!$A$4:$E$92,3,0)),"미분류"))</f>
        <v/>
      </c>
      <c r="X333" s="89" t="n">
        <f aca="false">IF($A333="",0,IF(O333="T",1,0))</f>
        <v>0</v>
      </c>
      <c r="Y333" s="89" t="n">
        <f aca="false">IF($A333="",0,IF(AND(C333="USD",X333=0,ISNUMBER(E333),ISNUMBER(K333)),IF(K333&gt;=설정!$C$8,1,0),0))</f>
        <v>0</v>
      </c>
      <c r="Z333" s="43" t="str">
        <f aca="false">IF($A333="","",N333&amp;"|"&amp;L333)</f>
        <v/>
      </c>
      <c r="AA333" s="92" t="n">
        <f aca="false">IF(Y333=1,LN(K333),0)</f>
        <v>0</v>
      </c>
      <c r="AB333" s="93" t="n">
        <f aca="false">IF(Y333=1,E333,0)</f>
        <v>0</v>
      </c>
      <c r="AC333" s="89" t="n">
        <f aca="false">IF(Y333=1,COUNTIFS($Z$2:$Z$601,Z333,$Y$2:$Y$601,1),0)</f>
        <v>0</v>
      </c>
      <c r="AD333" s="89" t="n">
        <f aca="false">IF(Y333=1,COUNTIFS($N$2:$N$601,N333,$Y$2:$Y$601,1),0)</f>
        <v>0</v>
      </c>
      <c r="AE333" s="43" t="str">
        <f aca="false">IF(Y333&lt;&gt;1,"",IF(AND(AC333&gt;=설정!$C$7,ISNUMBER(MATCH(Z333,피어커브!$A:$A,0))),Z333,IF(AND(AD333&gt;=설정!$C$7,ISNUMBER(MATCH(N333&amp;"|전체",피어커브!$A:$A,0))),N333&amp;"|전체","전체|전체")))</f>
        <v/>
      </c>
      <c r="AF333" s="93" t="str">
        <f aca="false">IF(AE333="","",INDEX(피어커브!$K:$K,MATCH(AE333,피어커브!$A:$A,0)))</f>
        <v/>
      </c>
      <c r="AG333" s="93" t="str">
        <f aca="false">IF(AE333="","",INDEX(피어커브!$J:$J,MATCH(AE333,피어커브!$A:$A,0)))</f>
        <v/>
      </c>
      <c r="AH333" s="93" t="str">
        <f aca="false">IF(AE333="","",INDEX(피어커브!$L:$L,MATCH(AE333,피어커브!$A:$A,0)))</f>
        <v/>
      </c>
      <c r="AI333" s="93" t="str">
        <f aca="false">IF(AE333="","",AF333+AG333*AA333)</f>
        <v/>
      </c>
      <c r="AJ333" s="96" t="str">
        <f aca="false">IF(AE333="","",E333-AI333)</f>
        <v/>
      </c>
      <c r="AK333" s="95" t="str">
        <f aca="false">IF(AE333="","",IF(ISNUMBER(AH333),IF(AH333&gt;0,AJ333/AH333,""),""))</f>
        <v/>
      </c>
      <c r="AL333" s="43" t="str">
        <f aca="false">IF(AK333="","-",IF(AK333&gt;=설정!$C$6,"Cheap",IF(AK333&lt;=-설정!$C$6,"Rich","Fair")))</f>
        <v>-</v>
      </c>
      <c r="AM333" s="96" t="str">
        <f aca="false">IF(AE333="","",AJ333-AVERAGEIFS($AJ$2:$AJ$601,$B$2:$B$601,B333,$Y$2:$Y$601,1))</f>
        <v/>
      </c>
      <c r="AN333" s="93" t="n">
        <f aca="false">IF(AE333="",0,IF(K333&gt;1+설정!$C$8,AG333*(AA333-LN(K333-1)),0))</f>
        <v>0</v>
      </c>
      <c r="AO333" s="99" t="n">
        <f aca="false">IF($A333="",0,SUMIFS(보유분석!$AA$2:$AA$801,보유분석!$AB$2:$AB$801,ROW(),보유분석!$AC$2:$AC$801,1))</f>
        <v>0</v>
      </c>
      <c r="AP333" s="43" t="str">
        <f aca="false">IF($A333="","",TRIM(IF(R333=1,"FRN ","")&amp;IF(IFERROR(VLOOKUP(M333,설정!$A$15:$D$47,4,0),0)&gt;=10,IF(IFERROR(VLOOKUP(M333,설정!$A$15:$D$47,4,0),0)&lt;99,"BBB0미만 ",""),"")&amp;IF(OR(M333="",M333="NR"),"등급미입력 ","")&amp;IF(C333&lt;&gt;"USD","비USD ","")))</f>
        <v/>
      </c>
      <c r="AQ333" s="90" t="n">
        <f aca="false">IF(AND(Y333=1,AL333="Cheap"),IF(AND(ISERROR(SEARCH("FRN",AP333)),ISERROR(SEARCH("BBB0미만",AP333))),AK333+ROW()/1000000000,-999),-999)</f>
        <v>-999</v>
      </c>
      <c r="AR333" s="92" t="str">
        <f aca="false">IF(AND(ISNUMBER(D333),ISNUMBER(K333)),D333+AN333*MAX(K333-1,0)/100,"")</f>
        <v/>
      </c>
      <c r="AS333" s="93" t="str">
        <f aca="false">IF(AND(ISNUMBER(E333),ISNUMBER(K333)),IF(K333&gt;0,(E333+AN333*MAX(K333-1,0))/K333,""),"")</f>
        <v/>
      </c>
      <c r="AT333" s="90" t="n">
        <f aca="false">IFERROR(IF(AND(Y333=1,ROW()&lt;&gt;스왑분석!$C$12+1,ABS(K333-INDEX($K$2:$K$601,스왑분석!$C$12))&lt;=스왑분석!$C$5,ISERROR(SEARCH("FRN",AP333)),ISERROR(SEARCH("BBB0미만",AP333))),IF(AND(OR(스왑분석!$C$6="N",L333=INDEX($L$2:$L$601,스왑분석!$C$12)),OR(스왑분석!$C$7="N",N333=INDEX($N$2:$N$601,스왑분석!$C$12)),OR(스왑분석!$C$8="N",AO333=0),E333-INDEX($E$2:$E$601,스왑분석!$C$12)&gt;=스왑분석!$C$9),E333-INDEX($E$2:$E$601,스왑분석!$C$12)+ROW()/1000000000,-999),-999),-999)</f>
        <v>-999</v>
      </c>
      <c r="AU333" s="90" t="n">
        <f aca="false">IF(AND(Y333=1,AO333&gt;0,AL333="Rich"),-AK333+ROW()/1000000000,-999)</f>
        <v>-999</v>
      </c>
    </row>
    <row r="334" customFormat="false" ht="15" hidden="false" customHeight="false" outlineLevel="0" collapsed="false">
      <c r="A334" s="83" t="n">
        <f aca="false">IFERROR(IF(INDEX(원자료_시장!$A$1:$BZ$1000,설정!$L$6+ROW()-1,설정!$L$24)&amp;""="0","",INDEX(원자료_시장!$A$1:$BZ$1000,설정!$L$6+ROW()-1,설정!$L$24)),"")</f>
        <v>0</v>
      </c>
      <c r="B334" s="83" t="n">
        <f aca="false">IFERROR(IF(INDEX(원자료_시장!$A$1:$BZ$1000,설정!$L$6+ROW()-1,설정!$L$37)&amp;""="0","",INDEX(원자료_시장!$A$1:$BZ$1000,설정!$L$6+ROW()-1,설정!$L$37)),"")</f>
        <v>0</v>
      </c>
      <c r="C334" s="83" t="n">
        <f aca="false">IFERROR(IF(INDEX(원자료_시장!$A$1:$BZ$1000,설정!$L$6+ROW()-1,설정!$L$25)&amp;""="0","",INDEX(원자료_시장!$A$1:$BZ$1000,설정!$L$6+ROW()-1,설정!$L$25)),"")</f>
        <v>0</v>
      </c>
      <c r="D334" s="85" t="str">
        <f aca="false">IFERROR(IF(ISNUMBER(INDEX(원자료_시장!$A$1:$BZ$1000,설정!$L$6+ROW()-1,설정!$L$26)),INDEX(원자료_시장!$A$1:$BZ$1000,설정!$L$6+ROW()-1,설정!$L$26),""),"")</f>
        <v/>
      </c>
      <c r="E334" s="97" t="str">
        <f aca="false">IFERROR(IF(ISNUMBER(INDEX(원자료_시장!$A$1:$BZ$1000,설정!$L$6+ROW()-1,설정!$L$27)),INDEX(원자료_시장!$A$1:$BZ$1000,설정!$L$6+ROW()-1,설정!$L$27),""),"")</f>
        <v/>
      </c>
      <c r="F334" s="97" t="str">
        <f aca="false">IFERROR(IF(ISNUMBER(INDEX(원자료_시장!$A$1:$BZ$1000,설정!$L$6+ROW()-1,설정!$L$28)),INDEX(원자료_시장!$A$1:$BZ$1000,설정!$L$6+ROW()-1,설정!$L$28),""),"")</f>
        <v/>
      </c>
      <c r="G334" s="97" t="str">
        <f aca="false">IFERROR(IF(ISNUMBER(INDEX(원자료_시장!$A$1:$BZ$1000,설정!$L$6+ROW()-1,설정!$L$29)),INDEX(원자료_시장!$A$1:$BZ$1000,설정!$L$6+ROW()-1,설정!$L$29),""),"")</f>
        <v/>
      </c>
      <c r="H334" s="97" t="str">
        <f aca="false">IFERROR(IF(ISNUMBER(INDEX(원자료_시장!$A$1:$BZ$1000,설정!$L$6+ROW()-1,설정!$L$30)),INDEX(원자료_시장!$A$1:$BZ$1000,설정!$L$6+ROW()-1,설정!$L$30),""),"")</f>
        <v/>
      </c>
      <c r="I334" s="97" t="str">
        <f aca="false">IFERROR(IF(ISNUMBER(INDEX(원자료_시장!$A$1:$BZ$1000,설정!$L$6+ROW()-1,설정!$L$31)),INDEX(원자료_시장!$A$1:$BZ$1000,설정!$L$6+ROW()-1,설정!$L$31),""),"")</f>
        <v/>
      </c>
      <c r="J334" s="97" t="str">
        <f aca="false">IFERROR(IF(ISNUMBER(INDEX(원자료_시장!$A$1:$BZ$1000,설정!$L$6+ROW()-1,설정!$L$32)),INDEX(원자료_시장!$A$1:$BZ$1000,설정!$L$6+ROW()-1,설정!$L$32),""),"")</f>
        <v/>
      </c>
      <c r="K334" s="85" t="str">
        <f aca="false">IFERROR(IF(ISNUMBER(INDEX(원자료_시장!$A$1:$BZ$1000,설정!$L$6+ROW()-1,설정!$L$33)),INDEX(원자료_시장!$A$1:$BZ$1000,설정!$L$6+ROW()-1,설정!$L$33),""),"")</f>
        <v/>
      </c>
      <c r="L334" s="83" t="n">
        <f aca="false">IFERROR(IF(INDEX(원자료_시장!$A$1:$BZ$1000,설정!$L$6+ROW()-1,설정!$L$34)&amp;""="0","",INDEX(원자료_시장!$A$1:$BZ$1000,설정!$L$6+ROW()-1,설정!$L$34)),"")</f>
        <v>0</v>
      </c>
      <c r="M334" s="83" t="n">
        <f aca="false">IFERROR(IF(INDEX(원자료_시장!$A$1:$BZ$1000,설정!$L$6+ROW()-1,설정!$L$35)&amp;""="0","",INDEX(원자료_시장!$A$1:$BZ$1000,설정!$L$6+ROW()-1,설정!$L$35)),"")</f>
        <v>0</v>
      </c>
      <c r="N334" s="83" t="n">
        <f aca="false">IFERROR(IF(INDEX(원자료_시장!$A$1:$BZ$1000,설정!$L$6+ROW()-1,설정!$L$36)&amp;""="0","",INDEX(원자료_시장!$A$1:$BZ$1000,설정!$L$6+ROW()-1,설정!$L$36)),"")</f>
        <v>0</v>
      </c>
      <c r="O334" s="43" t="str">
        <f aca="false">IF($A334="","",UPPER(LEFT($A334,FIND(" ",$A334&amp;" ")-1)))</f>
        <v/>
      </c>
      <c r="P334" s="43" t="str">
        <f aca="false">IF($A334="","",TRIM(RIGHT(SUBSTITUTE(TRIM($A334)," ",REPT(" ",30)),30)))</f>
        <v/>
      </c>
      <c r="Q334" s="98" t="str">
        <f aca="false">IF($A334="","",IFERROR(DATE(IF(LEN(P334)=8,2000+VALUE(RIGHT(P334,2)),VALUE(RIGHT(P334,4))),VALUE(LEFT(P334,2)),VALUE(MID(P334,4,2))),""))</f>
        <v/>
      </c>
      <c r="R334" s="89" t="n">
        <f aca="false">IF($A334="",0,IF(ISNUMBER(SEARCH("Float",$A334)),1,0))</f>
        <v>0</v>
      </c>
      <c r="S334" s="43" t="str">
        <f aca="false">IF($A334="","",TRIM(MID($A334,LEN(O334)+2,LEN($A334)-LEN(O334)-LEN(P334)-1)))</f>
        <v/>
      </c>
      <c r="T334" s="92" t="str">
        <f aca="false">IF(OR($A334="",R334=1),"",IFERROR(IF(ISNUMBER(FIND("/",S334)),IF(ISNUMBER(FIND(" ",S334)),VALUE(LEFT(S334,FIND(" ",S334)-1))+VALUE(MID(S334,FIND(" ",S334)+1,FIND("/",S334)-FIND(" ",S334)-1))/VALUE(MID(S334,FIND("/",S334)+1,9)),VALUE(LEFT(S334,FIND("/",S334)-1))/VALUE(MID(S334,FIND("/",S334)+1,9))),VALUE(S334)),""))</f>
        <v/>
      </c>
      <c r="U334" s="43" t="str">
        <f aca="false">IF(OR($A334="",NOT(ISNUMBER(Q334))),"",TEXT(Q334,"yyyymmdd")&amp;"|"&amp;IF(R334=1,"F",TEXT(T334,"0.000")))</f>
        <v/>
      </c>
      <c r="V334" s="43" t="str">
        <f aca="false">IF(U334="","",O334&amp;"|"&amp;U334)</f>
        <v/>
      </c>
      <c r="W334" s="43" t="str">
        <f aca="false">IF($A334="","",IFERROR(IF(VLOOKUP(O334,매핑!$A$4:$E$92,3,0)="","미분류",VLOOKUP(O334,매핑!$A$4:$E$92,3,0)),"미분류"))</f>
        <v/>
      </c>
      <c r="X334" s="89" t="n">
        <f aca="false">IF($A334="",0,IF(O334="T",1,0))</f>
        <v>0</v>
      </c>
      <c r="Y334" s="89" t="n">
        <f aca="false">IF($A334="",0,IF(AND(C334="USD",X334=0,ISNUMBER(E334),ISNUMBER(K334)),IF(K334&gt;=설정!$C$8,1,0),0))</f>
        <v>0</v>
      </c>
      <c r="Z334" s="43" t="str">
        <f aca="false">IF($A334="","",N334&amp;"|"&amp;L334)</f>
        <v/>
      </c>
      <c r="AA334" s="92" t="n">
        <f aca="false">IF(Y334=1,LN(K334),0)</f>
        <v>0</v>
      </c>
      <c r="AB334" s="93" t="n">
        <f aca="false">IF(Y334=1,E334,0)</f>
        <v>0</v>
      </c>
      <c r="AC334" s="89" t="n">
        <f aca="false">IF(Y334=1,COUNTIFS($Z$2:$Z$601,Z334,$Y$2:$Y$601,1),0)</f>
        <v>0</v>
      </c>
      <c r="AD334" s="89" t="n">
        <f aca="false">IF(Y334=1,COUNTIFS($N$2:$N$601,N334,$Y$2:$Y$601,1),0)</f>
        <v>0</v>
      </c>
      <c r="AE334" s="43" t="str">
        <f aca="false">IF(Y334&lt;&gt;1,"",IF(AND(AC334&gt;=설정!$C$7,ISNUMBER(MATCH(Z334,피어커브!$A:$A,0))),Z334,IF(AND(AD334&gt;=설정!$C$7,ISNUMBER(MATCH(N334&amp;"|전체",피어커브!$A:$A,0))),N334&amp;"|전체","전체|전체")))</f>
        <v/>
      </c>
      <c r="AF334" s="93" t="str">
        <f aca="false">IF(AE334="","",INDEX(피어커브!$K:$K,MATCH(AE334,피어커브!$A:$A,0)))</f>
        <v/>
      </c>
      <c r="AG334" s="93" t="str">
        <f aca="false">IF(AE334="","",INDEX(피어커브!$J:$J,MATCH(AE334,피어커브!$A:$A,0)))</f>
        <v/>
      </c>
      <c r="AH334" s="93" t="str">
        <f aca="false">IF(AE334="","",INDEX(피어커브!$L:$L,MATCH(AE334,피어커브!$A:$A,0)))</f>
        <v/>
      </c>
      <c r="AI334" s="93" t="str">
        <f aca="false">IF(AE334="","",AF334+AG334*AA334)</f>
        <v/>
      </c>
      <c r="AJ334" s="96" t="str">
        <f aca="false">IF(AE334="","",E334-AI334)</f>
        <v/>
      </c>
      <c r="AK334" s="95" t="str">
        <f aca="false">IF(AE334="","",IF(ISNUMBER(AH334),IF(AH334&gt;0,AJ334/AH334,""),""))</f>
        <v/>
      </c>
      <c r="AL334" s="43" t="str">
        <f aca="false">IF(AK334="","-",IF(AK334&gt;=설정!$C$6,"Cheap",IF(AK334&lt;=-설정!$C$6,"Rich","Fair")))</f>
        <v>-</v>
      </c>
      <c r="AM334" s="96" t="str">
        <f aca="false">IF(AE334="","",AJ334-AVERAGEIFS($AJ$2:$AJ$601,$B$2:$B$601,B334,$Y$2:$Y$601,1))</f>
        <v/>
      </c>
      <c r="AN334" s="93" t="n">
        <f aca="false">IF(AE334="",0,IF(K334&gt;1+설정!$C$8,AG334*(AA334-LN(K334-1)),0))</f>
        <v>0</v>
      </c>
      <c r="AO334" s="99" t="n">
        <f aca="false">IF($A334="",0,SUMIFS(보유분석!$AA$2:$AA$801,보유분석!$AB$2:$AB$801,ROW(),보유분석!$AC$2:$AC$801,1))</f>
        <v>0</v>
      </c>
      <c r="AP334" s="43" t="str">
        <f aca="false">IF($A334="","",TRIM(IF(R334=1,"FRN ","")&amp;IF(IFERROR(VLOOKUP(M334,설정!$A$15:$D$47,4,0),0)&gt;=10,IF(IFERROR(VLOOKUP(M334,설정!$A$15:$D$47,4,0),0)&lt;99,"BBB0미만 ",""),"")&amp;IF(OR(M334="",M334="NR"),"등급미입력 ","")&amp;IF(C334&lt;&gt;"USD","비USD ","")))</f>
        <v/>
      </c>
      <c r="AQ334" s="90" t="n">
        <f aca="false">IF(AND(Y334=1,AL334="Cheap"),IF(AND(ISERROR(SEARCH("FRN",AP334)),ISERROR(SEARCH("BBB0미만",AP334))),AK334+ROW()/1000000000,-999),-999)</f>
        <v>-999</v>
      </c>
      <c r="AR334" s="92" t="str">
        <f aca="false">IF(AND(ISNUMBER(D334),ISNUMBER(K334)),D334+AN334*MAX(K334-1,0)/100,"")</f>
        <v/>
      </c>
      <c r="AS334" s="93" t="str">
        <f aca="false">IF(AND(ISNUMBER(E334),ISNUMBER(K334)),IF(K334&gt;0,(E334+AN334*MAX(K334-1,0))/K334,""),"")</f>
        <v/>
      </c>
      <c r="AT334" s="90" t="n">
        <f aca="false">IFERROR(IF(AND(Y334=1,ROW()&lt;&gt;스왑분석!$C$12+1,ABS(K334-INDEX($K$2:$K$601,스왑분석!$C$12))&lt;=스왑분석!$C$5,ISERROR(SEARCH("FRN",AP334)),ISERROR(SEARCH("BBB0미만",AP334))),IF(AND(OR(스왑분석!$C$6="N",L334=INDEX($L$2:$L$601,스왑분석!$C$12)),OR(스왑분석!$C$7="N",N334=INDEX($N$2:$N$601,스왑분석!$C$12)),OR(스왑분석!$C$8="N",AO334=0),E334-INDEX($E$2:$E$601,스왑분석!$C$12)&gt;=스왑분석!$C$9),E334-INDEX($E$2:$E$601,스왑분석!$C$12)+ROW()/1000000000,-999),-999),-999)</f>
        <v>-999</v>
      </c>
      <c r="AU334" s="90" t="n">
        <f aca="false">IF(AND(Y334=1,AO334&gt;0,AL334="Rich"),-AK334+ROW()/1000000000,-999)</f>
        <v>-999</v>
      </c>
    </row>
    <row r="335" customFormat="false" ht="15" hidden="false" customHeight="false" outlineLevel="0" collapsed="false">
      <c r="A335" s="83" t="n">
        <f aca="false">IFERROR(IF(INDEX(원자료_시장!$A$1:$BZ$1000,설정!$L$6+ROW()-1,설정!$L$24)&amp;""="0","",INDEX(원자료_시장!$A$1:$BZ$1000,설정!$L$6+ROW()-1,설정!$L$24)),"")</f>
        <v>0</v>
      </c>
      <c r="B335" s="83" t="n">
        <f aca="false">IFERROR(IF(INDEX(원자료_시장!$A$1:$BZ$1000,설정!$L$6+ROW()-1,설정!$L$37)&amp;""="0","",INDEX(원자료_시장!$A$1:$BZ$1000,설정!$L$6+ROW()-1,설정!$L$37)),"")</f>
        <v>0</v>
      </c>
      <c r="C335" s="83" t="n">
        <f aca="false">IFERROR(IF(INDEX(원자료_시장!$A$1:$BZ$1000,설정!$L$6+ROW()-1,설정!$L$25)&amp;""="0","",INDEX(원자료_시장!$A$1:$BZ$1000,설정!$L$6+ROW()-1,설정!$L$25)),"")</f>
        <v>0</v>
      </c>
      <c r="D335" s="85" t="str">
        <f aca="false">IFERROR(IF(ISNUMBER(INDEX(원자료_시장!$A$1:$BZ$1000,설정!$L$6+ROW()-1,설정!$L$26)),INDEX(원자료_시장!$A$1:$BZ$1000,설정!$L$6+ROW()-1,설정!$L$26),""),"")</f>
        <v/>
      </c>
      <c r="E335" s="97" t="str">
        <f aca="false">IFERROR(IF(ISNUMBER(INDEX(원자료_시장!$A$1:$BZ$1000,설정!$L$6+ROW()-1,설정!$L$27)),INDEX(원자료_시장!$A$1:$BZ$1000,설정!$L$6+ROW()-1,설정!$L$27),""),"")</f>
        <v/>
      </c>
      <c r="F335" s="97" t="str">
        <f aca="false">IFERROR(IF(ISNUMBER(INDEX(원자료_시장!$A$1:$BZ$1000,설정!$L$6+ROW()-1,설정!$L$28)),INDEX(원자료_시장!$A$1:$BZ$1000,설정!$L$6+ROW()-1,설정!$L$28),""),"")</f>
        <v/>
      </c>
      <c r="G335" s="97" t="str">
        <f aca="false">IFERROR(IF(ISNUMBER(INDEX(원자료_시장!$A$1:$BZ$1000,설정!$L$6+ROW()-1,설정!$L$29)),INDEX(원자료_시장!$A$1:$BZ$1000,설정!$L$6+ROW()-1,설정!$L$29),""),"")</f>
        <v/>
      </c>
      <c r="H335" s="97" t="str">
        <f aca="false">IFERROR(IF(ISNUMBER(INDEX(원자료_시장!$A$1:$BZ$1000,설정!$L$6+ROW()-1,설정!$L$30)),INDEX(원자료_시장!$A$1:$BZ$1000,설정!$L$6+ROW()-1,설정!$L$30),""),"")</f>
        <v/>
      </c>
      <c r="I335" s="97" t="str">
        <f aca="false">IFERROR(IF(ISNUMBER(INDEX(원자료_시장!$A$1:$BZ$1000,설정!$L$6+ROW()-1,설정!$L$31)),INDEX(원자료_시장!$A$1:$BZ$1000,설정!$L$6+ROW()-1,설정!$L$31),""),"")</f>
        <v/>
      </c>
      <c r="J335" s="97" t="str">
        <f aca="false">IFERROR(IF(ISNUMBER(INDEX(원자료_시장!$A$1:$BZ$1000,설정!$L$6+ROW()-1,설정!$L$32)),INDEX(원자료_시장!$A$1:$BZ$1000,설정!$L$6+ROW()-1,설정!$L$32),""),"")</f>
        <v/>
      </c>
      <c r="K335" s="85" t="str">
        <f aca="false">IFERROR(IF(ISNUMBER(INDEX(원자료_시장!$A$1:$BZ$1000,설정!$L$6+ROW()-1,설정!$L$33)),INDEX(원자료_시장!$A$1:$BZ$1000,설정!$L$6+ROW()-1,설정!$L$33),""),"")</f>
        <v/>
      </c>
      <c r="L335" s="83" t="n">
        <f aca="false">IFERROR(IF(INDEX(원자료_시장!$A$1:$BZ$1000,설정!$L$6+ROW()-1,설정!$L$34)&amp;""="0","",INDEX(원자료_시장!$A$1:$BZ$1000,설정!$L$6+ROW()-1,설정!$L$34)),"")</f>
        <v>0</v>
      </c>
      <c r="M335" s="83" t="n">
        <f aca="false">IFERROR(IF(INDEX(원자료_시장!$A$1:$BZ$1000,설정!$L$6+ROW()-1,설정!$L$35)&amp;""="0","",INDEX(원자료_시장!$A$1:$BZ$1000,설정!$L$6+ROW()-1,설정!$L$35)),"")</f>
        <v>0</v>
      </c>
      <c r="N335" s="83" t="n">
        <f aca="false">IFERROR(IF(INDEX(원자료_시장!$A$1:$BZ$1000,설정!$L$6+ROW()-1,설정!$L$36)&amp;""="0","",INDEX(원자료_시장!$A$1:$BZ$1000,설정!$L$6+ROW()-1,설정!$L$36)),"")</f>
        <v>0</v>
      </c>
      <c r="O335" s="43" t="str">
        <f aca="false">IF($A335="","",UPPER(LEFT($A335,FIND(" ",$A335&amp;" ")-1)))</f>
        <v/>
      </c>
      <c r="P335" s="43" t="str">
        <f aca="false">IF($A335="","",TRIM(RIGHT(SUBSTITUTE(TRIM($A335)," ",REPT(" ",30)),30)))</f>
        <v/>
      </c>
      <c r="Q335" s="98" t="str">
        <f aca="false">IF($A335="","",IFERROR(DATE(IF(LEN(P335)=8,2000+VALUE(RIGHT(P335,2)),VALUE(RIGHT(P335,4))),VALUE(LEFT(P335,2)),VALUE(MID(P335,4,2))),""))</f>
        <v/>
      </c>
      <c r="R335" s="89" t="n">
        <f aca="false">IF($A335="",0,IF(ISNUMBER(SEARCH("Float",$A335)),1,0))</f>
        <v>0</v>
      </c>
      <c r="S335" s="43" t="str">
        <f aca="false">IF($A335="","",TRIM(MID($A335,LEN(O335)+2,LEN($A335)-LEN(O335)-LEN(P335)-1)))</f>
        <v/>
      </c>
      <c r="T335" s="92" t="str">
        <f aca="false">IF(OR($A335="",R335=1),"",IFERROR(IF(ISNUMBER(FIND("/",S335)),IF(ISNUMBER(FIND(" ",S335)),VALUE(LEFT(S335,FIND(" ",S335)-1))+VALUE(MID(S335,FIND(" ",S335)+1,FIND("/",S335)-FIND(" ",S335)-1))/VALUE(MID(S335,FIND("/",S335)+1,9)),VALUE(LEFT(S335,FIND("/",S335)-1))/VALUE(MID(S335,FIND("/",S335)+1,9))),VALUE(S335)),""))</f>
        <v/>
      </c>
      <c r="U335" s="43" t="str">
        <f aca="false">IF(OR($A335="",NOT(ISNUMBER(Q335))),"",TEXT(Q335,"yyyymmdd")&amp;"|"&amp;IF(R335=1,"F",TEXT(T335,"0.000")))</f>
        <v/>
      </c>
      <c r="V335" s="43" t="str">
        <f aca="false">IF(U335="","",O335&amp;"|"&amp;U335)</f>
        <v/>
      </c>
      <c r="W335" s="43" t="str">
        <f aca="false">IF($A335="","",IFERROR(IF(VLOOKUP(O335,매핑!$A$4:$E$92,3,0)="","미분류",VLOOKUP(O335,매핑!$A$4:$E$92,3,0)),"미분류"))</f>
        <v/>
      </c>
      <c r="X335" s="89" t="n">
        <f aca="false">IF($A335="",0,IF(O335="T",1,0))</f>
        <v>0</v>
      </c>
      <c r="Y335" s="89" t="n">
        <f aca="false">IF($A335="",0,IF(AND(C335="USD",X335=0,ISNUMBER(E335),ISNUMBER(K335)),IF(K335&gt;=설정!$C$8,1,0),0))</f>
        <v>0</v>
      </c>
      <c r="Z335" s="43" t="str">
        <f aca="false">IF($A335="","",N335&amp;"|"&amp;L335)</f>
        <v/>
      </c>
      <c r="AA335" s="92" t="n">
        <f aca="false">IF(Y335=1,LN(K335),0)</f>
        <v>0</v>
      </c>
      <c r="AB335" s="93" t="n">
        <f aca="false">IF(Y335=1,E335,0)</f>
        <v>0</v>
      </c>
      <c r="AC335" s="89" t="n">
        <f aca="false">IF(Y335=1,COUNTIFS($Z$2:$Z$601,Z335,$Y$2:$Y$601,1),0)</f>
        <v>0</v>
      </c>
      <c r="AD335" s="89" t="n">
        <f aca="false">IF(Y335=1,COUNTIFS($N$2:$N$601,N335,$Y$2:$Y$601,1),0)</f>
        <v>0</v>
      </c>
      <c r="AE335" s="43" t="str">
        <f aca="false">IF(Y335&lt;&gt;1,"",IF(AND(AC335&gt;=설정!$C$7,ISNUMBER(MATCH(Z335,피어커브!$A:$A,0))),Z335,IF(AND(AD335&gt;=설정!$C$7,ISNUMBER(MATCH(N335&amp;"|전체",피어커브!$A:$A,0))),N335&amp;"|전체","전체|전체")))</f>
        <v/>
      </c>
      <c r="AF335" s="93" t="str">
        <f aca="false">IF(AE335="","",INDEX(피어커브!$K:$K,MATCH(AE335,피어커브!$A:$A,0)))</f>
        <v/>
      </c>
      <c r="AG335" s="93" t="str">
        <f aca="false">IF(AE335="","",INDEX(피어커브!$J:$J,MATCH(AE335,피어커브!$A:$A,0)))</f>
        <v/>
      </c>
      <c r="AH335" s="93" t="str">
        <f aca="false">IF(AE335="","",INDEX(피어커브!$L:$L,MATCH(AE335,피어커브!$A:$A,0)))</f>
        <v/>
      </c>
      <c r="AI335" s="93" t="str">
        <f aca="false">IF(AE335="","",AF335+AG335*AA335)</f>
        <v/>
      </c>
      <c r="AJ335" s="96" t="str">
        <f aca="false">IF(AE335="","",E335-AI335)</f>
        <v/>
      </c>
      <c r="AK335" s="95" t="str">
        <f aca="false">IF(AE335="","",IF(ISNUMBER(AH335),IF(AH335&gt;0,AJ335/AH335,""),""))</f>
        <v/>
      </c>
      <c r="AL335" s="43" t="str">
        <f aca="false">IF(AK335="","-",IF(AK335&gt;=설정!$C$6,"Cheap",IF(AK335&lt;=-설정!$C$6,"Rich","Fair")))</f>
        <v>-</v>
      </c>
      <c r="AM335" s="96" t="str">
        <f aca="false">IF(AE335="","",AJ335-AVERAGEIFS($AJ$2:$AJ$601,$B$2:$B$601,B335,$Y$2:$Y$601,1))</f>
        <v/>
      </c>
      <c r="AN335" s="93" t="n">
        <f aca="false">IF(AE335="",0,IF(K335&gt;1+설정!$C$8,AG335*(AA335-LN(K335-1)),0))</f>
        <v>0</v>
      </c>
      <c r="AO335" s="99" t="n">
        <f aca="false">IF($A335="",0,SUMIFS(보유분석!$AA$2:$AA$801,보유분석!$AB$2:$AB$801,ROW(),보유분석!$AC$2:$AC$801,1))</f>
        <v>0</v>
      </c>
      <c r="AP335" s="43" t="str">
        <f aca="false">IF($A335="","",TRIM(IF(R335=1,"FRN ","")&amp;IF(IFERROR(VLOOKUP(M335,설정!$A$15:$D$47,4,0),0)&gt;=10,IF(IFERROR(VLOOKUP(M335,설정!$A$15:$D$47,4,0),0)&lt;99,"BBB0미만 ",""),"")&amp;IF(OR(M335="",M335="NR"),"등급미입력 ","")&amp;IF(C335&lt;&gt;"USD","비USD ","")))</f>
        <v/>
      </c>
      <c r="AQ335" s="90" t="n">
        <f aca="false">IF(AND(Y335=1,AL335="Cheap"),IF(AND(ISERROR(SEARCH("FRN",AP335)),ISERROR(SEARCH("BBB0미만",AP335))),AK335+ROW()/1000000000,-999),-999)</f>
        <v>-999</v>
      </c>
      <c r="AR335" s="92" t="str">
        <f aca="false">IF(AND(ISNUMBER(D335),ISNUMBER(K335)),D335+AN335*MAX(K335-1,0)/100,"")</f>
        <v/>
      </c>
      <c r="AS335" s="93" t="str">
        <f aca="false">IF(AND(ISNUMBER(E335),ISNUMBER(K335)),IF(K335&gt;0,(E335+AN335*MAX(K335-1,0))/K335,""),"")</f>
        <v/>
      </c>
      <c r="AT335" s="90" t="n">
        <f aca="false">IFERROR(IF(AND(Y335=1,ROW()&lt;&gt;스왑분석!$C$12+1,ABS(K335-INDEX($K$2:$K$601,스왑분석!$C$12))&lt;=스왑분석!$C$5,ISERROR(SEARCH("FRN",AP335)),ISERROR(SEARCH("BBB0미만",AP335))),IF(AND(OR(스왑분석!$C$6="N",L335=INDEX($L$2:$L$601,스왑분석!$C$12)),OR(스왑분석!$C$7="N",N335=INDEX($N$2:$N$601,스왑분석!$C$12)),OR(스왑분석!$C$8="N",AO335=0),E335-INDEX($E$2:$E$601,스왑분석!$C$12)&gt;=스왑분석!$C$9),E335-INDEX($E$2:$E$601,스왑분석!$C$12)+ROW()/1000000000,-999),-999),-999)</f>
        <v>-999</v>
      </c>
      <c r="AU335" s="90" t="n">
        <f aca="false">IF(AND(Y335=1,AO335&gt;0,AL335="Rich"),-AK335+ROW()/1000000000,-999)</f>
        <v>-999</v>
      </c>
    </row>
    <row r="336" customFormat="false" ht="15" hidden="false" customHeight="false" outlineLevel="0" collapsed="false">
      <c r="A336" s="83" t="n">
        <f aca="false">IFERROR(IF(INDEX(원자료_시장!$A$1:$BZ$1000,설정!$L$6+ROW()-1,설정!$L$24)&amp;""="0","",INDEX(원자료_시장!$A$1:$BZ$1000,설정!$L$6+ROW()-1,설정!$L$24)),"")</f>
        <v>0</v>
      </c>
      <c r="B336" s="83" t="n">
        <f aca="false">IFERROR(IF(INDEX(원자료_시장!$A$1:$BZ$1000,설정!$L$6+ROW()-1,설정!$L$37)&amp;""="0","",INDEX(원자료_시장!$A$1:$BZ$1000,설정!$L$6+ROW()-1,설정!$L$37)),"")</f>
        <v>0</v>
      </c>
      <c r="C336" s="83" t="n">
        <f aca="false">IFERROR(IF(INDEX(원자료_시장!$A$1:$BZ$1000,설정!$L$6+ROW()-1,설정!$L$25)&amp;""="0","",INDEX(원자료_시장!$A$1:$BZ$1000,설정!$L$6+ROW()-1,설정!$L$25)),"")</f>
        <v>0</v>
      </c>
      <c r="D336" s="85" t="str">
        <f aca="false">IFERROR(IF(ISNUMBER(INDEX(원자료_시장!$A$1:$BZ$1000,설정!$L$6+ROW()-1,설정!$L$26)),INDEX(원자료_시장!$A$1:$BZ$1000,설정!$L$6+ROW()-1,설정!$L$26),""),"")</f>
        <v/>
      </c>
      <c r="E336" s="97" t="str">
        <f aca="false">IFERROR(IF(ISNUMBER(INDEX(원자료_시장!$A$1:$BZ$1000,설정!$L$6+ROW()-1,설정!$L$27)),INDEX(원자료_시장!$A$1:$BZ$1000,설정!$L$6+ROW()-1,설정!$L$27),""),"")</f>
        <v/>
      </c>
      <c r="F336" s="97" t="str">
        <f aca="false">IFERROR(IF(ISNUMBER(INDEX(원자료_시장!$A$1:$BZ$1000,설정!$L$6+ROW()-1,설정!$L$28)),INDEX(원자료_시장!$A$1:$BZ$1000,설정!$L$6+ROW()-1,설정!$L$28),""),"")</f>
        <v/>
      </c>
      <c r="G336" s="97" t="str">
        <f aca="false">IFERROR(IF(ISNUMBER(INDEX(원자료_시장!$A$1:$BZ$1000,설정!$L$6+ROW()-1,설정!$L$29)),INDEX(원자료_시장!$A$1:$BZ$1000,설정!$L$6+ROW()-1,설정!$L$29),""),"")</f>
        <v/>
      </c>
      <c r="H336" s="97" t="str">
        <f aca="false">IFERROR(IF(ISNUMBER(INDEX(원자료_시장!$A$1:$BZ$1000,설정!$L$6+ROW()-1,설정!$L$30)),INDEX(원자료_시장!$A$1:$BZ$1000,설정!$L$6+ROW()-1,설정!$L$30),""),"")</f>
        <v/>
      </c>
      <c r="I336" s="97" t="str">
        <f aca="false">IFERROR(IF(ISNUMBER(INDEX(원자료_시장!$A$1:$BZ$1000,설정!$L$6+ROW()-1,설정!$L$31)),INDEX(원자료_시장!$A$1:$BZ$1000,설정!$L$6+ROW()-1,설정!$L$31),""),"")</f>
        <v/>
      </c>
      <c r="J336" s="97" t="str">
        <f aca="false">IFERROR(IF(ISNUMBER(INDEX(원자료_시장!$A$1:$BZ$1000,설정!$L$6+ROW()-1,설정!$L$32)),INDEX(원자료_시장!$A$1:$BZ$1000,설정!$L$6+ROW()-1,설정!$L$32),""),"")</f>
        <v/>
      </c>
      <c r="K336" s="85" t="str">
        <f aca="false">IFERROR(IF(ISNUMBER(INDEX(원자료_시장!$A$1:$BZ$1000,설정!$L$6+ROW()-1,설정!$L$33)),INDEX(원자료_시장!$A$1:$BZ$1000,설정!$L$6+ROW()-1,설정!$L$33),""),"")</f>
        <v/>
      </c>
      <c r="L336" s="83" t="n">
        <f aca="false">IFERROR(IF(INDEX(원자료_시장!$A$1:$BZ$1000,설정!$L$6+ROW()-1,설정!$L$34)&amp;""="0","",INDEX(원자료_시장!$A$1:$BZ$1000,설정!$L$6+ROW()-1,설정!$L$34)),"")</f>
        <v>0</v>
      </c>
      <c r="M336" s="83" t="n">
        <f aca="false">IFERROR(IF(INDEX(원자료_시장!$A$1:$BZ$1000,설정!$L$6+ROW()-1,설정!$L$35)&amp;""="0","",INDEX(원자료_시장!$A$1:$BZ$1000,설정!$L$6+ROW()-1,설정!$L$35)),"")</f>
        <v>0</v>
      </c>
      <c r="N336" s="83" t="n">
        <f aca="false">IFERROR(IF(INDEX(원자료_시장!$A$1:$BZ$1000,설정!$L$6+ROW()-1,설정!$L$36)&amp;""="0","",INDEX(원자료_시장!$A$1:$BZ$1000,설정!$L$6+ROW()-1,설정!$L$36)),"")</f>
        <v>0</v>
      </c>
      <c r="O336" s="43" t="str">
        <f aca="false">IF($A336="","",UPPER(LEFT($A336,FIND(" ",$A336&amp;" ")-1)))</f>
        <v/>
      </c>
      <c r="P336" s="43" t="str">
        <f aca="false">IF($A336="","",TRIM(RIGHT(SUBSTITUTE(TRIM($A336)," ",REPT(" ",30)),30)))</f>
        <v/>
      </c>
      <c r="Q336" s="98" t="str">
        <f aca="false">IF($A336="","",IFERROR(DATE(IF(LEN(P336)=8,2000+VALUE(RIGHT(P336,2)),VALUE(RIGHT(P336,4))),VALUE(LEFT(P336,2)),VALUE(MID(P336,4,2))),""))</f>
        <v/>
      </c>
      <c r="R336" s="89" t="n">
        <f aca="false">IF($A336="",0,IF(ISNUMBER(SEARCH("Float",$A336)),1,0))</f>
        <v>0</v>
      </c>
      <c r="S336" s="43" t="str">
        <f aca="false">IF($A336="","",TRIM(MID($A336,LEN(O336)+2,LEN($A336)-LEN(O336)-LEN(P336)-1)))</f>
        <v/>
      </c>
      <c r="T336" s="92" t="str">
        <f aca="false">IF(OR($A336="",R336=1),"",IFERROR(IF(ISNUMBER(FIND("/",S336)),IF(ISNUMBER(FIND(" ",S336)),VALUE(LEFT(S336,FIND(" ",S336)-1))+VALUE(MID(S336,FIND(" ",S336)+1,FIND("/",S336)-FIND(" ",S336)-1))/VALUE(MID(S336,FIND("/",S336)+1,9)),VALUE(LEFT(S336,FIND("/",S336)-1))/VALUE(MID(S336,FIND("/",S336)+1,9))),VALUE(S336)),""))</f>
        <v/>
      </c>
      <c r="U336" s="43" t="str">
        <f aca="false">IF(OR($A336="",NOT(ISNUMBER(Q336))),"",TEXT(Q336,"yyyymmdd")&amp;"|"&amp;IF(R336=1,"F",TEXT(T336,"0.000")))</f>
        <v/>
      </c>
      <c r="V336" s="43" t="str">
        <f aca="false">IF(U336="","",O336&amp;"|"&amp;U336)</f>
        <v/>
      </c>
      <c r="W336" s="43" t="str">
        <f aca="false">IF($A336="","",IFERROR(IF(VLOOKUP(O336,매핑!$A$4:$E$92,3,0)="","미분류",VLOOKUP(O336,매핑!$A$4:$E$92,3,0)),"미분류"))</f>
        <v/>
      </c>
      <c r="X336" s="89" t="n">
        <f aca="false">IF($A336="",0,IF(O336="T",1,0))</f>
        <v>0</v>
      </c>
      <c r="Y336" s="89" t="n">
        <f aca="false">IF($A336="",0,IF(AND(C336="USD",X336=0,ISNUMBER(E336),ISNUMBER(K336)),IF(K336&gt;=설정!$C$8,1,0),0))</f>
        <v>0</v>
      </c>
      <c r="Z336" s="43" t="str">
        <f aca="false">IF($A336="","",N336&amp;"|"&amp;L336)</f>
        <v/>
      </c>
      <c r="AA336" s="92" t="n">
        <f aca="false">IF(Y336=1,LN(K336),0)</f>
        <v>0</v>
      </c>
      <c r="AB336" s="93" t="n">
        <f aca="false">IF(Y336=1,E336,0)</f>
        <v>0</v>
      </c>
      <c r="AC336" s="89" t="n">
        <f aca="false">IF(Y336=1,COUNTIFS($Z$2:$Z$601,Z336,$Y$2:$Y$601,1),0)</f>
        <v>0</v>
      </c>
      <c r="AD336" s="89" t="n">
        <f aca="false">IF(Y336=1,COUNTIFS($N$2:$N$601,N336,$Y$2:$Y$601,1),0)</f>
        <v>0</v>
      </c>
      <c r="AE336" s="43" t="str">
        <f aca="false">IF(Y336&lt;&gt;1,"",IF(AND(AC336&gt;=설정!$C$7,ISNUMBER(MATCH(Z336,피어커브!$A:$A,0))),Z336,IF(AND(AD336&gt;=설정!$C$7,ISNUMBER(MATCH(N336&amp;"|전체",피어커브!$A:$A,0))),N336&amp;"|전체","전체|전체")))</f>
        <v/>
      </c>
      <c r="AF336" s="93" t="str">
        <f aca="false">IF(AE336="","",INDEX(피어커브!$K:$K,MATCH(AE336,피어커브!$A:$A,0)))</f>
        <v/>
      </c>
      <c r="AG336" s="93" t="str">
        <f aca="false">IF(AE336="","",INDEX(피어커브!$J:$J,MATCH(AE336,피어커브!$A:$A,0)))</f>
        <v/>
      </c>
      <c r="AH336" s="93" t="str">
        <f aca="false">IF(AE336="","",INDEX(피어커브!$L:$L,MATCH(AE336,피어커브!$A:$A,0)))</f>
        <v/>
      </c>
      <c r="AI336" s="93" t="str">
        <f aca="false">IF(AE336="","",AF336+AG336*AA336)</f>
        <v/>
      </c>
      <c r="AJ336" s="96" t="str">
        <f aca="false">IF(AE336="","",E336-AI336)</f>
        <v/>
      </c>
      <c r="AK336" s="95" t="str">
        <f aca="false">IF(AE336="","",IF(ISNUMBER(AH336),IF(AH336&gt;0,AJ336/AH336,""),""))</f>
        <v/>
      </c>
      <c r="AL336" s="43" t="str">
        <f aca="false">IF(AK336="","-",IF(AK336&gt;=설정!$C$6,"Cheap",IF(AK336&lt;=-설정!$C$6,"Rich","Fair")))</f>
        <v>-</v>
      </c>
      <c r="AM336" s="96" t="str">
        <f aca="false">IF(AE336="","",AJ336-AVERAGEIFS($AJ$2:$AJ$601,$B$2:$B$601,B336,$Y$2:$Y$601,1))</f>
        <v/>
      </c>
      <c r="AN336" s="93" t="n">
        <f aca="false">IF(AE336="",0,IF(K336&gt;1+설정!$C$8,AG336*(AA336-LN(K336-1)),0))</f>
        <v>0</v>
      </c>
      <c r="AO336" s="99" t="n">
        <f aca="false">IF($A336="",0,SUMIFS(보유분석!$AA$2:$AA$801,보유분석!$AB$2:$AB$801,ROW(),보유분석!$AC$2:$AC$801,1))</f>
        <v>0</v>
      </c>
      <c r="AP336" s="43" t="str">
        <f aca="false">IF($A336="","",TRIM(IF(R336=1,"FRN ","")&amp;IF(IFERROR(VLOOKUP(M336,설정!$A$15:$D$47,4,0),0)&gt;=10,IF(IFERROR(VLOOKUP(M336,설정!$A$15:$D$47,4,0),0)&lt;99,"BBB0미만 ",""),"")&amp;IF(OR(M336="",M336="NR"),"등급미입력 ","")&amp;IF(C336&lt;&gt;"USD","비USD ","")))</f>
        <v/>
      </c>
      <c r="AQ336" s="90" t="n">
        <f aca="false">IF(AND(Y336=1,AL336="Cheap"),IF(AND(ISERROR(SEARCH("FRN",AP336)),ISERROR(SEARCH("BBB0미만",AP336))),AK336+ROW()/1000000000,-999),-999)</f>
        <v>-999</v>
      </c>
      <c r="AR336" s="92" t="str">
        <f aca="false">IF(AND(ISNUMBER(D336),ISNUMBER(K336)),D336+AN336*MAX(K336-1,0)/100,"")</f>
        <v/>
      </c>
      <c r="AS336" s="93" t="str">
        <f aca="false">IF(AND(ISNUMBER(E336),ISNUMBER(K336)),IF(K336&gt;0,(E336+AN336*MAX(K336-1,0))/K336,""),"")</f>
        <v/>
      </c>
      <c r="AT336" s="90" t="n">
        <f aca="false">IFERROR(IF(AND(Y336=1,ROW()&lt;&gt;스왑분석!$C$12+1,ABS(K336-INDEX($K$2:$K$601,스왑분석!$C$12))&lt;=스왑분석!$C$5,ISERROR(SEARCH("FRN",AP336)),ISERROR(SEARCH("BBB0미만",AP336))),IF(AND(OR(스왑분석!$C$6="N",L336=INDEX($L$2:$L$601,스왑분석!$C$12)),OR(스왑분석!$C$7="N",N336=INDEX($N$2:$N$601,스왑분석!$C$12)),OR(스왑분석!$C$8="N",AO336=0),E336-INDEX($E$2:$E$601,스왑분석!$C$12)&gt;=스왑분석!$C$9),E336-INDEX($E$2:$E$601,스왑분석!$C$12)+ROW()/1000000000,-999),-999),-999)</f>
        <v>-999</v>
      </c>
      <c r="AU336" s="90" t="n">
        <f aca="false">IF(AND(Y336=1,AO336&gt;0,AL336="Rich"),-AK336+ROW()/1000000000,-999)</f>
        <v>-999</v>
      </c>
    </row>
    <row r="337" customFormat="false" ht="15" hidden="false" customHeight="false" outlineLevel="0" collapsed="false">
      <c r="A337" s="83" t="n">
        <f aca="false">IFERROR(IF(INDEX(원자료_시장!$A$1:$BZ$1000,설정!$L$6+ROW()-1,설정!$L$24)&amp;""="0","",INDEX(원자료_시장!$A$1:$BZ$1000,설정!$L$6+ROW()-1,설정!$L$24)),"")</f>
        <v>0</v>
      </c>
      <c r="B337" s="83" t="n">
        <f aca="false">IFERROR(IF(INDEX(원자료_시장!$A$1:$BZ$1000,설정!$L$6+ROW()-1,설정!$L$37)&amp;""="0","",INDEX(원자료_시장!$A$1:$BZ$1000,설정!$L$6+ROW()-1,설정!$L$37)),"")</f>
        <v>0</v>
      </c>
      <c r="C337" s="83" t="n">
        <f aca="false">IFERROR(IF(INDEX(원자료_시장!$A$1:$BZ$1000,설정!$L$6+ROW()-1,설정!$L$25)&amp;""="0","",INDEX(원자료_시장!$A$1:$BZ$1000,설정!$L$6+ROW()-1,설정!$L$25)),"")</f>
        <v>0</v>
      </c>
      <c r="D337" s="85" t="str">
        <f aca="false">IFERROR(IF(ISNUMBER(INDEX(원자료_시장!$A$1:$BZ$1000,설정!$L$6+ROW()-1,설정!$L$26)),INDEX(원자료_시장!$A$1:$BZ$1000,설정!$L$6+ROW()-1,설정!$L$26),""),"")</f>
        <v/>
      </c>
      <c r="E337" s="97" t="str">
        <f aca="false">IFERROR(IF(ISNUMBER(INDEX(원자료_시장!$A$1:$BZ$1000,설정!$L$6+ROW()-1,설정!$L$27)),INDEX(원자료_시장!$A$1:$BZ$1000,설정!$L$6+ROW()-1,설정!$L$27),""),"")</f>
        <v/>
      </c>
      <c r="F337" s="97" t="str">
        <f aca="false">IFERROR(IF(ISNUMBER(INDEX(원자료_시장!$A$1:$BZ$1000,설정!$L$6+ROW()-1,설정!$L$28)),INDEX(원자료_시장!$A$1:$BZ$1000,설정!$L$6+ROW()-1,설정!$L$28),""),"")</f>
        <v/>
      </c>
      <c r="G337" s="97" t="str">
        <f aca="false">IFERROR(IF(ISNUMBER(INDEX(원자료_시장!$A$1:$BZ$1000,설정!$L$6+ROW()-1,설정!$L$29)),INDEX(원자료_시장!$A$1:$BZ$1000,설정!$L$6+ROW()-1,설정!$L$29),""),"")</f>
        <v/>
      </c>
      <c r="H337" s="97" t="str">
        <f aca="false">IFERROR(IF(ISNUMBER(INDEX(원자료_시장!$A$1:$BZ$1000,설정!$L$6+ROW()-1,설정!$L$30)),INDEX(원자료_시장!$A$1:$BZ$1000,설정!$L$6+ROW()-1,설정!$L$30),""),"")</f>
        <v/>
      </c>
      <c r="I337" s="97" t="str">
        <f aca="false">IFERROR(IF(ISNUMBER(INDEX(원자료_시장!$A$1:$BZ$1000,설정!$L$6+ROW()-1,설정!$L$31)),INDEX(원자료_시장!$A$1:$BZ$1000,설정!$L$6+ROW()-1,설정!$L$31),""),"")</f>
        <v/>
      </c>
      <c r="J337" s="97" t="str">
        <f aca="false">IFERROR(IF(ISNUMBER(INDEX(원자료_시장!$A$1:$BZ$1000,설정!$L$6+ROW()-1,설정!$L$32)),INDEX(원자료_시장!$A$1:$BZ$1000,설정!$L$6+ROW()-1,설정!$L$32),""),"")</f>
        <v/>
      </c>
      <c r="K337" s="85" t="str">
        <f aca="false">IFERROR(IF(ISNUMBER(INDEX(원자료_시장!$A$1:$BZ$1000,설정!$L$6+ROW()-1,설정!$L$33)),INDEX(원자료_시장!$A$1:$BZ$1000,설정!$L$6+ROW()-1,설정!$L$33),""),"")</f>
        <v/>
      </c>
      <c r="L337" s="83" t="n">
        <f aca="false">IFERROR(IF(INDEX(원자료_시장!$A$1:$BZ$1000,설정!$L$6+ROW()-1,설정!$L$34)&amp;""="0","",INDEX(원자료_시장!$A$1:$BZ$1000,설정!$L$6+ROW()-1,설정!$L$34)),"")</f>
        <v>0</v>
      </c>
      <c r="M337" s="83" t="n">
        <f aca="false">IFERROR(IF(INDEX(원자료_시장!$A$1:$BZ$1000,설정!$L$6+ROW()-1,설정!$L$35)&amp;""="0","",INDEX(원자료_시장!$A$1:$BZ$1000,설정!$L$6+ROW()-1,설정!$L$35)),"")</f>
        <v>0</v>
      </c>
      <c r="N337" s="83" t="n">
        <f aca="false">IFERROR(IF(INDEX(원자료_시장!$A$1:$BZ$1000,설정!$L$6+ROW()-1,설정!$L$36)&amp;""="0","",INDEX(원자료_시장!$A$1:$BZ$1000,설정!$L$6+ROW()-1,설정!$L$36)),"")</f>
        <v>0</v>
      </c>
      <c r="O337" s="43" t="str">
        <f aca="false">IF($A337="","",UPPER(LEFT($A337,FIND(" ",$A337&amp;" ")-1)))</f>
        <v/>
      </c>
      <c r="P337" s="43" t="str">
        <f aca="false">IF($A337="","",TRIM(RIGHT(SUBSTITUTE(TRIM($A337)," ",REPT(" ",30)),30)))</f>
        <v/>
      </c>
      <c r="Q337" s="98" t="str">
        <f aca="false">IF($A337="","",IFERROR(DATE(IF(LEN(P337)=8,2000+VALUE(RIGHT(P337,2)),VALUE(RIGHT(P337,4))),VALUE(LEFT(P337,2)),VALUE(MID(P337,4,2))),""))</f>
        <v/>
      </c>
      <c r="R337" s="89" t="n">
        <f aca="false">IF($A337="",0,IF(ISNUMBER(SEARCH("Float",$A337)),1,0))</f>
        <v>0</v>
      </c>
      <c r="S337" s="43" t="str">
        <f aca="false">IF($A337="","",TRIM(MID($A337,LEN(O337)+2,LEN($A337)-LEN(O337)-LEN(P337)-1)))</f>
        <v/>
      </c>
      <c r="T337" s="92" t="str">
        <f aca="false">IF(OR($A337="",R337=1),"",IFERROR(IF(ISNUMBER(FIND("/",S337)),IF(ISNUMBER(FIND(" ",S337)),VALUE(LEFT(S337,FIND(" ",S337)-1))+VALUE(MID(S337,FIND(" ",S337)+1,FIND("/",S337)-FIND(" ",S337)-1))/VALUE(MID(S337,FIND("/",S337)+1,9)),VALUE(LEFT(S337,FIND("/",S337)-1))/VALUE(MID(S337,FIND("/",S337)+1,9))),VALUE(S337)),""))</f>
        <v/>
      </c>
      <c r="U337" s="43" t="str">
        <f aca="false">IF(OR($A337="",NOT(ISNUMBER(Q337))),"",TEXT(Q337,"yyyymmdd")&amp;"|"&amp;IF(R337=1,"F",TEXT(T337,"0.000")))</f>
        <v/>
      </c>
      <c r="V337" s="43" t="str">
        <f aca="false">IF(U337="","",O337&amp;"|"&amp;U337)</f>
        <v/>
      </c>
      <c r="W337" s="43" t="str">
        <f aca="false">IF($A337="","",IFERROR(IF(VLOOKUP(O337,매핑!$A$4:$E$92,3,0)="","미분류",VLOOKUP(O337,매핑!$A$4:$E$92,3,0)),"미분류"))</f>
        <v/>
      </c>
      <c r="X337" s="89" t="n">
        <f aca="false">IF($A337="",0,IF(O337="T",1,0))</f>
        <v>0</v>
      </c>
      <c r="Y337" s="89" t="n">
        <f aca="false">IF($A337="",0,IF(AND(C337="USD",X337=0,ISNUMBER(E337),ISNUMBER(K337)),IF(K337&gt;=설정!$C$8,1,0),0))</f>
        <v>0</v>
      </c>
      <c r="Z337" s="43" t="str">
        <f aca="false">IF($A337="","",N337&amp;"|"&amp;L337)</f>
        <v/>
      </c>
      <c r="AA337" s="92" t="n">
        <f aca="false">IF(Y337=1,LN(K337),0)</f>
        <v>0</v>
      </c>
      <c r="AB337" s="93" t="n">
        <f aca="false">IF(Y337=1,E337,0)</f>
        <v>0</v>
      </c>
      <c r="AC337" s="89" t="n">
        <f aca="false">IF(Y337=1,COUNTIFS($Z$2:$Z$601,Z337,$Y$2:$Y$601,1),0)</f>
        <v>0</v>
      </c>
      <c r="AD337" s="89" t="n">
        <f aca="false">IF(Y337=1,COUNTIFS($N$2:$N$601,N337,$Y$2:$Y$601,1),0)</f>
        <v>0</v>
      </c>
      <c r="AE337" s="43" t="str">
        <f aca="false">IF(Y337&lt;&gt;1,"",IF(AND(AC337&gt;=설정!$C$7,ISNUMBER(MATCH(Z337,피어커브!$A:$A,0))),Z337,IF(AND(AD337&gt;=설정!$C$7,ISNUMBER(MATCH(N337&amp;"|전체",피어커브!$A:$A,0))),N337&amp;"|전체","전체|전체")))</f>
        <v/>
      </c>
      <c r="AF337" s="93" t="str">
        <f aca="false">IF(AE337="","",INDEX(피어커브!$K:$K,MATCH(AE337,피어커브!$A:$A,0)))</f>
        <v/>
      </c>
      <c r="AG337" s="93" t="str">
        <f aca="false">IF(AE337="","",INDEX(피어커브!$J:$J,MATCH(AE337,피어커브!$A:$A,0)))</f>
        <v/>
      </c>
      <c r="AH337" s="93" t="str">
        <f aca="false">IF(AE337="","",INDEX(피어커브!$L:$L,MATCH(AE337,피어커브!$A:$A,0)))</f>
        <v/>
      </c>
      <c r="AI337" s="93" t="str">
        <f aca="false">IF(AE337="","",AF337+AG337*AA337)</f>
        <v/>
      </c>
      <c r="AJ337" s="96" t="str">
        <f aca="false">IF(AE337="","",E337-AI337)</f>
        <v/>
      </c>
      <c r="AK337" s="95" t="str">
        <f aca="false">IF(AE337="","",IF(ISNUMBER(AH337),IF(AH337&gt;0,AJ337/AH337,""),""))</f>
        <v/>
      </c>
      <c r="AL337" s="43" t="str">
        <f aca="false">IF(AK337="","-",IF(AK337&gt;=설정!$C$6,"Cheap",IF(AK337&lt;=-설정!$C$6,"Rich","Fair")))</f>
        <v>-</v>
      </c>
      <c r="AM337" s="96" t="str">
        <f aca="false">IF(AE337="","",AJ337-AVERAGEIFS($AJ$2:$AJ$601,$B$2:$B$601,B337,$Y$2:$Y$601,1))</f>
        <v/>
      </c>
      <c r="AN337" s="93" t="n">
        <f aca="false">IF(AE337="",0,IF(K337&gt;1+설정!$C$8,AG337*(AA337-LN(K337-1)),0))</f>
        <v>0</v>
      </c>
      <c r="AO337" s="99" t="n">
        <f aca="false">IF($A337="",0,SUMIFS(보유분석!$AA$2:$AA$801,보유분석!$AB$2:$AB$801,ROW(),보유분석!$AC$2:$AC$801,1))</f>
        <v>0</v>
      </c>
      <c r="AP337" s="43" t="str">
        <f aca="false">IF($A337="","",TRIM(IF(R337=1,"FRN ","")&amp;IF(IFERROR(VLOOKUP(M337,설정!$A$15:$D$47,4,0),0)&gt;=10,IF(IFERROR(VLOOKUP(M337,설정!$A$15:$D$47,4,0),0)&lt;99,"BBB0미만 ",""),"")&amp;IF(OR(M337="",M337="NR"),"등급미입력 ","")&amp;IF(C337&lt;&gt;"USD","비USD ","")))</f>
        <v/>
      </c>
      <c r="AQ337" s="90" t="n">
        <f aca="false">IF(AND(Y337=1,AL337="Cheap"),IF(AND(ISERROR(SEARCH("FRN",AP337)),ISERROR(SEARCH("BBB0미만",AP337))),AK337+ROW()/1000000000,-999),-999)</f>
        <v>-999</v>
      </c>
      <c r="AR337" s="92" t="str">
        <f aca="false">IF(AND(ISNUMBER(D337),ISNUMBER(K337)),D337+AN337*MAX(K337-1,0)/100,"")</f>
        <v/>
      </c>
      <c r="AS337" s="93" t="str">
        <f aca="false">IF(AND(ISNUMBER(E337),ISNUMBER(K337)),IF(K337&gt;0,(E337+AN337*MAX(K337-1,0))/K337,""),"")</f>
        <v/>
      </c>
      <c r="AT337" s="90" t="n">
        <f aca="false">IFERROR(IF(AND(Y337=1,ROW()&lt;&gt;스왑분석!$C$12+1,ABS(K337-INDEX($K$2:$K$601,스왑분석!$C$12))&lt;=스왑분석!$C$5,ISERROR(SEARCH("FRN",AP337)),ISERROR(SEARCH("BBB0미만",AP337))),IF(AND(OR(스왑분석!$C$6="N",L337=INDEX($L$2:$L$601,스왑분석!$C$12)),OR(스왑분석!$C$7="N",N337=INDEX($N$2:$N$601,스왑분석!$C$12)),OR(스왑분석!$C$8="N",AO337=0),E337-INDEX($E$2:$E$601,스왑분석!$C$12)&gt;=스왑분석!$C$9),E337-INDEX($E$2:$E$601,스왑분석!$C$12)+ROW()/1000000000,-999),-999),-999)</f>
        <v>-999</v>
      </c>
      <c r="AU337" s="90" t="n">
        <f aca="false">IF(AND(Y337=1,AO337&gt;0,AL337="Rich"),-AK337+ROW()/1000000000,-999)</f>
        <v>-999</v>
      </c>
    </row>
    <row r="338" customFormat="false" ht="15" hidden="false" customHeight="false" outlineLevel="0" collapsed="false">
      <c r="A338" s="83" t="n">
        <f aca="false">IFERROR(IF(INDEX(원자료_시장!$A$1:$BZ$1000,설정!$L$6+ROW()-1,설정!$L$24)&amp;""="0","",INDEX(원자료_시장!$A$1:$BZ$1000,설정!$L$6+ROW()-1,설정!$L$24)),"")</f>
        <v>0</v>
      </c>
      <c r="B338" s="83" t="n">
        <f aca="false">IFERROR(IF(INDEX(원자료_시장!$A$1:$BZ$1000,설정!$L$6+ROW()-1,설정!$L$37)&amp;""="0","",INDEX(원자료_시장!$A$1:$BZ$1000,설정!$L$6+ROW()-1,설정!$L$37)),"")</f>
        <v>0</v>
      </c>
      <c r="C338" s="83" t="n">
        <f aca="false">IFERROR(IF(INDEX(원자료_시장!$A$1:$BZ$1000,설정!$L$6+ROW()-1,설정!$L$25)&amp;""="0","",INDEX(원자료_시장!$A$1:$BZ$1000,설정!$L$6+ROW()-1,설정!$L$25)),"")</f>
        <v>0</v>
      </c>
      <c r="D338" s="85" t="str">
        <f aca="false">IFERROR(IF(ISNUMBER(INDEX(원자료_시장!$A$1:$BZ$1000,설정!$L$6+ROW()-1,설정!$L$26)),INDEX(원자료_시장!$A$1:$BZ$1000,설정!$L$6+ROW()-1,설정!$L$26),""),"")</f>
        <v/>
      </c>
      <c r="E338" s="97" t="str">
        <f aca="false">IFERROR(IF(ISNUMBER(INDEX(원자료_시장!$A$1:$BZ$1000,설정!$L$6+ROW()-1,설정!$L$27)),INDEX(원자료_시장!$A$1:$BZ$1000,설정!$L$6+ROW()-1,설정!$L$27),""),"")</f>
        <v/>
      </c>
      <c r="F338" s="97" t="str">
        <f aca="false">IFERROR(IF(ISNUMBER(INDEX(원자료_시장!$A$1:$BZ$1000,설정!$L$6+ROW()-1,설정!$L$28)),INDEX(원자료_시장!$A$1:$BZ$1000,설정!$L$6+ROW()-1,설정!$L$28),""),"")</f>
        <v/>
      </c>
      <c r="G338" s="97" t="str">
        <f aca="false">IFERROR(IF(ISNUMBER(INDEX(원자료_시장!$A$1:$BZ$1000,설정!$L$6+ROW()-1,설정!$L$29)),INDEX(원자료_시장!$A$1:$BZ$1000,설정!$L$6+ROW()-1,설정!$L$29),""),"")</f>
        <v/>
      </c>
      <c r="H338" s="97" t="str">
        <f aca="false">IFERROR(IF(ISNUMBER(INDEX(원자료_시장!$A$1:$BZ$1000,설정!$L$6+ROW()-1,설정!$L$30)),INDEX(원자료_시장!$A$1:$BZ$1000,설정!$L$6+ROW()-1,설정!$L$30),""),"")</f>
        <v/>
      </c>
      <c r="I338" s="97" t="str">
        <f aca="false">IFERROR(IF(ISNUMBER(INDEX(원자료_시장!$A$1:$BZ$1000,설정!$L$6+ROW()-1,설정!$L$31)),INDEX(원자료_시장!$A$1:$BZ$1000,설정!$L$6+ROW()-1,설정!$L$31),""),"")</f>
        <v/>
      </c>
      <c r="J338" s="97" t="str">
        <f aca="false">IFERROR(IF(ISNUMBER(INDEX(원자료_시장!$A$1:$BZ$1000,설정!$L$6+ROW()-1,설정!$L$32)),INDEX(원자료_시장!$A$1:$BZ$1000,설정!$L$6+ROW()-1,설정!$L$32),""),"")</f>
        <v/>
      </c>
      <c r="K338" s="85" t="str">
        <f aca="false">IFERROR(IF(ISNUMBER(INDEX(원자료_시장!$A$1:$BZ$1000,설정!$L$6+ROW()-1,설정!$L$33)),INDEX(원자료_시장!$A$1:$BZ$1000,설정!$L$6+ROW()-1,설정!$L$33),""),"")</f>
        <v/>
      </c>
      <c r="L338" s="83" t="n">
        <f aca="false">IFERROR(IF(INDEX(원자료_시장!$A$1:$BZ$1000,설정!$L$6+ROW()-1,설정!$L$34)&amp;""="0","",INDEX(원자료_시장!$A$1:$BZ$1000,설정!$L$6+ROW()-1,설정!$L$34)),"")</f>
        <v>0</v>
      </c>
      <c r="M338" s="83" t="n">
        <f aca="false">IFERROR(IF(INDEX(원자료_시장!$A$1:$BZ$1000,설정!$L$6+ROW()-1,설정!$L$35)&amp;""="0","",INDEX(원자료_시장!$A$1:$BZ$1000,설정!$L$6+ROW()-1,설정!$L$35)),"")</f>
        <v>0</v>
      </c>
      <c r="N338" s="83" t="n">
        <f aca="false">IFERROR(IF(INDEX(원자료_시장!$A$1:$BZ$1000,설정!$L$6+ROW()-1,설정!$L$36)&amp;""="0","",INDEX(원자료_시장!$A$1:$BZ$1000,설정!$L$6+ROW()-1,설정!$L$36)),"")</f>
        <v>0</v>
      </c>
      <c r="O338" s="43" t="str">
        <f aca="false">IF($A338="","",UPPER(LEFT($A338,FIND(" ",$A338&amp;" ")-1)))</f>
        <v/>
      </c>
      <c r="P338" s="43" t="str">
        <f aca="false">IF($A338="","",TRIM(RIGHT(SUBSTITUTE(TRIM($A338)," ",REPT(" ",30)),30)))</f>
        <v/>
      </c>
      <c r="Q338" s="98" t="str">
        <f aca="false">IF($A338="","",IFERROR(DATE(IF(LEN(P338)=8,2000+VALUE(RIGHT(P338,2)),VALUE(RIGHT(P338,4))),VALUE(LEFT(P338,2)),VALUE(MID(P338,4,2))),""))</f>
        <v/>
      </c>
      <c r="R338" s="89" t="n">
        <f aca="false">IF($A338="",0,IF(ISNUMBER(SEARCH("Float",$A338)),1,0))</f>
        <v>0</v>
      </c>
      <c r="S338" s="43" t="str">
        <f aca="false">IF($A338="","",TRIM(MID($A338,LEN(O338)+2,LEN($A338)-LEN(O338)-LEN(P338)-1)))</f>
        <v/>
      </c>
      <c r="T338" s="92" t="str">
        <f aca="false">IF(OR($A338="",R338=1),"",IFERROR(IF(ISNUMBER(FIND("/",S338)),IF(ISNUMBER(FIND(" ",S338)),VALUE(LEFT(S338,FIND(" ",S338)-1))+VALUE(MID(S338,FIND(" ",S338)+1,FIND("/",S338)-FIND(" ",S338)-1))/VALUE(MID(S338,FIND("/",S338)+1,9)),VALUE(LEFT(S338,FIND("/",S338)-1))/VALUE(MID(S338,FIND("/",S338)+1,9))),VALUE(S338)),""))</f>
        <v/>
      </c>
      <c r="U338" s="43" t="str">
        <f aca="false">IF(OR($A338="",NOT(ISNUMBER(Q338))),"",TEXT(Q338,"yyyymmdd")&amp;"|"&amp;IF(R338=1,"F",TEXT(T338,"0.000")))</f>
        <v/>
      </c>
      <c r="V338" s="43" t="str">
        <f aca="false">IF(U338="","",O338&amp;"|"&amp;U338)</f>
        <v/>
      </c>
      <c r="W338" s="43" t="str">
        <f aca="false">IF($A338="","",IFERROR(IF(VLOOKUP(O338,매핑!$A$4:$E$92,3,0)="","미분류",VLOOKUP(O338,매핑!$A$4:$E$92,3,0)),"미분류"))</f>
        <v/>
      </c>
      <c r="X338" s="89" t="n">
        <f aca="false">IF($A338="",0,IF(O338="T",1,0))</f>
        <v>0</v>
      </c>
      <c r="Y338" s="89" t="n">
        <f aca="false">IF($A338="",0,IF(AND(C338="USD",X338=0,ISNUMBER(E338),ISNUMBER(K338)),IF(K338&gt;=설정!$C$8,1,0),0))</f>
        <v>0</v>
      </c>
      <c r="Z338" s="43" t="str">
        <f aca="false">IF($A338="","",N338&amp;"|"&amp;L338)</f>
        <v/>
      </c>
      <c r="AA338" s="92" t="n">
        <f aca="false">IF(Y338=1,LN(K338),0)</f>
        <v>0</v>
      </c>
      <c r="AB338" s="93" t="n">
        <f aca="false">IF(Y338=1,E338,0)</f>
        <v>0</v>
      </c>
      <c r="AC338" s="89" t="n">
        <f aca="false">IF(Y338=1,COUNTIFS($Z$2:$Z$601,Z338,$Y$2:$Y$601,1),0)</f>
        <v>0</v>
      </c>
      <c r="AD338" s="89" t="n">
        <f aca="false">IF(Y338=1,COUNTIFS($N$2:$N$601,N338,$Y$2:$Y$601,1),0)</f>
        <v>0</v>
      </c>
      <c r="AE338" s="43" t="str">
        <f aca="false">IF(Y338&lt;&gt;1,"",IF(AND(AC338&gt;=설정!$C$7,ISNUMBER(MATCH(Z338,피어커브!$A:$A,0))),Z338,IF(AND(AD338&gt;=설정!$C$7,ISNUMBER(MATCH(N338&amp;"|전체",피어커브!$A:$A,0))),N338&amp;"|전체","전체|전체")))</f>
        <v/>
      </c>
      <c r="AF338" s="93" t="str">
        <f aca="false">IF(AE338="","",INDEX(피어커브!$K:$K,MATCH(AE338,피어커브!$A:$A,0)))</f>
        <v/>
      </c>
      <c r="AG338" s="93" t="str">
        <f aca="false">IF(AE338="","",INDEX(피어커브!$J:$J,MATCH(AE338,피어커브!$A:$A,0)))</f>
        <v/>
      </c>
      <c r="AH338" s="93" t="str">
        <f aca="false">IF(AE338="","",INDEX(피어커브!$L:$L,MATCH(AE338,피어커브!$A:$A,0)))</f>
        <v/>
      </c>
      <c r="AI338" s="93" t="str">
        <f aca="false">IF(AE338="","",AF338+AG338*AA338)</f>
        <v/>
      </c>
      <c r="AJ338" s="96" t="str">
        <f aca="false">IF(AE338="","",E338-AI338)</f>
        <v/>
      </c>
      <c r="AK338" s="95" t="str">
        <f aca="false">IF(AE338="","",IF(ISNUMBER(AH338),IF(AH338&gt;0,AJ338/AH338,""),""))</f>
        <v/>
      </c>
      <c r="AL338" s="43" t="str">
        <f aca="false">IF(AK338="","-",IF(AK338&gt;=설정!$C$6,"Cheap",IF(AK338&lt;=-설정!$C$6,"Rich","Fair")))</f>
        <v>-</v>
      </c>
      <c r="AM338" s="96" t="str">
        <f aca="false">IF(AE338="","",AJ338-AVERAGEIFS($AJ$2:$AJ$601,$B$2:$B$601,B338,$Y$2:$Y$601,1))</f>
        <v/>
      </c>
      <c r="AN338" s="93" t="n">
        <f aca="false">IF(AE338="",0,IF(K338&gt;1+설정!$C$8,AG338*(AA338-LN(K338-1)),0))</f>
        <v>0</v>
      </c>
      <c r="AO338" s="99" t="n">
        <f aca="false">IF($A338="",0,SUMIFS(보유분석!$AA$2:$AA$801,보유분석!$AB$2:$AB$801,ROW(),보유분석!$AC$2:$AC$801,1))</f>
        <v>0</v>
      </c>
      <c r="AP338" s="43" t="str">
        <f aca="false">IF($A338="","",TRIM(IF(R338=1,"FRN ","")&amp;IF(IFERROR(VLOOKUP(M338,설정!$A$15:$D$47,4,0),0)&gt;=10,IF(IFERROR(VLOOKUP(M338,설정!$A$15:$D$47,4,0),0)&lt;99,"BBB0미만 ",""),"")&amp;IF(OR(M338="",M338="NR"),"등급미입력 ","")&amp;IF(C338&lt;&gt;"USD","비USD ","")))</f>
        <v/>
      </c>
      <c r="AQ338" s="90" t="n">
        <f aca="false">IF(AND(Y338=1,AL338="Cheap"),IF(AND(ISERROR(SEARCH("FRN",AP338)),ISERROR(SEARCH("BBB0미만",AP338))),AK338+ROW()/1000000000,-999),-999)</f>
        <v>-999</v>
      </c>
      <c r="AR338" s="92" t="str">
        <f aca="false">IF(AND(ISNUMBER(D338),ISNUMBER(K338)),D338+AN338*MAX(K338-1,0)/100,"")</f>
        <v/>
      </c>
      <c r="AS338" s="93" t="str">
        <f aca="false">IF(AND(ISNUMBER(E338),ISNUMBER(K338)),IF(K338&gt;0,(E338+AN338*MAX(K338-1,0))/K338,""),"")</f>
        <v/>
      </c>
      <c r="AT338" s="90" t="n">
        <f aca="false">IFERROR(IF(AND(Y338=1,ROW()&lt;&gt;스왑분석!$C$12+1,ABS(K338-INDEX($K$2:$K$601,스왑분석!$C$12))&lt;=스왑분석!$C$5,ISERROR(SEARCH("FRN",AP338)),ISERROR(SEARCH("BBB0미만",AP338))),IF(AND(OR(스왑분석!$C$6="N",L338=INDEX($L$2:$L$601,스왑분석!$C$12)),OR(스왑분석!$C$7="N",N338=INDEX($N$2:$N$601,스왑분석!$C$12)),OR(스왑분석!$C$8="N",AO338=0),E338-INDEX($E$2:$E$601,스왑분석!$C$12)&gt;=스왑분석!$C$9),E338-INDEX($E$2:$E$601,스왑분석!$C$12)+ROW()/1000000000,-999),-999),-999)</f>
        <v>-999</v>
      </c>
      <c r="AU338" s="90" t="n">
        <f aca="false">IF(AND(Y338=1,AO338&gt;0,AL338="Rich"),-AK338+ROW()/1000000000,-999)</f>
        <v>-999</v>
      </c>
    </row>
    <row r="339" customFormat="false" ht="15" hidden="false" customHeight="false" outlineLevel="0" collapsed="false">
      <c r="A339" s="83" t="n">
        <f aca="false">IFERROR(IF(INDEX(원자료_시장!$A$1:$BZ$1000,설정!$L$6+ROW()-1,설정!$L$24)&amp;""="0","",INDEX(원자료_시장!$A$1:$BZ$1000,설정!$L$6+ROW()-1,설정!$L$24)),"")</f>
        <v>0</v>
      </c>
      <c r="B339" s="83" t="n">
        <f aca="false">IFERROR(IF(INDEX(원자료_시장!$A$1:$BZ$1000,설정!$L$6+ROW()-1,설정!$L$37)&amp;""="0","",INDEX(원자료_시장!$A$1:$BZ$1000,설정!$L$6+ROW()-1,설정!$L$37)),"")</f>
        <v>0</v>
      </c>
      <c r="C339" s="83" t="n">
        <f aca="false">IFERROR(IF(INDEX(원자료_시장!$A$1:$BZ$1000,설정!$L$6+ROW()-1,설정!$L$25)&amp;""="0","",INDEX(원자료_시장!$A$1:$BZ$1000,설정!$L$6+ROW()-1,설정!$L$25)),"")</f>
        <v>0</v>
      </c>
      <c r="D339" s="85" t="str">
        <f aca="false">IFERROR(IF(ISNUMBER(INDEX(원자료_시장!$A$1:$BZ$1000,설정!$L$6+ROW()-1,설정!$L$26)),INDEX(원자료_시장!$A$1:$BZ$1000,설정!$L$6+ROW()-1,설정!$L$26),""),"")</f>
        <v/>
      </c>
      <c r="E339" s="97" t="str">
        <f aca="false">IFERROR(IF(ISNUMBER(INDEX(원자료_시장!$A$1:$BZ$1000,설정!$L$6+ROW()-1,설정!$L$27)),INDEX(원자료_시장!$A$1:$BZ$1000,설정!$L$6+ROW()-1,설정!$L$27),""),"")</f>
        <v/>
      </c>
      <c r="F339" s="97" t="str">
        <f aca="false">IFERROR(IF(ISNUMBER(INDEX(원자료_시장!$A$1:$BZ$1000,설정!$L$6+ROW()-1,설정!$L$28)),INDEX(원자료_시장!$A$1:$BZ$1000,설정!$L$6+ROW()-1,설정!$L$28),""),"")</f>
        <v/>
      </c>
      <c r="G339" s="97" t="str">
        <f aca="false">IFERROR(IF(ISNUMBER(INDEX(원자료_시장!$A$1:$BZ$1000,설정!$L$6+ROW()-1,설정!$L$29)),INDEX(원자료_시장!$A$1:$BZ$1000,설정!$L$6+ROW()-1,설정!$L$29),""),"")</f>
        <v/>
      </c>
      <c r="H339" s="97" t="str">
        <f aca="false">IFERROR(IF(ISNUMBER(INDEX(원자료_시장!$A$1:$BZ$1000,설정!$L$6+ROW()-1,설정!$L$30)),INDEX(원자료_시장!$A$1:$BZ$1000,설정!$L$6+ROW()-1,설정!$L$30),""),"")</f>
        <v/>
      </c>
      <c r="I339" s="97" t="str">
        <f aca="false">IFERROR(IF(ISNUMBER(INDEX(원자료_시장!$A$1:$BZ$1000,설정!$L$6+ROW()-1,설정!$L$31)),INDEX(원자료_시장!$A$1:$BZ$1000,설정!$L$6+ROW()-1,설정!$L$31),""),"")</f>
        <v/>
      </c>
      <c r="J339" s="97" t="str">
        <f aca="false">IFERROR(IF(ISNUMBER(INDEX(원자료_시장!$A$1:$BZ$1000,설정!$L$6+ROW()-1,설정!$L$32)),INDEX(원자료_시장!$A$1:$BZ$1000,설정!$L$6+ROW()-1,설정!$L$32),""),"")</f>
        <v/>
      </c>
      <c r="K339" s="85" t="str">
        <f aca="false">IFERROR(IF(ISNUMBER(INDEX(원자료_시장!$A$1:$BZ$1000,설정!$L$6+ROW()-1,설정!$L$33)),INDEX(원자료_시장!$A$1:$BZ$1000,설정!$L$6+ROW()-1,설정!$L$33),""),"")</f>
        <v/>
      </c>
      <c r="L339" s="83" t="n">
        <f aca="false">IFERROR(IF(INDEX(원자료_시장!$A$1:$BZ$1000,설정!$L$6+ROW()-1,설정!$L$34)&amp;""="0","",INDEX(원자료_시장!$A$1:$BZ$1000,설정!$L$6+ROW()-1,설정!$L$34)),"")</f>
        <v>0</v>
      </c>
      <c r="M339" s="83" t="n">
        <f aca="false">IFERROR(IF(INDEX(원자료_시장!$A$1:$BZ$1000,설정!$L$6+ROW()-1,설정!$L$35)&amp;""="0","",INDEX(원자료_시장!$A$1:$BZ$1000,설정!$L$6+ROW()-1,설정!$L$35)),"")</f>
        <v>0</v>
      </c>
      <c r="N339" s="83" t="n">
        <f aca="false">IFERROR(IF(INDEX(원자료_시장!$A$1:$BZ$1000,설정!$L$6+ROW()-1,설정!$L$36)&amp;""="0","",INDEX(원자료_시장!$A$1:$BZ$1000,설정!$L$6+ROW()-1,설정!$L$36)),"")</f>
        <v>0</v>
      </c>
      <c r="O339" s="43" t="str">
        <f aca="false">IF($A339="","",UPPER(LEFT($A339,FIND(" ",$A339&amp;" ")-1)))</f>
        <v/>
      </c>
      <c r="P339" s="43" t="str">
        <f aca="false">IF($A339="","",TRIM(RIGHT(SUBSTITUTE(TRIM($A339)," ",REPT(" ",30)),30)))</f>
        <v/>
      </c>
      <c r="Q339" s="98" t="str">
        <f aca="false">IF($A339="","",IFERROR(DATE(IF(LEN(P339)=8,2000+VALUE(RIGHT(P339,2)),VALUE(RIGHT(P339,4))),VALUE(LEFT(P339,2)),VALUE(MID(P339,4,2))),""))</f>
        <v/>
      </c>
      <c r="R339" s="89" t="n">
        <f aca="false">IF($A339="",0,IF(ISNUMBER(SEARCH("Float",$A339)),1,0))</f>
        <v>0</v>
      </c>
      <c r="S339" s="43" t="str">
        <f aca="false">IF($A339="","",TRIM(MID($A339,LEN(O339)+2,LEN($A339)-LEN(O339)-LEN(P339)-1)))</f>
        <v/>
      </c>
      <c r="T339" s="92" t="str">
        <f aca="false">IF(OR($A339="",R339=1),"",IFERROR(IF(ISNUMBER(FIND("/",S339)),IF(ISNUMBER(FIND(" ",S339)),VALUE(LEFT(S339,FIND(" ",S339)-1))+VALUE(MID(S339,FIND(" ",S339)+1,FIND("/",S339)-FIND(" ",S339)-1))/VALUE(MID(S339,FIND("/",S339)+1,9)),VALUE(LEFT(S339,FIND("/",S339)-1))/VALUE(MID(S339,FIND("/",S339)+1,9))),VALUE(S339)),""))</f>
        <v/>
      </c>
      <c r="U339" s="43" t="str">
        <f aca="false">IF(OR($A339="",NOT(ISNUMBER(Q339))),"",TEXT(Q339,"yyyymmdd")&amp;"|"&amp;IF(R339=1,"F",TEXT(T339,"0.000")))</f>
        <v/>
      </c>
      <c r="V339" s="43" t="str">
        <f aca="false">IF(U339="","",O339&amp;"|"&amp;U339)</f>
        <v/>
      </c>
      <c r="W339" s="43" t="str">
        <f aca="false">IF($A339="","",IFERROR(IF(VLOOKUP(O339,매핑!$A$4:$E$92,3,0)="","미분류",VLOOKUP(O339,매핑!$A$4:$E$92,3,0)),"미분류"))</f>
        <v/>
      </c>
      <c r="X339" s="89" t="n">
        <f aca="false">IF($A339="",0,IF(O339="T",1,0))</f>
        <v>0</v>
      </c>
      <c r="Y339" s="89" t="n">
        <f aca="false">IF($A339="",0,IF(AND(C339="USD",X339=0,ISNUMBER(E339),ISNUMBER(K339)),IF(K339&gt;=설정!$C$8,1,0),0))</f>
        <v>0</v>
      </c>
      <c r="Z339" s="43" t="str">
        <f aca="false">IF($A339="","",N339&amp;"|"&amp;L339)</f>
        <v/>
      </c>
      <c r="AA339" s="92" t="n">
        <f aca="false">IF(Y339=1,LN(K339),0)</f>
        <v>0</v>
      </c>
      <c r="AB339" s="93" t="n">
        <f aca="false">IF(Y339=1,E339,0)</f>
        <v>0</v>
      </c>
      <c r="AC339" s="89" t="n">
        <f aca="false">IF(Y339=1,COUNTIFS($Z$2:$Z$601,Z339,$Y$2:$Y$601,1),0)</f>
        <v>0</v>
      </c>
      <c r="AD339" s="89" t="n">
        <f aca="false">IF(Y339=1,COUNTIFS($N$2:$N$601,N339,$Y$2:$Y$601,1),0)</f>
        <v>0</v>
      </c>
      <c r="AE339" s="43" t="str">
        <f aca="false">IF(Y339&lt;&gt;1,"",IF(AND(AC339&gt;=설정!$C$7,ISNUMBER(MATCH(Z339,피어커브!$A:$A,0))),Z339,IF(AND(AD339&gt;=설정!$C$7,ISNUMBER(MATCH(N339&amp;"|전체",피어커브!$A:$A,0))),N339&amp;"|전체","전체|전체")))</f>
        <v/>
      </c>
      <c r="AF339" s="93" t="str">
        <f aca="false">IF(AE339="","",INDEX(피어커브!$K:$K,MATCH(AE339,피어커브!$A:$A,0)))</f>
        <v/>
      </c>
      <c r="AG339" s="93" t="str">
        <f aca="false">IF(AE339="","",INDEX(피어커브!$J:$J,MATCH(AE339,피어커브!$A:$A,0)))</f>
        <v/>
      </c>
      <c r="AH339" s="93" t="str">
        <f aca="false">IF(AE339="","",INDEX(피어커브!$L:$L,MATCH(AE339,피어커브!$A:$A,0)))</f>
        <v/>
      </c>
      <c r="AI339" s="93" t="str">
        <f aca="false">IF(AE339="","",AF339+AG339*AA339)</f>
        <v/>
      </c>
      <c r="AJ339" s="96" t="str">
        <f aca="false">IF(AE339="","",E339-AI339)</f>
        <v/>
      </c>
      <c r="AK339" s="95" t="str">
        <f aca="false">IF(AE339="","",IF(ISNUMBER(AH339),IF(AH339&gt;0,AJ339/AH339,""),""))</f>
        <v/>
      </c>
      <c r="AL339" s="43" t="str">
        <f aca="false">IF(AK339="","-",IF(AK339&gt;=설정!$C$6,"Cheap",IF(AK339&lt;=-설정!$C$6,"Rich","Fair")))</f>
        <v>-</v>
      </c>
      <c r="AM339" s="96" t="str">
        <f aca="false">IF(AE339="","",AJ339-AVERAGEIFS($AJ$2:$AJ$601,$B$2:$B$601,B339,$Y$2:$Y$601,1))</f>
        <v/>
      </c>
      <c r="AN339" s="93" t="n">
        <f aca="false">IF(AE339="",0,IF(K339&gt;1+설정!$C$8,AG339*(AA339-LN(K339-1)),0))</f>
        <v>0</v>
      </c>
      <c r="AO339" s="99" t="n">
        <f aca="false">IF($A339="",0,SUMIFS(보유분석!$AA$2:$AA$801,보유분석!$AB$2:$AB$801,ROW(),보유분석!$AC$2:$AC$801,1))</f>
        <v>0</v>
      </c>
      <c r="AP339" s="43" t="str">
        <f aca="false">IF($A339="","",TRIM(IF(R339=1,"FRN ","")&amp;IF(IFERROR(VLOOKUP(M339,설정!$A$15:$D$47,4,0),0)&gt;=10,IF(IFERROR(VLOOKUP(M339,설정!$A$15:$D$47,4,0),0)&lt;99,"BBB0미만 ",""),"")&amp;IF(OR(M339="",M339="NR"),"등급미입력 ","")&amp;IF(C339&lt;&gt;"USD","비USD ","")))</f>
        <v/>
      </c>
      <c r="AQ339" s="90" t="n">
        <f aca="false">IF(AND(Y339=1,AL339="Cheap"),IF(AND(ISERROR(SEARCH("FRN",AP339)),ISERROR(SEARCH("BBB0미만",AP339))),AK339+ROW()/1000000000,-999),-999)</f>
        <v>-999</v>
      </c>
      <c r="AR339" s="92" t="str">
        <f aca="false">IF(AND(ISNUMBER(D339),ISNUMBER(K339)),D339+AN339*MAX(K339-1,0)/100,"")</f>
        <v/>
      </c>
      <c r="AS339" s="93" t="str">
        <f aca="false">IF(AND(ISNUMBER(E339),ISNUMBER(K339)),IF(K339&gt;0,(E339+AN339*MAX(K339-1,0))/K339,""),"")</f>
        <v/>
      </c>
      <c r="AT339" s="90" t="n">
        <f aca="false">IFERROR(IF(AND(Y339=1,ROW()&lt;&gt;스왑분석!$C$12+1,ABS(K339-INDEX($K$2:$K$601,스왑분석!$C$12))&lt;=스왑분석!$C$5,ISERROR(SEARCH("FRN",AP339)),ISERROR(SEARCH("BBB0미만",AP339))),IF(AND(OR(스왑분석!$C$6="N",L339=INDEX($L$2:$L$601,스왑분석!$C$12)),OR(스왑분석!$C$7="N",N339=INDEX($N$2:$N$601,스왑분석!$C$12)),OR(스왑분석!$C$8="N",AO339=0),E339-INDEX($E$2:$E$601,스왑분석!$C$12)&gt;=스왑분석!$C$9),E339-INDEX($E$2:$E$601,스왑분석!$C$12)+ROW()/1000000000,-999),-999),-999)</f>
        <v>-999</v>
      </c>
      <c r="AU339" s="90" t="n">
        <f aca="false">IF(AND(Y339=1,AO339&gt;0,AL339="Rich"),-AK339+ROW()/1000000000,-999)</f>
        <v>-999</v>
      </c>
    </row>
    <row r="340" customFormat="false" ht="15" hidden="false" customHeight="false" outlineLevel="0" collapsed="false">
      <c r="A340" s="83" t="n">
        <f aca="false">IFERROR(IF(INDEX(원자료_시장!$A$1:$BZ$1000,설정!$L$6+ROW()-1,설정!$L$24)&amp;""="0","",INDEX(원자료_시장!$A$1:$BZ$1000,설정!$L$6+ROW()-1,설정!$L$24)),"")</f>
        <v>0</v>
      </c>
      <c r="B340" s="83" t="n">
        <f aca="false">IFERROR(IF(INDEX(원자료_시장!$A$1:$BZ$1000,설정!$L$6+ROW()-1,설정!$L$37)&amp;""="0","",INDEX(원자료_시장!$A$1:$BZ$1000,설정!$L$6+ROW()-1,설정!$L$37)),"")</f>
        <v>0</v>
      </c>
      <c r="C340" s="83" t="n">
        <f aca="false">IFERROR(IF(INDEX(원자료_시장!$A$1:$BZ$1000,설정!$L$6+ROW()-1,설정!$L$25)&amp;""="0","",INDEX(원자료_시장!$A$1:$BZ$1000,설정!$L$6+ROW()-1,설정!$L$25)),"")</f>
        <v>0</v>
      </c>
      <c r="D340" s="85" t="str">
        <f aca="false">IFERROR(IF(ISNUMBER(INDEX(원자료_시장!$A$1:$BZ$1000,설정!$L$6+ROW()-1,설정!$L$26)),INDEX(원자료_시장!$A$1:$BZ$1000,설정!$L$6+ROW()-1,설정!$L$26),""),"")</f>
        <v/>
      </c>
      <c r="E340" s="97" t="str">
        <f aca="false">IFERROR(IF(ISNUMBER(INDEX(원자료_시장!$A$1:$BZ$1000,설정!$L$6+ROW()-1,설정!$L$27)),INDEX(원자료_시장!$A$1:$BZ$1000,설정!$L$6+ROW()-1,설정!$L$27),""),"")</f>
        <v/>
      </c>
      <c r="F340" s="97" t="str">
        <f aca="false">IFERROR(IF(ISNUMBER(INDEX(원자료_시장!$A$1:$BZ$1000,설정!$L$6+ROW()-1,설정!$L$28)),INDEX(원자료_시장!$A$1:$BZ$1000,설정!$L$6+ROW()-1,설정!$L$28),""),"")</f>
        <v/>
      </c>
      <c r="G340" s="97" t="str">
        <f aca="false">IFERROR(IF(ISNUMBER(INDEX(원자료_시장!$A$1:$BZ$1000,설정!$L$6+ROW()-1,설정!$L$29)),INDEX(원자료_시장!$A$1:$BZ$1000,설정!$L$6+ROW()-1,설정!$L$29),""),"")</f>
        <v/>
      </c>
      <c r="H340" s="97" t="str">
        <f aca="false">IFERROR(IF(ISNUMBER(INDEX(원자료_시장!$A$1:$BZ$1000,설정!$L$6+ROW()-1,설정!$L$30)),INDEX(원자료_시장!$A$1:$BZ$1000,설정!$L$6+ROW()-1,설정!$L$30),""),"")</f>
        <v/>
      </c>
      <c r="I340" s="97" t="str">
        <f aca="false">IFERROR(IF(ISNUMBER(INDEX(원자료_시장!$A$1:$BZ$1000,설정!$L$6+ROW()-1,설정!$L$31)),INDEX(원자료_시장!$A$1:$BZ$1000,설정!$L$6+ROW()-1,설정!$L$31),""),"")</f>
        <v/>
      </c>
      <c r="J340" s="97" t="str">
        <f aca="false">IFERROR(IF(ISNUMBER(INDEX(원자료_시장!$A$1:$BZ$1000,설정!$L$6+ROW()-1,설정!$L$32)),INDEX(원자료_시장!$A$1:$BZ$1000,설정!$L$6+ROW()-1,설정!$L$32),""),"")</f>
        <v/>
      </c>
      <c r="K340" s="85" t="str">
        <f aca="false">IFERROR(IF(ISNUMBER(INDEX(원자료_시장!$A$1:$BZ$1000,설정!$L$6+ROW()-1,설정!$L$33)),INDEX(원자료_시장!$A$1:$BZ$1000,설정!$L$6+ROW()-1,설정!$L$33),""),"")</f>
        <v/>
      </c>
      <c r="L340" s="83" t="n">
        <f aca="false">IFERROR(IF(INDEX(원자료_시장!$A$1:$BZ$1000,설정!$L$6+ROW()-1,설정!$L$34)&amp;""="0","",INDEX(원자료_시장!$A$1:$BZ$1000,설정!$L$6+ROW()-1,설정!$L$34)),"")</f>
        <v>0</v>
      </c>
      <c r="M340" s="83" t="n">
        <f aca="false">IFERROR(IF(INDEX(원자료_시장!$A$1:$BZ$1000,설정!$L$6+ROW()-1,설정!$L$35)&amp;""="0","",INDEX(원자료_시장!$A$1:$BZ$1000,설정!$L$6+ROW()-1,설정!$L$35)),"")</f>
        <v>0</v>
      </c>
      <c r="N340" s="83" t="n">
        <f aca="false">IFERROR(IF(INDEX(원자료_시장!$A$1:$BZ$1000,설정!$L$6+ROW()-1,설정!$L$36)&amp;""="0","",INDEX(원자료_시장!$A$1:$BZ$1000,설정!$L$6+ROW()-1,설정!$L$36)),"")</f>
        <v>0</v>
      </c>
      <c r="O340" s="43" t="str">
        <f aca="false">IF($A340="","",UPPER(LEFT($A340,FIND(" ",$A340&amp;" ")-1)))</f>
        <v/>
      </c>
      <c r="P340" s="43" t="str">
        <f aca="false">IF($A340="","",TRIM(RIGHT(SUBSTITUTE(TRIM($A340)," ",REPT(" ",30)),30)))</f>
        <v/>
      </c>
      <c r="Q340" s="98" t="str">
        <f aca="false">IF($A340="","",IFERROR(DATE(IF(LEN(P340)=8,2000+VALUE(RIGHT(P340,2)),VALUE(RIGHT(P340,4))),VALUE(LEFT(P340,2)),VALUE(MID(P340,4,2))),""))</f>
        <v/>
      </c>
      <c r="R340" s="89" t="n">
        <f aca="false">IF($A340="",0,IF(ISNUMBER(SEARCH("Float",$A340)),1,0))</f>
        <v>0</v>
      </c>
      <c r="S340" s="43" t="str">
        <f aca="false">IF($A340="","",TRIM(MID($A340,LEN(O340)+2,LEN($A340)-LEN(O340)-LEN(P340)-1)))</f>
        <v/>
      </c>
      <c r="T340" s="92" t="str">
        <f aca="false">IF(OR($A340="",R340=1),"",IFERROR(IF(ISNUMBER(FIND("/",S340)),IF(ISNUMBER(FIND(" ",S340)),VALUE(LEFT(S340,FIND(" ",S340)-1))+VALUE(MID(S340,FIND(" ",S340)+1,FIND("/",S340)-FIND(" ",S340)-1))/VALUE(MID(S340,FIND("/",S340)+1,9)),VALUE(LEFT(S340,FIND("/",S340)-1))/VALUE(MID(S340,FIND("/",S340)+1,9))),VALUE(S340)),""))</f>
        <v/>
      </c>
      <c r="U340" s="43" t="str">
        <f aca="false">IF(OR($A340="",NOT(ISNUMBER(Q340))),"",TEXT(Q340,"yyyymmdd")&amp;"|"&amp;IF(R340=1,"F",TEXT(T340,"0.000")))</f>
        <v/>
      </c>
      <c r="V340" s="43" t="str">
        <f aca="false">IF(U340="","",O340&amp;"|"&amp;U340)</f>
        <v/>
      </c>
      <c r="W340" s="43" t="str">
        <f aca="false">IF($A340="","",IFERROR(IF(VLOOKUP(O340,매핑!$A$4:$E$92,3,0)="","미분류",VLOOKUP(O340,매핑!$A$4:$E$92,3,0)),"미분류"))</f>
        <v/>
      </c>
      <c r="X340" s="89" t="n">
        <f aca="false">IF($A340="",0,IF(O340="T",1,0))</f>
        <v>0</v>
      </c>
      <c r="Y340" s="89" t="n">
        <f aca="false">IF($A340="",0,IF(AND(C340="USD",X340=0,ISNUMBER(E340),ISNUMBER(K340)),IF(K340&gt;=설정!$C$8,1,0),0))</f>
        <v>0</v>
      </c>
      <c r="Z340" s="43" t="str">
        <f aca="false">IF($A340="","",N340&amp;"|"&amp;L340)</f>
        <v/>
      </c>
      <c r="AA340" s="92" t="n">
        <f aca="false">IF(Y340=1,LN(K340),0)</f>
        <v>0</v>
      </c>
      <c r="AB340" s="93" t="n">
        <f aca="false">IF(Y340=1,E340,0)</f>
        <v>0</v>
      </c>
      <c r="AC340" s="89" t="n">
        <f aca="false">IF(Y340=1,COUNTIFS($Z$2:$Z$601,Z340,$Y$2:$Y$601,1),0)</f>
        <v>0</v>
      </c>
      <c r="AD340" s="89" t="n">
        <f aca="false">IF(Y340=1,COUNTIFS($N$2:$N$601,N340,$Y$2:$Y$601,1),0)</f>
        <v>0</v>
      </c>
      <c r="AE340" s="43" t="str">
        <f aca="false">IF(Y340&lt;&gt;1,"",IF(AND(AC340&gt;=설정!$C$7,ISNUMBER(MATCH(Z340,피어커브!$A:$A,0))),Z340,IF(AND(AD340&gt;=설정!$C$7,ISNUMBER(MATCH(N340&amp;"|전체",피어커브!$A:$A,0))),N340&amp;"|전체","전체|전체")))</f>
        <v/>
      </c>
      <c r="AF340" s="93" t="str">
        <f aca="false">IF(AE340="","",INDEX(피어커브!$K:$K,MATCH(AE340,피어커브!$A:$A,0)))</f>
        <v/>
      </c>
      <c r="AG340" s="93" t="str">
        <f aca="false">IF(AE340="","",INDEX(피어커브!$J:$J,MATCH(AE340,피어커브!$A:$A,0)))</f>
        <v/>
      </c>
      <c r="AH340" s="93" t="str">
        <f aca="false">IF(AE340="","",INDEX(피어커브!$L:$L,MATCH(AE340,피어커브!$A:$A,0)))</f>
        <v/>
      </c>
      <c r="AI340" s="93" t="str">
        <f aca="false">IF(AE340="","",AF340+AG340*AA340)</f>
        <v/>
      </c>
      <c r="AJ340" s="96" t="str">
        <f aca="false">IF(AE340="","",E340-AI340)</f>
        <v/>
      </c>
      <c r="AK340" s="95" t="str">
        <f aca="false">IF(AE340="","",IF(ISNUMBER(AH340),IF(AH340&gt;0,AJ340/AH340,""),""))</f>
        <v/>
      </c>
      <c r="AL340" s="43" t="str">
        <f aca="false">IF(AK340="","-",IF(AK340&gt;=설정!$C$6,"Cheap",IF(AK340&lt;=-설정!$C$6,"Rich","Fair")))</f>
        <v>-</v>
      </c>
      <c r="AM340" s="96" t="str">
        <f aca="false">IF(AE340="","",AJ340-AVERAGEIFS($AJ$2:$AJ$601,$B$2:$B$601,B340,$Y$2:$Y$601,1))</f>
        <v/>
      </c>
      <c r="AN340" s="93" t="n">
        <f aca="false">IF(AE340="",0,IF(K340&gt;1+설정!$C$8,AG340*(AA340-LN(K340-1)),0))</f>
        <v>0</v>
      </c>
      <c r="AO340" s="99" t="n">
        <f aca="false">IF($A340="",0,SUMIFS(보유분석!$AA$2:$AA$801,보유분석!$AB$2:$AB$801,ROW(),보유분석!$AC$2:$AC$801,1))</f>
        <v>0</v>
      </c>
      <c r="AP340" s="43" t="str">
        <f aca="false">IF($A340="","",TRIM(IF(R340=1,"FRN ","")&amp;IF(IFERROR(VLOOKUP(M340,설정!$A$15:$D$47,4,0),0)&gt;=10,IF(IFERROR(VLOOKUP(M340,설정!$A$15:$D$47,4,0),0)&lt;99,"BBB0미만 ",""),"")&amp;IF(OR(M340="",M340="NR"),"등급미입력 ","")&amp;IF(C340&lt;&gt;"USD","비USD ","")))</f>
        <v/>
      </c>
      <c r="AQ340" s="90" t="n">
        <f aca="false">IF(AND(Y340=1,AL340="Cheap"),IF(AND(ISERROR(SEARCH("FRN",AP340)),ISERROR(SEARCH("BBB0미만",AP340))),AK340+ROW()/1000000000,-999),-999)</f>
        <v>-999</v>
      </c>
      <c r="AR340" s="92" t="str">
        <f aca="false">IF(AND(ISNUMBER(D340),ISNUMBER(K340)),D340+AN340*MAX(K340-1,0)/100,"")</f>
        <v/>
      </c>
      <c r="AS340" s="93" t="str">
        <f aca="false">IF(AND(ISNUMBER(E340),ISNUMBER(K340)),IF(K340&gt;0,(E340+AN340*MAX(K340-1,0))/K340,""),"")</f>
        <v/>
      </c>
      <c r="AT340" s="90" t="n">
        <f aca="false">IFERROR(IF(AND(Y340=1,ROW()&lt;&gt;스왑분석!$C$12+1,ABS(K340-INDEX($K$2:$K$601,스왑분석!$C$12))&lt;=스왑분석!$C$5,ISERROR(SEARCH("FRN",AP340)),ISERROR(SEARCH("BBB0미만",AP340))),IF(AND(OR(스왑분석!$C$6="N",L340=INDEX($L$2:$L$601,스왑분석!$C$12)),OR(스왑분석!$C$7="N",N340=INDEX($N$2:$N$601,스왑분석!$C$12)),OR(스왑분석!$C$8="N",AO340=0),E340-INDEX($E$2:$E$601,스왑분석!$C$12)&gt;=스왑분석!$C$9),E340-INDEX($E$2:$E$601,스왑분석!$C$12)+ROW()/1000000000,-999),-999),-999)</f>
        <v>-999</v>
      </c>
      <c r="AU340" s="90" t="n">
        <f aca="false">IF(AND(Y340=1,AO340&gt;0,AL340="Rich"),-AK340+ROW()/1000000000,-999)</f>
        <v>-999</v>
      </c>
    </row>
    <row r="341" customFormat="false" ht="15" hidden="false" customHeight="false" outlineLevel="0" collapsed="false">
      <c r="A341" s="83" t="n">
        <f aca="false">IFERROR(IF(INDEX(원자료_시장!$A$1:$BZ$1000,설정!$L$6+ROW()-1,설정!$L$24)&amp;""="0","",INDEX(원자료_시장!$A$1:$BZ$1000,설정!$L$6+ROW()-1,설정!$L$24)),"")</f>
        <v>0</v>
      </c>
      <c r="B341" s="83" t="n">
        <f aca="false">IFERROR(IF(INDEX(원자료_시장!$A$1:$BZ$1000,설정!$L$6+ROW()-1,설정!$L$37)&amp;""="0","",INDEX(원자료_시장!$A$1:$BZ$1000,설정!$L$6+ROW()-1,설정!$L$37)),"")</f>
        <v>0</v>
      </c>
      <c r="C341" s="83" t="n">
        <f aca="false">IFERROR(IF(INDEX(원자료_시장!$A$1:$BZ$1000,설정!$L$6+ROW()-1,설정!$L$25)&amp;""="0","",INDEX(원자료_시장!$A$1:$BZ$1000,설정!$L$6+ROW()-1,설정!$L$25)),"")</f>
        <v>0</v>
      </c>
      <c r="D341" s="85" t="str">
        <f aca="false">IFERROR(IF(ISNUMBER(INDEX(원자료_시장!$A$1:$BZ$1000,설정!$L$6+ROW()-1,설정!$L$26)),INDEX(원자료_시장!$A$1:$BZ$1000,설정!$L$6+ROW()-1,설정!$L$26),""),"")</f>
        <v/>
      </c>
      <c r="E341" s="97" t="str">
        <f aca="false">IFERROR(IF(ISNUMBER(INDEX(원자료_시장!$A$1:$BZ$1000,설정!$L$6+ROW()-1,설정!$L$27)),INDEX(원자료_시장!$A$1:$BZ$1000,설정!$L$6+ROW()-1,설정!$L$27),""),"")</f>
        <v/>
      </c>
      <c r="F341" s="97" t="str">
        <f aca="false">IFERROR(IF(ISNUMBER(INDEX(원자료_시장!$A$1:$BZ$1000,설정!$L$6+ROW()-1,설정!$L$28)),INDEX(원자료_시장!$A$1:$BZ$1000,설정!$L$6+ROW()-1,설정!$L$28),""),"")</f>
        <v/>
      </c>
      <c r="G341" s="97" t="str">
        <f aca="false">IFERROR(IF(ISNUMBER(INDEX(원자료_시장!$A$1:$BZ$1000,설정!$L$6+ROW()-1,설정!$L$29)),INDEX(원자료_시장!$A$1:$BZ$1000,설정!$L$6+ROW()-1,설정!$L$29),""),"")</f>
        <v/>
      </c>
      <c r="H341" s="97" t="str">
        <f aca="false">IFERROR(IF(ISNUMBER(INDEX(원자료_시장!$A$1:$BZ$1000,설정!$L$6+ROW()-1,설정!$L$30)),INDEX(원자료_시장!$A$1:$BZ$1000,설정!$L$6+ROW()-1,설정!$L$30),""),"")</f>
        <v/>
      </c>
      <c r="I341" s="97" t="str">
        <f aca="false">IFERROR(IF(ISNUMBER(INDEX(원자료_시장!$A$1:$BZ$1000,설정!$L$6+ROW()-1,설정!$L$31)),INDEX(원자료_시장!$A$1:$BZ$1000,설정!$L$6+ROW()-1,설정!$L$31),""),"")</f>
        <v/>
      </c>
      <c r="J341" s="97" t="str">
        <f aca="false">IFERROR(IF(ISNUMBER(INDEX(원자료_시장!$A$1:$BZ$1000,설정!$L$6+ROW()-1,설정!$L$32)),INDEX(원자료_시장!$A$1:$BZ$1000,설정!$L$6+ROW()-1,설정!$L$32),""),"")</f>
        <v/>
      </c>
      <c r="K341" s="85" t="str">
        <f aca="false">IFERROR(IF(ISNUMBER(INDEX(원자료_시장!$A$1:$BZ$1000,설정!$L$6+ROW()-1,설정!$L$33)),INDEX(원자료_시장!$A$1:$BZ$1000,설정!$L$6+ROW()-1,설정!$L$33),""),"")</f>
        <v/>
      </c>
      <c r="L341" s="83" t="n">
        <f aca="false">IFERROR(IF(INDEX(원자료_시장!$A$1:$BZ$1000,설정!$L$6+ROW()-1,설정!$L$34)&amp;""="0","",INDEX(원자료_시장!$A$1:$BZ$1000,설정!$L$6+ROW()-1,설정!$L$34)),"")</f>
        <v>0</v>
      </c>
      <c r="M341" s="83" t="n">
        <f aca="false">IFERROR(IF(INDEX(원자료_시장!$A$1:$BZ$1000,설정!$L$6+ROW()-1,설정!$L$35)&amp;""="0","",INDEX(원자료_시장!$A$1:$BZ$1000,설정!$L$6+ROW()-1,설정!$L$35)),"")</f>
        <v>0</v>
      </c>
      <c r="N341" s="83" t="n">
        <f aca="false">IFERROR(IF(INDEX(원자료_시장!$A$1:$BZ$1000,설정!$L$6+ROW()-1,설정!$L$36)&amp;""="0","",INDEX(원자료_시장!$A$1:$BZ$1000,설정!$L$6+ROW()-1,설정!$L$36)),"")</f>
        <v>0</v>
      </c>
      <c r="O341" s="43" t="str">
        <f aca="false">IF($A341="","",UPPER(LEFT($A341,FIND(" ",$A341&amp;" ")-1)))</f>
        <v/>
      </c>
      <c r="P341" s="43" t="str">
        <f aca="false">IF($A341="","",TRIM(RIGHT(SUBSTITUTE(TRIM($A341)," ",REPT(" ",30)),30)))</f>
        <v/>
      </c>
      <c r="Q341" s="98" t="str">
        <f aca="false">IF($A341="","",IFERROR(DATE(IF(LEN(P341)=8,2000+VALUE(RIGHT(P341,2)),VALUE(RIGHT(P341,4))),VALUE(LEFT(P341,2)),VALUE(MID(P341,4,2))),""))</f>
        <v/>
      </c>
      <c r="R341" s="89" t="n">
        <f aca="false">IF($A341="",0,IF(ISNUMBER(SEARCH("Float",$A341)),1,0))</f>
        <v>0</v>
      </c>
      <c r="S341" s="43" t="str">
        <f aca="false">IF($A341="","",TRIM(MID($A341,LEN(O341)+2,LEN($A341)-LEN(O341)-LEN(P341)-1)))</f>
        <v/>
      </c>
      <c r="T341" s="92" t="str">
        <f aca="false">IF(OR($A341="",R341=1),"",IFERROR(IF(ISNUMBER(FIND("/",S341)),IF(ISNUMBER(FIND(" ",S341)),VALUE(LEFT(S341,FIND(" ",S341)-1))+VALUE(MID(S341,FIND(" ",S341)+1,FIND("/",S341)-FIND(" ",S341)-1))/VALUE(MID(S341,FIND("/",S341)+1,9)),VALUE(LEFT(S341,FIND("/",S341)-1))/VALUE(MID(S341,FIND("/",S341)+1,9))),VALUE(S341)),""))</f>
        <v/>
      </c>
      <c r="U341" s="43" t="str">
        <f aca="false">IF(OR($A341="",NOT(ISNUMBER(Q341))),"",TEXT(Q341,"yyyymmdd")&amp;"|"&amp;IF(R341=1,"F",TEXT(T341,"0.000")))</f>
        <v/>
      </c>
      <c r="V341" s="43" t="str">
        <f aca="false">IF(U341="","",O341&amp;"|"&amp;U341)</f>
        <v/>
      </c>
      <c r="W341" s="43" t="str">
        <f aca="false">IF($A341="","",IFERROR(IF(VLOOKUP(O341,매핑!$A$4:$E$92,3,0)="","미분류",VLOOKUP(O341,매핑!$A$4:$E$92,3,0)),"미분류"))</f>
        <v/>
      </c>
      <c r="X341" s="89" t="n">
        <f aca="false">IF($A341="",0,IF(O341="T",1,0))</f>
        <v>0</v>
      </c>
      <c r="Y341" s="89" t="n">
        <f aca="false">IF($A341="",0,IF(AND(C341="USD",X341=0,ISNUMBER(E341),ISNUMBER(K341)),IF(K341&gt;=설정!$C$8,1,0),0))</f>
        <v>0</v>
      </c>
      <c r="Z341" s="43" t="str">
        <f aca="false">IF($A341="","",N341&amp;"|"&amp;L341)</f>
        <v/>
      </c>
      <c r="AA341" s="92" t="n">
        <f aca="false">IF(Y341=1,LN(K341),0)</f>
        <v>0</v>
      </c>
      <c r="AB341" s="93" t="n">
        <f aca="false">IF(Y341=1,E341,0)</f>
        <v>0</v>
      </c>
      <c r="AC341" s="89" t="n">
        <f aca="false">IF(Y341=1,COUNTIFS($Z$2:$Z$601,Z341,$Y$2:$Y$601,1),0)</f>
        <v>0</v>
      </c>
      <c r="AD341" s="89" t="n">
        <f aca="false">IF(Y341=1,COUNTIFS($N$2:$N$601,N341,$Y$2:$Y$601,1),0)</f>
        <v>0</v>
      </c>
      <c r="AE341" s="43" t="str">
        <f aca="false">IF(Y341&lt;&gt;1,"",IF(AND(AC341&gt;=설정!$C$7,ISNUMBER(MATCH(Z341,피어커브!$A:$A,0))),Z341,IF(AND(AD341&gt;=설정!$C$7,ISNUMBER(MATCH(N341&amp;"|전체",피어커브!$A:$A,0))),N341&amp;"|전체","전체|전체")))</f>
        <v/>
      </c>
      <c r="AF341" s="93" t="str">
        <f aca="false">IF(AE341="","",INDEX(피어커브!$K:$K,MATCH(AE341,피어커브!$A:$A,0)))</f>
        <v/>
      </c>
      <c r="AG341" s="93" t="str">
        <f aca="false">IF(AE341="","",INDEX(피어커브!$J:$J,MATCH(AE341,피어커브!$A:$A,0)))</f>
        <v/>
      </c>
      <c r="AH341" s="93" t="str">
        <f aca="false">IF(AE341="","",INDEX(피어커브!$L:$L,MATCH(AE341,피어커브!$A:$A,0)))</f>
        <v/>
      </c>
      <c r="AI341" s="93" t="str">
        <f aca="false">IF(AE341="","",AF341+AG341*AA341)</f>
        <v/>
      </c>
      <c r="AJ341" s="96" t="str">
        <f aca="false">IF(AE341="","",E341-AI341)</f>
        <v/>
      </c>
      <c r="AK341" s="95" t="str">
        <f aca="false">IF(AE341="","",IF(ISNUMBER(AH341),IF(AH341&gt;0,AJ341/AH341,""),""))</f>
        <v/>
      </c>
      <c r="AL341" s="43" t="str">
        <f aca="false">IF(AK341="","-",IF(AK341&gt;=설정!$C$6,"Cheap",IF(AK341&lt;=-설정!$C$6,"Rich","Fair")))</f>
        <v>-</v>
      </c>
      <c r="AM341" s="96" t="str">
        <f aca="false">IF(AE341="","",AJ341-AVERAGEIFS($AJ$2:$AJ$601,$B$2:$B$601,B341,$Y$2:$Y$601,1))</f>
        <v/>
      </c>
      <c r="AN341" s="93" t="n">
        <f aca="false">IF(AE341="",0,IF(K341&gt;1+설정!$C$8,AG341*(AA341-LN(K341-1)),0))</f>
        <v>0</v>
      </c>
      <c r="AO341" s="99" t="n">
        <f aca="false">IF($A341="",0,SUMIFS(보유분석!$AA$2:$AA$801,보유분석!$AB$2:$AB$801,ROW(),보유분석!$AC$2:$AC$801,1))</f>
        <v>0</v>
      </c>
      <c r="AP341" s="43" t="str">
        <f aca="false">IF($A341="","",TRIM(IF(R341=1,"FRN ","")&amp;IF(IFERROR(VLOOKUP(M341,설정!$A$15:$D$47,4,0),0)&gt;=10,IF(IFERROR(VLOOKUP(M341,설정!$A$15:$D$47,4,0),0)&lt;99,"BBB0미만 ",""),"")&amp;IF(OR(M341="",M341="NR"),"등급미입력 ","")&amp;IF(C341&lt;&gt;"USD","비USD ","")))</f>
        <v/>
      </c>
      <c r="AQ341" s="90" t="n">
        <f aca="false">IF(AND(Y341=1,AL341="Cheap"),IF(AND(ISERROR(SEARCH("FRN",AP341)),ISERROR(SEARCH("BBB0미만",AP341))),AK341+ROW()/1000000000,-999),-999)</f>
        <v>-999</v>
      </c>
      <c r="AR341" s="92" t="str">
        <f aca="false">IF(AND(ISNUMBER(D341),ISNUMBER(K341)),D341+AN341*MAX(K341-1,0)/100,"")</f>
        <v/>
      </c>
      <c r="AS341" s="93" t="str">
        <f aca="false">IF(AND(ISNUMBER(E341),ISNUMBER(K341)),IF(K341&gt;0,(E341+AN341*MAX(K341-1,0))/K341,""),"")</f>
        <v/>
      </c>
      <c r="AT341" s="90" t="n">
        <f aca="false">IFERROR(IF(AND(Y341=1,ROW()&lt;&gt;스왑분석!$C$12+1,ABS(K341-INDEX($K$2:$K$601,스왑분석!$C$12))&lt;=스왑분석!$C$5,ISERROR(SEARCH("FRN",AP341)),ISERROR(SEARCH("BBB0미만",AP341))),IF(AND(OR(스왑분석!$C$6="N",L341=INDEX($L$2:$L$601,스왑분석!$C$12)),OR(스왑분석!$C$7="N",N341=INDEX($N$2:$N$601,스왑분석!$C$12)),OR(스왑분석!$C$8="N",AO341=0),E341-INDEX($E$2:$E$601,스왑분석!$C$12)&gt;=스왑분석!$C$9),E341-INDEX($E$2:$E$601,스왑분석!$C$12)+ROW()/1000000000,-999),-999),-999)</f>
        <v>-999</v>
      </c>
      <c r="AU341" s="90" t="n">
        <f aca="false">IF(AND(Y341=1,AO341&gt;0,AL341="Rich"),-AK341+ROW()/1000000000,-999)</f>
        <v>-999</v>
      </c>
    </row>
    <row r="342" customFormat="false" ht="15" hidden="false" customHeight="false" outlineLevel="0" collapsed="false">
      <c r="A342" s="83" t="n">
        <f aca="false">IFERROR(IF(INDEX(원자료_시장!$A$1:$BZ$1000,설정!$L$6+ROW()-1,설정!$L$24)&amp;""="0","",INDEX(원자료_시장!$A$1:$BZ$1000,설정!$L$6+ROW()-1,설정!$L$24)),"")</f>
        <v>0</v>
      </c>
      <c r="B342" s="83" t="n">
        <f aca="false">IFERROR(IF(INDEX(원자료_시장!$A$1:$BZ$1000,설정!$L$6+ROW()-1,설정!$L$37)&amp;""="0","",INDEX(원자료_시장!$A$1:$BZ$1000,설정!$L$6+ROW()-1,설정!$L$37)),"")</f>
        <v>0</v>
      </c>
      <c r="C342" s="83" t="n">
        <f aca="false">IFERROR(IF(INDEX(원자료_시장!$A$1:$BZ$1000,설정!$L$6+ROW()-1,설정!$L$25)&amp;""="0","",INDEX(원자료_시장!$A$1:$BZ$1000,설정!$L$6+ROW()-1,설정!$L$25)),"")</f>
        <v>0</v>
      </c>
      <c r="D342" s="85" t="str">
        <f aca="false">IFERROR(IF(ISNUMBER(INDEX(원자료_시장!$A$1:$BZ$1000,설정!$L$6+ROW()-1,설정!$L$26)),INDEX(원자료_시장!$A$1:$BZ$1000,설정!$L$6+ROW()-1,설정!$L$26),""),"")</f>
        <v/>
      </c>
      <c r="E342" s="97" t="str">
        <f aca="false">IFERROR(IF(ISNUMBER(INDEX(원자료_시장!$A$1:$BZ$1000,설정!$L$6+ROW()-1,설정!$L$27)),INDEX(원자료_시장!$A$1:$BZ$1000,설정!$L$6+ROW()-1,설정!$L$27),""),"")</f>
        <v/>
      </c>
      <c r="F342" s="97" t="str">
        <f aca="false">IFERROR(IF(ISNUMBER(INDEX(원자료_시장!$A$1:$BZ$1000,설정!$L$6+ROW()-1,설정!$L$28)),INDEX(원자료_시장!$A$1:$BZ$1000,설정!$L$6+ROW()-1,설정!$L$28),""),"")</f>
        <v/>
      </c>
      <c r="G342" s="97" t="str">
        <f aca="false">IFERROR(IF(ISNUMBER(INDEX(원자료_시장!$A$1:$BZ$1000,설정!$L$6+ROW()-1,설정!$L$29)),INDEX(원자료_시장!$A$1:$BZ$1000,설정!$L$6+ROW()-1,설정!$L$29),""),"")</f>
        <v/>
      </c>
      <c r="H342" s="97" t="str">
        <f aca="false">IFERROR(IF(ISNUMBER(INDEX(원자료_시장!$A$1:$BZ$1000,설정!$L$6+ROW()-1,설정!$L$30)),INDEX(원자료_시장!$A$1:$BZ$1000,설정!$L$6+ROW()-1,설정!$L$30),""),"")</f>
        <v/>
      </c>
      <c r="I342" s="97" t="str">
        <f aca="false">IFERROR(IF(ISNUMBER(INDEX(원자료_시장!$A$1:$BZ$1000,설정!$L$6+ROW()-1,설정!$L$31)),INDEX(원자료_시장!$A$1:$BZ$1000,설정!$L$6+ROW()-1,설정!$L$31),""),"")</f>
        <v/>
      </c>
      <c r="J342" s="97" t="str">
        <f aca="false">IFERROR(IF(ISNUMBER(INDEX(원자료_시장!$A$1:$BZ$1000,설정!$L$6+ROW()-1,설정!$L$32)),INDEX(원자료_시장!$A$1:$BZ$1000,설정!$L$6+ROW()-1,설정!$L$32),""),"")</f>
        <v/>
      </c>
      <c r="K342" s="85" t="str">
        <f aca="false">IFERROR(IF(ISNUMBER(INDEX(원자료_시장!$A$1:$BZ$1000,설정!$L$6+ROW()-1,설정!$L$33)),INDEX(원자료_시장!$A$1:$BZ$1000,설정!$L$6+ROW()-1,설정!$L$33),""),"")</f>
        <v/>
      </c>
      <c r="L342" s="83" t="n">
        <f aca="false">IFERROR(IF(INDEX(원자료_시장!$A$1:$BZ$1000,설정!$L$6+ROW()-1,설정!$L$34)&amp;""="0","",INDEX(원자료_시장!$A$1:$BZ$1000,설정!$L$6+ROW()-1,설정!$L$34)),"")</f>
        <v>0</v>
      </c>
      <c r="M342" s="83" t="n">
        <f aca="false">IFERROR(IF(INDEX(원자료_시장!$A$1:$BZ$1000,설정!$L$6+ROW()-1,설정!$L$35)&amp;""="0","",INDEX(원자료_시장!$A$1:$BZ$1000,설정!$L$6+ROW()-1,설정!$L$35)),"")</f>
        <v>0</v>
      </c>
      <c r="N342" s="83" t="n">
        <f aca="false">IFERROR(IF(INDEX(원자료_시장!$A$1:$BZ$1000,설정!$L$6+ROW()-1,설정!$L$36)&amp;""="0","",INDEX(원자료_시장!$A$1:$BZ$1000,설정!$L$6+ROW()-1,설정!$L$36)),"")</f>
        <v>0</v>
      </c>
      <c r="O342" s="43" t="str">
        <f aca="false">IF($A342="","",UPPER(LEFT($A342,FIND(" ",$A342&amp;" ")-1)))</f>
        <v/>
      </c>
      <c r="P342" s="43" t="str">
        <f aca="false">IF($A342="","",TRIM(RIGHT(SUBSTITUTE(TRIM($A342)," ",REPT(" ",30)),30)))</f>
        <v/>
      </c>
      <c r="Q342" s="98" t="str">
        <f aca="false">IF($A342="","",IFERROR(DATE(IF(LEN(P342)=8,2000+VALUE(RIGHT(P342,2)),VALUE(RIGHT(P342,4))),VALUE(LEFT(P342,2)),VALUE(MID(P342,4,2))),""))</f>
        <v/>
      </c>
      <c r="R342" s="89" t="n">
        <f aca="false">IF($A342="",0,IF(ISNUMBER(SEARCH("Float",$A342)),1,0))</f>
        <v>0</v>
      </c>
      <c r="S342" s="43" t="str">
        <f aca="false">IF($A342="","",TRIM(MID($A342,LEN(O342)+2,LEN($A342)-LEN(O342)-LEN(P342)-1)))</f>
        <v/>
      </c>
      <c r="T342" s="92" t="str">
        <f aca="false">IF(OR($A342="",R342=1),"",IFERROR(IF(ISNUMBER(FIND("/",S342)),IF(ISNUMBER(FIND(" ",S342)),VALUE(LEFT(S342,FIND(" ",S342)-1))+VALUE(MID(S342,FIND(" ",S342)+1,FIND("/",S342)-FIND(" ",S342)-1))/VALUE(MID(S342,FIND("/",S342)+1,9)),VALUE(LEFT(S342,FIND("/",S342)-1))/VALUE(MID(S342,FIND("/",S342)+1,9))),VALUE(S342)),""))</f>
        <v/>
      </c>
      <c r="U342" s="43" t="str">
        <f aca="false">IF(OR($A342="",NOT(ISNUMBER(Q342))),"",TEXT(Q342,"yyyymmdd")&amp;"|"&amp;IF(R342=1,"F",TEXT(T342,"0.000")))</f>
        <v/>
      </c>
      <c r="V342" s="43" t="str">
        <f aca="false">IF(U342="","",O342&amp;"|"&amp;U342)</f>
        <v/>
      </c>
      <c r="W342" s="43" t="str">
        <f aca="false">IF($A342="","",IFERROR(IF(VLOOKUP(O342,매핑!$A$4:$E$92,3,0)="","미분류",VLOOKUP(O342,매핑!$A$4:$E$92,3,0)),"미분류"))</f>
        <v/>
      </c>
      <c r="X342" s="89" t="n">
        <f aca="false">IF($A342="",0,IF(O342="T",1,0))</f>
        <v>0</v>
      </c>
      <c r="Y342" s="89" t="n">
        <f aca="false">IF($A342="",0,IF(AND(C342="USD",X342=0,ISNUMBER(E342),ISNUMBER(K342)),IF(K342&gt;=설정!$C$8,1,0),0))</f>
        <v>0</v>
      </c>
      <c r="Z342" s="43" t="str">
        <f aca="false">IF($A342="","",N342&amp;"|"&amp;L342)</f>
        <v/>
      </c>
      <c r="AA342" s="92" t="n">
        <f aca="false">IF(Y342=1,LN(K342),0)</f>
        <v>0</v>
      </c>
      <c r="AB342" s="93" t="n">
        <f aca="false">IF(Y342=1,E342,0)</f>
        <v>0</v>
      </c>
      <c r="AC342" s="89" t="n">
        <f aca="false">IF(Y342=1,COUNTIFS($Z$2:$Z$601,Z342,$Y$2:$Y$601,1),0)</f>
        <v>0</v>
      </c>
      <c r="AD342" s="89" t="n">
        <f aca="false">IF(Y342=1,COUNTIFS($N$2:$N$601,N342,$Y$2:$Y$601,1),0)</f>
        <v>0</v>
      </c>
      <c r="AE342" s="43" t="str">
        <f aca="false">IF(Y342&lt;&gt;1,"",IF(AND(AC342&gt;=설정!$C$7,ISNUMBER(MATCH(Z342,피어커브!$A:$A,0))),Z342,IF(AND(AD342&gt;=설정!$C$7,ISNUMBER(MATCH(N342&amp;"|전체",피어커브!$A:$A,0))),N342&amp;"|전체","전체|전체")))</f>
        <v/>
      </c>
      <c r="AF342" s="93" t="str">
        <f aca="false">IF(AE342="","",INDEX(피어커브!$K:$K,MATCH(AE342,피어커브!$A:$A,0)))</f>
        <v/>
      </c>
      <c r="AG342" s="93" t="str">
        <f aca="false">IF(AE342="","",INDEX(피어커브!$J:$J,MATCH(AE342,피어커브!$A:$A,0)))</f>
        <v/>
      </c>
      <c r="AH342" s="93" t="str">
        <f aca="false">IF(AE342="","",INDEX(피어커브!$L:$L,MATCH(AE342,피어커브!$A:$A,0)))</f>
        <v/>
      </c>
      <c r="AI342" s="93" t="str">
        <f aca="false">IF(AE342="","",AF342+AG342*AA342)</f>
        <v/>
      </c>
      <c r="AJ342" s="96" t="str">
        <f aca="false">IF(AE342="","",E342-AI342)</f>
        <v/>
      </c>
      <c r="AK342" s="95" t="str">
        <f aca="false">IF(AE342="","",IF(ISNUMBER(AH342),IF(AH342&gt;0,AJ342/AH342,""),""))</f>
        <v/>
      </c>
      <c r="AL342" s="43" t="str">
        <f aca="false">IF(AK342="","-",IF(AK342&gt;=설정!$C$6,"Cheap",IF(AK342&lt;=-설정!$C$6,"Rich","Fair")))</f>
        <v>-</v>
      </c>
      <c r="AM342" s="96" t="str">
        <f aca="false">IF(AE342="","",AJ342-AVERAGEIFS($AJ$2:$AJ$601,$B$2:$B$601,B342,$Y$2:$Y$601,1))</f>
        <v/>
      </c>
      <c r="AN342" s="93" t="n">
        <f aca="false">IF(AE342="",0,IF(K342&gt;1+설정!$C$8,AG342*(AA342-LN(K342-1)),0))</f>
        <v>0</v>
      </c>
      <c r="AO342" s="99" t="n">
        <f aca="false">IF($A342="",0,SUMIFS(보유분석!$AA$2:$AA$801,보유분석!$AB$2:$AB$801,ROW(),보유분석!$AC$2:$AC$801,1))</f>
        <v>0</v>
      </c>
      <c r="AP342" s="43" t="str">
        <f aca="false">IF($A342="","",TRIM(IF(R342=1,"FRN ","")&amp;IF(IFERROR(VLOOKUP(M342,설정!$A$15:$D$47,4,0),0)&gt;=10,IF(IFERROR(VLOOKUP(M342,설정!$A$15:$D$47,4,0),0)&lt;99,"BBB0미만 ",""),"")&amp;IF(OR(M342="",M342="NR"),"등급미입력 ","")&amp;IF(C342&lt;&gt;"USD","비USD ","")))</f>
        <v/>
      </c>
      <c r="AQ342" s="90" t="n">
        <f aca="false">IF(AND(Y342=1,AL342="Cheap"),IF(AND(ISERROR(SEARCH("FRN",AP342)),ISERROR(SEARCH("BBB0미만",AP342))),AK342+ROW()/1000000000,-999),-999)</f>
        <v>-999</v>
      </c>
      <c r="AR342" s="92" t="str">
        <f aca="false">IF(AND(ISNUMBER(D342),ISNUMBER(K342)),D342+AN342*MAX(K342-1,0)/100,"")</f>
        <v/>
      </c>
      <c r="AS342" s="93" t="str">
        <f aca="false">IF(AND(ISNUMBER(E342),ISNUMBER(K342)),IF(K342&gt;0,(E342+AN342*MAX(K342-1,0))/K342,""),"")</f>
        <v/>
      </c>
      <c r="AT342" s="90" t="n">
        <f aca="false">IFERROR(IF(AND(Y342=1,ROW()&lt;&gt;스왑분석!$C$12+1,ABS(K342-INDEX($K$2:$K$601,스왑분석!$C$12))&lt;=스왑분석!$C$5,ISERROR(SEARCH("FRN",AP342)),ISERROR(SEARCH("BBB0미만",AP342))),IF(AND(OR(스왑분석!$C$6="N",L342=INDEX($L$2:$L$601,스왑분석!$C$12)),OR(스왑분석!$C$7="N",N342=INDEX($N$2:$N$601,스왑분석!$C$12)),OR(스왑분석!$C$8="N",AO342=0),E342-INDEX($E$2:$E$601,스왑분석!$C$12)&gt;=스왑분석!$C$9),E342-INDEX($E$2:$E$601,스왑분석!$C$12)+ROW()/1000000000,-999),-999),-999)</f>
        <v>-999</v>
      </c>
      <c r="AU342" s="90" t="n">
        <f aca="false">IF(AND(Y342=1,AO342&gt;0,AL342="Rich"),-AK342+ROW()/1000000000,-999)</f>
        <v>-999</v>
      </c>
    </row>
    <row r="343" customFormat="false" ht="15" hidden="false" customHeight="false" outlineLevel="0" collapsed="false">
      <c r="A343" s="83" t="n">
        <f aca="false">IFERROR(IF(INDEX(원자료_시장!$A$1:$BZ$1000,설정!$L$6+ROW()-1,설정!$L$24)&amp;""="0","",INDEX(원자료_시장!$A$1:$BZ$1000,설정!$L$6+ROW()-1,설정!$L$24)),"")</f>
        <v>0</v>
      </c>
      <c r="B343" s="83" t="n">
        <f aca="false">IFERROR(IF(INDEX(원자료_시장!$A$1:$BZ$1000,설정!$L$6+ROW()-1,설정!$L$37)&amp;""="0","",INDEX(원자료_시장!$A$1:$BZ$1000,설정!$L$6+ROW()-1,설정!$L$37)),"")</f>
        <v>0</v>
      </c>
      <c r="C343" s="83" t="n">
        <f aca="false">IFERROR(IF(INDEX(원자료_시장!$A$1:$BZ$1000,설정!$L$6+ROW()-1,설정!$L$25)&amp;""="0","",INDEX(원자료_시장!$A$1:$BZ$1000,설정!$L$6+ROW()-1,설정!$L$25)),"")</f>
        <v>0</v>
      </c>
      <c r="D343" s="85" t="str">
        <f aca="false">IFERROR(IF(ISNUMBER(INDEX(원자료_시장!$A$1:$BZ$1000,설정!$L$6+ROW()-1,설정!$L$26)),INDEX(원자료_시장!$A$1:$BZ$1000,설정!$L$6+ROW()-1,설정!$L$26),""),"")</f>
        <v/>
      </c>
      <c r="E343" s="97" t="str">
        <f aca="false">IFERROR(IF(ISNUMBER(INDEX(원자료_시장!$A$1:$BZ$1000,설정!$L$6+ROW()-1,설정!$L$27)),INDEX(원자료_시장!$A$1:$BZ$1000,설정!$L$6+ROW()-1,설정!$L$27),""),"")</f>
        <v/>
      </c>
      <c r="F343" s="97" t="str">
        <f aca="false">IFERROR(IF(ISNUMBER(INDEX(원자료_시장!$A$1:$BZ$1000,설정!$L$6+ROW()-1,설정!$L$28)),INDEX(원자료_시장!$A$1:$BZ$1000,설정!$L$6+ROW()-1,설정!$L$28),""),"")</f>
        <v/>
      </c>
      <c r="G343" s="97" t="str">
        <f aca="false">IFERROR(IF(ISNUMBER(INDEX(원자료_시장!$A$1:$BZ$1000,설정!$L$6+ROW()-1,설정!$L$29)),INDEX(원자료_시장!$A$1:$BZ$1000,설정!$L$6+ROW()-1,설정!$L$29),""),"")</f>
        <v/>
      </c>
      <c r="H343" s="97" t="str">
        <f aca="false">IFERROR(IF(ISNUMBER(INDEX(원자료_시장!$A$1:$BZ$1000,설정!$L$6+ROW()-1,설정!$L$30)),INDEX(원자료_시장!$A$1:$BZ$1000,설정!$L$6+ROW()-1,설정!$L$30),""),"")</f>
        <v/>
      </c>
      <c r="I343" s="97" t="str">
        <f aca="false">IFERROR(IF(ISNUMBER(INDEX(원자료_시장!$A$1:$BZ$1000,설정!$L$6+ROW()-1,설정!$L$31)),INDEX(원자료_시장!$A$1:$BZ$1000,설정!$L$6+ROW()-1,설정!$L$31),""),"")</f>
        <v/>
      </c>
      <c r="J343" s="97" t="str">
        <f aca="false">IFERROR(IF(ISNUMBER(INDEX(원자료_시장!$A$1:$BZ$1000,설정!$L$6+ROW()-1,설정!$L$32)),INDEX(원자료_시장!$A$1:$BZ$1000,설정!$L$6+ROW()-1,설정!$L$32),""),"")</f>
        <v/>
      </c>
      <c r="K343" s="85" t="str">
        <f aca="false">IFERROR(IF(ISNUMBER(INDEX(원자료_시장!$A$1:$BZ$1000,설정!$L$6+ROW()-1,설정!$L$33)),INDEX(원자료_시장!$A$1:$BZ$1000,설정!$L$6+ROW()-1,설정!$L$33),""),"")</f>
        <v/>
      </c>
      <c r="L343" s="83" t="n">
        <f aca="false">IFERROR(IF(INDEX(원자료_시장!$A$1:$BZ$1000,설정!$L$6+ROW()-1,설정!$L$34)&amp;""="0","",INDEX(원자료_시장!$A$1:$BZ$1000,설정!$L$6+ROW()-1,설정!$L$34)),"")</f>
        <v>0</v>
      </c>
      <c r="M343" s="83" t="n">
        <f aca="false">IFERROR(IF(INDEX(원자료_시장!$A$1:$BZ$1000,설정!$L$6+ROW()-1,설정!$L$35)&amp;""="0","",INDEX(원자료_시장!$A$1:$BZ$1000,설정!$L$6+ROW()-1,설정!$L$35)),"")</f>
        <v>0</v>
      </c>
      <c r="N343" s="83" t="n">
        <f aca="false">IFERROR(IF(INDEX(원자료_시장!$A$1:$BZ$1000,설정!$L$6+ROW()-1,설정!$L$36)&amp;""="0","",INDEX(원자료_시장!$A$1:$BZ$1000,설정!$L$6+ROW()-1,설정!$L$36)),"")</f>
        <v>0</v>
      </c>
      <c r="O343" s="43" t="str">
        <f aca="false">IF($A343="","",UPPER(LEFT($A343,FIND(" ",$A343&amp;" ")-1)))</f>
        <v/>
      </c>
      <c r="P343" s="43" t="str">
        <f aca="false">IF($A343="","",TRIM(RIGHT(SUBSTITUTE(TRIM($A343)," ",REPT(" ",30)),30)))</f>
        <v/>
      </c>
      <c r="Q343" s="98" t="str">
        <f aca="false">IF($A343="","",IFERROR(DATE(IF(LEN(P343)=8,2000+VALUE(RIGHT(P343,2)),VALUE(RIGHT(P343,4))),VALUE(LEFT(P343,2)),VALUE(MID(P343,4,2))),""))</f>
        <v/>
      </c>
      <c r="R343" s="89" t="n">
        <f aca="false">IF($A343="",0,IF(ISNUMBER(SEARCH("Float",$A343)),1,0))</f>
        <v>0</v>
      </c>
      <c r="S343" s="43" t="str">
        <f aca="false">IF($A343="","",TRIM(MID($A343,LEN(O343)+2,LEN($A343)-LEN(O343)-LEN(P343)-1)))</f>
        <v/>
      </c>
      <c r="T343" s="92" t="str">
        <f aca="false">IF(OR($A343="",R343=1),"",IFERROR(IF(ISNUMBER(FIND("/",S343)),IF(ISNUMBER(FIND(" ",S343)),VALUE(LEFT(S343,FIND(" ",S343)-1))+VALUE(MID(S343,FIND(" ",S343)+1,FIND("/",S343)-FIND(" ",S343)-1))/VALUE(MID(S343,FIND("/",S343)+1,9)),VALUE(LEFT(S343,FIND("/",S343)-1))/VALUE(MID(S343,FIND("/",S343)+1,9))),VALUE(S343)),""))</f>
        <v/>
      </c>
      <c r="U343" s="43" t="str">
        <f aca="false">IF(OR($A343="",NOT(ISNUMBER(Q343))),"",TEXT(Q343,"yyyymmdd")&amp;"|"&amp;IF(R343=1,"F",TEXT(T343,"0.000")))</f>
        <v/>
      </c>
      <c r="V343" s="43" t="str">
        <f aca="false">IF(U343="","",O343&amp;"|"&amp;U343)</f>
        <v/>
      </c>
      <c r="W343" s="43" t="str">
        <f aca="false">IF($A343="","",IFERROR(IF(VLOOKUP(O343,매핑!$A$4:$E$92,3,0)="","미분류",VLOOKUP(O343,매핑!$A$4:$E$92,3,0)),"미분류"))</f>
        <v/>
      </c>
      <c r="X343" s="89" t="n">
        <f aca="false">IF($A343="",0,IF(O343="T",1,0))</f>
        <v>0</v>
      </c>
      <c r="Y343" s="89" t="n">
        <f aca="false">IF($A343="",0,IF(AND(C343="USD",X343=0,ISNUMBER(E343),ISNUMBER(K343)),IF(K343&gt;=설정!$C$8,1,0),0))</f>
        <v>0</v>
      </c>
      <c r="Z343" s="43" t="str">
        <f aca="false">IF($A343="","",N343&amp;"|"&amp;L343)</f>
        <v/>
      </c>
      <c r="AA343" s="92" t="n">
        <f aca="false">IF(Y343=1,LN(K343),0)</f>
        <v>0</v>
      </c>
      <c r="AB343" s="93" t="n">
        <f aca="false">IF(Y343=1,E343,0)</f>
        <v>0</v>
      </c>
      <c r="AC343" s="89" t="n">
        <f aca="false">IF(Y343=1,COUNTIFS($Z$2:$Z$601,Z343,$Y$2:$Y$601,1),0)</f>
        <v>0</v>
      </c>
      <c r="AD343" s="89" t="n">
        <f aca="false">IF(Y343=1,COUNTIFS($N$2:$N$601,N343,$Y$2:$Y$601,1),0)</f>
        <v>0</v>
      </c>
      <c r="AE343" s="43" t="str">
        <f aca="false">IF(Y343&lt;&gt;1,"",IF(AND(AC343&gt;=설정!$C$7,ISNUMBER(MATCH(Z343,피어커브!$A:$A,0))),Z343,IF(AND(AD343&gt;=설정!$C$7,ISNUMBER(MATCH(N343&amp;"|전체",피어커브!$A:$A,0))),N343&amp;"|전체","전체|전체")))</f>
        <v/>
      </c>
      <c r="AF343" s="93" t="str">
        <f aca="false">IF(AE343="","",INDEX(피어커브!$K:$K,MATCH(AE343,피어커브!$A:$A,0)))</f>
        <v/>
      </c>
      <c r="AG343" s="93" t="str">
        <f aca="false">IF(AE343="","",INDEX(피어커브!$J:$J,MATCH(AE343,피어커브!$A:$A,0)))</f>
        <v/>
      </c>
      <c r="AH343" s="93" t="str">
        <f aca="false">IF(AE343="","",INDEX(피어커브!$L:$L,MATCH(AE343,피어커브!$A:$A,0)))</f>
        <v/>
      </c>
      <c r="AI343" s="93" t="str">
        <f aca="false">IF(AE343="","",AF343+AG343*AA343)</f>
        <v/>
      </c>
      <c r="AJ343" s="96" t="str">
        <f aca="false">IF(AE343="","",E343-AI343)</f>
        <v/>
      </c>
      <c r="AK343" s="95" t="str">
        <f aca="false">IF(AE343="","",IF(ISNUMBER(AH343),IF(AH343&gt;0,AJ343/AH343,""),""))</f>
        <v/>
      </c>
      <c r="AL343" s="43" t="str">
        <f aca="false">IF(AK343="","-",IF(AK343&gt;=설정!$C$6,"Cheap",IF(AK343&lt;=-설정!$C$6,"Rich","Fair")))</f>
        <v>-</v>
      </c>
      <c r="AM343" s="96" t="str">
        <f aca="false">IF(AE343="","",AJ343-AVERAGEIFS($AJ$2:$AJ$601,$B$2:$B$601,B343,$Y$2:$Y$601,1))</f>
        <v/>
      </c>
      <c r="AN343" s="93" t="n">
        <f aca="false">IF(AE343="",0,IF(K343&gt;1+설정!$C$8,AG343*(AA343-LN(K343-1)),0))</f>
        <v>0</v>
      </c>
      <c r="AO343" s="99" t="n">
        <f aca="false">IF($A343="",0,SUMIFS(보유분석!$AA$2:$AA$801,보유분석!$AB$2:$AB$801,ROW(),보유분석!$AC$2:$AC$801,1))</f>
        <v>0</v>
      </c>
      <c r="AP343" s="43" t="str">
        <f aca="false">IF($A343="","",TRIM(IF(R343=1,"FRN ","")&amp;IF(IFERROR(VLOOKUP(M343,설정!$A$15:$D$47,4,0),0)&gt;=10,IF(IFERROR(VLOOKUP(M343,설정!$A$15:$D$47,4,0),0)&lt;99,"BBB0미만 ",""),"")&amp;IF(OR(M343="",M343="NR"),"등급미입력 ","")&amp;IF(C343&lt;&gt;"USD","비USD ","")))</f>
        <v/>
      </c>
      <c r="AQ343" s="90" t="n">
        <f aca="false">IF(AND(Y343=1,AL343="Cheap"),IF(AND(ISERROR(SEARCH("FRN",AP343)),ISERROR(SEARCH("BBB0미만",AP343))),AK343+ROW()/1000000000,-999),-999)</f>
        <v>-999</v>
      </c>
      <c r="AR343" s="92" t="str">
        <f aca="false">IF(AND(ISNUMBER(D343),ISNUMBER(K343)),D343+AN343*MAX(K343-1,0)/100,"")</f>
        <v/>
      </c>
      <c r="AS343" s="93" t="str">
        <f aca="false">IF(AND(ISNUMBER(E343),ISNUMBER(K343)),IF(K343&gt;0,(E343+AN343*MAX(K343-1,0))/K343,""),"")</f>
        <v/>
      </c>
      <c r="AT343" s="90" t="n">
        <f aca="false">IFERROR(IF(AND(Y343=1,ROW()&lt;&gt;스왑분석!$C$12+1,ABS(K343-INDEX($K$2:$K$601,스왑분석!$C$12))&lt;=스왑분석!$C$5,ISERROR(SEARCH("FRN",AP343)),ISERROR(SEARCH("BBB0미만",AP343))),IF(AND(OR(스왑분석!$C$6="N",L343=INDEX($L$2:$L$601,스왑분석!$C$12)),OR(스왑분석!$C$7="N",N343=INDEX($N$2:$N$601,스왑분석!$C$12)),OR(스왑분석!$C$8="N",AO343=0),E343-INDEX($E$2:$E$601,스왑분석!$C$12)&gt;=스왑분석!$C$9),E343-INDEX($E$2:$E$601,스왑분석!$C$12)+ROW()/1000000000,-999),-999),-999)</f>
        <v>-999</v>
      </c>
      <c r="AU343" s="90" t="n">
        <f aca="false">IF(AND(Y343=1,AO343&gt;0,AL343="Rich"),-AK343+ROW()/1000000000,-999)</f>
        <v>-999</v>
      </c>
    </row>
    <row r="344" customFormat="false" ht="15" hidden="false" customHeight="false" outlineLevel="0" collapsed="false">
      <c r="A344" s="83" t="n">
        <f aca="false">IFERROR(IF(INDEX(원자료_시장!$A$1:$BZ$1000,설정!$L$6+ROW()-1,설정!$L$24)&amp;""="0","",INDEX(원자료_시장!$A$1:$BZ$1000,설정!$L$6+ROW()-1,설정!$L$24)),"")</f>
        <v>0</v>
      </c>
      <c r="B344" s="83" t="n">
        <f aca="false">IFERROR(IF(INDEX(원자료_시장!$A$1:$BZ$1000,설정!$L$6+ROW()-1,설정!$L$37)&amp;""="0","",INDEX(원자료_시장!$A$1:$BZ$1000,설정!$L$6+ROW()-1,설정!$L$37)),"")</f>
        <v>0</v>
      </c>
      <c r="C344" s="83" t="n">
        <f aca="false">IFERROR(IF(INDEX(원자료_시장!$A$1:$BZ$1000,설정!$L$6+ROW()-1,설정!$L$25)&amp;""="0","",INDEX(원자료_시장!$A$1:$BZ$1000,설정!$L$6+ROW()-1,설정!$L$25)),"")</f>
        <v>0</v>
      </c>
      <c r="D344" s="85" t="str">
        <f aca="false">IFERROR(IF(ISNUMBER(INDEX(원자료_시장!$A$1:$BZ$1000,설정!$L$6+ROW()-1,설정!$L$26)),INDEX(원자료_시장!$A$1:$BZ$1000,설정!$L$6+ROW()-1,설정!$L$26),""),"")</f>
        <v/>
      </c>
      <c r="E344" s="97" t="str">
        <f aca="false">IFERROR(IF(ISNUMBER(INDEX(원자료_시장!$A$1:$BZ$1000,설정!$L$6+ROW()-1,설정!$L$27)),INDEX(원자료_시장!$A$1:$BZ$1000,설정!$L$6+ROW()-1,설정!$L$27),""),"")</f>
        <v/>
      </c>
      <c r="F344" s="97" t="str">
        <f aca="false">IFERROR(IF(ISNUMBER(INDEX(원자료_시장!$A$1:$BZ$1000,설정!$L$6+ROW()-1,설정!$L$28)),INDEX(원자료_시장!$A$1:$BZ$1000,설정!$L$6+ROW()-1,설정!$L$28),""),"")</f>
        <v/>
      </c>
      <c r="G344" s="97" t="str">
        <f aca="false">IFERROR(IF(ISNUMBER(INDEX(원자료_시장!$A$1:$BZ$1000,설정!$L$6+ROW()-1,설정!$L$29)),INDEX(원자료_시장!$A$1:$BZ$1000,설정!$L$6+ROW()-1,설정!$L$29),""),"")</f>
        <v/>
      </c>
      <c r="H344" s="97" t="str">
        <f aca="false">IFERROR(IF(ISNUMBER(INDEX(원자료_시장!$A$1:$BZ$1000,설정!$L$6+ROW()-1,설정!$L$30)),INDEX(원자료_시장!$A$1:$BZ$1000,설정!$L$6+ROW()-1,설정!$L$30),""),"")</f>
        <v/>
      </c>
      <c r="I344" s="97" t="str">
        <f aca="false">IFERROR(IF(ISNUMBER(INDEX(원자료_시장!$A$1:$BZ$1000,설정!$L$6+ROW()-1,설정!$L$31)),INDEX(원자료_시장!$A$1:$BZ$1000,설정!$L$6+ROW()-1,설정!$L$31),""),"")</f>
        <v/>
      </c>
      <c r="J344" s="97" t="str">
        <f aca="false">IFERROR(IF(ISNUMBER(INDEX(원자료_시장!$A$1:$BZ$1000,설정!$L$6+ROW()-1,설정!$L$32)),INDEX(원자료_시장!$A$1:$BZ$1000,설정!$L$6+ROW()-1,설정!$L$32),""),"")</f>
        <v/>
      </c>
      <c r="K344" s="85" t="str">
        <f aca="false">IFERROR(IF(ISNUMBER(INDEX(원자료_시장!$A$1:$BZ$1000,설정!$L$6+ROW()-1,설정!$L$33)),INDEX(원자료_시장!$A$1:$BZ$1000,설정!$L$6+ROW()-1,설정!$L$33),""),"")</f>
        <v/>
      </c>
      <c r="L344" s="83" t="n">
        <f aca="false">IFERROR(IF(INDEX(원자료_시장!$A$1:$BZ$1000,설정!$L$6+ROW()-1,설정!$L$34)&amp;""="0","",INDEX(원자료_시장!$A$1:$BZ$1000,설정!$L$6+ROW()-1,설정!$L$34)),"")</f>
        <v>0</v>
      </c>
      <c r="M344" s="83" t="n">
        <f aca="false">IFERROR(IF(INDEX(원자료_시장!$A$1:$BZ$1000,설정!$L$6+ROW()-1,설정!$L$35)&amp;""="0","",INDEX(원자료_시장!$A$1:$BZ$1000,설정!$L$6+ROW()-1,설정!$L$35)),"")</f>
        <v>0</v>
      </c>
      <c r="N344" s="83" t="n">
        <f aca="false">IFERROR(IF(INDEX(원자료_시장!$A$1:$BZ$1000,설정!$L$6+ROW()-1,설정!$L$36)&amp;""="0","",INDEX(원자료_시장!$A$1:$BZ$1000,설정!$L$6+ROW()-1,설정!$L$36)),"")</f>
        <v>0</v>
      </c>
      <c r="O344" s="43" t="str">
        <f aca="false">IF($A344="","",UPPER(LEFT($A344,FIND(" ",$A344&amp;" ")-1)))</f>
        <v/>
      </c>
      <c r="P344" s="43" t="str">
        <f aca="false">IF($A344="","",TRIM(RIGHT(SUBSTITUTE(TRIM($A344)," ",REPT(" ",30)),30)))</f>
        <v/>
      </c>
      <c r="Q344" s="98" t="str">
        <f aca="false">IF($A344="","",IFERROR(DATE(IF(LEN(P344)=8,2000+VALUE(RIGHT(P344,2)),VALUE(RIGHT(P344,4))),VALUE(LEFT(P344,2)),VALUE(MID(P344,4,2))),""))</f>
        <v/>
      </c>
      <c r="R344" s="89" t="n">
        <f aca="false">IF($A344="",0,IF(ISNUMBER(SEARCH("Float",$A344)),1,0))</f>
        <v>0</v>
      </c>
      <c r="S344" s="43" t="str">
        <f aca="false">IF($A344="","",TRIM(MID($A344,LEN(O344)+2,LEN($A344)-LEN(O344)-LEN(P344)-1)))</f>
        <v/>
      </c>
      <c r="T344" s="92" t="str">
        <f aca="false">IF(OR($A344="",R344=1),"",IFERROR(IF(ISNUMBER(FIND("/",S344)),IF(ISNUMBER(FIND(" ",S344)),VALUE(LEFT(S344,FIND(" ",S344)-1))+VALUE(MID(S344,FIND(" ",S344)+1,FIND("/",S344)-FIND(" ",S344)-1))/VALUE(MID(S344,FIND("/",S344)+1,9)),VALUE(LEFT(S344,FIND("/",S344)-1))/VALUE(MID(S344,FIND("/",S344)+1,9))),VALUE(S344)),""))</f>
        <v/>
      </c>
      <c r="U344" s="43" t="str">
        <f aca="false">IF(OR($A344="",NOT(ISNUMBER(Q344))),"",TEXT(Q344,"yyyymmdd")&amp;"|"&amp;IF(R344=1,"F",TEXT(T344,"0.000")))</f>
        <v/>
      </c>
      <c r="V344" s="43" t="str">
        <f aca="false">IF(U344="","",O344&amp;"|"&amp;U344)</f>
        <v/>
      </c>
      <c r="W344" s="43" t="str">
        <f aca="false">IF($A344="","",IFERROR(IF(VLOOKUP(O344,매핑!$A$4:$E$92,3,0)="","미분류",VLOOKUP(O344,매핑!$A$4:$E$92,3,0)),"미분류"))</f>
        <v/>
      </c>
      <c r="X344" s="89" t="n">
        <f aca="false">IF($A344="",0,IF(O344="T",1,0))</f>
        <v>0</v>
      </c>
      <c r="Y344" s="89" t="n">
        <f aca="false">IF($A344="",0,IF(AND(C344="USD",X344=0,ISNUMBER(E344),ISNUMBER(K344)),IF(K344&gt;=설정!$C$8,1,0),0))</f>
        <v>0</v>
      </c>
      <c r="Z344" s="43" t="str">
        <f aca="false">IF($A344="","",N344&amp;"|"&amp;L344)</f>
        <v/>
      </c>
      <c r="AA344" s="92" t="n">
        <f aca="false">IF(Y344=1,LN(K344),0)</f>
        <v>0</v>
      </c>
      <c r="AB344" s="93" t="n">
        <f aca="false">IF(Y344=1,E344,0)</f>
        <v>0</v>
      </c>
      <c r="AC344" s="89" t="n">
        <f aca="false">IF(Y344=1,COUNTIFS($Z$2:$Z$601,Z344,$Y$2:$Y$601,1),0)</f>
        <v>0</v>
      </c>
      <c r="AD344" s="89" t="n">
        <f aca="false">IF(Y344=1,COUNTIFS($N$2:$N$601,N344,$Y$2:$Y$601,1),0)</f>
        <v>0</v>
      </c>
      <c r="AE344" s="43" t="str">
        <f aca="false">IF(Y344&lt;&gt;1,"",IF(AND(AC344&gt;=설정!$C$7,ISNUMBER(MATCH(Z344,피어커브!$A:$A,0))),Z344,IF(AND(AD344&gt;=설정!$C$7,ISNUMBER(MATCH(N344&amp;"|전체",피어커브!$A:$A,0))),N344&amp;"|전체","전체|전체")))</f>
        <v/>
      </c>
      <c r="AF344" s="93" t="str">
        <f aca="false">IF(AE344="","",INDEX(피어커브!$K:$K,MATCH(AE344,피어커브!$A:$A,0)))</f>
        <v/>
      </c>
      <c r="AG344" s="93" t="str">
        <f aca="false">IF(AE344="","",INDEX(피어커브!$J:$J,MATCH(AE344,피어커브!$A:$A,0)))</f>
        <v/>
      </c>
      <c r="AH344" s="93" t="str">
        <f aca="false">IF(AE344="","",INDEX(피어커브!$L:$L,MATCH(AE344,피어커브!$A:$A,0)))</f>
        <v/>
      </c>
      <c r="AI344" s="93" t="str">
        <f aca="false">IF(AE344="","",AF344+AG344*AA344)</f>
        <v/>
      </c>
      <c r="AJ344" s="96" t="str">
        <f aca="false">IF(AE344="","",E344-AI344)</f>
        <v/>
      </c>
      <c r="AK344" s="95" t="str">
        <f aca="false">IF(AE344="","",IF(ISNUMBER(AH344),IF(AH344&gt;0,AJ344/AH344,""),""))</f>
        <v/>
      </c>
      <c r="AL344" s="43" t="str">
        <f aca="false">IF(AK344="","-",IF(AK344&gt;=설정!$C$6,"Cheap",IF(AK344&lt;=-설정!$C$6,"Rich","Fair")))</f>
        <v>-</v>
      </c>
      <c r="AM344" s="96" t="str">
        <f aca="false">IF(AE344="","",AJ344-AVERAGEIFS($AJ$2:$AJ$601,$B$2:$B$601,B344,$Y$2:$Y$601,1))</f>
        <v/>
      </c>
      <c r="AN344" s="93" t="n">
        <f aca="false">IF(AE344="",0,IF(K344&gt;1+설정!$C$8,AG344*(AA344-LN(K344-1)),0))</f>
        <v>0</v>
      </c>
      <c r="AO344" s="99" t="n">
        <f aca="false">IF($A344="",0,SUMIFS(보유분석!$AA$2:$AA$801,보유분석!$AB$2:$AB$801,ROW(),보유분석!$AC$2:$AC$801,1))</f>
        <v>0</v>
      </c>
      <c r="AP344" s="43" t="str">
        <f aca="false">IF($A344="","",TRIM(IF(R344=1,"FRN ","")&amp;IF(IFERROR(VLOOKUP(M344,설정!$A$15:$D$47,4,0),0)&gt;=10,IF(IFERROR(VLOOKUP(M344,설정!$A$15:$D$47,4,0),0)&lt;99,"BBB0미만 ",""),"")&amp;IF(OR(M344="",M344="NR"),"등급미입력 ","")&amp;IF(C344&lt;&gt;"USD","비USD ","")))</f>
        <v/>
      </c>
      <c r="AQ344" s="90" t="n">
        <f aca="false">IF(AND(Y344=1,AL344="Cheap"),IF(AND(ISERROR(SEARCH("FRN",AP344)),ISERROR(SEARCH("BBB0미만",AP344))),AK344+ROW()/1000000000,-999),-999)</f>
        <v>-999</v>
      </c>
      <c r="AR344" s="92" t="str">
        <f aca="false">IF(AND(ISNUMBER(D344),ISNUMBER(K344)),D344+AN344*MAX(K344-1,0)/100,"")</f>
        <v/>
      </c>
      <c r="AS344" s="93" t="str">
        <f aca="false">IF(AND(ISNUMBER(E344),ISNUMBER(K344)),IF(K344&gt;0,(E344+AN344*MAX(K344-1,0))/K344,""),"")</f>
        <v/>
      </c>
      <c r="AT344" s="90" t="n">
        <f aca="false">IFERROR(IF(AND(Y344=1,ROW()&lt;&gt;스왑분석!$C$12+1,ABS(K344-INDEX($K$2:$K$601,스왑분석!$C$12))&lt;=스왑분석!$C$5,ISERROR(SEARCH("FRN",AP344)),ISERROR(SEARCH("BBB0미만",AP344))),IF(AND(OR(스왑분석!$C$6="N",L344=INDEX($L$2:$L$601,스왑분석!$C$12)),OR(스왑분석!$C$7="N",N344=INDEX($N$2:$N$601,스왑분석!$C$12)),OR(스왑분석!$C$8="N",AO344=0),E344-INDEX($E$2:$E$601,스왑분석!$C$12)&gt;=스왑분석!$C$9),E344-INDEX($E$2:$E$601,스왑분석!$C$12)+ROW()/1000000000,-999),-999),-999)</f>
        <v>-999</v>
      </c>
      <c r="AU344" s="90" t="n">
        <f aca="false">IF(AND(Y344=1,AO344&gt;0,AL344="Rich"),-AK344+ROW()/1000000000,-999)</f>
        <v>-999</v>
      </c>
    </row>
    <row r="345" customFormat="false" ht="15" hidden="false" customHeight="false" outlineLevel="0" collapsed="false">
      <c r="A345" s="83" t="n">
        <f aca="false">IFERROR(IF(INDEX(원자료_시장!$A$1:$BZ$1000,설정!$L$6+ROW()-1,설정!$L$24)&amp;""="0","",INDEX(원자료_시장!$A$1:$BZ$1000,설정!$L$6+ROW()-1,설정!$L$24)),"")</f>
        <v>0</v>
      </c>
      <c r="B345" s="83" t="n">
        <f aca="false">IFERROR(IF(INDEX(원자료_시장!$A$1:$BZ$1000,설정!$L$6+ROW()-1,설정!$L$37)&amp;""="0","",INDEX(원자료_시장!$A$1:$BZ$1000,설정!$L$6+ROW()-1,설정!$L$37)),"")</f>
        <v>0</v>
      </c>
      <c r="C345" s="83" t="n">
        <f aca="false">IFERROR(IF(INDEX(원자료_시장!$A$1:$BZ$1000,설정!$L$6+ROW()-1,설정!$L$25)&amp;""="0","",INDEX(원자료_시장!$A$1:$BZ$1000,설정!$L$6+ROW()-1,설정!$L$25)),"")</f>
        <v>0</v>
      </c>
      <c r="D345" s="85" t="str">
        <f aca="false">IFERROR(IF(ISNUMBER(INDEX(원자료_시장!$A$1:$BZ$1000,설정!$L$6+ROW()-1,설정!$L$26)),INDEX(원자료_시장!$A$1:$BZ$1000,설정!$L$6+ROW()-1,설정!$L$26),""),"")</f>
        <v/>
      </c>
      <c r="E345" s="97" t="str">
        <f aca="false">IFERROR(IF(ISNUMBER(INDEX(원자료_시장!$A$1:$BZ$1000,설정!$L$6+ROW()-1,설정!$L$27)),INDEX(원자료_시장!$A$1:$BZ$1000,설정!$L$6+ROW()-1,설정!$L$27),""),"")</f>
        <v/>
      </c>
      <c r="F345" s="97" t="str">
        <f aca="false">IFERROR(IF(ISNUMBER(INDEX(원자료_시장!$A$1:$BZ$1000,설정!$L$6+ROW()-1,설정!$L$28)),INDEX(원자료_시장!$A$1:$BZ$1000,설정!$L$6+ROW()-1,설정!$L$28),""),"")</f>
        <v/>
      </c>
      <c r="G345" s="97" t="str">
        <f aca="false">IFERROR(IF(ISNUMBER(INDEX(원자료_시장!$A$1:$BZ$1000,설정!$L$6+ROW()-1,설정!$L$29)),INDEX(원자료_시장!$A$1:$BZ$1000,설정!$L$6+ROW()-1,설정!$L$29),""),"")</f>
        <v/>
      </c>
      <c r="H345" s="97" t="str">
        <f aca="false">IFERROR(IF(ISNUMBER(INDEX(원자료_시장!$A$1:$BZ$1000,설정!$L$6+ROW()-1,설정!$L$30)),INDEX(원자료_시장!$A$1:$BZ$1000,설정!$L$6+ROW()-1,설정!$L$30),""),"")</f>
        <v/>
      </c>
      <c r="I345" s="97" t="str">
        <f aca="false">IFERROR(IF(ISNUMBER(INDEX(원자료_시장!$A$1:$BZ$1000,설정!$L$6+ROW()-1,설정!$L$31)),INDEX(원자료_시장!$A$1:$BZ$1000,설정!$L$6+ROW()-1,설정!$L$31),""),"")</f>
        <v/>
      </c>
      <c r="J345" s="97" t="str">
        <f aca="false">IFERROR(IF(ISNUMBER(INDEX(원자료_시장!$A$1:$BZ$1000,설정!$L$6+ROW()-1,설정!$L$32)),INDEX(원자료_시장!$A$1:$BZ$1000,설정!$L$6+ROW()-1,설정!$L$32),""),"")</f>
        <v/>
      </c>
      <c r="K345" s="85" t="str">
        <f aca="false">IFERROR(IF(ISNUMBER(INDEX(원자료_시장!$A$1:$BZ$1000,설정!$L$6+ROW()-1,설정!$L$33)),INDEX(원자료_시장!$A$1:$BZ$1000,설정!$L$6+ROW()-1,설정!$L$33),""),"")</f>
        <v/>
      </c>
      <c r="L345" s="83" t="n">
        <f aca="false">IFERROR(IF(INDEX(원자료_시장!$A$1:$BZ$1000,설정!$L$6+ROW()-1,설정!$L$34)&amp;""="0","",INDEX(원자료_시장!$A$1:$BZ$1000,설정!$L$6+ROW()-1,설정!$L$34)),"")</f>
        <v>0</v>
      </c>
      <c r="M345" s="83" t="n">
        <f aca="false">IFERROR(IF(INDEX(원자료_시장!$A$1:$BZ$1000,설정!$L$6+ROW()-1,설정!$L$35)&amp;""="0","",INDEX(원자료_시장!$A$1:$BZ$1000,설정!$L$6+ROW()-1,설정!$L$35)),"")</f>
        <v>0</v>
      </c>
      <c r="N345" s="83" t="n">
        <f aca="false">IFERROR(IF(INDEX(원자료_시장!$A$1:$BZ$1000,설정!$L$6+ROW()-1,설정!$L$36)&amp;""="0","",INDEX(원자료_시장!$A$1:$BZ$1000,설정!$L$6+ROW()-1,설정!$L$36)),"")</f>
        <v>0</v>
      </c>
      <c r="O345" s="43" t="str">
        <f aca="false">IF($A345="","",UPPER(LEFT($A345,FIND(" ",$A345&amp;" ")-1)))</f>
        <v/>
      </c>
      <c r="P345" s="43" t="str">
        <f aca="false">IF($A345="","",TRIM(RIGHT(SUBSTITUTE(TRIM($A345)," ",REPT(" ",30)),30)))</f>
        <v/>
      </c>
      <c r="Q345" s="98" t="str">
        <f aca="false">IF($A345="","",IFERROR(DATE(IF(LEN(P345)=8,2000+VALUE(RIGHT(P345,2)),VALUE(RIGHT(P345,4))),VALUE(LEFT(P345,2)),VALUE(MID(P345,4,2))),""))</f>
        <v/>
      </c>
      <c r="R345" s="89" t="n">
        <f aca="false">IF($A345="",0,IF(ISNUMBER(SEARCH("Float",$A345)),1,0))</f>
        <v>0</v>
      </c>
      <c r="S345" s="43" t="str">
        <f aca="false">IF($A345="","",TRIM(MID($A345,LEN(O345)+2,LEN($A345)-LEN(O345)-LEN(P345)-1)))</f>
        <v/>
      </c>
      <c r="T345" s="92" t="str">
        <f aca="false">IF(OR($A345="",R345=1),"",IFERROR(IF(ISNUMBER(FIND("/",S345)),IF(ISNUMBER(FIND(" ",S345)),VALUE(LEFT(S345,FIND(" ",S345)-1))+VALUE(MID(S345,FIND(" ",S345)+1,FIND("/",S345)-FIND(" ",S345)-1))/VALUE(MID(S345,FIND("/",S345)+1,9)),VALUE(LEFT(S345,FIND("/",S345)-1))/VALUE(MID(S345,FIND("/",S345)+1,9))),VALUE(S345)),""))</f>
        <v/>
      </c>
      <c r="U345" s="43" t="str">
        <f aca="false">IF(OR($A345="",NOT(ISNUMBER(Q345))),"",TEXT(Q345,"yyyymmdd")&amp;"|"&amp;IF(R345=1,"F",TEXT(T345,"0.000")))</f>
        <v/>
      </c>
      <c r="V345" s="43" t="str">
        <f aca="false">IF(U345="","",O345&amp;"|"&amp;U345)</f>
        <v/>
      </c>
      <c r="W345" s="43" t="str">
        <f aca="false">IF($A345="","",IFERROR(IF(VLOOKUP(O345,매핑!$A$4:$E$92,3,0)="","미분류",VLOOKUP(O345,매핑!$A$4:$E$92,3,0)),"미분류"))</f>
        <v/>
      </c>
      <c r="X345" s="89" t="n">
        <f aca="false">IF($A345="",0,IF(O345="T",1,0))</f>
        <v>0</v>
      </c>
      <c r="Y345" s="89" t="n">
        <f aca="false">IF($A345="",0,IF(AND(C345="USD",X345=0,ISNUMBER(E345),ISNUMBER(K345)),IF(K345&gt;=설정!$C$8,1,0),0))</f>
        <v>0</v>
      </c>
      <c r="Z345" s="43" t="str">
        <f aca="false">IF($A345="","",N345&amp;"|"&amp;L345)</f>
        <v/>
      </c>
      <c r="AA345" s="92" t="n">
        <f aca="false">IF(Y345=1,LN(K345),0)</f>
        <v>0</v>
      </c>
      <c r="AB345" s="93" t="n">
        <f aca="false">IF(Y345=1,E345,0)</f>
        <v>0</v>
      </c>
      <c r="AC345" s="89" t="n">
        <f aca="false">IF(Y345=1,COUNTIFS($Z$2:$Z$601,Z345,$Y$2:$Y$601,1),0)</f>
        <v>0</v>
      </c>
      <c r="AD345" s="89" t="n">
        <f aca="false">IF(Y345=1,COUNTIFS($N$2:$N$601,N345,$Y$2:$Y$601,1),0)</f>
        <v>0</v>
      </c>
      <c r="AE345" s="43" t="str">
        <f aca="false">IF(Y345&lt;&gt;1,"",IF(AND(AC345&gt;=설정!$C$7,ISNUMBER(MATCH(Z345,피어커브!$A:$A,0))),Z345,IF(AND(AD345&gt;=설정!$C$7,ISNUMBER(MATCH(N345&amp;"|전체",피어커브!$A:$A,0))),N345&amp;"|전체","전체|전체")))</f>
        <v/>
      </c>
      <c r="AF345" s="93" t="str">
        <f aca="false">IF(AE345="","",INDEX(피어커브!$K:$K,MATCH(AE345,피어커브!$A:$A,0)))</f>
        <v/>
      </c>
      <c r="AG345" s="93" t="str">
        <f aca="false">IF(AE345="","",INDEX(피어커브!$J:$J,MATCH(AE345,피어커브!$A:$A,0)))</f>
        <v/>
      </c>
      <c r="AH345" s="93" t="str">
        <f aca="false">IF(AE345="","",INDEX(피어커브!$L:$L,MATCH(AE345,피어커브!$A:$A,0)))</f>
        <v/>
      </c>
      <c r="AI345" s="93" t="str">
        <f aca="false">IF(AE345="","",AF345+AG345*AA345)</f>
        <v/>
      </c>
      <c r="AJ345" s="96" t="str">
        <f aca="false">IF(AE345="","",E345-AI345)</f>
        <v/>
      </c>
      <c r="AK345" s="95" t="str">
        <f aca="false">IF(AE345="","",IF(ISNUMBER(AH345),IF(AH345&gt;0,AJ345/AH345,""),""))</f>
        <v/>
      </c>
      <c r="AL345" s="43" t="str">
        <f aca="false">IF(AK345="","-",IF(AK345&gt;=설정!$C$6,"Cheap",IF(AK345&lt;=-설정!$C$6,"Rich","Fair")))</f>
        <v>-</v>
      </c>
      <c r="AM345" s="96" t="str">
        <f aca="false">IF(AE345="","",AJ345-AVERAGEIFS($AJ$2:$AJ$601,$B$2:$B$601,B345,$Y$2:$Y$601,1))</f>
        <v/>
      </c>
      <c r="AN345" s="93" t="n">
        <f aca="false">IF(AE345="",0,IF(K345&gt;1+설정!$C$8,AG345*(AA345-LN(K345-1)),0))</f>
        <v>0</v>
      </c>
      <c r="AO345" s="99" t="n">
        <f aca="false">IF($A345="",0,SUMIFS(보유분석!$AA$2:$AA$801,보유분석!$AB$2:$AB$801,ROW(),보유분석!$AC$2:$AC$801,1))</f>
        <v>0</v>
      </c>
      <c r="AP345" s="43" t="str">
        <f aca="false">IF($A345="","",TRIM(IF(R345=1,"FRN ","")&amp;IF(IFERROR(VLOOKUP(M345,설정!$A$15:$D$47,4,0),0)&gt;=10,IF(IFERROR(VLOOKUP(M345,설정!$A$15:$D$47,4,0),0)&lt;99,"BBB0미만 ",""),"")&amp;IF(OR(M345="",M345="NR"),"등급미입력 ","")&amp;IF(C345&lt;&gt;"USD","비USD ","")))</f>
        <v/>
      </c>
      <c r="AQ345" s="90" t="n">
        <f aca="false">IF(AND(Y345=1,AL345="Cheap"),IF(AND(ISERROR(SEARCH("FRN",AP345)),ISERROR(SEARCH("BBB0미만",AP345))),AK345+ROW()/1000000000,-999),-999)</f>
        <v>-999</v>
      </c>
      <c r="AR345" s="92" t="str">
        <f aca="false">IF(AND(ISNUMBER(D345),ISNUMBER(K345)),D345+AN345*MAX(K345-1,0)/100,"")</f>
        <v/>
      </c>
      <c r="AS345" s="93" t="str">
        <f aca="false">IF(AND(ISNUMBER(E345),ISNUMBER(K345)),IF(K345&gt;0,(E345+AN345*MAX(K345-1,0))/K345,""),"")</f>
        <v/>
      </c>
      <c r="AT345" s="90" t="n">
        <f aca="false">IFERROR(IF(AND(Y345=1,ROW()&lt;&gt;스왑분석!$C$12+1,ABS(K345-INDEX($K$2:$K$601,스왑분석!$C$12))&lt;=스왑분석!$C$5,ISERROR(SEARCH("FRN",AP345)),ISERROR(SEARCH("BBB0미만",AP345))),IF(AND(OR(스왑분석!$C$6="N",L345=INDEX($L$2:$L$601,스왑분석!$C$12)),OR(스왑분석!$C$7="N",N345=INDEX($N$2:$N$601,스왑분석!$C$12)),OR(스왑분석!$C$8="N",AO345=0),E345-INDEX($E$2:$E$601,스왑분석!$C$12)&gt;=스왑분석!$C$9),E345-INDEX($E$2:$E$601,스왑분석!$C$12)+ROW()/1000000000,-999),-999),-999)</f>
        <v>-999</v>
      </c>
      <c r="AU345" s="90" t="n">
        <f aca="false">IF(AND(Y345=1,AO345&gt;0,AL345="Rich"),-AK345+ROW()/1000000000,-999)</f>
        <v>-999</v>
      </c>
    </row>
    <row r="346" customFormat="false" ht="15" hidden="false" customHeight="false" outlineLevel="0" collapsed="false">
      <c r="A346" s="83" t="n">
        <f aca="false">IFERROR(IF(INDEX(원자료_시장!$A$1:$BZ$1000,설정!$L$6+ROW()-1,설정!$L$24)&amp;""="0","",INDEX(원자료_시장!$A$1:$BZ$1000,설정!$L$6+ROW()-1,설정!$L$24)),"")</f>
        <v>0</v>
      </c>
      <c r="B346" s="83" t="n">
        <f aca="false">IFERROR(IF(INDEX(원자료_시장!$A$1:$BZ$1000,설정!$L$6+ROW()-1,설정!$L$37)&amp;""="0","",INDEX(원자료_시장!$A$1:$BZ$1000,설정!$L$6+ROW()-1,설정!$L$37)),"")</f>
        <v>0</v>
      </c>
      <c r="C346" s="83" t="n">
        <f aca="false">IFERROR(IF(INDEX(원자료_시장!$A$1:$BZ$1000,설정!$L$6+ROW()-1,설정!$L$25)&amp;""="0","",INDEX(원자료_시장!$A$1:$BZ$1000,설정!$L$6+ROW()-1,설정!$L$25)),"")</f>
        <v>0</v>
      </c>
      <c r="D346" s="85" t="str">
        <f aca="false">IFERROR(IF(ISNUMBER(INDEX(원자료_시장!$A$1:$BZ$1000,설정!$L$6+ROW()-1,설정!$L$26)),INDEX(원자료_시장!$A$1:$BZ$1000,설정!$L$6+ROW()-1,설정!$L$26),""),"")</f>
        <v/>
      </c>
      <c r="E346" s="97" t="str">
        <f aca="false">IFERROR(IF(ISNUMBER(INDEX(원자료_시장!$A$1:$BZ$1000,설정!$L$6+ROW()-1,설정!$L$27)),INDEX(원자료_시장!$A$1:$BZ$1000,설정!$L$6+ROW()-1,설정!$L$27),""),"")</f>
        <v/>
      </c>
      <c r="F346" s="97" t="str">
        <f aca="false">IFERROR(IF(ISNUMBER(INDEX(원자료_시장!$A$1:$BZ$1000,설정!$L$6+ROW()-1,설정!$L$28)),INDEX(원자료_시장!$A$1:$BZ$1000,설정!$L$6+ROW()-1,설정!$L$28),""),"")</f>
        <v/>
      </c>
      <c r="G346" s="97" t="str">
        <f aca="false">IFERROR(IF(ISNUMBER(INDEX(원자료_시장!$A$1:$BZ$1000,설정!$L$6+ROW()-1,설정!$L$29)),INDEX(원자료_시장!$A$1:$BZ$1000,설정!$L$6+ROW()-1,설정!$L$29),""),"")</f>
        <v/>
      </c>
      <c r="H346" s="97" t="str">
        <f aca="false">IFERROR(IF(ISNUMBER(INDEX(원자료_시장!$A$1:$BZ$1000,설정!$L$6+ROW()-1,설정!$L$30)),INDEX(원자료_시장!$A$1:$BZ$1000,설정!$L$6+ROW()-1,설정!$L$30),""),"")</f>
        <v/>
      </c>
      <c r="I346" s="97" t="str">
        <f aca="false">IFERROR(IF(ISNUMBER(INDEX(원자료_시장!$A$1:$BZ$1000,설정!$L$6+ROW()-1,설정!$L$31)),INDEX(원자료_시장!$A$1:$BZ$1000,설정!$L$6+ROW()-1,설정!$L$31),""),"")</f>
        <v/>
      </c>
      <c r="J346" s="97" t="str">
        <f aca="false">IFERROR(IF(ISNUMBER(INDEX(원자료_시장!$A$1:$BZ$1000,설정!$L$6+ROW()-1,설정!$L$32)),INDEX(원자료_시장!$A$1:$BZ$1000,설정!$L$6+ROW()-1,설정!$L$32),""),"")</f>
        <v/>
      </c>
      <c r="K346" s="85" t="str">
        <f aca="false">IFERROR(IF(ISNUMBER(INDEX(원자료_시장!$A$1:$BZ$1000,설정!$L$6+ROW()-1,설정!$L$33)),INDEX(원자료_시장!$A$1:$BZ$1000,설정!$L$6+ROW()-1,설정!$L$33),""),"")</f>
        <v/>
      </c>
      <c r="L346" s="83" t="n">
        <f aca="false">IFERROR(IF(INDEX(원자료_시장!$A$1:$BZ$1000,설정!$L$6+ROW()-1,설정!$L$34)&amp;""="0","",INDEX(원자료_시장!$A$1:$BZ$1000,설정!$L$6+ROW()-1,설정!$L$34)),"")</f>
        <v>0</v>
      </c>
      <c r="M346" s="83" t="n">
        <f aca="false">IFERROR(IF(INDEX(원자료_시장!$A$1:$BZ$1000,설정!$L$6+ROW()-1,설정!$L$35)&amp;""="0","",INDEX(원자료_시장!$A$1:$BZ$1000,설정!$L$6+ROW()-1,설정!$L$35)),"")</f>
        <v>0</v>
      </c>
      <c r="N346" s="83" t="n">
        <f aca="false">IFERROR(IF(INDEX(원자료_시장!$A$1:$BZ$1000,설정!$L$6+ROW()-1,설정!$L$36)&amp;""="0","",INDEX(원자료_시장!$A$1:$BZ$1000,설정!$L$6+ROW()-1,설정!$L$36)),"")</f>
        <v>0</v>
      </c>
      <c r="O346" s="43" t="str">
        <f aca="false">IF($A346="","",UPPER(LEFT($A346,FIND(" ",$A346&amp;" ")-1)))</f>
        <v/>
      </c>
      <c r="P346" s="43" t="str">
        <f aca="false">IF($A346="","",TRIM(RIGHT(SUBSTITUTE(TRIM($A346)," ",REPT(" ",30)),30)))</f>
        <v/>
      </c>
      <c r="Q346" s="98" t="str">
        <f aca="false">IF($A346="","",IFERROR(DATE(IF(LEN(P346)=8,2000+VALUE(RIGHT(P346,2)),VALUE(RIGHT(P346,4))),VALUE(LEFT(P346,2)),VALUE(MID(P346,4,2))),""))</f>
        <v/>
      </c>
      <c r="R346" s="89" t="n">
        <f aca="false">IF($A346="",0,IF(ISNUMBER(SEARCH("Float",$A346)),1,0))</f>
        <v>0</v>
      </c>
      <c r="S346" s="43" t="str">
        <f aca="false">IF($A346="","",TRIM(MID($A346,LEN(O346)+2,LEN($A346)-LEN(O346)-LEN(P346)-1)))</f>
        <v/>
      </c>
      <c r="T346" s="92" t="str">
        <f aca="false">IF(OR($A346="",R346=1),"",IFERROR(IF(ISNUMBER(FIND("/",S346)),IF(ISNUMBER(FIND(" ",S346)),VALUE(LEFT(S346,FIND(" ",S346)-1))+VALUE(MID(S346,FIND(" ",S346)+1,FIND("/",S346)-FIND(" ",S346)-1))/VALUE(MID(S346,FIND("/",S346)+1,9)),VALUE(LEFT(S346,FIND("/",S346)-1))/VALUE(MID(S346,FIND("/",S346)+1,9))),VALUE(S346)),""))</f>
        <v/>
      </c>
      <c r="U346" s="43" t="str">
        <f aca="false">IF(OR($A346="",NOT(ISNUMBER(Q346))),"",TEXT(Q346,"yyyymmdd")&amp;"|"&amp;IF(R346=1,"F",TEXT(T346,"0.000")))</f>
        <v/>
      </c>
      <c r="V346" s="43" t="str">
        <f aca="false">IF(U346="","",O346&amp;"|"&amp;U346)</f>
        <v/>
      </c>
      <c r="W346" s="43" t="str">
        <f aca="false">IF($A346="","",IFERROR(IF(VLOOKUP(O346,매핑!$A$4:$E$92,3,0)="","미분류",VLOOKUP(O346,매핑!$A$4:$E$92,3,0)),"미분류"))</f>
        <v/>
      </c>
      <c r="X346" s="89" t="n">
        <f aca="false">IF($A346="",0,IF(O346="T",1,0))</f>
        <v>0</v>
      </c>
      <c r="Y346" s="89" t="n">
        <f aca="false">IF($A346="",0,IF(AND(C346="USD",X346=0,ISNUMBER(E346),ISNUMBER(K346)),IF(K346&gt;=설정!$C$8,1,0),0))</f>
        <v>0</v>
      </c>
      <c r="Z346" s="43" t="str">
        <f aca="false">IF($A346="","",N346&amp;"|"&amp;L346)</f>
        <v/>
      </c>
      <c r="AA346" s="92" t="n">
        <f aca="false">IF(Y346=1,LN(K346),0)</f>
        <v>0</v>
      </c>
      <c r="AB346" s="93" t="n">
        <f aca="false">IF(Y346=1,E346,0)</f>
        <v>0</v>
      </c>
      <c r="AC346" s="89" t="n">
        <f aca="false">IF(Y346=1,COUNTIFS($Z$2:$Z$601,Z346,$Y$2:$Y$601,1),0)</f>
        <v>0</v>
      </c>
      <c r="AD346" s="89" t="n">
        <f aca="false">IF(Y346=1,COUNTIFS($N$2:$N$601,N346,$Y$2:$Y$601,1),0)</f>
        <v>0</v>
      </c>
      <c r="AE346" s="43" t="str">
        <f aca="false">IF(Y346&lt;&gt;1,"",IF(AND(AC346&gt;=설정!$C$7,ISNUMBER(MATCH(Z346,피어커브!$A:$A,0))),Z346,IF(AND(AD346&gt;=설정!$C$7,ISNUMBER(MATCH(N346&amp;"|전체",피어커브!$A:$A,0))),N346&amp;"|전체","전체|전체")))</f>
        <v/>
      </c>
      <c r="AF346" s="93" t="str">
        <f aca="false">IF(AE346="","",INDEX(피어커브!$K:$K,MATCH(AE346,피어커브!$A:$A,0)))</f>
        <v/>
      </c>
      <c r="AG346" s="93" t="str">
        <f aca="false">IF(AE346="","",INDEX(피어커브!$J:$J,MATCH(AE346,피어커브!$A:$A,0)))</f>
        <v/>
      </c>
      <c r="AH346" s="93" t="str">
        <f aca="false">IF(AE346="","",INDEX(피어커브!$L:$L,MATCH(AE346,피어커브!$A:$A,0)))</f>
        <v/>
      </c>
      <c r="AI346" s="93" t="str">
        <f aca="false">IF(AE346="","",AF346+AG346*AA346)</f>
        <v/>
      </c>
      <c r="AJ346" s="96" t="str">
        <f aca="false">IF(AE346="","",E346-AI346)</f>
        <v/>
      </c>
      <c r="AK346" s="95" t="str">
        <f aca="false">IF(AE346="","",IF(ISNUMBER(AH346),IF(AH346&gt;0,AJ346/AH346,""),""))</f>
        <v/>
      </c>
      <c r="AL346" s="43" t="str">
        <f aca="false">IF(AK346="","-",IF(AK346&gt;=설정!$C$6,"Cheap",IF(AK346&lt;=-설정!$C$6,"Rich","Fair")))</f>
        <v>-</v>
      </c>
      <c r="AM346" s="96" t="str">
        <f aca="false">IF(AE346="","",AJ346-AVERAGEIFS($AJ$2:$AJ$601,$B$2:$B$601,B346,$Y$2:$Y$601,1))</f>
        <v/>
      </c>
      <c r="AN346" s="93" t="n">
        <f aca="false">IF(AE346="",0,IF(K346&gt;1+설정!$C$8,AG346*(AA346-LN(K346-1)),0))</f>
        <v>0</v>
      </c>
      <c r="AO346" s="99" t="n">
        <f aca="false">IF($A346="",0,SUMIFS(보유분석!$AA$2:$AA$801,보유분석!$AB$2:$AB$801,ROW(),보유분석!$AC$2:$AC$801,1))</f>
        <v>0</v>
      </c>
      <c r="AP346" s="43" t="str">
        <f aca="false">IF($A346="","",TRIM(IF(R346=1,"FRN ","")&amp;IF(IFERROR(VLOOKUP(M346,설정!$A$15:$D$47,4,0),0)&gt;=10,IF(IFERROR(VLOOKUP(M346,설정!$A$15:$D$47,4,0),0)&lt;99,"BBB0미만 ",""),"")&amp;IF(OR(M346="",M346="NR"),"등급미입력 ","")&amp;IF(C346&lt;&gt;"USD","비USD ","")))</f>
        <v/>
      </c>
      <c r="AQ346" s="90" t="n">
        <f aca="false">IF(AND(Y346=1,AL346="Cheap"),IF(AND(ISERROR(SEARCH("FRN",AP346)),ISERROR(SEARCH("BBB0미만",AP346))),AK346+ROW()/1000000000,-999),-999)</f>
        <v>-999</v>
      </c>
      <c r="AR346" s="92" t="str">
        <f aca="false">IF(AND(ISNUMBER(D346),ISNUMBER(K346)),D346+AN346*MAX(K346-1,0)/100,"")</f>
        <v/>
      </c>
      <c r="AS346" s="93" t="str">
        <f aca="false">IF(AND(ISNUMBER(E346),ISNUMBER(K346)),IF(K346&gt;0,(E346+AN346*MAX(K346-1,0))/K346,""),"")</f>
        <v/>
      </c>
      <c r="AT346" s="90" t="n">
        <f aca="false">IFERROR(IF(AND(Y346=1,ROW()&lt;&gt;스왑분석!$C$12+1,ABS(K346-INDEX($K$2:$K$601,스왑분석!$C$12))&lt;=스왑분석!$C$5,ISERROR(SEARCH("FRN",AP346)),ISERROR(SEARCH("BBB0미만",AP346))),IF(AND(OR(스왑분석!$C$6="N",L346=INDEX($L$2:$L$601,스왑분석!$C$12)),OR(스왑분석!$C$7="N",N346=INDEX($N$2:$N$601,스왑분석!$C$12)),OR(스왑분석!$C$8="N",AO346=0),E346-INDEX($E$2:$E$601,스왑분석!$C$12)&gt;=스왑분석!$C$9),E346-INDEX($E$2:$E$601,스왑분석!$C$12)+ROW()/1000000000,-999),-999),-999)</f>
        <v>-999</v>
      </c>
      <c r="AU346" s="90" t="n">
        <f aca="false">IF(AND(Y346=1,AO346&gt;0,AL346="Rich"),-AK346+ROW()/1000000000,-999)</f>
        <v>-999</v>
      </c>
    </row>
    <row r="347" customFormat="false" ht="15" hidden="false" customHeight="false" outlineLevel="0" collapsed="false">
      <c r="A347" s="83" t="n">
        <f aca="false">IFERROR(IF(INDEX(원자료_시장!$A$1:$BZ$1000,설정!$L$6+ROW()-1,설정!$L$24)&amp;""="0","",INDEX(원자료_시장!$A$1:$BZ$1000,설정!$L$6+ROW()-1,설정!$L$24)),"")</f>
        <v>0</v>
      </c>
      <c r="B347" s="83" t="n">
        <f aca="false">IFERROR(IF(INDEX(원자료_시장!$A$1:$BZ$1000,설정!$L$6+ROW()-1,설정!$L$37)&amp;""="0","",INDEX(원자료_시장!$A$1:$BZ$1000,설정!$L$6+ROW()-1,설정!$L$37)),"")</f>
        <v>0</v>
      </c>
      <c r="C347" s="83" t="n">
        <f aca="false">IFERROR(IF(INDEX(원자료_시장!$A$1:$BZ$1000,설정!$L$6+ROW()-1,설정!$L$25)&amp;""="0","",INDEX(원자료_시장!$A$1:$BZ$1000,설정!$L$6+ROW()-1,설정!$L$25)),"")</f>
        <v>0</v>
      </c>
      <c r="D347" s="85" t="str">
        <f aca="false">IFERROR(IF(ISNUMBER(INDEX(원자료_시장!$A$1:$BZ$1000,설정!$L$6+ROW()-1,설정!$L$26)),INDEX(원자료_시장!$A$1:$BZ$1000,설정!$L$6+ROW()-1,설정!$L$26),""),"")</f>
        <v/>
      </c>
      <c r="E347" s="97" t="str">
        <f aca="false">IFERROR(IF(ISNUMBER(INDEX(원자료_시장!$A$1:$BZ$1000,설정!$L$6+ROW()-1,설정!$L$27)),INDEX(원자료_시장!$A$1:$BZ$1000,설정!$L$6+ROW()-1,설정!$L$27),""),"")</f>
        <v/>
      </c>
      <c r="F347" s="97" t="str">
        <f aca="false">IFERROR(IF(ISNUMBER(INDEX(원자료_시장!$A$1:$BZ$1000,설정!$L$6+ROW()-1,설정!$L$28)),INDEX(원자료_시장!$A$1:$BZ$1000,설정!$L$6+ROW()-1,설정!$L$28),""),"")</f>
        <v/>
      </c>
      <c r="G347" s="97" t="str">
        <f aca="false">IFERROR(IF(ISNUMBER(INDEX(원자료_시장!$A$1:$BZ$1000,설정!$L$6+ROW()-1,설정!$L$29)),INDEX(원자료_시장!$A$1:$BZ$1000,설정!$L$6+ROW()-1,설정!$L$29),""),"")</f>
        <v/>
      </c>
      <c r="H347" s="97" t="str">
        <f aca="false">IFERROR(IF(ISNUMBER(INDEX(원자료_시장!$A$1:$BZ$1000,설정!$L$6+ROW()-1,설정!$L$30)),INDEX(원자료_시장!$A$1:$BZ$1000,설정!$L$6+ROW()-1,설정!$L$30),""),"")</f>
        <v/>
      </c>
      <c r="I347" s="97" t="str">
        <f aca="false">IFERROR(IF(ISNUMBER(INDEX(원자료_시장!$A$1:$BZ$1000,설정!$L$6+ROW()-1,설정!$L$31)),INDEX(원자료_시장!$A$1:$BZ$1000,설정!$L$6+ROW()-1,설정!$L$31),""),"")</f>
        <v/>
      </c>
      <c r="J347" s="97" t="str">
        <f aca="false">IFERROR(IF(ISNUMBER(INDEX(원자료_시장!$A$1:$BZ$1000,설정!$L$6+ROW()-1,설정!$L$32)),INDEX(원자료_시장!$A$1:$BZ$1000,설정!$L$6+ROW()-1,설정!$L$32),""),"")</f>
        <v/>
      </c>
      <c r="K347" s="85" t="str">
        <f aca="false">IFERROR(IF(ISNUMBER(INDEX(원자료_시장!$A$1:$BZ$1000,설정!$L$6+ROW()-1,설정!$L$33)),INDEX(원자료_시장!$A$1:$BZ$1000,설정!$L$6+ROW()-1,설정!$L$33),""),"")</f>
        <v/>
      </c>
      <c r="L347" s="83" t="n">
        <f aca="false">IFERROR(IF(INDEX(원자료_시장!$A$1:$BZ$1000,설정!$L$6+ROW()-1,설정!$L$34)&amp;""="0","",INDEX(원자료_시장!$A$1:$BZ$1000,설정!$L$6+ROW()-1,설정!$L$34)),"")</f>
        <v>0</v>
      </c>
      <c r="M347" s="83" t="n">
        <f aca="false">IFERROR(IF(INDEX(원자료_시장!$A$1:$BZ$1000,설정!$L$6+ROW()-1,설정!$L$35)&amp;""="0","",INDEX(원자료_시장!$A$1:$BZ$1000,설정!$L$6+ROW()-1,설정!$L$35)),"")</f>
        <v>0</v>
      </c>
      <c r="N347" s="83" t="n">
        <f aca="false">IFERROR(IF(INDEX(원자료_시장!$A$1:$BZ$1000,설정!$L$6+ROW()-1,설정!$L$36)&amp;""="0","",INDEX(원자료_시장!$A$1:$BZ$1000,설정!$L$6+ROW()-1,설정!$L$36)),"")</f>
        <v>0</v>
      </c>
      <c r="O347" s="43" t="str">
        <f aca="false">IF($A347="","",UPPER(LEFT($A347,FIND(" ",$A347&amp;" ")-1)))</f>
        <v/>
      </c>
      <c r="P347" s="43" t="str">
        <f aca="false">IF($A347="","",TRIM(RIGHT(SUBSTITUTE(TRIM($A347)," ",REPT(" ",30)),30)))</f>
        <v/>
      </c>
      <c r="Q347" s="98" t="str">
        <f aca="false">IF($A347="","",IFERROR(DATE(IF(LEN(P347)=8,2000+VALUE(RIGHT(P347,2)),VALUE(RIGHT(P347,4))),VALUE(LEFT(P347,2)),VALUE(MID(P347,4,2))),""))</f>
        <v/>
      </c>
      <c r="R347" s="89" t="n">
        <f aca="false">IF($A347="",0,IF(ISNUMBER(SEARCH("Float",$A347)),1,0))</f>
        <v>0</v>
      </c>
      <c r="S347" s="43" t="str">
        <f aca="false">IF($A347="","",TRIM(MID($A347,LEN(O347)+2,LEN($A347)-LEN(O347)-LEN(P347)-1)))</f>
        <v/>
      </c>
      <c r="T347" s="92" t="str">
        <f aca="false">IF(OR($A347="",R347=1),"",IFERROR(IF(ISNUMBER(FIND("/",S347)),IF(ISNUMBER(FIND(" ",S347)),VALUE(LEFT(S347,FIND(" ",S347)-1))+VALUE(MID(S347,FIND(" ",S347)+1,FIND("/",S347)-FIND(" ",S347)-1))/VALUE(MID(S347,FIND("/",S347)+1,9)),VALUE(LEFT(S347,FIND("/",S347)-1))/VALUE(MID(S347,FIND("/",S347)+1,9))),VALUE(S347)),""))</f>
        <v/>
      </c>
      <c r="U347" s="43" t="str">
        <f aca="false">IF(OR($A347="",NOT(ISNUMBER(Q347))),"",TEXT(Q347,"yyyymmdd")&amp;"|"&amp;IF(R347=1,"F",TEXT(T347,"0.000")))</f>
        <v/>
      </c>
      <c r="V347" s="43" t="str">
        <f aca="false">IF(U347="","",O347&amp;"|"&amp;U347)</f>
        <v/>
      </c>
      <c r="W347" s="43" t="str">
        <f aca="false">IF($A347="","",IFERROR(IF(VLOOKUP(O347,매핑!$A$4:$E$92,3,0)="","미분류",VLOOKUP(O347,매핑!$A$4:$E$92,3,0)),"미분류"))</f>
        <v/>
      </c>
      <c r="X347" s="89" t="n">
        <f aca="false">IF($A347="",0,IF(O347="T",1,0))</f>
        <v>0</v>
      </c>
      <c r="Y347" s="89" t="n">
        <f aca="false">IF($A347="",0,IF(AND(C347="USD",X347=0,ISNUMBER(E347),ISNUMBER(K347)),IF(K347&gt;=설정!$C$8,1,0),0))</f>
        <v>0</v>
      </c>
      <c r="Z347" s="43" t="str">
        <f aca="false">IF($A347="","",N347&amp;"|"&amp;L347)</f>
        <v/>
      </c>
      <c r="AA347" s="92" t="n">
        <f aca="false">IF(Y347=1,LN(K347),0)</f>
        <v>0</v>
      </c>
      <c r="AB347" s="93" t="n">
        <f aca="false">IF(Y347=1,E347,0)</f>
        <v>0</v>
      </c>
      <c r="AC347" s="89" t="n">
        <f aca="false">IF(Y347=1,COUNTIFS($Z$2:$Z$601,Z347,$Y$2:$Y$601,1),0)</f>
        <v>0</v>
      </c>
      <c r="AD347" s="89" t="n">
        <f aca="false">IF(Y347=1,COUNTIFS($N$2:$N$601,N347,$Y$2:$Y$601,1),0)</f>
        <v>0</v>
      </c>
      <c r="AE347" s="43" t="str">
        <f aca="false">IF(Y347&lt;&gt;1,"",IF(AND(AC347&gt;=설정!$C$7,ISNUMBER(MATCH(Z347,피어커브!$A:$A,0))),Z347,IF(AND(AD347&gt;=설정!$C$7,ISNUMBER(MATCH(N347&amp;"|전체",피어커브!$A:$A,0))),N347&amp;"|전체","전체|전체")))</f>
        <v/>
      </c>
      <c r="AF347" s="93" t="str">
        <f aca="false">IF(AE347="","",INDEX(피어커브!$K:$K,MATCH(AE347,피어커브!$A:$A,0)))</f>
        <v/>
      </c>
      <c r="AG347" s="93" t="str">
        <f aca="false">IF(AE347="","",INDEX(피어커브!$J:$J,MATCH(AE347,피어커브!$A:$A,0)))</f>
        <v/>
      </c>
      <c r="AH347" s="93" t="str">
        <f aca="false">IF(AE347="","",INDEX(피어커브!$L:$L,MATCH(AE347,피어커브!$A:$A,0)))</f>
        <v/>
      </c>
      <c r="AI347" s="93" t="str">
        <f aca="false">IF(AE347="","",AF347+AG347*AA347)</f>
        <v/>
      </c>
      <c r="AJ347" s="96" t="str">
        <f aca="false">IF(AE347="","",E347-AI347)</f>
        <v/>
      </c>
      <c r="AK347" s="95" t="str">
        <f aca="false">IF(AE347="","",IF(ISNUMBER(AH347),IF(AH347&gt;0,AJ347/AH347,""),""))</f>
        <v/>
      </c>
      <c r="AL347" s="43" t="str">
        <f aca="false">IF(AK347="","-",IF(AK347&gt;=설정!$C$6,"Cheap",IF(AK347&lt;=-설정!$C$6,"Rich","Fair")))</f>
        <v>-</v>
      </c>
      <c r="AM347" s="96" t="str">
        <f aca="false">IF(AE347="","",AJ347-AVERAGEIFS($AJ$2:$AJ$601,$B$2:$B$601,B347,$Y$2:$Y$601,1))</f>
        <v/>
      </c>
      <c r="AN347" s="93" t="n">
        <f aca="false">IF(AE347="",0,IF(K347&gt;1+설정!$C$8,AG347*(AA347-LN(K347-1)),0))</f>
        <v>0</v>
      </c>
      <c r="AO347" s="99" t="n">
        <f aca="false">IF($A347="",0,SUMIFS(보유분석!$AA$2:$AA$801,보유분석!$AB$2:$AB$801,ROW(),보유분석!$AC$2:$AC$801,1))</f>
        <v>0</v>
      </c>
      <c r="AP347" s="43" t="str">
        <f aca="false">IF($A347="","",TRIM(IF(R347=1,"FRN ","")&amp;IF(IFERROR(VLOOKUP(M347,설정!$A$15:$D$47,4,0),0)&gt;=10,IF(IFERROR(VLOOKUP(M347,설정!$A$15:$D$47,4,0),0)&lt;99,"BBB0미만 ",""),"")&amp;IF(OR(M347="",M347="NR"),"등급미입력 ","")&amp;IF(C347&lt;&gt;"USD","비USD ","")))</f>
        <v/>
      </c>
      <c r="AQ347" s="90" t="n">
        <f aca="false">IF(AND(Y347=1,AL347="Cheap"),IF(AND(ISERROR(SEARCH("FRN",AP347)),ISERROR(SEARCH("BBB0미만",AP347))),AK347+ROW()/1000000000,-999),-999)</f>
        <v>-999</v>
      </c>
      <c r="AR347" s="92" t="str">
        <f aca="false">IF(AND(ISNUMBER(D347),ISNUMBER(K347)),D347+AN347*MAX(K347-1,0)/100,"")</f>
        <v/>
      </c>
      <c r="AS347" s="93" t="str">
        <f aca="false">IF(AND(ISNUMBER(E347),ISNUMBER(K347)),IF(K347&gt;0,(E347+AN347*MAX(K347-1,0))/K347,""),"")</f>
        <v/>
      </c>
      <c r="AT347" s="90" t="n">
        <f aca="false">IFERROR(IF(AND(Y347=1,ROW()&lt;&gt;스왑분석!$C$12+1,ABS(K347-INDEX($K$2:$K$601,스왑분석!$C$12))&lt;=스왑분석!$C$5,ISERROR(SEARCH("FRN",AP347)),ISERROR(SEARCH("BBB0미만",AP347))),IF(AND(OR(스왑분석!$C$6="N",L347=INDEX($L$2:$L$601,스왑분석!$C$12)),OR(스왑분석!$C$7="N",N347=INDEX($N$2:$N$601,스왑분석!$C$12)),OR(스왑분석!$C$8="N",AO347=0),E347-INDEX($E$2:$E$601,스왑분석!$C$12)&gt;=스왑분석!$C$9),E347-INDEX($E$2:$E$601,스왑분석!$C$12)+ROW()/1000000000,-999),-999),-999)</f>
        <v>-999</v>
      </c>
      <c r="AU347" s="90" t="n">
        <f aca="false">IF(AND(Y347=1,AO347&gt;0,AL347="Rich"),-AK347+ROW()/1000000000,-999)</f>
        <v>-999</v>
      </c>
    </row>
    <row r="348" customFormat="false" ht="15" hidden="false" customHeight="false" outlineLevel="0" collapsed="false">
      <c r="A348" s="83" t="n">
        <f aca="false">IFERROR(IF(INDEX(원자료_시장!$A$1:$BZ$1000,설정!$L$6+ROW()-1,설정!$L$24)&amp;""="0","",INDEX(원자료_시장!$A$1:$BZ$1000,설정!$L$6+ROW()-1,설정!$L$24)),"")</f>
        <v>0</v>
      </c>
      <c r="B348" s="83" t="n">
        <f aca="false">IFERROR(IF(INDEX(원자료_시장!$A$1:$BZ$1000,설정!$L$6+ROW()-1,설정!$L$37)&amp;""="0","",INDEX(원자료_시장!$A$1:$BZ$1000,설정!$L$6+ROW()-1,설정!$L$37)),"")</f>
        <v>0</v>
      </c>
      <c r="C348" s="83" t="n">
        <f aca="false">IFERROR(IF(INDEX(원자료_시장!$A$1:$BZ$1000,설정!$L$6+ROW()-1,설정!$L$25)&amp;""="0","",INDEX(원자료_시장!$A$1:$BZ$1000,설정!$L$6+ROW()-1,설정!$L$25)),"")</f>
        <v>0</v>
      </c>
      <c r="D348" s="85" t="str">
        <f aca="false">IFERROR(IF(ISNUMBER(INDEX(원자료_시장!$A$1:$BZ$1000,설정!$L$6+ROW()-1,설정!$L$26)),INDEX(원자료_시장!$A$1:$BZ$1000,설정!$L$6+ROW()-1,설정!$L$26),""),"")</f>
        <v/>
      </c>
      <c r="E348" s="97" t="str">
        <f aca="false">IFERROR(IF(ISNUMBER(INDEX(원자료_시장!$A$1:$BZ$1000,설정!$L$6+ROW()-1,설정!$L$27)),INDEX(원자료_시장!$A$1:$BZ$1000,설정!$L$6+ROW()-1,설정!$L$27),""),"")</f>
        <v/>
      </c>
      <c r="F348" s="97" t="str">
        <f aca="false">IFERROR(IF(ISNUMBER(INDEX(원자료_시장!$A$1:$BZ$1000,설정!$L$6+ROW()-1,설정!$L$28)),INDEX(원자료_시장!$A$1:$BZ$1000,설정!$L$6+ROW()-1,설정!$L$28),""),"")</f>
        <v/>
      </c>
      <c r="G348" s="97" t="str">
        <f aca="false">IFERROR(IF(ISNUMBER(INDEX(원자료_시장!$A$1:$BZ$1000,설정!$L$6+ROW()-1,설정!$L$29)),INDEX(원자료_시장!$A$1:$BZ$1000,설정!$L$6+ROW()-1,설정!$L$29),""),"")</f>
        <v/>
      </c>
      <c r="H348" s="97" t="str">
        <f aca="false">IFERROR(IF(ISNUMBER(INDEX(원자료_시장!$A$1:$BZ$1000,설정!$L$6+ROW()-1,설정!$L$30)),INDEX(원자료_시장!$A$1:$BZ$1000,설정!$L$6+ROW()-1,설정!$L$30),""),"")</f>
        <v/>
      </c>
      <c r="I348" s="97" t="str">
        <f aca="false">IFERROR(IF(ISNUMBER(INDEX(원자료_시장!$A$1:$BZ$1000,설정!$L$6+ROW()-1,설정!$L$31)),INDEX(원자료_시장!$A$1:$BZ$1000,설정!$L$6+ROW()-1,설정!$L$31),""),"")</f>
        <v/>
      </c>
      <c r="J348" s="97" t="str">
        <f aca="false">IFERROR(IF(ISNUMBER(INDEX(원자료_시장!$A$1:$BZ$1000,설정!$L$6+ROW()-1,설정!$L$32)),INDEX(원자료_시장!$A$1:$BZ$1000,설정!$L$6+ROW()-1,설정!$L$32),""),"")</f>
        <v/>
      </c>
      <c r="K348" s="85" t="str">
        <f aca="false">IFERROR(IF(ISNUMBER(INDEX(원자료_시장!$A$1:$BZ$1000,설정!$L$6+ROW()-1,설정!$L$33)),INDEX(원자료_시장!$A$1:$BZ$1000,설정!$L$6+ROW()-1,설정!$L$33),""),"")</f>
        <v/>
      </c>
      <c r="L348" s="83" t="n">
        <f aca="false">IFERROR(IF(INDEX(원자료_시장!$A$1:$BZ$1000,설정!$L$6+ROW()-1,설정!$L$34)&amp;""="0","",INDEX(원자료_시장!$A$1:$BZ$1000,설정!$L$6+ROW()-1,설정!$L$34)),"")</f>
        <v>0</v>
      </c>
      <c r="M348" s="83" t="n">
        <f aca="false">IFERROR(IF(INDEX(원자료_시장!$A$1:$BZ$1000,설정!$L$6+ROW()-1,설정!$L$35)&amp;""="0","",INDEX(원자료_시장!$A$1:$BZ$1000,설정!$L$6+ROW()-1,설정!$L$35)),"")</f>
        <v>0</v>
      </c>
      <c r="N348" s="83" t="n">
        <f aca="false">IFERROR(IF(INDEX(원자료_시장!$A$1:$BZ$1000,설정!$L$6+ROW()-1,설정!$L$36)&amp;""="0","",INDEX(원자료_시장!$A$1:$BZ$1000,설정!$L$6+ROW()-1,설정!$L$36)),"")</f>
        <v>0</v>
      </c>
      <c r="O348" s="43" t="str">
        <f aca="false">IF($A348="","",UPPER(LEFT($A348,FIND(" ",$A348&amp;" ")-1)))</f>
        <v/>
      </c>
      <c r="P348" s="43" t="str">
        <f aca="false">IF($A348="","",TRIM(RIGHT(SUBSTITUTE(TRIM($A348)," ",REPT(" ",30)),30)))</f>
        <v/>
      </c>
      <c r="Q348" s="98" t="str">
        <f aca="false">IF($A348="","",IFERROR(DATE(IF(LEN(P348)=8,2000+VALUE(RIGHT(P348,2)),VALUE(RIGHT(P348,4))),VALUE(LEFT(P348,2)),VALUE(MID(P348,4,2))),""))</f>
        <v/>
      </c>
      <c r="R348" s="89" t="n">
        <f aca="false">IF($A348="",0,IF(ISNUMBER(SEARCH("Float",$A348)),1,0))</f>
        <v>0</v>
      </c>
      <c r="S348" s="43" t="str">
        <f aca="false">IF($A348="","",TRIM(MID($A348,LEN(O348)+2,LEN($A348)-LEN(O348)-LEN(P348)-1)))</f>
        <v/>
      </c>
      <c r="T348" s="92" t="str">
        <f aca="false">IF(OR($A348="",R348=1),"",IFERROR(IF(ISNUMBER(FIND("/",S348)),IF(ISNUMBER(FIND(" ",S348)),VALUE(LEFT(S348,FIND(" ",S348)-1))+VALUE(MID(S348,FIND(" ",S348)+1,FIND("/",S348)-FIND(" ",S348)-1))/VALUE(MID(S348,FIND("/",S348)+1,9)),VALUE(LEFT(S348,FIND("/",S348)-1))/VALUE(MID(S348,FIND("/",S348)+1,9))),VALUE(S348)),""))</f>
        <v/>
      </c>
      <c r="U348" s="43" t="str">
        <f aca="false">IF(OR($A348="",NOT(ISNUMBER(Q348))),"",TEXT(Q348,"yyyymmdd")&amp;"|"&amp;IF(R348=1,"F",TEXT(T348,"0.000")))</f>
        <v/>
      </c>
      <c r="V348" s="43" t="str">
        <f aca="false">IF(U348="","",O348&amp;"|"&amp;U348)</f>
        <v/>
      </c>
      <c r="W348" s="43" t="str">
        <f aca="false">IF($A348="","",IFERROR(IF(VLOOKUP(O348,매핑!$A$4:$E$92,3,0)="","미분류",VLOOKUP(O348,매핑!$A$4:$E$92,3,0)),"미분류"))</f>
        <v/>
      </c>
      <c r="X348" s="89" t="n">
        <f aca="false">IF($A348="",0,IF(O348="T",1,0))</f>
        <v>0</v>
      </c>
      <c r="Y348" s="89" t="n">
        <f aca="false">IF($A348="",0,IF(AND(C348="USD",X348=0,ISNUMBER(E348),ISNUMBER(K348)),IF(K348&gt;=설정!$C$8,1,0),0))</f>
        <v>0</v>
      </c>
      <c r="Z348" s="43" t="str">
        <f aca="false">IF($A348="","",N348&amp;"|"&amp;L348)</f>
        <v/>
      </c>
      <c r="AA348" s="92" t="n">
        <f aca="false">IF(Y348=1,LN(K348),0)</f>
        <v>0</v>
      </c>
      <c r="AB348" s="93" t="n">
        <f aca="false">IF(Y348=1,E348,0)</f>
        <v>0</v>
      </c>
      <c r="AC348" s="89" t="n">
        <f aca="false">IF(Y348=1,COUNTIFS($Z$2:$Z$601,Z348,$Y$2:$Y$601,1),0)</f>
        <v>0</v>
      </c>
      <c r="AD348" s="89" t="n">
        <f aca="false">IF(Y348=1,COUNTIFS($N$2:$N$601,N348,$Y$2:$Y$601,1),0)</f>
        <v>0</v>
      </c>
      <c r="AE348" s="43" t="str">
        <f aca="false">IF(Y348&lt;&gt;1,"",IF(AND(AC348&gt;=설정!$C$7,ISNUMBER(MATCH(Z348,피어커브!$A:$A,0))),Z348,IF(AND(AD348&gt;=설정!$C$7,ISNUMBER(MATCH(N348&amp;"|전체",피어커브!$A:$A,0))),N348&amp;"|전체","전체|전체")))</f>
        <v/>
      </c>
      <c r="AF348" s="93" t="str">
        <f aca="false">IF(AE348="","",INDEX(피어커브!$K:$K,MATCH(AE348,피어커브!$A:$A,0)))</f>
        <v/>
      </c>
      <c r="AG348" s="93" t="str">
        <f aca="false">IF(AE348="","",INDEX(피어커브!$J:$J,MATCH(AE348,피어커브!$A:$A,0)))</f>
        <v/>
      </c>
      <c r="AH348" s="93" t="str">
        <f aca="false">IF(AE348="","",INDEX(피어커브!$L:$L,MATCH(AE348,피어커브!$A:$A,0)))</f>
        <v/>
      </c>
      <c r="AI348" s="93" t="str">
        <f aca="false">IF(AE348="","",AF348+AG348*AA348)</f>
        <v/>
      </c>
      <c r="AJ348" s="96" t="str">
        <f aca="false">IF(AE348="","",E348-AI348)</f>
        <v/>
      </c>
      <c r="AK348" s="95" t="str">
        <f aca="false">IF(AE348="","",IF(ISNUMBER(AH348),IF(AH348&gt;0,AJ348/AH348,""),""))</f>
        <v/>
      </c>
      <c r="AL348" s="43" t="str">
        <f aca="false">IF(AK348="","-",IF(AK348&gt;=설정!$C$6,"Cheap",IF(AK348&lt;=-설정!$C$6,"Rich","Fair")))</f>
        <v>-</v>
      </c>
      <c r="AM348" s="96" t="str">
        <f aca="false">IF(AE348="","",AJ348-AVERAGEIFS($AJ$2:$AJ$601,$B$2:$B$601,B348,$Y$2:$Y$601,1))</f>
        <v/>
      </c>
      <c r="AN348" s="93" t="n">
        <f aca="false">IF(AE348="",0,IF(K348&gt;1+설정!$C$8,AG348*(AA348-LN(K348-1)),0))</f>
        <v>0</v>
      </c>
      <c r="AO348" s="99" t="n">
        <f aca="false">IF($A348="",0,SUMIFS(보유분석!$AA$2:$AA$801,보유분석!$AB$2:$AB$801,ROW(),보유분석!$AC$2:$AC$801,1))</f>
        <v>0</v>
      </c>
      <c r="AP348" s="43" t="str">
        <f aca="false">IF($A348="","",TRIM(IF(R348=1,"FRN ","")&amp;IF(IFERROR(VLOOKUP(M348,설정!$A$15:$D$47,4,0),0)&gt;=10,IF(IFERROR(VLOOKUP(M348,설정!$A$15:$D$47,4,0),0)&lt;99,"BBB0미만 ",""),"")&amp;IF(OR(M348="",M348="NR"),"등급미입력 ","")&amp;IF(C348&lt;&gt;"USD","비USD ","")))</f>
        <v/>
      </c>
      <c r="AQ348" s="90" t="n">
        <f aca="false">IF(AND(Y348=1,AL348="Cheap"),IF(AND(ISERROR(SEARCH("FRN",AP348)),ISERROR(SEARCH("BBB0미만",AP348))),AK348+ROW()/1000000000,-999),-999)</f>
        <v>-999</v>
      </c>
      <c r="AR348" s="92" t="str">
        <f aca="false">IF(AND(ISNUMBER(D348),ISNUMBER(K348)),D348+AN348*MAX(K348-1,0)/100,"")</f>
        <v/>
      </c>
      <c r="AS348" s="93" t="str">
        <f aca="false">IF(AND(ISNUMBER(E348),ISNUMBER(K348)),IF(K348&gt;0,(E348+AN348*MAX(K348-1,0))/K348,""),"")</f>
        <v/>
      </c>
      <c r="AT348" s="90" t="n">
        <f aca="false">IFERROR(IF(AND(Y348=1,ROW()&lt;&gt;스왑분석!$C$12+1,ABS(K348-INDEX($K$2:$K$601,스왑분석!$C$12))&lt;=스왑분석!$C$5,ISERROR(SEARCH("FRN",AP348)),ISERROR(SEARCH("BBB0미만",AP348))),IF(AND(OR(스왑분석!$C$6="N",L348=INDEX($L$2:$L$601,스왑분석!$C$12)),OR(스왑분석!$C$7="N",N348=INDEX($N$2:$N$601,스왑분석!$C$12)),OR(스왑분석!$C$8="N",AO348=0),E348-INDEX($E$2:$E$601,스왑분석!$C$12)&gt;=스왑분석!$C$9),E348-INDEX($E$2:$E$601,스왑분석!$C$12)+ROW()/1000000000,-999),-999),-999)</f>
        <v>-999</v>
      </c>
      <c r="AU348" s="90" t="n">
        <f aca="false">IF(AND(Y348=1,AO348&gt;0,AL348="Rich"),-AK348+ROW()/1000000000,-999)</f>
        <v>-999</v>
      </c>
    </row>
    <row r="349" customFormat="false" ht="15" hidden="false" customHeight="false" outlineLevel="0" collapsed="false">
      <c r="A349" s="83" t="n">
        <f aca="false">IFERROR(IF(INDEX(원자료_시장!$A$1:$BZ$1000,설정!$L$6+ROW()-1,설정!$L$24)&amp;""="0","",INDEX(원자료_시장!$A$1:$BZ$1000,설정!$L$6+ROW()-1,설정!$L$24)),"")</f>
        <v>0</v>
      </c>
      <c r="B349" s="83" t="n">
        <f aca="false">IFERROR(IF(INDEX(원자료_시장!$A$1:$BZ$1000,설정!$L$6+ROW()-1,설정!$L$37)&amp;""="0","",INDEX(원자료_시장!$A$1:$BZ$1000,설정!$L$6+ROW()-1,설정!$L$37)),"")</f>
        <v>0</v>
      </c>
      <c r="C349" s="83" t="n">
        <f aca="false">IFERROR(IF(INDEX(원자료_시장!$A$1:$BZ$1000,설정!$L$6+ROW()-1,설정!$L$25)&amp;""="0","",INDEX(원자료_시장!$A$1:$BZ$1000,설정!$L$6+ROW()-1,설정!$L$25)),"")</f>
        <v>0</v>
      </c>
      <c r="D349" s="85" t="str">
        <f aca="false">IFERROR(IF(ISNUMBER(INDEX(원자료_시장!$A$1:$BZ$1000,설정!$L$6+ROW()-1,설정!$L$26)),INDEX(원자료_시장!$A$1:$BZ$1000,설정!$L$6+ROW()-1,설정!$L$26),""),"")</f>
        <v/>
      </c>
      <c r="E349" s="97" t="str">
        <f aca="false">IFERROR(IF(ISNUMBER(INDEX(원자료_시장!$A$1:$BZ$1000,설정!$L$6+ROW()-1,설정!$L$27)),INDEX(원자료_시장!$A$1:$BZ$1000,설정!$L$6+ROW()-1,설정!$L$27),""),"")</f>
        <v/>
      </c>
      <c r="F349" s="97" t="str">
        <f aca="false">IFERROR(IF(ISNUMBER(INDEX(원자료_시장!$A$1:$BZ$1000,설정!$L$6+ROW()-1,설정!$L$28)),INDEX(원자료_시장!$A$1:$BZ$1000,설정!$L$6+ROW()-1,설정!$L$28),""),"")</f>
        <v/>
      </c>
      <c r="G349" s="97" t="str">
        <f aca="false">IFERROR(IF(ISNUMBER(INDEX(원자료_시장!$A$1:$BZ$1000,설정!$L$6+ROW()-1,설정!$L$29)),INDEX(원자료_시장!$A$1:$BZ$1000,설정!$L$6+ROW()-1,설정!$L$29),""),"")</f>
        <v/>
      </c>
      <c r="H349" s="97" t="str">
        <f aca="false">IFERROR(IF(ISNUMBER(INDEX(원자료_시장!$A$1:$BZ$1000,설정!$L$6+ROW()-1,설정!$L$30)),INDEX(원자료_시장!$A$1:$BZ$1000,설정!$L$6+ROW()-1,설정!$L$30),""),"")</f>
        <v/>
      </c>
      <c r="I349" s="97" t="str">
        <f aca="false">IFERROR(IF(ISNUMBER(INDEX(원자료_시장!$A$1:$BZ$1000,설정!$L$6+ROW()-1,설정!$L$31)),INDEX(원자료_시장!$A$1:$BZ$1000,설정!$L$6+ROW()-1,설정!$L$31),""),"")</f>
        <v/>
      </c>
      <c r="J349" s="97" t="str">
        <f aca="false">IFERROR(IF(ISNUMBER(INDEX(원자료_시장!$A$1:$BZ$1000,설정!$L$6+ROW()-1,설정!$L$32)),INDEX(원자료_시장!$A$1:$BZ$1000,설정!$L$6+ROW()-1,설정!$L$32),""),"")</f>
        <v/>
      </c>
      <c r="K349" s="85" t="str">
        <f aca="false">IFERROR(IF(ISNUMBER(INDEX(원자료_시장!$A$1:$BZ$1000,설정!$L$6+ROW()-1,설정!$L$33)),INDEX(원자료_시장!$A$1:$BZ$1000,설정!$L$6+ROW()-1,설정!$L$33),""),"")</f>
        <v/>
      </c>
      <c r="L349" s="83" t="n">
        <f aca="false">IFERROR(IF(INDEX(원자료_시장!$A$1:$BZ$1000,설정!$L$6+ROW()-1,설정!$L$34)&amp;""="0","",INDEX(원자료_시장!$A$1:$BZ$1000,설정!$L$6+ROW()-1,설정!$L$34)),"")</f>
        <v>0</v>
      </c>
      <c r="M349" s="83" t="n">
        <f aca="false">IFERROR(IF(INDEX(원자료_시장!$A$1:$BZ$1000,설정!$L$6+ROW()-1,설정!$L$35)&amp;""="0","",INDEX(원자료_시장!$A$1:$BZ$1000,설정!$L$6+ROW()-1,설정!$L$35)),"")</f>
        <v>0</v>
      </c>
      <c r="N349" s="83" t="n">
        <f aca="false">IFERROR(IF(INDEX(원자료_시장!$A$1:$BZ$1000,설정!$L$6+ROW()-1,설정!$L$36)&amp;""="0","",INDEX(원자료_시장!$A$1:$BZ$1000,설정!$L$6+ROW()-1,설정!$L$36)),"")</f>
        <v>0</v>
      </c>
      <c r="O349" s="43" t="str">
        <f aca="false">IF($A349="","",UPPER(LEFT($A349,FIND(" ",$A349&amp;" ")-1)))</f>
        <v/>
      </c>
      <c r="P349" s="43" t="str">
        <f aca="false">IF($A349="","",TRIM(RIGHT(SUBSTITUTE(TRIM($A349)," ",REPT(" ",30)),30)))</f>
        <v/>
      </c>
      <c r="Q349" s="98" t="str">
        <f aca="false">IF($A349="","",IFERROR(DATE(IF(LEN(P349)=8,2000+VALUE(RIGHT(P349,2)),VALUE(RIGHT(P349,4))),VALUE(LEFT(P349,2)),VALUE(MID(P349,4,2))),""))</f>
        <v/>
      </c>
      <c r="R349" s="89" t="n">
        <f aca="false">IF($A349="",0,IF(ISNUMBER(SEARCH("Float",$A349)),1,0))</f>
        <v>0</v>
      </c>
      <c r="S349" s="43" t="str">
        <f aca="false">IF($A349="","",TRIM(MID($A349,LEN(O349)+2,LEN($A349)-LEN(O349)-LEN(P349)-1)))</f>
        <v/>
      </c>
      <c r="T349" s="92" t="str">
        <f aca="false">IF(OR($A349="",R349=1),"",IFERROR(IF(ISNUMBER(FIND("/",S349)),IF(ISNUMBER(FIND(" ",S349)),VALUE(LEFT(S349,FIND(" ",S349)-1))+VALUE(MID(S349,FIND(" ",S349)+1,FIND("/",S349)-FIND(" ",S349)-1))/VALUE(MID(S349,FIND("/",S349)+1,9)),VALUE(LEFT(S349,FIND("/",S349)-1))/VALUE(MID(S349,FIND("/",S349)+1,9))),VALUE(S349)),""))</f>
        <v/>
      </c>
      <c r="U349" s="43" t="str">
        <f aca="false">IF(OR($A349="",NOT(ISNUMBER(Q349))),"",TEXT(Q349,"yyyymmdd")&amp;"|"&amp;IF(R349=1,"F",TEXT(T349,"0.000")))</f>
        <v/>
      </c>
      <c r="V349" s="43" t="str">
        <f aca="false">IF(U349="","",O349&amp;"|"&amp;U349)</f>
        <v/>
      </c>
      <c r="W349" s="43" t="str">
        <f aca="false">IF($A349="","",IFERROR(IF(VLOOKUP(O349,매핑!$A$4:$E$92,3,0)="","미분류",VLOOKUP(O349,매핑!$A$4:$E$92,3,0)),"미분류"))</f>
        <v/>
      </c>
      <c r="X349" s="89" t="n">
        <f aca="false">IF($A349="",0,IF(O349="T",1,0))</f>
        <v>0</v>
      </c>
      <c r="Y349" s="89" t="n">
        <f aca="false">IF($A349="",0,IF(AND(C349="USD",X349=0,ISNUMBER(E349),ISNUMBER(K349)),IF(K349&gt;=설정!$C$8,1,0),0))</f>
        <v>0</v>
      </c>
      <c r="Z349" s="43" t="str">
        <f aca="false">IF($A349="","",N349&amp;"|"&amp;L349)</f>
        <v/>
      </c>
      <c r="AA349" s="92" t="n">
        <f aca="false">IF(Y349=1,LN(K349),0)</f>
        <v>0</v>
      </c>
      <c r="AB349" s="93" t="n">
        <f aca="false">IF(Y349=1,E349,0)</f>
        <v>0</v>
      </c>
      <c r="AC349" s="89" t="n">
        <f aca="false">IF(Y349=1,COUNTIFS($Z$2:$Z$601,Z349,$Y$2:$Y$601,1),0)</f>
        <v>0</v>
      </c>
      <c r="AD349" s="89" t="n">
        <f aca="false">IF(Y349=1,COUNTIFS($N$2:$N$601,N349,$Y$2:$Y$601,1),0)</f>
        <v>0</v>
      </c>
      <c r="AE349" s="43" t="str">
        <f aca="false">IF(Y349&lt;&gt;1,"",IF(AND(AC349&gt;=설정!$C$7,ISNUMBER(MATCH(Z349,피어커브!$A:$A,0))),Z349,IF(AND(AD349&gt;=설정!$C$7,ISNUMBER(MATCH(N349&amp;"|전체",피어커브!$A:$A,0))),N349&amp;"|전체","전체|전체")))</f>
        <v/>
      </c>
      <c r="AF349" s="93" t="str">
        <f aca="false">IF(AE349="","",INDEX(피어커브!$K:$K,MATCH(AE349,피어커브!$A:$A,0)))</f>
        <v/>
      </c>
      <c r="AG349" s="93" t="str">
        <f aca="false">IF(AE349="","",INDEX(피어커브!$J:$J,MATCH(AE349,피어커브!$A:$A,0)))</f>
        <v/>
      </c>
      <c r="AH349" s="93" t="str">
        <f aca="false">IF(AE349="","",INDEX(피어커브!$L:$L,MATCH(AE349,피어커브!$A:$A,0)))</f>
        <v/>
      </c>
      <c r="AI349" s="93" t="str">
        <f aca="false">IF(AE349="","",AF349+AG349*AA349)</f>
        <v/>
      </c>
      <c r="AJ349" s="96" t="str">
        <f aca="false">IF(AE349="","",E349-AI349)</f>
        <v/>
      </c>
      <c r="AK349" s="95" t="str">
        <f aca="false">IF(AE349="","",IF(ISNUMBER(AH349),IF(AH349&gt;0,AJ349/AH349,""),""))</f>
        <v/>
      </c>
      <c r="AL349" s="43" t="str">
        <f aca="false">IF(AK349="","-",IF(AK349&gt;=설정!$C$6,"Cheap",IF(AK349&lt;=-설정!$C$6,"Rich","Fair")))</f>
        <v>-</v>
      </c>
      <c r="AM349" s="96" t="str">
        <f aca="false">IF(AE349="","",AJ349-AVERAGEIFS($AJ$2:$AJ$601,$B$2:$B$601,B349,$Y$2:$Y$601,1))</f>
        <v/>
      </c>
      <c r="AN349" s="93" t="n">
        <f aca="false">IF(AE349="",0,IF(K349&gt;1+설정!$C$8,AG349*(AA349-LN(K349-1)),0))</f>
        <v>0</v>
      </c>
      <c r="AO349" s="99" t="n">
        <f aca="false">IF($A349="",0,SUMIFS(보유분석!$AA$2:$AA$801,보유분석!$AB$2:$AB$801,ROW(),보유분석!$AC$2:$AC$801,1))</f>
        <v>0</v>
      </c>
      <c r="AP349" s="43" t="str">
        <f aca="false">IF($A349="","",TRIM(IF(R349=1,"FRN ","")&amp;IF(IFERROR(VLOOKUP(M349,설정!$A$15:$D$47,4,0),0)&gt;=10,IF(IFERROR(VLOOKUP(M349,설정!$A$15:$D$47,4,0),0)&lt;99,"BBB0미만 ",""),"")&amp;IF(OR(M349="",M349="NR"),"등급미입력 ","")&amp;IF(C349&lt;&gt;"USD","비USD ","")))</f>
        <v/>
      </c>
      <c r="AQ349" s="90" t="n">
        <f aca="false">IF(AND(Y349=1,AL349="Cheap"),IF(AND(ISERROR(SEARCH("FRN",AP349)),ISERROR(SEARCH("BBB0미만",AP349))),AK349+ROW()/1000000000,-999),-999)</f>
        <v>-999</v>
      </c>
      <c r="AR349" s="92" t="str">
        <f aca="false">IF(AND(ISNUMBER(D349),ISNUMBER(K349)),D349+AN349*MAX(K349-1,0)/100,"")</f>
        <v/>
      </c>
      <c r="AS349" s="93" t="str">
        <f aca="false">IF(AND(ISNUMBER(E349),ISNUMBER(K349)),IF(K349&gt;0,(E349+AN349*MAX(K349-1,0))/K349,""),"")</f>
        <v/>
      </c>
      <c r="AT349" s="90" t="n">
        <f aca="false">IFERROR(IF(AND(Y349=1,ROW()&lt;&gt;스왑분석!$C$12+1,ABS(K349-INDEX($K$2:$K$601,스왑분석!$C$12))&lt;=스왑분석!$C$5,ISERROR(SEARCH("FRN",AP349)),ISERROR(SEARCH("BBB0미만",AP349))),IF(AND(OR(스왑분석!$C$6="N",L349=INDEX($L$2:$L$601,스왑분석!$C$12)),OR(스왑분석!$C$7="N",N349=INDEX($N$2:$N$601,스왑분석!$C$12)),OR(스왑분석!$C$8="N",AO349=0),E349-INDEX($E$2:$E$601,스왑분석!$C$12)&gt;=스왑분석!$C$9),E349-INDEX($E$2:$E$601,스왑분석!$C$12)+ROW()/1000000000,-999),-999),-999)</f>
        <v>-999</v>
      </c>
      <c r="AU349" s="90" t="n">
        <f aca="false">IF(AND(Y349=1,AO349&gt;0,AL349="Rich"),-AK349+ROW()/1000000000,-999)</f>
        <v>-999</v>
      </c>
    </row>
    <row r="350" customFormat="false" ht="15" hidden="false" customHeight="false" outlineLevel="0" collapsed="false">
      <c r="A350" s="83" t="n">
        <f aca="false">IFERROR(IF(INDEX(원자료_시장!$A$1:$BZ$1000,설정!$L$6+ROW()-1,설정!$L$24)&amp;""="0","",INDEX(원자료_시장!$A$1:$BZ$1000,설정!$L$6+ROW()-1,설정!$L$24)),"")</f>
        <v>0</v>
      </c>
      <c r="B350" s="83" t="n">
        <f aca="false">IFERROR(IF(INDEX(원자료_시장!$A$1:$BZ$1000,설정!$L$6+ROW()-1,설정!$L$37)&amp;""="0","",INDEX(원자료_시장!$A$1:$BZ$1000,설정!$L$6+ROW()-1,설정!$L$37)),"")</f>
        <v>0</v>
      </c>
      <c r="C350" s="83" t="n">
        <f aca="false">IFERROR(IF(INDEX(원자료_시장!$A$1:$BZ$1000,설정!$L$6+ROW()-1,설정!$L$25)&amp;""="0","",INDEX(원자료_시장!$A$1:$BZ$1000,설정!$L$6+ROW()-1,설정!$L$25)),"")</f>
        <v>0</v>
      </c>
      <c r="D350" s="85" t="str">
        <f aca="false">IFERROR(IF(ISNUMBER(INDEX(원자료_시장!$A$1:$BZ$1000,설정!$L$6+ROW()-1,설정!$L$26)),INDEX(원자료_시장!$A$1:$BZ$1000,설정!$L$6+ROW()-1,설정!$L$26),""),"")</f>
        <v/>
      </c>
      <c r="E350" s="97" t="str">
        <f aca="false">IFERROR(IF(ISNUMBER(INDEX(원자료_시장!$A$1:$BZ$1000,설정!$L$6+ROW()-1,설정!$L$27)),INDEX(원자료_시장!$A$1:$BZ$1000,설정!$L$6+ROW()-1,설정!$L$27),""),"")</f>
        <v/>
      </c>
      <c r="F350" s="97" t="str">
        <f aca="false">IFERROR(IF(ISNUMBER(INDEX(원자료_시장!$A$1:$BZ$1000,설정!$L$6+ROW()-1,설정!$L$28)),INDEX(원자료_시장!$A$1:$BZ$1000,설정!$L$6+ROW()-1,설정!$L$28),""),"")</f>
        <v/>
      </c>
      <c r="G350" s="97" t="str">
        <f aca="false">IFERROR(IF(ISNUMBER(INDEX(원자료_시장!$A$1:$BZ$1000,설정!$L$6+ROW()-1,설정!$L$29)),INDEX(원자료_시장!$A$1:$BZ$1000,설정!$L$6+ROW()-1,설정!$L$29),""),"")</f>
        <v/>
      </c>
      <c r="H350" s="97" t="str">
        <f aca="false">IFERROR(IF(ISNUMBER(INDEX(원자료_시장!$A$1:$BZ$1000,설정!$L$6+ROW()-1,설정!$L$30)),INDEX(원자료_시장!$A$1:$BZ$1000,설정!$L$6+ROW()-1,설정!$L$30),""),"")</f>
        <v/>
      </c>
      <c r="I350" s="97" t="str">
        <f aca="false">IFERROR(IF(ISNUMBER(INDEX(원자료_시장!$A$1:$BZ$1000,설정!$L$6+ROW()-1,설정!$L$31)),INDEX(원자료_시장!$A$1:$BZ$1000,설정!$L$6+ROW()-1,설정!$L$31),""),"")</f>
        <v/>
      </c>
      <c r="J350" s="97" t="str">
        <f aca="false">IFERROR(IF(ISNUMBER(INDEX(원자료_시장!$A$1:$BZ$1000,설정!$L$6+ROW()-1,설정!$L$32)),INDEX(원자료_시장!$A$1:$BZ$1000,설정!$L$6+ROW()-1,설정!$L$32),""),"")</f>
        <v/>
      </c>
      <c r="K350" s="85" t="str">
        <f aca="false">IFERROR(IF(ISNUMBER(INDEX(원자료_시장!$A$1:$BZ$1000,설정!$L$6+ROW()-1,설정!$L$33)),INDEX(원자료_시장!$A$1:$BZ$1000,설정!$L$6+ROW()-1,설정!$L$33),""),"")</f>
        <v/>
      </c>
      <c r="L350" s="83" t="n">
        <f aca="false">IFERROR(IF(INDEX(원자료_시장!$A$1:$BZ$1000,설정!$L$6+ROW()-1,설정!$L$34)&amp;""="0","",INDEX(원자료_시장!$A$1:$BZ$1000,설정!$L$6+ROW()-1,설정!$L$34)),"")</f>
        <v>0</v>
      </c>
      <c r="M350" s="83" t="n">
        <f aca="false">IFERROR(IF(INDEX(원자료_시장!$A$1:$BZ$1000,설정!$L$6+ROW()-1,설정!$L$35)&amp;""="0","",INDEX(원자료_시장!$A$1:$BZ$1000,설정!$L$6+ROW()-1,설정!$L$35)),"")</f>
        <v>0</v>
      </c>
      <c r="N350" s="83" t="n">
        <f aca="false">IFERROR(IF(INDEX(원자료_시장!$A$1:$BZ$1000,설정!$L$6+ROW()-1,설정!$L$36)&amp;""="0","",INDEX(원자료_시장!$A$1:$BZ$1000,설정!$L$6+ROW()-1,설정!$L$36)),"")</f>
        <v>0</v>
      </c>
      <c r="O350" s="43" t="str">
        <f aca="false">IF($A350="","",UPPER(LEFT($A350,FIND(" ",$A350&amp;" ")-1)))</f>
        <v/>
      </c>
      <c r="P350" s="43" t="str">
        <f aca="false">IF($A350="","",TRIM(RIGHT(SUBSTITUTE(TRIM($A350)," ",REPT(" ",30)),30)))</f>
        <v/>
      </c>
      <c r="Q350" s="98" t="str">
        <f aca="false">IF($A350="","",IFERROR(DATE(IF(LEN(P350)=8,2000+VALUE(RIGHT(P350,2)),VALUE(RIGHT(P350,4))),VALUE(LEFT(P350,2)),VALUE(MID(P350,4,2))),""))</f>
        <v/>
      </c>
      <c r="R350" s="89" t="n">
        <f aca="false">IF($A350="",0,IF(ISNUMBER(SEARCH("Float",$A350)),1,0))</f>
        <v>0</v>
      </c>
      <c r="S350" s="43" t="str">
        <f aca="false">IF($A350="","",TRIM(MID($A350,LEN(O350)+2,LEN($A350)-LEN(O350)-LEN(P350)-1)))</f>
        <v/>
      </c>
      <c r="T350" s="92" t="str">
        <f aca="false">IF(OR($A350="",R350=1),"",IFERROR(IF(ISNUMBER(FIND("/",S350)),IF(ISNUMBER(FIND(" ",S350)),VALUE(LEFT(S350,FIND(" ",S350)-1))+VALUE(MID(S350,FIND(" ",S350)+1,FIND("/",S350)-FIND(" ",S350)-1))/VALUE(MID(S350,FIND("/",S350)+1,9)),VALUE(LEFT(S350,FIND("/",S350)-1))/VALUE(MID(S350,FIND("/",S350)+1,9))),VALUE(S350)),""))</f>
        <v/>
      </c>
      <c r="U350" s="43" t="str">
        <f aca="false">IF(OR($A350="",NOT(ISNUMBER(Q350))),"",TEXT(Q350,"yyyymmdd")&amp;"|"&amp;IF(R350=1,"F",TEXT(T350,"0.000")))</f>
        <v/>
      </c>
      <c r="V350" s="43" t="str">
        <f aca="false">IF(U350="","",O350&amp;"|"&amp;U350)</f>
        <v/>
      </c>
      <c r="W350" s="43" t="str">
        <f aca="false">IF($A350="","",IFERROR(IF(VLOOKUP(O350,매핑!$A$4:$E$92,3,0)="","미분류",VLOOKUP(O350,매핑!$A$4:$E$92,3,0)),"미분류"))</f>
        <v/>
      </c>
      <c r="X350" s="89" t="n">
        <f aca="false">IF($A350="",0,IF(O350="T",1,0))</f>
        <v>0</v>
      </c>
      <c r="Y350" s="89" t="n">
        <f aca="false">IF($A350="",0,IF(AND(C350="USD",X350=0,ISNUMBER(E350),ISNUMBER(K350)),IF(K350&gt;=설정!$C$8,1,0),0))</f>
        <v>0</v>
      </c>
      <c r="Z350" s="43" t="str">
        <f aca="false">IF($A350="","",N350&amp;"|"&amp;L350)</f>
        <v/>
      </c>
      <c r="AA350" s="92" t="n">
        <f aca="false">IF(Y350=1,LN(K350),0)</f>
        <v>0</v>
      </c>
      <c r="AB350" s="93" t="n">
        <f aca="false">IF(Y350=1,E350,0)</f>
        <v>0</v>
      </c>
      <c r="AC350" s="89" t="n">
        <f aca="false">IF(Y350=1,COUNTIFS($Z$2:$Z$601,Z350,$Y$2:$Y$601,1),0)</f>
        <v>0</v>
      </c>
      <c r="AD350" s="89" t="n">
        <f aca="false">IF(Y350=1,COUNTIFS($N$2:$N$601,N350,$Y$2:$Y$601,1),0)</f>
        <v>0</v>
      </c>
      <c r="AE350" s="43" t="str">
        <f aca="false">IF(Y350&lt;&gt;1,"",IF(AND(AC350&gt;=설정!$C$7,ISNUMBER(MATCH(Z350,피어커브!$A:$A,0))),Z350,IF(AND(AD350&gt;=설정!$C$7,ISNUMBER(MATCH(N350&amp;"|전체",피어커브!$A:$A,0))),N350&amp;"|전체","전체|전체")))</f>
        <v/>
      </c>
      <c r="AF350" s="93" t="str">
        <f aca="false">IF(AE350="","",INDEX(피어커브!$K:$K,MATCH(AE350,피어커브!$A:$A,0)))</f>
        <v/>
      </c>
      <c r="AG350" s="93" t="str">
        <f aca="false">IF(AE350="","",INDEX(피어커브!$J:$J,MATCH(AE350,피어커브!$A:$A,0)))</f>
        <v/>
      </c>
      <c r="AH350" s="93" t="str">
        <f aca="false">IF(AE350="","",INDEX(피어커브!$L:$L,MATCH(AE350,피어커브!$A:$A,0)))</f>
        <v/>
      </c>
      <c r="AI350" s="93" t="str">
        <f aca="false">IF(AE350="","",AF350+AG350*AA350)</f>
        <v/>
      </c>
      <c r="AJ350" s="96" t="str">
        <f aca="false">IF(AE350="","",E350-AI350)</f>
        <v/>
      </c>
      <c r="AK350" s="95" t="str">
        <f aca="false">IF(AE350="","",IF(ISNUMBER(AH350),IF(AH350&gt;0,AJ350/AH350,""),""))</f>
        <v/>
      </c>
      <c r="AL350" s="43" t="str">
        <f aca="false">IF(AK350="","-",IF(AK350&gt;=설정!$C$6,"Cheap",IF(AK350&lt;=-설정!$C$6,"Rich","Fair")))</f>
        <v>-</v>
      </c>
      <c r="AM350" s="96" t="str">
        <f aca="false">IF(AE350="","",AJ350-AVERAGEIFS($AJ$2:$AJ$601,$B$2:$B$601,B350,$Y$2:$Y$601,1))</f>
        <v/>
      </c>
      <c r="AN350" s="93" t="n">
        <f aca="false">IF(AE350="",0,IF(K350&gt;1+설정!$C$8,AG350*(AA350-LN(K350-1)),0))</f>
        <v>0</v>
      </c>
      <c r="AO350" s="99" t="n">
        <f aca="false">IF($A350="",0,SUMIFS(보유분석!$AA$2:$AA$801,보유분석!$AB$2:$AB$801,ROW(),보유분석!$AC$2:$AC$801,1))</f>
        <v>0</v>
      </c>
      <c r="AP350" s="43" t="str">
        <f aca="false">IF($A350="","",TRIM(IF(R350=1,"FRN ","")&amp;IF(IFERROR(VLOOKUP(M350,설정!$A$15:$D$47,4,0),0)&gt;=10,IF(IFERROR(VLOOKUP(M350,설정!$A$15:$D$47,4,0),0)&lt;99,"BBB0미만 ",""),"")&amp;IF(OR(M350="",M350="NR"),"등급미입력 ","")&amp;IF(C350&lt;&gt;"USD","비USD ","")))</f>
        <v/>
      </c>
      <c r="AQ350" s="90" t="n">
        <f aca="false">IF(AND(Y350=1,AL350="Cheap"),IF(AND(ISERROR(SEARCH("FRN",AP350)),ISERROR(SEARCH("BBB0미만",AP350))),AK350+ROW()/1000000000,-999),-999)</f>
        <v>-999</v>
      </c>
      <c r="AR350" s="92" t="str">
        <f aca="false">IF(AND(ISNUMBER(D350),ISNUMBER(K350)),D350+AN350*MAX(K350-1,0)/100,"")</f>
        <v/>
      </c>
      <c r="AS350" s="93" t="str">
        <f aca="false">IF(AND(ISNUMBER(E350),ISNUMBER(K350)),IF(K350&gt;0,(E350+AN350*MAX(K350-1,0))/K350,""),"")</f>
        <v/>
      </c>
      <c r="AT350" s="90" t="n">
        <f aca="false">IFERROR(IF(AND(Y350=1,ROW()&lt;&gt;스왑분석!$C$12+1,ABS(K350-INDEX($K$2:$K$601,스왑분석!$C$12))&lt;=스왑분석!$C$5,ISERROR(SEARCH("FRN",AP350)),ISERROR(SEARCH("BBB0미만",AP350))),IF(AND(OR(스왑분석!$C$6="N",L350=INDEX($L$2:$L$601,스왑분석!$C$12)),OR(스왑분석!$C$7="N",N350=INDEX($N$2:$N$601,스왑분석!$C$12)),OR(스왑분석!$C$8="N",AO350=0),E350-INDEX($E$2:$E$601,스왑분석!$C$12)&gt;=스왑분석!$C$9),E350-INDEX($E$2:$E$601,스왑분석!$C$12)+ROW()/1000000000,-999),-999),-999)</f>
        <v>-999</v>
      </c>
      <c r="AU350" s="90" t="n">
        <f aca="false">IF(AND(Y350=1,AO350&gt;0,AL350="Rich"),-AK350+ROW()/1000000000,-999)</f>
        <v>-999</v>
      </c>
    </row>
    <row r="351" customFormat="false" ht="15" hidden="false" customHeight="false" outlineLevel="0" collapsed="false">
      <c r="A351" s="83" t="n">
        <f aca="false">IFERROR(IF(INDEX(원자료_시장!$A$1:$BZ$1000,설정!$L$6+ROW()-1,설정!$L$24)&amp;""="0","",INDEX(원자료_시장!$A$1:$BZ$1000,설정!$L$6+ROW()-1,설정!$L$24)),"")</f>
        <v>0</v>
      </c>
      <c r="B351" s="83" t="n">
        <f aca="false">IFERROR(IF(INDEX(원자료_시장!$A$1:$BZ$1000,설정!$L$6+ROW()-1,설정!$L$37)&amp;""="0","",INDEX(원자료_시장!$A$1:$BZ$1000,설정!$L$6+ROW()-1,설정!$L$37)),"")</f>
        <v>0</v>
      </c>
      <c r="C351" s="83" t="n">
        <f aca="false">IFERROR(IF(INDEX(원자료_시장!$A$1:$BZ$1000,설정!$L$6+ROW()-1,설정!$L$25)&amp;""="0","",INDEX(원자료_시장!$A$1:$BZ$1000,설정!$L$6+ROW()-1,설정!$L$25)),"")</f>
        <v>0</v>
      </c>
      <c r="D351" s="85" t="str">
        <f aca="false">IFERROR(IF(ISNUMBER(INDEX(원자료_시장!$A$1:$BZ$1000,설정!$L$6+ROW()-1,설정!$L$26)),INDEX(원자료_시장!$A$1:$BZ$1000,설정!$L$6+ROW()-1,설정!$L$26),""),"")</f>
        <v/>
      </c>
      <c r="E351" s="97" t="str">
        <f aca="false">IFERROR(IF(ISNUMBER(INDEX(원자료_시장!$A$1:$BZ$1000,설정!$L$6+ROW()-1,설정!$L$27)),INDEX(원자료_시장!$A$1:$BZ$1000,설정!$L$6+ROW()-1,설정!$L$27),""),"")</f>
        <v/>
      </c>
      <c r="F351" s="97" t="str">
        <f aca="false">IFERROR(IF(ISNUMBER(INDEX(원자료_시장!$A$1:$BZ$1000,설정!$L$6+ROW()-1,설정!$L$28)),INDEX(원자료_시장!$A$1:$BZ$1000,설정!$L$6+ROW()-1,설정!$L$28),""),"")</f>
        <v/>
      </c>
      <c r="G351" s="97" t="str">
        <f aca="false">IFERROR(IF(ISNUMBER(INDEX(원자료_시장!$A$1:$BZ$1000,설정!$L$6+ROW()-1,설정!$L$29)),INDEX(원자료_시장!$A$1:$BZ$1000,설정!$L$6+ROW()-1,설정!$L$29),""),"")</f>
        <v/>
      </c>
      <c r="H351" s="97" t="str">
        <f aca="false">IFERROR(IF(ISNUMBER(INDEX(원자료_시장!$A$1:$BZ$1000,설정!$L$6+ROW()-1,설정!$L$30)),INDEX(원자료_시장!$A$1:$BZ$1000,설정!$L$6+ROW()-1,설정!$L$30),""),"")</f>
        <v/>
      </c>
      <c r="I351" s="97" t="str">
        <f aca="false">IFERROR(IF(ISNUMBER(INDEX(원자료_시장!$A$1:$BZ$1000,설정!$L$6+ROW()-1,설정!$L$31)),INDEX(원자료_시장!$A$1:$BZ$1000,설정!$L$6+ROW()-1,설정!$L$31),""),"")</f>
        <v/>
      </c>
      <c r="J351" s="97" t="str">
        <f aca="false">IFERROR(IF(ISNUMBER(INDEX(원자료_시장!$A$1:$BZ$1000,설정!$L$6+ROW()-1,설정!$L$32)),INDEX(원자료_시장!$A$1:$BZ$1000,설정!$L$6+ROW()-1,설정!$L$32),""),"")</f>
        <v/>
      </c>
      <c r="K351" s="85" t="str">
        <f aca="false">IFERROR(IF(ISNUMBER(INDEX(원자료_시장!$A$1:$BZ$1000,설정!$L$6+ROW()-1,설정!$L$33)),INDEX(원자료_시장!$A$1:$BZ$1000,설정!$L$6+ROW()-1,설정!$L$33),""),"")</f>
        <v/>
      </c>
      <c r="L351" s="83" t="n">
        <f aca="false">IFERROR(IF(INDEX(원자료_시장!$A$1:$BZ$1000,설정!$L$6+ROW()-1,설정!$L$34)&amp;""="0","",INDEX(원자료_시장!$A$1:$BZ$1000,설정!$L$6+ROW()-1,설정!$L$34)),"")</f>
        <v>0</v>
      </c>
      <c r="M351" s="83" t="n">
        <f aca="false">IFERROR(IF(INDEX(원자료_시장!$A$1:$BZ$1000,설정!$L$6+ROW()-1,설정!$L$35)&amp;""="0","",INDEX(원자료_시장!$A$1:$BZ$1000,설정!$L$6+ROW()-1,설정!$L$35)),"")</f>
        <v>0</v>
      </c>
      <c r="N351" s="83" t="n">
        <f aca="false">IFERROR(IF(INDEX(원자료_시장!$A$1:$BZ$1000,설정!$L$6+ROW()-1,설정!$L$36)&amp;""="0","",INDEX(원자료_시장!$A$1:$BZ$1000,설정!$L$6+ROW()-1,설정!$L$36)),"")</f>
        <v>0</v>
      </c>
      <c r="O351" s="43" t="str">
        <f aca="false">IF($A351="","",UPPER(LEFT($A351,FIND(" ",$A351&amp;" ")-1)))</f>
        <v/>
      </c>
      <c r="P351" s="43" t="str">
        <f aca="false">IF($A351="","",TRIM(RIGHT(SUBSTITUTE(TRIM($A351)," ",REPT(" ",30)),30)))</f>
        <v/>
      </c>
      <c r="Q351" s="98" t="str">
        <f aca="false">IF($A351="","",IFERROR(DATE(IF(LEN(P351)=8,2000+VALUE(RIGHT(P351,2)),VALUE(RIGHT(P351,4))),VALUE(LEFT(P351,2)),VALUE(MID(P351,4,2))),""))</f>
        <v/>
      </c>
      <c r="R351" s="89" t="n">
        <f aca="false">IF($A351="",0,IF(ISNUMBER(SEARCH("Float",$A351)),1,0))</f>
        <v>0</v>
      </c>
      <c r="S351" s="43" t="str">
        <f aca="false">IF($A351="","",TRIM(MID($A351,LEN(O351)+2,LEN($A351)-LEN(O351)-LEN(P351)-1)))</f>
        <v/>
      </c>
      <c r="T351" s="92" t="str">
        <f aca="false">IF(OR($A351="",R351=1),"",IFERROR(IF(ISNUMBER(FIND("/",S351)),IF(ISNUMBER(FIND(" ",S351)),VALUE(LEFT(S351,FIND(" ",S351)-1))+VALUE(MID(S351,FIND(" ",S351)+1,FIND("/",S351)-FIND(" ",S351)-1))/VALUE(MID(S351,FIND("/",S351)+1,9)),VALUE(LEFT(S351,FIND("/",S351)-1))/VALUE(MID(S351,FIND("/",S351)+1,9))),VALUE(S351)),""))</f>
        <v/>
      </c>
      <c r="U351" s="43" t="str">
        <f aca="false">IF(OR($A351="",NOT(ISNUMBER(Q351))),"",TEXT(Q351,"yyyymmdd")&amp;"|"&amp;IF(R351=1,"F",TEXT(T351,"0.000")))</f>
        <v/>
      </c>
      <c r="V351" s="43" t="str">
        <f aca="false">IF(U351="","",O351&amp;"|"&amp;U351)</f>
        <v/>
      </c>
      <c r="W351" s="43" t="str">
        <f aca="false">IF($A351="","",IFERROR(IF(VLOOKUP(O351,매핑!$A$4:$E$92,3,0)="","미분류",VLOOKUP(O351,매핑!$A$4:$E$92,3,0)),"미분류"))</f>
        <v/>
      </c>
      <c r="X351" s="89" t="n">
        <f aca="false">IF($A351="",0,IF(O351="T",1,0))</f>
        <v>0</v>
      </c>
      <c r="Y351" s="89" t="n">
        <f aca="false">IF($A351="",0,IF(AND(C351="USD",X351=0,ISNUMBER(E351),ISNUMBER(K351)),IF(K351&gt;=설정!$C$8,1,0),0))</f>
        <v>0</v>
      </c>
      <c r="Z351" s="43" t="str">
        <f aca="false">IF($A351="","",N351&amp;"|"&amp;L351)</f>
        <v/>
      </c>
      <c r="AA351" s="92" t="n">
        <f aca="false">IF(Y351=1,LN(K351),0)</f>
        <v>0</v>
      </c>
      <c r="AB351" s="93" t="n">
        <f aca="false">IF(Y351=1,E351,0)</f>
        <v>0</v>
      </c>
      <c r="AC351" s="89" t="n">
        <f aca="false">IF(Y351=1,COUNTIFS($Z$2:$Z$601,Z351,$Y$2:$Y$601,1),0)</f>
        <v>0</v>
      </c>
      <c r="AD351" s="89" t="n">
        <f aca="false">IF(Y351=1,COUNTIFS($N$2:$N$601,N351,$Y$2:$Y$601,1),0)</f>
        <v>0</v>
      </c>
      <c r="AE351" s="43" t="str">
        <f aca="false">IF(Y351&lt;&gt;1,"",IF(AND(AC351&gt;=설정!$C$7,ISNUMBER(MATCH(Z351,피어커브!$A:$A,0))),Z351,IF(AND(AD351&gt;=설정!$C$7,ISNUMBER(MATCH(N351&amp;"|전체",피어커브!$A:$A,0))),N351&amp;"|전체","전체|전체")))</f>
        <v/>
      </c>
      <c r="AF351" s="93" t="str">
        <f aca="false">IF(AE351="","",INDEX(피어커브!$K:$K,MATCH(AE351,피어커브!$A:$A,0)))</f>
        <v/>
      </c>
      <c r="AG351" s="93" t="str">
        <f aca="false">IF(AE351="","",INDEX(피어커브!$J:$J,MATCH(AE351,피어커브!$A:$A,0)))</f>
        <v/>
      </c>
      <c r="AH351" s="93" t="str">
        <f aca="false">IF(AE351="","",INDEX(피어커브!$L:$L,MATCH(AE351,피어커브!$A:$A,0)))</f>
        <v/>
      </c>
      <c r="AI351" s="93" t="str">
        <f aca="false">IF(AE351="","",AF351+AG351*AA351)</f>
        <v/>
      </c>
      <c r="AJ351" s="96" t="str">
        <f aca="false">IF(AE351="","",E351-AI351)</f>
        <v/>
      </c>
      <c r="AK351" s="95" t="str">
        <f aca="false">IF(AE351="","",IF(ISNUMBER(AH351),IF(AH351&gt;0,AJ351/AH351,""),""))</f>
        <v/>
      </c>
      <c r="AL351" s="43" t="str">
        <f aca="false">IF(AK351="","-",IF(AK351&gt;=설정!$C$6,"Cheap",IF(AK351&lt;=-설정!$C$6,"Rich","Fair")))</f>
        <v>-</v>
      </c>
      <c r="AM351" s="96" t="str">
        <f aca="false">IF(AE351="","",AJ351-AVERAGEIFS($AJ$2:$AJ$601,$B$2:$B$601,B351,$Y$2:$Y$601,1))</f>
        <v/>
      </c>
      <c r="AN351" s="93" t="n">
        <f aca="false">IF(AE351="",0,IF(K351&gt;1+설정!$C$8,AG351*(AA351-LN(K351-1)),0))</f>
        <v>0</v>
      </c>
      <c r="AO351" s="99" t="n">
        <f aca="false">IF($A351="",0,SUMIFS(보유분석!$AA$2:$AA$801,보유분석!$AB$2:$AB$801,ROW(),보유분석!$AC$2:$AC$801,1))</f>
        <v>0</v>
      </c>
      <c r="AP351" s="43" t="str">
        <f aca="false">IF($A351="","",TRIM(IF(R351=1,"FRN ","")&amp;IF(IFERROR(VLOOKUP(M351,설정!$A$15:$D$47,4,0),0)&gt;=10,IF(IFERROR(VLOOKUP(M351,설정!$A$15:$D$47,4,0),0)&lt;99,"BBB0미만 ",""),"")&amp;IF(OR(M351="",M351="NR"),"등급미입력 ","")&amp;IF(C351&lt;&gt;"USD","비USD ","")))</f>
        <v/>
      </c>
      <c r="AQ351" s="90" t="n">
        <f aca="false">IF(AND(Y351=1,AL351="Cheap"),IF(AND(ISERROR(SEARCH("FRN",AP351)),ISERROR(SEARCH("BBB0미만",AP351))),AK351+ROW()/1000000000,-999),-999)</f>
        <v>-999</v>
      </c>
      <c r="AR351" s="92" t="str">
        <f aca="false">IF(AND(ISNUMBER(D351),ISNUMBER(K351)),D351+AN351*MAX(K351-1,0)/100,"")</f>
        <v/>
      </c>
      <c r="AS351" s="93" t="str">
        <f aca="false">IF(AND(ISNUMBER(E351),ISNUMBER(K351)),IF(K351&gt;0,(E351+AN351*MAX(K351-1,0))/K351,""),"")</f>
        <v/>
      </c>
      <c r="AT351" s="90" t="n">
        <f aca="false">IFERROR(IF(AND(Y351=1,ROW()&lt;&gt;스왑분석!$C$12+1,ABS(K351-INDEX($K$2:$K$601,스왑분석!$C$12))&lt;=스왑분석!$C$5,ISERROR(SEARCH("FRN",AP351)),ISERROR(SEARCH("BBB0미만",AP351))),IF(AND(OR(스왑분석!$C$6="N",L351=INDEX($L$2:$L$601,스왑분석!$C$12)),OR(스왑분석!$C$7="N",N351=INDEX($N$2:$N$601,스왑분석!$C$12)),OR(스왑분석!$C$8="N",AO351=0),E351-INDEX($E$2:$E$601,스왑분석!$C$12)&gt;=스왑분석!$C$9),E351-INDEX($E$2:$E$601,스왑분석!$C$12)+ROW()/1000000000,-999),-999),-999)</f>
        <v>-999</v>
      </c>
      <c r="AU351" s="90" t="n">
        <f aca="false">IF(AND(Y351=1,AO351&gt;0,AL351="Rich"),-AK351+ROW()/1000000000,-999)</f>
        <v>-999</v>
      </c>
    </row>
    <row r="352" customFormat="false" ht="15" hidden="false" customHeight="false" outlineLevel="0" collapsed="false">
      <c r="A352" s="83" t="n">
        <f aca="false">IFERROR(IF(INDEX(원자료_시장!$A$1:$BZ$1000,설정!$L$6+ROW()-1,설정!$L$24)&amp;""="0","",INDEX(원자료_시장!$A$1:$BZ$1000,설정!$L$6+ROW()-1,설정!$L$24)),"")</f>
        <v>0</v>
      </c>
      <c r="B352" s="83" t="n">
        <f aca="false">IFERROR(IF(INDEX(원자료_시장!$A$1:$BZ$1000,설정!$L$6+ROW()-1,설정!$L$37)&amp;""="0","",INDEX(원자료_시장!$A$1:$BZ$1000,설정!$L$6+ROW()-1,설정!$L$37)),"")</f>
        <v>0</v>
      </c>
      <c r="C352" s="83" t="n">
        <f aca="false">IFERROR(IF(INDEX(원자료_시장!$A$1:$BZ$1000,설정!$L$6+ROW()-1,설정!$L$25)&amp;""="0","",INDEX(원자료_시장!$A$1:$BZ$1000,설정!$L$6+ROW()-1,설정!$L$25)),"")</f>
        <v>0</v>
      </c>
      <c r="D352" s="85" t="str">
        <f aca="false">IFERROR(IF(ISNUMBER(INDEX(원자료_시장!$A$1:$BZ$1000,설정!$L$6+ROW()-1,설정!$L$26)),INDEX(원자료_시장!$A$1:$BZ$1000,설정!$L$6+ROW()-1,설정!$L$26),""),"")</f>
        <v/>
      </c>
      <c r="E352" s="97" t="str">
        <f aca="false">IFERROR(IF(ISNUMBER(INDEX(원자료_시장!$A$1:$BZ$1000,설정!$L$6+ROW()-1,설정!$L$27)),INDEX(원자료_시장!$A$1:$BZ$1000,설정!$L$6+ROW()-1,설정!$L$27),""),"")</f>
        <v/>
      </c>
      <c r="F352" s="97" t="str">
        <f aca="false">IFERROR(IF(ISNUMBER(INDEX(원자료_시장!$A$1:$BZ$1000,설정!$L$6+ROW()-1,설정!$L$28)),INDEX(원자료_시장!$A$1:$BZ$1000,설정!$L$6+ROW()-1,설정!$L$28),""),"")</f>
        <v/>
      </c>
      <c r="G352" s="97" t="str">
        <f aca="false">IFERROR(IF(ISNUMBER(INDEX(원자료_시장!$A$1:$BZ$1000,설정!$L$6+ROW()-1,설정!$L$29)),INDEX(원자료_시장!$A$1:$BZ$1000,설정!$L$6+ROW()-1,설정!$L$29),""),"")</f>
        <v/>
      </c>
      <c r="H352" s="97" t="str">
        <f aca="false">IFERROR(IF(ISNUMBER(INDEX(원자료_시장!$A$1:$BZ$1000,설정!$L$6+ROW()-1,설정!$L$30)),INDEX(원자료_시장!$A$1:$BZ$1000,설정!$L$6+ROW()-1,설정!$L$30),""),"")</f>
        <v/>
      </c>
      <c r="I352" s="97" t="str">
        <f aca="false">IFERROR(IF(ISNUMBER(INDEX(원자료_시장!$A$1:$BZ$1000,설정!$L$6+ROW()-1,설정!$L$31)),INDEX(원자료_시장!$A$1:$BZ$1000,설정!$L$6+ROW()-1,설정!$L$31),""),"")</f>
        <v/>
      </c>
      <c r="J352" s="97" t="str">
        <f aca="false">IFERROR(IF(ISNUMBER(INDEX(원자료_시장!$A$1:$BZ$1000,설정!$L$6+ROW()-1,설정!$L$32)),INDEX(원자료_시장!$A$1:$BZ$1000,설정!$L$6+ROW()-1,설정!$L$32),""),"")</f>
        <v/>
      </c>
      <c r="K352" s="85" t="str">
        <f aca="false">IFERROR(IF(ISNUMBER(INDEX(원자료_시장!$A$1:$BZ$1000,설정!$L$6+ROW()-1,설정!$L$33)),INDEX(원자료_시장!$A$1:$BZ$1000,설정!$L$6+ROW()-1,설정!$L$33),""),"")</f>
        <v/>
      </c>
      <c r="L352" s="83" t="n">
        <f aca="false">IFERROR(IF(INDEX(원자료_시장!$A$1:$BZ$1000,설정!$L$6+ROW()-1,설정!$L$34)&amp;""="0","",INDEX(원자료_시장!$A$1:$BZ$1000,설정!$L$6+ROW()-1,설정!$L$34)),"")</f>
        <v>0</v>
      </c>
      <c r="M352" s="83" t="n">
        <f aca="false">IFERROR(IF(INDEX(원자료_시장!$A$1:$BZ$1000,설정!$L$6+ROW()-1,설정!$L$35)&amp;""="0","",INDEX(원자료_시장!$A$1:$BZ$1000,설정!$L$6+ROW()-1,설정!$L$35)),"")</f>
        <v>0</v>
      </c>
      <c r="N352" s="83" t="n">
        <f aca="false">IFERROR(IF(INDEX(원자료_시장!$A$1:$BZ$1000,설정!$L$6+ROW()-1,설정!$L$36)&amp;""="0","",INDEX(원자료_시장!$A$1:$BZ$1000,설정!$L$6+ROW()-1,설정!$L$36)),"")</f>
        <v>0</v>
      </c>
      <c r="O352" s="43" t="str">
        <f aca="false">IF($A352="","",UPPER(LEFT($A352,FIND(" ",$A352&amp;" ")-1)))</f>
        <v/>
      </c>
      <c r="P352" s="43" t="str">
        <f aca="false">IF($A352="","",TRIM(RIGHT(SUBSTITUTE(TRIM($A352)," ",REPT(" ",30)),30)))</f>
        <v/>
      </c>
      <c r="Q352" s="98" t="str">
        <f aca="false">IF($A352="","",IFERROR(DATE(IF(LEN(P352)=8,2000+VALUE(RIGHT(P352,2)),VALUE(RIGHT(P352,4))),VALUE(LEFT(P352,2)),VALUE(MID(P352,4,2))),""))</f>
        <v/>
      </c>
      <c r="R352" s="89" t="n">
        <f aca="false">IF($A352="",0,IF(ISNUMBER(SEARCH("Float",$A352)),1,0))</f>
        <v>0</v>
      </c>
      <c r="S352" s="43" t="str">
        <f aca="false">IF($A352="","",TRIM(MID($A352,LEN(O352)+2,LEN($A352)-LEN(O352)-LEN(P352)-1)))</f>
        <v/>
      </c>
      <c r="T352" s="92" t="str">
        <f aca="false">IF(OR($A352="",R352=1),"",IFERROR(IF(ISNUMBER(FIND("/",S352)),IF(ISNUMBER(FIND(" ",S352)),VALUE(LEFT(S352,FIND(" ",S352)-1))+VALUE(MID(S352,FIND(" ",S352)+1,FIND("/",S352)-FIND(" ",S352)-1))/VALUE(MID(S352,FIND("/",S352)+1,9)),VALUE(LEFT(S352,FIND("/",S352)-1))/VALUE(MID(S352,FIND("/",S352)+1,9))),VALUE(S352)),""))</f>
        <v/>
      </c>
      <c r="U352" s="43" t="str">
        <f aca="false">IF(OR($A352="",NOT(ISNUMBER(Q352))),"",TEXT(Q352,"yyyymmdd")&amp;"|"&amp;IF(R352=1,"F",TEXT(T352,"0.000")))</f>
        <v/>
      </c>
      <c r="V352" s="43" t="str">
        <f aca="false">IF(U352="","",O352&amp;"|"&amp;U352)</f>
        <v/>
      </c>
      <c r="W352" s="43" t="str">
        <f aca="false">IF($A352="","",IFERROR(IF(VLOOKUP(O352,매핑!$A$4:$E$92,3,0)="","미분류",VLOOKUP(O352,매핑!$A$4:$E$92,3,0)),"미분류"))</f>
        <v/>
      </c>
      <c r="X352" s="89" t="n">
        <f aca="false">IF($A352="",0,IF(O352="T",1,0))</f>
        <v>0</v>
      </c>
      <c r="Y352" s="89" t="n">
        <f aca="false">IF($A352="",0,IF(AND(C352="USD",X352=0,ISNUMBER(E352),ISNUMBER(K352)),IF(K352&gt;=설정!$C$8,1,0),0))</f>
        <v>0</v>
      </c>
      <c r="Z352" s="43" t="str">
        <f aca="false">IF($A352="","",N352&amp;"|"&amp;L352)</f>
        <v/>
      </c>
      <c r="AA352" s="92" t="n">
        <f aca="false">IF(Y352=1,LN(K352),0)</f>
        <v>0</v>
      </c>
      <c r="AB352" s="93" t="n">
        <f aca="false">IF(Y352=1,E352,0)</f>
        <v>0</v>
      </c>
      <c r="AC352" s="89" t="n">
        <f aca="false">IF(Y352=1,COUNTIFS($Z$2:$Z$601,Z352,$Y$2:$Y$601,1),0)</f>
        <v>0</v>
      </c>
      <c r="AD352" s="89" t="n">
        <f aca="false">IF(Y352=1,COUNTIFS($N$2:$N$601,N352,$Y$2:$Y$601,1),0)</f>
        <v>0</v>
      </c>
      <c r="AE352" s="43" t="str">
        <f aca="false">IF(Y352&lt;&gt;1,"",IF(AND(AC352&gt;=설정!$C$7,ISNUMBER(MATCH(Z352,피어커브!$A:$A,0))),Z352,IF(AND(AD352&gt;=설정!$C$7,ISNUMBER(MATCH(N352&amp;"|전체",피어커브!$A:$A,0))),N352&amp;"|전체","전체|전체")))</f>
        <v/>
      </c>
      <c r="AF352" s="93" t="str">
        <f aca="false">IF(AE352="","",INDEX(피어커브!$K:$K,MATCH(AE352,피어커브!$A:$A,0)))</f>
        <v/>
      </c>
      <c r="AG352" s="93" t="str">
        <f aca="false">IF(AE352="","",INDEX(피어커브!$J:$J,MATCH(AE352,피어커브!$A:$A,0)))</f>
        <v/>
      </c>
      <c r="AH352" s="93" t="str">
        <f aca="false">IF(AE352="","",INDEX(피어커브!$L:$L,MATCH(AE352,피어커브!$A:$A,0)))</f>
        <v/>
      </c>
      <c r="AI352" s="93" t="str">
        <f aca="false">IF(AE352="","",AF352+AG352*AA352)</f>
        <v/>
      </c>
      <c r="AJ352" s="96" t="str">
        <f aca="false">IF(AE352="","",E352-AI352)</f>
        <v/>
      </c>
      <c r="AK352" s="95" t="str">
        <f aca="false">IF(AE352="","",IF(ISNUMBER(AH352),IF(AH352&gt;0,AJ352/AH352,""),""))</f>
        <v/>
      </c>
      <c r="AL352" s="43" t="str">
        <f aca="false">IF(AK352="","-",IF(AK352&gt;=설정!$C$6,"Cheap",IF(AK352&lt;=-설정!$C$6,"Rich","Fair")))</f>
        <v>-</v>
      </c>
      <c r="AM352" s="96" t="str">
        <f aca="false">IF(AE352="","",AJ352-AVERAGEIFS($AJ$2:$AJ$601,$B$2:$B$601,B352,$Y$2:$Y$601,1))</f>
        <v/>
      </c>
      <c r="AN352" s="93" t="n">
        <f aca="false">IF(AE352="",0,IF(K352&gt;1+설정!$C$8,AG352*(AA352-LN(K352-1)),0))</f>
        <v>0</v>
      </c>
      <c r="AO352" s="99" t="n">
        <f aca="false">IF($A352="",0,SUMIFS(보유분석!$AA$2:$AA$801,보유분석!$AB$2:$AB$801,ROW(),보유분석!$AC$2:$AC$801,1))</f>
        <v>0</v>
      </c>
      <c r="AP352" s="43" t="str">
        <f aca="false">IF($A352="","",TRIM(IF(R352=1,"FRN ","")&amp;IF(IFERROR(VLOOKUP(M352,설정!$A$15:$D$47,4,0),0)&gt;=10,IF(IFERROR(VLOOKUP(M352,설정!$A$15:$D$47,4,0),0)&lt;99,"BBB0미만 ",""),"")&amp;IF(OR(M352="",M352="NR"),"등급미입력 ","")&amp;IF(C352&lt;&gt;"USD","비USD ","")))</f>
        <v/>
      </c>
      <c r="AQ352" s="90" t="n">
        <f aca="false">IF(AND(Y352=1,AL352="Cheap"),IF(AND(ISERROR(SEARCH("FRN",AP352)),ISERROR(SEARCH("BBB0미만",AP352))),AK352+ROW()/1000000000,-999),-999)</f>
        <v>-999</v>
      </c>
      <c r="AR352" s="92" t="str">
        <f aca="false">IF(AND(ISNUMBER(D352),ISNUMBER(K352)),D352+AN352*MAX(K352-1,0)/100,"")</f>
        <v/>
      </c>
      <c r="AS352" s="93" t="str">
        <f aca="false">IF(AND(ISNUMBER(E352),ISNUMBER(K352)),IF(K352&gt;0,(E352+AN352*MAX(K352-1,0))/K352,""),"")</f>
        <v/>
      </c>
      <c r="AT352" s="90" t="n">
        <f aca="false">IFERROR(IF(AND(Y352=1,ROW()&lt;&gt;스왑분석!$C$12+1,ABS(K352-INDEX($K$2:$K$601,스왑분석!$C$12))&lt;=스왑분석!$C$5,ISERROR(SEARCH("FRN",AP352)),ISERROR(SEARCH("BBB0미만",AP352))),IF(AND(OR(스왑분석!$C$6="N",L352=INDEX($L$2:$L$601,스왑분석!$C$12)),OR(스왑분석!$C$7="N",N352=INDEX($N$2:$N$601,스왑분석!$C$12)),OR(스왑분석!$C$8="N",AO352=0),E352-INDEX($E$2:$E$601,스왑분석!$C$12)&gt;=스왑분석!$C$9),E352-INDEX($E$2:$E$601,스왑분석!$C$12)+ROW()/1000000000,-999),-999),-999)</f>
        <v>-999</v>
      </c>
      <c r="AU352" s="90" t="n">
        <f aca="false">IF(AND(Y352=1,AO352&gt;0,AL352="Rich"),-AK352+ROW()/1000000000,-999)</f>
        <v>-999</v>
      </c>
    </row>
    <row r="353" customFormat="false" ht="15" hidden="false" customHeight="false" outlineLevel="0" collapsed="false">
      <c r="A353" s="83" t="n">
        <f aca="false">IFERROR(IF(INDEX(원자료_시장!$A$1:$BZ$1000,설정!$L$6+ROW()-1,설정!$L$24)&amp;""="0","",INDEX(원자료_시장!$A$1:$BZ$1000,설정!$L$6+ROW()-1,설정!$L$24)),"")</f>
        <v>0</v>
      </c>
      <c r="B353" s="83" t="n">
        <f aca="false">IFERROR(IF(INDEX(원자료_시장!$A$1:$BZ$1000,설정!$L$6+ROW()-1,설정!$L$37)&amp;""="0","",INDEX(원자료_시장!$A$1:$BZ$1000,설정!$L$6+ROW()-1,설정!$L$37)),"")</f>
        <v>0</v>
      </c>
      <c r="C353" s="83" t="n">
        <f aca="false">IFERROR(IF(INDEX(원자료_시장!$A$1:$BZ$1000,설정!$L$6+ROW()-1,설정!$L$25)&amp;""="0","",INDEX(원자료_시장!$A$1:$BZ$1000,설정!$L$6+ROW()-1,설정!$L$25)),"")</f>
        <v>0</v>
      </c>
      <c r="D353" s="85" t="str">
        <f aca="false">IFERROR(IF(ISNUMBER(INDEX(원자료_시장!$A$1:$BZ$1000,설정!$L$6+ROW()-1,설정!$L$26)),INDEX(원자료_시장!$A$1:$BZ$1000,설정!$L$6+ROW()-1,설정!$L$26),""),"")</f>
        <v/>
      </c>
      <c r="E353" s="97" t="str">
        <f aca="false">IFERROR(IF(ISNUMBER(INDEX(원자료_시장!$A$1:$BZ$1000,설정!$L$6+ROW()-1,설정!$L$27)),INDEX(원자료_시장!$A$1:$BZ$1000,설정!$L$6+ROW()-1,설정!$L$27),""),"")</f>
        <v/>
      </c>
      <c r="F353" s="97" t="str">
        <f aca="false">IFERROR(IF(ISNUMBER(INDEX(원자료_시장!$A$1:$BZ$1000,설정!$L$6+ROW()-1,설정!$L$28)),INDEX(원자료_시장!$A$1:$BZ$1000,설정!$L$6+ROW()-1,설정!$L$28),""),"")</f>
        <v/>
      </c>
      <c r="G353" s="97" t="str">
        <f aca="false">IFERROR(IF(ISNUMBER(INDEX(원자료_시장!$A$1:$BZ$1000,설정!$L$6+ROW()-1,설정!$L$29)),INDEX(원자료_시장!$A$1:$BZ$1000,설정!$L$6+ROW()-1,설정!$L$29),""),"")</f>
        <v/>
      </c>
      <c r="H353" s="97" t="str">
        <f aca="false">IFERROR(IF(ISNUMBER(INDEX(원자료_시장!$A$1:$BZ$1000,설정!$L$6+ROW()-1,설정!$L$30)),INDEX(원자료_시장!$A$1:$BZ$1000,설정!$L$6+ROW()-1,설정!$L$30),""),"")</f>
        <v/>
      </c>
      <c r="I353" s="97" t="str">
        <f aca="false">IFERROR(IF(ISNUMBER(INDEX(원자료_시장!$A$1:$BZ$1000,설정!$L$6+ROW()-1,설정!$L$31)),INDEX(원자료_시장!$A$1:$BZ$1000,설정!$L$6+ROW()-1,설정!$L$31),""),"")</f>
        <v/>
      </c>
      <c r="J353" s="97" t="str">
        <f aca="false">IFERROR(IF(ISNUMBER(INDEX(원자료_시장!$A$1:$BZ$1000,설정!$L$6+ROW()-1,설정!$L$32)),INDEX(원자료_시장!$A$1:$BZ$1000,설정!$L$6+ROW()-1,설정!$L$32),""),"")</f>
        <v/>
      </c>
      <c r="K353" s="85" t="str">
        <f aca="false">IFERROR(IF(ISNUMBER(INDEX(원자료_시장!$A$1:$BZ$1000,설정!$L$6+ROW()-1,설정!$L$33)),INDEX(원자료_시장!$A$1:$BZ$1000,설정!$L$6+ROW()-1,설정!$L$33),""),"")</f>
        <v/>
      </c>
      <c r="L353" s="83" t="n">
        <f aca="false">IFERROR(IF(INDEX(원자료_시장!$A$1:$BZ$1000,설정!$L$6+ROW()-1,설정!$L$34)&amp;""="0","",INDEX(원자료_시장!$A$1:$BZ$1000,설정!$L$6+ROW()-1,설정!$L$34)),"")</f>
        <v>0</v>
      </c>
      <c r="M353" s="83" t="n">
        <f aca="false">IFERROR(IF(INDEX(원자료_시장!$A$1:$BZ$1000,설정!$L$6+ROW()-1,설정!$L$35)&amp;""="0","",INDEX(원자료_시장!$A$1:$BZ$1000,설정!$L$6+ROW()-1,설정!$L$35)),"")</f>
        <v>0</v>
      </c>
      <c r="N353" s="83" t="n">
        <f aca="false">IFERROR(IF(INDEX(원자료_시장!$A$1:$BZ$1000,설정!$L$6+ROW()-1,설정!$L$36)&amp;""="0","",INDEX(원자료_시장!$A$1:$BZ$1000,설정!$L$6+ROW()-1,설정!$L$36)),"")</f>
        <v>0</v>
      </c>
      <c r="O353" s="43" t="str">
        <f aca="false">IF($A353="","",UPPER(LEFT($A353,FIND(" ",$A353&amp;" ")-1)))</f>
        <v/>
      </c>
      <c r="P353" s="43" t="str">
        <f aca="false">IF($A353="","",TRIM(RIGHT(SUBSTITUTE(TRIM($A353)," ",REPT(" ",30)),30)))</f>
        <v/>
      </c>
      <c r="Q353" s="98" t="str">
        <f aca="false">IF($A353="","",IFERROR(DATE(IF(LEN(P353)=8,2000+VALUE(RIGHT(P353,2)),VALUE(RIGHT(P353,4))),VALUE(LEFT(P353,2)),VALUE(MID(P353,4,2))),""))</f>
        <v/>
      </c>
      <c r="R353" s="89" t="n">
        <f aca="false">IF($A353="",0,IF(ISNUMBER(SEARCH("Float",$A353)),1,0))</f>
        <v>0</v>
      </c>
      <c r="S353" s="43" t="str">
        <f aca="false">IF($A353="","",TRIM(MID($A353,LEN(O353)+2,LEN($A353)-LEN(O353)-LEN(P353)-1)))</f>
        <v/>
      </c>
      <c r="T353" s="92" t="str">
        <f aca="false">IF(OR($A353="",R353=1),"",IFERROR(IF(ISNUMBER(FIND("/",S353)),IF(ISNUMBER(FIND(" ",S353)),VALUE(LEFT(S353,FIND(" ",S353)-1))+VALUE(MID(S353,FIND(" ",S353)+1,FIND("/",S353)-FIND(" ",S353)-1))/VALUE(MID(S353,FIND("/",S353)+1,9)),VALUE(LEFT(S353,FIND("/",S353)-1))/VALUE(MID(S353,FIND("/",S353)+1,9))),VALUE(S353)),""))</f>
        <v/>
      </c>
      <c r="U353" s="43" t="str">
        <f aca="false">IF(OR($A353="",NOT(ISNUMBER(Q353))),"",TEXT(Q353,"yyyymmdd")&amp;"|"&amp;IF(R353=1,"F",TEXT(T353,"0.000")))</f>
        <v/>
      </c>
      <c r="V353" s="43" t="str">
        <f aca="false">IF(U353="","",O353&amp;"|"&amp;U353)</f>
        <v/>
      </c>
      <c r="W353" s="43" t="str">
        <f aca="false">IF($A353="","",IFERROR(IF(VLOOKUP(O353,매핑!$A$4:$E$92,3,0)="","미분류",VLOOKUP(O353,매핑!$A$4:$E$92,3,0)),"미분류"))</f>
        <v/>
      </c>
      <c r="X353" s="89" t="n">
        <f aca="false">IF($A353="",0,IF(O353="T",1,0))</f>
        <v>0</v>
      </c>
      <c r="Y353" s="89" t="n">
        <f aca="false">IF($A353="",0,IF(AND(C353="USD",X353=0,ISNUMBER(E353),ISNUMBER(K353)),IF(K353&gt;=설정!$C$8,1,0),0))</f>
        <v>0</v>
      </c>
      <c r="Z353" s="43" t="str">
        <f aca="false">IF($A353="","",N353&amp;"|"&amp;L353)</f>
        <v/>
      </c>
      <c r="AA353" s="92" t="n">
        <f aca="false">IF(Y353=1,LN(K353),0)</f>
        <v>0</v>
      </c>
      <c r="AB353" s="93" t="n">
        <f aca="false">IF(Y353=1,E353,0)</f>
        <v>0</v>
      </c>
      <c r="AC353" s="89" t="n">
        <f aca="false">IF(Y353=1,COUNTIFS($Z$2:$Z$601,Z353,$Y$2:$Y$601,1),0)</f>
        <v>0</v>
      </c>
      <c r="AD353" s="89" t="n">
        <f aca="false">IF(Y353=1,COUNTIFS($N$2:$N$601,N353,$Y$2:$Y$601,1),0)</f>
        <v>0</v>
      </c>
      <c r="AE353" s="43" t="str">
        <f aca="false">IF(Y353&lt;&gt;1,"",IF(AND(AC353&gt;=설정!$C$7,ISNUMBER(MATCH(Z353,피어커브!$A:$A,0))),Z353,IF(AND(AD353&gt;=설정!$C$7,ISNUMBER(MATCH(N353&amp;"|전체",피어커브!$A:$A,0))),N353&amp;"|전체","전체|전체")))</f>
        <v/>
      </c>
      <c r="AF353" s="93" t="str">
        <f aca="false">IF(AE353="","",INDEX(피어커브!$K:$K,MATCH(AE353,피어커브!$A:$A,0)))</f>
        <v/>
      </c>
      <c r="AG353" s="93" t="str">
        <f aca="false">IF(AE353="","",INDEX(피어커브!$J:$J,MATCH(AE353,피어커브!$A:$A,0)))</f>
        <v/>
      </c>
      <c r="AH353" s="93" t="str">
        <f aca="false">IF(AE353="","",INDEX(피어커브!$L:$L,MATCH(AE353,피어커브!$A:$A,0)))</f>
        <v/>
      </c>
      <c r="AI353" s="93" t="str">
        <f aca="false">IF(AE353="","",AF353+AG353*AA353)</f>
        <v/>
      </c>
      <c r="AJ353" s="96" t="str">
        <f aca="false">IF(AE353="","",E353-AI353)</f>
        <v/>
      </c>
      <c r="AK353" s="95" t="str">
        <f aca="false">IF(AE353="","",IF(ISNUMBER(AH353),IF(AH353&gt;0,AJ353/AH353,""),""))</f>
        <v/>
      </c>
      <c r="AL353" s="43" t="str">
        <f aca="false">IF(AK353="","-",IF(AK353&gt;=설정!$C$6,"Cheap",IF(AK353&lt;=-설정!$C$6,"Rich","Fair")))</f>
        <v>-</v>
      </c>
      <c r="AM353" s="96" t="str">
        <f aca="false">IF(AE353="","",AJ353-AVERAGEIFS($AJ$2:$AJ$601,$B$2:$B$601,B353,$Y$2:$Y$601,1))</f>
        <v/>
      </c>
      <c r="AN353" s="93" t="n">
        <f aca="false">IF(AE353="",0,IF(K353&gt;1+설정!$C$8,AG353*(AA353-LN(K353-1)),0))</f>
        <v>0</v>
      </c>
      <c r="AO353" s="99" t="n">
        <f aca="false">IF($A353="",0,SUMIFS(보유분석!$AA$2:$AA$801,보유분석!$AB$2:$AB$801,ROW(),보유분석!$AC$2:$AC$801,1))</f>
        <v>0</v>
      </c>
      <c r="AP353" s="43" t="str">
        <f aca="false">IF($A353="","",TRIM(IF(R353=1,"FRN ","")&amp;IF(IFERROR(VLOOKUP(M353,설정!$A$15:$D$47,4,0),0)&gt;=10,IF(IFERROR(VLOOKUP(M353,설정!$A$15:$D$47,4,0),0)&lt;99,"BBB0미만 ",""),"")&amp;IF(OR(M353="",M353="NR"),"등급미입력 ","")&amp;IF(C353&lt;&gt;"USD","비USD ","")))</f>
        <v/>
      </c>
      <c r="AQ353" s="90" t="n">
        <f aca="false">IF(AND(Y353=1,AL353="Cheap"),IF(AND(ISERROR(SEARCH("FRN",AP353)),ISERROR(SEARCH("BBB0미만",AP353))),AK353+ROW()/1000000000,-999),-999)</f>
        <v>-999</v>
      </c>
      <c r="AR353" s="92" t="str">
        <f aca="false">IF(AND(ISNUMBER(D353),ISNUMBER(K353)),D353+AN353*MAX(K353-1,0)/100,"")</f>
        <v/>
      </c>
      <c r="AS353" s="93" t="str">
        <f aca="false">IF(AND(ISNUMBER(E353),ISNUMBER(K353)),IF(K353&gt;0,(E353+AN353*MAX(K353-1,0))/K353,""),"")</f>
        <v/>
      </c>
      <c r="AT353" s="90" t="n">
        <f aca="false">IFERROR(IF(AND(Y353=1,ROW()&lt;&gt;스왑분석!$C$12+1,ABS(K353-INDEX($K$2:$K$601,스왑분석!$C$12))&lt;=스왑분석!$C$5,ISERROR(SEARCH("FRN",AP353)),ISERROR(SEARCH("BBB0미만",AP353))),IF(AND(OR(스왑분석!$C$6="N",L353=INDEX($L$2:$L$601,스왑분석!$C$12)),OR(스왑분석!$C$7="N",N353=INDEX($N$2:$N$601,스왑분석!$C$12)),OR(스왑분석!$C$8="N",AO353=0),E353-INDEX($E$2:$E$601,스왑분석!$C$12)&gt;=스왑분석!$C$9),E353-INDEX($E$2:$E$601,스왑분석!$C$12)+ROW()/1000000000,-999),-999),-999)</f>
        <v>-999</v>
      </c>
      <c r="AU353" s="90" t="n">
        <f aca="false">IF(AND(Y353=1,AO353&gt;0,AL353="Rich"),-AK353+ROW()/1000000000,-999)</f>
        <v>-999</v>
      </c>
    </row>
    <row r="354" customFormat="false" ht="15" hidden="false" customHeight="false" outlineLevel="0" collapsed="false">
      <c r="A354" s="83" t="n">
        <f aca="false">IFERROR(IF(INDEX(원자료_시장!$A$1:$BZ$1000,설정!$L$6+ROW()-1,설정!$L$24)&amp;""="0","",INDEX(원자료_시장!$A$1:$BZ$1000,설정!$L$6+ROW()-1,설정!$L$24)),"")</f>
        <v>0</v>
      </c>
      <c r="B354" s="83" t="n">
        <f aca="false">IFERROR(IF(INDEX(원자료_시장!$A$1:$BZ$1000,설정!$L$6+ROW()-1,설정!$L$37)&amp;""="0","",INDEX(원자료_시장!$A$1:$BZ$1000,설정!$L$6+ROW()-1,설정!$L$37)),"")</f>
        <v>0</v>
      </c>
      <c r="C354" s="83" t="n">
        <f aca="false">IFERROR(IF(INDEX(원자료_시장!$A$1:$BZ$1000,설정!$L$6+ROW()-1,설정!$L$25)&amp;""="0","",INDEX(원자료_시장!$A$1:$BZ$1000,설정!$L$6+ROW()-1,설정!$L$25)),"")</f>
        <v>0</v>
      </c>
      <c r="D354" s="85" t="str">
        <f aca="false">IFERROR(IF(ISNUMBER(INDEX(원자료_시장!$A$1:$BZ$1000,설정!$L$6+ROW()-1,설정!$L$26)),INDEX(원자료_시장!$A$1:$BZ$1000,설정!$L$6+ROW()-1,설정!$L$26),""),"")</f>
        <v/>
      </c>
      <c r="E354" s="97" t="str">
        <f aca="false">IFERROR(IF(ISNUMBER(INDEX(원자료_시장!$A$1:$BZ$1000,설정!$L$6+ROW()-1,설정!$L$27)),INDEX(원자료_시장!$A$1:$BZ$1000,설정!$L$6+ROW()-1,설정!$L$27),""),"")</f>
        <v/>
      </c>
      <c r="F354" s="97" t="str">
        <f aca="false">IFERROR(IF(ISNUMBER(INDEX(원자료_시장!$A$1:$BZ$1000,설정!$L$6+ROW()-1,설정!$L$28)),INDEX(원자료_시장!$A$1:$BZ$1000,설정!$L$6+ROW()-1,설정!$L$28),""),"")</f>
        <v/>
      </c>
      <c r="G354" s="97" t="str">
        <f aca="false">IFERROR(IF(ISNUMBER(INDEX(원자료_시장!$A$1:$BZ$1000,설정!$L$6+ROW()-1,설정!$L$29)),INDEX(원자료_시장!$A$1:$BZ$1000,설정!$L$6+ROW()-1,설정!$L$29),""),"")</f>
        <v/>
      </c>
      <c r="H354" s="97" t="str">
        <f aca="false">IFERROR(IF(ISNUMBER(INDEX(원자료_시장!$A$1:$BZ$1000,설정!$L$6+ROW()-1,설정!$L$30)),INDEX(원자료_시장!$A$1:$BZ$1000,설정!$L$6+ROW()-1,설정!$L$30),""),"")</f>
        <v/>
      </c>
      <c r="I354" s="97" t="str">
        <f aca="false">IFERROR(IF(ISNUMBER(INDEX(원자료_시장!$A$1:$BZ$1000,설정!$L$6+ROW()-1,설정!$L$31)),INDEX(원자료_시장!$A$1:$BZ$1000,설정!$L$6+ROW()-1,설정!$L$31),""),"")</f>
        <v/>
      </c>
      <c r="J354" s="97" t="str">
        <f aca="false">IFERROR(IF(ISNUMBER(INDEX(원자료_시장!$A$1:$BZ$1000,설정!$L$6+ROW()-1,설정!$L$32)),INDEX(원자료_시장!$A$1:$BZ$1000,설정!$L$6+ROW()-1,설정!$L$32),""),"")</f>
        <v/>
      </c>
      <c r="K354" s="85" t="str">
        <f aca="false">IFERROR(IF(ISNUMBER(INDEX(원자료_시장!$A$1:$BZ$1000,설정!$L$6+ROW()-1,설정!$L$33)),INDEX(원자료_시장!$A$1:$BZ$1000,설정!$L$6+ROW()-1,설정!$L$33),""),"")</f>
        <v/>
      </c>
      <c r="L354" s="83" t="n">
        <f aca="false">IFERROR(IF(INDEX(원자료_시장!$A$1:$BZ$1000,설정!$L$6+ROW()-1,설정!$L$34)&amp;""="0","",INDEX(원자료_시장!$A$1:$BZ$1000,설정!$L$6+ROW()-1,설정!$L$34)),"")</f>
        <v>0</v>
      </c>
      <c r="M354" s="83" t="n">
        <f aca="false">IFERROR(IF(INDEX(원자료_시장!$A$1:$BZ$1000,설정!$L$6+ROW()-1,설정!$L$35)&amp;""="0","",INDEX(원자료_시장!$A$1:$BZ$1000,설정!$L$6+ROW()-1,설정!$L$35)),"")</f>
        <v>0</v>
      </c>
      <c r="N354" s="83" t="n">
        <f aca="false">IFERROR(IF(INDEX(원자료_시장!$A$1:$BZ$1000,설정!$L$6+ROW()-1,설정!$L$36)&amp;""="0","",INDEX(원자료_시장!$A$1:$BZ$1000,설정!$L$6+ROW()-1,설정!$L$36)),"")</f>
        <v>0</v>
      </c>
      <c r="O354" s="43" t="str">
        <f aca="false">IF($A354="","",UPPER(LEFT($A354,FIND(" ",$A354&amp;" ")-1)))</f>
        <v/>
      </c>
      <c r="P354" s="43" t="str">
        <f aca="false">IF($A354="","",TRIM(RIGHT(SUBSTITUTE(TRIM($A354)," ",REPT(" ",30)),30)))</f>
        <v/>
      </c>
      <c r="Q354" s="98" t="str">
        <f aca="false">IF($A354="","",IFERROR(DATE(IF(LEN(P354)=8,2000+VALUE(RIGHT(P354,2)),VALUE(RIGHT(P354,4))),VALUE(LEFT(P354,2)),VALUE(MID(P354,4,2))),""))</f>
        <v/>
      </c>
      <c r="R354" s="89" t="n">
        <f aca="false">IF($A354="",0,IF(ISNUMBER(SEARCH("Float",$A354)),1,0))</f>
        <v>0</v>
      </c>
      <c r="S354" s="43" t="str">
        <f aca="false">IF($A354="","",TRIM(MID($A354,LEN(O354)+2,LEN($A354)-LEN(O354)-LEN(P354)-1)))</f>
        <v/>
      </c>
      <c r="T354" s="92" t="str">
        <f aca="false">IF(OR($A354="",R354=1),"",IFERROR(IF(ISNUMBER(FIND("/",S354)),IF(ISNUMBER(FIND(" ",S354)),VALUE(LEFT(S354,FIND(" ",S354)-1))+VALUE(MID(S354,FIND(" ",S354)+1,FIND("/",S354)-FIND(" ",S354)-1))/VALUE(MID(S354,FIND("/",S354)+1,9)),VALUE(LEFT(S354,FIND("/",S354)-1))/VALUE(MID(S354,FIND("/",S354)+1,9))),VALUE(S354)),""))</f>
        <v/>
      </c>
      <c r="U354" s="43" t="str">
        <f aca="false">IF(OR($A354="",NOT(ISNUMBER(Q354))),"",TEXT(Q354,"yyyymmdd")&amp;"|"&amp;IF(R354=1,"F",TEXT(T354,"0.000")))</f>
        <v/>
      </c>
      <c r="V354" s="43" t="str">
        <f aca="false">IF(U354="","",O354&amp;"|"&amp;U354)</f>
        <v/>
      </c>
      <c r="W354" s="43" t="str">
        <f aca="false">IF($A354="","",IFERROR(IF(VLOOKUP(O354,매핑!$A$4:$E$92,3,0)="","미분류",VLOOKUP(O354,매핑!$A$4:$E$92,3,0)),"미분류"))</f>
        <v/>
      </c>
      <c r="X354" s="89" t="n">
        <f aca="false">IF($A354="",0,IF(O354="T",1,0))</f>
        <v>0</v>
      </c>
      <c r="Y354" s="89" t="n">
        <f aca="false">IF($A354="",0,IF(AND(C354="USD",X354=0,ISNUMBER(E354),ISNUMBER(K354)),IF(K354&gt;=설정!$C$8,1,0),0))</f>
        <v>0</v>
      </c>
      <c r="Z354" s="43" t="str">
        <f aca="false">IF($A354="","",N354&amp;"|"&amp;L354)</f>
        <v/>
      </c>
      <c r="AA354" s="92" t="n">
        <f aca="false">IF(Y354=1,LN(K354),0)</f>
        <v>0</v>
      </c>
      <c r="AB354" s="93" t="n">
        <f aca="false">IF(Y354=1,E354,0)</f>
        <v>0</v>
      </c>
      <c r="AC354" s="89" t="n">
        <f aca="false">IF(Y354=1,COUNTIFS($Z$2:$Z$601,Z354,$Y$2:$Y$601,1),0)</f>
        <v>0</v>
      </c>
      <c r="AD354" s="89" t="n">
        <f aca="false">IF(Y354=1,COUNTIFS($N$2:$N$601,N354,$Y$2:$Y$601,1),0)</f>
        <v>0</v>
      </c>
      <c r="AE354" s="43" t="str">
        <f aca="false">IF(Y354&lt;&gt;1,"",IF(AND(AC354&gt;=설정!$C$7,ISNUMBER(MATCH(Z354,피어커브!$A:$A,0))),Z354,IF(AND(AD354&gt;=설정!$C$7,ISNUMBER(MATCH(N354&amp;"|전체",피어커브!$A:$A,0))),N354&amp;"|전체","전체|전체")))</f>
        <v/>
      </c>
      <c r="AF354" s="93" t="str">
        <f aca="false">IF(AE354="","",INDEX(피어커브!$K:$K,MATCH(AE354,피어커브!$A:$A,0)))</f>
        <v/>
      </c>
      <c r="AG354" s="93" t="str">
        <f aca="false">IF(AE354="","",INDEX(피어커브!$J:$J,MATCH(AE354,피어커브!$A:$A,0)))</f>
        <v/>
      </c>
      <c r="AH354" s="93" t="str">
        <f aca="false">IF(AE354="","",INDEX(피어커브!$L:$L,MATCH(AE354,피어커브!$A:$A,0)))</f>
        <v/>
      </c>
      <c r="AI354" s="93" t="str">
        <f aca="false">IF(AE354="","",AF354+AG354*AA354)</f>
        <v/>
      </c>
      <c r="AJ354" s="96" t="str">
        <f aca="false">IF(AE354="","",E354-AI354)</f>
        <v/>
      </c>
      <c r="AK354" s="95" t="str">
        <f aca="false">IF(AE354="","",IF(ISNUMBER(AH354),IF(AH354&gt;0,AJ354/AH354,""),""))</f>
        <v/>
      </c>
      <c r="AL354" s="43" t="str">
        <f aca="false">IF(AK354="","-",IF(AK354&gt;=설정!$C$6,"Cheap",IF(AK354&lt;=-설정!$C$6,"Rich","Fair")))</f>
        <v>-</v>
      </c>
      <c r="AM354" s="96" t="str">
        <f aca="false">IF(AE354="","",AJ354-AVERAGEIFS($AJ$2:$AJ$601,$B$2:$B$601,B354,$Y$2:$Y$601,1))</f>
        <v/>
      </c>
      <c r="AN354" s="93" t="n">
        <f aca="false">IF(AE354="",0,IF(K354&gt;1+설정!$C$8,AG354*(AA354-LN(K354-1)),0))</f>
        <v>0</v>
      </c>
      <c r="AO354" s="99" t="n">
        <f aca="false">IF($A354="",0,SUMIFS(보유분석!$AA$2:$AA$801,보유분석!$AB$2:$AB$801,ROW(),보유분석!$AC$2:$AC$801,1))</f>
        <v>0</v>
      </c>
      <c r="AP354" s="43" t="str">
        <f aca="false">IF($A354="","",TRIM(IF(R354=1,"FRN ","")&amp;IF(IFERROR(VLOOKUP(M354,설정!$A$15:$D$47,4,0),0)&gt;=10,IF(IFERROR(VLOOKUP(M354,설정!$A$15:$D$47,4,0),0)&lt;99,"BBB0미만 ",""),"")&amp;IF(OR(M354="",M354="NR"),"등급미입력 ","")&amp;IF(C354&lt;&gt;"USD","비USD ","")))</f>
        <v/>
      </c>
      <c r="AQ354" s="90" t="n">
        <f aca="false">IF(AND(Y354=1,AL354="Cheap"),IF(AND(ISERROR(SEARCH("FRN",AP354)),ISERROR(SEARCH("BBB0미만",AP354))),AK354+ROW()/1000000000,-999),-999)</f>
        <v>-999</v>
      </c>
      <c r="AR354" s="92" t="str">
        <f aca="false">IF(AND(ISNUMBER(D354),ISNUMBER(K354)),D354+AN354*MAX(K354-1,0)/100,"")</f>
        <v/>
      </c>
      <c r="AS354" s="93" t="str">
        <f aca="false">IF(AND(ISNUMBER(E354),ISNUMBER(K354)),IF(K354&gt;0,(E354+AN354*MAX(K354-1,0))/K354,""),"")</f>
        <v/>
      </c>
      <c r="AT354" s="90" t="n">
        <f aca="false">IFERROR(IF(AND(Y354=1,ROW()&lt;&gt;스왑분석!$C$12+1,ABS(K354-INDEX($K$2:$K$601,스왑분석!$C$12))&lt;=스왑분석!$C$5,ISERROR(SEARCH("FRN",AP354)),ISERROR(SEARCH("BBB0미만",AP354))),IF(AND(OR(스왑분석!$C$6="N",L354=INDEX($L$2:$L$601,스왑분석!$C$12)),OR(스왑분석!$C$7="N",N354=INDEX($N$2:$N$601,스왑분석!$C$12)),OR(스왑분석!$C$8="N",AO354=0),E354-INDEX($E$2:$E$601,스왑분석!$C$12)&gt;=스왑분석!$C$9),E354-INDEX($E$2:$E$601,스왑분석!$C$12)+ROW()/1000000000,-999),-999),-999)</f>
        <v>-999</v>
      </c>
      <c r="AU354" s="90" t="n">
        <f aca="false">IF(AND(Y354=1,AO354&gt;0,AL354="Rich"),-AK354+ROW()/1000000000,-999)</f>
        <v>-999</v>
      </c>
    </row>
    <row r="355" customFormat="false" ht="15" hidden="false" customHeight="false" outlineLevel="0" collapsed="false">
      <c r="A355" s="83" t="n">
        <f aca="false">IFERROR(IF(INDEX(원자료_시장!$A$1:$BZ$1000,설정!$L$6+ROW()-1,설정!$L$24)&amp;""="0","",INDEX(원자료_시장!$A$1:$BZ$1000,설정!$L$6+ROW()-1,설정!$L$24)),"")</f>
        <v>0</v>
      </c>
      <c r="B355" s="83" t="n">
        <f aca="false">IFERROR(IF(INDEX(원자료_시장!$A$1:$BZ$1000,설정!$L$6+ROW()-1,설정!$L$37)&amp;""="0","",INDEX(원자료_시장!$A$1:$BZ$1000,설정!$L$6+ROW()-1,설정!$L$37)),"")</f>
        <v>0</v>
      </c>
      <c r="C355" s="83" t="n">
        <f aca="false">IFERROR(IF(INDEX(원자료_시장!$A$1:$BZ$1000,설정!$L$6+ROW()-1,설정!$L$25)&amp;""="0","",INDEX(원자료_시장!$A$1:$BZ$1000,설정!$L$6+ROW()-1,설정!$L$25)),"")</f>
        <v>0</v>
      </c>
      <c r="D355" s="85" t="str">
        <f aca="false">IFERROR(IF(ISNUMBER(INDEX(원자료_시장!$A$1:$BZ$1000,설정!$L$6+ROW()-1,설정!$L$26)),INDEX(원자료_시장!$A$1:$BZ$1000,설정!$L$6+ROW()-1,설정!$L$26),""),"")</f>
        <v/>
      </c>
      <c r="E355" s="97" t="str">
        <f aca="false">IFERROR(IF(ISNUMBER(INDEX(원자료_시장!$A$1:$BZ$1000,설정!$L$6+ROW()-1,설정!$L$27)),INDEX(원자료_시장!$A$1:$BZ$1000,설정!$L$6+ROW()-1,설정!$L$27),""),"")</f>
        <v/>
      </c>
      <c r="F355" s="97" t="str">
        <f aca="false">IFERROR(IF(ISNUMBER(INDEX(원자료_시장!$A$1:$BZ$1000,설정!$L$6+ROW()-1,설정!$L$28)),INDEX(원자료_시장!$A$1:$BZ$1000,설정!$L$6+ROW()-1,설정!$L$28),""),"")</f>
        <v/>
      </c>
      <c r="G355" s="97" t="str">
        <f aca="false">IFERROR(IF(ISNUMBER(INDEX(원자료_시장!$A$1:$BZ$1000,설정!$L$6+ROW()-1,설정!$L$29)),INDEX(원자료_시장!$A$1:$BZ$1000,설정!$L$6+ROW()-1,설정!$L$29),""),"")</f>
        <v/>
      </c>
      <c r="H355" s="97" t="str">
        <f aca="false">IFERROR(IF(ISNUMBER(INDEX(원자료_시장!$A$1:$BZ$1000,설정!$L$6+ROW()-1,설정!$L$30)),INDEX(원자료_시장!$A$1:$BZ$1000,설정!$L$6+ROW()-1,설정!$L$30),""),"")</f>
        <v/>
      </c>
      <c r="I355" s="97" t="str">
        <f aca="false">IFERROR(IF(ISNUMBER(INDEX(원자료_시장!$A$1:$BZ$1000,설정!$L$6+ROW()-1,설정!$L$31)),INDEX(원자료_시장!$A$1:$BZ$1000,설정!$L$6+ROW()-1,설정!$L$31),""),"")</f>
        <v/>
      </c>
      <c r="J355" s="97" t="str">
        <f aca="false">IFERROR(IF(ISNUMBER(INDEX(원자료_시장!$A$1:$BZ$1000,설정!$L$6+ROW()-1,설정!$L$32)),INDEX(원자료_시장!$A$1:$BZ$1000,설정!$L$6+ROW()-1,설정!$L$32),""),"")</f>
        <v/>
      </c>
      <c r="K355" s="85" t="str">
        <f aca="false">IFERROR(IF(ISNUMBER(INDEX(원자료_시장!$A$1:$BZ$1000,설정!$L$6+ROW()-1,설정!$L$33)),INDEX(원자료_시장!$A$1:$BZ$1000,설정!$L$6+ROW()-1,설정!$L$33),""),"")</f>
        <v/>
      </c>
      <c r="L355" s="83" t="n">
        <f aca="false">IFERROR(IF(INDEX(원자료_시장!$A$1:$BZ$1000,설정!$L$6+ROW()-1,설정!$L$34)&amp;""="0","",INDEX(원자료_시장!$A$1:$BZ$1000,설정!$L$6+ROW()-1,설정!$L$34)),"")</f>
        <v>0</v>
      </c>
      <c r="M355" s="83" t="n">
        <f aca="false">IFERROR(IF(INDEX(원자료_시장!$A$1:$BZ$1000,설정!$L$6+ROW()-1,설정!$L$35)&amp;""="0","",INDEX(원자료_시장!$A$1:$BZ$1000,설정!$L$6+ROW()-1,설정!$L$35)),"")</f>
        <v>0</v>
      </c>
      <c r="N355" s="83" t="n">
        <f aca="false">IFERROR(IF(INDEX(원자료_시장!$A$1:$BZ$1000,설정!$L$6+ROW()-1,설정!$L$36)&amp;""="0","",INDEX(원자료_시장!$A$1:$BZ$1000,설정!$L$6+ROW()-1,설정!$L$36)),"")</f>
        <v>0</v>
      </c>
      <c r="O355" s="43" t="str">
        <f aca="false">IF($A355="","",UPPER(LEFT($A355,FIND(" ",$A355&amp;" ")-1)))</f>
        <v/>
      </c>
      <c r="P355" s="43" t="str">
        <f aca="false">IF($A355="","",TRIM(RIGHT(SUBSTITUTE(TRIM($A355)," ",REPT(" ",30)),30)))</f>
        <v/>
      </c>
      <c r="Q355" s="98" t="str">
        <f aca="false">IF($A355="","",IFERROR(DATE(IF(LEN(P355)=8,2000+VALUE(RIGHT(P355,2)),VALUE(RIGHT(P355,4))),VALUE(LEFT(P355,2)),VALUE(MID(P355,4,2))),""))</f>
        <v/>
      </c>
      <c r="R355" s="89" t="n">
        <f aca="false">IF($A355="",0,IF(ISNUMBER(SEARCH("Float",$A355)),1,0))</f>
        <v>0</v>
      </c>
      <c r="S355" s="43" t="str">
        <f aca="false">IF($A355="","",TRIM(MID($A355,LEN(O355)+2,LEN($A355)-LEN(O355)-LEN(P355)-1)))</f>
        <v/>
      </c>
      <c r="T355" s="92" t="str">
        <f aca="false">IF(OR($A355="",R355=1),"",IFERROR(IF(ISNUMBER(FIND("/",S355)),IF(ISNUMBER(FIND(" ",S355)),VALUE(LEFT(S355,FIND(" ",S355)-1))+VALUE(MID(S355,FIND(" ",S355)+1,FIND("/",S355)-FIND(" ",S355)-1))/VALUE(MID(S355,FIND("/",S355)+1,9)),VALUE(LEFT(S355,FIND("/",S355)-1))/VALUE(MID(S355,FIND("/",S355)+1,9))),VALUE(S355)),""))</f>
        <v/>
      </c>
      <c r="U355" s="43" t="str">
        <f aca="false">IF(OR($A355="",NOT(ISNUMBER(Q355))),"",TEXT(Q355,"yyyymmdd")&amp;"|"&amp;IF(R355=1,"F",TEXT(T355,"0.000")))</f>
        <v/>
      </c>
      <c r="V355" s="43" t="str">
        <f aca="false">IF(U355="","",O355&amp;"|"&amp;U355)</f>
        <v/>
      </c>
      <c r="W355" s="43" t="str">
        <f aca="false">IF($A355="","",IFERROR(IF(VLOOKUP(O355,매핑!$A$4:$E$92,3,0)="","미분류",VLOOKUP(O355,매핑!$A$4:$E$92,3,0)),"미분류"))</f>
        <v/>
      </c>
      <c r="X355" s="89" t="n">
        <f aca="false">IF($A355="",0,IF(O355="T",1,0))</f>
        <v>0</v>
      </c>
      <c r="Y355" s="89" t="n">
        <f aca="false">IF($A355="",0,IF(AND(C355="USD",X355=0,ISNUMBER(E355),ISNUMBER(K355)),IF(K355&gt;=설정!$C$8,1,0),0))</f>
        <v>0</v>
      </c>
      <c r="Z355" s="43" t="str">
        <f aca="false">IF($A355="","",N355&amp;"|"&amp;L355)</f>
        <v/>
      </c>
      <c r="AA355" s="92" t="n">
        <f aca="false">IF(Y355=1,LN(K355),0)</f>
        <v>0</v>
      </c>
      <c r="AB355" s="93" t="n">
        <f aca="false">IF(Y355=1,E355,0)</f>
        <v>0</v>
      </c>
      <c r="AC355" s="89" t="n">
        <f aca="false">IF(Y355=1,COUNTIFS($Z$2:$Z$601,Z355,$Y$2:$Y$601,1),0)</f>
        <v>0</v>
      </c>
      <c r="AD355" s="89" t="n">
        <f aca="false">IF(Y355=1,COUNTIFS($N$2:$N$601,N355,$Y$2:$Y$601,1),0)</f>
        <v>0</v>
      </c>
      <c r="AE355" s="43" t="str">
        <f aca="false">IF(Y355&lt;&gt;1,"",IF(AND(AC355&gt;=설정!$C$7,ISNUMBER(MATCH(Z355,피어커브!$A:$A,0))),Z355,IF(AND(AD355&gt;=설정!$C$7,ISNUMBER(MATCH(N355&amp;"|전체",피어커브!$A:$A,0))),N355&amp;"|전체","전체|전체")))</f>
        <v/>
      </c>
      <c r="AF355" s="93" t="str">
        <f aca="false">IF(AE355="","",INDEX(피어커브!$K:$K,MATCH(AE355,피어커브!$A:$A,0)))</f>
        <v/>
      </c>
      <c r="AG355" s="93" t="str">
        <f aca="false">IF(AE355="","",INDEX(피어커브!$J:$J,MATCH(AE355,피어커브!$A:$A,0)))</f>
        <v/>
      </c>
      <c r="AH355" s="93" t="str">
        <f aca="false">IF(AE355="","",INDEX(피어커브!$L:$L,MATCH(AE355,피어커브!$A:$A,0)))</f>
        <v/>
      </c>
      <c r="AI355" s="93" t="str">
        <f aca="false">IF(AE355="","",AF355+AG355*AA355)</f>
        <v/>
      </c>
      <c r="AJ355" s="96" t="str">
        <f aca="false">IF(AE355="","",E355-AI355)</f>
        <v/>
      </c>
      <c r="AK355" s="95" t="str">
        <f aca="false">IF(AE355="","",IF(ISNUMBER(AH355),IF(AH355&gt;0,AJ355/AH355,""),""))</f>
        <v/>
      </c>
      <c r="AL355" s="43" t="str">
        <f aca="false">IF(AK355="","-",IF(AK355&gt;=설정!$C$6,"Cheap",IF(AK355&lt;=-설정!$C$6,"Rich","Fair")))</f>
        <v>-</v>
      </c>
      <c r="AM355" s="96" t="str">
        <f aca="false">IF(AE355="","",AJ355-AVERAGEIFS($AJ$2:$AJ$601,$B$2:$B$601,B355,$Y$2:$Y$601,1))</f>
        <v/>
      </c>
      <c r="AN355" s="93" t="n">
        <f aca="false">IF(AE355="",0,IF(K355&gt;1+설정!$C$8,AG355*(AA355-LN(K355-1)),0))</f>
        <v>0</v>
      </c>
      <c r="AO355" s="99" t="n">
        <f aca="false">IF($A355="",0,SUMIFS(보유분석!$AA$2:$AA$801,보유분석!$AB$2:$AB$801,ROW(),보유분석!$AC$2:$AC$801,1))</f>
        <v>0</v>
      </c>
      <c r="AP355" s="43" t="str">
        <f aca="false">IF($A355="","",TRIM(IF(R355=1,"FRN ","")&amp;IF(IFERROR(VLOOKUP(M355,설정!$A$15:$D$47,4,0),0)&gt;=10,IF(IFERROR(VLOOKUP(M355,설정!$A$15:$D$47,4,0),0)&lt;99,"BBB0미만 ",""),"")&amp;IF(OR(M355="",M355="NR"),"등급미입력 ","")&amp;IF(C355&lt;&gt;"USD","비USD ","")))</f>
        <v/>
      </c>
      <c r="AQ355" s="90" t="n">
        <f aca="false">IF(AND(Y355=1,AL355="Cheap"),IF(AND(ISERROR(SEARCH("FRN",AP355)),ISERROR(SEARCH("BBB0미만",AP355))),AK355+ROW()/1000000000,-999),-999)</f>
        <v>-999</v>
      </c>
      <c r="AR355" s="92" t="str">
        <f aca="false">IF(AND(ISNUMBER(D355),ISNUMBER(K355)),D355+AN355*MAX(K355-1,0)/100,"")</f>
        <v/>
      </c>
      <c r="AS355" s="93" t="str">
        <f aca="false">IF(AND(ISNUMBER(E355),ISNUMBER(K355)),IF(K355&gt;0,(E355+AN355*MAX(K355-1,0))/K355,""),"")</f>
        <v/>
      </c>
      <c r="AT355" s="90" t="n">
        <f aca="false">IFERROR(IF(AND(Y355=1,ROW()&lt;&gt;스왑분석!$C$12+1,ABS(K355-INDEX($K$2:$K$601,스왑분석!$C$12))&lt;=스왑분석!$C$5,ISERROR(SEARCH("FRN",AP355)),ISERROR(SEARCH("BBB0미만",AP355))),IF(AND(OR(스왑분석!$C$6="N",L355=INDEX($L$2:$L$601,스왑분석!$C$12)),OR(스왑분석!$C$7="N",N355=INDEX($N$2:$N$601,스왑분석!$C$12)),OR(스왑분석!$C$8="N",AO355=0),E355-INDEX($E$2:$E$601,스왑분석!$C$12)&gt;=스왑분석!$C$9),E355-INDEX($E$2:$E$601,스왑분석!$C$12)+ROW()/1000000000,-999),-999),-999)</f>
        <v>-999</v>
      </c>
      <c r="AU355" s="90" t="n">
        <f aca="false">IF(AND(Y355=1,AO355&gt;0,AL355="Rich"),-AK355+ROW()/1000000000,-999)</f>
        <v>-999</v>
      </c>
    </row>
    <row r="356" customFormat="false" ht="15" hidden="false" customHeight="false" outlineLevel="0" collapsed="false">
      <c r="A356" s="83" t="n">
        <f aca="false">IFERROR(IF(INDEX(원자료_시장!$A$1:$BZ$1000,설정!$L$6+ROW()-1,설정!$L$24)&amp;""="0","",INDEX(원자료_시장!$A$1:$BZ$1000,설정!$L$6+ROW()-1,설정!$L$24)),"")</f>
        <v>0</v>
      </c>
      <c r="B356" s="83" t="n">
        <f aca="false">IFERROR(IF(INDEX(원자료_시장!$A$1:$BZ$1000,설정!$L$6+ROW()-1,설정!$L$37)&amp;""="0","",INDEX(원자료_시장!$A$1:$BZ$1000,설정!$L$6+ROW()-1,설정!$L$37)),"")</f>
        <v>0</v>
      </c>
      <c r="C356" s="83" t="n">
        <f aca="false">IFERROR(IF(INDEX(원자료_시장!$A$1:$BZ$1000,설정!$L$6+ROW()-1,설정!$L$25)&amp;""="0","",INDEX(원자료_시장!$A$1:$BZ$1000,설정!$L$6+ROW()-1,설정!$L$25)),"")</f>
        <v>0</v>
      </c>
      <c r="D356" s="85" t="str">
        <f aca="false">IFERROR(IF(ISNUMBER(INDEX(원자료_시장!$A$1:$BZ$1000,설정!$L$6+ROW()-1,설정!$L$26)),INDEX(원자료_시장!$A$1:$BZ$1000,설정!$L$6+ROW()-1,설정!$L$26),""),"")</f>
        <v/>
      </c>
      <c r="E356" s="97" t="str">
        <f aca="false">IFERROR(IF(ISNUMBER(INDEX(원자료_시장!$A$1:$BZ$1000,설정!$L$6+ROW()-1,설정!$L$27)),INDEX(원자료_시장!$A$1:$BZ$1000,설정!$L$6+ROW()-1,설정!$L$27),""),"")</f>
        <v/>
      </c>
      <c r="F356" s="97" t="str">
        <f aca="false">IFERROR(IF(ISNUMBER(INDEX(원자료_시장!$A$1:$BZ$1000,설정!$L$6+ROW()-1,설정!$L$28)),INDEX(원자료_시장!$A$1:$BZ$1000,설정!$L$6+ROW()-1,설정!$L$28),""),"")</f>
        <v/>
      </c>
      <c r="G356" s="97" t="str">
        <f aca="false">IFERROR(IF(ISNUMBER(INDEX(원자료_시장!$A$1:$BZ$1000,설정!$L$6+ROW()-1,설정!$L$29)),INDEX(원자료_시장!$A$1:$BZ$1000,설정!$L$6+ROW()-1,설정!$L$29),""),"")</f>
        <v/>
      </c>
      <c r="H356" s="97" t="str">
        <f aca="false">IFERROR(IF(ISNUMBER(INDEX(원자료_시장!$A$1:$BZ$1000,설정!$L$6+ROW()-1,설정!$L$30)),INDEX(원자료_시장!$A$1:$BZ$1000,설정!$L$6+ROW()-1,설정!$L$30),""),"")</f>
        <v/>
      </c>
      <c r="I356" s="97" t="str">
        <f aca="false">IFERROR(IF(ISNUMBER(INDEX(원자료_시장!$A$1:$BZ$1000,설정!$L$6+ROW()-1,설정!$L$31)),INDEX(원자료_시장!$A$1:$BZ$1000,설정!$L$6+ROW()-1,설정!$L$31),""),"")</f>
        <v/>
      </c>
      <c r="J356" s="97" t="str">
        <f aca="false">IFERROR(IF(ISNUMBER(INDEX(원자료_시장!$A$1:$BZ$1000,설정!$L$6+ROW()-1,설정!$L$32)),INDEX(원자료_시장!$A$1:$BZ$1000,설정!$L$6+ROW()-1,설정!$L$32),""),"")</f>
        <v/>
      </c>
      <c r="K356" s="85" t="str">
        <f aca="false">IFERROR(IF(ISNUMBER(INDEX(원자료_시장!$A$1:$BZ$1000,설정!$L$6+ROW()-1,설정!$L$33)),INDEX(원자료_시장!$A$1:$BZ$1000,설정!$L$6+ROW()-1,설정!$L$33),""),"")</f>
        <v/>
      </c>
      <c r="L356" s="83" t="n">
        <f aca="false">IFERROR(IF(INDEX(원자료_시장!$A$1:$BZ$1000,설정!$L$6+ROW()-1,설정!$L$34)&amp;""="0","",INDEX(원자료_시장!$A$1:$BZ$1000,설정!$L$6+ROW()-1,설정!$L$34)),"")</f>
        <v>0</v>
      </c>
      <c r="M356" s="83" t="n">
        <f aca="false">IFERROR(IF(INDEX(원자료_시장!$A$1:$BZ$1000,설정!$L$6+ROW()-1,설정!$L$35)&amp;""="0","",INDEX(원자료_시장!$A$1:$BZ$1000,설정!$L$6+ROW()-1,설정!$L$35)),"")</f>
        <v>0</v>
      </c>
      <c r="N356" s="83" t="n">
        <f aca="false">IFERROR(IF(INDEX(원자료_시장!$A$1:$BZ$1000,설정!$L$6+ROW()-1,설정!$L$36)&amp;""="0","",INDEX(원자료_시장!$A$1:$BZ$1000,설정!$L$6+ROW()-1,설정!$L$36)),"")</f>
        <v>0</v>
      </c>
      <c r="O356" s="43" t="str">
        <f aca="false">IF($A356="","",UPPER(LEFT($A356,FIND(" ",$A356&amp;" ")-1)))</f>
        <v/>
      </c>
      <c r="P356" s="43" t="str">
        <f aca="false">IF($A356="","",TRIM(RIGHT(SUBSTITUTE(TRIM($A356)," ",REPT(" ",30)),30)))</f>
        <v/>
      </c>
      <c r="Q356" s="98" t="str">
        <f aca="false">IF($A356="","",IFERROR(DATE(IF(LEN(P356)=8,2000+VALUE(RIGHT(P356,2)),VALUE(RIGHT(P356,4))),VALUE(LEFT(P356,2)),VALUE(MID(P356,4,2))),""))</f>
        <v/>
      </c>
      <c r="R356" s="89" t="n">
        <f aca="false">IF($A356="",0,IF(ISNUMBER(SEARCH("Float",$A356)),1,0))</f>
        <v>0</v>
      </c>
      <c r="S356" s="43" t="str">
        <f aca="false">IF($A356="","",TRIM(MID($A356,LEN(O356)+2,LEN($A356)-LEN(O356)-LEN(P356)-1)))</f>
        <v/>
      </c>
      <c r="T356" s="92" t="str">
        <f aca="false">IF(OR($A356="",R356=1),"",IFERROR(IF(ISNUMBER(FIND("/",S356)),IF(ISNUMBER(FIND(" ",S356)),VALUE(LEFT(S356,FIND(" ",S356)-1))+VALUE(MID(S356,FIND(" ",S356)+1,FIND("/",S356)-FIND(" ",S356)-1))/VALUE(MID(S356,FIND("/",S356)+1,9)),VALUE(LEFT(S356,FIND("/",S356)-1))/VALUE(MID(S356,FIND("/",S356)+1,9))),VALUE(S356)),""))</f>
        <v/>
      </c>
      <c r="U356" s="43" t="str">
        <f aca="false">IF(OR($A356="",NOT(ISNUMBER(Q356))),"",TEXT(Q356,"yyyymmdd")&amp;"|"&amp;IF(R356=1,"F",TEXT(T356,"0.000")))</f>
        <v/>
      </c>
      <c r="V356" s="43" t="str">
        <f aca="false">IF(U356="","",O356&amp;"|"&amp;U356)</f>
        <v/>
      </c>
      <c r="W356" s="43" t="str">
        <f aca="false">IF($A356="","",IFERROR(IF(VLOOKUP(O356,매핑!$A$4:$E$92,3,0)="","미분류",VLOOKUP(O356,매핑!$A$4:$E$92,3,0)),"미분류"))</f>
        <v/>
      </c>
      <c r="X356" s="89" t="n">
        <f aca="false">IF($A356="",0,IF(O356="T",1,0))</f>
        <v>0</v>
      </c>
      <c r="Y356" s="89" t="n">
        <f aca="false">IF($A356="",0,IF(AND(C356="USD",X356=0,ISNUMBER(E356),ISNUMBER(K356)),IF(K356&gt;=설정!$C$8,1,0),0))</f>
        <v>0</v>
      </c>
      <c r="Z356" s="43" t="str">
        <f aca="false">IF($A356="","",N356&amp;"|"&amp;L356)</f>
        <v/>
      </c>
      <c r="AA356" s="92" t="n">
        <f aca="false">IF(Y356=1,LN(K356),0)</f>
        <v>0</v>
      </c>
      <c r="AB356" s="93" t="n">
        <f aca="false">IF(Y356=1,E356,0)</f>
        <v>0</v>
      </c>
      <c r="AC356" s="89" t="n">
        <f aca="false">IF(Y356=1,COUNTIFS($Z$2:$Z$601,Z356,$Y$2:$Y$601,1),0)</f>
        <v>0</v>
      </c>
      <c r="AD356" s="89" t="n">
        <f aca="false">IF(Y356=1,COUNTIFS($N$2:$N$601,N356,$Y$2:$Y$601,1),0)</f>
        <v>0</v>
      </c>
      <c r="AE356" s="43" t="str">
        <f aca="false">IF(Y356&lt;&gt;1,"",IF(AND(AC356&gt;=설정!$C$7,ISNUMBER(MATCH(Z356,피어커브!$A:$A,0))),Z356,IF(AND(AD356&gt;=설정!$C$7,ISNUMBER(MATCH(N356&amp;"|전체",피어커브!$A:$A,0))),N356&amp;"|전체","전체|전체")))</f>
        <v/>
      </c>
      <c r="AF356" s="93" t="str">
        <f aca="false">IF(AE356="","",INDEX(피어커브!$K:$K,MATCH(AE356,피어커브!$A:$A,0)))</f>
        <v/>
      </c>
      <c r="AG356" s="93" t="str">
        <f aca="false">IF(AE356="","",INDEX(피어커브!$J:$J,MATCH(AE356,피어커브!$A:$A,0)))</f>
        <v/>
      </c>
      <c r="AH356" s="93" t="str">
        <f aca="false">IF(AE356="","",INDEX(피어커브!$L:$L,MATCH(AE356,피어커브!$A:$A,0)))</f>
        <v/>
      </c>
      <c r="AI356" s="93" t="str">
        <f aca="false">IF(AE356="","",AF356+AG356*AA356)</f>
        <v/>
      </c>
      <c r="AJ356" s="96" t="str">
        <f aca="false">IF(AE356="","",E356-AI356)</f>
        <v/>
      </c>
      <c r="AK356" s="95" t="str">
        <f aca="false">IF(AE356="","",IF(ISNUMBER(AH356),IF(AH356&gt;0,AJ356/AH356,""),""))</f>
        <v/>
      </c>
      <c r="AL356" s="43" t="str">
        <f aca="false">IF(AK356="","-",IF(AK356&gt;=설정!$C$6,"Cheap",IF(AK356&lt;=-설정!$C$6,"Rich","Fair")))</f>
        <v>-</v>
      </c>
      <c r="AM356" s="96" t="str">
        <f aca="false">IF(AE356="","",AJ356-AVERAGEIFS($AJ$2:$AJ$601,$B$2:$B$601,B356,$Y$2:$Y$601,1))</f>
        <v/>
      </c>
      <c r="AN356" s="93" t="n">
        <f aca="false">IF(AE356="",0,IF(K356&gt;1+설정!$C$8,AG356*(AA356-LN(K356-1)),0))</f>
        <v>0</v>
      </c>
      <c r="AO356" s="99" t="n">
        <f aca="false">IF($A356="",0,SUMIFS(보유분석!$AA$2:$AA$801,보유분석!$AB$2:$AB$801,ROW(),보유분석!$AC$2:$AC$801,1))</f>
        <v>0</v>
      </c>
      <c r="AP356" s="43" t="str">
        <f aca="false">IF($A356="","",TRIM(IF(R356=1,"FRN ","")&amp;IF(IFERROR(VLOOKUP(M356,설정!$A$15:$D$47,4,0),0)&gt;=10,IF(IFERROR(VLOOKUP(M356,설정!$A$15:$D$47,4,0),0)&lt;99,"BBB0미만 ",""),"")&amp;IF(OR(M356="",M356="NR"),"등급미입력 ","")&amp;IF(C356&lt;&gt;"USD","비USD ","")))</f>
        <v/>
      </c>
      <c r="AQ356" s="90" t="n">
        <f aca="false">IF(AND(Y356=1,AL356="Cheap"),IF(AND(ISERROR(SEARCH("FRN",AP356)),ISERROR(SEARCH("BBB0미만",AP356))),AK356+ROW()/1000000000,-999),-999)</f>
        <v>-999</v>
      </c>
      <c r="AR356" s="92" t="str">
        <f aca="false">IF(AND(ISNUMBER(D356),ISNUMBER(K356)),D356+AN356*MAX(K356-1,0)/100,"")</f>
        <v/>
      </c>
      <c r="AS356" s="93" t="str">
        <f aca="false">IF(AND(ISNUMBER(E356),ISNUMBER(K356)),IF(K356&gt;0,(E356+AN356*MAX(K356-1,0))/K356,""),"")</f>
        <v/>
      </c>
      <c r="AT356" s="90" t="n">
        <f aca="false">IFERROR(IF(AND(Y356=1,ROW()&lt;&gt;스왑분석!$C$12+1,ABS(K356-INDEX($K$2:$K$601,스왑분석!$C$12))&lt;=스왑분석!$C$5,ISERROR(SEARCH("FRN",AP356)),ISERROR(SEARCH("BBB0미만",AP356))),IF(AND(OR(스왑분석!$C$6="N",L356=INDEX($L$2:$L$601,스왑분석!$C$12)),OR(스왑분석!$C$7="N",N356=INDEX($N$2:$N$601,스왑분석!$C$12)),OR(스왑분석!$C$8="N",AO356=0),E356-INDEX($E$2:$E$601,스왑분석!$C$12)&gt;=스왑분석!$C$9),E356-INDEX($E$2:$E$601,스왑분석!$C$12)+ROW()/1000000000,-999),-999),-999)</f>
        <v>-999</v>
      </c>
      <c r="AU356" s="90" t="n">
        <f aca="false">IF(AND(Y356=1,AO356&gt;0,AL356="Rich"),-AK356+ROW()/1000000000,-999)</f>
        <v>-999</v>
      </c>
    </row>
    <row r="357" customFormat="false" ht="15" hidden="false" customHeight="false" outlineLevel="0" collapsed="false">
      <c r="A357" s="83" t="n">
        <f aca="false">IFERROR(IF(INDEX(원자료_시장!$A$1:$BZ$1000,설정!$L$6+ROW()-1,설정!$L$24)&amp;""="0","",INDEX(원자료_시장!$A$1:$BZ$1000,설정!$L$6+ROW()-1,설정!$L$24)),"")</f>
        <v>0</v>
      </c>
      <c r="B357" s="83" t="n">
        <f aca="false">IFERROR(IF(INDEX(원자료_시장!$A$1:$BZ$1000,설정!$L$6+ROW()-1,설정!$L$37)&amp;""="0","",INDEX(원자료_시장!$A$1:$BZ$1000,설정!$L$6+ROW()-1,설정!$L$37)),"")</f>
        <v>0</v>
      </c>
      <c r="C357" s="83" t="n">
        <f aca="false">IFERROR(IF(INDEX(원자료_시장!$A$1:$BZ$1000,설정!$L$6+ROW()-1,설정!$L$25)&amp;""="0","",INDEX(원자료_시장!$A$1:$BZ$1000,설정!$L$6+ROW()-1,설정!$L$25)),"")</f>
        <v>0</v>
      </c>
      <c r="D357" s="85" t="str">
        <f aca="false">IFERROR(IF(ISNUMBER(INDEX(원자료_시장!$A$1:$BZ$1000,설정!$L$6+ROW()-1,설정!$L$26)),INDEX(원자료_시장!$A$1:$BZ$1000,설정!$L$6+ROW()-1,설정!$L$26),""),"")</f>
        <v/>
      </c>
      <c r="E357" s="97" t="str">
        <f aca="false">IFERROR(IF(ISNUMBER(INDEX(원자료_시장!$A$1:$BZ$1000,설정!$L$6+ROW()-1,설정!$L$27)),INDEX(원자료_시장!$A$1:$BZ$1000,설정!$L$6+ROW()-1,설정!$L$27),""),"")</f>
        <v/>
      </c>
      <c r="F357" s="97" t="str">
        <f aca="false">IFERROR(IF(ISNUMBER(INDEX(원자료_시장!$A$1:$BZ$1000,설정!$L$6+ROW()-1,설정!$L$28)),INDEX(원자료_시장!$A$1:$BZ$1000,설정!$L$6+ROW()-1,설정!$L$28),""),"")</f>
        <v/>
      </c>
      <c r="G357" s="97" t="str">
        <f aca="false">IFERROR(IF(ISNUMBER(INDEX(원자료_시장!$A$1:$BZ$1000,설정!$L$6+ROW()-1,설정!$L$29)),INDEX(원자료_시장!$A$1:$BZ$1000,설정!$L$6+ROW()-1,설정!$L$29),""),"")</f>
        <v/>
      </c>
      <c r="H357" s="97" t="str">
        <f aca="false">IFERROR(IF(ISNUMBER(INDEX(원자료_시장!$A$1:$BZ$1000,설정!$L$6+ROW()-1,설정!$L$30)),INDEX(원자료_시장!$A$1:$BZ$1000,설정!$L$6+ROW()-1,설정!$L$30),""),"")</f>
        <v/>
      </c>
      <c r="I357" s="97" t="str">
        <f aca="false">IFERROR(IF(ISNUMBER(INDEX(원자료_시장!$A$1:$BZ$1000,설정!$L$6+ROW()-1,설정!$L$31)),INDEX(원자료_시장!$A$1:$BZ$1000,설정!$L$6+ROW()-1,설정!$L$31),""),"")</f>
        <v/>
      </c>
      <c r="J357" s="97" t="str">
        <f aca="false">IFERROR(IF(ISNUMBER(INDEX(원자료_시장!$A$1:$BZ$1000,설정!$L$6+ROW()-1,설정!$L$32)),INDEX(원자료_시장!$A$1:$BZ$1000,설정!$L$6+ROW()-1,설정!$L$32),""),"")</f>
        <v/>
      </c>
      <c r="K357" s="85" t="str">
        <f aca="false">IFERROR(IF(ISNUMBER(INDEX(원자료_시장!$A$1:$BZ$1000,설정!$L$6+ROW()-1,설정!$L$33)),INDEX(원자료_시장!$A$1:$BZ$1000,설정!$L$6+ROW()-1,설정!$L$33),""),"")</f>
        <v/>
      </c>
      <c r="L357" s="83" t="n">
        <f aca="false">IFERROR(IF(INDEX(원자료_시장!$A$1:$BZ$1000,설정!$L$6+ROW()-1,설정!$L$34)&amp;""="0","",INDEX(원자료_시장!$A$1:$BZ$1000,설정!$L$6+ROW()-1,설정!$L$34)),"")</f>
        <v>0</v>
      </c>
      <c r="M357" s="83" t="n">
        <f aca="false">IFERROR(IF(INDEX(원자료_시장!$A$1:$BZ$1000,설정!$L$6+ROW()-1,설정!$L$35)&amp;""="0","",INDEX(원자료_시장!$A$1:$BZ$1000,설정!$L$6+ROW()-1,설정!$L$35)),"")</f>
        <v>0</v>
      </c>
      <c r="N357" s="83" t="n">
        <f aca="false">IFERROR(IF(INDEX(원자료_시장!$A$1:$BZ$1000,설정!$L$6+ROW()-1,설정!$L$36)&amp;""="0","",INDEX(원자료_시장!$A$1:$BZ$1000,설정!$L$6+ROW()-1,설정!$L$36)),"")</f>
        <v>0</v>
      </c>
      <c r="O357" s="43" t="str">
        <f aca="false">IF($A357="","",UPPER(LEFT($A357,FIND(" ",$A357&amp;" ")-1)))</f>
        <v/>
      </c>
      <c r="P357" s="43" t="str">
        <f aca="false">IF($A357="","",TRIM(RIGHT(SUBSTITUTE(TRIM($A357)," ",REPT(" ",30)),30)))</f>
        <v/>
      </c>
      <c r="Q357" s="98" t="str">
        <f aca="false">IF($A357="","",IFERROR(DATE(IF(LEN(P357)=8,2000+VALUE(RIGHT(P357,2)),VALUE(RIGHT(P357,4))),VALUE(LEFT(P357,2)),VALUE(MID(P357,4,2))),""))</f>
        <v/>
      </c>
      <c r="R357" s="89" t="n">
        <f aca="false">IF($A357="",0,IF(ISNUMBER(SEARCH("Float",$A357)),1,0))</f>
        <v>0</v>
      </c>
      <c r="S357" s="43" t="str">
        <f aca="false">IF($A357="","",TRIM(MID($A357,LEN(O357)+2,LEN($A357)-LEN(O357)-LEN(P357)-1)))</f>
        <v/>
      </c>
      <c r="T357" s="92" t="str">
        <f aca="false">IF(OR($A357="",R357=1),"",IFERROR(IF(ISNUMBER(FIND("/",S357)),IF(ISNUMBER(FIND(" ",S357)),VALUE(LEFT(S357,FIND(" ",S357)-1))+VALUE(MID(S357,FIND(" ",S357)+1,FIND("/",S357)-FIND(" ",S357)-1))/VALUE(MID(S357,FIND("/",S357)+1,9)),VALUE(LEFT(S357,FIND("/",S357)-1))/VALUE(MID(S357,FIND("/",S357)+1,9))),VALUE(S357)),""))</f>
        <v/>
      </c>
      <c r="U357" s="43" t="str">
        <f aca="false">IF(OR($A357="",NOT(ISNUMBER(Q357))),"",TEXT(Q357,"yyyymmdd")&amp;"|"&amp;IF(R357=1,"F",TEXT(T357,"0.000")))</f>
        <v/>
      </c>
      <c r="V357" s="43" t="str">
        <f aca="false">IF(U357="","",O357&amp;"|"&amp;U357)</f>
        <v/>
      </c>
      <c r="W357" s="43" t="str">
        <f aca="false">IF($A357="","",IFERROR(IF(VLOOKUP(O357,매핑!$A$4:$E$92,3,0)="","미분류",VLOOKUP(O357,매핑!$A$4:$E$92,3,0)),"미분류"))</f>
        <v/>
      </c>
      <c r="X357" s="89" t="n">
        <f aca="false">IF($A357="",0,IF(O357="T",1,0))</f>
        <v>0</v>
      </c>
      <c r="Y357" s="89" t="n">
        <f aca="false">IF($A357="",0,IF(AND(C357="USD",X357=0,ISNUMBER(E357),ISNUMBER(K357)),IF(K357&gt;=설정!$C$8,1,0),0))</f>
        <v>0</v>
      </c>
      <c r="Z357" s="43" t="str">
        <f aca="false">IF($A357="","",N357&amp;"|"&amp;L357)</f>
        <v/>
      </c>
      <c r="AA357" s="92" t="n">
        <f aca="false">IF(Y357=1,LN(K357),0)</f>
        <v>0</v>
      </c>
      <c r="AB357" s="93" t="n">
        <f aca="false">IF(Y357=1,E357,0)</f>
        <v>0</v>
      </c>
      <c r="AC357" s="89" t="n">
        <f aca="false">IF(Y357=1,COUNTIFS($Z$2:$Z$601,Z357,$Y$2:$Y$601,1),0)</f>
        <v>0</v>
      </c>
      <c r="AD357" s="89" t="n">
        <f aca="false">IF(Y357=1,COUNTIFS($N$2:$N$601,N357,$Y$2:$Y$601,1),0)</f>
        <v>0</v>
      </c>
      <c r="AE357" s="43" t="str">
        <f aca="false">IF(Y357&lt;&gt;1,"",IF(AND(AC357&gt;=설정!$C$7,ISNUMBER(MATCH(Z357,피어커브!$A:$A,0))),Z357,IF(AND(AD357&gt;=설정!$C$7,ISNUMBER(MATCH(N357&amp;"|전체",피어커브!$A:$A,0))),N357&amp;"|전체","전체|전체")))</f>
        <v/>
      </c>
      <c r="AF357" s="93" t="str">
        <f aca="false">IF(AE357="","",INDEX(피어커브!$K:$K,MATCH(AE357,피어커브!$A:$A,0)))</f>
        <v/>
      </c>
      <c r="AG357" s="93" t="str">
        <f aca="false">IF(AE357="","",INDEX(피어커브!$J:$J,MATCH(AE357,피어커브!$A:$A,0)))</f>
        <v/>
      </c>
      <c r="AH357" s="93" t="str">
        <f aca="false">IF(AE357="","",INDEX(피어커브!$L:$L,MATCH(AE357,피어커브!$A:$A,0)))</f>
        <v/>
      </c>
      <c r="AI357" s="93" t="str">
        <f aca="false">IF(AE357="","",AF357+AG357*AA357)</f>
        <v/>
      </c>
      <c r="AJ357" s="96" t="str">
        <f aca="false">IF(AE357="","",E357-AI357)</f>
        <v/>
      </c>
      <c r="AK357" s="95" t="str">
        <f aca="false">IF(AE357="","",IF(ISNUMBER(AH357),IF(AH357&gt;0,AJ357/AH357,""),""))</f>
        <v/>
      </c>
      <c r="AL357" s="43" t="str">
        <f aca="false">IF(AK357="","-",IF(AK357&gt;=설정!$C$6,"Cheap",IF(AK357&lt;=-설정!$C$6,"Rich","Fair")))</f>
        <v>-</v>
      </c>
      <c r="AM357" s="96" t="str">
        <f aca="false">IF(AE357="","",AJ357-AVERAGEIFS($AJ$2:$AJ$601,$B$2:$B$601,B357,$Y$2:$Y$601,1))</f>
        <v/>
      </c>
      <c r="AN357" s="93" t="n">
        <f aca="false">IF(AE357="",0,IF(K357&gt;1+설정!$C$8,AG357*(AA357-LN(K357-1)),0))</f>
        <v>0</v>
      </c>
      <c r="AO357" s="99" t="n">
        <f aca="false">IF($A357="",0,SUMIFS(보유분석!$AA$2:$AA$801,보유분석!$AB$2:$AB$801,ROW(),보유분석!$AC$2:$AC$801,1))</f>
        <v>0</v>
      </c>
      <c r="AP357" s="43" t="str">
        <f aca="false">IF($A357="","",TRIM(IF(R357=1,"FRN ","")&amp;IF(IFERROR(VLOOKUP(M357,설정!$A$15:$D$47,4,0),0)&gt;=10,IF(IFERROR(VLOOKUP(M357,설정!$A$15:$D$47,4,0),0)&lt;99,"BBB0미만 ",""),"")&amp;IF(OR(M357="",M357="NR"),"등급미입력 ","")&amp;IF(C357&lt;&gt;"USD","비USD ","")))</f>
        <v/>
      </c>
      <c r="AQ357" s="90" t="n">
        <f aca="false">IF(AND(Y357=1,AL357="Cheap"),IF(AND(ISERROR(SEARCH("FRN",AP357)),ISERROR(SEARCH("BBB0미만",AP357))),AK357+ROW()/1000000000,-999),-999)</f>
        <v>-999</v>
      </c>
      <c r="AR357" s="92" t="str">
        <f aca="false">IF(AND(ISNUMBER(D357),ISNUMBER(K357)),D357+AN357*MAX(K357-1,0)/100,"")</f>
        <v/>
      </c>
      <c r="AS357" s="93" t="str">
        <f aca="false">IF(AND(ISNUMBER(E357),ISNUMBER(K357)),IF(K357&gt;0,(E357+AN357*MAX(K357-1,0))/K357,""),"")</f>
        <v/>
      </c>
      <c r="AT357" s="90" t="n">
        <f aca="false">IFERROR(IF(AND(Y357=1,ROW()&lt;&gt;스왑분석!$C$12+1,ABS(K357-INDEX($K$2:$K$601,스왑분석!$C$12))&lt;=스왑분석!$C$5,ISERROR(SEARCH("FRN",AP357)),ISERROR(SEARCH("BBB0미만",AP357))),IF(AND(OR(스왑분석!$C$6="N",L357=INDEX($L$2:$L$601,스왑분석!$C$12)),OR(스왑분석!$C$7="N",N357=INDEX($N$2:$N$601,스왑분석!$C$12)),OR(스왑분석!$C$8="N",AO357=0),E357-INDEX($E$2:$E$601,스왑분석!$C$12)&gt;=스왑분석!$C$9),E357-INDEX($E$2:$E$601,스왑분석!$C$12)+ROW()/1000000000,-999),-999),-999)</f>
        <v>-999</v>
      </c>
      <c r="AU357" s="90" t="n">
        <f aca="false">IF(AND(Y357=1,AO357&gt;0,AL357="Rich"),-AK357+ROW()/1000000000,-999)</f>
        <v>-999</v>
      </c>
    </row>
    <row r="358" customFormat="false" ht="15" hidden="false" customHeight="false" outlineLevel="0" collapsed="false">
      <c r="A358" s="83" t="n">
        <f aca="false">IFERROR(IF(INDEX(원자료_시장!$A$1:$BZ$1000,설정!$L$6+ROW()-1,설정!$L$24)&amp;""="0","",INDEX(원자료_시장!$A$1:$BZ$1000,설정!$L$6+ROW()-1,설정!$L$24)),"")</f>
        <v>0</v>
      </c>
      <c r="B358" s="83" t="n">
        <f aca="false">IFERROR(IF(INDEX(원자료_시장!$A$1:$BZ$1000,설정!$L$6+ROW()-1,설정!$L$37)&amp;""="0","",INDEX(원자료_시장!$A$1:$BZ$1000,설정!$L$6+ROW()-1,설정!$L$37)),"")</f>
        <v>0</v>
      </c>
      <c r="C358" s="83" t="n">
        <f aca="false">IFERROR(IF(INDEX(원자료_시장!$A$1:$BZ$1000,설정!$L$6+ROW()-1,설정!$L$25)&amp;""="0","",INDEX(원자료_시장!$A$1:$BZ$1000,설정!$L$6+ROW()-1,설정!$L$25)),"")</f>
        <v>0</v>
      </c>
      <c r="D358" s="85" t="str">
        <f aca="false">IFERROR(IF(ISNUMBER(INDEX(원자료_시장!$A$1:$BZ$1000,설정!$L$6+ROW()-1,설정!$L$26)),INDEX(원자료_시장!$A$1:$BZ$1000,설정!$L$6+ROW()-1,설정!$L$26),""),"")</f>
        <v/>
      </c>
      <c r="E358" s="97" t="str">
        <f aca="false">IFERROR(IF(ISNUMBER(INDEX(원자료_시장!$A$1:$BZ$1000,설정!$L$6+ROW()-1,설정!$L$27)),INDEX(원자료_시장!$A$1:$BZ$1000,설정!$L$6+ROW()-1,설정!$L$27),""),"")</f>
        <v/>
      </c>
      <c r="F358" s="97" t="str">
        <f aca="false">IFERROR(IF(ISNUMBER(INDEX(원자료_시장!$A$1:$BZ$1000,설정!$L$6+ROW()-1,설정!$L$28)),INDEX(원자료_시장!$A$1:$BZ$1000,설정!$L$6+ROW()-1,설정!$L$28),""),"")</f>
        <v/>
      </c>
      <c r="G358" s="97" t="str">
        <f aca="false">IFERROR(IF(ISNUMBER(INDEX(원자료_시장!$A$1:$BZ$1000,설정!$L$6+ROW()-1,설정!$L$29)),INDEX(원자료_시장!$A$1:$BZ$1000,설정!$L$6+ROW()-1,설정!$L$29),""),"")</f>
        <v/>
      </c>
      <c r="H358" s="97" t="str">
        <f aca="false">IFERROR(IF(ISNUMBER(INDEX(원자료_시장!$A$1:$BZ$1000,설정!$L$6+ROW()-1,설정!$L$30)),INDEX(원자료_시장!$A$1:$BZ$1000,설정!$L$6+ROW()-1,설정!$L$30),""),"")</f>
        <v/>
      </c>
      <c r="I358" s="97" t="str">
        <f aca="false">IFERROR(IF(ISNUMBER(INDEX(원자료_시장!$A$1:$BZ$1000,설정!$L$6+ROW()-1,설정!$L$31)),INDEX(원자료_시장!$A$1:$BZ$1000,설정!$L$6+ROW()-1,설정!$L$31),""),"")</f>
        <v/>
      </c>
      <c r="J358" s="97" t="str">
        <f aca="false">IFERROR(IF(ISNUMBER(INDEX(원자료_시장!$A$1:$BZ$1000,설정!$L$6+ROW()-1,설정!$L$32)),INDEX(원자료_시장!$A$1:$BZ$1000,설정!$L$6+ROW()-1,설정!$L$32),""),"")</f>
        <v/>
      </c>
      <c r="K358" s="85" t="str">
        <f aca="false">IFERROR(IF(ISNUMBER(INDEX(원자료_시장!$A$1:$BZ$1000,설정!$L$6+ROW()-1,설정!$L$33)),INDEX(원자료_시장!$A$1:$BZ$1000,설정!$L$6+ROW()-1,설정!$L$33),""),"")</f>
        <v/>
      </c>
      <c r="L358" s="83" t="n">
        <f aca="false">IFERROR(IF(INDEX(원자료_시장!$A$1:$BZ$1000,설정!$L$6+ROW()-1,설정!$L$34)&amp;""="0","",INDEX(원자료_시장!$A$1:$BZ$1000,설정!$L$6+ROW()-1,설정!$L$34)),"")</f>
        <v>0</v>
      </c>
      <c r="M358" s="83" t="n">
        <f aca="false">IFERROR(IF(INDEX(원자료_시장!$A$1:$BZ$1000,설정!$L$6+ROW()-1,설정!$L$35)&amp;""="0","",INDEX(원자료_시장!$A$1:$BZ$1000,설정!$L$6+ROW()-1,설정!$L$35)),"")</f>
        <v>0</v>
      </c>
      <c r="N358" s="83" t="n">
        <f aca="false">IFERROR(IF(INDEX(원자료_시장!$A$1:$BZ$1000,설정!$L$6+ROW()-1,설정!$L$36)&amp;""="0","",INDEX(원자료_시장!$A$1:$BZ$1000,설정!$L$6+ROW()-1,설정!$L$36)),"")</f>
        <v>0</v>
      </c>
      <c r="O358" s="43" t="str">
        <f aca="false">IF($A358="","",UPPER(LEFT($A358,FIND(" ",$A358&amp;" ")-1)))</f>
        <v/>
      </c>
      <c r="P358" s="43" t="str">
        <f aca="false">IF($A358="","",TRIM(RIGHT(SUBSTITUTE(TRIM($A358)," ",REPT(" ",30)),30)))</f>
        <v/>
      </c>
      <c r="Q358" s="98" t="str">
        <f aca="false">IF($A358="","",IFERROR(DATE(IF(LEN(P358)=8,2000+VALUE(RIGHT(P358,2)),VALUE(RIGHT(P358,4))),VALUE(LEFT(P358,2)),VALUE(MID(P358,4,2))),""))</f>
        <v/>
      </c>
      <c r="R358" s="89" t="n">
        <f aca="false">IF($A358="",0,IF(ISNUMBER(SEARCH("Float",$A358)),1,0))</f>
        <v>0</v>
      </c>
      <c r="S358" s="43" t="str">
        <f aca="false">IF($A358="","",TRIM(MID($A358,LEN(O358)+2,LEN($A358)-LEN(O358)-LEN(P358)-1)))</f>
        <v/>
      </c>
      <c r="T358" s="92" t="str">
        <f aca="false">IF(OR($A358="",R358=1),"",IFERROR(IF(ISNUMBER(FIND("/",S358)),IF(ISNUMBER(FIND(" ",S358)),VALUE(LEFT(S358,FIND(" ",S358)-1))+VALUE(MID(S358,FIND(" ",S358)+1,FIND("/",S358)-FIND(" ",S358)-1))/VALUE(MID(S358,FIND("/",S358)+1,9)),VALUE(LEFT(S358,FIND("/",S358)-1))/VALUE(MID(S358,FIND("/",S358)+1,9))),VALUE(S358)),""))</f>
        <v/>
      </c>
      <c r="U358" s="43" t="str">
        <f aca="false">IF(OR($A358="",NOT(ISNUMBER(Q358))),"",TEXT(Q358,"yyyymmdd")&amp;"|"&amp;IF(R358=1,"F",TEXT(T358,"0.000")))</f>
        <v/>
      </c>
      <c r="V358" s="43" t="str">
        <f aca="false">IF(U358="","",O358&amp;"|"&amp;U358)</f>
        <v/>
      </c>
      <c r="W358" s="43" t="str">
        <f aca="false">IF($A358="","",IFERROR(IF(VLOOKUP(O358,매핑!$A$4:$E$92,3,0)="","미분류",VLOOKUP(O358,매핑!$A$4:$E$92,3,0)),"미분류"))</f>
        <v/>
      </c>
      <c r="X358" s="89" t="n">
        <f aca="false">IF($A358="",0,IF(O358="T",1,0))</f>
        <v>0</v>
      </c>
      <c r="Y358" s="89" t="n">
        <f aca="false">IF($A358="",0,IF(AND(C358="USD",X358=0,ISNUMBER(E358),ISNUMBER(K358)),IF(K358&gt;=설정!$C$8,1,0),0))</f>
        <v>0</v>
      </c>
      <c r="Z358" s="43" t="str">
        <f aca="false">IF($A358="","",N358&amp;"|"&amp;L358)</f>
        <v/>
      </c>
      <c r="AA358" s="92" t="n">
        <f aca="false">IF(Y358=1,LN(K358),0)</f>
        <v>0</v>
      </c>
      <c r="AB358" s="93" t="n">
        <f aca="false">IF(Y358=1,E358,0)</f>
        <v>0</v>
      </c>
      <c r="AC358" s="89" t="n">
        <f aca="false">IF(Y358=1,COUNTIFS($Z$2:$Z$601,Z358,$Y$2:$Y$601,1),0)</f>
        <v>0</v>
      </c>
      <c r="AD358" s="89" t="n">
        <f aca="false">IF(Y358=1,COUNTIFS($N$2:$N$601,N358,$Y$2:$Y$601,1),0)</f>
        <v>0</v>
      </c>
      <c r="AE358" s="43" t="str">
        <f aca="false">IF(Y358&lt;&gt;1,"",IF(AND(AC358&gt;=설정!$C$7,ISNUMBER(MATCH(Z358,피어커브!$A:$A,0))),Z358,IF(AND(AD358&gt;=설정!$C$7,ISNUMBER(MATCH(N358&amp;"|전체",피어커브!$A:$A,0))),N358&amp;"|전체","전체|전체")))</f>
        <v/>
      </c>
      <c r="AF358" s="93" t="str">
        <f aca="false">IF(AE358="","",INDEX(피어커브!$K:$K,MATCH(AE358,피어커브!$A:$A,0)))</f>
        <v/>
      </c>
      <c r="AG358" s="93" t="str">
        <f aca="false">IF(AE358="","",INDEX(피어커브!$J:$J,MATCH(AE358,피어커브!$A:$A,0)))</f>
        <v/>
      </c>
      <c r="AH358" s="93" t="str">
        <f aca="false">IF(AE358="","",INDEX(피어커브!$L:$L,MATCH(AE358,피어커브!$A:$A,0)))</f>
        <v/>
      </c>
      <c r="AI358" s="93" t="str">
        <f aca="false">IF(AE358="","",AF358+AG358*AA358)</f>
        <v/>
      </c>
      <c r="AJ358" s="96" t="str">
        <f aca="false">IF(AE358="","",E358-AI358)</f>
        <v/>
      </c>
      <c r="AK358" s="95" t="str">
        <f aca="false">IF(AE358="","",IF(ISNUMBER(AH358),IF(AH358&gt;0,AJ358/AH358,""),""))</f>
        <v/>
      </c>
      <c r="AL358" s="43" t="str">
        <f aca="false">IF(AK358="","-",IF(AK358&gt;=설정!$C$6,"Cheap",IF(AK358&lt;=-설정!$C$6,"Rich","Fair")))</f>
        <v>-</v>
      </c>
      <c r="AM358" s="96" t="str">
        <f aca="false">IF(AE358="","",AJ358-AVERAGEIFS($AJ$2:$AJ$601,$B$2:$B$601,B358,$Y$2:$Y$601,1))</f>
        <v/>
      </c>
      <c r="AN358" s="93" t="n">
        <f aca="false">IF(AE358="",0,IF(K358&gt;1+설정!$C$8,AG358*(AA358-LN(K358-1)),0))</f>
        <v>0</v>
      </c>
      <c r="AO358" s="99" t="n">
        <f aca="false">IF($A358="",0,SUMIFS(보유분석!$AA$2:$AA$801,보유분석!$AB$2:$AB$801,ROW(),보유분석!$AC$2:$AC$801,1))</f>
        <v>0</v>
      </c>
      <c r="AP358" s="43" t="str">
        <f aca="false">IF($A358="","",TRIM(IF(R358=1,"FRN ","")&amp;IF(IFERROR(VLOOKUP(M358,설정!$A$15:$D$47,4,0),0)&gt;=10,IF(IFERROR(VLOOKUP(M358,설정!$A$15:$D$47,4,0),0)&lt;99,"BBB0미만 ",""),"")&amp;IF(OR(M358="",M358="NR"),"등급미입력 ","")&amp;IF(C358&lt;&gt;"USD","비USD ","")))</f>
        <v/>
      </c>
      <c r="AQ358" s="90" t="n">
        <f aca="false">IF(AND(Y358=1,AL358="Cheap"),IF(AND(ISERROR(SEARCH("FRN",AP358)),ISERROR(SEARCH("BBB0미만",AP358))),AK358+ROW()/1000000000,-999),-999)</f>
        <v>-999</v>
      </c>
      <c r="AR358" s="92" t="str">
        <f aca="false">IF(AND(ISNUMBER(D358),ISNUMBER(K358)),D358+AN358*MAX(K358-1,0)/100,"")</f>
        <v/>
      </c>
      <c r="AS358" s="93" t="str">
        <f aca="false">IF(AND(ISNUMBER(E358),ISNUMBER(K358)),IF(K358&gt;0,(E358+AN358*MAX(K358-1,0))/K358,""),"")</f>
        <v/>
      </c>
      <c r="AT358" s="90" t="n">
        <f aca="false">IFERROR(IF(AND(Y358=1,ROW()&lt;&gt;스왑분석!$C$12+1,ABS(K358-INDEX($K$2:$K$601,스왑분석!$C$12))&lt;=스왑분석!$C$5,ISERROR(SEARCH("FRN",AP358)),ISERROR(SEARCH("BBB0미만",AP358))),IF(AND(OR(스왑분석!$C$6="N",L358=INDEX($L$2:$L$601,스왑분석!$C$12)),OR(스왑분석!$C$7="N",N358=INDEX($N$2:$N$601,스왑분석!$C$12)),OR(스왑분석!$C$8="N",AO358=0),E358-INDEX($E$2:$E$601,스왑분석!$C$12)&gt;=스왑분석!$C$9),E358-INDEX($E$2:$E$601,스왑분석!$C$12)+ROW()/1000000000,-999),-999),-999)</f>
        <v>-999</v>
      </c>
      <c r="AU358" s="90" t="n">
        <f aca="false">IF(AND(Y358=1,AO358&gt;0,AL358="Rich"),-AK358+ROW()/1000000000,-999)</f>
        <v>-999</v>
      </c>
    </row>
    <row r="359" customFormat="false" ht="15" hidden="false" customHeight="false" outlineLevel="0" collapsed="false">
      <c r="A359" s="83" t="n">
        <f aca="false">IFERROR(IF(INDEX(원자료_시장!$A$1:$BZ$1000,설정!$L$6+ROW()-1,설정!$L$24)&amp;""="0","",INDEX(원자료_시장!$A$1:$BZ$1000,설정!$L$6+ROW()-1,설정!$L$24)),"")</f>
        <v>0</v>
      </c>
      <c r="B359" s="83" t="n">
        <f aca="false">IFERROR(IF(INDEX(원자료_시장!$A$1:$BZ$1000,설정!$L$6+ROW()-1,설정!$L$37)&amp;""="0","",INDEX(원자료_시장!$A$1:$BZ$1000,설정!$L$6+ROW()-1,설정!$L$37)),"")</f>
        <v>0</v>
      </c>
      <c r="C359" s="83" t="n">
        <f aca="false">IFERROR(IF(INDEX(원자료_시장!$A$1:$BZ$1000,설정!$L$6+ROW()-1,설정!$L$25)&amp;""="0","",INDEX(원자료_시장!$A$1:$BZ$1000,설정!$L$6+ROW()-1,설정!$L$25)),"")</f>
        <v>0</v>
      </c>
      <c r="D359" s="85" t="str">
        <f aca="false">IFERROR(IF(ISNUMBER(INDEX(원자료_시장!$A$1:$BZ$1000,설정!$L$6+ROW()-1,설정!$L$26)),INDEX(원자료_시장!$A$1:$BZ$1000,설정!$L$6+ROW()-1,설정!$L$26),""),"")</f>
        <v/>
      </c>
      <c r="E359" s="97" t="str">
        <f aca="false">IFERROR(IF(ISNUMBER(INDEX(원자료_시장!$A$1:$BZ$1000,설정!$L$6+ROW()-1,설정!$L$27)),INDEX(원자료_시장!$A$1:$BZ$1000,설정!$L$6+ROW()-1,설정!$L$27),""),"")</f>
        <v/>
      </c>
      <c r="F359" s="97" t="str">
        <f aca="false">IFERROR(IF(ISNUMBER(INDEX(원자료_시장!$A$1:$BZ$1000,설정!$L$6+ROW()-1,설정!$L$28)),INDEX(원자료_시장!$A$1:$BZ$1000,설정!$L$6+ROW()-1,설정!$L$28),""),"")</f>
        <v/>
      </c>
      <c r="G359" s="97" t="str">
        <f aca="false">IFERROR(IF(ISNUMBER(INDEX(원자료_시장!$A$1:$BZ$1000,설정!$L$6+ROW()-1,설정!$L$29)),INDEX(원자료_시장!$A$1:$BZ$1000,설정!$L$6+ROW()-1,설정!$L$29),""),"")</f>
        <v/>
      </c>
      <c r="H359" s="97" t="str">
        <f aca="false">IFERROR(IF(ISNUMBER(INDEX(원자료_시장!$A$1:$BZ$1000,설정!$L$6+ROW()-1,설정!$L$30)),INDEX(원자료_시장!$A$1:$BZ$1000,설정!$L$6+ROW()-1,설정!$L$30),""),"")</f>
        <v/>
      </c>
      <c r="I359" s="97" t="str">
        <f aca="false">IFERROR(IF(ISNUMBER(INDEX(원자료_시장!$A$1:$BZ$1000,설정!$L$6+ROW()-1,설정!$L$31)),INDEX(원자료_시장!$A$1:$BZ$1000,설정!$L$6+ROW()-1,설정!$L$31),""),"")</f>
        <v/>
      </c>
      <c r="J359" s="97" t="str">
        <f aca="false">IFERROR(IF(ISNUMBER(INDEX(원자료_시장!$A$1:$BZ$1000,설정!$L$6+ROW()-1,설정!$L$32)),INDEX(원자료_시장!$A$1:$BZ$1000,설정!$L$6+ROW()-1,설정!$L$32),""),"")</f>
        <v/>
      </c>
      <c r="K359" s="85" t="str">
        <f aca="false">IFERROR(IF(ISNUMBER(INDEX(원자료_시장!$A$1:$BZ$1000,설정!$L$6+ROW()-1,설정!$L$33)),INDEX(원자료_시장!$A$1:$BZ$1000,설정!$L$6+ROW()-1,설정!$L$33),""),"")</f>
        <v/>
      </c>
      <c r="L359" s="83" t="n">
        <f aca="false">IFERROR(IF(INDEX(원자료_시장!$A$1:$BZ$1000,설정!$L$6+ROW()-1,설정!$L$34)&amp;""="0","",INDEX(원자료_시장!$A$1:$BZ$1000,설정!$L$6+ROW()-1,설정!$L$34)),"")</f>
        <v>0</v>
      </c>
      <c r="M359" s="83" t="n">
        <f aca="false">IFERROR(IF(INDEX(원자료_시장!$A$1:$BZ$1000,설정!$L$6+ROW()-1,설정!$L$35)&amp;""="0","",INDEX(원자료_시장!$A$1:$BZ$1000,설정!$L$6+ROW()-1,설정!$L$35)),"")</f>
        <v>0</v>
      </c>
      <c r="N359" s="83" t="n">
        <f aca="false">IFERROR(IF(INDEX(원자료_시장!$A$1:$BZ$1000,설정!$L$6+ROW()-1,설정!$L$36)&amp;""="0","",INDEX(원자료_시장!$A$1:$BZ$1000,설정!$L$6+ROW()-1,설정!$L$36)),"")</f>
        <v>0</v>
      </c>
      <c r="O359" s="43" t="str">
        <f aca="false">IF($A359="","",UPPER(LEFT($A359,FIND(" ",$A359&amp;" ")-1)))</f>
        <v/>
      </c>
      <c r="P359" s="43" t="str">
        <f aca="false">IF($A359="","",TRIM(RIGHT(SUBSTITUTE(TRIM($A359)," ",REPT(" ",30)),30)))</f>
        <v/>
      </c>
      <c r="Q359" s="98" t="str">
        <f aca="false">IF($A359="","",IFERROR(DATE(IF(LEN(P359)=8,2000+VALUE(RIGHT(P359,2)),VALUE(RIGHT(P359,4))),VALUE(LEFT(P359,2)),VALUE(MID(P359,4,2))),""))</f>
        <v/>
      </c>
      <c r="R359" s="89" t="n">
        <f aca="false">IF($A359="",0,IF(ISNUMBER(SEARCH("Float",$A359)),1,0))</f>
        <v>0</v>
      </c>
      <c r="S359" s="43" t="str">
        <f aca="false">IF($A359="","",TRIM(MID($A359,LEN(O359)+2,LEN($A359)-LEN(O359)-LEN(P359)-1)))</f>
        <v/>
      </c>
      <c r="T359" s="92" t="str">
        <f aca="false">IF(OR($A359="",R359=1),"",IFERROR(IF(ISNUMBER(FIND("/",S359)),IF(ISNUMBER(FIND(" ",S359)),VALUE(LEFT(S359,FIND(" ",S359)-1))+VALUE(MID(S359,FIND(" ",S359)+1,FIND("/",S359)-FIND(" ",S359)-1))/VALUE(MID(S359,FIND("/",S359)+1,9)),VALUE(LEFT(S359,FIND("/",S359)-1))/VALUE(MID(S359,FIND("/",S359)+1,9))),VALUE(S359)),""))</f>
        <v/>
      </c>
      <c r="U359" s="43" t="str">
        <f aca="false">IF(OR($A359="",NOT(ISNUMBER(Q359))),"",TEXT(Q359,"yyyymmdd")&amp;"|"&amp;IF(R359=1,"F",TEXT(T359,"0.000")))</f>
        <v/>
      </c>
      <c r="V359" s="43" t="str">
        <f aca="false">IF(U359="","",O359&amp;"|"&amp;U359)</f>
        <v/>
      </c>
      <c r="W359" s="43" t="str">
        <f aca="false">IF($A359="","",IFERROR(IF(VLOOKUP(O359,매핑!$A$4:$E$92,3,0)="","미분류",VLOOKUP(O359,매핑!$A$4:$E$92,3,0)),"미분류"))</f>
        <v/>
      </c>
      <c r="X359" s="89" t="n">
        <f aca="false">IF($A359="",0,IF(O359="T",1,0))</f>
        <v>0</v>
      </c>
      <c r="Y359" s="89" t="n">
        <f aca="false">IF($A359="",0,IF(AND(C359="USD",X359=0,ISNUMBER(E359),ISNUMBER(K359)),IF(K359&gt;=설정!$C$8,1,0),0))</f>
        <v>0</v>
      </c>
      <c r="Z359" s="43" t="str">
        <f aca="false">IF($A359="","",N359&amp;"|"&amp;L359)</f>
        <v/>
      </c>
      <c r="AA359" s="92" t="n">
        <f aca="false">IF(Y359=1,LN(K359),0)</f>
        <v>0</v>
      </c>
      <c r="AB359" s="93" t="n">
        <f aca="false">IF(Y359=1,E359,0)</f>
        <v>0</v>
      </c>
      <c r="AC359" s="89" t="n">
        <f aca="false">IF(Y359=1,COUNTIFS($Z$2:$Z$601,Z359,$Y$2:$Y$601,1),0)</f>
        <v>0</v>
      </c>
      <c r="AD359" s="89" t="n">
        <f aca="false">IF(Y359=1,COUNTIFS($N$2:$N$601,N359,$Y$2:$Y$601,1),0)</f>
        <v>0</v>
      </c>
      <c r="AE359" s="43" t="str">
        <f aca="false">IF(Y359&lt;&gt;1,"",IF(AND(AC359&gt;=설정!$C$7,ISNUMBER(MATCH(Z359,피어커브!$A:$A,0))),Z359,IF(AND(AD359&gt;=설정!$C$7,ISNUMBER(MATCH(N359&amp;"|전체",피어커브!$A:$A,0))),N359&amp;"|전체","전체|전체")))</f>
        <v/>
      </c>
      <c r="AF359" s="93" t="str">
        <f aca="false">IF(AE359="","",INDEX(피어커브!$K:$K,MATCH(AE359,피어커브!$A:$A,0)))</f>
        <v/>
      </c>
      <c r="AG359" s="93" t="str">
        <f aca="false">IF(AE359="","",INDEX(피어커브!$J:$J,MATCH(AE359,피어커브!$A:$A,0)))</f>
        <v/>
      </c>
      <c r="AH359" s="93" t="str">
        <f aca="false">IF(AE359="","",INDEX(피어커브!$L:$L,MATCH(AE359,피어커브!$A:$A,0)))</f>
        <v/>
      </c>
      <c r="AI359" s="93" t="str">
        <f aca="false">IF(AE359="","",AF359+AG359*AA359)</f>
        <v/>
      </c>
      <c r="AJ359" s="96" t="str">
        <f aca="false">IF(AE359="","",E359-AI359)</f>
        <v/>
      </c>
      <c r="AK359" s="95" t="str">
        <f aca="false">IF(AE359="","",IF(ISNUMBER(AH359),IF(AH359&gt;0,AJ359/AH359,""),""))</f>
        <v/>
      </c>
      <c r="AL359" s="43" t="str">
        <f aca="false">IF(AK359="","-",IF(AK359&gt;=설정!$C$6,"Cheap",IF(AK359&lt;=-설정!$C$6,"Rich","Fair")))</f>
        <v>-</v>
      </c>
      <c r="AM359" s="96" t="str">
        <f aca="false">IF(AE359="","",AJ359-AVERAGEIFS($AJ$2:$AJ$601,$B$2:$B$601,B359,$Y$2:$Y$601,1))</f>
        <v/>
      </c>
      <c r="AN359" s="93" t="n">
        <f aca="false">IF(AE359="",0,IF(K359&gt;1+설정!$C$8,AG359*(AA359-LN(K359-1)),0))</f>
        <v>0</v>
      </c>
      <c r="AO359" s="99" t="n">
        <f aca="false">IF($A359="",0,SUMIFS(보유분석!$AA$2:$AA$801,보유분석!$AB$2:$AB$801,ROW(),보유분석!$AC$2:$AC$801,1))</f>
        <v>0</v>
      </c>
      <c r="AP359" s="43" t="str">
        <f aca="false">IF($A359="","",TRIM(IF(R359=1,"FRN ","")&amp;IF(IFERROR(VLOOKUP(M359,설정!$A$15:$D$47,4,0),0)&gt;=10,IF(IFERROR(VLOOKUP(M359,설정!$A$15:$D$47,4,0),0)&lt;99,"BBB0미만 ",""),"")&amp;IF(OR(M359="",M359="NR"),"등급미입력 ","")&amp;IF(C359&lt;&gt;"USD","비USD ","")))</f>
        <v/>
      </c>
      <c r="AQ359" s="90" t="n">
        <f aca="false">IF(AND(Y359=1,AL359="Cheap"),IF(AND(ISERROR(SEARCH("FRN",AP359)),ISERROR(SEARCH("BBB0미만",AP359))),AK359+ROW()/1000000000,-999),-999)</f>
        <v>-999</v>
      </c>
      <c r="AR359" s="92" t="str">
        <f aca="false">IF(AND(ISNUMBER(D359),ISNUMBER(K359)),D359+AN359*MAX(K359-1,0)/100,"")</f>
        <v/>
      </c>
      <c r="AS359" s="93" t="str">
        <f aca="false">IF(AND(ISNUMBER(E359),ISNUMBER(K359)),IF(K359&gt;0,(E359+AN359*MAX(K359-1,0))/K359,""),"")</f>
        <v/>
      </c>
      <c r="AT359" s="90" t="n">
        <f aca="false">IFERROR(IF(AND(Y359=1,ROW()&lt;&gt;스왑분석!$C$12+1,ABS(K359-INDEX($K$2:$K$601,스왑분석!$C$12))&lt;=스왑분석!$C$5,ISERROR(SEARCH("FRN",AP359)),ISERROR(SEARCH("BBB0미만",AP359))),IF(AND(OR(스왑분석!$C$6="N",L359=INDEX($L$2:$L$601,스왑분석!$C$12)),OR(스왑분석!$C$7="N",N359=INDEX($N$2:$N$601,스왑분석!$C$12)),OR(스왑분석!$C$8="N",AO359=0),E359-INDEX($E$2:$E$601,스왑분석!$C$12)&gt;=스왑분석!$C$9),E359-INDEX($E$2:$E$601,스왑분석!$C$12)+ROW()/1000000000,-999),-999),-999)</f>
        <v>-999</v>
      </c>
      <c r="AU359" s="90" t="n">
        <f aca="false">IF(AND(Y359=1,AO359&gt;0,AL359="Rich"),-AK359+ROW()/1000000000,-999)</f>
        <v>-999</v>
      </c>
    </row>
    <row r="360" customFormat="false" ht="15" hidden="false" customHeight="false" outlineLevel="0" collapsed="false">
      <c r="A360" s="83" t="n">
        <f aca="false">IFERROR(IF(INDEX(원자료_시장!$A$1:$BZ$1000,설정!$L$6+ROW()-1,설정!$L$24)&amp;""="0","",INDEX(원자료_시장!$A$1:$BZ$1000,설정!$L$6+ROW()-1,설정!$L$24)),"")</f>
        <v>0</v>
      </c>
      <c r="B360" s="83" t="n">
        <f aca="false">IFERROR(IF(INDEX(원자료_시장!$A$1:$BZ$1000,설정!$L$6+ROW()-1,설정!$L$37)&amp;""="0","",INDEX(원자료_시장!$A$1:$BZ$1000,설정!$L$6+ROW()-1,설정!$L$37)),"")</f>
        <v>0</v>
      </c>
      <c r="C360" s="83" t="n">
        <f aca="false">IFERROR(IF(INDEX(원자료_시장!$A$1:$BZ$1000,설정!$L$6+ROW()-1,설정!$L$25)&amp;""="0","",INDEX(원자료_시장!$A$1:$BZ$1000,설정!$L$6+ROW()-1,설정!$L$25)),"")</f>
        <v>0</v>
      </c>
      <c r="D360" s="85" t="str">
        <f aca="false">IFERROR(IF(ISNUMBER(INDEX(원자료_시장!$A$1:$BZ$1000,설정!$L$6+ROW()-1,설정!$L$26)),INDEX(원자료_시장!$A$1:$BZ$1000,설정!$L$6+ROW()-1,설정!$L$26),""),"")</f>
        <v/>
      </c>
      <c r="E360" s="97" t="str">
        <f aca="false">IFERROR(IF(ISNUMBER(INDEX(원자료_시장!$A$1:$BZ$1000,설정!$L$6+ROW()-1,설정!$L$27)),INDEX(원자료_시장!$A$1:$BZ$1000,설정!$L$6+ROW()-1,설정!$L$27),""),"")</f>
        <v/>
      </c>
      <c r="F360" s="97" t="str">
        <f aca="false">IFERROR(IF(ISNUMBER(INDEX(원자료_시장!$A$1:$BZ$1000,설정!$L$6+ROW()-1,설정!$L$28)),INDEX(원자료_시장!$A$1:$BZ$1000,설정!$L$6+ROW()-1,설정!$L$28),""),"")</f>
        <v/>
      </c>
      <c r="G360" s="97" t="str">
        <f aca="false">IFERROR(IF(ISNUMBER(INDEX(원자료_시장!$A$1:$BZ$1000,설정!$L$6+ROW()-1,설정!$L$29)),INDEX(원자료_시장!$A$1:$BZ$1000,설정!$L$6+ROW()-1,설정!$L$29),""),"")</f>
        <v/>
      </c>
      <c r="H360" s="97" t="str">
        <f aca="false">IFERROR(IF(ISNUMBER(INDEX(원자료_시장!$A$1:$BZ$1000,설정!$L$6+ROW()-1,설정!$L$30)),INDEX(원자료_시장!$A$1:$BZ$1000,설정!$L$6+ROW()-1,설정!$L$30),""),"")</f>
        <v/>
      </c>
      <c r="I360" s="97" t="str">
        <f aca="false">IFERROR(IF(ISNUMBER(INDEX(원자료_시장!$A$1:$BZ$1000,설정!$L$6+ROW()-1,설정!$L$31)),INDEX(원자료_시장!$A$1:$BZ$1000,설정!$L$6+ROW()-1,설정!$L$31),""),"")</f>
        <v/>
      </c>
      <c r="J360" s="97" t="str">
        <f aca="false">IFERROR(IF(ISNUMBER(INDEX(원자료_시장!$A$1:$BZ$1000,설정!$L$6+ROW()-1,설정!$L$32)),INDEX(원자료_시장!$A$1:$BZ$1000,설정!$L$6+ROW()-1,설정!$L$32),""),"")</f>
        <v/>
      </c>
      <c r="K360" s="85" t="str">
        <f aca="false">IFERROR(IF(ISNUMBER(INDEX(원자료_시장!$A$1:$BZ$1000,설정!$L$6+ROW()-1,설정!$L$33)),INDEX(원자료_시장!$A$1:$BZ$1000,설정!$L$6+ROW()-1,설정!$L$33),""),"")</f>
        <v/>
      </c>
      <c r="L360" s="83" t="n">
        <f aca="false">IFERROR(IF(INDEX(원자료_시장!$A$1:$BZ$1000,설정!$L$6+ROW()-1,설정!$L$34)&amp;""="0","",INDEX(원자료_시장!$A$1:$BZ$1000,설정!$L$6+ROW()-1,설정!$L$34)),"")</f>
        <v>0</v>
      </c>
      <c r="M360" s="83" t="n">
        <f aca="false">IFERROR(IF(INDEX(원자료_시장!$A$1:$BZ$1000,설정!$L$6+ROW()-1,설정!$L$35)&amp;""="0","",INDEX(원자료_시장!$A$1:$BZ$1000,설정!$L$6+ROW()-1,설정!$L$35)),"")</f>
        <v>0</v>
      </c>
      <c r="N360" s="83" t="n">
        <f aca="false">IFERROR(IF(INDEX(원자료_시장!$A$1:$BZ$1000,설정!$L$6+ROW()-1,설정!$L$36)&amp;""="0","",INDEX(원자료_시장!$A$1:$BZ$1000,설정!$L$6+ROW()-1,설정!$L$36)),"")</f>
        <v>0</v>
      </c>
      <c r="O360" s="43" t="str">
        <f aca="false">IF($A360="","",UPPER(LEFT($A360,FIND(" ",$A360&amp;" ")-1)))</f>
        <v/>
      </c>
      <c r="P360" s="43" t="str">
        <f aca="false">IF($A360="","",TRIM(RIGHT(SUBSTITUTE(TRIM($A360)," ",REPT(" ",30)),30)))</f>
        <v/>
      </c>
      <c r="Q360" s="98" t="str">
        <f aca="false">IF($A360="","",IFERROR(DATE(IF(LEN(P360)=8,2000+VALUE(RIGHT(P360,2)),VALUE(RIGHT(P360,4))),VALUE(LEFT(P360,2)),VALUE(MID(P360,4,2))),""))</f>
        <v/>
      </c>
      <c r="R360" s="89" t="n">
        <f aca="false">IF($A360="",0,IF(ISNUMBER(SEARCH("Float",$A360)),1,0))</f>
        <v>0</v>
      </c>
      <c r="S360" s="43" t="str">
        <f aca="false">IF($A360="","",TRIM(MID($A360,LEN(O360)+2,LEN($A360)-LEN(O360)-LEN(P360)-1)))</f>
        <v/>
      </c>
      <c r="T360" s="92" t="str">
        <f aca="false">IF(OR($A360="",R360=1),"",IFERROR(IF(ISNUMBER(FIND("/",S360)),IF(ISNUMBER(FIND(" ",S360)),VALUE(LEFT(S360,FIND(" ",S360)-1))+VALUE(MID(S360,FIND(" ",S360)+1,FIND("/",S360)-FIND(" ",S360)-1))/VALUE(MID(S360,FIND("/",S360)+1,9)),VALUE(LEFT(S360,FIND("/",S360)-1))/VALUE(MID(S360,FIND("/",S360)+1,9))),VALUE(S360)),""))</f>
        <v/>
      </c>
      <c r="U360" s="43" t="str">
        <f aca="false">IF(OR($A360="",NOT(ISNUMBER(Q360))),"",TEXT(Q360,"yyyymmdd")&amp;"|"&amp;IF(R360=1,"F",TEXT(T360,"0.000")))</f>
        <v/>
      </c>
      <c r="V360" s="43" t="str">
        <f aca="false">IF(U360="","",O360&amp;"|"&amp;U360)</f>
        <v/>
      </c>
      <c r="W360" s="43" t="str">
        <f aca="false">IF($A360="","",IFERROR(IF(VLOOKUP(O360,매핑!$A$4:$E$92,3,0)="","미분류",VLOOKUP(O360,매핑!$A$4:$E$92,3,0)),"미분류"))</f>
        <v/>
      </c>
      <c r="X360" s="89" t="n">
        <f aca="false">IF($A360="",0,IF(O360="T",1,0))</f>
        <v>0</v>
      </c>
      <c r="Y360" s="89" t="n">
        <f aca="false">IF($A360="",0,IF(AND(C360="USD",X360=0,ISNUMBER(E360),ISNUMBER(K360)),IF(K360&gt;=설정!$C$8,1,0),0))</f>
        <v>0</v>
      </c>
      <c r="Z360" s="43" t="str">
        <f aca="false">IF($A360="","",N360&amp;"|"&amp;L360)</f>
        <v/>
      </c>
      <c r="AA360" s="92" t="n">
        <f aca="false">IF(Y360=1,LN(K360),0)</f>
        <v>0</v>
      </c>
      <c r="AB360" s="93" t="n">
        <f aca="false">IF(Y360=1,E360,0)</f>
        <v>0</v>
      </c>
      <c r="AC360" s="89" t="n">
        <f aca="false">IF(Y360=1,COUNTIFS($Z$2:$Z$601,Z360,$Y$2:$Y$601,1),0)</f>
        <v>0</v>
      </c>
      <c r="AD360" s="89" t="n">
        <f aca="false">IF(Y360=1,COUNTIFS($N$2:$N$601,N360,$Y$2:$Y$601,1),0)</f>
        <v>0</v>
      </c>
      <c r="AE360" s="43" t="str">
        <f aca="false">IF(Y360&lt;&gt;1,"",IF(AND(AC360&gt;=설정!$C$7,ISNUMBER(MATCH(Z360,피어커브!$A:$A,0))),Z360,IF(AND(AD360&gt;=설정!$C$7,ISNUMBER(MATCH(N360&amp;"|전체",피어커브!$A:$A,0))),N360&amp;"|전체","전체|전체")))</f>
        <v/>
      </c>
      <c r="AF360" s="93" t="str">
        <f aca="false">IF(AE360="","",INDEX(피어커브!$K:$K,MATCH(AE360,피어커브!$A:$A,0)))</f>
        <v/>
      </c>
      <c r="AG360" s="93" t="str">
        <f aca="false">IF(AE360="","",INDEX(피어커브!$J:$J,MATCH(AE360,피어커브!$A:$A,0)))</f>
        <v/>
      </c>
      <c r="AH360" s="93" t="str">
        <f aca="false">IF(AE360="","",INDEX(피어커브!$L:$L,MATCH(AE360,피어커브!$A:$A,0)))</f>
        <v/>
      </c>
      <c r="AI360" s="93" t="str">
        <f aca="false">IF(AE360="","",AF360+AG360*AA360)</f>
        <v/>
      </c>
      <c r="AJ360" s="96" t="str">
        <f aca="false">IF(AE360="","",E360-AI360)</f>
        <v/>
      </c>
      <c r="AK360" s="95" t="str">
        <f aca="false">IF(AE360="","",IF(ISNUMBER(AH360),IF(AH360&gt;0,AJ360/AH360,""),""))</f>
        <v/>
      </c>
      <c r="AL360" s="43" t="str">
        <f aca="false">IF(AK360="","-",IF(AK360&gt;=설정!$C$6,"Cheap",IF(AK360&lt;=-설정!$C$6,"Rich","Fair")))</f>
        <v>-</v>
      </c>
      <c r="AM360" s="96" t="str">
        <f aca="false">IF(AE360="","",AJ360-AVERAGEIFS($AJ$2:$AJ$601,$B$2:$B$601,B360,$Y$2:$Y$601,1))</f>
        <v/>
      </c>
      <c r="AN360" s="93" t="n">
        <f aca="false">IF(AE360="",0,IF(K360&gt;1+설정!$C$8,AG360*(AA360-LN(K360-1)),0))</f>
        <v>0</v>
      </c>
      <c r="AO360" s="99" t="n">
        <f aca="false">IF($A360="",0,SUMIFS(보유분석!$AA$2:$AA$801,보유분석!$AB$2:$AB$801,ROW(),보유분석!$AC$2:$AC$801,1))</f>
        <v>0</v>
      </c>
      <c r="AP360" s="43" t="str">
        <f aca="false">IF($A360="","",TRIM(IF(R360=1,"FRN ","")&amp;IF(IFERROR(VLOOKUP(M360,설정!$A$15:$D$47,4,0),0)&gt;=10,IF(IFERROR(VLOOKUP(M360,설정!$A$15:$D$47,4,0),0)&lt;99,"BBB0미만 ",""),"")&amp;IF(OR(M360="",M360="NR"),"등급미입력 ","")&amp;IF(C360&lt;&gt;"USD","비USD ","")))</f>
        <v/>
      </c>
      <c r="AQ360" s="90" t="n">
        <f aca="false">IF(AND(Y360=1,AL360="Cheap"),IF(AND(ISERROR(SEARCH("FRN",AP360)),ISERROR(SEARCH("BBB0미만",AP360))),AK360+ROW()/1000000000,-999),-999)</f>
        <v>-999</v>
      </c>
      <c r="AR360" s="92" t="str">
        <f aca="false">IF(AND(ISNUMBER(D360),ISNUMBER(K360)),D360+AN360*MAX(K360-1,0)/100,"")</f>
        <v/>
      </c>
      <c r="AS360" s="93" t="str">
        <f aca="false">IF(AND(ISNUMBER(E360),ISNUMBER(K360)),IF(K360&gt;0,(E360+AN360*MAX(K360-1,0))/K360,""),"")</f>
        <v/>
      </c>
      <c r="AT360" s="90" t="n">
        <f aca="false">IFERROR(IF(AND(Y360=1,ROW()&lt;&gt;스왑분석!$C$12+1,ABS(K360-INDEX($K$2:$K$601,스왑분석!$C$12))&lt;=스왑분석!$C$5,ISERROR(SEARCH("FRN",AP360)),ISERROR(SEARCH("BBB0미만",AP360))),IF(AND(OR(스왑분석!$C$6="N",L360=INDEX($L$2:$L$601,스왑분석!$C$12)),OR(스왑분석!$C$7="N",N360=INDEX($N$2:$N$601,스왑분석!$C$12)),OR(스왑분석!$C$8="N",AO360=0),E360-INDEX($E$2:$E$601,스왑분석!$C$12)&gt;=스왑분석!$C$9),E360-INDEX($E$2:$E$601,스왑분석!$C$12)+ROW()/1000000000,-999),-999),-999)</f>
        <v>-999</v>
      </c>
      <c r="AU360" s="90" t="n">
        <f aca="false">IF(AND(Y360=1,AO360&gt;0,AL360="Rich"),-AK360+ROW()/1000000000,-999)</f>
        <v>-999</v>
      </c>
    </row>
    <row r="361" customFormat="false" ht="15" hidden="false" customHeight="false" outlineLevel="0" collapsed="false">
      <c r="A361" s="83" t="n">
        <f aca="false">IFERROR(IF(INDEX(원자료_시장!$A$1:$BZ$1000,설정!$L$6+ROW()-1,설정!$L$24)&amp;""="0","",INDEX(원자료_시장!$A$1:$BZ$1000,설정!$L$6+ROW()-1,설정!$L$24)),"")</f>
        <v>0</v>
      </c>
      <c r="B361" s="83" t="n">
        <f aca="false">IFERROR(IF(INDEX(원자료_시장!$A$1:$BZ$1000,설정!$L$6+ROW()-1,설정!$L$37)&amp;""="0","",INDEX(원자료_시장!$A$1:$BZ$1000,설정!$L$6+ROW()-1,설정!$L$37)),"")</f>
        <v>0</v>
      </c>
      <c r="C361" s="83" t="n">
        <f aca="false">IFERROR(IF(INDEX(원자료_시장!$A$1:$BZ$1000,설정!$L$6+ROW()-1,설정!$L$25)&amp;""="0","",INDEX(원자료_시장!$A$1:$BZ$1000,설정!$L$6+ROW()-1,설정!$L$25)),"")</f>
        <v>0</v>
      </c>
      <c r="D361" s="85" t="str">
        <f aca="false">IFERROR(IF(ISNUMBER(INDEX(원자료_시장!$A$1:$BZ$1000,설정!$L$6+ROW()-1,설정!$L$26)),INDEX(원자료_시장!$A$1:$BZ$1000,설정!$L$6+ROW()-1,설정!$L$26),""),"")</f>
        <v/>
      </c>
      <c r="E361" s="97" t="str">
        <f aca="false">IFERROR(IF(ISNUMBER(INDEX(원자료_시장!$A$1:$BZ$1000,설정!$L$6+ROW()-1,설정!$L$27)),INDEX(원자료_시장!$A$1:$BZ$1000,설정!$L$6+ROW()-1,설정!$L$27),""),"")</f>
        <v/>
      </c>
      <c r="F361" s="97" t="str">
        <f aca="false">IFERROR(IF(ISNUMBER(INDEX(원자료_시장!$A$1:$BZ$1000,설정!$L$6+ROW()-1,설정!$L$28)),INDEX(원자료_시장!$A$1:$BZ$1000,설정!$L$6+ROW()-1,설정!$L$28),""),"")</f>
        <v/>
      </c>
      <c r="G361" s="97" t="str">
        <f aca="false">IFERROR(IF(ISNUMBER(INDEX(원자료_시장!$A$1:$BZ$1000,설정!$L$6+ROW()-1,설정!$L$29)),INDEX(원자료_시장!$A$1:$BZ$1000,설정!$L$6+ROW()-1,설정!$L$29),""),"")</f>
        <v/>
      </c>
      <c r="H361" s="97" t="str">
        <f aca="false">IFERROR(IF(ISNUMBER(INDEX(원자료_시장!$A$1:$BZ$1000,설정!$L$6+ROW()-1,설정!$L$30)),INDEX(원자료_시장!$A$1:$BZ$1000,설정!$L$6+ROW()-1,설정!$L$30),""),"")</f>
        <v/>
      </c>
      <c r="I361" s="97" t="str">
        <f aca="false">IFERROR(IF(ISNUMBER(INDEX(원자료_시장!$A$1:$BZ$1000,설정!$L$6+ROW()-1,설정!$L$31)),INDEX(원자료_시장!$A$1:$BZ$1000,설정!$L$6+ROW()-1,설정!$L$31),""),"")</f>
        <v/>
      </c>
      <c r="J361" s="97" t="str">
        <f aca="false">IFERROR(IF(ISNUMBER(INDEX(원자료_시장!$A$1:$BZ$1000,설정!$L$6+ROW()-1,설정!$L$32)),INDEX(원자료_시장!$A$1:$BZ$1000,설정!$L$6+ROW()-1,설정!$L$32),""),"")</f>
        <v/>
      </c>
      <c r="K361" s="85" t="str">
        <f aca="false">IFERROR(IF(ISNUMBER(INDEX(원자료_시장!$A$1:$BZ$1000,설정!$L$6+ROW()-1,설정!$L$33)),INDEX(원자료_시장!$A$1:$BZ$1000,설정!$L$6+ROW()-1,설정!$L$33),""),"")</f>
        <v/>
      </c>
      <c r="L361" s="83" t="n">
        <f aca="false">IFERROR(IF(INDEX(원자료_시장!$A$1:$BZ$1000,설정!$L$6+ROW()-1,설정!$L$34)&amp;""="0","",INDEX(원자료_시장!$A$1:$BZ$1000,설정!$L$6+ROW()-1,설정!$L$34)),"")</f>
        <v>0</v>
      </c>
      <c r="M361" s="83" t="n">
        <f aca="false">IFERROR(IF(INDEX(원자료_시장!$A$1:$BZ$1000,설정!$L$6+ROW()-1,설정!$L$35)&amp;""="0","",INDEX(원자료_시장!$A$1:$BZ$1000,설정!$L$6+ROW()-1,설정!$L$35)),"")</f>
        <v>0</v>
      </c>
      <c r="N361" s="83" t="n">
        <f aca="false">IFERROR(IF(INDEX(원자료_시장!$A$1:$BZ$1000,설정!$L$6+ROW()-1,설정!$L$36)&amp;""="0","",INDEX(원자료_시장!$A$1:$BZ$1000,설정!$L$6+ROW()-1,설정!$L$36)),"")</f>
        <v>0</v>
      </c>
      <c r="O361" s="43" t="str">
        <f aca="false">IF($A361="","",UPPER(LEFT($A361,FIND(" ",$A361&amp;" ")-1)))</f>
        <v/>
      </c>
      <c r="P361" s="43" t="str">
        <f aca="false">IF($A361="","",TRIM(RIGHT(SUBSTITUTE(TRIM($A361)," ",REPT(" ",30)),30)))</f>
        <v/>
      </c>
      <c r="Q361" s="98" t="str">
        <f aca="false">IF($A361="","",IFERROR(DATE(IF(LEN(P361)=8,2000+VALUE(RIGHT(P361,2)),VALUE(RIGHT(P361,4))),VALUE(LEFT(P361,2)),VALUE(MID(P361,4,2))),""))</f>
        <v/>
      </c>
      <c r="R361" s="89" t="n">
        <f aca="false">IF($A361="",0,IF(ISNUMBER(SEARCH("Float",$A361)),1,0))</f>
        <v>0</v>
      </c>
      <c r="S361" s="43" t="str">
        <f aca="false">IF($A361="","",TRIM(MID($A361,LEN(O361)+2,LEN($A361)-LEN(O361)-LEN(P361)-1)))</f>
        <v/>
      </c>
      <c r="T361" s="92" t="str">
        <f aca="false">IF(OR($A361="",R361=1),"",IFERROR(IF(ISNUMBER(FIND("/",S361)),IF(ISNUMBER(FIND(" ",S361)),VALUE(LEFT(S361,FIND(" ",S361)-1))+VALUE(MID(S361,FIND(" ",S361)+1,FIND("/",S361)-FIND(" ",S361)-1))/VALUE(MID(S361,FIND("/",S361)+1,9)),VALUE(LEFT(S361,FIND("/",S361)-1))/VALUE(MID(S361,FIND("/",S361)+1,9))),VALUE(S361)),""))</f>
        <v/>
      </c>
      <c r="U361" s="43" t="str">
        <f aca="false">IF(OR($A361="",NOT(ISNUMBER(Q361))),"",TEXT(Q361,"yyyymmdd")&amp;"|"&amp;IF(R361=1,"F",TEXT(T361,"0.000")))</f>
        <v/>
      </c>
      <c r="V361" s="43" t="str">
        <f aca="false">IF(U361="","",O361&amp;"|"&amp;U361)</f>
        <v/>
      </c>
      <c r="W361" s="43" t="str">
        <f aca="false">IF($A361="","",IFERROR(IF(VLOOKUP(O361,매핑!$A$4:$E$92,3,0)="","미분류",VLOOKUP(O361,매핑!$A$4:$E$92,3,0)),"미분류"))</f>
        <v/>
      </c>
      <c r="X361" s="89" t="n">
        <f aca="false">IF($A361="",0,IF(O361="T",1,0))</f>
        <v>0</v>
      </c>
      <c r="Y361" s="89" t="n">
        <f aca="false">IF($A361="",0,IF(AND(C361="USD",X361=0,ISNUMBER(E361),ISNUMBER(K361)),IF(K361&gt;=설정!$C$8,1,0),0))</f>
        <v>0</v>
      </c>
      <c r="Z361" s="43" t="str">
        <f aca="false">IF($A361="","",N361&amp;"|"&amp;L361)</f>
        <v/>
      </c>
      <c r="AA361" s="92" t="n">
        <f aca="false">IF(Y361=1,LN(K361),0)</f>
        <v>0</v>
      </c>
      <c r="AB361" s="93" t="n">
        <f aca="false">IF(Y361=1,E361,0)</f>
        <v>0</v>
      </c>
      <c r="AC361" s="89" t="n">
        <f aca="false">IF(Y361=1,COUNTIFS($Z$2:$Z$601,Z361,$Y$2:$Y$601,1),0)</f>
        <v>0</v>
      </c>
      <c r="AD361" s="89" t="n">
        <f aca="false">IF(Y361=1,COUNTIFS($N$2:$N$601,N361,$Y$2:$Y$601,1),0)</f>
        <v>0</v>
      </c>
      <c r="AE361" s="43" t="str">
        <f aca="false">IF(Y361&lt;&gt;1,"",IF(AND(AC361&gt;=설정!$C$7,ISNUMBER(MATCH(Z361,피어커브!$A:$A,0))),Z361,IF(AND(AD361&gt;=설정!$C$7,ISNUMBER(MATCH(N361&amp;"|전체",피어커브!$A:$A,0))),N361&amp;"|전체","전체|전체")))</f>
        <v/>
      </c>
      <c r="AF361" s="93" t="str">
        <f aca="false">IF(AE361="","",INDEX(피어커브!$K:$K,MATCH(AE361,피어커브!$A:$A,0)))</f>
        <v/>
      </c>
      <c r="AG361" s="93" t="str">
        <f aca="false">IF(AE361="","",INDEX(피어커브!$J:$J,MATCH(AE361,피어커브!$A:$A,0)))</f>
        <v/>
      </c>
      <c r="AH361" s="93" t="str">
        <f aca="false">IF(AE361="","",INDEX(피어커브!$L:$L,MATCH(AE361,피어커브!$A:$A,0)))</f>
        <v/>
      </c>
      <c r="AI361" s="93" t="str">
        <f aca="false">IF(AE361="","",AF361+AG361*AA361)</f>
        <v/>
      </c>
      <c r="AJ361" s="96" t="str">
        <f aca="false">IF(AE361="","",E361-AI361)</f>
        <v/>
      </c>
      <c r="AK361" s="95" t="str">
        <f aca="false">IF(AE361="","",IF(ISNUMBER(AH361),IF(AH361&gt;0,AJ361/AH361,""),""))</f>
        <v/>
      </c>
      <c r="AL361" s="43" t="str">
        <f aca="false">IF(AK361="","-",IF(AK361&gt;=설정!$C$6,"Cheap",IF(AK361&lt;=-설정!$C$6,"Rich","Fair")))</f>
        <v>-</v>
      </c>
      <c r="AM361" s="96" t="str">
        <f aca="false">IF(AE361="","",AJ361-AVERAGEIFS($AJ$2:$AJ$601,$B$2:$B$601,B361,$Y$2:$Y$601,1))</f>
        <v/>
      </c>
      <c r="AN361" s="93" t="n">
        <f aca="false">IF(AE361="",0,IF(K361&gt;1+설정!$C$8,AG361*(AA361-LN(K361-1)),0))</f>
        <v>0</v>
      </c>
      <c r="AO361" s="99" t="n">
        <f aca="false">IF($A361="",0,SUMIFS(보유분석!$AA$2:$AA$801,보유분석!$AB$2:$AB$801,ROW(),보유분석!$AC$2:$AC$801,1))</f>
        <v>0</v>
      </c>
      <c r="AP361" s="43" t="str">
        <f aca="false">IF($A361="","",TRIM(IF(R361=1,"FRN ","")&amp;IF(IFERROR(VLOOKUP(M361,설정!$A$15:$D$47,4,0),0)&gt;=10,IF(IFERROR(VLOOKUP(M361,설정!$A$15:$D$47,4,0),0)&lt;99,"BBB0미만 ",""),"")&amp;IF(OR(M361="",M361="NR"),"등급미입력 ","")&amp;IF(C361&lt;&gt;"USD","비USD ","")))</f>
        <v/>
      </c>
      <c r="AQ361" s="90" t="n">
        <f aca="false">IF(AND(Y361=1,AL361="Cheap"),IF(AND(ISERROR(SEARCH("FRN",AP361)),ISERROR(SEARCH("BBB0미만",AP361))),AK361+ROW()/1000000000,-999),-999)</f>
        <v>-999</v>
      </c>
      <c r="AR361" s="92" t="str">
        <f aca="false">IF(AND(ISNUMBER(D361),ISNUMBER(K361)),D361+AN361*MAX(K361-1,0)/100,"")</f>
        <v/>
      </c>
      <c r="AS361" s="93" t="str">
        <f aca="false">IF(AND(ISNUMBER(E361),ISNUMBER(K361)),IF(K361&gt;0,(E361+AN361*MAX(K361-1,0))/K361,""),"")</f>
        <v/>
      </c>
      <c r="AT361" s="90" t="n">
        <f aca="false">IFERROR(IF(AND(Y361=1,ROW()&lt;&gt;스왑분석!$C$12+1,ABS(K361-INDEX($K$2:$K$601,스왑분석!$C$12))&lt;=스왑분석!$C$5,ISERROR(SEARCH("FRN",AP361)),ISERROR(SEARCH("BBB0미만",AP361))),IF(AND(OR(스왑분석!$C$6="N",L361=INDEX($L$2:$L$601,스왑분석!$C$12)),OR(스왑분석!$C$7="N",N361=INDEX($N$2:$N$601,스왑분석!$C$12)),OR(스왑분석!$C$8="N",AO361=0),E361-INDEX($E$2:$E$601,스왑분석!$C$12)&gt;=스왑분석!$C$9),E361-INDEX($E$2:$E$601,스왑분석!$C$12)+ROW()/1000000000,-999),-999),-999)</f>
        <v>-999</v>
      </c>
      <c r="AU361" s="90" t="n">
        <f aca="false">IF(AND(Y361=1,AO361&gt;0,AL361="Rich"),-AK361+ROW()/1000000000,-999)</f>
        <v>-999</v>
      </c>
    </row>
    <row r="362" customFormat="false" ht="15" hidden="false" customHeight="false" outlineLevel="0" collapsed="false">
      <c r="A362" s="83" t="n">
        <f aca="false">IFERROR(IF(INDEX(원자료_시장!$A$1:$BZ$1000,설정!$L$6+ROW()-1,설정!$L$24)&amp;""="0","",INDEX(원자료_시장!$A$1:$BZ$1000,설정!$L$6+ROW()-1,설정!$L$24)),"")</f>
        <v>0</v>
      </c>
      <c r="B362" s="83" t="n">
        <f aca="false">IFERROR(IF(INDEX(원자료_시장!$A$1:$BZ$1000,설정!$L$6+ROW()-1,설정!$L$37)&amp;""="0","",INDEX(원자료_시장!$A$1:$BZ$1000,설정!$L$6+ROW()-1,설정!$L$37)),"")</f>
        <v>0</v>
      </c>
      <c r="C362" s="83" t="n">
        <f aca="false">IFERROR(IF(INDEX(원자료_시장!$A$1:$BZ$1000,설정!$L$6+ROW()-1,설정!$L$25)&amp;""="0","",INDEX(원자료_시장!$A$1:$BZ$1000,설정!$L$6+ROW()-1,설정!$L$25)),"")</f>
        <v>0</v>
      </c>
      <c r="D362" s="85" t="str">
        <f aca="false">IFERROR(IF(ISNUMBER(INDEX(원자료_시장!$A$1:$BZ$1000,설정!$L$6+ROW()-1,설정!$L$26)),INDEX(원자료_시장!$A$1:$BZ$1000,설정!$L$6+ROW()-1,설정!$L$26),""),"")</f>
        <v/>
      </c>
      <c r="E362" s="97" t="str">
        <f aca="false">IFERROR(IF(ISNUMBER(INDEX(원자료_시장!$A$1:$BZ$1000,설정!$L$6+ROW()-1,설정!$L$27)),INDEX(원자료_시장!$A$1:$BZ$1000,설정!$L$6+ROW()-1,설정!$L$27),""),"")</f>
        <v/>
      </c>
      <c r="F362" s="97" t="str">
        <f aca="false">IFERROR(IF(ISNUMBER(INDEX(원자료_시장!$A$1:$BZ$1000,설정!$L$6+ROW()-1,설정!$L$28)),INDEX(원자료_시장!$A$1:$BZ$1000,설정!$L$6+ROW()-1,설정!$L$28),""),"")</f>
        <v/>
      </c>
      <c r="G362" s="97" t="str">
        <f aca="false">IFERROR(IF(ISNUMBER(INDEX(원자료_시장!$A$1:$BZ$1000,설정!$L$6+ROW()-1,설정!$L$29)),INDEX(원자료_시장!$A$1:$BZ$1000,설정!$L$6+ROW()-1,설정!$L$29),""),"")</f>
        <v/>
      </c>
      <c r="H362" s="97" t="str">
        <f aca="false">IFERROR(IF(ISNUMBER(INDEX(원자료_시장!$A$1:$BZ$1000,설정!$L$6+ROW()-1,설정!$L$30)),INDEX(원자료_시장!$A$1:$BZ$1000,설정!$L$6+ROW()-1,설정!$L$30),""),"")</f>
        <v/>
      </c>
      <c r="I362" s="97" t="str">
        <f aca="false">IFERROR(IF(ISNUMBER(INDEX(원자료_시장!$A$1:$BZ$1000,설정!$L$6+ROW()-1,설정!$L$31)),INDEX(원자료_시장!$A$1:$BZ$1000,설정!$L$6+ROW()-1,설정!$L$31),""),"")</f>
        <v/>
      </c>
      <c r="J362" s="97" t="str">
        <f aca="false">IFERROR(IF(ISNUMBER(INDEX(원자료_시장!$A$1:$BZ$1000,설정!$L$6+ROW()-1,설정!$L$32)),INDEX(원자료_시장!$A$1:$BZ$1000,설정!$L$6+ROW()-1,설정!$L$32),""),"")</f>
        <v/>
      </c>
      <c r="K362" s="85" t="str">
        <f aca="false">IFERROR(IF(ISNUMBER(INDEX(원자료_시장!$A$1:$BZ$1000,설정!$L$6+ROW()-1,설정!$L$33)),INDEX(원자료_시장!$A$1:$BZ$1000,설정!$L$6+ROW()-1,설정!$L$33),""),"")</f>
        <v/>
      </c>
      <c r="L362" s="83" t="n">
        <f aca="false">IFERROR(IF(INDEX(원자료_시장!$A$1:$BZ$1000,설정!$L$6+ROW()-1,설정!$L$34)&amp;""="0","",INDEX(원자료_시장!$A$1:$BZ$1000,설정!$L$6+ROW()-1,설정!$L$34)),"")</f>
        <v>0</v>
      </c>
      <c r="M362" s="83" t="n">
        <f aca="false">IFERROR(IF(INDEX(원자료_시장!$A$1:$BZ$1000,설정!$L$6+ROW()-1,설정!$L$35)&amp;""="0","",INDEX(원자료_시장!$A$1:$BZ$1000,설정!$L$6+ROW()-1,설정!$L$35)),"")</f>
        <v>0</v>
      </c>
      <c r="N362" s="83" t="n">
        <f aca="false">IFERROR(IF(INDEX(원자료_시장!$A$1:$BZ$1000,설정!$L$6+ROW()-1,설정!$L$36)&amp;""="0","",INDEX(원자료_시장!$A$1:$BZ$1000,설정!$L$6+ROW()-1,설정!$L$36)),"")</f>
        <v>0</v>
      </c>
      <c r="O362" s="43" t="str">
        <f aca="false">IF($A362="","",UPPER(LEFT($A362,FIND(" ",$A362&amp;" ")-1)))</f>
        <v/>
      </c>
      <c r="P362" s="43" t="str">
        <f aca="false">IF($A362="","",TRIM(RIGHT(SUBSTITUTE(TRIM($A362)," ",REPT(" ",30)),30)))</f>
        <v/>
      </c>
      <c r="Q362" s="98" t="str">
        <f aca="false">IF($A362="","",IFERROR(DATE(IF(LEN(P362)=8,2000+VALUE(RIGHT(P362,2)),VALUE(RIGHT(P362,4))),VALUE(LEFT(P362,2)),VALUE(MID(P362,4,2))),""))</f>
        <v/>
      </c>
      <c r="R362" s="89" t="n">
        <f aca="false">IF($A362="",0,IF(ISNUMBER(SEARCH("Float",$A362)),1,0))</f>
        <v>0</v>
      </c>
      <c r="S362" s="43" t="str">
        <f aca="false">IF($A362="","",TRIM(MID($A362,LEN(O362)+2,LEN($A362)-LEN(O362)-LEN(P362)-1)))</f>
        <v/>
      </c>
      <c r="T362" s="92" t="str">
        <f aca="false">IF(OR($A362="",R362=1),"",IFERROR(IF(ISNUMBER(FIND("/",S362)),IF(ISNUMBER(FIND(" ",S362)),VALUE(LEFT(S362,FIND(" ",S362)-1))+VALUE(MID(S362,FIND(" ",S362)+1,FIND("/",S362)-FIND(" ",S362)-1))/VALUE(MID(S362,FIND("/",S362)+1,9)),VALUE(LEFT(S362,FIND("/",S362)-1))/VALUE(MID(S362,FIND("/",S362)+1,9))),VALUE(S362)),""))</f>
        <v/>
      </c>
      <c r="U362" s="43" t="str">
        <f aca="false">IF(OR($A362="",NOT(ISNUMBER(Q362))),"",TEXT(Q362,"yyyymmdd")&amp;"|"&amp;IF(R362=1,"F",TEXT(T362,"0.000")))</f>
        <v/>
      </c>
      <c r="V362" s="43" t="str">
        <f aca="false">IF(U362="","",O362&amp;"|"&amp;U362)</f>
        <v/>
      </c>
      <c r="W362" s="43" t="str">
        <f aca="false">IF($A362="","",IFERROR(IF(VLOOKUP(O362,매핑!$A$4:$E$92,3,0)="","미분류",VLOOKUP(O362,매핑!$A$4:$E$92,3,0)),"미분류"))</f>
        <v/>
      </c>
      <c r="X362" s="89" t="n">
        <f aca="false">IF($A362="",0,IF(O362="T",1,0))</f>
        <v>0</v>
      </c>
      <c r="Y362" s="89" t="n">
        <f aca="false">IF($A362="",0,IF(AND(C362="USD",X362=0,ISNUMBER(E362),ISNUMBER(K362)),IF(K362&gt;=설정!$C$8,1,0),0))</f>
        <v>0</v>
      </c>
      <c r="Z362" s="43" t="str">
        <f aca="false">IF($A362="","",N362&amp;"|"&amp;L362)</f>
        <v/>
      </c>
      <c r="AA362" s="92" t="n">
        <f aca="false">IF(Y362=1,LN(K362),0)</f>
        <v>0</v>
      </c>
      <c r="AB362" s="93" t="n">
        <f aca="false">IF(Y362=1,E362,0)</f>
        <v>0</v>
      </c>
      <c r="AC362" s="89" t="n">
        <f aca="false">IF(Y362=1,COUNTIFS($Z$2:$Z$601,Z362,$Y$2:$Y$601,1),0)</f>
        <v>0</v>
      </c>
      <c r="AD362" s="89" t="n">
        <f aca="false">IF(Y362=1,COUNTIFS($N$2:$N$601,N362,$Y$2:$Y$601,1),0)</f>
        <v>0</v>
      </c>
      <c r="AE362" s="43" t="str">
        <f aca="false">IF(Y362&lt;&gt;1,"",IF(AND(AC362&gt;=설정!$C$7,ISNUMBER(MATCH(Z362,피어커브!$A:$A,0))),Z362,IF(AND(AD362&gt;=설정!$C$7,ISNUMBER(MATCH(N362&amp;"|전체",피어커브!$A:$A,0))),N362&amp;"|전체","전체|전체")))</f>
        <v/>
      </c>
      <c r="AF362" s="93" t="str">
        <f aca="false">IF(AE362="","",INDEX(피어커브!$K:$K,MATCH(AE362,피어커브!$A:$A,0)))</f>
        <v/>
      </c>
      <c r="AG362" s="93" t="str">
        <f aca="false">IF(AE362="","",INDEX(피어커브!$J:$J,MATCH(AE362,피어커브!$A:$A,0)))</f>
        <v/>
      </c>
      <c r="AH362" s="93" t="str">
        <f aca="false">IF(AE362="","",INDEX(피어커브!$L:$L,MATCH(AE362,피어커브!$A:$A,0)))</f>
        <v/>
      </c>
      <c r="AI362" s="93" t="str">
        <f aca="false">IF(AE362="","",AF362+AG362*AA362)</f>
        <v/>
      </c>
      <c r="AJ362" s="96" t="str">
        <f aca="false">IF(AE362="","",E362-AI362)</f>
        <v/>
      </c>
      <c r="AK362" s="95" t="str">
        <f aca="false">IF(AE362="","",IF(ISNUMBER(AH362),IF(AH362&gt;0,AJ362/AH362,""),""))</f>
        <v/>
      </c>
      <c r="AL362" s="43" t="str">
        <f aca="false">IF(AK362="","-",IF(AK362&gt;=설정!$C$6,"Cheap",IF(AK362&lt;=-설정!$C$6,"Rich","Fair")))</f>
        <v>-</v>
      </c>
      <c r="AM362" s="96" t="str">
        <f aca="false">IF(AE362="","",AJ362-AVERAGEIFS($AJ$2:$AJ$601,$B$2:$B$601,B362,$Y$2:$Y$601,1))</f>
        <v/>
      </c>
      <c r="AN362" s="93" t="n">
        <f aca="false">IF(AE362="",0,IF(K362&gt;1+설정!$C$8,AG362*(AA362-LN(K362-1)),0))</f>
        <v>0</v>
      </c>
      <c r="AO362" s="99" t="n">
        <f aca="false">IF($A362="",0,SUMIFS(보유분석!$AA$2:$AA$801,보유분석!$AB$2:$AB$801,ROW(),보유분석!$AC$2:$AC$801,1))</f>
        <v>0</v>
      </c>
      <c r="AP362" s="43" t="str">
        <f aca="false">IF($A362="","",TRIM(IF(R362=1,"FRN ","")&amp;IF(IFERROR(VLOOKUP(M362,설정!$A$15:$D$47,4,0),0)&gt;=10,IF(IFERROR(VLOOKUP(M362,설정!$A$15:$D$47,4,0),0)&lt;99,"BBB0미만 ",""),"")&amp;IF(OR(M362="",M362="NR"),"등급미입력 ","")&amp;IF(C362&lt;&gt;"USD","비USD ","")))</f>
        <v/>
      </c>
      <c r="AQ362" s="90" t="n">
        <f aca="false">IF(AND(Y362=1,AL362="Cheap"),IF(AND(ISERROR(SEARCH("FRN",AP362)),ISERROR(SEARCH("BBB0미만",AP362))),AK362+ROW()/1000000000,-999),-999)</f>
        <v>-999</v>
      </c>
      <c r="AR362" s="92" t="str">
        <f aca="false">IF(AND(ISNUMBER(D362),ISNUMBER(K362)),D362+AN362*MAX(K362-1,0)/100,"")</f>
        <v/>
      </c>
      <c r="AS362" s="93" t="str">
        <f aca="false">IF(AND(ISNUMBER(E362),ISNUMBER(K362)),IF(K362&gt;0,(E362+AN362*MAX(K362-1,0))/K362,""),"")</f>
        <v/>
      </c>
      <c r="AT362" s="90" t="n">
        <f aca="false">IFERROR(IF(AND(Y362=1,ROW()&lt;&gt;스왑분석!$C$12+1,ABS(K362-INDEX($K$2:$K$601,스왑분석!$C$12))&lt;=스왑분석!$C$5,ISERROR(SEARCH("FRN",AP362)),ISERROR(SEARCH("BBB0미만",AP362))),IF(AND(OR(스왑분석!$C$6="N",L362=INDEX($L$2:$L$601,스왑분석!$C$12)),OR(스왑분석!$C$7="N",N362=INDEX($N$2:$N$601,스왑분석!$C$12)),OR(스왑분석!$C$8="N",AO362=0),E362-INDEX($E$2:$E$601,스왑분석!$C$12)&gt;=스왑분석!$C$9),E362-INDEX($E$2:$E$601,스왑분석!$C$12)+ROW()/1000000000,-999),-999),-999)</f>
        <v>-999</v>
      </c>
      <c r="AU362" s="90" t="n">
        <f aca="false">IF(AND(Y362=1,AO362&gt;0,AL362="Rich"),-AK362+ROW()/1000000000,-999)</f>
        <v>-999</v>
      </c>
    </row>
    <row r="363" customFormat="false" ht="15" hidden="false" customHeight="false" outlineLevel="0" collapsed="false">
      <c r="A363" s="83" t="n">
        <f aca="false">IFERROR(IF(INDEX(원자료_시장!$A$1:$BZ$1000,설정!$L$6+ROW()-1,설정!$L$24)&amp;""="0","",INDEX(원자료_시장!$A$1:$BZ$1000,설정!$L$6+ROW()-1,설정!$L$24)),"")</f>
        <v>0</v>
      </c>
      <c r="B363" s="83" t="n">
        <f aca="false">IFERROR(IF(INDEX(원자료_시장!$A$1:$BZ$1000,설정!$L$6+ROW()-1,설정!$L$37)&amp;""="0","",INDEX(원자료_시장!$A$1:$BZ$1000,설정!$L$6+ROW()-1,설정!$L$37)),"")</f>
        <v>0</v>
      </c>
      <c r="C363" s="83" t="n">
        <f aca="false">IFERROR(IF(INDEX(원자료_시장!$A$1:$BZ$1000,설정!$L$6+ROW()-1,설정!$L$25)&amp;""="0","",INDEX(원자료_시장!$A$1:$BZ$1000,설정!$L$6+ROW()-1,설정!$L$25)),"")</f>
        <v>0</v>
      </c>
      <c r="D363" s="85" t="str">
        <f aca="false">IFERROR(IF(ISNUMBER(INDEX(원자료_시장!$A$1:$BZ$1000,설정!$L$6+ROW()-1,설정!$L$26)),INDEX(원자료_시장!$A$1:$BZ$1000,설정!$L$6+ROW()-1,설정!$L$26),""),"")</f>
        <v/>
      </c>
      <c r="E363" s="97" t="str">
        <f aca="false">IFERROR(IF(ISNUMBER(INDEX(원자료_시장!$A$1:$BZ$1000,설정!$L$6+ROW()-1,설정!$L$27)),INDEX(원자료_시장!$A$1:$BZ$1000,설정!$L$6+ROW()-1,설정!$L$27),""),"")</f>
        <v/>
      </c>
      <c r="F363" s="97" t="str">
        <f aca="false">IFERROR(IF(ISNUMBER(INDEX(원자료_시장!$A$1:$BZ$1000,설정!$L$6+ROW()-1,설정!$L$28)),INDEX(원자료_시장!$A$1:$BZ$1000,설정!$L$6+ROW()-1,설정!$L$28),""),"")</f>
        <v/>
      </c>
      <c r="G363" s="97" t="str">
        <f aca="false">IFERROR(IF(ISNUMBER(INDEX(원자료_시장!$A$1:$BZ$1000,설정!$L$6+ROW()-1,설정!$L$29)),INDEX(원자료_시장!$A$1:$BZ$1000,설정!$L$6+ROW()-1,설정!$L$29),""),"")</f>
        <v/>
      </c>
      <c r="H363" s="97" t="str">
        <f aca="false">IFERROR(IF(ISNUMBER(INDEX(원자료_시장!$A$1:$BZ$1000,설정!$L$6+ROW()-1,설정!$L$30)),INDEX(원자료_시장!$A$1:$BZ$1000,설정!$L$6+ROW()-1,설정!$L$30),""),"")</f>
        <v/>
      </c>
      <c r="I363" s="97" t="str">
        <f aca="false">IFERROR(IF(ISNUMBER(INDEX(원자료_시장!$A$1:$BZ$1000,설정!$L$6+ROW()-1,설정!$L$31)),INDEX(원자료_시장!$A$1:$BZ$1000,설정!$L$6+ROW()-1,설정!$L$31),""),"")</f>
        <v/>
      </c>
      <c r="J363" s="97" t="str">
        <f aca="false">IFERROR(IF(ISNUMBER(INDEX(원자료_시장!$A$1:$BZ$1000,설정!$L$6+ROW()-1,설정!$L$32)),INDEX(원자료_시장!$A$1:$BZ$1000,설정!$L$6+ROW()-1,설정!$L$32),""),"")</f>
        <v/>
      </c>
      <c r="K363" s="85" t="str">
        <f aca="false">IFERROR(IF(ISNUMBER(INDEX(원자료_시장!$A$1:$BZ$1000,설정!$L$6+ROW()-1,설정!$L$33)),INDEX(원자료_시장!$A$1:$BZ$1000,설정!$L$6+ROW()-1,설정!$L$33),""),"")</f>
        <v/>
      </c>
      <c r="L363" s="83" t="n">
        <f aca="false">IFERROR(IF(INDEX(원자료_시장!$A$1:$BZ$1000,설정!$L$6+ROW()-1,설정!$L$34)&amp;""="0","",INDEX(원자료_시장!$A$1:$BZ$1000,설정!$L$6+ROW()-1,설정!$L$34)),"")</f>
        <v>0</v>
      </c>
      <c r="M363" s="83" t="n">
        <f aca="false">IFERROR(IF(INDEX(원자료_시장!$A$1:$BZ$1000,설정!$L$6+ROW()-1,설정!$L$35)&amp;""="0","",INDEX(원자료_시장!$A$1:$BZ$1000,설정!$L$6+ROW()-1,설정!$L$35)),"")</f>
        <v>0</v>
      </c>
      <c r="N363" s="83" t="n">
        <f aca="false">IFERROR(IF(INDEX(원자료_시장!$A$1:$BZ$1000,설정!$L$6+ROW()-1,설정!$L$36)&amp;""="0","",INDEX(원자료_시장!$A$1:$BZ$1000,설정!$L$6+ROW()-1,설정!$L$36)),"")</f>
        <v>0</v>
      </c>
      <c r="O363" s="43" t="str">
        <f aca="false">IF($A363="","",UPPER(LEFT($A363,FIND(" ",$A363&amp;" ")-1)))</f>
        <v/>
      </c>
      <c r="P363" s="43" t="str">
        <f aca="false">IF($A363="","",TRIM(RIGHT(SUBSTITUTE(TRIM($A363)," ",REPT(" ",30)),30)))</f>
        <v/>
      </c>
      <c r="Q363" s="98" t="str">
        <f aca="false">IF($A363="","",IFERROR(DATE(IF(LEN(P363)=8,2000+VALUE(RIGHT(P363,2)),VALUE(RIGHT(P363,4))),VALUE(LEFT(P363,2)),VALUE(MID(P363,4,2))),""))</f>
        <v/>
      </c>
      <c r="R363" s="89" t="n">
        <f aca="false">IF($A363="",0,IF(ISNUMBER(SEARCH("Float",$A363)),1,0))</f>
        <v>0</v>
      </c>
      <c r="S363" s="43" t="str">
        <f aca="false">IF($A363="","",TRIM(MID($A363,LEN(O363)+2,LEN($A363)-LEN(O363)-LEN(P363)-1)))</f>
        <v/>
      </c>
      <c r="T363" s="92" t="str">
        <f aca="false">IF(OR($A363="",R363=1),"",IFERROR(IF(ISNUMBER(FIND("/",S363)),IF(ISNUMBER(FIND(" ",S363)),VALUE(LEFT(S363,FIND(" ",S363)-1))+VALUE(MID(S363,FIND(" ",S363)+1,FIND("/",S363)-FIND(" ",S363)-1))/VALUE(MID(S363,FIND("/",S363)+1,9)),VALUE(LEFT(S363,FIND("/",S363)-1))/VALUE(MID(S363,FIND("/",S363)+1,9))),VALUE(S363)),""))</f>
        <v/>
      </c>
      <c r="U363" s="43" t="str">
        <f aca="false">IF(OR($A363="",NOT(ISNUMBER(Q363))),"",TEXT(Q363,"yyyymmdd")&amp;"|"&amp;IF(R363=1,"F",TEXT(T363,"0.000")))</f>
        <v/>
      </c>
      <c r="V363" s="43" t="str">
        <f aca="false">IF(U363="","",O363&amp;"|"&amp;U363)</f>
        <v/>
      </c>
      <c r="W363" s="43" t="str">
        <f aca="false">IF($A363="","",IFERROR(IF(VLOOKUP(O363,매핑!$A$4:$E$92,3,0)="","미분류",VLOOKUP(O363,매핑!$A$4:$E$92,3,0)),"미분류"))</f>
        <v/>
      </c>
      <c r="X363" s="89" t="n">
        <f aca="false">IF($A363="",0,IF(O363="T",1,0))</f>
        <v>0</v>
      </c>
      <c r="Y363" s="89" t="n">
        <f aca="false">IF($A363="",0,IF(AND(C363="USD",X363=0,ISNUMBER(E363),ISNUMBER(K363)),IF(K363&gt;=설정!$C$8,1,0),0))</f>
        <v>0</v>
      </c>
      <c r="Z363" s="43" t="str">
        <f aca="false">IF($A363="","",N363&amp;"|"&amp;L363)</f>
        <v/>
      </c>
      <c r="AA363" s="92" t="n">
        <f aca="false">IF(Y363=1,LN(K363),0)</f>
        <v>0</v>
      </c>
      <c r="AB363" s="93" t="n">
        <f aca="false">IF(Y363=1,E363,0)</f>
        <v>0</v>
      </c>
      <c r="AC363" s="89" t="n">
        <f aca="false">IF(Y363=1,COUNTIFS($Z$2:$Z$601,Z363,$Y$2:$Y$601,1),0)</f>
        <v>0</v>
      </c>
      <c r="AD363" s="89" t="n">
        <f aca="false">IF(Y363=1,COUNTIFS($N$2:$N$601,N363,$Y$2:$Y$601,1),0)</f>
        <v>0</v>
      </c>
      <c r="AE363" s="43" t="str">
        <f aca="false">IF(Y363&lt;&gt;1,"",IF(AND(AC363&gt;=설정!$C$7,ISNUMBER(MATCH(Z363,피어커브!$A:$A,0))),Z363,IF(AND(AD363&gt;=설정!$C$7,ISNUMBER(MATCH(N363&amp;"|전체",피어커브!$A:$A,0))),N363&amp;"|전체","전체|전체")))</f>
        <v/>
      </c>
      <c r="AF363" s="93" t="str">
        <f aca="false">IF(AE363="","",INDEX(피어커브!$K:$K,MATCH(AE363,피어커브!$A:$A,0)))</f>
        <v/>
      </c>
      <c r="AG363" s="93" t="str">
        <f aca="false">IF(AE363="","",INDEX(피어커브!$J:$J,MATCH(AE363,피어커브!$A:$A,0)))</f>
        <v/>
      </c>
      <c r="AH363" s="93" t="str">
        <f aca="false">IF(AE363="","",INDEX(피어커브!$L:$L,MATCH(AE363,피어커브!$A:$A,0)))</f>
        <v/>
      </c>
      <c r="AI363" s="93" t="str">
        <f aca="false">IF(AE363="","",AF363+AG363*AA363)</f>
        <v/>
      </c>
      <c r="AJ363" s="96" t="str">
        <f aca="false">IF(AE363="","",E363-AI363)</f>
        <v/>
      </c>
      <c r="AK363" s="95" t="str">
        <f aca="false">IF(AE363="","",IF(ISNUMBER(AH363),IF(AH363&gt;0,AJ363/AH363,""),""))</f>
        <v/>
      </c>
      <c r="AL363" s="43" t="str">
        <f aca="false">IF(AK363="","-",IF(AK363&gt;=설정!$C$6,"Cheap",IF(AK363&lt;=-설정!$C$6,"Rich","Fair")))</f>
        <v>-</v>
      </c>
      <c r="AM363" s="96" t="str">
        <f aca="false">IF(AE363="","",AJ363-AVERAGEIFS($AJ$2:$AJ$601,$B$2:$B$601,B363,$Y$2:$Y$601,1))</f>
        <v/>
      </c>
      <c r="AN363" s="93" t="n">
        <f aca="false">IF(AE363="",0,IF(K363&gt;1+설정!$C$8,AG363*(AA363-LN(K363-1)),0))</f>
        <v>0</v>
      </c>
      <c r="AO363" s="99" t="n">
        <f aca="false">IF($A363="",0,SUMIFS(보유분석!$AA$2:$AA$801,보유분석!$AB$2:$AB$801,ROW(),보유분석!$AC$2:$AC$801,1))</f>
        <v>0</v>
      </c>
      <c r="AP363" s="43" t="str">
        <f aca="false">IF($A363="","",TRIM(IF(R363=1,"FRN ","")&amp;IF(IFERROR(VLOOKUP(M363,설정!$A$15:$D$47,4,0),0)&gt;=10,IF(IFERROR(VLOOKUP(M363,설정!$A$15:$D$47,4,0),0)&lt;99,"BBB0미만 ",""),"")&amp;IF(OR(M363="",M363="NR"),"등급미입력 ","")&amp;IF(C363&lt;&gt;"USD","비USD ","")))</f>
        <v/>
      </c>
      <c r="AQ363" s="90" t="n">
        <f aca="false">IF(AND(Y363=1,AL363="Cheap"),IF(AND(ISERROR(SEARCH("FRN",AP363)),ISERROR(SEARCH("BBB0미만",AP363))),AK363+ROW()/1000000000,-999),-999)</f>
        <v>-999</v>
      </c>
      <c r="AR363" s="92" t="str">
        <f aca="false">IF(AND(ISNUMBER(D363),ISNUMBER(K363)),D363+AN363*MAX(K363-1,0)/100,"")</f>
        <v/>
      </c>
      <c r="AS363" s="93" t="str">
        <f aca="false">IF(AND(ISNUMBER(E363),ISNUMBER(K363)),IF(K363&gt;0,(E363+AN363*MAX(K363-1,0))/K363,""),"")</f>
        <v/>
      </c>
      <c r="AT363" s="90" t="n">
        <f aca="false">IFERROR(IF(AND(Y363=1,ROW()&lt;&gt;스왑분석!$C$12+1,ABS(K363-INDEX($K$2:$K$601,스왑분석!$C$12))&lt;=스왑분석!$C$5,ISERROR(SEARCH("FRN",AP363)),ISERROR(SEARCH("BBB0미만",AP363))),IF(AND(OR(스왑분석!$C$6="N",L363=INDEX($L$2:$L$601,스왑분석!$C$12)),OR(스왑분석!$C$7="N",N363=INDEX($N$2:$N$601,스왑분석!$C$12)),OR(스왑분석!$C$8="N",AO363=0),E363-INDEX($E$2:$E$601,스왑분석!$C$12)&gt;=스왑분석!$C$9),E363-INDEX($E$2:$E$601,스왑분석!$C$12)+ROW()/1000000000,-999),-999),-999)</f>
        <v>-999</v>
      </c>
      <c r="AU363" s="90" t="n">
        <f aca="false">IF(AND(Y363=1,AO363&gt;0,AL363="Rich"),-AK363+ROW()/1000000000,-999)</f>
        <v>-999</v>
      </c>
    </row>
    <row r="364" customFormat="false" ht="15" hidden="false" customHeight="false" outlineLevel="0" collapsed="false">
      <c r="A364" s="83" t="n">
        <f aca="false">IFERROR(IF(INDEX(원자료_시장!$A$1:$BZ$1000,설정!$L$6+ROW()-1,설정!$L$24)&amp;""="0","",INDEX(원자료_시장!$A$1:$BZ$1000,설정!$L$6+ROW()-1,설정!$L$24)),"")</f>
        <v>0</v>
      </c>
      <c r="B364" s="83" t="n">
        <f aca="false">IFERROR(IF(INDEX(원자료_시장!$A$1:$BZ$1000,설정!$L$6+ROW()-1,설정!$L$37)&amp;""="0","",INDEX(원자료_시장!$A$1:$BZ$1000,설정!$L$6+ROW()-1,설정!$L$37)),"")</f>
        <v>0</v>
      </c>
      <c r="C364" s="83" t="n">
        <f aca="false">IFERROR(IF(INDEX(원자료_시장!$A$1:$BZ$1000,설정!$L$6+ROW()-1,설정!$L$25)&amp;""="0","",INDEX(원자료_시장!$A$1:$BZ$1000,설정!$L$6+ROW()-1,설정!$L$25)),"")</f>
        <v>0</v>
      </c>
      <c r="D364" s="85" t="str">
        <f aca="false">IFERROR(IF(ISNUMBER(INDEX(원자료_시장!$A$1:$BZ$1000,설정!$L$6+ROW()-1,설정!$L$26)),INDEX(원자료_시장!$A$1:$BZ$1000,설정!$L$6+ROW()-1,설정!$L$26),""),"")</f>
        <v/>
      </c>
      <c r="E364" s="97" t="str">
        <f aca="false">IFERROR(IF(ISNUMBER(INDEX(원자료_시장!$A$1:$BZ$1000,설정!$L$6+ROW()-1,설정!$L$27)),INDEX(원자료_시장!$A$1:$BZ$1000,설정!$L$6+ROW()-1,설정!$L$27),""),"")</f>
        <v/>
      </c>
      <c r="F364" s="97" t="str">
        <f aca="false">IFERROR(IF(ISNUMBER(INDEX(원자료_시장!$A$1:$BZ$1000,설정!$L$6+ROW()-1,설정!$L$28)),INDEX(원자료_시장!$A$1:$BZ$1000,설정!$L$6+ROW()-1,설정!$L$28),""),"")</f>
        <v/>
      </c>
      <c r="G364" s="97" t="str">
        <f aca="false">IFERROR(IF(ISNUMBER(INDEX(원자료_시장!$A$1:$BZ$1000,설정!$L$6+ROW()-1,설정!$L$29)),INDEX(원자료_시장!$A$1:$BZ$1000,설정!$L$6+ROW()-1,설정!$L$29),""),"")</f>
        <v/>
      </c>
      <c r="H364" s="97" t="str">
        <f aca="false">IFERROR(IF(ISNUMBER(INDEX(원자료_시장!$A$1:$BZ$1000,설정!$L$6+ROW()-1,설정!$L$30)),INDEX(원자료_시장!$A$1:$BZ$1000,설정!$L$6+ROW()-1,설정!$L$30),""),"")</f>
        <v/>
      </c>
      <c r="I364" s="97" t="str">
        <f aca="false">IFERROR(IF(ISNUMBER(INDEX(원자료_시장!$A$1:$BZ$1000,설정!$L$6+ROW()-1,설정!$L$31)),INDEX(원자료_시장!$A$1:$BZ$1000,설정!$L$6+ROW()-1,설정!$L$31),""),"")</f>
        <v/>
      </c>
      <c r="J364" s="97" t="str">
        <f aca="false">IFERROR(IF(ISNUMBER(INDEX(원자료_시장!$A$1:$BZ$1000,설정!$L$6+ROW()-1,설정!$L$32)),INDEX(원자료_시장!$A$1:$BZ$1000,설정!$L$6+ROW()-1,설정!$L$32),""),"")</f>
        <v/>
      </c>
      <c r="K364" s="85" t="str">
        <f aca="false">IFERROR(IF(ISNUMBER(INDEX(원자료_시장!$A$1:$BZ$1000,설정!$L$6+ROW()-1,설정!$L$33)),INDEX(원자료_시장!$A$1:$BZ$1000,설정!$L$6+ROW()-1,설정!$L$33),""),"")</f>
        <v/>
      </c>
      <c r="L364" s="83" t="n">
        <f aca="false">IFERROR(IF(INDEX(원자료_시장!$A$1:$BZ$1000,설정!$L$6+ROW()-1,설정!$L$34)&amp;""="0","",INDEX(원자료_시장!$A$1:$BZ$1000,설정!$L$6+ROW()-1,설정!$L$34)),"")</f>
        <v>0</v>
      </c>
      <c r="M364" s="83" t="n">
        <f aca="false">IFERROR(IF(INDEX(원자료_시장!$A$1:$BZ$1000,설정!$L$6+ROW()-1,설정!$L$35)&amp;""="0","",INDEX(원자료_시장!$A$1:$BZ$1000,설정!$L$6+ROW()-1,설정!$L$35)),"")</f>
        <v>0</v>
      </c>
      <c r="N364" s="83" t="n">
        <f aca="false">IFERROR(IF(INDEX(원자료_시장!$A$1:$BZ$1000,설정!$L$6+ROW()-1,설정!$L$36)&amp;""="0","",INDEX(원자료_시장!$A$1:$BZ$1000,설정!$L$6+ROW()-1,설정!$L$36)),"")</f>
        <v>0</v>
      </c>
      <c r="O364" s="43" t="str">
        <f aca="false">IF($A364="","",UPPER(LEFT($A364,FIND(" ",$A364&amp;" ")-1)))</f>
        <v/>
      </c>
      <c r="P364" s="43" t="str">
        <f aca="false">IF($A364="","",TRIM(RIGHT(SUBSTITUTE(TRIM($A364)," ",REPT(" ",30)),30)))</f>
        <v/>
      </c>
      <c r="Q364" s="98" t="str">
        <f aca="false">IF($A364="","",IFERROR(DATE(IF(LEN(P364)=8,2000+VALUE(RIGHT(P364,2)),VALUE(RIGHT(P364,4))),VALUE(LEFT(P364,2)),VALUE(MID(P364,4,2))),""))</f>
        <v/>
      </c>
      <c r="R364" s="89" t="n">
        <f aca="false">IF($A364="",0,IF(ISNUMBER(SEARCH("Float",$A364)),1,0))</f>
        <v>0</v>
      </c>
      <c r="S364" s="43" t="str">
        <f aca="false">IF($A364="","",TRIM(MID($A364,LEN(O364)+2,LEN($A364)-LEN(O364)-LEN(P364)-1)))</f>
        <v/>
      </c>
      <c r="T364" s="92" t="str">
        <f aca="false">IF(OR($A364="",R364=1),"",IFERROR(IF(ISNUMBER(FIND("/",S364)),IF(ISNUMBER(FIND(" ",S364)),VALUE(LEFT(S364,FIND(" ",S364)-1))+VALUE(MID(S364,FIND(" ",S364)+1,FIND("/",S364)-FIND(" ",S364)-1))/VALUE(MID(S364,FIND("/",S364)+1,9)),VALUE(LEFT(S364,FIND("/",S364)-1))/VALUE(MID(S364,FIND("/",S364)+1,9))),VALUE(S364)),""))</f>
        <v/>
      </c>
      <c r="U364" s="43" t="str">
        <f aca="false">IF(OR($A364="",NOT(ISNUMBER(Q364))),"",TEXT(Q364,"yyyymmdd")&amp;"|"&amp;IF(R364=1,"F",TEXT(T364,"0.000")))</f>
        <v/>
      </c>
      <c r="V364" s="43" t="str">
        <f aca="false">IF(U364="","",O364&amp;"|"&amp;U364)</f>
        <v/>
      </c>
      <c r="W364" s="43" t="str">
        <f aca="false">IF($A364="","",IFERROR(IF(VLOOKUP(O364,매핑!$A$4:$E$92,3,0)="","미분류",VLOOKUP(O364,매핑!$A$4:$E$92,3,0)),"미분류"))</f>
        <v/>
      </c>
      <c r="X364" s="89" t="n">
        <f aca="false">IF($A364="",0,IF(O364="T",1,0))</f>
        <v>0</v>
      </c>
      <c r="Y364" s="89" t="n">
        <f aca="false">IF($A364="",0,IF(AND(C364="USD",X364=0,ISNUMBER(E364),ISNUMBER(K364)),IF(K364&gt;=설정!$C$8,1,0),0))</f>
        <v>0</v>
      </c>
      <c r="Z364" s="43" t="str">
        <f aca="false">IF($A364="","",N364&amp;"|"&amp;L364)</f>
        <v/>
      </c>
      <c r="AA364" s="92" t="n">
        <f aca="false">IF(Y364=1,LN(K364),0)</f>
        <v>0</v>
      </c>
      <c r="AB364" s="93" t="n">
        <f aca="false">IF(Y364=1,E364,0)</f>
        <v>0</v>
      </c>
      <c r="AC364" s="89" t="n">
        <f aca="false">IF(Y364=1,COUNTIFS($Z$2:$Z$601,Z364,$Y$2:$Y$601,1),0)</f>
        <v>0</v>
      </c>
      <c r="AD364" s="89" t="n">
        <f aca="false">IF(Y364=1,COUNTIFS($N$2:$N$601,N364,$Y$2:$Y$601,1),0)</f>
        <v>0</v>
      </c>
      <c r="AE364" s="43" t="str">
        <f aca="false">IF(Y364&lt;&gt;1,"",IF(AND(AC364&gt;=설정!$C$7,ISNUMBER(MATCH(Z364,피어커브!$A:$A,0))),Z364,IF(AND(AD364&gt;=설정!$C$7,ISNUMBER(MATCH(N364&amp;"|전체",피어커브!$A:$A,0))),N364&amp;"|전체","전체|전체")))</f>
        <v/>
      </c>
      <c r="AF364" s="93" t="str">
        <f aca="false">IF(AE364="","",INDEX(피어커브!$K:$K,MATCH(AE364,피어커브!$A:$A,0)))</f>
        <v/>
      </c>
      <c r="AG364" s="93" t="str">
        <f aca="false">IF(AE364="","",INDEX(피어커브!$J:$J,MATCH(AE364,피어커브!$A:$A,0)))</f>
        <v/>
      </c>
      <c r="AH364" s="93" t="str">
        <f aca="false">IF(AE364="","",INDEX(피어커브!$L:$L,MATCH(AE364,피어커브!$A:$A,0)))</f>
        <v/>
      </c>
      <c r="AI364" s="93" t="str">
        <f aca="false">IF(AE364="","",AF364+AG364*AA364)</f>
        <v/>
      </c>
      <c r="AJ364" s="96" t="str">
        <f aca="false">IF(AE364="","",E364-AI364)</f>
        <v/>
      </c>
      <c r="AK364" s="95" t="str">
        <f aca="false">IF(AE364="","",IF(ISNUMBER(AH364),IF(AH364&gt;0,AJ364/AH364,""),""))</f>
        <v/>
      </c>
      <c r="AL364" s="43" t="str">
        <f aca="false">IF(AK364="","-",IF(AK364&gt;=설정!$C$6,"Cheap",IF(AK364&lt;=-설정!$C$6,"Rich","Fair")))</f>
        <v>-</v>
      </c>
      <c r="AM364" s="96" t="str">
        <f aca="false">IF(AE364="","",AJ364-AVERAGEIFS($AJ$2:$AJ$601,$B$2:$B$601,B364,$Y$2:$Y$601,1))</f>
        <v/>
      </c>
      <c r="AN364" s="93" t="n">
        <f aca="false">IF(AE364="",0,IF(K364&gt;1+설정!$C$8,AG364*(AA364-LN(K364-1)),0))</f>
        <v>0</v>
      </c>
      <c r="AO364" s="99" t="n">
        <f aca="false">IF($A364="",0,SUMIFS(보유분석!$AA$2:$AA$801,보유분석!$AB$2:$AB$801,ROW(),보유분석!$AC$2:$AC$801,1))</f>
        <v>0</v>
      </c>
      <c r="AP364" s="43" t="str">
        <f aca="false">IF($A364="","",TRIM(IF(R364=1,"FRN ","")&amp;IF(IFERROR(VLOOKUP(M364,설정!$A$15:$D$47,4,0),0)&gt;=10,IF(IFERROR(VLOOKUP(M364,설정!$A$15:$D$47,4,0),0)&lt;99,"BBB0미만 ",""),"")&amp;IF(OR(M364="",M364="NR"),"등급미입력 ","")&amp;IF(C364&lt;&gt;"USD","비USD ","")))</f>
        <v/>
      </c>
      <c r="AQ364" s="90" t="n">
        <f aca="false">IF(AND(Y364=1,AL364="Cheap"),IF(AND(ISERROR(SEARCH("FRN",AP364)),ISERROR(SEARCH("BBB0미만",AP364))),AK364+ROW()/1000000000,-999),-999)</f>
        <v>-999</v>
      </c>
      <c r="AR364" s="92" t="str">
        <f aca="false">IF(AND(ISNUMBER(D364),ISNUMBER(K364)),D364+AN364*MAX(K364-1,0)/100,"")</f>
        <v/>
      </c>
      <c r="AS364" s="93" t="str">
        <f aca="false">IF(AND(ISNUMBER(E364),ISNUMBER(K364)),IF(K364&gt;0,(E364+AN364*MAX(K364-1,0))/K364,""),"")</f>
        <v/>
      </c>
      <c r="AT364" s="90" t="n">
        <f aca="false">IFERROR(IF(AND(Y364=1,ROW()&lt;&gt;스왑분석!$C$12+1,ABS(K364-INDEX($K$2:$K$601,스왑분석!$C$12))&lt;=스왑분석!$C$5,ISERROR(SEARCH("FRN",AP364)),ISERROR(SEARCH("BBB0미만",AP364))),IF(AND(OR(스왑분석!$C$6="N",L364=INDEX($L$2:$L$601,스왑분석!$C$12)),OR(스왑분석!$C$7="N",N364=INDEX($N$2:$N$601,스왑분석!$C$12)),OR(스왑분석!$C$8="N",AO364=0),E364-INDEX($E$2:$E$601,스왑분석!$C$12)&gt;=스왑분석!$C$9),E364-INDEX($E$2:$E$601,스왑분석!$C$12)+ROW()/1000000000,-999),-999),-999)</f>
        <v>-999</v>
      </c>
      <c r="AU364" s="90" t="n">
        <f aca="false">IF(AND(Y364=1,AO364&gt;0,AL364="Rich"),-AK364+ROW()/1000000000,-999)</f>
        <v>-999</v>
      </c>
    </row>
    <row r="365" customFormat="false" ht="15" hidden="false" customHeight="false" outlineLevel="0" collapsed="false">
      <c r="A365" s="83" t="n">
        <f aca="false">IFERROR(IF(INDEX(원자료_시장!$A$1:$BZ$1000,설정!$L$6+ROW()-1,설정!$L$24)&amp;""="0","",INDEX(원자료_시장!$A$1:$BZ$1000,설정!$L$6+ROW()-1,설정!$L$24)),"")</f>
        <v>0</v>
      </c>
      <c r="B365" s="83" t="n">
        <f aca="false">IFERROR(IF(INDEX(원자료_시장!$A$1:$BZ$1000,설정!$L$6+ROW()-1,설정!$L$37)&amp;""="0","",INDEX(원자료_시장!$A$1:$BZ$1000,설정!$L$6+ROW()-1,설정!$L$37)),"")</f>
        <v>0</v>
      </c>
      <c r="C365" s="83" t="n">
        <f aca="false">IFERROR(IF(INDEX(원자료_시장!$A$1:$BZ$1000,설정!$L$6+ROW()-1,설정!$L$25)&amp;""="0","",INDEX(원자료_시장!$A$1:$BZ$1000,설정!$L$6+ROW()-1,설정!$L$25)),"")</f>
        <v>0</v>
      </c>
      <c r="D365" s="85" t="str">
        <f aca="false">IFERROR(IF(ISNUMBER(INDEX(원자료_시장!$A$1:$BZ$1000,설정!$L$6+ROW()-1,설정!$L$26)),INDEX(원자료_시장!$A$1:$BZ$1000,설정!$L$6+ROW()-1,설정!$L$26),""),"")</f>
        <v/>
      </c>
      <c r="E365" s="97" t="str">
        <f aca="false">IFERROR(IF(ISNUMBER(INDEX(원자료_시장!$A$1:$BZ$1000,설정!$L$6+ROW()-1,설정!$L$27)),INDEX(원자료_시장!$A$1:$BZ$1000,설정!$L$6+ROW()-1,설정!$L$27),""),"")</f>
        <v/>
      </c>
      <c r="F365" s="97" t="str">
        <f aca="false">IFERROR(IF(ISNUMBER(INDEX(원자료_시장!$A$1:$BZ$1000,설정!$L$6+ROW()-1,설정!$L$28)),INDEX(원자료_시장!$A$1:$BZ$1000,설정!$L$6+ROW()-1,설정!$L$28),""),"")</f>
        <v/>
      </c>
      <c r="G365" s="97" t="str">
        <f aca="false">IFERROR(IF(ISNUMBER(INDEX(원자료_시장!$A$1:$BZ$1000,설정!$L$6+ROW()-1,설정!$L$29)),INDEX(원자료_시장!$A$1:$BZ$1000,설정!$L$6+ROW()-1,설정!$L$29),""),"")</f>
        <v/>
      </c>
      <c r="H365" s="97" t="str">
        <f aca="false">IFERROR(IF(ISNUMBER(INDEX(원자료_시장!$A$1:$BZ$1000,설정!$L$6+ROW()-1,설정!$L$30)),INDEX(원자료_시장!$A$1:$BZ$1000,설정!$L$6+ROW()-1,설정!$L$30),""),"")</f>
        <v/>
      </c>
      <c r="I365" s="97" t="str">
        <f aca="false">IFERROR(IF(ISNUMBER(INDEX(원자료_시장!$A$1:$BZ$1000,설정!$L$6+ROW()-1,설정!$L$31)),INDEX(원자료_시장!$A$1:$BZ$1000,설정!$L$6+ROW()-1,설정!$L$31),""),"")</f>
        <v/>
      </c>
      <c r="J365" s="97" t="str">
        <f aca="false">IFERROR(IF(ISNUMBER(INDEX(원자료_시장!$A$1:$BZ$1000,설정!$L$6+ROW()-1,설정!$L$32)),INDEX(원자료_시장!$A$1:$BZ$1000,설정!$L$6+ROW()-1,설정!$L$32),""),"")</f>
        <v/>
      </c>
      <c r="K365" s="85" t="str">
        <f aca="false">IFERROR(IF(ISNUMBER(INDEX(원자료_시장!$A$1:$BZ$1000,설정!$L$6+ROW()-1,설정!$L$33)),INDEX(원자료_시장!$A$1:$BZ$1000,설정!$L$6+ROW()-1,설정!$L$33),""),"")</f>
        <v/>
      </c>
      <c r="L365" s="83" t="n">
        <f aca="false">IFERROR(IF(INDEX(원자료_시장!$A$1:$BZ$1000,설정!$L$6+ROW()-1,설정!$L$34)&amp;""="0","",INDEX(원자료_시장!$A$1:$BZ$1000,설정!$L$6+ROW()-1,설정!$L$34)),"")</f>
        <v>0</v>
      </c>
      <c r="M365" s="83" t="n">
        <f aca="false">IFERROR(IF(INDEX(원자료_시장!$A$1:$BZ$1000,설정!$L$6+ROW()-1,설정!$L$35)&amp;""="0","",INDEX(원자료_시장!$A$1:$BZ$1000,설정!$L$6+ROW()-1,설정!$L$35)),"")</f>
        <v>0</v>
      </c>
      <c r="N365" s="83" t="n">
        <f aca="false">IFERROR(IF(INDEX(원자료_시장!$A$1:$BZ$1000,설정!$L$6+ROW()-1,설정!$L$36)&amp;""="0","",INDEX(원자료_시장!$A$1:$BZ$1000,설정!$L$6+ROW()-1,설정!$L$36)),"")</f>
        <v>0</v>
      </c>
      <c r="O365" s="43" t="str">
        <f aca="false">IF($A365="","",UPPER(LEFT($A365,FIND(" ",$A365&amp;" ")-1)))</f>
        <v/>
      </c>
      <c r="P365" s="43" t="str">
        <f aca="false">IF($A365="","",TRIM(RIGHT(SUBSTITUTE(TRIM($A365)," ",REPT(" ",30)),30)))</f>
        <v/>
      </c>
      <c r="Q365" s="98" t="str">
        <f aca="false">IF($A365="","",IFERROR(DATE(IF(LEN(P365)=8,2000+VALUE(RIGHT(P365,2)),VALUE(RIGHT(P365,4))),VALUE(LEFT(P365,2)),VALUE(MID(P365,4,2))),""))</f>
        <v/>
      </c>
      <c r="R365" s="89" t="n">
        <f aca="false">IF($A365="",0,IF(ISNUMBER(SEARCH("Float",$A365)),1,0))</f>
        <v>0</v>
      </c>
      <c r="S365" s="43" t="str">
        <f aca="false">IF($A365="","",TRIM(MID($A365,LEN(O365)+2,LEN($A365)-LEN(O365)-LEN(P365)-1)))</f>
        <v/>
      </c>
      <c r="T365" s="92" t="str">
        <f aca="false">IF(OR($A365="",R365=1),"",IFERROR(IF(ISNUMBER(FIND("/",S365)),IF(ISNUMBER(FIND(" ",S365)),VALUE(LEFT(S365,FIND(" ",S365)-1))+VALUE(MID(S365,FIND(" ",S365)+1,FIND("/",S365)-FIND(" ",S365)-1))/VALUE(MID(S365,FIND("/",S365)+1,9)),VALUE(LEFT(S365,FIND("/",S365)-1))/VALUE(MID(S365,FIND("/",S365)+1,9))),VALUE(S365)),""))</f>
        <v/>
      </c>
      <c r="U365" s="43" t="str">
        <f aca="false">IF(OR($A365="",NOT(ISNUMBER(Q365))),"",TEXT(Q365,"yyyymmdd")&amp;"|"&amp;IF(R365=1,"F",TEXT(T365,"0.000")))</f>
        <v/>
      </c>
      <c r="V365" s="43" t="str">
        <f aca="false">IF(U365="","",O365&amp;"|"&amp;U365)</f>
        <v/>
      </c>
      <c r="W365" s="43" t="str">
        <f aca="false">IF($A365="","",IFERROR(IF(VLOOKUP(O365,매핑!$A$4:$E$92,3,0)="","미분류",VLOOKUP(O365,매핑!$A$4:$E$92,3,0)),"미분류"))</f>
        <v/>
      </c>
      <c r="X365" s="89" t="n">
        <f aca="false">IF($A365="",0,IF(O365="T",1,0))</f>
        <v>0</v>
      </c>
      <c r="Y365" s="89" t="n">
        <f aca="false">IF($A365="",0,IF(AND(C365="USD",X365=0,ISNUMBER(E365),ISNUMBER(K365)),IF(K365&gt;=설정!$C$8,1,0),0))</f>
        <v>0</v>
      </c>
      <c r="Z365" s="43" t="str">
        <f aca="false">IF($A365="","",N365&amp;"|"&amp;L365)</f>
        <v/>
      </c>
      <c r="AA365" s="92" t="n">
        <f aca="false">IF(Y365=1,LN(K365),0)</f>
        <v>0</v>
      </c>
      <c r="AB365" s="93" t="n">
        <f aca="false">IF(Y365=1,E365,0)</f>
        <v>0</v>
      </c>
      <c r="AC365" s="89" t="n">
        <f aca="false">IF(Y365=1,COUNTIFS($Z$2:$Z$601,Z365,$Y$2:$Y$601,1),0)</f>
        <v>0</v>
      </c>
      <c r="AD365" s="89" t="n">
        <f aca="false">IF(Y365=1,COUNTIFS($N$2:$N$601,N365,$Y$2:$Y$601,1),0)</f>
        <v>0</v>
      </c>
      <c r="AE365" s="43" t="str">
        <f aca="false">IF(Y365&lt;&gt;1,"",IF(AND(AC365&gt;=설정!$C$7,ISNUMBER(MATCH(Z365,피어커브!$A:$A,0))),Z365,IF(AND(AD365&gt;=설정!$C$7,ISNUMBER(MATCH(N365&amp;"|전체",피어커브!$A:$A,0))),N365&amp;"|전체","전체|전체")))</f>
        <v/>
      </c>
      <c r="AF365" s="93" t="str">
        <f aca="false">IF(AE365="","",INDEX(피어커브!$K:$K,MATCH(AE365,피어커브!$A:$A,0)))</f>
        <v/>
      </c>
      <c r="AG365" s="93" t="str">
        <f aca="false">IF(AE365="","",INDEX(피어커브!$J:$J,MATCH(AE365,피어커브!$A:$A,0)))</f>
        <v/>
      </c>
      <c r="AH365" s="93" t="str">
        <f aca="false">IF(AE365="","",INDEX(피어커브!$L:$L,MATCH(AE365,피어커브!$A:$A,0)))</f>
        <v/>
      </c>
      <c r="AI365" s="93" t="str">
        <f aca="false">IF(AE365="","",AF365+AG365*AA365)</f>
        <v/>
      </c>
      <c r="AJ365" s="96" t="str">
        <f aca="false">IF(AE365="","",E365-AI365)</f>
        <v/>
      </c>
      <c r="AK365" s="95" t="str">
        <f aca="false">IF(AE365="","",IF(ISNUMBER(AH365),IF(AH365&gt;0,AJ365/AH365,""),""))</f>
        <v/>
      </c>
      <c r="AL365" s="43" t="str">
        <f aca="false">IF(AK365="","-",IF(AK365&gt;=설정!$C$6,"Cheap",IF(AK365&lt;=-설정!$C$6,"Rich","Fair")))</f>
        <v>-</v>
      </c>
      <c r="AM365" s="96" t="str">
        <f aca="false">IF(AE365="","",AJ365-AVERAGEIFS($AJ$2:$AJ$601,$B$2:$B$601,B365,$Y$2:$Y$601,1))</f>
        <v/>
      </c>
      <c r="AN365" s="93" t="n">
        <f aca="false">IF(AE365="",0,IF(K365&gt;1+설정!$C$8,AG365*(AA365-LN(K365-1)),0))</f>
        <v>0</v>
      </c>
      <c r="AO365" s="99" t="n">
        <f aca="false">IF($A365="",0,SUMIFS(보유분석!$AA$2:$AA$801,보유분석!$AB$2:$AB$801,ROW(),보유분석!$AC$2:$AC$801,1))</f>
        <v>0</v>
      </c>
      <c r="AP365" s="43" t="str">
        <f aca="false">IF($A365="","",TRIM(IF(R365=1,"FRN ","")&amp;IF(IFERROR(VLOOKUP(M365,설정!$A$15:$D$47,4,0),0)&gt;=10,IF(IFERROR(VLOOKUP(M365,설정!$A$15:$D$47,4,0),0)&lt;99,"BBB0미만 ",""),"")&amp;IF(OR(M365="",M365="NR"),"등급미입력 ","")&amp;IF(C365&lt;&gt;"USD","비USD ","")))</f>
        <v/>
      </c>
      <c r="AQ365" s="90" t="n">
        <f aca="false">IF(AND(Y365=1,AL365="Cheap"),IF(AND(ISERROR(SEARCH("FRN",AP365)),ISERROR(SEARCH("BBB0미만",AP365))),AK365+ROW()/1000000000,-999),-999)</f>
        <v>-999</v>
      </c>
      <c r="AR365" s="92" t="str">
        <f aca="false">IF(AND(ISNUMBER(D365),ISNUMBER(K365)),D365+AN365*MAX(K365-1,0)/100,"")</f>
        <v/>
      </c>
      <c r="AS365" s="93" t="str">
        <f aca="false">IF(AND(ISNUMBER(E365),ISNUMBER(K365)),IF(K365&gt;0,(E365+AN365*MAX(K365-1,0))/K365,""),"")</f>
        <v/>
      </c>
      <c r="AT365" s="90" t="n">
        <f aca="false">IFERROR(IF(AND(Y365=1,ROW()&lt;&gt;스왑분석!$C$12+1,ABS(K365-INDEX($K$2:$K$601,스왑분석!$C$12))&lt;=스왑분석!$C$5,ISERROR(SEARCH("FRN",AP365)),ISERROR(SEARCH("BBB0미만",AP365))),IF(AND(OR(스왑분석!$C$6="N",L365=INDEX($L$2:$L$601,스왑분석!$C$12)),OR(스왑분석!$C$7="N",N365=INDEX($N$2:$N$601,스왑분석!$C$12)),OR(스왑분석!$C$8="N",AO365=0),E365-INDEX($E$2:$E$601,스왑분석!$C$12)&gt;=스왑분석!$C$9),E365-INDEX($E$2:$E$601,스왑분석!$C$12)+ROW()/1000000000,-999),-999),-999)</f>
        <v>-999</v>
      </c>
      <c r="AU365" s="90" t="n">
        <f aca="false">IF(AND(Y365=1,AO365&gt;0,AL365="Rich"),-AK365+ROW()/1000000000,-999)</f>
        <v>-999</v>
      </c>
    </row>
    <row r="366" customFormat="false" ht="15" hidden="false" customHeight="false" outlineLevel="0" collapsed="false">
      <c r="A366" s="83" t="n">
        <f aca="false">IFERROR(IF(INDEX(원자료_시장!$A$1:$BZ$1000,설정!$L$6+ROW()-1,설정!$L$24)&amp;""="0","",INDEX(원자료_시장!$A$1:$BZ$1000,설정!$L$6+ROW()-1,설정!$L$24)),"")</f>
        <v>0</v>
      </c>
      <c r="B366" s="83" t="n">
        <f aca="false">IFERROR(IF(INDEX(원자료_시장!$A$1:$BZ$1000,설정!$L$6+ROW()-1,설정!$L$37)&amp;""="0","",INDEX(원자료_시장!$A$1:$BZ$1000,설정!$L$6+ROW()-1,설정!$L$37)),"")</f>
        <v>0</v>
      </c>
      <c r="C366" s="83" t="n">
        <f aca="false">IFERROR(IF(INDEX(원자료_시장!$A$1:$BZ$1000,설정!$L$6+ROW()-1,설정!$L$25)&amp;""="0","",INDEX(원자료_시장!$A$1:$BZ$1000,설정!$L$6+ROW()-1,설정!$L$25)),"")</f>
        <v>0</v>
      </c>
      <c r="D366" s="85" t="str">
        <f aca="false">IFERROR(IF(ISNUMBER(INDEX(원자료_시장!$A$1:$BZ$1000,설정!$L$6+ROW()-1,설정!$L$26)),INDEX(원자료_시장!$A$1:$BZ$1000,설정!$L$6+ROW()-1,설정!$L$26),""),"")</f>
        <v/>
      </c>
      <c r="E366" s="97" t="str">
        <f aca="false">IFERROR(IF(ISNUMBER(INDEX(원자료_시장!$A$1:$BZ$1000,설정!$L$6+ROW()-1,설정!$L$27)),INDEX(원자료_시장!$A$1:$BZ$1000,설정!$L$6+ROW()-1,설정!$L$27),""),"")</f>
        <v/>
      </c>
      <c r="F366" s="97" t="str">
        <f aca="false">IFERROR(IF(ISNUMBER(INDEX(원자료_시장!$A$1:$BZ$1000,설정!$L$6+ROW()-1,설정!$L$28)),INDEX(원자료_시장!$A$1:$BZ$1000,설정!$L$6+ROW()-1,설정!$L$28),""),"")</f>
        <v/>
      </c>
      <c r="G366" s="97" t="str">
        <f aca="false">IFERROR(IF(ISNUMBER(INDEX(원자료_시장!$A$1:$BZ$1000,설정!$L$6+ROW()-1,설정!$L$29)),INDEX(원자료_시장!$A$1:$BZ$1000,설정!$L$6+ROW()-1,설정!$L$29),""),"")</f>
        <v/>
      </c>
      <c r="H366" s="97" t="str">
        <f aca="false">IFERROR(IF(ISNUMBER(INDEX(원자료_시장!$A$1:$BZ$1000,설정!$L$6+ROW()-1,설정!$L$30)),INDEX(원자료_시장!$A$1:$BZ$1000,설정!$L$6+ROW()-1,설정!$L$30),""),"")</f>
        <v/>
      </c>
      <c r="I366" s="97" t="str">
        <f aca="false">IFERROR(IF(ISNUMBER(INDEX(원자료_시장!$A$1:$BZ$1000,설정!$L$6+ROW()-1,설정!$L$31)),INDEX(원자료_시장!$A$1:$BZ$1000,설정!$L$6+ROW()-1,설정!$L$31),""),"")</f>
        <v/>
      </c>
      <c r="J366" s="97" t="str">
        <f aca="false">IFERROR(IF(ISNUMBER(INDEX(원자료_시장!$A$1:$BZ$1000,설정!$L$6+ROW()-1,설정!$L$32)),INDEX(원자료_시장!$A$1:$BZ$1000,설정!$L$6+ROW()-1,설정!$L$32),""),"")</f>
        <v/>
      </c>
      <c r="K366" s="85" t="str">
        <f aca="false">IFERROR(IF(ISNUMBER(INDEX(원자료_시장!$A$1:$BZ$1000,설정!$L$6+ROW()-1,설정!$L$33)),INDEX(원자료_시장!$A$1:$BZ$1000,설정!$L$6+ROW()-1,설정!$L$33),""),"")</f>
        <v/>
      </c>
      <c r="L366" s="83" t="n">
        <f aca="false">IFERROR(IF(INDEX(원자료_시장!$A$1:$BZ$1000,설정!$L$6+ROW()-1,설정!$L$34)&amp;""="0","",INDEX(원자료_시장!$A$1:$BZ$1000,설정!$L$6+ROW()-1,설정!$L$34)),"")</f>
        <v>0</v>
      </c>
      <c r="M366" s="83" t="n">
        <f aca="false">IFERROR(IF(INDEX(원자료_시장!$A$1:$BZ$1000,설정!$L$6+ROW()-1,설정!$L$35)&amp;""="0","",INDEX(원자료_시장!$A$1:$BZ$1000,설정!$L$6+ROW()-1,설정!$L$35)),"")</f>
        <v>0</v>
      </c>
      <c r="N366" s="83" t="n">
        <f aca="false">IFERROR(IF(INDEX(원자료_시장!$A$1:$BZ$1000,설정!$L$6+ROW()-1,설정!$L$36)&amp;""="0","",INDEX(원자료_시장!$A$1:$BZ$1000,설정!$L$6+ROW()-1,설정!$L$36)),"")</f>
        <v>0</v>
      </c>
      <c r="O366" s="43" t="str">
        <f aca="false">IF($A366="","",UPPER(LEFT($A366,FIND(" ",$A366&amp;" ")-1)))</f>
        <v/>
      </c>
      <c r="P366" s="43" t="str">
        <f aca="false">IF($A366="","",TRIM(RIGHT(SUBSTITUTE(TRIM($A366)," ",REPT(" ",30)),30)))</f>
        <v/>
      </c>
      <c r="Q366" s="98" t="str">
        <f aca="false">IF($A366="","",IFERROR(DATE(IF(LEN(P366)=8,2000+VALUE(RIGHT(P366,2)),VALUE(RIGHT(P366,4))),VALUE(LEFT(P366,2)),VALUE(MID(P366,4,2))),""))</f>
        <v/>
      </c>
      <c r="R366" s="89" t="n">
        <f aca="false">IF($A366="",0,IF(ISNUMBER(SEARCH("Float",$A366)),1,0))</f>
        <v>0</v>
      </c>
      <c r="S366" s="43" t="str">
        <f aca="false">IF($A366="","",TRIM(MID($A366,LEN(O366)+2,LEN($A366)-LEN(O366)-LEN(P366)-1)))</f>
        <v/>
      </c>
      <c r="T366" s="92" t="str">
        <f aca="false">IF(OR($A366="",R366=1),"",IFERROR(IF(ISNUMBER(FIND("/",S366)),IF(ISNUMBER(FIND(" ",S366)),VALUE(LEFT(S366,FIND(" ",S366)-1))+VALUE(MID(S366,FIND(" ",S366)+1,FIND("/",S366)-FIND(" ",S366)-1))/VALUE(MID(S366,FIND("/",S366)+1,9)),VALUE(LEFT(S366,FIND("/",S366)-1))/VALUE(MID(S366,FIND("/",S366)+1,9))),VALUE(S366)),""))</f>
        <v/>
      </c>
      <c r="U366" s="43" t="str">
        <f aca="false">IF(OR($A366="",NOT(ISNUMBER(Q366))),"",TEXT(Q366,"yyyymmdd")&amp;"|"&amp;IF(R366=1,"F",TEXT(T366,"0.000")))</f>
        <v/>
      </c>
      <c r="V366" s="43" t="str">
        <f aca="false">IF(U366="","",O366&amp;"|"&amp;U366)</f>
        <v/>
      </c>
      <c r="W366" s="43" t="str">
        <f aca="false">IF($A366="","",IFERROR(IF(VLOOKUP(O366,매핑!$A$4:$E$92,3,0)="","미분류",VLOOKUP(O366,매핑!$A$4:$E$92,3,0)),"미분류"))</f>
        <v/>
      </c>
      <c r="X366" s="89" t="n">
        <f aca="false">IF($A366="",0,IF(O366="T",1,0))</f>
        <v>0</v>
      </c>
      <c r="Y366" s="89" t="n">
        <f aca="false">IF($A366="",0,IF(AND(C366="USD",X366=0,ISNUMBER(E366),ISNUMBER(K366)),IF(K366&gt;=설정!$C$8,1,0),0))</f>
        <v>0</v>
      </c>
      <c r="Z366" s="43" t="str">
        <f aca="false">IF($A366="","",N366&amp;"|"&amp;L366)</f>
        <v/>
      </c>
      <c r="AA366" s="92" t="n">
        <f aca="false">IF(Y366=1,LN(K366),0)</f>
        <v>0</v>
      </c>
      <c r="AB366" s="93" t="n">
        <f aca="false">IF(Y366=1,E366,0)</f>
        <v>0</v>
      </c>
      <c r="AC366" s="89" t="n">
        <f aca="false">IF(Y366=1,COUNTIFS($Z$2:$Z$601,Z366,$Y$2:$Y$601,1),0)</f>
        <v>0</v>
      </c>
      <c r="AD366" s="89" t="n">
        <f aca="false">IF(Y366=1,COUNTIFS($N$2:$N$601,N366,$Y$2:$Y$601,1),0)</f>
        <v>0</v>
      </c>
      <c r="AE366" s="43" t="str">
        <f aca="false">IF(Y366&lt;&gt;1,"",IF(AND(AC366&gt;=설정!$C$7,ISNUMBER(MATCH(Z366,피어커브!$A:$A,0))),Z366,IF(AND(AD366&gt;=설정!$C$7,ISNUMBER(MATCH(N366&amp;"|전체",피어커브!$A:$A,0))),N366&amp;"|전체","전체|전체")))</f>
        <v/>
      </c>
      <c r="AF366" s="93" t="str">
        <f aca="false">IF(AE366="","",INDEX(피어커브!$K:$K,MATCH(AE366,피어커브!$A:$A,0)))</f>
        <v/>
      </c>
      <c r="AG366" s="93" t="str">
        <f aca="false">IF(AE366="","",INDEX(피어커브!$J:$J,MATCH(AE366,피어커브!$A:$A,0)))</f>
        <v/>
      </c>
      <c r="AH366" s="93" t="str">
        <f aca="false">IF(AE366="","",INDEX(피어커브!$L:$L,MATCH(AE366,피어커브!$A:$A,0)))</f>
        <v/>
      </c>
      <c r="AI366" s="93" t="str">
        <f aca="false">IF(AE366="","",AF366+AG366*AA366)</f>
        <v/>
      </c>
      <c r="AJ366" s="96" t="str">
        <f aca="false">IF(AE366="","",E366-AI366)</f>
        <v/>
      </c>
      <c r="AK366" s="95" t="str">
        <f aca="false">IF(AE366="","",IF(ISNUMBER(AH366),IF(AH366&gt;0,AJ366/AH366,""),""))</f>
        <v/>
      </c>
      <c r="AL366" s="43" t="str">
        <f aca="false">IF(AK366="","-",IF(AK366&gt;=설정!$C$6,"Cheap",IF(AK366&lt;=-설정!$C$6,"Rich","Fair")))</f>
        <v>-</v>
      </c>
      <c r="AM366" s="96" t="str">
        <f aca="false">IF(AE366="","",AJ366-AVERAGEIFS($AJ$2:$AJ$601,$B$2:$B$601,B366,$Y$2:$Y$601,1))</f>
        <v/>
      </c>
      <c r="AN366" s="93" t="n">
        <f aca="false">IF(AE366="",0,IF(K366&gt;1+설정!$C$8,AG366*(AA366-LN(K366-1)),0))</f>
        <v>0</v>
      </c>
      <c r="AO366" s="99" t="n">
        <f aca="false">IF($A366="",0,SUMIFS(보유분석!$AA$2:$AA$801,보유분석!$AB$2:$AB$801,ROW(),보유분석!$AC$2:$AC$801,1))</f>
        <v>0</v>
      </c>
      <c r="AP366" s="43" t="str">
        <f aca="false">IF($A366="","",TRIM(IF(R366=1,"FRN ","")&amp;IF(IFERROR(VLOOKUP(M366,설정!$A$15:$D$47,4,0),0)&gt;=10,IF(IFERROR(VLOOKUP(M366,설정!$A$15:$D$47,4,0),0)&lt;99,"BBB0미만 ",""),"")&amp;IF(OR(M366="",M366="NR"),"등급미입력 ","")&amp;IF(C366&lt;&gt;"USD","비USD ","")))</f>
        <v/>
      </c>
      <c r="AQ366" s="90" t="n">
        <f aca="false">IF(AND(Y366=1,AL366="Cheap"),IF(AND(ISERROR(SEARCH("FRN",AP366)),ISERROR(SEARCH("BBB0미만",AP366))),AK366+ROW()/1000000000,-999),-999)</f>
        <v>-999</v>
      </c>
      <c r="AR366" s="92" t="str">
        <f aca="false">IF(AND(ISNUMBER(D366),ISNUMBER(K366)),D366+AN366*MAX(K366-1,0)/100,"")</f>
        <v/>
      </c>
      <c r="AS366" s="93" t="str">
        <f aca="false">IF(AND(ISNUMBER(E366),ISNUMBER(K366)),IF(K366&gt;0,(E366+AN366*MAX(K366-1,0))/K366,""),"")</f>
        <v/>
      </c>
      <c r="AT366" s="90" t="n">
        <f aca="false">IFERROR(IF(AND(Y366=1,ROW()&lt;&gt;스왑분석!$C$12+1,ABS(K366-INDEX($K$2:$K$601,스왑분석!$C$12))&lt;=스왑분석!$C$5,ISERROR(SEARCH("FRN",AP366)),ISERROR(SEARCH("BBB0미만",AP366))),IF(AND(OR(스왑분석!$C$6="N",L366=INDEX($L$2:$L$601,스왑분석!$C$12)),OR(스왑분석!$C$7="N",N366=INDEX($N$2:$N$601,스왑분석!$C$12)),OR(스왑분석!$C$8="N",AO366=0),E366-INDEX($E$2:$E$601,스왑분석!$C$12)&gt;=스왑분석!$C$9),E366-INDEX($E$2:$E$601,스왑분석!$C$12)+ROW()/1000000000,-999),-999),-999)</f>
        <v>-999</v>
      </c>
      <c r="AU366" s="90" t="n">
        <f aca="false">IF(AND(Y366=1,AO366&gt;0,AL366="Rich"),-AK366+ROW()/1000000000,-999)</f>
        <v>-999</v>
      </c>
    </row>
    <row r="367" customFormat="false" ht="15" hidden="false" customHeight="false" outlineLevel="0" collapsed="false">
      <c r="A367" s="83" t="n">
        <f aca="false">IFERROR(IF(INDEX(원자료_시장!$A$1:$BZ$1000,설정!$L$6+ROW()-1,설정!$L$24)&amp;""="0","",INDEX(원자료_시장!$A$1:$BZ$1000,설정!$L$6+ROW()-1,설정!$L$24)),"")</f>
        <v>0</v>
      </c>
      <c r="B367" s="83" t="n">
        <f aca="false">IFERROR(IF(INDEX(원자료_시장!$A$1:$BZ$1000,설정!$L$6+ROW()-1,설정!$L$37)&amp;""="0","",INDEX(원자료_시장!$A$1:$BZ$1000,설정!$L$6+ROW()-1,설정!$L$37)),"")</f>
        <v>0</v>
      </c>
      <c r="C367" s="83" t="n">
        <f aca="false">IFERROR(IF(INDEX(원자료_시장!$A$1:$BZ$1000,설정!$L$6+ROW()-1,설정!$L$25)&amp;""="0","",INDEX(원자료_시장!$A$1:$BZ$1000,설정!$L$6+ROW()-1,설정!$L$25)),"")</f>
        <v>0</v>
      </c>
      <c r="D367" s="85" t="str">
        <f aca="false">IFERROR(IF(ISNUMBER(INDEX(원자료_시장!$A$1:$BZ$1000,설정!$L$6+ROW()-1,설정!$L$26)),INDEX(원자료_시장!$A$1:$BZ$1000,설정!$L$6+ROW()-1,설정!$L$26),""),"")</f>
        <v/>
      </c>
      <c r="E367" s="97" t="str">
        <f aca="false">IFERROR(IF(ISNUMBER(INDEX(원자료_시장!$A$1:$BZ$1000,설정!$L$6+ROW()-1,설정!$L$27)),INDEX(원자료_시장!$A$1:$BZ$1000,설정!$L$6+ROW()-1,설정!$L$27),""),"")</f>
        <v/>
      </c>
      <c r="F367" s="97" t="str">
        <f aca="false">IFERROR(IF(ISNUMBER(INDEX(원자료_시장!$A$1:$BZ$1000,설정!$L$6+ROW()-1,설정!$L$28)),INDEX(원자료_시장!$A$1:$BZ$1000,설정!$L$6+ROW()-1,설정!$L$28),""),"")</f>
        <v/>
      </c>
      <c r="G367" s="97" t="str">
        <f aca="false">IFERROR(IF(ISNUMBER(INDEX(원자료_시장!$A$1:$BZ$1000,설정!$L$6+ROW()-1,설정!$L$29)),INDEX(원자료_시장!$A$1:$BZ$1000,설정!$L$6+ROW()-1,설정!$L$29),""),"")</f>
        <v/>
      </c>
      <c r="H367" s="97" t="str">
        <f aca="false">IFERROR(IF(ISNUMBER(INDEX(원자료_시장!$A$1:$BZ$1000,설정!$L$6+ROW()-1,설정!$L$30)),INDEX(원자료_시장!$A$1:$BZ$1000,설정!$L$6+ROW()-1,설정!$L$30),""),"")</f>
        <v/>
      </c>
      <c r="I367" s="97" t="str">
        <f aca="false">IFERROR(IF(ISNUMBER(INDEX(원자료_시장!$A$1:$BZ$1000,설정!$L$6+ROW()-1,설정!$L$31)),INDEX(원자료_시장!$A$1:$BZ$1000,설정!$L$6+ROW()-1,설정!$L$31),""),"")</f>
        <v/>
      </c>
      <c r="J367" s="97" t="str">
        <f aca="false">IFERROR(IF(ISNUMBER(INDEX(원자료_시장!$A$1:$BZ$1000,설정!$L$6+ROW()-1,설정!$L$32)),INDEX(원자료_시장!$A$1:$BZ$1000,설정!$L$6+ROW()-1,설정!$L$32),""),"")</f>
        <v/>
      </c>
      <c r="K367" s="85" t="str">
        <f aca="false">IFERROR(IF(ISNUMBER(INDEX(원자료_시장!$A$1:$BZ$1000,설정!$L$6+ROW()-1,설정!$L$33)),INDEX(원자료_시장!$A$1:$BZ$1000,설정!$L$6+ROW()-1,설정!$L$33),""),"")</f>
        <v/>
      </c>
      <c r="L367" s="83" t="n">
        <f aca="false">IFERROR(IF(INDEX(원자료_시장!$A$1:$BZ$1000,설정!$L$6+ROW()-1,설정!$L$34)&amp;""="0","",INDEX(원자료_시장!$A$1:$BZ$1000,설정!$L$6+ROW()-1,설정!$L$34)),"")</f>
        <v>0</v>
      </c>
      <c r="M367" s="83" t="n">
        <f aca="false">IFERROR(IF(INDEX(원자료_시장!$A$1:$BZ$1000,설정!$L$6+ROW()-1,설정!$L$35)&amp;""="0","",INDEX(원자료_시장!$A$1:$BZ$1000,설정!$L$6+ROW()-1,설정!$L$35)),"")</f>
        <v>0</v>
      </c>
      <c r="N367" s="83" t="n">
        <f aca="false">IFERROR(IF(INDEX(원자료_시장!$A$1:$BZ$1000,설정!$L$6+ROW()-1,설정!$L$36)&amp;""="0","",INDEX(원자료_시장!$A$1:$BZ$1000,설정!$L$6+ROW()-1,설정!$L$36)),"")</f>
        <v>0</v>
      </c>
      <c r="O367" s="43" t="str">
        <f aca="false">IF($A367="","",UPPER(LEFT($A367,FIND(" ",$A367&amp;" ")-1)))</f>
        <v/>
      </c>
      <c r="P367" s="43" t="str">
        <f aca="false">IF($A367="","",TRIM(RIGHT(SUBSTITUTE(TRIM($A367)," ",REPT(" ",30)),30)))</f>
        <v/>
      </c>
      <c r="Q367" s="98" t="str">
        <f aca="false">IF($A367="","",IFERROR(DATE(IF(LEN(P367)=8,2000+VALUE(RIGHT(P367,2)),VALUE(RIGHT(P367,4))),VALUE(LEFT(P367,2)),VALUE(MID(P367,4,2))),""))</f>
        <v/>
      </c>
      <c r="R367" s="89" t="n">
        <f aca="false">IF($A367="",0,IF(ISNUMBER(SEARCH("Float",$A367)),1,0))</f>
        <v>0</v>
      </c>
      <c r="S367" s="43" t="str">
        <f aca="false">IF($A367="","",TRIM(MID($A367,LEN(O367)+2,LEN($A367)-LEN(O367)-LEN(P367)-1)))</f>
        <v/>
      </c>
      <c r="T367" s="92" t="str">
        <f aca="false">IF(OR($A367="",R367=1),"",IFERROR(IF(ISNUMBER(FIND("/",S367)),IF(ISNUMBER(FIND(" ",S367)),VALUE(LEFT(S367,FIND(" ",S367)-1))+VALUE(MID(S367,FIND(" ",S367)+1,FIND("/",S367)-FIND(" ",S367)-1))/VALUE(MID(S367,FIND("/",S367)+1,9)),VALUE(LEFT(S367,FIND("/",S367)-1))/VALUE(MID(S367,FIND("/",S367)+1,9))),VALUE(S367)),""))</f>
        <v/>
      </c>
      <c r="U367" s="43" t="str">
        <f aca="false">IF(OR($A367="",NOT(ISNUMBER(Q367))),"",TEXT(Q367,"yyyymmdd")&amp;"|"&amp;IF(R367=1,"F",TEXT(T367,"0.000")))</f>
        <v/>
      </c>
      <c r="V367" s="43" t="str">
        <f aca="false">IF(U367="","",O367&amp;"|"&amp;U367)</f>
        <v/>
      </c>
      <c r="W367" s="43" t="str">
        <f aca="false">IF($A367="","",IFERROR(IF(VLOOKUP(O367,매핑!$A$4:$E$92,3,0)="","미분류",VLOOKUP(O367,매핑!$A$4:$E$92,3,0)),"미분류"))</f>
        <v/>
      </c>
      <c r="X367" s="89" t="n">
        <f aca="false">IF($A367="",0,IF(O367="T",1,0))</f>
        <v>0</v>
      </c>
      <c r="Y367" s="89" t="n">
        <f aca="false">IF($A367="",0,IF(AND(C367="USD",X367=0,ISNUMBER(E367),ISNUMBER(K367)),IF(K367&gt;=설정!$C$8,1,0),0))</f>
        <v>0</v>
      </c>
      <c r="Z367" s="43" t="str">
        <f aca="false">IF($A367="","",N367&amp;"|"&amp;L367)</f>
        <v/>
      </c>
      <c r="AA367" s="92" t="n">
        <f aca="false">IF(Y367=1,LN(K367),0)</f>
        <v>0</v>
      </c>
      <c r="AB367" s="93" t="n">
        <f aca="false">IF(Y367=1,E367,0)</f>
        <v>0</v>
      </c>
      <c r="AC367" s="89" t="n">
        <f aca="false">IF(Y367=1,COUNTIFS($Z$2:$Z$601,Z367,$Y$2:$Y$601,1),0)</f>
        <v>0</v>
      </c>
      <c r="AD367" s="89" t="n">
        <f aca="false">IF(Y367=1,COUNTIFS($N$2:$N$601,N367,$Y$2:$Y$601,1),0)</f>
        <v>0</v>
      </c>
      <c r="AE367" s="43" t="str">
        <f aca="false">IF(Y367&lt;&gt;1,"",IF(AND(AC367&gt;=설정!$C$7,ISNUMBER(MATCH(Z367,피어커브!$A:$A,0))),Z367,IF(AND(AD367&gt;=설정!$C$7,ISNUMBER(MATCH(N367&amp;"|전체",피어커브!$A:$A,0))),N367&amp;"|전체","전체|전체")))</f>
        <v/>
      </c>
      <c r="AF367" s="93" t="str">
        <f aca="false">IF(AE367="","",INDEX(피어커브!$K:$K,MATCH(AE367,피어커브!$A:$A,0)))</f>
        <v/>
      </c>
      <c r="AG367" s="93" t="str">
        <f aca="false">IF(AE367="","",INDEX(피어커브!$J:$J,MATCH(AE367,피어커브!$A:$A,0)))</f>
        <v/>
      </c>
      <c r="AH367" s="93" t="str">
        <f aca="false">IF(AE367="","",INDEX(피어커브!$L:$L,MATCH(AE367,피어커브!$A:$A,0)))</f>
        <v/>
      </c>
      <c r="AI367" s="93" t="str">
        <f aca="false">IF(AE367="","",AF367+AG367*AA367)</f>
        <v/>
      </c>
      <c r="AJ367" s="96" t="str">
        <f aca="false">IF(AE367="","",E367-AI367)</f>
        <v/>
      </c>
      <c r="AK367" s="95" t="str">
        <f aca="false">IF(AE367="","",IF(ISNUMBER(AH367),IF(AH367&gt;0,AJ367/AH367,""),""))</f>
        <v/>
      </c>
      <c r="AL367" s="43" t="str">
        <f aca="false">IF(AK367="","-",IF(AK367&gt;=설정!$C$6,"Cheap",IF(AK367&lt;=-설정!$C$6,"Rich","Fair")))</f>
        <v>-</v>
      </c>
      <c r="AM367" s="96" t="str">
        <f aca="false">IF(AE367="","",AJ367-AVERAGEIFS($AJ$2:$AJ$601,$B$2:$B$601,B367,$Y$2:$Y$601,1))</f>
        <v/>
      </c>
      <c r="AN367" s="93" t="n">
        <f aca="false">IF(AE367="",0,IF(K367&gt;1+설정!$C$8,AG367*(AA367-LN(K367-1)),0))</f>
        <v>0</v>
      </c>
      <c r="AO367" s="99" t="n">
        <f aca="false">IF($A367="",0,SUMIFS(보유분석!$AA$2:$AA$801,보유분석!$AB$2:$AB$801,ROW(),보유분석!$AC$2:$AC$801,1))</f>
        <v>0</v>
      </c>
      <c r="AP367" s="43" t="str">
        <f aca="false">IF($A367="","",TRIM(IF(R367=1,"FRN ","")&amp;IF(IFERROR(VLOOKUP(M367,설정!$A$15:$D$47,4,0),0)&gt;=10,IF(IFERROR(VLOOKUP(M367,설정!$A$15:$D$47,4,0),0)&lt;99,"BBB0미만 ",""),"")&amp;IF(OR(M367="",M367="NR"),"등급미입력 ","")&amp;IF(C367&lt;&gt;"USD","비USD ","")))</f>
        <v/>
      </c>
      <c r="AQ367" s="90" t="n">
        <f aca="false">IF(AND(Y367=1,AL367="Cheap"),IF(AND(ISERROR(SEARCH("FRN",AP367)),ISERROR(SEARCH("BBB0미만",AP367))),AK367+ROW()/1000000000,-999),-999)</f>
        <v>-999</v>
      </c>
      <c r="AR367" s="92" t="str">
        <f aca="false">IF(AND(ISNUMBER(D367),ISNUMBER(K367)),D367+AN367*MAX(K367-1,0)/100,"")</f>
        <v/>
      </c>
      <c r="AS367" s="93" t="str">
        <f aca="false">IF(AND(ISNUMBER(E367),ISNUMBER(K367)),IF(K367&gt;0,(E367+AN367*MAX(K367-1,0))/K367,""),"")</f>
        <v/>
      </c>
      <c r="AT367" s="90" t="n">
        <f aca="false">IFERROR(IF(AND(Y367=1,ROW()&lt;&gt;스왑분석!$C$12+1,ABS(K367-INDEX($K$2:$K$601,스왑분석!$C$12))&lt;=스왑분석!$C$5,ISERROR(SEARCH("FRN",AP367)),ISERROR(SEARCH("BBB0미만",AP367))),IF(AND(OR(스왑분석!$C$6="N",L367=INDEX($L$2:$L$601,스왑분석!$C$12)),OR(스왑분석!$C$7="N",N367=INDEX($N$2:$N$601,스왑분석!$C$12)),OR(스왑분석!$C$8="N",AO367=0),E367-INDEX($E$2:$E$601,스왑분석!$C$12)&gt;=스왑분석!$C$9),E367-INDEX($E$2:$E$601,스왑분석!$C$12)+ROW()/1000000000,-999),-999),-999)</f>
        <v>-999</v>
      </c>
      <c r="AU367" s="90" t="n">
        <f aca="false">IF(AND(Y367=1,AO367&gt;0,AL367="Rich"),-AK367+ROW()/1000000000,-999)</f>
        <v>-999</v>
      </c>
    </row>
    <row r="368" customFormat="false" ht="15" hidden="false" customHeight="false" outlineLevel="0" collapsed="false">
      <c r="A368" s="83" t="n">
        <f aca="false">IFERROR(IF(INDEX(원자료_시장!$A$1:$BZ$1000,설정!$L$6+ROW()-1,설정!$L$24)&amp;""="0","",INDEX(원자료_시장!$A$1:$BZ$1000,설정!$L$6+ROW()-1,설정!$L$24)),"")</f>
        <v>0</v>
      </c>
      <c r="B368" s="83" t="n">
        <f aca="false">IFERROR(IF(INDEX(원자료_시장!$A$1:$BZ$1000,설정!$L$6+ROW()-1,설정!$L$37)&amp;""="0","",INDEX(원자료_시장!$A$1:$BZ$1000,설정!$L$6+ROW()-1,설정!$L$37)),"")</f>
        <v>0</v>
      </c>
      <c r="C368" s="83" t="n">
        <f aca="false">IFERROR(IF(INDEX(원자료_시장!$A$1:$BZ$1000,설정!$L$6+ROW()-1,설정!$L$25)&amp;""="0","",INDEX(원자료_시장!$A$1:$BZ$1000,설정!$L$6+ROW()-1,설정!$L$25)),"")</f>
        <v>0</v>
      </c>
      <c r="D368" s="85" t="str">
        <f aca="false">IFERROR(IF(ISNUMBER(INDEX(원자료_시장!$A$1:$BZ$1000,설정!$L$6+ROW()-1,설정!$L$26)),INDEX(원자료_시장!$A$1:$BZ$1000,설정!$L$6+ROW()-1,설정!$L$26),""),"")</f>
        <v/>
      </c>
      <c r="E368" s="97" t="str">
        <f aca="false">IFERROR(IF(ISNUMBER(INDEX(원자료_시장!$A$1:$BZ$1000,설정!$L$6+ROW()-1,설정!$L$27)),INDEX(원자료_시장!$A$1:$BZ$1000,설정!$L$6+ROW()-1,설정!$L$27),""),"")</f>
        <v/>
      </c>
      <c r="F368" s="97" t="str">
        <f aca="false">IFERROR(IF(ISNUMBER(INDEX(원자료_시장!$A$1:$BZ$1000,설정!$L$6+ROW()-1,설정!$L$28)),INDEX(원자료_시장!$A$1:$BZ$1000,설정!$L$6+ROW()-1,설정!$L$28),""),"")</f>
        <v/>
      </c>
      <c r="G368" s="97" t="str">
        <f aca="false">IFERROR(IF(ISNUMBER(INDEX(원자료_시장!$A$1:$BZ$1000,설정!$L$6+ROW()-1,설정!$L$29)),INDEX(원자료_시장!$A$1:$BZ$1000,설정!$L$6+ROW()-1,설정!$L$29),""),"")</f>
        <v/>
      </c>
      <c r="H368" s="97" t="str">
        <f aca="false">IFERROR(IF(ISNUMBER(INDEX(원자료_시장!$A$1:$BZ$1000,설정!$L$6+ROW()-1,설정!$L$30)),INDEX(원자료_시장!$A$1:$BZ$1000,설정!$L$6+ROW()-1,설정!$L$30),""),"")</f>
        <v/>
      </c>
      <c r="I368" s="97" t="str">
        <f aca="false">IFERROR(IF(ISNUMBER(INDEX(원자료_시장!$A$1:$BZ$1000,설정!$L$6+ROW()-1,설정!$L$31)),INDEX(원자료_시장!$A$1:$BZ$1000,설정!$L$6+ROW()-1,설정!$L$31),""),"")</f>
        <v/>
      </c>
      <c r="J368" s="97" t="str">
        <f aca="false">IFERROR(IF(ISNUMBER(INDEX(원자료_시장!$A$1:$BZ$1000,설정!$L$6+ROW()-1,설정!$L$32)),INDEX(원자료_시장!$A$1:$BZ$1000,설정!$L$6+ROW()-1,설정!$L$32),""),"")</f>
        <v/>
      </c>
      <c r="K368" s="85" t="str">
        <f aca="false">IFERROR(IF(ISNUMBER(INDEX(원자료_시장!$A$1:$BZ$1000,설정!$L$6+ROW()-1,설정!$L$33)),INDEX(원자료_시장!$A$1:$BZ$1000,설정!$L$6+ROW()-1,설정!$L$33),""),"")</f>
        <v/>
      </c>
      <c r="L368" s="83" t="n">
        <f aca="false">IFERROR(IF(INDEX(원자료_시장!$A$1:$BZ$1000,설정!$L$6+ROW()-1,설정!$L$34)&amp;""="0","",INDEX(원자료_시장!$A$1:$BZ$1000,설정!$L$6+ROW()-1,설정!$L$34)),"")</f>
        <v>0</v>
      </c>
      <c r="M368" s="83" t="n">
        <f aca="false">IFERROR(IF(INDEX(원자료_시장!$A$1:$BZ$1000,설정!$L$6+ROW()-1,설정!$L$35)&amp;""="0","",INDEX(원자료_시장!$A$1:$BZ$1000,설정!$L$6+ROW()-1,설정!$L$35)),"")</f>
        <v>0</v>
      </c>
      <c r="N368" s="83" t="n">
        <f aca="false">IFERROR(IF(INDEX(원자료_시장!$A$1:$BZ$1000,설정!$L$6+ROW()-1,설정!$L$36)&amp;""="0","",INDEX(원자료_시장!$A$1:$BZ$1000,설정!$L$6+ROW()-1,설정!$L$36)),"")</f>
        <v>0</v>
      </c>
      <c r="O368" s="43" t="str">
        <f aca="false">IF($A368="","",UPPER(LEFT($A368,FIND(" ",$A368&amp;" ")-1)))</f>
        <v/>
      </c>
      <c r="P368" s="43" t="str">
        <f aca="false">IF($A368="","",TRIM(RIGHT(SUBSTITUTE(TRIM($A368)," ",REPT(" ",30)),30)))</f>
        <v/>
      </c>
      <c r="Q368" s="98" t="str">
        <f aca="false">IF($A368="","",IFERROR(DATE(IF(LEN(P368)=8,2000+VALUE(RIGHT(P368,2)),VALUE(RIGHT(P368,4))),VALUE(LEFT(P368,2)),VALUE(MID(P368,4,2))),""))</f>
        <v/>
      </c>
      <c r="R368" s="89" t="n">
        <f aca="false">IF($A368="",0,IF(ISNUMBER(SEARCH("Float",$A368)),1,0))</f>
        <v>0</v>
      </c>
      <c r="S368" s="43" t="str">
        <f aca="false">IF($A368="","",TRIM(MID($A368,LEN(O368)+2,LEN($A368)-LEN(O368)-LEN(P368)-1)))</f>
        <v/>
      </c>
      <c r="T368" s="92" t="str">
        <f aca="false">IF(OR($A368="",R368=1),"",IFERROR(IF(ISNUMBER(FIND("/",S368)),IF(ISNUMBER(FIND(" ",S368)),VALUE(LEFT(S368,FIND(" ",S368)-1))+VALUE(MID(S368,FIND(" ",S368)+1,FIND("/",S368)-FIND(" ",S368)-1))/VALUE(MID(S368,FIND("/",S368)+1,9)),VALUE(LEFT(S368,FIND("/",S368)-1))/VALUE(MID(S368,FIND("/",S368)+1,9))),VALUE(S368)),""))</f>
        <v/>
      </c>
      <c r="U368" s="43" t="str">
        <f aca="false">IF(OR($A368="",NOT(ISNUMBER(Q368))),"",TEXT(Q368,"yyyymmdd")&amp;"|"&amp;IF(R368=1,"F",TEXT(T368,"0.000")))</f>
        <v/>
      </c>
      <c r="V368" s="43" t="str">
        <f aca="false">IF(U368="","",O368&amp;"|"&amp;U368)</f>
        <v/>
      </c>
      <c r="W368" s="43" t="str">
        <f aca="false">IF($A368="","",IFERROR(IF(VLOOKUP(O368,매핑!$A$4:$E$92,3,0)="","미분류",VLOOKUP(O368,매핑!$A$4:$E$92,3,0)),"미분류"))</f>
        <v/>
      </c>
      <c r="X368" s="89" t="n">
        <f aca="false">IF($A368="",0,IF(O368="T",1,0))</f>
        <v>0</v>
      </c>
      <c r="Y368" s="89" t="n">
        <f aca="false">IF($A368="",0,IF(AND(C368="USD",X368=0,ISNUMBER(E368),ISNUMBER(K368)),IF(K368&gt;=설정!$C$8,1,0),0))</f>
        <v>0</v>
      </c>
      <c r="Z368" s="43" t="str">
        <f aca="false">IF($A368="","",N368&amp;"|"&amp;L368)</f>
        <v/>
      </c>
      <c r="AA368" s="92" t="n">
        <f aca="false">IF(Y368=1,LN(K368),0)</f>
        <v>0</v>
      </c>
      <c r="AB368" s="93" t="n">
        <f aca="false">IF(Y368=1,E368,0)</f>
        <v>0</v>
      </c>
      <c r="AC368" s="89" t="n">
        <f aca="false">IF(Y368=1,COUNTIFS($Z$2:$Z$601,Z368,$Y$2:$Y$601,1),0)</f>
        <v>0</v>
      </c>
      <c r="AD368" s="89" t="n">
        <f aca="false">IF(Y368=1,COUNTIFS($N$2:$N$601,N368,$Y$2:$Y$601,1),0)</f>
        <v>0</v>
      </c>
      <c r="AE368" s="43" t="str">
        <f aca="false">IF(Y368&lt;&gt;1,"",IF(AND(AC368&gt;=설정!$C$7,ISNUMBER(MATCH(Z368,피어커브!$A:$A,0))),Z368,IF(AND(AD368&gt;=설정!$C$7,ISNUMBER(MATCH(N368&amp;"|전체",피어커브!$A:$A,0))),N368&amp;"|전체","전체|전체")))</f>
        <v/>
      </c>
      <c r="AF368" s="93" t="str">
        <f aca="false">IF(AE368="","",INDEX(피어커브!$K:$K,MATCH(AE368,피어커브!$A:$A,0)))</f>
        <v/>
      </c>
      <c r="AG368" s="93" t="str">
        <f aca="false">IF(AE368="","",INDEX(피어커브!$J:$J,MATCH(AE368,피어커브!$A:$A,0)))</f>
        <v/>
      </c>
      <c r="AH368" s="93" t="str">
        <f aca="false">IF(AE368="","",INDEX(피어커브!$L:$L,MATCH(AE368,피어커브!$A:$A,0)))</f>
        <v/>
      </c>
      <c r="AI368" s="93" t="str">
        <f aca="false">IF(AE368="","",AF368+AG368*AA368)</f>
        <v/>
      </c>
      <c r="AJ368" s="96" t="str">
        <f aca="false">IF(AE368="","",E368-AI368)</f>
        <v/>
      </c>
      <c r="AK368" s="95" t="str">
        <f aca="false">IF(AE368="","",IF(ISNUMBER(AH368),IF(AH368&gt;0,AJ368/AH368,""),""))</f>
        <v/>
      </c>
      <c r="AL368" s="43" t="str">
        <f aca="false">IF(AK368="","-",IF(AK368&gt;=설정!$C$6,"Cheap",IF(AK368&lt;=-설정!$C$6,"Rich","Fair")))</f>
        <v>-</v>
      </c>
      <c r="AM368" s="96" t="str">
        <f aca="false">IF(AE368="","",AJ368-AVERAGEIFS($AJ$2:$AJ$601,$B$2:$B$601,B368,$Y$2:$Y$601,1))</f>
        <v/>
      </c>
      <c r="AN368" s="93" t="n">
        <f aca="false">IF(AE368="",0,IF(K368&gt;1+설정!$C$8,AG368*(AA368-LN(K368-1)),0))</f>
        <v>0</v>
      </c>
      <c r="AO368" s="99" t="n">
        <f aca="false">IF($A368="",0,SUMIFS(보유분석!$AA$2:$AA$801,보유분석!$AB$2:$AB$801,ROW(),보유분석!$AC$2:$AC$801,1))</f>
        <v>0</v>
      </c>
      <c r="AP368" s="43" t="str">
        <f aca="false">IF($A368="","",TRIM(IF(R368=1,"FRN ","")&amp;IF(IFERROR(VLOOKUP(M368,설정!$A$15:$D$47,4,0),0)&gt;=10,IF(IFERROR(VLOOKUP(M368,설정!$A$15:$D$47,4,0),0)&lt;99,"BBB0미만 ",""),"")&amp;IF(OR(M368="",M368="NR"),"등급미입력 ","")&amp;IF(C368&lt;&gt;"USD","비USD ","")))</f>
        <v/>
      </c>
      <c r="AQ368" s="90" t="n">
        <f aca="false">IF(AND(Y368=1,AL368="Cheap"),IF(AND(ISERROR(SEARCH("FRN",AP368)),ISERROR(SEARCH("BBB0미만",AP368))),AK368+ROW()/1000000000,-999),-999)</f>
        <v>-999</v>
      </c>
      <c r="AR368" s="92" t="str">
        <f aca="false">IF(AND(ISNUMBER(D368),ISNUMBER(K368)),D368+AN368*MAX(K368-1,0)/100,"")</f>
        <v/>
      </c>
      <c r="AS368" s="93" t="str">
        <f aca="false">IF(AND(ISNUMBER(E368),ISNUMBER(K368)),IF(K368&gt;0,(E368+AN368*MAX(K368-1,0))/K368,""),"")</f>
        <v/>
      </c>
      <c r="AT368" s="90" t="n">
        <f aca="false">IFERROR(IF(AND(Y368=1,ROW()&lt;&gt;스왑분석!$C$12+1,ABS(K368-INDEX($K$2:$K$601,스왑분석!$C$12))&lt;=스왑분석!$C$5,ISERROR(SEARCH("FRN",AP368)),ISERROR(SEARCH("BBB0미만",AP368))),IF(AND(OR(스왑분석!$C$6="N",L368=INDEX($L$2:$L$601,스왑분석!$C$12)),OR(스왑분석!$C$7="N",N368=INDEX($N$2:$N$601,스왑분석!$C$12)),OR(스왑분석!$C$8="N",AO368=0),E368-INDEX($E$2:$E$601,스왑분석!$C$12)&gt;=스왑분석!$C$9),E368-INDEX($E$2:$E$601,스왑분석!$C$12)+ROW()/1000000000,-999),-999),-999)</f>
        <v>-999</v>
      </c>
      <c r="AU368" s="90" t="n">
        <f aca="false">IF(AND(Y368=1,AO368&gt;0,AL368="Rich"),-AK368+ROW()/1000000000,-999)</f>
        <v>-999</v>
      </c>
    </row>
    <row r="369" customFormat="false" ht="15" hidden="false" customHeight="false" outlineLevel="0" collapsed="false">
      <c r="A369" s="83" t="n">
        <f aca="false">IFERROR(IF(INDEX(원자료_시장!$A$1:$BZ$1000,설정!$L$6+ROW()-1,설정!$L$24)&amp;""="0","",INDEX(원자료_시장!$A$1:$BZ$1000,설정!$L$6+ROW()-1,설정!$L$24)),"")</f>
        <v>0</v>
      </c>
      <c r="B369" s="83" t="n">
        <f aca="false">IFERROR(IF(INDEX(원자료_시장!$A$1:$BZ$1000,설정!$L$6+ROW()-1,설정!$L$37)&amp;""="0","",INDEX(원자료_시장!$A$1:$BZ$1000,설정!$L$6+ROW()-1,설정!$L$37)),"")</f>
        <v>0</v>
      </c>
      <c r="C369" s="83" t="n">
        <f aca="false">IFERROR(IF(INDEX(원자료_시장!$A$1:$BZ$1000,설정!$L$6+ROW()-1,설정!$L$25)&amp;""="0","",INDEX(원자료_시장!$A$1:$BZ$1000,설정!$L$6+ROW()-1,설정!$L$25)),"")</f>
        <v>0</v>
      </c>
      <c r="D369" s="85" t="str">
        <f aca="false">IFERROR(IF(ISNUMBER(INDEX(원자료_시장!$A$1:$BZ$1000,설정!$L$6+ROW()-1,설정!$L$26)),INDEX(원자료_시장!$A$1:$BZ$1000,설정!$L$6+ROW()-1,설정!$L$26),""),"")</f>
        <v/>
      </c>
      <c r="E369" s="97" t="str">
        <f aca="false">IFERROR(IF(ISNUMBER(INDEX(원자료_시장!$A$1:$BZ$1000,설정!$L$6+ROW()-1,설정!$L$27)),INDEX(원자료_시장!$A$1:$BZ$1000,설정!$L$6+ROW()-1,설정!$L$27),""),"")</f>
        <v/>
      </c>
      <c r="F369" s="97" t="str">
        <f aca="false">IFERROR(IF(ISNUMBER(INDEX(원자료_시장!$A$1:$BZ$1000,설정!$L$6+ROW()-1,설정!$L$28)),INDEX(원자료_시장!$A$1:$BZ$1000,설정!$L$6+ROW()-1,설정!$L$28),""),"")</f>
        <v/>
      </c>
      <c r="G369" s="97" t="str">
        <f aca="false">IFERROR(IF(ISNUMBER(INDEX(원자료_시장!$A$1:$BZ$1000,설정!$L$6+ROW()-1,설정!$L$29)),INDEX(원자료_시장!$A$1:$BZ$1000,설정!$L$6+ROW()-1,설정!$L$29),""),"")</f>
        <v/>
      </c>
      <c r="H369" s="97" t="str">
        <f aca="false">IFERROR(IF(ISNUMBER(INDEX(원자료_시장!$A$1:$BZ$1000,설정!$L$6+ROW()-1,설정!$L$30)),INDEX(원자료_시장!$A$1:$BZ$1000,설정!$L$6+ROW()-1,설정!$L$30),""),"")</f>
        <v/>
      </c>
      <c r="I369" s="97" t="str">
        <f aca="false">IFERROR(IF(ISNUMBER(INDEX(원자료_시장!$A$1:$BZ$1000,설정!$L$6+ROW()-1,설정!$L$31)),INDEX(원자료_시장!$A$1:$BZ$1000,설정!$L$6+ROW()-1,설정!$L$31),""),"")</f>
        <v/>
      </c>
      <c r="J369" s="97" t="str">
        <f aca="false">IFERROR(IF(ISNUMBER(INDEX(원자료_시장!$A$1:$BZ$1000,설정!$L$6+ROW()-1,설정!$L$32)),INDEX(원자료_시장!$A$1:$BZ$1000,설정!$L$6+ROW()-1,설정!$L$32),""),"")</f>
        <v/>
      </c>
      <c r="K369" s="85" t="str">
        <f aca="false">IFERROR(IF(ISNUMBER(INDEX(원자료_시장!$A$1:$BZ$1000,설정!$L$6+ROW()-1,설정!$L$33)),INDEX(원자료_시장!$A$1:$BZ$1000,설정!$L$6+ROW()-1,설정!$L$33),""),"")</f>
        <v/>
      </c>
      <c r="L369" s="83" t="n">
        <f aca="false">IFERROR(IF(INDEX(원자료_시장!$A$1:$BZ$1000,설정!$L$6+ROW()-1,설정!$L$34)&amp;""="0","",INDEX(원자료_시장!$A$1:$BZ$1000,설정!$L$6+ROW()-1,설정!$L$34)),"")</f>
        <v>0</v>
      </c>
      <c r="M369" s="83" t="n">
        <f aca="false">IFERROR(IF(INDEX(원자료_시장!$A$1:$BZ$1000,설정!$L$6+ROW()-1,설정!$L$35)&amp;""="0","",INDEX(원자료_시장!$A$1:$BZ$1000,설정!$L$6+ROW()-1,설정!$L$35)),"")</f>
        <v>0</v>
      </c>
      <c r="N369" s="83" t="n">
        <f aca="false">IFERROR(IF(INDEX(원자료_시장!$A$1:$BZ$1000,설정!$L$6+ROW()-1,설정!$L$36)&amp;""="0","",INDEX(원자료_시장!$A$1:$BZ$1000,설정!$L$6+ROW()-1,설정!$L$36)),"")</f>
        <v>0</v>
      </c>
      <c r="O369" s="43" t="str">
        <f aca="false">IF($A369="","",UPPER(LEFT($A369,FIND(" ",$A369&amp;" ")-1)))</f>
        <v/>
      </c>
      <c r="P369" s="43" t="str">
        <f aca="false">IF($A369="","",TRIM(RIGHT(SUBSTITUTE(TRIM($A369)," ",REPT(" ",30)),30)))</f>
        <v/>
      </c>
      <c r="Q369" s="98" t="str">
        <f aca="false">IF($A369="","",IFERROR(DATE(IF(LEN(P369)=8,2000+VALUE(RIGHT(P369,2)),VALUE(RIGHT(P369,4))),VALUE(LEFT(P369,2)),VALUE(MID(P369,4,2))),""))</f>
        <v/>
      </c>
      <c r="R369" s="89" t="n">
        <f aca="false">IF($A369="",0,IF(ISNUMBER(SEARCH("Float",$A369)),1,0))</f>
        <v>0</v>
      </c>
      <c r="S369" s="43" t="str">
        <f aca="false">IF($A369="","",TRIM(MID($A369,LEN(O369)+2,LEN($A369)-LEN(O369)-LEN(P369)-1)))</f>
        <v/>
      </c>
      <c r="T369" s="92" t="str">
        <f aca="false">IF(OR($A369="",R369=1),"",IFERROR(IF(ISNUMBER(FIND("/",S369)),IF(ISNUMBER(FIND(" ",S369)),VALUE(LEFT(S369,FIND(" ",S369)-1))+VALUE(MID(S369,FIND(" ",S369)+1,FIND("/",S369)-FIND(" ",S369)-1))/VALUE(MID(S369,FIND("/",S369)+1,9)),VALUE(LEFT(S369,FIND("/",S369)-1))/VALUE(MID(S369,FIND("/",S369)+1,9))),VALUE(S369)),""))</f>
        <v/>
      </c>
      <c r="U369" s="43" t="str">
        <f aca="false">IF(OR($A369="",NOT(ISNUMBER(Q369))),"",TEXT(Q369,"yyyymmdd")&amp;"|"&amp;IF(R369=1,"F",TEXT(T369,"0.000")))</f>
        <v/>
      </c>
      <c r="V369" s="43" t="str">
        <f aca="false">IF(U369="","",O369&amp;"|"&amp;U369)</f>
        <v/>
      </c>
      <c r="W369" s="43" t="str">
        <f aca="false">IF($A369="","",IFERROR(IF(VLOOKUP(O369,매핑!$A$4:$E$92,3,0)="","미분류",VLOOKUP(O369,매핑!$A$4:$E$92,3,0)),"미분류"))</f>
        <v/>
      </c>
      <c r="X369" s="89" t="n">
        <f aca="false">IF($A369="",0,IF(O369="T",1,0))</f>
        <v>0</v>
      </c>
      <c r="Y369" s="89" t="n">
        <f aca="false">IF($A369="",0,IF(AND(C369="USD",X369=0,ISNUMBER(E369),ISNUMBER(K369)),IF(K369&gt;=설정!$C$8,1,0),0))</f>
        <v>0</v>
      </c>
      <c r="Z369" s="43" t="str">
        <f aca="false">IF($A369="","",N369&amp;"|"&amp;L369)</f>
        <v/>
      </c>
      <c r="AA369" s="92" t="n">
        <f aca="false">IF(Y369=1,LN(K369),0)</f>
        <v>0</v>
      </c>
      <c r="AB369" s="93" t="n">
        <f aca="false">IF(Y369=1,E369,0)</f>
        <v>0</v>
      </c>
      <c r="AC369" s="89" t="n">
        <f aca="false">IF(Y369=1,COUNTIFS($Z$2:$Z$601,Z369,$Y$2:$Y$601,1),0)</f>
        <v>0</v>
      </c>
      <c r="AD369" s="89" t="n">
        <f aca="false">IF(Y369=1,COUNTIFS($N$2:$N$601,N369,$Y$2:$Y$601,1),0)</f>
        <v>0</v>
      </c>
      <c r="AE369" s="43" t="str">
        <f aca="false">IF(Y369&lt;&gt;1,"",IF(AND(AC369&gt;=설정!$C$7,ISNUMBER(MATCH(Z369,피어커브!$A:$A,0))),Z369,IF(AND(AD369&gt;=설정!$C$7,ISNUMBER(MATCH(N369&amp;"|전체",피어커브!$A:$A,0))),N369&amp;"|전체","전체|전체")))</f>
        <v/>
      </c>
      <c r="AF369" s="93" t="str">
        <f aca="false">IF(AE369="","",INDEX(피어커브!$K:$K,MATCH(AE369,피어커브!$A:$A,0)))</f>
        <v/>
      </c>
      <c r="AG369" s="93" t="str">
        <f aca="false">IF(AE369="","",INDEX(피어커브!$J:$J,MATCH(AE369,피어커브!$A:$A,0)))</f>
        <v/>
      </c>
      <c r="AH369" s="93" t="str">
        <f aca="false">IF(AE369="","",INDEX(피어커브!$L:$L,MATCH(AE369,피어커브!$A:$A,0)))</f>
        <v/>
      </c>
      <c r="AI369" s="93" t="str">
        <f aca="false">IF(AE369="","",AF369+AG369*AA369)</f>
        <v/>
      </c>
      <c r="AJ369" s="96" t="str">
        <f aca="false">IF(AE369="","",E369-AI369)</f>
        <v/>
      </c>
      <c r="AK369" s="95" t="str">
        <f aca="false">IF(AE369="","",IF(ISNUMBER(AH369),IF(AH369&gt;0,AJ369/AH369,""),""))</f>
        <v/>
      </c>
      <c r="AL369" s="43" t="str">
        <f aca="false">IF(AK369="","-",IF(AK369&gt;=설정!$C$6,"Cheap",IF(AK369&lt;=-설정!$C$6,"Rich","Fair")))</f>
        <v>-</v>
      </c>
      <c r="AM369" s="96" t="str">
        <f aca="false">IF(AE369="","",AJ369-AVERAGEIFS($AJ$2:$AJ$601,$B$2:$B$601,B369,$Y$2:$Y$601,1))</f>
        <v/>
      </c>
      <c r="AN369" s="93" t="n">
        <f aca="false">IF(AE369="",0,IF(K369&gt;1+설정!$C$8,AG369*(AA369-LN(K369-1)),0))</f>
        <v>0</v>
      </c>
      <c r="AO369" s="99" t="n">
        <f aca="false">IF($A369="",0,SUMIFS(보유분석!$AA$2:$AA$801,보유분석!$AB$2:$AB$801,ROW(),보유분석!$AC$2:$AC$801,1))</f>
        <v>0</v>
      </c>
      <c r="AP369" s="43" t="str">
        <f aca="false">IF($A369="","",TRIM(IF(R369=1,"FRN ","")&amp;IF(IFERROR(VLOOKUP(M369,설정!$A$15:$D$47,4,0),0)&gt;=10,IF(IFERROR(VLOOKUP(M369,설정!$A$15:$D$47,4,0),0)&lt;99,"BBB0미만 ",""),"")&amp;IF(OR(M369="",M369="NR"),"등급미입력 ","")&amp;IF(C369&lt;&gt;"USD","비USD ","")))</f>
        <v/>
      </c>
      <c r="AQ369" s="90" t="n">
        <f aca="false">IF(AND(Y369=1,AL369="Cheap"),IF(AND(ISERROR(SEARCH("FRN",AP369)),ISERROR(SEARCH("BBB0미만",AP369))),AK369+ROW()/1000000000,-999),-999)</f>
        <v>-999</v>
      </c>
      <c r="AR369" s="92" t="str">
        <f aca="false">IF(AND(ISNUMBER(D369),ISNUMBER(K369)),D369+AN369*MAX(K369-1,0)/100,"")</f>
        <v/>
      </c>
      <c r="AS369" s="93" t="str">
        <f aca="false">IF(AND(ISNUMBER(E369),ISNUMBER(K369)),IF(K369&gt;0,(E369+AN369*MAX(K369-1,0))/K369,""),"")</f>
        <v/>
      </c>
      <c r="AT369" s="90" t="n">
        <f aca="false">IFERROR(IF(AND(Y369=1,ROW()&lt;&gt;스왑분석!$C$12+1,ABS(K369-INDEX($K$2:$K$601,스왑분석!$C$12))&lt;=스왑분석!$C$5,ISERROR(SEARCH("FRN",AP369)),ISERROR(SEARCH("BBB0미만",AP369))),IF(AND(OR(스왑분석!$C$6="N",L369=INDEX($L$2:$L$601,스왑분석!$C$12)),OR(스왑분석!$C$7="N",N369=INDEX($N$2:$N$601,스왑분석!$C$12)),OR(스왑분석!$C$8="N",AO369=0),E369-INDEX($E$2:$E$601,스왑분석!$C$12)&gt;=스왑분석!$C$9),E369-INDEX($E$2:$E$601,스왑분석!$C$12)+ROW()/1000000000,-999),-999),-999)</f>
        <v>-999</v>
      </c>
      <c r="AU369" s="90" t="n">
        <f aca="false">IF(AND(Y369=1,AO369&gt;0,AL369="Rich"),-AK369+ROW()/1000000000,-999)</f>
        <v>-999</v>
      </c>
    </row>
    <row r="370" customFormat="false" ht="15" hidden="false" customHeight="false" outlineLevel="0" collapsed="false">
      <c r="A370" s="83" t="n">
        <f aca="false">IFERROR(IF(INDEX(원자료_시장!$A$1:$BZ$1000,설정!$L$6+ROW()-1,설정!$L$24)&amp;""="0","",INDEX(원자료_시장!$A$1:$BZ$1000,설정!$L$6+ROW()-1,설정!$L$24)),"")</f>
        <v>0</v>
      </c>
      <c r="B370" s="83" t="n">
        <f aca="false">IFERROR(IF(INDEX(원자료_시장!$A$1:$BZ$1000,설정!$L$6+ROW()-1,설정!$L$37)&amp;""="0","",INDEX(원자료_시장!$A$1:$BZ$1000,설정!$L$6+ROW()-1,설정!$L$37)),"")</f>
        <v>0</v>
      </c>
      <c r="C370" s="83" t="n">
        <f aca="false">IFERROR(IF(INDEX(원자료_시장!$A$1:$BZ$1000,설정!$L$6+ROW()-1,설정!$L$25)&amp;""="0","",INDEX(원자료_시장!$A$1:$BZ$1000,설정!$L$6+ROW()-1,설정!$L$25)),"")</f>
        <v>0</v>
      </c>
      <c r="D370" s="85" t="str">
        <f aca="false">IFERROR(IF(ISNUMBER(INDEX(원자료_시장!$A$1:$BZ$1000,설정!$L$6+ROW()-1,설정!$L$26)),INDEX(원자료_시장!$A$1:$BZ$1000,설정!$L$6+ROW()-1,설정!$L$26),""),"")</f>
        <v/>
      </c>
      <c r="E370" s="97" t="str">
        <f aca="false">IFERROR(IF(ISNUMBER(INDEX(원자료_시장!$A$1:$BZ$1000,설정!$L$6+ROW()-1,설정!$L$27)),INDEX(원자료_시장!$A$1:$BZ$1000,설정!$L$6+ROW()-1,설정!$L$27),""),"")</f>
        <v/>
      </c>
      <c r="F370" s="97" t="str">
        <f aca="false">IFERROR(IF(ISNUMBER(INDEX(원자료_시장!$A$1:$BZ$1000,설정!$L$6+ROW()-1,설정!$L$28)),INDEX(원자료_시장!$A$1:$BZ$1000,설정!$L$6+ROW()-1,설정!$L$28),""),"")</f>
        <v/>
      </c>
      <c r="G370" s="97" t="str">
        <f aca="false">IFERROR(IF(ISNUMBER(INDEX(원자료_시장!$A$1:$BZ$1000,설정!$L$6+ROW()-1,설정!$L$29)),INDEX(원자료_시장!$A$1:$BZ$1000,설정!$L$6+ROW()-1,설정!$L$29),""),"")</f>
        <v/>
      </c>
      <c r="H370" s="97" t="str">
        <f aca="false">IFERROR(IF(ISNUMBER(INDEX(원자료_시장!$A$1:$BZ$1000,설정!$L$6+ROW()-1,설정!$L$30)),INDEX(원자료_시장!$A$1:$BZ$1000,설정!$L$6+ROW()-1,설정!$L$30),""),"")</f>
        <v/>
      </c>
      <c r="I370" s="97" t="str">
        <f aca="false">IFERROR(IF(ISNUMBER(INDEX(원자료_시장!$A$1:$BZ$1000,설정!$L$6+ROW()-1,설정!$L$31)),INDEX(원자료_시장!$A$1:$BZ$1000,설정!$L$6+ROW()-1,설정!$L$31),""),"")</f>
        <v/>
      </c>
      <c r="J370" s="97" t="str">
        <f aca="false">IFERROR(IF(ISNUMBER(INDEX(원자료_시장!$A$1:$BZ$1000,설정!$L$6+ROW()-1,설정!$L$32)),INDEX(원자료_시장!$A$1:$BZ$1000,설정!$L$6+ROW()-1,설정!$L$32),""),"")</f>
        <v/>
      </c>
      <c r="K370" s="85" t="str">
        <f aca="false">IFERROR(IF(ISNUMBER(INDEX(원자료_시장!$A$1:$BZ$1000,설정!$L$6+ROW()-1,설정!$L$33)),INDEX(원자료_시장!$A$1:$BZ$1000,설정!$L$6+ROW()-1,설정!$L$33),""),"")</f>
        <v/>
      </c>
      <c r="L370" s="83" t="n">
        <f aca="false">IFERROR(IF(INDEX(원자료_시장!$A$1:$BZ$1000,설정!$L$6+ROW()-1,설정!$L$34)&amp;""="0","",INDEX(원자료_시장!$A$1:$BZ$1000,설정!$L$6+ROW()-1,설정!$L$34)),"")</f>
        <v>0</v>
      </c>
      <c r="M370" s="83" t="n">
        <f aca="false">IFERROR(IF(INDEX(원자료_시장!$A$1:$BZ$1000,설정!$L$6+ROW()-1,설정!$L$35)&amp;""="0","",INDEX(원자료_시장!$A$1:$BZ$1000,설정!$L$6+ROW()-1,설정!$L$35)),"")</f>
        <v>0</v>
      </c>
      <c r="N370" s="83" t="n">
        <f aca="false">IFERROR(IF(INDEX(원자료_시장!$A$1:$BZ$1000,설정!$L$6+ROW()-1,설정!$L$36)&amp;""="0","",INDEX(원자료_시장!$A$1:$BZ$1000,설정!$L$6+ROW()-1,설정!$L$36)),"")</f>
        <v>0</v>
      </c>
      <c r="O370" s="43" t="str">
        <f aca="false">IF($A370="","",UPPER(LEFT($A370,FIND(" ",$A370&amp;" ")-1)))</f>
        <v/>
      </c>
      <c r="P370" s="43" t="str">
        <f aca="false">IF($A370="","",TRIM(RIGHT(SUBSTITUTE(TRIM($A370)," ",REPT(" ",30)),30)))</f>
        <v/>
      </c>
      <c r="Q370" s="98" t="str">
        <f aca="false">IF($A370="","",IFERROR(DATE(IF(LEN(P370)=8,2000+VALUE(RIGHT(P370,2)),VALUE(RIGHT(P370,4))),VALUE(LEFT(P370,2)),VALUE(MID(P370,4,2))),""))</f>
        <v/>
      </c>
      <c r="R370" s="89" t="n">
        <f aca="false">IF($A370="",0,IF(ISNUMBER(SEARCH("Float",$A370)),1,0))</f>
        <v>0</v>
      </c>
      <c r="S370" s="43" t="str">
        <f aca="false">IF($A370="","",TRIM(MID($A370,LEN(O370)+2,LEN($A370)-LEN(O370)-LEN(P370)-1)))</f>
        <v/>
      </c>
      <c r="T370" s="92" t="str">
        <f aca="false">IF(OR($A370="",R370=1),"",IFERROR(IF(ISNUMBER(FIND("/",S370)),IF(ISNUMBER(FIND(" ",S370)),VALUE(LEFT(S370,FIND(" ",S370)-1))+VALUE(MID(S370,FIND(" ",S370)+1,FIND("/",S370)-FIND(" ",S370)-1))/VALUE(MID(S370,FIND("/",S370)+1,9)),VALUE(LEFT(S370,FIND("/",S370)-1))/VALUE(MID(S370,FIND("/",S370)+1,9))),VALUE(S370)),""))</f>
        <v/>
      </c>
      <c r="U370" s="43" t="str">
        <f aca="false">IF(OR($A370="",NOT(ISNUMBER(Q370))),"",TEXT(Q370,"yyyymmdd")&amp;"|"&amp;IF(R370=1,"F",TEXT(T370,"0.000")))</f>
        <v/>
      </c>
      <c r="V370" s="43" t="str">
        <f aca="false">IF(U370="","",O370&amp;"|"&amp;U370)</f>
        <v/>
      </c>
      <c r="W370" s="43" t="str">
        <f aca="false">IF($A370="","",IFERROR(IF(VLOOKUP(O370,매핑!$A$4:$E$92,3,0)="","미분류",VLOOKUP(O370,매핑!$A$4:$E$92,3,0)),"미분류"))</f>
        <v/>
      </c>
      <c r="X370" s="89" t="n">
        <f aca="false">IF($A370="",0,IF(O370="T",1,0))</f>
        <v>0</v>
      </c>
      <c r="Y370" s="89" t="n">
        <f aca="false">IF($A370="",0,IF(AND(C370="USD",X370=0,ISNUMBER(E370),ISNUMBER(K370)),IF(K370&gt;=설정!$C$8,1,0),0))</f>
        <v>0</v>
      </c>
      <c r="Z370" s="43" t="str">
        <f aca="false">IF($A370="","",N370&amp;"|"&amp;L370)</f>
        <v/>
      </c>
      <c r="AA370" s="92" t="n">
        <f aca="false">IF(Y370=1,LN(K370),0)</f>
        <v>0</v>
      </c>
      <c r="AB370" s="93" t="n">
        <f aca="false">IF(Y370=1,E370,0)</f>
        <v>0</v>
      </c>
      <c r="AC370" s="89" t="n">
        <f aca="false">IF(Y370=1,COUNTIFS($Z$2:$Z$601,Z370,$Y$2:$Y$601,1),0)</f>
        <v>0</v>
      </c>
      <c r="AD370" s="89" t="n">
        <f aca="false">IF(Y370=1,COUNTIFS($N$2:$N$601,N370,$Y$2:$Y$601,1),0)</f>
        <v>0</v>
      </c>
      <c r="AE370" s="43" t="str">
        <f aca="false">IF(Y370&lt;&gt;1,"",IF(AND(AC370&gt;=설정!$C$7,ISNUMBER(MATCH(Z370,피어커브!$A:$A,0))),Z370,IF(AND(AD370&gt;=설정!$C$7,ISNUMBER(MATCH(N370&amp;"|전체",피어커브!$A:$A,0))),N370&amp;"|전체","전체|전체")))</f>
        <v/>
      </c>
      <c r="AF370" s="93" t="str">
        <f aca="false">IF(AE370="","",INDEX(피어커브!$K:$K,MATCH(AE370,피어커브!$A:$A,0)))</f>
        <v/>
      </c>
      <c r="AG370" s="93" t="str">
        <f aca="false">IF(AE370="","",INDEX(피어커브!$J:$J,MATCH(AE370,피어커브!$A:$A,0)))</f>
        <v/>
      </c>
      <c r="AH370" s="93" t="str">
        <f aca="false">IF(AE370="","",INDEX(피어커브!$L:$L,MATCH(AE370,피어커브!$A:$A,0)))</f>
        <v/>
      </c>
      <c r="AI370" s="93" t="str">
        <f aca="false">IF(AE370="","",AF370+AG370*AA370)</f>
        <v/>
      </c>
      <c r="AJ370" s="96" t="str">
        <f aca="false">IF(AE370="","",E370-AI370)</f>
        <v/>
      </c>
      <c r="AK370" s="95" t="str">
        <f aca="false">IF(AE370="","",IF(ISNUMBER(AH370),IF(AH370&gt;0,AJ370/AH370,""),""))</f>
        <v/>
      </c>
      <c r="AL370" s="43" t="str">
        <f aca="false">IF(AK370="","-",IF(AK370&gt;=설정!$C$6,"Cheap",IF(AK370&lt;=-설정!$C$6,"Rich","Fair")))</f>
        <v>-</v>
      </c>
      <c r="AM370" s="96" t="str">
        <f aca="false">IF(AE370="","",AJ370-AVERAGEIFS($AJ$2:$AJ$601,$B$2:$B$601,B370,$Y$2:$Y$601,1))</f>
        <v/>
      </c>
      <c r="AN370" s="93" t="n">
        <f aca="false">IF(AE370="",0,IF(K370&gt;1+설정!$C$8,AG370*(AA370-LN(K370-1)),0))</f>
        <v>0</v>
      </c>
      <c r="AO370" s="99" t="n">
        <f aca="false">IF($A370="",0,SUMIFS(보유분석!$AA$2:$AA$801,보유분석!$AB$2:$AB$801,ROW(),보유분석!$AC$2:$AC$801,1))</f>
        <v>0</v>
      </c>
      <c r="AP370" s="43" t="str">
        <f aca="false">IF($A370="","",TRIM(IF(R370=1,"FRN ","")&amp;IF(IFERROR(VLOOKUP(M370,설정!$A$15:$D$47,4,0),0)&gt;=10,IF(IFERROR(VLOOKUP(M370,설정!$A$15:$D$47,4,0),0)&lt;99,"BBB0미만 ",""),"")&amp;IF(OR(M370="",M370="NR"),"등급미입력 ","")&amp;IF(C370&lt;&gt;"USD","비USD ","")))</f>
        <v/>
      </c>
      <c r="AQ370" s="90" t="n">
        <f aca="false">IF(AND(Y370=1,AL370="Cheap"),IF(AND(ISERROR(SEARCH("FRN",AP370)),ISERROR(SEARCH("BBB0미만",AP370))),AK370+ROW()/1000000000,-999),-999)</f>
        <v>-999</v>
      </c>
      <c r="AR370" s="92" t="str">
        <f aca="false">IF(AND(ISNUMBER(D370),ISNUMBER(K370)),D370+AN370*MAX(K370-1,0)/100,"")</f>
        <v/>
      </c>
      <c r="AS370" s="93" t="str">
        <f aca="false">IF(AND(ISNUMBER(E370),ISNUMBER(K370)),IF(K370&gt;0,(E370+AN370*MAX(K370-1,0))/K370,""),"")</f>
        <v/>
      </c>
      <c r="AT370" s="90" t="n">
        <f aca="false">IFERROR(IF(AND(Y370=1,ROW()&lt;&gt;스왑분석!$C$12+1,ABS(K370-INDEX($K$2:$K$601,스왑분석!$C$12))&lt;=스왑분석!$C$5,ISERROR(SEARCH("FRN",AP370)),ISERROR(SEARCH("BBB0미만",AP370))),IF(AND(OR(스왑분석!$C$6="N",L370=INDEX($L$2:$L$601,스왑분석!$C$12)),OR(스왑분석!$C$7="N",N370=INDEX($N$2:$N$601,스왑분석!$C$12)),OR(스왑분석!$C$8="N",AO370=0),E370-INDEX($E$2:$E$601,스왑분석!$C$12)&gt;=스왑분석!$C$9),E370-INDEX($E$2:$E$601,스왑분석!$C$12)+ROW()/1000000000,-999),-999),-999)</f>
        <v>-999</v>
      </c>
      <c r="AU370" s="90" t="n">
        <f aca="false">IF(AND(Y370=1,AO370&gt;0,AL370="Rich"),-AK370+ROW()/1000000000,-999)</f>
        <v>-999</v>
      </c>
    </row>
    <row r="371" customFormat="false" ht="15" hidden="false" customHeight="false" outlineLevel="0" collapsed="false">
      <c r="A371" s="83" t="n">
        <f aca="false">IFERROR(IF(INDEX(원자료_시장!$A$1:$BZ$1000,설정!$L$6+ROW()-1,설정!$L$24)&amp;""="0","",INDEX(원자료_시장!$A$1:$BZ$1000,설정!$L$6+ROW()-1,설정!$L$24)),"")</f>
        <v>0</v>
      </c>
      <c r="B371" s="83" t="n">
        <f aca="false">IFERROR(IF(INDEX(원자료_시장!$A$1:$BZ$1000,설정!$L$6+ROW()-1,설정!$L$37)&amp;""="0","",INDEX(원자료_시장!$A$1:$BZ$1000,설정!$L$6+ROW()-1,설정!$L$37)),"")</f>
        <v>0</v>
      </c>
      <c r="C371" s="83" t="n">
        <f aca="false">IFERROR(IF(INDEX(원자료_시장!$A$1:$BZ$1000,설정!$L$6+ROW()-1,설정!$L$25)&amp;""="0","",INDEX(원자료_시장!$A$1:$BZ$1000,설정!$L$6+ROW()-1,설정!$L$25)),"")</f>
        <v>0</v>
      </c>
      <c r="D371" s="85" t="str">
        <f aca="false">IFERROR(IF(ISNUMBER(INDEX(원자료_시장!$A$1:$BZ$1000,설정!$L$6+ROW()-1,설정!$L$26)),INDEX(원자료_시장!$A$1:$BZ$1000,설정!$L$6+ROW()-1,설정!$L$26),""),"")</f>
        <v/>
      </c>
      <c r="E371" s="97" t="str">
        <f aca="false">IFERROR(IF(ISNUMBER(INDEX(원자료_시장!$A$1:$BZ$1000,설정!$L$6+ROW()-1,설정!$L$27)),INDEX(원자료_시장!$A$1:$BZ$1000,설정!$L$6+ROW()-1,설정!$L$27),""),"")</f>
        <v/>
      </c>
      <c r="F371" s="97" t="str">
        <f aca="false">IFERROR(IF(ISNUMBER(INDEX(원자료_시장!$A$1:$BZ$1000,설정!$L$6+ROW()-1,설정!$L$28)),INDEX(원자료_시장!$A$1:$BZ$1000,설정!$L$6+ROW()-1,설정!$L$28),""),"")</f>
        <v/>
      </c>
      <c r="G371" s="97" t="str">
        <f aca="false">IFERROR(IF(ISNUMBER(INDEX(원자료_시장!$A$1:$BZ$1000,설정!$L$6+ROW()-1,설정!$L$29)),INDEX(원자료_시장!$A$1:$BZ$1000,설정!$L$6+ROW()-1,설정!$L$29),""),"")</f>
        <v/>
      </c>
      <c r="H371" s="97" t="str">
        <f aca="false">IFERROR(IF(ISNUMBER(INDEX(원자료_시장!$A$1:$BZ$1000,설정!$L$6+ROW()-1,설정!$L$30)),INDEX(원자료_시장!$A$1:$BZ$1000,설정!$L$6+ROW()-1,설정!$L$30),""),"")</f>
        <v/>
      </c>
      <c r="I371" s="97" t="str">
        <f aca="false">IFERROR(IF(ISNUMBER(INDEX(원자료_시장!$A$1:$BZ$1000,설정!$L$6+ROW()-1,설정!$L$31)),INDEX(원자료_시장!$A$1:$BZ$1000,설정!$L$6+ROW()-1,설정!$L$31),""),"")</f>
        <v/>
      </c>
      <c r="J371" s="97" t="str">
        <f aca="false">IFERROR(IF(ISNUMBER(INDEX(원자료_시장!$A$1:$BZ$1000,설정!$L$6+ROW()-1,설정!$L$32)),INDEX(원자료_시장!$A$1:$BZ$1000,설정!$L$6+ROW()-1,설정!$L$32),""),"")</f>
        <v/>
      </c>
      <c r="K371" s="85" t="str">
        <f aca="false">IFERROR(IF(ISNUMBER(INDEX(원자료_시장!$A$1:$BZ$1000,설정!$L$6+ROW()-1,설정!$L$33)),INDEX(원자료_시장!$A$1:$BZ$1000,설정!$L$6+ROW()-1,설정!$L$33),""),"")</f>
        <v/>
      </c>
      <c r="L371" s="83" t="n">
        <f aca="false">IFERROR(IF(INDEX(원자료_시장!$A$1:$BZ$1000,설정!$L$6+ROW()-1,설정!$L$34)&amp;""="0","",INDEX(원자료_시장!$A$1:$BZ$1000,설정!$L$6+ROW()-1,설정!$L$34)),"")</f>
        <v>0</v>
      </c>
      <c r="M371" s="83" t="n">
        <f aca="false">IFERROR(IF(INDEX(원자료_시장!$A$1:$BZ$1000,설정!$L$6+ROW()-1,설정!$L$35)&amp;""="0","",INDEX(원자료_시장!$A$1:$BZ$1000,설정!$L$6+ROW()-1,설정!$L$35)),"")</f>
        <v>0</v>
      </c>
      <c r="N371" s="83" t="n">
        <f aca="false">IFERROR(IF(INDEX(원자료_시장!$A$1:$BZ$1000,설정!$L$6+ROW()-1,설정!$L$36)&amp;""="0","",INDEX(원자료_시장!$A$1:$BZ$1000,설정!$L$6+ROW()-1,설정!$L$36)),"")</f>
        <v>0</v>
      </c>
      <c r="O371" s="43" t="str">
        <f aca="false">IF($A371="","",UPPER(LEFT($A371,FIND(" ",$A371&amp;" ")-1)))</f>
        <v/>
      </c>
      <c r="P371" s="43" t="str">
        <f aca="false">IF($A371="","",TRIM(RIGHT(SUBSTITUTE(TRIM($A371)," ",REPT(" ",30)),30)))</f>
        <v/>
      </c>
      <c r="Q371" s="98" t="str">
        <f aca="false">IF($A371="","",IFERROR(DATE(IF(LEN(P371)=8,2000+VALUE(RIGHT(P371,2)),VALUE(RIGHT(P371,4))),VALUE(LEFT(P371,2)),VALUE(MID(P371,4,2))),""))</f>
        <v/>
      </c>
      <c r="R371" s="89" t="n">
        <f aca="false">IF($A371="",0,IF(ISNUMBER(SEARCH("Float",$A371)),1,0))</f>
        <v>0</v>
      </c>
      <c r="S371" s="43" t="str">
        <f aca="false">IF($A371="","",TRIM(MID($A371,LEN(O371)+2,LEN($A371)-LEN(O371)-LEN(P371)-1)))</f>
        <v/>
      </c>
      <c r="T371" s="92" t="str">
        <f aca="false">IF(OR($A371="",R371=1),"",IFERROR(IF(ISNUMBER(FIND("/",S371)),IF(ISNUMBER(FIND(" ",S371)),VALUE(LEFT(S371,FIND(" ",S371)-1))+VALUE(MID(S371,FIND(" ",S371)+1,FIND("/",S371)-FIND(" ",S371)-1))/VALUE(MID(S371,FIND("/",S371)+1,9)),VALUE(LEFT(S371,FIND("/",S371)-1))/VALUE(MID(S371,FIND("/",S371)+1,9))),VALUE(S371)),""))</f>
        <v/>
      </c>
      <c r="U371" s="43" t="str">
        <f aca="false">IF(OR($A371="",NOT(ISNUMBER(Q371))),"",TEXT(Q371,"yyyymmdd")&amp;"|"&amp;IF(R371=1,"F",TEXT(T371,"0.000")))</f>
        <v/>
      </c>
      <c r="V371" s="43" t="str">
        <f aca="false">IF(U371="","",O371&amp;"|"&amp;U371)</f>
        <v/>
      </c>
      <c r="W371" s="43" t="str">
        <f aca="false">IF($A371="","",IFERROR(IF(VLOOKUP(O371,매핑!$A$4:$E$92,3,0)="","미분류",VLOOKUP(O371,매핑!$A$4:$E$92,3,0)),"미분류"))</f>
        <v/>
      </c>
      <c r="X371" s="89" t="n">
        <f aca="false">IF($A371="",0,IF(O371="T",1,0))</f>
        <v>0</v>
      </c>
      <c r="Y371" s="89" t="n">
        <f aca="false">IF($A371="",0,IF(AND(C371="USD",X371=0,ISNUMBER(E371),ISNUMBER(K371)),IF(K371&gt;=설정!$C$8,1,0),0))</f>
        <v>0</v>
      </c>
      <c r="Z371" s="43" t="str">
        <f aca="false">IF($A371="","",N371&amp;"|"&amp;L371)</f>
        <v/>
      </c>
      <c r="AA371" s="92" t="n">
        <f aca="false">IF(Y371=1,LN(K371),0)</f>
        <v>0</v>
      </c>
      <c r="AB371" s="93" t="n">
        <f aca="false">IF(Y371=1,E371,0)</f>
        <v>0</v>
      </c>
      <c r="AC371" s="89" t="n">
        <f aca="false">IF(Y371=1,COUNTIFS($Z$2:$Z$601,Z371,$Y$2:$Y$601,1),0)</f>
        <v>0</v>
      </c>
      <c r="AD371" s="89" t="n">
        <f aca="false">IF(Y371=1,COUNTIFS($N$2:$N$601,N371,$Y$2:$Y$601,1),0)</f>
        <v>0</v>
      </c>
      <c r="AE371" s="43" t="str">
        <f aca="false">IF(Y371&lt;&gt;1,"",IF(AND(AC371&gt;=설정!$C$7,ISNUMBER(MATCH(Z371,피어커브!$A:$A,0))),Z371,IF(AND(AD371&gt;=설정!$C$7,ISNUMBER(MATCH(N371&amp;"|전체",피어커브!$A:$A,0))),N371&amp;"|전체","전체|전체")))</f>
        <v/>
      </c>
      <c r="AF371" s="93" t="str">
        <f aca="false">IF(AE371="","",INDEX(피어커브!$K:$K,MATCH(AE371,피어커브!$A:$A,0)))</f>
        <v/>
      </c>
      <c r="AG371" s="93" t="str">
        <f aca="false">IF(AE371="","",INDEX(피어커브!$J:$J,MATCH(AE371,피어커브!$A:$A,0)))</f>
        <v/>
      </c>
      <c r="AH371" s="93" t="str">
        <f aca="false">IF(AE371="","",INDEX(피어커브!$L:$L,MATCH(AE371,피어커브!$A:$A,0)))</f>
        <v/>
      </c>
      <c r="AI371" s="93" t="str">
        <f aca="false">IF(AE371="","",AF371+AG371*AA371)</f>
        <v/>
      </c>
      <c r="AJ371" s="96" t="str">
        <f aca="false">IF(AE371="","",E371-AI371)</f>
        <v/>
      </c>
      <c r="AK371" s="95" t="str">
        <f aca="false">IF(AE371="","",IF(ISNUMBER(AH371),IF(AH371&gt;0,AJ371/AH371,""),""))</f>
        <v/>
      </c>
      <c r="AL371" s="43" t="str">
        <f aca="false">IF(AK371="","-",IF(AK371&gt;=설정!$C$6,"Cheap",IF(AK371&lt;=-설정!$C$6,"Rich","Fair")))</f>
        <v>-</v>
      </c>
      <c r="AM371" s="96" t="str">
        <f aca="false">IF(AE371="","",AJ371-AVERAGEIFS($AJ$2:$AJ$601,$B$2:$B$601,B371,$Y$2:$Y$601,1))</f>
        <v/>
      </c>
      <c r="AN371" s="93" t="n">
        <f aca="false">IF(AE371="",0,IF(K371&gt;1+설정!$C$8,AG371*(AA371-LN(K371-1)),0))</f>
        <v>0</v>
      </c>
      <c r="AO371" s="99" t="n">
        <f aca="false">IF($A371="",0,SUMIFS(보유분석!$AA$2:$AA$801,보유분석!$AB$2:$AB$801,ROW(),보유분석!$AC$2:$AC$801,1))</f>
        <v>0</v>
      </c>
      <c r="AP371" s="43" t="str">
        <f aca="false">IF($A371="","",TRIM(IF(R371=1,"FRN ","")&amp;IF(IFERROR(VLOOKUP(M371,설정!$A$15:$D$47,4,0),0)&gt;=10,IF(IFERROR(VLOOKUP(M371,설정!$A$15:$D$47,4,0),0)&lt;99,"BBB0미만 ",""),"")&amp;IF(OR(M371="",M371="NR"),"등급미입력 ","")&amp;IF(C371&lt;&gt;"USD","비USD ","")))</f>
        <v/>
      </c>
      <c r="AQ371" s="90" t="n">
        <f aca="false">IF(AND(Y371=1,AL371="Cheap"),IF(AND(ISERROR(SEARCH("FRN",AP371)),ISERROR(SEARCH("BBB0미만",AP371))),AK371+ROW()/1000000000,-999),-999)</f>
        <v>-999</v>
      </c>
      <c r="AR371" s="92" t="str">
        <f aca="false">IF(AND(ISNUMBER(D371),ISNUMBER(K371)),D371+AN371*MAX(K371-1,0)/100,"")</f>
        <v/>
      </c>
      <c r="AS371" s="93" t="str">
        <f aca="false">IF(AND(ISNUMBER(E371),ISNUMBER(K371)),IF(K371&gt;0,(E371+AN371*MAX(K371-1,0))/K371,""),"")</f>
        <v/>
      </c>
      <c r="AT371" s="90" t="n">
        <f aca="false">IFERROR(IF(AND(Y371=1,ROW()&lt;&gt;스왑분석!$C$12+1,ABS(K371-INDEX($K$2:$K$601,스왑분석!$C$12))&lt;=스왑분석!$C$5,ISERROR(SEARCH("FRN",AP371)),ISERROR(SEARCH("BBB0미만",AP371))),IF(AND(OR(스왑분석!$C$6="N",L371=INDEX($L$2:$L$601,스왑분석!$C$12)),OR(스왑분석!$C$7="N",N371=INDEX($N$2:$N$601,스왑분석!$C$12)),OR(스왑분석!$C$8="N",AO371=0),E371-INDEX($E$2:$E$601,스왑분석!$C$12)&gt;=스왑분석!$C$9),E371-INDEX($E$2:$E$601,스왑분석!$C$12)+ROW()/1000000000,-999),-999),-999)</f>
        <v>-999</v>
      </c>
      <c r="AU371" s="90" t="n">
        <f aca="false">IF(AND(Y371=1,AO371&gt;0,AL371="Rich"),-AK371+ROW()/1000000000,-999)</f>
        <v>-999</v>
      </c>
    </row>
    <row r="372" customFormat="false" ht="15" hidden="false" customHeight="false" outlineLevel="0" collapsed="false">
      <c r="A372" s="83" t="n">
        <f aca="false">IFERROR(IF(INDEX(원자료_시장!$A$1:$BZ$1000,설정!$L$6+ROW()-1,설정!$L$24)&amp;""="0","",INDEX(원자료_시장!$A$1:$BZ$1000,설정!$L$6+ROW()-1,설정!$L$24)),"")</f>
        <v>0</v>
      </c>
      <c r="B372" s="83" t="n">
        <f aca="false">IFERROR(IF(INDEX(원자료_시장!$A$1:$BZ$1000,설정!$L$6+ROW()-1,설정!$L$37)&amp;""="0","",INDEX(원자료_시장!$A$1:$BZ$1000,설정!$L$6+ROW()-1,설정!$L$37)),"")</f>
        <v>0</v>
      </c>
      <c r="C372" s="83" t="n">
        <f aca="false">IFERROR(IF(INDEX(원자료_시장!$A$1:$BZ$1000,설정!$L$6+ROW()-1,설정!$L$25)&amp;""="0","",INDEX(원자료_시장!$A$1:$BZ$1000,설정!$L$6+ROW()-1,설정!$L$25)),"")</f>
        <v>0</v>
      </c>
      <c r="D372" s="85" t="str">
        <f aca="false">IFERROR(IF(ISNUMBER(INDEX(원자료_시장!$A$1:$BZ$1000,설정!$L$6+ROW()-1,설정!$L$26)),INDEX(원자료_시장!$A$1:$BZ$1000,설정!$L$6+ROW()-1,설정!$L$26),""),"")</f>
        <v/>
      </c>
      <c r="E372" s="97" t="str">
        <f aca="false">IFERROR(IF(ISNUMBER(INDEX(원자료_시장!$A$1:$BZ$1000,설정!$L$6+ROW()-1,설정!$L$27)),INDEX(원자료_시장!$A$1:$BZ$1000,설정!$L$6+ROW()-1,설정!$L$27),""),"")</f>
        <v/>
      </c>
      <c r="F372" s="97" t="str">
        <f aca="false">IFERROR(IF(ISNUMBER(INDEX(원자료_시장!$A$1:$BZ$1000,설정!$L$6+ROW()-1,설정!$L$28)),INDEX(원자료_시장!$A$1:$BZ$1000,설정!$L$6+ROW()-1,설정!$L$28),""),"")</f>
        <v/>
      </c>
      <c r="G372" s="97" t="str">
        <f aca="false">IFERROR(IF(ISNUMBER(INDEX(원자료_시장!$A$1:$BZ$1000,설정!$L$6+ROW()-1,설정!$L$29)),INDEX(원자료_시장!$A$1:$BZ$1000,설정!$L$6+ROW()-1,설정!$L$29),""),"")</f>
        <v/>
      </c>
      <c r="H372" s="97" t="str">
        <f aca="false">IFERROR(IF(ISNUMBER(INDEX(원자료_시장!$A$1:$BZ$1000,설정!$L$6+ROW()-1,설정!$L$30)),INDEX(원자료_시장!$A$1:$BZ$1000,설정!$L$6+ROW()-1,설정!$L$30),""),"")</f>
        <v/>
      </c>
      <c r="I372" s="97" t="str">
        <f aca="false">IFERROR(IF(ISNUMBER(INDEX(원자료_시장!$A$1:$BZ$1000,설정!$L$6+ROW()-1,설정!$L$31)),INDEX(원자료_시장!$A$1:$BZ$1000,설정!$L$6+ROW()-1,설정!$L$31),""),"")</f>
        <v/>
      </c>
      <c r="J372" s="97" t="str">
        <f aca="false">IFERROR(IF(ISNUMBER(INDEX(원자료_시장!$A$1:$BZ$1000,설정!$L$6+ROW()-1,설정!$L$32)),INDEX(원자료_시장!$A$1:$BZ$1000,설정!$L$6+ROW()-1,설정!$L$32),""),"")</f>
        <v/>
      </c>
      <c r="K372" s="85" t="str">
        <f aca="false">IFERROR(IF(ISNUMBER(INDEX(원자료_시장!$A$1:$BZ$1000,설정!$L$6+ROW()-1,설정!$L$33)),INDEX(원자료_시장!$A$1:$BZ$1000,설정!$L$6+ROW()-1,설정!$L$33),""),"")</f>
        <v/>
      </c>
      <c r="L372" s="83" t="n">
        <f aca="false">IFERROR(IF(INDEX(원자료_시장!$A$1:$BZ$1000,설정!$L$6+ROW()-1,설정!$L$34)&amp;""="0","",INDEX(원자료_시장!$A$1:$BZ$1000,설정!$L$6+ROW()-1,설정!$L$34)),"")</f>
        <v>0</v>
      </c>
      <c r="M372" s="83" t="n">
        <f aca="false">IFERROR(IF(INDEX(원자료_시장!$A$1:$BZ$1000,설정!$L$6+ROW()-1,설정!$L$35)&amp;""="0","",INDEX(원자료_시장!$A$1:$BZ$1000,설정!$L$6+ROW()-1,설정!$L$35)),"")</f>
        <v>0</v>
      </c>
      <c r="N372" s="83" t="n">
        <f aca="false">IFERROR(IF(INDEX(원자료_시장!$A$1:$BZ$1000,설정!$L$6+ROW()-1,설정!$L$36)&amp;""="0","",INDEX(원자료_시장!$A$1:$BZ$1000,설정!$L$6+ROW()-1,설정!$L$36)),"")</f>
        <v>0</v>
      </c>
      <c r="O372" s="43" t="str">
        <f aca="false">IF($A372="","",UPPER(LEFT($A372,FIND(" ",$A372&amp;" ")-1)))</f>
        <v/>
      </c>
      <c r="P372" s="43" t="str">
        <f aca="false">IF($A372="","",TRIM(RIGHT(SUBSTITUTE(TRIM($A372)," ",REPT(" ",30)),30)))</f>
        <v/>
      </c>
      <c r="Q372" s="98" t="str">
        <f aca="false">IF($A372="","",IFERROR(DATE(IF(LEN(P372)=8,2000+VALUE(RIGHT(P372,2)),VALUE(RIGHT(P372,4))),VALUE(LEFT(P372,2)),VALUE(MID(P372,4,2))),""))</f>
        <v/>
      </c>
      <c r="R372" s="89" t="n">
        <f aca="false">IF($A372="",0,IF(ISNUMBER(SEARCH("Float",$A372)),1,0))</f>
        <v>0</v>
      </c>
      <c r="S372" s="43" t="str">
        <f aca="false">IF($A372="","",TRIM(MID($A372,LEN(O372)+2,LEN($A372)-LEN(O372)-LEN(P372)-1)))</f>
        <v/>
      </c>
      <c r="T372" s="92" t="str">
        <f aca="false">IF(OR($A372="",R372=1),"",IFERROR(IF(ISNUMBER(FIND("/",S372)),IF(ISNUMBER(FIND(" ",S372)),VALUE(LEFT(S372,FIND(" ",S372)-1))+VALUE(MID(S372,FIND(" ",S372)+1,FIND("/",S372)-FIND(" ",S372)-1))/VALUE(MID(S372,FIND("/",S372)+1,9)),VALUE(LEFT(S372,FIND("/",S372)-1))/VALUE(MID(S372,FIND("/",S372)+1,9))),VALUE(S372)),""))</f>
        <v/>
      </c>
      <c r="U372" s="43" t="str">
        <f aca="false">IF(OR($A372="",NOT(ISNUMBER(Q372))),"",TEXT(Q372,"yyyymmdd")&amp;"|"&amp;IF(R372=1,"F",TEXT(T372,"0.000")))</f>
        <v/>
      </c>
      <c r="V372" s="43" t="str">
        <f aca="false">IF(U372="","",O372&amp;"|"&amp;U372)</f>
        <v/>
      </c>
      <c r="W372" s="43" t="str">
        <f aca="false">IF($A372="","",IFERROR(IF(VLOOKUP(O372,매핑!$A$4:$E$92,3,0)="","미분류",VLOOKUP(O372,매핑!$A$4:$E$92,3,0)),"미분류"))</f>
        <v/>
      </c>
      <c r="X372" s="89" t="n">
        <f aca="false">IF($A372="",0,IF(O372="T",1,0))</f>
        <v>0</v>
      </c>
      <c r="Y372" s="89" t="n">
        <f aca="false">IF($A372="",0,IF(AND(C372="USD",X372=0,ISNUMBER(E372),ISNUMBER(K372)),IF(K372&gt;=설정!$C$8,1,0),0))</f>
        <v>0</v>
      </c>
      <c r="Z372" s="43" t="str">
        <f aca="false">IF($A372="","",N372&amp;"|"&amp;L372)</f>
        <v/>
      </c>
      <c r="AA372" s="92" t="n">
        <f aca="false">IF(Y372=1,LN(K372),0)</f>
        <v>0</v>
      </c>
      <c r="AB372" s="93" t="n">
        <f aca="false">IF(Y372=1,E372,0)</f>
        <v>0</v>
      </c>
      <c r="AC372" s="89" t="n">
        <f aca="false">IF(Y372=1,COUNTIFS($Z$2:$Z$601,Z372,$Y$2:$Y$601,1),0)</f>
        <v>0</v>
      </c>
      <c r="AD372" s="89" t="n">
        <f aca="false">IF(Y372=1,COUNTIFS($N$2:$N$601,N372,$Y$2:$Y$601,1),0)</f>
        <v>0</v>
      </c>
      <c r="AE372" s="43" t="str">
        <f aca="false">IF(Y372&lt;&gt;1,"",IF(AND(AC372&gt;=설정!$C$7,ISNUMBER(MATCH(Z372,피어커브!$A:$A,0))),Z372,IF(AND(AD372&gt;=설정!$C$7,ISNUMBER(MATCH(N372&amp;"|전체",피어커브!$A:$A,0))),N372&amp;"|전체","전체|전체")))</f>
        <v/>
      </c>
      <c r="AF372" s="93" t="str">
        <f aca="false">IF(AE372="","",INDEX(피어커브!$K:$K,MATCH(AE372,피어커브!$A:$A,0)))</f>
        <v/>
      </c>
      <c r="AG372" s="93" t="str">
        <f aca="false">IF(AE372="","",INDEX(피어커브!$J:$J,MATCH(AE372,피어커브!$A:$A,0)))</f>
        <v/>
      </c>
      <c r="AH372" s="93" t="str">
        <f aca="false">IF(AE372="","",INDEX(피어커브!$L:$L,MATCH(AE372,피어커브!$A:$A,0)))</f>
        <v/>
      </c>
      <c r="AI372" s="93" t="str">
        <f aca="false">IF(AE372="","",AF372+AG372*AA372)</f>
        <v/>
      </c>
      <c r="AJ372" s="96" t="str">
        <f aca="false">IF(AE372="","",E372-AI372)</f>
        <v/>
      </c>
      <c r="AK372" s="95" t="str">
        <f aca="false">IF(AE372="","",IF(ISNUMBER(AH372),IF(AH372&gt;0,AJ372/AH372,""),""))</f>
        <v/>
      </c>
      <c r="AL372" s="43" t="str">
        <f aca="false">IF(AK372="","-",IF(AK372&gt;=설정!$C$6,"Cheap",IF(AK372&lt;=-설정!$C$6,"Rich","Fair")))</f>
        <v>-</v>
      </c>
      <c r="AM372" s="96" t="str">
        <f aca="false">IF(AE372="","",AJ372-AVERAGEIFS($AJ$2:$AJ$601,$B$2:$B$601,B372,$Y$2:$Y$601,1))</f>
        <v/>
      </c>
      <c r="AN372" s="93" t="n">
        <f aca="false">IF(AE372="",0,IF(K372&gt;1+설정!$C$8,AG372*(AA372-LN(K372-1)),0))</f>
        <v>0</v>
      </c>
      <c r="AO372" s="99" t="n">
        <f aca="false">IF($A372="",0,SUMIFS(보유분석!$AA$2:$AA$801,보유분석!$AB$2:$AB$801,ROW(),보유분석!$AC$2:$AC$801,1))</f>
        <v>0</v>
      </c>
      <c r="AP372" s="43" t="str">
        <f aca="false">IF($A372="","",TRIM(IF(R372=1,"FRN ","")&amp;IF(IFERROR(VLOOKUP(M372,설정!$A$15:$D$47,4,0),0)&gt;=10,IF(IFERROR(VLOOKUP(M372,설정!$A$15:$D$47,4,0),0)&lt;99,"BBB0미만 ",""),"")&amp;IF(OR(M372="",M372="NR"),"등급미입력 ","")&amp;IF(C372&lt;&gt;"USD","비USD ","")))</f>
        <v/>
      </c>
      <c r="AQ372" s="90" t="n">
        <f aca="false">IF(AND(Y372=1,AL372="Cheap"),IF(AND(ISERROR(SEARCH("FRN",AP372)),ISERROR(SEARCH("BBB0미만",AP372))),AK372+ROW()/1000000000,-999),-999)</f>
        <v>-999</v>
      </c>
      <c r="AR372" s="92" t="str">
        <f aca="false">IF(AND(ISNUMBER(D372),ISNUMBER(K372)),D372+AN372*MAX(K372-1,0)/100,"")</f>
        <v/>
      </c>
      <c r="AS372" s="93" t="str">
        <f aca="false">IF(AND(ISNUMBER(E372),ISNUMBER(K372)),IF(K372&gt;0,(E372+AN372*MAX(K372-1,0))/K372,""),"")</f>
        <v/>
      </c>
      <c r="AT372" s="90" t="n">
        <f aca="false">IFERROR(IF(AND(Y372=1,ROW()&lt;&gt;스왑분석!$C$12+1,ABS(K372-INDEX($K$2:$K$601,스왑분석!$C$12))&lt;=스왑분석!$C$5,ISERROR(SEARCH("FRN",AP372)),ISERROR(SEARCH("BBB0미만",AP372))),IF(AND(OR(스왑분석!$C$6="N",L372=INDEX($L$2:$L$601,스왑분석!$C$12)),OR(스왑분석!$C$7="N",N372=INDEX($N$2:$N$601,스왑분석!$C$12)),OR(스왑분석!$C$8="N",AO372=0),E372-INDEX($E$2:$E$601,스왑분석!$C$12)&gt;=스왑분석!$C$9),E372-INDEX($E$2:$E$601,스왑분석!$C$12)+ROW()/1000000000,-999),-999),-999)</f>
        <v>-999</v>
      </c>
      <c r="AU372" s="90" t="n">
        <f aca="false">IF(AND(Y372=1,AO372&gt;0,AL372="Rich"),-AK372+ROW()/1000000000,-999)</f>
        <v>-999</v>
      </c>
    </row>
    <row r="373" customFormat="false" ht="15" hidden="false" customHeight="false" outlineLevel="0" collapsed="false">
      <c r="A373" s="83" t="n">
        <f aca="false">IFERROR(IF(INDEX(원자료_시장!$A$1:$BZ$1000,설정!$L$6+ROW()-1,설정!$L$24)&amp;""="0","",INDEX(원자료_시장!$A$1:$BZ$1000,설정!$L$6+ROW()-1,설정!$L$24)),"")</f>
        <v>0</v>
      </c>
      <c r="B373" s="83" t="n">
        <f aca="false">IFERROR(IF(INDEX(원자료_시장!$A$1:$BZ$1000,설정!$L$6+ROW()-1,설정!$L$37)&amp;""="0","",INDEX(원자료_시장!$A$1:$BZ$1000,설정!$L$6+ROW()-1,설정!$L$37)),"")</f>
        <v>0</v>
      </c>
      <c r="C373" s="83" t="n">
        <f aca="false">IFERROR(IF(INDEX(원자료_시장!$A$1:$BZ$1000,설정!$L$6+ROW()-1,설정!$L$25)&amp;""="0","",INDEX(원자료_시장!$A$1:$BZ$1000,설정!$L$6+ROW()-1,설정!$L$25)),"")</f>
        <v>0</v>
      </c>
      <c r="D373" s="85" t="str">
        <f aca="false">IFERROR(IF(ISNUMBER(INDEX(원자료_시장!$A$1:$BZ$1000,설정!$L$6+ROW()-1,설정!$L$26)),INDEX(원자료_시장!$A$1:$BZ$1000,설정!$L$6+ROW()-1,설정!$L$26),""),"")</f>
        <v/>
      </c>
      <c r="E373" s="97" t="str">
        <f aca="false">IFERROR(IF(ISNUMBER(INDEX(원자료_시장!$A$1:$BZ$1000,설정!$L$6+ROW()-1,설정!$L$27)),INDEX(원자료_시장!$A$1:$BZ$1000,설정!$L$6+ROW()-1,설정!$L$27),""),"")</f>
        <v/>
      </c>
      <c r="F373" s="97" t="str">
        <f aca="false">IFERROR(IF(ISNUMBER(INDEX(원자료_시장!$A$1:$BZ$1000,설정!$L$6+ROW()-1,설정!$L$28)),INDEX(원자료_시장!$A$1:$BZ$1000,설정!$L$6+ROW()-1,설정!$L$28),""),"")</f>
        <v/>
      </c>
      <c r="G373" s="97" t="str">
        <f aca="false">IFERROR(IF(ISNUMBER(INDEX(원자료_시장!$A$1:$BZ$1000,설정!$L$6+ROW()-1,설정!$L$29)),INDEX(원자료_시장!$A$1:$BZ$1000,설정!$L$6+ROW()-1,설정!$L$29),""),"")</f>
        <v/>
      </c>
      <c r="H373" s="97" t="str">
        <f aca="false">IFERROR(IF(ISNUMBER(INDEX(원자료_시장!$A$1:$BZ$1000,설정!$L$6+ROW()-1,설정!$L$30)),INDEX(원자료_시장!$A$1:$BZ$1000,설정!$L$6+ROW()-1,설정!$L$30),""),"")</f>
        <v/>
      </c>
      <c r="I373" s="97" t="str">
        <f aca="false">IFERROR(IF(ISNUMBER(INDEX(원자료_시장!$A$1:$BZ$1000,설정!$L$6+ROW()-1,설정!$L$31)),INDEX(원자료_시장!$A$1:$BZ$1000,설정!$L$6+ROW()-1,설정!$L$31),""),"")</f>
        <v/>
      </c>
      <c r="J373" s="97" t="str">
        <f aca="false">IFERROR(IF(ISNUMBER(INDEX(원자료_시장!$A$1:$BZ$1000,설정!$L$6+ROW()-1,설정!$L$32)),INDEX(원자료_시장!$A$1:$BZ$1000,설정!$L$6+ROW()-1,설정!$L$32),""),"")</f>
        <v/>
      </c>
      <c r="K373" s="85" t="str">
        <f aca="false">IFERROR(IF(ISNUMBER(INDEX(원자료_시장!$A$1:$BZ$1000,설정!$L$6+ROW()-1,설정!$L$33)),INDEX(원자료_시장!$A$1:$BZ$1000,설정!$L$6+ROW()-1,설정!$L$33),""),"")</f>
        <v/>
      </c>
      <c r="L373" s="83" t="n">
        <f aca="false">IFERROR(IF(INDEX(원자료_시장!$A$1:$BZ$1000,설정!$L$6+ROW()-1,설정!$L$34)&amp;""="0","",INDEX(원자료_시장!$A$1:$BZ$1000,설정!$L$6+ROW()-1,설정!$L$34)),"")</f>
        <v>0</v>
      </c>
      <c r="M373" s="83" t="n">
        <f aca="false">IFERROR(IF(INDEX(원자료_시장!$A$1:$BZ$1000,설정!$L$6+ROW()-1,설정!$L$35)&amp;""="0","",INDEX(원자료_시장!$A$1:$BZ$1000,설정!$L$6+ROW()-1,설정!$L$35)),"")</f>
        <v>0</v>
      </c>
      <c r="N373" s="83" t="n">
        <f aca="false">IFERROR(IF(INDEX(원자료_시장!$A$1:$BZ$1000,설정!$L$6+ROW()-1,설정!$L$36)&amp;""="0","",INDEX(원자료_시장!$A$1:$BZ$1000,설정!$L$6+ROW()-1,설정!$L$36)),"")</f>
        <v>0</v>
      </c>
      <c r="O373" s="43" t="str">
        <f aca="false">IF($A373="","",UPPER(LEFT($A373,FIND(" ",$A373&amp;" ")-1)))</f>
        <v/>
      </c>
      <c r="P373" s="43" t="str">
        <f aca="false">IF($A373="","",TRIM(RIGHT(SUBSTITUTE(TRIM($A373)," ",REPT(" ",30)),30)))</f>
        <v/>
      </c>
      <c r="Q373" s="98" t="str">
        <f aca="false">IF($A373="","",IFERROR(DATE(IF(LEN(P373)=8,2000+VALUE(RIGHT(P373,2)),VALUE(RIGHT(P373,4))),VALUE(LEFT(P373,2)),VALUE(MID(P373,4,2))),""))</f>
        <v/>
      </c>
      <c r="R373" s="89" t="n">
        <f aca="false">IF($A373="",0,IF(ISNUMBER(SEARCH("Float",$A373)),1,0))</f>
        <v>0</v>
      </c>
      <c r="S373" s="43" t="str">
        <f aca="false">IF($A373="","",TRIM(MID($A373,LEN(O373)+2,LEN($A373)-LEN(O373)-LEN(P373)-1)))</f>
        <v/>
      </c>
      <c r="T373" s="92" t="str">
        <f aca="false">IF(OR($A373="",R373=1),"",IFERROR(IF(ISNUMBER(FIND("/",S373)),IF(ISNUMBER(FIND(" ",S373)),VALUE(LEFT(S373,FIND(" ",S373)-1))+VALUE(MID(S373,FIND(" ",S373)+1,FIND("/",S373)-FIND(" ",S373)-1))/VALUE(MID(S373,FIND("/",S373)+1,9)),VALUE(LEFT(S373,FIND("/",S373)-1))/VALUE(MID(S373,FIND("/",S373)+1,9))),VALUE(S373)),""))</f>
        <v/>
      </c>
      <c r="U373" s="43" t="str">
        <f aca="false">IF(OR($A373="",NOT(ISNUMBER(Q373))),"",TEXT(Q373,"yyyymmdd")&amp;"|"&amp;IF(R373=1,"F",TEXT(T373,"0.000")))</f>
        <v/>
      </c>
      <c r="V373" s="43" t="str">
        <f aca="false">IF(U373="","",O373&amp;"|"&amp;U373)</f>
        <v/>
      </c>
      <c r="W373" s="43" t="str">
        <f aca="false">IF($A373="","",IFERROR(IF(VLOOKUP(O373,매핑!$A$4:$E$92,3,0)="","미분류",VLOOKUP(O373,매핑!$A$4:$E$92,3,0)),"미분류"))</f>
        <v/>
      </c>
      <c r="X373" s="89" t="n">
        <f aca="false">IF($A373="",0,IF(O373="T",1,0))</f>
        <v>0</v>
      </c>
      <c r="Y373" s="89" t="n">
        <f aca="false">IF($A373="",0,IF(AND(C373="USD",X373=0,ISNUMBER(E373),ISNUMBER(K373)),IF(K373&gt;=설정!$C$8,1,0),0))</f>
        <v>0</v>
      </c>
      <c r="Z373" s="43" t="str">
        <f aca="false">IF($A373="","",N373&amp;"|"&amp;L373)</f>
        <v/>
      </c>
      <c r="AA373" s="92" t="n">
        <f aca="false">IF(Y373=1,LN(K373),0)</f>
        <v>0</v>
      </c>
      <c r="AB373" s="93" t="n">
        <f aca="false">IF(Y373=1,E373,0)</f>
        <v>0</v>
      </c>
      <c r="AC373" s="89" t="n">
        <f aca="false">IF(Y373=1,COUNTIFS($Z$2:$Z$601,Z373,$Y$2:$Y$601,1),0)</f>
        <v>0</v>
      </c>
      <c r="AD373" s="89" t="n">
        <f aca="false">IF(Y373=1,COUNTIFS($N$2:$N$601,N373,$Y$2:$Y$601,1),0)</f>
        <v>0</v>
      </c>
      <c r="AE373" s="43" t="str">
        <f aca="false">IF(Y373&lt;&gt;1,"",IF(AND(AC373&gt;=설정!$C$7,ISNUMBER(MATCH(Z373,피어커브!$A:$A,0))),Z373,IF(AND(AD373&gt;=설정!$C$7,ISNUMBER(MATCH(N373&amp;"|전체",피어커브!$A:$A,0))),N373&amp;"|전체","전체|전체")))</f>
        <v/>
      </c>
      <c r="AF373" s="93" t="str">
        <f aca="false">IF(AE373="","",INDEX(피어커브!$K:$K,MATCH(AE373,피어커브!$A:$A,0)))</f>
        <v/>
      </c>
      <c r="AG373" s="93" t="str">
        <f aca="false">IF(AE373="","",INDEX(피어커브!$J:$J,MATCH(AE373,피어커브!$A:$A,0)))</f>
        <v/>
      </c>
      <c r="AH373" s="93" t="str">
        <f aca="false">IF(AE373="","",INDEX(피어커브!$L:$L,MATCH(AE373,피어커브!$A:$A,0)))</f>
        <v/>
      </c>
      <c r="AI373" s="93" t="str">
        <f aca="false">IF(AE373="","",AF373+AG373*AA373)</f>
        <v/>
      </c>
      <c r="AJ373" s="96" t="str">
        <f aca="false">IF(AE373="","",E373-AI373)</f>
        <v/>
      </c>
      <c r="AK373" s="95" t="str">
        <f aca="false">IF(AE373="","",IF(ISNUMBER(AH373),IF(AH373&gt;0,AJ373/AH373,""),""))</f>
        <v/>
      </c>
      <c r="AL373" s="43" t="str">
        <f aca="false">IF(AK373="","-",IF(AK373&gt;=설정!$C$6,"Cheap",IF(AK373&lt;=-설정!$C$6,"Rich","Fair")))</f>
        <v>-</v>
      </c>
      <c r="AM373" s="96" t="str">
        <f aca="false">IF(AE373="","",AJ373-AVERAGEIFS($AJ$2:$AJ$601,$B$2:$B$601,B373,$Y$2:$Y$601,1))</f>
        <v/>
      </c>
      <c r="AN373" s="93" t="n">
        <f aca="false">IF(AE373="",0,IF(K373&gt;1+설정!$C$8,AG373*(AA373-LN(K373-1)),0))</f>
        <v>0</v>
      </c>
      <c r="AO373" s="99" t="n">
        <f aca="false">IF($A373="",0,SUMIFS(보유분석!$AA$2:$AA$801,보유분석!$AB$2:$AB$801,ROW(),보유분석!$AC$2:$AC$801,1))</f>
        <v>0</v>
      </c>
      <c r="AP373" s="43" t="str">
        <f aca="false">IF($A373="","",TRIM(IF(R373=1,"FRN ","")&amp;IF(IFERROR(VLOOKUP(M373,설정!$A$15:$D$47,4,0),0)&gt;=10,IF(IFERROR(VLOOKUP(M373,설정!$A$15:$D$47,4,0),0)&lt;99,"BBB0미만 ",""),"")&amp;IF(OR(M373="",M373="NR"),"등급미입력 ","")&amp;IF(C373&lt;&gt;"USD","비USD ","")))</f>
        <v/>
      </c>
      <c r="AQ373" s="90" t="n">
        <f aca="false">IF(AND(Y373=1,AL373="Cheap"),IF(AND(ISERROR(SEARCH("FRN",AP373)),ISERROR(SEARCH("BBB0미만",AP373))),AK373+ROW()/1000000000,-999),-999)</f>
        <v>-999</v>
      </c>
      <c r="AR373" s="92" t="str">
        <f aca="false">IF(AND(ISNUMBER(D373),ISNUMBER(K373)),D373+AN373*MAX(K373-1,0)/100,"")</f>
        <v/>
      </c>
      <c r="AS373" s="93" t="str">
        <f aca="false">IF(AND(ISNUMBER(E373),ISNUMBER(K373)),IF(K373&gt;0,(E373+AN373*MAX(K373-1,0))/K373,""),"")</f>
        <v/>
      </c>
      <c r="AT373" s="90" t="n">
        <f aca="false">IFERROR(IF(AND(Y373=1,ROW()&lt;&gt;스왑분석!$C$12+1,ABS(K373-INDEX($K$2:$K$601,스왑분석!$C$12))&lt;=스왑분석!$C$5,ISERROR(SEARCH("FRN",AP373)),ISERROR(SEARCH("BBB0미만",AP373))),IF(AND(OR(스왑분석!$C$6="N",L373=INDEX($L$2:$L$601,스왑분석!$C$12)),OR(스왑분석!$C$7="N",N373=INDEX($N$2:$N$601,스왑분석!$C$12)),OR(스왑분석!$C$8="N",AO373=0),E373-INDEX($E$2:$E$601,스왑분석!$C$12)&gt;=스왑분석!$C$9),E373-INDEX($E$2:$E$601,스왑분석!$C$12)+ROW()/1000000000,-999),-999),-999)</f>
        <v>-999</v>
      </c>
      <c r="AU373" s="90" t="n">
        <f aca="false">IF(AND(Y373=1,AO373&gt;0,AL373="Rich"),-AK373+ROW()/1000000000,-999)</f>
        <v>-999</v>
      </c>
    </row>
    <row r="374" customFormat="false" ht="15" hidden="false" customHeight="false" outlineLevel="0" collapsed="false">
      <c r="A374" s="83" t="n">
        <f aca="false">IFERROR(IF(INDEX(원자료_시장!$A$1:$BZ$1000,설정!$L$6+ROW()-1,설정!$L$24)&amp;""="0","",INDEX(원자료_시장!$A$1:$BZ$1000,설정!$L$6+ROW()-1,설정!$L$24)),"")</f>
        <v>0</v>
      </c>
      <c r="B374" s="83" t="n">
        <f aca="false">IFERROR(IF(INDEX(원자료_시장!$A$1:$BZ$1000,설정!$L$6+ROW()-1,설정!$L$37)&amp;""="0","",INDEX(원자료_시장!$A$1:$BZ$1000,설정!$L$6+ROW()-1,설정!$L$37)),"")</f>
        <v>0</v>
      </c>
      <c r="C374" s="83" t="n">
        <f aca="false">IFERROR(IF(INDEX(원자료_시장!$A$1:$BZ$1000,설정!$L$6+ROW()-1,설정!$L$25)&amp;""="0","",INDEX(원자료_시장!$A$1:$BZ$1000,설정!$L$6+ROW()-1,설정!$L$25)),"")</f>
        <v>0</v>
      </c>
      <c r="D374" s="85" t="str">
        <f aca="false">IFERROR(IF(ISNUMBER(INDEX(원자료_시장!$A$1:$BZ$1000,설정!$L$6+ROW()-1,설정!$L$26)),INDEX(원자료_시장!$A$1:$BZ$1000,설정!$L$6+ROW()-1,설정!$L$26),""),"")</f>
        <v/>
      </c>
      <c r="E374" s="97" t="str">
        <f aca="false">IFERROR(IF(ISNUMBER(INDEX(원자료_시장!$A$1:$BZ$1000,설정!$L$6+ROW()-1,설정!$L$27)),INDEX(원자료_시장!$A$1:$BZ$1000,설정!$L$6+ROW()-1,설정!$L$27),""),"")</f>
        <v/>
      </c>
      <c r="F374" s="97" t="str">
        <f aca="false">IFERROR(IF(ISNUMBER(INDEX(원자료_시장!$A$1:$BZ$1000,설정!$L$6+ROW()-1,설정!$L$28)),INDEX(원자료_시장!$A$1:$BZ$1000,설정!$L$6+ROW()-1,설정!$L$28),""),"")</f>
        <v/>
      </c>
      <c r="G374" s="97" t="str">
        <f aca="false">IFERROR(IF(ISNUMBER(INDEX(원자료_시장!$A$1:$BZ$1000,설정!$L$6+ROW()-1,설정!$L$29)),INDEX(원자료_시장!$A$1:$BZ$1000,설정!$L$6+ROW()-1,설정!$L$29),""),"")</f>
        <v/>
      </c>
      <c r="H374" s="97" t="str">
        <f aca="false">IFERROR(IF(ISNUMBER(INDEX(원자료_시장!$A$1:$BZ$1000,설정!$L$6+ROW()-1,설정!$L$30)),INDEX(원자료_시장!$A$1:$BZ$1000,설정!$L$6+ROW()-1,설정!$L$30),""),"")</f>
        <v/>
      </c>
      <c r="I374" s="97" t="str">
        <f aca="false">IFERROR(IF(ISNUMBER(INDEX(원자료_시장!$A$1:$BZ$1000,설정!$L$6+ROW()-1,설정!$L$31)),INDEX(원자료_시장!$A$1:$BZ$1000,설정!$L$6+ROW()-1,설정!$L$31),""),"")</f>
        <v/>
      </c>
      <c r="J374" s="97" t="str">
        <f aca="false">IFERROR(IF(ISNUMBER(INDEX(원자료_시장!$A$1:$BZ$1000,설정!$L$6+ROW()-1,설정!$L$32)),INDEX(원자료_시장!$A$1:$BZ$1000,설정!$L$6+ROW()-1,설정!$L$32),""),"")</f>
        <v/>
      </c>
      <c r="K374" s="85" t="str">
        <f aca="false">IFERROR(IF(ISNUMBER(INDEX(원자료_시장!$A$1:$BZ$1000,설정!$L$6+ROW()-1,설정!$L$33)),INDEX(원자료_시장!$A$1:$BZ$1000,설정!$L$6+ROW()-1,설정!$L$33),""),"")</f>
        <v/>
      </c>
      <c r="L374" s="83" t="n">
        <f aca="false">IFERROR(IF(INDEX(원자료_시장!$A$1:$BZ$1000,설정!$L$6+ROW()-1,설정!$L$34)&amp;""="0","",INDEX(원자료_시장!$A$1:$BZ$1000,설정!$L$6+ROW()-1,설정!$L$34)),"")</f>
        <v>0</v>
      </c>
      <c r="M374" s="83" t="n">
        <f aca="false">IFERROR(IF(INDEX(원자료_시장!$A$1:$BZ$1000,설정!$L$6+ROW()-1,설정!$L$35)&amp;""="0","",INDEX(원자료_시장!$A$1:$BZ$1000,설정!$L$6+ROW()-1,설정!$L$35)),"")</f>
        <v>0</v>
      </c>
      <c r="N374" s="83" t="n">
        <f aca="false">IFERROR(IF(INDEX(원자료_시장!$A$1:$BZ$1000,설정!$L$6+ROW()-1,설정!$L$36)&amp;""="0","",INDEX(원자료_시장!$A$1:$BZ$1000,설정!$L$6+ROW()-1,설정!$L$36)),"")</f>
        <v>0</v>
      </c>
      <c r="O374" s="43" t="str">
        <f aca="false">IF($A374="","",UPPER(LEFT($A374,FIND(" ",$A374&amp;" ")-1)))</f>
        <v/>
      </c>
      <c r="P374" s="43" t="str">
        <f aca="false">IF($A374="","",TRIM(RIGHT(SUBSTITUTE(TRIM($A374)," ",REPT(" ",30)),30)))</f>
        <v/>
      </c>
      <c r="Q374" s="98" t="str">
        <f aca="false">IF($A374="","",IFERROR(DATE(IF(LEN(P374)=8,2000+VALUE(RIGHT(P374,2)),VALUE(RIGHT(P374,4))),VALUE(LEFT(P374,2)),VALUE(MID(P374,4,2))),""))</f>
        <v/>
      </c>
      <c r="R374" s="89" t="n">
        <f aca="false">IF($A374="",0,IF(ISNUMBER(SEARCH("Float",$A374)),1,0))</f>
        <v>0</v>
      </c>
      <c r="S374" s="43" t="str">
        <f aca="false">IF($A374="","",TRIM(MID($A374,LEN(O374)+2,LEN($A374)-LEN(O374)-LEN(P374)-1)))</f>
        <v/>
      </c>
      <c r="T374" s="92" t="str">
        <f aca="false">IF(OR($A374="",R374=1),"",IFERROR(IF(ISNUMBER(FIND("/",S374)),IF(ISNUMBER(FIND(" ",S374)),VALUE(LEFT(S374,FIND(" ",S374)-1))+VALUE(MID(S374,FIND(" ",S374)+1,FIND("/",S374)-FIND(" ",S374)-1))/VALUE(MID(S374,FIND("/",S374)+1,9)),VALUE(LEFT(S374,FIND("/",S374)-1))/VALUE(MID(S374,FIND("/",S374)+1,9))),VALUE(S374)),""))</f>
        <v/>
      </c>
      <c r="U374" s="43" t="str">
        <f aca="false">IF(OR($A374="",NOT(ISNUMBER(Q374))),"",TEXT(Q374,"yyyymmdd")&amp;"|"&amp;IF(R374=1,"F",TEXT(T374,"0.000")))</f>
        <v/>
      </c>
      <c r="V374" s="43" t="str">
        <f aca="false">IF(U374="","",O374&amp;"|"&amp;U374)</f>
        <v/>
      </c>
      <c r="W374" s="43" t="str">
        <f aca="false">IF($A374="","",IFERROR(IF(VLOOKUP(O374,매핑!$A$4:$E$92,3,0)="","미분류",VLOOKUP(O374,매핑!$A$4:$E$92,3,0)),"미분류"))</f>
        <v/>
      </c>
      <c r="X374" s="89" t="n">
        <f aca="false">IF($A374="",0,IF(O374="T",1,0))</f>
        <v>0</v>
      </c>
      <c r="Y374" s="89" t="n">
        <f aca="false">IF($A374="",0,IF(AND(C374="USD",X374=0,ISNUMBER(E374),ISNUMBER(K374)),IF(K374&gt;=설정!$C$8,1,0),0))</f>
        <v>0</v>
      </c>
      <c r="Z374" s="43" t="str">
        <f aca="false">IF($A374="","",N374&amp;"|"&amp;L374)</f>
        <v/>
      </c>
      <c r="AA374" s="92" t="n">
        <f aca="false">IF(Y374=1,LN(K374),0)</f>
        <v>0</v>
      </c>
      <c r="AB374" s="93" t="n">
        <f aca="false">IF(Y374=1,E374,0)</f>
        <v>0</v>
      </c>
      <c r="AC374" s="89" t="n">
        <f aca="false">IF(Y374=1,COUNTIFS($Z$2:$Z$601,Z374,$Y$2:$Y$601,1),0)</f>
        <v>0</v>
      </c>
      <c r="AD374" s="89" t="n">
        <f aca="false">IF(Y374=1,COUNTIFS($N$2:$N$601,N374,$Y$2:$Y$601,1),0)</f>
        <v>0</v>
      </c>
      <c r="AE374" s="43" t="str">
        <f aca="false">IF(Y374&lt;&gt;1,"",IF(AND(AC374&gt;=설정!$C$7,ISNUMBER(MATCH(Z374,피어커브!$A:$A,0))),Z374,IF(AND(AD374&gt;=설정!$C$7,ISNUMBER(MATCH(N374&amp;"|전체",피어커브!$A:$A,0))),N374&amp;"|전체","전체|전체")))</f>
        <v/>
      </c>
      <c r="AF374" s="93" t="str">
        <f aca="false">IF(AE374="","",INDEX(피어커브!$K:$K,MATCH(AE374,피어커브!$A:$A,0)))</f>
        <v/>
      </c>
      <c r="AG374" s="93" t="str">
        <f aca="false">IF(AE374="","",INDEX(피어커브!$J:$J,MATCH(AE374,피어커브!$A:$A,0)))</f>
        <v/>
      </c>
      <c r="AH374" s="93" t="str">
        <f aca="false">IF(AE374="","",INDEX(피어커브!$L:$L,MATCH(AE374,피어커브!$A:$A,0)))</f>
        <v/>
      </c>
      <c r="AI374" s="93" t="str">
        <f aca="false">IF(AE374="","",AF374+AG374*AA374)</f>
        <v/>
      </c>
      <c r="AJ374" s="96" t="str">
        <f aca="false">IF(AE374="","",E374-AI374)</f>
        <v/>
      </c>
      <c r="AK374" s="95" t="str">
        <f aca="false">IF(AE374="","",IF(ISNUMBER(AH374),IF(AH374&gt;0,AJ374/AH374,""),""))</f>
        <v/>
      </c>
      <c r="AL374" s="43" t="str">
        <f aca="false">IF(AK374="","-",IF(AK374&gt;=설정!$C$6,"Cheap",IF(AK374&lt;=-설정!$C$6,"Rich","Fair")))</f>
        <v>-</v>
      </c>
      <c r="AM374" s="96" t="str">
        <f aca="false">IF(AE374="","",AJ374-AVERAGEIFS($AJ$2:$AJ$601,$B$2:$B$601,B374,$Y$2:$Y$601,1))</f>
        <v/>
      </c>
      <c r="AN374" s="93" t="n">
        <f aca="false">IF(AE374="",0,IF(K374&gt;1+설정!$C$8,AG374*(AA374-LN(K374-1)),0))</f>
        <v>0</v>
      </c>
      <c r="AO374" s="99" t="n">
        <f aca="false">IF($A374="",0,SUMIFS(보유분석!$AA$2:$AA$801,보유분석!$AB$2:$AB$801,ROW(),보유분석!$AC$2:$AC$801,1))</f>
        <v>0</v>
      </c>
      <c r="AP374" s="43" t="str">
        <f aca="false">IF($A374="","",TRIM(IF(R374=1,"FRN ","")&amp;IF(IFERROR(VLOOKUP(M374,설정!$A$15:$D$47,4,0),0)&gt;=10,IF(IFERROR(VLOOKUP(M374,설정!$A$15:$D$47,4,0),0)&lt;99,"BBB0미만 ",""),"")&amp;IF(OR(M374="",M374="NR"),"등급미입력 ","")&amp;IF(C374&lt;&gt;"USD","비USD ","")))</f>
        <v/>
      </c>
      <c r="AQ374" s="90" t="n">
        <f aca="false">IF(AND(Y374=1,AL374="Cheap"),IF(AND(ISERROR(SEARCH("FRN",AP374)),ISERROR(SEARCH("BBB0미만",AP374))),AK374+ROW()/1000000000,-999),-999)</f>
        <v>-999</v>
      </c>
      <c r="AR374" s="92" t="str">
        <f aca="false">IF(AND(ISNUMBER(D374),ISNUMBER(K374)),D374+AN374*MAX(K374-1,0)/100,"")</f>
        <v/>
      </c>
      <c r="AS374" s="93" t="str">
        <f aca="false">IF(AND(ISNUMBER(E374),ISNUMBER(K374)),IF(K374&gt;0,(E374+AN374*MAX(K374-1,0))/K374,""),"")</f>
        <v/>
      </c>
      <c r="AT374" s="90" t="n">
        <f aca="false">IFERROR(IF(AND(Y374=1,ROW()&lt;&gt;스왑분석!$C$12+1,ABS(K374-INDEX($K$2:$K$601,스왑분석!$C$12))&lt;=스왑분석!$C$5,ISERROR(SEARCH("FRN",AP374)),ISERROR(SEARCH("BBB0미만",AP374))),IF(AND(OR(스왑분석!$C$6="N",L374=INDEX($L$2:$L$601,스왑분석!$C$12)),OR(스왑분석!$C$7="N",N374=INDEX($N$2:$N$601,스왑분석!$C$12)),OR(스왑분석!$C$8="N",AO374=0),E374-INDEX($E$2:$E$601,스왑분석!$C$12)&gt;=스왑분석!$C$9),E374-INDEX($E$2:$E$601,스왑분석!$C$12)+ROW()/1000000000,-999),-999),-999)</f>
        <v>-999</v>
      </c>
      <c r="AU374" s="90" t="n">
        <f aca="false">IF(AND(Y374=1,AO374&gt;0,AL374="Rich"),-AK374+ROW()/1000000000,-999)</f>
        <v>-999</v>
      </c>
    </row>
    <row r="375" customFormat="false" ht="15" hidden="false" customHeight="false" outlineLevel="0" collapsed="false">
      <c r="A375" s="83" t="n">
        <f aca="false">IFERROR(IF(INDEX(원자료_시장!$A$1:$BZ$1000,설정!$L$6+ROW()-1,설정!$L$24)&amp;""="0","",INDEX(원자료_시장!$A$1:$BZ$1000,설정!$L$6+ROW()-1,설정!$L$24)),"")</f>
        <v>0</v>
      </c>
      <c r="B375" s="83" t="n">
        <f aca="false">IFERROR(IF(INDEX(원자료_시장!$A$1:$BZ$1000,설정!$L$6+ROW()-1,설정!$L$37)&amp;""="0","",INDEX(원자료_시장!$A$1:$BZ$1000,설정!$L$6+ROW()-1,설정!$L$37)),"")</f>
        <v>0</v>
      </c>
      <c r="C375" s="83" t="n">
        <f aca="false">IFERROR(IF(INDEX(원자료_시장!$A$1:$BZ$1000,설정!$L$6+ROW()-1,설정!$L$25)&amp;""="0","",INDEX(원자료_시장!$A$1:$BZ$1000,설정!$L$6+ROW()-1,설정!$L$25)),"")</f>
        <v>0</v>
      </c>
      <c r="D375" s="85" t="str">
        <f aca="false">IFERROR(IF(ISNUMBER(INDEX(원자료_시장!$A$1:$BZ$1000,설정!$L$6+ROW()-1,설정!$L$26)),INDEX(원자료_시장!$A$1:$BZ$1000,설정!$L$6+ROW()-1,설정!$L$26),""),"")</f>
        <v/>
      </c>
      <c r="E375" s="97" t="str">
        <f aca="false">IFERROR(IF(ISNUMBER(INDEX(원자료_시장!$A$1:$BZ$1000,설정!$L$6+ROW()-1,설정!$L$27)),INDEX(원자료_시장!$A$1:$BZ$1000,설정!$L$6+ROW()-1,설정!$L$27),""),"")</f>
        <v/>
      </c>
      <c r="F375" s="97" t="str">
        <f aca="false">IFERROR(IF(ISNUMBER(INDEX(원자료_시장!$A$1:$BZ$1000,설정!$L$6+ROW()-1,설정!$L$28)),INDEX(원자료_시장!$A$1:$BZ$1000,설정!$L$6+ROW()-1,설정!$L$28),""),"")</f>
        <v/>
      </c>
      <c r="G375" s="97" t="str">
        <f aca="false">IFERROR(IF(ISNUMBER(INDEX(원자료_시장!$A$1:$BZ$1000,설정!$L$6+ROW()-1,설정!$L$29)),INDEX(원자료_시장!$A$1:$BZ$1000,설정!$L$6+ROW()-1,설정!$L$29),""),"")</f>
        <v/>
      </c>
      <c r="H375" s="97" t="str">
        <f aca="false">IFERROR(IF(ISNUMBER(INDEX(원자료_시장!$A$1:$BZ$1000,설정!$L$6+ROW()-1,설정!$L$30)),INDEX(원자료_시장!$A$1:$BZ$1000,설정!$L$6+ROW()-1,설정!$L$30),""),"")</f>
        <v/>
      </c>
      <c r="I375" s="97" t="str">
        <f aca="false">IFERROR(IF(ISNUMBER(INDEX(원자료_시장!$A$1:$BZ$1000,설정!$L$6+ROW()-1,설정!$L$31)),INDEX(원자료_시장!$A$1:$BZ$1000,설정!$L$6+ROW()-1,설정!$L$31),""),"")</f>
        <v/>
      </c>
      <c r="J375" s="97" t="str">
        <f aca="false">IFERROR(IF(ISNUMBER(INDEX(원자료_시장!$A$1:$BZ$1000,설정!$L$6+ROW()-1,설정!$L$32)),INDEX(원자료_시장!$A$1:$BZ$1000,설정!$L$6+ROW()-1,설정!$L$32),""),"")</f>
        <v/>
      </c>
      <c r="K375" s="85" t="str">
        <f aca="false">IFERROR(IF(ISNUMBER(INDEX(원자료_시장!$A$1:$BZ$1000,설정!$L$6+ROW()-1,설정!$L$33)),INDEX(원자료_시장!$A$1:$BZ$1000,설정!$L$6+ROW()-1,설정!$L$33),""),"")</f>
        <v/>
      </c>
      <c r="L375" s="83" t="n">
        <f aca="false">IFERROR(IF(INDEX(원자료_시장!$A$1:$BZ$1000,설정!$L$6+ROW()-1,설정!$L$34)&amp;""="0","",INDEX(원자료_시장!$A$1:$BZ$1000,설정!$L$6+ROW()-1,설정!$L$34)),"")</f>
        <v>0</v>
      </c>
      <c r="M375" s="83" t="n">
        <f aca="false">IFERROR(IF(INDEX(원자료_시장!$A$1:$BZ$1000,설정!$L$6+ROW()-1,설정!$L$35)&amp;""="0","",INDEX(원자료_시장!$A$1:$BZ$1000,설정!$L$6+ROW()-1,설정!$L$35)),"")</f>
        <v>0</v>
      </c>
      <c r="N375" s="83" t="n">
        <f aca="false">IFERROR(IF(INDEX(원자료_시장!$A$1:$BZ$1000,설정!$L$6+ROW()-1,설정!$L$36)&amp;""="0","",INDEX(원자료_시장!$A$1:$BZ$1000,설정!$L$6+ROW()-1,설정!$L$36)),"")</f>
        <v>0</v>
      </c>
      <c r="O375" s="43" t="str">
        <f aca="false">IF($A375="","",UPPER(LEFT($A375,FIND(" ",$A375&amp;" ")-1)))</f>
        <v/>
      </c>
      <c r="P375" s="43" t="str">
        <f aca="false">IF($A375="","",TRIM(RIGHT(SUBSTITUTE(TRIM($A375)," ",REPT(" ",30)),30)))</f>
        <v/>
      </c>
      <c r="Q375" s="98" t="str">
        <f aca="false">IF($A375="","",IFERROR(DATE(IF(LEN(P375)=8,2000+VALUE(RIGHT(P375,2)),VALUE(RIGHT(P375,4))),VALUE(LEFT(P375,2)),VALUE(MID(P375,4,2))),""))</f>
        <v/>
      </c>
      <c r="R375" s="89" t="n">
        <f aca="false">IF($A375="",0,IF(ISNUMBER(SEARCH("Float",$A375)),1,0))</f>
        <v>0</v>
      </c>
      <c r="S375" s="43" t="str">
        <f aca="false">IF($A375="","",TRIM(MID($A375,LEN(O375)+2,LEN($A375)-LEN(O375)-LEN(P375)-1)))</f>
        <v/>
      </c>
      <c r="T375" s="92" t="str">
        <f aca="false">IF(OR($A375="",R375=1),"",IFERROR(IF(ISNUMBER(FIND("/",S375)),IF(ISNUMBER(FIND(" ",S375)),VALUE(LEFT(S375,FIND(" ",S375)-1))+VALUE(MID(S375,FIND(" ",S375)+1,FIND("/",S375)-FIND(" ",S375)-1))/VALUE(MID(S375,FIND("/",S375)+1,9)),VALUE(LEFT(S375,FIND("/",S375)-1))/VALUE(MID(S375,FIND("/",S375)+1,9))),VALUE(S375)),""))</f>
        <v/>
      </c>
      <c r="U375" s="43" t="str">
        <f aca="false">IF(OR($A375="",NOT(ISNUMBER(Q375))),"",TEXT(Q375,"yyyymmdd")&amp;"|"&amp;IF(R375=1,"F",TEXT(T375,"0.000")))</f>
        <v/>
      </c>
      <c r="V375" s="43" t="str">
        <f aca="false">IF(U375="","",O375&amp;"|"&amp;U375)</f>
        <v/>
      </c>
      <c r="W375" s="43" t="str">
        <f aca="false">IF($A375="","",IFERROR(IF(VLOOKUP(O375,매핑!$A$4:$E$92,3,0)="","미분류",VLOOKUP(O375,매핑!$A$4:$E$92,3,0)),"미분류"))</f>
        <v/>
      </c>
      <c r="X375" s="89" t="n">
        <f aca="false">IF($A375="",0,IF(O375="T",1,0))</f>
        <v>0</v>
      </c>
      <c r="Y375" s="89" t="n">
        <f aca="false">IF($A375="",0,IF(AND(C375="USD",X375=0,ISNUMBER(E375),ISNUMBER(K375)),IF(K375&gt;=설정!$C$8,1,0),0))</f>
        <v>0</v>
      </c>
      <c r="Z375" s="43" t="str">
        <f aca="false">IF($A375="","",N375&amp;"|"&amp;L375)</f>
        <v/>
      </c>
      <c r="AA375" s="92" t="n">
        <f aca="false">IF(Y375=1,LN(K375),0)</f>
        <v>0</v>
      </c>
      <c r="AB375" s="93" t="n">
        <f aca="false">IF(Y375=1,E375,0)</f>
        <v>0</v>
      </c>
      <c r="AC375" s="89" t="n">
        <f aca="false">IF(Y375=1,COUNTIFS($Z$2:$Z$601,Z375,$Y$2:$Y$601,1),0)</f>
        <v>0</v>
      </c>
      <c r="AD375" s="89" t="n">
        <f aca="false">IF(Y375=1,COUNTIFS($N$2:$N$601,N375,$Y$2:$Y$601,1),0)</f>
        <v>0</v>
      </c>
      <c r="AE375" s="43" t="str">
        <f aca="false">IF(Y375&lt;&gt;1,"",IF(AND(AC375&gt;=설정!$C$7,ISNUMBER(MATCH(Z375,피어커브!$A:$A,0))),Z375,IF(AND(AD375&gt;=설정!$C$7,ISNUMBER(MATCH(N375&amp;"|전체",피어커브!$A:$A,0))),N375&amp;"|전체","전체|전체")))</f>
        <v/>
      </c>
      <c r="AF375" s="93" t="str">
        <f aca="false">IF(AE375="","",INDEX(피어커브!$K:$K,MATCH(AE375,피어커브!$A:$A,0)))</f>
        <v/>
      </c>
      <c r="AG375" s="93" t="str">
        <f aca="false">IF(AE375="","",INDEX(피어커브!$J:$J,MATCH(AE375,피어커브!$A:$A,0)))</f>
        <v/>
      </c>
      <c r="AH375" s="93" t="str">
        <f aca="false">IF(AE375="","",INDEX(피어커브!$L:$L,MATCH(AE375,피어커브!$A:$A,0)))</f>
        <v/>
      </c>
      <c r="AI375" s="93" t="str">
        <f aca="false">IF(AE375="","",AF375+AG375*AA375)</f>
        <v/>
      </c>
      <c r="AJ375" s="96" t="str">
        <f aca="false">IF(AE375="","",E375-AI375)</f>
        <v/>
      </c>
      <c r="AK375" s="95" t="str">
        <f aca="false">IF(AE375="","",IF(ISNUMBER(AH375),IF(AH375&gt;0,AJ375/AH375,""),""))</f>
        <v/>
      </c>
      <c r="AL375" s="43" t="str">
        <f aca="false">IF(AK375="","-",IF(AK375&gt;=설정!$C$6,"Cheap",IF(AK375&lt;=-설정!$C$6,"Rich","Fair")))</f>
        <v>-</v>
      </c>
      <c r="AM375" s="96" t="str">
        <f aca="false">IF(AE375="","",AJ375-AVERAGEIFS($AJ$2:$AJ$601,$B$2:$B$601,B375,$Y$2:$Y$601,1))</f>
        <v/>
      </c>
      <c r="AN375" s="93" t="n">
        <f aca="false">IF(AE375="",0,IF(K375&gt;1+설정!$C$8,AG375*(AA375-LN(K375-1)),0))</f>
        <v>0</v>
      </c>
      <c r="AO375" s="99" t="n">
        <f aca="false">IF($A375="",0,SUMIFS(보유분석!$AA$2:$AA$801,보유분석!$AB$2:$AB$801,ROW(),보유분석!$AC$2:$AC$801,1))</f>
        <v>0</v>
      </c>
      <c r="AP375" s="43" t="str">
        <f aca="false">IF($A375="","",TRIM(IF(R375=1,"FRN ","")&amp;IF(IFERROR(VLOOKUP(M375,설정!$A$15:$D$47,4,0),0)&gt;=10,IF(IFERROR(VLOOKUP(M375,설정!$A$15:$D$47,4,0),0)&lt;99,"BBB0미만 ",""),"")&amp;IF(OR(M375="",M375="NR"),"등급미입력 ","")&amp;IF(C375&lt;&gt;"USD","비USD ","")))</f>
        <v/>
      </c>
      <c r="AQ375" s="90" t="n">
        <f aca="false">IF(AND(Y375=1,AL375="Cheap"),IF(AND(ISERROR(SEARCH("FRN",AP375)),ISERROR(SEARCH("BBB0미만",AP375))),AK375+ROW()/1000000000,-999),-999)</f>
        <v>-999</v>
      </c>
      <c r="AR375" s="92" t="str">
        <f aca="false">IF(AND(ISNUMBER(D375),ISNUMBER(K375)),D375+AN375*MAX(K375-1,0)/100,"")</f>
        <v/>
      </c>
      <c r="AS375" s="93" t="str">
        <f aca="false">IF(AND(ISNUMBER(E375),ISNUMBER(K375)),IF(K375&gt;0,(E375+AN375*MAX(K375-1,0))/K375,""),"")</f>
        <v/>
      </c>
      <c r="AT375" s="90" t="n">
        <f aca="false">IFERROR(IF(AND(Y375=1,ROW()&lt;&gt;스왑분석!$C$12+1,ABS(K375-INDEX($K$2:$K$601,스왑분석!$C$12))&lt;=스왑분석!$C$5,ISERROR(SEARCH("FRN",AP375)),ISERROR(SEARCH("BBB0미만",AP375))),IF(AND(OR(스왑분석!$C$6="N",L375=INDEX($L$2:$L$601,스왑분석!$C$12)),OR(스왑분석!$C$7="N",N375=INDEX($N$2:$N$601,스왑분석!$C$12)),OR(스왑분석!$C$8="N",AO375=0),E375-INDEX($E$2:$E$601,스왑분석!$C$12)&gt;=스왑분석!$C$9),E375-INDEX($E$2:$E$601,스왑분석!$C$12)+ROW()/1000000000,-999),-999),-999)</f>
        <v>-999</v>
      </c>
      <c r="AU375" s="90" t="n">
        <f aca="false">IF(AND(Y375=1,AO375&gt;0,AL375="Rich"),-AK375+ROW()/1000000000,-999)</f>
        <v>-999</v>
      </c>
    </row>
    <row r="376" customFormat="false" ht="15" hidden="false" customHeight="false" outlineLevel="0" collapsed="false">
      <c r="A376" s="83" t="n">
        <f aca="false">IFERROR(IF(INDEX(원자료_시장!$A$1:$BZ$1000,설정!$L$6+ROW()-1,설정!$L$24)&amp;""="0","",INDEX(원자료_시장!$A$1:$BZ$1000,설정!$L$6+ROW()-1,설정!$L$24)),"")</f>
        <v>0</v>
      </c>
      <c r="B376" s="83" t="n">
        <f aca="false">IFERROR(IF(INDEX(원자료_시장!$A$1:$BZ$1000,설정!$L$6+ROW()-1,설정!$L$37)&amp;""="0","",INDEX(원자료_시장!$A$1:$BZ$1000,설정!$L$6+ROW()-1,설정!$L$37)),"")</f>
        <v>0</v>
      </c>
      <c r="C376" s="83" t="n">
        <f aca="false">IFERROR(IF(INDEX(원자료_시장!$A$1:$BZ$1000,설정!$L$6+ROW()-1,설정!$L$25)&amp;""="0","",INDEX(원자료_시장!$A$1:$BZ$1000,설정!$L$6+ROW()-1,설정!$L$25)),"")</f>
        <v>0</v>
      </c>
      <c r="D376" s="85" t="str">
        <f aca="false">IFERROR(IF(ISNUMBER(INDEX(원자료_시장!$A$1:$BZ$1000,설정!$L$6+ROW()-1,설정!$L$26)),INDEX(원자료_시장!$A$1:$BZ$1000,설정!$L$6+ROW()-1,설정!$L$26),""),"")</f>
        <v/>
      </c>
      <c r="E376" s="97" t="str">
        <f aca="false">IFERROR(IF(ISNUMBER(INDEX(원자료_시장!$A$1:$BZ$1000,설정!$L$6+ROW()-1,설정!$L$27)),INDEX(원자료_시장!$A$1:$BZ$1000,설정!$L$6+ROW()-1,설정!$L$27),""),"")</f>
        <v/>
      </c>
      <c r="F376" s="97" t="str">
        <f aca="false">IFERROR(IF(ISNUMBER(INDEX(원자료_시장!$A$1:$BZ$1000,설정!$L$6+ROW()-1,설정!$L$28)),INDEX(원자료_시장!$A$1:$BZ$1000,설정!$L$6+ROW()-1,설정!$L$28),""),"")</f>
        <v/>
      </c>
      <c r="G376" s="97" t="str">
        <f aca="false">IFERROR(IF(ISNUMBER(INDEX(원자료_시장!$A$1:$BZ$1000,설정!$L$6+ROW()-1,설정!$L$29)),INDEX(원자료_시장!$A$1:$BZ$1000,설정!$L$6+ROW()-1,설정!$L$29),""),"")</f>
        <v/>
      </c>
      <c r="H376" s="97" t="str">
        <f aca="false">IFERROR(IF(ISNUMBER(INDEX(원자료_시장!$A$1:$BZ$1000,설정!$L$6+ROW()-1,설정!$L$30)),INDEX(원자료_시장!$A$1:$BZ$1000,설정!$L$6+ROW()-1,설정!$L$30),""),"")</f>
        <v/>
      </c>
      <c r="I376" s="97" t="str">
        <f aca="false">IFERROR(IF(ISNUMBER(INDEX(원자료_시장!$A$1:$BZ$1000,설정!$L$6+ROW()-1,설정!$L$31)),INDEX(원자료_시장!$A$1:$BZ$1000,설정!$L$6+ROW()-1,설정!$L$31),""),"")</f>
        <v/>
      </c>
      <c r="J376" s="97" t="str">
        <f aca="false">IFERROR(IF(ISNUMBER(INDEX(원자료_시장!$A$1:$BZ$1000,설정!$L$6+ROW()-1,설정!$L$32)),INDEX(원자료_시장!$A$1:$BZ$1000,설정!$L$6+ROW()-1,설정!$L$32),""),"")</f>
        <v/>
      </c>
      <c r="K376" s="85" t="str">
        <f aca="false">IFERROR(IF(ISNUMBER(INDEX(원자료_시장!$A$1:$BZ$1000,설정!$L$6+ROW()-1,설정!$L$33)),INDEX(원자료_시장!$A$1:$BZ$1000,설정!$L$6+ROW()-1,설정!$L$33),""),"")</f>
        <v/>
      </c>
      <c r="L376" s="83" t="n">
        <f aca="false">IFERROR(IF(INDEX(원자료_시장!$A$1:$BZ$1000,설정!$L$6+ROW()-1,설정!$L$34)&amp;""="0","",INDEX(원자료_시장!$A$1:$BZ$1000,설정!$L$6+ROW()-1,설정!$L$34)),"")</f>
        <v>0</v>
      </c>
      <c r="M376" s="83" t="n">
        <f aca="false">IFERROR(IF(INDEX(원자료_시장!$A$1:$BZ$1000,설정!$L$6+ROW()-1,설정!$L$35)&amp;""="0","",INDEX(원자료_시장!$A$1:$BZ$1000,설정!$L$6+ROW()-1,설정!$L$35)),"")</f>
        <v>0</v>
      </c>
      <c r="N376" s="83" t="n">
        <f aca="false">IFERROR(IF(INDEX(원자료_시장!$A$1:$BZ$1000,설정!$L$6+ROW()-1,설정!$L$36)&amp;""="0","",INDEX(원자료_시장!$A$1:$BZ$1000,설정!$L$6+ROW()-1,설정!$L$36)),"")</f>
        <v>0</v>
      </c>
      <c r="O376" s="43" t="str">
        <f aca="false">IF($A376="","",UPPER(LEFT($A376,FIND(" ",$A376&amp;" ")-1)))</f>
        <v/>
      </c>
      <c r="P376" s="43" t="str">
        <f aca="false">IF($A376="","",TRIM(RIGHT(SUBSTITUTE(TRIM($A376)," ",REPT(" ",30)),30)))</f>
        <v/>
      </c>
      <c r="Q376" s="98" t="str">
        <f aca="false">IF($A376="","",IFERROR(DATE(IF(LEN(P376)=8,2000+VALUE(RIGHT(P376,2)),VALUE(RIGHT(P376,4))),VALUE(LEFT(P376,2)),VALUE(MID(P376,4,2))),""))</f>
        <v/>
      </c>
      <c r="R376" s="89" t="n">
        <f aca="false">IF($A376="",0,IF(ISNUMBER(SEARCH("Float",$A376)),1,0))</f>
        <v>0</v>
      </c>
      <c r="S376" s="43" t="str">
        <f aca="false">IF($A376="","",TRIM(MID($A376,LEN(O376)+2,LEN($A376)-LEN(O376)-LEN(P376)-1)))</f>
        <v/>
      </c>
      <c r="T376" s="92" t="str">
        <f aca="false">IF(OR($A376="",R376=1),"",IFERROR(IF(ISNUMBER(FIND("/",S376)),IF(ISNUMBER(FIND(" ",S376)),VALUE(LEFT(S376,FIND(" ",S376)-1))+VALUE(MID(S376,FIND(" ",S376)+1,FIND("/",S376)-FIND(" ",S376)-1))/VALUE(MID(S376,FIND("/",S376)+1,9)),VALUE(LEFT(S376,FIND("/",S376)-1))/VALUE(MID(S376,FIND("/",S376)+1,9))),VALUE(S376)),""))</f>
        <v/>
      </c>
      <c r="U376" s="43" t="str">
        <f aca="false">IF(OR($A376="",NOT(ISNUMBER(Q376))),"",TEXT(Q376,"yyyymmdd")&amp;"|"&amp;IF(R376=1,"F",TEXT(T376,"0.000")))</f>
        <v/>
      </c>
      <c r="V376" s="43" t="str">
        <f aca="false">IF(U376="","",O376&amp;"|"&amp;U376)</f>
        <v/>
      </c>
      <c r="W376" s="43" t="str">
        <f aca="false">IF($A376="","",IFERROR(IF(VLOOKUP(O376,매핑!$A$4:$E$92,3,0)="","미분류",VLOOKUP(O376,매핑!$A$4:$E$92,3,0)),"미분류"))</f>
        <v/>
      </c>
      <c r="X376" s="89" t="n">
        <f aca="false">IF($A376="",0,IF(O376="T",1,0))</f>
        <v>0</v>
      </c>
      <c r="Y376" s="89" t="n">
        <f aca="false">IF($A376="",0,IF(AND(C376="USD",X376=0,ISNUMBER(E376),ISNUMBER(K376)),IF(K376&gt;=설정!$C$8,1,0),0))</f>
        <v>0</v>
      </c>
      <c r="Z376" s="43" t="str">
        <f aca="false">IF($A376="","",N376&amp;"|"&amp;L376)</f>
        <v/>
      </c>
      <c r="AA376" s="92" t="n">
        <f aca="false">IF(Y376=1,LN(K376),0)</f>
        <v>0</v>
      </c>
      <c r="AB376" s="93" t="n">
        <f aca="false">IF(Y376=1,E376,0)</f>
        <v>0</v>
      </c>
      <c r="AC376" s="89" t="n">
        <f aca="false">IF(Y376=1,COUNTIFS($Z$2:$Z$601,Z376,$Y$2:$Y$601,1),0)</f>
        <v>0</v>
      </c>
      <c r="AD376" s="89" t="n">
        <f aca="false">IF(Y376=1,COUNTIFS($N$2:$N$601,N376,$Y$2:$Y$601,1),0)</f>
        <v>0</v>
      </c>
      <c r="AE376" s="43" t="str">
        <f aca="false">IF(Y376&lt;&gt;1,"",IF(AND(AC376&gt;=설정!$C$7,ISNUMBER(MATCH(Z376,피어커브!$A:$A,0))),Z376,IF(AND(AD376&gt;=설정!$C$7,ISNUMBER(MATCH(N376&amp;"|전체",피어커브!$A:$A,0))),N376&amp;"|전체","전체|전체")))</f>
        <v/>
      </c>
      <c r="AF376" s="93" t="str">
        <f aca="false">IF(AE376="","",INDEX(피어커브!$K:$K,MATCH(AE376,피어커브!$A:$A,0)))</f>
        <v/>
      </c>
      <c r="AG376" s="93" t="str">
        <f aca="false">IF(AE376="","",INDEX(피어커브!$J:$J,MATCH(AE376,피어커브!$A:$A,0)))</f>
        <v/>
      </c>
      <c r="AH376" s="93" t="str">
        <f aca="false">IF(AE376="","",INDEX(피어커브!$L:$L,MATCH(AE376,피어커브!$A:$A,0)))</f>
        <v/>
      </c>
      <c r="AI376" s="93" t="str">
        <f aca="false">IF(AE376="","",AF376+AG376*AA376)</f>
        <v/>
      </c>
      <c r="AJ376" s="96" t="str">
        <f aca="false">IF(AE376="","",E376-AI376)</f>
        <v/>
      </c>
      <c r="AK376" s="95" t="str">
        <f aca="false">IF(AE376="","",IF(ISNUMBER(AH376),IF(AH376&gt;0,AJ376/AH376,""),""))</f>
        <v/>
      </c>
      <c r="AL376" s="43" t="str">
        <f aca="false">IF(AK376="","-",IF(AK376&gt;=설정!$C$6,"Cheap",IF(AK376&lt;=-설정!$C$6,"Rich","Fair")))</f>
        <v>-</v>
      </c>
      <c r="AM376" s="96" t="str">
        <f aca="false">IF(AE376="","",AJ376-AVERAGEIFS($AJ$2:$AJ$601,$B$2:$B$601,B376,$Y$2:$Y$601,1))</f>
        <v/>
      </c>
      <c r="AN376" s="93" t="n">
        <f aca="false">IF(AE376="",0,IF(K376&gt;1+설정!$C$8,AG376*(AA376-LN(K376-1)),0))</f>
        <v>0</v>
      </c>
      <c r="AO376" s="99" t="n">
        <f aca="false">IF($A376="",0,SUMIFS(보유분석!$AA$2:$AA$801,보유분석!$AB$2:$AB$801,ROW(),보유분석!$AC$2:$AC$801,1))</f>
        <v>0</v>
      </c>
      <c r="AP376" s="43" t="str">
        <f aca="false">IF($A376="","",TRIM(IF(R376=1,"FRN ","")&amp;IF(IFERROR(VLOOKUP(M376,설정!$A$15:$D$47,4,0),0)&gt;=10,IF(IFERROR(VLOOKUP(M376,설정!$A$15:$D$47,4,0),0)&lt;99,"BBB0미만 ",""),"")&amp;IF(OR(M376="",M376="NR"),"등급미입력 ","")&amp;IF(C376&lt;&gt;"USD","비USD ","")))</f>
        <v/>
      </c>
      <c r="AQ376" s="90" t="n">
        <f aca="false">IF(AND(Y376=1,AL376="Cheap"),IF(AND(ISERROR(SEARCH("FRN",AP376)),ISERROR(SEARCH("BBB0미만",AP376))),AK376+ROW()/1000000000,-999),-999)</f>
        <v>-999</v>
      </c>
      <c r="AR376" s="92" t="str">
        <f aca="false">IF(AND(ISNUMBER(D376),ISNUMBER(K376)),D376+AN376*MAX(K376-1,0)/100,"")</f>
        <v/>
      </c>
      <c r="AS376" s="93" t="str">
        <f aca="false">IF(AND(ISNUMBER(E376),ISNUMBER(K376)),IF(K376&gt;0,(E376+AN376*MAX(K376-1,0))/K376,""),"")</f>
        <v/>
      </c>
      <c r="AT376" s="90" t="n">
        <f aca="false">IFERROR(IF(AND(Y376=1,ROW()&lt;&gt;스왑분석!$C$12+1,ABS(K376-INDEX($K$2:$K$601,스왑분석!$C$12))&lt;=스왑분석!$C$5,ISERROR(SEARCH("FRN",AP376)),ISERROR(SEARCH("BBB0미만",AP376))),IF(AND(OR(스왑분석!$C$6="N",L376=INDEX($L$2:$L$601,스왑분석!$C$12)),OR(스왑분석!$C$7="N",N376=INDEX($N$2:$N$601,스왑분석!$C$12)),OR(스왑분석!$C$8="N",AO376=0),E376-INDEX($E$2:$E$601,스왑분석!$C$12)&gt;=스왑분석!$C$9),E376-INDEX($E$2:$E$601,스왑분석!$C$12)+ROW()/1000000000,-999),-999),-999)</f>
        <v>-999</v>
      </c>
      <c r="AU376" s="90" t="n">
        <f aca="false">IF(AND(Y376=1,AO376&gt;0,AL376="Rich"),-AK376+ROW()/1000000000,-999)</f>
        <v>-999</v>
      </c>
    </row>
    <row r="377" customFormat="false" ht="15" hidden="false" customHeight="false" outlineLevel="0" collapsed="false">
      <c r="A377" s="83" t="n">
        <f aca="false">IFERROR(IF(INDEX(원자료_시장!$A$1:$BZ$1000,설정!$L$6+ROW()-1,설정!$L$24)&amp;""="0","",INDEX(원자료_시장!$A$1:$BZ$1000,설정!$L$6+ROW()-1,설정!$L$24)),"")</f>
        <v>0</v>
      </c>
      <c r="B377" s="83" t="n">
        <f aca="false">IFERROR(IF(INDEX(원자료_시장!$A$1:$BZ$1000,설정!$L$6+ROW()-1,설정!$L$37)&amp;""="0","",INDEX(원자료_시장!$A$1:$BZ$1000,설정!$L$6+ROW()-1,설정!$L$37)),"")</f>
        <v>0</v>
      </c>
      <c r="C377" s="83" t="n">
        <f aca="false">IFERROR(IF(INDEX(원자료_시장!$A$1:$BZ$1000,설정!$L$6+ROW()-1,설정!$L$25)&amp;""="0","",INDEX(원자료_시장!$A$1:$BZ$1000,설정!$L$6+ROW()-1,설정!$L$25)),"")</f>
        <v>0</v>
      </c>
      <c r="D377" s="85" t="str">
        <f aca="false">IFERROR(IF(ISNUMBER(INDEX(원자료_시장!$A$1:$BZ$1000,설정!$L$6+ROW()-1,설정!$L$26)),INDEX(원자료_시장!$A$1:$BZ$1000,설정!$L$6+ROW()-1,설정!$L$26),""),"")</f>
        <v/>
      </c>
      <c r="E377" s="97" t="str">
        <f aca="false">IFERROR(IF(ISNUMBER(INDEX(원자료_시장!$A$1:$BZ$1000,설정!$L$6+ROW()-1,설정!$L$27)),INDEX(원자료_시장!$A$1:$BZ$1000,설정!$L$6+ROW()-1,설정!$L$27),""),"")</f>
        <v/>
      </c>
      <c r="F377" s="97" t="str">
        <f aca="false">IFERROR(IF(ISNUMBER(INDEX(원자료_시장!$A$1:$BZ$1000,설정!$L$6+ROW()-1,설정!$L$28)),INDEX(원자료_시장!$A$1:$BZ$1000,설정!$L$6+ROW()-1,설정!$L$28),""),"")</f>
        <v/>
      </c>
      <c r="G377" s="97" t="str">
        <f aca="false">IFERROR(IF(ISNUMBER(INDEX(원자료_시장!$A$1:$BZ$1000,설정!$L$6+ROW()-1,설정!$L$29)),INDEX(원자료_시장!$A$1:$BZ$1000,설정!$L$6+ROW()-1,설정!$L$29),""),"")</f>
        <v/>
      </c>
      <c r="H377" s="97" t="str">
        <f aca="false">IFERROR(IF(ISNUMBER(INDEX(원자료_시장!$A$1:$BZ$1000,설정!$L$6+ROW()-1,설정!$L$30)),INDEX(원자료_시장!$A$1:$BZ$1000,설정!$L$6+ROW()-1,설정!$L$30),""),"")</f>
        <v/>
      </c>
      <c r="I377" s="97" t="str">
        <f aca="false">IFERROR(IF(ISNUMBER(INDEX(원자료_시장!$A$1:$BZ$1000,설정!$L$6+ROW()-1,설정!$L$31)),INDEX(원자료_시장!$A$1:$BZ$1000,설정!$L$6+ROW()-1,설정!$L$31),""),"")</f>
        <v/>
      </c>
      <c r="J377" s="97" t="str">
        <f aca="false">IFERROR(IF(ISNUMBER(INDEX(원자료_시장!$A$1:$BZ$1000,설정!$L$6+ROW()-1,설정!$L$32)),INDEX(원자료_시장!$A$1:$BZ$1000,설정!$L$6+ROW()-1,설정!$L$32),""),"")</f>
        <v/>
      </c>
      <c r="K377" s="85" t="str">
        <f aca="false">IFERROR(IF(ISNUMBER(INDEX(원자료_시장!$A$1:$BZ$1000,설정!$L$6+ROW()-1,설정!$L$33)),INDEX(원자료_시장!$A$1:$BZ$1000,설정!$L$6+ROW()-1,설정!$L$33),""),"")</f>
        <v/>
      </c>
      <c r="L377" s="83" t="n">
        <f aca="false">IFERROR(IF(INDEX(원자료_시장!$A$1:$BZ$1000,설정!$L$6+ROW()-1,설정!$L$34)&amp;""="0","",INDEX(원자료_시장!$A$1:$BZ$1000,설정!$L$6+ROW()-1,설정!$L$34)),"")</f>
        <v>0</v>
      </c>
      <c r="M377" s="83" t="n">
        <f aca="false">IFERROR(IF(INDEX(원자료_시장!$A$1:$BZ$1000,설정!$L$6+ROW()-1,설정!$L$35)&amp;""="0","",INDEX(원자료_시장!$A$1:$BZ$1000,설정!$L$6+ROW()-1,설정!$L$35)),"")</f>
        <v>0</v>
      </c>
      <c r="N377" s="83" t="n">
        <f aca="false">IFERROR(IF(INDEX(원자료_시장!$A$1:$BZ$1000,설정!$L$6+ROW()-1,설정!$L$36)&amp;""="0","",INDEX(원자료_시장!$A$1:$BZ$1000,설정!$L$6+ROW()-1,설정!$L$36)),"")</f>
        <v>0</v>
      </c>
      <c r="O377" s="43" t="str">
        <f aca="false">IF($A377="","",UPPER(LEFT($A377,FIND(" ",$A377&amp;" ")-1)))</f>
        <v/>
      </c>
      <c r="P377" s="43" t="str">
        <f aca="false">IF($A377="","",TRIM(RIGHT(SUBSTITUTE(TRIM($A377)," ",REPT(" ",30)),30)))</f>
        <v/>
      </c>
      <c r="Q377" s="98" t="str">
        <f aca="false">IF($A377="","",IFERROR(DATE(IF(LEN(P377)=8,2000+VALUE(RIGHT(P377,2)),VALUE(RIGHT(P377,4))),VALUE(LEFT(P377,2)),VALUE(MID(P377,4,2))),""))</f>
        <v/>
      </c>
      <c r="R377" s="89" t="n">
        <f aca="false">IF($A377="",0,IF(ISNUMBER(SEARCH("Float",$A377)),1,0))</f>
        <v>0</v>
      </c>
      <c r="S377" s="43" t="str">
        <f aca="false">IF($A377="","",TRIM(MID($A377,LEN(O377)+2,LEN($A377)-LEN(O377)-LEN(P377)-1)))</f>
        <v/>
      </c>
      <c r="T377" s="92" t="str">
        <f aca="false">IF(OR($A377="",R377=1),"",IFERROR(IF(ISNUMBER(FIND("/",S377)),IF(ISNUMBER(FIND(" ",S377)),VALUE(LEFT(S377,FIND(" ",S377)-1))+VALUE(MID(S377,FIND(" ",S377)+1,FIND("/",S377)-FIND(" ",S377)-1))/VALUE(MID(S377,FIND("/",S377)+1,9)),VALUE(LEFT(S377,FIND("/",S377)-1))/VALUE(MID(S377,FIND("/",S377)+1,9))),VALUE(S377)),""))</f>
        <v/>
      </c>
      <c r="U377" s="43" t="str">
        <f aca="false">IF(OR($A377="",NOT(ISNUMBER(Q377))),"",TEXT(Q377,"yyyymmdd")&amp;"|"&amp;IF(R377=1,"F",TEXT(T377,"0.000")))</f>
        <v/>
      </c>
      <c r="V377" s="43" t="str">
        <f aca="false">IF(U377="","",O377&amp;"|"&amp;U377)</f>
        <v/>
      </c>
      <c r="W377" s="43" t="str">
        <f aca="false">IF($A377="","",IFERROR(IF(VLOOKUP(O377,매핑!$A$4:$E$92,3,0)="","미분류",VLOOKUP(O377,매핑!$A$4:$E$92,3,0)),"미분류"))</f>
        <v/>
      </c>
      <c r="X377" s="89" t="n">
        <f aca="false">IF($A377="",0,IF(O377="T",1,0))</f>
        <v>0</v>
      </c>
      <c r="Y377" s="89" t="n">
        <f aca="false">IF($A377="",0,IF(AND(C377="USD",X377=0,ISNUMBER(E377),ISNUMBER(K377)),IF(K377&gt;=설정!$C$8,1,0),0))</f>
        <v>0</v>
      </c>
      <c r="Z377" s="43" t="str">
        <f aca="false">IF($A377="","",N377&amp;"|"&amp;L377)</f>
        <v/>
      </c>
      <c r="AA377" s="92" t="n">
        <f aca="false">IF(Y377=1,LN(K377),0)</f>
        <v>0</v>
      </c>
      <c r="AB377" s="93" t="n">
        <f aca="false">IF(Y377=1,E377,0)</f>
        <v>0</v>
      </c>
      <c r="AC377" s="89" t="n">
        <f aca="false">IF(Y377=1,COUNTIFS($Z$2:$Z$601,Z377,$Y$2:$Y$601,1),0)</f>
        <v>0</v>
      </c>
      <c r="AD377" s="89" t="n">
        <f aca="false">IF(Y377=1,COUNTIFS($N$2:$N$601,N377,$Y$2:$Y$601,1),0)</f>
        <v>0</v>
      </c>
      <c r="AE377" s="43" t="str">
        <f aca="false">IF(Y377&lt;&gt;1,"",IF(AND(AC377&gt;=설정!$C$7,ISNUMBER(MATCH(Z377,피어커브!$A:$A,0))),Z377,IF(AND(AD377&gt;=설정!$C$7,ISNUMBER(MATCH(N377&amp;"|전체",피어커브!$A:$A,0))),N377&amp;"|전체","전체|전체")))</f>
        <v/>
      </c>
      <c r="AF377" s="93" t="str">
        <f aca="false">IF(AE377="","",INDEX(피어커브!$K:$K,MATCH(AE377,피어커브!$A:$A,0)))</f>
        <v/>
      </c>
      <c r="AG377" s="93" t="str">
        <f aca="false">IF(AE377="","",INDEX(피어커브!$J:$J,MATCH(AE377,피어커브!$A:$A,0)))</f>
        <v/>
      </c>
      <c r="AH377" s="93" t="str">
        <f aca="false">IF(AE377="","",INDEX(피어커브!$L:$L,MATCH(AE377,피어커브!$A:$A,0)))</f>
        <v/>
      </c>
      <c r="AI377" s="93" t="str">
        <f aca="false">IF(AE377="","",AF377+AG377*AA377)</f>
        <v/>
      </c>
      <c r="AJ377" s="96" t="str">
        <f aca="false">IF(AE377="","",E377-AI377)</f>
        <v/>
      </c>
      <c r="AK377" s="95" t="str">
        <f aca="false">IF(AE377="","",IF(ISNUMBER(AH377),IF(AH377&gt;0,AJ377/AH377,""),""))</f>
        <v/>
      </c>
      <c r="AL377" s="43" t="str">
        <f aca="false">IF(AK377="","-",IF(AK377&gt;=설정!$C$6,"Cheap",IF(AK377&lt;=-설정!$C$6,"Rich","Fair")))</f>
        <v>-</v>
      </c>
      <c r="AM377" s="96" t="str">
        <f aca="false">IF(AE377="","",AJ377-AVERAGEIFS($AJ$2:$AJ$601,$B$2:$B$601,B377,$Y$2:$Y$601,1))</f>
        <v/>
      </c>
      <c r="AN377" s="93" t="n">
        <f aca="false">IF(AE377="",0,IF(K377&gt;1+설정!$C$8,AG377*(AA377-LN(K377-1)),0))</f>
        <v>0</v>
      </c>
      <c r="AO377" s="99" t="n">
        <f aca="false">IF($A377="",0,SUMIFS(보유분석!$AA$2:$AA$801,보유분석!$AB$2:$AB$801,ROW(),보유분석!$AC$2:$AC$801,1))</f>
        <v>0</v>
      </c>
      <c r="AP377" s="43" t="str">
        <f aca="false">IF($A377="","",TRIM(IF(R377=1,"FRN ","")&amp;IF(IFERROR(VLOOKUP(M377,설정!$A$15:$D$47,4,0),0)&gt;=10,IF(IFERROR(VLOOKUP(M377,설정!$A$15:$D$47,4,0),0)&lt;99,"BBB0미만 ",""),"")&amp;IF(OR(M377="",M377="NR"),"등급미입력 ","")&amp;IF(C377&lt;&gt;"USD","비USD ","")))</f>
        <v/>
      </c>
      <c r="AQ377" s="90" t="n">
        <f aca="false">IF(AND(Y377=1,AL377="Cheap"),IF(AND(ISERROR(SEARCH("FRN",AP377)),ISERROR(SEARCH("BBB0미만",AP377))),AK377+ROW()/1000000000,-999),-999)</f>
        <v>-999</v>
      </c>
      <c r="AR377" s="92" t="str">
        <f aca="false">IF(AND(ISNUMBER(D377),ISNUMBER(K377)),D377+AN377*MAX(K377-1,0)/100,"")</f>
        <v/>
      </c>
      <c r="AS377" s="93" t="str">
        <f aca="false">IF(AND(ISNUMBER(E377),ISNUMBER(K377)),IF(K377&gt;0,(E377+AN377*MAX(K377-1,0))/K377,""),"")</f>
        <v/>
      </c>
      <c r="AT377" s="90" t="n">
        <f aca="false">IFERROR(IF(AND(Y377=1,ROW()&lt;&gt;스왑분석!$C$12+1,ABS(K377-INDEX($K$2:$K$601,스왑분석!$C$12))&lt;=스왑분석!$C$5,ISERROR(SEARCH("FRN",AP377)),ISERROR(SEARCH("BBB0미만",AP377))),IF(AND(OR(스왑분석!$C$6="N",L377=INDEX($L$2:$L$601,스왑분석!$C$12)),OR(스왑분석!$C$7="N",N377=INDEX($N$2:$N$601,스왑분석!$C$12)),OR(스왑분석!$C$8="N",AO377=0),E377-INDEX($E$2:$E$601,스왑분석!$C$12)&gt;=스왑분석!$C$9),E377-INDEX($E$2:$E$601,스왑분석!$C$12)+ROW()/1000000000,-999),-999),-999)</f>
        <v>-999</v>
      </c>
      <c r="AU377" s="90" t="n">
        <f aca="false">IF(AND(Y377=1,AO377&gt;0,AL377="Rich"),-AK377+ROW()/1000000000,-999)</f>
        <v>-999</v>
      </c>
    </row>
    <row r="378" customFormat="false" ht="15" hidden="false" customHeight="false" outlineLevel="0" collapsed="false">
      <c r="A378" s="83" t="n">
        <f aca="false">IFERROR(IF(INDEX(원자료_시장!$A$1:$BZ$1000,설정!$L$6+ROW()-1,설정!$L$24)&amp;""="0","",INDEX(원자료_시장!$A$1:$BZ$1000,설정!$L$6+ROW()-1,설정!$L$24)),"")</f>
        <v>0</v>
      </c>
      <c r="B378" s="83" t="n">
        <f aca="false">IFERROR(IF(INDEX(원자료_시장!$A$1:$BZ$1000,설정!$L$6+ROW()-1,설정!$L$37)&amp;""="0","",INDEX(원자료_시장!$A$1:$BZ$1000,설정!$L$6+ROW()-1,설정!$L$37)),"")</f>
        <v>0</v>
      </c>
      <c r="C378" s="83" t="n">
        <f aca="false">IFERROR(IF(INDEX(원자료_시장!$A$1:$BZ$1000,설정!$L$6+ROW()-1,설정!$L$25)&amp;""="0","",INDEX(원자료_시장!$A$1:$BZ$1000,설정!$L$6+ROW()-1,설정!$L$25)),"")</f>
        <v>0</v>
      </c>
      <c r="D378" s="85" t="str">
        <f aca="false">IFERROR(IF(ISNUMBER(INDEX(원자료_시장!$A$1:$BZ$1000,설정!$L$6+ROW()-1,설정!$L$26)),INDEX(원자료_시장!$A$1:$BZ$1000,설정!$L$6+ROW()-1,설정!$L$26),""),"")</f>
        <v/>
      </c>
      <c r="E378" s="97" t="str">
        <f aca="false">IFERROR(IF(ISNUMBER(INDEX(원자료_시장!$A$1:$BZ$1000,설정!$L$6+ROW()-1,설정!$L$27)),INDEX(원자료_시장!$A$1:$BZ$1000,설정!$L$6+ROW()-1,설정!$L$27),""),"")</f>
        <v/>
      </c>
      <c r="F378" s="97" t="str">
        <f aca="false">IFERROR(IF(ISNUMBER(INDEX(원자료_시장!$A$1:$BZ$1000,설정!$L$6+ROW()-1,설정!$L$28)),INDEX(원자료_시장!$A$1:$BZ$1000,설정!$L$6+ROW()-1,설정!$L$28),""),"")</f>
        <v/>
      </c>
      <c r="G378" s="97" t="str">
        <f aca="false">IFERROR(IF(ISNUMBER(INDEX(원자료_시장!$A$1:$BZ$1000,설정!$L$6+ROW()-1,설정!$L$29)),INDEX(원자료_시장!$A$1:$BZ$1000,설정!$L$6+ROW()-1,설정!$L$29),""),"")</f>
        <v/>
      </c>
      <c r="H378" s="97" t="str">
        <f aca="false">IFERROR(IF(ISNUMBER(INDEX(원자료_시장!$A$1:$BZ$1000,설정!$L$6+ROW()-1,설정!$L$30)),INDEX(원자료_시장!$A$1:$BZ$1000,설정!$L$6+ROW()-1,설정!$L$30),""),"")</f>
        <v/>
      </c>
      <c r="I378" s="97" t="str">
        <f aca="false">IFERROR(IF(ISNUMBER(INDEX(원자료_시장!$A$1:$BZ$1000,설정!$L$6+ROW()-1,설정!$L$31)),INDEX(원자료_시장!$A$1:$BZ$1000,설정!$L$6+ROW()-1,설정!$L$31),""),"")</f>
        <v/>
      </c>
      <c r="J378" s="97" t="str">
        <f aca="false">IFERROR(IF(ISNUMBER(INDEX(원자료_시장!$A$1:$BZ$1000,설정!$L$6+ROW()-1,설정!$L$32)),INDEX(원자료_시장!$A$1:$BZ$1000,설정!$L$6+ROW()-1,설정!$L$32),""),"")</f>
        <v/>
      </c>
      <c r="K378" s="85" t="str">
        <f aca="false">IFERROR(IF(ISNUMBER(INDEX(원자료_시장!$A$1:$BZ$1000,설정!$L$6+ROW()-1,설정!$L$33)),INDEX(원자료_시장!$A$1:$BZ$1000,설정!$L$6+ROW()-1,설정!$L$33),""),"")</f>
        <v/>
      </c>
      <c r="L378" s="83" t="n">
        <f aca="false">IFERROR(IF(INDEX(원자료_시장!$A$1:$BZ$1000,설정!$L$6+ROW()-1,설정!$L$34)&amp;""="0","",INDEX(원자료_시장!$A$1:$BZ$1000,설정!$L$6+ROW()-1,설정!$L$34)),"")</f>
        <v>0</v>
      </c>
      <c r="M378" s="83" t="n">
        <f aca="false">IFERROR(IF(INDEX(원자료_시장!$A$1:$BZ$1000,설정!$L$6+ROW()-1,설정!$L$35)&amp;""="0","",INDEX(원자료_시장!$A$1:$BZ$1000,설정!$L$6+ROW()-1,설정!$L$35)),"")</f>
        <v>0</v>
      </c>
      <c r="N378" s="83" t="n">
        <f aca="false">IFERROR(IF(INDEX(원자료_시장!$A$1:$BZ$1000,설정!$L$6+ROW()-1,설정!$L$36)&amp;""="0","",INDEX(원자료_시장!$A$1:$BZ$1000,설정!$L$6+ROW()-1,설정!$L$36)),"")</f>
        <v>0</v>
      </c>
      <c r="O378" s="43" t="str">
        <f aca="false">IF($A378="","",UPPER(LEFT($A378,FIND(" ",$A378&amp;" ")-1)))</f>
        <v/>
      </c>
      <c r="P378" s="43" t="str">
        <f aca="false">IF($A378="","",TRIM(RIGHT(SUBSTITUTE(TRIM($A378)," ",REPT(" ",30)),30)))</f>
        <v/>
      </c>
      <c r="Q378" s="98" t="str">
        <f aca="false">IF($A378="","",IFERROR(DATE(IF(LEN(P378)=8,2000+VALUE(RIGHT(P378,2)),VALUE(RIGHT(P378,4))),VALUE(LEFT(P378,2)),VALUE(MID(P378,4,2))),""))</f>
        <v/>
      </c>
      <c r="R378" s="89" t="n">
        <f aca="false">IF($A378="",0,IF(ISNUMBER(SEARCH("Float",$A378)),1,0))</f>
        <v>0</v>
      </c>
      <c r="S378" s="43" t="str">
        <f aca="false">IF($A378="","",TRIM(MID($A378,LEN(O378)+2,LEN($A378)-LEN(O378)-LEN(P378)-1)))</f>
        <v/>
      </c>
      <c r="T378" s="92" t="str">
        <f aca="false">IF(OR($A378="",R378=1),"",IFERROR(IF(ISNUMBER(FIND("/",S378)),IF(ISNUMBER(FIND(" ",S378)),VALUE(LEFT(S378,FIND(" ",S378)-1))+VALUE(MID(S378,FIND(" ",S378)+1,FIND("/",S378)-FIND(" ",S378)-1))/VALUE(MID(S378,FIND("/",S378)+1,9)),VALUE(LEFT(S378,FIND("/",S378)-1))/VALUE(MID(S378,FIND("/",S378)+1,9))),VALUE(S378)),""))</f>
        <v/>
      </c>
      <c r="U378" s="43" t="str">
        <f aca="false">IF(OR($A378="",NOT(ISNUMBER(Q378))),"",TEXT(Q378,"yyyymmdd")&amp;"|"&amp;IF(R378=1,"F",TEXT(T378,"0.000")))</f>
        <v/>
      </c>
      <c r="V378" s="43" t="str">
        <f aca="false">IF(U378="","",O378&amp;"|"&amp;U378)</f>
        <v/>
      </c>
      <c r="W378" s="43" t="str">
        <f aca="false">IF($A378="","",IFERROR(IF(VLOOKUP(O378,매핑!$A$4:$E$92,3,0)="","미분류",VLOOKUP(O378,매핑!$A$4:$E$92,3,0)),"미분류"))</f>
        <v/>
      </c>
      <c r="X378" s="89" t="n">
        <f aca="false">IF($A378="",0,IF(O378="T",1,0))</f>
        <v>0</v>
      </c>
      <c r="Y378" s="89" t="n">
        <f aca="false">IF($A378="",0,IF(AND(C378="USD",X378=0,ISNUMBER(E378),ISNUMBER(K378)),IF(K378&gt;=설정!$C$8,1,0),0))</f>
        <v>0</v>
      </c>
      <c r="Z378" s="43" t="str">
        <f aca="false">IF($A378="","",N378&amp;"|"&amp;L378)</f>
        <v/>
      </c>
      <c r="AA378" s="92" t="n">
        <f aca="false">IF(Y378=1,LN(K378),0)</f>
        <v>0</v>
      </c>
      <c r="AB378" s="93" t="n">
        <f aca="false">IF(Y378=1,E378,0)</f>
        <v>0</v>
      </c>
      <c r="AC378" s="89" t="n">
        <f aca="false">IF(Y378=1,COUNTIFS($Z$2:$Z$601,Z378,$Y$2:$Y$601,1),0)</f>
        <v>0</v>
      </c>
      <c r="AD378" s="89" t="n">
        <f aca="false">IF(Y378=1,COUNTIFS($N$2:$N$601,N378,$Y$2:$Y$601,1),0)</f>
        <v>0</v>
      </c>
      <c r="AE378" s="43" t="str">
        <f aca="false">IF(Y378&lt;&gt;1,"",IF(AND(AC378&gt;=설정!$C$7,ISNUMBER(MATCH(Z378,피어커브!$A:$A,0))),Z378,IF(AND(AD378&gt;=설정!$C$7,ISNUMBER(MATCH(N378&amp;"|전체",피어커브!$A:$A,0))),N378&amp;"|전체","전체|전체")))</f>
        <v/>
      </c>
      <c r="AF378" s="93" t="str">
        <f aca="false">IF(AE378="","",INDEX(피어커브!$K:$K,MATCH(AE378,피어커브!$A:$A,0)))</f>
        <v/>
      </c>
      <c r="AG378" s="93" t="str">
        <f aca="false">IF(AE378="","",INDEX(피어커브!$J:$J,MATCH(AE378,피어커브!$A:$A,0)))</f>
        <v/>
      </c>
      <c r="AH378" s="93" t="str">
        <f aca="false">IF(AE378="","",INDEX(피어커브!$L:$L,MATCH(AE378,피어커브!$A:$A,0)))</f>
        <v/>
      </c>
      <c r="AI378" s="93" t="str">
        <f aca="false">IF(AE378="","",AF378+AG378*AA378)</f>
        <v/>
      </c>
      <c r="AJ378" s="96" t="str">
        <f aca="false">IF(AE378="","",E378-AI378)</f>
        <v/>
      </c>
      <c r="AK378" s="95" t="str">
        <f aca="false">IF(AE378="","",IF(ISNUMBER(AH378),IF(AH378&gt;0,AJ378/AH378,""),""))</f>
        <v/>
      </c>
      <c r="AL378" s="43" t="str">
        <f aca="false">IF(AK378="","-",IF(AK378&gt;=설정!$C$6,"Cheap",IF(AK378&lt;=-설정!$C$6,"Rich","Fair")))</f>
        <v>-</v>
      </c>
      <c r="AM378" s="96" t="str">
        <f aca="false">IF(AE378="","",AJ378-AVERAGEIFS($AJ$2:$AJ$601,$B$2:$B$601,B378,$Y$2:$Y$601,1))</f>
        <v/>
      </c>
      <c r="AN378" s="93" t="n">
        <f aca="false">IF(AE378="",0,IF(K378&gt;1+설정!$C$8,AG378*(AA378-LN(K378-1)),0))</f>
        <v>0</v>
      </c>
      <c r="AO378" s="99" t="n">
        <f aca="false">IF($A378="",0,SUMIFS(보유분석!$AA$2:$AA$801,보유분석!$AB$2:$AB$801,ROW(),보유분석!$AC$2:$AC$801,1))</f>
        <v>0</v>
      </c>
      <c r="AP378" s="43" t="str">
        <f aca="false">IF($A378="","",TRIM(IF(R378=1,"FRN ","")&amp;IF(IFERROR(VLOOKUP(M378,설정!$A$15:$D$47,4,0),0)&gt;=10,IF(IFERROR(VLOOKUP(M378,설정!$A$15:$D$47,4,0),0)&lt;99,"BBB0미만 ",""),"")&amp;IF(OR(M378="",M378="NR"),"등급미입력 ","")&amp;IF(C378&lt;&gt;"USD","비USD ","")))</f>
        <v/>
      </c>
      <c r="AQ378" s="90" t="n">
        <f aca="false">IF(AND(Y378=1,AL378="Cheap"),IF(AND(ISERROR(SEARCH("FRN",AP378)),ISERROR(SEARCH("BBB0미만",AP378))),AK378+ROW()/1000000000,-999),-999)</f>
        <v>-999</v>
      </c>
      <c r="AR378" s="92" t="str">
        <f aca="false">IF(AND(ISNUMBER(D378),ISNUMBER(K378)),D378+AN378*MAX(K378-1,0)/100,"")</f>
        <v/>
      </c>
      <c r="AS378" s="93" t="str">
        <f aca="false">IF(AND(ISNUMBER(E378),ISNUMBER(K378)),IF(K378&gt;0,(E378+AN378*MAX(K378-1,0))/K378,""),"")</f>
        <v/>
      </c>
      <c r="AT378" s="90" t="n">
        <f aca="false">IFERROR(IF(AND(Y378=1,ROW()&lt;&gt;스왑분석!$C$12+1,ABS(K378-INDEX($K$2:$K$601,스왑분석!$C$12))&lt;=스왑분석!$C$5,ISERROR(SEARCH("FRN",AP378)),ISERROR(SEARCH("BBB0미만",AP378))),IF(AND(OR(스왑분석!$C$6="N",L378=INDEX($L$2:$L$601,스왑분석!$C$12)),OR(스왑분석!$C$7="N",N378=INDEX($N$2:$N$601,스왑분석!$C$12)),OR(스왑분석!$C$8="N",AO378=0),E378-INDEX($E$2:$E$601,스왑분석!$C$12)&gt;=스왑분석!$C$9),E378-INDEX($E$2:$E$601,스왑분석!$C$12)+ROW()/1000000000,-999),-999),-999)</f>
        <v>-999</v>
      </c>
      <c r="AU378" s="90" t="n">
        <f aca="false">IF(AND(Y378=1,AO378&gt;0,AL378="Rich"),-AK378+ROW()/1000000000,-999)</f>
        <v>-999</v>
      </c>
    </row>
    <row r="379" customFormat="false" ht="15" hidden="false" customHeight="false" outlineLevel="0" collapsed="false">
      <c r="A379" s="83" t="n">
        <f aca="false">IFERROR(IF(INDEX(원자료_시장!$A$1:$BZ$1000,설정!$L$6+ROW()-1,설정!$L$24)&amp;""="0","",INDEX(원자료_시장!$A$1:$BZ$1000,설정!$L$6+ROW()-1,설정!$L$24)),"")</f>
        <v>0</v>
      </c>
      <c r="B379" s="83" t="n">
        <f aca="false">IFERROR(IF(INDEX(원자료_시장!$A$1:$BZ$1000,설정!$L$6+ROW()-1,설정!$L$37)&amp;""="0","",INDEX(원자료_시장!$A$1:$BZ$1000,설정!$L$6+ROW()-1,설정!$L$37)),"")</f>
        <v>0</v>
      </c>
      <c r="C379" s="83" t="n">
        <f aca="false">IFERROR(IF(INDEX(원자료_시장!$A$1:$BZ$1000,설정!$L$6+ROW()-1,설정!$L$25)&amp;""="0","",INDEX(원자료_시장!$A$1:$BZ$1000,설정!$L$6+ROW()-1,설정!$L$25)),"")</f>
        <v>0</v>
      </c>
      <c r="D379" s="85" t="str">
        <f aca="false">IFERROR(IF(ISNUMBER(INDEX(원자료_시장!$A$1:$BZ$1000,설정!$L$6+ROW()-1,설정!$L$26)),INDEX(원자료_시장!$A$1:$BZ$1000,설정!$L$6+ROW()-1,설정!$L$26),""),"")</f>
        <v/>
      </c>
      <c r="E379" s="97" t="str">
        <f aca="false">IFERROR(IF(ISNUMBER(INDEX(원자료_시장!$A$1:$BZ$1000,설정!$L$6+ROW()-1,설정!$L$27)),INDEX(원자료_시장!$A$1:$BZ$1000,설정!$L$6+ROW()-1,설정!$L$27),""),"")</f>
        <v/>
      </c>
      <c r="F379" s="97" t="str">
        <f aca="false">IFERROR(IF(ISNUMBER(INDEX(원자료_시장!$A$1:$BZ$1000,설정!$L$6+ROW()-1,설정!$L$28)),INDEX(원자료_시장!$A$1:$BZ$1000,설정!$L$6+ROW()-1,설정!$L$28),""),"")</f>
        <v/>
      </c>
      <c r="G379" s="97" t="str">
        <f aca="false">IFERROR(IF(ISNUMBER(INDEX(원자료_시장!$A$1:$BZ$1000,설정!$L$6+ROW()-1,설정!$L$29)),INDEX(원자료_시장!$A$1:$BZ$1000,설정!$L$6+ROW()-1,설정!$L$29),""),"")</f>
        <v/>
      </c>
      <c r="H379" s="97" t="str">
        <f aca="false">IFERROR(IF(ISNUMBER(INDEX(원자료_시장!$A$1:$BZ$1000,설정!$L$6+ROW()-1,설정!$L$30)),INDEX(원자료_시장!$A$1:$BZ$1000,설정!$L$6+ROW()-1,설정!$L$30),""),"")</f>
        <v/>
      </c>
      <c r="I379" s="97" t="str">
        <f aca="false">IFERROR(IF(ISNUMBER(INDEX(원자료_시장!$A$1:$BZ$1000,설정!$L$6+ROW()-1,설정!$L$31)),INDEX(원자료_시장!$A$1:$BZ$1000,설정!$L$6+ROW()-1,설정!$L$31),""),"")</f>
        <v/>
      </c>
      <c r="J379" s="97" t="str">
        <f aca="false">IFERROR(IF(ISNUMBER(INDEX(원자료_시장!$A$1:$BZ$1000,설정!$L$6+ROW()-1,설정!$L$32)),INDEX(원자료_시장!$A$1:$BZ$1000,설정!$L$6+ROW()-1,설정!$L$32),""),"")</f>
        <v/>
      </c>
      <c r="K379" s="85" t="str">
        <f aca="false">IFERROR(IF(ISNUMBER(INDEX(원자료_시장!$A$1:$BZ$1000,설정!$L$6+ROW()-1,설정!$L$33)),INDEX(원자료_시장!$A$1:$BZ$1000,설정!$L$6+ROW()-1,설정!$L$33),""),"")</f>
        <v/>
      </c>
      <c r="L379" s="83" t="n">
        <f aca="false">IFERROR(IF(INDEX(원자료_시장!$A$1:$BZ$1000,설정!$L$6+ROW()-1,설정!$L$34)&amp;""="0","",INDEX(원자료_시장!$A$1:$BZ$1000,설정!$L$6+ROW()-1,설정!$L$34)),"")</f>
        <v>0</v>
      </c>
      <c r="M379" s="83" t="n">
        <f aca="false">IFERROR(IF(INDEX(원자료_시장!$A$1:$BZ$1000,설정!$L$6+ROW()-1,설정!$L$35)&amp;""="0","",INDEX(원자료_시장!$A$1:$BZ$1000,설정!$L$6+ROW()-1,설정!$L$35)),"")</f>
        <v>0</v>
      </c>
      <c r="N379" s="83" t="n">
        <f aca="false">IFERROR(IF(INDEX(원자료_시장!$A$1:$BZ$1000,설정!$L$6+ROW()-1,설정!$L$36)&amp;""="0","",INDEX(원자료_시장!$A$1:$BZ$1000,설정!$L$6+ROW()-1,설정!$L$36)),"")</f>
        <v>0</v>
      </c>
      <c r="O379" s="43" t="str">
        <f aca="false">IF($A379="","",UPPER(LEFT($A379,FIND(" ",$A379&amp;" ")-1)))</f>
        <v/>
      </c>
      <c r="P379" s="43" t="str">
        <f aca="false">IF($A379="","",TRIM(RIGHT(SUBSTITUTE(TRIM($A379)," ",REPT(" ",30)),30)))</f>
        <v/>
      </c>
      <c r="Q379" s="98" t="str">
        <f aca="false">IF($A379="","",IFERROR(DATE(IF(LEN(P379)=8,2000+VALUE(RIGHT(P379,2)),VALUE(RIGHT(P379,4))),VALUE(LEFT(P379,2)),VALUE(MID(P379,4,2))),""))</f>
        <v/>
      </c>
      <c r="R379" s="89" t="n">
        <f aca="false">IF($A379="",0,IF(ISNUMBER(SEARCH("Float",$A379)),1,0))</f>
        <v>0</v>
      </c>
      <c r="S379" s="43" t="str">
        <f aca="false">IF($A379="","",TRIM(MID($A379,LEN(O379)+2,LEN($A379)-LEN(O379)-LEN(P379)-1)))</f>
        <v/>
      </c>
      <c r="T379" s="92" t="str">
        <f aca="false">IF(OR($A379="",R379=1),"",IFERROR(IF(ISNUMBER(FIND("/",S379)),IF(ISNUMBER(FIND(" ",S379)),VALUE(LEFT(S379,FIND(" ",S379)-1))+VALUE(MID(S379,FIND(" ",S379)+1,FIND("/",S379)-FIND(" ",S379)-1))/VALUE(MID(S379,FIND("/",S379)+1,9)),VALUE(LEFT(S379,FIND("/",S379)-1))/VALUE(MID(S379,FIND("/",S379)+1,9))),VALUE(S379)),""))</f>
        <v/>
      </c>
      <c r="U379" s="43" t="str">
        <f aca="false">IF(OR($A379="",NOT(ISNUMBER(Q379))),"",TEXT(Q379,"yyyymmdd")&amp;"|"&amp;IF(R379=1,"F",TEXT(T379,"0.000")))</f>
        <v/>
      </c>
      <c r="V379" s="43" t="str">
        <f aca="false">IF(U379="","",O379&amp;"|"&amp;U379)</f>
        <v/>
      </c>
      <c r="W379" s="43" t="str">
        <f aca="false">IF($A379="","",IFERROR(IF(VLOOKUP(O379,매핑!$A$4:$E$92,3,0)="","미분류",VLOOKUP(O379,매핑!$A$4:$E$92,3,0)),"미분류"))</f>
        <v/>
      </c>
      <c r="X379" s="89" t="n">
        <f aca="false">IF($A379="",0,IF(O379="T",1,0))</f>
        <v>0</v>
      </c>
      <c r="Y379" s="89" t="n">
        <f aca="false">IF($A379="",0,IF(AND(C379="USD",X379=0,ISNUMBER(E379),ISNUMBER(K379)),IF(K379&gt;=설정!$C$8,1,0),0))</f>
        <v>0</v>
      </c>
      <c r="Z379" s="43" t="str">
        <f aca="false">IF($A379="","",N379&amp;"|"&amp;L379)</f>
        <v/>
      </c>
      <c r="AA379" s="92" t="n">
        <f aca="false">IF(Y379=1,LN(K379),0)</f>
        <v>0</v>
      </c>
      <c r="AB379" s="93" t="n">
        <f aca="false">IF(Y379=1,E379,0)</f>
        <v>0</v>
      </c>
      <c r="AC379" s="89" t="n">
        <f aca="false">IF(Y379=1,COUNTIFS($Z$2:$Z$601,Z379,$Y$2:$Y$601,1),0)</f>
        <v>0</v>
      </c>
      <c r="AD379" s="89" t="n">
        <f aca="false">IF(Y379=1,COUNTIFS($N$2:$N$601,N379,$Y$2:$Y$601,1),0)</f>
        <v>0</v>
      </c>
      <c r="AE379" s="43" t="str">
        <f aca="false">IF(Y379&lt;&gt;1,"",IF(AND(AC379&gt;=설정!$C$7,ISNUMBER(MATCH(Z379,피어커브!$A:$A,0))),Z379,IF(AND(AD379&gt;=설정!$C$7,ISNUMBER(MATCH(N379&amp;"|전체",피어커브!$A:$A,0))),N379&amp;"|전체","전체|전체")))</f>
        <v/>
      </c>
      <c r="AF379" s="93" t="str">
        <f aca="false">IF(AE379="","",INDEX(피어커브!$K:$K,MATCH(AE379,피어커브!$A:$A,0)))</f>
        <v/>
      </c>
      <c r="AG379" s="93" t="str">
        <f aca="false">IF(AE379="","",INDEX(피어커브!$J:$J,MATCH(AE379,피어커브!$A:$A,0)))</f>
        <v/>
      </c>
      <c r="AH379" s="93" t="str">
        <f aca="false">IF(AE379="","",INDEX(피어커브!$L:$L,MATCH(AE379,피어커브!$A:$A,0)))</f>
        <v/>
      </c>
      <c r="AI379" s="93" t="str">
        <f aca="false">IF(AE379="","",AF379+AG379*AA379)</f>
        <v/>
      </c>
      <c r="AJ379" s="96" t="str">
        <f aca="false">IF(AE379="","",E379-AI379)</f>
        <v/>
      </c>
      <c r="AK379" s="95" t="str">
        <f aca="false">IF(AE379="","",IF(ISNUMBER(AH379),IF(AH379&gt;0,AJ379/AH379,""),""))</f>
        <v/>
      </c>
      <c r="AL379" s="43" t="str">
        <f aca="false">IF(AK379="","-",IF(AK379&gt;=설정!$C$6,"Cheap",IF(AK379&lt;=-설정!$C$6,"Rich","Fair")))</f>
        <v>-</v>
      </c>
      <c r="AM379" s="96" t="str">
        <f aca="false">IF(AE379="","",AJ379-AVERAGEIFS($AJ$2:$AJ$601,$B$2:$B$601,B379,$Y$2:$Y$601,1))</f>
        <v/>
      </c>
      <c r="AN379" s="93" t="n">
        <f aca="false">IF(AE379="",0,IF(K379&gt;1+설정!$C$8,AG379*(AA379-LN(K379-1)),0))</f>
        <v>0</v>
      </c>
      <c r="AO379" s="99" t="n">
        <f aca="false">IF($A379="",0,SUMIFS(보유분석!$AA$2:$AA$801,보유분석!$AB$2:$AB$801,ROW(),보유분석!$AC$2:$AC$801,1))</f>
        <v>0</v>
      </c>
      <c r="AP379" s="43" t="str">
        <f aca="false">IF($A379="","",TRIM(IF(R379=1,"FRN ","")&amp;IF(IFERROR(VLOOKUP(M379,설정!$A$15:$D$47,4,0),0)&gt;=10,IF(IFERROR(VLOOKUP(M379,설정!$A$15:$D$47,4,0),0)&lt;99,"BBB0미만 ",""),"")&amp;IF(OR(M379="",M379="NR"),"등급미입력 ","")&amp;IF(C379&lt;&gt;"USD","비USD ","")))</f>
        <v/>
      </c>
      <c r="AQ379" s="90" t="n">
        <f aca="false">IF(AND(Y379=1,AL379="Cheap"),IF(AND(ISERROR(SEARCH("FRN",AP379)),ISERROR(SEARCH("BBB0미만",AP379))),AK379+ROW()/1000000000,-999),-999)</f>
        <v>-999</v>
      </c>
      <c r="AR379" s="92" t="str">
        <f aca="false">IF(AND(ISNUMBER(D379),ISNUMBER(K379)),D379+AN379*MAX(K379-1,0)/100,"")</f>
        <v/>
      </c>
      <c r="AS379" s="93" t="str">
        <f aca="false">IF(AND(ISNUMBER(E379),ISNUMBER(K379)),IF(K379&gt;0,(E379+AN379*MAX(K379-1,0))/K379,""),"")</f>
        <v/>
      </c>
      <c r="AT379" s="90" t="n">
        <f aca="false">IFERROR(IF(AND(Y379=1,ROW()&lt;&gt;스왑분석!$C$12+1,ABS(K379-INDEX($K$2:$K$601,스왑분석!$C$12))&lt;=스왑분석!$C$5,ISERROR(SEARCH("FRN",AP379)),ISERROR(SEARCH("BBB0미만",AP379))),IF(AND(OR(스왑분석!$C$6="N",L379=INDEX($L$2:$L$601,스왑분석!$C$12)),OR(스왑분석!$C$7="N",N379=INDEX($N$2:$N$601,스왑분석!$C$12)),OR(스왑분석!$C$8="N",AO379=0),E379-INDEX($E$2:$E$601,스왑분석!$C$12)&gt;=스왑분석!$C$9),E379-INDEX($E$2:$E$601,스왑분석!$C$12)+ROW()/1000000000,-999),-999),-999)</f>
        <v>-999</v>
      </c>
      <c r="AU379" s="90" t="n">
        <f aca="false">IF(AND(Y379=1,AO379&gt;0,AL379="Rich"),-AK379+ROW()/1000000000,-999)</f>
        <v>-999</v>
      </c>
    </row>
    <row r="380" customFormat="false" ht="15" hidden="false" customHeight="false" outlineLevel="0" collapsed="false">
      <c r="A380" s="83" t="n">
        <f aca="false">IFERROR(IF(INDEX(원자료_시장!$A$1:$BZ$1000,설정!$L$6+ROW()-1,설정!$L$24)&amp;""="0","",INDEX(원자료_시장!$A$1:$BZ$1000,설정!$L$6+ROW()-1,설정!$L$24)),"")</f>
        <v>0</v>
      </c>
      <c r="B380" s="83" t="n">
        <f aca="false">IFERROR(IF(INDEX(원자료_시장!$A$1:$BZ$1000,설정!$L$6+ROW()-1,설정!$L$37)&amp;""="0","",INDEX(원자료_시장!$A$1:$BZ$1000,설정!$L$6+ROW()-1,설정!$L$37)),"")</f>
        <v>0</v>
      </c>
      <c r="C380" s="83" t="n">
        <f aca="false">IFERROR(IF(INDEX(원자료_시장!$A$1:$BZ$1000,설정!$L$6+ROW()-1,설정!$L$25)&amp;""="0","",INDEX(원자료_시장!$A$1:$BZ$1000,설정!$L$6+ROW()-1,설정!$L$25)),"")</f>
        <v>0</v>
      </c>
      <c r="D380" s="85" t="str">
        <f aca="false">IFERROR(IF(ISNUMBER(INDEX(원자료_시장!$A$1:$BZ$1000,설정!$L$6+ROW()-1,설정!$L$26)),INDEX(원자료_시장!$A$1:$BZ$1000,설정!$L$6+ROW()-1,설정!$L$26),""),"")</f>
        <v/>
      </c>
      <c r="E380" s="97" t="str">
        <f aca="false">IFERROR(IF(ISNUMBER(INDEX(원자료_시장!$A$1:$BZ$1000,설정!$L$6+ROW()-1,설정!$L$27)),INDEX(원자료_시장!$A$1:$BZ$1000,설정!$L$6+ROW()-1,설정!$L$27),""),"")</f>
        <v/>
      </c>
      <c r="F380" s="97" t="str">
        <f aca="false">IFERROR(IF(ISNUMBER(INDEX(원자료_시장!$A$1:$BZ$1000,설정!$L$6+ROW()-1,설정!$L$28)),INDEX(원자료_시장!$A$1:$BZ$1000,설정!$L$6+ROW()-1,설정!$L$28),""),"")</f>
        <v/>
      </c>
      <c r="G380" s="97" t="str">
        <f aca="false">IFERROR(IF(ISNUMBER(INDEX(원자료_시장!$A$1:$BZ$1000,설정!$L$6+ROW()-1,설정!$L$29)),INDEX(원자료_시장!$A$1:$BZ$1000,설정!$L$6+ROW()-1,설정!$L$29),""),"")</f>
        <v/>
      </c>
      <c r="H380" s="97" t="str">
        <f aca="false">IFERROR(IF(ISNUMBER(INDEX(원자료_시장!$A$1:$BZ$1000,설정!$L$6+ROW()-1,설정!$L$30)),INDEX(원자료_시장!$A$1:$BZ$1000,설정!$L$6+ROW()-1,설정!$L$30),""),"")</f>
        <v/>
      </c>
      <c r="I380" s="97" t="str">
        <f aca="false">IFERROR(IF(ISNUMBER(INDEX(원자료_시장!$A$1:$BZ$1000,설정!$L$6+ROW()-1,설정!$L$31)),INDEX(원자료_시장!$A$1:$BZ$1000,설정!$L$6+ROW()-1,설정!$L$31),""),"")</f>
        <v/>
      </c>
      <c r="J380" s="97" t="str">
        <f aca="false">IFERROR(IF(ISNUMBER(INDEX(원자료_시장!$A$1:$BZ$1000,설정!$L$6+ROW()-1,설정!$L$32)),INDEX(원자료_시장!$A$1:$BZ$1000,설정!$L$6+ROW()-1,설정!$L$32),""),"")</f>
        <v/>
      </c>
      <c r="K380" s="85" t="str">
        <f aca="false">IFERROR(IF(ISNUMBER(INDEX(원자료_시장!$A$1:$BZ$1000,설정!$L$6+ROW()-1,설정!$L$33)),INDEX(원자료_시장!$A$1:$BZ$1000,설정!$L$6+ROW()-1,설정!$L$33),""),"")</f>
        <v/>
      </c>
      <c r="L380" s="83" t="n">
        <f aca="false">IFERROR(IF(INDEX(원자료_시장!$A$1:$BZ$1000,설정!$L$6+ROW()-1,설정!$L$34)&amp;""="0","",INDEX(원자료_시장!$A$1:$BZ$1000,설정!$L$6+ROW()-1,설정!$L$34)),"")</f>
        <v>0</v>
      </c>
      <c r="M380" s="83" t="n">
        <f aca="false">IFERROR(IF(INDEX(원자료_시장!$A$1:$BZ$1000,설정!$L$6+ROW()-1,설정!$L$35)&amp;""="0","",INDEX(원자료_시장!$A$1:$BZ$1000,설정!$L$6+ROW()-1,설정!$L$35)),"")</f>
        <v>0</v>
      </c>
      <c r="N380" s="83" t="n">
        <f aca="false">IFERROR(IF(INDEX(원자료_시장!$A$1:$BZ$1000,설정!$L$6+ROW()-1,설정!$L$36)&amp;""="0","",INDEX(원자료_시장!$A$1:$BZ$1000,설정!$L$6+ROW()-1,설정!$L$36)),"")</f>
        <v>0</v>
      </c>
      <c r="O380" s="43" t="str">
        <f aca="false">IF($A380="","",UPPER(LEFT($A380,FIND(" ",$A380&amp;" ")-1)))</f>
        <v/>
      </c>
      <c r="P380" s="43" t="str">
        <f aca="false">IF($A380="","",TRIM(RIGHT(SUBSTITUTE(TRIM($A380)," ",REPT(" ",30)),30)))</f>
        <v/>
      </c>
      <c r="Q380" s="98" t="str">
        <f aca="false">IF($A380="","",IFERROR(DATE(IF(LEN(P380)=8,2000+VALUE(RIGHT(P380,2)),VALUE(RIGHT(P380,4))),VALUE(LEFT(P380,2)),VALUE(MID(P380,4,2))),""))</f>
        <v/>
      </c>
      <c r="R380" s="89" t="n">
        <f aca="false">IF($A380="",0,IF(ISNUMBER(SEARCH("Float",$A380)),1,0))</f>
        <v>0</v>
      </c>
      <c r="S380" s="43" t="str">
        <f aca="false">IF($A380="","",TRIM(MID($A380,LEN(O380)+2,LEN($A380)-LEN(O380)-LEN(P380)-1)))</f>
        <v/>
      </c>
      <c r="T380" s="92" t="str">
        <f aca="false">IF(OR($A380="",R380=1),"",IFERROR(IF(ISNUMBER(FIND("/",S380)),IF(ISNUMBER(FIND(" ",S380)),VALUE(LEFT(S380,FIND(" ",S380)-1))+VALUE(MID(S380,FIND(" ",S380)+1,FIND("/",S380)-FIND(" ",S380)-1))/VALUE(MID(S380,FIND("/",S380)+1,9)),VALUE(LEFT(S380,FIND("/",S380)-1))/VALUE(MID(S380,FIND("/",S380)+1,9))),VALUE(S380)),""))</f>
        <v/>
      </c>
      <c r="U380" s="43" t="str">
        <f aca="false">IF(OR($A380="",NOT(ISNUMBER(Q380))),"",TEXT(Q380,"yyyymmdd")&amp;"|"&amp;IF(R380=1,"F",TEXT(T380,"0.000")))</f>
        <v/>
      </c>
      <c r="V380" s="43" t="str">
        <f aca="false">IF(U380="","",O380&amp;"|"&amp;U380)</f>
        <v/>
      </c>
      <c r="W380" s="43" t="str">
        <f aca="false">IF($A380="","",IFERROR(IF(VLOOKUP(O380,매핑!$A$4:$E$92,3,0)="","미분류",VLOOKUP(O380,매핑!$A$4:$E$92,3,0)),"미분류"))</f>
        <v/>
      </c>
      <c r="X380" s="89" t="n">
        <f aca="false">IF($A380="",0,IF(O380="T",1,0))</f>
        <v>0</v>
      </c>
      <c r="Y380" s="89" t="n">
        <f aca="false">IF($A380="",0,IF(AND(C380="USD",X380=0,ISNUMBER(E380),ISNUMBER(K380)),IF(K380&gt;=설정!$C$8,1,0),0))</f>
        <v>0</v>
      </c>
      <c r="Z380" s="43" t="str">
        <f aca="false">IF($A380="","",N380&amp;"|"&amp;L380)</f>
        <v/>
      </c>
      <c r="AA380" s="92" t="n">
        <f aca="false">IF(Y380=1,LN(K380),0)</f>
        <v>0</v>
      </c>
      <c r="AB380" s="93" t="n">
        <f aca="false">IF(Y380=1,E380,0)</f>
        <v>0</v>
      </c>
      <c r="AC380" s="89" t="n">
        <f aca="false">IF(Y380=1,COUNTIFS($Z$2:$Z$601,Z380,$Y$2:$Y$601,1),0)</f>
        <v>0</v>
      </c>
      <c r="AD380" s="89" t="n">
        <f aca="false">IF(Y380=1,COUNTIFS($N$2:$N$601,N380,$Y$2:$Y$601,1),0)</f>
        <v>0</v>
      </c>
      <c r="AE380" s="43" t="str">
        <f aca="false">IF(Y380&lt;&gt;1,"",IF(AND(AC380&gt;=설정!$C$7,ISNUMBER(MATCH(Z380,피어커브!$A:$A,0))),Z380,IF(AND(AD380&gt;=설정!$C$7,ISNUMBER(MATCH(N380&amp;"|전체",피어커브!$A:$A,0))),N380&amp;"|전체","전체|전체")))</f>
        <v/>
      </c>
      <c r="AF380" s="93" t="str">
        <f aca="false">IF(AE380="","",INDEX(피어커브!$K:$K,MATCH(AE380,피어커브!$A:$A,0)))</f>
        <v/>
      </c>
      <c r="AG380" s="93" t="str">
        <f aca="false">IF(AE380="","",INDEX(피어커브!$J:$J,MATCH(AE380,피어커브!$A:$A,0)))</f>
        <v/>
      </c>
      <c r="AH380" s="93" t="str">
        <f aca="false">IF(AE380="","",INDEX(피어커브!$L:$L,MATCH(AE380,피어커브!$A:$A,0)))</f>
        <v/>
      </c>
      <c r="AI380" s="93" t="str">
        <f aca="false">IF(AE380="","",AF380+AG380*AA380)</f>
        <v/>
      </c>
      <c r="AJ380" s="96" t="str">
        <f aca="false">IF(AE380="","",E380-AI380)</f>
        <v/>
      </c>
      <c r="AK380" s="95" t="str">
        <f aca="false">IF(AE380="","",IF(ISNUMBER(AH380),IF(AH380&gt;0,AJ380/AH380,""),""))</f>
        <v/>
      </c>
      <c r="AL380" s="43" t="str">
        <f aca="false">IF(AK380="","-",IF(AK380&gt;=설정!$C$6,"Cheap",IF(AK380&lt;=-설정!$C$6,"Rich","Fair")))</f>
        <v>-</v>
      </c>
      <c r="AM380" s="96" t="str">
        <f aca="false">IF(AE380="","",AJ380-AVERAGEIFS($AJ$2:$AJ$601,$B$2:$B$601,B380,$Y$2:$Y$601,1))</f>
        <v/>
      </c>
      <c r="AN380" s="93" t="n">
        <f aca="false">IF(AE380="",0,IF(K380&gt;1+설정!$C$8,AG380*(AA380-LN(K380-1)),0))</f>
        <v>0</v>
      </c>
      <c r="AO380" s="99" t="n">
        <f aca="false">IF($A380="",0,SUMIFS(보유분석!$AA$2:$AA$801,보유분석!$AB$2:$AB$801,ROW(),보유분석!$AC$2:$AC$801,1))</f>
        <v>0</v>
      </c>
      <c r="AP380" s="43" t="str">
        <f aca="false">IF($A380="","",TRIM(IF(R380=1,"FRN ","")&amp;IF(IFERROR(VLOOKUP(M380,설정!$A$15:$D$47,4,0),0)&gt;=10,IF(IFERROR(VLOOKUP(M380,설정!$A$15:$D$47,4,0),0)&lt;99,"BBB0미만 ",""),"")&amp;IF(OR(M380="",M380="NR"),"등급미입력 ","")&amp;IF(C380&lt;&gt;"USD","비USD ","")))</f>
        <v/>
      </c>
      <c r="AQ380" s="90" t="n">
        <f aca="false">IF(AND(Y380=1,AL380="Cheap"),IF(AND(ISERROR(SEARCH("FRN",AP380)),ISERROR(SEARCH("BBB0미만",AP380))),AK380+ROW()/1000000000,-999),-999)</f>
        <v>-999</v>
      </c>
      <c r="AR380" s="92" t="str">
        <f aca="false">IF(AND(ISNUMBER(D380),ISNUMBER(K380)),D380+AN380*MAX(K380-1,0)/100,"")</f>
        <v/>
      </c>
      <c r="AS380" s="93" t="str">
        <f aca="false">IF(AND(ISNUMBER(E380),ISNUMBER(K380)),IF(K380&gt;0,(E380+AN380*MAX(K380-1,0))/K380,""),"")</f>
        <v/>
      </c>
      <c r="AT380" s="90" t="n">
        <f aca="false">IFERROR(IF(AND(Y380=1,ROW()&lt;&gt;스왑분석!$C$12+1,ABS(K380-INDEX($K$2:$K$601,스왑분석!$C$12))&lt;=스왑분석!$C$5,ISERROR(SEARCH("FRN",AP380)),ISERROR(SEARCH("BBB0미만",AP380))),IF(AND(OR(스왑분석!$C$6="N",L380=INDEX($L$2:$L$601,스왑분석!$C$12)),OR(스왑분석!$C$7="N",N380=INDEX($N$2:$N$601,스왑분석!$C$12)),OR(스왑분석!$C$8="N",AO380=0),E380-INDEX($E$2:$E$601,스왑분석!$C$12)&gt;=스왑분석!$C$9),E380-INDEX($E$2:$E$601,스왑분석!$C$12)+ROW()/1000000000,-999),-999),-999)</f>
        <v>-999</v>
      </c>
      <c r="AU380" s="90" t="n">
        <f aca="false">IF(AND(Y380=1,AO380&gt;0,AL380="Rich"),-AK380+ROW()/1000000000,-999)</f>
        <v>-999</v>
      </c>
    </row>
    <row r="381" customFormat="false" ht="15" hidden="false" customHeight="false" outlineLevel="0" collapsed="false">
      <c r="A381" s="83" t="n">
        <f aca="false">IFERROR(IF(INDEX(원자료_시장!$A$1:$BZ$1000,설정!$L$6+ROW()-1,설정!$L$24)&amp;""="0","",INDEX(원자료_시장!$A$1:$BZ$1000,설정!$L$6+ROW()-1,설정!$L$24)),"")</f>
        <v>0</v>
      </c>
      <c r="B381" s="83" t="n">
        <f aca="false">IFERROR(IF(INDEX(원자료_시장!$A$1:$BZ$1000,설정!$L$6+ROW()-1,설정!$L$37)&amp;""="0","",INDEX(원자료_시장!$A$1:$BZ$1000,설정!$L$6+ROW()-1,설정!$L$37)),"")</f>
        <v>0</v>
      </c>
      <c r="C381" s="83" t="n">
        <f aca="false">IFERROR(IF(INDEX(원자료_시장!$A$1:$BZ$1000,설정!$L$6+ROW()-1,설정!$L$25)&amp;""="0","",INDEX(원자료_시장!$A$1:$BZ$1000,설정!$L$6+ROW()-1,설정!$L$25)),"")</f>
        <v>0</v>
      </c>
      <c r="D381" s="85" t="str">
        <f aca="false">IFERROR(IF(ISNUMBER(INDEX(원자료_시장!$A$1:$BZ$1000,설정!$L$6+ROW()-1,설정!$L$26)),INDEX(원자료_시장!$A$1:$BZ$1000,설정!$L$6+ROW()-1,설정!$L$26),""),"")</f>
        <v/>
      </c>
      <c r="E381" s="97" t="str">
        <f aca="false">IFERROR(IF(ISNUMBER(INDEX(원자료_시장!$A$1:$BZ$1000,설정!$L$6+ROW()-1,설정!$L$27)),INDEX(원자료_시장!$A$1:$BZ$1000,설정!$L$6+ROW()-1,설정!$L$27),""),"")</f>
        <v/>
      </c>
      <c r="F381" s="97" t="str">
        <f aca="false">IFERROR(IF(ISNUMBER(INDEX(원자료_시장!$A$1:$BZ$1000,설정!$L$6+ROW()-1,설정!$L$28)),INDEX(원자료_시장!$A$1:$BZ$1000,설정!$L$6+ROW()-1,설정!$L$28),""),"")</f>
        <v/>
      </c>
      <c r="G381" s="97" t="str">
        <f aca="false">IFERROR(IF(ISNUMBER(INDEX(원자료_시장!$A$1:$BZ$1000,설정!$L$6+ROW()-1,설정!$L$29)),INDEX(원자료_시장!$A$1:$BZ$1000,설정!$L$6+ROW()-1,설정!$L$29),""),"")</f>
        <v/>
      </c>
      <c r="H381" s="97" t="str">
        <f aca="false">IFERROR(IF(ISNUMBER(INDEX(원자료_시장!$A$1:$BZ$1000,설정!$L$6+ROW()-1,설정!$L$30)),INDEX(원자료_시장!$A$1:$BZ$1000,설정!$L$6+ROW()-1,설정!$L$30),""),"")</f>
        <v/>
      </c>
      <c r="I381" s="97" t="str">
        <f aca="false">IFERROR(IF(ISNUMBER(INDEX(원자료_시장!$A$1:$BZ$1000,설정!$L$6+ROW()-1,설정!$L$31)),INDEX(원자료_시장!$A$1:$BZ$1000,설정!$L$6+ROW()-1,설정!$L$31),""),"")</f>
        <v/>
      </c>
      <c r="J381" s="97" t="str">
        <f aca="false">IFERROR(IF(ISNUMBER(INDEX(원자료_시장!$A$1:$BZ$1000,설정!$L$6+ROW()-1,설정!$L$32)),INDEX(원자료_시장!$A$1:$BZ$1000,설정!$L$6+ROW()-1,설정!$L$32),""),"")</f>
        <v/>
      </c>
      <c r="K381" s="85" t="str">
        <f aca="false">IFERROR(IF(ISNUMBER(INDEX(원자료_시장!$A$1:$BZ$1000,설정!$L$6+ROW()-1,설정!$L$33)),INDEX(원자료_시장!$A$1:$BZ$1000,설정!$L$6+ROW()-1,설정!$L$33),""),"")</f>
        <v/>
      </c>
      <c r="L381" s="83" t="n">
        <f aca="false">IFERROR(IF(INDEX(원자료_시장!$A$1:$BZ$1000,설정!$L$6+ROW()-1,설정!$L$34)&amp;""="0","",INDEX(원자료_시장!$A$1:$BZ$1000,설정!$L$6+ROW()-1,설정!$L$34)),"")</f>
        <v>0</v>
      </c>
      <c r="M381" s="83" t="n">
        <f aca="false">IFERROR(IF(INDEX(원자료_시장!$A$1:$BZ$1000,설정!$L$6+ROW()-1,설정!$L$35)&amp;""="0","",INDEX(원자료_시장!$A$1:$BZ$1000,설정!$L$6+ROW()-1,설정!$L$35)),"")</f>
        <v>0</v>
      </c>
      <c r="N381" s="83" t="n">
        <f aca="false">IFERROR(IF(INDEX(원자료_시장!$A$1:$BZ$1000,설정!$L$6+ROW()-1,설정!$L$36)&amp;""="0","",INDEX(원자료_시장!$A$1:$BZ$1000,설정!$L$6+ROW()-1,설정!$L$36)),"")</f>
        <v>0</v>
      </c>
      <c r="O381" s="43" t="str">
        <f aca="false">IF($A381="","",UPPER(LEFT($A381,FIND(" ",$A381&amp;" ")-1)))</f>
        <v/>
      </c>
      <c r="P381" s="43" t="str">
        <f aca="false">IF($A381="","",TRIM(RIGHT(SUBSTITUTE(TRIM($A381)," ",REPT(" ",30)),30)))</f>
        <v/>
      </c>
      <c r="Q381" s="98" t="str">
        <f aca="false">IF($A381="","",IFERROR(DATE(IF(LEN(P381)=8,2000+VALUE(RIGHT(P381,2)),VALUE(RIGHT(P381,4))),VALUE(LEFT(P381,2)),VALUE(MID(P381,4,2))),""))</f>
        <v/>
      </c>
      <c r="R381" s="89" t="n">
        <f aca="false">IF($A381="",0,IF(ISNUMBER(SEARCH("Float",$A381)),1,0))</f>
        <v>0</v>
      </c>
      <c r="S381" s="43" t="str">
        <f aca="false">IF($A381="","",TRIM(MID($A381,LEN(O381)+2,LEN($A381)-LEN(O381)-LEN(P381)-1)))</f>
        <v/>
      </c>
      <c r="T381" s="92" t="str">
        <f aca="false">IF(OR($A381="",R381=1),"",IFERROR(IF(ISNUMBER(FIND("/",S381)),IF(ISNUMBER(FIND(" ",S381)),VALUE(LEFT(S381,FIND(" ",S381)-1))+VALUE(MID(S381,FIND(" ",S381)+1,FIND("/",S381)-FIND(" ",S381)-1))/VALUE(MID(S381,FIND("/",S381)+1,9)),VALUE(LEFT(S381,FIND("/",S381)-1))/VALUE(MID(S381,FIND("/",S381)+1,9))),VALUE(S381)),""))</f>
        <v/>
      </c>
      <c r="U381" s="43" t="str">
        <f aca="false">IF(OR($A381="",NOT(ISNUMBER(Q381))),"",TEXT(Q381,"yyyymmdd")&amp;"|"&amp;IF(R381=1,"F",TEXT(T381,"0.000")))</f>
        <v/>
      </c>
      <c r="V381" s="43" t="str">
        <f aca="false">IF(U381="","",O381&amp;"|"&amp;U381)</f>
        <v/>
      </c>
      <c r="W381" s="43" t="str">
        <f aca="false">IF($A381="","",IFERROR(IF(VLOOKUP(O381,매핑!$A$4:$E$92,3,0)="","미분류",VLOOKUP(O381,매핑!$A$4:$E$92,3,0)),"미분류"))</f>
        <v/>
      </c>
      <c r="X381" s="89" t="n">
        <f aca="false">IF($A381="",0,IF(O381="T",1,0))</f>
        <v>0</v>
      </c>
      <c r="Y381" s="89" t="n">
        <f aca="false">IF($A381="",0,IF(AND(C381="USD",X381=0,ISNUMBER(E381),ISNUMBER(K381)),IF(K381&gt;=설정!$C$8,1,0),0))</f>
        <v>0</v>
      </c>
      <c r="Z381" s="43" t="str">
        <f aca="false">IF($A381="","",N381&amp;"|"&amp;L381)</f>
        <v/>
      </c>
      <c r="AA381" s="92" t="n">
        <f aca="false">IF(Y381=1,LN(K381),0)</f>
        <v>0</v>
      </c>
      <c r="AB381" s="93" t="n">
        <f aca="false">IF(Y381=1,E381,0)</f>
        <v>0</v>
      </c>
      <c r="AC381" s="89" t="n">
        <f aca="false">IF(Y381=1,COUNTIFS($Z$2:$Z$601,Z381,$Y$2:$Y$601,1),0)</f>
        <v>0</v>
      </c>
      <c r="AD381" s="89" t="n">
        <f aca="false">IF(Y381=1,COUNTIFS($N$2:$N$601,N381,$Y$2:$Y$601,1),0)</f>
        <v>0</v>
      </c>
      <c r="AE381" s="43" t="str">
        <f aca="false">IF(Y381&lt;&gt;1,"",IF(AND(AC381&gt;=설정!$C$7,ISNUMBER(MATCH(Z381,피어커브!$A:$A,0))),Z381,IF(AND(AD381&gt;=설정!$C$7,ISNUMBER(MATCH(N381&amp;"|전체",피어커브!$A:$A,0))),N381&amp;"|전체","전체|전체")))</f>
        <v/>
      </c>
      <c r="AF381" s="93" t="str">
        <f aca="false">IF(AE381="","",INDEX(피어커브!$K:$K,MATCH(AE381,피어커브!$A:$A,0)))</f>
        <v/>
      </c>
      <c r="AG381" s="93" t="str">
        <f aca="false">IF(AE381="","",INDEX(피어커브!$J:$J,MATCH(AE381,피어커브!$A:$A,0)))</f>
        <v/>
      </c>
      <c r="AH381" s="93" t="str">
        <f aca="false">IF(AE381="","",INDEX(피어커브!$L:$L,MATCH(AE381,피어커브!$A:$A,0)))</f>
        <v/>
      </c>
      <c r="AI381" s="93" t="str">
        <f aca="false">IF(AE381="","",AF381+AG381*AA381)</f>
        <v/>
      </c>
      <c r="AJ381" s="96" t="str">
        <f aca="false">IF(AE381="","",E381-AI381)</f>
        <v/>
      </c>
      <c r="AK381" s="95" t="str">
        <f aca="false">IF(AE381="","",IF(ISNUMBER(AH381),IF(AH381&gt;0,AJ381/AH381,""),""))</f>
        <v/>
      </c>
      <c r="AL381" s="43" t="str">
        <f aca="false">IF(AK381="","-",IF(AK381&gt;=설정!$C$6,"Cheap",IF(AK381&lt;=-설정!$C$6,"Rich","Fair")))</f>
        <v>-</v>
      </c>
      <c r="AM381" s="96" t="str">
        <f aca="false">IF(AE381="","",AJ381-AVERAGEIFS($AJ$2:$AJ$601,$B$2:$B$601,B381,$Y$2:$Y$601,1))</f>
        <v/>
      </c>
      <c r="AN381" s="93" t="n">
        <f aca="false">IF(AE381="",0,IF(K381&gt;1+설정!$C$8,AG381*(AA381-LN(K381-1)),0))</f>
        <v>0</v>
      </c>
      <c r="AO381" s="99" t="n">
        <f aca="false">IF($A381="",0,SUMIFS(보유분석!$AA$2:$AA$801,보유분석!$AB$2:$AB$801,ROW(),보유분석!$AC$2:$AC$801,1))</f>
        <v>0</v>
      </c>
      <c r="AP381" s="43" t="str">
        <f aca="false">IF($A381="","",TRIM(IF(R381=1,"FRN ","")&amp;IF(IFERROR(VLOOKUP(M381,설정!$A$15:$D$47,4,0),0)&gt;=10,IF(IFERROR(VLOOKUP(M381,설정!$A$15:$D$47,4,0),0)&lt;99,"BBB0미만 ",""),"")&amp;IF(OR(M381="",M381="NR"),"등급미입력 ","")&amp;IF(C381&lt;&gt;"USD","비USD ","")))</f>
        <v/>
      </c>
      <c r="AQ381" s="90" t="n">
        <f aca="false">IF(AND(Y381=1,AL381="Cheap"),IF(AND(ISERROR(SEARCH("FRN",AP381)),ISERROR(SEARCH("BBB0미만",AP381))),AK381+ROW()/1000000000,-999),-999)</f>
        <v>-999</v>
      </c>
      <c r="AR381" s="92" t="str">
        <f aca="false">IF(AND(ISNUMBER(D381),ISNUMBER(K381)),D381+AN381*MAX(K381-1,0)/100,"")</f>
        <v/>
      </c>
      <c r="AS381" s="93" t="str">
        <f aca="false">IF(AND(ISNUMBER(E381),ISNUMBER(K381)),IF(K381&gt;0,(E381+AN381*MAX(K381-1,0))/K381,""),"")</f>
        <v/>
      </c>
      <c r="AT381" s="90" t="n">
        <f aca="false">IFERROR(IF(AND(Y381=1,ROW()&lt;&gt;스왑분석!$C$12+1,ABS(K381-INDEX($K$2:$K$601,스왑분석!$C$12))&lt;=스왑분석!$C$5,ISERROR(SEARCH("FRN",AP381)),ISERROR(SEARCH("BBB0미만",AP381))),IF(AND(OR(스왑분석!$C$6="N",L381=INDEX($L$2:$L$601,스왑분석!$C$12)),OR(스왑분석!$C$7="N",N381=INDEX($N$2:$N$601,스왑분석!$C$12)),OR(스왑분석!$C$8="N",AO381=0),E381-INDEX($E$2:$E$601,스왑분석!$C$12)&gt;=스왑분석!$C$9),E381-INDEX($E$2:$E$601,스왑분석!$C$12)+ROW()/1000000000,-999),-999),-999)</f>
        <v>-999</v>
      </c>
      <c r="AU381" s="90" t="n">
        <f aca="false">IF(AND(Y381=1,AO381&gt;0,AL381="Rich"),-AK381+ROW()/1000000000,-999)</f>
        <v>-999</v>
      </c>
    </row>
    <row r="382" customFormat="false" ht="15" hidden="false" customHeight="false" outlineLevel="0" collapsed="false">
      <c r="A382" s="83" t="n">
        <f aca="false">IFERROR(IF(INDEX(원자료_시장!$A$1:$BZ$1000,설정!$L$6+ROW()-1,설정!$L$24)&amp;""="0","",INDEX(원자료_시장!$A$1:$BZ$1000,설정!$L$6+ROW()-1,설정!$L$24)),"")</f>
        <v>0</v>
      </c>
      <c r="B382" s="83" t="n">
        <f aca="false">IFERROR(IF(INDEX(원자료_시장!$A$1:$BZ$1000,설정!$L$6+ROW()-1,설정!$L$37)&amp;""="0","",INDEX(원자료_시장!$A$1:$BZ$1000,설정!$L$6+ROW()-1,설정!$L$37)),"")</f>
        <v>0</v>
      </c>
      <c r="C382" s="83" t="n">
        <f aca="false">IFERROR(IF(INDEX(원자료_시장!$A$1:$BZ$1000,설정!$L$6+ROW()-1,설정!$L$25)&amp;""="0","",INDEX(원자료_시장!$A$1:$BZ$1000,설정!$L$6+ROW()-1,설정!$L$25)),"")</f>
        <v>0</v>
      </c>
      <c r="D382" s="85" t="str">
        <f aca="false">IFERROR(IF(ISNUMBER(INDEX(원자료_시장!$A$1:$BZ$1000,설정!$L$6+ROW()-1,설정!$L$26)),INDEX(원자료_시장!$A$1:$BZ$1000,설정!$L$6+ROW()-1,설정!$L$26),""),"")</f>
        <v/>
      </c>
      <c r="E382" s="97" t="str">
        <f aca="false">IFERROR(IF(ISNUMBER(INDEX(원자료_시장!$A$1:$BZ$1000,설정!$L$6+ROW()-1,설정!$L$27)),INDEX(원자료_시장!$A$1:$BZ$1000,설정!$L$6+ROW()-1,설정!$L$27),""),"")</f>
        <v/>
      </c>
      <c r="F382" s="97" t="str">
        <f aca="false">IFERROR(IF(ISNUMBER(INDEX(원자료_시장!$A$1:$BZ$1000,설정!$L$6+ROW()-1,설정!$L$28)),INDEX(원자료_시장!$A$1:$BZ$1000,설정!$L$6+ROW()-1,설정!$L$28),""),"")</f>
        <v/>
      </c>
      <c r="G382" s="97" t="str">
        <f aca="false">IFERROR(IF(ISNUMBER(INDEX(원자료_시장!$A$1:$BZ$1000,설정!$L$6+ROW()-1,설정!$L$29)),INDEX(원자료_시장!$A$1:$BZ$1000,설정!$L$6+ROW()-1,설정!$L$29),""),"")</f>
        <v/>
      </c>
      <c r="H382" s="97" t="str">
        <f aca="false">IFERROR(IF(ISNUMBER(INDEX(원자료_시장!$A$1:$BZ$1000,설정!$L$6+ROW()-1,설정!$L$30)),INDEX(원자료_시장!$A$1:$BZ$1000,설정!$L$6+ROW()-1,설정!$L$30),""),"")</f>
        <v/>
      </c>
      <c r="I382" s="97" t="str">
        <f aca="false">IFERROR(IF(ISNUMBER(INDEX(원자료_시장!$A$1:$BZ$1000,설정!$L$6+ROW()-1,설정!$L$31)),INDEX(원자료_시장!$A$1:$BZ$1000,설정!$L$6+ROW()-1,설정!$L$31),""),"")</f>
        <v/>
      </c>
      <c r="J382" s="97" t="str">
        <f aca="false">IFERROR(IF(ISNUMBER(INDEX(원자료_시장!$A$1:$BZ$1000,설정!$L$6+ROW()-1,설정!$L$32)),INDEX(원자료_시장!$A$1:$BZ$1000,설정!$L$6+ROW()-1,설정!$L$32),""),"")</f>
        <v/>
      </c>
      <c r="K382" s="85" t="str">
        <f aca="false">IFERROR(IF(ISNUMBER(INDEX(원자료_시장!$A$1:$BZ$1000,설정!$L$6+ROW()-1,설정!$L$33)),INDEX(원자료_시장!$A$1:$BZ$1000,설정!$L$6+ROW()-1,설정!$L$33),""),"")</f>
        <v/>
      </c>
      <c r="L382" s="83" t="n">
        <f aca="false">IFERROR(IF(INDEX(원자료_시장!$A$1:$BZ$1000,설정!$L$6+ROW()-1,설정!$L$34)&amp;""="0","",INDEX(원자료_시장!$A$1:$BZ$1000,설정!$L$6+ROW()-1,설정!$L$34)),"")</f>
        <v>0</v>
      </c>
      <c r="M382" s="83" t="n">
        <f aca="false">IFERROR(IF(INDEX(원자료_시장!$A$1:$BZ$1000,설정!$L$6+ROW()-1,설정!$L$35)&amp;""="0","",INDEX(원자료_시장!$A$1:$BZ$1000,설정!$L$6+ROW()-1,설정!$L$35)),"")</f>
        <v>0</v>
      </c>
      <c r="N382" s="83" t="n">
        <f aca="false">IFERROR(IF(INDEX(원자료_시장!$A$1:$BZ$1000,설정!$L$6+ROW()-1,설정!$L$36)&amp;""="0","",INDEX(원자료_시장!$A$1:$BZ$1000,설정!$L$6+ROW()-1,설정!$L$36)),"")</f>
        <v>0</v>
      </c>
      <c r="O382" s="43" t="str">
        <f aca="false">IF($A382="","",UPPER(LEFT($A382,FIND(" ",$A382&amp;" ")-1)))</f>
        <v/>
      </c>
      <c r="P382" s="43" t="str">
        <f aca="false">IF($A382="","",TRIM(RIGHT(SUBSTITUTE(TRIM($A382)," ",REPT(" ",30)),30)))</f>
        <v/>
      </c>
      <c r="Q382" s="98" t="str">
        <f aca="false">IF($A382="","",IFERROR(DATE(IF(LEN(P382)=8,2000+VALUE(RIGHT(P382,2)),VALUE(RIGHT(P382,4))),VALUE(LEFT(P382,2)),VALUE(MID(P382,4,2))),""))</f>
        <v/>
      </c>
      <c r="R382" s="89" t="n">
        <f aca="false">IF($A382="",0,IF(ISNUMBER(SEARCH("Float",$A382)),1,0))</f>
        <v>0</v>
      </c>
      <c r="S382" s="43" t="str">
        <f aca="false">IF($A382="","",TRIM(MID($A382,LEN(O382)+2,LEN($A382)-LEN(O382)-LEN(P382)-1)))</f>
        <v/>
      </c>
      <c r="T382" s="92" t="str">
        <f aca="false">IF(OR($A382="",R382=1),"",IFERROR(IF(ISNUMBER(FIND("/",S382)),IF(ISNUMBER(FIND(" ",S382)),VALUE(LEFT(S382,FIND(" ",S382)-1))+VALUE(MID(S382,FIND(" ",S382)+1,FIND("/",S382)-FIND(" ",S382)-1))/VALUE(MID(S382,FIND("/",S382)+1,9)),VALUE(LEFT(S382,FIND("/",S382)-1))/VALUE(MID(S382,FIND("/",S382)+1,9))),VALUE(S382)),""))</f>
        <v/>
      </c>
      <c r="U382" s="43" t="str">
        <f aca="false">IF(OR($A382="",NOT(ISNUMBER(Q382))),"",TEXT(Q382,"yyyymmdd")&amp;"|"&amp;IF(R382=1,"F",TEXT(T382,"0.000")))</f>
        <v/>
      </c>
      <c r="V382" s="43" t="str">
        <f aca="false">IF(U382="","",O382&amp;"|"&amp;U382)</f>
        <v/>
      </c>
      <c r="W382" s="43" t="str">
        <f aca="false">IF($A382="","",IFERROR(IF(VLOOKUP(O382,매핑!$A$4:$E$92,3,0)="","미분류",VLOOKUP(O382,매핑!$A$4:$E$92,3,0)),"미분류"))</f>
        <v/>
      </c>
      <c r="X382" s="89" t="n">
        <f aca="false">IF($A382="",0,IF(O382="T",1,0))</f>
        <v>0</v>
      </c>
      <c r="Y382" s="89" t="n">
        <f aca="false">IF($A382="",0,IF(AND(C382="USD",X382=0,ISNUMBER(E382),ISNUMBER(K382)),IF(K382&gt;=설정!$C$8,1,0),0))</f>
        <v>0</v>
      </c>
      <c r="Z382" s="43" t="str">
        <f aca="false">IF($A382="","",N382&amp;"|"&amp;L382)</f>
        <v/>
      </c>
      <c r="AA382" s="92" t="n">
        <f aca="false">IF(Y382=1,LN(K382),0)</f>
        <v>0</v>
      </c>
      <c r="AB382" s="93" t="n">
        <f aca="false">IF(Y382=1,E382,0)</f>
        <v>0</v>
      </c>
      <c r="AC382" s="89" t="n">
        <f aca="false">IF(Y382=1,COUNTIFS($Z$2:$Z$601,Z382,$Y$2:$Y$601,1),0)</f>
        <v>0</v>
      </c>
      <c r="AD382" s="89" t="n">
        <f aca="false">IF(Y382=1,COUNTIFS($N$2:$N$601,N382,$Y$2:$Y$601,1),0)</f>
        <v>0</v>
      </c>
      <c r="AE382" s="43" t="str">
        <f aca="false">IF(Y382&lt;&gt;1,"",IF(AND(AC382&gt;=설정!$C$7,ISNUMBER(MATCH(Z382,피어커브!$A:$A,0))),Z382,IF(AND(AD382&gt;=설정!$C$7,ISNUMBER(MATCH(N382&amp;"|전체",피어커브!$A:$A,0))),N382&amp;"|전체","전체|전체")))</f>
        <v/>
      </c>
      <c r="AF382" s="93" t="str">
        <f aca="false">IF(AE382="","",INDEX(피어커브!$K:$K,MATCH(AE382,피어커브!$A:$A,0)))</f>
        <v/>
      </c>
      <c r="AG382" s="93" t="str">
        <f aca="false">IF(AE382="","",INDEX(피어커브!$J:$J,MATCH(AE382,피어커브!$A:$A,0)))</f>
        <v/>
      </c>
      <c r="AH382" s="93" t="str">
        <f aca="false">IF(AE382="","",INDEX(피어커브!$L:$L,MATCH(AE382,피어커브!$A:$A,0)))</f>
        <v/>
      </c>
      <c r="AI382" s="93" t="str">
        <f aca="false">IF(AE382="","",AF382+AG382*AA382)</f>
        <v/>
      </c>
      <c r="AJ382" s="96" t="str">
        <f aca="false">IF(AE382="","",E382-AI382)</f>
        <v/>
      </c>
      <c r="AK382" s="95" t="str">
        <f aca="false">IF(AE382="","",IF(ISNUMBER(AH382),IF(AH382&gt;0,AJ382/AH382,""),""))</f>
        <v/>
      </c>
      <c r="AL382" s="43" t="str">
        <f aca="false">IF(AK382="","-",IF(AK382&gt;=설정!$C$6,"Cheap",IF(AK382&lt;=-설정!$C$6,"Rich","Fair")))</f>
        <v>-</v>
      </c>
      <c r="AM382" s="96" t="str">
        <f aca="false">IF(AE382="","",AJ382-AVERAGEIFS($AJ$2:$AJ$601,$B$2:$B$601,B382,$Y$2:$Y$601,1))</f>
        <v/>
      </c>
      <c r="AN382" s="93" t="n">
        <f aca="false">IF(AE382="",0,IF(K382&gt;1+설정!$C$8,AG382*(AA382-LN(K382-1)),0))</f>
        <v>0</v>
      </c>
      <c r="AO382" s="99" t="n">
        <f aca="false">IF($A382="",0,SUMIFS(보유분석!$AA$2:$AA$801,보유분석!$AB$2:$AB$801,ROW(),보유분석!$AC$2:$AC$801,1))</f>
        <v>0</v>
      </c>
      <c r="AP382" s="43" t="str">
        <f aca="false">IF($A382="","",TRIM(IF(R382=1,"FRN ","")&amp;IF(IFERROR(VLOOKUP(M382,설정!$A$15:$D$47,4,0),0)&gt;=10,IF(IFERROR(VLOOKUP(M382,설정!$A$15:$D$47,4,0),0)&lt;99,"BBB0미만 ",""),"")&amp;IF(OR(M382="",M382="NR"),"등급미입력 ","")&amp;IF(C382&lt;&gt;"USD","비USD ","")))</f>
        <v/>
      </c>
      <c r="AQ382" s="90" t="n">
        <f aca="false">IF(AND(Y382=1,AL382="Cheap"),IF(AND(ISERROR(SEARCH("FRN",AP382)),ISERROR(SEARCH("BBB0미만",AP382))),AK382+ROW()/1000000000,-999),-999)</f>
        <v>-999</v>
      </c>
      <c r="AR382" s="92" t="str">
        <f aca="false">IF(AND(ISNUMBER(D382),ISNUMBER(K382)),D382+AN382*MAX(K382-1,0)/100,"")</f>
        <v/>
      </c>
      <c r="AS382" s="93" t="str">
        <f aca="false">IF(AND(ISNUMBER(E382),ISNUMBER(K382)),IF(K382&gt;0,(E382+AN382*MAX(K382-1,0))/K382,""),"")</f>
        <v/>
      </c>
      <c r="AT382" s="90" t="n">
        <f aca="false">IFERROR(IF(AND(Y382=1,ROW()&lt;&gt;스왑분석!$C$12+1,ABS(K382-INDEX($K$2:$K$601,스왑분석!$C$12))&lt;=스왑분석!$C$5,ISERROR(SEARCH("FRN",AP382)),ISERROR(SEARCH("BBB0미만",AP382))),IF(AND(OR(스왑분석!$C$6="N",L382=INDEX($L$2:$L$601,스왑분석!$C$12)),OR(스왑분석!$C$7="N",N382=INDEX($N$2:$N$601,스왑분석!$C$12)),OR(스왑분석!$C$8="N",AO382=0),E382-INDEX($E$2:$E$601,스왑분석!$C$12)&gt;=스왑분석!$C$9),E382-INDEX($E$2:$E$601,스왑분석!$C$12)+ROW()/1000000000,-999),-999),-999)</f>
        <v>-999</v>
      </c>
      <c r="AU382" s="90" t="n">
        <f aca="false">IF(AND(Y382=1,AO382&gt;0,AL382="Rich"),-AK382+ROW()/1000000000,-999)</f>
        <v>-999</v>
      </c>
    </row>
    <row r="383" customFormat="false" ht="15" hidden="false" customHeight="false" outlineLevel="0" collapsed="false">
      <c r="A383" s="83" t="n">
        <f aca="false">IFERROR(IF(INDEX(원자료_시장!$A$1:$BZ$1000,설정!$L$6+ROW()-1,설정!$L$24)&amp;""="0","",INDEX(원자료_시장!$A$1:$BZ$1000,설정!$L$6+ROW()-1,설정!$L$24)),"")</f>
        <v>0</v>
      </c>
      <c r="B383" s="83" t="n">
        <f aca="false">IFERROR(IF(INDEX(원자료_시장!$A$1:$BZ$1000,설정!$L$6+ROW()-1,설정!$L$37)&amp;""="0","",INDEX(원자료_시장!$A$1:$BZ$1000,설정!$L$6+ROW()-1,설정!$L$37)),"")</f>
        <v>0</v>
      </c>
      <c r="C383" s="83" t="n">
        <f aca="false">IFERROR(IF(INDEX(원자료_시장!$A$1:$BZ$1000,설정!$L$6+ROW()-1,설정!$L$25)&amp;""="0","",INDEX(원자료_시장!$A$1:$BZ$1000,설정!$L$6+ROW()-1,설정!$L$25)),"")</f>
        <v>0</v>
      </c>
      <c r="D383" s="85" t="str">
        <f aca="false">IFERROR(IF(ISNUMBER(INDEX(원자료_시장!$A$1:$BZ$1000,설정!$L$6+ROW()-1,설정!$L$26)),INDEX(원자료_시장!$A$1:$BZ$1000,설정!$L$6+ROW()-1,설정!$L$26),""),"")</f>
        <v/>
      </c>
      <c r="E383" s="97" t="str">
        <f aca="false">IFERROR(IF(ISNUMBER(INDEX(원자료_시장!$A$1:$BZ$1000,설정!$L$6+ROW()-1,설정!$L$27)),INDEX(원자료_시장!$A$1:$BZ$1000,설정!$L$6+ROW()-1,설정!$L$27),""),"")</f>
        <v/>
      </c>
      <c r="F383" s="97" t="str">
        <f aca="false">IFERROR(IF(ISNUMBER(INDEX(원자료_시장!$A$1:$BZ$1000,설정!$L$6+ROW()-1,설정!$L$28)),INDEX(원자료_시장!$A$1:$BZ$1000,설정!$L$6+ROW()-1,설정!$L$28),""),"")</f>
        <v/>
      </c>
      <c r="G383" s="97" t="str">
        <f aca="false">IFERROR(IF(ISNUMBER(INDEX(원자료_시장!$A$1:$BZ$1000,설정!$L$6+ROW()-1,설정!$L$29)),INDEX(원자료_시장!$A$1:$BZ$1000,설정!$L$6+ROW()-1,설정!$L$29),""),"")</f>
        <v/>
      </c>
      <c r="H383" s="97" t="str">
        <f aca="false">IFERROR(IF(ISNUMBER(INDEX(원자료_시장!$A$1:$BZ$1000,설정!$L$6+ROW()-1,설정!$L$30)),INDEX(원자료_시장!$A$1:$BZ$1000,설정!$L$6+ROW()-1,설정!$L$30),""),"")</f>
        <v/>
      </c>
      <c r="I383" s="97" t="str">
        <f aca="false">IFERROR(IF(ISNUMBER(INDEX(원자료_시장!$A$1:$BZ$1000,설정!$L$6+ROW()-1,설정!$L$31)),INDEX(원자료_시장!$A$1:$BZ$1000,설정!$L$6+ROW()-1,설정!$L$31),""),"")</f>
        <v/>
      </c>
      <c r="J383" s="97" t="str">
        <f aca="false">IFERROR(IF(ISNUMBER(INDEX(원자료_시장!$A$1:$BZ$1000,설정!$L$6+ROW()-1,설정!$L$32)),INDEX(원자료_시장!$A$1:$BZ$1000,설정!$L$6+ROW()-1,설정!$L$32),""),"")</f>
        <v/>
      </c>
      <c r="K383" s="85" t="str">
        <f aca="false">IFERROR(IF(ISNUMBER(INDEX(원자료_시장!$A$1:$BZ$1000,설정!$L$6+ROW()-1,설정!$L$33)),INDEX(원자료_시장!$A$1:$BZ$1000,설정!$L$6+ROW()-1,설정!$L$33),""),"")</f>
        <v/>
      </c>
      <c r="L383" s="83" t="n">
        <f aca="false">IFERROR(IF(INDEX(원자료_시장!$A$1:$BZ$1000,설정!$L$6+ROW()-1,설정!$L$34)&amp;""="0","",INDEX(원자료_시장!$A$1:$BZ$1000,설정!$L$6+ROW()-1,설정!$L$34)),"")</f>
        <v>0</v>
      </c>
      <c r="M383" s="83" t="n">
        <f aca="false">IFERROR(IF(INDEX(원자료_시장!$A$1:$BZ$1000,설정!$L$6+ROW()-1,설정!$L$35)&amp;""="0","",INDEX(원자료_시장!$A$1:$BZ$1000,설정!$L$6+ROW()-1,설정!$L$35)),"")</f>
        <v>0</v>
      </c>
      <c r="N383" s="83" t="n">
        <f aca="false">IFERROR(IF(INDEX(원자료_시장!$A$1:$BZ$1000,설정!$L$6+ROW()-1,설정!$L$36)&amp;""="0","",INDEX(원자료_시장!$A$1:$BZ$1000,설정!$L$6+ROW()-1,설정!$L$36)),"")</f>
        <v>0</v>
      </c>
      <c r="O383" s="43" t="str">
        <f aca="false">IF($A383="","",UPPER(LEFT($A383,FIND(" ",$A383&amp;" ")-1)))</f>
        <v/>
      </c>
      <c r="P383" s="43" t="str">
        <f aca="false">IF($A383="","",TRIM(RIGHT(SUBSTITUTE(TRIM($A383)," ",REPT(" ",30)),30)))</f>
        <v/>
      </c>
      <c r="Q383" s="98" t="str">
        <f aca="false">IF($A383="","",IFERROR(DATE(IF(LEN(P383)=8,2000+VALUE(RIGHT(P383,2)),VALUE(RIGHT(P383,4))),VALUE(LEFT(P383,2)),VALUE(MID(P383,4,2))),""))</f>
        <v/>
      </c>
      <c r="R383" s="89" t="n">
        <f aca="false">IF($A383="",0,IF(ISNUMBER(SEARCH("Float",$A383)),1,0))</f>
        <v>0</v>
      </c>
      <c r="S383" s="43" t="str">
        <f aca="false">IF($A383="","",TRIM(MID($A383,LEN(O383)+2,LEN($A383)-LEN(O383)-LEN(P383)-1)))</f>
        <v/>
      </c>
      <c r="T383" s="92" t="str">
        <f aca="false">IF(OR($A383="",R383=1),"",IFERROR(IF(ISNUMBER(FIND("/",S383)),IF(ISNUMBER(FIND(" ",S383)),VALUE(LEFT(S383,FIND(" ",S383)-1))+VALUE(MID(S383,FIND(" ",S383)+1,FIND("/",S383)-FIND(" ",S383)-1))/VALUE(MID(S383,FIND("/",S383)+1,9)),VALUE(LEFT(S383,FIND("/",S383)-1))/VALUE(MID(S383,FIND("/",S383)+1,9))),VALUE(S383)),""))</f>
        <v/>
      </c>
      <c r="U383" s="43" t="str">
        <f aca="false">IF(OR($A383="",NOT(ISNUMBER(Q383))),"",TEXT(Q383,"yyyymmdd")&amp;"|"&amp;IF(R383=1,"F",TEXT(T383,"0.000")))</f>
        <v/>
      </c>
      <c r="V383" s="43" t="str">
        <f aca="false">IF(U383="","",O383&amp;"|"&amp;U383)</f>
        <v/>
      </c>
      <c r="W383" s="43" t="str">
        <f aca="false">IF($A383="","",IFERROR(IF(VLOOKUP(O383,매핑!$A$4:$E$92,3,0)="","미분류",VLOOKUP(O383,매핑!$A$4:$E$92,3,0)),"미분류"))</f>
        <v/>
      </c>
      <c r="X383" s="89" t="n">
        <f aca="false">IF($A383="",0,IF(O383="T",1,0))</f>
        <v>0</v>
      </c>
      <c r="Y383" s="89" t="n">
        <f aca="false">IF($A383="",0,IF(AND(C383="USD",X383=0,ISNUMBER(E383),ISNUMBER(K383)),IF(K383&gt;=설정!$C$8,1,0),0))</f>
        <v>0</v>
      </c>
      <c r="Z383" s="43" t="str">
        <f aca="false">IF($A383="","",N383&amp;"|"&amp;L383)</f>
        <v/>
      </c>
      <c r="AA383" s="92" t="n">
        <f aca="false">IF(Y383=1,LN(K383),0)</f>
        <v>0</v>
      </c>
      <c r="AB383" s="93" t="n">
        <f aca="false">IF(Y383=1,E383,0)</f>
        <v>0</v>
      </c>
      <c r="AC383" s="89" t="n">
        <f aca="false">IF(Y383=1,COUNTIFS($Z$2:$Z$601,Z383,$Y$2:$Y$601,1),0)</f>
        <v>0</v>
      </c>
      <c r="AD383" s="89" t="n">
        <f aca="false">IF(Y383=1,COUNTIFS($N$2:$N$601,N383,$Y$2:$Y$601,1),0)</f>
        <v>0</v>
      </c>
      <c r="AE383" s="43" t="str">
        <f aca="false">IF(Y383&lt;&gt;1,"",IF(AND(AC383&gt;=설정!$C$7,ISNUMBER(MATCH(Z383,피어커브!$A:$A,0))),Z383,IF(AND(AD383&gt;=설정!$C$7,ISNUMBER(MATCH(N383&amp;"|전체",피어커브!$A:$A,0))),N383&amp;"|전체","전체|전체")))</f>
        <v/>
      </c>
      <c r="AF383" s="93" t="str">
        <f aca="false">IF(AE383="","",INDEX(피어커브!$K:$K,MATCH(AE383,피어커브!$A:$A,0)))</f>
        <v/>
      </c>
      <c r="AG383" s="93" t="str">
        <f aca="false">IF(AE383="","",INDEX(피어커브!$J:$J,MATCH(AE383,피어커브!$A:$A,0)))</f>
        <v/>
      </c>
      <c r="AH383" s="93" t="str">
        <f aca="false">IF(AE383="","",INDEX(피어커브!$L:$L,MATCH(AE383,피어커브!$A:$A,0)))</f>
        <v/>
      </c>
      <c r="AI383" s="93" t="str">
        <f aca="false">IF(AE383="","",AF383+AG383*AA383)</f>
        <v/>
      </c>
      <c r="AJ383" s="96" t="str">
        <f aca="false">IF(AE383="","",E383-AI383)</f>
        <v/>
      </c>
      <c r="AK383" s="95" t="str">
        <f aca="false">IF(AE383="","",IF(ISNUMBER(AH383),IF(AH383&gt;0,AJ383/AH383,""),""))</f>
        <v/>
      </c>
      <c r="AL383" s="43" t="str">
        <f aca="false">IF(AK383="","-",IF(AK383&gt;=설정!$C$6,"Cheap",IF(AK383&lt;=-설정!$C$6,"Rich","Fair")))</f>
        <v>-</v>
      </c>
      <c r="AM383" s="96" t="str">
        <f aca="false">IF(AE383="","",AJ383-AVERAGEIFS($AJ$2:$AJ$601,$B$2:$B$601,B383,$Y$2:$Y$601,1))</f>
        <v/>
      </c>
      <c r="AN383" s="93" t="n">
        <f aca="false">IF(AE383="",0,IF(K383&gt;1+설정!$C$8,AG383*(AA383-LN(K383-1)),0))</f>
        <v>0</v>
      </c>
      <c r="AO383" s="99" t="n">
        <f aca="false">IF($A383="",0,SUMIFS(보유분석!$AA$2:$AA$801,보유분석!$AB$2:$AB$801,ROW(),보유분석!$AC$2:$AC$801,1))</f>
        <v>0</v>
      </c>
      <c r="AP383" s="43" t="str">
        <f aca="false">IF($A383="","",TRIM(IF(R383=1,"FRN ","")&amp;IF(IFERROR(VLOOKUP(M383,설정!$A$15:$D$47,4,0),0)&gt;=10,IF(IFERROR(VLOOKUP(M383,설정!$A$15:$D$47,4,0),0)&lt;99,"BBB0미만 ",""),"")&amp;IF(OR(M383="",M383="NR"),"등급미입력 ","")&amp;IF(C383&lt;&gt;"USD","비USD ","")))</f>
        <v/>
      </c>
      <c r="AQ383" s="90" t="n">
        <f aca="false">IF(AND(Y383=1,AL383="Cheap"),IF(AND(ISERROR(SEARCH("FRN",AP383)),ISERROR(SEARCH("BBB0미만",AP383))),AK383+ROW()/1000000000,-999),-999)</f>
        <v>-999</v>
      </c>
      <c r="AR383" s="92" t="str">
        <f aca="false">IF(AND(ISNUMBER(D383),ISNUMBER(K383)),D383+AN383*MAX(K383-1,0)/100,"")</f>
        <v/>
      </c>
      <c r="AS383" s="93" t="str">
        <f aca="false">IF(AND(ISNUMBER(E383),ISNUMBER(K383)),IF(K383&gt;0,(E383+AN383*MAX(K383-1,0))/K383,""),"")</f>
        <v/>
      </c>
      <c r="AT383" s="90" t="n">
        <f aca="false">IFERROR(IF(AND(Y383=1,ROW()&lt;&gt;스왑분석!$C$12+1,ABS(K383-INDEX($K$2:$K$601,스왑분석!$C$12))&lt;=스왑분석!$C$5,ISERROR(SEARCH("FRN",AP383)),ISERROR(SEARCH("BBB0미만",AP383))),IF(AND(OR(스왑분석!$C$6="N",L383=INDEX($L$2:$L$601,스왑분석!$C$12)),OR(스왑분석!$C$7="N",N383=INDEX($N$2:$N$601,스왑분석!$C$12)),OR(스왑분석!$C$8="N",AO383=0),E383-INDEX($E$2:$E$601,스왑분석!$C$12)&gt;=스왑분석!$C$9),E383-INDEX($E$2:$E$601,스왑분석!$C$12)+ROW()/1000000000,-999),-999),-999)</f>
        <v>-999</v>
      </c>
      <c r="AU383" s="90" t="n">
        <f aca="false">IF(AND(Y383=1,AO383&gt;0,AL383="Rich"),-AK383+ROW()/1000000000,-999)</f>
        <v>-999</v>
      </c>
    </row>
    <row r="384" customFormat="false" ht="15" hidden="false" customHeight="false" outlineLevel="0" collapsed="false">
      <c r="A384" s="83" t="n">
        <f aca="false">IFERROR(IF(INDEX(원자료_시장!$A$1:$BZ$1000,설정!$L$6+ROW()-1,설정!$L$24)&amp;""="0","",INDEX(원자료_시장!$A$1:$BZ$1000,설정!$L$6+ROW()-1,설정!$L$24)),"")</f>
        <v>0</v>
      </c>
      <c r="B384" s="83" t="n">
        <f aca="false">IFERROR(IF(INDEX(원자료_시장!$A$1:$BZ$1000,설정!$L$6+ROW()-1,설정!$L$37)&amp;""="0","",INDEX(원자료_시장!$A$1:$BZ$1000,설정!$L$6+ROW()-1,설정!$L$37)),"")</f>
        <v>0</v>
      </c>
      <c r="C384" s="83" t="n">
        <f aca="false">IFERROR(IF(INDEX(원자료_시장!$A$1:$BZ$1000,설정!$L$6+ROW()-1,설정!$L$25)&amp;""="0","",INDEX(원자료_시장!$A$1:$BZ$1000,설정!$L$6+ROW()-1,설정!$L$25)),"")</f>
        <v>0</v>
      </c>
      <c r="D384" s="85" t="str">
        <f aca="false">IFERROR(IF(ISNUMBER(INDEX(원자료_시장!$A$1:$BZ$1000,설정!$L$6+ROW()-1,설정!$L$26)),INDEX(원자료_시장!$A$1:$BZ$1000,설정!$L$6+ROW()-1,설정!$L$26),""),"")</f>
        <v/>
      </c>
      <c r="E384" s="97" t="str">
        <f aca="false">IFERROR(IF(ISNUMBER(INDEX(원자료_시장!$A$1:$BZ$1000,설정!$L$6+ROW()-1,설정!$L$27)),INDEX(원자료_시장!$A$1:$BZ$1000,설정!$L$6+ROW()-1,설정!$L$27),""),"")</f>
        <v/>
      </c>
      <c r="F384" s="97" t="str">
        <f aca="false">IFERROR(IF(ISNUMBER(INDEX(원자료_시장!$A$1:$BZ$1000,설정!$L$6+ROW()-1,설정!$L$28)),INDEX(원자료_시장!$A$1:$BZ$1000,설정!$L$6+ROW()-1,설정!$L$28),""),"")</f>
        <v/>
      </c>
      <c r="G384" s="97" t="str">
        <f aca="false">IFERROR(IF(ISNUMBER(INDEX(원자료_시장!$A$1:$BZ$1000,설정!$L$6+ROW()-1,설정!$L$29)),INDEX(원자료_시장!$A$1:$BZ$1000,설정!$L$6+ROW()-1,설정!$L$29),""),"")</f>
        <v/>
      </c>
      <c r="H384" s="97" t="str">
        <f aca="false">IFERROR(IF(ISNUMBER(INDEX(원자료_시장!$A$1:$BZ$1000,설정!$L$6+ROW()-1,설정!$L$30)),INDEX(원자료_시장!$A$1:$BZ$1000,설정!$L$6+ROW()-1,설정!$L$30),""),"")</f>
        <v/>
      </c>
      <c r="I384" s="97" t="str">
        <f aca="false">IFERROR(IF(ISNUMBER(INDEX(원자료_시장!$A$1:$BZ$1000,설정!$L$6+ROW()-1,설정!$L$31)),INDEX(원자료_시장!$A$1:$BZ$1000,설정!$L$6+ROW()-1,설정!$L$31),""),"")</f>
        <v/>
      </c>
      <c r="J384" s="97" t="str">
        <f aca="false">IFERROR(IF(ISNUMBER(INDEX(원자료_시장!$A$1:$BZ$1000,설정!$L$6+ROW()-1,설정!$L$32)),INDEX(원자료_시장!$A$1:$BZ$1000,설정!$L$6+ROW()-1,설정!$L$32),""),"")</f>
        <v/>
      </c>
      <c r="K384" s="85" t="str">
        <f aca="false">IFERROR(IF(ISNUMBER(INDEX(원자료_시장!$A$1:$BZ$1000,설정!$L$6+ROW()-1,설정!$L$33)),INDEX(원자료_시장!$A$1:$BZ$1000,설정!$L$6+ROW()-1,설정!$L$33),""),"")</f>
        <v/>
      </c>
      <c r="L384" s="83" t="n">
        <f aca="false">IFERROR(IF(INDEX(원자료_시장!$A$1:$BZ$1000,설정!$L$6+ROW()-1,설정!$L$34)&amp;""="0","",INDEX(원자료_시장!$A$1:$BZ$1000,설정!$L$6+ROW()-1,설정!$L$34)),"")</f>
        <v>0</v>
      </c>
      <c r="M384" s="83" t="n">
        <f aca="false">IFERROR(IF(INDEX(원자료_시장!$A$1:$BZ$1000,설정!$L$6+ROW()-1,설정!$L$35)&amp;""="0","",INDEX(원자료_시장!$A$1:$BZ$1000,설정!$L$6+ROW()-1,설정!$L$35)),"")</f>
        <v>0</v>
      </c>
      <c r="N384" s="83" t="n">
        <f aca="false">IFERROR(IF(INDEX(원자료_시장!$A$1:$BZ$1000,설정!$L$6+ROW()-1,설정!$L$36)&amp;""="0","",INDEX(원자료_시장!$A$1:$BZ$1000,설정!$L$6+ROW()-1,설정!$L$36)),"")</f>
        <v>0</v>
      </c>
      <c r="O384" s="43" t="str">
        <f aca="false">IF($A384="","",UPPER(LEFT($A384,FIND(" ",$A384&amp;" ")-1)))</f>
        <v/>
      </c>
      <c r="P384" s="43" t="str">
        <f aca="false">IF($A384="","",TRIM(RIGHT(SUBSTITUTE(TRIM($A384)," ",REPT(" ",30)),30)))</f>
        <v/>
      </c>
      <c r="Q384" s="98" t="str">
        <f aca="false">IF($A384="","",IFERROR(DATE(IF(LEN(P384)=8,2000+VALUE(RIGHT(P384,2)),VALUE(RIGHT(P384,4))),VALUE(LEFT(P384,2)),VALUE(MID(P384,4,2))),""))</f>
        <v/>
      </c>
      <c r="R384" s="89" t="n">
        <f aca="false">IF($A384="",0,IF(ISNUMBER(SEARCH("Float",$A384)),1,0))</f>
        <v>0</v>
      </c>
      <c r="S384" s="43" t="str">
        <f aca="false">IF($A384="","",TRIM(MID($A384,LEN(O384)+2,LEN($A384)-LEN(O384)-LEN(P384)-1)))</f>
        <v/>
      </c>
      <c r="T384" s="92" t="str">
        <f aca="false">IF(OR($A384="",R384=1),"",IFERROR(IF(ISNUMBER(FIND("/",S384)),IF(ISNUMBER(FIND(" ",S384)),VALUE(LEFT(S384,FIND(" ",S384)-1))+VALUE(MID(S384,FIND(" ",S384)+1,FIND("/",S384)-FIND(" ",S384)-1))/VALUE(MID(S384,FIND("/",S384)+1,9)),VALUE(LEFT(S384,FIND("/",S384)-1))/VALUE(MID(S384,FIND("/",S384)+1,9))),VALUE(S384)),""))</f>
        <v/>
      </c>
      <c r="U384" s="43" t="str">
        <f aca="false">IF(OR($A384="",NOT(ISNUMBER(Q384))),"",TEXT(Q384,"yyyymmdd")&amp;"|"&amp;IF(R384=1,"F",TEXT(T384,"0.000")))</f>
        <v/>
      </c>
      <c r="V384" s="43" t="str">
        <f aca="false">IF(U384="","",O384&amp;"|"&amp;U384)</f>
        <v/>
      </c>
      <c r="W384" s="43" t="str">
        <f aca="false">IF($A384="","",IFERROR(IF(VLOOKUP(O384,매핑!$A$4:$E$92,3,0)="","미분류",VLOOKUP(O384,매핑!$A$4:$E$92,3,0)),"미분류"))</f>
        <v/>
      </c>
      <c r="X384" s="89" t="n">
        <f aca="false">IF($A384="",0,IF(O384="T",1,0))</f>
        <v>0</v>
      </c>
      <c r="Y384" s="89" t="n">
        <f aca="false">IF($A384="",0,IF(AND(C384="USD",X384=0,ISNUMBER(E384),ISNUMBER(K384)),IF(K384&gt;=설정!$C$8,1,0),0))</f>
        <v>0</v>
      </c>
      <c r="Z384" s="43" t="str">
        <f aca="false">IF($A384="","",N384&amp;"|"&amp;L384)</f>
        <v/>
      </c>
      <c r="AA384" s="92" t="n">
        <f aca="false">IF(Y384=1,LN(K384),0)</f>
        <v>0</v>
      </c>
      <c r="AB384" s="93" t="n">
        <f aca="false">IF(Y384=1,E384,0)</f>
        <v>0</v>
      </c>
      <c r="AC384" s="89" t="n">
        <f aca="false">IF(Y384=1,COUNTIFS($Z$2:$Z$601,Z384,$Y$2:$Y$601,1),0)</f>
        <v>0</v>
      </c>
      <c r="AD384" s="89" t="n">
        <f aca="false">IF(Y384=1,COUNTIFS($N$2:$N$601,N384,$Y$2:$Y$601,1),0)</f>
        <v>0</v>
      </c>
      <c r="AE384" s="43" t="str">
        <f aca="false">IF(Y384&lt;&gt;1,"",IF(AND(AC384&gt;=설정!$C$7,ISNUMBER(MATCH(Z384,피어커브!$A:$A,0))),Z384,IF(AND(AD384&gt;=설정!$C$7,ISNUMBER(MATCH(N384&amp;"|전체",피어커브!$A:$A,0))),N384&amp;"|전체","전체|전체")))</f>
        <v/>
      </c>
      <c r="AF384" s="93" t="str">
        <f aca="false">IF(AE384="","",INDEX(피어커브!$K:$K,MATCH(AE384,피어커브!$A:$A,0)))</f>
        <v/>
      </c>
      <c r="AG384" s="93" t="str">
        <f aca="false">IF(AE384="","",INDEX(피어커브!$J:$J,MATCH(AE384,피어커브!$A:$A,0)))</f>
        <v/>
      </c>
      <c r="AH384" s="93" t="str">
        <f aca="false">IF(AE384="","",INDEX(피어커브!$L:$L,MATCH(AE384,피어커브!$A:$A,0)))</f>
        <v/>
      </c>
      <c r="AI384" s="93" t="str">
        <f aca="false">IF(AE384="","",AF384+AG384*AA384)</f>
        <v/>
      </c>
      <c r="AJ384" s="96" t="str">
        <f aca="false">IF(AE384="","",E384-AI384)</f>
        <v/>
      </c>
      <c r="AK384" s="95" t="str">
        <f aca="false">IF(AE384="","",IF(ISNUMBER(AH384),IF(AH384&gt;0,AJ384/AH384,""),""))</f>
        <v/>
      </c>
      <c r="AL384" s="43" t="str">
        <f aca="false">IF(AK384="","-",IF(AK384&gt;=설정!$C$6,"Cheap",IF(AK384&lt;=-설정!$C$6,"Rich","Fair")))</f>
        <v>-</v>
      </c>
      <c r="AM384" s="96" t="str">
        <f aca="false">IF(AE384="","",AJ384-AVERAGEIFS($AJ$2:$AJ$601,$B$2:$B$601,B384,$Y$2:$Y$601,1))</f>
        <v/>
      </c>
      <c r="AN384" s="93" t="n">
        <f aca="false">IF(AE384="",0,IF(K384&gt;1+설정!$C$8,AG384*(AA384-LN(K384-1)),0))</f>
        <v>0</v>
      </c>
      <c r="AO384" s="99" t="n">
        <f aca="false">IF($A384="",0,SUMIFS(보유분석!$AA$2:$AA$801,보유분석!$AB$2:$AB$801,ROW(),보유분석!$AC$2:$AC$801,1))</f>
        <v>0</v>
      </c>
      <c r="AP384" s="43" t="str">
        <f aca="false">IF($A384="","",TRIM(IF(R384=1,"FRN ","")&amp;IF(IFERROR(VLOOKUP(M384,설정!$A$15:$D$47,4,0),0)&gt;=10,IF(IFERROR(VLOOKUP(M384,설정!$A$15:$D$47,4,0),0)&lt;99,"BBB0미만 ",""),"")&amp;IF(OR(M384="",M384="NR"),"등급미입력 ","")&amp;IF(C384&lt;&gt;"USD","비USD ","")))</f>
        <v/>
      </c>
      <c r="AQ384" s="90" t="n">
        <f aca="false">IF(AND(Y384=1,AL384="Cheap"),IF(AND(ISERROR(SEARCH("FRN",AP384)),ISERROR(SEARCH("BBB0미만",AP384))),AK384+ROW()/1000000000,-999),-999)</f>
        <v>-999</v>
      </c>
      <c r="AR384" s="92" t="str">
        <f aca="false">IF(AND(ISNUMBER(D384),ISNUMBER(K384)),D384+AN384*MAX(K384-1,0)/100,"")</f>
        <v/>
      </c>
      <c r="AS384" s="93" t="str">
        <f aca="false">IF(AND(ISNUMBER(E384),ISNUMBER(K384)),IF(K384&gt;0,(E384+AN384*MAX(K384-1,0))/K384,""),"")</f>
        <v/>
      </c>
      <c r="AT384" s="90" t="n">
        <f aca="false">IFERROR(IF(AND(Y384=1,ROW()&lt;&gt;스왑분석!$C$12+1,ABS(K384-INDEX($K$2:$K$601,스왑분석!$C$12))&lt;=스왑분석!$C$5,ISERROR(SEARCH("FRN",AP384)),ISERROR(SEARCH("BBB0미만",AP384))),IF(AND(OR(스왑분석!$C$6="N",L384=INDEX($L$2:$L$601,스왑분석!$C$12)),OR(스왑분석!$C$7="N",N384=INDEX($N$2:$N$601,스왑분석!$C$12)),OR(스왑분석!$C$8="N",AO384=0),E384-INDEX($E$2:$E$601,스왑분석!$C$12)&gt;=스왑분석!$C$9),E384-INDEX($E$2:$E$601,스왑분석!$C$12)+ROW()/1000000000,-999),-999),-999)</f>
        <v>-999</v>
      </c>
      <c r="AU384" s="90" t="n">
        <f aca="false">IF(AND(Y384=1,AO384&gt;0,AL384="Rich"),-AK384+ROW()/1000000000,-999)</f>
        <v>-999</v>
      </c>
    </row>
    <row r="385" customFormat="false" ht="15" hidden="false" customHeight="false" outlineLevel="0" collapsed="false">
      <c r="A385" s="83" t="n">
        <f aca="false">IFERROR(IF(INDEX(원자료_시장!$A$1:$BZ$1000,설정!$L$6+ROW()-1,설정!$L$24)&amp;""="0","",INDEX(원자료_시장!$A$1:$BZ$1000,설정!$L$6+ROW()-1,설정!$L$24)),"")</f>
        <v>0</v>
      </c>
      <c r="B385" s="83" t="n">
        <f aca="false">IFERROR(IF(INDEX(원자료_시장!$A$1:$BZ$1000,설정!$L$6+ROW()-1,설정!$L$37)&amp;""="0","",INDEX(원자료_시장!$A$1:$BZ$1000,설정!$L$6+ROW()-1,설정!$L$37)),"")</f>
        <v>0</v>
      </c>
      <c r="C385" s="83" t="n">
        <f aca="false">IFERROR(IF(INDEX(원자료_시장!$A$1:$BZ$1000,설정!$L$6+ROW()-1,설정!$L$25)&amp;""="0","",INDEX(원자료_시장!$A$1:$BZ$1000,설정!$L$6+ROW()-1,설정!$L$25)),"")</f>
        <v>0</v>
      </c>
      <c r="D385" s="85" t="str">
        <f aca="false">IFERROR(IF(ISNUMBER(INDEX(원자료_시장!$A$1:$BZ$1000,설정!$L$6+ROW()-1,설정!$L$26)),INDEX(원자료_시장!$A$1:$BZ$1000,설정!$L$6+ROW()-1,설정!$L$26),""),"")</f>
        <v/>
      </c>
      <c r="E385" s="97" t="str">
        <f aca="false">IFERROR(IF(ISNUMBER(INDEX(원자료_시장!$A$1:$BZ$1000,설정!$L$6+ROW()-1,설정!$L$27)),INDEX(원자료_시장!$A$1:$BZ$1000,설정!$L$6+ROW()-1,설정!$L$27),""),"")</f>
        <v/>
      </c>
      <c r="F385" s="97" t="str">
        <f aca="false">IFERROR(IF(ISNUMBER(INDEX(원자료_시장!$A$1:$BZ$1000,설정!$L$6+ROW()-1,설정!$L$28)),INDEX(원자료_시장!$A$1:$BZ$1000,설정!$L$6+ROW()-1,설정!$L$28),""),"")</f>
        <v/>
      </c>
      <c r="G385" s="97" t="str">
        <f aca="false">IFERROR(IF(ISNUMBER(INDEX(원자료_시장!$A$1:$BZ$1000,설정!$L$6+ROW()-1,설정!$L$29)),INDEX(원자료_시장!$A$1:$BZ$1000,설정!$L$6+ROW()-1,설정!$L$29),""),"")</f>
        <v/>
      </c>
      <c r="H385" s="97" t="str">
        <f aca="false">IFERROR(IF(ISNUMBER(INDEX(원자료_시장!$A$1:$BZ$1000,설정!$L$6+ROW()-1,설정!$L$30)),INDEX(원자료_시장!$A$1:$BZ$1000,설정!$L$6+ROW()-1,설정!$L$30),""),"")</f>
        <v/>
      </c>
      <c r="I385" s="97" t="str">
        <f aca="false">IFERROR(IF(ISNUMBER(INDEX(원자료_시장!$A$1:$BZ$1000,설정!$L$6+ROW()-1,설정!$L$31)),INDEX(원자료_시장!$A$1:$BZ$1000,설정!$L$6+ROW()-1,설정!$L$31),""),"")</f>
        <v/>
      </c>
      <c r="J385" s="97" t="str">
        <f aca="false">IFERROR(IF(ISNUMBER(INDEX(원자료_시장!$A$1:$BZ$1000,설정!$L$6+ROW()-1,설정!$L$32)),INDEX(원자료_시장!$A$1:$BZ$1000,설정!$L$6+ROW()-1,설정!$L$32),""),"")</f>
        <v/>
      </c>
      <c r="K385" s="85" t="str">
        <f aca="false">IFERROR(IF(ISNUMBER(INDEX(원자료_시장!$A$1:$BZ$1000,설정!$L$6+ROW()-1,설정!$L$33)),INDEX(원자료_시장!$A$1:$BZ$1000,설정!$L$6+ROW()-1,설정!$L$33),""),"")</f>
        <v/>
      </c>
      <c r="L385" s="83" t="n">
        <f aca="false">IFERROR(IF(INDEX(원자료_시장!$A$1:$BZ$1000,설정!$L$6+ROW()-1,설정!$L$34)&amp;""="0","",INDEX(원자료_시장!$A$1:$BZ$1000,설정!$L$6+ROW()-1,설정!$L$34)),"")</f>
        <v>0</v>
      </c>
      <c r="M385" s="83" t="n">
        <f aca="false">IFERROR(IF(INDEX(원자료_시장!$A$1:$BZ$1000,설정!$L$6+ROW()-1,설정!$L$35)&amp;""="0","",INDEX(원자료_시장!$A$1:$BZ$1000,설정!$L$6+ROW()-1,설정!$L$35)),"")</f>
        <v>0</v>
      </c>
      <c r="N385" s="83" t="n">
        <f aca="false">IFERROR(IF(INDEX(원자료_시장!$A$1:$BZ$1000,설정!$L$6+ROW()-1,설정!$L$36)&amp;""="0","",INDEX(원자료_시장!$A$1:$BZ$1000,설정!$L$6+ROW()-1,설정!$L$36)),"")</f>
        <v>0</v>
      </c>
      <c r="O385" s="43" t="str">
        <f aca="false">IF($A385="","",UPPER(LEFT($A385,FIND(" ",$A385&amp;" ")-1)))</f>
        <v/>
      </c>
      <c r="P385" s="43" t="str">
        <f aca="false">IF($A385="","",TRIM(RIGHT(SUBSTITUTE(TRIM($A385)," ",REPT(" ",30)),30)))</f>
        <v/>
      </c>
      <c r="Q385" s="98" t="str">
        <f aca="false">IF($A385="","",IFERROR(DATE(IF(LEN(P385)=8,2000+VALUE(RIGHT(P385,2)),VALUE(RIGHT(P385,4))),VALUE(LEFT(P385,2)),VALUE(MID(P385,4,2))),""))</f>
        <v/>
      </c>
      <c r="R385" s="89" t="n">
        <f aca="false">IF($A385="",0,IF(ISNUMBER(SEARCH("Float",$A385)),1,0))</f>
        <v>0</v>
      </c>
      <c r="S385" s="43" t="str">
        <f aca="false">IF($A385="","",TRIM(MID($A385,LEN(O385)+2,LEN($A385)-LEN(O385)-LEN(P385)-1)))</f>
        <v/>
      </c>
      <c r="T385" s="92" t="str">
        <f aca="false">IF(OR($A385="",R385=1),"",IFERROR(IF(ISNUMBER(FIND("/",S385)),IF(ISNUMBER(FIND(" ",S385)),VALUE(LEFT(S385,FIND(" ",S385)-1))+VALUE(MID(S385,FIND(" ",S385)+1,FIND("/",S385)-FIND(" ",S385)-1))/VALUE(MID(S385,FIND("/",S385)+1,9)),VALUE(LEFT(S385,FIND("/",S385)-1))/VALUE(MID(S385,FIND("/",S385)+1,9))),VALUE(S385)),""))</f>
        <v/>
      </c>
      <c r="U385" s="43" t="str">
        <f aca="false">IF(OR($A385="",NOT(ISNUMBER(Q385))),"",TEXT(Q385,"yyyymmdd")&amp;"|"&amp;IF(R385=1,"F",TEXT(T385,"0.000")))</f>
        <v/>
      </c>
      <c r="V385" s="43" t="str">
        <f aca="false">IF(U385="","",O385&amp;"|"&amp;U385)</f>
        <v/>
      </c>
      <c r="W385" s="43" t="str">
        <f aca="false">IF($A385="","",IFERROR(IF(VLOOKUP(O385,매핑!$A$4:$E$92,3,0)="","미분류",VLOOKUP(O385,매핑!$A$4:$E$92,3,0)),"미분류"))</f>
        <v/>
      </c>
      <c r="X385" s="89" t="n">
        <f aca="false">IF($A385="",0,IF(O385="T",1,0))</f>
        <v>0</v>
      </c>
      <c r="Y385" s="89" t="n">
        <f aca="false">IF($A385="",0,IF(AND(C385="USD",X385=0,ISNUMBER(E385),ISNUMBER(K385)),IF(K385&gt;=설정!$C$8,1,0),0))</f>
        <v>0</v>
      </c>
      <c r="Z385" s="43" t="str">
        <f aca="false">IF($A385="","",N385&amp;"|"&amp;L385)</f>
        <v/>
      </c>
      <c r="AA385" s="92" t="n">
        <f aca="false">IF(Y385=1,LN(K385),0)</f>
        <v>0</v>
      </c>
      <c r="AB385" s="93" t="n">
        <f aca="false">IF(Y385=1,E385,0)</f>
        <v>0</v>
      </c>
      <c r="AC385" s="89" t="n">
        <f aca="false">IF(Y385=1,COUNTIFS($Z$2:$Z$601,Z385,$Y$2:$Y$601,1),0)</f>
        <v>0</v>
      </c>
      <c r="AD385" s="89" t="n">
        <f aca="false">IF(Y385=1,COUNTIFS($N$2:$N$601,N385,$Y$2:$Y$601,1),0)</f>
        <v>0</v>
      </c>
      <c r="AE385" s="43" t="str">
        <f aca="false">IF(Y385&lt;&gt;1,"",IF(AND(AC385&gt;=설정!$C$7,ISNUMBER(MATCH(Z385,피어커브!$A:$A,0))),Z385,IF(AND(AD385&gt;=설정!$C$7,ISNUMBER(MATCH(N385&amp;"|전체",피어커브!$A:$A,0))),N385&amp;"|전체","전체|전체")))</f>
        <v/>
      </c>
      <c r="AF385" s="93" t="str">
        <f aca="false">IF(AE385="","",INDEX(피어커브!$K:$K,MATCH(AE385,피어커브!$A:$A,0)))</f>
        <v/>
      </c>
      <c r="AG385" s="93" t="str">
        <f aca="false">IF(AE385="","",INDEX(피어커브!$J:$J,MATCH(AE385,피어커브!$A:$A,0)))</f>
        <v/>
      </c>
      <c r="AH385" s="93" t="str">
        <f aca="false">IF(AE385="","",INDEX(피어커브!$L:$L,MATCH(AE385,피어커브!$A:$A,0)))</f>
        <v/>
      </c>
      <c r="AI385" s="93" t="str">
        <f aca="false">IF(AE385="","",AF385+AG385*AA385)</f>
        <v/>
      </c>
      <c r="AJ385" s="96" t="str">
        <f aca="false">IF(AE385="","",E385-AI385)</f>
        <v/>
      </c>
      <c r="AK385" s="95" t="str">
        <f aca="false">IF(AE385="","",IF(ISNUMBER(AH385),IF(AH385&gt;0,AJ385/AH385,""),""))</f>
        <v/>
      </c>
      <c r="AL385" s="43" t="str">
        <f aca="false">IF(AK385="","-",IF(AK385&gt;=설정!$C$6,"Cheap",IF(AK385&lt;=-설정!$C$6,"Rich","Fair")))</f>
        <v>-</v>
      </c>
      <c r="AM385" s="96" t="str">
        <f aca="false">IF(AE385="","",AJ385-AVERAGEIFS($AJ$2:$AJ$601,$B$2:$B$601,B385,$Y$2:$Y$601,1))</f>
        <v/>
      </c>
      <c r="AN385" s="93" t="n">
        <f aca="false">IF(AE385="",0,IF(K385&gt;1+설정!$C$8,AG385*(AA385-LN(K385-1)),0))</f>
        <v>0</v>
      </c>
      <c r="AO385" s="99" t="n">
        <f aca="false">IF($A385="",0,SUMIFS(보유분석!$AA$2:$AA$801,보유분석!$AB$2:$AB$801,ROW(),보유분석!$AC$2:$AC$801,1))</f>
        <v>0</v>
      </c>
      <c r="AP385" s="43" t="str">
        <f aca="false">IF($A385="","",TRIM(IF(R385=1,"FRN ","")&amp;IF(IFERROR(VLOOKUP(M385,설정!$A$15:$D$47,4,0),0)&gt;=10,IF(IFERROR(VLOOKUP(M385,설정!$A$15:$D$47,4,0),0)&lt;99,"BBB0미만 ",""),"")&amp;IF(OR(M385="",M385="NR"),"등급미입력 ","")&amp;IF(C385&lt;&gt;"USD","비USD ","")))</f>
        <v/>
      </c>
      <c r="AQ385" s="90" t="n">
        <f aca="false">IF(AND(Y385=1,AL385="Cheap"),IF(AND(ISERROR(SEARCH("FRN",AP385)),ISERROR(SEARCH("BBB0미만",AP385))),AK385+ROW()/1000000000,-999),-999)</f>
        <v>-999</v>
      </c>
      <c r="AR385" s="92" t="str">
        <f aca="false">IF(AND(ISNUMBER(D385),ISNUMBER(K385)),D385+AN385*MAX(K385-1,0)/100,"")</f>
        <v/>
      </c>
      <c r="AS385" s="93" t="str">
        <f aca="false">IF(AND(ISNUMBER(E385),ISNUMBER(K385)),IF(K385&gt;0,(E385+AN385*MAX(K385-1,0))/K385,""),"")</f>
        <v/>
      </c>
      <c r="AT385" s="90" t="n">
        <f aca="false">IFERROR(IF(AND(Y385=1,ROW()&lt;&gt;스왑분석!$C$12+1,ABS(K385-INDEX($K$2:$K$601,스왑분석!$C$12))&lt;=스왑분석!$C$5,ISERROR(SEARCH("FRN",AP385)),ISERROR(SEARCH("BBB0미만",AP385))),IF(AND(OR(스왑분석!$C$6="N",L385=INDEX($L$2:$L$601,스왑분석!$C$12)),OR(스왑분석!$C$7="N",N385=INDEX($N$2:$N$601,스왑분석!$C$12)),OR(스왑분석!$C$8="N",AO385=0),E385-INDEX($E$2:$E$601,스왑분석!$C$12)&gt;=스왑분석!$C$9),E385-INDEX($E$2:$E$601,스왑분석!$C$12)+ROW()/1000000000,-999),-999),-999)</f>
        <v>-999</v>
      </c>
      <c r="AU385" s="90" t="n">
        <f aca="false">IF(AND(Y385=1,AO385&gt;0,AL385="Rich"),-AK385+ROW()/1000000000,-999)</f>
        <v>-999</v>
      </c>
    </row>
    <row r="386" customFormat="false" ht="15" hidden="false" customHeight="false" outlineLevel="0" collapsed="false">
      <c r="A386" s="83" t="n">
        <f aca="false">IFERROR(IF(INDEX(원자료_시장!$A$1:$BZ$1000,설정!$L$6+ROW()-1,설정!$L$24)&amp;""="0","",INDEX(원자료_시장!$A$1:$BZ$1000,설정!$L$6+ROW()-1,설정!$L$24)),"")</f>
        <v>0</v>
      </c>
      <c r="B386" s="83" t="n">
        <f aca="false">IFERROR(IF(INDEX(원자료_시장!$A$1:$BZ$1000,설정!$L$6+ROW()-1,설정!$L$37)&amp;""="0","",INDEX(원자료_시장!$A$1:$BZ$1000,설정!$L$6+ROW()-1,설정!$L$37)),"")</f>
        <v>0</v>
      </c>
      <c r="C386" s="83" t="n">
        <f aca="false">IFERROR(IF(INDEX(원자료_시장!$A$1:$BZ$1000,설정!$L$6+ROW()-1,설정!$L$25)&amp;""="0","",INDEX(원자료_시장!$A$1:$BZ$1000,설정!$L$6+ROW()-1,설정!$L$25)),"")</f>
        <v>0</v>
      </c>
      <c r="D386" s="85" t="str">
        <f aca="false">IFERROR(IF(ISNUMBER(INDEX(원자료_시장!$A$1:$BZ$1000,설정!$L$6+ROW()-1,설정!$L$26)),INDEX(원자료_시장!$A$1:$BZ$1000,설정!$L$6+ROW()-1,설정!$L$26),""),"")</f>
        <v/>
      </c>
      <c r="E386" s="97" t="str">
        <f aca="false">IFERROR(IF(ISNUMBER(INDEX(원자료_시장!$A$1:$BZ$1000,설정!$L$6+ROW()-1,설정!$L$27)),INDEX(원자료_시장!$A$1:$BZ$1000,설정!$L$6+ROW()-1,설정!$L$27),""),"")</f>
        <v/>
      </c>
      <c r="F386" s="97" t="str">
        <f aca="false">IFERROR(IF(ISNUMBER(INDEX(원자료_시장!$A$1:$BZ$1000,설정!$L$6+ROW()-1,설정!$L$28)),INDEX(원자료_시장!$A$1:$BZ$1000,설정!$L$6+ROW()-1,설정!$L$28),""),"")</f>
        <v/>
      </c>
      <c r="G386" s="97" t="str">
        <f aca="false">IFERROR(IF(ISNUMBER(INDEX(원자료_시장!$A$1:$BZ$1000,설정!$L$6+ROW()-1,설정!$L$29)),INDEX(원자료_시장!$A$1:$BZ$1000,설정!$L$6+ROW()-1,설정!$L$29),""),"")</f>
        <v/>
      </c>
      <c r="H386" s="97" t="str">
        <f aca="false">IFERROR(IF(ISNUMBER(INDEX(원자료_시장!$A$1:$BZ$1000,설정!$L$6+ROW()-1,설정!$L$30)),INDEX(원자료_시장!$A$1:$BZ$1000,설정!$L$6+ROW()-1,설정!$L$30),""),"")</f>
        <v/>
      </c>
      <c r="I386" s="97" t="str">
        <f aca="false">IFERROR(IF(ISNUMBER(INDEX(원자료_시장!$A$1:$BZ$1000,설정!$L$6+ROW()-1,설정!$L$31)),INDEX(원자료_시장!$A$1:$BZ$1000,설정!$L$6+ROW()-1,설정!$L$31),""),"")</f>
        <v/>
      </c>
      <c r="J386" s="97" t="str">
        <f aca="false">IFERROR(IF(ISNUMBER(INDEX(원자료_시장!$A$1:$BZ$1000,설정!$L$6+ROW()-1,설정!$L$32)),INDEX(원자료_시장!$A$1:$BZ$1000,설정!$L$6+ROW()-1,설정!$L$32),""),"")</f>
        <v/>
      </c>
      <c r="K386" s="85" t="str">
        <f aca="false">IFERROR(IF(ISNUMBER(INDEX(원자료_시장!$A$1:$BZ$1000,설정!$L$6+ROW()-1,설정!$L$33)),INDEX(원자료_시장!$A$1:$BZ$1000,설정!$L$6+ROW()-1,설정!$L$33),""),"")</f>
        <v/>
      </c>
      <c r="L386" s="83" t="n">
        <f aca="false">IFERROR(IF(INDEX(원자료_시장!$A$1:$BZ$1000,설정!$L$6+ROW()-1,설정!$L$34)&amp;""="0","",INDEX(원자료_시장!$A$1:$BZ$1000,설정!$L$6+ROW()-1,설정!$L$34)),"")</f>
        <v>0</v>
      </c>
      <c r="M386" s="83" t="n">
        <f aca="false">IFERROR(IF(INDEX(원자료_시장!$A$1:$BZ$1000,설정!$L$6+ROW()-1,설정!$L$35)&amp;""="0","",INDEX(원자료_시장!$A$1:$BZ$1000,설정!$L$6+ROW()-1,설정!$L$35)),"")</f>
        <v>0</v>
      </c>
      <c r="N386" s="83" t="n">
        <f aca="false">IFERROR(IF(INDEX(원자료_시장!$A$1:$BZ$1000,설정!$L$6+ROW()-1,설정!$L$36)&amp;""="0","",INDEX(원자료_시장!$A$1:$BZ$1000,설정!$L$6+ROW()-1,설정!$L$36)),"")</f>
        <v>0</v>
      </c>
      <c r="O386" s="43" t="str">
        <f aca="false">IF($A386="","",UPPER(LEFT($A386,FIND(" ",$A386&amp;" ")-1)))</f>
        <v/>
      </c>
      <c r="P386" s="43" t="str">
        <f aca="false">IF($A386="","",TRIM(RIGHT(SUBSTITUTE(TRIM($A386)," ",REPT(" ",30)),30)))</f>
        <v/>
      </c>
      <c r="Q386" s="98" t="str">
        <f aca="false">IF($A386="","",IFERROR(DATE(IF(LEN(P386)=8,2000+VALUE(RIGHT(P386,2)),VALUE(RIGHT(P386,4))),VALUE(LEFT(P386,2)),VALUE(MID(P386,4,2))),""))</f>
        <v/>
      </c>
      <c r="R386" s="89" t="n">
        <f aca="false">IF($A386="",0,IF(ISNUMBER(SEARCH("Float",$A386)),1,0))</f>
        <v>0</v>
      </c>
      <c r="S386" s="43" t="str">
        <f aca="false">IF($A386="","",TRIM(MID($A386,LEN(O386)+2,LEN($A386)-LEN(O386)-LEN(P386)-1)))</f>
        <v/>
      </c>
      <c r="T386" s="92" t="str">
        <f aca="false">IF(OR($A386="",R386=1),"",IFERROR(IF(ISNUMBER(FIND("/",S386)),IF(ISNUMBER(FIND(" ",S386)),VALUE(LEFT(S386,FIND(" ",S386)-1))+VALUE(MID(S386,FIND(" ",S386)+1,FIND("/",S386)-FIND(" ",S386)-1))/VALUE(MID(S386,FIND("/",S386)+1,9)),VALUE(LEFT(S386,FIND("/",S386)-1))/VALUE(MID(S386,FIND("/",S386)+1,9))),VALUE(S386)),""))</f>
        <v/>
      </c>
      <c r="U386" s="43" t="str">
        <f aca="false">IF(OR($A386="",NOT(ISNUMBER(Q386))),"",TEXT(Q386,"yyyymmdd")&amp;"|"&amp;IF(R386=1,"F",TEXT(T386,"0.000")))</f>
        <v/>
      </c>
      <c r="V386" s="43" t="str">
        <f aca="false">IF(U386="","",O386&amp;"|"&amp;U386)</f>
        <v/>
      </c>
      <c r="W386" s="43" t="str">
        <f aca="false">IF($A386="","",IFERROR(IF(VLOOKUP(O386,매핑!$A$4:$E$92,3,0)="","미분류",VLOOKUP(O386,매핑!$A$4:$E$92,3,0)),"미분류"))</f>
        <v/>
      </c>
      <c r="X386" s="89" t="n">
        <f aca="false">IF($A386="",0,IF(O386="T",1,0))</f>
        <v>0</v>
      </c>
      <c r="Y386" s="89" t="n">
        <f aca="false">IF($A386="",0,IF(AND(C386="USD",X386=0,ISNUMBER(E386),ISNUMBER(K386)),IF(K386&gt;=설정!$C$8,1,0),0))</f>
        <v>0</v>
      </c>
      <c r="Z386" s="43" t="str">
        <f aca="false">IF($A386="","",N386&amp;"|"&amp;L386)</f>
        <v/>
      </c>
      <c r="AA386" s="92" t="n">
        <f aca="false">IF(Y386=1,LN(K386),0)</f>
        <v>0</v>
      </c>
      <c r="AB386" s="93" t="n">
        <f aca="false">IF(Y386=1,E386,0)</f>
        <v>0</v>
      </c>
      <c r="AC386" s="89" t="n">
        <f aca="false">IF(Y386=1,COUNTIFS($Z$2:$Z$601,Z386,$Y$2:$Y$601,1),0)</f>
        <v>0</v>
      </c>
      <c r="AD386" s="89" t="n">
        <f aca="false">IF(Y386=1,COUNTIFS($N$2:$N$601,N386,$Y$2:$Y$601,1),0)</f>
        <v>0</v>
      </c>
      <c r="AE386" s="43" t="str">
        <f aca="false">IF(Y386&lt;&gt;1,"",IF(AND(AC386&gt;=설정!$C$7,ISNUMBER(MATCH(Z386,피어커브!$A:$A,0))),Z386,IF(AND(AD386&gt;=설정!$C$7,ISNUMBER(MATCH(N386&amp;"|전체",피어커브!$A:$A,0))),N386&amp;"|전체","전체|전체")))</f>
        <v/>
      </c>
      <c r="AF386" s="93" t="str">
        <f aca="false">IF(AE386="","",INDEX(피어커브!$K:$K,MATCH(AE386,피어커브!$A:$A,0)))</f>
        <v/>
      </c>
      <c r="AG386" s="93" t="str">
        <f aca="false">IF(AE386="","",INDEX(피어커브!$J:$J,MATCH(AE386,피어커브!$A:$A,0)))</f>
        <v/>
      </c>
      <c r="AH386" s="93" t="str">
        <f aca="false">IF(AE386="","",INDEX(피어커브!$L:$L,MATCH(AE386,피어커브!$A:$A,0)))</f>
        <v/>
      </c>
      <c r="AI386" s="93" t="str">
        <f aca="false">IF(AE386="","",AF386+AG386*AA386)</f>
        <v/>
      </c>
      <c r="AJ386" s="96" t="str">
        <f aca="false">IF(AE386="","",E386-AI386)</f>
        <v/>
      </c>
      <c r="AK386" s="95" t="str">
        <f aca="false">IF(AE386="","",IF(ISNUMBER(AH386),IF(AH386&gt;0,AJ386/AH386,""),""))</f>
        <v/>
      </c>
      <c r="AL386" s="43" t="str">
        <f aca="false">IF(AK386="","-",IF(AK386&gt;=설정!$C$6,"Cheap",IF(AK386&lt;=-설정!$C$6,"Rich","Fair")))</f>
        <v>-</v>
      </c>
      <c r="AM386" s="96" t="str">
        <f aca="false">IF(AE386="","",AJ386-AVERAGEIFS($AJ$2:$AJ$601,$B$2:$B$601,B386,$Y$2:$Y$601,1))</f>
        <v/>
      </c>
      <c r="AN386" s="93" t="n">
        <f aca="false">IF(AE386="",0,IF(K386&gt;1+설정!$C$8,AG386*(AA386-LN(K386-1)),0))</f>
        <v>0</v>
      </c>
      <c r="AO386" s="99" t="n">
        <f aca="false">IF($A386="",0,SUMIFS(보유분석!$AA$2:$AA$801,보유분석!$AB$2:$AB$801,ROW(),보유분석!$AC$2:$AC$801,1))</f>
        <v>0</v>
      </c>
      <c r="AP386" s="43" t="str">
        <f aca="false">IF($A386="","",TRIM(IF(R386=1,"FRN ","")&amp;IF(IFERROR(VLOOKUP(M386,설정!$A$15:$D$47,4,0),0)&gt;=10,IF(IFERROR(VLOOKUP(M386,설정!$A$15:$D$47,4,0),0)&lt;99,"BBB0미만 ",""),"")&amp;IF(OR(M386="",M386="NR"),"등급미입력 ","")&amp;IF(C386&lt;&gt;"USD","비USD ","")))</f>
        <v/>
      </c>
      <c r="AQ386" s="90" t="n">
        <f aca="false">IF(AND(Y386=1,AL386="Cheap"),IF(AND(ISERROR(SEARCH("FRN",AP386)),ISERROR(SEARCH("BBB0미만",AP386))),AK386+ROW()/1000000000,-999),-999)</f>
        <v>-999</v>
      </c>
      <c r="AR386" s="92" t="str">
        <f aca="false">IF(AND(ISNUMBER(D386),ISNUMBER(K386)),D386+AN386*MAX(K386-1,0)/100,"")</f>
        <v/>
      </c>
      <c r="AS386" s="93" t="str">
        <f aca="false">IF(AND(ISNUMBER(E386),ISNUMBER(K386)),IF(K386&gt;0,(E386+AN386*MAX(K386-1,0))/K386,""),"")</f>
        <v/>
      </c>
      <c r="AT386" s="90" t="n">
        <f aca="false">IFERROR(IF(AND(Y386=1,ROW()&lt;&gt;스왑분석!$C$12+1,ABS(K386-INDEX($K$2:$K$601,스왑분석!$C$12))&lt;=스왑분석!$C$5,ISERROR(SEARCH("FRN",AP386)),ISERROR(SEARCH("BBB0미만",AP386))),IF(AND(OR(스왑분석!$C$6="N",L386=INDEX($L$2:$L$601,스왑분석!$C$12)),OR(스왑분석!$C$7="N",N386=INDEX($N$2:$N$601,스왑분석!$C$12)),OR(스왑분석!$C$8="N",AO386=0),E386-INDEX($E$2:$E$601,스왑분석!$C$12)&gt;=스왑분석!$C$9),E386-INDEX($E$2:$E$601,스왑분석!$C$12)+ROW()/1000000000,-999),-999),-999)</f>
        <v>-999</v>
      </c>
      <c r="AU386" s="90" t="n">
        <f aca="false">IF(AND(Y386=1,AO386&gt;0,AL386="Rich"),-AK386+ROW()/1000000000,-999)</f>
        <v>-999</v>
      </c>
    </row>
    <row r="387" customFormat="false" ht="15" hidden="false" customHeight="false" outlineLevel="0" collapsed="false">
      <c r="A387" s="83" t="n">
        <f aca="false">IFERROR(IF(INDEX(원자료_시장!$A$1:$BZ$1000,설정!$L$6+ROW()-1,설정!$L$24)&amp;""="0","",INDEX(원자료_시장!$A$1:$BZ$1000,설정!$L$6+ROW()-1,설정!$L$24)),"")</f>
        <v>0</v>
      </c>
      <c r="B387" s="83" t="n">
        <f aca="false">IFERROR(IF(INDEX(원자료_시장!$A$1:$BZ$1000,설정!$L$6+ROW()-1,설정!$L$37)&amp;""="0","",INDEX(원자료_시장!$A$1:$BZ$1000,설정!$L$6+ROW()-1,설정!$L$37)),"")</f>
        <v>0</v>
      </c>
      <c r="C387" s="83" t="n">
        <f aca="false">IFERROR(IF(INDEX(원자료_시장!$A$1:$BZ$1000,설정!$L$6+ROW()-1,설정!$L$25)&amp;""="0","",INDEX(원자료_시장!$A$1:$BZ$1000,설정!$L$6+ROW()-1,설정!$L$25)),"")</f>
        <v>0</v>
      </c>
      <c r="D387" s="85" t="str">
        <f aca="false">IFERROR(IF(ISNUMBER(INDEX(원자료_시장!$A$1:$BZ$1000,설정!$L$6+ROW()-1,설정!$L$26)),INDEX(원자료_시장!$A$1:$BZ$1000,설정!$L$6+ROW()-1,설정!$L$26),""),"")</f>
        <v/>
      </c>
      <c r="E387" s="97" t="str">
        <f aca="false">IFERROR(IF(ISNUMBER(INDEX(원자료_시장!$A$1:$BZ$1000,설정!$L$6+ROW()-1,설정!$L$27)),INDEX(원자료_시장!$A$1:$BZ$1000,설정!$L$6+ROW()-1,설정!$L$27),""),"")</f>
        <v/>
      </c>
      <c r="F387" s="97" t="str">
        <f aca="false">IFERROR(IF(ISNUMBER(INDEX(원자료_시장!$A$1:$BZ$1000,설정!$L$6+ROW()-1,설정!$L$28)),INDEX(원자료_시장!$A$1:$BZ$1000,설정!$L$6+ROW()-1,설정!$L$28),""),"")</f>
        <v/>
      </c>
      <c r="G387" s="97" t="str">
        <f aca="false">IFERROR(IF(ISNUMBER(INDEX(원자료_시장!$A$1:$BZ$1000,설정!$L$6+ROW()-1,설정!$L$29)),INDEX(원자료_시장!$A$1:$BZ$1000,설정!$L$6+ROW()-1,설정!$L$29),""),"")</f>
        <v/>
      </c>
      <c r="H387" s="97" t="str">
        <f aca="false">IFERROR(IF(ISNUMBER(INDEX(원자료_시장!$A$1:$BZ$1000,설정!$L$6+ROW()-1,설정!$L$30)),INDEX(원자료_시장!$A$1:$BZ$1000,설정!$L$6+ROW()-1,설정!$L$30),""),"")</f>
        <v/>
      </c>
      <c r="I387" s="97" t="str">
        <f aca="false">IFERROR(IF(ISNUMBER(INDEX(원자료_시장!$A$1:$BZ$1000,설정!$L$6+ROW()-1,설정!$L$31)),INDEX(원자료_시장!$A$1:$BZ$1000,설정!$L$6+ROW()-1,설정!$L$31),""),"")</f>
        <v/>
      </c>
      <c r="J387" s="97" t="str">
        <f aca="false">IFERROR(IF(ISNUMBER(INDEX(원자료_시장!$A$1:$BZ$1000,설정!$L$6+ROW()-1,설정!$L$32)),INDEX(원자료_시장!$A$1:$BZ$1000,설정!$L$6+ROW()-1,설정!$L$32),""),"")</f>
        <v/>
      </c>
      <c r="K387" s="85" t="str">
        <f aca="false">IFERROR(IF(ISNUMBER(INDEX(원자료_시장!$A$1:$BZ$1000,설정!$L$6+ROW()-1,설정!$L$33)),INDEX(원자료_시장!$A$1:$BZ$1000,설정!$L$6+ROW()-1,설정!$L$33),""),"")</f>
        <v/>
      </c>
      <c r="L387" s="83" t="n">
        <f aca="false">IFERROR(IF(INDEX(원자료_시장!$A$1:$BZ$1000,설정!$L$6+ROW()-1,설정!$L$34)&amp;""="0","",INDEX(원자료_시장!$A$1:$BZ$1000,설정!$L$6+ROW()-1,설정!$L$34)),"")</f>
        <v>0</v>
      </c>
      <c r="M387" s="83" t="n">
        <f aca="false">IFERROR(IF(INDEX(원자료_시장!$A$1:$BZ$1000,설정!$L$6+ROW()-1,설정!$L$35)&amp;""="0","",INDEX(원자료_시장!$A$1:$BZ$1000,설정!$L$6+ROW()-1,설정!$L$35)),"")</f>
        <v>0</v>
      </c>
      <c r="N387" s="83" t="n">
        <f aca="false">IFERROR(IF(INDEX(원자료_시장!$A$1:$BZ$1000,설정!$L$6+ROW()-1,설정!$L$36)&amp;""="0","",INDEX(원자료_시장!$A$1:$BZ$1000,설정!$L$6+ROW()-1,설정!$L$36)),"")</f>
        <v>0</v>
      </c>
      <c r="O387" s="43" t="str">
        <f aca="false">IF($A387="","",UPPER(LEFT($A387,FIND(" ",$A387&amp;" ")-1)))</f>
        <v/>
      </c>
      <c r="P387" s="43" t="str">
        <f aca="false">IF($A387="","",TRIM(RIGHT(SUBSTITUTE(TRIM($A387)," ",REPT(" ",30)),30)))</f>
        <v/>
      </c>
      <c r="Q387" s="98" t="str">
        <f aca="false">IF($A387="","",IFERROR(DATE(IF(LEN(P387)=8,2000+VALUE(RIGHT(P387,2)),VALUE(RIGHT(P387,4))),VALUE(LEFT(P387,2)),VALUE(MID(P387,4,2))),""))</f>
        <v/>
      </c>
      <c r="R387" s="89" t="n">
        <f aca="false">IF($A387="",0,IF(ISNUMBER(SEARCH("Float",$A387)),1,0))</f>
        <v>0</v>
      </c>
      <c r="S387" s="43" t="str">
        <f aca="false">IF($A387="","",TRIM(MID($A387,LEN(O387)+2,LEN($A387)-LEN(O387)-LEN(P387)-1)))</f>
        <v/>
      </c>
      <c r="T387" s="92" t="str">
        <f aca="false">IF(OR($A387="",R387=1),"",IFERROR(IF(ISNUMBER(FIND("/",S387)),IF(ISNUMBER(FIND(" ",S387)),VALUE(LEFT(S387,FIND(" ",S387)-1))+VALUE(MID(S387,FIND(" ",S387)+1,FIND("/",S387)-FIND(" ",S387)-1))/VALUE(MID(S387,FIND("/",S387)+1,9)),VALUE(LEFT(S387,FIND("/",S387)-1))/VALUE(MID(S387,FIND("/",S387)+1,9))),VALUE(S387)),""))</f>
        <v/>
      </c>
      <c r="U387" s="43" t="str">
        <f aca="false">IF(OR($A387="",NOT(ISNUMBER(Q387))),"",TEXT(Q387,"yyyymmdd")&amp;"|"&amp;IF(R387=1,"F",TEXT(T387,"0.000")))</f>
        <v/>
      </c>
      <c r="V387" s="43" t="str">
        <f aca="false">IF(U387="","",O387&amp;"|"&amp;U387)</f>
        <v/>
      </c>
      <c r="W387" s="43" t="str">
        <f aca="false">IF($A387="","",IFERROR(IF(VLOOKUP(O387,매핑!$A$4:$E$92,3,0)="","미분류",VLOOKUP(O387,매핑!$A$4:$E$92,3,0)),"미분류"))</f>
        <v/>
      </c>
      <c r="X387" s="89" t="n">
        <f aca="false">IF($A387="",0,IF(O387="T",1,0))</f>
        <v>0</v>
      </c>
      <c r="Y387" s="89" t="n">
        <f aca="false">IF($A387="",0,IF(AND(C387="USD",X387=0,ISNUMBER(E387),ISNUMBER(K387)),IF(K387&gt;=설정!$C$8,1,0),0))</f>
        <v>0</v>
      </c>
      <c r="Z387" s="43" t="str">
        <f aca="false">IF($A387="","",N387&amp;"|"&amp;L387)</f>
        <v/>
      </c>
      <c r="AA387" s="92" t="n">
        <f aca="false">IF(Y387=1,LN(K387),0)</f>
        <v>0</v>
      </c>
      <c r="AB387" s="93" t="n">
        <f aca="false">IF(Y387=1,E387,0)</f>
        <v>0</v>
      </c>
      <c r="AC387" s="89" t="n">
        <f aca="false">IF(Y387=1,COUNTIFS($Z$2:$Z$601,Z387,$Y$2:$Y$601,1),0)</f>
        <v>0</v>
      </c>
      <c r="AD387" s="89" t="n">
        <f aca="false">IF(Y387=1,COUNTIFS($N$2:$N$601,N387,$Y$2:$Y$601,1),0)</f>
        <v>0</v>
      </c>
      <c r="AE387" s="43" t="str">
        <f aca="false">IF(Y387&lt;&gt;1,"",IF(AND(AC387&gt;=설정!$C$7,ISNUMBER(MATCH(Z387,피어커브!$A:$A,0))),Z387,IF(AND(AD387&gt;=설정!$C$7,ISNUMBER(MATCH(N387&amp;"|전체",피어커브!$A:$A,0))),N387&amp;"|전체","전체|전체")))</f>
        <v/>
      </c>
      <c r="AF387" s="93" t="str">
        <f aca="false">IF(AE387="","",INDEX(피어커브!$K:$K,MATCH(AE387,피어커브!$A:$A,0)))</f>
        <v/>
      </c>
      <c r="AG387" s="93" t="str">
        <f aca="false">IF(AE387="","",INDEX(피어커브!$J:$J,MATCH(AE387,피어커브!$A:$A,0)))</f>
        <v/>
      </c>
      <c r="AH387" s="93" t="str">
        <f aca="false">IF(AE387="","",INDEX(피어커브!$L:$L,MATCH(AE387,피어커브!$A:$A,0)))</f>
        <v/>
      </c>
      <c r="AI387" s="93" t="str">
        <f aca="false">IF(AE387="","",AF387+AG387*AA387)</f>
        <v/>
      </c>
      <c r="AJ387" s="96" t="str">
        <f aca="false">IF(AE387="","",E387-AI387)</f>
        <v/>
      </c>
      <c r="AK387" s="95" t="str">
        <f aca="false">IF(AE387="","",IF(ISNUMBER(AH387),IF(AH387&gt;0,AJ387/AH387,""),""))</f>
        <v/>
      </c>
      <c r="AL387" s="43" t="str">
        <f aca="false">IF(AK387="","-",IF(AK387&gt;=설정!$C$6,"Cheap",IF(AK387&lt;=-설정!$C$6,"Rich","Fair")))</f>
        <v>-</v>
      </c>
      <c r="AM387" s="96" t="str">
        <f aca="false">IF(AE387="","",AJ387-AVERAGEIFS($AJ$2:$AJ$601,$B$2:$B$601,B387,$Y$2:$Y$601,1))</f>
        <v/>
      </c>
      <c r="AN387" s="93" t="n">
        <f aca="false">IF(AE387="",0,IF(K387&gt;1+설정!$C$8,AG387*(AA387-LN(K387-1)),0))</f>
        <v>0</v>
      </c>
      <c r="AO387" s="99" t="n">
        <f aca="false">IF($A387="",0,SUMIFS(보유분석!$AA$2:$AA$801,보유분석!$AB$2:$AB$801,ROW(),보유분석!$AC$2:$AC$801,1))</f>
        <v>0</v>
      </c>
      <c r="AP387" s="43" t="str">
        <f aca="false">IF($A387="","",TRIM(IF(R387=1,"FRN ","")&amp;IF(IFERROR(VLOOKUP(M387,설정!$A$15:$D$47,4,0),0)&gt;=10,IF(IFERROR(VLOOKUP(M387,설정!$A$15:$D$47,4,0),0)&lt;99,"BBB0미만 ",""),"")&amp;IF(OR(M387="",M387="NR"),"등급미입력 ","")&amp;IF(C387&lt;&gt;"USD","비USD ","")))</f>
        <v/>
      </c>
      <c r="AQ387" s="90" t="n">
        <f aca="false">IF(AND(Y387=1,AL387="Cheap"),IF(AND(ISERROR(SEARCH("FRN",AP387)),ISERROR(SEARCH("BBB0미만",AP387))),AK387+ROW()/1000000000,-999),-999)</f>
        <v>-999</v>
      </c>
      <c r="AR387" s="92" t="str">
        <f aca="false">IF(AND(ISNUMBER(D387),ISNUMBER(K387)),D387+AN387*MAX(K387-1,0)/100,"")</f>
        <v/>
      </c>
      <c r="AS387" s="93" t="str">
        <f aca="false">IF(AND(ISNUMBER(E387),ISNUMBER(K387)),IF(K387&gt;0,(E387+AN387*MAX(K387-1,0))/K387,""),"")</f>
        <v/>
      </c>
      <c r="AT387" s="90" t="n">
        <f aca="false">IFERROR(IF(AND(Y387=1,ROW()&lt;&gt;스왑분석!$C$12+1,ABS(K387-INDEX($K$2:$K$601,스왑분석!$C$12))&lt;=스왑분석!$C$5,ISERROR(SEARCH("FRN",AP387)),ISERROR(SEARCH("BBB0미만",AP387))),IF(AND(OR(스왑분석!$C$6="N",L387=INDEX($L$2:$L$601,스왑분석!$C$12)),OR(스왑분석!$C$7="N",N387=INDEX($N$2:$N$601,스왑분석!$C$12)),OR(스왑분석!$C$8="N",AO387=0),E387-INDEX($E$2:$E$601,스왑분석!$C$12)&gt;=스왑분석!$C$9),E387-INDEX($E$2:$E$601,스왑분석!$C$12)+ROW()/1000000000,-999),-999),-999)</f>
        <v>-999</v>
      </c>
      <c r="AU387" s="90" t="n">
        <f aca="false">IF(AND(Y387=1,AO387&gt;0,AL387="Rich"),-AK387+ROW()/1000000000,-999)</f>
        <v>-999</v>
      </c>
    </row>
    <row r="388" customFormat="false" ht="15" hidden="false" customHeight="false" outlineLevel="0" collapsed="false">
      <c r="A388" s="83" t="n">
        <f aca="false">IFERROR(IF(INDEX(원자료_시장!$A$1:$BZ$1000,설정!$L$6+ROW()-1,설정!$L$24)&amp;""="0","",INDEX(원자료_시장!$A$1:$BZ$1000,설정!$L$6+ROW()-1,설정!$L$24)),"")</f>
        <v>0</v>
      </c>
      <c r="B388" s="83" t="n">
        <f aca="false">IFERROR(IF(INDEX(원자료_시장!$A$1:$BZ$1000,설정!$L$6+ROW()-1,설정!$L$37)&amp;""="0","",INDEX(원자료_시장!$A$1:$BZ$1000,설정!$L$6+ROW()-1,설정!$L$37)),"")</f>
        <v>0</v>
      </c>
      <c r="C388" s="83" t="n">
        <f aca="false">IFERROR(IF(INDEX(원자료_시장!$A$1:$BZ$1000,설정!$L$6+ROW()-1,설정!$L$25)&amp;""="0","",INDEX(원자료_시장!$A$1:$BZ$1000,설정!$L$6+ROW()-1,설정!$L$25)),"")</f>
        <v>0</v>
      </c>
      <c r="D388" s="85" t="str">
        <f aca="false">IFERROR(IF(ISNUMBER(INDEX(원자료_시장!$A$1:$BZ$1000,설정!$L$6+ROW()-1,설정!$L$26)),INDEX(원자료_시장!$A$1:$BZ$1000,설정!$L$6+ROW()-1,설정!$L$26),""),"")</f>
        <v/>
      </c>
      <c r="E388" s="97" t="str">
        <f aca="false">IFERROR(IF(ISNUMBER(INDEX(원자료_시장!$A$1:$BZ$1000,설정!$L$6+ROW()-1,설정!$L$27)),INDEX(원자료_시장!$A$1:$BZ$1000,설정!$L$6+ROW()-1,설정!$L$27),""),"")</f>
        <v/>
      </c>
      <c r="F388" s="97" t="str">
        <f aca="false">IFERROR(IF(ISNUMBER(INDEX(원자료_시장!$A$1:$BZ$1000,설정!$L$6+ROW()-1,설정!$L$28)),INDEX(원자료_시장!$A$1:$BZ$1000,설정!$L$6+ROW()-1,설정!$L$28),""),"")</f>
        <v/>
      </c>
      <c r="G388" s="97" t="str">
        <f aca="false">IFERROR(IF(ISNUMBER(INDEX(원자료_시장!$A$1:$BZ$1000,설정!$L$6+ROW()-1,설정!$L$29)),INDEX(원자료_시장!$A$1:$BZ$1000,설정!$L$6+ROW()-1,설정!$L$29),""),"")</f>
        <v/>
      </c>
      <c r="H388" s="97" t="str">
        <f aca="false">IFERROR(IF(ISNUMBER(INDEX(원자료_시장!$A$1:$BZ$1000,설정!$L$6+ROW()-1,설정!$L$30)),INDEX(원자료_시장!$A$1:$BZ$1000,설정!$L$6+ROW()-1,설정!$L$30),""),"")</f>
        <v/>
      </c>
      <c r="I388" s="97" t="str">
        <f aca="false">IFERROR(IF(ISNUMBER(INDEX(원자료_시장!$A$1:$BZ$1000,설정!$L$6+ROW()-1,설정!$L$31)),INDEX(원자료_시장!$A$1:$BZ$1000,설정!$L$6+ROW()-1,설정!$L$31),""),"")</f>
        <v/>
      </c>
      <c r="J388" s="97" t="str">
        <f aca="false">IFERROR(IF(ISNUMBER(INDEX(원자료_시장!$A$1:$BZ$1000,설정!$L$6+ROW()-1,설정!$L$32)),INDEX(원자료_시장!$A$1:$BZ$1000,설정!$L$6+ROW()-1,설정!$L$32),""),"")</f>
        <v/>
      </c>
      <c r="K388" s="85" t="str">
        <f aca="false">IFERROR(IF(ISNUMBER(INDEX(원자료_시장!$A$1:$BZ$1000,설정!$L$6+ROW()-1,설정!$L$33)),INDEX(원자료_시장!$A$1:$BZ$1000,설정!$L$6+ROW()-1,설정!$L$33),""),"")</f>
        <v/>
      </c>
      <c r="L388" s="83" t="n">
        <f aca="false">IFERROR(IF(INDEX(원자료_시장!$A$1:$BZ$1000,설정!$L$6+ROW()-1,설정!$L$34)&amp;""="0","",INDEX(원자료_시장!$A$1:$BZ$1000,설정!$L$6+ROW()-1,설정!$L$34)),"")</f>
        <v>0</v>
      </c>
      <c r="M388" s="83" t="n">
        <f aca="false">IFERROR(IF(INDEX(원자료_시장!$A$1:$BZ$1000,설정!$L$6+ROW()-1,설정!$L$35)&amp;""="0","",INDEX(원자료_시장!$A$1:$BZ$1000,설정!$L$6+ROW()-1,설정!$L$35)),"")</f>
        <v>0</v>
      </c>
      <c r="N388" s="83" t="n">
        <f aca="false">IFERROR(IF(INDEX(원자료_시장!$A$1:$BZ$1000,설정!$L$6+ROW()-1,설정!$L$36)&amp;""="0","",INDEX(원자료_시장!$A$1:$BZ$1000,설정!$L$6+ROW()-1,설정!$L$36)),"")</f>
        <v>0</v>
      </c>
      <c r="O388" s="43" t="str">
        <f aca="false">IF($A388="","",UPPER(LEFT($A388,FIND(" ",$A388&amp;" ")-1)))</f>
        <v/>
      </c>
      <c r="P388" s="43" t="str">
        <f aca="false">IF($A388="","",TRIM(RIGHT(SUBSTITUTE(TRIM($A388)," ",REPT(" ",30)),30)))</f>
        <v/>
      </c>
      <c r="Q388" s="98" t="str">
        <f aca="false">IF($A388="","",IFERROR(DATE(IF(LEN(P388)=8,2000+VALUE(RIGHT(P388,2)),VALUE(RIGHT(P388,4))),VALUE(LEFT(P388,2)),VALUE(MID(P388,4,2))),""))</f>
        <v/>
      </c>
      <c r="R388" s="89" t="n">
        <f aca="false">IF($A388="",0,IF(ISNUMBER(SEARCH("Float",$A388)),1,0))</f>
        <v>0</v>
      </c>
      <c r="S388" s="43" t="str">
        <f aca="false">IF($A388="","",TRIM(MID($A388,LEN(O388)+2,LEN($A388)-LEN(O388)-LEN(P388)-1)))</f>
        <v/>
      </c>
      <c r="T388" s="92" t="str">
        <f aca="false">IF(OR($A388="",R388=1),"",IFERROR(IF(ISNUMBER(FIND("/",S388)),IF(ISNUMBER(FIND(" ",S388)),VALUE(LEFT(S388,FIND(" ",S388)-1))+VALUE(MID(S388,FIND(" ",S388)+1,FIND("/",S388)-FIND(" ",S388)-1))/VALUE(MID(S388,FIND("/",S388)+1,9)),VALUE(LEFT(S388,FIND("/",S388)-1))/VALUE(MID(S388,FIND("/",S388)+1,9))),VALUE(S388)),""))</f>
        <v/>
      </c>
      <c r="U388" s="43" t="str">
        <f aca="false">IF(OR($A388="",NOT(ISNUMBER(Q388))),"",TEXT(Q388,"yyyymmdd")&amp;"|"&amp;IF(R388=1,"F",TEXT(T388,"0.000")))</f>
        <v/>
      </c>
      <c r="V388" s="43" t="str">
        <f aca="false">IF(U388="","",O388&amp;"|"&amp;U388)</f>
        <v/>
      </c>
      <c r="W388" s="43" t="str">
        <f aca="false">IF($A388="","",IFERROR(IF(VLOOKUP(O388,매핑!$A$4:$E$92,3,0)="","미분류",VLOOKUP(O388,매핑!$A$4:$E$92,3,0)),"미분류"))</f>
        <v/>
      </c>
      <c r="X388" s="89" t="n">
        <f aca="false">IF($A388="",0,IF(O388="T",1,0))</f>
        <v>0</v>
      </c>
      <c r="Y388" s="89" t="n">
        <f aca="false">IF($A388="",0,IF(AND(C388="USD",X388=0,ISNUMBER(E388),ISNUMBER(K388)),IF(K388&gt;=설정!$C$8,1,0),0))</f>
        <v>0</v>
      </c>
      <c r="Z388" s="43" t="str">
        <f aca="false">IF($A388="","",N388&amp;"|"&amp;L388)</f>
        <v/>
      </c>
      <c r="AA388" s="92" t="n">
        <f aca="false">IF(Y388=1,LN(K388),0)</f>
        <v>0</v>
      </c>
      <c r="AB388" s="93" t="n">
        <f aca="false">IF(Y388=1,E388,0)</f>
        <v>0</v>
      </c>
      <c r="AC388" s="89" t="n">
        <f aca="false">IF(Y388=1,COUNTIFS($Z$2:$Z$601,Z388,$Y$2:$Y$601,1),0)</f>
        <v>0</v>
      </c>
      <c r="AD388" s="89" t="n">
        <f aca="false">IF(Y388=1,COUNTIFS($N$2:$N$601,N388,$Y$2:$Y$601,1),0)</f>
        <v>0</v>
      </c>
      <c r="AE388" s="43" t="str">
        <f aca="false">IF(Y388&lt;&gt;1,"",IF(AND(AC388&gt;=설정!$C$7,ISNUMBER(MATCH(Z388,피어커브!$A:$A,0))),Z388,IF(AND(AD388&gt;=설정!$C$7,ISNUMBER(MATCH(N388&amp;"|전체",피어커브!$A:$A,0))),N388&amp;"|전체","전체|전체")))</f>
        <v/>
      </c>
      <c r="AF388" s="93" t="str">
        <f aca="false">IF(AE388="","",INDEX(피어커브!$K:$K,MATCH(AE388,피어커브!$A:$A,0)))</f>
        <v/>
      </c>
      <c r="AG388" s="93" t="str">
        <f aca="false">IF(AE388="","",INDEX(피어커브!$J:$J,MATCH(AE388,피어커브!$A:$A,0)))</f>
        <v/>
      </c>
      <c r="AH388" s="93" t="str">
        <f aca="false">IF(AE388="","",INDEX(피어커브!$L:$L,MATCH(AE388,피어커브!$A:$A,0)))</f>
        <v/>
      </c>
      <c r="AI388" s="93" t="str">
        <f aca="false">IF(AE388="","",AF388+AG388*AA388)</f>
        <v/>
      </c>
      <c r="AJ388" s="96" t="str">
        <f aca="false">IF(AE388="","",E388-AI388)</f>
        <v/>
      </c>
      <c r="AK388" s="95" t="str">
        <f aca="false">IF(AE388="","",IF(ISNUMBER(AH388),IF(AH388&gt;0,AJ388/AH388,""),""))</f>
        <v/>
      </c>
      <c r="AL388" s="43" t="str">
        <f aca="false">IF(AK388="","-",IF(AK388&gt;=설정!$C$6,"Cheap",IF(AK388&lt;=-설정!$C$6,"Rich","Fair")))</f>
        <v>-</v>
      </c>
      <c r="AM388" s="96" t="str">
        <f aca="false">IF(AE388="","",AJ388-AVERAGEIFS($AJ$2:$AJ$601,$B$2:$B$601,B388,$Y$2:$Y$601,1))</f>
        <v/>
      </c>
      <c r="AN388" s="93" t="n">
        <f aca="false">IF(AE388="",0,IF(K388&gt;1+설정!$C$8,AG388*(AA388-LN(K388-1)),0))</f>
        <v>0</v>
      </c>
      <c r="AO388" s="99" t="n">
        <f aca="false">IF($A388="",0,SUMIFS(보유분석!$AA$2:$AA$801,보유분석!$AB$2:$AB$801,ROW(),보유분석!$AC$2:$AC$801,1))</f>
        <v>0</v>
      </c>
      <c r="AP388" s="43" t="str">
        <f aca="false">IF($A388="","",TRIM(IF(R388=1,"FRN ","")&amp;IF(IFERROR(VLOOKUP(M388,설정!$A$15:$D$47,4,0),0)&gt;=10,IF(IFERROR(VLOOKUP(M388,설정!$A$15:$D$47,4,0),0)&lt;99,"BBB0미만 ",""),"")&amp;IF(OR(M388="",M388="NR"),"등급미입력 ","")&amp;IF(C388&lt;&gt;"USD","비USD ","")))</f>
        <v/>
      </c>
      <c r="AQ388" s="90" t="n">
        <f aca="false">IF(AND(Y388=1,AL388="Cheap"),IF(AND(ISERROR(SEARCH("FRN",AP388)),ISERROR(SEARCH("BBB0미만",AP388))),AK388+ROW()/1000000000,-999),-999)</f>
        <v>-999</v>
      </c>
      <c r="AR388" s="92" t="str">
        <f aca="false">IF(AND(ISNUMBER(D388),ISNUMBER(K388)),D388+AN388*MAX(K388-1,0)/100,"")</f>
        <v/>
      </c>
      <c r="AS388" s="93" t="str">
        <f aca="false">IF(AND(ISNUMBER(E388),ISNUMBER(K388)),IF(K388&gt;0,(E388+AN388*MAX(K388-1,0))/K388,""),"")</f>
        <v/>
      </c>
      <c r="AT388" s="90" t="n">
        <f aca="false">IFERROR(IF(AND(Y388=1,ROW()&lt;&gt;스왑분석!$C$12+1,ABS(K388-INDEX($K$2:$K$601,스왑분석!$C$12))&lt;=스왑분석!$C$5,ISERROR(SEARCH("FRN",AP388)),ISERROR(SEARCH("BBB0미만",AP388))),IF(AND(OR(스왑분석!$C$6="N",L388=INDEX($L$2:$L$601,스왑분석!$C$12)),OR(스왑분석!$C$7="N",N388=INDEX($N$2:$N$601,스왑분석!$C$12)),OR(스왑분석!$C$8="N",AO388=0),E388-INDEX($E$2:$E$601,스왑분석!$C$12)&gt;=스왑분석!$C$9),E388-INDEX($E$2:$E$601,스왑분석!$C$12)+ROW()/1000000000,-999),-999),-999)</f>
        <v>-999</v>
      </c>
      <c r="AU388" s="90" t="n">
        <f aca="false">IF(AND(Y388=1,AO388&gt;0,AL388="Rich"),-AK388+ROW()/1000000000,-999)</f>
        <v>-999</v>
      </c>
    </row>
    <row r="389" customFormat="false" ht="15" hidden="false" customHeight="false" outlineLevel="0" collapsed="false">
      <c r="A389" s="83" t="n">
        <f aca="false">IFERROR(IF(INDEX(원자료_시장!$A$1:$BZ$1000,설정!$L$6+ROW()-1,설정!$L$24)&amp;""="0","",INDEX(원자료_시장!$A$1:$BZ$1000,설정!$L$6+ROW()-1,설정!$L$24)),"")</f>
        <v>0</v>
      </c>
      <c r="B389" s="83" t="n">
        <f aca="false">IFERROR(IF(INDEX(원자료_시장!$A$1:$BZ$1000,설정!$L$6+ROW()-1,설정!$L$37)&amp;""="0","",INDEX(원자료_시장!$A$1:$BZ$1000,설정!$L$6+ROW()-1,설정!$L$37)),"")</f>
        <v>0</v>
      </c>
      <c r="C389" s="83" t="n">
        <f aca="false">IFERROR(IF(INDEX(원자료_시장!$A$1:$BZ$1000,설정!$L$6+ROW()-1,설정!$L$25)&amp;""="0","",INDEX(원자료_시장!$A$1:$BZ$1000,설정!$L$6+ROW()-1,설정!$L$25)),"")</f>
        <v>0</v>
      </c>
      <c r="D389" s="85" t="str">
        <f aca="false">IFERROR(IF(ISNUMBER(INDEX(원자료_시장!$A$1:$BZ$1000,설정!$L$6+ROW()-1,설정!$L$26)),INDEX(원자료_시장!$A$1:$BZ$1000,설정!$L$6+ROW()-1,설정!$L$26),""),"")</f>
        <v/>
      </c>
      <c r="E389" s="97" t="str">
        <f aca="false">IFERROR(IF(ISNUMBER(INDEX(원자료_시장!$A$1:$BZ$1000,설정!$L$6+ROW()-1,설정!$L$27)),INDEX(원자료_시장!$A$1:$BZ$1000,설정!$L$6+ROW()-1,설정!$L$27),""),"")</f>
        <v/>
      </c>
      <c r="F389" s="97" t="str">
        <f aca="false">IFERROR(IF(ISNUMBER(INDEX(원자료_시장!$A$1:$BZ$1000,설정!$L$6+ROW()-1,설정!$L$28)),INDEX(원자료_시장!$A$1:$BZ$1000,설정!$L$6+ROW()-1,설정!$L$28),""),"")</f>
        <v/>
      </c>
      <c r="G389" s="97" t="str">
        <f aca="false">IFERROR(IF(ISNUMBER(INDEX(원자료_시장!$A$1:$BZ$1000,설정!$L$6+ROW()-1,설정!$L$29)),INDEX(원자료_시장!$A$1:$BZ$1000,설정!$L$6+ROW()-1,설정!$L$29),""),"")</f>
        <v/>
      </c>
      <c r="H389" s="97" t="str">
        <f aca="false">IFERROR(IF(ISNUMBER(INDEX(원자료_시장!$A$1:$BZ$1000,설정!$L$6+ROW()-1,설정!$L$30)),INDEX(원자료_시장!$A$1:$BZ$1000,설정!$L$6+ROW()-1,설정!$L$30),""),"")</f>
        <v/>
      </c>
      <c r="I389" s="97" t="str">
        <f aca="false">IFERROR(IF(ISNUMBER(INDEX(원자료_시장!$A$1:$BZ$1000,설정!$L$6+ROW()-1,설정!$L$31)),INDEX(원자료_시장!$A$1:$BZ$1000,설정!$L$6+ROW()-1,설정!$L$31),""),"")</f>
        <v/>
      </c>
      <c r="J389" s="97" t="str">
        <f aca="false">IFERROR(IF(ISNUMBER(INDEX(원자료_시장!$A$1:$BZ$1000,설정!$L$6+ROW()-1,설정!$L$32)),INDEX(원자료_시장!$A$1:$BZ$1000,설정!$L$6+ROW()-1,설정!$L$32),""),"")</f>
        <v/>
      </c>
      <c r="K389" s="85" t="str">
        <f aca="false">IFERROR(IF(ISNUMBER(INDEX(원자료_시장!$A$1:$BZ$1000,설정!$L$6+ROW()-1,설정!$L$33)),INDEX(원자료_시장!$A$1:$BZ$1000,설정!$L$6+ROW()-1,설정!$L$33),""),"")</f>
        <v/>
      </c>
      <c r="L389" s="83" t="n">
        <f aca="false">IFERROR(IF(INDEX(원자료_시장!$A$1:$BZ$1000,설정!$L$6+ROW()-1,설정!$L$34)&amp;""="0","",INDEX(원자료_시장!$A$1:$BZ$1000,설정!$L$6+ROW()-1,설정!$L$34)),"")</f>
        <v>0</v>
      </c>
      <c r="M389" s="83" t="n">
        <f aca="false">IFERROR(IF(INDEX(원자료_시장!$A$1:$BZ$1000,설정!$L$6+ROW()-1,설정!$L$35)&amp;""="0","",INDEX(원자료_시장!$A$1:$BZ$1000,설정!$L$6+ROW()-1,설정!$L$35)),"")</f>
        <v>0</v>
      </c>
      <c r="N389" s="83" t="n">
        <f aca="false">IFERROR(IF(INDEX(원자료_시장!$A$1:$BZ$1000,설정!$L$6+ROW()-1,설정!$L$36)&amp;""="0","",INDEX(원자료_시장!$A$1:$BZ$1000,설정!$L$6+ROW()-1,설정!$L$36)),"")</f>
        <v>0</v>
      </c>
      <c r="O389" s="43" t="str">
        <f aca="false">IF($A389="","",UPPER(LEFT($A389,FIND(" ",$A389&amp;" ")-1)))</f>
        <v/>
      </c>
      <c r="P389" s="43" t="str">
        <f aca="false">IF($A389="","",TRIM(RIGHT(SUBSTITUTE(TRIM($A389)," ",REPT(" ",30)),30)))</f>
        <v/>
      </c>
      <c r="Q389" s="98" t="str">
        <f aca="false">IF($A389="","",IFERROR(DATE(IF(LEN(P389)=8,2000+VALUE(RIGHT(P389,2)),VALUE(RIGHT(P389,4))),VALUE(LEFT(P389,2)),VALUE(MID(P389,4,2))),""))</f>
        <v/>
      </c>
      <c r="R389" s="89" t="n">
        <f aca="false">IF($A389="",0,IF(ISNUMBER(SEARCH("Float",$A389)),1,0))</f>
        <v>0</v>
      </c>
      <c r="S389" s="43" t="str">
        <f aca="false">IF($A389="","",TRIM(MID($A389,LEN(O389)+2,LEN($A389)-LEN(O389)-LEN(P389)-1)))</f>
        <v/>
      </c>
      <c r="T389" s="92" t="str">
        <f aca="false">IF(OR($A389="",R389=1),"",IFERROR(IF(ISNUMBER(FIND("/",S389)),IF(ISNUMBER(FIND(" ",S389)),VALUE(LEFT(S389,FIND(" ",S389)-1))+VALUE(MID(S389,FIND(" ",S389)+1,FIND("/",S389)-FIND(" ",S389)-1))/VALUE(MID(S389,FIND("/",S389)+1,9)),VALUE(LEFT(S389,FIND("/",S389)-1))/VALUE(MID(S389,FIND("/",S389)+1,9))),VALUE(S389)),""))</f>
        <v/>
      </c>
      <c r="U389" s="43" t="str">
        <f aca="false">IF(OR($A389="",NOT(ISNUMBER(Q389))),"",TEXT(Q389,"yyyymmdd")&amp;"|"&amp;IF(R389=1,"F",TEXT(T389,"0.000")))</f>
        <v/>
      </c>
      <c r="V389" s="43" t="str">
        <f aca="false">IF(U389="","",O389&amp;"|"&amp;U389)</f>
        <v/>
      </c>
      <c r="W389" s="43" t="str">
        <f aca="false">IF($A389="","",IFERROR(IF(VLOOKUP(O389,매핑!$A$4:$E$92,3,0)="","미분류",VLOOKUP(O389,매핑!$A$4:$E$92,3,0)),"미분류"))</f>
        <v/>
      </c>
      <c r="X389" s="89" t="n">
        <f aca="false">IF($A389="",0,IF(O389="T",1,0))</f>
        <v>0</v>
      </c>
      <c r="Y389" s="89" t="n">
        <f aca="false">IF($A389="",0,IF(AND(C389="USD",X389=0,ISNUMBER(E389),ISNUMBER(K389)),IF(K389&gt;=설정!$C$8,1,0),0))</f>
        <v>0</v>
      </c>
      <c r="Z389" s="43" t="str">
        <f aca="false">IF($A389="","",N389&amp;"|"&amp;L389)</f>
        <v/>
      </c>
      <c r="AA389" s="92" t="n">
        <f aca="false">IF(Y389=1,LN(K389),0)</f>
        <v>0</v>
      </c>
      <c r="AB389" s="93" t="n">
        <f aca="false">IF(Y389=1,E389,0)</f>
        <v>0</v>
      </c>
      <c r="AC389" s="89" t="n">
        <f aca="false">IF(Y389=1,COUNTIFS($Z$2:$Z$601,Z389,$Y$2:$Y$601,1),0)</f>
        <v>0</v>
      </c>
      <c r="AD389" s="89" t="n">
        <f aca="false">IF(Y389=1,COUNTIFS($N$2:$N$601,N389,$Y$2:$Y$601,1),0)</f>
        <v>0</v>
      </c>
      <c r="AE389" s="43" t="str">
        <f aca="false">IF(Y389&lt;&gt;1,"",IF(AND(AC389&gt;=설정!$C$7,ISNUMBER(MATCH(Z389,피어커브!$A:$A,0))),Z389,IF(AND(AD389&gt;=설정!$C$7,ISNUMBER(MATCH(N389&amp;"|전체",피어커브!$A:$A,0))),N389&amp;"|전체","전체|전체")))</f>
        <v/>
      </c>
      <c r="AF389" s="93" t="str">
        <f aca="false">IF(AE389="","",INDEX(피어커브!$K:$K,MATCH(AE389,피어커브!$A:$A,0)))</f>
        <v/>
      </c>
      <c r="AG389" s="93" t="str">
        <f aca="false">IF(AE389="","",INDEX(피어커브!$J:$J,MATCH(AE389,피어커브!$A:$A,0)))</f>
        <v/>
      </c>
      <c r="AH389" s="93" t="str">
        <f aca="false">IF(AE389="","",INDEX(피어커브!$L:$L,MATCH(AE389,피어커브!$A:$A,0)))</f>
        <v/>
      </c>
      <c r="AI389" s="93" t="str">
        <f aca="false">IF(AE389="","",AF389+AG389*AA389)</f>
        <v/>
      </c>
      <c r="AJ389" s="96" t="str">
        <f aca="false">IF(AE389="","",E389-AI389)</f>
        <v/>
      </c>
      <c r="AK389" s="95" t="str">
        <f aca="false">IF(AE389="","",IF(ISNUMBER(AH389),IF(AH389&gt;0,AJ389/AH389,""),""))</f>
        <v/>
      </c>
      <c r="AL389" s="43" t="str">
        <f aca="false">IF(AK389="","-",IF(AK389&gt;=설정!$C$6,"Cheap",IF(AK389&lt;=-설정!$C$6,"Rich","Fair")))</f>
        <v>-</v>
      </c>
      <c r="AM389" s="96" t="str">
        <f aca="false">IF(AE389="","",AJ389-AVERAGEIFS($AJ$2:$AJ$601,$B$2:$B$601,B389,$Y$2:$Y$601,1))</f>
        <v/>
      </c>
      <c r="AN389" s="93" t="n">
        <f aca="false">IF(AE389="",0,IF(K389&gt;1+설정!$C$8,AG389*(AA389-LN(K389-1)),0))</f>
        <v>0</v>
      </c>
      <c r="AO389" s="99" t="n">
        <f aca="false">IF($A389="",0,SUMIFS(보유분석!$AA$2:$AA$801,보유분석!$AB$2:$AB$801,ROW(),보유분석!$AC$2:$AC$801,1))</f>
        <v>0</v>
      </c>
      <c r="AP389" s="43" t="str">
        <f aca="false">IF($A389="","",TRIM(IF(R389=1,"FRN ","")&amp;IF(IFERROR(VLOOKUP(M389,설정!$A$15:$D$47,4,0),0)&gt;=10,IF(IFERROR(VLOOKUP(M389,설정!$A$15:$D$47,4,0),0)&lt;99,"BBB0미만 ",""),"")&amp;IF(OR(M389="",M389="NR"),"등급미입력 ","")&amp;IF(C389&lt;&gt;"USD","비USD ","")))</f>
        <v/>
      </c>
      <c r="AQ389" s="90" t="n">
        <f aca="false">IF(AND(Y389=1,AL389="Cheap"),IF(AND(ISERROR(SEARCH("FRN",AP389)),ISERROR(SEARCH("BBB0미만",AP389))),AK389+ROW()/1000000000,-999),-999)</f>
        <v>-999</v>
      </c>
      <c r="AR389" s="92" t="str">
        <f aca="false">IF(AND(ISNUMBER(D389),ISNUMBER(K389)),D389+AN389*MAX(K389-1,0)/100,"")</f>
        <v/>
      </c>
      <c r="AS389" s="93" t="str">
        <f aca="false">IF(AND(ISNUMBER(E389),ISNUMBER(K389)),IF(K389&gt;0,(E389+AN389*MAX(K389-1,0))/K389,""),"")</f>
        <v/>
      </c>
      <c r="AT389" s="90" t="n">
        <f aca="false">IFERROR(IF(AND(Y389=1,ROW()&lt;&gt;스왑분석!$C$12+1,ABS(K389-INDEX($K$2:$K$601,스왑분석!$C$12))&lt;=스왑분석!$C$5,ISERROR(SEARCH("FRN",AP389)),ISERROR(SEARCH("BBB0미만",AP389))),IF(AND(OR(스왑분석!$C$6="N",L389=INDEX($L$2:$L$601,스왑분석!$C$12)),OR(스왑분석!$C$7="N",N389=INDEX($N$2:$N$601,스왑분석!$C$12)),OR(스왑분석!$C$8="N",AO389=0),E389-INDEX($E$2:$E$601,스왑분석!$C$12)&gt;=스왑분석!$C$9),E389-INDEX($E$2:$E$601,스왑분석!$C$12)+ROW()/1000000000,-999),-999),-999)</f>
        <v>-999</v>
      </c>
      <c r="AU389" s="90" t="n">
        <f aca="false">IF(AND(Y389=1,AO389&gt;0,AL389="Rich"),-AK389+ROW()/1000000000,-999)</f>
        <v>-999</v>
      </c>
    </row>
    <row r="390" customFormat="false" ht="15" hidden="false" customHeight="false" outlineLevel="0" collapsed="false">
      <c r="A390" s="83" t="n">
        <f aca="false">IFERROR(IF(INDEX(원자료_시장!$A$1:$BZ$1000,설정!$L$6+ROW()-1,설정!$L$24)&amp;""="0","",INDEX(원자료_시장!$A$1:$BZ$1000,설정!$L$6+ROW()-1,설정!$L$24)),"")</f>
        <v>0</v>
      </c>
      <c r="B390" s="83" t="n">
        <f aca="false">IFERROR(IF(INDEX(원자료_시장!$A$1:$BZ$1000,설정!$L$6+ROW()-1,설정!$L$37)&amp;""="0","",INDEX(원자료_시장!$A$1:$BZ$1000,설정!$L$6+ROW()-1,설정!$L$37)),"")</f>
        <v>0</v>
      </c>
      <c r="C390" s="83" t="n">
        <f aca="false">IFERROR(IF(INDEX(원자료_시장!$A$1:$BZ$1000,설정!$L$6+ROW()-1,설정!$L$25)&amp;""="0","",INDEX(원자료_시장!$A$1:$BZ$1000,설정!$L$6+ROW()-1,설정!$L$25)),"")</f>
        <v>0</v>
      </c>
      <c r="D390" s="85" t="str">
        <f aca="false">IFERROR(IF(ISNUMBER(INDEX(원자료_시장!$A$1:$BZ$1000,설정!$L$6+ROW()-1,설정!$L$26)),INDEX(원자료_시장!$A$1:$BZ$1000,설정!$L$6+ROW()-1,설정!$L$26),""),"")</f>
        <v/>
      </c>
      <c r="E390" s="97" t="str">
        <f aca="false">IFERROR(IF(ISNUMBER(INDEX(원자료_시장!$A$1:$BZ$1000,설정!$L$6+ROW()-1,설정!$L$27)),INDEX(원자료_시장!$A$1:$BZ$1000,설정!$L$6+ROW()-1,설정!$L$27),""),"")</f>
        <v/>
      </c>
      <c r="F390" s="97" t="str">
        <f aca="false">IFERROR(IF(ISNUMBER(INDEX(원자료_시장!$A$1:$BZ$1000,설정!$L$6+ROW()-1,설정!$L$28)),INDEX(원자료_시장!$A$1:$BZ$1000,설정!$L$6+ROW()-1,설정!$L$28),""),"")</f>
        <v/>
      </c>
      <c r="G390" s="97" t="str">
        <f aca="false">IFERROR(IF(ISNUMBER(INDEX(원자료_시장!$A$1:$BZ$1000,설정!$L$6+ROW()-1,설정!$L$29)),INDEX(원자료_시장!$A$1:$BZ$1000,설정!$L$6+ROW()-1,설정!$L$29),""),"")</f>
        <v/>
      </c>
      <c r="H390" s="97" t="str">
        <f aca="false">IFERROR(IF(ISNUMBER(INDEX(원자료_시장!$A$1:$BZ$1000,설정!$L$6+ROW()-1,설정!$L$30)),INDEX(원자료_시장!$A$1:$BZ$1000,설정!$L$6+ROW()-1,설정!$L$30),""),"")</f>
        <v/>
      </c>
      <c r="I390" s="97" t="str">
        <f aca="false">IFERROR(IF(ISNUMBER(INDEX(원자료_시장!$A$1:$BZ$1000,설정!$L$6+ROW()-1,설정!$L$31)),INDEX(원자료_시장!$A$1:$BZ$1000,설정!$L$6+ROW()-1,설정!$L$31),""),"")</f>
        <v/>
      </c>
      <c r="J390" s="97" t="str">
        <f aca="false">IFERROR(IF(ISNUMBER(INDEX(원자료_시장!$A$1:$BZ$1000,설정!$L$6+ROW()-1,설정!$L$32)),INDEX(원자료_시장!$A$1:$BZ$1000,설정!$L$6+ROW()-1,설정!$L$32),""),"")</f>
        <v/>
      </c>
      <c r="K390" s="85" t="str">
        <f aca="false">IFERROR(IF(ISNUMBER(INDEX(원자료_시장!$A$1:$BZ$1000,설정!$L$6+ROW()-1,설정!$L$33)),INDEX(원자료_시장!$A$1:$BZ$1000,설정!$L$6+ROW()-1,설정!$L$33),""),"")</f>
        <v/>
      </c>
      <c r="L390" s="83" t="n">
        <f aca="false">IFERROR(IF(INDEX(원자료_시장!$A$1:$BZ$1000,설정!$L$6+ROW()-1,설정!$L$34)&amp;""="0","",INDEX(원자료_시장!$A$1:$BZ$1000,설정!$L$6+ROW()-1,설정!$L$34)),"")</f>
        <v>0</v>
      </c>
      <c r="M390" s="83" t="n">
        <f aca="false">IFERROR(IF(INDEX(원자료_시장!$A$1:$BZ$1000,설정!$L$6+ROW()-1,설정!$L$35)&amp;""="0","",INDEX(원자료_시장!$A$1:$BZ$1000,설정!$L$6+ROW()-1,설정!$L$35)),"")</f>
        <v>0</v>
      </c>
      <c r="N390" s="83" t="n">
        <f aca="false">IFERROR(IF(INDEX(원자료_시장!$A$1:$BZ$1000,설정!$L$6+ROW()-1,설정!$L$36)&amp;""="0","",INDEX(원자료_시장!$A$1:$BZ$1000,설정!$L$6+ROW()-1,설정!$L$36)),"")</f>
        <v>0</v>
      </c>
      <c r="O390" s="43" t="str">
        <f aca="false">IF($A390="","",UPPER(LEFT($A390,FIND(" ",$A390&amp;" ")-1)))</f>
        <v/>
      </c>
      <c r="P390" s="43" t="str">
        <f aca="false">IF($A390="","",TRIM(RIGHT(SUBSTITUTE(TRIM($A390)," ",REPT(" ",30)),30)))</f>
        <v/>
      </c>
      <c r="Q390" s="98" t="str">
        <f aca="false">IF($A390="","",IFERROR(DATE(IF(LEN(P390)=8,2000+VALUE(RIGHT(P390,2)),VALUE(RIGHT(P390,4))),VALUE(LEFT(P390,2)),VALUE(MID(P390,4,2))),""))</f>
        <v/>
      </c>
      <c r="R390" s="89" t="n">
        <f aca="false">IF($A390="",0,IF(ISNUMBER(SEARCH("Float",$A390)),1,0))</f>
        <v>0</v>
      </c>
      <c r="S390" s="43" t="str">
        <f aca="false">IF($A390="","",TRIM(MID($A390,LEN(O390)+2,LEN($A390)-LEN(O390)-LEN(P390)-1)))</f>
        <v/>
      </c>
      <c r="T390" s="92" t="str">
        <f aca="false">IF(OR($A390="",R390=1),"",IFERROR(IF(ISNUMBER(FIND("/",S390)),IF(ISNUMBER(FIND(" ",S390)),VALUE(LEFT(S390,FIND(" ",S390)-1))+VALUE(MID(S390,FIND(" ",S390)+1,FIND("/",S390)-FIND(" ",S390)-1))/VALUE(MID(S390,FIND("/",S390)+1,9)),VALUE(LEFT(S390,FIND("/",S390)-1))/VALUE(MID(S390,FIND("/",S390)+1,9))),VALUE(S390)),""))</f>
        <v/>
      </c>
      <c r="U390" s="43" t="str">
        <f aca="false">IF(OR($A390="",NOT(ISNUMBER(Q390))),"",TEXT(Q390,"yyyymmdd")&amp;"|"&amp;IF(R390=1,"F",TEXT(T390,"0.000")))</f>
        <v/>
      </c>
      <c r="V390" s="43" t="str">
        <f aca="false">IF(U390="","",O390&amp;"|"&amp;U390)</f>
        <v/>
      </c>
      <c r="W390" s="43" t="str">
        <f aca="false">IF($A390="","",IFERROR(IF(VLOOKUP(O390,매핑!$A$4:$E$92,3,0)="","미분류",VLOOKUP(O390,매핑!$A$4:$E$92,3,0)),"미분류"))</f>
        <v/>
      </c>
      <c r="X390" s="89" t="n">
        <f aca="false">IF($A390="",0,IF(O390="T",1,0))</f>
        <v>0</v>
      </c>
      <c r="Y390" s="89" t="n">
        <f aca="false">IF($A390="",0,IF(AND(C390="USD",X390=0,ISNUMBER(E390),ISNUMBER(K390)),IF(K390&gt;=설정!$C$8,1,0),0))</f>
        <v>0</v>
      </c>
      <c r="Z390" s="43" t="str">
        <f aca="false">IF($A390="","",N390&amp;"|"&amp;L390)</f>
        <v/>
      </c>
      <c r="AA390" s="92" t="n">
        <f aca="false">IF(Y390=1,LN(K390),0)</f>
        <v>0</v>
      </c>
      <c r="AB390" s="93" t="n">
        <f aca="false">IF(Y390=1,E390,0)</f>
        <v>0</v>
      </c>
      <c r="AC390" s="89" t="n">
        <f aca="false">IF(Y390=1,COUNTIFS($Z$2:$Z$601,Z390,$Y$2:$Y$601,1),0)</f>
        <v>0</v>
      </c>
      <c r="AD390" s="89" t="n">
        <f aca="false">IF(Y390=1,COUNTIFS($N$2:$N$601,N390,$Y$2:$Y$601,1),0)</f>
        <v>0</v>
      </c>
      <c r="AE390" s="43" t="str">
        <f aca="false">IF(Y390&lt;&gt;1,"",IF(AND(AC390&gt;=설정!$C$7,ISNUMBER(MATCH(Z390,피어커브!$A:$A,0))),Z390,IF(AND(AD390&gt;=설정!$C$7,ISNUMBER(MATCH(N390&amp;"|전체",피어커브!$A:$A,0))),N390&amp;"|전체","전체|전체")))</f>
        <v/>
      </c>
      <c r="AF390" s="93" t="str">
        <f aca="false">IF(AE390="","",INDEX(피어커브!$K:$K,MATCH(AE390,피어커브!$A:$A,0)))</f>
        <v/>
      </c>
      <c r="AG390" s="93" t="str">
        <f aca="false">IF(AE390="","",INDEX(피어커브!$J:$J,MATCH(AE390,피어커브!$A:$A,0)))</f>
        <v/>
      </c>
      <c r="AH390" s="93" t="str">
        <f aca="false">IF(AE390="","",INDEX(피어커브!$L:$L,MATCH(AE390,피어커브!$A:$A,0)))</f>
        <v/>
      </c>
      <c r="AI390" s="93" t="str">
        <f aca="false">IF(AE390="","",AF390+AG390*AA390)</f>
        <v/>
      </c>
      <c r="AJ390" s="96" t="str">
        <f aca="false">IF(AE390="","",E390-AI390)</f>
        <v/>
      </c>
      <c r="AK390" s="95" t="str">
        <f aca="false">IF(AE390="","",IF(ISNUMBER(AH390),IF(AH390&gt;0,AJ390/AH390,""),""))</f>
        <v/>
      </c>
      <c r="AL390" s="43" t="str">
        <f aca="false">IF(AK390="","-",IF(AK390&gt;=설정!$C$6,"Cheap",IF(AK390&lt;=-설정!$C$6,"Rich","Fair")))</f>
        <v>-</v>
      </c>
      <c r="AM390" s="96" t="str">
        <f aca="false">IF(AE390="","",AJ390-AVERAGEIFS($AJ$2:$AJ$601,$B$2:$B$601,B390,$Y$2:$Y$601,1))</f>
        <v/>
      </c>
      <c r="AN390" s="93" t="n">
        <f aca="false">IF(AE390="",0,IF(K390&gt;1+설정!$C$8,AG390*(AA390-LN(K390-1)),0))</f>
        <v>0</v>
      </c>
      <c r="AO390" s="99" t="n">
        <f aca="false">IF($A390="",0,SUMIFS(보유분석!$AA$2:$AA$801,보유분석!$AB$2:$AB$801,ROW(),보유분석!$AC$2:$AC$801,1))</f>
        <v>0</v>
      </c>
      <c r="AP390" s="43" t="str">
        <f aca="false">IF($A390="","",TRIM(IF(R390=1,"FRN ","")&amp;IF(IFERROR(VLOOKUP(M390,설정!$A$15:$D$47,4,0),0)&gt;=10,IF(IFERROR(VLOOKUP(M390,설정!$A$15:$D$47,4,0),0)&lt;99,"BBB0미만 ",""),"")&amp;IF(OR(M390="",M390="NR"),"등급미입력 ","")&amp;IF(C390&lt;&gt;"USD","비USD ","")))</f>
        <v/>
      </c>
      <c r="AQ390" s="90" t="n">
        <f aca="false">IF(AND(Y390=1,AL390="Cheap"),IF(AND(ISERROR(SEARCH("FRN",AP390)),ISERROR(SEARCH("BBB0미만",AP390))),AK390+ROW()/1000000000,-999),-999)</f>
        <v>-999</v>
      </c>
      <c r="AR390" s="92" t="str">
        <f aca="false">IF(AND(ISNUMBER(D390),ISNUMBER(K390)),D390+AN390*MAX(K390-1,0)/100,"")</f>
        <v/>
      </c>
      <c r="AS390" s="93" t="str">
        <f aca="false">IF(AND(ISNUMBER(E390),ISNUMBER(K390)),IF(K390&gt;0,(E390+AN390*MAX(K390-1,0))/K390,""),"")</f>
        <v/>
      </c>
      <c r="AT390" s="90" t="n">
        <f aca="false">IFERROR(IF(AND(Y390=1,ROW()&lt;&gt;스왑분석!$C$12+1,ABS(K390-INDEX($K$2:$K$601,스왑분석!$C$12))&lt;=스왑분석!$C$5,ISERROR(SEARCH("FRN",AP390)),ISERROR(SEARCH("BBB0미만",AP390))),IF(AND(OR(스왑분석!$C$6="N",L390=INDEX($L$2:$L$601,스왑분석!$C$12)),OR(스왑분석!$C$7="N",N390=INDEX($N$2:$N$601,스왑분석!$C$12)),OR(스왑분석!$C$8="N",AO390=0),E390-INDEX($E$2:$E$601,스왑분석!$C$12)&gt;=스왑분석!$C$9),E390-INDEX($E$2:$E$601,스왑분석!$C$12)+ROW()/1000000000,-999),-999),-999)</f>
        <v>-999</v>
      </c>
      <c r="AU390" s="90" t="n">
        <f aca="false">IF(AND(Y390=1,AO390&gt;0,AL390="Rich"),-AK390+ROW()/1000000000,-999)</f>
        <v>-999</v>
      </c>
    </row>
    <row r="391" customFormat="false" ht="15" hidden="false" customHeight="false" outlineLevel="0" collapsed="false">
      <c r="A391" s="83" t="n">
        <f aca="false">IFERROR(IF(INDEX(원자료_시장!$A$1:$BZ$1000,설정!$L$6+ROW()-1,설정!$L$24)&amp;""="0","",INDEX(원자료_시장!$A$1:$BZ$1000,설정!$L$6+ROW()-1,설정!$L$24)),"")</f>
        <v>0</v>
      </c>
      <c r="B391" s="83" t="n">
        <f aca="false">IFERROR(IF(INDEX(원자료_시장!$A$1:$BZ$1000,설정!$L$6+ROW()-1,설정!$L$37)&amp;""="0","",INDEX(원자료_시장!$A$1:$BZ$1000,설정!$L$6+ROW()-1,설정!$L$37)),"")</f>
        <v>0</v>
      </c>
      <c r="C391" s="83" t="n">
        <f aca="false">IFERROR(IF(INDEX(원자료_시장!$A$1:$BZ$1000,설정!$L$6+ROW()-1,설정!$L$25)&amp;""="0","",INDEX(원자료_시장!$A$1:$BZ$1000,설정!$L$6+ROW()-1,설정!$L$25)),"")</f>
        <v>0</v>
      </c>
      <c r="D391" s="85" t="str">
        <f aca="false">IFERROR(IF(ISNUMBER(INDEX(원자료_시장!$A$1:$BZ$1000,설정!$L$6+ROW()-1,설정!$L$26)),INDEX(원자료_시장!$A$1:$BZ$1000,설정!$L$6+ROW()-1,설정!$L$26),""),"")</f>
        <v/>
      </c>
      <c r="E391" s="97" t="str">
        <f aca="false">IFERROR(IF(ISNUMBER(INDEX(원자료_시장!$A$1:$BZ$1000,설정!$L$6+ROW()-1,설정!$L$27)),INDEX(원자료_시장!$A$1:$BZ$1000,설정!$L$6+ROW()-1,설정!$L$27),""),"")</f>
        <v/>
      </c>
      <c r="F391" s="97" t="str">
        <f aca="false">IFERROR(IF(ISNUMBER(INDEX(원자료_시장!$A$1:$BZ$1000,설정!$L$6+ROW()-1,설정!$L$28)),INDEX(원자료_시장!$A$1:$BZ$1000,설정!$L$6+ROW()-1,설정!$L$28),""),"")</f>
        <v/>
      </c>
      <c r="G391" s="97" t="str">
        <f aca="false">IFERROR(IF(ISNUMBER(INDEX(원자료_시장!$A$1:$BZ$1000,설정!$L$6+ROW()-1,설정!$L$29)),INDEX(원자료_시장!$A$1:$BZ$1000,설정!$L$6+ROW()-1,설정!$L$29),""),"")</f>
        <v/>
      </c>
      <c r="H391" s="97" t="str">
        <f aca="false">IFERROR(IF(ISNUMBER(INDEX(원자료_시장!$A$1:$BZ$1000,설정!$L$6+ROW()-1,설정!$L$30)),INDEX(원자료_시장!$A$1:$BZ$1000,설정!$L$6+ROW()-1,설정!$L$30),""),"")</f>
        <v/>
      </c>
      <c r="I391" s="97" t="str">
        <f aca="false">IFERROR(IF(ISNUMBER(INDEX(원자료_시장!$A$1:$BZ$1000,설정!$L$6+ROW()-1,설정!$L$31)),INDEX(원자료_시장!$A$1:$BZ$1000,설정!$L$6+ROW()-1,설정!$L$31),""),"")</f>
        <v/>
      </c>
      <c r="J391" s="97" t="str">
        <f aca="false">IFERROR(IF(ISNUMBER(INDEX(원자료_시장!$A$1:$BZ$1000,설정!$L$6+ROW()-1,설정!$L$32)),INDEX(원자료_시장!$A$1:$BZ$1000,설정!$L$6+ROW()-1,설정!$L$32),""),"")</f>
        <v/>
      </c>
      <c r="K391" s="85" t="str">
        <f aca="false">IFERROR(IF(ISNUMBER(INDEX(원자료_시장!$A$1:$BZ$1000,설정!$L$6+ROW()-1,설정!$L$33)),INDEX(원자료_시장!$A$1:$BZ$1000,설정!$L$6+ROW()-1,설정!$L$33),""),"")</f>
        <v/>
      </c>
      <c r="L391" s="83" t="n">
        <f aca="false">IFERROR(IF(INDEX(원자료_시장!$A$1:$BZ$1000,설정!$L$6+ROW()-1,설정!$L$34)&amp;""="0","",INDEX(원자료_시장!$A$1:$BZ$1000,설정!$L$6+ROW()-1,설정!$L$34)),"")</f>
        <v>0</v>
      </c>
      <c r="M391" s="83" t="n">
        <f aca="false">IFERROR(IF(INDEX(원자료_시장!$A$1:$BZ$1000,설정!$L$6+ROW()-1,설정!$L$35)&amp;""="0","",INDEX(원자료_시장!$A$1:$BZ$1000,설정!$L$6+ROW()-1,설정!$L$35)),"")</f>
        <v>0</v>
      </c>
      <c r="N391" s="83" t="n">
        <f aca="false">IFERROR(IF(INDEX(원자료_시장!$A$1:$BZ$1000,설정!$L$6+ROW()-1,설정!$L$36)&amp;""="0","",INDEX(원자료_시장!$A$1:$BZ$1000,설정!$L$6+ROW()-1,설정!$L$36)),"")</f>
        <v>0</v>
      </c>
      <c r="O391" s="43" t="str">
        <f aca="false">IF($A391="","",UPPER(LEFT($A391,FIND(" ",$A391&amp;" ")-1)))</f>
        <v/>
      </c>
      <c r="P391" s="43" t="str">
        <f aca="false">IF($A391="","",TRIM(RIGHT(SUBSTITUTE(TRIM($A391)," ",REPT(" ",30)),30)))</f>
        <v/>
      </c>
      <c r="Q391" s="98" t="str">
        <f aca="false">IF($A391="","",IFERROR(DATE(IF(LEN(P391)=8,2000+VALUE(RIGHT(P391,2)),VALUE(RIGHT(P391,4))),VALUE(LEFT(P391,2)),VALUE(MID(P391,4,2))),""))</f>
        <v/>
      </c>
      <c r="R391" s="89" t="n">
        <f aca="false">IF($A391="",0,IF(ISNUMBER(SEARCH("Float",$A391)),1,0))</f>
        <v>0</v>
      </c>
      <c r="S391" s="43" t="str">
        <f aca="false">IF($A391="","",TRIM(MID($A391,LEN(O391)+2,LEN($A391)-LEN(O391)-LEN(P391)-1)))</f>
        <v/>
      </c>
      <c r="T391" s="92" t="str">
        <f aca="false">IF(OR($A391="",R391=1),"",IFERROR(IF(ISNUMBER(FIND("/",S391)),IF(ISNUMBER(FIND(" ",S391)),VALUE(LEFT(S391,FIND(" ",S391)-1))+VALUE(MID(S391,FIND(" ",S391)+1,FIND("/",S391)-FIND(" ",S391)-1))/VALUE(MID(S391,FIND("/",S391)+1,9)),VALUE(LEFT(S391,FIND("/",S391)-1))/VALUE(MID(S391,FIND("/",S391)+1,9))),VALUE(S391)),""))</f>
        <v/>
      </c>
      <c r="U391" s="43" t="str">
        <f aca="false">IF(OR($A391="",NOT(ISNUMBER(Q391))),"",TEXT(Q391,"yyyymmdd")&amp;"|"&amp;IF(R391=1,"F",TEXT(T391,"0.000")))</f>
        <v/>
      </c>
      <c r="V391" s="43" t="str">
        <f aca="false">IF(U391="","",O391&amp;"|"&amp;U391)</f>
        <v/>
      </c>
      <c r="W391" s="43" t="str">
        <f aca="false">IF($A391="","",IFERROR(IF(VLOOKUP(O391,매핑!$A$4:$E$92,3,0)="","미분류",VLOOKUP(O391,매핑!$A$4:$E$92,3,0)),"미분류"))</f>
        <v/>
      </c>
      <c r="X391" s="89" t="n">
        <f aca="false">IF($A391="",0,IF(O391="T",1,0))</f>
        <v>0</v>
      </c>
      <c r="Y391" s="89" t="n">
        <f aca="false">IF($A391="",0,IF(AND(C391="USD",X391=0,ISNUMBER(E391),ISNUMBER(K391)),IF(K391&gt;=설정!$C$8,1,0),0))</f>
        <v>0</v>
      </c>
      <c r="Z391" s="43" t="str">
        <f aca="false">IF($A391="","",N391&amp;"|"&amp;L391)</f>
        <v/>
      </c>
      <c r="AA391" s="92" t="n">
        <f aca="false">IF(Y391=1,LN(K391),0)</f>
        <v>0</v>
      </c>
      <c r="AB391" s="93" t="n">
        <f aca="false">IF(Y391=1,E391,0)</f>
        <v>0</v>
      </c>
      <c r="AC391" s="89" t="n">
        <f aca="false">IF(Y391=1,COUNTIFS($Z$2:$Z$601,Z391,$Y$2:$Y$601,1),0)</f>
        <v>0</v>
      </c>
      <c r="AD391" s="89" t="n">
        <f aca="false">IF(Y391=1,COUNTIFS($N$2:$N$601,N391,$Y$2:$Y$601,1),0)</f>
        <v>0</v>
      </c>
      <c r="AE391" s="43" t="str">
        <f aca="false">IF(Y391&lt;&gt;1,"",IF(AND(AC391&gt;=설정!$C$7,ISNUMBER(MATCH(Z391,피어커브!$A:$A,0))),Z391,IF(AND(AD391&gt;=설정!$C$7,ISNUMBER(MATCH(N391&amp;"|전체",피어커브!$A:$A,0))),N391&amp;"|전체","전체|전체")))</f>
        <v/>
      </c>
      <c r="AF391" s="93" t="str">
        <f aca="false">IF(AE391="","",INDEX(피어커브!$K:$K,MATCH(AE391,피어커브!$A:$A,0)))</f>
        <v/>
      </c>
      <c r="AG391" s="93" t="str">
        <f aca="false">IF(AE391="","",INDEX(피어커브!$J:$J,MATCH(AE391,피어커브!$A:$A,0)))</f>
        <v/>
      </c>
      <c r="AH391" s="93" t="str">
        <f aca="false">IF(AE391="","",INDEX(피어커브!$L:$L,MATCH(AE391,피어커브!$A:$A,0)))</f>
        <v/>
      </c>
      <c r="AI391" s="93" t="str">
        <f aca="false">IF(AE391="","",AF391+AG391*AA391)</f>
        <v/>
      </c>
      <c r="AJ391" s="96" t="str">
        <f aca="false">IF(AE391="","",E391-AI391)</f>
        <v/>
      </c>
      <c r="AK391" s="95" t="str">
        <f aca="false">IF(AE391="","",IF(ISNUMBER(AH391),IF(AH391&gt;0,AJ391/AH391,""),""))</f>
        <v/>
      </c>
      <c r="AL391" s="43" t="str">
        <f aca="false">IF(AK391="","-",IF(AK391&gt;=설정!$C$6,"Cheap",IF(AK391&lt;=-설정!$C$6,"Rich","Fair")))</f>
        <v>-</v>
      </c>
      <c r="AM391" s="96" t="str">
        <f aca="false">IF(AE391="","",AJ391-AVERAGEIFS($AJ$2:$AJ$601,$B$2:$B$601,B391,$Y$2:$Y$601,1))</f>
        <v/>
      </c>
      <c r="AN391" s="93" t="n">
        <f aca="false">IF(AE391="",0,IF(K391&gt;1+설정!$C$8,AG391*(AA391-LN(K391-1)),0))</f>
        <v>0</v>
      </c>
      <c r="AO391" s="99" t="n">
        <f aca="false">IF($A391="",0,SUMIFS(보유분석!$AA$2:$AA$801,보유분석!$AB$2:$AB$801,ROW(),보유분석!$AC$2:$AC$801,1))</f>
        <v>0</v>
      </c>
      <c r="AP391" s="43" t="str">
        <f aca="false">IF($A391="","",TRIM(IF(R391=1,"FRN ","")&amp;IF(IFERROR(VLOOKUP(M391,설정!$A$15:$D$47,4,0),0)&gt;=10,IF(IFERROR(VLOOKUP(M391,설정!$A$15:$D$47,4,0),0)&lt;99,"BBB0미만 ",""),"")&amp;IF(OR(M391="",M391="NR"),"등급미입력 ","")&amp;IF(C391&lt;&gt;"USD","비USD ","")))</f>
        <v/>
      </c>
      <c r="AQ391" s="90" t="n">
        <f aca="false">IF(AND(Y391=1,AL391="Cheap"),IF(AND(ISERROR(SEARCH("FRN",AP391)),ISERROR(SEARCH("BBB0미만",AP391))),AK391+ROW()/1000000000,-999),-999)</f>
        <v>-999</v>
      </c>
      <c r="AR391" s="92" t="str">
        <f aca="false">IF(AND(ISNUMBER(D391),ISNUMBER(K391)),D391+AN391*MAX(K391-1,0)/100,"")</f>
        <v/>
      </c>
      <c r="AS391" s="93" t="str">
        <f aca="false">IF(AND(ISNUMBER(E391),ISNUMBER(K391)),IF(K391&gt;0,(E391+AN391*MAX(K391-1,0))/K391,""),"")</f>
        <v/>
      </c>
      <c r="AT391" s="90" t="n">
        <f aca="false">IFERROR(IF(AND(Y391=1,ROW()&lt;&gt;스왑분석!$C$12+1,ABS(K391-INDEX($K$2:$K$601,스왑분석!$C$12))&lt;=스왑분석!$C$5,ISERROR(SEARCH("FRN",AP391)),ISERROR(SEARCH("BBB0미만",AP391))),IF(AND(OR(스왑분석!$C$6="N",L391=INDEX($L$2:$L$601,스왑분석!$C$12)),OR(스왑분석!$C$7="N",N391=INDEX($N$2:$N$601,스왑분석!$C$12)),OR(스왑분석!$C$8="N",AO391=0),E391-INDEX($E$2:$E$601,스왑분석!$C$12)&gt;=스왑분석!$C$9),E391-INDEX($E$2:$E$601,스왑분석!$C$12)+ROW()/1000000000,-999),-999),-999)</f>
        <v>-999</v>
      </c>
      <c r="AU391" s="90" t="n">
        <f aca="false">IF(AND(Y391=1,AO391&gt;0,AL391="Rich"),-AK391+ROW()/1000000000,-999)</f>
        <v>-999</v>
      </c>
    </row>
    <row r="392" customFormat="false" ht="15" hidden="false" customHeight="false" outlineLevel="0" collapsed="false">
      <c r="A392" s="83" t="n">
        <f aca="false">IFERROR(IF(INDEX(원자료_시장!$A$1:$BZ$1000,설정!$L$6+ROW()-1,설정!$L$24)&amp;""="0","",INDEX(원자료_시장!$A$1:$BZ$1000,설정!$L$6+ROW()-1,설정!$L$24)),"")</f>
        <v>0</v>
      </c>
      <c r="B392" s="83" t="n">
        <f aca="false">IFERROR(IF(INDEX(원자료_시장!$A$1:$BZ$1000,설정!$L$6+ROW()-1,설정!$L$37)&amp;""="0","",INDEX(원자료_시장!$A$1:$BZ$1000,설정!$L$6+ROW()-1,설정!$L$37)),"")</f>
        <v>0</v>
      </c>
      <c r="C392" s="83" t="n">
        <f aca="false">IFERROR(IF(INDEX(원자료_시장!$A$1:$BZ$1000,설정!$L$6+ROW()-1,설정!$L$25)&amp;""="0","",INDEX(원자료_시장!$A$1:$BZ$1000,설정!$L$6+ROW()-1,설정!$L$25)),"")</f>
        <v>0</v>
      </c>
      <c r="D392" s="85" t="str">
        <f aca="false">IFERROR(IF(ISNUMBER(INDEX(원자료_시장!$A$1:$BZ$1000,설정!$L$6+ROW()-1,설정!$L$26)),INDEX(원자료_시장!$A$1:$BZ$1000,설정!$L$6+ROW()-1,설정!$L$26),""),"")</f>
        <v/>
      </c>
      <c r="E392" s="97" t="str">
        <f aca="false">IFERROR(IF(ISNUMBER(INDEX(원자료_시장!$A$1:$BZ$1000,설정!$L$6+ROW()-1,설정!$L$27)),INDEX(원자료_시장!$A$1:$BZ$1000,설정!$L$6+ROW()-1,설정!$L$27),""),"")</f>
        <v/>
      </c>
      <c r="F392" s="97" t="str">
        <f aca="false">IFERROR(IF(ISNUMBER(INDEX(원자료_시장!$A$1:$BZ$1000,설정!$L$6+ROW()-1,설정!$L$28)),INDEX(원자료_시장!$A$1:$BZ$1000,설정!$L$6+ROW()-1,설정!$L$28),""),"")</f>
        <v/>
      </c>
      <c r="G392" s="97" t="str">
        <f aca="false">IFERROR(IF(ISNUMBER(INDEX(원자료_시장!$A$1:$BZ$1000,설정!$L$6+ROW()-1,설정!$L$29)),INDEX(원자료_시장!$A$1:$BZ$1000,설정!$L$6+ROW()-1,설정!$L$29),""),"")</f>
        <v/>
      </c>
      <c r="H392" s="97" t="str">
        <f aca="false">IFERROR(IF(ISNUMBER(INDEX(원자료_시장!$A$1:$BZ$1000,설정!$L$6+ROW()-1,설정!$L$30)),INDEX(원자료_시장!$A$1:$BZ$1000,설정!$L$6+ROW()-1,설정!$L$30),""),"")</f>
        <v/>
      </c>
      <c r="I392" s="97" t="str">
        <f aca="false">IFERROR(IF(ISNUMBER(INDEX(원자료_시장!$A$1:$BZ$1000,설정!$L$6+ROW()-1,설정!$L$31)),INDEX(원자료_시장!$A$1:$BZ$1000,설정!$L$6+ROW()-1,설정!$L$31),""),"")</f>
        <v/>
      </c>
      <c r="J392" s="97" t="str">
        <f aca="false">IFERROR(IF(ISNUMBER(INDEX(원자료_시장!$A$1:$BZ$1000,설정!$L$6+ROW()-1,설정!$L$32)),INDEX(원자료_시장!$A$1:$BZ$1000,설정!$L$6+ROW()-1,설정!$L$32),""),"")</f>
        <v/>
      </c>
      <c r="K392" s="85" t="str">
        <f aca="false">IFERROR(IF(ISNUMBER(INDEX(원자료_시장!$A$1:$BZ$1000,설정!$L$6+ROW()-1,설정!$L$33)),INDEX(원자료_시장!$A$1:$BZ$1000,설정!$L$6+ROW()-1,설정!$L$33),""),"")</f>
        <v/>
      </c>
      <c r="L392" s="83" t="n">
        <f aca="false">IFERROR(IF(INDEX(원자료_시장!$A$1:$BZ$1000,설정!$L$6+ROW()-1,설정!$L$34)&amp;""="0","",INDEX(원자료_시장!$A$1:$BZ$1000,설정!$L$6+ROW()-1,설정!$L$34)),"")</f>
        <v>0</v>
      </c>
      <c r="M392" s="83" t="n">
        <f aca="false">IFERROR(IF(INDEX(원자료_시장!$A$1:$BZ$1000,설정!$L$6+ROW()-1,설정!$L$35)&amp;""="0","",INDEX(원자료_시장!$A$1:$BZ$1000,설정!$L$6+ROW()-1,설정!$L$35)),"")</f>
        <v>0</v>
      </c>
      <c r="N392" s="83" t="n">
        <f aca="false">IFERROR(IF(INDEX(원자료_시장!$A$1:$BZ$1000,설정!$L$6+ROW()-1,설정!$L$36)&amp;""="0","",INDEX(원자료_시장!$A$1:$BZ$1000,설정!$L$6+ROW()-1,설정!$L$36)),"")</f>
        <v>0</v>
      </c>
      <c r="O392" s="43" t="str">
        <f aca="false">IF($A392="","",UPPER(LEFT($A392,FIND(" ",$A392&amp;" ")-1)))</f>
        <v/>
      </c>
      <c r="P392" s="43" t="str">
        <f aca="false">IF($A392="","",TRIM(RIGHT(SUBSTITUTE(TRIM($A392)," ",REPT(" ",30)),30)))</f>
        <v/>
      </c>
      <c r="Q392" s="98" t="str">
        <f aca="false">IF($A392="","",IFERROR(DATE(IF(LEN(P392)=8,2000+VALUE(RIGHT(P392,2)),VALUE(RIGHT(P392,4))),VALUE(LEFT(P392,2)),VALUE(MID(P392,4,2))),""))</f>
        <v/>
      </c>
      <c r="R392" s="89" t="n">
        <f aca="false">IF($A392="",0,IF(ISNUMBER(SEARCH("Float",$A392)),1,0))</f>
        <v>0</v>
      </c>
      <c r="S392" s="43" t="str">
        <f aca="false">IF($A392="","",TRIM(MID($A392,LEN(O392)+2,LEN($A392)-LEN(O392)-LEN(P392)-1)))</f>
        <v/>
      </c>
      <c r="T392" s="92" t="str">
        <f aca="false">IF(OR($A392="",R392=1),"",IFERROR(IF(ISNUMBER(FIND("/",S392)),IF(ISNUMBER(FIND(" ",S392)),VALUE(LEFT(S392,FIND(" ",S392)-1))+VALUE(MID(S392,FIND(" ",S392)+1,FIND("/",S392)-FIND(" ",S392)-1))/VALUE(MID(S392,FIND("/",S392)+1,9)),VALUE(LEFT(S392,FIND("/",S392)-1))/VALUE(MID(S392,FIND("/",S392)+1,9))),VALUE(S392)),""))</f>
        <v/>
      </c>
      <c r="U392" s="43" t="str">
        <f aca="false">IF(OR($A392="",NOT(ISNUMBER(Q392))),"",TEXT(Q392,"yyyymmdd")&amp;"|"&amp;IF(R392=1,"F",TEXT(T392,"0.000")))</f>
        <v/>
      </c>
      <c r="V392" s="43" t="str">
        <f aca="false">IF(U392="","",O392&amp;"|"&amp;U392)</f>
        <v/>
      </c>
      <c r="W392" s="43" t="str">
        <f aca="false">IF($A392="","",IFERROR(IF(VLOOKUP(O392,매핑!$A$4:$E$92,3,0)="","미분류",VLOOKUP(O392,매핑!$A$4:$E$92,3,0)),"미분류"))</f>
        <v/>
      </c>
      <c r="X392" s="89" t="n">
        <f aca="false">IF($A392="",0,IF(O392="T",1,0))</f>
        <v>0</v>
      </c>
      <c r="Y392" s="89" t="n">
        <f aca="false">IF($A392="",0,IF(AND(C392="USD",X392=0,ISNUMBER(E392),ISNUMBER(K392)),IF(K392&gt;=설정!$C$8,1,0),0))</f>
        <v>0</v>
      </c>
      <c r="Z392" s="43" t="str">
        <f aca="false">IF($A392="","",N392&amp;"|"&amp;L392)</f>
        <v/>
      </c>
      <c r="AA392" s="92" t="n">
        <f aca="false">IF(Y392=1,LN(K392),0)</f>
        <v>0</v>
      </c>
      <c r="AB392" s="93" t="n">
        <f aca="false">IF(Y392=1,E392,0)</f>
        <v>0</v>
      </c>
      <c r="AC392" s="89" t="n">
        <f aca="false">IF(Y392=1,COUNTIFS($Z$2:$Z$601,Z392,$Y$2:$Y$601,1),0)</f>
        <v>0</v>
      </c>
      <c r="AD392" s="89" t="n">
        <f aca="false">IF(Y392=1,COUNTIFS($N$2:$N$601,N392,$Y$2:$Y$601,1),0)</f>
        <v>0</v>
      </c>
      <c r="AE392" s="43" t="str">
        <f aca="false">IF(Y392&lt;&gt;1,"",IF(AND(AC392&gt;=설정!$C$7,ISNUMBER(MATCH(Z392,피어커브!$A:$A,0))),Z392,IF(AND(AD392&gt;=설정!$C$7,ISNUMBER(MATCH(N392&amp;"|전체",피어커브!$A:$A,0))),N392&amp;"|전체","전체|전체")))</f>
        <v/>
      </c>
      <c r="AF392" s="93" t="str">
        <f aca="false">IF(AE392="","",INDEX(피어커브!$K:$K,MATCH(AE392,피어커브!$A:$A,0)))</f>
        <v/>
      </c>
      <c r="AG392" s="93" t="str">
        <f aca="false">IF(AE392="","",INDEX(피어커브!$J:$J,MATCH(AE392,피어커브!$A:$A,0)))</f>
        <v/>
      </c>
      <c r="AH392" s="93" t="str">
        <f aca="false">IF(AE392="","",INDEX(피어커브!$L:$L,MATCH(AE392,피어커브!$A:$A,0)))</f>
        <v/>
      </c>
      <c r="AI392" s="93" t="str">
        <f aca="false">IF(AE392="","",AF392+AG392*AA392)</f>
        <v/>
      </c>
      <c r="AJ392" s="96" t="str">
        <f aca="false">IF(AE392="","",E392-AI392)</f>
        <v/>
      </c>
      <c r="AK392" s="95" t="str">
        <f aca="false">IF(AE392="","",IF(ISNUMBER(AH392),IF(AH392&gt;0,AJ392/AH392,""),""))</f>
        <v/>
      </c>
      <c r="AL392" s="43" t="str">
        <f aca="false">IF(AK392="","-",IF(AK392&gt;=설정!$C$6,"Cheap",IF(AK392&lt;=-설정!$C$6,"Rich","Fair")))</f>
        <v>-</v>
      </c>
      <c r="AM392" s="96" t="str">
        <f aca="false">IF(AE392="","",AJ392-AVERAGEIFS($AJ$2:$AJ$601,$B$2:$B$601,B392,$Y$2:$Y$601,1))</f>
        <v/>
      </c>
      <c r="AN392" s="93" t="n">
        <f aca="false">IF(AE392="",0,IF(K392&gt;1+설정!$C$8,AG392*(AA392-LN(K392-1)),0))</f>
        <v>0</v>
      </c>
      <c r="AO392" s="99" t="n">
        <f aca="false">IF($A392="",0,SUMIFS(보유분석!$AA$2:$AA$801,보유분석!$AB$2:$AB$801,ROW(),보유분석!$AC$2:$AC$801,1))</f>
        <v>0</v>
      </c>
      <c r="AP392" s="43" t="str">
        <f aca="false">IF($A392="","",TRIM(IF(R392=1,"FRN ","")&amp;IF(IFERROR(VLOOKUP(M392,설정!$A$15:$D$47,4,0),0)&gt;=10,IF(IFERROR(VLOOKUP(M392,설정!$A$15:$D$47,4,0),0)&lt;99,"BBB0미만 ",""),"")&amp;IF(OR(M392="",M392="NR"),"등급미입력 ","")&amp;IF(C392&lt;&gt;"USD","비USD ","")))</f>
        <v/>
      </c>
      <c r="AQ392" s="90" t="n">
        <f aca="false">IF(AND(Y392=1,AL392="Cheap"),IF(AND(ISERROR(SEARCH("FRN",AP392)),ISERROR(SEARCH("BBB0미만",AP392))),AK392+ROW()/1000000000,-999),-999)</f>
        <v>-999</v>
      </c>
      <c r="AR392" s="92" t="str">
        <f aca="false">IF(AND(ISNUMBER(D392),ISNUMBER(K392)),D392+AN392*MAX(K392-1,0)/100,"")</f>
        <v/>
      </c>
      <c r="AS392" s="93" t="str">
        <f aca="false">IF(AND(ISNUMBER(E392),ISNUMBER(K392)),IF(K392&gt;0,(E392+AN392*MAX(K392-1,0))/K392,""),"")</f>
        <v/>
      </c>
      <c r="AT392" s="90" t="n">
        <f aca="false">IFERROR(IF(AND(Y392=1,ROW()&lt;&gt;스왑분석!$C$12+1,ABS(K392-INDEX($K$2:$K$601,스왑분석!$C$12))&lt;=스왑분석!$C$5,ISERROR(SEARCH("FRN",AP392)),ISERROR(SEARCH("BBB0미만",AP392))),IF(AND(OR(스왑분석!$C$6="N",L392=INDEX($L$2:$L$601,스왑분석!$C$12)),OR(스왑분석!$C$7="N",N392=INDEX($N$2:$N$601,스왑분석!$C$12)),OR(스왑분석!$C$8="N",AO392=0),E392-INDEX($E$2:$E$601,스왑분석!$C$12)&gt;=스왑분석!$C$9),E392-INDEX($E$2:$E$601,스왑분석!$C$12)+ROW()/1000000000,-999),-999),-999)</f>
        <v>-999</v>
      </c>
      <c r="AU392" s="90" t="n">
        <f aca="false">IF(AND(Y392=1,AO392&gt;0,AL392="Rich"),-AK392+ROW()/1000000000,-999)</f>
        <v>-999</v>
      </c>
    </row>
    <row r="393" customFormat="false" ht="15" hidden="false" customHeight="false" outlineLevel="0" collapsed="false">
      <c r="A393" s="83" t="n">
        <f aca="false">IFERROR(IF(INDEX(원자료_시장!$A$1:$BZ$1000,설정!$L$6+ROW()-1,설정!$L$24)&amp;""="0","",INDEX(원자료_시장!$A$1:$BZ$1000,설정!$L$6+ROW()-1,설정!$L$24)),"")</f>
        <v>0</v>
      </c>
      <c r="B393" s="83" t="n">
        <f aca="false">IFERROR(IF(INDEX(원자료_시장!$A$1:$BZ$1000,설정!$L$6+ROW()-1,설정!$L$37)&amp;""="0","",INDEX(원자료_시장!$A$1:$BZ$1000,설정!$L$6+ROW()-1,설정!$L$37)),"")</f>
        <v>0</v>
      </c>
      <c r="C393" s="83" t="n">
        <f aca="false">IFERROR(IF(INDEX(원자료_시장!$A$1:$BZ$1000,설정!$L$6+ROW()-1,설정!$L$25)&amp;""="0","",INDEX(원자료_시장!$A$1:$BZ$1000,설정!$L$6+ROW()-1,설정!$L$25)),"")</f>
        <v>0</v>
      </c>
      <c r="D393" s="85" t="str">
        <f aca="false">IFERROR(IF(ISNUMBER(INDEX(원자료_시장!$A$1:$BZ$1000,설정!$L$6+ROW()-1,설정!$L$26)),INDEX(원자료_시장!$A$1:$BZ$1000,설정!$L$6+ROW()-1,설정!$L$26),""),"")</f>
        <v/>
      </c>
      <c r="E393" s="97" t="str">
        <f aca="false">IFERROR(IF(ISNUMBER(INDEX(원자료_시장!$A$1:$BZ$1000,설정!$L$6+ROW()-1,설정!$L$27)),INDEX(원자료_시장!$A$1:$BZ$1000,설정!$L$6+ROW()-1,설정!$L$27),""),"")</f>
        <v/>
      </c>
      <c r="F393" s="97" t="str">
        <f aca="false">IFERROR(IF(ISNUMBER(INDEX(원자료_시장!$A$1:$BZ$1000,설정!$L$6+ROW()-1,설정!$L$28)),INDEX(원자료_시장!$A$1:$BZ$1000,설정!$L$6+ROW()-1,설정!$L$28),""),"")</f>
        <v/>
      </c>
      <c r="G393" s="97" t="str">
        <f aca="false">IFERROR(IF(ISNUMBER(INDEX(원자료_시장!$A$1:$BZ$1000,설정!$L$6+ROW()-1,설정!$L$29)),INDEX(원자료_시장!$A$1:$BZ$1000,설정!$L$6+ROW()-1,설정!$L$29),""),"")</f>
        <v/>
      </c>
      <c r="H393" s="97" t="str">
        <f aca="false">IFERROR(IF(ISNUMBER(INDEX(원자료_시장!$A$1:$BZ$1000,설정!$L$6+ROW()-1,설정!$L$30)),INDEX(원자료_시장!$A$1:$BZ$1000,설정!$L$6+ROW()-1,설정!$L$30),""),"")</f>
        <v/>
      </c>
      <c r="I393" s="97" t="str">
        <f aca="false">IFERROR(IF(ISNUMBER(INDEX(원자료_시장!$A$1:$BZ$1000,설정!$L$6+ROW()-1,설정!$L$31)),INDEX(원자료_시장!$A$1:$BZ$1000,설정!$L$6+ROW()-1,설정!$L$31),""),"")</f>
        <v/>
      </c>
      <c r="J393" s="97" t="str">
        <f aca="false">IFERROR(IF(ISNUMBER(INDEX(원자료_시장!$A$1:$BZ$1000,설정!$L$6+ROW()-1,설정!$L$32)),INDEX(원자료_시장!$A$1:$BZ$1000,설정!$L$6+ROW()-1,설정!$L$32),""),"")</f>
        <v/>
      </c>
      <c r="K393" s="85" t="str">
        <f aca="false">IFERROR(IF(ISNUMBER(INDEX(원자료_시장!$A$1:$BZ$1000,설정!$L$6+ROW()-1,설정!$L$33)),INDEX(원자료_시장!$A$1:$BZ$1000,설정!$L$6+ROW()-1,설정!$L$33),""),"")</f>
        <v/>
      </c>
      <c r="L393" s="83" t="n">
        <f aca="false">IFERROR(IF(INDEX(원자료_시장!$A$1:$BZ$1000,설정!$L$6+ROW()-1,설정!$L$34)&amp;""="0","",INDEX(원자료_시장!$A$1:$BZ$1000,설정!$L$6+ROW()-1,설정!$L$34)),"")</f>
        <v>0</v>
      </c>
      <c r="M393" s="83" t="n">
        <f aca="false">IFERROR(IF(INDEX(원자료_시장!$A$1:$BZ$1000,설정!$L$6+ROW()-1,설정!$L$35)&amp;""="0","",INDEX(원자료_시장!$A$1:$BZ$1000,설정!$L$6+ROW()-1,설정!$L$35)),"")</f>
        <v>0</v>
      </c>
      <c r="N393" s="83" t="n">
        <f aca="false">IFERROR(IF(INDEX(원자료_시장!$A$1:$BZ$1000,설정!$L$6+ROW()-1,설정!$L$36)&amp;""="0","",INDEX(원자료_시장!$A$1:$BZ$1000,설정!$L$6+ROW()-1,설정!$L$36)),"")</f>
        <v>0</v>
      </c>
      <c r="O393" s="43" t="str">
        <f aca="false">IF($A393="","",UPPER(LEFT($A393,FIND(" ",$A393&amp;" ")-1)))</f>
        <v/>
      </c>
      <c r="P393" s="43" t="str">
        <f aca="false">IF($A393="","",TRIM(RIGHT(SUBSTITUTE(TRIM($A393)," ",REPT(" ",30)),30)))</f>
        <v/>
      </c>
      <c r="Q393" s="98" t="str">
        <f aca="false">IF($A393="","",IFERROR(DATE(IF(LEN(P393)=8,2000+VALUE(RIGHT(P393,2)),VALUE(RIGHT(P393,4))),VALUE(LEFT(P393,2)),VALUE(MID(P393,4,2))),""))</f>
        <v/>
      </c>
      <c r="R393" s="89" t="n">
        <f aca="false">IF($A393="",0,IF(ISNUMBER(SEARCH("Float",$A393)),1,0))</f>
        <v>0</v>
      </c>
      <c r="S393" s="43" t="str">
        <f aca="false">IF($A393="","",TRIM(MID($A393,LEN(O393)+2,LEN($A393)-LEN(O393)-LEN(P393)-1)))</f>
        <v/>
      </c>
      <c r="T393" s="92" t="str">
        <f aca="false">IF(OR($A393="",R393=1),"",IFERROR(IF(ISNUMBER(FIND("/",S393)),IF(ISNUMBER(FIND(" ",S393)),VALUE(LEFT(S393,FIND(" ",S393)-1))+VALUE(MID(S393,FIND(" ",S393)+1,FIND("/",S393)-FIND(" ",S393)-1))/VALUE(MID(S393,FIND("/",S393)+1,9)),VALUE(LEFT(S393,FIND("/",S393)-1))/VALUE(MID(S393,FIND("/",S393)+1,9))),VALUE(S393)),""))</f>
        <v/>
      </c>
      <c r="U393" s="43" t="str">
        <f aca="false">IF(OR($A393="",NOT(ISNUMBER(Q393))),"",TEXT(Q393,"yyyymmdd")&amp;"|"&amp;IF(R393=1,"F",TEXT(T393,"0.000")))</f>
        <v/>
      </c>
      <c r="V393" s="43" t="str">
        <f aca="false">IF(U393="","",O393&amp;"|"&amp;U393)</f>
        <v/>
      </c>
      <c r="W393" s="43" t="str">
        <f aca="false">IF($A393="","",IFERROR(IF(VLOOKUP(O393,매핑!$A$4:$E$92,3,0)="","미분류",VLOOKUP(O393,매핑!$A$4:$E$92,3,0)),"미분류"))</f>
        <v/>
      </c>
      <c r="X393" s="89" t="n">
        <f aca="false">IF($A393="",0,IF(O393="T",1,0))</f>
        <v>0</v>
      </c>
      <c r="Y393" s="89" t="n">
        <f aca="false">IF($A393="",0,IF(AND(C393="USD",X393=0,ISNUMBER(E393),ISNUMBER(K393)),IF(K393&gt;=설정!$C$8,1,0),0))</f>
        <v>0</v>
      </c>
      <c r="Z393" s="43" t="str">
        <f aca="false">IF($A393="","",N393&amp;"|"&amp;L393)</f>
        <v/>
      </c>
      <c r="AA393" s="92" t="n">
        <f aca="false">IF(Y393=1,LN(K393),0)</f>
        <v>0</v>
      </c>
      <c r="AB393" s="93" t="n">
        <f aca="false">IF(Y393=1,E393,0)</f>
        <v>0</v>
      </c>
      <c r="AC393" s="89" t="n">
        <f aca="false">IF(Y393=1,COUNTIFS($Z$2:$Z$601,Z393,$Y$2:$Y$601,1),0)</f>
        <v>0</v>
      </c>
      <c r="AD393" s="89" t="n">
        <f aca="false">IF(Y393=1,COUNTIFS($N$2:$N$601,N393,$Y$2:$Y$601,1),0)</f>
        <v>0</v>
      </c>
      <c r="AE393" s="43" t="str">
        <f aca="false">IF(Y393&lt;&gt;1,"",IF(AND(AC393&gt;=설정!$C$7,ISNUMBER(MATCH(Z393,피어커브!$A:$A,0))),Z393,IF(AND(AD393&gt;=설정!$C$7,ISNUMBER(MATCH(N393&amp;"|전체",피어커브!$A:$A,0))),N393&amp;"|전체","전체|전체")))</f>
        <v/>
      </c>
      <c r="AF393" s="93" t="str">
        <f aca="false">IF(AE393="","",INDEX(피어커브!$K:$K,MATCH(AE393,피어커브!$A:$A,0)))</f>
        <v/>
      </c>
      <c r="AG393" s="93" t="str">
        <f aca="false">IF(AE393="","",INDEX(피어커브!$J:$J,MATCH(AE393,피어커브!$A:$A,0)))</f>
        <v/>
      </c>
      <c r="AH393" s="93" t="str">
        <f aca="false">IF(AE393="","",INDEX(피어커브!$L:$L,MATCH(AE393,피어커브!$A:$A,0)))</f>
        <v/>
      </c>
      <c r="AI393" s="93" t="str">
        <f aca="false">IF(AE393="","",AF393+AG393*AA393)</f>
        <v/>
      </c>
      <c r="AJ393" s="96" t="str">
        <f aca="false">IF(AE393="","",E393-AI393)</f>
        <v/>
      </c>
      <c r="AK393" s="95" t="str">
        <f aca="false">IF(AE393="","",IF(ISNUMBER(AH393),IF(AH393&gt;0,AJ393/AH393,""),""))</f>
        <v/>
      </c>
      <c r="AL393" s="43" t="str">
        <f aca="false">IF(AK393="","-",IF(AK393&gt;=설정!$C$6,"Cheap",IF(AK393&lt;=-설정!$C$6,"Rich","Fair")))</f>
        <v>-</v>
      </c>
      <c r="AM393" s="96" t="str">
        <f aca="false">IF(AE393="","",AJ393-AVERAGEIFS($AJ$2:$AJ$601,$B$2:$B$601,B393,$Y$2:$Y$601,1))</f>
        <v/>
      </c>
      <c r="AN393" s="93" t="n">
        <f aca="false">IF(AE393="",0,IF(K393&gt;1+설정!$C$8,AG393*(AA393-LN(K393-1)),0))</f>
        <v>0</v>
      </c>
      <c r="AO393" s="99" t="n">
        <f aca="false">IF($A393="",0,SUMIFS(보유분석!$AA$2:$AA$801,보유분석!$AB$2:$AB$801,ROW(),보유분석!$AC$2:$AC$801,1))</f>
        <v>0</v>
      </c>
      <c r="AP393" s="43" t="str">
        <f aca="false">IF($A393="","",TRIM(IF(R393=1,"FRN ","")&amp;IF(IFERROR(VLOOKUP(M393,설정!$A$15:$D$47,4,0),0)&gt;=10,IF(IFERROR(VLOOKUP(M393,설정!$A$15:$D$47,4,0),0)&lt;99,"BBB0미만 ",""),"")&amp;IF(OR(M393="",M393="NR"),"등급미입력 ","")&amp;IF(C393&lt;&gt;"USD","비USD ","")))</f>
        <v/>
      </c>
      <c r="AQ393" s="90" t="n">
        <f aca="false">IF(AND(Y393=1,AL393="Cheap"),IF(AND(ISERROR(SEARCH("FRN",AP393)),ISERROR(SEARCH("BBB0미만",AP393))),AK393+ROW()/1000000000,-999),-999)</f>
        <v>-999</v>
      </c>
      <c r="AR393" s="92" t="str">
        <f aca="false">IF(AND(ISNUMBER(D393),ISNUMBER(K393)),D393+AN393*MAX(K393-1,0)/100,"")</f>
        <v/>
      </c>
      <c r="AS393" s="93" t="str">
        <f aca="false">IF(AND(ISNUMBER(E393),ISNUMBER(K393)),IF(K393&gt;0,(E393+AN393*MAX(K393-1,0))/K393,""),"")</f>
        <v/>
      </c>
      <c r="AT393" s="90" t="n">
        <f aca="false">IFERROR(IF(AND(Y393=1,ROW()&lt;&gt;스왑분석!$C$12+1,ABS(K393-INDEX($K$2:$K$601,스왑분석!$C$12))&lt;=스왑분석!$C$5,ISERROR(SEARCH("FRN",AP393)),ISERROR(SEARCH("BBB0미만",AP393))),IF(AND(OR(스왑분석!$C$6="N",L393=INDEX($L$2:$L$601,스왑분석!$C$12)),OR(스왑분석!$C$7="N",N393=INDEX($N$2:$N$601,스왑분석!$C$12)),OR(스왑분석!$C$8="N",AO393=0),E393-INDEX($E$2:$E$601,스왑분석!$C$12)&gt;=스왑분석!$C$9),E393-INDEX($E$2:$E$601,스왑분석!$C$12)+ROW()/1000000000,-999),-999),-999)</f>
        <v>-999</v>
      </c>
      <c r="AU393" s="90" t="n">
        <f aca="false">IF(AND(Y393=1,AO393&gt;0,AL393="Rich"),-AK393+ROW()/1000000000,-999)</f>
        <v>-999</v>
      </c>
    </row>
    <row r="394" customFormat="false" ht="15" hidden="false" customHeight="false" outlineLevel="0" collapsed="false">
      <c r="A394" s="83" t="n">
        <f aca="false">IFERROR(IF(INDEX(원자료_시장!$A$1:$BZ$1000,설정!$L$6+ROW()-1,설정!$L$24)&amp;""="0","",INDEX(원자료_시장!$A$1:$BZ$1000,설정!$L$6+ROW()-1,설정!$L$24)),"")</f>
        <v>0</v>
      </c>
      <c r="B394" s="83" t="n">
        <f aca="false">IFERROR(IF(INDEX(원자료_시장!$A$1:$BZ$1000,설정!$L$6+ROW()-1,설정!$L$37)&amp;""="0","",INDEX(원자료_시장!$A$1:$BZ$1000,설정!$L$6+ROW()-1,설정!$L$37)),"")</f>
        <v>0</v>
      </c>
      <c r="C394" s="83" t="n">
        <f aca="false">IFERROR(IF(INDEX(원자료_시장!$A$1:$BZ$1000,설정!$L$6+ROW()-1,설정!$L$25)&amp;""="0","",INDEX(원자료_시장!$A$1:$BZ$1000,설정!$L$6+ROW()-1,설정!$L$25)),"")</f>
        <v>0</v>
      </c>
      <c r="D394" s="85" t="str">
        <f aca="false">IFERROR(IF(ISNUMBER(INDEX(원자료_시장!$A$1:$BZ$1000,설정!$L$6+ROW()-1,설정!$L$26)),INDEX(원자료_시장!$A$1:$BZ$1000,설정!$L$6+ROW()-1,설정!$L$26),""),"")</f>
        <v/>
      </c>
      <c r="E394" s="97" t="str">
        <f aca="false">IFERROR(IF(ISNUMBER(INDEX(원자료_시장!$A$1:$BZ$1000,설정!$L$6+ROW()-1,설정!$L$27)),INDEX(원자료_시장!$A$1:$BZ$1000,설정!$L$6+ROW()-1,설정!$L$27),""),"")</f>
        <v/>
      </c>
      <c r="F394" s="97" t="str">
        <f aca="false">IFERROR(IF(ISNUMBER(INDEX(원자료_시장!$A$1:$BZ$1000,설정!$L$6+ROW()-1,설정!$L$28)),INDEX(원자료_시장!$A$1:$BZ$1000,설정!$L$6+ROW()-1,설정!$L$28),""),"")</f>
        <v/>
      </c>
      <c r="G394" s="97" t="str">
        <f aca="false">IFERROR(IF(ISNUMBER(INDEX(원자료_시장!$A$1:$BZ$1000,설정!$L$6+ROW()-1,설정!$L$29)),INDEX(원자료_시장!$A$1:$BZ$1000,설정!$L$6+ROW()-1,설정!$L$29),""),"")</f>
        <v/>
      </c>
      <c r="H394" s="97" t="str">
        <f aca="false">IFERROR(IF(ISNUMBER(INDEX(원자료_시장!$A$1:$BZ$1000,설정!$L$6+ROW()-1,설정!$L$30)),INDEX(원자료_시장!$A$1:$BZ$1000,설정!$L$6+ROW()-1,설정!$L$30),""),"")</f>
        <v/>
      </c>
      <c r="I394" s="97" t="str">
        <f aca="false">IFERROR(IF(ISNUMBER(INDEX(원자료_시장!$A$1:$BZ$1000,설정!$L$6+ROW()-1,설정!$L$31)),INDEX(원자료_시장!$A$1:$BZ$1000,설정!$L$6+ROW()-1,설정!$L$31),""),"")</f>
        <v/>
      </c>
      <c r="J394" s="97" t="str">
        <f aca="false">IFERROR(IF(ISNUMBER(INDEX(원자료_시장!$A$1:$BZ$1000,설정!$L$6+ROW()-1,설정!$L$32)),INDEX(원자료_시장!$A$1:$BZ$1000,설정!$L$6+ROW()-1,설정!$L$32),""),"")</f>
        <v/>
      </c>
      <c r="K394" s="85" t="str">
        <f aca="false">IFERROR(IF(ISNUMBER(INDEX(원자료_시장!$A$1:$BZ$1000,설정!$L$6+ROW()-1,설정!$L$33)),INDEX(원자료_시장!$A$1:$BZ$1000,설정!$L$6+ROW()-1,설정!$L$33),""),"")</f>
        <v/>
      </c>
      <c r="L394" s="83" t="n">
        <f aca="false">IFERROR(IF(INDEX(원자료_시장!$A$1:$BZ$1000,설정!$L$6+ROW()-1,설정!$L$34)&amp;""="0","",INDEX(원자료_시장!$A$1:$BZ$1000,설정!$L$6+ROW()-1,설정!$L$34)),"")</f>
        <v>0</v>
      </c>
      <c r="M394" s="83" t="n">
        <f aca="false">IFERROR(IF(INDEX(원자료_시장!$A$1:$BZ$1000,설정!$L$6+ROW()-1,설정!$L$35)&amp;""="0","",INDEX(원자료_시장!$A$1:$BZ$1000,설정!$L$6+ROW()-1,설정!$L$35)),"")</f>
        <v>0</v>
      </c>
      <c r="N394" s="83" t="n">
        <f aca="false">IFERROR(IF(INDEX(원자료_시장!$A$1:$BZ$1000,설정!$L$6+ROW()-1,설정!$L$36)&amp;""="0","",INDEX(원자료_시장!$A$1:$BZ$1000,설정!$L$6+ROW()-1,설정!$L$36)),"")</f>
        <v>0</v>
      </c>
      <c r="O394" s="43" t="str">
        <f aca="false">IF($A394="","",UPPER(LEFT($A394,FIND(" ",$A394&amp;" ")-1)))</f>
        <v/>
      </c>
      <c r="P394" s="43" t="str">
        <f aca="false">IF($A394="","",TRIM(RIGHT(SUBSTITUTE(TRIM($A394)," ",REPT(" ",30)),30)))</f>
        <v/>
      </c>
      <c r="Q394" s="98" t="str">
        <f aca="false">IF($A394="","",IFERROR(DATE(IF(LEN(P394)=8,2000+VALUE(RIGHT(P394,2)),VALUE(RIGHT(P394,4))),VALUE(LEFT(P394,2)),VALUE(MID(P394,4,2))),""))</f>
        <v/>
      </c>
      <c r="R394" s="89" t="n">
        <f aca="false">IF($A394="",0,IF(ISNUMBER(SEARCH("Float",$A394)),1,0))</f>
        <v>0</v>
      </c>
      <c r="S394" s="43" t="str">
        <f aca="false">IF($A394="","",TRIM(MID($A394,LEN(O394)+2,LEN($A394)-LEN(O394)-LEN(P394)-1)))</f>
        <v/>
      </c>
      <c r="T394" s="92" t="str">
        <f aca="false">IF(OR($A394="",R394=1),"",IFERROR(IF(ISNUMBER(FIND("/",S394)),IF(ISNUMBER(FIND(" ",S394)),VALUE(LEFT(S394,FIND(" ",S394)-1))+VALUE(MID(S394,FIND(" ",S394)+1,FIND("/",S394)-FIND(" ",S394)-1))/VALUE(MID(S394,FIND("/",S394)+1,9)),VALUE(LEFT(S394,FIND("/",S394)-1))/VALUE(MID(S394,FIND("/",S394)+1,9))),VALUE(S394)),""))</f>
        <v/>
      </c>
      <c r="U394" s="43" t="str">
        <f aca="false">IF(OR($A394="",NOT(ISNUMBER(Q394))),"",TEXT(Q394,"yyyymmdd")&amp;"|"&amp;IF(R394=1,"F",TEXT(T394,"0.000")))</f>
        <v/>
      </c>
      <c r="V394" s="43" t="str">
        <f aca="false">IF(U394="","",O394&amp;"|"&amp;U394)</f>
        <v/>
      </c>
      <c r="W394" s="43" t="str">
        <f aca="false">IF($A394="","",IFERROR(IF(VLOOKUP(O394,매핑!$A$4:$E$92,3,0)="","미분류",VLOOKUP(O394,매핑!$A$4:$E$92,3,0)),"미분류"))</f>
        <v/>
      </c>
      <c r="X394" s="89" t="n">
        <f aca="false">IF($A394="",0,IF(O394="T",1,0))</f>
        <v>0</v>
      </c>
      <c r="Y394" s="89" t="n">
        <f aca="false">IF($A394="",0,IF(AND(C394="USD",X394=0,ISNUMBER(E394),ISNUMBER(K394)),IF(K394&gt;=설정!$C$8,1,0),0))</f>
        <v>0</v>
      </c>
      <c r="Z394" s="43" t="str">
        <f aca="false">IF($A394="","",N394&amp;"|"&amp;L394)</f>
        <v/>
      </c>
      <c r="AA394" s="92" t="n">
        <f aca="false">IF(Y394=1,LN(K394),0)</f>
        <v>0</v>
      </c>
      <c r="AB394" s="93" t="n">
        <f aca="false">IF(Y394=1,E394,0)</f>
        <v>0</v>
      </c>
      <c r="AC394" s="89" t="n">
        <f aca="false">IF(Y394=1,COUNTIFS($Z$2:$Z$601,Z394,$Y$2:$Y$601,1),0)</f>
        <v>0</v>
      </c>
      <c r="AD394" s="89" t="n">
        <f aca="false">IF(Y394=1,COUNTIFS($N$2:$N$601,N394,$Y$2:$Y$601,1),0)</f>
        <v>0</v>
      </c>
      <c r="AE394" s="43" t="str">
        <f aca="false">IF(Y394&lt;&gt;1,"",IF(AND(AC394&gt;=설정!$C$7,ISNUMBER(MATCH(Z394,피어커브!$A:$A,0))),Z394,IF(AND(AD394&gt;=설정!$C$7,ISNUMBER(MATCH(N394&amp;"|전체",피어커브!$A:$A,0))),N394&amp;"|전체","전체|전체")))</f>
        <v/>
      </c>
      <c r="AF394" s="93" t="str">
        <f aca="false">IF(AE394="","",INDEX(피어커브!$K:$K,MATCH(AE394,피어커브!$A:$A,0)))</f>
        <v/>
      </c>
      <c r="AG394" s="93" t="str">
        <f aca="false">IF(AE394="","",INDEX(피어커브!$J:$J,MATCH(AE394,피어커브!$A:$A,0)))</f>
        <v/>
      </c>
      <c r="AH394" s="93" t="str">
        <f aca="false">IF(AE394="","",INDEX(피어커브!$L:$L,MATCH(AE394,피어커브!$A:$A,0)))</f>
        <v/>
      </c>
      <c r="AI394" s="93" t="str">
        <f aca="false">IF(AE394="","",AF394+AG394*AA394)</f>
        <v/>
      </c>
      <c r="AJ394" s="96" t="str">
        <f aca="false">IF(AE394="","",E394-AI394)</f>
        <v/>
      </c>
      <c r="AK394" s="95" t="str">
        <f aca="false">IF(AE394="","",IF(ISNUMBER(AH394),IF(AH394&gt;0,AJ394/AH394,""),""))</f>
        <v/>
      </c>
      <c r="AL394" s="43" t="str">
        <f aca="false">IF(AK394="","-",IF(AK394&gt;=설정!$C$6,"Cheap",IF(AK394&lt;=-설정!$C$6,"Rich","Fair")))</f>
        <v>-</v>
      </c>
      <c r="AM394" s="96" t="str">
        <f aca="false">IF(AE394="","",AJ394-AVERAGEIFS($AJ$2:$AJ$601,$B$2:$B$601,B394,$Y$2:$Y$601,1))</f>
        <v/>
      </c>
      <c r="AN394" s="93" t="n">
        <f aca="false">IF(AE394="",0,IF(K394&gt;1+설정!$C$8,AG394*(AA394-LN(K394-1)),0))</f>
        <v>0</v>
      </c>
      <c r="AO394" s="99" t="n">
        <f aca="false">IF($A394="",0,SUMIFS(보유분석!$AA$2:$AA$801,보유분석!$AB$2:$AB$801,ROW(),보유분석!$AC$2:$AC$801,1))</f>
        <v>0</v>
      </c>
      <c r="AP394" s="43" t="str">
        <f aca="false">IF($A394="","",TRIM(IF(R394=1,"FRN ","")&amp;IF(IFERROR(VLOOKUP(M394,설정!$A$15:$D$47,4,0),0)&gt;=10,IF(IFERROR(VLOOKUP(M394,설정!$A$15:$D$47,4,0),0)&lt;99,"BBB0미만 ",""),"")&amp;IF(OR(M394="",M394="NR"),"등급미입력 ","")&amp;IF(C394&lt;&gt;"USD","비USD ","")))</f>
        <v/>
      </c>
      <c r="AQ394" s="90" t="n">
        <f aca="false">IF(AND(Y394=1,AL394="Cheap"),IF(AND(ISERROR(SEARCH("FRN",AP394)),ISERROR(SEARCH("BBB0미만",AP394))),AK394+ROW()/1000000000,-999),-999)</f>
        <v>-999</v>
      </c>
      <c r="AR394" s="92" t="str">
        <f aca="false">IF(AND(ISNUMBER(D394),ISNUMBER(K394)),D394+AN394*MAX(K394-1,0)/100,"")</f>
        <v/>
      </c>
      <c r="AS394" s="93" t="str">
        <f aca="false">IF(AND(ISNUMBER(E394),ISNUMBER(K394)),IF(K394&gt;0,(E394+AN394*MAX(K394-1,0))/K394,""),"")</f>
        <v/>
      </c>
      <c r="AT394" s="90" t="n">
        <f aca="false">IFERROR(IF(AND(Y394=1,ROW()&lt;&gt;스왑분석!$C$12+1,ABS(K394-INDEX($K$2:$K$601,스왑분석!$C$12))&lt;=스왑분석!$C$5,ISERROR(SEARCH("FRN",AP394)),ISERROR(SEARCH("BBB0미만",AP394))),IF(AND(OR(스왑분석!$C$6="N",L394=INDEX($L$2:$L$601,스왑분석!$C$12)),OR(스왑분석!$C$7="N",N394=INDEX($N$2:$N$601,스왑분석!$C$12)),OR(스왑분석!$C$8="N",AO394=0),E394-INDEX($E$2:$E$601,스왑분석!$C$12)&gt;=스왑분석!$C$9),E394-INDEX($E$2:$E$601,스왑분석!$C$12)+ROW()/1000000000,-999),-999),-999)</f>
        <v>-999</v>
      </c>
      <c r="AU394" s="90" t="n">
        <f aca="false">IF(AND(Y394=1,AO394&gt;0,AL394="Rich"),-AK394+ROW()/1000000000,-999)</f>
        <v>-999</v>
      </c>
    </row>
    <row r="395" customFormat="false" ht="15" hidden="false" customHeight="false" outlineLevel="0" collapsed="false">
      <c r="A395" s="83" t="n">
        <f aca="false">IFERROR(IF(INDEX(원자료_시장!$A$1:$BZ$1000,설정!$L$6+ROW()-1,설정!$L$24)&amp;""="0","",INDEX(원자료_시장!$A$1:$BZ$1000,설정!$L$6+ROW()-1,설정!$L$24)),"")</f>
        <v>0</v>
      </c>
      <c r="B395" s="83" t="n">
        <f aca="false">IFERROR(IF(INDEX(원자료_시장!$A$1:$BZ$1000,설정!$L$6+ROW()-1,설정!$L$37)&amp;""="0","",INDEX(원자료_시장!$A$1:$BZ$1000,설정!$L$6+ROW()-1,설정!$L$37)),"")</f>
        <v>0</v>
      </c>
      <c r="C395" s="83" t="n">
        <f aca="false">IFERROR(IF(INDEX(원자료_시장!$A$1:$BZ$1000,설정!$L$6+ROW()-1,설정!$L$25)&amp;""="0","",INDEX(원자료_시장!$A$1:$BZ$1000,설정!$L$6+ROW()-1,설정!$L$25)),"")</f>
        <v>0</v>
      </c>
      <c r="D395" s="85" t="str">
        <f aca="false">IFERROR(IF(ISNUMBER(INDEX(원자료_시장!$A$1:$BZ$1000,설정!$L$6+ROW()-1,설정!$L$26)),INDEX(원자료_시장!$A$1:$BZ$1000,설정!$L$6+ROW()-1,설정!$L$26),""),"")</f>
        <v/>
      </c>
      <c r="E395" s="97" t="str">
        <f aca="false">IFERROR(IF(ISNUMBER(INDEX(원자료_시장!$A$1:$BZ$1000,설정!$L$6+ROW()-1,설정!$L$27)),INDEX(원자료_시장!$A$1:$BZ$1000,설정!$L$6+ROW()-1,설정!$L$27),""),"")</f>
        <v/>
      </c>
      <c r="F395" s="97" t="str">
        <f aca="false">IFERROR(IF(ISNUMBER(INDEX(원자료_시장!$A$1:$BZ$1000,설정!$L$6+ROW()-1,설정!$L$28)),INDEX(원자료_시장!$A$1:$BZ$1000,설정!$L$6+ROW()-1,설정!$L$28),""),"")</f>
        <v/>
      </c>
      <c r="G395" s="97" t="str">
        <f aca="false">IFERROR(IF(ISNUMBER(INDEX(원자료_시장!$A$1:$BZ$1000,설정!$L$6+ROW()-1,설정!$L$29)),INDEX(원자료_시장!$A$1:$BZ$1000,설정!$L$6+ROW()-1,설정!$L$29),""),"")</f>
        <v/>
      </c>
      <c r="H395" s="97" t="str">
        <f aca="false">IFERROR(IF(ISNUMBER(INDEX(원자료_시장!$A$1:$BZ$1000,설정!$L$6+ROW()-1,설정!$L$30)),INDEX(원자료_시장!$A$1:$BZ$1000,설정!$L$6+ROW()-1,설정!$L$30),""),"")</f>
        <v/>
      </c>
      <c r="I395" s="97" t="str">
        <f aca="false">IFERROR(IF(ISNUMBER(INDEX(원자료_시장!$A$1:$BZ$1000,설정!$L$6+ROW()-1,설정!$L$31)),INDEX(원자료_시장!$A$1:$BZ$1000,설정!$L$6+ROW()-1,설정!$L$31),""),"")</f>
        <v/>
      </c>
      <c r="J395" s="97" t="str">
        <f aca="false">IFERROR(IF(ISNUMBER(INDEX(원자료_시장!$A$1:$BZ$1000,설정!$L$6+ROW()-1,설정!$L$32)),INDEX(원자료_시장!$A$1:$BZ$1000,설정!$L$6+ROW()-1,설정!$L$32),""),"")</f>
        <v/>
      </c>
      <c r="K395" s="85" t="str">
        <f aca="false">IFERROR(IF(ISNUMBER(INDEX(원자료_시장!$A$1:$BZ$1000,설정!$L$6+ROW()-1,설정!$L$33)),INDEX(원자료_시장!$A$1:$BZ$1000,설정!$L$6+ROW()-1,설정!$L$33),""),"")</f>
        <v/>
      </c>
      <c r="L395" s="83" t="n">
        <f aca="false">IFERROR(IF(INDEX(원자료_시장!$A$1:$BZ$1000,설정!$L$6+ROW()-1,설정!$L$34)&amp;""="0","",INDEX(원자료_시장!$A$1:$BZ$1000,설정!$L$6+ROW()-1,설정!$L$34)),"")</f>
        <v>0</v>
      </c>
      <c r="M395" s="83" t="n">
        <f aca="false">IFERROR(IF(INDEX(원자료_시장!$A$1:$BZ$1000,설정!$L$6+ROW()-1,설정!$L$35)&amp;""="0","",INDEX(원자료_시장!$A$1:$BZ$1000,설정!$L$6+ROW()-1,설정!$L$35)),"")</f>
        <v>0</v>
      </c>
      <c r="N395" s="83" t="n">
        <f aca="false">IFERROR(IF(INDEX(원자료_시장!$A$1:$BZ$1000,설정!$L$6+ROW()-1,설정!$L$36)&amp;""="0","",INDEX(원자료_시장!$A$1:$BZ$1000,설정!$L$6+ROW()-1,설정!$L$36)),"")</f>
        <v>0</v>
      </c>
      <c r="O395" s="43" t="str">
        <f aca="false">IF($A395="","",UPPER(LEFT($A395,FIND(" ",$A395&amp;" ")-1)))</f>
        <v/>
      </c>
      <c r="P395" s="43" t="str">
        <f aca="false">IF($A395="","",TRIM(RIGHT(SUBSTITUTE(TRIM($A395)," ",REPT(" ",30)),30)))</f>
        <v/>
      </c>
      <c r="Q395" s="98" t="str">
        <f aca="false">IF($A395="","",IFERROR(DATE(IF(LEN(P395)=8,2000+VALUE(RIGHT(P395,2)),VALUE(RIGHT(P395,4))),VALUE(LEFT(P395,2)),VALUE(MID(P395,4,2))),""))</f>
        <v/>
      </c>
      <c r="R395" s="89" t="n">
        <f aca="false">IF($A395="",0,IF(ISNUMBER(SEARCH("Float",$A395)),1,0))</f>
        <v>0</v>
      </c>
      <c r="S395" s="43" t="str">
        <f aca="false">IF($A395="","",TRIM(MID($A395,LEN(O395)+2,LEN($A395)-LEN(O395)-LEN(P395)-1)))</f>
        <v/>
      </c>
      <c r="T395" s="92" t="str">
        <f aca="false">IF(OR($A395="",R395=1),"",IFERROR(IF(ISNUMBER(FIND("/",S395)),IF(ISNUMBER(FIND(" ",S395)),VALUE(LEFT(S395,FIND(" ",S395)-1))+VALUE(MID(S395,FIND(" ",S395)+1,FIND("/",S395)-FIND(" ",S395)-1))/VALUE(MID(S395,FIND("/",S395)+1,9)),VALUE(LEFT(S395,FIND("/",S395)-1))/VALUE(MID(S395,FIND("/",S395)+1,9))),VALUE(S395)),""))</f>
        <v/>
      </c>
      <c r="U395" s="43" t="str">
        <f aca="false">IF(OR($A395="",NOT(ISNUMBER(Q395))),"",TEXT(Q395,"yyyymmdd")&amp;"|"&amp;IF(R395=1,"F",TEXT(T395,"0.000")))</f>
        <v/>
      </c>
      <c r="V395" s="43" t="str">
        <f aca="false">IF(U395="","",O395&amp;"|"&amp;U395)</f>
        <v/>
      </c>
      <c r="W395" s="43" t="str">
        <f aca="false">IF($A395="","",IFERROR(IF(VLOOKUP(O395,매핑!$A$4:$E$92,3,0)="","미분류",VLOOKUP(O395,매핑!$A$4:$E$92,3,0)),"미분류"))</f>
        <v/>
      </c>
      <c r="X395" s="89" t="n">
        <f aca="false">IF($A395="",0,IF(O395="T",1,0))</f>
        <v>0</v>
      </c>
      <c r="Y395" s="89" t="n">
        <f aca="false">IF($A395="",0,IF(AND(C395="USD",X395=0,ISNUMBER(E395),ISNUMBER(K395)),IF(K395&gt;=설정!$C$8,1,0),0))</f>
        <v>0</v>
      </c>
      <c r="Z395" s="43" t="str">
        <f aca="false">IF($A395="","",N395&amp;"|"&amp;L395)</f>
        <v/>
      </c>
      <c r="AA395" s="92" t="n">
        <f aca="false">IF(Y395=1,LN(K395),0)</f>
        <v>0</v>
      </c>
      <c r="AB395" s="93" t="n">
        <f aca="false">IF(Y395=1,E395,0)</f>
        <v>0</v>
      </c>
      <c r="AC395" s="89" t="n">
        <f aca="false">IF(Y395=1,COUNTIFS($Z$2:$Z$601,Z395,$Y$2:$Y$601,1),0)</f>
        <v>0</v>
      </c>
      <c r="AD395" s="89" t="n">
        <f aca="false">IF(Y395=1,COUNTIFS($N$2:$N$601,N395,$Y$2:$Y$601,1),0)</f>
        <v>0</v>
      </c>
      <c r="AE395" s="43" t="str">
        <f aca="false">IF(Y395&lt;&gt;1,"",IF(AND(AC395&gt;=설정!$C$7,ISNUMBER(MATCH(Z395,피어커브!$A:$A,0))),Z395,IF(AND(AD395&gt;=설정!$C$7,ISNUMBER(MATCH(N395&amp;"|전체",피어커브!$A:$A,0))),N395&amp;"|전체","전체|전체")))</f>
        <v/>
      </c>
      <c r="AF395" s="93" t="str">
        <f aca="false">IF(AE395="","",INDEX(피어커브!$K:$K,MATCH(AE395,피어커브!$A:$A,0)))</f>
        <v/>
      </c>
      <c r="AG395" s="93" t="str">
        <f aca="false">IF(AE395="","",INDEX(피어커브!$J:$J,MATCH(AE395,피어커브!$A:$A,0)))</f>
        <v/>
      </c>
      <c r="AH395" s="93" t="str">
        <f aca="false">IF(AE395="","",INDEX(피어커브!$L:$L,MATCH(AE395,피어커브!$A:$A,0)))</f>
        <v/>
      </c>
      <c r="AI395" s="93" t="str">
        <f aca="false">IF(AE395="","",AF395+AG395*AA395)</f>
        <v/>
      </c>
      <c r="AJ395" s="96" t="str">
        <f aca="false">IF(AE395="","",E395-AI395)</f>
        <v/>
      </c>
      <c r="AK395" s="95" t="str">
        <f aca="false">IF(AE395="","",IF(ISNUMBER(AH395),IF(AH395&gt;0,AJ395/AH395,""),""))</f>
        <v/>
      </c>
      <c r="AL395" s="43" t="str">
        <f aca="false">IF(AK395="","-",IF(AK395&gt;=설정!$C$6,"Cheap",IF(AK395&lt;=-설정!$C$6,"Rich","Fair")))</f>
        <v>-</v>
      </c>
      <c r="AM395" s="96" t="str">
        <f aca="false">IF(AE395="","",AJ395-AVERAGEIFS($AJ$2:$AJ$601,$B$2:$B$601,B395,$Y$2:$Y$601,1))</f>
        <v/>
      </c>
      <c r="AN395" s="93" t="n">
        <f aca="false">IF(AE395="",0,IF(K395&gt;1+설정!$C$8,AG395*(AA395-LN(K395-1)),0))</f>
        <v>0</v>
      </c>
      <c r="AO395" s="99" t="n">
        <f aca="false">IF($A395="",0,SUMIFS(보유분석!$AA$2:$AA$801,보유분석!$AB$2:$AB$801,ROW(),보유분석!$AC$2:$AC$801,1))</f>
        <v>0</v>
      </c>
      <c r="AP395" s="43" t="str">
        <f aca="false">IF($A395="","",TRIM(IF(R395=1,"FRN ","")&amp;IF(IFERROR(VLOOKUP(M395,설정!$A$15:$D$47,4,0),0)&gt;=10,IF(IFERROR(VLOOKUP(M395,설정!$A$15:$D$47,4,0),0)&lt;99,"BBB0미만 ",""),"")&amp;IF(OR(M395="",M395="NR"),"등급미입력 ","")&amp;IF(C395&lt;&gt;"USD","비USD ","")))</f>
        <v/>
      </c>
      <c r="AQ395" s="90" t="n">
        <f aca="false">IF(AND(Y395=1,AL395="Cheap"),IF(AND(ISERROR(SEARCH("FRN",AP395)),ISERROR(SEARCH("BBB0미만",AP395))),AK395+ROW()/1000000000,-999),-999)</f>
        <v>-999</v>
      </c>
      <c r="AR395" s="92" t="str">
        <f aca="false">IF(AND(ISNUMBER(D395),ISNUMBER(K395)),D395+AN395*MAX(K395-1,0)/100,"")</f>
        <v/>
      </c>
      <c r="AS395" s="93" t="str">
        <f aca="false">IF(AND(ISNUMBER(E395),ISNUMBER(K395)),IF(K395&gt;0,(E395+AN395*MAX(K395-1,0))/K395,""),"")</f>
        <v/>
      </c>
      <c r="AT395" s="90" t="n">
        <f aca="false">IFERROR(IF(AND(Y395=1,ROW()&lt;&gt;스왑분석!$C$12+1,ABS(K395-INDEX($K$2:$K$601,스왑분석!$C$12))&lt;=스왑분석!$C$5,ISERROR(SEARCH("FRN",AP395)),ISERROR(SEARCH("BBB0미만",AP395))),IF(AND(OR(스왑분석!$C$6="N",L395=INDEX($L$2:$L$601,스왑분석!$C$12)),OR(스왑분석!$C$7="N",N395=INDEX($N$2:$N$601,스왑분석!$C$12)),OR(스왑분석!$C$8="N",AO395=0),E395-INDEX($E$2:$E$601,스왑분석!$C$12)&gt;=스왑분석!$C$9),E395-INDEX($E$2:$E$601,스왑분석!$C$12)+ROW()/1000000000,-999),-999),-999)</f>
        <v>-999</v>
      </c>
      <c r="AU395" s="90" t="n">
        <f aca="false">IF(AND(Y395=1,AO395&gt;0,AL395="Rich"),-AK395+ROW()/1000000000,-999)</f>
        <v>-999</v>
      </c>
    </row>
    <row r="396" customFormat="false" ht="15" hidden="false" customHeight="false" outlineLevel="0" collapsed="false">
      <c r="A396" s="83" t="n">
        <f aca="false">IFERROR(IF(INDEX(원자료_시장!$A$1:$BZ$1000,설정!$L$6+ROW()-1,설정!$L$24)&amp;""="0","",INDEX(원자료_시장!$A$1:$BZ$1000,설정!$L$6+ROW()-1,설정!$L$24)),"")</f>
        <v>0</v>
      </c>
      <c r="B396" s="83" t="n">
        <f aca="false">IFERROR(IF(INDEX(원자료_시장!$A$1:$BZ$1000,설정!$L$6+ROW()-1,설정!$L$37)&amp;""="0","",INDEX(원자료_시장!$A$1:$BZ$1000,설정!$L$6+ROW()-1,설정!$L$37)),"")</f>
        <v>0</v>
      </c>
      <c r="C396" s="83" t="n">
        <f aca="false">IFERROR(IF(INDEX(원자료_시장!$A$1:$BZ$1000,설정!$L$6+ROW()-1,설정!$L$25)&amp;""="0","",INDEX(원자료_시장!$A$1:$BZ$1000,설정!$L$6+ROW()-1,설정!$L$25)),"")</f>
        <v>0</v>
      </c>
      <c r="D396" s="85" t="str">
        <f aca="false">IFERROR(IF(ISNUMBER(INDEX(원자료_시장!$A$1:$BZ$1000,설정!$L$6+ROW()-1,설정!$L$26)),INDEX(원자료_시장!$A$1:$BZ$1000,설정!$L$6+ROW()-1,설정!$L$26),""),"")</f>
        <v/>
      </c>
      <c r="E396" s="97" t="str">
        <f aca="false">IFERROR(IF(ISNUMBER(INDEX(원자료_시장!$A$1:$BZ$1000,설정!$L$6+ROW()-1,설정!$L$27)),INDEX(원자료_시장!$A$1:$BZ$1000,설정!$L$6+ROW()-1,설정!$L$27),""),"")</f>
        <v/>
      </c>
      <c r="F396" s="97" t="str">
        <f aca="false">IFERROR(IF(ISNUMBER(INDEX(원자료_시장!$A$1:$BZ$1000,설정!$L$6+ROW()-1,설정!$L$28)),INDEX(원자료_시장!$A$1:$BZ$1000,설정!$L$6+ROW()-1,설정!$L$28),""),"")</f>
        <v/>
      </c>
      <c r="G396" s="97" t="str">
        <f aca="false">IFERROR(IF(ISNUMBER(INDEX(원자료_시장!$A$1:$BZ$1000,설정!$L$6+ROW()-1,설정!$L$29)),INDEX(원자료_시장!$A$1:$BZ$1000,설정!$L$6+ROW()-1,설정!$L$29),""),"")</f>
        <v/>
      </c>
      <c r="H396" s="97" t="str">
        <f aca="false">IFERROR(IF(ISNUMBER(INDEX(원자료_시장!$A$1:$BZ$1000,설정!$L$6+ROW()-1,설정!$L$30)),INDEX(원자료_시장!$A$1:$BZ$1000,설정!$L$6+ROW()-1,설정!$L$30),""),"")</f>
        <v/>
      </c>
      <c r="I396" s="97" t="str">
        <f aca="false">IFERROR(IF(ISNUMBER(INDEX(원자료_시장!$A$1:$BZ$1000,설정!$L$6+ROW()-1,설정!$L$31)),INDEX(원자료_시장!$A$1:$BZ$1000,설정!$L$6+ROW()-1,설정!$L$31),""),"")</f>
        <v/>
      </c>
      <c r="J396" s="97" t="str">
        <f aca="false">IFERROR(IF(ISNUMBER(INDEX(원자료_시장!$A$1:$BZ$1000,설정!$L$6+ROW()-1,설정!$L$32)),INDEX(원자료_시장!$A$1:$BZ$1000,설정!$L$6+ROW()-1,설정!$L$32),""),"")</f>
        <v/>
      </c>
      <c r="K396" s="85" t="str">
        <f aca="false">IFERROR(IF(ISNUMBER(INDEX(원자료_시장!$A$1:$BZ$1000,설정!$L$6+ROW()-1,설정!$L$33)),INDEX(원자료_시장!$A$1:$BZ$1000,설정!$L$6+ROW()-1,설정!$L$33),""),"")</f>
        <v/>
      </c>
      <c r="L396" s="83" t="n">
        <f aca="false">IFERROR(IF(INDEX(원자료_시장!$A$1:$BZ$1000,설정!$L$6+ROW()-1,설정!$L$34)&amp;""="0","",INDEX(원자료_시장!$A$1:$BZ$1000,설정!$L$6+ROW()-1,설정!$L$34)),"")</f>
        <v>0</v>
      </c>
      <c r="M396" s="83" t="n">
        <f aca="false">IFERROR(IF(INDEX(원자료_시장!$A$1:$BZ$1000,설정!$L$6+ROW()-1,설정!$L$35)&amp;""="0","",INDEX(원자료_시장!$A$1:$BZ$1000,설정!$L$6+ROW()-1,설정!$L$35)),"")</f>
        <v>0</v>
      </c>
      <c r="N396" s="83" t="n">
        <f aca="false">IFERROR(IF(INDEX(원자료_시장!$A$1:$BZ$1000,설정!$L$6+ROW()-1,설정!$L$36)&amp;""="0","",INDEX(원자료_시장!$A$1:$BZ$1000,설정!$L$6+ROW()-1,설정!$L$36)),"")</f>
        <v>0</v>
      </c>
      <c r="O396" s="43" t="str">
        <f aca="false">IF($A396="","",UPPER(LEFT($A396,FIND(" ",$A396&amp;" ")-1)))</f>
        <v/>
      </c>
      <c r="P396" s="43" t="str">
        <f aca="false">IF($A396="","",TRIM(RIGHT(SUBSTITUTE(TRIM($A396)," ",REPT(" ",30)),30)))</f>
        <v/>
      </c>
      <c r="Q396" s="98" t="str">
        <f aca="false">IF($A396="","",IFERROR(DATE(IF(LEN(P396)=8,2000+VALUE(RIGHT(P396,2)),VALUE(RIGHT(P396,4))),VALUE(LEFT(P396,2)),VALUE(MID(P396,4,2))),""))</f>
        <v/>
      </c>
      <c r="R396" s="89" t="n">
        <f aca="false">IF($A396="",0,IF(ISNUMBER(SEARCH("Float",$A396)),1,0))</f>
        <v>0</v>
      </c>
      <c r="S396" s="43" t="str">
        <f aca="false">IF($A396="","",TRIM(MID($A396,LEN(O396)+2,LEN($A396)-LEN(O396)-LEN(P396)-1)))</f>
        <v/>
      </c>
      <c r="T396" s="92" t="str">
        <f aca="false">IF(OR($A396="",R396=1),"",IFERROR(IF(ISNUMBER(FIND("/",S396)),IF(ISNUMBER(FIND(" ",S396)),VALUE(LEFT(S396,FIND(" ",S396)-1))+VALUE(MID(S396,FIND(" ",S396)+1,FIND("/",S396)-FIND(" ",S396)-1))/VALUE(MID(S396,FIND("/",S396)+1,9)),VALUE(LEFT(S396,FIND("/",S396)-1))/VALUE(MID(S396,FIND("/",S396)+1,9))),VALUE(S396)),""))</f>
        <v/>
      </c>
      <c r="U396" s="43" t="str">
        <f aca="false">IF(OR($A396="",NOT(ISNUMBER(Q396))),"",TEXT(Q396,"yyyymmdd")&amp;"|"&amp;IF(R396=1,"F",TEXT(T396,"0.000")))</f>
        <v/>
      </c>
      <c r="V396" s="43" t="str">
        <f aca="false">IF(U396="","",O396&amp;"|"&amp;U396)</f>
        <v/>
      </c>
      <c r="W396" s="43" t="str">
        <f aca="false">IF($A396="","",IFERROR(IF(VLOOKUP(O396,매핑!$A$4:$E$92,3,0)="","미분류",VLOOKUP(O396,매핑!$A$4:$E$92,3,0)),"미분류"))</f>
        <v/>
      </c>
      <c r="X396" s="89" t="n">
        <f aca="false">IF($A396="",0,IF(O396="T",1,0))</f>
        <v>0</v>
      </c>
      <c r="Y396" s="89" t="n">
        <f aca="false">IF($A396="",0,IF(AND(C396="USD",X396=0,ISNUMBER(E396),ISNUMBER(K396)),IF(K396&gt;=설정!$C$8,1,0),0))</f>
        <v>0</v>
      </c>
      <c r="Z396" s="43" t="str">
        <f aca="false">IF($A396="","",N396&amp;"|"&amp;L396)</f>
        <v/>
      </c>
      <c r="AA396" s="92" t="n">
        <f aca="false">IF(Y396=1,LN(K396),0)</f>
        <v>0</v>
      </c>
      <c r="AB396" s="93" t="n">
        <f aca="false">IF(Y396=1,E396,0)</f>
        <v>0</v>
      </c>
      <c r="AC396" s="89" t="n">
        <f aca="false">IF(Y396=1,COUNTIFS($Z$2:$Z$601,Z396,$Y$2:$Y$601,1),0)</f>
        <v>0</v>
      </c>
      <c r="AD396" s="89" t="n">
        <f aca="false">IF(Y396=1,COUNTIFS($N$2:$N$601,N396,$Y$2:$Y$601,1),0)</f>
        <v>0</v>
      </c>
      <c r="AE396" s="43" t="str">
        <f aca="false">IF(Y396&lt;&gt;1,"",IF(AND(AC396&gt;=설정!$C$7,ISNUMBER(MATCH(Z396,피어커브!$A:$A,0))),Z396,IF(AND(AD396&gt;=설정!$C$7,ISNUMBER(MATCH(N396&amp;"|전체",피어커브!$A:$A,0))),N396&amp;"|전체","전체|전체")))</f>
        <v/>
      </c>
      <c r="AF396" s="93" t="str">
        <f aca="false">IF(AE396="","",INDEX(피어커브!$K:$K,MATCH(AE396,피어커브!$A:$A,0)))</f>
        <v/>
      </c>
      <c r="AG396" s="93" t="str">
        <f aca="false">IF(AE396="","",INDEX(피어커브!$J:$J,MATCH(AE396,피어커브!$A:$A,0)))</f>
        <v/>
      </c>
      <c r="AH396" s="93" t="str">
        <f aca="false">IF(AE396="","",INDEX(피어커브!$L:$L,MATCH(AE396,피어커브!$A:$A,0)))</f>
        <v/>
      </c>
      <c r="AI396" s="93" t="str">
        <f aca="false">IF(AE396="","",AF396+AG396*AA396)</f>
        <v/>
      </c>
      <c r="AJ396" s="96" t="str">
        <f aca="false">IF(AE396="","",E396-AI396)</f>
        <v/>
      </c>
      <c r="AK396" s="95" t="str">
        <f aca="false">IF(AE396="","",IF(ISNUMBER(AH396),IF(AH396&gt;0,AJ396/AH396,""),""))</f>
        <v/>
      </c>
      <c r="AL396" s="43" t="str">
        <f aca="false">IF(AK396="","-",IF(AK396&gt;=설정!$C$6,"Cheap",IF(AK396&lt;=-설정!$C$6,"Rich","Fair")))</f>
        <v>-</v>
      </c>
      <c r="AM396" s="96" t="str">
        <f aca="false">IF(AE396="","",AJ396-AVERAGEIFS($AJ$2:$AJ$601,$B$2:$B$601,B396,$Y$2:$Y$601,1))</f>
        <v/>
      </c>
      <c r="AN396" s="93" t="n">
        <f aca="false">IF(AE396="",0,IF(K396&gt;1+설정!$C$8,AG396*(AA396-LN(K396-1)),0))</f>
        <v>0</v>
      </c>
      <c r="AO396" s="99" t="n">
        <f aca="false">IF($A396="",0,SUMIFS(보유분석!$AA$2:$AA$801,보유분석!$AB$2:$AB$801,ROW(),보유분석!$AC$2:$AC$801,1))</f>
        <v>0</v>
      </c>
      <c r="AP396" s="43" t="str">
        <f aca="false">IF($A396="","",TRIM(IF(R396=1,"FRN ","")&amp;IF(IFERROR(VLOOKUP(M396,설정!$A$15:$D$47,4,0),0)&gt;=10,IF(IFERROR(VLOOKUP(M396,설정!$A$15:$D$47,4,0),0)&lt;99,"BBB0미만 ",""),"")&amp;IF(OR(M396="",M396="NR"),"등급미입력 ","")&amp;IF(C396&lt;&gt;"USD","비USD ","")))</f>
        <v/>
      </c>
      <c r="AQ396" s="90" t="n">
        <f aca="false">IF(AND(Y396=1,AL396="Cheap"),IF(AND(ISERROR(SEARCH("FRN",AP396)),ISERROR(SEARCH("BBB0미만",AP396))),AK396+ROW()/1000000000,-999),-999)</f>
        <v>-999</v>
      </c>
      <c r="AR396" s="92" t="str">
        <f aca="false">IF(AND(ISNUMBER(D396),ISNUMBER(K396)),D396+AN396*MAX(K396-1,0)/100,"")</f>
        <v/>
      </c>
      <c r="AS396" s="93" t="str">
        <f aca="false">IF(AND(ISNUMBER(E396),ISNUMBER(K396)),IF(K396&gt;0,(E396+AN396*MAX(K396-1,0))/K396,""),"")</f>
        <v/>
      </c>
      <c r="AT396" s="90" t="n">
        <f aca="false">IFERROR(IF(AND(Y396=1,ROW()&lt;&gt;스왑분석!$C$12+1,ABS(K396-INDEX($K$2:$K$601,스왑분석!$C$12))&lt;=스왑분석!$C$5,ISERROR(SEARCH("FRN",AP396)),ISERROR(SEARCH("BBB0미만",AP396))),IF(AND(OR(스왑분석!$C$6="N",L396=INDEX($L$2:$L$601,스왑분석!$C$12)),OR(스왑분석!$C$7="N",N396=INDEX($N$2:$N$601,스왑분석!$C$12)),OR(스왑분석!$C$8="N",AO396=0),E396-INDEX($E$2:$E$601,스왑분석!$C$12)&gt;=스왑분석!$C$9),E396-INDEX($E$2:$E$601,스왑분석!$C$12)+ROW()/1000000000,-999),-999),-999)</f>
        <v>-999</v>
      </c>
      <c r="AU396" s="90" t="n">
        <f aca="false">IF(AND(Y396=1,AO396&gt;0,AL396="Rich"),-AK396+ROW()/1000000000,-999)</f>
        <v>-999</v>
      </c>
    </row>
    <row r="397" customFormat="false" ht="15" hidden="false" customHeight="false" outlineLevel="0" collapsed="false">
      <c r="A397" s="83" t="n">
        <f aca="false">IFERROR(IF(INDEX(원자료_시장!$A$1:$BZ$1000,설정!$L$6+ROW()-1,설정!$L$24)&amp;""="0","",INDEX(원자료_시장!$A$1:$BZ$1000,설정!$L$6+ROW()-1,설정!$L$24)),"")</f>
        <v>0</v>
      </c>
      <c r="B397" s="83" t="n">
        <f aca="false">IFERROR(IF(INDEX(원자료_시장!$A$1:$BZ$1000,설정!$L$6+ROW()-1,설정!$L$37)&amp;""="0","",INDEX(원자료_시장!$A$1:$BZ$1000,설정!$L$6+ROW()-1,설정!$L$37)),"")</f>
        <v>0</v>
      </c>
      <c r="C397" s="83" t="n">
        <f aca="false">IFERROR(IF(INDEX(원자료_시장!$A$1:$BZ$1000,설정!$L$6+ROW()-1,설정!$L$25)&amp;""="0","",INDEX(원자료_시장!$A$1:$BZ$1000,설정!$L$6+ROW()-1,설정!$L$25)),"")</f>
        <v>0</v>
      </c>
      <c r="D397" s="85" t="str">
        <f aca="false">IFERROR(IF(ISNUMBER(INDEX(원자료_시장!$A$1:$BZ$1000,설정!$L$6+ROW()-1,설정!$L$26)),INDEX(원자료_시장!$A$1:$BZ$1000,설정!$L$6+ROW()-1,설정!$L$26),""),"")</f>
        <v/>
      </c>
      <c r="E397" s="97" t="str">
        <f aca="false">IFERROR(IF(ISNUMBER(INDEX(원자료_시장!$A$1:$BZ$1000,설정!$L$6+ROW()-1,설정!$L$27)),INDEX(원자료_시장!$A$1:$BZ$1000,설정!$L$6+ROW()-1,설정!$L$27),""),"")</f>
        <v/>
      </c>
      <c r="F397" s="97" t="str">
        <f aca="false">IFERROR(IF(ISNUMBER(INDEX(원자료_시장!$A$1:$BZ$1000,설정!$L$6+ROW()-1,설정!$L$28)),INDEX(원자료_시장!$A$1:$BZ$1000,설정!$L$6+ROW()-1,설정!$L$28),""),"")</f>
        <v/>
      </c>
      <c r="G397" s="97" t="str">
        <f aca="false">IFERROR(IF(ISNUMBER(INDEX(원자료_시장!$A$1:$BZ$1000,설정!$L$6+ROW()-1,설정!$L$29)),INDEX(원자료_시장!$A$1:$BZ$1000,설정!$L$6+ROW()-1,설정!$L$29),""),"")</f>
        <v/>
      </c>
      <c r="H397" s="97" t="str">
        <f aca="false">IFERROR(IF(ISNUMBER(INDEX(원자료_시장!$A$1:$BZ$1000,설정!$L$6+ROW()-1,설정!$L$30)),INDEX(원자료_시장!$A$1:$BZ$1000,설정!$L$6+ROW()-1,설정!$L$30),""),"")</f>
        <v/>
      </c>
      <c r="I397" s="97" t="str">
        <f aca="false">IFERROR(IF(ISNUMBER(INDEX(원자료_시장!$A$1:$BZ$1000,설정!$L$6+ROW()-1,설정!$L$31)),INDEX(원자료_시장!$A$1:$BZ$1000,설정!$L$6+ROW()-1,설정!$L$31),""),"")</f>
        <v/>
      </c>
      <c r="J397" s="97" t="str">
        <f aca="false">IFERROR(IF(ISNUMBER(INDEX(원자료_시장!$A$1:$BZ$1000,설정!$L$6+ROW()-1,설정!$L$32)),INDEX(원자료_시장!$A$1:$BZ$1000,설정!$L$6+ROW()-1,설정!$L$32),""),"")</f>
        <v/>
      </c>
      <c r="K397" s="85" t="str">
        <f aca="false">IFERROR(IF(ISNUMBER(INDEX(원자료_시장!$A$1:$BZ$1000,설정!$L$6+ROW()-1,설정!$L$33)),INDEX(원자료_시장!$A$1:$BZ$1000,설정!$L$6+ROW()-1,설정!$L$33),""),"")</f>
        <v/>
      </c>
      <c r="L397" s="83" t="n">
        <f aca="false">IFERROR(IF(INDEX(원자료_시장!$A$1:$BZ$1000,설정!$L$6+ROW()-1,설정!$L$34)&amp;""="0","",INDEX(원자료_시장!$A$1:$BZ$1000,설정!$L$6+ROW()-1,설정!$L$34)),"")</f>
        <v>0</v>
      </c>
      <c r="M397" s="83" t="n">
        <f aca="false">IFERROR(IF(INDEX(원자료_시장!$A$1:$BZ$1000,설정!$L$6+ROW()-1,설정!$L$35)&amp;""="0","",INDEX(원자료_시장!$A$1:$BZ$1000,설정!$L$6+ROW()-1,설정!$L$35)),"")</f>
        <v>0</v>
      </c>
      <c r="N397" s="83" t="n">
        <f aca="false">IFERROR(IF(INDEX(원자료_시장!$A$1:$BZ$1000,설정!$L$6+ROW()-1,설정!$L$36)&amp;""="0","",INDEX(원자료_시장!$A$1:$BZ$1000,설정!$L$6+ROW()-1,설정!$L$36)),"")</f>
        <v>0</v>
      </c>
      <c r="O397" s="43" t="str">
        <f aca="false">IF($A397="","",UPPER(LEFT($A397,FIND(" ",$A397&amp;" ")-1)))</f>
        <v/>
      </c>
      <c r="P397" s="43" t="str">
        <f aca="false">IF($A397="","",TRIM(RIGHT(SUBSTITUTE(TRIM($A397)," ",REPT(" ",30)),30)))</f>
        <v/>
      </c>
      <c r="Q397" s="98" t="str">
        <f aca="false">IF($A397="","",IFERROR(DATE(IF(LEN(P397)=8,2000+VALUE(RIGHT(P397,2)),VALUE(RIGHT(P397,4))),VALUE(LEFT(P397,2)),VALUE(MID(P397,4,2))),""))</f>
        <v/>
      </c>
      <c r="R397" s="89" t="n">
        <f aca="false">IF($A397="",0,IF(ISNUMBER(SEARCH("Float",$A397)),1,0))</f>
        <v>0</v>
      </c>
      <c r="S397" s="43" t="str">
        <f aca="false">IF($A397="","",TRIM(MID($A397,LEN(O397)+2,LEN($A397)-LEN(O397)-LEN(P397)-1)))</f>
        <v/>
      </c>
      <c r="T397" s="92" t="str">
        <f aca="false">IF(OR($A397="",R397=1),"",IFERROR(IF(ISNUMBER(FIND("/",S397)),IF(ISNUMBER(FIND(" ",S397)),VALUE(LEFT(S397,FIND(" ",S397)-1))+VALUE(MID(S397,FIND(" ",S397)+1,FIND("/",S397)-FIND(" ",S397)-1))/VALUE(MID(S397,FIND("/",S397)+1,9)),VALUE(LEFT(S397,FIND("/",S397)-1))/VALUE(MID(S397,FIND("/",S397)+1,9))),VALUE(S397)),""))</f>
        <v/>
      </c>
      <c r="U397" s="43" t="str">
        <f aca="false">IF(OR($A397="",NOT(ISNUMBER(Q397))),"",TEXT(Q397,"yyyymmdd")&amp;"|"&amp;IF(R397=1,"F",TEXT(T397,"0.000")))</f>
        <v/>
      </c>
      <c r="V397" s="43" t="str">
        <f aca="false">IF(U397="","",O397&amp;"|"&amp;U397)</f>
        <v/>
      </c>
      <c r="W397" s="43" t="str">
        <f aca="false">IF($A397="","",IFERROR(IF(VLOOKUP(O397,매핑!$A$4:$E$92,3,0)="","미분류",VLOOKUP(O397,매핑!$A$4:$E$92,3,0)),"미분류"))</f>
        <v/>
      </c>
      <c r="X397" s="89" t="n">
        <f aca="false">IF($A397="",0,IF(O397="T",1,0))</f>
        <v>0</v>
      </c>
      <c r="Y397" s="89" t="n">
        <f aca="false">IF($A397="",0,IF(AND(C397="USD",X397=0,ISNUMBER(E397),ISNUMBER(K397)),IF(K397&gt;=설정!$C$8,1,0),0))</f>
        <v>0</v>
      </c>
      <c r="Z397" s="43" t="str">
        <f aca="false">IF($A397="","",N397&amp;"|"&amp;L397)</f>
        <v/>
      </c>
      <c r="AA397" s="92" t="n">
        <f aca="false">IF(Y397=1,LN(K397),0)</f>
        <v>0</v>
      </c>
      <c r="AB397" s="93" t="n">
        <f aca="false">IF(Y397=1,E397,0)</f>
        <v>0</v>
      </c>
      <c r="AC397" s="89" t="n">
        <f aca="false">IF(Y397=1,COUNTIFS($Z$2:$Z$601,Z397,$Y$2:$Y$601,1),0)</f>
        <v>0</v>
      </c>
      <c r="AD397" s="89" t="n">
        <f aca="false">IF(Y397=1,COUNTIFS($N$2:$N$601,N397,$Y$2:$Y$601,1),0)</f>
        <v>0</v>
      </c>
      <c r="AE397" s="43" t="str">
        <f aca="false">IF(Y397&lt;&gt;1,"",IF(AND(AC397&gt;=설정!$C$7,ISNUMBER(MATCH(Z397,피어커브!$A:$A,0))),Z397,IF(AND(AD397&gt;=설정!$C$7,ISNUMBER(MATCH(N397&amp;"|전체",피어커브!$A:$A,0))),N397&amp;"|전체","전체|전체")))</f>
        <v/>
      </c>
      <c r="AF397" s="93" t="str">
        <f aca="false">IF(AE397="","",INDEX(피어커브!$K:$K,MATCH(AE397,피어커브!$A:$A,0)))</f>
        <v/>
      </c>
      <c r="AG397" s="93" t="str">
        <f aca="false">IF(AE397="","",INDEX(피어커브!$J:$J,MATCH(AE397,피어커브!$A:$A,0)))</f>
        <v/>
      </c>
      <c r="AH397" s="93" t="str">
        <f aca="false">IF(AE397="","",INDEX(피어커브!$L:$L,MATCH(AE397,피어커브!$A:$A,0)))</f>
        <v/>
      </c>
      <c r="AI397" s="93" t="str">
        <f aca="false">IF(AE397="","",AF397+AG397*AA397)</f>
        <v/>
      </c>
      <c r="AJ397" s="96" t="str">
        <f aca="false">IF(AE397="","",E397-AI397)</f>
        <v/>
      </c>
      <c r="AK397" s="95" t="str">
        <f aca="false">IF(AE397="","",IF(ISNUMBER(AH397),IF(AH397&gt;0,AJ397/AH397,""),""))</f>
        <v/>
      </c>
      <c r="AL397" s="43" t="str">
        <f aca="false">IF(AK397="","-",IF(AK397&gt;=설정!$C$6,"Cheap",IF(AK397&lt;=-설정!$C$6,"Rich","Fair")))</f>
        <v>-</v>
      </c>
      <c r="AM397" s="96" t="str">
        <f aca="false">IF(AE397="","",AJ397-AVERAGEIFS($AJ$2:$AJ$601,$B$2:$B$601,B397,$Y$2:$Y$601,1))</f>
        <v/>
      </c>
      <c r="AN397" s="93" t="n">
        <f aca="false">IF(AE397="",0,IF(K397&gt;1+설정!$C$8,AG397*(AA397-LN(K397-1)),0))</f>
        <v>0</v>
      </c>
      <c r="AO397" s="99" t="n">
        <f aca="false">IF($A397="",0,SUMIFS(보유분석!$AA$2:$AA$801,보유분석!$AB$2:$AB$801,ROW(),보유분석!$AC$2:$AC$801,1))</f>
        <v>0</v>
      </c>
      <c r="AP397" s="43" t="str">
        <f aca="false">IF($A397="","",TRIM(IF(R397=1,"FRN ","")&amp;IF(IFERROR(VLOOKUP(M397,설정!$A$15:$D$47,4,0),0)&gt;=10,IF(IFERROR(VLOOKUP(M397,설정!$A$15:$D$47,4,0),0)&lt;99,"BBB0미만 ",""),"")&amp;IF(OR(M397="",M397="NR"),"등급미입력 ","")&amp;IF(C397&lt;&gt;"USD","비USD ","")))</f>
        <v/>
      </c>
      <c r="AQ397" s="90" t="n">
        <f aca="false">IF(AND(Y397=1,AL397="Cheap"),IF(AND(ISERROR(SEARCH("FRN",AP397)),ISERROR(SEARCH("BBB0미만",AP397))),AK397+ROW()/1000000000,-999),-999)</f>
        <v>-999</v>
      </c>
      <c r="AR397" s="92" t="str">
        <f aca="false">IF(AND(ISNUMBER(D397),ISNUMBER(K397)),D397+AN397*MAX(K397-1,0)/100,"")</f>
        <v/>
      </c>
      <c r="AS397" s="93" t="str">
        <f aca="false">IF(AND(ISNUMBER(E397),ISNUMBER(K397)),IF(K397&gt;0,(E397+AN397*MAX(K397-1,0))/K397,""),"")</f>
        <v/>
      </c>
      <c r="AT397" s="90" t="n">
        <f aca="false">IFERROR(IF(AND(Y397=1,ROW()&lt;&gt;스왑분석!$C$12+1,ABS(K397-INDEX($K$2:$K$601,스왑분석!$C$12))&lt;=스왑분석!$C$5,ISERROR(SEARCH("FRN",AP397)),ISERROR(SEARCH("BBB0미만",AP397))),IF(AND(OR(스왑분석!$C$6="N",L397=INDEX($L$2:$L$601,스왑분석!$C$12)),OR(스왑분석!$C$7="N",N397=INDEX($N$2:$N$601,스왑분석!$C$12)),OR(스왑분석!$C$8="N",AO397=0),E397-INDEX($E$2:$E$601,스왑분석!$C$12)&gt;=스왑분석!$C$9),E397-INDEX($E$2:$E$601,스왑분석!$C$12)+ROW()/1000000000,-999),-999),-999)</f>
        <v>-999</v>
      </c>
      <c r="AU397" s="90" t="n">
        <f aca="false">IF(AND(Y397=1,AO397&gt;0,AL397="Rich"),-AK397+ROW()/1000000000,-999)</f>
        <v>-999</v>
      </c>
    </row>
    <row r="398" customFormat="false" ht="15" hidden="false" customHeight="false" outlineLevel="0" collapsed="false">
      <c r="A398" s="83" t="n">
        <f aca="false">IFERROR(IF(INDEX(원자료_시장!$A$1:$BZ$1000,설정!$L$6+ROW()-1,설정!$L$24)&amp;""="0","",INDEX(원자료_시장!$A$1:$BZ$1000,설정!$L$6+ROW()-1,설정!$L$24)),"")</f>
        <v>0</v>
      </c>
      <c r="B398" s="83" t="n">
        <f aca="false">IFERROR(IF(INDEX(원자료_시장!$A$1:$BZ$1000,설정!$L$6+ROW()-1,설정!$L$37)&amp;""="0","",INDEX(원자료_시장!$A$1:$BZ$1000,설정!$L$6+ROW()-1,설정!$L$37)),"")</f>
        <v>0</v>
      </c>
      <c r="C398" s="83" t="n">
        <f aca="false">IFERROR(IF(INDEX(원자료_시장!$A$1:$BZ$1000,설정!$L$6+ROW()-1,설정!$L$25)&amp;""="0","",INDEX(원자료_시장!$A$1:$BZ$1000,설정!$L$6+ROW()-1,설정!$L$25)),"")</f>
        <v>0</v>
      </c>
      <c r="D398" s="85" t="str">
        <f aca="false">IFERROR(IF(ISNUMBER(INDEX(원자료_시장!$A$1:$BZ$1000,설정!$L$6+ROW()-1,설정!$L$26)),INDEX(원자료_시장!$A$1:$BZ$1000,설정!$L$6+ROW()-1,설정!$L$26),""),"")</f>
        <v/>
      </c>
      <c r="E398" s="97" t="str">
        <f aca="false">IFERROR(IF(ISNUMBER(INDEX(원자료_시장!$A$1:$BZ$1000,설정!$L$6+ROW()-1,설정!$L$27)),INDEX(원자료_시장!$A$1:$BZ$1000,설정!$L$6+ROW()-1,설정!$L$27),""),"")</f>
        <v/>
      </c>
      <c r="F398" s="97" t="str">
        <f aca="false">IFERROR(IF(ISNUMBER(INDEX(원자료_시장!$A$1:$BZ$1000,설정!$L$6+ROW()-1,설정!$L$28)),INDEX(원자료_시장!$A$1:$BZ$1000,설정!$L$6+ROW()-1,설정!$L$28),""),"")</f>
        <v/>
      </c>
      <c r="G398" s="97" t="str">
        <f aca="false">IFERROR(IF(ISNUMBER(INDEX(원자료_시장!$A$1:$BZ$1000,설정!$L$6+ROW()-1,설정!$L$29)),INDEX(원자료_시장!$A$1:$BZ$1000,설정!$L$6+ROW()-1,설정!$L$29),""),"")</f>
        <v/>
      </c>
      <c r="H398" s="97" t="str">
        <f aca="false">IFERROR(IF(ISNUMBER(INDEX(원자료_시장!$A$1:$BZ$1000,설정!$L$6+ROW()-1,설정!$L$30)),INDEX(원자료_시장!$A$1:$BZ$1000,설정!$L$6+ROW()-1,설정!$L$30),""),"")</f>
        <v/>
      </c>
      <c r="I398" s="97" t="str">
        <f aca="false">IFERROR(IF(ISNUMBER(INDEX(원자료_시장!$A$1:$BZ$1000,설정!$L$6+ROW()-1,설정!$L$31)),INDEX(원자료_시장!$A$1:$BZ$1000,설정!$L$6+ROW()-1,설정!$L$31),""),"")</f>
        <v/>
      </c>
      <c r="J398" s="97" t="str">
        <f aca="false">IFERROR(IF(ISNUMBER(INDEX(원자료_시장!$A$1:$BZ$1000,설정!$L$6+ROW()-1,설정!$L$32)),INDEX(원자료_시장!$A$1:$BZ$1000,설정!$L$6+ROW()-1,설정!$L$32),""),"")</f>
        <v/>
      </c>
      <c r="K398" s="85" t="str">
        <f aca="false">IFERROR(IF(ISNUMBER(INDEX(원자료_시장!$A$1:$BZ$1000,설정!$L$6+ROW()-1,설정!$L$33)),INDEX(원자료_시장!$A$1:$BZ$1000,설정!$L$6+ROW()-1,설정!$L$33),""),"")</f>
        <v/>
      </c>
      <c r="L398" s="83" t="n">
        <f aca="false">IFERROR(IF(INDEX(원자료_시장!$A$1:$BZ$1000,설정!$L$6+ROW()-1,설정!$L$34)&amp;""="0","",INDEX(원자료_시장!$A$1:$BZ$1000,설정!$L$6+ROW()-1,설정!$L$34)),"")</f>
        <v>0</v>
      </c>
      <c r="M398" s="83" t="n">
        <f aca="false">IFERROR(IF(INDEX(원자료_시장!$A$1:$BZ$1000,설정!$L$6+ROW()-1,설정!$L$35)&amp;""="0","",INDEX(원자료_시장!$A$1:$BZ$1000,설정!$L$6+ROW()-1,설정!$L$35)),"")</f>
        <v>0</v>
      </c>
      <c r="N398" s="83" t="n">
        <f aca="false">IFERROR(IF(INDEX(원자료_시장!$A$1:$BZ$1000,설정!$L$6+ROW()-1,설정!$L$36)&amp;""="0","",INDEX(원자료_시장!$A$1:$BZ$1000,설정!$L$6+ROW()-1,설정!$L$36)),"")</f>
        <v>0</v>
      </c>
      <c r="O398" s="43" t="str">
        <f aca="false">IF($A398="","",UPPER(LEFT($A398,FIND(" ",$A398&amp;" ")-1)))</f>
        <v/>
      </c>
      <c r="P398" s="43" t="str">
        <f aca="false">IF($A398="","",TRIM(RIGHT(SUBSTITUTE(TRIM($A398)," ",REPT(" ",30)),30)))</f>
        <v/>
      </c>
      <c r="Q398" s="98" t="str">
        <f aca="false">IF($A398="","",IFERROR(DATE(IF(LEN(P398)=8,2000+VALUE(RIGHT(P398,2)),VALUE(RIGHT(P398,4))),VALUE(LEFT(P398,2)),VALUE(MID(P398,4,2))),""))</f>
        <v/>
      </c>
      <c r="R398" s="89" t="n">
        <f aca="false">IF($A398="",0,IF(ISNUMBER(SEARCH("Float",$A398)),1,0))</f>
        <v>0</v>
      </c>
      <c r="S398" s="43" t="str">
        <f aca="false">IF($A398="","",TRIM(MID($A398,LEN(O398)+2,LEN($A398)-LEN(O398)-LEN(P398)-1)))</f>
        <v/>
      </c>
      <c r="T398" s="92" t="str">
        <f aca="false">IF(OR($A398="",R398=1),"",IFERROR(IF(ISNUMBER(FIND("/",S398)),IF(ISNUMBER(FIND(" ",S398)),VALUE(LEFT(S398,FIND(" ",S398)-1))+VALUE(MID(S398,FIND(" ",S398)+1,FIND("/",S398)-FIND(" ",S398)-1))/VALUE(MID(S398,FIND("/",S398)+1,9)),VALUE(LEFT(S398,FIND("/",S398)-1))/VALUE(MID(S398,FIND("/",S398)+1,9))),VALUE(S398)),""))</f>
        <v/>
      </c>
      <c r="U398" s="43" t="str">
        <f aca="false">IF(OR($A398="",NOT(ISNUMBER(Q398))),"",TEXT(Q398,"yyyymmdd")&amp;"|"&amp;IF(R398=1,"F",TEXT(T398,"0.000")))</f>
        <v/>
      </c>
      <c r="V398" s="43" t="str">
        <f aca="false">IF(U398="","",O398&amp;"|"&amp;U398)</f>
        <v/>
      </c>
      <c r="W398" s="43" t="str">
        <f aca="false">IF($A398="","",IFERROR(IF(VLOOKUP(O398,매핑!$A$4:$E$92,3,0)="","미분류",VLOOKUP(O398,매핑!$A$4:$E$92,3,0)),"미분류"))</f>
        <v/>
      </c>
      <c r="X398" s="89" t="n">
        <f aca="false">IF($A398="",0,IF(O398="T",1,0))</f>
        <v>0</v>
      </c>
      <c r="Y398" s="89" t="n">
        <f aca="false">IF($A398="",0,IF(AND(C398="USD",X398=0,ISNUMBER(E398),ISNUMBER(K398)),IF(K398&gt;=설정!$C$8,1,0),0))</f>
        <v>0</v>
      </c>
      <c r="Z398" s="43" t="str">
        <f aca="false">IF($A398="","",N398&amp;"|"&amp;L398)</f>
        <v/>
      </c>
      <c r="AA398" s="92" t="n">
        <f aca="false">IF(Y398=1,LN(K398),0)</f>
        <v>0</v>
      </c>
      <c r="AB398" s="93" t="n">
        <f aca="false">IF(Y398=1,E398,0)</f>
        <v>0</v>
      </c>
      <c r="AC398" s="89" t="n">
        <f aca="false">IF(Y398=1,COUNTIFS($Z$2:$Z$601,Z398,$Y$2:$Y$601,1),0)</f>
        <v>0</v>
      </c>
      <c r="AD398" s="89" t="n">
        <f aca="false">IF(Y398=1,COUNTIFS($N$2:$N$601,N398,$Y$2:$Y$601,1),0)</f>
        <v>0</v>
      </c>
      <c r="AE398" s="43" t="str">
        <f aca="false">IF(Y398&lt;&gt;1,"",IF(AND(AC398&gt;=설정!$C$7,ISNUMBER(MATCH(Z398,피어커브!$A:$A,0))),Z398,IF(AND(AD398&gt;=설정!$C$7,ISNUMBER(MATCH(N398&amp;"|전체",피어커브!$A:$A,0))),N398&amp;"|전체","전체|전체")))</f>
        <v/>
      </c>
      <c r="AF398" s="93" t="str">
        <f aca="false">IF(AE398="","",INDEX(피어커브!$K:$K,MATCH(AE398,피어커브!$A:$A,0)))</f>
        <v/>
      </c>
      <c r="AG398" s="93" t="str">
        <f aca="false">IF(AE398="","",INDEX(피어커브!$J:$J,MATCH(AE398,피어커브!$A:$A,0)))</f>
        <v/>
      </c>
      <c r="AH398" s="93" t="str">
        <f aca="false">IF(AE398="","",INDEX(피어커브!$L:$L,MATCH(AE398,피어커브!$A:$A,0)))</f>
        <v/>
      </c>
      <c r="AI398" s="93" t="str">
        <f aca="false">IF(AE398="","",AF398+AG398*AA398)</f>
        <v/>
      </c>
      <c r="AJ398" s="96" t="str">
        <f aca="false">IF(AE398="","",E398-AI398)</f>
        <v/>
      </c>
      <c r="AK398" s="95" t="str">
        <f aca="false">IF(AE398="","",IF(ISNUMBER(AH398),IF(AH398&gt;0,AJ398/AH398,""),""))</f>
        <v/>
      </c>
      <c r="AL398" s="43" t="str">
        <f aca="false">IF(AK398="","-",IF(AK398&gt;=설정!$C$6,"Cheap",IF(AK398&lt;=-설정!$C$6,"Rich","Fair")))</f>
        <v>-</v>
      </c>
      <c r="AM398" s="96" t="str">
        <f aca="false">IF(AE398="","",AJ398-AVERAGEIFS($AJ$2:$AJ$601,$B$2:$B$601,B398,$Y$2:$Y$601,1))</f>
        <v/>
      </c>
      <c r="AN398" s="93" t="n">
        <f aca="false">IF(AE398="",0,IF(K398&gt;1+설정!$C$8,AG398*(AA398-LN(K398-1)),0))</f>
        <v>0</v>
      </c>
      <c r="AO398" s="99" t="n">
        <f aca="false">IF($A398="",0,SUMIFS(보유분석!$AA$2:$AA$801,보유분석!$AB$2:$AB$801,ROW(),보유분석!$AC$2:$AC$801,1))</f>
        <v>0</v>
      </c>
      <c r="AP398" s="43" t="str">
        <f aca="false">IF($A398="","",TRIM(IF(R398=1,"FRN ","")&amp;IF(IFERROR(VLOOKUP(M398,설정!$A$15:$D$47,4,0),0)&gt;=10,IF(IFERROR(VLOOKUP(M398,설정!$A$15:$D$47,4,0),0)&lt;99,"BBB0미만 ",""),"")&amp;IF(OR(M398="",M398="NR"),"등급미입력 ","")&amp;IF(C398&lt;&gt;"USD","비USD ","")))</f>
        <v/>
      </c>
      <c r="AQ398" s="90" t="n">
        <f aca="false">IF(AND(Y398=1,AL398="Cheap"),IF(AND(ISERROR(SEARCH("FRN",AP398)),ISERROR(SEARCH("BBB0미만",AP398))),AK398+ROW()/1000000000,-999),-999)</f>
        <v>-999</v>
      </c>
      <c r="AR398" s="92" t="str">
        <f aca="false">IF(AND(ISNUMBER(D398),ISNUMBER(K398)),D398+AN398*MAX(K398-1,0)/100,"")</f>
        <v/>
      </c>
      <c r="AS398" s="93" t="str">
        <f aca="false">IF(AND(ISNUMBER(E398),ISNUMBER(K398)),IF(K398&gt;0,(E398+AN398*MAX(K398-1,0))/K398,""),"")</f>
        <v/>
      </c>
      <c r="AT398" s="90" t="n">
        <f aca="false">IFERROR(IF(AND(Y398=1,ROW()&lt;&gt;스왑분석!$C$12+1,ABS(K398-INDEX($K$2:$K$601,스왑분석!$C$12))&lt;=스왑분석!$C$5,ISERROR(SEARCH("FRN",AP398)),ISERROR(SEARCH("BBB0미만",AP398))),IF(AND(OR(스왑분석!$C$6="N",L398=INDEX($L$2:$L$601,스왑분석!$C$12)),OR(스왑분석!$C$7="N",N398=INDEX($N$2:$N$601,스왑분석!$C$12)),OR(스왑분석!$C$8="N",AO398=0),E398-INDEX($E$2:$E$601,스왑분석!$C$12)&gt;=스왑분석!$C$9),E398-INDEX($E$2:$E$601,스왑분석!$C$12)+ROW()/1000000000,-999),-999),-999)</f>
        <v>-999</v>
      </c>
      <c r="AU398" s="90" t="n">
        <f aca="false">IF(AND(Y398=1,AO398&gt;0,AL398="Rich"),-AK398+ROW()/1000000000,-999)</f>
        <v>-999</v>
      </c>
    </row>
    <row r="399" customFormat="false" ht="15" hidden="false" customHeight="false" outlineLevel="0" collapsed="false">
      <c r="A399" s="83" t="n">
        <f aca="false">IFERROR(IF(INDEX(원자료_시장!$A$1:$BZ$1000,설정!$L$6+ROW()-1,설정!$L$24)&amp;""="0","",INDEX(원자료_시장!$A$1:$BZ$1000,설정!$L$6+ROW()-1,설정!$L$24)),"")</f>
        <v>0</v>
      </c>
      <c r="B399" s="83" t="n">
        <f aca="false">IFERROR(IF(INDEX(원자료_시장!$A$1:$BZ$1000,설정!$L$6+ROW()-1,설정!$L$37)&amp;""="0","",INDEX(원자료_시장!$A$1:$BZ$1000,설정!$L$6+ROW()-1,설정!$L$37)),"")</f>
        <v>0</v>
      </c>
      <c r="C399" s="83" t="n">
        <f aca="false">IFERROR(IF(INDEX(원자료_시장!$A$1:$BZ$1000,설정!$L$6+ROW()-1,설정!$L$25)&amp;""="0","",INDEX(원자료_시장!$A$1:$BZ$1000,설정!$L$6+ROW()-1,설정!$L$25)),"")</f>
        <v>0</v>
      </c>
      <c r="D399" s="85" t="str">
        <f aca="false">IFERROR(IF(ISNUMBER(INDEX(원자료_시장!$A$1:$BZ$1000,설정!$L$6+ROW()-1,설정!$L$26)),INDEX(원자료_시장!$A$1:$BZ$1000,설정!$L$6+ROW()-1,설정!$L$26),""),"")</f>
        <v/>
      </c>
      <c r="E399" s="97" t="str">
        <f aca="false">IFERROR(IF(ISNUMBER(INDEX(원자료_시장!$A$1:$BZ$1000,설정!$L$6+ROW()-1,설정!$L$27)),INDEX(원자료_시장!$A$1:$BZ$1000,설정!$L$6+ROW()-1,설정!$L$27),""),"")</f>
        <v/>
      </c>
      <c r="F399" s="97" t="str">
        <f aca="false">IFERROR(IF(ISNUMBER(INDEX(원자료_시장!$A$1:$BZ$1000,설정!$L$6+ROW()-1,설정!$L$28)),INDEX(원자료_시장!$A$1:$BZ$1000,설정!$L$6+ROW()-1,설정!$L$28),""),"")</f>
        <v/>
      </c>
      <c r="G399" s="97" t="str">
        <f aca="false">IFERROR(IF(ISNUMBER(INDEX(원자료_시장!$A$1:$BZ$1000,설정!$L$6+ROW()-1,설정!$L$29)),INDEX(원자료_시장!$A$1:$BZ$1000,설정!$L$6+ROW()-1,설정!$L$29),""),"")</f>
        <v/>
      </c>
      <c r="H399" s="97" t="str">
        <f aca="false">IFERROR(IF(ISNUMBER(INDEX(원자료_시장!$A$1:$BZ$1000,설정!$L$6+ROW()-1,설정!$L$30)),INDEX(원자료_시장!$A$1:$BZ$1000,설정!$L$6+ROW()-1,설정!$L$30),""),"")</f>
        <v/>
      </c>
      <c r="I399" s="97" t="str">
        <f aca="false">IFERROR(IF(ISNUMBER(INDEX(원자료_시장!$A$1:$BZ$1000,설정!$L$6+ROW()-1,설정!$L$31)),INDEX(원자료_시장!$A$1:$BZ$1000,설정!$L$6+ROW()-1,설정!$L$31),""),"")</f>
        <v/>
      </c>
      <c r="J399" s="97" t="str">
        <f aca="false">IFERROR(IF(ISNUMBER(INDEX(원자료_시장!$A$1:$BZ$1000,설정!$L$6+ROW()-1,설정!$L$32)),INDEX(원자료_시장!$A$1:$BZ$1000,설정!$L$6+ROW()-1,설정!$L$32),""),"")</f>
        <v/>
      </c>
      <c r="K399" s="85" t="str">
        <f aca="false">IFERROR(IF(ISNUMBER(INDEX(원자료_시장!$A$1:$BZ$1000,설정!$L$6+ROW()-1,설정!$L$33)),INDEX(원자료_시장!$A$1:$BZ$1000,설정!$L$6+ROW()-1,설정!$L$33),""),"")</f>
        <v/>
      </c>
      <c r="L399" s="83" t="n">
        <f aca="false">IFERROR(IF(INDEX(원자료_시장!$A$1:$BZ$1000,설정!$L$6+ROW()-1,설정!$L$34)&amp;""="0","",INDEX(원자료_시장!$A$1:$BZ$1000,설정!$L$6+ROW()-1,설정!$L$34)),"")</f>
        <v>0</v>
      </c>
      <c r="M399" s="83" t="n">
        <f aca="false">IFERROR(IF(INDEX(원자료_시장!$A$1:$BZ$1000,설정!$L$6+ROW()-1,설정!$L$35)&amp;""="0","",INDEX(원자료_시장!$A$1:$BZ$1000,설정!$L$6+ROW()-1,설정!$L$35)),"")</f>
        <v>0</v>
      </c>
      <c r="N399" s="83" t="n">
        <f aca="false">IFERROR(IF(INDEX(원자료_시장!$A$1:$BZ$1000,설정!$L$6+ROW()-1,설정!$L$36)&amp;""="0","",INDEX(원자료_시장!$A$1:$BZ$1000,설정!$L$6+ROW()-1,설정!$L$36)),"")</f>
        <v>0</v>
      </c>
      <c r="O399" s="43" t="str">
        <f aca="false">IF($A399="","",UPPER(LEFT($A399,FIND(" ",$A399&amp;" ")-1)))</f>
        <v/>
      </c>
      <c r="P399" s="43" t="str">
        <f aca="false">IF($A399="","",TRIM(RIGHT(SUBSTITUTE(TRIM($A399)," ",REPT(" ",30)),30)))</f>
        <v/>
      </c>
      <c r="Q399" s="98" t="str">
        <f aca="false">IF($A399="","",IFERROR(DATE(IF(LEN(P399)=8,2000+VALUE(RIGHT(P399,2)),VALUE(RIGHT(P399,4))),VALUE(LEFT(P399,2)),VALUE(MID(P399,4,2))),""))</f>
        <v/>
      </c>
      <c r="R399" s="89" t="n">
        <f aca="false">IF($A399="",0,IF(ISNUMBER(SEARCH("Float",$A399)),1,0))</f>
        <v>0</v>
      </c>
      <c r="S399" s="43" t="str">
        <f aca="false">IF($A399="","",TRIM(MID($A399,LEN(O399)+2,LEN($A399)-LEN(O399)-LEN(P399)-1)))</f>
        <v/>
      </c>
      <c r="T399" s="92" t="str">
        <f aca="false">IF(OR($A399="",R399=1),"",IFERROR(IF(ISNUMBER(FIND("/",S399)),IF(ISNUMBER(FIND(" ",S399)),VALUE(LEFT(S399,FIND(" ",S399)-1))+VALUE(MID(S399,FIND(" ",S399)+1,FIND("/",S399)-FIND(" ",S399)-1))/VALUE(MID(S399,FIND("/",S399)+1,9)),VALUE(LEFT(S399,FIND("/",S399)-1))/VALUE(MID(S399,FIND("/",S399)+1,9))),VALUE(S399)),""))</f>
        <v/>
      </c>
      <c r="U399" s="43" t="str">
        <f aca="false">IF(OR($A399="",NOT(ISNUMBER(Q399))),"",TEXT(Q399,"yyyymmdd")&amp;"|"&amp;IF(R399=1,"F",TEXT(T399,"0.000")))</f>
        <v/>
      </c>
      <c r="V399" s="43" t="str">
        <f aca="false">IF(U399="","",O399&amp;"|"&amp;U399)</f>
        <v/>
      </c>
      <c r="W399" s="43" t="str">
        <f aca="false">IF($A399="","",IFERROR(IF(VLOOKUP(O399,매핑!$A$4:$E$92,3,0)="","미분류",VLOOKUP(O399,매핑!$A$4:$E$92,3,0)),"미분류"))</f>
        <v/>
      </c>
      <c r="X399" s="89" t="n">
        <f aca="false">IF($A399="",0,IF(O399="T",1,0))</f>
        <v>0</v>
      </c>
      <c r="Y399" s="89" t="n">
        <f aca="false">IF($A399="",0,IF(AND(C399="USD",X399=0,ISNUMBER(E399),ISNUMBER(K399)),IF(K399&gt;=설정!$C$8,1,0),0))</f>
        <v>0</v>
      </c>
      <c r="Z399" s="43" t="str">
        <f aca="false">IF($A399="","",N399&amp;"|"&amp;L399)</f>
        <v/>
      </c>
      <c r="AA399" s="92" t="n">
        <f aca="false">IF(Y399=1,LN(K399),0)</f>
        <v>0</v>
      </c>
      <c r="AB399" s="93" t="n">
        <f aca="false">IF(Y399=1,E399,0)</f>
        <v>0</v>
      </c>
      <c r="AC399" s="89" t="n">
        <f aca="false">IF(Y399=1,COUNTIFS($Z$2:$Z$601,Z399,$Y$2:$Y$601,1),0)</f>
        <v>0</v>
      </c>
      <c r="AD399" s="89" t="n">
        <f aca="false">IF(Y399=1,COUNTIFS($N$2:$N$601,N399,$Y$2:$Y$601,1),0)</f>
        <v>0</v>
      </c>
      <c r="AE399" s="43" t="str">
        <f aca="false">IF(Y399&lt;&gt;1,"",IF(AND(AC399&gt;=설정!$C$7,ISNUMBER(MATCH(Z399,피어커브!$A:$A,0))),Z399,IF(AND(AD399&gt;=설정!$C$7,ISNUMBER(MATCH(N399&amp;"|전체",피어커브!$A:$A,0))),N399&amp;"|전체","전체|전체")))</f>
        <v/>
      </c>
      <c r="AF399" s="93" t="str">
        <f aca="false">IF(AE399="","",INDEX(피어커브!$K:$K,MATCH(AE399,피어커브!$A:$A,0)))</f>
        <v/>
      </c>
      <c r="AG399" s="93" t="str">
        <f aca="false">IF(AE399="","",INDEX(피어커브!$J:$J,MATCH(AE399,피어커브!$A:$A,0)))</f>
        <v/>
      </c>
      <c r="AH399" s="93" t="str">
        <f aca="false">IF(AE399="","",INDEX(피어커브!$L:$L,MATCH(AE399,피어커브!$A:$A,0)))</f>
        <v/>
      </c>
      <c r="AI399" s="93" t="str">
        <f aca="false">IF(AE399="","",AF399+AG399*AA399)</f>
        <v/>
      </c>
      <c r="AJ399" s="96" t="str">
        <f aca="false">IF(AE399="","",E399-AI399)</f>
        <v/>
      </c>
      <c r="AK399" s="95" t="str">
        <f aca="false">IF(AE399="","",IF(ISNUMBER(AH399),IF(AH399&gt;0,AJ399/AH399,""),""))</f>
        <v/>
      </c>
      <c r="AL399" s="43" t="str">
        <f aca="false">IF(AK399="","-",IF(AK399&gt;=설정!$C$6,"Cheap",IF(AK399&lt;=-설정!$C$6,"Rich","Fair")))</f>
        <v>-</v>
      </c>
      <c r="AM399" s="96" t="str">
        <f aca="false">IF(AE399="","",AJ399-AVERAGEIFS($AJ$2:$AJ$601,$B$2:$B$601,B399,$Y$2:$Y$601,1))</f>
        <v/>
      </c>
      <c r="AN399" s="93" t="n">
        <f aca="false">IF(AE399="",0,IF(K399&gt;1+설정!$C$8,AG399*(AA399-LN(K399-1)),0))</f>
        <v>0</v>
      </c>
      <c r="AO399" s="99" t="n">
        <f aca="false">IF($A399="",0,SUMIFS(보유분석!$AA$2:$AA$801,보유분석!$AB$2:$AB$801,ROW(),보유분석!$AC$2:$AC$801,1))</f>
        <v>0</v>
      </c>
      <c r="AP399" s="43" t="str">
        <f aca="false">IF($A399="","",TRIM(IF(R399=1,"FRN ","")&amp;IF(IFERROR(VLOOKUP(M399,설정!$A$15:$D$47,4,0),0)&gt;=10,IF(IFERROR(VLOOKUP(M399,설정!$A$15:$D$47,4,0),0)&lt;99,"BBB0미만 ",""),"")&amp;IF(OR(M399="",M399="NR"),"등급미입력 ","")&amp;IF(C399&lt;&gt;"USD","비USD ","")))</f>
        <v/>
      </c>
      <c r="AQ399" s="90" t="n">
        <f aca="false">IF(AND(Y399=1,AL399="Cheap"),IF(AND(ISERROR(SEARCH("FRN",AP399)),ISERROR(SEARCH("BBB0미만",AP399))),AK399+ROW()/1000000000,-999),-999)</f>
        <v>-999</v>
      </c>
      <c r="AR399" s="92" t="str">
        <f aca="false">IF(AND(ISNUMBER(D399),ISNUMBER(K399)),D399+AN399*MAX(K399-1,0)/100,"")</f>
        <v/>
      </c>
      <c r="AS399" s="93" t="str">
        <f aca="false">IF(AND(ISNUMBER(E399),ISNUMBER(K399)),IF(K399&gt;0,(E399+AN399*MAX(K399-1,0))/K399,""),"")</f>
        <v/>
      </c>
      <c r="AT399" s="90" t="n">
        <f aca="false">IFERROR(IF(AND(Y399=1,ROW()&lt;&gt;스왑분석!$C$12+1,ABS(K399-INDEX($K$2:$K$601,스왑분석!$C$12))&lt;=스왑분석!$C$5,ISERROR(SEARCH("FRN",AP399)),ISERROR(SEARCH("BBB0미만",AP399))),IF(AND(OR(스왑분석!$C$6="N",L399=INDEX($L$2:$L$601,스왑분석!$C$12)),OR(스왑분석!$C$7="N",N399=INDEX($N$2:$N$601,스왑분석!$C$12)),OR(스왑분석!$C$8="N",AO399=0),E399-INDEX($E$2:$E$601,스왑분석!$C$12)&gt;=스왑분석!$C$9),E399-INDEX($E$2:$E$601,스왑분석!$C$12)+ROW()/1000000000,-999),-999),-999)</f>
        <v>-999</v>
      </c>
      <c r="AU399" s="90" t="n">
        <f aca="false">IF(AND(Y399=1,AO399&gt;0,AL399="Rich"),-AK399+ROW()/1000000000,-999)</f>
        <v>-999</v>
      </c>
    </row>
    <row r="400" customFormat="false" ht="15" hidden="false" customHeight="false" outlineLevel="0" collapsed="false">
      <c r="A400" s="83" t="n">
        <f aca="false">IFERROR(IF(INDEX(원자료_시장!$A$1:$BZ$1000,설정!$L$6+ROW()-1,설정!$L$24)&amp;""="0","",INDEX(원자료_시장!$A$1:$BZ$1000,설정!$L$6+ROW()-1,설정!$L$24)),"")</f>
        <v>0</v>
      </c>
      <c r="B400" s="83" t="n">
        <f aca="false">IFERROR(IF(INDEX(원자료_시장!$A$1:$BZ$1000,설정!$L$6+ROW()-1,설정!$L$37)&amp;""="0","",INDEX(원자료_시장!$A$1:$BZ$1000,설정!$L$6+ROW()-1,설정!$L$37)),"")</f>
        <v>0</v>
      </c>
      <c r="C400" s="83" t="n">
        <f aca="false">IFERROR(IF(INDEX(원자료_시장!$A$1:$BZ$1000,설정!$L$6+ROW()-1,설정!$L$25)&amp;""="0","",INDEX(원자료_시장!$A$1:$BZ$1000,설정!$L$6+ROW()-1,설정!$L$25)),"")</f>
        <v>0</v>
      </c>
      <c r="D400" s="85" t="str">
        <f aca="false">IFERROR(IF(ISNUMBER(INDEX(원자료_시장!$A$1:$BZ$1000,설정!$L$6+ROW()-1,설정!$L$26)),INDEX(원자료_시장!$A$1:$BZ$1000,설정!$L$6+ROW()-1,설정!$L$26),""),"")</f>
        <v/>
      </c>
      <c r="E400" s="97" t="str">
        <f aca="false">IFERROR(IF(ISNUMBER(INDEX(원자료_시장!$A$1:$BZ$1000,설정!$L$6+ROW()-1,설정!$L$27)),INDEX(원자료_시장!$A$1:$BZ$1000,설정!$L$6+ROW()-1,설정!$L$27),""),"")</f>
        <v/>
      </c>
      <c r="F400" s="97" t="str">
        <f aca="false">IFERROR(IF(ISNUMBER(INDEX(원자료_시장!$A$1:$BZ$1000,설정!$L$6+ROW()-1,설정!$L$28)),INDEX(원자료_시장!$A$1:$BZ$1000,설정!$L$6+ROW()-1,설정!$L$28),""),"")</f>
        <v/>
      </c>
      <c r="G400" s="97" t="str">
        <f aca="false">IFERROR(IF(ISNUMBER(INDEX(원자료_시장!$A$1:$BZ$1000,설정!$L$6+ROW()-1,설정!$L$29)),INDEX(원자료_시장!$A$1:$BZ$1000,설정!$L$6+ROW()-1,설정!$L$29),""),"")</f>
        <v/>
      </c>
      <c r="H400" s="97" t="str">
        <f aca="false">IFERROR(IF(ISNUMBER(INDEX(원자료_시장!$A$1:$BZ$1000,설정!$L$6+ROW()-1,설정!$L$30)),INDEX(원자료_시장!$A$1:$BZ$1000,설정!$L$6+ROW()-1,설정!$L$30),""),"")</f>
        <v/>
      </c>
      <c r="I400" s="97" t="str">
        <f aca="false">IFERROR(IF(ISNUMBER(INDEX(원자료_시장!$A$1:$BZ$1000,설정!$L$6+ROW()-1,설정!$L$31)),INDEX(원자료_시장!$A$1:$BZ$1000,설정!$L$6+ROW()-1,설정!$L$31),""),"")</f>
        <v/>
      </c>
      <c r="J400" s="97" t="str">
        <f aca="false">IFERROR(IF(ISNUMBER(INDEX(원자료_시장!$A$1:$BZ$1000,설정!$L$6+ROW()-1,설정!$L$32)),INDEX(원자료_시장!$A$1:$BZ$1000,설정!$L$6+ROW()-1,설정!$L$32),""),"")</f>
        <v/>
      </c>
      <c r="K400" s="85" t="str">
        <f aca="false">IFERROR(IF(ISNUMBER(INDEX(원자료_시장!$A$1:$BZ$1000,설정!$L$6+ROW()-1,설정!$L$33)),INDEX(원자료_시장!$A$1:$BZ$1000,설정!$L$6+ROW()-1,설정!$L$33),""),"")</f>
        <v/>
      </c>
      <c r="L400" s="83" t="n">
        <f aca="false">IFERROR(IF(INDEX(원자료_시장!$A$1:$BZ$1000,설정!$L$6+ROW()-1,설정!$L$34)&amp;""="0","",INDEX(원자료_시장!$A$1:$BZ$1000,설정!$L$6+ROW()-1,설정!$L$34)),"")</f>
        <v>0</v>
      </c>
      <c r="M400" s="83" t="n">
        <f aca="false">IFERROR(IF(INDEX(원자료_시장!$A$1:$BZ$1000,설정!$L$6+ROW()-1,설정!$L$35)&amp;""="0","",INDEX(원자료_시장!$A$1:$BZ$1000,설정!$L$6+ROW()-1,설정!$L$35)),"")</f>
        <v>0</v>
      </c>
      <c r="N400" s="83" t="n">
        <f aca="false">IFERROR(IF(INDEX(원자료_시장!$A$1:$BZ$1000,설정!$L$6+ROW()-1,설정!$L$36)&amp;""="0","",INDEX(원자료_시장!$A$1:$BZ$1000,설정!$L$6+ROW()-1,설정!$L$36)),"")</f>
        <v>0</v>
      </c>
      <c r="O400" s="43" t="str">
        <f aca="false">IF($A400="","",UPPER(LEFT($A400,FIND(" ",$A400&amp;" ")-1)))</f>
        <v/>
      </c>
      <c r="P400" s="43" t="str">
        <f aca="false">IF($A400="","",TRIM(RIGHT(SUBSTITUTE(TRIM($A400)," ",REPT(" ",30)),30)))</f>
        <v/>
      </c>
      <c r="Q400" s="98" t="str">
        <f aca="false">IF($A400="","",IFERROR(DATE(IF(LEN(P400)=8,2000+VALUE(RIGHT(P400,2)),VALUE(RIGHT(P400,4))),VALUE(LEFT(P400,2)),VALUE(MID(P400,4,2))),""))</f>
        <v/>
      </c>
      <c r="R400" s="89" t="n">
        <f aca="false">IF($A400="",0,IF(ISNUMBER(SEARCH("Float",$A400)),1,0))</f>
        <v>0</v>
      </c>
      <c r="S400" s="43" t="str">
        <f aca="false">IF($A400="","",TRIM(MID($A400,LEN(O400)+2,LEN($A400)-LEN(O400)-LEN(P400)-1)))</f>
        <v/>
      </c>
      <c r="T400" s="92" t="str">
        <f aca="false">IF(OR($A400="",R400=1),"",IFERROR(IF(ISNUMBER(FIND("/",S400)),IF(ISNUMBER(FIND(" ",S400)),VALUE(LEFT(S400,FIND(" ",S400)-1))+VALUE(MID(S400,FIND(" ",S400)+1,FIND("/",S400)-FIND(" ",S400)-1))/VALUE(MID(S400,FIND("/",S400)+1,9)),VALUE(LEFT(S400,FIND("/",S400)-1))/VALUE(MID(S400,FIND("/",S400)+1,9))),VALUE(S400)),""))</f>
        <v/>
      </c>
      <c r="U400" s="43" t="str">
        <f aca="false">IF(OR($A400="",NOT(ISNUMBER(Q400))),"",TEXT(Q400,"yyyymmdd")&amp;"|"&amp;IF(R400=1,"F",TEXT(T400,"0.000")))</f>
        <v/>
      </c>
      <c r="V400" s="43" t="str">
        <f aca="false">IF(U400="","",O400&amp;"|"&amp;U400)</f>
        <v/>
      </c>
      <c r="W400" s="43" t="str">
        <f aca="false">IF($A400="","",IFERROR(IF(VLOOKUP(O400,매핑!$A$4:$E$92,3,0)="","미분류",VLOOKUP(O400,매핑!$A$4:$E$92,3,0)),"미분류"))</f>
        <v/>
      </c>
      <c r="X400" s="89" t="n">
        <f aca="false">IF($A400="",0,IF(O400="T",1,0))</f>
        <v>0</v>
      </c>
      <c r="Y400" s="89" t="n">
        <f aca="false">IF($A400="",0,IF(AND(C400="USD",X400=0,ISNUMBER(E400),ISNUMBER(K400)),IF(K400&gt;=설정!$C$8,1,0),0))</f>
        <v>0</v>
      </c>
      <c r="Z400" s="43" t="str">
        <f aca="false">IF($A400="","",N400&amp;"|"&amp;L400)</f>
        <v/>
      </c>
      <c r="AA400" s="92" t="n">
        <f aca="false">IF(Y400=1,LN(K400),0)</f>
        <v>0</v>
      </c>
      <c r="AB400" s="93" t="n">
        <f aca="false">IF(Y400=1,E400,0)</f>
        <v>0</v>
      </c>
      <c r="AC400" s="89" t="n">
        <f aca="false">IF(Y400=1,COUNTIFS($Z$2:$Z$601,Z400,$Y$2:$Y$601,1),0)</f>
        <v>0</v>
      </c>
      <c r="AD400" s="89" t="n">
        <f aca="false">IF(Y400=1,COUNTIFS($N$2:$N$601,N400,$Y$2:$Y$601,1),0)</f>
        <v>0</v>
      </c>
      <c r="AE400" s="43" t="str">
        <f aca="false">IF(Y400&lt;&gt;1,"",IF(AND(AC400&gt;=설정!$C$7,ISNUMBER(MATCH(Z400,피어커브!$A:$A,0))),Z400,IF(AND(AD400&gt;=설정!$C$7,ISNUMBER(MATCH(N400&amp;"|전체",피어커브!$A:$A,0))),N400&amp;"|전체","전체|전체")))</f>
        <v/>
      </c>
      <c r="AF400" s="93" t="str">
        <f aca="false">IF(AE400="","",INDEX(피어커브!$K:$K,MATCH(AE400,피어커브!$A:$A,0)))</f>
        <v/>
      </c>
      <c r="AG400" s="93" t="str">
        <f aca="false">IF(AE400="","",INDEX(피어커브!$J:$J,MATCH(AE400,피어커브!$A:$A,0)))</f>
        <v/>
      </c>
      <c r="AH400" s="93" t="str">
        <f aca="false">IF(AE400="","",INDEX(피어커브!$L:$L,MATCH(AE400,피어커브!$A:$A,0)))</f>
        <v/>
      </c>
      <c r="AI400" s="93" t="str">
        <f aca="false">IF(AE400="","",AF400+AG400*AA400)</f>
        <v/>
      </c>
      <c r="AJ400" s="96" t="str">
        <f aca="false">IF(AE400="","",E400-AI400)</f>
        <v/>
      </c>
      <c r="AK400" s="95" t="str">
        <f aca="false">IF(AE400="","",IF(ISNUMBER(AH400),IF(AH400&gt;0,AJ400/AH400,""),""))</f>
        <v/>
      </c>
      <c r="AL400" s="43" t="str">
        <f aca="false">IF(AK400="","-",IF(AK400&gt;=설정!$C$6,"Cheap",IF(AK400&lt;=-설정!$C$6,"Rich","Fair")))</f>
        <v>-</v>
      </c>
      <c r="AM400" s="96" t="str">
        <f aca="false">IF(AE400="","",AJ400-AVERAGEIFS($AJ$2:$AJ$601,$B$2:$B$601,B400,$Y$2:$Y$601,1))</f>
        <v/>
      </c>
      <c r="AN400" s="93" t="n">
        <f aca="false">IF(AE400="",0,IF(K400&gt;1+설정!$C$8,AG400*(AA400-LN(K400-1)),0))</f>
        <v>0</v>
      </c>
      <c r="AO400" s="99" t="n">
        <f aca="false">IF($A400="",0,SUMIFS(보유분석!$AA$2:$AA$801,보유분석!$AB$2:$AB$801,ROW(),보유분석!$AC$2:$AC$801,1))</f>
        <v>0</v>
      </c>
      <c r="AP400" s="43" t="str">
        <f aca="false">IF($A400="","",TRIM(IF(R400=1,"FRN ","")&amp;IF(IFERROR(VLOOKUP(M400,설정!$A$15:$D$47,4,0),0)&gt;=10,IF(IFERROR(VLOOKUP(M400,설정!$A$15:$D$47,4,0),0)&lt;99,"BBB0미만 ",""),"")&amp;IF(OR(M400="",M400="NR"),"등급미입력 ","")&amp;IF(C400&lt;&gt;"USD","비USD ","")))</f>
        <v/>
      </c>
      <c r="AQ400" s="90" t="n">
        <f aca="false">IF(AND(Y400=1,AL400="Cheap"),IF(AND(ISERROR(SEARCH("FRN",AP400)),ISERROR(SEARCH("BBB0미만",AP400))),AK400+ROW()/1000000000,-999),-999)</f>
        <v>-999</v>
      </c>
      <c r="AR400" s="92" t="str">
        <f aca="false">IF(AND(ISNUMBER(D400),ISNUMBER(K400)),D400+AN400*MAX(K400-1,0)/100,"")</f>
        <v/>
      </c>
      <c r="AS400" s="93" t="str">
        <f aca="false">IF(AND(ISNUMBER(E400),ISNUMBER(K400)),IF(K400&gt;0,(E400+AN400*MAX(K400-1,0))/K400,""),"")</f>
        <v/>
      </c>
      <c r="AT400" s="90" t="n">
        <f aca="false">IFERROR(IF(AND(Y400=1,ROW()&lt;&gt;스왑분석!$C$12+1,ABS(K400-INDEX($K$2:$K$601,스왑분석!$C$12))&lt;=스왑분석!$C$5,ISERROR(SEARCH("FRN",AP400)),ISERROR(SEARCH("BBB0미만",AP400))),IF(AND(OR(스왑분석!$C$6="N",L400=INDEX($L$2:$L$601,스왑분석!$C$12)),OR(스왑분석!$C$7="N",N400=INDEX($N$2:$N$601,스왑분석!$C$12)),OR(스왑분석!$C$8="N",AO400=0),E400-INDEX($E$2:$E$601,스왑분석!$C$12)&gt;=스왑분석!$C$9),E400-INDEX($E$2:$E$601,스왑분석!$C$12)+ROW()/1000000000,-999),-999),-999)</f>
        <v>-999</v>
      </c>
      <c r="AU400" s="90" t="n">
        <f aca="false">IF(AND(Y400=1,AO400&gt;0,AL400="Rich"),-AK400+ROW()/1000000000,-999)</f>
        <v>-999</v>
      </c>
    </row>
    <row r="401" customFormat="false" ht="15" hidden="false" customHeight="false" outlineLevel="0" collapsed="false">
      <c r="A401" s="83" t="n">
        <f aca="false">IFERROR(IF(INDEX(원자료_시장!$A$1:$BZ$1000,설정!$L$6+ROW()-1,설정!$L$24)&amp;""="0","",INDEX(원자료_시장!$A$1:$BZ$1000,설정!$L$6+ROW()-1,설정!$L$24)),"")</f>
        <v>0</v>
      </c>
      <c r="B401" s="83" t="n">
        <f aca="false">IFERROR(IF(INDEX(원자료_시장!$A$1:$BZ$1000,설정!$L$6+ROW()-1,설정!$L$37)&amp;""="0","",INDEX(원자료_시장!$A$1:$BZ$1000,설정!$L$6+ROW()-1,설정!$L$37)),"")</f>
        <v>0</v>
      </c>
      <c r="C401" s="83" t="n">
        <f aca="false">IFERROR(IF(INDEX(원자료_시장!$A$1:$BZ$1000,설정!$L$6+ROW()-1,설정!$L$25)&amp;""="0","",INDEX(원자료_시장!$A$1:$BZ$1000,설정!$L$6+ROW()-1,설정!$L$25)),"")</f>
        <v>0</v>
      </c>
      <c r="D401" s="85" t="str">
        <f aca="false">IFERROR(IF(ISNUMBER(INDEX(원자료_시장!$A$1:$BZ$1000,설정!$L$6+ROW()-1,설정!$L$26)),INDEX(원자료_시장!$A$1:$BZ$1000,설정!$L$6+ROW()-1,설정!$L$26),""),"")</f>
        <v/>
      </c>
      <c r="E401" s="97" t="str">
        <f aca="false">IFERROR(IF(ISNUMBER(INDEX(원자료_시장!$A$1:$BZ$1000,설정!$L$6+ROW()-1,설정!$L$27)),INDEX(원자료_시장!$A$1:$BZ$1000,설정!$L$6+ROW()-1,설정!$L$27),""),"")</f>
        <v/>
      </c>
      <c r="F401" s="97" t="str">
        <f aca="false">IFERROR(IF(ISNUMBER(INDEX(원자료_시장!$A$1:$BZ$1000,설정!$L$6+ROW()-1,설정!$L$28)),INDEX(원자료_시장!$A$1:$BZ$1000,설정!$L$6+ROW()-1,설정!$L$28),""),"")</f>
        <v/>
      </c>
      <c r="G401" s="97" t="str">
        <f aca="false">IFERROR(IF(ISNUMBER(INDEX(원자료_시장!$A$1:$BZ$1000,설정!$L$6+ROW()-1,설정!$L$29)),INDEX(원자료_시장!$A$1:$BZ$1000,설정!$L$6+ROW()-1,설정!$L$29),""),"")</f>
        <v/>
      </c>
      <c r="H401" s="97" t="str">
        <f aca="false">IFERROR(IF(ISNUMBER(INDEX(원자료_시장!$A$1:$BZ$1000,설정!$L$6+ROW()-1,설정!$L$30)),INDEX(원자료_시장!$A$1:$BZ$1000,설정!$L$6+ROW()-1,설정!$L$30),""),"")</f>
        <v/>
      </c>
      <c r="I401" s="97" t="str">
        <f aca="false">IFERROR(IF(ISNUMBER(INDEX(원자료_시장!$A$1:$BZ$1000,설정!$L$6+ROW()-1,설정!$L$31)),INDEX(원자료_시장!$A$1:$BZ$1000,설정!$L$6+ROW()-1,설정!$L$31),""),"")</f>
        <v/>
      </c>
      <c r="J401" s="97" t="str">
        <f aca="false">IFERROR(IF(ISNUMBER(INDEX(원자료_시장!$A$1:$BZ$1000,설정!$L$6+ROW()-1,설정!$L$32)),INDEX(원자료_시장!$A$1:$BZ$1000,설정!$L$6+ROW()-1,설정!$L$32),""),"")</f>
        <v/>
      </c>
      <c r="K401" s="85" t="str">
        <f aca="false">IFERROR(IF(ISNUMBER(INDEX(원자료_시장!$A$1:$BZ$1000,설정!$L$6+ROW()-1,설정!$L$33)),INDEX(원자료_시장!$A$1:$BZ$1000,설정!$L$6+ROW()-1,설정!$L$33),""),"")</f>
        <v/>
      </c>
      <c r="L401" s="83" t="n">
        <f aca="false">IFERROR(IF(INDEX(원자료_시장!$A$1:$BZ$1000,설정!$L$6+ROW()-1,설정!$L$34)&amp;""="0","",INDEX(원자료_시장!$A$1:$BZ$1000,설정!$L$6+ROW()-1,설정!$L$34)),"")</f>
        <v>0</v>
      </c>
      <c r="M401" s="83" t="n">
        <f aca="false">IFERROR(IF(INDEX(원자료_시장!$A$1:$BZ$1000,설정!$L$6+ROW()-1,설정!$L$35)&amp;""="0","",INDEX(원자료_시장!$A$1:$BZ$1000,설정!$L$6+ROW()-1,설정!$L$35)),"")</f>
        <v>0</v>
      </c>
      <c r="N401" s="83" t="n">
        <f aca="false">IFERROR(IF(INDEX(원자료_시장!$A$1:$BZ$1000,설정!$L$6+ROW()-1,설정!$L$36)&amp;""="0","",INDEX(원자료_시장!$A$1:$BZ$1000,설정!$L$6+ROW()-1,설정!$L$36)),"")</f>
        <v>0</v>
      </c>
      <c r="O401" s="43" t="str">
        <f aca="false">IF($A401="","",UPPER(LEFT($A401,FIND(" ",$A401&amp;" ")-1)))</f>
        <v/>
      </c>
      <c r="P401" s="43" t="str">
        <f aca="false">IF($A401="","",TRIM(RIGHT(SUBSTITUTE(TRIM($A401)," ",REPT(" ",30)),30)))</f>
        <v/>
      </c>
      <c r="Q401" s="98" t="str">
        <f aca="false">IF($A401="","",IFERROR(DATE(IF(LEN(P401)=8,2000+VALUE(RIGHT(P401,2)),VALUE(RIGHT(P401,4))),VALUE(LEFT(P401,2)),VALUE(MID(P401,4,2))),""))</f>
        <v/>
      </c>
      <c r="R401" s="89" t="n">
        <f aca="false">IF($A401="",0,IF(ISNUMBER(SEARCH("Float",$A401)),1,0))</f>
        <v>0</v>
      </c>
      <c r="S401" s="43" t="str">
        <f aca="false">IF($A401="","",TRIM(MID($A401,LEN(O401)+2,LEN($A401)-LEN(O401)-LEN(P401)-1)))</f>
        <v/>
      </c>
      <c r="T401" s="92" t="str">
        <f aca="false">IF(OR($A401="",R401=1),"",IFERROR(IF(ISNUMBER(FIND("/",S401)),IF(ISNUMBER(FIND(" ",S401)),VALUE(LEFT(S401,FIND(" ",S401)-1))+VALUE(MID(S401,FIND(" ",S401)+1,FIND("/",S401)-FIND(" ",S401)-1))/VALUE(MID(S401,FIND("/",S401)+1,9)),VALUE(LEFT(S401,FIND("/",S401)-1))/VALUE(MID(S401,FIND("/",S401)+1,9))),VALUE(S401)),""))</f>
        <v/>
      </c>
      <c r="U401" s="43" t="str">
        <f aca="false">IF(OR($A401="",NOT(ISNUMBER(Q401))),"",TEXT(Q401,"yyyymmdd")&amp;"|"&amp;IF(R401=1,"F",TEXT(T401,"0.000")))</f>
        <v/>
      </c>
      <c r="V401" s="43" t="str">
        <f aca="false">IF(U401="","",O401&amp;"|"&amp;U401)</f>
        <v/>
      </c>
      <c r="W401" s="43" t="str">
        <f aca="false">IF($A401="","",IFERROR(IF(VLOOKUP(O401,매핑!$A$4:$E$92,3,0)="","미분류",VLOOKUP(O401,매핑!$A$4:$E$92,3,0)),"미분류"))</f>
        <v/>
      </c>
      <c r="X401" s="89" t="n">
        <f aca="false">IF($A401="",0,IF(O401="T",1,0))</f>
        <v>0</v>
      </c>
      <c r="Y401" s="89" t="n">
        <f aca="false">IF($A401="",0,IF(AND(C401="USD",X401=0,ISNUMBER(E401),ISNUMBER(K401)),IF(K401&gt;=설정!$C$8,1,0),0))</f>
        <v>0</v>
      </c>
      <c r="Z401" s="43" t="str">
        <f aca="false">IF($A401="","",N401&amp;"|"&amp;L401)</f>
        <v/>
      </c>
      <c r="AA401" s="92" t="n">
        <f aca="false">IF(Y401=1,LN(K401),0)</f>
        <v>0</v>
      </c>
      <c r="AB401" s="93" t="n">
        <f aca="false">IF(Y401=1,E401,0)</f>
        <v>0</v>
      </c>
      <c r="AC401" s="89" t="n">
        <f aca="false">IF(Y401=1,COUNTIFS($Z$2:$Z$601,Z401,$Y$2:$Y$601,1),0)</f>
        <v>0</v>
      </c>
      <c r="AD401" s="89" t="n">
        <f aca="false">IF(Y401=1,COUNTIFS($N$2:$N$601,N401,$Y$2:$Y$601,1),0)</f>
        <v>0</v>
      </c>
      <c r="AE401" s="43" t="str">
        <f aca="false">IF(Y401&lt;&gt;1,"",IF(AND(AC401&gt;=설정!$C$7,ISNUMBER(MATCH(Z401,피어커브!$A:$A,0))),Z401,IF(AND(AD401&gt;=설정!$C$7,ISNUMBER(MATCH(N401&amp;"|전체",피어커브!$A:$A,0))),N401&amp;"|전체","전체|전체")))</f>
        <v/>
      </c>
      <c r="AF401" s="93" t="str">
        <f aca="false">IF(AE401="","",INDEX(피어커브!$K:$K,MATCH(AE401,피어커브!$A:$A,0)))</f>
        <v/>
      </c>
      <c r="AG401" s="93" t="str">
        <f aca="false">IF(AE401="","",INDEX(피어커브!$J:$J,MATCH(AE401,피어커브!$A:$A,0)))</f>
        <v/>
      </c>
      <c r="AH401" s="93" t="str">
        <f aca="false">IF(AE401="","",INDEX(피어커브!$L:$L,MATCH(AE401,피어커브!$A:$A,0)))</f>
        <v/>
      </c>
      <c r="AI401" s="93" t="str">
        <f aca="false">IF(AE401="","",AF401+AG401*AA401)</f>
        <v/>
      </c>
      <c r="AJ401" s="96" t="str">
        <f aca="false">IF(AE401="","",E401-AI401)</f>
        <v/>
      </c>
      <c r="AK401" s="95" t="str">
        <f aca="false">IF(AE401="","",IF(ISNUMBER(AH401),IF(AH401&gt;0,AJ401/AH401,""),""))</f>
        <v/>
      </c>
      <c r="AL401" s="43" t="str">
        <f aca="false">IF(AK401="","-",IF(AK401&gt;=설정!$C$6,"Cheap",IF(AK401&lt;=-설정!$C$6,"Rich","Fair")))</f>
        <v>-</v>
      </c>
      <c r="AM401" s="96" t="str">
        <f aca="false">IF(AE401="","",AJ401-AVERAGEIFS($AJ$2:$AJ$601,$B$2:$B$601,B401,$Y$2:$Y$601,1))</f>
        <v/>
      </c>
      <c r="AN401" s="93" t="n">
        <f aca="false">IF(AE401="",0,IF(K401&gt;1+설정!$C$8,AG401*(AA401-LN(K401-1)),0))</f>
        <v>0</v>
      </c>
      <c r="AO401" s="99" t="n">
        <f aca="false">IF($A401="",0,SUMIFS(보유분석!$AA$2:$AA$801,보유분석!$AB$2:$AB$801,ROW(),보유분석!$AC$2:$AC$801,1))</f>
        <v>0</v>
      </c>
      <c r="AP401" s="43" t="str">
        <f aca="false">IF($A401="","",TRIM(IF(R401=1,"FRN ","")&amp;IF(IFERROR(VLOOKUP(M401,설정!$A$15:$D$47,4,0),0)&gt;=10,IF(IFERROR(VLOOKUP(M401,설정!$A$15:$D$47,4,0),0)&lt;99,"BBB0미만 ",""),"")&amp;IF(OR(M401="",M401="NR"),"등급미입력 ","")&amp;IF(C401&lt;&gt;"USD","비USD ","")))</f>
        <v/>
      </c>
      <c r="AQ401" s="90" t="n">
        <f aca="false">IF(AND(Y401=1,AL401="Cheap"),IF(AND(ISERROR(SEARCH("FRN",AP401)),ISERROR(SEARCH("BBB0미만",AP401))),AK401+ROW()/1000000000,-999),-999)</f>
        <v>-999</v>
      </c>
      <c r="AR401" s="92" t="str">
        <f aca="false">IF(AND(ISNUMBER(D401),ISNUMBER(K401)),D401+AN401*MAX(K401-1,0)/100,"")</f>
        <v/>
      </c>
      <c r="AS401" s="93" t="str">
        <f aca="false">IF(AND(ISNUMBER(E401),ISNUMBER(K401)),IF(K401&gt;0,(E401+AN401*MAX(K401-1,0))/K401,""),"")</f>
        <v/>
      </c>
      <c r="AT401" s="90" t="n">
        <f aca="false">IFERROR(IF(AND(Y401=1,ROW()&lt;&gt;스왑분석!$C$12+1,ABS(K401-INDEX($K$2:$K$601,스왑분석!$C$12))&lt;=스왑분석!$C$5,ISERROR(SEARCH("FRN",AP401)),ISERROR(SEARCH("BBB0미만",AP401))),IF(AND(OR(스왑분석!$C$6="N",L401=INDEX($L$2:$L$601,스왑분석!$C$12)),OR(스왑분석!$C$7="N",N401=INDEX($N$2:$N$601,스왑분석!$C$12)),OR(스왑분석!$C$8="N",AO401=0),E401-INDEX($E$2:$E$601,스왑분석!$C$12)&gt;=스왑분석!$C$9),E401-INDEX($E$2:$E$601,스왑분석!$C$12)+ROW()/1000000000,-999),-999),-999)</f>
        <v>-999</v>
      </c>
      <c r="AU401" s="90" t="n">
        <f aca="false">IF(AND(Y401=1,AO401&gt;0,AL401="Rich"),-AK401+ROW()/1000000000,-999)</f>
        <v>-999</v>
      </c>
    </row>
    <row r="402" customFormat="false" ht="15" hidden="false" customHeight="false" outlineLevel="0" collapsed="false">
      <c r="A402" s="83" t="n">
        <f aca="false">IFERROR(IF(INDEX(원자료_시장!$A$1:$BZ$1000,설정!$L$6+ROW()-1,설정!$L$24)&amp;""="0","",INDEX(원자료_시장!$A$1:$BZ$1000,설정!$L$6+ROW()-1,설정!$L$24)),"")</f>
        <v>0</v>
      </c>
      <c r="B402" s="83" t="n">
        <f aca="false">IFERROR(IF(INDEX(원자료_시장!$A$1:$BZ$1000,설정!$L$6+ROW()-1,설정!$L$37)&amp;""="0","",INDEX(원자료_시장!$A$1:$BZ$1000,설정!$L$6+ROW()-1,설정!$L$37)),"")</f>
        <v>0</v>
      </c>
      <c r="C402" s="83" t="n">
        <f aca="false">IFERROR(IF(INDEX(원자료_시장!$A$1:$BZ$1000,설정!$L$6+ROW()-1,설정!$L$25)&amp;""="0","",INDEX(원자료_시장!$A$1:$BZ$1000,설정!$L$6+ROW()-1,설정!$L$25)),"")</f>
        <v>0</v>
      </c>
      <c r="D402" s="85" t="str">
        <f aca="false">IFERROR(IF(ISNUMBER(INDEX(원자료_시장!$A$1:$BZ$1000,설정!$L$6+ROW()-1,설정!$L$26)),INDEX(원자료_시장!$A$1:$BZ$1000,설정!$L$6+ROW()-1,설정!$L$26),""),"")</f>
        <v/>
      </c>
      <c r="E402" s="97" t="str">
        <f aca="false">IFERROR(IF(ISNUMBER(INDEX(원자료_시장!$A$1:$BZ$1000,설정!$L$6+ROW()-1,설정!$L$27)),INDEX(원자료_시장!$A$1:$BZ$1000,설정!$L$6+ROW()-1,설정!$L$27),""),"")</f>
        <v/>
      </c>
      <c r="F402" s="97" t="str">
        <f aca="false">IFERROR(IF(ISNUMBER(INDEX(원자료_시장!$A$1:$BZ$1000,설정!$L$6+ROW()-1,설정!$L$28)),INDEX(원자료_시장!$A$1:$BZ$1000,설정!$L$6+ROW()-1,설정!$L$28),""),"")</f>
        <v/>
      </c>
      <c r="G402" s="97" t="str">
        <f aca="false">IFERROR(IF(ISNUMBER(INDEX(원자료_시장!$A$1:$BZ$1000,설정!$L$6+ROW()-1,설정!$L$29)),INDEX(원자료_시장!$A$1:$BZ$1000,설정!$L$6+ROW()-1,설정!$L$29),""),"")</f>
        <v/>
      </c>
      <c r="H402" s="97" t="str">
        <f aca="false">IFERROR(IF(ISNUMBER(INDEX(원자료_시장!$A$1:$BZ$1000,설정!$L$6+ROW()-1,설정!$L$30)),INDEX(원자료_시장!$A$1:$BZ$1000,설정!$L$6+ROW()-1,설정!$L$30),""),"")</f>
        <v/>
      </c>
      <c r="I402" s="97" t="str">
        <f aca="false">IFERROR(IF(ISNUMBER(INDEX(원자료_시장!$A$1:$BZ$1000,설정!$L$6+ROW()-1,설정!$L$31)),INDEX(원자료_시장!$A$1:$BZ$1000,설정!$L$6+ROW()-1,설정!$L$31),""),"")</f>
        <v/>
      </c>
      <c r="J402" s="97" t="str">
        <f aca="false">IFERROR(IF(ISNUMBER(INDEX(원자료_시장!$A$1:$BZ$1000,설정!$L$6+ROW()-1,설정!$L$32)),INDEX(원자료_시장!$A$1:$BZ$1000,설정!$L$6+ROW()-1,설정!$L$32),""),"")</f>
        <v/>
      </c>
      <c r="K402" s="85" t="str">
        <f aca="false">IFERROR(IF(ISNUMBER(INDEX(원자료_시장!$A$1:$BZ$1000,설정!$L$6+ROW()-1,설정!$L$33)),INDEX(원자료_시장!$A$1:$BZ$1000,설정!$L$6+ROW()-1,설정!$L$33),""),"")</f>
        <v/>
      </c>
      <c r="L402" s="83" t="n">
        <f aca="false">IFERROR(IF(INDEX(원자료_시장!$A$1:$BZ$1000,설정!$L$6+ROW()-1,설정!$L$34)&amp;""="0","",INDEX(원자료_시장!$A$1:$BZ$1000,설정!$L$6+ROW()-1,설정!$L$34)),"")</f>
        <v>0</v>
      </c>
      <c r="M402" s="83" t="n">
        <f aca="false">IFERROR(IF(INDEX(원자료_시장!$A$1:$BZ$1000,설정!$L$6+ROW()-1,설정!$L$35)&amp;""="0","",INDEX(원자료_시장!$A$1:$BZ$1000,설정!$L$6+ROW()-1,설정!$L$35)),"")</f>
        <v>0</v>
      </c>
      <c r="N402" s="83" t="n">
        <f aca="false">IFERROR(IF(INDEX(원자료_시장!$A$1:$BZ$1000,설정!$L$6+ROW()-1,설정!$L$36)&amp;""="0","",INDEX(원자료_시장!$A$1:$BZ$1000,설정!$L$6+ROW()-1,설정!$L$36)),"")</f>
        <v>0</v>
      </c>
      <c r="O402" s="43" t="str">
        <f aca="false">IF($A402="","",UPPER(LEFT($A402,FIND(" ",$A402&amp;" ")-1)))</f>
        <v/>
      </c>
      <c r="P402" s="43" t="str">
        <f aca="false">IF($A402="","",TRIM(RIGHT(SUBSTITUTE(TRIM($A402)," ",REPT(" ",30)),30)))</f>
        <v/>
      </c>
      <c r="Q402" s="98" t="str">
        <f aca="false">IF($A402="","",IFERROR(DATE(IF(LEN(P402)=8,2000+VALUE(RIGHT(P402,2)),VALUE(RIGHT(P402,4))),VALUE(LEFT(P402,2)),VALUE(MID(P402,4,2))),""))</f>
        <v/>
      </c>
      <c r="R402" s="89" t="n">
        <f aca="false">IF($A402="",0,IF(ISNUMBER(SEARCH("Float",$A402)),1,0))</f>
        <v>0</v>
      </c>
      <c r="S402" s="43" t="str">
        <f aca="false">IF($A402="","",TRIM(MID($A402,LEN(O402)+2,LEN($A402)-LEN(O402)-LEN(P402)-1)))</f>
        <v/>
      </c>
      <c r="T402" s="92" t="str">
        <f aca="false">IF(OR($A402="",R402=1),"",IFERROR(IF(ISNUMBER(FIND("/",S402)),IF(ISNUMBER(FIND(" ",S402)),VALUE(LEFT(S402,FIND(" ",S402)-1))+VALUE(MID(S402,FIND(" ",S402)+1,FIND("/",S402)-FIND(" ",S402)-1))/VALUE(MID(S402,FIND("/",S402)+1,9)),VALUE(LEFT(S402,FIND("/",S402)-1))/VALUE(MID(S402,FIND("/",S402)+1,9))),VALUE(S402)),""))</f>
        <v/>
      </c>
      <c r="U402" s="43" t="str">
        <f aca="false">IF(OR($A402="",NOT(ISNUMBER(Q402))),"",TEXT(Q402,"yyyymmdd")&amp;"|"&amp;IF(R402=1,"F",TEXT(T402,"0.000")))</f>
        <v/>
      </c>
      <c r="V402" s="43" t="str">
        <f aca="false">IF(U402="","",O402&amp;"|"&amp;U402)</f>
        <v/>
      </c>
      <c r="W402" s="43" t="str">
        <f aca="false">IF($A402="","",IFERROR(IF(VLOOKUP(O402,매핑!$A$4:$E$92,3,0)="","미분류",VLOOKUP(O402,매핑!$A$4:$E$92,3,0)),"미분류"))</f>
        <v/>
      </c>
      <c r="X402" s="89" t="n">
        <f aca="false">IF($A402="",0,IF(O402="T",1,0))</f>
        <v>0</v>
      </c>
      <c r="Y402" s="89" t="n">
        <f aca="false">IF($A402="",0,IF(AND(C402="USD",X402=0,ISNUMBER(E402),ISNUMBER(K402)),IF(K402&gt;=설정!$C$8,1,0),0))</f>
        <v>0</v>
      </c>
      <c r="Z402" s="43" t="str">
        <f aca="false">IF($A402="","",N402&amp;"|"&amp;L402)</f>
        <v/>
      </c>
      <c r="AA402" s="92" t="n">
        <f aca="false">IF(Y402=1,LN(K402),0)</f>
        <v>0</v>
      </c>
      <c r="AB402" s="93" t="n">
        <f aca="false">IF(Y402=1,E402,0)</f>
        <v>0</v>
      </c>
      <c r="AC402" s="89" t="n">
        <f aca="false">IF(Y402=1,COUNTIFS($Z$2:$Z$601,Z402,$Y$2:$Y$601,1),0)</f>
        <v>0</v>
      </c>
      <c r="AD402" s="89" t="n">
        <f aca="false">IF(Y402=1,COUNTIFS($N$2:$N$601,N402,$Y$2:$Y$601,1),0)</f>
        <v>0</v>
      </c>
      <c r="AE402" s="43" t="str">
        <f aca="false">IF(Y402&lt;&gt;1,"",IF(AND(AC402&gt;=설정!$C$7,ISNUMBER(MATCH(Z402,피어커브!$A:$A,0))),Z402,IF(AND(AD402&gt;=설정!$C$7,ISNUMBER(MATCH(N402&amp;"|전체",피어커브!$A:$A,0))),N402&amp;"|전체","전체|전체")))</f>
        <v/>
      </c>
      <c r="AF402" s="93" t="str">
        <f aca="false">IF(AE402="","",INDEX(피어커브!$K:$K,MATCH(AE402,피어커브!$A:$A,0)))</f>
        <v/>
      </c>
      <c r="AG402" s="93" t="str">
        <f aca="false">IF(AE402="","",INDEX(피어커브!$J:$J,MATCH(AE402,피어커브!$A:$A,0)))</f>
        <v/>
      </c>
      <c r="AH402" s="93" t="str">
        <f aca="false">IF(AE402="","",INDEX(피어커브!$L:$L,MATCH(AE402,피어커브!$A:$A,0)))</f>
        <v/>
      </c>
      <c r="AI402" s="93" t="str">
        <f aca="false">IF(AE402="","",AF402+AG402*AA402)</f>
        <v/>
      </c>
      <c r="AJ402" s="96" t="str">
        <f aca="false">IF(AE402="","",E402-AI402)</f>
        <v/>
      </c>
      <c r="AK402" s="95" t="str">
        <f aca="false">IF(AE402="","",IF(ISNUMBER(AH402),IF(AH402&gt;0,AJ402/AH402,""),""))</f>
        <v/>
      </c>
      <c r="AL402" s="43" t="str">
        <f aca="false">IF(AK402="","-",IF(AK402&gt;=설정!$C$6,"Cheap",IF(AK402&lt;=-설정!$C$6,"Rich","Fair")))</f>
        <v>-</v>
      </c>
      <c r="AM402" s="96" t="str">
        <f aca="false">IF(AE402="","",AJ402-AVERAGEIFS($AJ$2:$AJ$601,$B$2:$B$601,B402,$Y$2:$Y$601,1))</f>
        <v/>
      </c>
      <c r="AN402" s="93" t="n">
        <f aca="false">IF(AE402="",0,IF(K402&gt;1+설정!$C$8,AG402*(AA402-LN(K402-1)),0))</f>
        <v>0</v>
      </c>
      <c r="AO402" s="99" t="n">
        <f aca="false">IF($A402="",0,SUMIFS(보유분석!$AA$2:$AA$801,보유분석!$AB$2:$AB$801,ROW(),보유분석!$AC$2:$AC$801,1))</f>
        <v>0</v>
      </c>
      <c r="AP402" s="43" t="str">
        <f aca="false">IF($A402="","",TRIM(IF(R402=1,"FRN ","")&amp;IF(IFERROR(VLOOKUP(M402,설정!$A$15:$D$47,4,0),0)&gt;=10,IF(IFERROR(VLOOKUP(M402,설정!$A$15:$D$47,4,0),0)&lt;99,"BBB0미만 ",""),"")&amp;IF(OR(M402="",M402="NR"),"등급미입력 ","")&amp;IF(C402&lt;&gt;"USD","비USD ","")))</f>
        <v/>
      </c>
      <c r="AQ402" s="90" t="n">
        <f aca="false">IF(AND(Y402=1,AL402="Cheap"),IF(AND(ISERROR(SEARCH("FRN",AP402)),ISERROR(SEARCH("BBB0미만",AP402))),AK402+ROW()/1000000000,-999),-999)</f>
        <v>-999</v>
      </c>
      <c r="AR402" s="92" t="str">
        <f aca="false">IF(AND(ISNUMBER(D402),ISNUMBER(K402)),D402+AN402*MAX(K402-1,0)/100,"")</f>
        <v/>
      </c>
      <c r="AS402" s="93" t="str">
        <f aca="false">IF(AND(ISNUMBER(E402),ISNUMBER(K402)),IF(K402&gt;0,(E402+AN402*MAX(K402-1,0))/K402,""),"")</f>
        <v/>
      </c>
      <c r="AT402" s="90" t="n">
        <f aca="false">IFERROR(IF(AND(Y402=1,ROW()&lt;&gt;스왑분석!$C$12+1,ABS(K402-INDEX($K$2:$K$601,스왑분석!$C$12))&lt;=스왑분석!$C$5,ISERROR(SEARCH("FRN",AP402)),ISERROR(SEARCH("BBB0미만",AP402))),IF(AND(OR(스왑분석!$C$6="N",L402=INDEX($L$2:$L$601,스왑분석!$C$12)),OR(스왑분석!$C$7="N",N402=INDEX($N$2:$N$601,스왑분석!$C$12)),OR(스왑분석!$C$8="N",AO402=0),E402-INDEX($E$2:$E$601,스왑분석!$C$12)&gt;=스왑분석!$C$9),E402-INDEX($E$2:$E$601,스왑분석!$C$12)+ROW()/1000000000,-999),-999),-999)</f>
        <v>-999</v>
      </c>
      <c r="AU402" s="90" t="n">
        <f aca="false">IF(AND(Y402=1,AO402&gt;0,AL402="Rich"),-AK402+ROW()/1000000000,-999)</f>
        <v>-999</v>
      </c>
    </row>
    <row r="403" customFormat="false" ht="15" hidden="false" customHeight="false" outlineLevel="0" collapsed="false">
      <c r="A403" s="83" t="n">
        <f aca="false">IFERROR(IF(INDEX(원자료_시장!$A$1:$BZ$1000,설정!$L$6+ROW()-1,설정!$L$24)&amp;""="0","",INDEX(원자료_시장!$A$1:$BZ$1000,설정!$L$6+ROW()-1,설정!$L$24)),"")</f>
        <v>0</v>
      </c>
      <c r="B403" s="83" t="n">
        <f aca="false">IFERROR(IF(INDEX(원자료_시장!$A$1:$BZ$1000,설정!$L$6+ROW()-1,설정!$L$37)&amp;""="0","",INDEX(원자료_시장!$A$1:$BZ$1000,설정!$L$6+ROW()-1,설정!$L$37)),"")</f>
        <v>0</v>
      </c>
      <c r="C403" s="83" t="n">
        <f aca="false">IFERROR(IF(INDEX(원자료_시장!$A$1:$BZ$1000,설정!$L$6+ROW()-1,설정!$L$25)&amp;""="0","",INDEX(원자료_시장!$A$1:$BZ$1000,설정!$L$6+ROW()-1,설정!$L$25)),"")</f>
        <v>0</v>
      </c>
      <c r="D403" s="85" t="str">
        <f aca="false">IFERROR(IF(ISNUMBER(INDEX(원자료_시장!$A$1:$BZ$1000,설정!$L$6+ROW()-1,설정!$L$26)),INDEX(원자료_시장!$A$1:$BZ$1000,설정!$L$6+ROW()-1,설정!$L$26),""),"")</f>
        <v/>
      </c>
      <c r="E403" s="97" t="str">
        <f aca="false">IFERROR(IF(ISNUMBER(INDEX(원자료_시장!$A$1:$BZ$1000,설정!$L$6+ROW()-1,설정!$L$27)),INDEX(원자료_시장!$A$1:$BZ$1000,설정!$L$6+ROW()-1,설정!$L$27),""),"")</f>
        <v/>
      </c>
      <c r="F403" s="97" t="str">
        <f aca="false">IFERROR(IF(ISNUMBER(INDEX(원자료_시장!$A$1:$BZ$1000,설정!$L$6+ROW()-1,설정!$L$28)),INDEX(원자료_시장!$A$1:$BZ$1000,설정!$L$6+ROW()-1,설정!$L$28),""),"")</f>
        <v/>
      </c>
      <c r="G403" s="97" t="str">
        <f aca="false">IFERROR(IF(ISNUMBER(INDEX(원자료_시장!$A$1:$BZ$1000,설정!$L$6+ROW()-1,설정!$L$29)),INDEX(원자료_시장!$A$1:$BZ$1000,설정!$L$6+ROW()-1,설정!$L$29),""),"")</f>
        <v/>
      </c>
      <c r="H403" s="97" t="str">
        <f aca="false">IFERROR(IF(ISNUMBER(INDEX(원자료_시장!$A$1:$BZ$1000,설정!$L$6+ROW()-1,설정!$L$30)),INDEX(원자료_시장!$A$1:$BZ$1000,설정!$L$6+ROW()-1,설정!$L$30),""),"")</f>
        <v/>
      </c>
      <c r="I403" s="97" t="str">
        <f aca="false">IFERROR(IF(ISNUMBER(INDEX(원자료_시장!$A$1:$BZ$1000,설정!$L$6+ROW()-1,설정!$L$31)),INDEX(원자료_시장!$A$1:$BZ$1000,설정!$L$6+ROW()-1,설정!$L$31),""),"")</f>
        <v/>
      </c>
      <c r="J403" s="97" t="str">
        <f aca="false">IFERROR(IF(ISNUMBER(INDEX(원자료_시장!$A$1:$BZ$1000,설정!$L$6+ROW()-1,설정!$L$32)),INDEX(원자료_시장!$A$1:$BZ$1000,설정!$L$6+ROW()-1,설정!$L$32),""),"")</f>
        <v/>
      </c>
      <c r="K403" s="85" t="str">
        <f aca="false">IFERROR(IF(ISNUMBER(INDEX(원자료_시장!$A$1:$BZ$1000,설정!$L$6+ROW()-1,설정!$L$33)),INDEX(원자료_시장!$A$1:$BZ$1000,설정!$L$6+ROW()-1,설정!$L$33),""),"")</f>
        <v/>
      </c>
      <c r="L403" s="83" t="n">
        <f aca="false">IFERROR(IF(INDEX(원자료_시장!$A$1:$BZ$1000,설정!$L$6+ROW()-1,설정!$L$34)&amp;""="0","",INDEX(원자료_시장!$A$1:$BZ$1000,설정!$L$6+ROW()-1,설정!$L$34)),"")</f>
        <v>0</v>
      </c>
      <c r="M403" s="83" t="n">
        <f aca="false">IFERROR(IF(INDEX(원자료_시장!$A$1:$BZ$1000,설정!$L$6+ROW()-1,설정!$L$35)&amp;""="0","",INDEX(원자료_시장!$A$1:$BZ$1000,설정!$L$6+ROW()-1,설정!$L$35)),"")</f>
        <v>0</v>
      </c>
      <c r="N403" s="83" t="n">
        <f aca="false">IFERROR(IF(INDEX(원자료_시장!$A$1:$BZ$1000,설정!$L$6+ROW()-1,설정!$L$36)&amp;""="0","",INDEX(원자료_시장!$A$1:$BZ$1000,설정!$L$6+ROW()-1,설정!$L$36)),"")</f>
        <v>0</v>
      </c>
      <c r="O403" s="43" t="str">
        <f aca="false">IF($A403="","",UPPER(LEFT($A403,FIND(" ",$A403&amp;" ")-1)))</f>
        <v/>
      </c>
      <c r="P403" s="43" t="str">
        <f aca="false">IF($A403="","",TRIM(RIGHT(SUBSTITUTE(TRIM($A403)," ",REPT(" ",30)),30)))</f>
        <v/>
      </c>
      <c r="Q403" s="98" t="str">
        <f aca="false">IF($A403="","",IFERROR(DATE(IF(LEN(P403)=8,2000+VALUE(RIGHT(P403,2)),VALUE(RIGHT(P403,4))),VALUE(LEFT(P403,2)),VALUE(MID(P403,4,2))),""))</f>
        <v/>
      </c>
      <c r="R403" s="89" t="n">
        <f aca="false">IF($A403="",0,IF(ISNUMBER(SEARCH("Float",$A403)),1,0))</f>
        <v>0</v>
      </c>
      <c r="S403" s="43" t="str">
        <f aca="false">IF($A403="","",TRIM(MID($A403,LEN(O403)+2,LEN($A403)-LEN(O403)-LEN(P403)-1)))</f>
        <v/>
      </c>
      <c r="T403" s="92" t="str">
        <f aca="false">IF(OR($A403="",R403=1),"",IFERROR(IF(ISNUMBER(FIND("/",S403)),IF(ISNUMBER(FIND(" ",S403)),VALUE(LEFT(S403,FIND(" ",S403)-1))+VALUE(MID(S403,FIND(" ",S403)+1,FIND("/",S403)-FIND(" ",S403)-1))/VALUE(MID(S403,FIND("/",S403)+1,9)),VALUE(LEFT(S403,FIND("/",S403)-1))/VALUE(MID(S403,FIND("/",S403)+1,9))),VALUE(S403)),""))</f>
        <v/>
      </c>
      <c r="U403" s="43" t="str">
        <f aca="false">IF(OR($A403="",NOT(ISNUMBER(Q403))),"",TEXT(Q403,"yyyymmdd")&amp;"|"&amp;IF(R403=1,"F",TEXT(T403,"0.000")))</f>
        <v/>
      </c>
      <c r="V403" s="43" t="str">
        <f aca="false">IF(U403="","",O403&amp;"|"&amp;U403)</f>
        <v/>
      </c>
      <c r="W403" s="43" t="str">
        <f aca="false">IF($A403="","",IFERROR(IF(VLOOKUP(O403,매핑!$A$4:$E$92,3,0)="","미분류",VLOOKUP(O403,매핑!$A$4:$E$92,3,0)),"미분류"))</f>
        <v/>
      </c>
      <c r="X403" s="89" t="n">
        <f aca="false">IF($A403="",0,IF(O403="T",1,0))</f>
        <v>0</v>
      </c>
      <c r="Y403" s="89" t="n">
        <f aca="false">IF($A403="",0,IF(AND(C403="USD",X403=0,ISNUMBER(E403),ISNUMBER(K403)),IF(K403&gt;=설정!$C$8,1,0),0))</f>
        <v>0</v>
      </c>
      <c r="Z403" s="43" t="str">
        <f aca="false">IF($A403="","",N403&amp;"|"&amp;L403)</f>
        <v/>
      </c>
      <c r="AA403" s="92" t="n">
        <f aca="false">IF(Y403=1,LN(K403),0)</f>
        <v>0</v>
      </c>
      <c r="AB403" s="93" t="n">
        <f aca="false">IF(Y403=1,E403,0)</f>
        <v>0</v>
      </c>
      <c r="AC403" s="89" t="n">
        <f aca="false">IF(Y403=1,COUNTIFS($Z$2:$Z$601,Z403,$Y$2:$Y$601,1),0)</f>
        <v>0</v>
      </c>
      <c r="AD403" s="89" t="n">
        <f aca="false">IF(Y403=1,COUNTIFS($N$2:$N$601,N403,$Y$2:$Y$601,1),0)</f>
        <v>0</v>
      </c>
      <c r="AE403" s="43" t="str">
        <f aca="false">IF(Y403&lt;&gt;1,"",IF(AND(AC403&gt;=설정!$C$7,ISNUMBER(MATCH(Z403,피어커브!$A:$A,0))),Z403,IF(AND(AD403&gt;=설정!$C$7,ISNUMBER(MATCH(N403&amp;"|전체",피어커브!$A:$A,0))),N403&amp;"|전체","전체|전체")))</f>
        <v/>
      </c>
      <c r="AF403" s="93" t="str">
        <f aca="false">IF(AE403="","",INDEX(피어커브!$K:$K,MATCH(AE403,피어커브!$A:$A,0)))</f>
        <v/>
      </c>
      <c r="AG403" s="93" t="str">
        <f aca="false">IF(AE403="","",INDEX(피어커브!$J:$J,MATCH(AE403,피어커브!$A:$A,0)))</f>
        <v/>
      </c>
      <c r="AH403" s="93" t="str">
        <f aca="false">IF(AE403="","",INDEX(피어커브!$L:$L,MATCH(AE403,피어커브!$A:$A,0)))</f>
        <v/>
      </c>
      <c r="AI403" s="93" t="str">
        <f aca="false">IF(AE403="","",AF403+AG403*AA403)</f>
        <v/>
      </c>
      <c r="AJ403" s="96" t="str">
        <f aca="false">IF(AE403="","",E403-AI403)</f>
        <v/>
      </c>
      <c r="AK403" s="95" t="str">
        <f aca="false">IF(AE403="","",IF(ISNUMBER(AH403),IF(AH403&gt;0,AJ403/AH403,""),""))</f>
        <v/>
      </c>
      <c r="AL403" s="43" t="str">
        <f aca="false">IF(AK403="","-",IF(AK403&gt;=설정!$C$6,"Cheap",IF(AK403&lt;=-설정!$C$6,"Rich","Fair")))</f>
        <v>-</v>
      </c>
      <c r="AM403" s="96" t="str">
        <f aca="false">IF(AE403="","",AJ403-AVERAGEIFS($AJ$2:$AJ$601,$B$2:$B$601,B403,$Y$2:$Y$601,1))</f>
        <v/>
      </c>
      <c r="AN403" s="93" t="n">
        <f aca="false">IF(AE403="",0,IF(K403&gt;1+설정!$C$8,AG403*(AA403-LN(K403-1)),0))</f>
        <v>0</v>
      </c>
      <c r="AO403" s="99" t="n">
        <f aca="false">IF($A403="",0,SUMIFS(보유분석!$AA$2:$AA$801,보유분석!$AB$2:$AB$801,ROW(),보유분석!$AC$2:$AC$801,1))</f>
        <v>0</v>
      </c>
      <c r="AP403" s="43" t="str">
        <f aca="false">IF($A403="","",TRIM(IF(R403=1,"FRN ","")&amp;IF(IFERROR(VLOOKUP(M403,설정!$A$15:$D$47,4,0),0)&gt;=10,IF(IFERROR(VLOOKUP(M403,설정!$A$15:$D$47,4,0),0)&lt;99,"BBB0미만 ",""),"")&amp;IF(OR(M403="",M403="NR"),"등급미입력 ","")&amp;IF(C403&lt;&gt;"USD","비USD ","")))</f>
        <v/>
      </c>
      <c r="AQ403" s="90" t="n">
        <f aca="false">IF(AND(Y403=1,AL403="Cheap"),IF(AND(ISERROR(SEARCH("FRN",AP403)),ISERROR(SEARCH("BBB0미만",AP403))),AK403+ROW()/1000000000,-999),-999)</f>
        <v>-999</v>
      </c>
      <c r="AR403" s="92" t="str">
        <f aca="false">IF(AND(ISNUMBER(D403),ISNUMBER(K403)),D403+AN403*MAX(K403-1,0)/100,"")</f>
        <v/>
      </c>
      <c r="AS403" s="93" t="str">
        <f aca="false">IF(AND(ISNUMBER(E403),ISNUMBER(K403)),IF(K403&gt;0,(E403+AN403*MAX(K403-1,0))/K403,""),"")</f>
        <v/>
      </c>
      <c r="AT403" s="90" t="n">
        <f aca="false">IFERROR(IF(AND(Y403=1,ROW()&lt;&gt;스왑분석!$C$12+1,ABS(K403-INDEX($K$2:$K$601,스왑분석!$C$12))&lt;=스왑분석!$C$5,ISERROR(SEARCH("FRN",AP403)),ISERROR(SEARCH("BBB0미만",AP403))),IF(AND(OR(스왑분석!$C$6="N",L403=INDEX($L$2:$L$601,스왑분석!$C$12)),OR(스왑분석!$C$7="N",N403=INDEX($N$2:$N$601,스왑분석!$C$12)),OR(스왑분석!$C$8="N",AO403=0),E403-INDEX($E$2:$E$601,스왑분석!$C$12)&gt;=스왑분석!$C$9),E403-INDEX($E$2:$E$601,스왑분석!$C$12)+ROW()/1000000000,-999),-999),-999)</f>
        <v>-999</v>
      </c>
      <c r="AU403" s="90" t="n">
        <f aca="false">IF(AND(Y403=1,AO403&gt;0,AL403="Rich"),-AK403+ROW()/1000000000,-999)</f>
        <v>-999</v>
      </c>
    </row>
    <row r="404" customFormat="false" ht="15" hidden="false" customHeight="false" outlineLevel="0" collapsed="false">
      <c r="A404" s="83" t="n">
        <f aca="false">IFERROR(IF(INDEX(원자료_시장!$A$1:$BZ$1000,설정!$L$6+ROW()-1,설정!$L$24)&amp;""="0","",INDEX(원자료_시장!$A$1:$BZ$1000,설정!$L$6+ROW()-1,설정!$L$24)),"")</f>
        <v>0</v>
      </c>
      <c r="B404" s="83" t="n">
        <f aca="false">IFERROR(IF(INDEX(원자료_시장!$A$1:$BZ$1000,설정!$L$6+ROW()-1,설정!$L$37)&amp;""="0","",INDEX(원자료_시장!$A$1:$BZ$1000,설정!$L$6+ROW()-1,설정!$L$37)),"")</f>
        <v>0</v>
      </c>
      <c r="C404" s="83" t="n">
        <f aca="false">IFERROR(IF(INDEX(원자료_시장!$A$1:$BZ$1000,설정!$L$6+ROW()-1,설정!$L$25)&amp;""="0","",INDEX(원자료_시장!$A$1:$BZ$1000,설정!$L$6+ROW()-1,설정!$L$25)),"")</f>
        <v>0</v>
      </c>
      <c r="D404" s="85" t="str">
        <f aca="false">IFERROR(IF(ISNUMBER(INDEX(원자료_시장!$A$1:$BZ$1000,설정!$L$6+ROW()-1,설정!$L$26)),INDEX(원자료_시장!$A$1:$BZ$1000,설정!$L$6+ROW()-1,설정!$L$26),""),"")</f>
        <v/>
      </c>
      <c r="E404" s="97" t="str">
        <f aca="false">IFERROR(IF(ISNUMBER(INDEX(원자료_시장!$A$1:$BZ$1000,설정!$L$6+ROW()-1,설정!$L$27)),INDEX(원자료_시장!$A$1:$BZ$1000,설정!$L$6+ROW()-1,설정!$L$27),""),"")</f>
        <v/>
      </c>
      <c r="F404" s="97" t="str">
        <f aca="false">IFERROR(IF(ISNUMBER(INDEX(원자료_시장!$A$1:$BZ$1000,설정!$L$6+ROW()-1,설정!$L$28)),INDEX(원자료_시장!$A$1:$BZ$1000,설정!$L$6+ROW()-1,설정!$L$28),""),"")</f>
        <v/>
      </c>
      <c r="G404" s="97" t="str">
        <f aca="false">IFERROR(IF(ISNUMBER(INDEX(원자료_시장!$A$1:$BZ$1000,설정!$L$6+ROW()-1,설정!$L$29)),INDEX(원자료_시장!$A$1:$BZ$1000,설정!$L$6+ROW()-1,설정!$L$29),""),"")</f>
        <v/>
      </c>
      <c r="H404" s="97" t="str">
        <f aca="false">IFERROR(IF(ISNUMBER(INDEX(원자료_시장!$A$1:$BZ$1000,설정!$L$6+ROW()-1,설정!$L$30)),INDEX(원자료_시장!$A$1:$BZ$1000,설정!$L$6+ROW()-1,설정!$L$30),""),"")</f>
        <v/>
      </c>
      <c r="I404" s="97" t="str">
        <f aca="false">IFERROR(IF(ISNUMBER(INDEX(원자료_시장!$A$1:$BZ$1000,설정!$L$6+ROW()-1,설정!$L$31)),INDEX(원자료_시장!$A$1:$BZ$1000,설정!$L$6+ROW()-1,설정!$L$31),""),"")</f>
        <v/>
      </c>
      <c r="J404" s="97" t="str">
        <f aca="false">IFERROR(IF(ISNUMBER(INDEX(원자료_시장!$A$1:$BZ$1000,설정!$L$6+ROW()-1,설정!$L$32)),INDEX(원자료_시장!$A$1:$BZ$1000,설정!$L$6+ROW()-1,설정!$L$32),""),"")</f>
        <v/>
      </c>
      <c r="K404" s="85" t="str">
        <f aca="false">IFERROR(IF(ISNUMBER(INDEX(원자료_시장!$A$1:$BZ$1000,설정!$L$6+ROW()-1,설정!$L$33)),INDEX(원자료_시장!$A$1:$BZ$1000,설정!$L$6+ROW()-1,설정!$L$33),""),"")</f>
        <v/>
      </c>
      <c r="L404" s="83" t="n">
        <f aca="false">IFERROR(IF(INDEX(원자료_시장!$A$1:$BZ$1000,설정!$L$6+ROW()-1,설정!$L$34)&amp;""="0","",INDEX(원자료_시장!$A$1:$BZ$1000,설정!$L$6+ROW()-1,설정!$L$34)),"")</f>
        <v>0</v>
      </c>
      <c r="M404" s="83" t="n">
        <f aca="false">IFERROR(IF(INDEX(원자료_시장!$A$1:$BZ$1000,설정!$L$6+ROW()-1,설정!$L$35)&amp;""="0","",INDEX(원자료_시장!$A$1:$BZ$1000,설정!$L$6+ROW()-1,설정!$L$35)),"")</f>
        <v>0</v>
      </c>
      <c r="N404" s="83" t="n">
        <f aca="false">IFERROR(IF(INDEX(원자료_시장!$A$1:$BZ$1000,설정!$L$6+ROW()-1,설정!$L$36)&amp;""="0","",INDEX(원자료_시장!$A$1:$BZ$1000,설정!$L$6+ROW()-1,설정!$L$36)),"")</f>
        <v>0</v>
      </c>
      <c r="O404" s="43" t="str">
        <f aca="false">IF($A404="","",UPPER(LEFT($A404,FIND(" ",$A404&amp;" ")-1)))</f>
        <v/>
      </c>
      <c r="P404" s="43" t="str">
        <f aca="false">IF($A404="","",TRIM(RIGHT(SUBSTITUTE(TRIM($A404)," ",REPT(" ",30)),30)))</f>
        <v/>
      </c>
      <c r="Q404" s="98" t="str">
        <f aca="false">IF($A404="","",IFERROR(DATE(IF(LEN(P404)=8,2000+VALUE(RIGHT(P404,2)),VALUE(RIGHT(P404,4))),VALUE(LEFT(P404,2)),VALUE(MID(P404,4,2))),""))</f>
        <v/>
      </c>
      <c r="R404" s="89" t="n">
        <f aca="false">IF($A404="",0,IF(ISNUMBER(SEARCH("Float",$A404)),1,0))</f>
        <v>0</v>
      </c>
      <c r="S404" s="43" t="str">
        <f aca="false">IF($A404="","",TRIM(MID($A404,LEN(O404)+2,LEN($A404)-LEN(O404)-LEN(P404)-1)))</f>
        <v/>
      </c>
      <c r="T404" s="92" t="str">
        <f aca="false">IF(OR($A404="",R404=1),"",IFERROR(IF(ISNUMBER(FIND("/",S404)),IF(ISNUMBER(FIND(" ",S404)),VALUE(LEFT(S404,FIND(" ",S404)-1))+VALUE(MID(S404,FIND(" ",S404)+1,FIND("/",S404)-FIND(" ",S404)-1))/VALUE(MID(S404,FIND("/",S404)+1,9)),VALUE(LEFT(S404,FIND("/",S404)-1))/VALUE(MID(S404,FIND("/",S404)+1,9))),VALUE(S404)),""))</f>
        <v/>
      </c>
      <c r="U404" s="43" t="str">
        <f aca="false">IF(OR($A404="",NOT(ISNUMBER(Q404))),"",TEXT(Q404,"yyyymmdd")&amp;"|"&amp;IF(R404=1,"F",TEXT(T404,"0.000")))</f>
        <v/>
      </c>
      <c r="V404" s="43" t="str">
        <f aca="false">IF(U404="","",O404&amp;"|"&amp;U404)</f>
        <v/>
      </c>
      <c r="W404" s="43" t="str">
        <f aca="false">IF($A404="","",IFERROR(IF(VLOOKUP(O404,매핑!$A$4:$E$92,3,0)="","미분류",VLOOKUP(O404,매핑!$A$4:$E$92,3,0)),"미분류"))</f>
        <v/>
      </c>
      <c r="X404" s="89" t="n">
        <f aca="false">IF($A404="",0,IF(O404="T",1,0))</f>
        <v>0</v>
      </c>
      <c r="Y404" s="89" t="n">
        <f aca="false">IF($A404="",0,IF(AND(C404="USD",X404=0,ISNUMBER(E404),ISNUMBER(K404)),IF(K404&gt;=설정!$C$8,1,0),0))</f>
        <v>0</v>
      </c>
      <c r="Z404" s="43" t="str">
        <f aca="false">IF($A404="","",N404&amp;"|"&amp;L404)</f>
        <v/>
      </c>
      <c r="AA404" s="92" t="n">
        <f aca="false">IF(Y404=1,LN(K404),0)</f>
        <v>0</v>
      </c>
      <c r="AB404" s="93" t="n">
        <f aca="false">IF(Y404=1,E404,0)</f>
        <v>0</v>
      </c>
      <c r="AC404" s="89" t="n">
        <f aca="false">IF(Y404=1,COUNTIFS($Z$2:$Z$601,Z404,$Y$2:$Y$601,1),0)</f>
        <v>0</v>
      </c>
      <c r="AD404" s="89" t="n">
        <f aca="false">IF(Y404=1,COUNTIFS($N$2:$N$601,N404,$Y$2:$Y$601,1),0)</f>
        <v>0</v>
      </c>
      <c r="AE404" s="43" t="str">
        <f aca="false">IF(Y404&lt;&gt;1,"",IF(AND(AC404&gt;=설정!$C$7,ISNUMBER(MATCH(Z404,피어커브!$A:$A,0))),Z404,IF(AND(AD404&gt;=설정!$C$7,ISNUMBER(MATCH(N404&amp;"|전체",피어커브!$A:$A,0))),N404&amp;"|전체","전체|전체")))</f>
        <v/>
      </c>
      <c r="AF404" s="93" t="str">
        <f aca="false">IF(AE404="","",INDEX(피어커브!$K:$K,MATCH(AE404,피어커브!$A:$A,0)))</f>
        <v/>
      </c>
      <c r="AG404" s="93" t="str">
        <f aca="false">IF(AE404="","",INDEX(피어커브!$J:$J,MATCH(AE404,피어커브!$A:$A,0)))</f>
        <v/>
      </c>
      <c r="AH404" s="93" t="str">
        <f aca="false">IF(AE404="","",INDEX(피어커브!$L:$L,MATCH(AE404,피어커브!$A:$A,0)))</f>
        <v/>
      </c>
      <c r="AI404" s="93" t="str">
        <f aca="false">IF(AE404="","",AF404+AG404*AA404)</f>
        <v/>
      </c>
      <c r="AJ404" s="96" t="str">
        <f aca="false">IF(AE404="","",E404-AI404)</f>
        <v/>
      </c>
      <c r="AK404" s="95" t="str">
        <f aca="false">IF(AE404="","",IF(ISNUMBER(AH404),IF(AH404&gt;0,AJ404/AH404,""),""))</f>
        <v/>
      </c>
      <c r="AL404" s="43" t="str">
        <f aca="false">IF(AK404="","-",IF(AK404&gt;=설정!$C$6,"Cheap",IF(AK404&lt;=-설정!$C$6,"Rich","Fair")))</f>
        <v>-</v>
      </c>
      <c r="AM404" s="96" t="str">
        <f aca="false">IF(AE404="","",AJ404-AVERAGEIFS($AJ$2:$AJ$601,$B$2:$B$601,B404,$Y$2:$Y$601,1))</f>
        <v/>
      </c>
      <c r="AN404" s="93" t="n">
        <f aca="false">IF(AE404="",0,IF(K404&gt;1+설정!$C$8,AG404*(AA404-LN(K404-1)),0))</f>
        <v>0</v>
      </c>
      <c r="AO404" s="99" t="n">
        <f aca="false">IF($A404="",0,SUMIFS(보유분석!$AA$2:$AA$801,보유분석!$AB$2:$AB$801,ROW(),보유분석!$AC$2:$AC$801,1))</f>
        <v>0</v>
      </c>
      <c r="AP404" s="43" t="str">
        <f aca="false">IF($A404="","",TRIM(IF(R404=1,"FRN ","")&amp;IF(IFERROR(VLOOKUP(M404,설정!$A$15:$D$47,4,0),0)&gt;=10,IF(IFERROR(VLOOKUP(M404,설정!$A$15:$D$47,4,0),0)&lt;99,"BBB0미만 ",""),"")&amp;IF(OR(M404="",M404="NR"),"등급미입력 ","")&amp;IF(C404&lt;&gt;"USD","비USD ","")))</f>
        <v/>
      </c>
      <c r="AQ404" s="90" t="n">
        <f aca="false">IF(AND(Y404=1,AL404="Cheap"),IF(AND(ISERROR(SEARCH("FRN",AP404)),ISERROR(SEARCH("BBB0미만",AP404))),AK404+ROW()/1000000000,-999),-999)</f>
        <v>-999</v>
      </c>
      <c r="AR404" s="92" t="str">
        <f aca="false">IF(AND(ISNUMBER(D404),ISNUMBER(K404)),D404+AN404*MAX(K404-1,0)/100,"")</f>
        <v/>
      </c>
      <c r="AS404" s="93" t="str">
        <f aca="false">IF(AND(ISNUMBER(E404),ISNUMBER(K404)),IF(K404&gt;0,(E404+AN404*MAX(K404-1,0))/K404,""),"")</f>
        <v/>
      </c>
      <c r="AT404" s="90" t="n">
        <f aca="false">IFERROR(IF(AND(Y404=1,ROW()&lt;&gt;스왑분석!$C$12+1,ABS(K404-INDEX($K$2:$K$601,스왑분석!$C$12))&lt;=스왑분석!$C$5,ISERROR(SEARCH("FRN",AP404)),ISERROR(SEARCH("BBB0미만",AP404))),IF(AND(OR(스왑분석!$C$6="N",L404=INDEX($L$2:$L$601,스왑분석!$C$12)),OR(스왑분석!$C$7="N",N404=INDEX($N$2:$N$601,스왑분석!$C$12)),OR(스왑분석!$C$8="N",AO404=0),E404-INDEX($E$2:$E$601,스왑분석!$C$12)&gt;=스왑분석!$C$9),E404-INDEX($E$2:$E$601,스왑분석!$C$12)+ROW()/1000000000,-999),-999),-999)</f>
        <v>-999</v>
      </c>
      <c r="AU404" s="90" t="n">
        <f aca="false">IF(AND(Y404=1,AO404&gt;0,AL404="Rich"),-AK404+ROW()/1000000000,-999)</f>
        <v>-999</v>
      </c>
    </row>
    <row r="405" customFormat="false" ht="15" hidden="false" customHeight="false" outlineLevel="0" collapsed="false">
      <c r="A405" s="83" t="n">
        <f aca="false">IFERROR(IF(INDEX(원자료_시장!$A$1:$BZ$1000,설정!$L$6+ROW()-1,설정!$L$24)&amp;""="0","",INDEX(원자료_시장!$A$1:$BZ$1000,설정!$L$6+ROW()-1,설정!$L$24)),"")</f>
        <v>0</v>
      </c>
      <c r="B405" s="83" t="n">
        <f aca="false">IFERROR(IF(INDEX(원자료_시장!$A$1:$BZ$1000,설정!$L$6+ROW()-1,설정!$L$37)&amp;""="0","",INDEX(원자료_시장!$A$1:$BZ$1000,설정!$L$6+ROW()-1,설정!$L$37)),"")</f>
        <v>0</v>
      </c>
      <c r="C405" s="83" t="n">
        <f aca="false">IFERROR(IF(INDEX(원자료_시장!$A$1:$BZ$1000,설정!$L$6+ROW()-1,설정!$L$25)&amp;""="0","",INDEX(원자료_시장!$A$1:$BZ$1000,설정!$L$6+ROW()-1,설정!$L$25)),"")</f>
        <v>0</v>
      </c>
      <c r="D405" s="85" t="str">
        <f aca="false">IFERROR(IF(ISNUMBER(INDEX(원자료_시장!$A$1:$BZ$1000,설정!$L$6+ROW()-1,설정!$L$26)),INDEX(원자료_시장!$A$1:$BZ$1000,설정!$L$6+ROW()-1,설정!$L$26),""),"")</f>
        <v/>
      </c>
      <c r="E405" s="97" t="str">
        <f aca="false">IFERROR(IF(ISNUMBER(INDEX(원자료_시장!$A$1:$BZ$1000,설정!$L$6+ROW()-1,설정!$L$27)),INDEX(원자료_시장!$A$1:$BZ$1000,설정!$L$6+ROW()-1,설정!$L$27),""),"")</f>
        <v/>
      </c>
      <c r="F405" s="97" t="str">
        <f aca="false">IFERROR(IF(ISNUMBER(INDEX(원자료_시장!$A$1:$BZ$1000,설정!$L$6+ROW()-1,설정!$L$28)),INDEX(원자료_시장!$A$1:$BZ$1000,설정!$L$6+ROW()-1,설정!$L$28),""),"")</f>
        <v/>
      </c>
      <c r="G405" s="97" t="str">
        <f aca="false">IFERROR(IF(ISNUMBER(INDEX(원자료_시장!$A$1:$BZ$1000,설정!$L$6+ROW()-1,설정!$L$29)),INDEX(원자료_시장!$A$1:$BZ$1000,설정!$L$6+ROW()-1,설정!$L$29),""),"")</f>
        <v/>
      </c>
      <c r="H405" s="97" t="str">
        <f aca="false">IFERROR(IF(ISNUMBER(INDEX(원자료_시장!$A$1:$BZ$1000,설정!$L$6+ROW()-1,설정!$L$30)),INDEX(원자료_시장!$A$1:$BZ$1000,설정!$L$6+ROW()-1,설정!$L$30),""),"")</f>
        <v/>
      </c>
      <c r="I405" s="97" t="str">
        <f aca="false">IFERROR(IF(ISNUMBER(INDEX(원자료_시장!$A$1:$BZ$1000,설정!$L$6+ROW()-1,설정!$L$31)),INDEX(원자료_시장!$A$1:$BZ$1000,설정!$L$6+ROW()-1,설정!$L$31),""),"")</f>
        <v/>
      </c>
      <c r="J405" s="97" t="str">
        <f aca="false">IFERROR(IF(ISNUMBER(INDEX(원자료_시장!$A$1:$BZ$1000,설정!$L$6+ROW()-1,설정!$L$32)),INDEX(원자료_시장!$A$1:$BZ$1000,설정!$L$6+ROW()-1,설정!$L$32),""),"")</f>
        <v/>
      </c>
      <c r="K405" s="85" t="str">
        <f aca="false">IFERROR(IF(ISNUMBER(INDEX(원자료_시장!$A$1:$BZ$1000,설정!$L$6+ROW()-1,설정!$L$33)),INDEX(원자료_시장!$A$1:$BZ$1000,설정!$L$6+ROW()-1,설정!$L$33),""),"")</f>
        <v/>
      </c>
      <c r="L405" s="83" t="n">
        <f aca="false">IFERROR(IF(INDEX(원자료_시장!$A$1:$BZ$1000,설정!$L$6+ROW()-1,설정!$L$34)&amp;""="0","",INDEX(원자료_시장!$A$1:$BZ$1000,설정!$L$6+ROW()-1,설정!$L$34)),"")</f>
        <v>0</v>
      </c>
      <c r="M405" s="83" t="n">
        <f aca="false">IFERROR(IF(INDEX(원자료_시장!$A$1:$BZ$1000,설정!$L$6+ROW()-1,설정!$L$35)&amp;""="0","",INDEX(원자료_시장!$A$1:$BZ$1000,설정!$L$6+ROW()-1,설정!$L$35)),"")</f>
        <v>0</v>
      </c>
      <c r="N405" s="83" t="n">
        <f aca="false">IFERROR(IF(INDEX(원자료_시장!$A$1:$BZ$1000,설정!$L$6+ROW()-1,설정!$L$36)&amp;""="0","",INDEX(원자료_시장!$A$1:$BZ$1000,설정!$L$6+ROW()-1,설정!$L$36)),"")</f>
        <v>0</v>
      </c>
      <c r="O405" s="43" t="str">
        <f aca="false">IF($A405="","",UPPER(LEFT($A405,FIND(" ",$A405&amp;" ")-1)))</f>
        <v/>
      </c>
      <c r="P405" s="43" t="str">
        <f aca="false">IF($A405="","",TRIM(RIGHT(SUBSTITUTE(TRIM($A405)," ",REPT(" ",30)),30)))</f>
        <v/>
      </c>
      <c r="Q405" s="98" t="str">
        <f aca="false">IF($A405="","",IFERROR(DATE(IF(LEN(P405)=8,2000+VALUE(RIGHT(P405,2)),VALUE(RIGHT(P405,4))),VALUE(LEFT(P405,2)),VALUE(MID(P405,4,2))),""))</f>
        <v/>
      </c>
      <c r="R405" s="89" t="n">
        <f aca="false">IF($A405="",0,IF(ISNUMBER(SEARCH("Float",$A405)),1,0))</f>
        <v>0</v>
      </c>
      <c r="S405" s="43" t="str">
        <f aca="false">IF($A405="","",TRIM(MID($A405,LEN(O405)+2,LEN($A405)-LEN(O405)-LEN(P405)-1)))</f>
        <v/>
      </c>
      <c r="T405" s="92" t="str">
        <f aca="false">IF(OR($A405="",R405=1),"",IFERROR(IF(ISNUMBER(FIND("/",S405)),IF(ISNUMBER(FIND(" ",S405)),VALUE(LEFT(S405,FIND(" ",S405)-1))+VALUE(MID(S405,FIND(" ",S405)+1,FIND("/",S405)-FIND(" ",S405)-1))/VALUE(MID(S405,FIND("/",S405)+1,9)),VALUE(LEFT(S405,FIND("/",S405)-1))/VALUE(MID(S405,FIND("/",S405)+1,9))),VALUE(S405)),""))</f>
        <v/>
      </c>
      <c r="U405" s="43" t="str">
        <f aca="false">IF(OR($A405="",NOT(ISNUMBER(Q405))),"",TEXT(Q405,"yyyymmdd")&amp;"|"&amp;IF(R405=1,"F",TEXT(T405,"0.000")))</f>
        <v/>
      </c>
      <c r="V405" s="43" t="str">
        <f aca="false">IF(U405="","",O405&amp;"|"&amp;U405)</f>
        <v/>
      </c>
      <c r="W405" s="43" t="str">
        <f aca="false">IF($A405="","",IFERROR(IF(VLOOKUP(O405,매핑!$A$4:$E$92,3,0)="","미분류",VLOOKUP(O405,매핑!$A$4:$E$92,3,0)),"미분류"))</f>
        <v/>
      </c>
      <c r="X405" s="89" t="n">
        <f aca="false">IF($A405="",0,IF(O405="T",1,0))</f>
        <v>0</v>
      </c>
      <c r="Y405" s="89" t="n">
        <f aca="false">IF($A405="",0,IF(AND(C405="USD",X405=0,ISNUMBER(E405),ISNUMBER(K405)),IF(K405&gt;=설정!$C$8,1,0),0))</f>
        <v>0</v>
      </c>
      <c r="Z405" s="43" t="str">
        <f aca="false">IF($A405="","",N405&amp;"|"&amp;L405)</f>
        <v/>
      </c>
      <c r="AA405" s="92" t="n">
        <f aca="false">IF(Y405=1,LN(K405),0)</f>
        <v>0</v>
      </c>
      <c r="AB405" s="93" t="n">
        <f aca="false">IF(Y405=1,E405,0)</f>
        <v>0</v>
      </c>
      <c r="AC405" s="89" t="n">
        <f aca="false">IF(Y405=1,COUNTIFS($Z$2:$Z$601,Z405,$Y$2:$Y$601,1),0)</f>
        <v>0</v>
      </c>
      <c r="AD405" s="89" t="n">
        <f aca="false">IF(Y405=1,COUNTIFS($N$2:$N$601,N405,$Y$2:$Y$601,1),0)</f>
        <v>0</v>
      </c>
      <c r="AE405" s="43" t="str">
        <f aca="false">IF(Y405&lt;&gt;1,"",IF(AND(AC405&gt;=설정!$C$7,ISNUMBER(MATCH(Z405,피어커브!$A:$A,0))),Z405,IF(AND(AD405&gt;=설정!$C$7,ISNUMBER(MATCH(N405&amp;"|전체",피어커브!$A:$A,0))),N405&amp;"|전체","전체|전체")))</f>
        <v/>
      </c>
      <c r="AF405" s="93" t="str">
        <f aca="false">IF(AE405="","",INDEX(피어커브!$K:$K,MATCH(AE405,피어커브!$A:$A,0)))</f>
        <v/>
      </c>
      <c r="AG405" s="93" t="str">
        <f aca="false">IF(AE405="","",INDEX(피어커브!$J:$J,MATCH(AE405,피어커브!$A:$A,0)))</f>
        <v/>
      </c>
      <c r="AH405" s="93" t="str">
        <f aca="false">IF(AE405="","",INDEX(피어커브!$L:$L,MATCH(AE405,피어커브!$A:$A,0)))</f>
        <v/>
      </c>
      <c r="AI405" s="93" t="str">
        <f aca="false">IF(AE405="","",AF405+AG405*AA405)</f>
        <v/>
      </c>
      <c r="AJ405" s="96" t="str">
        <f aca="false">IF(AE405="","",E405-AI405)</f>
        <v/>
      </c>
      <c r="AK405" s="95" t="str">
        <f aca="false">IF(AE405="","",IF(ISNUMBER(AH405),IF(AH405&gt;0,AJ405/AH405,""),""))</f>
        <v/>
      </c>
      <c r="AL405" s="43" t="str">
        <f aca="false">IF(AK405="","-",IF(AK405&gt;=설정!$C$6,"Cheap",IF(AK405&lt;=-설정!$C$6,"Rich","Fair")))</f>
        <v>-</v>
      </c>
      <c r="AM405" s="96" t="str">
        <f aca="false">IF(AE405="","",AJ405-AVERAGEIFS($AJ$2:$AJ$601,$B$2:$B$601,B405,$Y$2:$Y$601,1))</f>
        <v/>
      </c>
      <c r="AN405" s="93" t="n">
        <f aca="false">IF(AE405="",0,IF(K405&gt;1+설정!$C$8,AG405*(AA405-LN(K405-1)),0))</f>
        <v>0</v>
      </c>
      <c r="AO405" s="99" t="n">
        <f aca="false">IF($A405="",0,SUMIFS(보유분석!$AA$2:$AA$801,보유분석!$AB$2:$AB$801,ROW(),보유분석!$AC$2:$AC$801,1))</f>
        <v>0</v>
      </c>
      <c r="AP405" s="43" t="str">
        <f aca="false">IF($A405="","",TRIM(IF(R405=1,"FRN ","")&amp;IF(IFERROR(VLOOKUP(M405,설정!$A$15:$D$47,4,0),0)&gt;=10,IF(IFERROR(VLOOKUP(M405,설정!$A$15:$D$47,4,0),0)&lt;99,"BBB0미만 ",""),"")&amp;IF(OR(M405="",M405="NR"),"등급미입력 ","")&amp;IF(C405&lt;&gt;"USD","비USD ","")))</f>
        <v/>
      </c>
      <c r="AQ405" s="90" t="n">
        <f aca="false">IF(AND(Y405=1,AL405="Cheap"),IF(AND(ISERROR(SEARCH("FRN",AP405)),ISERROR(SEARCH("BBB0미만",AP405))),AK405+ROW()/1000000000,-999),-999)</f>
        <v>-999</v>
      </c>
      <c r="AR405" s="92" t="str">
        <f aca="false">IF(AND(ISNUMBER(D405),ISNUMBER(K405)),D405+AN405*MAX(K405-1,0)/100,"")</f>
        <v/>
      </c>
      <c r="AS405" s="93" t="str">
        <f aca="false">IF(AND(ISNUMBER(E405),ISNUMBER(K405)),IF(K405&gt;0,(E405+AN405*MAX(K405-1,0))/K405,""),"")</f>
        <v/>
      </c>
      <c r="AT405" s="90" t="n">
        <f aca="false">IFERROR(IF(AND(Y405=1,ROW()&lt;&gt;스왑분석!$C$12+1,ABS(K405-INDEX($K$2:$K$601,스왑분석!$C$12))&lt;=스왑분석!$C$5,ISERROR(SEARCH("FRN",AP405)),ISERROR(SEARCH("BBB0미만",AP405))),IF(AND(OR(스왑분석!$C$6="N",L405=INDEX($L$2:$L$601,스왑분석!$C$12)),OR(스왑분석!$C$7="N",N405=INDEX($N$2:$N$601,스왑분석!$C$12)),OR(스왑분석!$C$8="N",AO405=0),E405-INDEX($E$2:$E$601,스왑분석!$C$12)&gt;=스왑분석!$C$9),E405-INDEX($E$2:$E$601,스왑분석!$C$12)+ROW()/1000000000,-999),-999),-999)</f>
        <v>-999</v>
      </c>
      <c r="AU405" s="90" t="n">
        <f aca="false">IF(AND(Y405=1,AO405&gt;0,AL405="Rich"),-AK405+ROW()/1000000000,-999)</f>
        <v>-999</v>
      </c>
    </row>
    <row r="406" customFormat="false" ht="15" hidden="false" customHeight="false" outlineLevel="0" collapsed="false">
      <c r="A406" s="83" t="n">
        <f aca="false">IFERROR(IF(INDEX(원자료_시장!$A$1:$BZ$1000,설정!$L$6+ROW()-1,설정!$L$24)&amp;""="0","",INDEX(원자료_시장!$A$1:$BZ$1000,설정!$L$6+ROW()-1,설정!$L$24)),"")</f>
        <v>0</v>
      </c>
      <c r="B406" s="83" t="n">
        <f aca="false">IFERROR(IF(INDEX(원자료_시장!$A$1:$BZ$1000,설정!$L$6+ROW()-1,설정!$L$37)&amp;""="0","",INDEX(원자료_시장!$A$1:$BZ$1000,설정!$L$6+ROW()-1,설정!$L$37)),"")</f>
        <v>0</v>
      </c>
      <c r="C406" s="83" t="n">
        <f aca="false">IFERROR(IF(INDEX(원자료_시장!$A$1:$BZ$1000,설정!$L$6+ROW()-1,설정!$L$25)&amp;""="0","",INDEX(원자료_시장!$A$1:$BZ$1000,설정!$L$6+ROW()-1,설정!$L$25)),"")</f>
        <v>0</v>
      </c>
      <c r="D406" s="85" t="str">
        <f aca="false">IFERROR(IF(ISNUMBER(INDEX(원자료_시장!$A$1:$BZ$1000,설정!$L$6+ROW()-1,설정!$L$26)),INDEX(원자료_시장!$A$1:$BZ$1000,설정!$L$6+ROW()-1,설정!$L$26),""),"")</f>
        <v/>
      </c>
      <c r="E406" s="97" t="str">
        <f aca="false">IFERROR(IF(ISNUMBER(INDEX(원자료_시장!$A$1:$BZ$1000,설정!$L$6+ROW()-1,설정!$L$27)),INDEX(원자료_시장!$A$1:$BZ$1000,설정!$L$6+ROW()-1,설정!$L$27),""),"")</f>
        <v/>
      </c>
      <c r="F406" s="97" t="str">
        <f aca="false">IFERROR(IF(ISNUMBER(INDEX(원자료_시장!$A$1:$BZ$1000,설정!$L$6+ROW()-1,설정!$L$28)),INDEX(원자료_시장!$A$1:$BZ$1000,설정!$L$6+ROW()-1,설정!$L$28),""),"")</f>
        <v/>
      </c>
      <c r="G406" s="97" t="str">
        <f aca="false">IFERROR(IF(ISNUMBER(INDEX(원자료_시장!$A$1:$BZ$1000,설정!$L$6+ROW()-1,설정!$L$29)),INDEX(원자료_시장!$A$1:$BZ$1000,설정!$L$6+ROW()-1,설정!$L$29),""),"")</f>
        <v/>
      </c>
      <c r="H406" s="97" t="str">
        <f aca="false">IFERROR(IF(ISNUMBER(INDEX(원자료_시장!$A$1:$BZ$1000,설정!$L$6+ROW()-1,설정!$L$30)),INDEX(원자료_시장!$A$1:$BZ$1000,설정!$L$6+ROW()-1,설정!$L$30),""),"")</f>
        <v/>
      </c>
      <c r="I406" s="97" t="str">
        <f aca="false">IFERROR(IF(ISNUMBER(INDEX(원자료_시장!$A$1:$BZ$1000,설정!$L$6+ROW()-1,설정!$L$31)),INDEX(원자료_시장!$A$1:$BZ$1000,설정!$L$6+ROW()-1,설정!$L$31),""),"")</f>
        <v/>
      </c>
      <c r="J406" s="97" t="str">
        <f aca="false">IFERROR(IF(ISNUMBER(INDEX(원자료_시장!$A$1:$BZ$1000,설정!$L$6+ROW()-1,설정!$L$32)),INDEX(원자료_시장!$A$1:$BZ$1000,설정!$L$6+ROW()-1,설정!$L$32),""),"")</f>
        <v/>
      </c>
      <c r="K406" s="85" t="str">
        <f aca="false">IFERROR(IF(ISNUMBER(INDEX(원자료_시장!$A$1:$BZ$1000,설정!$L$6+ROW()-1,설정!$L$33)),INDEX(원자료_시장!$A$1:$BZ$1000,설정!$L$6+ROW()-1,설정!$L$33),""),"")</f>
        <v/>
      </c>
      <c r="L406" s="83" t="n">
        <f aca="false">IFERROR(IF(INDEX(원자료_시장!$A$1:$BZ$1000,설정!$L$6+ROW()-1,설정!$L$34)&amp;""="0","",INDEX(원자료_시장!$A$1:$BZ$1000,설정!$L$6+ROW()-1,설정!$L$34)),"")</f>
        <v>0</v>
      </c>
      <c r="M406" s="83" t="n">
        <f aca="false">IFERROR(IF(INDEX(원자료_시장!$A$1:$BZ$1000,설정!$L$6+ROW()-1,설정!$L$35)&amp;""="0","",INDEX(원자료_시장!$A$1:$BZ$1000,설정!$L$6+ROW()-1,설정!$L$35)),"")</f>
        <v>0</v>
      </c>
      <c r="N406" s="83" t="n">
        <f aca="false">IFERROR(IF(INDEX(원자료_시장!$A$1:$BZ$1000,설정!$L$6+ROW()-1,설정!$L$36)&amp;""="0","",INDEX(원자료_시장!$A$1:$BZ$1000,설정!$L$6+ROW()-1,설정!$L$36)),"")</f>
        <v>0</v>
      </c>
      <c r="O406" s="43" t="str">
        <f aca="false">IF($A406="","",UPPER(LEFT($A406,FIND(" ",$A406&amp;" ")-1)))</f>
        <v/>
      </c>
      <c r="P406" s="43" t="str">
        <f aca="false">IF($A406="","",TRIM(RIGHT(SUBSTITUTE(TRIM($A406)," ",REPT(" ",30)),30)))</f>
        <v/>
      </c>
      <c r="Q406" s="98" t="str">
        <f aca="false">IF($A406="","",IFERROR(DATE(IF(LEN(P406)=8,2000+VALUE(RIGHT(P406,2)),VALUE(RIGHT(P406,4))),VALUE(LEFT(P406,2)),VALUE(MID(P406,4,2))),""))</f>
        <v/>
      </c>
      <c r="R406" s="89" t="n">
        <f aca="false">IF($A406="",0,IF(ISNUMBER(SEARCH("Float",$A406)),1,0))</f>
        <v>0</v>
      </c>
      <c r="S406" s="43" t="str">
        <f aca="false">IF($A406="","",TRIM(MID($A406,LEN(O406)+2,LEN($A406)-LEN(O406)-LEN(P406)-1)))</f>
        <v/>
      </c>
      <c r="T406" s="92" t="str">
        <f aca="false">IF(OR($A406="",R406=1),"",IFERROR(IF(ISNUMBER(FIND("/",S406)),IF(ISNUMBER(FIND(" ",S406)),VALUE(LEFT(S406,FIND(" ",S406)-1))+VALUE(MID(S406,FIND(" ",S406)+1,FIND("/",S406)-FIND(" ",S406)-1))/VALUE(MID(S406,FIND("/",S406)+1,9)),VALUE(LEFT(S406,FIND("/",S406)-1))/VALUE(MID(S406,FIND("/",S406)+1,9))),VALUE(S406)),""))</f>
        <v/>
      </c>
      <c r="U406" s="43" t="str">
        <f aca="false">IF(OR($A406="",NOT(ISNUMBER(Q406))),"",TEXT(Q406,"yyyymmdd")&amp;"|"&amp;IF(R406=1,"F",TEXT(T406,"0.000")))</f>
        <v/>
      </c>
      <c r="V406" s="43" t="str">
        <f aca="false">IF(U406="","",O406&amp;"|"&amp;U406)</f>
        <v/>
      </c>
      <c r="W406" s="43" t="str">
        <f aca="false">IF($A406="","",IFERROR(IF(VLOOKUP(O406,매핑!$A$4:$E$92,3,0)="","미분류",VLOOKUP(O406,매핑!$A$4:$E$92,3,0)),"미분류"))</f>
        <v/>
      </c>
      <c r="X406" s="89" t="n">
        <f aca="false">IF($A406="",0,IF(O406="T",1,0))</f>
        <v>0</v>
      </c>
      <c r="Y406" s="89" t="n">
        <f aca="false">IF($A406="",0,IF(AND(C406="USD",X406=0,ISNUMBER(E406),ISNUMBER(K406)),IF(K406&gt;=설정!$C$8,1,0),0))</f>
        <v>0</v>
      </c>
      <c r="Z406" s="43" t="str">
        <f aca="false">IF($A406="","",N406&amp;"|"&amp;L406)</f>
        <v/>
      </c>
      <c r="AA406" s="92" t="n">
        <f aca="false">IF(Y406=1,LN(K406),0)</f>
        <v>0</v>
      </c>
      <c r="AB406" s="93" t="n">
        <f aca="false">IF(Y406=1,E406,0)</f>
        <v>0</v>
      </c>
      <c r="AC406" s="89" t="n">
        <f aca="false">IF(Y406=1,COUNTIFS($Z$2:$Z$601,Z406,$Y$2:$Y$601,1),0)</f>
        <v>0</v>
      </c>
      <c r="AD406" s="89" t="n">
        <f aca="false">IF(Y406=1,COUNTIFS($N$2:$N$601,N406,$Y$2:$Y$601,1),0)</f>
        <v>0</v>
      </c>
      <c r="AE406" s="43" t="str">
        <f aca="false">IF(Y406&lt;&gt;1,"",IF(AND(AC406&gt;=설정!$C$7,ISNUMBER(MATCH(Z406,피어커브!$A:$A,0))),Z406,IF(AND(AD406&gt;=설정!$C$7,ISNUMBER(MATCH(N406&amp;"|전체",피어커브!$A:$A,0))),N406&amp;"|전체","전체|전체")))</f>
        <v/>
      </c>
      <c r="AF406" s="93" t="str">
        <f aca="false">IF(AE406="","",INDEX(피어커브!$K:$K,MATCH(AE406,피어커브!$A:$A,0)))</f>
        <v/>
      </c>
      <c r="AG406" s="93" t="str">
        <f aca="false">IF(AE406="","",INDEX(피어커브!$J:$J,MATCH(AE406,피어커브!$A:$A,0)))</f>
        <v/>
      </c>
      <c r="AH406" s="93" t="str">
        <f aca="false">IF(AE406="","",INDEX(피어커브!$L:$L,MATCH(AE406,피어커브!$A:$A,0)))</f>
        <v/>
      </c>
      <c r="AI406" s="93" t="str">
        <f aca="false">IF(AE406="","",AF406+AG406*AA406)</f>
        <v/>
      </c>
      <c r="AJ406" s="96" t="str">
        <f aca="false">IF(AE406="","",E406-AI406)</f>
        <v/>
      </c>
      <c r="AK406" s="95" t="str">
        <f aca="false">IF(AE406="","",IF(ISNUMBER(AH406),IF(AH406&gt;0,AJ406/AH406,""),""))</f>
        <v/>
      </c>
      <c r="AL406" s="43" t="str">
        <f aca="false">IF(AK406="","-",IF(AK406&gt;=설정!$C$6,"Cheap",IF(AK406&lt;=-설정!$C$6,"Rich","Fair")))</f>
        <v>-</v>
      </c>
      <c r="AM406" s="96" t="str">
        <f aca="false">IF(AE406="","",AJ406-AVERAGEIFS($AJ$2:$AJ$601,$B$2:$B$601,B406,$Y$2:$Y$601,1))</f>
        <v/>
      </c>
      <c r="AN406" s="93" t="n">
        <f aca="false">IF(AE406="",0,IF(K406&gt;1+설정!$C$8,AG406*(AA406-LN(K406-1)),0))</f>
        <v>0</v>
      </c>
      <c r="AO406" s="99" t="n">
        <f aca="false">IF($A406="",0,SUMIFS(보유분석!$AA$2:$AA$801,보유분석!$AB$2:$AB$801,ROW(),보유분석!$AC$2:$AC$801,1))</f>
        <v>0</v>
      </c>
      <c r="AP406" s="43" t="str">
        <f aca="false">IF($A406="","",TRIM(IF(R406=1,"FRN ","")&amp;IF(IFERROR(VLOOKUP(M406,설정!$A$15:$D$47,4,0),0)&gt;=10,IF(IFERROR(VLOOKUP(M406,설정!$A$15:$D$47,4,0),0)&lt;99,"BBB0미만 ",""),"")&amp;IF(OR(M406="",M406="NR"),"등급미입력 ","")&amp;IF(C406&lt;&gt;"USD","비USD ","")))</f>
        <v/>
      </c>
      <c r="AQ406" s="90" t="n">
        <f aca="false">IF(AND(Y406=1,AL406="Cheap"),IF(AND(ISERROR(SEARCH("FRN",AP406)),ISERROR(SEARCH("BBB0미만",AP406))),AK406+ROW()/1000000000,-999),-999)</f>
        <v>-999</v>
      </c>
      <c r="AR406" s="92" t="str">
        <f aca="false">IF(AND(ISNUMBER(D406),ISNUMBER(K406)),D406+AN406*MAX(K406-1,0)/100,"")</f>
        <v/>
      </c>
      <c r="AS406" s="93" t="str">
        <f aca="false">IF(AND(ISNUMBER(E406),ISNUMBER(K406)),IF(K406&gt;0,(E406+AN406*MAX(K406-1,0))/K406,""),"")</f>
        <v/>
      </c>
      <c r="AT406" s="90" t="n">
        <f aca="false">IFERROR(IF(AND(Y406=1,ROW()&lt;&gt;스왑분석!$C$12+1,ABS(K406-INDEX($K$2:$K$601,스왑분석!$C$12))&lt;=스왑분석!$C$5,ISERROR(SEARCH("FRN",AP406)),ISERROR(SEARCH("BBB0미만",AP406))),IF(AND(OR(스왑분석!$C$6="N",L406=INDEX($L$2:$L$601,스왑분석!$C$12)),OR(스왑분석!$C$7="N",N406=INDEX($N$2:$N$601,스왑분석!$C$12)),OR(스왑분석!$C$8="N",AO406=0),E406-INDEX($E$2:$E$601,스왑분석!$C$12)&gt;=스왑분석!$C$9),E406-INDEX($E$2:$E$601,스왑분석!$C$12)+ROW()/1000000000,-999),-999),-999)</f>
        <v>-999</v>
      </c>
      <c r="AU406" s="90" t="n">
        <f aca="false">IF(AND(Y406=1,AO406&gt;0,AL406="Rich"),-AK406+ROW()/1000000000,-999)</f>
        <v>-999</v>
      </c>
    </row>
    <row r="407" customFormat="false" ht="15" hidden="false" customHeight="false" outlineLevel="0" collapsed="false">
      <c r="A407" s="83" t="n">
        <f aca="false">IFERROR(IF(INDEX(원자료_시장!$A$1:$BZ$1000,설정!$L$6+ROW()-1,설정!$L$24)&amp;""="0","",INDEX(원자료_시장!$A$1:$BZ$1000,설정!$L$6+ROW()-1,설정!$L$24)),"")</f>
        <v>0</v>
      </c>
      <c r="B407" s="83" t="n">
        <f aca="false">IFERROR(IF(INDEX(원자료_시장!$A$1:$BZ$1000,설정!$L$6+ROW()-1,설정!$L$37)&amp;""="0","",INDEX(원자료_시장!$A$1:$BZ$1000,설정!$L$6+ROW()-1,설정!$L$37)),"")</f>
        <v>0</v>
      </c>
      <c r="C407" s="83" t="n">
        <f aca="false">IFERROR(IF(INDEX(원자료_시장!$A$1:$BZ$1000,설정!$L$6+ROW()-1,설정!$L$25)&amp;""="0","",INDEX(원자료_시장!$A$1:$BZ$1000,설정!$L$6+ROW()-1,설정!$L$25)),"")</f>
        <v>0</v>
      </c>
      <c r="D407" s="85" t="str">
        <f aca="false">IFERROR(IF(ISNUMBER(INDEX(원자료_시장!$A$1:$BZ$1000,설정!$L$6+ROW()-1,설정!$L$26)),INDEX(원자료_시장!$A$1:$BZ$1000,설정!$L$6+ROW()-1,설정!$L$26),""),"")</f>
        <v/>
      </c>
      <c r="E407" s="97" t="str">
        <f aca="false">IFERROR(IF(ISNUMBER(INDEX(원자료_시장!$A$1:$BZ$1000,설정!$L$6+ROW()-1,설정!$L$27)),INDEX(원자료_시장!$A$1:$BZ$1000,설정!$L$6+ROW()-1,설정!$L$27),""),"")</f>
        <v/>
      </c>
      <c r="F407" s="97" t="str">
        <f aca="false">IFERROR(IF(ISNUMBER(INDEX(원자료_시장!$A$1:$BZ$1000,설정!$L$6+ROW()-1,설정!$L$28)),INDEX(원자료_시장!$A$1:$BZ$1000,설정!$L$6+ROW()-1,설정!$L$28),""),"")</f>
        <v/>
      </c>
      <c r="G407" s="97" t="str">
        <f aca="false">IFERROR(IF(ISNUMBER(INDEX(원자료_시장!$A$1:$BZ$1000,설정!$L$6+ROW()-1,설정!$L$29)),INDEX(원자료_시장!$A$1:$BZ$1000,설정!$L$6+ROW()-1,설정!$L$29),""),"")</f>
        <v/>
      </c>
      <c r="H407" s="97" t="str">
        <f aca="false">IFERROR(IF(ISNUMBER(INDEX(원자료_시장!$A$1:$BZ$1000,설정!$L$6+ROW()-1,설정!$L$30)),INDEX(원자료_시장!$A$1:$BZ$1000,설정!$L$6+ROW()-1,설정!$L$30),""),"")</f>
        <v/>
      </c>
      <c r="I407" s="97" t="str">
        <f aca="false">IFERROR(IF(ISNUMBER(INDEX(원자료_시장!$A$1:$BZ$1000,설정!$L$6+ROW()-1,설정!$L$31)),INDEX(원자료_시장!$A$1:$BZ$1000,설정!$L$6+ROW()-1,설정!$L$31),""),"")</f>
        <v/>
      </c>
      <c r="J407" s="97" t="str">
        <f aca="false">IFERROR(IF(ISNUMBER(INDEX(원자료_시장!$A$1:$BZ$1000,설정!$L$6+ROW()-1,설정!$L$32)),INDEX(원자료_시장!$A$1:$BZ$1000,설정!$L$6+ROW()-1,설정!$L$32),""),"")</f>
        <v/>
      </c>
      <c r="K407" s="85" t="str">
        <f aca="false">IFERROR(IF(ISNUMBER(INDEX(원자료_시장!$A$1:$BZ$1000,설정!$L$6+ROW()-1,설정!$L$33)),INDEX(원자료_시장!$A$1:$BZ$1000,설정!$L$6+ROW()-1,설정!$L$33),""),"")</f>
        <v/>
      </c>
      <c r="L407" s="83" t="n">
        <f aca="false">IFERROR(IF(INDEX(원자료_시장!$A$1:$BZ$1000,설정!$L$6+ROW()-1,설정!$L$34)&amp;""="0","",INDEX(원자료_시장!$A$1:$BZ$1000,설정!$L$6+ROW()-1,설정!$L$34)),"")</f>
        <v>0</v>
      </c>
      <c r="M407" s="83" t="n">
        <f aca="false">IFERROR(IF(INDEX(원자료_시장!$A$1:$BZ$1000,설정!$L$6+ROW()-1,설정!$L$35)&amp;""="0","",INDEX(원자료_시장!$A$1:$BZ$1000,설정!$L$6+ROW()-1,설정!$L$35)),"")</f>
        <v>0</v>
      </c>
      <c r="N407" s="83" t="n">
        <f aca="false">IFERROR(IF(INDEX(원자료_시장!$A$1:$BZ$1000,설정!$L$6+ROW()-1,설정!$L$36)&amp;""="0","",INDEX(원자료_시장!$A$1:$BZ$1000,설정!$L$6+ROW()-1,설정!$L$36)),"")</f>
        <v>0</v>
      </c>
      <c r="O407" s="43" t="str">
        <f aca="false">IF($A407="","",UPPER(LEFT($A407,FIND(" ",$A407&amp;" ")-1)))</f>
        <v/>
      </c>
      <c r="P407" s="43" t="str">
        <f aca="false">IF($A407="","",TRIM(RIGHT(SUBSTITUTE(TRIM($A407)," ",REPT(" ",30)),30)))</f>
        <v/>
      </c>
      <c r="Q407" s="98" t="str">
        <f aca="false">IF($A407="","",IFERROR(DATE(IF(LEN(P407)=8,2000+VALUE(RIGHT(P407,2)),VALUE(RIGHT(P407,4))),VALUE(LEFT(P407,2)),VALUE(MID(P407,4,2))),""))</f>
        <v/>
      </c>
      <c r="R407" s="89" t="n">
        <f aca="false">IF($A407="",0,IF(ISNUMBER(SEARCH("Float",$A407)),1,0))</f>
        <v>0</v>
      </c>
      <c r="S407" s="43" t="str">
        <f aca="false">IF($A407="","",TRIM(MID($A407,LEN(O407)+2,LEN($A407)-LEN(O407)-LEN(P407)-1)))</f>
        <v/>
      </c>
      <c r="T407" s="92" t="str">
        <f aca="false">IF(OR($A407="",R407=1),"",IFERROR(IF(ISNUMBER(FIND("/",S407)),IF(ISNUMBER(FIND(" ",S407)),VALUE(LEFT(S407,FIND(" ",S407)-1))+VALUE(MID(S407,FIND(" ",S407)+1,FIND("/",S407)-FIND(" ",S407)-1))/VALUE(MID(S407,FIND("/",S407)+1,9)),VALUE(LEFT(S407,FIND("/",S407)-1))/VALUE(MID(S407,FIND("/",S407)+1,9))),VALUE(S407)),""))</f>
        <v/>
      </c>
      <c r="U407" s="43" t="str">
        <f aca="false">IF(OR($A407="",NOT(ISNUMBER(Q407))),"",TEXT(Q407,"yyyymmdd")&amp;"|"&amp;IF(R407=1,"F",TEXT(T407,"0.000")))</f>
        <v/>
      </c>
      <c r="V407" s="43" t="str">
        <f aca="false">IF(U407="","",O407&amp;"|"&amp;U407)</f>
        <v/>
      </c>
      <c r="W407" s="43" t="str">
        <f aca="false">IF($A407="","",IFERROR(IF(VLOOKUP(O407,매핑!$A$4:$E$92,3,0)="","미분류",VLOOKUP(O407,매핑!$A$4:$E$92,3,0)),"미분류"))</f>
        <v/>
      </c>
      <c r="X407" s="89" t="n">
        <f aca="false">IF($A407="",0,IF(O407="T",1,0))</f>
        <v>0</v>
      </c>
      <c r="Y407" s="89" t="n">
        <f aca="false">IF($A407="",0,IF(AND(C407="USD",X407=0,ISNUMBER(E407),ISNUMBER(K407)),IF(K407&gt;=설정!$C$8,1,0),0))</f>
        <v>0</v>
      </c>
      <c r="Z407" s="43" t="str">
        <f aca="false">IF($A407="","",N407&amp;"|"&amp;L407)</f>
        <v/>
      </c>
      <c r="AA407" s="92" t="n">
        <f aca="false">IF(Y407=1,LN(K407),0)</f>
        <v>0</v>
      </c>
      <c r="AB407" s="93" t="n">
        <f aca="false">IF(Y407=1,E407,0)</f>
        <v>0</v>
      </c>
      <c r="AC407" s="89" t="n">
        <f aca="false">IF(Y407=1,COUNTIFS($Z$2:$Z$601,Z407,$Y$2:$Y$601,1),0)</f>
        <v>0</v>
      </c>
      <c r="AD407" s="89" t="n">
        <f aca="false">IF(Y407=1,COUNTIFS($N$2:$N$601,N407,$Y$2:$Y$601,1),0)</f>
        <v>0</v>
      </c>
      <c r="AE407" s="43" t="str">
        <f aca="false">IF(Y407&lt;&gt;1,"",IF(AND(AC407&gt;=설정!$C$7,ISNUMBER(MATCH(Z407,피어커브!$A:$A,0))),Z407,IF(AND(AD407&gt;=설정!$C$7,ISNUMBER(MATCH(N407&amp;"|전체",피어커브!$A:$A,0))),N407&amp;"|전체","전체|전체")))</f>
        <v/>
      </c>
      <c r="AF407" s="93" t="str">
        <f aca="false">IF(AE407="","",INDEX(피어커브!$K:$K,MATCH(AE407,피어커브!$A:$A,0)))</f>
        <v/>
      </c>
      <c r="AG407" s="93" t="str">
        <f aca="false">IF(AE407="","",INDEX(피어커브!$J:$J,MATCH(AE407,피어커브!$A:$A,0)))</f>
        <v/>
      </c>
      <c r="AH407" s="93" t="str">
        <f aca="false">IF(AE407="","",INDEX(피어커브!$L:$L,MATCH(AE407,피어커브!$A:$A,0)))</f>
        <v/>
      </c>
      <c r="AI407" s="93" t="str">
        <f aca="false">IF(AE407="","",AF407+AG407*AA407)</f>
        <v/>
      </c>
      <c r="AJ407" s="96" t="str">
        <f aca="false">IF(AE407="","",E407-AI407)</f>
        <v/>
      </c>
      <c r="AK407" s="95" t="str">
        <f aca="false">IF(AE407="","",IF(ISNUMBER(AH407),IF(AH407&gt;0,AJ407/AH407,""),""))</f>
        <v/>
      </c>
      <c r="AL407" s="43" t="str">
        <f aca="false">IF(AK407="","-",IF(AK407&gt;=설정!$C$6,"Cheap",IF(AK407&lt;=-설정!$C$6,"Rich","Fair")))</f>
        <v>-</v>
      </c>
      <c r="AM407" s="96" t="str">
        <f aca="false">IF(AE407="","",AJ407-AVERAGEIFS($AJ$2:$AJ$601,$B$2:$B$601,B407,$Y$2:$Y$601,1))</f>
        <v/>
      </c>
      <c r="AN407" s="93" t="n">
        <f aca="false">IF(AE407="",0,IF(K407&gt;1+설정!$C$8,AG407*(AA407-LN(K407-1)),0))</f>
        <v>0</v>
      </c>
      <c r="AO407" s="99" t="n">
        <f aca="false">IF($A407="",0,SUMIFS(보유분석!$AA$2:$AA$801,보유분석!$AB$2:$AB$801,ROW(),보유분석!$AC$2:$AC$801,1))</f>
        <v>0</v>
      </c>
      <c r="AP407" s="43" t="str">
        <f aca="false">IF($A407="","",TRIM(IF(R407=1,"FRN ","")&amp;IF(IFERROR(VLOOKUP(M407,설정!$A$15:$D$47,4,0),0)&gt;=10,IF(IFERROR(VLOOKUP(M407,설정!$A$15:$D$47,4,0),0)&lt;99,"BBB0미만 ",""),"")&amp;IF(OR(M407="",M407="NR"),"등급미입력 ","")&amp;IF(C407&lt;&gt;"USD","비USD ","")))</f>
        <v/>
      </c>
      <c r="AQ407" s="90" t="n">
        <f aca="false">IF(AND(Y407=1,AL407="Cheap"),IF(AND(ISERROR(SEARCH("FRN",AP407)),ISERROR(SEARCH("BBB0미만",AP407))),AK407+ROW()/1000000000,-999),-999)</f>
        <v>-999</v>
      </c>
      <c r="AR407" s="92" t="str">
        <f aca="false">IF(AND(ISNUMBER(D407),ISNUMBER(K407)),D407+AN407*MAX(K407-1,0)/100,"")</f>
        <v/>
      </c>
      <c r="AS407" s="93" t="str">
        <f aca="false">IF(AND(ISNUMBER(E407),ISNUMBER(K407)),IF(K407&gt;0,(E407+AN407*MAX(K407-1,0))/K407,""),"")</f>
        <v/>
      </c>
      <c r="AT407" s="90" t="n">
        <f aca="false">IFERROR(IF(AND(Y407=1,ROW()&lt;&gt;스왑분석!$C$12+1,ABS(K407-INDEX($K$2:$K$601,스왑분석!$C$12))&lt;=스왑분석!$C$5,ISERROR(SEARCH("FRN",AP407)),ISERROR(SEARCH("BBB0미만",AP407))),IF(AND(OR(스왑분석!$C$6="N",L407=INDEX($L$2:$L$601,스왑분석!$C$12)),OR(스왑분석!$C$7="N",N407=INDEX($N$2:$N$601,스왑분석!$C$12)),OR(스왑분석!$C$8="N",AO407=0),E407-INDEX($E$2:$E$601,스왑분석!$C$12)&gt;=스왑분석!$C$9),E407-INDEX($E$2:$E$601,스왑분석!$C$12)+ROW()/1000000000,-999),-999),-999)</f>
        <v>-999</v>
      </c>
      <c r="AU407" s="90" t="n">
        <f aca="false">IF(AND(Y407=1,AO407&gt;0,AL407="Rich"),-AK407+ROW()/1000000000,-999)</f>
        <v>-999</v>
      </c>
    </row>
    <row r="408" customFormat="false" ht="15" hidden="false" customHeight="false" outlineLevel="0" collapsed="false">
      <c r="A408" s="83" t="n">
        <f aca="false">IFERROR(IF(INDEX(원자료_시장!$A$1:$BZ$1000,설정!$L$6+ROW()-1,설정!$L$24)&amp;""="0","",INDEX(원자료_시장!$A$1:$BZ$1000,설정!$L$6+ROW()-1,설정!$L$24)),"")</f>
        <v>0</v>
      </c>
      <c r="B408" s="83" t="n">
        <f aca="false">IFERROR(IF(INDEX(원자료_시장!$A$1:$BZ$1000,설정!$L$6+ROW()-1,설정!$L$37)&amp;""="0","",INDEX(원자료_시장!$A$1:$BZ$1000,설정!$L$6+ROW()-1,설정!$L$37)),"")</f>
        <v>0</v>
      </c>
      <c r="C408" s="83" t="n">
        <f aca="false">IFERROR(IF(INDEX(원자료_시장!$A$1:$BZ$1000,설정!$L$6+ROW()-1,설정!$L$25)&amp;""="0","",INDEX(원자료_시장!$A$1:$BZ$1000,설정!$L$6+ROW()-1,설정!$L$25)),"")</f>
        <v>0</v>
      </c>
      <c r="D408" s="85" t="str">
        <f aca="false">IFERROR(IF(ISNUMBER(INDEX(원자료_시장!$A$1:$BZ$1000,설정!$L$6+ROW()-1,설정!$L$26)),INDEX(원자료_시장!$A$1:$BZ$1000,설정!$L$6+ROW()-1,설정!$L$26),""),"")</f>
        <v/>
      </c>
      <c r="E408" s="97" t="str">
        <f aca="false">IFERROR(IF(ISNUMBER(INDEX(원자료_시장!$A$1:$BZ$1000,설정!$L$6+ROW()-1,설정!$L$27)),INDEX(원자료_시장!$A$1:$BZ$1000,설정!$L$6+ROW()-1,설정!$L$27),""),"")</f>
        <v/>
      </c>
      <c r="F408" s="97" t="str">
        <f aca="false">IFERROR(IF(ISNUMBER(INDEX(원자료_시장!$A$1:$BZ$1000,설정!$L$6+ROW()-1,설정!$L$28)),INDEX(원자료_시장!$A$1:$BZ$1000,설정!$L$6+ROW()-1,설정!$L$28),""),"")</f>
        <v/>
      </c>
      <c r="G408" s="97" t="str">
        <f aca="false">IFERROR(IF(ISNUMBER(INDEX(원자료_시장!$A$1:$BZ$1000,설정!$L$6+ROW()-1,설정!$L$29)),INDEX(원자료_시장!$A$1:$BZ$1000,설정!$L$6+ROW()-1,설정!$L$29),""),"")</f>
        <v/>
      </c>
      <c r="H408" s="97" t="str">
        <f aca="false">IFERROR(IF(ISNUMBER(INDEX(원자료_시장!$A$1:$BZ$1000,설정!$L$6+ROW()-1,설정!$L$30)),INDEX(원자료_시장!$A$1:$BZ$1000,설정!$L$6+ROW()-1,설정!$L$30),""),"")</f>
        <v/>
      </c>
      <c r="I408" s="97" t="str">
        <f aca="false">IFERROR(IF(ISNUMBER(INDEX(원자료_시장!$A$1:$BZ$1000,설정!$L$6+ROW()-1,설정!$L$31)),INDEX(원자료_시장!$A$1:$BZ$1000,설정!$L$6+ROW()-1,설정!$L$31),""),"")</f>
        <v/>
      </c>
      <c r="J408" s="97" t="str">
        <f aca="false">IFERROR(IF(ISNUMBER(INDEX(원자료_시장!$A$1:$BZ$1000,설정!$L$6+ROW()-1,설정!$L$32)),INDEX(원자료_시장!$A$1:$BZ$1000,설정!$L$6+ROW()-1,설정!$L$32),""),"")</f>
        <v/>
      </c>
      <c r="K408" s="85" t="str">
        <f aca="false">IFERROR(IF(ISNUMBER(INDEX(원자료_시장!$A$1:$BZ$1000,설정!$L$6+ROW()-1,설정!$L$33)),INDEX(원자료_시장!$A$1:$BZ$1000,설정!$L$6+ROW()-1,설정!$L$33),""),"")</f>
        <v/>
      </c>
      <c r="L408" s="83" t="n">
        <f aca="false">IFERROR(IF(INDEX(원자료_시장!$A$1:$BZ$1000,설정!$L$6+ROW()-1,설정!$L$34)&amp;""="0","",INDEX(원자료_시장!$A$1:$BZ$1000,설정!$L$6+ROW()-1,설정!$L$34)),"")</f>
        <v>0</v>
      </c>
      <c r="M408" s="83" t="n">
        <f aca="false">IFERROR(IF(INDEX(원자료_시장!$A$1:$BZ$1000,설정!$L$6+ROW()-1,설정!$L$35)&amp;""="0","",INDEX(원자료_시장!$A$1:$BZ$1000,설정!$L$6+ROW()-1,설정!$L$35)),"")</f>
        <v>0</v>
      </c>
      <c r="N408" s="83" t="n">
        <f aca="false">IFERROR(IF(INDEX(원자료_시장!$A$1:$BZ$1000,설정!$L$6+ROW()-1,설정!$L$36)&amp;""="0","",INDEX(원자료_시장!$A$1:$BZ$1000,설정!$L$6+ROW()-1,설정!$L$36)),"")</f>
        <v>0</v>
      </c>
      <c r="O408" s="43" t="str">
        <f aca="false">IF($A408="","",UPPER(LEFT($A408,FIND(" ",$A408&amp;" ")-1)))</f>
        <v/>
      </c>
      <c r="P408" s="43" t="str">
        <f aca="false">IF($A408="","",TRIM(RIGHT(SUBSTITUTE(TRIM($A408)," ",REPT(" ",30)),30)))</f>
        <v/>
      </c>
      <c r="Q408" s="98" t="str">
        <f aca="false">IF($A408="","",IFERROR(DATE(IF(LEN(P408)=8,2000+VALUE(RIGHT(P408,2)),VALUE(RIGHT(P408,4))),VALUE(LEFT(P408,2)),VALUE(MID(P408,4,2))),""))</f>
        <v/>
      </c>
      <c r="R408" s="89" t="n">
        <f aca="false">IF($A408="",0,IF(ISNUMBER(SEARCH("Float",$A408)),1,0))</f>
        <v>0</v>
      </c>
      <c r="S408" s="43" t="str">
        <f aca="false">IF($A408="","",TRIM(MID($A408,LEN(O408)+2,LEN($A408)-LEN(O408)-LEN(P408)-1)))</f>
        <v/>
      </c>
      <c r="T408" s="92" t="str">
        <f aca="false">IF(OR($A408="",R408=1),"",IFERROR(IF(ISNUMBER(FIND("/",S408)),IF(ISNUMBER(FIND(" ",S408)),VALUE(LEFT(S408,FIND(" ",S408)-1))+VALUE(MID(S408,FIND(" ",S408)+1,FIND("/",S408)-FIND(" ",S408)-1))/VALUE(MID(S408,FIND("/",S408)+1,9)),VALUE(LEFT(S408,FIND("/",S408)-1))/VALUE(MID(S408,FIND("/",S408)+1,9))),VALUE(S408)),""))</f>
        <v/>
      </c>
      <c r="U408" s="43" t="str">
        <f aca="false">IF(OR($A408="",NOT(ISNUMBER(Q408))),"",TEXT(Q408,"yyyymmdd")&amp;"|"&amp;IF(R408=1,"F",TEXT(T408,"0.000")))</f>
        <v/>
      </c>
      <c r="V408" s="43" t="str">
        <f aca="false">IF(U408="","",O408&amp;"|"&amp;U408)</f>
        <v/>
      </c>
      <c r="W408" s="43" t="str">
        <f aca="false">IF($A408="","",IFERROR(IF(VLOOKUP(O408,매핑!$A$4:$E$92,3,0)="","미분류",VLOOKUP(O408,매핑!$A$4:$E$92,3,0)),"미분류"))</f>
        <v/>
      </c>
      <c r="X408" s="89" t="n">
        <f aca="false">IF($A408="",0,IF(O408="T",1,0))</f>
        <v>0</v>
      </c>
      <c r="Y408" s="89" t="n">
        <f aca="false">IF($A408="",0,IF(AND(C408="USD",X408=0,ISNUMBER(E408),ISNUMBER(K408)),IF(K408&gt;=설정!$C$8,1,0),0))</f>
        <v>0</v>
      </c>
      <c r="Z408" s="43" t="str">
        <f aca="false">IF($A408="","",N408&amp;"|"&amp;L408)</f>
        <v/>
      </c>
      <c r="AA408" s="92" t="n">
        <f aca="false">IF(Y408=1,LN(K408),0)</f>
        <v>0</v>
      </c>
      <c r="AB408" s="93" t="n">
        <f aca="false">IF(Y408=1,E408,0)</f>
        <v>0</v>
      </c>
      <c r="AC408" s="89" t="n">
        <f aca="false">IF(Y408=1,COUNTIFS($Z$2:$Z$601,Z408,$Y$2:$Y$601,1),0)</f>
        <v>0</v>
      </c>
      <c r="AD408" s="89" t="n">
        <f aca="false">IF(Y408=1,COUNTIFS($N$2:$N$601,N408,$Y$2:$Y$601,1),0)</f>
        <v>0</v>
      </c>
      <c r="AE408" s="43" t="str">
        <f aca="false">IF(Y408&lt;&gt;1,"",IF(AND(AC408&gt;=설정!$C$7,ISNUMBER(MATCH(Z408,피어커브!$A:$A,0))),Z408,IF(AND(AD408&gt;=설정!$C$7,ISNUMBER(MATCH(N408&amp;"|전체",피어커브!$A:$A,0))),N408&amp;"|전체","전체|전체")))</f>
        <v/>
      </c>
      <c r="AF408" s="93" t="str">
        <f aca="false">IF(AE408="","",INDEX(피어커브!$K:$K,MATCH(AE408,피어커브!$A:$A,0)))</f>
        <v/>
      </c>
      <c r="AG408" s="93" t="str">
        <f aca="false">IF(AE408="","",INDEX(피어커브!$J:$J,MATCH(AE408,피어커브!$A:$A,0)))</f>
        <v/>
      </c>
      <c r="AH408" s="93" t="str">
        <f aca="false">IF(AE408="","",INDEX(피어커브!$L:$L,MATCH(AE408,피어커브!$A:$A,0)))</f>
        <v/>
      </c>
      <c r="AI408" s="93" t="str">
        <f aca="false">IF(AE408="","",AF408+AG408*AA408)</f>
        <v/>
      </c>
      <c r="AJ408" s="96" t="str">
        <f aca="false">IF(AE408="","",E408-AI408)</f>
        <v/>
      </c>
      <c r="AK408" s="95" t="str">
        <f aca="false">IF(AE408="","",IF(ISNUMBER(AH408),IF(AH408&gt;0,AJ408/AH408,""),""))</f>
        <v/>
      </c>
      <c r="AL408" s="43" t="str">
        <f aca="false">IF(AK408="","-",IF(AK408&gt;=설정!$C$6,"Cheap",IF(AK408&lt;=-설정!$C$6,"Rich","Fair")))</f>
        <v>-</v>
      </c>
      <c r="AM408" s="96" t="str">
        <f aca="false">IF(AE408="","",AJ408-AVERAGEIFS($AJ$2:$AJ$601,$B$2:$B$601,B408,$Y$2:$Y$601,1))</f>
        <v/>
      </c>
      <c r="AN408" s="93" t="n">
        <f aca="false">IF(AE408="",0,IF(K408&gt;1+설정!$C$8,AG408*(AA408-LN(K408-1)),0))</f>
        <v>0</v>
      </c>
      <c r="AO408" s="99" t="n">
        <f aca="false">IF($A408="",0,SUMIFS(보유분석!$AA$2:$AA$801,보유분석!$AB$2:$AB$801,ROW(),보유분석!$AC$2:$AC$801,1))</f>
        <v>0</v>
      </c>
      <c r="AP408" s="43" t="str">
        <f aca="false">IF($A408="","",TRIM(IF(R408=1,"FRN ","")&amp;IF(IFERROR(VLOOKUP(M408,설정!$A$15:$D$47,4,0),0)&gt;=10,IF(IFERROR(VLOOKUP(M408,설정!$A$15:$D$47,4,0),0)&lt;99,"BBB0미만 ",""),"")&amp;IF(OR(M408="",M408="NR"),"등급미입력 ","")&amp;IF(C408&lt;&gt;"USD","비USD ","")))</f>
        <v/>
      </c>
      <c r="AQ408" s="90" t="n">
        <f aca="false">IF(AND(Y408=1,AL408="Cheap"),IF(AND(ISERROR(SEARCH("FRN",AP408)),ISERROR(SEARCH("BBB0미만",AP408))),AK408+ROW()/1000000000,-999),-999)</f>
        <v>-999</v>
      </c>
      <c r="AR408" s="92" t="str">
        <f aca="false">IF(AND(ISNUMBER(D408),ISNUMBER(K408)),D408+AN408*MAX(K408-1,0)/100,"")</f>
        <v/>
      </c>
      <c r="AS408" s="93" t="str">
        <f aca="false">IF(AND(ISNUMBER(E408),ISNUMBER(K408)),IF(K408&gt;0,(E408+AN408*MAX(K408-1,0))/K408,""),"")</f>
        <v/>
      </c>
      <c r="AT408" s="90" t="n">
        <f aca="false">IFERROR(IF(AND(Y408=1,ROW()&lt;&gt;스왑분석!$C$12+1,ABS(K408-INDEX($K$2:$K$601,스왑분석!$C$12))&lt;=스왑분석!$C$5,ISERROR(SEARCH("FRN",AP408)),ISERROR(SEARCH("BBB0미만",AP408))),IF(AND(OR(스왑분석!$C$6="N",L408=INDEX($L$2:$L$601,스왑분석!$C$12)),OR(스왑분석!$C$7="N",N408=INDEX($N$2:$N$601,스왑분석!$C$12)),OR(스왑분석!$C$8="N",AO408=0),E408-INDEX($E$2:$E$601,스왑분석!$C$12)&gt;=스왑분석!$C$9),E408-INDEX($E$2:$E$601,스왑분석!$C$12)+ROW()/1000000000,-999),-999),-999)</f>
        <v>-999</v>
      </c>
      <c r="AU408" s="90" t="n">
        <f aca="false">IF(AND(Y408=1,AO408&gt;0,AL408="Rich"),-AK408+ROW()/1000000000,-999)</f>
        <v>-999</v>
      </c>
    </row>
    <row r="409" customFormat="false" ht="15" hidden="false" customHeight="false" outlineLevel="0" collapsed="false">
      <c r="A409" s="83" t="n">
        <f aca="false">IFERROR(IF(INDEX(원자료_시장!$A$1:$BZ$1000,설정!$L$6+ROW()-1,설정!$L$24)&amp;""="0","",INDEX(원자료_시장!$A$1:$BZ$1000,설정!$L$6+ROW()-1,설정!$L$24)),"")</f>
        <v>0</v>
      </c>
      <c r="B409" s="83" t="n">
        <f aca="false">IFERROR(IF(INDEX(원자료_시장!$A$1:$BZ$1000,설정!$L$6+ROW()-1,설정!$L$37)&amp;""="0","",INDEX(원자료_시장!$A$1:$BZ$1000,설정!$L$6+ROW()-1,설정!$L$37)),"")</f>
        <v>0</v>
      </c>
      <c r="C409" s="83" t="n">
        <f aca="false">IFERROR(IF(INDEX(원자료_시장!$A$1:$BZ$1000,설정!$L$6+ROW()-1,설정!$L$25)&amp;""="0","",INDEX(원자료_시장!$A$1:$BZ$1000,설정!$L$6+ROW()-1,설정!$L$25)),"")</f>
        <v>0</v>
      </c>
      <c r="D409" s="85" t="str">
        <f aca="false">IFERROR(IF(ISNUMBER(INDEX(원자료_시장!$A$1:$BZ$1000,설정!$L$6+ROW()-1,설정!$L$26)),INDEX(원자료_시장!$A$1:$BZ$1000,설정!$L$6+ROW()-1,설정!$L$26),""),"")</f>
        <v/>
      </c>
      <c r="E409" s="97" t="str">
        <f aca="false">IFERROR(IF(ISNUMBER(INDEX(원자료_시장!$A$1:$BZ$1000,설정!$L$6+ROW()-1,설정!$L$27)),INDEX(원자료_시장!$A$1:$BZ$1000,설정!$L$6+ROW()-1,설정!$L$27),""),"")</f>
        <v/>
      </c>
      <c r="F409" s="97" t="str">
        <f aca="false">IFERROR(IF(ISNUMBER(INDEX(원자료_시장!$A$1:$BZ$1000,설정!$L$6+ROW()-1,설정!$L$28)),INDEX(원자료_시장!$A$1:$BZ$1000,설정!$L$6+ROW()-1,설정!$L$28),""),"")</f>
        <v/>
      </c>
      <c r="G409" s="97" t="str">
        <f aca="false">IFERROR(IF(ISNUMBER(INDEX(원자료_시장!$A$1:$BZ$1000,설정!$L$6+ROW()-1,설정!$L$29)),INDEX(원자료_시장!$A$1:$BZ$1000,설정!$L$6+ROW()-1,설정!$L$29),""),"")</f>
        <v/>
      </c>
      <c r="H409" s="97" t="str">
        <f aca="false">IFERROR(IF(ISNUMBER(INDEX(원자료_시장!$A$1:$BZ$1000,설정!$L$6+ROW()-1,설정!$L$30)),INDEX(원자료_시장!$A$1:$BZ$1000,설정!$L$6+ROW()-1,설정!$L$30),""),"")</f>
        <v/>
      </c>
      <c r="I409" s="97" t="str">
        <f aca="false">IFERROR(IF(ISNUMBER(INDEX(원자료_시장!$A$1:$BZ$1000,설정!$L$6+ROW()-1,설정!$L$31)),INDEX(원자료_시장!$A$1:$BZ$1000,설정!$L$6+ROW()-1,설정!$L$31),""),"")</f>
        <v/>
      </c>
      <c r="J409" s="97" t="str">
        <f aca="false">IFERROR(IF(ISNUMBER(INDEX(원자료_시장!$A$1:$BZ$1000,설정!$L$6+ROW()-1,설정!$L$32)),INDEX(원자료_시장!$A$1:$BZ$1000,설정!$L$6+ROW()-1,설정!$L$32),""),"")</f>
        <v/>
      </c>
      <c r="K409" s="85" t="str">
        <f aca="false">IFERROR(IF(ISNUMBER(INDEX(원자료_시장!$A$1:$BZ$1000,설정!$L$6+ROW()-1,설정!$L$33)),INDEX(원자료_시장!$A$1:$BZ$1000,설정!$L$6+ROW()-1,설정!$L$33),""),"")</f>
        <v/>
      </c>
      <c r="L409" s="83" t="n">
        <f aca="false">IFERROR(IF(INDEX(원자료_시장!$A$1:$BZ$1000,설정!$L$6+ROW()-1,설정!$L$34)&amp;""="0","",INDEX(원자료_시장!$A$1:$BZ$1000,설정!$L$6+ROW()-1,설정!$L$34)),"")</f>
        <v>0</v>
      </c>
      <c r="M409" s="83" t="n">
        <f aca="false">IFERROR(IF(INDEX(원자료_시장!$A$1:$BZ$1000,설정!$L$6+ROW()-1,설정!$L$35)&amp;""="0","",INDEX(원자료_시장!$A$1:$BZ$1000,설정!$L$6+ROW()-1,설정!$L$35)),"")</f>
        <v>0</v>
      </c>
      <c r="N409" s="83" t="n">
        <f aca="false">IFERROR(IF(INDEX(원자료_시장!$A$1:$BZ$1000,설정!$L$6+ROW()-1,설정!$L$36)&amp;""="0","",INDEX(원자료_시장!$A$1:$BZ$1000,설정!$L$6+ROW()-1,설정!$L$36)),"")</f>
        <v>0</v>
      </c>
      <c r="O409" s="43" t="str">
        <f aca="false">IF($A409="","",UPPER(LEFT($A409,FIND(" ",$A409&amp;" ")-1)))</f>
        <v/>
      </c>
      <c r="P409" s="43" t="str">
        <f aca="false">IF($A409="","",TRIM(RIGHT(SUBSTITUTE(TRIM($A409)," ",REPT(" ",30)),30)))</f>
        <v/>
      </c>
      <c r="Q409" s="98" t="str">
        <f aca="false">IF($A409="","",IFERROR(DATE(IF(LEN(P409)=8,2000+VALUE(RIGHT(P409,2)),VALUE(RIGHT(P409,4))),VALUE(LEFT(P409,2)),VALUE(MID(P409,4,2))),""))</f>
        <v/>
      </c>
      <c r="R409" s="89" t="n">
        <f aca="false">IF($A409="",0,IF(ISNUMBER(SEARCH("Float",$A409)),1,0))</f>
        <v>0</v>
      </c>
      <c r="S409" s="43" t="str">
        <f aca="false">IF($A409="","",TRIM(MID($A409,LEN(O409)+2,LEN($A409)-LEN(O409)-LEN(P409)-1)))</f>
        <v/>
      </c>
      <c r="T409" s="92" t="str">
        <f aca="false">IF(OR($A409="",R409=1),"",IFERROR(IF(ISNUMBER(FIND("/",S409)),IF(ISNUMBER(FIND(" ",S409)),VALUE(LEFT(S409,FIND(" ",S409)-1))+VALUE(MID(S409,FIND(" ",S409)+1,FIND("/",S409)-FIND(" ",S409)-1))/VALUE(MID(S409,FIND("/",S409)+1,9)),VALUE(LEFT(S409,FIND("/",S409)-1))/VALUE(MID(S409,FIND("/",S409)+1,9))),VALUE(S409)),""))</f>
        <v/>
      </c>
      <c r="U409" s="43" t="str">
        <f aca="false">IF(OR($A409="",NOT(ISNUMBER(Q409))),"",TEXT(Q409,"yyyymmdd")&amp;"|"&amp;IF(R409=1,"F",TEXT(T409,"0.000")))</f>
        <v/>
      </c>
      <c r="V409" s="43" t="str">
        <f aca="false">IF(U409="","",O409&amp;"|"&amp;U409)</f>
        <v/>
      </c>
      <c r="W409" s="43" t="str">
        <f aca="false">IF($A409="","",IFERROR(IF(VLOOKUP(O409,매핑!$A$4:$E$92,3,0)="","미분류",VLOOKUP(O409,매핑!$A$4:$E$92,3,0)),"미분류"))</f>
        <v/>
      </c>
      <c r="X409" s="89" t="n">
        <f aca="false">IF($A409="",0,IF(O409="T",1,0))</f>
        <v>0</v>
      </c>
      <c r="Y409" s="89" t="n">
        <f aca="false">IF($A409="",0,IF(AND(C409="USD",X409=0,ISNUMBER(E409),ISNUMBER(K409)),IF(K409&gt;=설정!$C$8,1,0),0))</f>
        <v>0</v>
      </c>
      <c r="Z409" s="43" t="str">
        <f aca="false">IF($A409="","",N409&amp;"|"&amp;L409)</f>
        <v/>
      </c>
      <c r="AA409" s="92" t="n">
        <f aca="false">IF(Y409=1,LN(K409),0)</f>
        <v>0</v>
      </c>
      <c r="AB409" s="93" t="n">
        <f aca="false">IF(Y409=1,E409,0)</f>
        <v>0</v>
      </c>
      <c r="AC409" s="89" t="n">
        <f aca="false">IF(Y409=1,COUNTIFS($Z$2:$Z$601,Z409,$Y$2:$Y$601,1),0)</f>
        <v>0</v>
      </c>
      <c r="AD409" s="89" t="n">
        <f aca="false">IF(Y409=1,COUNTIFS($N$2:$N$601,N409,$Y$2:$Y$601,1),0)</f>
        <v>0</v>
      </c>
      <c r="AE409" s="43" t="str">
        <f aca="false">IF(Y409&lt;&gt;1,"",IF(AND(AC409&gt;=설정!$C$7,ISNUMBER(MATCH(Z409,피어커브!$A:$A,0))),Z409,IF(AND(AD409&gt;=설정!$C$7,ISNUMBER(MATCH(N409&amp;"|전체",피어커브!$A:$A,0))),N409&amp;"|전체","전체|전체")))</f>
        <v/>
      </c>
      <c r="AF409" s="93" t="str">
        <f aca="false">IF(AE409="","",INDEX(피어커브!$K:$K,MATCH(AE409,피어커브!$A:$A,0)))</f>
        <v/>
      </c>
      <c r="AG409" s="93" t="str">
        <f aca="false">IF(AE409="","",INDEX(피어커브!$J:$J,MATCH(AE409,피어커브!$A:$A,0)))</f>
        <v/>
      </c>
      <c r="AH409" s="93" t="str">
        <f aca="false">IF(AE409="","",INDEX(피어커브!$L:$L,MATCH(AE409,피어커브!$A:$A,0)))</f>
        <v/>
      </c>
      <c r="AI409" s="93" t="str">
        <f aca="false">IF(AE409="","",AF409+AG409*AA409)</f>
        <v/>
      </c>
      <c r="AJ409" s="96" t="str">
        <f aca="false">IF(AE409="","",E409-AI409)</f>
        <v/>
      </c>
      <c r="AK409" s="95" t="str">
        <f aca="false">IF(AE409="","",IF(ISNUMBER(AH409),IF(AH409&gt;0,AJ409/AH409,""),""))</f>
        <v/>
      </c>
      <c r="AL409" s="43" t="str">
        <f aca="false">IF(AK409="","-",IF(AK409&gt;=설정!$C$6,"Cheap",IF(AK409&lt;=-설정!$C$6,"Rich","Fair")))</f>
        <v>-</v>
      </c>
      <c r="AM409" s="96" t="str">
        <f aca="false">IF(AE409="","",AJ409-AVERAGEIFS($AJ$2:$AJ$601,$B$2:$B$601,B409,$Y$2:$Y$601,1))</f>
        <v/>
      </c>
      <c r="AN409" s="93" t="n">
        <f aca="false">IF(AE409="",0,IF(K409&gt;1+설정!$C$8,AG409*(AA409-LN(K409-1)),0))</f>
        <v>0</v>
      </c>
      <c r="AO409" s="99" t="n">
        <f aca="false">IF($A409="",0,SUMIFS(보유분석!$AA$2:$AA$801,보유분석!$AB$2:$AB$801,ROW(),보유분석!$AC$2:$AC$801,1))</f>
        <v>0</v>
      </c>
      <c r="AP409" s="43" t="str">
        <f aca="false">IF($A409="","",TRIM(IF(R409=1,"FRN ","")&amp;IF(IFERROR(VLOOKUP(M409,설정!$A$15:$D$47,4,0),0)&gt;=10,IF(IFERROR(VLOOKUP(M409,설정!$A$15:$D$47,4,0),0)&lt;99,"BBB0미만 ",""),"")&amp;IF(OR(M409="",M409="NR"),"등급미입력 ","")&amp;IF(C409&lt;&gt;"USD","비USD ","")))</f>
        <v/>
      </c>
      <c r="AQ409" s="90" t="n">
        <f aca="false">IF(AND(Y409=1,AL409="Cheap"),IF(AND(ISERROR(SEARCH("FRN",AP409)),ISERROR(SEARCH("BBB0미만",AP409))),AK409+ROW()/1000000000,-999),-999)</f>
        <v>-999</v>
      </c>
      <c r="AR409" s="92" t="str">
        <f aca="false">IF(AND(ISNUMBER(D409),ISNUMBER(K409)),D409+AN409*MAX(K409-1,0)/100,"")</f>
        <v/>
      </c>
      <c r="AS409" s="93" t="str">
        <f aca="false">IF(AND(ISNUMBER(E409),ISNUMBER(K409)),IF(K409&gt;0,(E409+AN409*MAX(K409-1,0))/K409,""),"")</f>
        <v/>
      </c>
      <c r="AT409" s="90" t="n">
        <f aca="false">IFERROR(IF(AND(Y409=1,ROW()&lt;&gt;스왑분석!$C$12+1,ABS(K409-INDEX($K$2:$K$601,스왑분석!$C$12))&lt;=스왑분석!$C$5,ISERROR(SEARCH("FRN",AP409)),ISERROR(SEARCH("BBB0미만",AP409))),IF(AND(OR(스왑분석!$C$6="N",L409=INDEX($L$2:$L$601,스왑분석!$C$12)),OR(스왑분석!$C$7="N",N409=INDEX($N$2:$N$601,스왑분석!$C$12)),OR(스왑분석!$C$8="N",AO409=0),E409-INDEX($E$2:$E$601,스왑분석!$C$12)&gt;=스왑분석!$C$9),E409-INDEX($E$2:$E$601,스왑분석!$C$12)+ROW()/1000000000,-999),-999),-999)</f>
        <v>-999</v>
      </c>
      <c r="AU409" s="90" t="n">
        <f aca="false">IF(AND(Y409=1,AO409&gt;0,AL409="Rich"),-AK409+ROW()/1000000000,-999)</f>
        <v>-999</v>
      </c>
    </row>
    <row r="410" customFormat="false" ht="15" hidden="false" customHeight="false" outlineLevel="0" collapsed="false">
      <c r="A410" s="83" t="n">
        <f aca="false">IFERROR(IF(INDEX(원자료_시장!$A$1:$BZ$1000,설정!$L$6+ROW()-1,설정!$L$24)&amp;""="0","",INDEX(원자료_시장!$A$1:$BZ$1000,설정!$L$6+ROW()-1,설정!$L$24)),"")</f>
        <v>0</v>
      </c>
      <c r="B410" s="83" t="n">
        <f aca="false">IFERROR(IF(INDEX(원자료_시장!$A$1:$BZ$1000,설정!$L$6+ROW()-1,설정!$L$37)&amp;""="0","",INDEX(원자료_시장!$A$1:$BZ$1000,설정!$L$6+ROW()-1,설정!$L$37)),"")</f>
        <v>0</v>
      </c>
      <c r="C410" s="83" t="n">
        <f aca="false">IFERROR(IF(INDEX(원자료_시장!$A$1:$BZ$1000,설정!$L$6+ROW()-1,설정!$L$25)&amp;""="0","",INDEX(원자료_시장!$A$1:$BZ$1000,설정!$L$6+ROW()-1,설정!$L$25)),"")</f>
        <v>0</v>
      </c>
      <c r="D410" s="85" t="str">
        <f aca="false">IFERROR(IF(ISNUMBER(INDEX(원자료_시장!$A$1:$BZ$1000,설정!$L$6+ROW()-1,설정!$L$26)),INDEX(원자료_시장!$A$1:$BZ$1000,설정!$L$6+ROW()-1,설정!$L$26),""),"")</f>
        <v/>
      </c>
      <c r="E410" s="97" t="str">
        <f aca="false">IFERROR(IF(ISNUMBER(INDEX(원자료_시장!$A$1:$BZ$1000,설정!$L$6+ROW()-1,설정!$L$27)),INDEX(원자료_시장!$A$1:$BZ$1000,설정!$L$6+ROW()-1,설정!$L$27),""),"")</f>
        <v/>
      </c>
      <c r="F410" s="97" t="str">
        <f aca="false">IFERROR(IF(ISNUMBER(INDEX(원자료_시장!$A$1:$BZ$1000,설정!$L$6+ROW()-1,설정!$L$28)),INDEX(원자료_시장!$A$1:$BZ$1000,설정!$L$6+ROW()-1,설정!$L$28),""),"")</f>
        <v/>
      </c>
      <c r="G410" s="97" t="str">
        <f aca="false">IFERROR(IF(ISNUMBER(INDEX(원자료_시장!$A$1:$BZ$1000,설정!$L$6+ROW()-1,설정!$L$29)),INDEX(원자료_시장!$A$1:$BZ$1000,설정!$L$6+ROW()-1,설정!$L$29),""),"")</f>
        <v/>
      </c>
      <c r="H410" s="97" t="str">
        <f aca="false">IFERROR(IF(ISNUMBER(INDEX(원자료_시장!$A$1:$BZ$1000,설정!$L$6+ROW()-1,설정!$L$30)),INDEX(원자료_시장!$A$1:$BZ$1000,설정!$L$6+ROW()-1,설정!$L$30),""),"")</f>
        <v/>
      </c>
      <c r="I410" s="97" t="str">
        <f aca="false">IFERROR(IF(ISNUMBER(INDEX(원자료_시장!$A$1:$BZ$1000,설정!$L$6+ROW()-1,설정!$L$31)),INDEX(원자료_시장!$A$1:$BZ$1000,설정!$L$6+ROW()-1,설정!$L$31),""),"")</f>
        <v/>
      </c>
      <c r="J410" s="97" t="str">
        <f aca="false">IFERROR(IF(ISNUMBER(INDEX(원자료_시장!$A$1:$BZ$1000,설정!$L$6+ROW()-1,설정!$L$32)),INDEX(원자료_시장!$A$1:$BZ$1000,설정!$L$6+ROW()-1,설정!$L$32),""),"")</f>
        <v/>
      </c>
      <c r="K410" s="85" t="str">
        <f aca="false">IFERROR(IF(ISNUMBER(INDEX(원자료_시장!$A$1:$BZ$1000,설정!$L$6+ROW()-1,설정!$L$33)),INDEX(원자료_시장!$A$1:$BZ$1000,설정!$L$6+ROW()-1,설정!$L$33),""),"")</f>
        <v/>
      </c>
      <c r="L410" s="83" t="n">
        <f aca="false">IFERROR(IF(INDEX(원자료_시장!$A$1:$BZ$1000,설정!$L$6+ROW()-1,설정!$L$34)&amp;""="0","",INDEX(원자료_시장!$A$1:$BZ$1000,설정!$L$6+ROW()-1,설정!$L$34)),"")</f>
        <v>0</v>
      </c>
      <c r="M410" s="83" t="n">
        <f aca="false">IFERROR(IF(INDEX(원자료_시장!$A$1:$BZ$1000,설정!$L$6+ROW()-1,설정!$L$35)&amp;""="0","",INDEX(원자료_시장!$A$1:$BZ$1000,설정!$L$6+ROW()-1,설정!$L$35)),"")</f>
        <v>0</v>
      </c>
      <c r="N410" s="83" t="n">
        <f aca="false">IFERROR(IF(INDEX(원자료_시장!$A$1:$BZ$1000,설정!$L$6+ROW()-1,설정!$L$36)&amp;""="0","",INDEX(원자료_시장!$A$1:$BZ$1000,설정!$L$6+ROW()-1,설정!$L$36)),"")</f>
        <v>0</v>
      </c>
      <c r="O410" s="43" t="str">
        <f aca="false">IF($A410="","",UPPER(LEFT($A410,FIND(" ",$A410&amp;" ")-1)))</f>
        <v/>
      </c>
      <c r="P410" s="43" t="str">
        <f aca="false">IF($A410="","",TRIM(RIGHT(SUBSTITUTE(TRIM($A410)," ",REPT(" ",30)),30)))</f>
        <v/>
      </c>
      <c r="Q410" s="98" t="str">
        <f aca="false">IF($A410="","",IFERROR(DATE(IF(LEN(P410)=8,2000+VALUE(RIGHT(P410,2)),VALUE(RIGHT(P410,4))),VALUE(LEFT(P410,2)),VALUE(MID(P410,4,2))),""))</f>
        <v/>
      </c>
      <c r="R410" s="89" t="n">
        <f aca="false">IF($A410="",0,IF(ISNUMBER(SEARCH("Float",$A410)),1,0))</f>
        <v>0</v>
      </c>
      <c r="S410" s="43" t="str">
        <f aca="false">IF($A410="","",TRIM(MID($A410,LEN(O410)+2,LEN($A410)-LEN(O410)-LEN(P410)-1)))</f>
        <v/>
      </c>
      <c r="T410" s="92" t="str">
        <f aca="false">IF(OR($A410="",R410=1),"",IFERROR(IF(ISNUMBER(FIND("/",S410)),IF(ISNUMBER(FIND(" ",S410)),VALUE(LEFT(S410,FIND(" ",S410)-1))+VALUE(MID(S410,FIND(" ",S410)+1,FIND("/",S410)-FIND(" ",S410)-1))/VALUE(MID(S410,FIND("/",S410)+1,9)),VALUE(LEFT(S410,FIND("/",S410)-1))/VALUE(MID(S410,FIND("/",S410)+1,9))),VALUE(S410)),""))</f>
        <v/>
      </c>
      <c r="U410" s="43" t="str">
        <f aca="false">IF(OR($A410="",NOT(ISNUMBER(Q410))),"",TEXT(Q410,"yyyymmdd")&amp;"|"&amp;IF(R410=1,"F",TEXT(T410,"0.000")))</f>
        <v/>
      </c>
      <c r="V410" s="43" t="str">
        <f aca="false">IF(U410="","",O410&amp;"|"&amp;U410)</f>
        <v/>
      </c>
      <c r="W410" s="43" t="str">
        <f aca="false">IF($A410="","",IFERROR(IF(VLOOKUP(O410,매핑!$A$4:$E$92,3,0)="","미분류",VLOOKUP(O410,매핑!$A$4:$E$92,3,0)),"미분류"))</f>
        <v/>
      </c>
      <c r="X410" s="89" t="n">
        <f aca="false">IF($A410="",0,IF(O410="T",1,0))</f>
        <v>0</v>
      </c>
      <c r="Y410" s="89" t="n">
        <f aca="false">IF($A410="",0,IF(AND(C410="USD",X410=0,ISNUMBER(E410),ISNUMBER(K410)),IF(K410&gt;=설정!$C$8,1,0),0))</f>
        <v>0</v>
      </c>
      <c r="Z410" s="43" t="str">
        <f aca="false">IF($A410="","",N410&amp;"|"&amp;L410)</f>
        <v/>
      </c>
      <c r="AA410" s="92" t="n">
        <f aca="false">IF(Y410=1,LN(K410),0)</f>
        <v>0</v>
      </c>
      <c r="AB410" s="93" t="n">
        <f aca="false">IF(Y410=1,E410,0)</f>
        <v>0</v>
      </c>
      <c r="AC410" s="89" t="n">
        <f aca="false">IF(Y410=1,COUNTIFS($Z$2:$Z$601,Z410,$Y$2:$Y$601,1),0)</f>
        <v>0</v>
      </c>
      <c r="AD410" s="89" t="n">
        <f aca="false">IF(Y410=1,COUNTIFS($N$2:$N$601,N410,$Y$2:$Y$601,1),0)</f>
        <v>0</v>
      </c>
      <c r="AE410" s="43" t="str">
        <f aca="false">IF(Y410&lt;&gt;1,"",IF(AND(AC410&gt;=설정!$C$7,ISNUMBER(MATCH(Z410,피어커브!$A:$A,0))),Z410,IF(AND(AD410&gt;=설정!$C$7,ISNUMBER(MATCH(N410&amp;"|전체",피어커브!$A:$A,0))),N410&amp;"|전체","전체|전체")))</f>
        <v/>
      </c>
      <c r="AF410" s="93" t="str">
        <f aca="false">IF(AE410="","",INDEX(피어커브!$K:$K,MATCH(AE410,피어커브!$A:$A,0)))</f>
        <v/>
      </c>
      <c r="AG410" s="93" t="str">
        <f aca="false">IF(AE410="","",INDEX(피어커브!$J:$J,MATCH(AE410,피어커브!$A:$A,0)))</f>
        <v/>
      </c>
      <c r="AH410" s="93" t="str">
        <f aca="false">IF(AE410="","",INDEX(피어커브!$L:$L,MATCH(AE410,피어커브!$A:$A,0)))</f>
        <v/>
      </c>
      <c r="AI410" s="93" t="str">
        <f aca="false">IF(AE410="","",AF410+AG410*AA410)</f>
        <v/>
      </c>
      <c r="AJ410" s="96" t="str">
        <f aca="false">IF(AE410="","",E410-AI410)</f>
        <v/>
      </c>
      <c r="AK410" s="95" t="str">
        <f aca="false">IF(AE410="","",IF(ISNUMBER(AH410),IF(AH410&gt;0,AJ410/AH410,""),""))</f>
        <v/>
      </c>
      <c r="AL410" s="43" t="str">
        <f aca="false">IF(AK410="","-",IF(AK410&gt;=설정!$C$6,"Cheap",IF(AK410&lt;=-설정!$C$6,"Rich","Fair")))</f>
        <v>-</v>
      </c>
      <c r="AM410" s="96" t="str">
        <f aca="false">IF(AE410="","",AJ410-AVERAGEIFS($AJ$2:$AJ$601,$B$2:$B$601,B410,$Y$2:$Y$601,1))</f>
        <v/>
      </c>
      <c r="AN410" s="93" t="n">
        <f aca="false">IF(AE410="",0,IF(K410&gt;1+설정!$C$8,AG410*(AA410-LN(K410-1)),0))</f>
        <v>0</v>
      </c>
      <c r="AO410" s="99" t="n">
        <f aca="false">IF($A410="",0,SUMIFS(보유분석!$AA$2:$AA$801,보유분석!$AB$2:$AB$801,ROW(),보유분석!$AC$2:$AC$801,1))</f>
        <v>0</v>
      </c>
      <c r="AP410" s="43" t="str">
        <f aca="false">IF($A410="","",TRIM(IF(R410=1,"FRN ","")&amp;IF(IFERROR(VLOOKUP(M410,설정!$A$15:$D$47,4,0),0)&gt;=10,IF(IFERROR(VLOOKUP(M410,설정!$A$15:$D$47,4,0),0)&lt;99,"BBB0미만 ",""),"")&amp;IF(OR(M410="",M410="NR"),"등급미입력 ","")&amp;IF(C410&lt;&gt;"USD","비USD ","")))</f>
        <v/>
      </c>
      <c r="AQ410" s="90" t="n">
        <f aca="false">IF(AND(Y410=1,AL410="Cheap"),IF(AND(ISERROR(SEARCH("FRN",AP410)),ISERROR(SEARCH("BBB0미만",AP410))),AK410+ROW()/1000000000,-999),-999)</f>
        <v>-999</v>
      </c>
      <c r="AR410" s="92" t="str">
        <f aca="false">IF(AND(ISNUMBER(D410),ISNUMBER(K410)),D410+AN410*MAX(K410-1,0)/100,"")</f>
        <v/>
      </c>
      <c r="AS410" s="93" t="str">
        <f aca="false">IF(AND(ISNUMBER(E410),ISNUMBER(K410)),IF(K410&gt;0,(E410+AN410*MAX(K410-1,0))/K410,""),"")</f>
        <v/>
      </c>
      <c r="AT410" s="90" t="n">
        <f aca="false">IFERROR(IF(AND(Y410=1,ROW()&lt;&gt;스왑분석!$C$12+1,ABS(K410-INDEX($K$2:$K$601,스왑분석!$C$12))&lt;=스왑분석!$C$5,ISERROR(SEARCH("FRN",AP410)),ISERROR(SEARCH("BBB0미만",AP410))),IF(AND(OR(스왑분석!$C$6="N",L410=INDEX($L$2:$L$601,스왑분석!$C$12)),OR(스왑분석!$C$7="N",N410=INDEX($N$2:$N$601,스왑분석!$C$12)),OR(스왑분석!$C$8="N",AO410=0),E410-INDEX($E$2:$E$601,스왑분석!$C$12)&gt;=스왑분석!$C$9),E410-INDEX($E$2:$E$601,스왑분석!$C$12)+ROW()/1000000000,-999),-999),-999)</f>
        <v>-999</v>
      </c>
      <c r="AU410" s="90" t="n">
        <f aca="false">IF(AND(Y410=1,AO410&gt;0,AL410="Rich"),-AK410+ROW()/1000000000,-999)</f>
        <v>-999</v>
      </c>
    </row>
    <row r="411" customFormat="false" ht="15" hidden="false" customHeight="false" outlineLevel="0" collapsed="false">
      <c r="A411" s="83" t="n">
        <f aca="false">IFERROR(IF(INDEX(원자료_시장!$A$1:$BZ$1000,설정!$L$6+ROW()-1,설정!$L$24)&amp;""="0","",INDEX(원자료_시장!$A$1:$BZ$1000,설정!$L$6+ROW()-1,설정!$L$24)),"")</f>
        <v>0</v>
      </c>
      <c r="B411" s="83" t="n">
        <f aca="false">IFERROR(IF(INDEX(원자료_시장!$A$1:$BZ$1000,설정!$L$6+ROW()-1,설정!$L$37)&amp;""="0","",INDEX(원자료_시장!$A$1:$BZ$1000,설정!$L$6+ROW()-1,설정!$L$37)),"")</f>
        <v>0</v>
      </c>
      <c r="C411" s="83" t="n">
        <f aca="false">IFERROR(IF(INDEX(원자료_시장!$A$1:$BZ$1000,설정!$L$6+ROW()-1,설정!$L$25)&amp;""="0","",INDEX(원자료_시장!$A$1:$BZ$1000,설정!$L$6+ROW()-1,설정!$L$25)),"")</f>
        <v>0</v>
      </c>
      <c r="D411" s="85" t="str">
        <f aca="false">IFERROR(IF(ISNUMBER(INDEX(원자료_시장!$A$1:$BZ$1000,설정!$L$6+ROW()-1,설정!$L$26)),INDEX(원자료_시장!$A$1:$BZ$1000,설정!$L$6+ROW()-1,설정!$L$26),""),"")</f>
        <v/>
      </c>
      <c r="E411" s="97" t="str">
        <f aca="false">IFERROR(IF(ISNUMBER(INDEX(원자료_시장!$A$1:$BZ$1000,설정!$L$6+ROW()-1,설정!$L$27)),INDEX(원자료_시장!$A$1:$BZ$1000,설정!$L$6+ROW()-1,설정!$L$27),""),"")</f>
        <v/>
      </c>
      <c r="F411" s="97" t="str">
        <f aca="false">IFERROR(IF(ISNUMBER(INDEX(원자료_시장!$A$1:$BZ$1000,설정!$L$6+ROW()-1,설정!$L$28)),INDEX(원자료_시장!$A$1:$BZ$1000,설정!$L$6+ROW()-1,설정!$L$28),""),"")</f>
        <v/>
      </c>
      <c r="G411" s="97" t="str">
        <f aca="false">IFERROR(IF(ISNUMBER(INDEX(원자료_시장!$A$1:$BZ$1000,설정!$L$6+ROW()-1,설정!$L$29)),INDEX(원자료_시장!$A$1:$BZ$1000,설정!$L$6+ROW()-1,설정!$L$29),""),"")</f>
        <v/>
      </c>
      <c r="H411" s="97" t="str">
        <f aca="false">IFERROR(IF(ISNUMBER(INDEX(원자료_시장!$A$1:$BZ$1000,설정!$L$6+ROW()-1,설정!$L$30)),INDEX(원자료_시장!$A$1:$BZ$1000,설정!$L$6+ROW()-1,설정!$L$30),""),"")</f>
        <v/>
      </c>
      <c r="I411" s="97" t="str">
        <f aca="false">IFERROR(IF(ISNUMBER(INDEX(원자료_시장!$A$1:$BZ$1000,설정!$L$6+ROW()-1,설정!$L$31)),INDEX(원자료_시장!$A$1:$BZ$1000,설정!$L$6+ROW()-1,설정!$L$31),""),"")</f>
        <v/>
      </c>
      <c r="J411" s="97" t="str">
        <f aca="false">IFERROR(IF(ISNUMBER(INDEX(원자료_시장!$A$1:$BZ$1000,설정!$L$6+ROW()-1,설정!$L$32)),INDEX(원자료_시장!$A$1:$BZ$1000,설정!$L$6+ROW()-1,설정!$L$32),""),"")</f>
        <v/>
      </c>
      <c r="K411" s="85" t="str">
        <f aca="false">IFERROR(IF(ISNUMBER(INDEX(원자료_시장!$A$1:$BZ$1000,설정!$L$6+ROW()-1,설정!$L$33)),INDEX(원자료_시장!$A$1:$BZ$1000,설정!$L$6+ROW()-1,설정!$L$33),""),"")</f>
        <v/>
      </c>
      <c r="L411" s="83" t="n">
        <f aca="false">IFERROR(IF(INDEX(원자료_시장!$A$1:$BZ$1000,설정!$L$6+ROW()-1,설정!$L$34)&amp;""="0","",INDEX(원자료_시장!$A$1:$BZ$1000,설정!$L$6+ROW()-1,설정!$L$34)),"")</f>
        <v>0</v>
      </c>
      <c r="M411" s="83" t="n">
        <f aca="false">IFERROR(IF(INDEX(원자료_시장!$A$1:$BZ$1000,설정!$L$6+ROW()-1,설정!$L$35)&amp;""="0","",INDEX(원자료_시장!$A$1:$BZ$1000,설정!$L$6+ROW()-1,설정!$L$35)),"")</f>
        <v>0</v>
      </c>
      <c r="N411" s="83" t="n">
        <f aca="false">IFERROR(IF(INDEX(원자료_시장!$A$1:$BZ$1000,설정!$L$6+ROW()-1,설정!$L$36)&amp;""="0","",INDEX(원자료_시장!$A$1:$BZ$1000,설정!$L$6+ROW()-1,설정!$L$36)),"")</f>
        <v>0</v>
      </c>
      <c r="O411" s="43" t="str">
        <f aca="false">IF($A411="","",UPPER(LEFT($A411,FIND(" ",$A411&amp;" ")-1)))</f>
        <v/>
      </c>
      <c r="P411" s="43" t="str">
        <f aca="false">IF($A411="","",TRIM(RIGHT(SUBSTITUTE(TRIM($A411)," ",REPT(" ",30)),30)))</f>
        <v/>
      </c>
      <c r="Q411" s="98" t="str">
        <f aca="false">IF($A411="","",IFERROR(DATE(IF(LEN(P411)=8,2000+VALUE(RIGHT(P411,2)),VALUE(RIGHT(P411,4))),VALUE(LEFT(P411,2)),VALUE(MID(P411,4,2))),""))</f>
        <v/>
      </c>
      <c r="R411" s="89" t="n">
        <f aca="false">IF($A411="",0,IF(ISNUMBER(SEARCH("Float",$A411)),1,0))</f>
        <v>0</v>
      </c>
      <c r="S411" s="43" t="str">
        <f aca="false">IF($A411="","",TRIM(MID($A411,LEN(O411)+2,LEN($A411)-LEN(O411)-LEN(P411)-1)))</f>
        <v/>
      </c>
      <c r="T411" s="92" t="str">
        <f aca="false">IF(OR($A411="",R411=1),"",IFERROR(IF(ISNUMBER(FIND("/",S411)),IF(ISNUMBER(FIND(" ",S411)),VALUE(LEFT(S411,FIND(" ",S411)-1))+VALUE(MID(S411,FIND(" ",S411)+1,FIND("/",S411)-FIND(" ",S411)-1))/VALUE(MID(S411,FIND("/",S411)+1,9)),VALUE(LEFT(S411,FIND("/",S411)-1))/VALUE(MID(S411,FIND("/",S411)+1,9))),VALUE(S411)),""))</f>
        <v/>
      </c>
      <c r="U411" s="43" t="str">
        <f aca="false">IF(OR($A411="",NOT(ISNUMBER(Q411))),"",TEXT(Q411,"yyyymmdd")&amp;"|"&amp;IF(R411=1,"F",TEXT(T411,"0.000")))</f>
        <v/>
      </c>
      <c r="V411" s="43" t="str">
        <f aca="false">IF(U411="","",O411&amp;"|"&amp;U411)</f>
        <v/>
      </c>
      <c r="W411" s="43" t="str">
        <f aca="false">IF($A411="","",IFERROR(IF(VLOOKUP(O411,매핑!$A$4:$E$92,3,0)="","미분류",VLOOKUP(O411,매핑!$A$4:$E$92,3,0)),"미분류"))</f>
        <v/>
      </c>
      <c r="X411" s="89" t="n">
        <f aca="false">IF($A411="",0,IF(O411="T",1,0))</f>
        <v>0</v>
      </c>
      <c r="Y411" s="89" t="n">
        <f aca="false">IF($A411="",0,IF(AND(C411="USD",X411=0,ISNUMBER(E411),ISNUMBER(K411)),IF(K411&gt;=설정!$C$8,1,0),0))</f>
        <v>0</v>
      </c>
      <c r="Z411" s="43" t="str">
        <f aca="false">IF($A411="","",N411&amp;"|"&amp;L411)</f>
        <v/>
      </c>
      <c r="AA411" s="92" t="n">
        <f aca="false">IF(Y411=1,LN(K411),0)</f>
        <v>0</v>
      </c>
      <c r="AB411" s="93" t="n">
        <f aca="false">IF(Y411=1,E411,0)</f>
        <v>0</v>
      </c>
      <c r="AC411" s="89" t="n">
        <f aca="false">IF(Y411=1,COUNTIFS($Z$2:$Z$601,Z411,$Y$2:$Y$601,1),0)</f>
        <v>0</v>
      </c>
      <c r="AD411" s="89" t="n">
        <f aca="false">IF(Y411=1,COUNTIFS($N$2:$N$601,N411,$Y$2:$Y$601,1),0)</f>
        <v>0</v>
      </c>
      <c r="AE411" s="43" t="str">
        <f aca="false">IF(Y411&lt;&gt;1,"",IF(AND(AC411&gt;=설정!$C$7,ISNUMBER(MATCH(Z411,피어커브!$A:$A,0))),Z411,IF(AND(AD411&gt;=설정!$C$7,ISNUMBER(MATCH(N411&amp;"|전체",피어커브!$A:$A,0))),N411&amp;"|전체","전체|전체")))</f>
        <v/>
      </c>
      <c r="AF411" s="93" t="str">
        <f aca="false">IF(AE411="","",INDEX(피어커브!$K:$K,MATCH(AE411,피어커브!$A:$A,0)))</f>
        <v/>
      </c>
      <c r="AG411" s="93" t="str">
        <f aca="false">IF(AE411="","",INDEX(피어커브!$J:$J,MATCH(AE411,피어커브!$A:$A,0)))</f>
        <v/>
      </c>
      <c r="AH411" s="93" t="str">
        <f aca="false">IF(AE411="","",INDEX(피어커브!$L:$L,MATCH(AE411,피어커브!$A:$A,0)))</f>
        <v/>
      </c>
      <c r="AI411" s="93" t="str">
        <f aca="false">IF(AE411="","",AF411+AG411*AA411)</f>
        <v/>
      </c>
      <c r="AJ411" s="96" t="str">
        <f aca="false">IF(AE411="","",E411-AI411)</f>
        <v/>
      </c>
      <c r="AK411" s="95" t="str">
        <f aca="false">IF(AE411="","",IF(ISNUMBER(AH411),IF(AH411&gt;0,AJ411/AH411,""),""))</f>
        <v/>
      </c>
      <c r="AL411" s="43" t="str">
        <f aca="false">IF(AK411="","-",IF(AK411&gt;=설정!$C$6,"Cheap",IF(AK411&lt;=-설정!$C$6,"Rich","Fair")))</f>
        <v>-</v>
      </c>
      <c r="AM411" s="96" t="str">
        <f aca="false">IF(AE411="","",AJ411-AVERAGEIFS($AJ$2:$AJ$601,$B$2:$B$601,B411,$Y$2:$Y$601,1))</f>
        <v/>
      </c>
      <c r="AN411" s="93" t="n">
        <f aca="false">IF(AE411="",0,IF(K411&gt;1+설정!$C$8,AG411*(AA411-LN(K411-1)),0))</f>
        <v>0</v>
      </c>
      <c r="AO411" s="99" t="n">
        <f aca="false">IF($A411="",0,SUMIFS(보유분석!$AA$2:$AA$801,보유분석!$AB$2:$AB$801,ROW(),보유분석!$AC$2:$AC$801,1))</f>
        <v>0</v>
      </c>
      <c r="AP411" s="43" t="str">
        <f aca="false">IF($A411="","",TRIM(IF(R411=1,"FRN ","")&amp;IF(IFERROR(VLOOKUP(M411,설정!$A$15:$D$47,4,0),0)&gt;=10,IF(IFERROR(VLOOKUP(M411,설정!$A$15:$D$47,4,0),0)&lt;99,"BBB0미만 ",""),"")&amp;IF(OR(M411="",M411="NR"),"등급미입력 ","")&amp;IF(C411&lt;&gt;"USD","비USD ","")))</f>
        <v/>
      </c>
      <c r="AQ411" s="90" t="n">
        <f aca="false">IF(AND(Y411=1,AL411="Cheap"),IF(AND(ISERROR(SEARCH("FRN",AP411)),ISERROR(SEARCH("BBB0미만",AP411))),AK411+ROW()/1000000000,-999),-999)</f>
        <v>-999</v>
      </c>
      <c r="AR411" s="92" t="str">
        <f aca="false">IF(AND(ISNUMBER(D411),ISNUMBER(K411)),D411+AN411*MAX(K411-1,0)/100,"")</f>
        <v/>
      </c>
      <c r="AS411" s="93" t="str">
        <f aca="false">IF(AND(ISNUMBER(E411),ISNUMBER(K411)),IF(K411&gt;0,(E411+AN411*MAX(K411-1,0))/K411,""),"")</f>
        <v/>
      </c>
      <c r="AT411" s="90" t="n">
        <f aca="false">IFERROR(IF(AND(Y411=1,ROW()&lt;&gt;스왑분석!$C$12+1,ABS(K411-INDEX($K$2:$K$601,스왑분석!$C$12))&lt;=스왑분석!$C$5,ISERROR(SEARCH("FRN",AP411)),ISERROR(SEARCH("BBB0미만",AP411))),IF(AND(OR(스왑분석!$C$6="N",L411=INDEX($L$2:$L$601,스왑분석!$C$12)),OR(스왑분석!$C$7="N",N411=INDEX($N$2:$N$601,스왑분석!$C$12)),OR(스왑분석!$C$8="N",AO411=0),E411-INDEX($E$2:$E$601,스왑분석!$C$12)&gt;=스왑분석!$C$9),E411-INDEX($E$2:$E$601,스왑분석!$C$12)+ROW()/1000000000,-999),-999),-999)</f>
        <v>-999</v>
      </c>
      <c r="AU411" s="90" t="n">
        <f aca="false">IF(AND(Y411=1,AO411&gt;0,AL411="Rich"),-AK411+ROW()/1000000000,-999)</f>
        <v>-999</v>
      </c>
    </row>
    <row r="412" customFormat="false" ht="15" hidden="false" customHeight="false" outlineLevel="0" collapsed="false">
      <c r="A412" s="83" t="n">
        <f aca="false">IFERROR(IF(INDEX(원자료_시장!$A$1:$BZ$1000,설정!$L$6+ROW()-1,설정!$L$24)&amp;""="0","",INDEX(원자료_시장!$A$1:$BZ$1000,설정!$L$6+ROW()-1,설정!$L$24)),"")</f>
        <v>0</v>
      </c>
      <c r="B412" s="83" t="n">
        <f aca="false">IFERROR(IF(INDEX(원자료_시장!$A$1:$BZ$1000,설정!$L$6+ROW()-1,설정!$L$37)&amp;""="0","",INDEX(원자료_시장!$A$1:$BZ$1000,설정!$L$6+ROW()-1,설정!$L$37)),"")</f>
        <v>0</v>
      </c>
      <c r="C412" s="83" t="n">
        <f aca="false">IFERROR(IF(INDEX(원자료_시장!$A$1:$BZ$1000,설정!$L$6+ROW()-1,설정!$L$25)&amp;""="0","",INDEX(원자료_시장!$A$1:$BZ$1000,설정!$L$6+ROW()-1,설정!$L$25)),"")</f>
        <v>0</v>
      </c>
      <c r="D412" s="85" t="str">
        <f aca="false">IFERROR(IF(ISNUMBER(INDEX(원자료_시장!$A$1:$BZ$1000,설정!$L$6+ROW()-1,설정!$L$26)),INDEX(원자료_시장!$A$1:$BZ$1000,설정!$L$6+ROW()-1,설정!$L$26),""),"")</f>
        <v/>
      </c>
      <c r="E412" s="97" t="str">
        <f aca="false">IFERROR(IF(ISNUMBER(INDEX(원자료_시장!$A$1:$BZ$1000,설정!$L$6+ROW()-1,설정!$L$27)),INDEX(원자료_시장!$A$1:$BZ$1000,설정!$L$6+ROW()-1,설정!$L$27),""),"")</f>
        <v/>
      </c>
      <c r="F412" s="97" t="str">
        <f aca="false">IFERROR(IF(ISNUMBER(INDEX(원자료_시장!$A$1:$BZ$1000,설정!$L$6+ROW()-1,설정!$L$28)),INDEX(원자료_시장!$A$1:$BZ$1000,설정!$L$6+ROW()-1,설정!$L$28),""),"")</f>
        <v/>
      </c>
      <c r="G412" s="97" t="str">
        <f aca="false">IFERROR(IF(ISNUMBER(INDEX(원자료_시장!$A$1:$BZ$1000,설정!$L$6+ROW()-1,설정!$L$29)),INDEX(원자료_시장!$A$1:$BZ$1000,설정!$L$6+ROW()-1,설정!$L$29),""),"")</f>
        <v/>
      </c>
      <c r="H412" s="97" t="str">
        <f aca="false">IFERROR(IF(ISNUMBER(INDEX(원자료_시장!$A$1:$BZ$1000,설정!$L$6+ROW()-1,설정!$L$30)),INDEX(원자료_시장!$A$1:$BZ$1000,설정!$L$6+ROW()-1,설정!$L$30),""),"")</f>
        <v/>
      </c>
      <c r="I412" s="97" t="str">
        <f aca="false">IFERROR(IF(ISNUMBER(INDEX(원자료_시장!$A$1:$BZ$1000,설정!$L$6+ROW()-1,설정!$L$31)),INDEX(원자료_시장!$A$1:$BZ$1000,설정!$L$6+ROW()-1,설정!$L$31),""),"")</f>
        <v/>
      </c>
      <c r="J412" s="97" t="str">
        <f aca="false">IFERROR(IF(ISNUMBER(INDEX(원자료_시장!$A$1:$BZ$1000,설정!$L$6+ROW()-1,설정!$L$32)),INDEX(원자료_시장!$A$1:$BZ$1000,설정!$L$6+ROW()-1,설정!$L$32),""),"")</f>
        <v/>
      </c>
      <c r="K412" s="85" t="str">
        <f aca="false">IFERROR(IF(ISNUMBER(INDEX(원자료_시장!$A$1:$BZ$1000,설정!$L$6+ROW()-1,설정!$L$33)),INDEX(원자료_시장!$A$1:$BZ$1000,설정!$L$6+ROW()-1,설정!$L$33),""),"")</f>
        <v/>
      </c>
      <c r="L412" s="83" t="n">
        <f aca="false">IFERROR(IF(INDEX(원자료_시장!$A$1:$BZ$1000,설정!$L$6+ROW()-1,설정!$L$34)&amp;""="0","",INDEX(원자료_시장!$A$1:$BZ$1000,설정!$L$6+ROW()-1,설정!$L$34)),"")</f>
        <v>0</v>
      </c>
      <c r="M412" s="83" t="n">
        <f aca="false">IFERROR(IF(INDEX(원자료_시장!$A$1:$BZ$1000,설정!$L$6+ROW()-1,설정!$L$35)&amp;""="0","",INDEX(원자료_시장!$A$1:$BZ$1000,설정!$L$6+ROW()-1,설정!$L$35)),"")</f>
        <v>0</v>
      </c>
      <c r="N412" s="83" t="n">
        <f aca="false">IFERROR(IF(INDEX(원자료_시장!$A$1:$BZ$1000,설정!$L$6+ROW()-1,설정!$L$36)&amp;""="0","",INDEX(원자료_시장!$A$1:$BZ$1000,설정!$L$6+ROW()-1,설정!$L$36)),"")</f>
        <v>0</v>
      </c>
      <c r="O412" s="43" t="str">
        <f aca="false">IF($A412="","",UPPER(LEFT($A412,FIND(" ",$A412&amp;" ")-1)))</f>
        <v/>
      </c>
      <c r="P412" s="43" t="str">
        <f aca="false">IF($A412="","",TRIM(RIGHT(SUBSTITUTE(TRIM($A412)," ",REPT(" ",30)),30)))</f>
        <v/>
      </c>
      <c r="Q412" s="98" t="str">
        <f aca="false">IF($A412="","",IFERROR(DATE(IF(LEN(P412)=8,2000+VALUE(RIGHT(P412,2)),VALUE(RIGHT(P412,4))),VALUE(LEFT(P412,2)),VALUE(MID(P412,4,2))),""))</f>
        <v/>
      </c>
      <c r="R412" s="89" t="n">
        <f aca="false">IF($A412="",0,IF(ISNUMBER(SEARCH("Float",$A412)),1,0))</f>
        <v>0</v>
      </c>
      <c r="S412" s="43" t="str">
        <f aca="false">IF($A412="","",TRIM(MID($A412,LEN(O412)+2,LEN($A412)-LEN(O412)-LEN(P412)-1)))</f>
        <v/>
      </c>
      <c r="T412" s="92" t="str">
        <f aca="false">IF(OR($A412="",R412=1),"",IFERROR(IF(ISNUMBER(FIND("/",S412)),IF(ISNUMBER(FIND(" ",S412)),VALUE(LEFT(S412,FIND(" ",S412)-1))+VALUE(MID(S412,FIND(" ",S412)+1,FIND("/",S412)-FIND(" ",S412)-1))/VALUE(MID(S412,FIND("/",S412)+1,9)),VALUE(LEFT(S412,FIND("/",S412)-1))/VALUE(MID(S412,FIND("/",S412)+1,9))),VALUE(S412)),""))</f>
        <v/>
      </c>
      <c r="U412" s="43" t="str">
        <f aca="false">IF(OR($A412="",NOT(ISNUMBER(Q412))),"",TEXT(Q412,"yyyymmdd")&amp;"|"&amp;IF(R412=1,"F",TEXT(T412,"0.000")))</f>
        <v/>
      </c>
      <c r="V412" s="43" t="str">
        <f aca="false">IF(U412="","",O412&amp;"|"&amp;U412)</f>
        <v/>
      </c>
      <c r="W412" s="43" t="str">
        <f aca="false">IF($A412="","",IFERROR(IF(VLOOKUP(O412,매핑!$A$4:$E$92,3,0)="","미분류",VLOOKUP(O412,매핑!$A$4:$E$92,3,0)),"미분류"))</f>
        <v/>
      </c>
      <c r="X412" s="89" t="n">
        <f aca="false">IF($A412="",0,IF(O412="T",1,0))</f>
        <v>0</v>
      </c>
      <c r="Y412" s="89" t="n">
        <f aca="false">IF($A412="",0,IF(AND(C412="USD",X412=0,ISNUMBER(E412),ISNUMBER(K412)),IF(K412&gt;=설정!$C$8,1,0),0))</f>
        <v>0</v>
      </c>
      <c r="Z412" s="43" t="str">
        <f aca="false">IF($A412="","",N412&amp;"|"&amp;L412)</f>
        <v/>
      </c>
      <c r="AA412" s="92" t="n">
        <f aca="false">IF(Y412=1,LN(K412),0)</f>
        <v>0</v>
      </c>
      <c r="AB412" s="93" t="n">
        <f aca="false">IF(Y412=1,E412,0)</f>
        <v>0</v>
      </c>
      <c r="AC412" s="89" t="n">
        <f aca="false">IF(Y412=1,COUNTIFS($Z$2:$Z$601,Z412,$Y$2:$Y$601,1),0)</f>
        <v>0</v>
      </c>
      <c r="AD412" s="89" t="n">
        <f aca="false">IF(Y412=1,COUNTIFS($N$2:$N$601,N412,$Y$2:$Y$601,1),0)</f>
        <v>0</v>
      </c>
      <c r="AE412" s="43" t="str">
        <f aca="false">IF(Y412&lt;&gt;1,"",IF(AND(AC412&gt;=설정!$C$7,ISNUMBER(MATCH(Z412,피어커브!$A:$A,0))),Z412,IF(AND(AD412&gt;=설정!$C$7,ISNUMBER(MATCH(N412&amp;"|전체",피어커브!$A:$A,0))),N412&amp;"|전체","전체|전체")))</f>
        <v/>
      </c>
      <c r="AF412" s="93" t="str">
        <f aca="false">IF(AE412="","",INDEX(피어커브!$K:$K,MATCH(AE412,피어커브!$A:$A,0)))</f>
        <v/>
      </c>
      <c r="AG412" s="93" t="str">
        <f aca="false">IF(AE412="","",INDEX(피어커브!$J:$J,MATCH(AE412,피어커브!$A:$A,0)))</f>
        <v/>
      </c>
      <c r="AH412" s="93" t="str">
        <f aca="false">IF(AE412="","",INDEX(피어커브!$L:$L,MATCH(AE412,피어커브!$A:$A,0)))</f>
        <v/>
      </c>
      <c r="AI412" s="93" t="str">
        <f aca="false">IF(AE412="","",AF412+AG412*AA412)</f>
        <v/>
      </c>
      <c r="AJ412" s="96" t="str">
        <f aca="false">IF(AE412="","",E412-AI412)</f>
        <v/>
      </c>
      <c r="AK412" s="95" t="str">
        <f aca="false">IF(AE412="","",IF(ISNUMBER(AH412),IF(AH412&gt;0,AJ412/AH412,""),""))</f>
        <v/>
      </c>
      <c r="AL412" s="43" t="str">
        <f aca="false">IF(AK412="","-",IF(AK412&gt;=설정!$C$6,"Cheap",IF(AK412&lt;=-설정!$C$6,"Rich","Fair")))</f>
        <v>-</v>
      </c>
      <c r="AM412" s="96" t="str">
        <f aca="false">IF(AE412="","",AJ412-AVERAGEIFS($AJ$2:$AJ$601,$B$2:$B$601,B412,$Y$2:$Y$601,1))</f>
        <v/>
      </c>
      <c r="AN412" s="93" t="n">
        <f aca="false">IF(AE412="",0,IF(K412&gt;1+설정!$C$8,AG412*(AA412-LN(K412-1)),0))</f>
        <v>0</v>
      </c>
      <c r="AO412" s="99" t="n">
        <f aca="false">IF($A412="",0,SUMIFS(보유분석!$AA$2:$AA$801,보유분석!$AB$2:$AB$801,ROW(),보유분석!$AC$2:$AC$801,1))</f>
        <v>0</v>
      </c>
      <c r="AP412" s="43" t="str">
        <f aca="false">IF($A412="","",TRIM(IF(R412=1,"FRN ","")&amp;IF(IFERROR(VLOOKUP(M412,설정!$A$15:$D$47,4,0),0)&gt;=10,IF(IFERROR(VLOOKUP(M412,설정!$A$15:$D$47,4,0),0)&lt;99,"BBB0미만 ",""),"")&amp;IF(OR(M412="",M412="NR"),"등급미입력 ","")&amp;IF(C412&lt;&gt;"USD","비USD ","")))</f>
        <v/>
      </c>
      <c r="AQ412" s="90" t="n">
        <f aca="false">IF(AND(Y412=1,AL412="Cheap"),IF(AND(ISERROR(SEARCH("FRN",AP412)),ISERROR(SEARCH("BBB0미만",AP412))),AK412+ROW()/1000000000,-999),-999)</f>
        <v>-999</v>
      </c>
      <c r="AR412" s="92" t="str">
        <f aca="false">IF(AND(ISNUMBER(D412),ISNUMBER(K412)),D412+AN412*MAX(K412-1,0)/100,"")</f>
        <v/>
      </c>
      <c r="AS412" s="93" t="str">
        <f aca="false">IF(AND(ISNUMBER(E412),ISNUMBER(K412)),IF(K412&gt;0,(E412+AN412*MAX(K412-1,0))/K412,""),"")</f>
        <v/>
      </c>
      <c r="AT412" s="90" t="n">
        <f aca="false">IFERROR(IF(AND(Y412=1,ROW()&lt;&gt;스왑분석!$C$12+1,ABS(K412-INDEX($K$2:$K$601,스왑분석!$C$12))&lt;=스왑분석!$C$5,ISERROR(SEARCH("FRN",AP412)),ISERROR(SEARCH("BBB0미만",AP412))),IF(AND(OR(스왑분석!$C$6="N",L412=INDEX($L$2:$L$601,스왑분석!$C$12)),OR(스왑분석!$C$7="N",N412=INDEX($N$2:$N$601,스왑분석!$C$12)),OR(스왑분석!$C$8="N",AO412=0),E412-INDEX($E$2:$E$601,스왑분석!$C$12)&gt;=스왑분석!$C$9),E412-INDEX($E$2:$E$601,스왑분석!$C$12)+ROW()/1000000000,-999),-999),-999)</f>
        <v>-999</v>
      </c>
      <c r="AU412" s="90" t="n">
        <f aca="false">IF(AND(Y412=1,AO412&gt;0,AL412="Rich"),-AK412+ROW()/1000000000,-999)</f>
        <v>-999</v>
      </c>
    </row>
    <row r="413" customFormat="false" ht="15" hidden="false" customHeight="false" outlineLevel="0" collapsed="false">
      <c r="A413" s="83" t="n">
        <f aca="false">IFERROR(IF(INDEX(원자료_시장!$A$1:$BZ$1000,설정!$L$6+ROW()-1,설정!$L$24)&amp;""="0","",INDEX(원자료_시장!$A$1:$BZ$1000,설정!$L$6+ROW()-1,설정!$L$24)),"")</f>
        <v>0</v>
      </c>
      <c r="B413" s="83" t="n">
        <f aca="false">IFERROR(IF(INDEX(원자료_시장!$A$1:$BZ$1000,설정!$L$6+ROW()-1,설정!$L$37)&amp;""="0","",INDEX(원자료_시장!$A$1:$BZ$1000,설정!$L$6+ROW()-1,설정!$L$37)),"")</f>
        <v>0</v>
      </c>
      <c r="C413" s="83" t="n">
        <f aca="false">IFERROR(IF(INDEX(원자료_시장!$A$1:$BZ$1000,설정!$L$6+ROW()-1,설정!$L$25)&amp;""="0","",INDEX(원자료_시장!$A$1:$BZ$1000,설정!$L$6+ROW()-1,설정!$L$25)),"")</f>
        <v>0</v>
      </c>
      <c r="D413" s="85" t="str">
        <f aca="false">IFERROR(IF(ISNUMBER(INDEX(원자료_시장!$A$1:$BZ$1000,설정!$L$6+ROW()-1,설정!$L$26)),INDEX(원자료_시장!$A$1:$BZ$1000,설정!$L$6+ROW()-1,설정!$L$26),""),"")</f>
        <v/>
      </c>
      <c r="E413" s="97" t="str">
        <f aca="false">IFERROR(IF(ISNUMBER(INDEX(원자료_시장!$A$1:$BZ$1000,설정!$L$6+ROW()-1,설정!$L$27)),INDEX(원자료_시장!$A$1:$BZ$1000,설정!$L$6+ROW()-1,설정!$L$27),""),"")</f>
        <v/>
      </c>
      <c r="F413" s="97" t="str">
        <f aca="false">IFERROR(IF(ISNUMBER(INDEX(원자료_시장!$A$1:$BZ$1000,설정!$L$6+ROW()-1,설정!$L$28)),INDEX(원자료_시장!$A$1:$BZ$1000,설정!$L$6+ROW()-1,설정!$L$28),""),"")</f>
        <v/>
      </c>
      <c r="G413" s="97" t="str">
        <f aca="false">IFERROR(IF(ISNUMBER(INDEX(원자료_시장!$A$1:$BZ$1000,설정!$L$6+ROW()-1,설정!$L$29)),INDEX(원자료_시장!$A$1:$BZ$1000,설정!$L$6+ROW()-1,설정!$L$29),""),"")</f>
        <v/>
      </c>
      <c r="H413" s="97" t="str">
        <f aca="false">IFERROR(IF(ISNUMBER(INDEX(원자료_시장!$A$1:$BZ$1000,설정!$L$6+ROW()-1,설정!$L$30)),INDEX(원자료_시장!$A$1:$BZ$1000,설정!$L$6+ROW()-1,설정!$L$30),""),"")</f>
        <v/>
      </c>
      <c r="I413" s="97" t="str">
        <f aca="false">IFERROR(IF(ISNUMBER(INDEX(원자료_시장!$A$1:$BZ$1000,설정!$L$6+ROW()-1,설정!$L$31)),INDEX(원자료_시장!$A$1:$BZ$1000,설정!$L$6+ROW()-1,설정!$L$31),""),"")</f>
        <v/>
      </c>
      <c r="J413" s="97" t="str">
        <f aca="false">IFERROR(IF(ISNUMBER(INDEX(원자료_시장!$A$1:$BZ$1000,설정!$L$6+ROW()-1,설정!$L$32)),INDEX(원자료_시장!$A$1:$BZ$1000,설정!$L$6+ROW()-1,설정!$L$32),""),"")</f>
        <v/>
      </c>
      <c r="K413" s="85" t="str">
        <f aca="false">IFERROR(IF(ISNUMBER(INDEX(원자료_시장!$A$1:$BZ$1000,설정!$L$6+ROW()-1,설정!$L$33)),INDEX(원자료_시장!$A$1:$BZ$1000,설정!$L$6+ROW()-1,설정!$L$33),""),"")</f>
        <v/>
      </c>
      <c r="L413" s="83" t="n">
        <f aca="false">IFERROR(IF(INDEX(원자료_시장!$A$1:$BZ$1000,설정!$L$6+ROW()-1,설정!$L$34)&amp;""="0","",INDEX(원자료_시장!$A$1:$BZ$1000,설정!$L$6+ROW()-1,설정!$L$34)),"")</f>
        <v>0</v>
      </c>
      <c r="M413" s="83" t="n">
        <f aca="false">IFERROR(IF(INDEX(원자료_시장!$A$1:$BZ$1000,설정!$L$6+ROW()-1,설정!$L$35)&amp;""="0","",INDEX(원자료_시장!$A$1:$BZ$1000,설정!$L$6+ROW()-1,설정!$L$35)),"")</f>
        <v>0</v>
      </c>
      <c r="N413" s="83" t="n">
        <f aca="false">IFERROR(IF(INDEX(원자료_시장!$A$1:$BZ$1000,설정!$L$6+ROW()-1,설정!$L$36)&amp;""="0","",INDEX(원자료_시장!$A$1:$BZ$1000,설정!$L$6+ROW()-1,설정!$L$36)),"")</f>
        <v>0</v>
      </c>
      <c r="O413" s="43" t="str">
        <f aca="false">IF($A413="","",UPPER(LEFT($A413,FIND(" ",$A413&amp;" ")-1)))</f>
        <v/>
      </c>
      <c r="P413" s="43" t="str">
        <f aca="false">IF($A413="","",TRIM(RIGHT(SUBSTITUTE(TRIM($A413)," ",REPT(" ",30)),30)))</f>
        <v/>
      </c>
      <c r="Q413" s="98" t="str">
        <f aca="false">IF($A413="","",IFERROR(DATE(IF(LEN(P413)=8,2000+VALUE(RIGHT(P413,2)),VALUE(RIGHT(P413,4))),VALUE(LEFT(P413,2)),VALUE(MID(P413,4,2))),""))</f>
        <v/>
      </c>
      <c r="R413" s="89" t="n">
        <f aca="false">IF($A413="",0,IF(ISNUMBER(SEARCH("Float",$A413)),1,0))</f>
        <v>0</v>
      </c>
      <c r="S413" s="43" t="str">
        <f aca="false">IF($A413="","",TRIM(MID($A413,LEN(O413)+2,LEN($A413)-LEN(O413)-LEN(P413)-1)))</f>
        <v/>
      </c>
      <c r="T413" s="92" t="str">
        <f aca="false">IF(OR($A413="",R413=1),"",IFERROR(IF(ISNUMBER(FIND("/",S413)),IF(ISNUMBER(FIND(" ",S413)),VALUE(LEFT(S413,FIND(" ",S413)-1))+VALUE(MID(S413,FIND(" ",S413)+1,FIND("/",S413)-FIND(" ",S413)-1))/VALUE(MID(S413,FIND("/",S413)+1,9)),VALUE(LEFT(S413,FIND("/",S413)-1))/VALUE(MID(S413,FIND("/",S413)+1,9))),VALUE(S413)),""))</f>
        <v/>
      </c>
      <c r="U413" s="43" t="str">
        <f aca="false">IF(OR($A413="",NOT(ISNUMBER(Q413))),"",TEXT(Q413,"yyyymmdd")&amp;"|"&amp;IF(R413=1,"F",TEXT(T413,"0.000")))</f>
        <v/>
      </c>
      <c r="V413" s="43" t="str">
        <f aca="false">IF(U413="","",O413&amp;"|"&amp;U413)</f>
        <v/>
      </c>
      <c r="W413" s="43" t="str">
        <f aca="false">IF($A413="","",IFERROR(IF(VLOOKUP(O413,매핑!$A$4:$E$92,3,0)="","미분류",VLOOKUP(O413,매핑!$A$4:$E$92,3,0)),"미분류"))</f>
        <v/>
      </c>
      <c r="X413" s="89" t="n">
        <f aca="false">IF($A413="",0,IF(O413="T",1,0))</f>
        <v>0</v>
      </c>
      <c r="Y413" s="89" t="n">
        <f aca="false">IF($A413="",0,IF(AND(C413="USD",X413=0,ISNUMBER(E413),ISNUMBER(K413)),IF(K413&gt;=설정!$C$8,1,0),0))</f>
        <v>0</v>
      </c>
      <c r="Z413" s="43" t="str">
        <f aca="false">IF($A413="","",N413&amp;"|"&amp;L413)</f>
        <v/>
      </c>
      <c r="AA413" s="92" t="n">
        <f aca="false">IF(Y413=1,LN(K413),0)</f>
        <v>0</v>
      </c>
      <c r="AB413" s="93" t="n">
        <f aca="false">IF(Y413=1,E413,0)</f>
        <v>0</v>
      </c>
      <c r="AC413" s="89" t="n">
        <f aca="false">IF(Y413=1,COUNTIFS($Z$2:$Z$601,Z413,$Y$2:$Y$601,1),0)</f>
        <v>0</v>
      </c>
      <c r="AD413" s="89" t="n">
        <f aca="false">IF(Y413=1,COUNTIFS($N$2:$N$601,N413,$Y$2:$Y$601,1),0)</f>
        <v>0</v>
      </c>
      <c r="AE413" s="43" t="str">
        <f aca="false">IF(Y413&lt;&gt;1,"",IF(AND(AC413&gt;=설정!$C$7,ISNUMBER(MATCH(Z413,피어커브!$A:$A,0))),Z413,IF(AND(AD413&gt;=설정!$C$7,ISNUMBER(MATCH(N413&amp;"|전체",피어커브!$A:$A,0))),N413&amp;"|전체","전체|전체")))</f>
        <v/>
      </c>
      <c r="AF413" s="93" t="str">
        <f aca="false">IF(AE413="","",INDEX(피어커브!$K:$K,MATCH(AE413,피어커브!$A:$A,0)))</f>
        <v/>
      </c>
      <c r="AG413" s="93" t="str">
        <f aca="false">IF(AE413="","",INDEX(피어커브!$J:$J,MATCH(AE413,피어커브!$A:$A,0)))</f>
        <v/>
      </c>
      <c r="AH413" s="93" t="str">
        <f aca="false">IF(AE413="","",INDEX(피어커브!$L:$L,MATCH(AE413,피어커브!$A:$A,0)))</f>
        <v/>
      </c>
      <c r="AI413" s="93" t="str">
        <f aca="false">IF(AE413="","",AF413+AG413*AA413)</f>
        <v/>
      </c>
      <c r="AJ413" s="96" t="str">
        <f aca="false">IF(AE413="","",E413-AI413)</f>
        <v/>
      </c>
      <c r="AK413" s="95" t="str">
        <f aca="false">IF(AE413="","",IF(ISNUMBER(AH413),IF(AH413&gt;0,AJ413/AH413,""),""))</f>
        <v/>
      </c>
      <c r="AL413" s="43" t="str">
        <f aca="false">IF(AK413="","-",IF(AK413&gt;=설정!$C$6,"Cheap",IF(AK413&lt;=-설정!$C$6,"Rich","Fair")))</f>
        <v>-</v>
      </c>
      <c r="AM413" s="96" t="str">
        <f aca="false">IF(AE413="","",AJ413-AVERAGEIFS($AJ$2:$AJ$601,$B$2:$B$601,B413,$Y$2:$Y$601,1))</f>
        <v/>
      </c>
      <c r="AN413" s="93" t="n">
        <f aca="false">IF(AE413="",0,IF(K413&gt;1+설정!$C$8,AG413*(AA413-LN(K413-1)),0))</f>
        <v>0</v>
      </c>
      <c r="AO413" s="99" t="n">
        <f aca="false">IF($A413="",0,SUMIFS(보유분석!$AA$2:$AA$801,보유분석!$AB$2:$AB$801,ROW(),보유분석!$AC$2:$AC$801,1))</f>
        <v>0</v>
      </c>
      <c r="AP413" s="43" t="str">
        <f aca="false">IF($A413="","",TRIM(IF(R413=1,"FRN ","")&amp;IF(IFERROR(VLOOKUP(M413,설정!$A$15:$D$47,4,0),0)&gt;=10,IF(IFERROR(VLOOKUP(M413,설정!$A$15:$D$47,4,0),0)&lt;99,"BBB0미만 ",""),"")&amp;IF(OR(M413="",M413="NR"),"등급미입력 ","")&amp;IF(C413&lt;&gt;"USD","비USD ","")))</f>
        <v/>
      </c>
      <c r="AQ413" s="90" t="n">
        <f aca="false">IF(AND(Y413=1,AL413="Cheap"),IF(AND(ISERROR(SEARCH("FRN",AP413)),ISERROR(SEARCH("BBB0미만",AP413))),AK413+ROW()/1000000000,-999),-999)</f>
        <v>-999</v>
      </c>
      <c r="AR413" s="92" t="str">
        <f aca="false">IF(AND(ISNUMBER(D413),ISNUMBER(K413)),D413+AN413*MAX(K413-1,0)/100,"")</f>
        <v/>
      </c>
      <c r="AS413" s="93" t="str">
        <f aca="false">IF(AND(ISNUMBER(E413),ISNUMBER(K413)),IF(K413&gt;0,(E413+AN413*MAX(K413-1,0))/K413,""),"")</f>
        <v/>
      </c>
      <c r="AT413" s="90" t="n">
        <f aca="false">IFERROR(IF(AND(Y413=1,ROW()&lt;&gt;스왑분석!$C$12+1,ABS(K413-INDEX($K$2:$K$601,스왑분석!$C$12))&lt;=스왑분석!$C$5,ISERROR(SEARCH("FRN",AP413)),ISERROR(SEARCH("BBB0미만",AP413))),IF(AND(OR(스왑분석!$C$6="N",L413=INDEX($L$2:$L$601,스왑분석!$C$12)),OR(스왑분석!$C$7="N",N413=INDEX($N$2:$N$601,스왑분석!$C$12)),OR(스왑분석!$C$8="N",AO413=0),E413-INDEX($E$2:$E$601,스왑분석!$C$12)&gt;=스왑분석!$C$9),E413-INDEX($E$2:$E$601,스왑분석!$C$12)+ROW()/1000000000,-999),-999),-999)</f>
        <v>-999</v>
      </c>
      <c r="AU413" s="90" t="n">
        <f aca="false">IF(AND(Y413=1,AO413&gt;0,AL413="Rich"),-AK413+ROW()/1000000000,-999)</f>
        <v>-999</v>
      </c>
    </row>
    <row r="414" customFormat="false" ht="15" hidden="false" customHeight="false" outlineLevel="0" collapsed="false">
      <c r="A414" s="83" t="n">
        <f aca="false">IFERROR(IF(INDEX(원자료_시장!$A$1:$BZ$1000,설정!$L$6+ROW()-1,설정!$L$24)&amp;""="0","",INDEX(원자료_시장!$A$1:$BZ$1000,설정!$L$6+ROW()-1,설정!$L$24)),"")</f>
        <v>0</v>
      </c>
      <c r="B414" s="83" t="n">
        <f aca="false">IFERROR(IF(INDEX(원자료_시장!$A$1:$BZ$1000,설정!$L$6+ROW()-1,설정!$L$37)&amp;""="0","",INDEX(원자료_시장!$A$1:$BZ$1000,설정!$L$6+ROW()-1,설정!$L$37)),"")</f>
        <v>0</v>
      </c>
      <c r="C414" s="83" t="n">
        <f aca="false">IFERROR(IF(INDEX(원자료_시장!$A$1:$BZ$1000,설정!$L$6+ROW()-1,설정!$L$25)&amp;""="0","",INDEX(원자료_시장!$A$1:$BZ$1000,설정!$L$6+ROW()-1,설정!$L$25)),"")</f>
        <v>0</v>
      </c>
      <c r="D414" s="85" t="str">
        <f aca="false">IFERROR(IF(ISNUMBER(INDEX(원자료_시장!$A$1:$BZ$1000,설정!$L$6+ROW()-1,설정!$L$26)),INDEX(원자료_시장!$A$1:$BZ$1000,설정!$L$6+ROW()-1,설정!$L$26),""),"")</f>
        <v/>
      </c>
      <c r="E414" s="97" t="str">
        <f aca="false">IFERROR(IF(ISNUMBER(INDEX(원자료_시장!$A$1:$BZ$1000,설정!$L$6+ROW()-1,설정!$L$27)),INDEX(원자료_시장!$A$1:$BZ$1000,설정!$L$6+ROW()-1,설정!$L$27),""),"")</f>
        <v/>
      </c>
      <c r="F414" s="97" t="str">
        <f aca="false">IFERROR(IF(ISNUMBER(INDEX(원자료_시장!$A$1:$BZ$1000,설정!$L$6+ROW()-1,설정!$L$28)),INDEX(원자료_시장!$A$1:$BZ$1000,설정!$L$6+ROW()-1,설정!$L$28),""),"")</f>
        <v/>
      </c>
      <c r="G414" s="97" t="str">
        <f aca="false">IFERROR(IF(ISNUMBER(INDEX(원자료_시장!$A$1:$BZ$1000,설정!$L$6+ROW()-1,설정!$L$29)),INDEX(원자료_시장!$A$1:$BZ$1000,설정!$L$6+ROW()-1,설정!$L$29),""),"")</f>
        <v/>
      </c>
      <c r="H414" s="97" t="str">
        <f aca="false">IFERROR(IF(ISNUMBER(INDEX(원자료_시장!$A$1:$BZ$1000,설정!$L$6+ROW()-1,설정!$L$30)),INDEX(원자료_시장!$A$1:$BZ$1000,설정!$L$6+ROW()-1,설정!$L$30),""),"")</f>
        <v/>
      </c>
      <c r="I414" s="97" t="str">
        <f aca="false">IFERROR(IF(ISNUMBER(INDEX(원자료_시장!$A$1:$BZ$1000,설정!$L$6+ROW()-1,설정!$L$31)),INDEX(원자료_시장!$A$1:$BZ$1000,설정!$L$6+ROW()-1,설정!$L$31),""),"")</f>
        <v/>
      </c>
      <c r="J414" s="97" t="str">
        <f aca="false">IFERROR(IF(ISNUMBER(INDEX(원자료_시장!$A$1:$BZ$1000,설정!$L$6+ROW()-1,설정!$L$32)),INDEX(원자료_시장!$A$1:$BZ$1000,설정!$L$6+ROW()-1,설정!$L$32),""),"")</f>
        <v/>
      </c>
      <c r="K414" s="85" t="str">
        <f aca="false">IFERROR(IF(ISNUMBER(INDEX(원자료_시장!$A$1:$BZ$1000,설정!$L$6+ROW()-1,설정!$L$33)),INDEX(원자료_시장!$A$1:$BZ$1000,설정!$L$6+ROW()-1,설정!$L$33),""),"")</f>
        <v/>
      </c>
      <c r="L414" s="83" t="n">
        <f aca="false">IFERROR(IF(INDEX(원자료_시장!$A$1:$BZ$1000,설정!$L$6+ROW()-1,설정!$L$34)&amp;""="0","",INDEX(원자료_시장!$A$1:$BZ$1000,설정!$L$6+ROW()-1,설정!$L$34)),"")</f>
        <v>0</v>
      </c>
      <c r="M414" s="83" t="n">
        <f aca="false">IFERROR(IF(INDEX(원자료_시장!$A$1:$BZ$1000,설정!$L$6+ROW()-1,설정!$L$35)&amp;""="0","",INDEX(원자료_시장!$A$1:$BZ$1000,설정!$L$6+ROW()-1,설정!$L$35)),"")</f>
        <v>0</v>
      </c>
      <c r="N414" s="83" t="n">
        <f aca="false">IFERROR(IF(INDEX(원자료_시장!$A$1:$BZ$1000,설정!$L$6+ROW()-1,설정!$L$36)&amp;""="0","",INDEX(원자료_시장!$A$1:$BZ$1000,설정!$L$6+ROW()-1,설정!$L$36)),"")</f>
        <v>0</v>
      </c>
      <c r="O414" s="43" t="str">
        <f aca="false">IF($A414="","",UPPER(LEFT($A414,FIND(" ",$A414&amp;" ")-1)))</f>
        <v/>
      </c>
      <c r="P414" s="43" t="str">
        <f aca="false">IF($A414="","",TRIM(RIGHT(SUBSTITUTE(TRIM($A414)," ",REPT(" ",30)),30)))</f>
        <v/>
      </c>
      <c r="Q414" s="98" t="str">
        <f aca="false">IF($A414="","",IFERROR(DATE(IF(LEN(P414)=8,2000+VALUE(RIGHT(P414,2)),VALUE(RIGHT(P414,4))),VALUE(LEFT(P414,2)),VALUE(MID(P414,4,2))),""))</f>
        <v/>
      </c>
      <c r="R414" s="89" t="n">
        <f aca="false">IF($A414="",0,IF(ISNUMBER(SEARCH("Float",$A414)),1,0))</f>
        <v>0</v>
      </c>
      <c r="S414" s="43" t="str">
        <f aca="false">IF($A414="","",TRIM(MID($A414,LEN(O414)+2,LEN($A414)-LEN(O414)-LEN(P414)-1)))</f>
        <v/>
      </c>
      <c r="T414" s="92" t="str">
        <f aca="false">IF(OR($A414="",R414=1),"",IFERROR(IF(ISNUMBER(FIND("/",S414)),IF(ISNUMBER(FIND(" ",S414)),VALUE(LEFT(S414,FIND(" ",S414)-1))+VALUE(MID(S414,FIND(" ",S414)+1,FIND("/",S414)-FIND(" ",S414)-1))/VALUE(MID(S414,FIND("/",S414)+1,9)),VALUE(LEFT(S414,FIND("/",S414)-1))/VALUE(MID(S414,FIND("/",S414)+1,9))),VALUE(S414)),""))</f>
        <v/>
      </c>
      <c r="U414" s="43" t="str">
        <f aca="false">IF(OR($A414="",NOT(ISNUMBER(Q414))),"",TEXT(Q414,"yyyymmdd")&amp;"|"&amp;IF(R414=1,"F",TEXT(T414,"0.000")))</f>
        <v/>
      </c>
      <c r="V414" s="43" t="str">
        <f aca="false">IF(U414="","",O414&amp;"|"&amp;U414)</f>
        <v/>
      </c>
      <c r="W414" s="43" t="str">
        <f aca="false">IF($A414="","",IFERROR(IF(VLOOKUP(O414,매핑!$A$4:$E$92,3,0)="","미분류",VLOOKUP(O414,매핑!$A$4:$E$92,3,0)),"미분류"))</f>
        <v/>
      </c>
      <c r="X414" s="89" t="n">
        <f aca="false">IF($A414="",0,IF(O414="T",1,0))</f>
        <v>0</v>
      </c>
      <c r="Y414" s="89" t="n">
        <f aca="false">IF($A414="",0,IF(AND(C414="USD",X414=0,ISNUMBER(E414),ISNUMBER(K414)),IF(K414&gt;=설정!$C$8,1,0),0))</f>
        <v>0</v>
      </c>
      <c r="Z414" s="43" t="str">
        <f aca="false">IF($A414="","",N414&amp;"|"&amp;L414)</f>
        <v/>
      </c>
      <c r="AA414" s="92" t="n">
        <f aca="false">IF(Y414=1,LN(K414),0)</f>
        <v>0</v>
      </c>
      <c r="AB414" s="93" t="n">
        <f aca="false">IF(Y414=1,E414,0)</f>
        <v>0</v>
      </c>
      <c r="AC414" s="89" t="n">
        <f aca="false">IF(Y414=1,COUNTIFS($Z$2:$Z$601,Z414,$Y$2:$Y$601,1),0)</f>
        <v>0</v>
      </c>
      <c r="AD414" s="89" t="n">
        <f aca="false">IF(Y414=1,COUNTIFS($N$2:$N$601,N414,$Y$2:$Y$601,1),0)</f>
        <v>0</v>
      </c>
      <c r="AE414" s="43" t="str">
        <f aca="false">IF(Y414&lt;&gt;1,"",IF(AND(AC414&gt;=설정!$C$7,ISNUMBER(MATCH(Z414,피어커브!$A:$A,0))),Z414,IF(AND(AD414&gt;=설정!$C$7,ISNUMBER(MATCH(N414&amp;"|전체",피어커브!$A:$A,0))),N414&amp;"|전체","전체|전체")))</f>
        <v/>
      </c>
      <c r="AF414" s="93" t="str">
        <f aca="false">IF(AE414="","",INDEX(피어커브!$K:$K,MATCH(AE414,피어커브!$A:$A,0)))</f>
        <v/>
      </c>
      <c r="AG414" s="93" t="str">
        <f aca="false">IF(AE414="","",INDEX(피어커브!$J:$J,MATCH(AE414,피어커브!$A:$A,0)))</f>
        <v/>
      </c>
      <c r="AH414" s="93" t="str">
        <f aca="false">IF(AE414="","",INDEX(피어커브!$L:$L,MATCH(AE414,피어커브!$A:$A,0)))</f>
        <v/>
      </c>
      <c r="AI414" s="93" t="str">
        <f aca="false">IF(AE414="","",AF414+AG414*AA414)</f>
        <v/>
      </c>
      <c r="AJ414" s="96" t="str">
        <f aca="false">IF(AE414="","",E414-AI414)</f>
        <v/>
      </c>
      <c r="AK414" s="95" t="str">
        <f aca="false">IF(AE414="","",IF(ISNUMBER(AH414),IF(AH414&gt;0,AJ414/AH414,""),""))</f>
        <v/>
      </c>
      <c r="AL414" s="43" t="str">
        <f aca="false">IF(AK414="","-",IF(AK414&gt;=설정!$C$6,"Cheap",IF(AK414&lt;=-설정!$C$6,"Rich","Fair")))</f>
        <v>-</v>
      </c>
      <c r="AM414" s="96" t="str">
        <f aca="false">IF(AE414="","",AJ414-AVERAGEIFS($AJ$2:$AJ$601,$B$2:$B$601,B414,$Y$2:$Y$601,1))</f>
        <v/>
      </c>
      <c r="AN414" s="93" t="n">
        <f aca="false">IF(AE414="",0,IF(K414&gt;1+설정!$C$8,AG414*(AA414-LN(K414-1)),0))</f>
        <v>0</v>
      </c>
      <c r="AO414" s="99" t="n">
        <f aca="false">IF($A414="",0,SUMIFS(보유분석!$AA$2:$AA$801,보유분석!$AB$2:$AB$801,ROW(),보유분석!$AC$2:$AC$801,1))</f>
        <v>0</v>
      </c>
      <c r="AP414" s="43" t="str">
        <f aca="false">IF($A414="","",TRIM(IF(R414=1,"FRN ","")&amp;IF(IFERROR(VLOOKUP(M414,설정!$A$15:$D$47,4,0),0)&gt;=10,IF(IFERROR(VLOOKUP(M414,설정!$A$15:$D$47,4,0),0)&lt;99,"BBB0미만 ",""),"")&amp;IF(OR(M414="",M414="NR"),"등급미입력 ","")&amp;IF(C414&lt;&gt;"USD","비USD ","")))</f>
        <v/>
      </c>
      <c r="AQ414" s="90" t="n">
        <f aca="false">IF(AND(Y414=1,AL414="Cheap"),IF(AND(ISERROR(SEARCH("FRN",AP414)),ISERROR(SEARCH("BBB0미만",AP414))),AK414+ROW()/1000000000,-999),-999)</f>
        <v>-999</v>
      </c>
      <c r="AR414" s="92" t="str">
        <f aca="false">IF(AND(ISNUMBER(D414),ISNUMBER(K414)),D414+AN414*MAX(K414-1,0)/100,"")</f>
        <v/>
      </c>
      <c r="AS414" s="93" t="str">
        <f aca="false">IF(AND(ISNUMBER(E414),ISNUMBER(K414)),IF(K414&gt;0,(E414+AN414*MAX(K414-1,0))/K414,""),"")</f>
        <v/>
      </c>
      <c r="AT414" s="90" t="n">
        <f aca="false">IFERROR(IF(AND(Y414=1,ROW()&lt;&gt;스왑분석!$C$12+1,ABS(K414-INDEX($K$2:$K$601,스왑분석!$C$12))&lt;=스왑분석!$C$5,ISERROR(SEARCH("FRN",AP414)),ISERROR(SEARCH("BBB0미만",AP414))),IF(AND(OR(스왑분석!$C$6="N",L414=INDEX($L$2:$L$601,스왑분석!$C$12)),OR(스왑분석!$C$7="N",N414=INDEX($N$2:$N$601,스왑분석!$C$12)),OR(스왑분석!$C$8="N",AO414=0),E414-INDEX($E$2:$E$601,스왑분석!$C$12)&gt;=스왑분석!$C$9),E414-INDEX($E$2:$E$601,스왑분석!$C$12)+ROW()/1000000000,-999),-999),-999)</f>
        <v>-999</v>
      </c>
      <c r="AU414" s="90" t="n">
        <f aca="false">IF(AND(Y414=1,AO414&gt;0,AL414="Rich"),-AK414+ROW()/1000000000,-999)</f>
        <v>-999</v>
      </c>
    </row>
    <row r="415" customFormat="false" ht="15" hidden="false" customHeight="false" outlineLevel="0" collapsed="false">
      <c r="A415" s="83" t="n">
        <f aca="false">IFERROR(IF(INDEX(원자료_시장!$A$1:$BZ$1000,설정!$L$6+ROW()-1,설정!$L$24)&amp;""="0","",INDEX(원자료_시장!$A$1:$BZ$1000,설정!$L$6+ROW()-1,설정!$L$24)),"")</f>
        <v>0</v>
      </c>
      <c r="B415" s="83" t="n">
        <f aca="false">IFERROR(IF(INDEX(원자료_시장!$A$1:$BZ$1000,설정!$L$6+ROW()-1,설정!$L$37)&amp;""="0","",INDEX(원자료_시장!$A$1:$BZ$1000,설정!$L$6+ROW()-1,설정!$L$37)),"")</f>
        <v>0</v>
      </c>
      <c r="C415" s="83" t="n">
        <f aca="false">IFERROR(IF(INDEX(원자료_시장!$A$1:$BZ$1000,설정!$L$6+ROW()-1,설정!$L$25)&amp;""="0","",INDEX(원자료_시장!$A$1:$BZ$1000,설정!$L$6+ROW()-1,설정!$L$25)),"")</f>
        <v>0</v>
      </c>
      <c r="D415" s="85" t="str">
        <f aca="false">IFERROR(IF(ISNUMBER(INDEX(원자료_시장!$A$1:$BZ$1000,설정!$L$6+ROW()-1,설정!$L$26)),INDEX(원자료_시장!$A$1:$BZ$1000,설정!$L$6+ROW()-1,설정!$L$26),""),"")</f>
        <v/>
      </c>
      <c r="E415" s="97" t="str">
        <f aca="false">IFERROR(IF(ISNUMBER(INDEX(원자료_시장!$A$1:$BZ$1000,설정!$L$6+ROW()-1,설정!$L$27)),INDEX(원자료_시장!$A$1:$BZ$1000,설정!$L$6+ROW()-1,설정!$L$27),""),"")</f>
        <v/>
      </c>
      <c r="F415" s="97" t="str">
        <f aca="false">IFERROR(IF(ISNUMBER(INDEX(원자료_시장!$A$1:$BZ$1000,설정!$L$6+ROW()-1,설정!$L$28)),INDEX(원자료_시장!$A$1:$BZ$1000,설정!$L$6+ROW()-1,설정!$L$28),""),"")</f>
        <v/>
      </c>
      <c r="G415" s="97" t="str">
        <f aca="false">IFERROR(IF(ISNUMBER(INDEX(원자료_시장!$A$1:$BZ$1000,설정!$L$6+ROW()-1,설정!$L$29)),INDEX(원자료_시장!$A$1:$BZ$1000,설정!$L$6+ROW()-1,설정!$L$29),""),"")</f>
        <v/>
      </c>
      <c r="H415" s="97" t="str">
        <f aca="false">IFERROR(IF(ISNUMBER(INDEX(원자료_시장!$A$1:$BZ$1000,설정!$L$6+ROW()-1,설정!$L$30)),INDEX(원자료_시장!$A$1:$BZ$1000,설정!$L$6+ROW()-1,설정!$L$30),""),"")</f>
        <v/>
      </c>
      <c r="I415" s="97" t="str">
        <f aca="false">IFERROR(IF(ISNUMBER(INDEX(원자료_시장!$A$1:$BZ$1000,설정!$L$6+ROW()-1,설정!$L$31)),INDEX(원자료_시장!$A$1:$BZ$1000,설정!$L$6+ROW()-1,설정!$L$31),""),"")</f>
        <v/>
      </c>
      <c r="J415" s="97" t="str">
        <f aca="false">IFERROR(IF(ISNUMBER(INDEX(원자료_시장!$A$1:$BZ$1000,설정!$L$6+ROW()-1,설정!$L$32)),INDEX(원자료_시장!$A$1:$BZ$1000,설정!$L$6+ROW()-1,설정!$L$32),""),"")</f>
        <v/>
      </c>
      <c r="K415" s="85" t="str">
        <f aca="false">IFERROR(IF(ISNUMBER(INDEX(원자료_시장!$A$1:$BZ$1000,설정!$L$6+ROW()-1,설정!$L$33)),INDEX(원자료_시장!$A$1:$BZ$1000,설정!$L$6+ROW()-1,설정!$L$33),""),"")</f>
        <v/>
      </c>
      <c r="L415" s="83" t="n">
        <f aca="false">IFERROR(IF(INDEX(원자료_시장!$A$1:$BZ$1000,설정!$L$6+ROW()-1,설정!$L$34)&amp;""="0","",INDEX(원자료_시장!$A$1:$BZ$1000,설정!$L$6+ROW()-1,설정!$L$34)),"")</f>
        <v>0</v>
      </c>
      <c r="M415" s="83" t="n">
        <f aca="false">IFERROR(IF(INDEX(원자료_시장!$A$1:$BZ$1000,설정!$L$6+ROW()-1,설정!$L$35)&amp;""="0","",INDEX(원자료_시장!$A$1:$BZ$1000,설정!$L$6+ROW()-1,설정!$L$35)),"")</f>
        <v>0</v>
      </c>
      <c r="N415" s="83" t="n">
        <f aca="false">IFERROR(IF(INDEX(원자료_시장!$A$1:$BZ$1000,설정!$L$6+ROW()-1,설정!$L$36)&amp;""="0","",INDEX(원자료_시장!$A$1:$BZ$1000,설정!$L$6+ROW()-1,설정!$L$36)),"")</f>
        <v>0</v>
      </c>
      <c r="O415" s="43" t="str">
        <f aca="false">IF($A415="","",UPPER(LEFT($A415,FIND(" ",$A415&amp;" ")-1)))</f>
        <v/>
      </c>
      <c r="P415" s="43" t="str">
        <f aca="false">IF($A415="","",TRIM(RIGHT(SUBSTITUTE(TRIM($A415)," ",REPT(" ",30)),30)))</f>
        <v/>
      </c>
      <c r="Q415" s="98" t="str">
        <f aca="false">IF($A415="","",IFERROR(DATE(IF(LEN(P415)=8,2000+VALUE(RIGHT(P415,2)),VALUE(RIGHT(P415,4))),VALUE(LEFT(P415,2)),VALUE(MID(P415,4,2))),""))</f>
        <v/>
      </c>
      <c r="R415" s="89" t="n">
        <f aca="false">IF($A415="",0,IF(ISNUMBER(SEARCH("Float",$A415)),1,0))</f>
        <v>0</v>
      </c>
      <c r="S415" s="43" t="str">
        <f aca="false">IF($A415="","",TRIM(MID($A415,LEN(O415)+2,LEN($A415)-LEN(O415)-LEN(P415)-1)))</f>
        <v/>
      </c>
      <c r="T415" s="92" t="str">
        <f aca="false">IF(OR($A415="",R415=1),"",IFERROR(IF(ISNUMBER(FIND("/",S415)),IF(ISNUMBER(FIND(" ",S415)),VALUE(LEFT(S415,FIND(" ",S415)-1))+VALUE(MID(S415,FIND(" ",S415)+1,FIND("/",S415)-FIND(" ",S415)-1))/VALUE(MID(S415,FIND("/",S415)+1,9)),VALUE(LEFT(S415,FIND("/",S415)-1))/VALUE(MID(S415,FIND("/",S415)+1,9))),VALUE(S415)),""))</f>
        <v/>
      </c>
      <c r="U415" s="43" t="str">
        <f aca="false">IF(OR($A415="",NOT(ISNUMBER(Q415))),"",TEXT(Q415,"yyyymmdd")&amp;"|"&amp;IF(R415=1,"F",TEXT(T415,"0.000")))</f>
        <v/>
      </c>
      <c r="V415" s="43" t="str">
        <f aca="false">IF(U415="","",O415&amp;"|"&amp;U415)</f>
        <v/>
      </c>
      <c r="W415" s="43" t="str">
        <f aca="false">IF($A415="","",IFERROR(IF(VLOOKUP(O415,매핑!$A$4:$E$92,3,0)="","미분류",VLOOKUP(O415,매핑!$A$4:$E$92,3,0)),"미분류"))</f>
        <v/>
      </c>
      <c r="X415" s="89" t="n">
        <f aca="false">IF($A415="",0,IF(O415="T",1,0))</f>
        <v>0</v>
      </c>
      <c r="Y415" s="89" t="n">
        <f aca="false">IF($A415="",0,IF(AND(C415="USD",X415=0,ISNUMBER(E415),ISNUMBER(K415)),IF(K415&gt;=설정!$C$8,1,0),0))</f>
        <v>0</v>
      </c>
      <c r="Z415" s="43" t="str">
        <f aca="false">IF($A415="","",N415&amp;"|"&amp;L415)</f>
        <v/>
      </c>
      <c r="AA415" s="92" t="n">
        <f aca="false">IF(Y415=1,LN(K415),0)</f>
        <v>0</v>
      </c>
      <c r="AB415" s="93" t="n">
        <f aca="false">IF(Y415=1,E415,0)</f>
        <v>0</v>
      </c>
      <c r="AC415" s="89" t="n">
        <f aca="false">IF(Y415=1,COUNTIFS($Z$2:$Z$601,Z415,$Y$2:$Y$601,1),0)</f>
        <v>0</v>
      </c>
      <c r="AD415" s="89" t="n">
        <f aca="false">IF(Y415=1,COUNTIFS($N$2:$N$601,N415,$Y$2:$Y$601,1),0)</f>
        <v>0</v>
      </c>
      <c r="AE415" s="43" t="str">
        <f aca="false">IF(Y415&lt;&gt;1,"",IF(AND(AC415&gt;=설정!$C$7,ISNUMBER(MATCH(Z415,피어커브!$A:$A,0))),Z415,IF(AND(AD415&gt;=설정!$C$7,ISNUMBER(MATCH(N415&amp;"|전체",피어커브!$A:$A,0))),N415&amp;"|전체","전체|전체")))</f>
        <v/>
      </c>
      <c r="AF415" s="93" t="str">
        <f aca="false">IF(AE415="","",INDEX(피어커브!$K:$K,MATCH(AE415,피어커브!$A:$A,0)))</f>
        <v/>
      </c>
      <c r="AG415" s="93" t="str">
        <f aca="false">IF(AE415="","",INDEX(피어커브!$J:$J,MATCH(AE415,피어커브!$A:$A,0)))</f>
        <v/>
      </c>
      <c r="AH415" s="93" t="str">
        <f aca="false">IF(AE415="","",INDEX(피어커브!$L:$L,MATCH(AE415,피어커브!$A:$A,0)))</f>
        <v/>
      </c>
      <c r="AI415" s="93" t="str">
        <f aca="false">IF(AE415="","",AF415+AG415*AA415)</f>
        <v/>
      </c>
      <c r="AJ415" s="96" t="str">
        <f aca="false">IF(AE415="","",E415-AI415)</f>
        <v/>
      </c>
      <c r="AK415" s="95" t="str">
        <f aca="false">IF(AE415="","",IF(ISNUMBER(AH415),IF(AH415&gt;0,AJ415/AH415,""),""))</f>
        <v/>
      </c>
      <c r="AL415" s="43" t="str">
        <f aca="false">IF(AK415="","-",IF(AK415&gt;=설정!$C$6,"Cheap",IF(AK415&lt;=-설정!$C$6,"Rich","Fair")))</f>
        <v>-</v>
      </c>
      <c r="AM415" s="96" t="str">
        <f aca="false">IF(AE415="","",AJ415-AVERAGEIFS($AJ$2:$AJ$601,$B$2:$B$601,B415,$Y$2:$Y$601,1))</f>
        <v/>
      </c>
      <c r="AN415" s="93" t="n">
        <f aca="false">IF(AE415="",0,IF(K415&gt;1+설정!$C$8,AG415*(AA415-LN(K415-1)),0))</f>
        <v>0</v>
      </c>
      <c r="AO415" s="99" t="n">
        <f aca="false">IF($A415="",0,SUMIFS(보유분석!$AA$2:$AA$801,보유분석!$AB$2:$AB$801,ROW(),보유분석!$AC$2:$AC$801,1))</f>
        <v>0</v>
      </c>
      <c r="AP415" s="43" t="str">
        <f aca="false">IF($A415="","",TRIM(IF(R415=1,"FRN ","")&amp;IF(IFERROR(VLOOKUP(M415,설정!$A$15:$D$47,4,0),0)&gt;=10,IF(IFERROR(VLOOKUP(M415,설정!$A$15:$D$47,4,0),0)&lt;99,"BBB0미만 ",""),"")&amp;IF(OR(M415="",M415="NR"),"등급미입력 ","")&amp;IF(C415&lt;&gt;"USD","비USD ","")))</f>
        <v/>
      </c>
      <c r="AQ415" s="90" t="n">
        <f aca="false">IF(AND(Y415=1,AL415="Cheap"),IF(AND(ISERROR(SEARCH("FRN",AP415)),ISERROR(SEARCH("BBB0미만",AP415))),AK415+ROW()/1000000000,-999),-999)</f>
        <v>-999</v>
      </c>
      <c r="AR415" s="92" t="str">
        <f aca="false">IF(AND(ISNUMBER(D415),ISNUMBER(K415)),D415+AN415*MAX(K415-1,0)/100,"")</f>
        <v/>
      </c>
      <c r="AS415" s="93" t="str">
        <f aca="false">IF(AND(ISNUMBER(E415),ISNUMBER(K415)),IF(K415&gt;0,(E415+AN415*MAX(K415-1,0))/K415,""),"")</f>
        <v/>
      </c>
      <c r="AT415" s="90" t="n">
        <f aca="false">IFERROR(IF(AND(Y415=1,ROW()&lt;&gt;스왑분석!$C$12+1,ABS(K415-INDEX($K$2:$K$601,스왑분석!$C$12))&lt;=스왑분석!$C$5,ISERROR(SEARCH("FRN",AP415)),ISERROR(SEARCH("BBB0미만",AP415))),IF(AND(OR(스왑분석!$C$6="N",L415=INDEX($L$2:$L$601,스왑분석!$C$12)),OR(스왑분석!$C$7="N",N415=INDEX($N$2:$N$601,스왑분석!$C$12)),OR(스왑분석!$C$8="N",AO415=0),E415-INDEX($E$2:$E$601,스왑분석!$C$12)&gt;=스왑분석!$C$9),E415-INDEX($E$2:$E$601,스왑분석!$C$12)+ROW()/1000000000,-999),-999),-999)</f>
        <v>-999</v>
      </c>
      <c r="AU415" s="90" t="n">
        <f aca="false">IF(AND(Y415=1,AO415&gt;0,AL415="Rich"),-AK415+ROW()/1000000000,-999)</f>
        <v>-999</v>
      </c>
    </row>
    <row r="416" customFormat="false" ht="15" hidden="false" customHeight="false" outlineLevel="0" collapsed="false">
      <c r="A416" s="83" t="n">
        <f aca="false">IFERROR(IF(INDEX(원자료_시장!$A$1:$BZ$1000,설정!$L$6+ROW()-1,설정!$L$24)&amp;""="0","",INDEX(원자료_시장!$A$1:$BZ$1000,설정!$L$6+ROW()-1,설정!$L$24)),"")</f>
        <v>0</v>
      </c>
      <c r="B416" s="83" t="n">
        <f aca="false">IFERROR(IF(INDEX(원자료_시장!$A$1:$BZ$1000,설정!$L$6+ROW()-1,설정!$L$37)&amp;""="0","",INDEX(원자료_시장!$A$1:$BZ$1000,설정!$L$6+ROW()-1,설정!$L$37)),"")</f>
        <v>0</v>
      </c>
      <c r="C416" s="83" t="n">
        <f aca="false">IFERROR(IF(INDEX(원자료_시장!$A$1:$BZ$1000,설정!$L$6+ROW()-1,설정!$L$25)&amp;""="0","",INDEX(원자료_시장!$A$1:$BZ$1000,설정!$L$6+ROW()-1,설정!$L$25)),"")</f>
        <v>0</v>
      </c>
      <c r="D416" s="85" t="str">
        <f aca="false">IFERROR(IF(ISNUMBER(INDEX(원자료_시장!$A$1:$BZ$1000,설정!$L$6+ROW()-1,설정!$L$26)),INDEX(원자료_시장!$A$1:$BZ$1000,설정!$L$6+ROW()-1,설정!$L$26),""),"")</f>
        <v/>
      </c>
      <c r="E416" s="97" t="str">
        <f aca="false">IFERROR(IF(ISNUMBER(INDEX(원자료_시장!$A$1:$BZ$1000,설정!$L$6+ROW()-1,설정!$L$27)),INDEX(원자료_시장!$A$1:$BZ$1000,설정!$L$6+ROW()-1,설정!$L$27),""),"")</f>
        <v/>
      </c>
      <c r="F416" s="97" t="str">
        <f aca="false">IFERROR(IF(ISNUMBER(INDEX(원자료_시장!$A$1:$BZ$1000,설정!$L$6+ROW()-1,설정!$L$28)),INDEX(원자료_시장!$A$1:$BZ$1000,설정!$L$6+ROW()-1,설정!$L$28),""),"")</f>
        <v/>
      </c>
      <c r="G416" s="97" t="str">
        <f aca="false">IFERROR(IF(ISNUMBER(INDEX(원자료_시장!$A$1:$BZ$1000,설정!$L$6+ROW()-1,설정!$L$29)),INDEX(원자료_시장!$A$1:$BZ$1000,설정!$L$6+ROW()-1,설정!$L$29),""),"")</f>
        <v/>
      </c>
      <c r="H416" s="97" t="str">
        <f aca="false">IFERROR(IF(ISNUMBER(INDEX(원자료_시장!$A$1:$BZ$1000,설정!$L$6+ROW()-1,설정!$L$30)),INDEX(원자료_시장!$A$1:$BZ$1000,설정!$L$6+ROW()-1,설정!$L$30),""),"")</f>
        <v/>
      </c>
      <c r="I416" s="97" t="str">
        <f aca="false">IFERROR(IF(ISNUMBER(INDEX(원자료_시장!$A$1:$BZ$1000,설정!$L$6+ROW()-1,설정!$L$31)),INDEX(원자료_시장!$A$1:$BZ$1000,설정!$L$6+ROW()-1,설정!$L$31),""),"")</f>
        <v/>
      </c>
      <c r="J416" s="97" t="str">
        <f aca="false">IFERROR(IF(ISNUMBER(INDEX(원자료_시장!$A$1:$BZ$1000,설정!$L$6+ROW()-1,설정!$L$32)),INDEX(원자료_시장!$A$1:$BZ$1000,설정!$L$6+ROW()-1,설정!$L$32),""),"")</f>
        <v/>
      </c>
      <c r="K416" s="85" t="str">
        <f aca="false">IFERROR(IF(ISNUMBER(INDEX(원자료_시장!$A$1:$BZ$1000,설정!$L$6+ROW()-1,설정!$L$33)),INDEX(원자료_시장!$A$1:$BZ$1000,설정!$L$6+ROW()-1,설정!$L$33),""),"")</f>
        <v/>
      </c>
      <c r="L416" s="83" t="n">
        <f aca="false">IFERROR(IF(INDEX(원자료_시장!$A$1:$BZ$1000,설정!$L$6+ROW()-1,설정!$L$34)&amp;""="0","",INDEX(원자료_시장!$A$1:$BZ$1000,설정!$L$6+ROW()-1,설정!$L$34)),"")</f>
        <v>0</v>
      </c>
      <c r="M416" s="83" t="n">
        <f aca="false">IFERROR(IF(INDEX(원자료_시장!$A$1:$BZ$1000,설정!$L$6+ROW()-1,설정!$L$35)&amp;""="0","",INDEX(원자료_시장!$A$1:$BZ$1000,설정!$L$6+ROW()-1,설정!$L$35)),"")</f>
        <v>0</v>
      </c>
      <c r="N416" s="83" t="n">
        <f aca="false">IFERROR(IF(INDEX(원자료_시장!$A$1:$BZ$1000,설정!$L$6+ROW()-1,설정!$L$36)&amp;""="0","",INDEX(원자료_시장!$A$1:$BZ$1000,설정!$L$6+ROW()-1,설정!$L$36)),"")</f>
        <v>0</v>
      </c>
      <c r="O416" s="43" t="str">
        <f aca="false">IF($A416="","",UPPER(LEFT($A416,FIND(" ",$A416&amp;" ")-1)))</f>
        <v/>
      </c>
      <c r="P416" s="43" t="str">
        <f aca="false">IF($A416="","",TRIM(RIGHT(SUBSTITUTE(TRIM($A416)," ",REPT(" ",30)),30)))</f>
        <v/>
      </c>
      <c r="Q416" s="98" t="str">
        <f aca="false">IF($A416="","",IFERROR(DATE(IF(LEN(P416)=8,2000+VALUE(RIGHT(P416,2)),VALUE(RIGHT(P416,4))),VALUE(LEFT(P416,2)),VALUE(MID(P416,4,2))),""))</f>
        <v/>
      </c>
      <c r="R416" s="89" t="n">
        <f aca="false">IF($A416="",0,IF(ISNUMBER(SEARCH("Float",$A416)),1,0))</f>
        <v>0</v>
      </c>
      <c r="S416" s="43" t="str">
        <f aca="false">IF($A416="","",TRIM(MID($A416,LEN(O416)+2,LEN($A416)-LEN(O416)-LEN(P416)-1)))</f>
        <v/>
      </c>
      <c r="T416" s="92" t="str">
        <f aca="false">IF(OR($A416="",R416=1),"",IFERROR(IF(ISNUMBER(FIND("/",S416)),IF(ISNUMBER(FIND(" ",S416)),VALUE(LEFT(S416,FIND(" ",S416)-1))+VALUE(MID(S416,FIND(" ",S416)+1,FIND("/",S416)-FIND(" ",S416)-1))/VALUE(MID(S416,FIND("/",S416)+1,9)),VALUE(LEFT(S416,FIND("/",S416)-1))/VALUE(MID(S416,FIND("/",S416)+1,9))),VALUE(S416)),""))</f>
        <v/>
      </c>
      <c r="U416" s="43" t="str">
        <f aca="false">IF(OR($A416="",NOT(ISNUMBER(Q416))),"",TEXT(Q416,"yyyymmdd")&amp;"|"&amp;IF(R416=1,"F",TEXT(T416,"0.000")))</f>
        <v/>
      </c>
      <c r="V416" s="43" t="str">
        <f aca="false">IF(U416="","",O416&amp;"|"&amp;U416)</f>
        <v/>
      </c>
      <c r="W416" s="43" t="str">
        <f aca="false">IF($A416="","",IFERROR(IF(VLOOKUP(O416,매핑!$A$4:$E$92,3,0)="","미분류",VLOOKUP(O416,매핑!$A$4:$E$92,3,0)),"미분류"))</f>
        <v/>
      </c>
      <c r="X416" s="89" t="n">
        <f aca="false">IF($A416="",0,IF(O416="T",1,0))</f>
        <v>0</v>
      </c>
      <c r="Y416" s="89" t="n">
        <f aca="false">IF($A416="",0,IF(AND(C416="USD",X416=0,ISNUMBER(E416),ISNUMBER(K416)),IF(K416&gt;=설정!$C$8,1,0),0))</f>
        <v>0</v>
      </c>
      <c r="Z416" s="43" t="str">
        <f aca="false">IF($A416="","",N416&amp;"|"&amp;L416)</f>
        <v/>
      </c>
      <c r="AA416" s="92" t="n">
        <f aca="false">IF(Y416=1,LN(K416),0)</f>
        <v>0</v>
      </c>
      <c r="AB416" s="93" t="n">
        <f aca="false">IF(Y416=1,E416,0)</f>
        <v>0</v>
      </c>
      <c r="AC416" s="89" t="n">
        <f aca="false">IF(Y416=1,COUNTIFS($Z$2:$Z$601,Z416,$Y$2:$Y$601,1),0)</f>
        <v>0</v>
      </c>
      <c r="AD416" s="89" t="n">
        <f aca="false">IF(Y416=1,COUNTIFS($N$2:$N$601,N416,$Y$2:$Y$601,1),0)</f>
        <v>0</v>
      </c>
      <c r="AE416" s="43" t="str">
        <f aca="false">IF(Y416&lt;&gt;1,"",IF(AND(AC416&gt;=설정!$C$7,ISNUMBER(MATCH(Z416,피어커브!$A:$A,0))),Z416,IF(AND(AD416&gt;=설정!$C$7,ISNUMBER(MATCH(N416&amp;"|전체",피어커브!$A:$A,0))),N416&amp;"|전체","전체|전체")))</f>
        <v/>
      </c>
      <c r="AF416" s="93" t="str">
        <f aca="false">IF(AE416="","",INDEX(피어커브!$K:$K,MATCH(AE416,피어커브!$A:$A,0)))</f>
        <v/>
      </c>
      <c r="AG416" s="93" t="str">
        <f aca="false">IF(AE416="","",INDEX(피어커브!$J:$J,MATCH(AE416,피어커브!$A:$A,0)))</f>
        <v/>
      </c>
      <c r="AH416" s="93" t="str">
        <f aca="false">IF(AE416="","",INDEX(피어커브!$L:$L,MATCH(AE416,피어커브!$A:$A,0)))</f>
        <v/>
      </c>
      <c r="AI416" s="93" t="str">
        <f aca="false">IF(AE416="","",AF416+AG416*AA416)</f>
        <v/>
      </c>
      <c r="AJ416" s="96" t="str">
        <f aca="false">IF(AE416="","",E416-AI416)</f>
        <v/>
      </c>
      <c r="AK416" s="95" t="str">
        <f aca="false">IF(AE416="","",IF(ISNUMBER(AH416),IF(AH416&gt;0,AJ416/AH416,""),""))</f>
        <v/>
      </c>
      <c r="AL416" s="43" t="str">
        <f aca="false">IF(AK416="","-",IF(AK416&gt;=설정!$C$6,"Cheap",IF(AK416&lt;=-설정!$C$6,"Rich","Fair")))</f>
        <v>-</v>
      </c>
      <c r="AM416" s="96" t="str">
        <f aca="false">IF(AE416="","",AJ416-AVERAGEIFS($AJ$2:$AJ$601,$B$2:$B$601,B416,$Y$2:$Y$601,1))</f>
        <v/>
      </c>
      <c r="AN416" s="93" t="n">
        <f aca="false">IF(AE416="",0,IF(K416&gt;1+설정!$C$8,AG416*(AA416-LN(K416-1)),0))</f>
        <v>0</v>
      </c>
      <c r="AO416" s="99" t="n">
        <f aca="false">IF($A416="",0,SUMIFS(보유분석!$AA$2:$AA$801,보유분석!$AB$2:$AB$801,ROW(),보유분석!$AC$2:$AC$801,1))</f>
        <v>0</v>
      </c>
      <c r="AP416" s="43" t="str">
        <f aca="false">IF($A416="","",TRIM(IF(R416=1,"FRN ","")&amp;IF(IFERROR(VLOOKUP(M416,설정!$A$15:$D$47,4,0),0)&gt;=10,IF(IFERROR(VLOOKUP(M416,설정!$A$15:$D$47,4,0),0)&lt;99,"BBB0미만 ",""),"")&amp;IF(OR(M416="",M416="NR"),"등급미입력 ","")&amp;IF(C416&lt;&gt;"USD","비USD ","")))</f>
        <v/>
      </c>
      <c r="AQ416" s="90" t="n">
        <f aca="false">IF(AND(Y416=1,AL416="Cheap"),IF(AND(ISERROR(SEARCH("FRN",AP416)),ISERROR(SEARCH("BBB0미만",AP416))),AK416+ROW()/1000000000,-999),-999)</f>
        <v>-999</v>
      </c>
      <c r="AR416" s="92" t="str">
        <f aca="false">IF(AND(ISNUMBER(D416),ISNUMBER(K416)),D416+AN416*MAX(K416-1,0)/100,"")</f>
        <v/>
      </c>
      <c r="AS416" s="93" t="str">
        <f aca="false">IF(AND(ISNUMBER(E416),ISNUMBER(K416)),IF(K416&gt;0,(E416+AN416*MAX(K416-1,0))/K416,""),"")</f>
        <v/>
      </c>
      <c r="AT416" s="90" t="n">
        <f aca="false">IFERROR(IF(AND(Y416=1,ROW()&lt;&gt;스왑분석!$C$12+1,ABS(K416-INDEX($K$2:$K$601,스왑분석!$C$12))&lt;=스왑분석!$C$5,ISERROR(SEARCH("FRN",AP416)),ISERROR(SEARCH("BBB0미만",AP416))),IF(AND(OR(스왑분석!$C$6="N",L416=INDEX($L$2:$L$601,스왑분석!$C$12)),OR(스왑분석!$C$7="N",N416=INDEX($N$2:$N$601,스왑분석!$C$12)),OR(스왑분석!$C$8="N",AO416=0),E416-INDEX($E$2:$E$601,스왑분석!$C$12)&gt;=스왑분석!$C$9),E416-INDEX($E$2:$E$601,스왑분석!$C$12)+ROW()/1000000000,-999),-999),-999)</f>
        <v>-999</v>
      </c>
      <c r="AU416" s="90" t="n">
        <f aca="false">IF(AND(Y416=1,AO416&gt;0,AL416="Rich"),-AK416+ROW()/1000000000,-999)</f>
        <v>-999</v>
      </c>
    </row>
    <row r="417" customFormat="false" ht="15" hidden="false" customHeight="false" outlineLevel="0" collapsed="false">
      <c r="A417" s="83" t="n">
        <f aca="false">IFERROR(IF(INDEX(원자료_시장!$A$1:$BZ$1000,설정!$L$6+ROW()-1,설정!$L$24)&amp;""="0","",INDEX(원자료_시장!$A$1:$BZ$1000,설정!$L$6+ROW()-1,설정!$L$24)),"")</f>
        <v>0</v>
      </c>
      <c r="B417" s="83" t="n">
        <f aca="false">IFERROR(IF(INDEX(원자료_시장!$A$1:$BZ$1000,설정!$L$6+ROW()-1,설정!$L$37)&amp;""="0","",INDEX(원자료_시장!$A$1:$BZ$1000,설정!$L$6+ROW()-1,설정!$L$37)),"")</f>
        <v>0</v>
      </c>
      <c r="C417" s="83" t="n">
        <f aca="false">IFERROR(IF(INDEX(원자료_시장!$A$1:$BZ$1000,설정!$L$6+ROW()-1,설정!$L$25)&amp;""="0","",INDEX(원자료_시장!$A$1:$BZ$1000,설정!$L$6+ROW()-1,설정!$L$25)),"")</f>
        <v>0</v>
      </c>
      <c r="D417" s="85" t="str">
        <f aca="false">IFERROR(IF(ISNUMBER(INDEX(원자료_시장!$A$1:$BZ$1000,설정!$L$6+ROW()-1,설정!$L$26)),INDEX(원자료_시장!$A$1:$BZ$1000,설정!$L$6+ROW()-1,설정!$L$26),""),"")</f>
        <v/>
      </c>
      <c r="E417" s="97" t="str">
        <f aca="false">IFERROR(IF(ISNUMBER(INDEX(원자료_시장!$A$1:$BZ$1000,설정!$L$6+ROW()-1,설정!$L$27)),INDEX(원자료_시장!$A$1:$BZ$1000,설정!$L$6+ROW()-1,설정!$L$27),""),"")</f>
        <v/>
      </c>
      <c r="F417" s="97" t="str">
        <f aca="false">IFERROR(IF(ISNUMBER(INDEX(원자료_시장!$A$1:$BZ$1000,설정!$L$6+ROW()-1,설정!$L$28)),INDEX(원자료_시장!$A$1:$BZ$1000,설정!$L$6+ROW()-1,설정!$L$28),""),"")</f>
        <v/>
      </c>
      <c r="G417" s="97" t="str">
        <f aca="false">IFERROR(IF(ISNUMBER(INDEX(원자료_시장!$A$1:$BZ$1000,설정!$L$6+ROW()-1,설정!$L$29)),INDEX(원자료_시장!$A$1:$BZ$1000,설정!$L$6+ROW()-1,설정!$L$29),""),"")</f>
        <v/>
      </c>
      <c r="H417" s="97" t="str">
        <f aca="false">IFERROR(IF(ISNUMBER(INDEX(원자료_시장!$A$1:$BZ$1000,설정!$L$6+ROW()-1,설정!$L$30)),INDEX(원자료_시장!$A$1:$BZ$1000,설정!$L$6+ROW()-1,설정!$L$30),""),"")</f>
        <v/>
      </c>
      <c r="I417" s="97" t="str">
        <f aca="false">IFERROR(IF(ISNUMBER(INDEX(원자료_시장!$A$1:$BZ$1000,설정!$L$6+ROW()-1,설정!$L$31)),INDEX(원자료_시장!$A$1:$BZ$1000,설정!$L$6+ROW()-1,설정!$L$31),""),"")</f>
        <v/>
      </c>
      <c r="J417" s="97" t="str">
        <f aca="false">IFERROR(IF(ISNUMBER(INDEX(원자료_시장!$A$1:$BZ$1000,설정!$L$6+ROW()-1,설정!$L$32)),INDEX(원자료_시장!$A$1:$BZ$1000,설정!$L$6+ROW()-1,설정!$L$32),""),"")</f>
        <v/>
      </c>
      <c r="K417" s="85" t="str">
        <f aca="false">IFERROR(IF(ISNUMBER(INDEX(원자료_시장!$A$1:$BZ$1000,설정!$L$6+ROW()-1,설정!$L$33)),INDEX(원자료_시장!$A$1:$BZ$1000,설정!$L$6+ROW()-1,설정!$L$33),""),"")</f>
        <v/>
      </c>
      <c r="L417" s="83" t="n">
        <f aca="false">IFERROR(IF(INDEX(원자료_시장!$A$1:$BZ$1000,설정!$L$6+ROW()-1,설정!$L$34)&amp;""="0","",INDEX(원자료_시장!$A$1:$BZ$1000,설정!$L$6+ROW()-1,설정!$L$34)),"")</f>
        <v>0</v>
      </c>
      <c r="M417" s="83" t="n">
        <f aca="false">IFERROR(IF(INDEX(원자료_시장!$A$1:$BZ$1000,설정!$L$6+ROW()-1,설정!$L$35)&amp;""="0","",INDEX(원자료_시장!$A$1:$BZ$1000,설정!$L$6+ROW()-1,설정!$L$35)),"")</f>
        <v>0</v>
      </c>
      <c r="N417" s="83" t="n">
        <f aca="false">IFERROR(IF(INDEX(원자료_시장!$A$1:$BZ$1000,설정!$L$6+ROW()-1,설정!$L$36)&amp;""="0","",INDEX(원자료_시장!$A$1:$BZ$1000,설정!$L$6+ROW()-1,설정!$L$36)),"")</f>
        <v>0</v>
      </c>
      <c r="O417" s="43" t="str">
        <f aca="false">IF($A417="","",UPPER(LEFT($A417,FIND(" ",$A417&amp;" ")-1)))</f>
        <v/>
      </c>
      <c r="P417" s="43" t="str">
        <f aca="false">IF($A417="","",TRIM(RIGHT(SUBSTITUTE(TRIM($A417)," ",REPT(" ",30)),30)))</f>
        <v/>
      </c>
      <c r="Q417" s="98" t="str">
        <f aca="false">IF($A417="","",IFERROR(DATE(IF(LEN(P417)=8,2000+VALUE(RIGHT(P417,2)),VALUE(RIGHT(P417,4))),VALUE(LEFT(P417,2)),VALUE(MID(P417,4,2))),""))</f>
        <v/>
      </c>
      <c r="R417" s="89" t="n">
        <f aca="false">IF($A417="",0,IF(ISNUMBER(SEARCH("Float",$A417)),1,0))</f>
        <v>0</v>
      </c>
      <c r="S417" s="43" t="str">
        <f aca="false">IF($A417="","",TRIM(MID($A417,LEN(O417)+2,LEN($A417)-LEN(O417)-LEN(P417)-1)))</f>
        <v/>
      </c>
      <c r="T417" s="92" t="str">
        <f aca="false">IF(OR($A417="",R417=1),"",IFERROR(IF(ISNUMBER(FIND("/",S417)),IF(ISNUMBER(FIND(" ",S417)),VALUE(LEFT(S417,FIND(" ",S417)-1))+VALUE(MID(S417,FIND(" ",S417)+1,FIND("/",S417)-FIND(" ",S417)-1))/VALUE(MID(S417,FIND("/",S417)+1,9)),VALUE(LEFT(S417,FIND("/",S417)-1))/VALUE(MID(S417,FIND("/",S417)+1,9))),VALUE(S417)),""))</f>
        <v/>
      </c>
      <c r="U417" s="43" t="str">
        <f aca="false">IF(OR($A417="",NOT(ISNUMBER(Q417))),"",TEXT(Q417,"yyyymmdd")&amp;"|"&amp;IF(R417=1,"F",TEXT(T417,"0.000")))</f>
        <v/>
      </c>
      <c r="V417" s="43" t="str">
        <f aca="false">IF(U417="","",O417&amp;"|"&amp;U417)</f>
        <v/>
      </c>
      <c r="W417" s="43" t="str">
        <f aca="false">IF($A417="","",IFERROR(IF(VLOOKUP(O417,매핑!$A$4:$E$92,3,0)="","미분류",VLOOKUP(O417,매핑!$A$4:$E$92,3,0)),"미분류"))</f>
        <v/>
      </c>
      <c r="X417" s="89" t="n">
        <f aca="false">IF($A417="",0,IF(O417="T",1,0))</f>
        <v>0</v>
      </c>
      <c r="Y417" s="89" t="n">
        <f aca="false">IF($A417="",0,IF(AND(C417="USD",X417=0,ISNUMBER(E417),ISNUMBER(K417)),IF(K417&gt;=설정!$C$8,1,0),0))</f>
        <v>0</v>
      </c>
      <c r="Z417" s="43" t="str">
        <f aca="false">IF($A417="","",N417&amp;"|"&amp;L417)</f>
        <v/>
      </c>
      <c r="AA417" s="92" t="n">
        <f aca="false">IF(Y417=1,LN(K417),0)</f>
        <v>0</v>
      </c>
      <c r="AB417" s="93" t="n">
        <f aca="false">IF(Y417=1,E417,0)</f>
        <v>0</v>
      </c>
      <c r="AC417" s="89" t="n">
        <f aca="false">IF(Y417=1,COUNTIFS($Z$2:$Z$601,Z417,$Y$2:$Y$601,1),0)</f>
        <v>0</v>
      </c>
      <c r="AD417" s="89" t="n">
        <f aca="false">IF(Y417=1,COUNTIFS($N$2:$N$601,N417,$Y$2:$Y$601,1),0)</f>
        <v>0</v>
      </c>
      <c r="AE417" s="43" t="str">
        <f aca="false">IF(Y417&lt;&gt;1,"",IF(AND(AC417&gt;=설정!$C$7,ISNUMBER(MATCH(Z417,피어커브!$A:$A,0))),Z417,IF(AND(AD417&gt;=설정!$C$7,ISNUMBER(MATCH(N417&amp;"|전체",피어커브!$A:$A,0))),N417&amp;"|전체","전체|전체")))</f>
        <v/>
      </c>
      <c r="AF417" s="93" t="str">
        <f aca="false">IF(AE417="","",INDEX(피어커브!$K:$K,MATCH(AE417,피어커브!$A:$A,0)))</f>
        <v/>
      </c>
      <c r="AG417" s="93" t="str">
        <f aca="false">IF(AE417="","",INDEX(피어커브!$J:$J,MATCH(AE417,피어커브!$A:$A,0)))</f>
        <v/>
      </c>
      <c r="AH417" s="93" t="str">
        <f aca="false">IF(AE417="","",INDEX(피어커브!$L:$L,MATCH(AE417,피어커브!$A:$A,0)))</f>
        <v/>
      </c>
      <c r="AI417" s="93" t="str">
        <f aca="false">IF(AE417="","",AF417+AG417*AA417)</f>
        <v/>
      </c>
      <c r="AJ417" s="96" t="str">
        <f aca="false">IF(AE417="","",E417-AI417)</f>
        <v/>
      </c>
      <c r="AK417" s="95" t="str">
        <f aca="false">IF(AE417="","",IF(ISNUMBER(AH417),IF(AH417&gt;0,AJ417/AH417,""),""))</f>
        <v/>
      </c>
      <c r="AL417" s="43" t="str">
        <f aca="false">IF(AK417="","-",IF(AK417&gt;=설정!$C$6,"Cheap",IF(AK417&lt;=-설정!$C$6,"Rich","Fair")))</f>
        <v>-</v>
      </c>
      <c r="AM417" s="96" t="str">
        <f aca="false">IF(AE417="","",AJ417-AVERAGEIFS($AJ$2:$AJ$601,$B$2:$B$601,B417,$Y$2:$Y$601,1))</f>
        <v/>
      </c>
      <c r="AN417" s="93" t="n">
        <f aca="false">IF(AE417="",0,IF(K417&gt;1+설정!$C$8,AG417*(AA417-LN(K417-1)),0))</f>
        <v>0</v>
      </c>
      <c r="AO417" s="99" t="n">
        <f aca="false">IF($A417="",0,SUMIFS(보유분석!$AA$2:$AA$801,보유분석!$AB$2:$AB$801,ROW(),보유분석!$AC$2:$AC$801,1))</f>
        <v>0</v>
      </c>
      <c r="AP417" s="43" t="str">
        <f aca="false">IF($A417="","",TRIM(IF(R417=1,"FRN ","")&amp;IF(IFERROR(VLOOKUP(M417,설정!$A$15:$D$47,4,0),0)&gt;=10,IF(IFERROR(VLOOKUP(M417,설정!$A$15:$D$47,4,0),0)&lt;99,"BBB0미만 ",""),"")&amp;IF(OR(M417="",M417="NR"),"등급미입력 ","")&amp;IF(C417&lt;&gt;"USD","비USD ","")))</f>
        <v/>
      </c>
      <c r="AQ417" s="90" t="n">
        <f aca="false">IF(AND(Y417=1,AL417="Cheap"),IF(AND(ISERROR(SEARCH("FRN",AP417)),ISERROR(SEARCH("BBB0미만",AP417))),AK417+ROW()/1000000000,-999),-999)</f>
        <v>-999</v>
      </c>
      <c r="AR417" s="92" t="str">
        <f aca="false">IF(AND(ISNUMBER(D417),ISNUMBER(K417)),D417+AN417*MAX(K417-1,0)/100,"")</f>
        <v/>
      </c>
      <c r="AS417" s="93" t="str">
        <f aca="false">IF(AND(ISNUMBER(E417),ISNUMBER(K417)),IF(K417&gt;0,(E417+AN417*MAX(K417-1,0))/K417,""),"")</f>
        <v/>
      </c>
      <c r="AT417" s="90" t="n">
        <f aca="false">IFERROR(IF(AND(Y417=1,ROW()&lt;&gt;스왑분석!$C$12+1,ABS(K417-INDEX($K$2:$K$601,스왑분석!$C$12))&lt;=스왑분석!$C$5,ISERROR(SEARCH("FRN",AP417)),ISERROR(SEARCH("BBB0미만",AP417))),IF(AND(OR(스왑분석!$C$6="N",L417=INDEX($L$2:$L$601,스왑분석!$C$12)),OR(스왑분석!$C$7="N",N417=INDEX($N$2:$N$601,스왑분석!$C$12)),OR(스왑분석!$C$8="N",AO417=0),E417-INDEX($E$2:$E$601,스왑분석!$C$12)&gt;=스왑분석!$C$9),E417-INDEX($E$2:$E$601,스왑분석!$C$12)+ROW()/1000000000,-999),-999),-999)</f>
        <v>-999</v>
      </c>
      <c r="AU417" s="90" t="n">
        <f aca="false">IF(AND(Y417=1,AO417&gt;0,AL417="Rich"),-AK417+ROW()/1000000000,-999)</f>
        <v>-999</v>
      </c>
    </row>
    <row r="418" customFormat="false" ht="15" hidden="false" customHeight="false" outlineLevel="0" collapsed="false">
      <c r="A418" s="83" t="n">
        <f aca="false">IFERROR(IF(INDEX(원자료_시장!$A$1:$BZ$1000,설정!$L$6+ROW()-1,설정!$L$24)&amp;""="0","",INDEX(원자료_시장!$A$1:$BZ$1000,설정!$L$6+ROW()-1,설정!$L$24)),"")</f>
        <v>0</v>
      </c>
      <c r="B418" s="83" t="n">
        <f aca="false">IFERROR(IF(INDEX(원자료_시장!$A$1:$BZ$1000,설정!$L$6+ROW()-1,설정!$L$37)&amp;""="0","",INDEX(원자료_시장!$A$1:$BZ$1000,설정!$L$6+ROW()-1,설정!$L$37)),"")</f>
        <v>0</v>
      </c>
      <c r="C418" s="83" t="n">
        <f aca="false">IFERROR(IF(INDEX(원자료_시장!$A$1:$BZ$1000,설정!$L$6+ROW()-1,설정!$L$25)&amp;""="0","",INDEX(원자료_시장!$A$1:$BZ$1000,설정!$L$6+ROW()-1,설정!$L$25)),"")</f>
        <v>0</v>
      </c>
      <c r="D418" s="85" t="str">
        <f aca="false">IFERROR(IF(ISNUMBER(INDEX(원자료_시장!$A$1:$BZ$1000,설정!$L$6+ROW()-1,설정!$L$26)),INDEX(원자료_시장!$A$1:$BZ$1000,설정!$L$6+ROW()-1,설정!$L$26),""),"")</f>
        <v/>
      </c>
      <c r="E418" s="97" t="str">
        <f aca="false">IFERROR(IF(ISNUMBER(INDEX(원자료_시장!$A$1:$BZ$1000,설정!$L$6+ROW()-1,설정!$L$27)),INDEX(원자료_시장!$A$1:$BZ$1000,설정!$L$6+ROW()-1,설정!$L$27),""),"")</f>
        <v/>
      </c>
      <c r="F418" s="97" t="str">
        <f aca="false">IFERROR(IF(ISNUMBER(INDEX(원자료_시장!$A$1:$BZ$1000,설정!$L$6+ROW()-1,설정!$L$28)),INDEX(원자료_시장!$A$1:$BZ$1000,설정!$L$6+ROW()-1,설정!$L$28),""),"")</f>
        <v/>
      </c>
      <c r="G418" s="97" t="str">
        <f aca="false">IFERROR(IF(ISNUMBER(INDEX(원자료_시장!$A$1:$BZ$1000,설정!$L$6+ROW()-1,설정!$L$29)),INDEX(원자료_시장!$A$1:$BZ$1000,설정!$L$6+ROW()-1,설정!$L$29),""),"")</f>
        <v/>
      </c>
      <c r="H418" s="97" t="str">
        <f aca="false">IFERROR(IF(ISNUMBER(INDEX(원자료_시장!$A$1:$BZ$1000,설정!$L$6+ROW()-1,설정!$L$30)),INDEX(원자료_시장!$A$1:$BZ$1000,설정!$L$6+ROW()-1,설정!$L$30),""),"")</f>
        <v/>
      </c>
      <c r="I418" s="97" t="str">
        <f aca="false">IFERROR(IF(ISNUMBER(INDEX(원자료_시장!$A$1:$BZ$1000,설정!$L$6+ROW()-1,설정!$L$31)),INDEX(원자료_시장!$A$1:$BZ$1000,설정!$L$6+ROW()-1,설정!$L$31),""),"")</f>
        <v/>
      </c>
      <c r="J418" s="97" t="str">
        <f aca="false">IFERROR(IF(ISNUMBER(INDEX(원자료_시장!$A$1:$BZ$1000,설정!$L$6+ROW()-1,설정!$L$32)),INDEX(원자료_시장!$A$1:$BZ$1000,설정!$L$6+ROW()-1,설정!$L$32),""),"")</f>
        <v/>
      </c>
      <c r="K418" s="85" t="str">
        <f aca="false">IFERROR(IF(ISNUMBER(INDEX(원자료_시장!$A$1:$BZ$1000,설정!$L$6+ROW()-1,설정!$L$33)),INDEX(원자료_시장!$A$1:$BZ$1000,설정!$L$6+ROW()-1,설정!$L$33),""),"")</f>
        <v/>
      </c>
      <c r="L418" s="83" t="n">
        <f aca="false">IFERROR(IF(INDEX(원자료_시장!$A$1:$BZ$1000,설정!$L$6+ROW()-1,설정!$L$34)&amp;""="0","",INDEX(원자료_시장!$A$1:$BZ$1000,설정!$L$6+ROW()-1,설정!$L$34)),"")</f>
        <v>0</v>
      </c>
      <c r="M418" s="83" t="n">
        <f aca="false">IFERROR(IF(INDEX(원자료_시장!$A$1:$BZ$1000,설정!$L$6+ROW()-1,설정!$L$35)&amp;""="0","",INDEX(원자료_시장!$A$1:$BZ$1000,설정!$L$6+ROW()-1,설정!$L$35)),"")</f>
        <v>0</v>
      </c>
      <c r="N418" s="83" t="n">
        <f aca="false">IFERROR(IF(INDEX(원자료_시장!$A$1:$BZ$1000,설정!$L$6+ROW()-1,설정!$L$36)&amp;""="0","",INDEX(원자료_시장!$A$1:$BZ$1000,설정!$L$6+ROW()-1,설정!$L$36)),"")</f>
        <v>0</v>
      </c>
      <c r="O418" s="43" t="str">
        <f aca="false">IF($A418="","",UPPER(LEFT($A418,FIND(" ",$A418&amp;" ")-1)))</f>
        <v/>
      </c>
      <c r="P418" s="43" t="str">
        <f aca="false">IF($A418="","",TRIM(RIGHT(SUBSTITUTE(TRIM($A418)," ",REPT(" ",30)),30)))</f>
        <v/>
      </c>
      <c r="Q418" s="98" t="str">
        <f aca="false">IF($A418="","",IFERROR(DATE(IF(LEN(P418)=8,2000+VALUE(RIGHT(P418,2)),VALUE(RIGHT(P418,4))),VALUE(LEFT(P418,2)),VALUE(MID(P418,4,2))),""))</f>
        <v/>
      </c>
      <c r="R418" s="89" t="n">
        <f aca="false">IF($A418="",0,IF(ISNUMBER(SEARCH("Float",$A418)),1,0))</f>
        <v>0</v>
      </c>
      <c r="S418" s="43" t="str">
        <f aca="false">IF($A418="","",TRIM(MID($A418,LEN(O418)+2,LEN($A418)-LEN(O418)-LEN(P418)-1)))</f>
        <v/>
      </c>
      <c r="T418" s="92" t="str">
        <f aca="false">IF(OR($A418="",R418=1),"",IFERROR(IF(ISNUMBER(FIND("/",S418)),IF(ISNUMBER(FIND(" ",S418)),VALUE(LEFT(S418,FIND(" ",S418)-1))+VALUE(MID(S418,FIND(" ",S418)+1,FIND("/",S418)-FIND(" ",S418)-1))/VALUE(MID(S418,FIND("/",S418)+1,9)),VALUE(LEFT(S418,FIND("/",S418)-1))/VALUE(MID(S418,FIND("/",S418)+1,9))),VALUE(S418)),""))</f>
        <v/>
      </c>
      <c r="U418" s="43" t="str">
        <f aca="false">IF(OR($A418="",NOT(ISNUMBER(Q418))),"",TEXT(Q418,"yyyymmdd")&amp;"|"&amp;IF(R418=1,"F",TEXT(T418,"0.000")))</f>
        <v/>
      </c>
      <c r="V418" s="43" t="str">
        <f aca="false">IF(U418="","",O418&amp;"|"&amp;U418)</f>
        <v/>
      </c>
      <c r="W418" s="43" t="str">
        <f aca="false">IF($A418="","",IFERROR(IF(VLOOKUP(O418,매핑!$A$4:$E$92,3,0)="","미분류",VLOOKUP(O418,매핑!$A$4:$E$92,3,0)),"미분류"))</f>
        <v/>
      </c>
      <c r="X418" s="89" t="n">
        <f aca="false">IF($A418="",0,IF(O418="T",1,0))</f>
        <v>0</v>
      </c>
      <c r="Y418" s="89" t="n">
        <f aca="false">IF($A418="",0,IF(AND(C418="USD",X418=0,ISNUMBER(E418),ISNUMBER(K418)),IF(K418&gt;=설정!$C$8,1,0),0))</f>
        <v>0</v>
      </c>
      <c r="Z418" s="43" t="str">
        <f aca="false">IF($A418="","",N418&amp;"|"&amp;L418)</f>
        <v/>
      </c>
      <c r="AA418" s="92" t="n">
        <f aca="false">IF(Y418=1,LN(K418),0)</f>
        <v>0</v>
      </c>
      <c r="AB418" s="93" t="n">
        <f aca="false">IF(Y418=1,E418,0)</f>
        <v>0</v>
      </c>
      <c r="AC418" s="89" t="n">
        <f aca="false">IF(Y418=1,COUNTIFS($Z$2:$Z$601,Z418,$Y$2:$Y$601,1),0)</f>
        <v>0</v>
      </c>
      <c r="AD418" s="89" t="n">
        <f aca="false">IF(Y418=1,COUNTIFS($N$2:$N$601,N418,$Y$2:$Y$601,1),0)</f>
        <v>0</v>
      </c>
      <c r="AE418" s="43" t="str">
        <f aca="false">IF(Y418&lt;&gt;1,"",IF(AND(AC418&gt;=설정!$C$7,ISNUMBER(MATCH(Z418,피어커브!$A:$A,0))),Z418,IF(AND(AD418&gt;=설정!$C$7,ISNUMBER(MATCH(N418&amp;"|전체",피어커브!$A:$A,0))),N418&amp;"|전체","전체|전체")))</f>
        <v/>
      </c>
      <c r="AF418" s="93" t="str">
        <f aca="false">IF(AE418="","",INDEX(피어커브!$K:$K,MATCH(AE418,피어커브!$A:$A,0)))</f>
        <v/>
      </c>
      <c r="AG418" s="93" t="str">
        <f aca="false">IF(AE418="","",INDEX(피어커브!$J:$J,MATCH(AE418,피어커브!$A:$A,0)))</f>
        <v/>
      </c>
      <c r="AH418" s="93" t="str">
        <f aca="false">IF(AE418="","",INDEX(피어커브!$L:$L,MATCH(AE418,피어커브!$A:$A,0)))</f>
        <v/>
      </c>
      <c r="AI418" s="93" t="str">
        <f aca="false">IF(AE418="","",AF418+AG418*AA418)</f>
        <v/>
      </c>
      <c r="AJ418" s="96" t="str">
        <f aca="false">IF(AE418="","",E418-AI418)</f>
        <v/>
      </c>
      <c r="AK418" s="95" t="str">
        <f aca="false">IF(AE418="","",IF(ISNUMBER(AH418),IF(AH418&gt;0,AJ418/AH418,""),""))</f>
        <v/>
      </c>
      <c r="AL418" s="43" t="str">
        <f aca="false">IF(AK418="","-",IF(AK418&gt;=설정!$C$6,"Cheap",IF(AK418&lt;=-설정!$C$6,"Rich","Fair")))</f>
        <v>-</v>
      </c>
      <c r="AM418" s="96" t="str">
        <f aca="false">IF(AE418="","",AJ418-AVERAGEIFS($AJ$2:$AJ$601,$B$2:$B$601,B418,$Y$2:$Y$601,1))</f>
        <v/>
      </c>
      <c r="AN418" s="93" t="n">
        <f aca="false">IF(AE418="",0,IF(K418&gt;1+설정!$C$8,AG418*(AA418-LN(K418-1)),0))</f>
        <v>0</v>
      </c>
      <c r="AO418" s="99" t="n">
        <f aca="false">IF($A418="",0,SUMIFS(보유분석!$AA$2:$AA$801,보유분석!$AB$2:$AB$801,ROW(),보유분석!$AC$2:$AC$801,1))</f>
        <v>0</v>
      </c>
      <c r="AP418" s="43" t="str">
        <f aca="false">IF($A418="","",TRIM(IF(R418=1,"FRN ","")&amp;IF(IFERROR(VLOOKUP(M418,설정!$A$15:$D$47,4,0),0)&gt;=10,IF(IFERROR(VLOOKUP(M418,설정!$A$15:$D$47,4,0),0)&lt;99,"BBB0미만 ",""),"")&amp;IF(OR(M418="",M418="NR"),"등급미입력 ","")&amp;IF(C418&lt;&gt;"USD","비USD ","")))</f>
        <v/>
      </c>
      <c r="AQ418" s="90" t="n">
        <f aca="false">IF(AND(Y418=1,AL418="Cheap"),IF(AND(ISERROR(SEARCH("FRN",AP418)),ISERROR(SEARCH("BBB0미만",AP418))),AK418+ROW()/1000000000,-999),-999)</f>
        <v>-999</v>
      </c>
      <c r="AR418" s="92" t="str">
        <f aca="false">IF(AND(ISNUMBER(D418),ISNUMBER(K418)),D418+AN418*MAX(K418-1,0)/100,"")</f>
        <v/>
      </c>
      <c r="AS418" s="93" t="str">
        <f aca="false">IF(AND(ISNUMBER(E418),ISNUMBER(K418)),IF(K418&gt;0,(E418+AN418*MAX(K418-1,0))/K418,""),"")</f>
        <v/>
      </c>
      <c r="AT418" s="90" t="n">
        <f aca="false">IFERROR(IF(AND(Y418=1,ROW()&lt;&gt;스왑분석!$C$12+1,ABS(K418-INDEX($K$2:$K$601,스왑분석!$C$12))&lt;=스왑분석!$C$5,ISERROR(SEARCH("FRN",AP418)),ISERROR(SEARCH("BBB0미만",AP418))),IF(AND(OR(스왑분석!$C$6="N",L418=INDEX($L$2:$L$601,스왑분석!$C$12)),OR(스왑분석!$C$7="N",N418=INDEX($N$2:$N$601,스왑분석!$C$12)),OR(스왑분석!$C$8="N",AO418=0),E418-INDEX($E$2:$E$601,스왑분석!$C$12)&gt;=스왑분석!$C$9),E418-INDEX($E$2:$E$601,스왑분석!$C$12)+ROW()/1000000000,-999),-999),-999)</f>
        <v>-999</v>
      </c>
      <c r="AU418" s="90" t="n">
        <f aca="false">IF(AND(Y418=1,AO418&gt;0,AL418="Rich"),-AK418+ROW()/1000000000,-999)</f>
        <v>-999</v>
      </c>
    </row>
    <row r="419" customFormat="false" ht="15" hidden="false" customHeight="false" outlineLevel="0" collapsed="false">
      <c r="A419" s="83" t="n">
        <f aca="false">IFERROR(IF(INDEX(원자료_시장!$A$1:$BZ$1000,설정!$L$6+ROW()-1,설정!$L$24)&amp;""="0","",INDEX(원자료_시장!$A$1:$BZ$1000,설정!$L$6+ROW()-1,설정!$L$24)),"")</f>
        <v>0</v>
      </c>
      <c r="B419" s="83" t="n">
        <f aca="false">IFERROR(IF(INDEX(원자료_시장!$A$1:$BZ$1000,설정!$L$6+ROW()-1,설정!$L$37)&amp;""="0","",INDEX(원자료_시장!$A$1:$BZ$1000,설정!$L$6+ROW()-1,설정!$L$37)),"")</f>
        <v>0</v>
      </c>
      <c r="C419" s="83" t="n">
        <f aca="false">IFERROR(IF(INDEX(원자료_시장!$A$1:$BZ$1000,설정!$L$6+ROW()-1,설정!$L$25)&amp;""="0","",INDEX(원자료_시장!$A$1:$BZ$1000,설정!$L$6+ROW()-1,설정!$L$25)),"")</f>
        <v>0</v>
      </c>
      <c r="D419" s="85" t="str">
        <f aca="false">IFERROR(IF(ISNUMBER(INDEX(원자료_시장!$A$1:$BZ$1000,설정!$L$6+ROW()-1,설정!$L$26)),INDEX(원자료_시장!$A$1:$BZ$1000,설정!$L$6+ROW()-1,설정!$L$26),""),"")</f>
        <v/>
      </c>
      <c r="E419" s="97" t="str">
        <f aca="false">IFERROR(IF(ISNUMBER(INDEX(원자료_시장!$A$1:$BZ$1000,설정!$L$6+ROW()-1,설정!$L$27)),INDEX(원자료_시장!$A$1:$BZ$1000,설정!$L$6+ROW()-1,설정!$L$27),""),"")</f>
        <v/>
      </c>
      <c r="F419" s="97" t="str">
        <f aca="false">IFERROR(IF(ISNUMBER(INDEX(원자료_시장!$A$1:$BZ$1000,설정!$L$6+ROW()-1,설정!$L$28)),INDEX(원자료_시장!$A$1:$BZ$1000,설정!$L$6+ROW()-1,설정!$L$28),""),"")</f>
        <v/>
      </c>
      <c r="G419" s="97" t="str">
        <f aca="false">IFERROR(IF(ISNUMBER(INDEX(원자료_시장!$A$1:$BZ$1000,설정!$L$6+ROW()-1,설정!$L$29)),INDEX(원자료_시장!$A$1:$BZ$1000,설정!$L$6+ROW()-1,설정!$L$29),""),"")</f>
        <v/>
      </c>
      <c r="H419" s="97" t="str">
        <f aca="false">IFERROR(IF(ISNUMBER(INDEX(원자료_시장!$A$1:$BZ$1000,설정!$L$6+ROW()-1,설정!$L$30)),INDEX(원자료_시장!$A$1:$BZ$1000,설정!$L$6+ROW()-1,설정!$L$30),""),"")</f>
        <v/>
      </c>
      <c r="I419" s="97" t="str">
        <f aca="false">IFERROR(IF(ISNUMBER(INDEX(원자료_시장!$A$1:$BZ$1000,설정!$L$6+ROW()-1,설정!$L$31)),INDEX(원자료_시장!$A$1:$BZ$1000,설정!$L$6+ROW()-1,설정!$L$31),""),"")</f>
        <v/>
      </c>
      <c r="J419" s="97" t="str">
        <f aca="false">IFERROR(IF(ISNUMBER(INDEX(원자료_시장!$A$1:$BZ$1000,설정!$L$6+ROW()-1,설정!$L$32)),INDEX(원자료_시장!$A$1:$BZ$1000,설정!$L$6+ROW()-1,설정!$L$32),""),"")</f>
        <v/>
      </c>
      <c r="K419" s="85" t="str">
        <f aca="false">IFERROR(IF(ISNUMBER(INDEX(원자료_시장!$A$1:$BZ$1000,설정!$L$6+ROW()-1,설정!$L$33)),INDEX(원자료_시장!$A$1:$BZ$1000,설정!$L$6+ROW()-1,설정!$L$33),""),"")</f>
        <v/>
      </c>
      <c r="L419" s="83" t="n">
        <f aca="false">IFERROR(IF(INDEX(원자료_시장!$A$1:$BZ$1000,설정!$L$6+ROW()-1,설정!$L$34)&amp;""="0","",INDEX(원자료_시장!$A$1:$BZ$1000,설정!$L$6+ROW()-1,설정!$L$34)),"")</f>
        <v>0</v>
      </c>
      <c r="M419" s="83" t="n">
        <f aca="false">IFERROR(IF(INDEX(원자료_시장!$A$1:$BZ$1000,설정!$L$6+ROW()-1,설정!$L$35)&amp;""="0","",INDEX(원자료_시장!$A$1:$BZ$1000,설정!$L$6+ROW()-1,설정!$L$35)),"")</f>
        <v>0</v>
      </c>
      <c r="N419" s="83" t="n">
        <f aca="false">IFERROR(IF(INDEX(원자료_시장!$A$1:$BZ$1000,설정!$L$6+ROW()-1,설정!$L$36)&amp;""="0","",INDEX(원자료_시장!$A$1:$BZ$1000,설정!$L$6+ROW()-1,설정!$L$36)),"")</f>
        <v>0</v>
      </c>
      <c r="O419" s="43" t="str">
        <f aca="false">IF($A419="","",UPPER(LEFT($A419,FIND(" ",$A419&amp;" ")-1)))</f>
        <v/>
      </c>
      <c r="P419" s="43" t="str">
        <f aca="false">IF($A419="","",TRIM(RIGHT(SUBSTITUTE(TRIM($A419)," ",REPT(" ",30)),30)))</f>
        <v/>
      </c>
      <c r="Q419" s="98" t="str">
        <f aca="false">IF($A419="","",IFERROR(DATE(IF(LEN(P419)=8,2000+VALUE(RIGHT(P419,2)),VALUE(RIGHT(P419,4))),VALUE(LEFT(P419,2)),VALUE(MID(P419,4,2))),""))</f>
        <v/>
      </c>
      <c r="R419" s="89" t="n">
        <f aca="false">IF($A419="",0,IF(ISNUMBER(SEARCH("Float",$A419)),1,0))</f>
        <v>0</v>
      </c>
      <c r="S419" s="43" t="str">
        <f aca="false">IF($A419="","",TRIM(MID($A419,LEN(O419)+2,LEN($A419)-LEN(O419)-LEN(P419)-1)))</f>
        <v/>
      </c>
      <c r="T419" s="92" t="str">
        <f aca="false">IF(OR($A419="",R419=1),"",IFERROR(IF(ISNUMBER(FIND("/",S419)),IF(ISNUMBER(FIND(" ",S419)),VALUE(LEFT(S419,FIND(" ",S419)-1))+VALUE(MID(S419,FIND(" ",S419)+1,FIND("/",S419)-FIND(" ",S419)-1))/VALUE(MID(S419,FIND("/",S419)+1,9)),VALUE(LEFT(S419,FIND("/",S419)-1))/VALUE(MID(S419,FIND("/",S419)+1,9))),VALUE(S419)),""))</f>
        <v/>
      </c>
      <c r="U419" s="43" t="str">
        <f aca="false">IF(OR($A419="",NOT(ISNUMBER(Q419))),"",TEXT(Q419,"yyyymmdd")&amp;"|"&amp;IF(R419=1,"F",TEXT(T419,"0.000")))</f>
        <v/>
      </c>
      <c r="V419" s="43" t="str">
        <f aca="false">IF(U419="","",O419&amp;"|"&amp;U419)</f>
        <v/>
      </c>
      <c r="W419" s="43" t="str">
        <f aca="false">IF($A419="","",IFERROR(IF(VLOOKUP(O419,매핑!$A$4:$E$92,3,0)="","미분류",VLOOKUP(O419,매핑!$A$4:$E$92,3,0)),"미분류"))</f>
        <v/>
      </c>
      <c r="X419" s="89" t="n">
        <f aca="false">IF($A419="",0,IF(O419="T",1,0))</f>
        <v>0</v>
      </c>
      <c r="Y419" s="89" t="n">
        <f aca="false">IF($A419="",0,IF(AND(C419="USD",X419=0,ISNUMBER(E419),ISNUMBER(K419)),IF(K419&gt;=설정!$C$8,1,0),0))</f>
        <v>0</v>
      </c>
      <c r="Z419" s="43" t="str">
        <f aca="false">IF($A419="","",N419&amp;"|"&amp;L419)</f>
        <v/>
      </c>
      <c r="AA419" s="92" t="n">
        <f aca="false">IF(Y419=1,LN(K419),0)</f>
        <v>0</v>
      </c>
      <c r="AB419" s="93" t="n">
        <f aca="false">IF(Y419=1,E419,0)</f>
        <v>0</v>
      </c>
      <c r="AC419" s="89" t="n">
        <f aca="false">IF(Y419=1,COUNTIFS($Z$2:$Z$601,Z419,$Y$2:$Y$601,1),0)</f>
        <v>0</v>
      </c>
      <c r="AD419" s="89" t="n">
        <f aca="false">IF(Y419=1,COUNTIFS($N$2:$N$601,N419,$Y$2:$Y$601,1),0)</f>
        <v>0</v>
      </c>
      <c r="AE419" s="43" t="str">
        <f aca="false">IF(Y419&lt;&gt;1,"",IF(AND(AC419&gt;=설정!$C$7,ISNUMBER(MATCH(Z419,피어커브!$A:$A,0))),Z419,IF(AND(AD419&gt;=설정!$C$7,ISNUMBER(MATCH(N419&amp;"|전체",피어커브!$A:$A,0))),N419&amp;"|전체","전체|전체")))</f>
        <v/>
      </c>
      <c r="AF419" s="93" t="str">
        <f aca="false">IF(AE419="","",INDEX(피어커브!$K:$K,MATCH(AE419,피어커브!$A:$A,0)))</f>
        <v/>
      </c>
      <c r="AG419" s="93" t="str">
        <f aca="false">IF(AE419="","",INDEX(피어커브!$J:$J,MATCH(AE419,피어커브!$A:$A,0)))</f>
        <v/>
      </c>
      <c r="AH419" s="93" t="str">
        <f aca="false">IF(AE419="","",INDEX(피어커브!$L:$L,MATCH(AE419,피어커브!$A:$A,0)))</f>
        <v/>
      </c>
      <c r="AI419" s="93" t="str">
        <f aca="false">IF(AE419="","",AF419+AG419*AA419)</f>
        <v/>
      </c>
      <c r="AJ419" s="96" t="str">
        <f aca="false">IF(AE419="","",E419-AI419)</f>
        <v/>
      </c>
      <c r="AK419" s="95" t="str">
        <f aca="false">IF(AE419="","",IF(ISNUMBER(AH419),IF(AH419&gt;0,AJ419/AH419,""),""))</f>
        <v/>
      </c>
      <c r="AL419" s="43" t="str">
        <f aca="false">IF(AK419="","-",IF(AK419&gt;=설정!$C$6,"Cheap",IF(AK419&lt;=-설정!$C$6,"Rich","Fair")))</f>
        <v>-</v>
      </c>
      <c r="AM419" s="96" t="str">
        <f aca="false">IF(AE419="","",AJ419-AVERAGEIFS($AJ$2:$AJ$601,$B$2:$B$601,B419,$Y$2:$Y$601,1))</f>
        <v/>
      </c>
      <c r="AN419" s="93" t="n">
        <f aca="false">IF(AE419="",0,IF(K419&gt;1+설정!$C$8,AG419*(AA419-LN(K419-1)),0))</f>
        <v>0</v>
      </c>
      <c r="AO419" s="99" t="n">
        <f aca="false">IF($A419="",0,SUMIFS(보유분석!$AA$2:$AA$801,보유분석!$AB$2:$AB$801,ROW(),보유분석!$AC$2:$AC$801,1))</f>
        <v>0</v>
      </c>
      <c r="AP419" s="43" t="str">
        <f aca="false">IF($A419="","",TRIM(IF(R419=1,"FRN ","")&amp;IF(IFERROR(VLOOKUP(M419,설정!$A$15:$D$47,4,0),0)&gt;=10,IF(IFERROR(VLOOKUP(M419,설정!$A$15:$D$47,4,0),0)&lt;99,"BBB0미만 ",""),"")&amp;IF(OR(M419="",M419="NR"),"등급미입력 ","")&amp;IF(C419&lt;&gt;"USD","비USD ","")))</f>
        <v/>
      </c>
      <c r="AQ419" s="90" t="n">
        <f aca="false">IF(AND(Y419=1,AL419="Cheap"),IF(AND(ISERROR(SEARCH("FRN",AP419)),ISERROR(SEARCH("BBB0미만",AP419))),AK419+ROW()/1000000000,-999),-999)</f>
        <v>-999</v>
      </c>
      <c r="AR419" s="92" t="str">
        <f aca="false">IF(AND(ISNUMBER(D419),ISNUMBER(K419)),D419+AN419*MAX(K419-1,0)/100,"")</f>
        <v/>
      </c>
      <c r="AS419" s="93" t="str">
        <f aca="false">IF(AND(ISNUMBER(E419),ISNUMBER(K419)),IF(K419&gt;0,(E419+AN419*MAX(K419-1,0))/K419,""),"")</f>
        <v/>
      </c>
      <c r="AT419" s="90" t="n">
        <f aca="false">IFERROR(IF(AND(Y419=1,ROW()&lt;&gt;스왑분석!$C$12+1,ABS(K419-INDEX($K$2:$K$601,스왑분석!$C$12))&lt;=스왑분석!$C$5,ISERROR(SEARCH("FRN",AP419)),ISERROR(SEARCH("BBB0미만",AP419))),IF(AND(OR(스왑분석!$C$6="N",L419=INDEX($L$2:$L$601,스왑분석!$C$12)),OR(스왑분석!$C$7="N",N419=INDEX($N$2:$N$601,스왑분석!$C$12)),OR(스왑분석!$C$8="N",AO419=0),E419-INDEX($E$2:$E$601,스왑분석!$C$12)&gt;=스왑분석!$C$9),E419-INDEX($E$2:$E$601,스왑분석!$C$12)+ROW()/1000000000,-999),-999),-999)</f>
        <v>-999</v>
      </c>
      <c r="AU419" s="90" t="n">
        <f aca="false">IF(AND(Y419=1,AO419&gt;0,AL419="Rich"),-AK419+ROW()/1000000000,-999)</f>
        <v>-999</v>
      </c>
    </row>
    <row r="420" customFormat="false" ht="15" hidden="false" customHeight="false" outlineLevel="0" collapsed="false">
      <c r="A420" s="83" t="n">
        <f aca="false">IFERROR(IF(INDEX(원자료_시장!$A$1:$BZ$1000,설정!$L$6+ROW()-1,설정!$L$24)&amp;""="0","",INDEX(원자료_시장!$A$1:$BZ$1000,설정!$L$6+ROW()-1,설정!$L$24)),"")</f>
        <v>0</v>
      </c>
      <c r="B420" s="83" t="n">
        <f aca="false">IFERROR(IF(INDEX(원자료_시장!$A$1:$BZ$1000,설정!$L$6+ROW()-1,설정!$L$37)&amp;""="0","",INDEX(원자료_시장!$A$1:$BZ$1000,설정!$L$6+ROW()-1,설정!$L$37)),"")</f>
        <v>0</v>
      </c>
      <c r="C420" s="83" t="n">
        <f aca="false">IFERROR(IF(INDEX(원자료_시장!$A$1:$BZ$1000,설정!$L$6+ROW()-1,설정!$L$25)&amp;""="0","",INDEX(원자료_시장!$A$1:$BZ$1000,설정!$L$6+ROW()-1,설정!$L$25)),"")</f>
        <v>0</v>
      </c>
      <c r="D420" s="85" t="str">
        <f aca="false">IFERROR(IF(ISNUMBER(INDEX(원자료_시장!$A$1:$BZ$1000,설정!$L$6+ROW()-1,설정!$L$26)),INDEX(원자료_시장!$A$1:$BZ$1000,설정!$L$6+ROW()-1,설정!$L$26),""),"")</f>
        <v/>
      </c>
      <c r="E420" s="97" t="str">
        <f aca="false">IFERROR(IF(ISNUMBER(INDEX(원자료_시장!$A$1:$BZ$1000,설정!$L$6+ROW()-1,설정!$L$27)),INDEX(원자료_시장!$A$1:$BZ$1000,설정!$L$6+ROW()-1,설정!$L$27),""),"")</f>
        <v/>
      </c>
      <c r="F420" s="97" t="str">
        <f aca="false">IFERROR(IF(ISNUMBER(INDEX(원자료_시장!$A$1:$BZ$1000,설정!$L$6+ROW()-1,설정!$L$28)),INDEX(원자료_시장!$A$1:$BZ$1000,설정!$L$6+ROW()-1,설정!$L$28),""),"")</f>
        <v/>
      </c>
      <c r="G420" s="97" t="str">
        <f aca="false">IFERROR(IF(ISNUMBER(INDEX(원자료_시장!$A$1:$BZ$1000,설정!$L$6+ROW()-1,설정!$L$29)),INDEX(원자료_시장!$A$1:$BZ$1000,설정!$L$6+ROW()-1,설정!$L$29),""),"")</f>
        <v/>
      </c>
      <c r="H420" s="97" t="str">
        <f aca="false">IFERROR(IF(ISNUMBER(INDEX(원자료_시장!$A$1:$BZ$1000,설정!$L$6+ROW()-1,설정!$L$30)),INDEX(원자료_시장!$A$1:$BZ$1000,설정!$L$6+ROW()-1,설정!$L$30),""),"")</f>
        <v/>
      </c>
      <c r="I420" s="97" t="str">
        <f aca="false">IFERROR(IF(ISNUMBER(INDEX(원자료_시장!$A$1:$BZ$1000,설정!$L$6+ROW()-1,설정!$L$31)),INDEX(원자료_시장!$A$1:$BZ$1000,설정!$L$6+ROW()-1,설정!$L$31),""),"")</f>
        <v/>
      </c>
      <c r="J420" s="97" t="str">
        <f aca="false">IFERROR(IF(ISNUMBER(INDEX(원자료_시장!$A$1:$BZ$1000,설정!$L$6+ROW()-1,설정!$L$32)),INDEX(원자료_시장!$A$1:$BZ$1000,설정!$L$6+ROW()-1,설정!$L$32),""),"")</f>
        <v/>
      </c>
      <c r="K420" s="85" t="str">
        <f aca="false">IFERROR(IF(ISNUMBER(INDEX(원자료_시장!$A$1:$BZ$1000,설정!$L$6+ROW()-1,설정!$L$33)),INDEX(원자료_시장!$A$1:$BZ$1000,설정!$L$6+ROW()-1,설정!$L$33),""),"")</f>
        <v/>
      </c>
      <c r="L420" s="83" t="n">
        <f aca="false">IFERROR(IF(INDEX(원자료_시장!$A$1:$BZ$1000,설정!$L$6+ROW()-1,설정!$L$34)&amp;""="0","",INDEX(원자료_시장!$A$1:$BZ$1000,설정!$L$6+ROW()-1,설정!$L$34)),"")</f>
        <v>0</v>
      </c>
      <c r="M420" s="83" t="n">
        <f aca="false">IFERROR(IF(INDEX(원자료_시장!$A$1:$BZ$1000,설정!$L$6+ROW()-1,설정!$L$35)&amp;""="0","",INDEX(원자료_시장!$A$1:$BZ$1000,설정!$L$6+ROW()-1,설정!$L$35)),"")</f>
        <v>0</v>
      </c>
      <c r="N420" s="83" t="n">
        <f aca="false">IFERROR(IF(INDEX(원자료_시장!$A$1:$BZ$1000,설정!$L$6+ROW()-1,설정!$L$36)&amp;""="0","",INDEX(원자료_시장!$A$1:$BZ$1000,설정!$L$6+ROW()-1,설정!$L$36)),"")</f>
        <v>0</v>
      </c>
      <c r="O420" s="43" t="str">
        <f aca="false">IF($A420="","",UPPER(LEFT($A420,FIND(" ",$A420&amp;" ")-1)))</f>
        <v/>
      </c>
      <c r="P420" s="43" t="str">
        <f aca="false">IF($A420="","",TRIM(RIGHT(SUBSTITUTE(TRIM($A420)," ",REPT(" ",30)),30)))</f>
        <v/>
      </c>
      <c r="Q420" s="98" t="str">
        <f aca="false">IF($A420="","",IFERROR(DATE(IF(LEN(P420)=8,2000+VALUE(RIGHT(P420,2)),VALUE(RIGHT(P420,4))),VALUE(LEFT(P420,2)),VALUE(MID(P420,4,2))),""))</f>
        <v/>
      </c>
      <c r="R420" s="89" t="n">
        <f aca="false">IF($A420="",0,IF(ISNUMBER(SEARCH("Float",$A420)),1,0))</f>
        <v>0</v>
      </c>
      <c r="S420" s="43" t="str">
        <f aca="false">IF($A420="","",TRIM(MID($A420,LEN(O420)+2,LEN($A420)-LEN(O420)-LEN(P420)-1)))</f>
        <v/>
      </c>
      <c r="T420" s="92" t="str">
        <f aca="false">IF(OR($A420="",R420=1),"",IFERROR(IF(ISNUMBER(FIND("/",S420)),IF(ISNUMBER(FIND(" ",S420)),VALUE(LEFT(S420,FIND(" ",S420)-1))+VALUE(MID(S420,FIND(" ",S420)+1,FIND("/",S420)-FIND(" ",S420)-1))/VALUE(MID(S420,FIND("/",S420)+1,9)),VALUE(LEFT(S420,FIND("/",S420)-1))/VALUE(MID(S420,FIND("/",S420)+1,9))),VALUE(S420)),""))</f>
        <v/>
      </c>
      <c r="U420" s="43" t="str">
        <f aca="false">IF(OR($A420="",NOT(ISNUMBER(Q420))),"",TEXT(Q420,"yyyymmdd")&amp;"|"&amp;IF(R420=1,"F",TEXT(T420,"0.000")))</f>
        <v/>
      </c>
      <c r="V420" s="43" t="str">
        <f aca="false">IF(U420="","",O420&amp;"|"&amp;U420)</f>
        <v/>
      </c>
      <c r="W420" s="43" t="str">
        <f aca="false">IF($A420="","",IFERROR(IF(VLOOKUP(O420,매핑!$A$4:$E$92,3,0)="","미분류",VLOOKUP(O420,매핑!$A$4:$E$92,3,0)),"미분류"))</f>
        <v/>
      </c>
      <c r="X420" s="89" t="n">
        <f aca="false">IF($A420="",0,IF(O420="T",1,0))</f>
        <v>0</v>
      </c>
      <c r="Y420" s="89" t="n">
        <f aca="false">IF($A420="",0,IF(AND(C420="USD",X420=0,ISNUMBER(E420),ISNUMBER(K420)),IF(K420&gt;=설정!$C$8,1,0),0))</f>
        <v>0</v>
      </c>
      <c r="Z420" s="43" t="str">
        <f aca="false">IF($A420="","",N420&amp;"|"&amp;L420)</f>
        <v/>
      </c>
      <c r="AA420" s="92" t="n">
        <f aca="false">IF(Y420=1,LN(K420),0)</f>
        <v>0</v>
      </c>
      <c r="AB420" s="93" t="n">
        <f aca="false">IF(Y420=1,E420,0)</f>
        <v>0</v>
      </c>
      <c r="AC420" s="89" t="n">
        <f aca="false">IF(Y420=1,COUNTIFS($Z$2:$Z$601,Z420,$Y$2:$Y$601,1),0)</f>
        <v>0</v>
      </c>
      <c r="AD420" s="89" t="n">
        <f aca="false">IF(Y420=1,COUNTIFS($N$2:$N$601,N420,$Y$2:$Y$601,1),0)</f>
        <v>0</v>
      </c>
      <c r="AE420" s="43" t="str">
        <f aca="false">IF(Y420&lt;&gt;1,"",IF(AND(AC420&gt;=설정!$C$7,ISNUMBER(MATCH(Z420,피어커브!$A:$A,0))),Z420,IF(AND(AD420&gt;=설정!$C$7,ISNUMBER(MATCH(N420&amp;"|전체",피어커브!$A:$A,0))),N420&amp;"|전체","전체|전체")))</f>
        <v/>
      </c>
      <c r="AF420" s="93" t="str">
        <f aca="false">IF(AE420="","",INDEX(피어커브!$K:$K,MATCH(AE420,피어커브!$A:$A,0)))</f>
        <v/>
      </c>
      <c r="AG420" s="93" t="str">
        <f aca="false">IF(AE420="","",INDEX(피어커브!$J:$J,MATCH(AE420,피어커브!$A:$A,0)))</f>
        <v/>
      </c>
      <c r="AH420" s="93" t="str">
        <f aca="false">IF(AE420="","",INDEX(피어커브!$L:$L,MATCH(AE420,피어커브!$A:$A,0)))</f>
        <v/>
      </c>
      <c r="AI420" s="93" t="str">
        <f aca="false">IF(AE420="","",AF420+AG420*AA420)</f>
        <v/>
      </c>
      <c r="AJ420" s="96" t="str">
        <f aca="false">IF(AE420="","",E420-AI420)</f>
        <v/>
      </c>
      <c r="AK420" s="95" t="str">
        <f aca="false">IF(AE420="","",IF(ISNUMBER(AH420),IF(AH420&gt;0,AJ420/AH420,""),""))</f>
        <v/>
      </c>
      <c r="AL420" s="43" t="str">
        <f aca="false">IF(AK420="","-",IF(AK420&gt;=설정!$C$6,"Cheap",IF(AK420&lt;=-설정!$C$6,"Rich","Fair")))</f>
        <v>-</v>
      </c>
      <c r="AM420" s="96" t="str">
        <f aca="false">IF(AE420="","",AJ420-AVERAGEIFS($AJ$2:$AJ$601,$B$2:$B$601,B420,$Y$2:$Y$601,1))</f>
        <v/>
      </c>
      <c r="AN420" s="93" t="n">
        <f aca="false">IF(AE420="",0,IF(K420&gt;1+설정!$C$8,AG420*(AA420-LN(K420-1)),0))</f>
        <v>0</v>
      </c>
      <c r="AO420" s="99" t="n">
        <f aca="false">IF($A420="",0,SUMIFS(보유분석!$AA$2:$AA$801,보유분석!$AB$2:$AB$801,ROW(),보유분석!$AC$2:$AC$801,1))</f>
        <v>0</v>
      </c>
      <c r="AP420" s="43" t="str">
        <f aca="false">IF($A420="","",TRIM(IF(R420=1,"FRN ","")&amp;IF(IFERROR(VLOOKUP(M420,설정!$A$15:$D$47,4,0),0)&gt;=10,IF(IFERROR(VLOOKUP(M420,설정!$A$15:$D$47,4,0),0)&lt;99,"BBB0미만 ",""),"")&amp;IF(OR(M420="",M420="NR"),"등급미입력 ","")&amp;IF(C420&lt;&gt;"USD","비USD ","")))</f>
        <v/>
      </c>
      <c r="AQ420" s="90" t="n">
        <f aca="false">IF(AND(Y420=1,AL420="Cheap"),IF(AND(ISERROR(SEARCH("FRN",AP420)),ISERROR(SEARCH("BBB0미만",AP420))),AK420+ROW()/1000000000,-999),-999)</f>
        <v>-999</v>
      </c>
      <c r="AR420" s="92" t="str">
        <f aca="false">IF(AND(ISNUMBER(D420),ISNUMBER(K420)),D420+AN420*MAX(K420-1,0)/100,"")</f>
        <v/>
      </c>
      <c r="AS420" s="93" t="str">
        <f aca="false">IF(AND(ISNUMBER(E420),ISNUMBER(K420)),IF(K420&gt;0,(E420+AN420*MAX(K420-1,0))/K420,""),"")</f>
        <v/>
      </c>
      <c r="AT420" s="90" t="n">
        <f aca="false">IFERROR(IF(AND(Y420=1,ROW()&lt;&gt;스왑분석!$C$12+1,ABS(K420-INDEX($K$2:$K$601,스왑분석!$C$12))&lt;=스왑분석!$C$5,ISERROR(SEARCH("FRN",AP420)),ISERROR(SEARCH("BBB0미만",AP420))),IF(AND(OR(스왑분석!$C$6="N",L420=INDEX($L$2:$L$601,스왑분석!$C$12)),OR(스왑분석!$C$7="N",N420=INDEX($N$2:$N$601,스왑분석!$C$12)),OR(스왑분석!$C$8="N",AO420=0),E420-INDEX($E$2:$E$601,스왑분석!$C$12)&gt;=스왑분석!$C$9),E420-INDEX($E$2:$E$601,스왑분석!$C$12)+ROW()/1000000000,-999),-999),-999)</f>
        <v>-999</v>
      </c>
      <c r="AU420" s="90" t="n">
        <f aca="false">IF(AND(Y420=1,AO420&gt;0,AL420="Rich"),-AK420+ROW()/1000000000,-999)</f>
        <v>-999</v>
      </c>
    </row>
    <row r="421" customFormat="false" ht="15" hidden="false" customHeight="false" outlineLevel="0" collapsed="false">
      <c r="A421" s="83" t="n">
        <f aca="false">IFERROR(IF(INDEX(원자료_시장!$A$1:$BZ$1000,설정!$L$6+ROW()-1,설정!$L$24)&amp;""="0","",INDEX(원자료_시장!$A$1:$BZ$1000,설정!$L$6+ROW()-1,설정!$L$24)),"")</f>
        <v>0</v>
      </c>
      <c r="B421" s="83" t="n">
        <f aca="false">IFERROR(IF(INDEX(원자료_시장!$A$1:$BZ$1000,설정!$L$6+ROW()-1,설정!$L$37)&amp;""="0","",INDEX(원자료_시장!$A$1:$BZ$1000,설정!$L$6+ROW()-1,설정!$L$37)),"")</f>
        <v>0</v>
      </c>
      <c r="C421" s="83" t="n">
        <f aca="false">IFERROR(IF(INDEX(원자료_시장!$A$1:$BZ$1000,설정!$L$6+ROW()-1,설정!$L$25)&amp;""="0","",INDEX(원자료_시장!$A$1:$BZ$1000,설정!$L$6+ROW()-1,설정!$L$25)),"")</f>
        <v>0</v>
      </c>
      <c r="D421" s="85" t="str">
        <f aca="false">IFERROR(IF(ISNUMBER(INDEX(원자료_시장!$A$1:$BZ$1000,설정!$L$6+ROW()-1,설정!$L$26)),INDEX(원자료_시장!$A$1:$BZ$1000,설정!$L$6+ROW()-1,설정!$L$26),""),"")</f>
        <v/>
      </c>
      <c r="E421" s="97" t="str">
        <f aca="false">IFERROR(IF(ISNUMBER(INDEX(원자료_시장!$A$1:$BZ$1000,설정!$L$6+ROW()-1,설정!$L$27)),INDEX(원자료_시장!$A$1:$BZ$1000,설정!$L$6+ROW()-1,설정!$L$27),""),"")</f>
        <v/>
      </c>
      <c r="F421" s="97" t="str">
        <f aca="false">IFERROR(IF(ISNUMBER(INDEX(원자료_시장!$A$1:$BZ$1000,설정!$L$6+ROW()-1,설정!$L$28)),INDEX(원자료_시장!$A$1:$BZ$1000,설정!$L$6+ROW()-1,설정!$L$28),""),"")</f>
        <v/>
      </c>
      <c r="G421" s="97" t="str">
        <f aca="false">IFERROR(IF(ISNUMBER(INDEX(원자료_시장!$A$1:$BZ$1000,설정!$L$6+ROW()-1,설정!$L$29)),INDEX(원자료_시장!$A$1:$BZ$1000,설정!$L$6+ROW()-1,설정!$L$29),""),"")</f>
        <v/>
      </c>
      <c r="H421" s="97" t="str">
        <f aca="false">IFERROR(IF(ISNUMBER(INDEX(원자료_시장!$A$1:$BZ$1000,설정!$L$6+ROW()-1,설정!$L$30)),INDEX(원자료_시장!$A$1:$BZ$1000,설정!$L$6+ROW()-1,설정!$L$30),""),"")</f>
        <v/>
      </c>
      <c r="I421" s="97" t="str">
        <f aca="false">IFERROR(IF(ISNUMBER(INDEX(원자료_시장!$A$1:$BZ$1000,설정!$L$6+ROW()-1,설정!$L$31)),INDEX(원자료_시장!$A$1:$BZ$1000,설정!$L$6+ROW()-1,설정!$L$31),""),"")</f>
        <v/>
      </c>
      <c r="J421" s="97" t="str">
        <f aca="false">IFERROR(IF(ISNUMBER(INDEX(원자료_시장!$A$1:$BZ$1000,설정!$L$6+ROW()-1,설정!$L$32)),INDEX(원자료_시장!$A$1:$BZ$1000,설정!$L$6+ROW()-1,설정!$L$32),""),"")</f>
        <v/>
      </c>
      <c r="K421" s="85" t="str">
        <f aca="false">IFERROR(IF(ISNUMBER(INDEX(원자료_시장!$A$1:$BZ$1000,설정!$L$6+ROW()-1,설정!$L$33)),INDEX(원자료_시장!$A$1:$BZ$1000,설정!$L$6+ROW()-1,설정!$L$33),""),"")</f>
        <v/>
      </c>
      <c r="L421" s="83" t="n">
        <f aca="false">IFERROR(IF(INDEX(원자료_시장!$A$1:$BZ$1000,설정!$L$6+ROW()-1,설정!$L$34)&amp;""="0","",INDEX(원자료_시장!$A$1:$BZ$1000,설정!$L$6+ROW()-1,설정!$L$34)),"")</f>
        <v>0</v>
      </c>
      <c r="M421" s="83" t="n">
        <f aca="false">IFERROR(IF(INDEX(원자료_시장!$A$1:$BZ$1000,설정!$L$6+ROW()-1,설정!$L$35)&amp;""="0","",INDEX(원자료_시장!$A$1:$BZ$1000,설정!$L$6+ROW()-1,설정!$L$35)),"")</f>
        <v>0</v>
      </c>
      <c r="N421" s="83" t="n">
        <f aca="false">IFERROR(IF(INDEX(원자료_시장!$A$1:$BZ$1000,설정!$L$6+ROW()-1,설정!$L$36)&amp;""="0","",INDEX(원자료_시장!$A$1:$BZ$1000,설정!$L$6+ROW()-1,설정!$L$36)),"")</f>
        <v>0</v>
      </c>
      <c r="O421" s="43" t="str">
        <f aca="false">IF($A421="","",UPPER(LEFT($A421,FIND(" ",$A421&amp;" ")-1)))</f>
        <v/>
      </c>
      <c r="P421" s="43" t="str">
        <f aca="false">IF($A421="","",TRIM(RIGHT(SUBSTITUTE(TRIM($A421)," ",REPT(" ",30)),30)))</f>
        <v/>
      </c>
      <c r="Q421" s="98" t="str">
        <f aca="false">IF($A421="","",IFERROR(DATE(IF(LEN(P421)=8,2000+VALUE(RIGHT(P421,2)),VALUE(RIGHT(P421,4))),VALUE(LEFT(P421,2)),VALUE(MID(P421,4,2))),""))</f>
        <v/>
      </c>
      <c r="R421" s="89" t="n">
        <f aca="false">IF($A421="",0,IF(ISNUMBER(SEARCH("Float",$A421)),1,0))</f>
        <v>0</v>
      </c>
      <c r="S421" s="43" t="str">
        <f aca="false">IF($A421="","",TRIM(MID($A421,LEN(O421)+2,LEN($A421)-LEN(O421)-LEN(P421)-1)))</f>
        <v/>
      </c>
      <c r="T421" s="92" t="str">
        <f aca="false">IF(OR($A421="",R421=1),"",IFERROR(IF(ISNUMBER(FIND("/",S421)),IF(ISNUMBER(FIND(" ",S421)),VALUE(LEFT(S421,FIND(" ",S421)-1))+VALUE(MID(S421,FIND(" ",S421)+1,FIND("/",S421)-FIND(" ",S421)-1))/VALUE(MID(S421,FIND("/",S421)+1,9)),VALUE(LEFT(S421,FIND("/",S421)-1))/VALUE(MID(S421,FIND("/",S421)+1,9))),VALUE(S421)),""))</f>
        <v/>
      </c>
      <c r="U421" s="43" t="str">
        <f aca="false">IF(OR($A421="",NOT(ISNUMBER(Q421))),"",TEXT(Q421,"yyyymmdd")&amp;"|"&amp;IF(R421=1,"F",TEXT(T421,"0.000")))</f>
        <v/>
      </c>
      <c r="V421" s="43" t="str">
        <f aca="false">IF(U421="","",O421&amp;"|"&amp;U421)</f>
        <v/>
      </c>
      <c r="W421" s="43" t="str">
        <f aca="false">IF($A421="","",IFERROR(IF(VLOOKUP(O421,매핑!$A$4:$E$92,3,0)="","미분류",VLOOKUP(O421,매핑!$A$4:$E$92,3,0)),"미분류"))</f>
        <v/>
      </c>
      <c r="X421" s="89" t="n">
        <f aca="false">IF($A421="",0,IF(O421="T",1,0))</f>
        <v>0</v>
      </c>
      <c r="Y421" s="89" t="n">
        <f aca="false">IF($A421="",0,IF(AND(C421="USD",X421=0,ISNUMBER(E421),ISNUMBER(K421)),IF(K421&gt;=설정!$C$8,1,0),0))</f>
        <v>0</v>
      </c>
      <c r="Z421" s="43" t="str">
        <f aca="false">IF($A421="","",N421&amp;"|"&amp;L421)</f>
        <v/>
      </c>
      <c r="AA421" s="92" t="n">
        <f aca="false">IF(Y421=1,LN(K421),0)</f>
        <v>0</v>
      </c>
      <c r="AB421" s="93" t="n">
        <f aca="false">IF(Y421=1,E421,0)</f>
        <v>0</v>
      </c>
      <c r="AC421" s="89" t="n">
        <f aca="false">IF(Y421=1,COUNTIFS($Z$2:$Z$601,Z421,$Y$2:$Y$601,1),0)</f>
        <v>0</v>
      </c>
      <c r="AD421" s="89" t="n">
        <f aca="false">IF(Y421=1,COUNTIFS($N$2:$N$601,N421,$Y$2:$Y$601,1),0)</f>
        <v>0</v>
      </c>
      <c r="AE421" s="43" t="str">
        <f aca="false">IF(Y421&lt;&gt;1,"",IF(AND(AC421&gt;=설정!$C$7,ISNUMBER(MATCH(Z421,피어커브!$A:$A,0))),Z421,IF(AND(AD421&gt;=설정!$C$7,ISNUMBER(MATCH(N421&amp;"|전체",피어커브!$A:$A,0))),N421&amp;"|전체","전체|전체")))</f>
        <v/>
      </c>
      <c r="AF421" s="93" t="str">
        <f aca="false">IF(AE421="","",INDEX(피어커브!$K:$K,MATCH(AE421,피어커브!$A:$A,0)))</f>
        <v/>
      </c>
      <c r="AG421" s="93" t="str">
        <f aca="false">IF(AE421="","",INDEX(피어커브!$J:$J,MATCH(AE421,피어커브!$A:$A,0)))</f>
        <v/>
      </c>
      <c r="AH421" s="93" t="str">
        <f aca="false">IF(AE421="","",INDEX(피어커브!$L:$L,MATCH(AE421,피어커브!$A:$A,0)))</f>
        <v/>
      </c>
      <c r="AI421" s="93" t="str">
        <f aca="false">IF(AE421="","",AF421+AG421*AA421)</f>
        <v/>
      </c>
      <c r="AJ421" s="96" t="str">
        <f aca="false">IF(AE421="","",E421-AI421)</f>
        <v/>
      </c>
      <c r="AK421" s="95" t="str">
        <f aca="false">IF(AE421="","",IF(ISNUMBER(AH421),IF(AH421&gt;0,AJ421/AH421,""),""))</f>
        <v/>
      </c>
      <c r="AL421" s="43" t="str">
        <f aca="false">IF(AK421="","-",IF(AK421&gt;=설정!$C$6,"Cheap",IF(AK421&lt;=-설정!$C$6,"Rich","Fair")))</f>
        <v>-</v>
      </c>
      <c r="AM421" s="96" t="str">
        <f aca="false">IF(AE421="","",AJ421-AVERAGEIFS($AJ$2:$AJ$601,$B$2:$B$601,B421,$Y$2:$Y$601,1))</f>
        <v/>
      </c>
      <c r="AN421" s="93" t="n">
        <f aca="false">IF(AE421="",0,IF(K421&gt;1+설정!$C$8,AG421*(AA421-LN(K421-1)),0))</f>
        <v>0</v>
      </c>
      <c r="AO421" s="99" t="n">
        <f aca="false">IF($A421="",0,SUMIFS(보유분석!$AA$2:$AA$801,보유분석!$AB$2:$AB$801,ROW(),보유분석!$AC$2:$AC$801,1))</f>
        <v>0</v>
      </c>
      <c r="AP421" s="43" t="str">
        <f aca="false">IF($A421="","",TRIM(IF(R421=1,"FRN ","")&amp;IF(IFERROR(VLOOKUP(M421,설정!$A$15:$D$47,4,0),0)&gt;=10,IF(IFERROR(VLOOKUP(M421,설정!$A$15:$D$47,4,0),0)&lt;99,"BBB0미만 ",""),"")&amp;IF(OR(M421="",M421="NR"),"등급미입력 ","")&amp;IF(C421&lt;&gt;"USD","비USD ","")))</f>
        <v/>
      </c>
      <c r="AQ421" s="90" t="n">
        <f aca="false">IF(AND(Y421=1,AL421="Cheap"),IF(AND(ISERROR(SEARCH("FRN",AP421)),ISERROR(SEARCH("BBB0미만",AP421))),AK421+ROW()/1000000000,-999),-999)</f>
        <v>-999</v>
      </c>
      <c r="AR421" s="92" t="str">
        <f aca="false">IF(AND(ISNUMBER(D421),ISNUMBER(K421)),D421+AN421*MAX(K421-1,0)/100,"")</f>
        <v/>
      </c>
      <c r="AS421" s="93" t="str">
        <f aca="false">IF(AND(ISNUMBER(E421),ISNUMBER(K421)),IF(K421&gt;0,(E421+AN421*MAX(K421-1,0))/K421,""),"")</f>
        <v/>
      </c>
      <c r="AT421" s="90" t="n">
        <f aca="false">IFERROR(IF(AND(Y421=1,ROW()&lt;&gt;스왑분석!$C$12+1,ABS(K421-INDEX($K$2:$K$601,스왑분석!$C$12))&lt;=스왑분석!$C$5,ISERROR(SEARCH("FRN",AP421)),ISERROR(SEARCH("BBB0미만",AP421))),IF(AND(OR(스왑분석!$C$6="N",L421=INDEX($L$2:$L$601,스왑분석!$C$12)),OR(스왑분석!$C$7="N",N421=INDEX($N$2:$N$601,스왑분석!$C$12)),OR(스왑분석!$C$8="N",AO421=0),E421-INDEX($E$2:$E$601,스왑분석!$C$12)&gt;=스왑분석!$C$9),E421-INDEX($E$2:$E$601,스왑분석!$C$12)+ROW()/1000000000,-999),-999),-999)</f>
        <v>-999</v>
      </c>
      <c r="AU421" s="90" t="n">
        <f aca="false">IF(AND(Y421=1,AO421&gt;0,AL421="Rich"),-AK421+ROW()/1000000000,-999)</f>
        <v>-999</v>
      </c>
    </row>
    <row r="422" customFormat="false" ht="15" hidden="false" customHeight="false" outlineLevel="0" collapsed="false">
      <c r="A422" s="83" t="n">
        <f aca="false">IFERROR(IF(INDEX(원자료_시장!$A$1:$BZ$1000,설정!$L$6+ROW()-1,설정!$L$24)&amp;""="0","",INDEX(원자료_시장!$A$1:$BZ$1000,설정!$L$6+ROW()-1,설정!$L$24)),"")</f>
        <v>0</v>
      </c>
      <c r="B422" s="83" t="n">
        <f aca="false">IFERROR(IF(INDEX(원자료_시장!$A$1:$BZ$1000,설정!$L$6+ROW()-1,설정!$L$37)&amp;""="0","",INDEX(원자료_시장!$A$1:$BZ$1000,설정!$L$6+ROW()-1,설정!$L$37)),"")</f>
        <v>0</v>
      </c>
      <c r="C422" s="83" t="n">
        <f aca="false">IFERROR(IF(INDEX(원자료_시장!$A$1:$BZ$1000,설정!$L$6+ROW()-1,설정!$L$25)&amp;""="0","",INDEX(원자료_시장!$A$1:$BZ$1000,설정!$L$6+ROW()-1,설정!$L$25)),"")</f>
        <v>0</v>
      </c>
      <c r="D422" s="85" t="str">
        <f aca="false">IFERROR(IF(ISNUMBER(INDEX(원자료_시장!$A$1:$BZ$1000,설정!$L$6+ROW()-1,설정!$L$26)),INDEX(원자료_시장!$A$1:$BZ$1000,설정!$L$6+ROW()-1,설정!$L$26),""),"")</f>
        <v/>
      </c>
      <c r="E422" s="97" t="str">
        <f aca="false">IFERROR(IF(ISNUMBER(INDEX(원자료_시장!$A$1:$BZ$1000,설정!$L$6+ROW()-1,설정!$L$27)),INDEX(원자료_시장!$A$1:$BZ$1000,설정!$L$6+ROW()-1,설정!$L$27),""),"")</f>
        <v/>
      </c>
      <c r="F422" s="97" t="str">
        <f aca="false">IFERROR(IF(ISNUMBER(INDEX(원자료_시장!$A$1:$BZ$1000,설정!$L$6+ROW()-1,설정!$L$28)),INDEX(원자료_시장!$A$1:$BZ$1000,설정!$L$6+ROW()-1,설정!$L$28),""),"")</f>
        <v/>
      </c>
      <c r="G422" s="97" t="str">
        <f aca="false">IFERROR(IF(ISNUMBER(INDEX(원자료_시장!$A$1:$BZ$1000,설정!$L$6+ROW()-1,설정!$L$29)),INDEX(원자료_시장!$A$1:$BZ$1000,설정!$L$6+ROW()-1,설정!$L$29),""),"")</f>
        <v/>
      </c>
      <c r="H422" s="97" t="str">
        <f aca="false">IFERROR(IF(ISNUMBER(INDEX(원자료_시장!$A$1:$BZ$1000,설정!$L$6+ROW()-1,설정!$L$30)),INDEX(원자료_시장!$A$1:$BZ$1000,설정!$L$6+ROW()-1,설정!$L$30),""),"")</f>
        <v/>
      </c>
      <c r="I422" s="97" t="str">
        <f aca="false">IFERROR(IF(ISNUMBER(INDEX(원자료_시장!$A$1:$BZ$1000,설정!$L$6+ROW()-1,설정!$L$31)),INDEX(원자료_시장!$A$1:$BZ$1000,설정!$L$6+ROW()-1,설정!$L$31),""),"")</f>
        <v/>
      </c>
      <c r="J422" s="97" t="str">
        <f aca="false">IFERROR(IF(ISNUMBER(INDEX(원자료_시장!$A$1:$BZ$1000,설정!$L$6+ROW()-1,설정!$L$32)),INDEX(원자료_시장!$A$1:$BZ$1000,설정!$L$6+ROW()-1,설정!$L$32),""),"")</f>
        <v/>
      </c>
      <c r="K422" s="85" t="str">
        <f aca="false">IFERROR(IF(ISNUMBER(INDEX(원자료_시장!$A$1:$BZ$1000,설정!$L$6+ROW()-1,설정!$L$33)),INDEX(원자료_시장!$A$1:$BZ$1000,설정!$L$6+ROW()-1,설정!$L$33),""),"")</f>
        <v/>
      </c>
      <c r="L422" s="83" t="n">
        <f aca="false">IFERROR(IF(INDEX(원자료_시장!$A$1:$BZ$1000,설정!$L$6+ROW()-1,설정!$L$34)&amp;""="0","",INDEX(원자료_시장!$A$1:$BZ$1000,설정!$L$6+ROW()-1,설정!$L$34)),"")</f>
        <v>0</v>
      </c>
      <c r="M422" s="83" t="n">
        <f aca="false">IFERROR(IF(INDEX(원자료_시장!$A$1:$BZ$1000,설정!$L$6+ROW()-1,설정!$L$35)&amp;""="0","",INDEX(원자료_시장!$A$1:$BZ$1000,설정!$L$6+ROW()-1,설정!$L$35)),"")</f>
        <v>0</v>
      </c>
      <c r="N422" s="83" t="n">
        <f aca="false">IFERROR(IF(INDEX(원자료_시장!$A$1:$BZ$1000,설정!$L$6+ROW()-1,설정!$L$36)&amp;""="0","",INDEX(원자료_시장!$A$1:$BZ$1000,설정!$L$6+ROW()-1,설정!$L$36)),"")</f>
        <v>0</v>
      </c>
      <c r="O422" s="43" t="str">
        <f aca="false">IF($A422="","",UPPER(LEFT($A422,FIND(" ",$A422&amp;" ")-1)))</f>
        <v/>
      </c>
      <c r="P422" s="43" t="str">
        <f aca="false">IF($A422="","",TRIM(RIGHT(SUBSTITUTE(TRIM($A422)," ",REPT(" ",30)),30)))</f>
        <v/>
      </c>
      <c r="Q422" s="98" t="str">
        <f aca="false">IF($A422="","",IFERROR(DATE(IF(LEN(P422)=8,2000+VALUE(RIGHT(P422,2)),VALUE(RIGHT(P422,4))),VALUE(LEFT(P422,2)),VALUE(MID(P422,4,2))),""))</f>
        <v/>
      </c>
      <c r="R422" s="89" t="n">
        <f aca="false">IF($A422="",0,IF(ISNUMBER(SEARCH("Float",$A422)),1,0))</f>
        <v>0</v>
      </c>
      <c r="S422" s="43" t="str">
        <f aca="false">IF($A422="","",TRIM(MID($A422,LEN(O422)+2,LEN($A422)-LEN(O422)-LEN(P422)-1)))</f>
        <v/>
      </c>
      <c r="T422" s="92" t="str">
        <f aca="false">IF(OR($A422="",R422=1),"",IFERROR(IF(ISNUMBER(FIND("/",S422)),IF(ISNUMBER(FIND(" ",S422)),VALUE(LEFT(S422,FIND(" ",S422)-1))+VALUE(MID(S422,FIND(" ",S422)+1,FIND("/",S422)-FIND(" ",S422)-1))/VALUE(MID(S422,FIND("/",S422)+1,9)),VALUE(LEFT(S422,FIND("/",S422)-1))/VALUE(MID(S422,FIND("/",S422)+1,9))),VALUE(S422)),""))</f>
        <v/>
      </c>
      <c r="U422" s="43" t="str">
        <f aca="false">IF(OR($A422="",NOT(ISNUMBER(Q422))),"",TEXT(Q422,"yyyymmdd")&amp;"|"&amp;IF(R422=1,"F",TEXT(T422,"0.000")))</f>
        <v/>
      </c>
      <c r="V422" s="43" t="str">
        <f aca="false">IF(U422="","",O422&amp;"|"&amp;U422)</f>
        <v/>
      </c>
      <c r="W422" s="43" t="str">
        <f aca="false">IF($A422="","",IFERROR(IF(VLOOKUP(O422,매핑!$A$4:$E$92,3,0)="","미분류",VLOOKUP(O422,매핑!$A$4:$E$92,3,0)),"미분류"))</f>
        <v/>
      </c>
      <c r="X422" s="89" t="n">
        <f aca="false">IF($A422="",0,IF(O422="T",1,0))</f>
        <v>0</v>
      </c>
      <c r="Y422" s="89" t="n">
        <f aca="false">IF($A422="",0,IF(AND(C422="USD",X422=0,ISNUMBER(E422),ISNUMBER(K422)),IF(K422&gt;=설정!$C$8,1,0),0))</f>
        <v>0</v>
      </c>
      <c r="Z422" s="43" t="str">
        <f aca="false">IF($A422="","",N422&amp;"|"&amp;L422)</f>
        <v/>
      </c>
      <c r="AA422" s="92" t="n">
        <f aca="false">IF(Y422=1,LN(K422),0)</f>
        <v>0</v>
      </c>
      <c r="AB422" s="93" t="n">
        <f aca="false">IF(Y422=1,E422,0)</f>
        <v>0</v>
      </c>
      <c r="AC422" s="89" t="n">
        <f aca="false">IF(Y422=1,COUNTIFS($Z$2:$Z$601,Z422,$Y$2:$Y$601,1),0)</f>
        <v>0</v>
      </c>
      <c r="AD422" s="89" t="n">
        <f aca="false">IF(Y422=1,COUNTIFS($N$2:$N$601,N422,$Y$2:$Y$601,1),0)</f>
        <v>0</v>
      </c>
      <c r="AE422" s="43" t="str">
        <f aca="false">IF(Y422&lt;&gt;1,"",IF(AND(AC422&gt;=설정!$C$7,ISNUMBER(MATCH(Z422,피어커브!$A:$A,0))),Z422,IF(AND(AD422&gt;=설정!$C$7,ISNUMBER(MATCH(N422&amp;"|전체",피어커브!$A:$A,0))),N422&amp;"|전체","전체|전체")))</f>
        <v/>
      </c>
      <c r="AF422" s="93" t="str">
        <f aca="false">IF(AE422="","",INDEX(피어커브!$K:$K,MATCH(AE422,피어커브!$A:$A,0)))</f>
        <v/>
      </c>
      <c r="AG422" s="93" t="str">
        <f aca="false">IF(AE422="","",INDEX(피어커브!$J:$J,MATCH(AE422,피어커브!$A:$A,0)))</f>
        <v/>
      </c>
      <c r="AH422" s="93" t="str">
        <f aca="false">IF(AE422="","",INDEX(피어커브!$L:$L,MATCH(AE422,피어커브!$A:$A,0)))</f>
        <v/>
      </c>
      <c r="AI422" s="93" t="str">
        <f aca="false">IF(AE422="","",AF422+AG422*AA422)</f>
        <v/>
      </c>
      <c r="AJ422" s="96" t="str">
        <f aca="false">IF(AE422="","",E422-AI422)</f>
        <v/>
      </c>
      <c r="AK422" s="95" t="str">
        <f aca="false">IF(AE422="","",IF(ISNUMBER(AH422),IF(AH422&gt;0,AJ422/AH422,""),""))</f>
        <v/>
      </c>
      <c r="AL422" s="43" t="str">
        <f aca="false">IF(AK422="","-",IF(AK422&gt;=설정!$C$6,"Cheap",IF(AK422&lt;=-설정!$C$6,"Rich","Fair")))</f>
        <v>-</v>
      </c>
      <c r="AM422" s="96" t="str">
        <f aca="false">IF(AE422="","",AJ422-AVERAGEIFS($AJ$2:$AJ$601,$B$2:$B$601,B422,$Y$2:$Y$601,1))</f>
        <v/>
      </c>
      <c r="AN422" s="93" t="n">
        <f aca="false">IF(AE422="",0,IF(K422&gt;1+설정!$C$8,AG422*(AA422-LN(K422-1)),0))</f>
        <v>0</v>
      </c>
      <c r="AO422" s="99" t="n">
        <f aca="false">IF($A422="",0,SUMIFS(보유분석!$AA$2:$AA$801,보유분석!$AB$2:$AB$801,ROW(),보유분석!$AC$2:$AC$801,1))</f>
        <v>0</v>
      </c>
      <c r="AP422" s="43" t="str">
        <f aca="false">IF($A422="","",TRIM(IF(R422=1,"FRN ","")&amp;IF(IFERROR(VLOOKUP(M422,설정!$A$15:$D$47,4,0),0)&gt;=10,IF(IFERROR(VLOOKUP(M422,설정!$A$15:$D$47,4,0),0)&lt;99,"BBB0미만 ",""),"")&amp;IF(OR(M422="",M422="NR"),"등급미입력 ","")&amp;IF(C422&lt;&gt;"USD","비USD ","")))</f>
        <v/>
      </c>
      <c r="AQ422" s="90" t="n">
        <f aca="false">IF(AND(Y422=1,AL422="Cheap"),IF(AND(ISERROR(SEARCH("FRN",AP422)),ISERROR(SEARCH("BBB0미만",AP422))),AK422+ROW()/1000000000,-999),-999)</f>
        <v>-999</v>
      </c>
      <c r="AR422" s="92" t="str">
        <f aca="false">IF(AND(ISNUMBER(D422),ISNUMBER(K422)),D422+AN422*MAX(K422-1,0)/100,"")</f>
        <v/>
      </c>
      <c r="AS422" s="93" t="str">
        <f aca="false">IF(AND(ISNUMBER(E422),ISNUMBER(K422)),IF(K422&gt;0,(E422+AN422*MAX(K422-1,0))/K422,""),"")</f>
        <v/>
      </c>
      <c r="AT422" s="90" t="n">
        <f aca="false">IFERROR(IF(AND(Y422=1,ROW()&lt;&gt;스왑분석!$C$12+1,ABS(K422-INDEX($K$2:$K$601,스왑분석!$C$12))&lt;=스왑분석!$C$5,ISERROR(SEARCH("FRN",AP422)),ISERROR(SEARCH("BBB0미만",AP422))),IF(AND(OR(스왑분석!$C$6="N",L422=INDEX($L$2:$L$601,스왑분석!$C$12)),OR(스왑분석!$C$7="N",N422=INDEX($N$2:$N$601,스왑분석!$C$12)),OR(스왑분석!$C$8="N",AO422=0),E422-INDEX($E$2:$E$601,스왑분석!$C$12)&gt;=스왑분석!$C$9),E422-INDEX($E$2:$E$601,스왑분석!$C$12)+ROW()/1000000000,-999),-999),-999)</f>
        <v>-999</v>
      </c>
      <c r="AU422" s="90" t="n">
        <f aca="false">IF(AND(Y422=1,AO422&gt;0,AL422="Rich"),-AK422+ROW()/1000000000,-999)</f>
        <v>-999</v>
      </c>
    </row>
    <row r="423" customFormat="false" ht="15" hidden="false" customHeight="false" outlineLevel="0" collapsed="false">
      <c r="A423" s="83" t="n">
        <f aca="false">IFERROR(IF(INDEX(원자료_시장!$A$1:$BZ$1000,설정!$L$6+ROW()-1,설정!$L$24)&amp;""="0","",INDEX(원자료_시장!$A$1:$BZ$1000,설정!$L$6+ROW()-1,설정!$L$24)),"")</f>
        <v>0</v>
      </c>
      <c r="B423" s="83" t="n">
        <f aca="false">IFERROR(IF(INDEX(원자료_시장!$A$1:$BZ$1000,설정!$L$6+ROW()-1,설정!$L$37)&amp;""="0","",INDEX(원자료_시장!$A$1:$BZ$1000,설정!$L$6+ROW()-1,설정!$L$37)),"")</f>
        <v>0</v>
      </c>
      <c r="C423" s="83" t="n">
        <f aca="false">IFERROR(IF(INDEX(원자료_시장!$A$1:$BZ$1000,설정!$L$6+ROW()-1,설정!$L$25)&amp;""="0","",INDEX(원자료_시장!$A$1:$BZ$1000,설정!$L$6+ROW()-1,설정!$L$25)),"")</f>
        <v>0</v>
      </c>
      <c r="D423" s="85" t="str">
        <f aca="false">IFERROR(IF(ISNUMBER(INDEX(원자료_시장!$A$1:$BZ$1000,설정!$L$6+ROW()-1,설정!$L$26)),INDEX(원자료_시장!$A$1:$BZ$1000,설정!$L$6+ROW()-1,설정!$L$26),""),"")</f>
        <v/>
      </c>
      <c r="E423" s="97" t="str">
        <f aca="false">IFERROR(IF(ISNUMBER(INDEX(원자료_시장!$A$1:$BZ$1000,설정!$L$6+ROW()-1,설정!$L$27)),INDEX(원자료_시장!$A$1:$BZ$1000,설정!$L$6+ROW()-1,설정!$L$27),""),"")</f>
        <v/>
      </c>
      <c r="F423" s="97" t="str">
        <f aca="false">IFERROR(IF(ISNUMBER(INDEX(원자료_시장!$A$1:$BZ$1000,설정!$L$6+ROW()-1,설정!$L$28)),INDEX(원자료_시장!$A$1:$BZ$1000,설정!$L$6+ROW()-1,설정!$L$28),""),"")</f>
        <v/>
      </c>
      <c r="G423" s="97" t="str">
        <f aca="false">IFERROR(IF(ISNUMBER(INDEX(원자료_시장!$A$1:$BZ$1000,설정!$L$6+ROW()-1,설정!$L$29)),INDEX(원자료_시장!$A$1:$BZ$1000,설정!$L$6+ROW()-1,설정!$L$29),""),"")</f>
        <v/>
      </c>
      <c r="H423" s="97" t="str">
        <f aca="false">IFERROR(IF(ISNUMBER(INDEX(원자료_시장!$A$1:$BZ$1000,설정!$L$6+ROW()-1,설정!$L$30)),INDEX(원자료_시장!$A$1:$BZ$1000,설정!$L$6+ROW()-1,설정!$L$30),""),"")</f>
        <v/>
      </c>
      <c r="I423" s="97" t="str">
        <f aca="false">IFERROR(IF(ISNUMBER(INDEX(원자료_시장!$A$1:$BZ$1000,설정!$L$6+ROW()-1,설정!$L$31)),INDEX(원자료_시장!$A$1:$BZ$1000,설정!$L$6+ROW()-1,설정!$L$31),""),"")</f>
        <v/>
      </c>
      <c r="J423" s="97" t="str">
        <f aca="false">IFERROR(IF(ISNUMBER(INDEX(원자료_시장!$A$1:$BZ$1000,설정!$L$6+ROW()-1,설정!$L$32)),INDEX(원자료_시장!$A$1:$BZ$1000,설정!$L$6+ROW()-1,설정!$L$32),""),"")</f>
        <v/>
      </c>
      <c r="K423" s="85" t="str">
        <f aca="false">IFERROR(IF(ISNUMBER(INDEX(원자료_시장!$A$1:$BZ$1000,설정!$L$6+ROW()-1,설정!$L$33)),INDEX(원자료_시장!$A$1:$BZ$1000,설정!$L$6+ROW()-1,설정!$L$33),""),"")</f>
        <v/>
      </c>
      <c r="L423" s="83" t="n">
        <f aca="false">IFERROR(IF(INDEX(원자료_시장!$A$1:$BZ$1000,설정!$L$6+ROW()-1,설정!$L$34)&amp;""="0","",INDEX(원자료_시장!$A$1:$BZ$1000,설정!$L$6+ROW()-1,설정!$L$34)),"")</f>
        <v>0</v>
      </c>
      <c r="M423" s="83" t="n">
        <f aca="false">IFERROR(IF(INDEX(원자료_시장!$A$1:$BZ$1000,설정!$L$6+ROW()-1,설정!$L$35)&amp;""="0","",INDEX(원자료_시장!$A$1:$BZ$1000,설정!$L$6+ROW()-1,설정!$L$35)),"")</f>
        <v>0</v>
      </c>
      <c r="N423" s="83" t="n">
        <f aca="false">IFERROR(IF(INDEX(원자료_시장!$A$1:$BZ$1000,설정!$L$6+ROW()-1,설정!$L$36)&amp;""="0","",INDEX(원자료_시장!$A$1:$BZ$1000,설정!$L$6+ROW()-1,설정!$L$36)),"")</f>
        <v>0</v>
      </c>
      <c r="O423" s="43" t="str">
        <f aca="false">IF($A423="","",UPPER(LEFT($A423,FIND(" ",$A423&amp;" ")-1)))</f>
        <v/>
      </c>
      <c r="P423" s="43" t="str">
        <f aca="false">IF($A423="","",TRIM(RIGHT(SUBSTITUTE(TRIM($A423)," ",REPT(" ",30)),30)))</f>
        <v/>
      </c>
      <c r="Q423" s="98" t="str">
        <f aca="false">IF($A423="","",IFERROR(DATE(IF(LEN(P423)=8,2000+VALUE(RIGHT(P423,2)),VALUE(RIGHT(P423,4))),VALUE(LEFT(P423,2)),VALUE(MID(P423,4,2))),""))</f>
        <v/>
      </c>
      <c r="R423" s="89" t="n">
        <f aca="false">IF($A423="",0,IF(ISNUMBER(SEARCH("Float",$A423)),1,0))</f>
        <v>0</v>
      </c>
      <c r="S423" s="43" t="str">
        <f aca="false">IF($A423="","",TRIM(MID($A423,LEN(O423)+2,LEN($A423)-LEN(O423)-LEN(P423)-1)))</f>
        <v/>
      </c>
      <c r="T423" s="92" t="str">
        <f aca="false">IF(OR($A423="",R423=1),"",IFERROR(IF(ISNUMBER(FIND("/",S423)),IF(ISNUMBER(FIND(" ",S423)),VALUE(LEFT(S423,FIND(" ",S423)-1))+VALUE(MID(S423,FIND(" ",S423)+1,FIND("/",S423)-FIND(" ",S423)-1))/VALUE(MID(S423,FIND("/",S423)+1,9)),VALUE(LEFT(S423,FIND("/",S423)-1))/VALUE(MID(S423,FIND("/",S423)+1,9))),VALUE(S423)),""))</f>
        <v/>
      </c>
      <c r="U423" s="43" t="str">
        <f aca="false">IF(OR($A423="",NOT(ISNUMBER(Q423))),"",TEXT(Q423,"yyyymmdd")&amp;"|"&amp;IF(R423=1,"F",TEXT(T423,"0.000")))</f>
        <v/>
      </c>
      <c r="V423" s="43" t="str">
        <f aca="false">IF(U423="","",O423&amp;"|"&amp;U423)</f>
        <v/>
      </c>
      <c r="W423" s="43" t="str">
        <f aca="false">IF($A423="","",IFERROR(IF(VLOOKUP(O423,매핑!$A$4:$E$92,3,0)="","미분류",VLOOKUP(O423,매핑!$A$4:$E$92,3,0)),"미분류"))</f>
        <v/>
      </c>
      <c r="X423" s="89" t="n">
        <f aca="false">IF($A423="",0,IF(O423="T",1,0))</f>
        <v>0</v>
      </c>
      <c r="Y423" s="89" t="n">
        <f aca="false">IF($A423="",0,IF(AND(C423="USD",X423=0,ISNUMBER(E423),ISNUMBER(K423)),IF(K423&gt;=설정!$C$8,1,0),0))</f>
        <v>0</v>
      </c>
      <c r="Z423" s="43" t="str">
        <f aca="false">IF($A423="","",N423&amp;"|"&amp;L423)</f>
        <v/>
      </c>
      <c r="AA423" s="92" t="n">
        <f aca="false">IF(Y423=1,LN(K423),0)</f>
        <v>0</v>
      </c>
      <c r="AB423" s="93" t="n">
        <f aca="false">IF(Y423=1,E423,0)</f>
        <v>0</v>
      </c>
      <c r="AC423" s="89" t="n">
        <f aca="false">IF(Y423=1,COUNTIFS($Z$2:$Z$601,Z423,$Y$2:$Y$601,1),0)</f>
        <v>0</v>
      </c>
      <c r="AD423" s="89" t="n">
        <f aca="false">IF(Y423=1,COUNTIFS($N$2:$N$601,N423,$Y$2:$Y$601,1),0)</f>
        <v>0</v>
      </c>
      <c r="AE423" s="43" t="str">
        <f aca="false">IF(Y423&lt;&gt;1,"",IF(AND(AC423&gt;=설정!$C$7,ISNUMBER(MATCH(Z423,피어커브!$A:$A,0))),Z423,IF(AND(AD423&gt;=설정!$C$7,ISNUMBER(MATCH(N423&amp;"|전체",피어커브!$A:$A,0))),N423&amp;"|전체","전체|전체")))</f>
        <v/>
      </c>
      <c r="AF423" s="93" t="str">
        <f aca="false">IF(AE423="","",INDEX(피어커브!$K:$K,MATCH(AE423,피어커브!$A:$A,0)))</f>
        <v/>
      </c>
      <c r="AG423" s="93" t="str">
        <f aca="false">IF(AE423="","",INDEX(피어커브!$J:$J,MATCH(AE423,피어커브!$A:$A,0)))</f>
        <v/>
      </c>
      <c r="AH423" s="93" t="str">
        <f aca="false">IF(AE423="","",INDEX(피어커브!$L:$L,MATCH(AE423,피어커브!$A:$A,0)))</f>
        <v/>
      </c>
      <c r="AI423" s="93" t="str">
        <f aca="false">IF(AE423="","",AF423+AG423*AA423)</f>
        <v/>
      </c>
      <c r="AJ423" s="96" t="str">
        <f aca="false">IF(AE423="","",E423-AI423)</f>
        <v/>
      </c>
      <c r="AK423" s="95" t="str">
        <f aca="false">IF(AE423="","",IF(ISNUMBER(AH423),IF(AH423&gt;0,AJ423/AH423,""),""))</f>
        <v/>
      </c>
      <c r="AL423" s="43" t="str">
        <f aca="false">IF(AK423="","-",IF(AK423&gt;=설정!$C$6,"Cheap",IF(AK423&lt;=-설정!$C$6,"Rich","Fair")))</f>
        <v>-</v>
      </c>
      <c r="AM423" s="96" t="str">
        <f aca="false">IF(AE423="","",AJ423-AVERAGEIFS($AJ$2:$AJ$601,$B$2:$B$601,B423,$Y$2:$Y$601,1))</f>
        <v/>
      </c>
      <c r="AN423" s="93" t="n">
        <f aca="false">IF(AE423="",0,IF(K423&gt;1+설정!$C$8,AG423*(AA423-LN(K423-1)),0))</f>
        <v>0</v>
      </c>
      <c r="AO423" s="99" t="n">
        <f aca="false">IF($A423="",0,SUMIFS(보유분석!$AA$2:$AA$801,보유분석!$AB$2:$AB$801,ROW(),보유분석!$AC$2:$AC$801,1))</f>
        <v>0</v>
      </c>
      <c r="AP423" s="43" t="str">
        <f aca="false">IF($A423="","",TRIM(IF(R423=1,"FRN ","")&amp;IF(IFERROR(VLOOKUP(M423,설정!$A$15:$D$47,4,0),0)&gt;=10,IF(IFERROR(VLOOKUP(M423,설정!$A$15:$D$47,4,0),0)&lt;99,"BBB0미만 ",""),"")&amp;IF(OR(M423="",M423="NR"),"등급미입력 ","")&amp;IF(C423&lt;&gt;"USD","비USD ","")))</f>
        <v/>
      </c>
      <c r="AQ423" s="90" t="n">
        <f aca="false">IF(AND(Y423=1,AL423="Cheap"),IF(AND(ISERROR(SEARCH("FRN",AP423)),ISERROR(SEARCH("BBB0미만",AP423))),AK423+ROW()/1000000000,-999),-999)</f>
        <v>-999</v>
      </c>
      <c r="AR423" s="92" t="str">
        <f aca="false">IF(AND(ISNUMBER(D423),ISNUMBER(K423)),D423+AN423*MAX(K423-1,0)/100,"")</f>
        <v/>
      </c>
      <c r="AS423" s="93" t="str">
        <f aca="false">IF(AND(ISNUMBER(E423),ISNUMBER(K423)),IF(K423&gt;0,(E423+AN423*MAX(K423-1,0))/K423,""),"")</f>
        <v/>
      </c>
      <c r="AT423" s="90" t="n">
        <f aca="false">IFERROR(IF(AND(Y423=1,ROW()&lt;&gt;스왑분석!$C$12+1,ABS(K423-INDEX($K$2:$K$601,스왑분석!$C$12))&lt;=스왑분석!$C$5,ISERROR(SEARCH("FRN",AP423)),ISERROR(SEARCH("BBB0미만",AP423))),IF(AND(OR(스왑분석!$C$6="N",L423=INDEX($L$2:$L$601,스왑분석!$C$12)),OR(스왑분석!$C$7="N",N423=INDEX($N$2:$N$601,스왑분석!$C$12)),OR(스왑분석!$C$8="N",AO423=0),E423-INDEX($E$2:$E$601,스왑분석!$C$12)&gt;=스왑분석!$C$9),E423-INDEX($E$2:$E$601,스왑분석!$C$12)+ROW()/1000000000,-999),-999),-999)</f>
        <v>-999</v>
      </c>
      <c r="AU423" s="90" t="n">
        <f aca="false">IF(AND(Y423=1,AO423&gt;0,AL423="Rich"),-AK423+ROW()/1000000000,-999)</f>
        <v>-999</v>
      </c>
    </row>
    <row r="424" customFormat="false" ht="15" hidden="false" customHeight="false" outlineLevel="0" collapsed="false">
      <c r="A424" s="83" t="n">
        <f aca="false">IFERROR(IF(INDEX(원자료_시장!$A$1:$BZ$1000,설정!$L$6+ROW()-1,설정!$L$24)&amp;""="0","",INDEX(원자료_시장!$A$1:$BZ$1000,설정!$L$6+ROW()-1,설정!$L$24)),"")</f>
        <v>0</v>
      </c>
      <c r="B424" s="83" t="n">
        <f aca="false">IFERROR(IF(INDEX(원자료_시장!$A$1:$BZ$1000,설정!$L$6+ROW()-1,설정!$L$37)&amp;""="0","",INDEX(원자료_시장!$A$1:$BZ$1000,설정!$L$6+ROW()-1,설정!$L$37)),"")</f>
        <v>0</v>
      </c>
      <c r="C424" s="83" t="n">
        <f aca="false">IFERROR(IF(INDEX(원자료_시장!$A$1:$BZ$1000,설정!$L$6+ROW()-1,설정!$L$25)&amp;""="0","",INDEX(원자료_시장!$A$1:$BZ$1000,설정!$L$6+ROW()-1,설정!$L$25)),"")</f>
        <v>0</v>
      </c>
      <c r="D424" s="85" t="str">
        <f aca="false">IFERROR(IF(ISNUMBER(INDEX(원자료_시장!$A$1:$BZ$1000,설정!$L$6+ROW()-1,설정!$L$26)),INDEX(원자료_시장!$A$1:$BZ$1000,설정!$L$6+ROW()-1,설정!$L$26),""),"")</f>
        <v/>
      </c>
      <c r="E424" s="97" t="str">
        <f aca="false">IFERROR(IF(ISNUMBER(INDEX(원자료_시장!$A$1:$BZ$1000,설정!$L$6+ROW()-1,설정!$L$27)),INDEX(원자료_시장!$A$1:$BZ$1000,설정!$L$6+ROW()-1,설정!$L$27),""),"")</f>
        <v/>
      </c>
      <c r="F424" s="97" t="str">
        <f aca="false">IFERROR(IF(ISNUMBER(INDEX(원자료_시장!$A$1:$BZ$1000,설정!$L$6+ROW()-1,설정!$L$28)),INDEX(원자료_시장!$A$1:$BZ$1000,설정!$L$6+ROW()-1,설정!$L$28),""),"")</f>
        <v/>
      </c>
      <c r="G424" s="97" t="str">
        <f aca="false">IFERROR(IF(ISNUMBER(INDEX(원자료_시장!$A$1:$BZ$1000,설정!$L$6+ROW()-1,설정!$L$29)),INDEX(원자료_시장!$A$1:$BZ$1000,설정!$L$6+ROW()-1,설정!$L$29),""),"")</f>
        <v/>
      </c>
      <c r="H424" s="97" t="str">
        <f aca="false">IFERROR(IF(ISNUMBER(INDEX(원자료_시장!$A$1:$BZ$1000,설정!$L$6+ROW()-1,설정!$L$30)),INDEX(원자료_시장!$A$1:$BZ$1000,설정!$L$6+ROW()-1,설정!$L$30),""),"")</f>
        <v/>
      </c>
      <c r="I424" s="97" t="str">
        <f aca="false">IFERROR(IF(ISNUMBER(INDEX(원자료_시장!$A$1:$BZ$1000,설정!$L$6+ROW()-1,설정!$L$31)),INDEX(원자료_시장!$A$1:$BZ$1000,설정!$L$6+ROW()-1,설정!$L$31),""),"")</f>
        <v/>
      </c>
      <c r="J424" s="97" t="str">
        <f aca="false">IFERROR(IF(ISNUMBER(INDEX(원자료_시장!$A$1:$BZ$1000,설정!$L$6+ROW()-1,설정!$L$32)),INDEX(원자료_시장!$A$1:$BZ$1000,설정!$L$6+ROW()-1,설정!$L$32),""),"")</f>
        <v/>
      </c>
      <c r="K424" s="85" t="str">
        <f aca="false">IFERROR(IF(ISNUMBER(INDEX(원자료_시장!$A$1:$BZ$1000,설정!$L$6+ROW()-1,설정!$L$33)),INDEX(원자료_시장!$A$1:$BZ$1000,설정!$L$6+ROW()-1,설정!$L$33),""),"")</f>
        <v/>
      </c>
      <c r="L424" s="83" t="n">
        <f aca="false">IFERROR(IF(INDEX(원자료_시장!$A$1:$BZ$1000,설정!$L$6+ROW()-1,설정!$L$34)&amp;""="0","",INDEX(원자료_시장!$A$1:$BZ$1000,설정!$L$6+ROW()-1,설정!$L$34)),"")</f>
        <v>0</v>
      </c>
      <c r="M424" s="83" t="n">
        <f aca="false">IFERROR(IF(INDEX(원자료_시장!$A$1:$BZ$1000,설정!$L$6+ROW()-1,설정!$L$35)&amp;""="0","",INDEX(원자료_시장!$A$1:$BZ$1000,설정!$L$6+ROW()-1,설정!$L$35)),"")</f>
        <v>0</v>
      </c>
      <c r="N424" s="83" t="n">
        <f aca="false">IFERROR(IF(INDEX(원자료_시장!$A$1:$BZ$1000,설정!$L$6+ROW()-1,설정!$L$36)&amp;""="0","",INDEX(원자료_시장!$A$1:$BZ$1000,설정!$L$6+ROW()-1,설정!$L$36)),"")</f>
        <v>0</v>
      </c>
      <c r="O424" s="43" t="str">
        <f aca="false">IF($A424="","",UPPER(LEFT($A424,FIND(" ",$A424&amp;" ")-1)))</f>
        <v/>
      </c>
      <c r="P424" s="43" t="str">
        <f aca="false">IF($A424="","",TRIM(RIGHT(SUBSTITUTE(TRIM($A424)," ",REPT(" ",30)),30)))</f>
        <v/>
      </c>
      <c r="Q424" s="98" t="str">
        <f aca="false">IF($A424="","",IFERROR(DATE(IF(LEN(P424)=8,2000+VALUE(RIGHT(P424,2)),VALUE(RIGHT(P424,4))),VALUE(LEFT(P424,2)),VALUE(MID(P424,4,2))),""))</f>
        <v/>
      </c>
      <c r="R424" s="89" t="n">
        <f aca="false">IF($A424="",0,IF(ISNUMBER(SEARCH("Float",$A424)),1,0))</f>
        <v>0</v>
      </c>
      <c r="S424" s="43" t="str">
        <f aca="false">IF($A424="","",TRIM(MID($A424,LEN(O424)+2,LEN($A424)-LEN(O424)-LEN(P424)-1)))</f>
        <v/>
      </c>
      <c r="T424" s="92" t="str">
        <f aca="false">IF(OR($A424="",R424=1),"",IFERROR(IF(ISNUMBER(FIND("/",S424)),IF(ISNUMBER(FIND(" ",S424)),VALUE(LEFT(S424,FIND(" ",S424)-1))+VALUE(MID(S424,FIND(" ",S424)+1,FIND("/",S424)-FIND(" ",S424)-1))/VALUE(MID(S424,FIND("/",S424)+1,9)),VALUE(LEFT(S424,FIND("/",S424)-1))/VALUE(MID(S424,FIND("/",S424)+1,9))),VALUE(S424)),""))</f>
        <v/>
      </c>
      <c r="U424" s="43" t="str">
        <f aca="false">IF(OR($A424="",NOT(ISNUMBER(Q424))),"",TEXT(Q424,"yyyymmdd")&amp;"|"&amp;IF(R424=1,"F",TEXT(T424,"0.000")))</f>
        <v/>
      </c>
      <c r="V424" s="43" t="str">
        <f aca="false">IF(U424="","",O424&amp;"|"&amp;U424)</f>
        <v/>
      </c>
      <c r="W424" s="43" t="str">
        <f aca="false">IF($A424="","",IFERROR(IF(VLOOKUP(O424,매핑!$A$4:$E$92,3,0)="","미분류",VLOOKUP(O424,매핑!$A$4:$E$92,3,0)),"미분류"))</f>
        <v/>
      </c>
      <c r="X424" s="89" t="n">
        <f aca="false">IF($A424="",0,IF(O424="T",1,0))</f>
        <v>0</v>
      </c>
      <c r="Y424" s="89" t="n">
        <f aca="false">IF($A424="",0,IF(AND(C424="USD",X424=0,ISNUMBER(E424),ISNUMBER(K424)),IF(K424&gt;=설정!$C$8,1,0),0))</f>
        <v>0</v>
      </c>
      <c r="Z424" s="43" t="str">
        <f aca="false">IF($A424="","",N424&amp;"|"&amp;L424)</f>
        <v/>
      </c>
      <c r="AA424" s="92" t="n">
        <f aca="false">IF(Y424=1,LN(K424),0)</f>
        <v>0</v>
      </c>
      <c r="AB424" s="93" t="n">
        <f aca="false">IF(Y424=1,E424,0)</f>
        <v>0</v>
      </c>
      <c r="AC424" s="89" t="n">
        <f aca="false">IF(Y424=1,COUNTIFS($Z$2:$Z$601,Z424,$Y$2:$Y$601,1),0)</f>
        <v>0</v>
      </c>
      <c r="AD424" s="89" t="n">
        <f aca="false">IF(Y424=1,COUNTIFS($N$2:$N$601,N424,$Y$2:$Y$601,1),0)</f>
        <v>0</v>
      </c>
      <c r="AE424" s="43" t="str">
        <f aca="false">IF(Y424&lt;&gt;1,"",IF(AND(AC424&gt;=설정!$C$7,ISNUMBER(MATCH(Z424,피어커브!$A:$A,0))),Z424,IF(AND(AD424&gt;=설정!$C$7,ISNUMBER(MATCH(N424&amp;"|전체",피어커브!$A:$A,0))),N424&amp;"|전체","전체|전체")))</f>
        <v/>
      </c>
      <c r="AF424" s="93" t="str">
        <f aca="false">IF(AE424="","",INDEX(피어커브!$K:$K,MATCH(AE424,피어커브!$A:$A,0)))</f>
        <v/>
      </c>
      <c r="AG424" s="93" t="str">
        <f aca="false">IF(AE424="","",INDEX(피어커브!$J:$J,MATCH(AE424,피어커브!$A:$A,0)))</f>
        <v/>
      </c>
      <c r="AH424" s="93" t="str">
        <f aca="false">IF(AE424="","",INDEX(피어커브!$L:$L,MATCH(AE424,피어커브!$A:$A,0)))</f>
        <v/>
      </c>
      <c r="AI424" s="93" t="str">
        <f aca="false">IF(AE424="","",AF424+AG424*AA424)</f>
        <v/>
      </c>
      <c r="AJ424" s="96" t="str">
        <f aca="false">IF(AE424="","",E424-AI424)</f>
        <v/>
      </c>
      <c r="AK424" s="95" t="str">
        <f aca="false">IF(AE424="","",IF(ISNUMBER(AH424),IF(AH424&gt;0,AJ424/AH424,""),""))</f>
        <v/>
      </c>
      <c r="AL424" s="43" t="str">
        <f aca="false">IF(AK424="","-",IF(AK424&gt;=설정!$C$6,"Cheap",IF(AK424&lt;=-설정!$C$6,"Rich","Fair")))</f>
        <v>-</v>
      </c>
      <c r="AM424" s="96" t="str">
        <f aca="false">IF(AE424="","",AJ424-AVERAGEIFS($AJ$2:$AJ$601,$B$2:$B$601,B424,$Y$2:$Y$601,1))</f>
        <v/>
      </c>
      <c r="AN424" s="93" t="n">
        <f aca="false">IF(AE424="",0,IF(K424&gt;1+설정!$C$8,AG424*(AA424-LN(K424-1)),0))</f>
        <v>0</v>
      </c>
      <c r="AO424" s="99" t="n">
        <f aca="false">IF($A424="",0,SUMIFS(보유분석!$AA$2:$AA$801,보유분석!$AB$2:$AB$801,ROW(),보유분석!$AC$2:$AC$801,1))</f>
        <v>0</v>
      </c>
      <c r="AP424" s="43" t="str">
        <f aca="false">IF($A424="","",TRIM(IF(R424=1,"FRN ","")&amp;IF(IFERROR(VLOOKUP(M424,설정!$A$15:$D$47,4,0),0)&gt;=10,IF(IFERROR(VLOOKUP(M424,설정!$A$15:$D$47,4,0),0)&lt;99,"BBB0미만 ",""),"")&amp;IF(OR(M424="",M424="NR"),"등급미입력 ","")&amp;IF(C424&lt;&gt;"USD","비USD ","")))</f>
        <v/>
      </c>
      <c r="AQ424" s="90" t="n">
        <f aca="false">IF(AND(Y424=1,AL424="Cheap"),IF(AND(ISERROR(SEARCH("FRN",AP424)),ISERROR(SEARCH("BBB0미만",AP424))),AK424+ROW()/1000000000,-999),-999)</f>
        <v>-999</v>
      </c>
      <c r="AR424" s="92" t="str">
        <f aca="false">IF(AND(ISNUMBER(D424),ISNUMBER(K424)),D424+AN424*MAX(K424-1,0)/100,"")</f>
        <v/>
      </c>
      <c r="AS424" s="93" t="str">
        <f aca="false">IF(AND(ISNUMBER(E424),ISNUMBER(K424)),IF(K424&gt;0,(E424+AN424*MAX(K424-1,0))/K424,""),"")</f>
        <v/>
      </c>
      <c r="AT424" s="90" t="n">
        <f aca="false">IFERROR(IF(AND(Y424=1,ROW()&lt;&gt;스왑분석!$C$12+1,ABS(K424-INDEX($K$2:$K$601,스왑분석!$C$12))&lt;=스왑분석!$C$5,ISERROR(SEARCH("FRN",AP424)),ISERROR(SEARCH("BBB0미만",AP424))),IF(AND(OR(스왑분석!$C$6="N",L424=INDEX($L$2:$L$601,스왑분석!$C$12)),OR(스왑분석!$C$7="N",N424=INDEX($N$2:$N$601,스왑분석!$C$12)),OR(스왑분석!$C$8="N",AO424=0),E424-INDEX($E$2:$E$601,스왑분석!$C$12)&gt;=스왑분석!$C$9),E424-INDEX($E$2:$E$601,스왑분석!$C$12)+ROW()/1000000000,-999),-999),-999)</f>
        <v>-999</v>
      </c>
      <c r="AU424" s="90" t="n">
        <f aca="false">IF(AND(Y424=1,AO424&gt;0,AL424="Rich"),-AK424+ROW()/1000000000,-999)</f>
        <v>-999</v>
      </c>
    </row>
    <row r="425" customFormat="false" ht="15" hidden="false" customHeight="false" outlineLevel="0" collapsed="false">
      <c r="A425" s="83" t="n">
        <f aca="false">IFERROR(IF(INDEX(원자료_시장!$A$1:$BZ$1000,설정!$L$6+ROW()-1,설정!$L$24)&amp;""="0","",INDEX(원자료_시장!$A$1:$BZ$1000,설정!$L$6+ROW()-1,설정!$L$24)),"")</f>
        <v>0</v>
      </c>
      <c r="B425" s="83" t="n">
        <f aca="false">IFERROR(IF(INDEX(원자료_시장!$A$1:$BZ$1000,설정!$L$6+ROW()-1,설정!$L$37)&amp;""="0","",INDEX(원자료_시장!$A$1:$BZ$1000,설정!$L$6+ROW()-1,설정!$L$37)),"")</f>
        <v>0</v>
      </c>
      <c r="C425" s="83" t="n">
        <f aca="false">IFERROR(IF(INDEX(원자료_시장!$A$1:$BZ$1000,설정!$L$6+ROW()-1,설정!$L$25)&amp;""="0","",INDEX(원자료_시장!$A$1:$BZ$1000,설정!$L$6+ROW()-1,설정!$L$25)),"")</f>
        <v>0</v>
      </c>
      <c r="D425" s="85" t="str">
        <f aca="false">IFERROR(IF(ISNUMBER(INDEX(원자료_시장!$A$1:$BZ$1000,설정!$L$6+ROW()-1,설정!$L$26)),INDEX(원자료_시장!$A$1:$BZ$1000,설정!$L$6+ROW()-1,설정!$L$26),""),"")</f>
        <v/>
      </c>
      <c r="E425" s="97" t="str">
        <f aca="false">IFERROR(IF(ISNUMBER(INDEX(원자료_시장!$A$1:$BZ$1000,설정!$L$6+ROW()-1,설정!$L$27)),INDEX(원자료_시장!$A$1:$BZ$1000,설정!$L$6+ROW()-1,설정!$L$27),""),"")</f>
        <v/>
      </c>
      <c r="F425" s="97" t="str">
        <f aca="false">IFERROR(IF(ISNUMBER(INDEX(원자료_시장!$A$1:$BZ$1000,설정!$L$6+ROW()-1,설정!$L$28)),INDEX(원자료_시장!$A$1:$BZ$1000,설정!$L$6+ROW()-1,설정!$L$28),""),"")</f>
        <v/>
      </c>
      <c r="G425" s="97" t="str">
        <f aca="false">IFERROR(IF(ISNUMBER(INDEX(원자료_시장!$A$1:$BZ$1000,설정!$L$6+ROW()-1,설정!$L$29)),INDEX(원자료_시장!$A$1:$BZ$1000,설정!$L$6+ROW()-1,설정!$L$29),""),"")</f>
        <v/>
      </c>
      <c r="H425" s="97" t="str">
        <f aca="false">IFERROR(IF(ISNUMBER(INDEX(원자료_시장!$A$1:$BZ$1000,설정!$L$6+ROW()-1,설정!$L$30)),INDEX(원자료_시장!$A$1:$BZ$1000,설정!$L$6+ROW()-1,설정!$L$30),""),"")</f>
        <v/>
      </c>
      <c r="I425" s="97" t="str">
        <f aca="false">IFERROR(IF(ISNUMBER(INDEX(원자료_시장!$A$1:$BZ$1000,설정!$L$6+ROW()-1,설정!$L$31)),INDEX(원자료_시장!$A$1:$BZ$1000,설정!$L$6+ROW()-1,설정!$L$31),""),"")</f>
        <v/>
      </c>
      <c r="J425" s="97" t="str">
        <f aca="false">IFERROR(IF(ISNUMBER(INDEX(원자료_시장!$A$1:$BZ$1000,설정!$L$6+ROW()-1,설정!$L$32)),INDEX(원자료_시장!$A$1:$BZ$1000,설정!$L$6+ROW()-1,설정!$L$32),""),"")</f>
        <v/>
      </c>
      <c r="K425" s="85" t="str">
        <f aca="false">IFERROR(IF(ISNUMBER(INDEX(원자료_시장!$A$1:$BZ$1000,설정!$L$6+ROW()-1,설정!$L$33)),INDEX(원자료_시장!$A$1:$BZ$1000,설정!$L$6+ROW()-1,설정!$L$33),""),"")</f>
        <v/>
      </c>
      <c r="L425" s="83" t="n">
        <f aca="false">IFERROR(IF(INDEX(원자료_시장!$A$1:$BZ$1000,설정!$L$6+ROW()-1,설정!$L$34)&amp;""="0","",INDEX(원자료_시장!$A$1:$BZ$1000,설정!$L$6+ROW()-1,설정!$L$34)),"")</f>
        <v>0</v>
      </c>
      <c r="M425" s="83" t="n">
        <f aca="false">IFERROR(IF(INDEX(원자료_시장!$A$1:$BZ$1000,설정!$L$6+ROW()-1,설정!$L$35)&amp;""="0","",INDEX(원자료_시장!$A$1:$BZ$1000,설정!$L$6+ROW()-1,설정!$L$35)),"")</f>
        <v>0</v>
      </c>
      <c r="N425" s="83" t="n">
        <f aca="false">IFERROR(IF(INDEX(원자료_시장!$A$1:$BZ$1000,설정!$L$6+ROW()-1,설정!$L$36)&amp;""="0","",INDEX(원자료_시장!$A$1:$BZ$1000,설정!$L$6+ROW()-1,설정!$L$36)),"")</f>
        <v>0</v>
      </c>
      <c r="O425" s="43" t="str">
        <f aca="false">IF($A425="","",UPPER(LEFT($A425,FIND(" ",$A425&amp;" ")-1)))</f>
        <v/>
      </c>
      <c r="P425" s="43" t="str">
        <f aca="false">IF($A425="","",TRIM(RIGHT(SUBSTITUTE(TRIM($A425)," ",REPT(" ",30)),30)))</f>
        <v/>
      </c>
      <c r="Q425" s="98" t="str">
        <f aca="false">IF($A425="","",IFERROR(DATE(IF(LEN(P425)=8,2000+VALUE(RIGHT(P425,2)),VALUE(RIGHT(P425,4))),VALUE(LEFT(P425,2)),VALUE(MID(P425,4,2))),""))</f>
        <v/>
      </c>
      <c r="R425" s="89" t="n">
        <f aca="false">IF($A425="",0,IF(ISNUMBER(SEARCH("Float",$A425)),1,0))</f>
        <v>0</v>
      </c>
      <c r="S425" s="43" t="str">
        <f aca="false">IF($A425="","",TRIM(MID($A425,LEN(O425)+2,LEN($A425)-LEN(O425)-LEN(P425)-1)))</f>
        <v/>
      </c>
      <c r="T425" s="92" t="str">
        <f aca="false">IF(OR($A425="",R425=1),"",IFERROR(IF(ISNUMBER(FIND("/",S425)),IF(ISNUMBER(FIND(" ",S425)),VALUE(LEFT(S425,FIND(" ",S425)-1))+VALUE(MID(S425,FIND(" ",S425)+1,FIND("/",S425)-FIND(" ",S425)-1))/VALUE(MID(S425,FIND("/",S425)+1,9)),VALUE(LEFT(S425,FIND("/",S425)-1))/VALUE(MID(S425,FIND("/",S425)+1,9))),VALUE(S425)),""))</f>
        <v/>
      </c>
      <c r="U425" s="43" t="str">
        <f aca="false">IF(OR($A425="",NOT(ISNUMBER(Q425))),"",TEXT(Q425,"yyyymmdd")&amp;"|"&amp;IF(R425=1,"F",TEXT(T425,"0.000")))</f>
        <v/>
      </c>
      <c r="V425" s="43" t="str">
        <f aca="false">IF(U425="","",O425&amp;"|"&amp;U425)</f>
        <v/>
      </c>
      <c r="W425" s="43" t="str">
        <f aca="false">IF($A425="","",IFERROR(IF(VLOOKUP(O425,매핑!$A$4:$E$92,3,0)="","미분류",VLOOKUP(O425,매핑!$A$4:$E$92,3,0)),"미분류"))</f>
        <v/>
      </c>
      <c r="X425" s="89" t="n">
        <f aca="false">IF($A425="",0,IF(O425="T",1,0))</f>
        <v>0</v>
      </c>
      <c r="Y425" s="89" t="n">
        <f aca="false">IF($A425="",0,IF(AND(C425="USD",X425=0,ISNUMBER(E425),ISNUMBER(K425)),IF(K425&gt;=설정!$C$8,1,0),0))</f>
        <v>0</v>
      </c>
      <c r="Z425" s="43" t="str">
        <f aca="false">IF($A425="","",N425&amp;"|"&amp;L425)</f>
        <v/>
      </c>
      <c r="AA425" s="92" t="n">
        <f aca="false">IF(Y425=1,LN(K425),0)</f>
        <v>0</v>
      </c>
      <c r="AB425" s="93" t="n">
        <f aca="false">IF(Y425=1,E425,0)</f>
        <v>0</v>
      </c>
      <c r="AC425" s="89" t="n">
        <f aca="false">IF(Y425=1,COUNTIFS($Z$2:$Z$601,Z425,$Y$2:$Y$601,1),0)</f>
        <v>0</v>
      </c>
      <c r="AD425" s="89" t="n">
        <f aca="false">IF(Y425=1,COUNTIFS($N$2:$N$601,N425,$Y$2:$Y$601,1),0)</f>
        <v>0</v>
      </c>
      <c r="AE425" s="43" t="str">
        <f aca="false">IF(Y425&lt;&gt;1,"",IF(AND(AC425&gt;=설정!$C$7,ISNUMBER(MATCH(Z425,피어커브!$A:$A,0))),Z425,IF(AND(AD425&gt;=설정!$C$7,ISNUMBER(MATCH(N425&amp;"|전체",피어커브!$A:$A,0))),N425&amp;"|전체","전체|전체")))</f>
        <v/>
      </c>
      <c r="AF425" s="93" t="str">
        <f aca="false">IF(AE425="","",INDEX(피어커브!$K:$K,MATCH(AE425,피어커브!$A:$A,0)))</f>
        <v/>
      </c>
      <c r="AG425" s="93" t="str">
        <f aca="false">IF(AE425="","",INDEX(피어커브!$J:$J,MATCH(AE425,피어커브!$A:$A,0)))</f>
        <v/>
      </c>
      <c r="AH425" s="93" t="str">
        <f aca="false">IF(AE425="","",INDEX(피어커브!$L:$L,MATCH(AE425,피어커브!$A:$A,0)))</f>
        <v/>
      </c>
      <c r="AI425" s="93" t="str">
        <f aca="false">IF(AE425="","",AF425+AG425*AA425)</f>
        <v/>
      </c>
      <c r="AJ425" s="96" t="str">
        <f aca="false">IF(AE425="","",E425-AI425)</f>
        <v/>
      </c>
      <c r="AK425" s="95" t="str">
        <f aca="false">IF(AE425="","",IF(ISNUMBER(AH425),IF(AH425&gt;0,AJ425/AH425,""),""))</f>
        <v/>
      </c>
      <c r="AL425" s="43" t="str">
        <f aca="false">IF(AK425="","-",IF(AK425&gt;=설정!$C$6,"Cheap",IF(AK425&lt;=-설정!$C$6,"Rich","Fair")))</f>
        <v>-</v>
      </c>
      <c r="AM425" s="96" t="str">
        <f aca="false">IF(AE425="","",AJ425-AVERAGEIFS($AJ$2:$AJ$601,$B$2:$B$601,B425,$Y$2:$Y$601,1))</f>
        <v/>
      </c>
      <c r="AN425" s="93" t="n">
        <f aca="false">IF(AE425="",0,IF(K425&gt;1+설정!$C$8,AG425*(AA425-LN(K425-1)),0))</f>
        <v>0</v>
      </c>
      <c r="AO425" s="99" t="n">
        <f aca="false">IF($A425="",0,SUMIFS(보유분석!$AA$2:$AA$801,보유분석!$AB$2:$AB$801,ROW(),보유분석!$AC$2:$AC$801,1))</f>
        <v>0</v>
      </c>
      <c r="AP425" s="43" t="str">
        <f aca="false">IF($A425="","",TRIM(IF(R425=1,"FRN ","")&amp;IF(IFERROR(VLOOKUP(M425,설정!$A$15:$D$47,4,0),0)&gt;=10,IF(IFERROR(VLOOKUP(M425,설정!$A$15:$D$47,4,0),0)&lt;99,"BBB0미만 ",""),"")&amp;IF(OR(M425="",M425="NR"),"등급미입력 ","")&amp;IF(C425&lt;&gt;"USD","비USD ","")))</f>
        <v/>
      </c>
      <c r="AQ425" s="90" t="n">
        <f aca="false">IF(AND(Y425=1,AL425="Cheap"),IF(AND(ISERROR(SEARCH("FRN",AP425)),ISERROR(SEARCH("BBB0미만",AP425))),AK425+ROW()/1000000000,-999),-999)</f>
        <v>-999</v>
      </c>
      <c r="AR425" s="92" t="str">
        <f aca="false">IF(AND(ISNUMBER(D425),ISNUMBER(K425)),D425+AN425*MAX(K425-1,0)/100,"")</f>
        <v/>
      </c>
      <c r="AS425" s="93" t="str">
        <f aca="false">IF(AND(ISNUMBER(E425),ISNUMBER(K425)),IF(K425&gt;0,(E425+AN425*MAX(K425-1,0))/K425,""),"")</f>
        <v/>
      </c>
      <c r="AT425" s="90" t="n">
        <f aca="false">IFERROR(IF(AND(Y425=1,ROW()&lt;&gt;스왑분석!$C$12+1,ABS(K425-INDEX($K$2:$K$601,스왑분석!$C$12))&lt;=스왑분석!$C$5,ISERROR(SEARCH("FRN",AP425)),ISERROR(SEARCH("BBB0미만",AP425))),IF(AND(OR(스왑분석!$C$6="N",L425=INDEX($L$2:$L$601,스왑분석!$C$12)),OR(스왑분석!$C$7="N",N425=INDEX($N$2:$N$601,스왑분석!$C$12)),OR(스왑분석!$C$8="N",AO425=0),E425-INDEX($E$2:$E$601,스왑분석!$C$12)&gt;=스왑분석!$C$9),E425-INDEX($E$2:$E$601,스왑분석!$C$12)+ROW()/1000000000,-999),-999),-999)</f>
        <v>-999</v>
      </c>
      <c r="AU425" s="90" t="n">
        <f aca="false">IF(AND(Y425=1,AO425&gt;0,AL425="Rich"),-AK425+ROW()/1000000000,-999)</f>
        <v>-999</v>
      </c>
    </row>
    <row r="426" customFormat="false" ht="15" hidden="false" customHeight="false" outlineLevel="0" collapsed="false">
      <c r="A426" s="83" t="n">
        <f aca="false">IFERROR(IF(INDEX(원자료_시장!$A$1:$BZ$1000,설정!$L$6+ROW()-1,설정!$L$24)&amp;""="0","",INDEX(원자료_시장!$A$1:$BZ$1000,설정!$L$6+ROW()-1,설정!$L$24)),"")</f>
        <v>0</v>
      </c>
      <c r="B426" s="83" t="n">
        <f aca="false">IFERROR(IF(INDEX(원자료_시장!$A$1:$BZ$1000,설정!$L$6+ROW()-1,설정!$L$37)&amp;""="0","",INDEX(원자료_시장!$A$1:$BZ$1000,설정!$L$6+ROW()-1,설정!$L$37)),"")</f>
        <v>0</v>
      </c>
      <c r="C426" s="83" t="n">
        <f aca="false">IFERROR(IF(INDEX(원자료_시장!$A$1:$BZ$1000,설정!$L$6+ROW()-1,설정!$L$25)&amp;""="0","",INDEX(원자료_시장!$A$1:$BZ$1000,설정!$L$6+ROW()-1,설정!$L$25)),"")</f>
        <v>0</v>
      </c>
      <c r="D426" s="85" t="str">
        <f aca="false">IFERROR(IF(ISNUMBER(INDEX(원자료_시장!$A$1:$BZ$1000,설정!$L$6+ROW()-1,설정!$L$26)),INDEX(원자료_시장!$A$1:$BZ$1000,설정!$L$6+ROW()-1,설정!$L$26),""),"")</f>
        <v/>
      </c>
      <c r="E426" s="97" t="str">
        <f aca="false">IFERROR(IF(ISNUMBER(INDEX(원자료_시장!$A$1:$BZ$1000,설정!$L$6+ROW()-1,설정!$L$27)),INDEX(원자료_시장!$A$1:$BZ$1000,설정!$L$6+ROW()-1,설정!$L$27),""),"")</f>
        <v/>
      </c>
      <c r="F426" s="97" t="str">
        <f aca="false">IFERROR(IF(ISNUMBER(INDEX(원자료_시장!$A$1:$BZ$1000,설정!$L$6+ROW()-1,설정!$L$28)),INDEX(원자료_시장!$A$1:$BZ$1000,설정!$L$6+ROW()-1,설정!$L$28),""),"")</f>
        <v/>
      </c>
      <c r="G426" s="97" t="str">
        <f aca="false">IFERROR(IF(ISNUMBER(INDEX(원자료_시장!$A$1:$BZ$1000,설정!$L$6+ROW()-1,설정!$L$29)),INDEX(원자료_시장!$A$1:$BZ$1000,설정!$L$6+ROW()-1,설정!$L$29),""),"")</f>
        <v/>
      </c>
      <c r="H426" s="97" t="str">
        <f aca="false">IFERROR(IF(ISNUMBER(INDEX(원자료_시장!$A$1:$BZ$1000,설정!$L$6+ROW()-1,설정!$L$30)),INDEX(원자료_시장!$A$1:$BZ$1000,설정!$L$6+ROW()-1,설정!$L$30),""),"")</f>
        <v/>
      </c>
      <c r="I426" s="97" t="str">
        <f aca="false">IFERROR(IF(ISNUMBER(INDEX(원자료_시장!$A$1:$BZ$1000,설정!$L$6+ROW()-1,설정!$L$31)),INDEX(원자료_시장!$A$1:$BZ$1000,설정!$L$6+ROW()-1,설정!$L$31),""),"")</f>
        <v/>
      </c>
      <c r="J426" s="97" t="str">
        <f aca="false">IFERROR(IF(ISNUMBER(INDEX(원자료_시장!$A$1:$BZ$1000,설정!$L$6+ROW()-1,설정!$L$32)),INDEX(원자료_시장!$A$1:$BZ$1000,설정!$L$6+ROW()-1,설정!$L$32),""),"")</f>
        <v/>
      </c>
      <c r="K426" s="85" t="str">
        <f aca="false">IFERROR(IF(ISNUMBER(INDEX(원자료_시장!$A$1:$BZ$1000,설정!$L$6+ROW()-1,설정!$L$33)),INDEX(원자료_시장!$A$1:$BZ$1000,설정!$L$6+ROW()-1,설정!$L$33),""),"")</f>
        <v/>
      </c>
      <c r="L426" s="83" t="n">
        <f aca="false">IFERROR(IF(INDEX(원자료_시장!$A$1:$BZ$1000,설정!$L$6+ROW()-1,설정!$L$34)&amp;""="0","",INDEX(원자료_시장!$A$1:$BZ$1000,설정!$L$6+ROW()-1,설정!$L$34)),"")</f>
        <v>0</v>
      </c>
      <c r="M426" s="83" t="n">
        <f aca="false">IFERROR(IF(INDEX(원자료_시장!$A$1:$BZ$1000,설정!$L$6+ROW()-1,설정!$L$35)&amp;""="0","",INDEX(원자료_시장!$A$1:$BZ$1000,설정!$L$6+ROW()-1,설정!$L$35)),"")</f>
        <v>0</v>
      </c>
      <c r="N426" s="83" t="n">
        <f aca="false">IFERROR(IF(INDEX(원자료_시장!$A$1:$BZ$1000,설정!$L$6+ROW()-1,설정!$L$36)&amp;""="0","",INDEX(원자료_시장!$A$1:$BZ$1000,설정!$L$6+ROW()-1,설정!$L$36)),"")</f>
        <v>0</v>
      </c>
      <c r="O426" s="43" t="str">
        <f aca="false">IF($A426="","",UPPER(LEFT($A426,FIND(" ",$A426&amp;" ")-1)))</f>
        <v/>
      </c>
      <c r="P426" s="43" t="str">
        <f aca="false">IF($A426="","",TRIM(RIGHT(SUBSTITUTE(TRIM($A426)," ",REPT(" ",30)),30)))</f>
        <v/>
      </c>
      <c r="Q426" s="98" t="str">
        <f aca="false">IF($A426="","",IFERROR(DATE(IF(LEN(P426)=8,2000+VALUE(RIGHT(P426,2)),VALUE(RIGHT(P426,4))),VALUE(LEFT(P426,2)),VALUE(MID(P426,4,2))),""))</f>
        <v/>
      </c>
      <c r="R426" s="89" t="n">
        <f aca="false">IF($A426="",0,IF(ISNUMBER(SEARCH("Float",$A426)),1,0))</f>
        <v>0</v>
      </c>
      <c r="S426" s="43" t="str">
        <f aca="false">IF($A426="","",TRIM(MID($A426,LEN(O426)+2,LEN($A426)-LEN(O426)-LEN(P426)-1)))</f>
        <v/>
      </c>
      <c r="T426" s="92" t="str">
        <f aca="false">IF(OR($A426="",R426=1),"",IFERROR(IF(ISNUMBER(FIND("/",S426)),IF(ISNUMBER(FIND(" ",S426)),VALUE(LEFT(S426,FIND(" ",S426)-1))+VALUE(MID(S426,FIND(" ",S426)+1,FIND("/",S426)-FIND(" ",S426)-1))/VALUE(MID(S426,FIND("/",S426)+1,9)),VALUE(LEFT(S426,FIND("/",S426)-1))/VALUE(MID(S426,FIND("/",S426)+1,9))),VALUE(S426)),""))</f>
        <v/>
      </c>
      <c r="U426" s="43" t="str">
        <f aca="false">IF(OR($A426="",NOT(ISNUMBER(Q426))),"",TEXT(Q426,"yyyymmdd")&amp;"|"&amp;IF(R426=1,"F",TEXT(T426,"0.000")))</f>
        <v/>
      </c>
      <c r="V426" s="43" t="str">
        <f aca="false">IF(U426="","",O426&amp;"|"&amp;U426)</f>
        <v/>
      </c>
      <c r="W426" s="43" t="str">
        <f aca="false">IF($A426="","",IFERROR(IF(VLOOKUP(O426,매핑!$A$4:$E$92,3,0)="","미분류",VLOOKUP(O426,매핑!$A$4:$E$92,3,0)),"미분류"))</f>
        <v/>
      </c>
      <c r="X426" s="89" t="n">
        <f aca="false">IF($A426="",0,IF(O426="T",1,0))</f>
        <v>0</v>
      </c>
      <c r="Y426" s="89" t="n">
        <f aca="false">IF($A426="",0,IF(AND(C426="USD",X426=0,ISNUMBER(E426),ISNUMBER(K426)),IF(K426&gt;=설정!$C$8,1,0),0))</f>
        <v>0</v>
      </c>
      <c r="Z426" s="43" t="str">
        <f aca="false">IF($A426="","",N426&amp;"|"&amp;L426)</f>
        <v/>
      </c>
      <c r="AA426" s="92" t="n">
        <f aca="false">IF(Y426=1,LN(K426),0)</f>
        <v>0</v>
      </c>
      <c r="AB426" s="93" t="n">
        <f aca="false">IF(Y426=1,E426,0)</f>
        <v>0</v>
      </c>
      <c r="AC426" s="89" t="n">
        <f aca="false">IF(Y426=1,COUNTIFS($Z$2:$Z$601,Z426,$Y$2:$Y$601,1),0)</f>
        <v>0</v>
      </c>
      <c r="AD426" s="89" t="n">
        <f aca="false">IF(Y426=1,COUNTIFS($N$2:$N$601,N426,$Y$2:$Y$601,1),0)</f>
        <v>0</v>
      </c>
      <c r="AE426" s="43" t="str">
        <f aca="false">IF(Y426&lt;&gt;1,"",IF(AND(AC426&gt;=설정!$C$7,ISNUMBER(MATCH(Z426,피어커브!$A:$A,0))),Z426,IF(AND(AD426&gt;=설정!$C$7,ISNUMBER(MATCH(N426&amp;"|전체",피어커브!$A:$A,0))),N426&amp;"|전체","전체|전체")))</f>
        <v/>
      </c>
      <c r="AF426" s="93" t="str">
        <f aca="false">IF(AE426="","",INDEX(피어커브!$K:$K,MATCH(AE426,피어커브!$A:$A,0)))</f>
        <v/>
      </c>
      <c r="AG426" s="93" t="str">
        <f aca="false">IF(AE426="","",INDEX(피어커브!$J:$J,MATCH(AE426,피어커브!$A:$A,0)))</f>
        <v/>
      </c>
      <c r="AH426" s="93" t="str">
        <f aca="false">IF(AE426="","",INDEX(피어커브!$L:$L,MATCH(AE426,피어커브!$A:$A,0)))</f>
        <v/>
      </c>
      <c r="AI426" s="93" t="str">
        <f aca="false">IF(AE426="","",AF426+AG426*AA426)</f>
        <v/>
      </c>
      <c r="AJ426" s="96" t="str">
        <f aca="false">IF(AE426="","",E426-AI426)</f>
        <v/>
      </c>
      <c r="AK426" s="95" t="str">
        <f aca="false">IF(AE426="","",IF(ISNUMBER(AH426),IF(AH426&gt;0,AJ426/AH426,""),""))</f>
        <v/>
      </c>
      <c r="AL426" s="43" t="str">
        <f aca="false">IF(AK426="","-",IF(AK426&gt;=설정!$C$6,"Cheap",IF(AK426&lt;=-설정!$C$6,"Rich","Fair")))</f>
        <v>-</v>
      </c>
      <c r="AM426" s="96" t="str">
        <f aca="false">IF(AE426="","",AJ426-AVERAGEIFS($AJ$2:$AJ$601,$B$2:$B$601,B426,$Y$2:$Y$601,1))</f>
        <v/>
      </c>
      <c r="AN426" s="93" t="n">
        <f aca="false">IF(AE426="",0,IF(K426&gt;1+설정!$C$8,AG426*(AA426-LN(K426-1)),0))</f>
        <v>0</v>
      </c>
      <c r="AO426" s="99" t="n">
        <f aca="false">IF($A426="",0,SUMIFS(보유분석!$AA$2:$AA$801,보유분석!$AB$2:$AB$801,ROW(),보유분석!$AC$2:$AC$801,1))</f>
        <v>0</v>
      </c>
      <c r="AP426" s="43" t="str">
        <f aca="false">IF($A426="","",TRIM(IF(R426=1,"FRN ","")&amp;IF(IFERROR(VLOOKUP(M426,설정!$A$15:$D$47,4,0),0)&gt;=10,IF(IFERROR(VLOOKUP(M426,설정!$A$15:$D$47,4,0),0)&lt;99,"BBB0미만 ",""),"")&amp;IF(OR(M426="",M426="NR"),"등급미입력 ","")&amp;IF(C426&lt;&gt;"USD","비USD ","")))</f>
        <v/>
      </c>
      <c r="AQ426" s="90" t="n">
        <f aca="false">IF(AND(Y426=1,AL426="Cheap"),IF(AND(ISERROR(SEARCH("FRN",AP426)),ISERROR(SEARCH("BBB0미만",AP426))),AK426+ROW()/1000000000,-999),-999)</f>
        <v>-999</v>
      </c>
      <c r="AR426" s="92" t="str">
        <f aca="false">IF(AND(ISNUMBER(D426),ISNUMBER(K426)),D426+AN426*MAX(K426-1,0)/100,"")</f>
        <v/>
      </c>
      <c r="AS426" s="93" t="str">
        <f aca="false">IF(AND(ISNUMBER(E426),ISNUMBER(K426)),IF(K426&gt;0,(E426+AN426*MAX(K426-1,0))/K426,""),"")</f>
        <v/>
      </c>
      <c r="AT426" s="90" t="n">
        <f aca="false">IFERROR(IF(AND(Y426=1,ROW()&lt;&gt;스왑분석!$C$12+1,ABS(K426-INDEX($K$2:$K$601,스왑분석!$C$12))&lt;=스왑분석!$C$5,ISERROR(SEARCH("FRN",AP426)),ISERROR(SEARCH("BBB0미만",AP426))),IF(AND(OR(스왑분석!$C$6="N",L426=INDEX($L$2:$L$601,스왑분석!$C$12)),OR(스왑분석!$C$7="N",N426=INDEX($N$2:$N$601,스왑분석!$C$12)),OR(스왑분석!$C$8="N",AO426=0),E426-INDEX($E$2:$E$601,스왑분석!$C$12)&gt;=스왑분석!$C$9),E426-INDEX($E$2:$E$601,스왑분석!$C$12)+ROW()/1000000000,-999),-999),-999)</f>
        <v>-999</v>
      </c>
      <c r="AU426" s="90" t="n">
        <f aca="false">IF(AND(Y426=1,AO426&gt;0,AL426="Rich"),-AK426+ROW()/1000000000,-999)</f>
        <v>-999</v>
      </c>
    </row>
    <row r="427" customFormat="false" ht="15" hidden="false" customHeight="false" outlineLevel="0" collapsed="false">
      <c r="A427" s="83" t="n">
        <f aca="false">IFERROR(IF(INDEX(원자료_시장!$A$1:$BZ$1000,설정!$L$6+ROW()-1,설정!$L$24)&amp;""="0","",INDEX(원자료_시장!$A$1:$BZ$1000,설정!$L$6+ROW()-1,설정!$L$24)),"")</f>
        <v>0</v>
      </c>
      <c r="B427" s="83" t="n">
        <f aca="false">IFERROR(IF(INDEX(원자료_시장!$A$1:$BZ$1000,설정!$L$6+ROW()-1,설정!$L$37)&amp;""="0","",INDEX(원자료_시장!$A$1:$BZ$1000,설정!$L$6+ROW()-1,설정!$L$37)),"")</f>
        <v>0</v>
      </c>
      <c r="C427" s="83" t="n">
        <f aca="false">IFERROR(IF(INDEX(원자료_시장!$A$1:$BZ$1000,설정!$L$6+ROW()-1,설정!$L$25)&amp;""="0","",INDEX(원자료_시장!$A$1:$BZ$1000,설정!$L$6+ROW()-1,설정!$L$25)),"")</f>
        <v>0</v>
      </c>
      <c r="D427" s="85" t="str">
        <f aca="false">IFERROR(IF(ISNUMBER(INDEX(원자료_시장!$A$1:$BZ$1000,설정!$L$6+ROW()-1,설정!$L$26)),INDEX(원자료_시장!$A$1:$BZ$1000,설정!$L$6+ROW()-1,설정!$L$26),""),"")</f>
        <v/>
      </c>
      <c r="E427" s="97" t="str">
        <f aca="false">IFERROR(IF(ISNUMBER(INDEX(원자료_시장!$A$1:$BZ$1000,설정!$L$6+ROW()-1,설정!$L$27)),INDEX(원자료_시장!$A$1:$BZ$1000,설정!$L$6+ROW()-1,설정!$L$27),""),"")</f>
        <v/>
      </c>
      <c r="F427" s="97" t="str">
        <f aca="false">IFERROR(IF(ISNUMBER(INDEX(원자료_시장!$A$1:$BZ$1000,설정!$L$6+ROW()-1,설정!$L$28)),INDEX(원자료_시장!$A$1:$BZ$1000,설정!$L$6+ROW()-1,설정!$L$28),""),"")</f>
        <v/>
      </c>
      <c r="G427" s="97" t="str">
        <f aca="false">IFERROR(IF(ISNUMBER(INDEX(원자료_시장!$A$1:$BZ$1000,설정!$L$6+ROW()-1,설정!$L$29)),INDEX(원자료_시장!$A$1:$BZ$1000,설정!$L$6+ROW()-1,설정!$L$29),""),"")</f>
        <v/>
      </c>
      <c r="H427" s="97" t="str">
        <f aca="false">IFERROR(IF(ISNUMBER(INDEX(원자료_시장!$A$1:$BZ$1000,설정!$L$6+ROW()-1,설정!$L$30)),INDEX(원자료_시장!$A$1:$BZ$1000,설정!$L$6+ROW()-1,설정!$L$30),""),"")</f>
        <v/>
      </c>
      <c r="I427" s="97" t="str">
        <f aca="false">IFERROR(IF(ISNUMBER(INDEX(원자료_시장!$A$1:$BZ$1000,설정!$L$6+ROW()-1,설정!$L$31)),INDEX(원자료_시장!$A$1:$BZ$1000,설정!$L$6+ROW()-1,설정!$L$31),""),"")</f>
        <v/>
      </c>
      <c r="J427" s="97" t="str">
        <f aca="false">IFERROR(IF(ISNUMBER(INDEX(원자료_시장!$A$1:$BZ$1000,설정!$L$6+ROW()-1,설정!$L$32)),INDEX(원자료_시장!$A$1:$BZ$1000,설정!$L$6+ROW()-1,설정!$L$32),""),"")</f>
        <v/>
      </c>
      <c r="K427" s="85" t="str">
        <f aca="false">IFERROR(IF(ISNUMBER(INDEX(원자료_시장!$A$1:$BZ$1000,설정!$L$6+ROW()-1,설정!$L$33)),INDEX(원자료_시장!$A$1:$BZ$1000,설정!$L$6+ROW()-1,설정!$L$33),""),"")</f>
        <v/>
      </c>
      <c r="L427" s="83" t="n">
        <f aca="false">IFERROR(IF(INDEX(원자료_시장!$A$1:$BZ$1000,설정!$L$6+ROW()-1,설정!$L$34)&amp;""="0","",INDEX(원자료_시장!$A$1:$BZ$1000,설정!$L$6+ROW()-1,설정!$L$34)),"")</f>
        <v>0</v>
      </c>
      <c r="M427" s="83" t="n">
        <f aca="false">IFERROR(IF(INDEX(원자료_시장!$A$1:$BZ$1000,설정!$L$6+ROW()-1,설정!$L$35)&amp;""="0","",INDEX(원자료_시장!$A$1:$BZ$1000,설정!$L$6+ROW()-1,설정!$L$35)),"")</f>
        <v>0</v>
      </c>
      <c r="N427" s="83" t="n">
        <f aca="false">IFERROR(IF(INDEX(원자료_시장!$A$1:$BZ$1000,설정!$L$6+ROW()-1,설정!$L$36)&amp;""="0","",INDEX(원자료_시장!$A$1:$BZ$1000,설정!$L$6+ROW()-1,설정!$L$36)),"")</f>
        <v>0</v>
      </c>
      <c r="O427" s="43" t="str">
        <f aca="false">IF($A427="","",UPPER(LEFT($A427,FIND(" ",$A427&amp;" ")-1)))</f>
        <v/>
      </c>
      <c r="P427" s="43" t="str">
        <f aca="false">IF($A427="","",TRIM(RIGHT(SUBSTITUTE(TRIM($A427)," ",REPT(" ",30)),30)))</f>
        <v/>
      </c>
      <c r="Q427" s="98" t="str">
        <f aca="false">IF($A427="","",IFERROR(DATE(IF(LEN(P427)=8,2000+VALUE(RIGHT(P427,2)),VALUE(RIGHT(P427,4))),VALUE(LEFT(P427,2)),VALUE(MID(P427,4,2))),""))</f>
        <v/>
      </c>
      <c r="R427" s="89" t="n">
        <f aca="false">IF($A427="",0,IF(ISNUMBER(SEARCH("Float",$A427)),1,0))</f>
        <v>0</v>
      </c>
      <c r="S427" s="43" t="str">
        <f aca="false">IF($A427="","",TRIM(MID($A427,LEN(O427)+2,LEN($A427)-LEN(O427)-LEN(P427)-1)))</f>
        <v/>
      </c>
      <c r="T427" s="92" t="str">
        <f aca="false">IF(OR($A427="",R427=1),"",IFERROR(IF(ISNUMBER(FIND("/",S427)),IF(ISNUMBER(FIND(" ",S427)),VALUE(LEFT(S427,FIND(" ",S427)-1))+VALUE(MID(S427,FIND(" ",S427)+1,FIND("/",S427)-FIND(" ",S427)-1))/VALUE(MID(S427,FIND("/",S427)+1,9)),VALUE(LEFT(S427,FIND("/",S427)-1))/VALUE(MID(S427,FIND("/",S427)+1,9))),VALUE(S427)),""))</f>
        <v/>
      </c>
      <c r="U427" s="43" t="str">
        <f aca="false">IF(OR($A427="",NOT(ISNUMBER(Q427))),"",TEXT(Q427,"yyyymmdd")&amp;"|"&amp;IF(R427=1,"F",TEXT(T427,"0.000")))</f>
        <v/>
      </c>
      <c r="V427" s="43" t="str">
        <f aca="false">IF(U427="","",O427&amp;"|"&amp;U427)</f>
        <v/>
      </c>
      <c r="W427" s="43" t="str">
        <f aca="false">IF($A427="","",IFERROR(IF(VLOOKUP(O427,매핑!$A$4:$E$92,3,0)="","미분류",VLOOKUP(O427,매핑!$A$4:$E$92,3,0)),"미분류"))</f>
        <v/>
      </c>
      <c r="X427" s="89" t="n">
        <f aca="false">IF($A427="",0,IF(O427="T",1,0))</f>
        <v>0</v>
      </c>
      <c r="Y427" s="89" t="n">
        <f aca="false">IF($A427="",0,IF(AND(C427="USD",X427=0,ISNUMBER(E427),ISNUMBER(K427)),IF(K427&gt;=설정!$C$8,1,0),0))</f>
        <v>0</v>
      </c>
      <c r="Z427" s="43" t="str">
        <f aca="false">IF($A427="","",N427&amp;"|"&amp;L427)</f>
        <v/>
      </c>
      <c r="AA427" s="92" t="n">
        <f aca="false">IF(Y427=1,LN(K427),0)</f>
        <v>0</v>
      </c>
      <c r="AB427" s="93" t="n">
        <f aca="false">IF(Y427=1,E427,0)</f>
        <v>0</v>
      </c>
      <c r="AC427" s="89" t="n">
        <f aca="false">IF(Y427=1,COUNTIFS($Z$2:$Z$601,Z427,$Y$2:$Y$601,1),0)</f>
        <v>0</v>
      </c>
      <c r="AD427" s="89" t="n">
        <f aca="false">IF(Y427=1,COUNTIFS($N$2:$N$601,N427,$Y$2:$Y$601,1),0)</f>
        <v>0</v>
      </c>
      <c r="AE427" s="43" t="str">
        <f aca="false">IF(Y427&lt;&gt;1,"",IF(AND(AC427&gt;=설정!$C$7,ISNUMBER(MATCH(Z427,피어커브!$A:$A,0))),Z427,IF(AND(AD427&gt;=설정!$C$7,ISNUMBER(MATCH(N427&amp;"|전체",피어커브!$A:$A,0))),N427&amp;"|전체","전체|전체")))</f>
        <v/>
      </c>
      <c r="AF427" s="93" t="str">
        <f aca="false">IF(AE427="","",INDEX(피어커브!$K:$K,MATCH(AE427,피어커브!$A:$A,0)))</f>
        <v/>
      </c>
      <c r="AG427" s="93" t="str">
        <f aca="false">IF(AE427="","",INDEX(피어커브!$J:$J,MATCH(AE427,피어커브!$A:$A,0)))</f>
        <v/>
      </c>
      <c r="AH427" s="93" t="str">
        <f aca="false">IF(AE427="","",INDEX(피어커브!$L:$L,MATCH(AE427,피어커브!$A:$A,0)))</f>
        <v/>
      </c>
      <c r="AI427" s="93" t="str">
        <f aca="false">IF(AE427="","",AF427+AG427*AA427)</f>
        <v/>
      </c>
      <c r="AJ427" s="96" t="str">
        <f aca="false">IF(AE427="","",E427-AI427)</f>
        <v/>
      </c>
      <c r="AK427" s="95" t="str">
        <f aca="false">IF(AE427="","",IF(ISNUMBER(AH427),IF(AH427&gt;0,AJ427/AH427,""),""))</f>
        <v/>
      </c>
      <c r="AL427" s="43" t="str">
        <f aca="false">IF(AK427="","-",IF(AK427&gt;=설정!$C$6,"Cheap",IF(AK427&lt;=-설정!$C$6,"Rich","Fair")))</f>
        <v>-</v>
      </c>
      <c r="AM427" s="96" t="str">
        <f aca="false">IF(AE427="","",AJ427-AVERAGEIFS($AJ$2:$AJ$601,$B$2:$B$601,B427,$Y$2:$Y$601,1))</f>
        <v/>
      </c>
      <c r="AN427" s="93" t="n">
        <f aca="false">IF(AE427="",0,IF(K427&gt;1+설정!$C$8,AG427*(AA427-LN(K427-1)),0))</f>
        <v>0</v>
      </c>
      <c r="AO427" s="99" t="n">
        <f aca="false">IF($A427="",0,SUMIFS(보유분석!$AA$2:$AA$801,보유분석!$AB$2:$AB$801,ROW(),보유분석!$AC$2:$AC$801,1))</f>
        <v>0</v>
      </c>
      <c r="AP427" s="43" t="str">
        <f aca="false">IF($A427="","",TRIM(IF(R427=1,"FRN ","")&amp;IF(IFERROR(VLOOKUP(M427,설정!$A$15:$D$47,4,0),0)&gt;=10,IF(IFERROR(VLOOKUP(M427,설정!$A$15:$D$47,4,0),0)&lt;99,"BBB0미만 ",""),"")&amp;IF(OR(M427="",M427="NR"),"등급미입력 ","")&amp;IF(C427&lt;&gt;"USD","비USD ","")))</f>
        <v/>
      </c>
      <c r="AQ427" s="90" t="n">
        <f aca="false">IF(AND(Y427=1,AL427="Cheap"),IF(AND(ISERROR(SEARCH("FRN",AP427)),ISERROR(SEARCH("BBB0미만",AP427))),AK427+ROW()/1000000000,-999),-999)</f>
        <v>-999</v>
      </c>
      <c r="AR427" s="92" t="str">
        <f aca="false">IF(AND(ISNUMBER(D427),ISNUMBER(K427)),D427+AN427*MAX(K427-1,0)/100,"")</f>
        <v/>
      </c>
      <c r="AS427" s="93" t="str">
        <f aca="false">IF(AND(ISNUMBER(E427),ISNUMBER(K427)),IF(K427&gt;0,(E427+AN427*MAX(K427-1,0))/K427,""),"")</f>
        <v/>
      </c>
      <c r="AT427" s="90" t="n">
        <f aca="false">IFERROR(IF(AND(Y427=1,ROW()&lt;&gt;스왑분석!$C$12+1,ABS(K427-INDEX($K$2:$K$601,스왑분석!$C$12))&lt;=스왑분석!$C$5,ISERROR(SEARCH("FRN",AP427)),ISERROR(SEARCH("BBB0미만",AP427))),IF(AND(OR(스왑분석!$C$6="N",L427=INDEX($L$2:$L$601,스왑분석!$C$12)),OR(스왑분석!$C$7="N",N427=INDEX($N$2:$N$601,스왑분석!$C$12)),OR(스왑분석!$C$8="N",AO427=0),E427-INDEX($E$2:$E$601,스왑분석!$C$12)&gt;=스왑분석!$C$9),E427-INDEX($E$2:$E$601,스왑분석!$C$12)+ROW()/1000000000,-999),-999),-999)</f>
        <v>-999</v>
      </c>
      <c r="AU427" s="90" t="n">
        <f aca="false">IF(AND(Y427=1,AO427&gt;0,AL427="Rich"),-AK427+ROW()/1000000000,-999)</f>
        <v>-999</v>
      </c>
    </row>
    <row r="428" customFormat="false" ht="15" hidden="false" customHeight="false" outlineLevel="0" collapsed="false">
      <c r="A428" s="83" t="n">
        <f aca="false">IFERROR(IF(INDEX(원자료_시장!$A$1:$BZ$1000,설정!$L$6+ROW()-1,설정!$L$24)&amp;""="0","",INDEX(원자료_시장!$A$1:$BZ$1000,설정!$L$6+ROW()-1,설정!$L$24)),"")</f>
        <v>0</v>
      </c>
      <c r="B428" s="83" t="n">
        <f aca="false">IFERROR(IF(INDEX(원자료_시장!$A$1:$BZ$1000,설정!$L$6+ROW()-1,설정!$L$37)&amp;""="0","",INDEX(원자료_시장!$A$1:$BZ$1000,설정!$L$6+ROW()-1,설정!$L$37)),"")</f>
        <v>0</v>
      </c>
      <c r="C428" s="83" t="n">
        <f aca="false">IFERROR(IF(INDEX(원자료_시장!$A$1:$BZ$1000,설정!$L$6+ROW()-1,설정!$L$25)&amp;""="0","",INDEX(원자료_시장!$A$1:$BZ$1000,설정!$L$6+ROW()-1,설정!$L$25)),"")</f>
        <v>0</v>
      </c>
      <c r="D428" s="85" t="str">
        <f aca="false">IFERROR(IF(ISNUMBER(INDEX(원자료_시장!$A$1:$BZ$1000,설정!$L$6+ROW()-1,설정!$L$26)),INDEX(원자료_시장!$A$1:$BZ$1000,설정!$L$6+ROW()-1,설정!$L$26),""),"")</f>
        <v/>
      </c>
      <c r="E428" s="97" t="str">
        <f aca="false">IFERROR(IF(ISNUMBER(INDEX(원자료_시장!$A$1:$BZ$1000,설정!$L$6+ROW()-1,설정!$L$27)),INDEX(원자료_시장!$A$1:$BZ$1000,설정!$L$6+ROW()-1,설정!$L$27),""),"")</f>
        <v/>
      </c>
      <c r="F428" s="97" t="str">
        <f aca="false">IFERROR(IF(ISNUMBER(INDEX(원자료_시장!$A$1:$BZ$1000,설정!$L$6+ROW()-1,설정!$L$28)),INDEX(원자료_시장!$A$1:$BZ$1000,설정!$L$6+ROW()-1,설정!$L$28),""),"")</f>
        <v/>
      </c>
      <c r="G428" s="97" t="str">
        <f aca="false">IFERROR(IF(ISNUMBER(INDEX(원자료_시장!$A$1:$BZ$1000,설정!$L$6+ROW()-1,설정!$L$29)),INDEX(원자료_시장!$A$1:$BZ$1000,설정!$L$6+ROW()-1,설정!$L$29),""),"")</f>
        <v/>
      </c>
      <c r="H428" s="97" t="str">
        <f aca="false">IFERROR(IF(ISNUMBER(INDEX(원자료_시장!$A$1:$BZ$1000,설정!$L$6+ROW()-1,설정!$L$30)),INDEX(원자료_시장!$A$1:$BZ$1000,설정!$L$6+ROW()-1,설정!$L$30),""),"")</f>
        <v/>
      </c>
      <c r="I428" s="97" t="str">
        <f aca="false">IFERROR(IF(ISNUMBER(INDEX(원자료_시장!$A$1:$BZ$1000,설정!$L$6+ROW()-1,설정!$L$31)),INDEX(원자료_시장!$A$1:$BZ$1000,설정!$L$6+ROW()-1,설정!$L$31),""),"")</f>
        <v/>
      </c>
      <c r="J428" s="97" t="str">
        <f aca="false">IFERROR(IF(ISNUMBER(INDEX(원자료_시장!$A$1:$BZ$1000,설정!$L$6+ROW()-1,설정!$L$32)),INDEX(원자료_시장!$A$1:$BZ$1000,설정!$L$6+ROW()-1,설정!$L$32),""),"")</f>
        <v/>
      </c>
      <c r="K428" s="85" t="str">
        <f aca="false">IFERROR(IF(ISNUMBER(INDEX(원자료_시장!$A$1:$BZ$1000,설정!$L$6+ROW()-1,설정!$L$33)),INDEX(원자료_시장!$A$1:$BZ$1000,설정!$L$6+ROW()-1,설정!$L$33),""),"")</f>
        <v/>
      </c>
      <c r="L428" s="83" t="n">
        <f aca="false">IFERROR(IF(INDEX(원자료_시장!$A$1:$BZ$1000,설정!$L$6+ROW()-1,설정!$L$34)&amp;""="0","",INDEX(원자료_시장!$A$1:$BZ$1000,설정!$L$6+ROW()-1,설정!$L$34)),"")</f>
        <v>0</v>
      </c>
      <c r="M428" s="83" t="n">
        <f aca="false">IFERROR(IF(INDEX(원자료_시장!$A$1:$BZ$1000,설정!$L$6+ROW()-1,설정!$L$35)&amp;""="0","",INDEX(원자료_시장!$A$1:$BZ$1000,설정!$L$6+ROW()-1,설정!$L$35)),"")</f>
        <v>0</v>
      </c>
      <c r="N428" s="83" t="n">
        <f aca="false">IFERROR(IF(INDEX(원자료_시장!$A$1:$BZ$1000,설정!$L$6+ROW()-1,설정!$L$36)&amp;""="0","",INDEX(원자료_시장!$A$1:$BZ$1000,설정!$L$6+ROW()-1,설정!$L$36)),"")</f>
        <v>0</v>
      </c>
      <c r="O428" s="43" t="str">
        <f aca="false">IF($A428="","",UPPER(LEFT($A428,FIND(" ",$A428&amp;" ")-1)))</f>
        <v/>
      </c>
      <c r="P428" s="43" t="str">
        <f aca="false">IF($A428="","",TRIM(RIGHT(SUBSTITUTE(TRIM($A428)," ",REPT(" ",30)),30)))</f>
        <v/>
      </c>
      <c r="Q428" s="98" t="str">
        <f aca="false">IF($A428="","",IFERROR(DATE(IF(LEN(P428)=8,2000+VALUE(RIGHT(P428,2)),VALUE(RIGHT(P428,4))),VALUE(LEFT(P428,2)),VALUE(MID(P428,4,2))),""))</f>
        <v/>
      </c>
      <c r="R428" s="89" t="n">
        <f aca="false">IF($A428="",0,IF(ISNUMBER(SEARCH("Float",$A428)),1,0))</f>
        <v>0</v>
      </c>
      <c r="S428" s="43" t="str">
        <f aca="false">IF($A428="","",TRIM(MID($A428,LEN(O428)+2,LEN($A428)-LEN(O428)-LEN(P428)-1)))</f>
        <v/>
      </c>
      <c r="T428" s="92" t="str">
        <f aca="false">IF(OR($A428="",R428=1),"",IFERROR(IF(ISNUMBER(FIND("/",S428)),IF(ISNUMBER(FIND(" ",S428)),VALUE(LEFT(S428,FIND(" ",S428)-1))+VALUE(MID(S428,FIND(" ",S428)+1,FIND("/",S428)-FIND(" ",S428)-1))/VALUE(MID(S428,FIND("/",S428)+1,9)),VALUE(LEFT(S428,FIND("/",S428)-1))/VALUE(MID(S428,FIND("/",S428)+1,9))),VALUE(S428)),""))</f>
        <v/>
      </c>
      <c r="U428" s="43" t="str">
        <f aca="false">IF(OR($A428="",NOT(ISNUMBER(Q428))),"",TEXT(Q428,"yyyymmdd")&amp;"|"&amp;IF(R428=1,"F",TEXT(T428,"0.000")))</f>
        <v/>
      </c>
      <c r="V428" s="43" t="str">
        <f aca="false">IF(U428="","",O428&amp;"|"&amp;U428)</f>
        <v/>
      </c>
      <c r="W428" s="43" t="str">
        <f aca="false">IF($A428="","",IFERROR(IF(VLOOKUP(O428,매핑!$A$4:$E$92,3,0)="","미분류",VLOOKUP(O428,매핑!$A$4:$E$92,3,0)),"미분류"))</f>
        <v/>
      </c>
      <c r="X428" s="89" t="n">
        <f aca="false">IF($A428="",0,IF(O428="T",1,0))</f>
        <v>0</v>
      </c>
      <c r="Y428" s="89" t="n">
        <f aca="false">IF($A428="",0,IF(AND(C428="USD",X428=0,ISNUMBER(E428),ISNUMBER(K428)),IF(K428&gt;=설정!$C$8,1,0),0))</f>
        <v>0</v>
      </c>
      <c r="Z428" s="43" t="str">
        <f aca="false">IF($A428="","",N428&amp;"|"&amp;L428)</f>
        <v/>
      </c>
      <c r="AA428" s="92" t="n">
        <f aca="false">IF(Y428=1,LN(K428),0)</f>
        <v>0</v>
      </c>
      <c r="AB428" s="93" t="n">
        <f aca="false">IF(Y428=1,E428,0)</f>
        <v>0</v>
      </c>
      <c r="AC428" s="89" t="n">
        <f aca="false">IF(Y428=1,COUNTIFS($Z$2:$Z$601,Z428,$Y$2:$Y$601,1),0)</f>
        <v>0</v>
      </c>
      <c r="AD428" s="89" t="n">
        <f aca="false">IF(Y428=1,COUNTIFS($N$2:$N$601,N428,$Y$2:$Y$601,1),0)</f>
        <v>0</v>
      </c>
      <c r="AE428" s="43" t="str">
        <f aca="false">IF(Y428&lt;&gt;1,"",IF(AND(AC428&gt;=설정!$C$7,ISNUMBER(MATCH(Z428,피어커브!$A:$A,0))),Z428,IF(AND(AD428&gt;=설정!$C$7,ISNUMBER(MATCH(N428&amp;"|전체",피어커브!$A:$A,0))),N428&amp;"|전체","전체|전체")))</f>
        <v/>
      </c>
      <c r="AF428" s="93" t="str">
        <f aca="false">IF(AE428="","",INDEX(피어커브!$K:$K,MATCH(AE428,피어커브!$A:$A,0)))</f>
        <v/>
      </c>
      <c r="AG428" s="93" t="str">
        <f aca="false">IF(AE428="","",INDEX(피어커브!$J:$J,MATCH(AE428,피어커브!$A:$A,0)))</f>
        <v/>
      </c>
      <c r="AH428" s="93" t="str">
        <f aca="false">IF(AE428="","",INDEX(피어커브!$L:$L,MATCH(AE428,피어커브!$A:$A,0)))</f>
        <v/>
      </c>
      <c r="AI428" s="93" t="str">
        <f aca="false">IF(AE428="","",AF428+AG428*AA428)</f>
        <v/>
      </c>
      <c r="AJ428" s="96" t="str">
        <f aca="false">IF(AE428="","",E428-AI428)</f>
        <v/>
      </c>
      <c r="AK428" s="95" t="str">
        <f aca="false">IF(AE428="","",IF(ISNUMBER(AH428),IF(AH428&gt;0,AJ428/AH428,""),""))</f>
        <v/>
      </c>
      <c r="AL428" s="43" t="str">
        <f aca="false">IF(AK428="","-",IF(AK428&gt;=설정!$C$6,"Cheap",IF(AK428&lt;=-설정!$C$6,"Rich","Fair")))</f>
        <v>-</v>
      </c>
      <c r="AM428" s="96" t="str">
        <f aca="false">IF(AE428="","",AJ428-AVERAGEIFS($AJ$2:$AJ$601,$B$2:$B$601,B428,$Y$2:$Y$601,1))</f>
        <v/>
      </c>
      <c r="AN428" s="93" t="n">
        <f aca="false">IF(AE428="",0,IF(K428&gt;1+설정!$C$8,AG428*(AA428-LN(K428-1)),0))</f>
        <v>0</v>
      </c>
      <c r="AO428" s="99" t="n">
        <f aca="false">IF($A428="",0,SUMIFS(보유분석!$AA$2:$AA$801,보유분석!$AB$2:$AB$801,ROW(),보유분석!$AC$2:$AC$801,1))</f>
        <v>0</v>
      </c>
      <c r="AP428" s="43" t="str">
        <f aca="false">IF($A428="","",TRIM(IF(R428=1,"FRN ","")&amp;IF(IFERROR(VLOOKUP(M428,설정!$A$15:$D$47,4,0),0)&gt;=10,IF(IFERROR(VLOOKUP(M428,설정!$A$15:$D$47,4,0),0)&lt;99,"BBB0미만 ",""),"")&amp;IF(OR(M428="",M428="NR"),"등급미입력 ","")&amp;IF(C428&lt;&gt;"USD","비USD ","")))</f>
        <v/>
      </c>
      <c r="AQ428" s="90" t="n">
        <f aca="false">IF(AND(Y428=1,AL428="Cheap"),IF(AND(ISERROR(SEARCH("FRN",AP428)),ISERROR(SEARCH("BBB0미만",AP428))),AK428+ROW()/1000000000,-999),-999)</f>
        <v>-999</v>
      </c>
      <c r="AR428" s="92" t="str">
        <f aca="false">IF(AND(ISNUMBER(D428),ISNUMBER(K428)),D428+AN428*MAX(K428-1,0)/100,"")</f>
        <v/>
      </c>
      <c r="AS428" s="93" t="str">
        <f aca="false">IF(AND(ISNUMBER(E428),ISNUMBER(K428)),IF(K428&gt;0,(E428+AN428*MAX(K428-1,0))/K428,""),"")</f>
        <v/>
      </c>
      <c r="AT428" s="90" t="n">
        <f aca="false">IFERROR(IF(AND(Y428=1,ROW()&lt;&gt;스왑분석!$C$12+1,ABS(K428-INDEX($K$2:$K$601,스왑분석!$C$12))&lt;=스왑분석!$C$5,ISERROR(SEARCH("FRN",AP428)),ISERROR(SEARCH("BBB0미만",AP428))),IF(AND(OR(스왑분석!$C$6="N",L428=INDEX($L$2:$L$601,스왑분석!$C$12)),OR(스왑분석!$C$7="N",N428=INDEX($N$2:$N$601,스왑분석!$C$12)),OR(스왑분석!$C$8="N",AO428=0),E428-INDEX($E$2:$E$601,스왑분석!$C$12)&gt;=스왑분석!$C$9),E428-INDEX($E$2:$E$601,스왑분석!$C$12)+ROW()/1000000000,-999),-999),-999)</f>
        <v>-999</v>
      </c>
      <c r="AU428" s="90" t="n">
        <f aca="false">IF(AND(Y428=1,AO428&gt;0,AL428="Rich"),-AK428+ROW()/1000000000,-999)</f>
        <v>-999</v>
      </c>
    </row>
    <row r="429" customFormat="false" ht="15" hidden="false" customHeight="false" outlineLevel="0" collapsed="false">
      <c r="A429" s="83" t="n">
        <f aca="false">IFERROR(IF(INDEX(원자료_시장!$A$1:$BZ$1000,설정!$L$6+ROW()-1,설정!$L$24)&amp;""="0","",INDEX(원자료_시장!$A$1:$BZ$1000,설정!$L$6+ROW()-1,설정!$L$24)),"")</f>
        <v>0</v>
      </c>
      <c r="B429" s="83" t="n">
        <f aca="false">IFERROR(IF(INDEX(원자료_시장!$A$1:$BZ$1000,설정!$L$6+ROW()-1,설정!$L$37)&amp;""="0","",INDEX(원자료_시장!$A$1:$BZ$1000,설정!$L$6+ROW()-1,설정!$L$37)),"")</f>
        <v>0</v>
      </c>
      <c r="C429" s="83" t="n">
        <f aca="false">IFERROR(IF(INDEX(원자료_시장!$A$1:$BZ$1000,설정!$L$6+ROW()-1,설정!$L$25)&amp;""="0","",INDEX(원자료_시장!$A$1:$BZ$1000,설정!$L$6+ROW()-1,설정!$L$25)),"")</f>
        <v>0</v>
      </c>
      <c r="D429" s="85" t="str">
        <f aca="false">IFERROR(IF(ISNUMBER(INDEX(원자료_시장!$A$1:$BZ$1000,설정!$L$6+ROW()-1,설정!$L$26)),INDEX(원자료_시장!$A$1:$BZ$1000,설정!$L$6+ROW()-1,설정!$L$26),""),"")</f>
        <v/>
      </c>
      <c r="E429" s="97" t="str">
        <f aca="false">IFERROR(IF(ISNUMBER(INDEX(원자료_시장!$A$1:$BZ$1000,설정!$L$6+ROW()-1,설정!$L$27)),INDEX(원자료_시장!$A$1:$BZ$1000,설정!$L$6+ROW()-1,설정!$L$27),""),"")</f>
        <v/>
      </c>
      <c r="F429" s="97" t="str">
        <f aca="false">IFERROR(IF(ISNUMBER(INDEX(원자료_시장!$A$1:$BZ$1000,설정!$L$6+ROW()-1,설정!$L$28)),INDEX(원자료_시장!$A$1:$BZ$1000,설정!$L$6+ROW()-1,설정!$L$28),""),"")</f>
        <v/>
      </c>
      <c r="G429" s="97" t="str">
        <f aca="false">IFERROR(IF(ISNUMBER(INDEX(원자료_시장!$A$1:$BZ$1000,설정!$L$6+ROW()-1,설정!$L$29)),INDEX(원자료_시장!$A$1:$BZ$1000,설정!$L$6+ROW()-1,설정!$L$29),""),"")</f>
        <v/>
      </c>
      <c r="H429" s="97" t="str">
        <f aca="false">IFERROR(IF(ISNUMBER(INDEX(원자료_시장!$A$1:$BZ$1000,설정!$L$6+ROW()-1,설정!$L$30)),INDEX(원자료_시장!$A$1:$BZ$1000,설정!$L$6+ROW()-1,설정!$L$30),""),"")</f>
        <v/>
      </c>
      <c r="I429" s="97" t="str">
        <f aca="false">IFERROR(IF(ISNUMBER(INDEX(원자료_시장!$A$1:$BZ$1000,설정!$L$6+ROW()-1,설정!$L$31)),INDEX(원자료_시장!$A$1:$BZ$1000,설정!$L$6+ROW()-1,설정!$L$31),""),"")</f>
        <v/>
      </c>
      <c r="J429" s="97" t="str">
        <f aca="false">IFERROR(IF(ISNUMBER(INDEX(원자료_시장!$A$1:$BZ$1000,설정!$L$6+ROW()-1,설정!$L$32)),INDEX(원자료_시장!$A$1:$BZ$1000,설정!$L$6+ROW()-1,설정!$L$32),""),"")</f>
        <v/>
      </c>
      <c r="K429" s="85" t="str">
        <f aca="false">IFERROR(IF(ISNUMBER(INDEX(원자료_시장!$A$1:$BZ$1000,설정!$L$6+ROW()-1,설정!$L$33)),INDEX(원자료_시장!$A$1:$BZ$1000,설정!$L$6+ROW()-1,설정!$L$33),""),"")</f>
        <v/>
      </c>
      <c r="L429" s="83" t="n">
        <f aca="false">IFERROR(IF(INDEX(원자료_시장!$A$1:$BZ$1000,설정!$L$6+ROW()-1,설정!$L$34)&amp;""="0","",INDEX(원자료_시장!$A$1:$BZ$1000,설정!$L$6+ROW()-1,설정!$L$34)),"")</f>
        <v>0</v>
      </c>
      <c r="M429" s="83" t="n">
        <f aca="false">IFERROR(IF(INDEX(원자료_시장!$A$1:$BZ$1000,설정!$L$6+ROW()-1,설정!$L$35)&amp;""="0","",INDEX(원자료_시장!$A$1:$BZ$1000,설정!$L$6+ROW()-1,설정!$L$35)),"")</f>
        <v>0</v>
      </c>
      <c r="N429" s="83" t="n">
        <f aca="false">IFERROR(IF(INDEX(원자료_시장!$A$1:$BZ$1000,설정!$L$6+ROW()-1,설정!$L$36)&amp;""="0","",INDEX(원자료_시장!$A$1:$BZ$1000,설정!$L$6+ROW()-1,설정!$L$36)),"")</f>
        <v>0</v>
      </c>
      <c r="O429" s="43" t="str">
        <f aca="false">IF($A429="","",UPPER(LEFT($A429,FIND(" ",$A429&amp;" ")-1)))</f>
        <v/>
      </c>
      <c r="P429" s="43" t="str">
        <f aca="false">IF($A429="","",TRIM(RIGHT(SUBSTITUTE(TRIM($A429)," ",REPT(" ",30)),30)))</f>
        <v/>
      </c>
      <c r="Q429" s="98" t="str">
        <f aca="false">IF($A429="","",IFERROR(DATE(IF(LEN(P429)=8,2000+VALUE(RIGHT(P429,2)),VALUE(RIGHT(P429,4))),VALUE(LEFT(P429,2)),VALUE(MID(P429,4,2))),""))</f>
        <v/>
      </c>
      <c r="R429" s="89" t="n">
        <f aca="false">IF($A429="",0,IF(ISNUMBER(SEARCH("Float",$A429)),1,0))</f>
        <v>0</v>
      </c>
      <c r="S429" s="43" t="str">
        <f aca="false">IF($A429="","",TRIM(MID($A429,LEN(O429)+2,LEN($A429)-LEN(O429)-LEN(P429)-1)))</f>
        <v/>
      </c>
      <c r="T429" s="92" t="str">
        <f aca="false">IF(OR($A429="",R429=1),"",IFERROR(IF(ISNUMBER(FIND("/",S429)),IF(ISNUMBER(FIND(" ",S429)),VALUE(LEFT(S429,FIND(" ",S429)-1))+VALUE(MID(S429,FIND(" ",S429)+1,FIND("/",S429)-FIND(" ",S429)-1))/VALUE(MID(S429,FIND("/",S429)+1,9)),VALUE(LEFT(S429,FIND("/",S429)-1))/VALUE(MID(S429,FIND("/",S429)+1,9))),VALUE(S429)),""))</f>
        <v/>
      </c>
      <c r="U429" s="43" t="str">
        <f aca="false">IF(OR($A429="",NOT(ISNUMBER(Q429))),"",TEXT(Q429,"yyyymmdd")&amp;"|"&amp;IF(R429=1,"F",TEXT(T429,"0.000")))</f>
        <v/>
      </c>
      <c r="V429" s="43" t="str">
        <f aca="false">IF(U429="","",O429&amp;"|"&amp;U429)</f>
        <v/>
      </c>
      <c r="W429" s="43" t="str">
        <f aca="false">IF($A429="","",IFERROR(IF(VLOOKUP(O429,매핑!$A$4:$E$92,3,0)="","미분류",VLOOKUP(O429,매핑!$A$4:$E$92,3,0)),"미분류"))</f>
        <v/>
      </c>
      <c r="X429" s="89" t="n">
        <f aca="false">IF($A429="",0,IF(O429="T",1,0))</f>
        <v>0</v>
      </c>
      <c r="Y429" s="89" t="n">
        <f aca="false">IF($A429="",0,IF(AND(C429="USD",X429=0,ISNUMBER(E429),ISNUMBER(K429)),IF(K429&gt;=설정!$C$8,1,0),0))</f>
        <v>0</v>
      </c>
      <c r="Z429" s="43" t="str">
        <f aca="false">IF($A429="","",N429&amp;"|"&amp;L429)</f>
        <v/>
      </c>
      <c r="AA429" s="92" t="n">
        <f aca="false">IF(Y429=1,LN(K429),0)</f>
        <v>0</v>
      </c>
      <c r="AB429" s="93" t="n">
        <f aca="false">IF(Y429=1,E429,0)</f>
        <v>0</v>
      </c>
      <c r="AC429" s="89" t="n">
        <f aca="false">IF(Y429=1,COUNTIFS($Z$2:$Z$601,Z429,$Y$2:$Y$601,1),0)</f>
        <v>0</v>
      </c>
      <c r="AD429" s="89" t="n">
        <f aca="false">IF(Y429=1,COUNTIFS($N$2:$N$601,N429,$Y$2:$Y$601,1),0)</f>
        <v>0</v>
      </c>
      <c r="AE429" s="43" t="str">
        <f aca="false">IF(Y429&lt;&gt;1,"",IF(AND(AC429&gt;=설정!$C$7,ISNUMBER(MATCH(Z429,피어커브!$A:$A,0))),Z429,IF(AND(AD429&gt;=설정!$C$7,ISNUMBER(MATCH(N429&amp;"|전체",피어커브!$A:$A,0))),N429&amp;"|전체","전체|전체")))</f>
        <v/>
      </c>
      <c r="AF429" s="93" t="str">
        <f aca="false">IF(AE429="","",INDEX(피어커브!$K:$K,MATCH(AE429,피어커브!$A:$A,0)))</f>
        <v/>
      </c>
      <c r="AG429" s="93" t="str">
        <f aca="false">IF(AE429="","",INDEX(피어커브!$J:$J,MATCH(AE429,피어커브!$A:$A,0)))</f>
        <v/>
      </c>
      <c r="AH429" s="93" t="str">
        <f aca="false">IF(AE429="","",INDEX(피어커브!$L:$L,MATCH(AE429,피어커브!$A:$A,0)))</f>
        <v/>
      </c>
      <c r="AI429" s="93" t="str">
        <f aca="false">IF(AE429="","",AF429+AG429*AA429)</f>
        <v/>
      </c>
      <c r="AJ429" s="96" t="str">
        <f aca="false">IF(AE429="","",E429-AI429)</f>
        <v/>
      </c>
      <c r="AK429" s="95" t="str">
        <f aca="false">IF(AE429="","",IF(ISNUMBER(AH429),IF(AH429&gt;0,AJ429/AH429,""),""))</f>
        <v/>
      </c>
      <c r="AL429" s="43" t="str">
        <f aca="false">IF(AK429="","-",IF(AK429&gt;=설정!$C$6,"Cheap",IF(AK429&lt;=-설정!$C$6,"Rich","Fair")))</f>
        <v>-</v>
      </c>
      <c r="AM429" s="96" t="str">
        <f aca="false">IF(AE429="","",AJ429-AVERAGEIFS($AJ$2:$AJ$601,$B$2:$B$601,B429,$Y$2:$Y$601,1))</f>
        <v/>
      </c>
      <c r="AN429" s="93" t="n">
        <f aca="false">IF(AE429="",0,IF(K429&gt;1+설정!$C$8,AG429*(AA429-LN(K429-1)),0))</f>
        <v>0</v>
      </c>
      <c r="AO429" s="99" t="n">
        <f aca="false">IF($A429="",0,SUMIFS(보유분석!$AA$2:$AA$801,보유분석!$AB$2:$AB$801,ROW(),보유분석!$AC$2:$AC$801,1))</f>
        <v>0</v>
      </c>
      <c r="AP429" s="43" t="str">
        <f aca="false">IF($A429="","",TRIM(IF(R429=1,"FRN ","")&amp;IF(IFERROR(VLOOKUP(M429,설정!$A$15:$D$47,4,0),0)&gt;=10,IF(IFERROR(VLOOKUP(M429,설정!$A$15:$D$47,4,0),0)&lt;99,"BBB0미만 ",""),"")&amp;IF(OR(M429="",M429="NR"),"등급미입력 ","")&amp;IF(C429&lt;&gt;"USD","비USD ","")))</f>
        <v/>
      </c>
      <c r="AQ429" s="90" t="n">
        <f aca="false">IF(AND(Y429=1,AL429="Cheap"),IF(AND(ISERROR(SEARCH("FRN",AP429)),ISERROR(SEARCH("BBB0미만",AP429))),AK429+ROW()/1000000000,-999),-999)</f>
        <v>-999</v>
      </c>
      <c r="AR429" s="92" t="str">
        <f aca="false">IF(AND(ISNUMBER(D429),ISNUMBER(K429)),D429+AN429*MAX(K429-1,0)/100,"")</f>
        <v/>
      </c>
      <c r="AS429" s="93" t="str">
        <f aca="false">IF(AND(ISNUMBER(E429),ISNUMBER(K429)),IF(K429&gt;0,(E429+AN429*MAX(K429-1,0))/K429,""),"")</f>
        <v/>
      </c>
      <c r="AT429" s="90" t="n">
        <f aca="false">IFERROR(IF(AND(Y429=1,ROW()&lt;&gt;스왑분석!$C$12+1,ABS(K429-INDEX($K$2:$K$601,스왑분석!$C$12))&lt;=스왑분석!$C$5,ISERROR(SEARCH("FRN",AP429)),ISERROR(SEARCH("BBB0미만",AP429))),IF(AND(OR(스왑분석!$C$6="N",L429=INDEX($L$2:$L$601,스왑분석!$C$12)),OR(스왑분석!$C$7="N",N429=INDEX($N$2:$N$601,스왑분석!$C$12)),OR(스왑분석!$C$8="N",AO429=0),E429-INDEX($E$2:$E$601,스왑분석!$C$12)&gt;=스왑분석!$C$9),E429-INDEX($E$2:$E$601,스왑분석!$C$12)+ROW()/1000000000,-999),-999),-999)</f>
        <v>-999</v>
      </c>
      <c r="AU429" s="90" t="n">
        <f aca="false">IF(AND(Y429=1,AO429&gt;0,AL429="Rich"),-AK429+ROW()/1000000000,-999)</f>
        <v>-999</v>
      </c>
    </row>
    <row r="430" customFormat="false" ht="15" hidden="false" customHeight="false" outlineLevel="0" collapsed="false">
      <c r="A430" s="83" t="n">
        <f aca="false">IFERROR(IF(INDEX(원자료_시장!$A$1:$BZ$1000,설정!$L$6+ROW()-1,설정!$L$24)&amp;""="0","",INDEX(원자료_시장!$A$1:$BZ$1000,설정!$L$6+ROW()-1,설정!$L$24)),"")</f>
        <v>0</v>
      </c>
      <c r="B430" s="83" t="n">
        <f aca="false">IFERROR(IF(INDEX(원자료_시장!$A$1:$BZ$1000,설정!$L$6+ROW()-1,설정!$L$37)&amp;""="0","",INDEX(원자료_시장!$A$1:$BZ$1000,설정!$L$6+ROW()-1,설정!$L$37)),"")</f>
        <v>0</v>
      </c>
      <c r="C430" s="83" t="n">
        <f aca="false">IFERROR(IF(INDEX(원자료_시장!$A$1:$BZ$1000,설정!$L$6+ROW()-1,설정!$L$25)&amp;""="0","",INDEX(원자료_시장!$A$1:$BZ$1000,설정!$L$6+ROW()-1,설정!$L$25)),"")</f>
        <v>0</v>
      </c>
      <c r="D430" s="85" t="str">
        <f aca="false">IFERROR(IF(ISNUMBER(INDEX(원자료_시장!$A$1:$BZ$1000,설정!$L$6+ROW()-1,설정!$L$26)),INDEX(원자료_시장!$A$1:$BZ$1000,설정!$L$6+ROW()-1,설정!$L$26),""),"")</f>
        <v/>
      </c>
      <c r="E430" s="97" t="str">
        <f aca="false">IFERROR(IF(ISNUMBER(INDEX(원자료_시장!$A$1:$BZ$1000,설정!$L$6+ROW()-1,설정!$L$27)),INDEX(원자료_시장!$A$1:$BZ$1000,설정!$L$6+ROW()-1,설정!$L$27),""),"")</f>
        <v/>
      </c>
      <c r="F430" s="97" t="str">
        <f aca="false">IFERROR(IF(ISNUMBER(INDEX(원자료_시장!$A$1:$BZ$1000,설정!$L$6+ROW()-1,설정!$L$28)),INDEX(원자료_시장!$A$1:$BZ$1000,설정!$L$6+ROW()-1,설정!$L$28),""),"")</f>
        <v/>
      </c>
      <c r="G430" s="97" t="str">
        <f aca="false">IFERROR(IF(ISNUMBER(INDEX(원자료_시장!$A$1:$BZ$1000,설정!$L$6+ROW()-1,설정!$L$29)),INDEX(원자료_시장!$A$1:$BZ$1000,설정!$L$6+ROW()-1,설정!$L$29),""),"")</f>
        <v/>
      </c>
      <c r="H430" s="97" t="str">
        <f aca="false">IFERROR(IF(ISNUMBER(INDEX(원자료_시장!$A$1:$BZ$1000,설정!$L$6+ROW()-1,설정!$L$30)),INDEX(원자료_시장!$A$1:$BZ$1000,설정!$L$6+ROW()-1,설정!$L$30),""),"")</f>
        <v/>
      </c>
      <c r="I430" s="97" t="str">
        <f aca="false">IFERROR(IF(ISNUMBER(INDEX(원자료_시장!$A$1:$BZ$1000,설정!$L$6+ROW()-1,설정!$L$31)),INDEX(원자료_시장!$A$1:$BZ$1000,설정!$L$6+ROW()-1,설정!$L$31),""),"")</f>
        <v/>
      </c>
      <c r="J430" s="97" t="str">
        <f aca="false">IFERROR(IF(ISNUMBER(INDEX(원자료_시장!$A$1:$BZ$1000,설정!$L$6+ROW()-1,설정!$L$32)),INDEX(원자료_시장!$A$1:$BZ$1000,설정!$L$6+ROW()-1,설정!$L$32),""),"")</f>
        <v/>
      </c>
      <c r="K430" s="85" t="str">
        <f aca="false">IFERROR(IF(ISNUMBER(INDEX(원자료_시장!$A$1:$BZ$1000,설정!$L$6+ROW()-1,설정!$L$33)),INDEX(원자료_시장!$A$1:$BZ$1000,설정!$L$6+ROW()-1,설정!$L$33),""),"")</f>
        <v/>
      </c>
      <c r="L430" s="83" t="n">
        <f aca="false">IFERROR(IF(INDEX(원자료_시장!$A$1:$BZ$1000,설정!$L$6+ROW()-1,설정!$L$34)&amp;""="0","",INDEX(원자료_시장!$A$1:$BZ$1000,설정!$L$6+ROW()-1,설정!$L$34)),"")</f>
        <v>0</v>
      </c>
      <c r="M430" s="83" t="n">
        <f aca="false">IFERROR(IF(INDEX(원자료_시장!$A$1:$BZ$1000,설정!$L$6+ROW()-1,설정!$L$35)&amp;""="0","",INDEX(원자료_시장!$A$1:$BZ$1000,설정!$L$6+ROW()-1,설정!$L$35)),"")</f>
        <v>0</v>
      </c>
      <c r="N430" s="83" t="n">
        <f aca="false">IFERROR(IF(INDEX(원자료_시장!$A$1:$BZ$1000,설정!$L$6+ROW()-1,설정!$L$36)&amp;""="0","",INDEX(원자료_시장!$A$1:$BZ$1000,설정!$L$6+ROW()-1,설정!$L$36)),"")</f>
        <v>0</v>
      </c>
      <c r="O430" s="43" t="str">
        <f aca="false">IF($A430="","",UPPER(LEFT($A430,FIND(" ",$A430&amp;" ")-1)))</f>
        <v/>
      </c>
      <c r="P430" s="43" t="str">
        <f aca="false">IF($A430="","",TRIM(RIGHT(SUBSTITUTE(TRIM($A430)," ",REPT(" ",30)),30)))</f>
        <v/>
      </c>
      <c r="Q430" s="98" t="str">
        <f aca="false">IF($A430="","",IFERROR(DATE(IF(LEN(P430)=8,2000+VALUE(RIGHT(P430,2)),VALUE(RIGHT(P430,4))),VALUE(LEFT(P430,2)),VALUE(MID(P430,4,2))),""))</f>
        <v/>
      </c>
      <c r="R430" s="89" t="n">
        <f aca="false">IF($A430="",0,IF(ISNUMBER(SEARCH("Float",$A430)),1,0))</f>
        <v>0</v>
      </c>
      <c r="S430" s="43" t="str">
        <f aca="false">IF($A430="","",TRIM(MID($A430,LEN(O430)+2,LEN($A430)-LEN(O430)-LEN(P430)-1)))</f>
        <v/>
      </c>
      <c r="T430" s="92" t="str">
        <f aca="false">IF(OR($A430="",R430=1),"",IFERROR(IF(ISNUMBER(FIND("/",S430)),IF(ISNUMBER(FIND(" ",S430)),VALUE(LEFT(S430,FIND(" ",S430)-1))+VALUE(MID(S430,FIND(" ",S430)+1,FIND("/",S430)-FIND(" ",S430)-1))/VALUE(MID(S430,FIND("/",S430)+1,9)),VALUE(LEFT(S430,FIND("/",S430)-1))/VALUE(MID(S430,FIND("/",S430)+1,9))),VALUE(S430)),""))</f>
        <v/>
      </c>
      <c r="U430" s="43" t="str">
        <f aca="false">IF(OR($A430="",NOT(ISNUMBER(Q430))),"",TEXT(Q430,"yyyymmdd")&amp;"|"&amp;IF(R430=1,"F",TEXT(T430,"0.000")))</f>
        <v/>
      </c>
      <c r="V430" s="43" t="str">
        <f aca="false">IF(U430="","",O430&amp;"|"&amp;U430)</f>
        <v/>
      </c>
      <c r="W430" s="43" t="str">
        <f aca="false">IF($A430="","",IFERROR(IF(VLOOKUP(O430,매핑!$A$4:$E$92,3,0)="","미분류",VLOOKUP(O430,매핑!$A$4:$E$92,3,0)),"미분류"))</f>
        <v/>
      </c>
      <c r="X430" s="89" t="n">
        <f aca="false">IF($A430="",0,IF(O430="T",1,0))</f>
        <v>0</v>
      </c>
      <c r="Y430" s="89" t="n">
        <f aca="false">IF($A430="",0,IF(AND(C430="USD",X430=0,ISNUMBER(E430),ISNUMBER(K430)),IF(K430&gt;=설정!$C$8,1,0),0))</f>
        <v>0</v>
      </c>
      <c r="Z430" s="43" t="str">
        <f aca="false">IF($A430="","",N430&amp;"|"&amp;L430)</f>
        <v/>
      </c>
      <c r="AA430" s="92" t="n">
        <f aca="false">IF(Y430=1,LN(K430),0)</f>
        <v>0</v>
      </c>
      <c r="AB430" s="93" t="n">
        <f aca="false">IF(Y430=1,E430,0)</f>
        <v>0</v>
      </c>
      <c r="AC430" s="89" t="n">
        <f aca="false">IF(Y430=1,COUNTIFS($Z$2:$Z$601,Z430,$Y$2:$Y$601,1),0)</f>
        <v>0</v>
      </c>
      <c r="AD430" s="89" t="n">
        <f aca="false">IF(Y430=1,COUNTIFS($N$2:$N$601,N430,$Y$2:$Y$601,1),0)</f>
        <v>0</v>
      </c>
      <c r="AE430" s="43" t="str">
        <f aca="false">IF(Y430&lt;&gt;1,"",IF(AND(AC430&gt;=설정!$C$7,ISNUMBER(MATCH(Z430,피어커브!$A:$A,0))),Z430,IF(AND(AD430&gt;=설정!$C$7,ISNUMBER(MATCH(N430&amp;"|전체",피어커브!$A:$A,0))),N430&amp;"|전체","전체|전체")))</f>
        <v/>
      </c>
      <c r="AF430" s="93" t="str">
        <f aca="false">IF(AE430="","",INDEX(피어커브!$K:$K,MATCH(AE430,피어커브!$A:$A,0)))</f>
        <v/>
      </c>
      <c r="AG430" s="93" t="str">
        <f aca="false">IF(AE430="","",INDEX(피어커브!$J:$J,MATCH(AE430,피어커브!$A:$A,0)))</f>
        <v/>
      </c>
      <c r="AH430" s="93" t="str">
        <f aca="false">IF(AE430="","",INDEX(피어커브!$L:$L,MATCH(AE430,피어커브!$A:$A,0)))</f>
        <v/>
      </c>
      <c r="AI430" s="93" t="str">
        <f aca="false">IF(AE430="","",AF430+AG430*AA430)</f>
        <v/>
      </c>
      <c r="AJ430" s="96" t="str">
        <f aca="false">IF(AE430="","",E430-AI430)</f>
        <v/>
      </c>
      <c r="AK430" s="95" t="str">
        <f aca="false">IF(AE430="","",IF(ISNUMBER(AH430),IF(AH430&gt;0,AJ430/AH430,""),""))</f>
        <v/>
      </c>
      <c r="AL430" s="43" t="str">
        <f aca="false">IF(AK430="","-",IF(AK430&gt;=설정!$C$6,"Cheap",IF(AK430&lt;=-설정!$C$6,"Rich","Fair")))</f>
        <v>-</v>
      </c>
      <c r="AM430" s="96" t="str">
        <f aca="false">IF(AE430="","",AJ430-AVERAGEIFS($AJ$2:$AJ$601,$B$2:$B$601,B430,$Y$2:$Y$601,1))</f>
        <v/>
      </c>
      <c r="AN430" s="93" t="n">
        <f aca="false">IF(AE430="",0,IF(K430&gt;1+설정!$C$8,AG430*(AA430-LN(K430-1)),0))</f>
        <v>0</v>
      </c>
      <c r="AO430" s="99" t="n">
        <f aca="false">IF($A430="",0,SUMIFS(보유분석!$AA$2:$AA$801,보유분석!$AB$2:$AB$801,ROW(),보유분석!$AC$2:$AC$801,1))</f>
        <v>0</v>
      </c>
      <c r="AP430" s="43" t="str">
        <f aca="false">IF($A430="","",TRIM(IF(R430=1,"FRN ","")&amp;IF(IFERROR(VLOOKUP(M430,설정!$A$15:$D$47,4,0),0)&gt;=10,IF(IFERROR(VLOOKUP(M430,설정!$A$15:$D$47,4,0),0)&lt;99,"BBB0미만 ",""),"")&amp;IF(OR(M430="",M430="NR"),"등급미입력 ","")&amp;IF(C430&lt;&gt;"USD","비USD ","")))</f>
        <v/>
      </c>
      <c r="AQ430" s="90" t="n">
        <f aca="false">IF(AND(Y430=1,AL430="Cheap"),IF(AND(ISERROR(SEARCH("FRN",AP430)),ISERROR(SEARCH("BBB0미만",AP430))),AK430+ROW()/1000000000,-999),-999)</f>
        <v>-999</v>
      </c>
      <c r="AR430" s="92" t="str">
        <f aca="false">IF(AND(ISNUMBER(D430),ISNUMBER(K430)),D430+AN430*MAX(K430-1,0)/100,"")</f>
        <v/>
      </c>
      <c r="AS430" s="93" t="str">
        <f aca="false">IF(AND(ISNUMBER(E430),ISNUMBER(K430)),IF(K430&gt;0,(E430+AN430*MAX(K430-1,0))/K430,""),"")</f>
        <v/>
      </c>
      <c r="AT430" s="90" t="n">
        <f aca="false">IFERROR(IF(AND(Y430=1,ROW()&lt;&gt;스왑분석!$C$12+1,ABS(K430-INDEX($K$2:$K$601,스왑분석!$C$12))&lt;=스왑분석!$C$5,ISERROR(SEARCH("FRN",AP430)),ISERROR(SEARCH("BBB0미만",AP430))),IF(AND(OR(스왑분석!$C$6="N",L430=INDEX($L$2:$L$601,스왑분석!$C$12)),OR(스왑분석!$C$7="N",N430=INDEX($N$2:$N$601,스왑분석!$C$12)),OR(스왑분석!$C$8="N",AO430=0),E430-INDEX($E$2:$E$601,스왑분석!$C$12)&gt;=스왑분석!$C$9),E430-INDEX($E$2:$E$601,스왑분석!$C$12)+ROW()/1000000000,-999),-999),-999)</f>
        <v>-999</v>
      </c>
      <c r="AU430" s="90" t="n">
        <f aca="false">IF(AND(Y430=1,AO430&gt;0,AL430="Rich"),-AK430+ROW()/1000000000,-999)</f>
        <v>-999</v>
      </c>
    </row>
    <row r="431" customFormat="false" ht="15" hidden="false" customHeight="false" outlineLevel="0" collapsed="false">
      <c r="A431" s="83" t="n">
        <f aca="false">IFERROR(IF(INDEX(원자료_시장!$A$1:$BZ$1000,설정!$L$6+ROW()-1,설정!$L$24)&amp;""="0","",INDEX(원자료_시장!$A$1:$BZ$1000,설정!$L$6+ROW()-1,설정!$L$24)),"")</f>
        <v>0</v>
      </c>
      <c r="B431" s="83" t="n">
        <f aca="false">IFERROR(IF(INDEX(원자료_시장!$A$1:$BZ$1000,설정!$L$6+ROW()-1,설정!$L$37)&amp;""="0","",INDEX(원자료_시장!$A$1:$BZ$1000,설정!$L$6+ROW()-1,설정!$L$37)),"")</f>
        <v>0</v>
      </c>
      <c r="C431" s="83" t="n">
        <f aca="false">IFERROR(IF(INDEX(원자료_시장!$A$1:$BZ$1000,설정!$L$6+ROW()-1,설정!$L$25)&amp;""="0","",INDEX(원자료_시장!$A$1:$BZ$1000,설정!$L$6+ROW()-1,설정!$L$25)),"")</f>
        <v>0</v>
      </c>
      <c r="D431" s="85" t="str">
        <f aca="false">IFERROR(IF(ISNUMBER(INDEX(원자료_시장!$A$1:$BZ$1000,설정!$L$6+ROW()-1,설정!$L$26)),INDEX(원자료_시장!$A$1:$BZ$1000,설정!$L$6+ROW()-1,설정!$L$26),""),"")</f>
        <v/>
      </c>
      <c r="E431" s="97" t="str">
        <f aca="false">IFERROR(IF(ISNUMBER(INDEX(원자료_시장!$A$1:$BZ$1000,설정!$L$6+ROW()-1,설정!$L$27)),INDEX(원자료_시장!$A$1:$BZ$1000,설정!$L$6+ROW()-1,설정!$L$27),""),"")</f>
        <v/>
      </c>
      <c r="F431" s="97" t="str">
        <f aca="false">IFERROR(IF(ISNUMBER(INDEX(원자료_시장!$A$1:$BZ$1000,설정!$L$6+ROW()-1,설정!$L$28)),INDEX(원자료_시장!$A$1:$BZ$1000,설정!$L$6+ROW()-1,설정!$L$28),""),"")</f>
        <v/>
      </c>
      <c r="G431" s="97" t="str">
        <f aca="false">IFERROR(IF(ISNUMBER(INDEX(원자료_시장!$A$1:$BZ$1000,설정!$L$6+ROW()-1,설정!$L$29)),INDEX(원자료_시장!$A$1:$BZ$1000,설정!$L$6+ROW()-1,설정!$L$29),""),"")</f>
        <v/>
      </c>
      <c r="H431" s="97" t="str">
        <f aca="false">IFERROR(IF(ISNUMBER(INDEX(원자료_시장!$A$1:$BZ$1000,설정!$L$6+ROW()-1,설정!$L$30)),INDEX(원자료_시장!$A$1:$BZ$1000,설정!$L$6+ROW()-1,설정!$L$30),""),"")</f>
        <v/>
      </c>
      <c r="I431" s="97" t="str">
        <f aca="false">IFERROR(IF(ISNUMBER(INDEX(원자료_시장!$A$1:$BZ$1000,설정!$L$6+ROW()-1,설정!$L$31)),INDEX(원자료_시장!$A$1:$BZ$1000,설정!$L$6+ROW()-1,설정!$L$31),""),"")</f>
        <v/>
      </c>
      <c r="J431" s="97" t="str">
        <f aca="false">IFERROR(IF(ISNUMBER(INDEX(원자료_시장!$A$1:$BZ$1000,설정!$L$6+ROW()-1,설정!$L$32)),INDEX(원자료_시장!$A$1:$BZ$1000,설정!$L$6+ROW()-1,설정!$L$32),""),"")</f>
        <v/>
      </c>
      <c r="K431" s="85" t="str">
        <f aca="false">IFERROR(IF(ISNUMBER(INDEX(원자료_시장!$A$1:$BZ$1000,설정!$L$6+ROW()-1,설정!$L$33)),INDEX(원자료_시장!$A$1:$BZ$1000,설정!$L$6+ROW()-1,설정!$L$33),""),"")</f>
        <v/>
      </c>
      <c r="L431" s="83" t="n">
        <f aca="false">IFERROR(IF(INDEX(원자료_시장!$A$1:$BZ$1000,설정!$L$6+ROW()-1,설정!$L$34)&amp;""="0","",INDEX(원자료_시장!$A$1:$BZ$1000,설정!$L$6+ROW()-1,설정!$L$34)),"")</f>
        <v>0</v>
      </c>
      <c r="M431" s="83" t="n">
        <f aca="false">IFERROR(IF(INDEX(원자료_시장!$A$1:$BZ$1000,설정!$L$6+ROW()-1,설정!$L$35)&amp;""="0","",INDEX(원자료_시장!$A$1:$BZ$1000,설정!$L$6+ROW()-1,설정!$L$35)),"")</f>
        <v>0</v>
      </c>
      <c r="N431" s="83" t="n">
        <f aca="false">IFERROR(IF(INDEX(원자료_시장!$A$1:$BZ$1000,설정!$L$6+ROW()-1,설정!$L$36)&amp;""="0","",INDEX(원자료_시장!$A$1:$BZ$1000,설정!$L$6+ROW()-1,설정!$L$36)),"")</f>
        <v>0</v>
      </c>
      <c r="O431" s="43" t="str">
        <f aca="false">IF($A431="","",UPPER(LEFT($A431,FIND(" ",$A431&amp;" ")-1)))</f>
        <v/>
      </c>
      <c r="P431" s="43" t="str">
        <f aca="false">IF($A431="","",TRIM(RIGHT(SUBSTITUTE(TRIM($A431)," ",REPT(" ",30)),30)))</f>
        <v/>
      </c>
      <c r="Q431" s="98" t="str">
        <f aca="false">IF($A431="","",IFERROR(DATE(IF(LEN(P431)=8,2000+VALUE(RIGHT(P431,2)),VALUE(RIGHT(P431,4))),VALUE(LEFT(P431,2)),VALUE(MID(P431,4,2))),""))</f>
        <v/>
      </c>
      <c r="R431" s="89" t="n">
        <f aca="false">IF($A431="",0,IF(ISNUMBER(SEARCH("Float",$A431)),1,0))</f>
        <v>0</v>
      </c>
      <c r="S431" s="43" t="str">
        <f aca="false">IF($A431="","",TRIM(MID($A431,LEN(O431)+2,LEN($A431)-LEN(O431)-LEN(P431)-1)))</f>
        <v/>
      </c>
      <c r="T431" s="92" t="str">
        <f aca="false">IF(OR($A431="",R431=1),"",IFERROR(IF(ISNUMBER(FIND("/",S431)),IF(ISNUMBER(FIND(" ",S431)),VALUE(LEFT(S431,FIND(" ",S431)-1))+VALUE(MID(S431,FIND(" ",S431)+1,FIND("/",S431)-FIND(" ",S431)-1))/VALUE(MID(S431,FIND("/",S431)+1,9)),VALUE(LEFT(S431,FIND("/",S431)-1))/VALUE(MID(S431,FIND("/",S431)+1,9))),VALUE(S431)),""))</f>
        <v/>
      </c>
      <c r="U431" s="43" t="str">
        <f aca="false">IF(OR($A431="",NOT(ISNUMBER(Q431))),"",TEXT(Q431,"yyyymmdd")&amp;"|"&amp;IF(R431=1,"F",TEXT(T431,"0.000")))</f>
        <v/>
      </c>
      <c r="V431" s="43" t="str">
        <f aca="false">IF(U431="","",O431&amp;"|"&amp;U431)</f>
        <v/>
      </c>
      <c r="W431" s="43" t="str">
        <f aca="false">IF($A431="","",IFERROR(IF(VLOOKUP(O431,매핑!$A$4:$E$92,3,0)="","미분류",VLOOKUP(O431,매핑!$A$4:$E$92,3,0)),"미분류"))</f>
        <v/>
      </c>
      <c r="X431" s="89" t="n">
        <f aca="false">IF($A431="",0,IF(O431="T",1,0))</f>
        <v>0</v>
      </c>
      <c r="Y431" s="89" t="n">
        <f aca="false">IF($A431="",0,IF(AND(C431="USD",X431=0,ISNUMBER(E431),ISNUMBER(K431)),IF(K431&gt;=설정!$C$8,1,0),0))</f>
        <v>0</v>
      </c>
      <c r="Z431" s="43" t="str">
        <f aca="false">IF($A431="","",N431&amp;"|"&amp;L431)</f>
        <v/>
      </c>
      <c r="AA431" s="92" t="n">
        <f aca="false">IF(Y431=1,LN(K431),0)</f>
        <v>0</v>
      </c>
      <c r="AB431" s="93" t="n">
        <f aca="false">IF(Y431=1,E431,0)</f>
        <v>0</v>
      </c>
      <c r="AC431" s="89" t="n">
        <f aca="false">IF(Y431=1,COUNTIFS($Z$2:$Z$601,Z431,$Y$2:$Y$601,1),0)</f>
        <v>0</v>
      </c>
      <c r="AD431" s="89" t="n">
        <f aca="false">IF(Y431=1,COUNTIFS($N$2:$N$601,N431,$Y$2:$Y$601,1),0)</f>
        <v>0</v>
      </c>
      <c r="AE431" s="43" t="str">
        <f aca="false">IF(Y431&lt;&gt;1,"",IF(AND(AC431&gt;=설정!$C$7,ISNUMBER(MATCH(Z431,피어커브!$A:$A,0))),Z431,IF(AND(AD431&gt;=설정!$C$7,ISNUMBER(MATCH(N431&amp;"|전체",피어커브!$A:$A,0))),N431&amp;"|전체","전체|전체")))</f>
        <v/>
      </c>
      <c r="AF431" s="93" t="str">
        <f aca="false">IF(AE431="","",INDEX(피어커브!$K:$K,MATCH(AE431,피어커브!$A:$A,0)))</f>
        <v/>
      </c>
      <c r="AG431" s="93" t="str">
        <f aca="false">IF(AE431="","",INDEX(피어커브!$J:$J,MATCH(AE431,피어커브!$A:$A,0)))</f>
        <v/>
      </c>
      <c r="AH431" s="93" t="str">
        <f aca="false">IF(AE431="","",INDEX(피어커브!$L:$L,MATCH(AE431,피어커브!$A:$A,0)))</f>
        <v/>
      </c>
      <c r="AI431" s="93" t="str">
        <f aca="false">IF(AE431="","",AF431+AG431*AA431)</f>
        <v/>
      </c>
      <c r="AJ431" s="96" t="str">
        <f aca="false">IF(AE431="","",E431-AI431)</f>
        <v/>
      </c>
      <c r="AK431" s="95" t="str">
        <f aca="false">IF(AE431="","",IF(ISNUMBER(AH431),IF(AH431&gt;0,AJ431/AH431,""),""))</f>
        <v/>
      </c>
      <c r="AL431" s="43" t="str">
        <f aca="false">IF(AK431="","-",IF(AK431&gt;=설정!$C$6,"Cheap",IF(AK431&lt;=-설정!$C$6,"Rich","Fair")))</f>
        <v>-</v>
      </c>
      <c r="AM431" s="96" t="str">
        <f aca="false">IF(AE431="","",AJ431-AVERAGEIFS($AJ$2:$AJ$601,$B$2:$B$601,B431,$Y$2:$Y$601,1))</f>
        <v/>
      </c>
      <c r="AN431" s="93" t="n">
        <f aca="false">IF(AE431="",0,IF(K431&gt;1+설정!$C$8,AG431*(AA431-LN(K431-1)),0))</f>
        <v>0</v>
      </c>
      <c r="AO431" s="99" t="n">
        <f aca="false">IF($A431="",0,SUMIFS(보유분석!$AA$2:$AA$801,보유분석!$AB$2:$AB$801,ROW(),보유분석!$AC$2:$AC$801,1))</f>
        <v>0</v>
      </c>
      <c r="AP431" s="43" t="str">
        <f aca="false">IF($A431="","",TRIM(IF(R431=1,"FRN ","")&amp;IF(IFERROR(VLOOKUP(M431,설정!$A$15:$D$47,4,0),0)&gt;=10,IF(IFERROR(VLOOKUP(M431,설정!$A$15:$D$47,4,0),0)&lt;99,"BBB0미만 ",""),"")&amp;IF(OR(M431="",M431="NR"),"등급미입력 ","")&amp;IF(C431&lt;&gt;"USD","비USD ","")))</f>
        <v/>
      </c>
      <c r="AQ431" s="90" t="n">
        <f aca="false">IF(AND(Y431=1,AL431="Cheap"),IF(AND(ISERROR(SEARCH("FRN",AP431)),ISERROR(SEARCH("BBB0미만",AP431))),AK431+ROW()/1000000000,-999),-999)</f>
        <v>-999</v>
      </c>
      <c r="AR431" s="92" t="str">
        <f aca="false">IF(AND(ISNUMBER(D431),ISNUMBER(K431)),D431+AN431*MAX(K431-1,0)/100,"")</f>
        <v/>
      </c>
      <c r="AS431" s="93" t="str">
        <f aca="false">IF(AND(ISNUMBER(E431),ISNUMBER(K431)),IF(K431&gt;0,(E431+AN431*MAX(K431-1,0))/K431,""),"")</f>
        <v/>
      </c>
      <c r="AT431" s="90" t="n">
        <f aca="false">IFERROR(IF(AND(Y431=1,ROW()&lt;&gt;스왑분석!$C$12+1,ABS(K431-INDEX($K$2:$K$601,스왑분석!$C$12))&lt;=스왑분석!$C$5,ISERROR(SEARCH("FRN",AP431)),ISERROR(SEARCH("BBB0미만",AP431))),IF(AND(OR(스왑분석!$C$6="N",L431=INDEX($L$2:$L$601,스왑분석!$C$12)),OR(스왑분석!$C$7="N",N431=INDEX($N$2:$N$601,스왑분석!$C$12)),OR(스왑분석!$C$8="N",AO431=0),E431-INDEX($E$2:$E$601,스왑분석!$C$12)&gt;=스왑분석!$C$9),E431-INDEX($E$2:$E$601,스왑분석!$C$12)+ROW()/1000000000,-999),-999),-999)</f>
        <v>-999</v>
      </c>
      <c r="AU431" s="90" t="n">
        <f aca="false">IF(AND(Y431=1,AO431&gt;0,AL431="Rich"),-AK431+ROW()/1000000000,-999)</f>
        <v>-999</v>
      </c>
    </row>
    <row r="432" customFormat="false" ht="15" hidden="false" customHeight="false" outlineLevel="0" collapsed="false">
      <c r="A432" s="83" t="n">
        <f aca="false">IFERROR(IF(INDEX(원자료_시장!$A$1:$BZ$1000,설정!$L$6+ROW()-1,설정!$L$24)&amp;""="0","",INDEX(원자료_시장!$A$1:$BZ$1000,설정!$L$6+ROW()-1,설정!$L$24)),"")</f>
        <v>0</v>
      </c>
      <c r="B432" s="83" t="n">
        <f aca="false">IFERROR(IF(INDEX(원자료_시장!$A$1:$BZ$1000,설정!$L$6+ROW()-1,설정!$L$37)&amp;""="0","",INDEX(원자료_시장!$A$1:$BZ$1000,설정!$L$6+ROW()-1,설정!$L$37)),"")</f>
        <v>0</v>
      </c>
      <c r="C432" s="83" t="n">
        <f aca="false">IFERROR(IF(INDEX(원자료_시장!$A$1:$BZ$1000,설정!$L$6+ROW()-1,설정!$L$25)&amp;""="0","",INDEX(원자료_시장!$A$1:$BZ$1000,설정!$L$6+ROW()-1,설정!$L$25)),"")</f>
        <v>0</v>
      </c>
      <c r="D432" s="85" t="str">
        <f aca="false">IFERROR(IF(ISNUMBER(INDEX(원자료_시장!$A$1:$BZ$1000,설정!$L$6+ROW()-1,설정!$L$26)),INDEX(원자료_시장!$A$1:$BZ$1000,설정!$L$6+ROW()-1,설정!$L$26),""),"")</f>
        <v/>
      </c>
      <c r="E432" s="97" t="str">
        <f aca="false">IFERROR(IF(ISNUMBER(INDEX(원자료_시장!$A$1:$BZ$1000,설정!$L$6+ROW()-1,설정!$L$27)),INDEX(원자료_시장!$A$1:$BZ$1000,설정!$L$6+ROW()-1,설정!$L$27),""),"")</f>
        <v/>
      </c>
      <c r="F432" s="97" t="str">
        <f aca="false">IFERROR(IF(ISNUMBER(INDEX(원자료_시장!$A$1:$BZ$1000,설정!$L$6+ROW()-1,설정!$L$28)),INDEX(원자료_시장!$A$1:$BZ$1000,설정!$L$6+ROW()-1,설정!$L$28),""),"")</f>
        <v/>
      </c>
      <c r="G432" s="97" t="str">
        <f aca="false">IFERROR(IF(ISNUMBER(INDEX(원자료_시장!$A$1:$BZ$1000,설정!$L$6+ROW()-1,설정!$L$29)),INDEX(원자료_시장!$A$1:$BZ$1000,설정!$L$6+ROW()-1,설정!$L$29),""),"")</f>
        <v/>
      </c>
      <c r="H432" s="97" t="str">
        <f aca="false">IFERROR(IF(ISNUMBER(INDEX(원자료_시장!$A$1:$BZ$1000,설정!$L$6+ROW()-1,설정!$L$30)),INDEX(원자료_시장!$A$1:$BZ$1000,설정!$L$6+ROW()-1,설정!$L$30),""),"")</f>
        <v/>
      </c>
      <c r="I432" s="97" t="str">
        <f aca="false">IFERROR(IF(ISNUMBER(INDEX(원자료_시장!$A$1:$BZ$1000,설정!$L$6+ROW()-1,설정!$L$31)),INDEX(원자료_시장!$A$1:$BZ$1000,설정!$L$6+ROW()-1,설정!$L$31),""),"")</f>
        <v/>
      </c>
      <c r="J432" s="97" t="str">
        <f aca="false">IFERROR(IF(ISNUMBER(INDEX(원자료_시장!$A$1:$BZ$1000,설정!$L$6+ROW()-1,설정!$L$32)),INDEX(원자료_시장!$A$1:$BZ$1000,설정!$L$6+ROW()-1,설정!$L$32),""),"")</f>
        <v/>
      </c>
      <c r="K432" s="85" t="str">
        <f aca="false">IFERROR(IF(ISNUMBER(INDEX(원자료_시장!$A$1:$BZ$1000,설정!$L$6+ROW()-1,설정!$L$33)),INDEX(원자료_시장!$A$1:$BZ$1000,설정!$L$6+ROW()-1,설정!$L$33),""),"")</f>
        <v/>
      </c>
      <c r="L432" s="83" t="n">
        <f aca="false">IFERROR(IF(INDEX(원자료_시장!$A$1:$BZ$1000,설정!$L$6+ROW()-1,설정!$L$34)&amp;""="0","",INDEX(원자료_시장!$A$1:$BZ$1000,설정!$L$6+ROW()-1,설정!$L$34)),"")</f>
        <v>0</v>
      </c>
      <c r="M432" s="83" t="n">
        <f aca="false">IFERROR(IF(INDEX(원자료_시장!$A$1:$BZ$1000,설정!$L$6+ROW()-1,설정!$L$35)&amp;""="0","",INDEX(원자료_시장!$A$1:$BZ$1000,설정!$L$6+ROW()-1,설정!$L$35)),"")</f>
        <v>0</v>
      </c>
      <c r="N432" s="83" t="n">
        <f aca="false">IFERROR(IF(INDEX(원자료_시장!$A$1:$BZ$1000,설정!$L$6+ROW()-1,설정!$L$36)&amp;""="0","",INDEX(원자료_시장!$A$1:$BZ$1000,설정!$L$6+ROW()-1,설정!$L$36)),"")</f>
        <v>0</v>
      </c>
      <c r="O432" s="43" t="str">
        <f aca="false">IF($A432="","",UPPER(LEFT($A432,FIND(" ",$A432&amp;" ")-1)))</f>
        <v/>
      </c>
      <c r="P432" s="43" t="str">
        <f aca="false">IF($A432="","",TRIM(RIGHT(SUBSTITUTE(TRIM($A432)," ",REPT(" ",30)),30)))</f>
        <v/>
      </c>
      <c r="Q432" s="98" t="str">
        <f aca="false">IF($A432="","",IFERROR(DATE(IF(LEN(P432)=8,2000+VALUE(RIGHT(P432,2)),VALUE(RIGHT(P432,4))),VALUE(LEFT(P432,2)),VALUE(MID(P432,4,2))),""))</f>
        <v/>
      </c>
      <c r="R432" s="89" t="n">
        <f aca="false">IF($A432="",0,IF(ISNUMBER(SEARCH("Float",$A432)),1,0))</f>
        <v>0</v>
      </c>
      <c r="S432" s="43" t="str">
        <f aca="false">IF($A432="","",TRIM(MID($A432,LEN(O432)+2,LEN($A432)-LEN(O432)-LEN(P432)-1)))</f>
        <v/>
      </c>
      <c r="T432" s="92" t="str">
        <f aca="false">IF(OR($A432="",R432=1),"",IFERROR(IF(ISNUMBER(FIND("/",S432)),IF(ISNUMBER(FIND(" ",S432)),VALUE(LEFT(S432,FIND(" ",S432)-1))+VALUE(MID(S432,FIND(" ",S432)+1,FIND("/",S432)-FIND(" ",S432)-1))/VALUE(MID(S432,FIND("/",S432)+1,9)),VALUE(LEFT(S432,FIND("/",S432)-1))/VALUE(MID(S432,FIND("/",S432)+1,9))),VALUE(S432)),""))</f>
        <v/>
      </c>
      <c r="U432" s="43" t="str">
        <f aca="false">IF(OR($A432="",NOT(ISNUMBER(Q432))),"",TEXT(Q432,"yyyymmdd")&amp;"|"&amp;IF(R432=1,"F",TEXT(T432,"0.000")))</f>
        <v/>
      </c>
      <c r="V432" s="43" t="str">
        <f aca="false">IF(U432="","",O432&amp;"|"&amp;U432)</f>
        <v/>
      </c>
      <c r="W432" s="43" t="str">
        <f aca="false">IF($A432="","",IFERROR(IF(VLOOKUP(O432,매핑!$A$4:$E$92,3,0)="","미분류",VLOOKUP(O432,매핑!$A$4:$E$92,3,0)),"미분류"))</f>
        <v/>
      </c>
      <c r="X432" s="89" t="n">
        <f aca="false">IF($A432="",0,IF(O432="T",1,0))</f>
        <v>0</v>
      </c>
      <c r="Y432" s="89" t="n">
        <f aca="false">IF($A432="",0,IF(AND(C432="USD",X432=0,ISNUMBER(E432),ISNUMBER(K432)),IF(K432&gt;=설정!$C$8,1,0),0))</f>
        <v>0</v>
      </c>
      <c r="Z432" s="43" t="str">
        <f aca="false">IF($A432="","",N432&amp;"|"&amp;L432)</f>
        <v/>
      </c>
      <c r="AA432" s="92" t="n">
        <f aca="false">IF(Y432=1,LN(K432),0)</f>
        <v>0</v>
      </c>
      <c r="AB432" s="93" t="n">
        <f aca="false">IF(Y432=1,E432,0)</f>
        <v>0</v>
      </c>
      <c r="AC432" s="89" t="n">
        <f aca="false">IF(Y432=1,COUNTIFS($Z$2:$Z$601,Z432,$Y$2:$Y$601,1),0)</f>
        <v>0</v>
      </c>
      <c r="AD432" s="89" t="n">
        <f aca="false">IF(Y432=1,COUNTIFS($N$2:$N$601,N432,$Y$2:$Y$601,1),0)</f>
        <v>0</v>
      </c>
      <c r="AE432" s="43" t="str">
        <f aca="false">IF(Y432&lt;&gt;1,"",IF(AND(AC432&gt;=설정!$C$7,ISNUMBER(MATCH(Z432,피어커브!$A:$A,0))),Z432,IF(AND(AD432&gt;=설정!$C$7,ISNUMBER(MATCH(N432&amp;"|전체",피어커브!$A:$A,0))),N432&amp;"|전체","전체|전체")))</f>
        <v/>
      </c>
      <c r="AF432" s="93" t="str">
        <f aca="false">IF(AE432="","",INDEX(피어커브!$K:$K,MATCH(AE432,피어커브!$A:$A,0)))</f>
        <v/>
      </c>
      <c r="AG432" s="93" t="str">
        <f aca="false">IF(AE432="","",INDEX(피어커브!$J:$J,MATCH(AE432,피어커브!$A:$A,0)))</f>
        <v/>
      </c>
      <c r="AH432" s="93" t="str">
        <f aca="false">IF(AE432="","",INDEX(피어커브!$L:$L,MATCH(AE432,피어커브!$A:$A,0)))</f>
        <v/>
      </c>
      <c r="AI432" s="93" t="str">
        <f aca="false">IF(AE432="","",AF432+AG432*AA432)</f>
        <v/>
      </c>
      <c r="AJ432" s="96" t="str">
        <f aca="false">IF(AE432="","",E432-AI432)</f>
        <v/>
      </c>
      <c r="AK432" s="95" t="str">
        <f aca="false">IF(AE432="","",IF(ISNUMBER(AH432),IF(AH432&gt;0,AJ432/AH432,""),""))</f>
        <v/>
      </c>
      <c r="AL432" s="43" t="str">
        <f aca="false">IF(AK432="","-",IF(AK432&gt;=설정!$C$6,"Cheap",IF(AK432&lt;=-설정!$C$6,"Rich","Fair")))</f>
        <v>-</v>
      </c>
      <c r="AM432" s="96" t="str">
        <f aca="false">IF(AE432="","",AJ432-AVERAGEIFS($AJ$2:$AJ$601,$B$2:$B$601,B432,$Y$2:$Y$601,1))</f>
        <v/>
      </c>
      <c r="AN432" s="93" t="n">
        <f aca="false">IF(AE432="",0,IF(K432&gt;1+설정!$C$8,AG432*(AA432-LN(K432-1)),0))</f>
        <v>0</v>
      </c>
      <c r="AO432" s="99" t="n">
        <f aca="false">IF($A432="",0,SUMIFS(보유분석!$AA$2:$AA$801,보유분석!$AB$2:$AB$801,ROW(),보유분석!$AC$2:$AC$801,1))</f>
        <v>0</v>
      </c>
      <c r="AP432" s="43" t="str">
        <f aca="false">IF($A432="","",TRIM(IF(R432=1,"FRN ","")&amp;IF(IFERROR(VLOOKUP(M432,설정!$A$15:$D$47,4,0),0)&gt;=10,IF(IFERROR(VLOOKUP(M432,설정!$A$15:$D$47,4,0),0)&lt;99,"BBB0미만 ",""),"")&amp;IF(OR(M432="",M432="NR"),"등급미입력 ","")&amp;IF(C432&lt;&gt;"USD","비USD ","")))</f>
        <v/>
      </c>
      <c r="AQ432" s="90" t="n">
        <f aca="false">IF(AND(Y432=1,AL432="Cheap"),IF(AND(ISERROR(SEARCH("FRN",AP432)),ISERROR(SEARCH("BBB0미만",AP432))),AK432+ROW()/1000000000,-999),-999)</f>
        <v>-999</v>
      </c>
      <c r="AR432" s="92" t="str">
        <f aca="false">IF(AND(ISNUMBER(D432),ISNUMBER(K432)),D432+AN432*MAX(K432-1,0)/100,"")</f>
        <v/>
      </c>
      <c r="AS432" s="93" t="str">
        <f aca="false">IF(AND(ISNUMBER(E432),ISNUMBER(K432)),IF(K432&gt;0,(E432+AN432*MAX(K432-1,0))/K432,""),"")</f>
        <v/>
      </c>
      <c r="AT432" s="90" t="n">
        <f aca="false">IFERROR(IF(AND(Y432=1,ROW()&lt;&gt;스왑분석!$C$12+1,ABS(K432-INDEX($K$2:$K$601,스왑분석!$C$12))&lt;=스왑분석!$C$5,ISERROR(SEARCH("FRN",AP432)),ISERROR(SEARCH("BBB0미만",AP432))),IF(AND(OR(스왑분석!$C$6="N",L432=INDEX($L$2:$L$601,스왑분석!$C$12)),OR(스왑분석!$C$7="N",N432=INDEX($N$2:$N$601,스왑분석!$C$12)),OR(스왑분석!$C$8="N",AO432=0),E432-INDEX($E$2:$E$601,스왑분석!$C$12)&gt;=스왑분석!$C$9),E432-INDEX($E$2:$E$601,스왑분석!$C$12)+ROW()/1000000000,-999),-999),-999)</f>
        <v>-999</v>
      </c>
      <c r="AU432" s="90" t="n">
        <f aca="false">IF(AND(Y432=1,AO432&gt;0,AL432="Rich"),-AK432+ROW()/1000000000,-999)</f>
        <v>-999</v>
      </c>
    </row>
    <row r="433" customFormat="false" ht="15" hidden="false" customHeight="false" outlineLevel="0" collapsed="false">
      <c r="A433" s="83" t="n">
        <f aca="false">IFERROR(IF(INDEX(원자료_시장!$A$1:$BZ$1000,설정!$L$6+ROW()-1,설정!$L$24)&amp;""="0","",INDEX(원자료_시장!$A$1:$BZ$1000,설정!$L$6+ROW()-1,설정!$L$24)),"")</f>
        <v>0</v>
      </c>
      <c r="B433" s="83" t="n">
        <f aca="false">IFERROR(IF(INDEX(원자료_시장!$A$1:$BZ$1000,설정!$L$6+ROW()-1,설정!$L$37)&amp;""="0","",INDEX(원자료_시장!$A$1:$BZ$1000,설정!$L$6+ROW()-1,설정!$L$37)),"")</f>
        <v>0</v>
      </c>
      <c r="C433" s="83" t="n">
        <f aca="false">IFERROR(IF(INDEX(원자료_시장!$A$1:$BZ$1000,설정!$L$6+ROW()-1,설정!$L$25)&amp;""="0","",INDEX(원자료_시장!$A$1:$BZ$1000,설정!$L$6+ROW()-1,설정!$L$25)),"")</f>
        <v>0</v>
      </c>
      <c r="D433" s="85" t="str">
        <f aca="false">IFERROR(IF(ISNUMBER(INDEX(원자료_시장!$A$1:$BZ$1000,설정!$L$6+ROW()-1,설정!$L$26)),INDEX(원자료_시장!$A$1:$BZ$1000,설정!$L$6+ROW()-1,설정!$L$26),""),"")</f>
        <v/>
      </c>
      <c r="E433" s="97" t="str">
        <f aca="false">IFERROR(IF(ISNUMBER(INDEX(원자료_시장!$A$1:$BZ$1000,설정!$L$6+ROW()-1,설정!$L$27)),INDEX(원자료_시장!$A$1:$BZ$1000,설정!$L$6+ROW()-1,설정!$L$27),""),"")</f>
        <v/>
      </c>
      <c r="F433" s="97" t="str">
        <f aca="false">IFERROR(IF(ISNUMBER(INDEX(원자료_시장!$A$1:$BZ$1000,설정!$L$6+ROW()-1,설정!$L$28)),INDEX(원자료_시장!$A$1:$BZ$1000,설정!$L$6+ROW()-1,설정!$L$28),""),"")</f>
        <v/>
      </c>
      <c r="G433" s="97" t="str">
        <f aca="false">IFERROR(IF(ISNUMBER(INDEX(원자료_시장!$A$1:$BZ$1000,설정!$L$6+ROW()-1,설정!$L$29)),INDEX(원자료_시장!$A$1:$BZ$1000,설정!$L$6+ROW()-1,설정!$L$29),""),"")</f>
        <v/>
      </c>
      <c r="H433" s="97" t="str">
        <f aca="false">IFERROR(IF(ISNUMBER(INDEX(원자료_시장!$A$1:$BZ$1000,설정!$L$6+ROW()-1,설정!$L$30)),INDEX(원자료_시장!$A$1:$BZ$1000,설정!$L$6+ROW()-1,설정!$L$30),""),"")</f>
        <v/>
      </c>
      <c r="I433" s="97" t="str">
        <f aca="false">IFERROR(IF(ISNUMBER(INDEX(원자료_시장!$A$1:$BZ$1000,설정!$L$6+ROW()-1,설정!$L$31)),INDEX(원자료_시장!$A$1:$BZ$1000,설정!$L$6+ROW()-1,설정!$L$31),""),"")</f>
        <v/>
      </c>
      <c r="J433" s="97" t="str">
        <f aca="false">IFERROR(IF(ISNUMBER(INDEX(원자료_시장!$A$1:$BZ$1000,설정!$L$6+ROW()-1,설정!$L$32)),INDEX(원자료_시장!$A$1:$BZ$1000,설정!$L$6+ROW()-1,설정!$L$32),""),"")</f>
        <v/>
      </c>
      <c r="K433" s="85" t="str">
        <f aca="false">IFERROR(IF(ISNUMBER(INDEX(원자료_시장!$A$1:$BZ$1000,설정!$L$6+ROW()-1,설정!$L$33)),INDEX(원자료_시장!$A$1:$BZ$1000,설정!$L$6+ROW()-1,설정!$L$33),""),"")</f>
        <v/>
      </c>
      <c r="L433" s="83" t="n">
        <f aca="false">IFERROR(IF(INDEX(원자료_시장!$A$1:$BZ$1000,설정!$L$6+ROW()-1,설정!$L$34)&amp;""="0","",INDEX(원자료_시장!$A$1:$BZ$1000,설정!$L$6+ROW()-1,설정!$L$34)),"")</f>
        <v>0</v>
      </c>
      <c r="M433" s="83" t="n">
        <f aca="false">IFERROR(IF(INDEX(원자료_시장!$A$1:$BZ$1000,설정!$L$6+ROW()-1,설정!$L$35)&amp;""="0","",INDEX(원자료_시장!$A$1:$BZ$1000,설정!$L$6+ROW()-1,설정!$L$35)),"")</f>
        <v>0</v>
      </c>
      <c r="N433" s="83" t="n">
        <f aca="false">IFERROR(IF(INDEX(원자료_시장!$A$1:$BZ$1000,설정!$L$6+ROW()-1,설정!$L$36)&amp;""="0","",INDEX(원자료_시장!$A$1:$BZ$1000,설정!$L$6+ROW()-1,설정!$L$36)),"")</f>
        <v>0</v>
      </c>
      <c r="O433" s="43" t="str">
        <f aca="false">IF($A433="","",UPPER(LEFT($A433,FIND(" ",$A433&amp;" ")-1)))</f>
        <v/>
      </c>
      <c r="P433" s="43" t="str">
        <f aca="false">IF($A433="","",TRIM(RIGHT(SUBSTITUTE(TRIM($A433)," ",REPT(" ",30)),30)))</f>
        <v/>
      </c>
      <c r="Q433" s="98" t="str">
        <f aca="false">IF($A433="","",IFERROR(DATE(IF(LEN(P433)=8,2000+VALUE(RIGHT(P433,2)),VALUE(RIGHT(P433,4))),VALUE(LEFT(P433,2)),VALUE(MID(P433,4,2))),""))</f>
        <v/>
      </c>
      <c r="R433" s="89" t="n">
        <f aca="false">IF($A433="",0,IF(ISNUMBER(SEARCH("Float",$A433)),1,0))</f>
        <v>0</v>
      </c>
      <c r="S433" s="43" t="str">
        <f aca="false">IF($A433="","",TRIM(MID($A433,LEN(O433)+2,LEN($A433)-LEN(O433)-LEN(P433)-1)))</f>
        <v/>
      </c>
      <c r="T433" s="92" t="str">
        <f aca="false">IF(OR($A433="",R433=1),"",IFERROR(IF(ISNUMBER(FIND("/",S433)),IF(ISNUMBER(FIND(" ",S433)),VALUE(LEFT(S433,FIND(" ",S433)-1))+VALUE(MID(S433,FIND(" ",S433)+1,FIND("/",S433)-FIND(" ",S433)-1))/VALUE(MID(S433,FIND("/",S433)+1,9)),VALUE(LEFT(S433,FIND("/",S433)-1))/VALUE(MID(S433,FIND("/",S433)+1,9))),VALUE(S433)),""))</f>
        <v/>
      </c>
      <c r="U433" s="43" t="str">
        <f aca="false">IF(OR($A433="",NOT(ISNUMBER(Q433))),"",TEXT(Q433,"yyyymmdd")&amp;"|"&amp;IF(R433=1,"F",TEXT(T433,"0.000")))</f>
        <v/>
      </c>
      <c r="V433" s="43" t="str">
        <f aca="false">IF(U433="","",O433&amp;"|"&amp;U433)</f>
        <v/>
      </c>
      <c r="W433" s="43" t="str">
        <f aca="false">IF($A433="","",IFERROR(IF(VLOOKUP(O433,매핑!$A$4:$E$92,3,0)="","미분류",VLOOKUP(O433,매핑!$A$4:$E$92,3,0)),"미분류"))</f>
        <v/>
      </c>
      <c r="X433" s="89" t="n">
        <f aca="false">IF($A433="",0,IF(O433="T",1,0))</f>
        <v>0</v>
      </c>
      <c r="Y433" s="89" t="n">
        <f aca="false">IF($A433="",0,IF(AND(C433="USD",X433=0,ISNUMBER(E433),ISNUMBER(K433)),IF(K433&gt;=설정!$C$8,1,0),0))</f>
        <v>0</v>
      </c>
      <c r="Z433" s="43" t="str">
        <f aca="false">IF($A433="","",N433&amp;"|"&amp;L433)</f>
        <v/>
      </c>
      <c r="AA433" s="92" t="n">
        <f aca="false">IF(Y433=1,LN(K433),0)</f>
        <v>0</v>
      </c>
      <c r="AB433" s="93" t="n">
        <f aca="false">IF(Y433=1,E433,0)</f>
        <v>0</v>
      </c>
      <c r="AC433" s="89" t="n">
        <f aca="false">IF(Y433=1,COUNTIFS($Z$2:$Z$601,Z433,$Y$2:$Y$601,1),0)</f>
        <v>0</v>
      </c>
      <c r="AD433" s="89" t="n">
        <f aca="false">IF(Y433=1,COUNTIFS($N$2:$N$601,N433,$Y$2:$Y$601,1),0)</f>
        <v>0</v>
      </c>
      <c r="AE433" s="43" t="str">
        <f aca="false">IF(Y433&lt;&gt;1,"",IF(AND(AC433&gt;=설정!$C$7,ISNUMBER(MATCH(Z433,피어커브!$A:$A,0))),Z433,IF(AND(AD433&gt;=설정!$C$7,ISNUMBER(MATCH(N433&amp;"|전체",피어커브!$A:$A,0))),N433&amp;"|전체","전체|전체")))</f>
        <v/>
      </c>
      <c r="AF433" s="93" t="str">
        <f aca="false">IF(AE433="","",INDEX(피어커브!$K:$K,MATCH(AE433,피어커브!$A:$A,0)))</f>
        <v/>
      </c>
      <c r="AG433" s="93" t="str">
        <f aca="false">IF(AE433="","",INDEX(피어커브!$J:$J,MATCH(AE433,피어커브!$A:$A,0)))</f>
        <v/>
      </c>
      <c r="AH433" s="93" t="str">
        <f aca="false">IF(AE433="","",INDEX(피어커브!$L:$L,MATCH(AE433,피어커브!$A:$A,0)))</f>
        <v/>
      </c>
      <c r="AI433" s="93" t="str">
        <f aca="false">IF(AE433="","",AF433+AG433*AA433)</f>
        <v/>
      </c>
      <c r="AJ433" s="96" t="str">
        <f aca="false">IF(AE433="","",E433-AI433)</f>
        <v/>
      </c>
      <c r="AK433" s="95" t="str">
        <f aca="false">IF(AE433="","",IF(ISNUMBER(AH433),IF(AH433&gt;0,AJ433/AH433,""),""))</f>
        <v/>
      </c>
      <c r="AL433" s="43" t="str">
        <f aca="false">IF(AK433="","-",IF(AK433&gt;=설정!$C$6,"Cheap",IF(AK433&lt;=-설정!$C$6,"Rich","Fair")))</f>
        <v>-</v>
      </c>
      <c r="AM433" s="96" t="str">
        <f aca="false">IF(AE433="","",AJ433-AVERAGEIFS($AJ$2:$AJ$601,$B$2:$B$601,B433,$Y$2:$Y$601,1))</f>
        <v/>
      </c>
      <c r="AN433" s="93" t="n">
        <f aca="false">IF(AE433="",0,IF(K433&gt;1+설정!$C$8,AG433*(AA433-LN(K433-1)),0))</f>
        <v>0</v>
      </c>
      <c r="AO433" s="99" t="n">
        <f aca="false">IF($A433="",0,SUMIFS(보유분석!$AA$2:$AA$801,보유분석!$AB$2:$AB$801,ROW(),보유분석!$AC$2:$AC$801,1))</f>
        <v>0</v>
      </c>
      <c r="AP433" s="43" t="str">
        <f aca="false">IF($A433="","",TRIM(IF(R433=1,"FRN ","")&amp;IF(IFERROR(VLOOKUP(M433,설정!$A$15:$D$47,4,0),0)&gt;=10,IF(IFERROR(VLOOKUP(M433,설정!$A$15:$D$47,4,0),0)&lt;99,"BBB0미만 ",""),"")&amp;IF(OR(M433="",M433="NR"),"등급미입력 ","")&amp;IF(C433&lt;&gt;"USD","비USD ","")))</f>
        <v/>
      </c>
      <c r="AQ433" s="90" t="n">
        <f aca="false">IF(AND(Y433=1,AL433="Cheap"),IF(AND(ISERROR(SEARCH("FRN",AP433)),ISERROR(SEARCH("BBB0미만",AP433))),AK433+ROW()/1000000000,-999),-999)</f>
        <v>-999</v>
      </c>
      <c r="AR433" s="92" t="str">
        <f aca="false">IF(AND(ISNUMBER(D433),ISNUMBER(K433)),D433+AN433*MAX(K433-1,0)/100,"")</f>
        <v/>
      </c>
      <c r="AS433" s="93" t="str">
        <f aca="false">IF(AND(ISNUMBER(E433),ISNUMBER(K433)),IF(K433&gt;0,(E433+AN433*MAX(K433-1,0))/K433,""),"")</f>
        <v/>
      </c>
      <c r="AT433" s="90" t="n">
        <f aca="false">IFERROR(IF(AND(Y433=1,ROW()&lt;&gt;스왑분석!$C$12+1,ABS(K433-INDEX($K$2:$K$601,스왑분석!$C$12))&lt;=스왑분석!$C$5,ISERROR(SEARCH("FRN",AP433)),ISERROR(SEARCH("BBB0미만",AP433))),IF(AND(OR(스왑분석!$C$6="N",L433=INDEX($L$2:$L$601,스왑분석!$C$12)),OR(스왑분석!$C$7="N",N433=INDEX($N$2:$N$601,스왑분석!$C$12)),OR(스왑분석!$C$8="N",AO433=0),E433-INDEX($E$2:$E$601,스왑분석!$C$12)&gt;=스왑분석!$C$9),E433-INDEX($E$2:$E$601,스왑분석!$C$12)+ROW()/1000000000,-999),-999),-999)</f>
        <v>-999</v>
      </c>
      <c r="AU433" s="90" t="n">
        <f aca="false">IF(AND(Y433=1,AO433&gt;0,AL433="Rich"),-AK433+ROW()/1000000000,-999)</f>
        <v>-999</v>
      </c>
    </row>
    <row r="434" customFormat="false" ht="15" hidden="false" customHeight="false" outlineLevel="0" collapsed="false">
      <c r="A434" s="83" t="n">
        <f aca="false">IFERROR(IF(INDEX(원자료_시장!$A$1:$BZ$1000,설정!$L$6+ROW()-1,설정!$L$24)&amp;""="0","",INDEX(원자료_시장!$A$1:$BZ$1000,설정!$L$6+ROW()-1,설정!$L$24)),"")</f>
        <v>0</v>
      </c>
      <c r="B434" s="83" t="n">
        <f aca="false">IFERROR(IF(INDEX(원자료_시장!$A$1:$BZ$1000,설정!$L$6+ROW()-1,설정!$L$37)&amp;""="0","",INDEX(원자료_시장!$A$1:$BZ$1000,설정!$L$6+ROW()-1,설정!$L$37)),"")</f>
        <v>0</v>
      </c>
      <c r="C434" s="83" t="n">
        <f aca="false">IFERROR(IF(INDEX(원자료_시장!$A$1:$BZ$1000,설정!$L$6+ROW()-1,설정!$L$25)&amp;""="0","",INDEX(원자료_시장!$A$1:$BZ$1000,설정!$L$6+ROW()-1,설정!$L$25)),"")</f>
        <v>0</v>
      </c>
      <c r="D434" s="85" t="str">
        <f aca="false">IFERROR(IF(ISNUMBER(INDEX(원자료_시장!$A$1:$BZ$1000,설정!$L$6+ROW()-1,설정!$L$26)),INDEX(원자료_시장!$A$1:$BZ$1000,설정!$L$6+ROW()-1,설정!$L$26),""),"")</f>
        <v/>
      </c>
      <c r="E434" s="97" t="str">
        <f aca="false">IFERROR(IF(ISNUMBER(INDEX(원자료_시장!$A$1:$BZ$1000,설정!$L$6+ROW()-1,설정!$L$27)),INDEX(원자료_시장!$A$1:$BZ$1000,설정!$L$6+ROW()-1,설정!$L$27),""),"")</f>
        <v/>
      </c>
      <c r="F434" s="97" t="str">
        <f aca="false">IFERROR(IF(ISNUMBER(INDEX(원자료_시장!$A$1:$BZ$1000,설정!$L$6+ROW()-1,설정!$L$28)),INDEX(원자료_시장!$A$1:$BZ$1000,설정!$L$6+ROW()-1,설정!$L$28),""),"")</f>
        <v/>
      </c>
      <c r="G434" s="97" t="str">
        <f aca="false">IFERROR(IF(ISNUMBER(INDEX(원자료_시장!$A$1:$BZ$1000,설정!$L$6+ROW()-1,설정!$L$29)),INDEX(원자료_시장!$A$1:$BZ$1000,설정!$L$6+ROW()-1,설정!$L$29),""),"")</f>
        <v/>
      </c>
      <c r="H434" s="97" t="str">
        <f aca="false">IFERROR(IF(ISNUMBER(INDEX(원자료_시장!$A$1:$BZ$1000,설정!$L$6+ROW()-1,설정!$L$30)),INDEX(원자료_시장!$A$1:$BZ$1000,설정!$L$6+ROW()-1,설정!$L$30),""),"")</f>
        <v/>
      </c>
      <c r="I434" s="97" t="str">
        <f aca="false">IFERROR(IF(ISNUMBER(INDEX(원자료_시장!$A$1:$BZ$1000,설정!$L$6+ROW()-1,설정!$L$31)),INDEX(원자료_시장!$A$1:$BZ$1000,설정!$L$6+ROW()-1,설정!$L$31),""),"")</f>
        <v/>
      </c>
      <c r="J434" s="97" t="str">
        <f aca="false">IFERROR(IF(ISNUMBER(INDEX(원자료_시장!$A$1:$BZ$1000,설정!$L$6+ROW()-1,설정!$L$32)),INDEX(원자료_시장!$A$1:$BZ$1000,설정!$L$6+ROW()-1,설정!$L$32),""),"")</f>
        <v/>
      </c>
      <c r="K434" s="85" t="str">
        <f aca="false">IFERROR(IF(ISNUMBER(INDEX(원자료_시장!$A$1:$BZ$1000,설정!$L$6+ROW()-1,설정!$L$33)),INDEX(원자료_시장!$A$1:$BZ$1000,설정!$L$6+ROW()-1,설정!$L$33),""),"")</f>
        <v/>
      </c>
      <c r="L434" s="83" t="n">
        <f aca="false">IFERROR(IF(INDEX(원자료_시장!$A$1:$BZ$1000,설정!$L$6+ROW()-1,설정!$L$34)&amp;""="0","",INDEX(원자료_시장!$A$1:$BZ$1000,설정!$L$6+ROW()-1,설정!$L$34)),"")</f>
        <v>0</v>
      </c>
      <c r="M434" s="83" t="n">
        <f aca="false">IFERROR(IF(INDEX(원자료_시장!$A$1:$BZ$1000,설정!$L$6+ROW()-1,설정!$L$35)&amp;""="0","",INDEX(원자료_시장!$A$1:$BZ$1000,설정!$L$6+ROW()-1,설정!$L$35)),"")</f>
        <v>0</v>
      </c>
      <c r="N434" s="83" t="n">
        <f aca="false">IFERROR(IF(INDEX(원자료_시장!$A$1:$BZ$1000,설정!$L$6+ROW()-1,설정!$L$36)&amp;""="0","",INDEX(원자료_시장!$A$1:$BZ$1000,설정!$L$6+ROW()-1,설정!$L$36)),"")</f>
        <v>0</v>
      </c>
      <c r="O434" s="43" t="str">
        <f aca="false">IF($A434="","",UPPER(LEFT($A434,FIND(" ",$A434&amp;" ")-1)))</f>
        <v/>
      </c>
      <c r="P434" s="43" t="str">
        <f aca="false">IF($A434="","",TRIM(RIGHT(SUBSTITUTE(TRIM($A434)," ",REPT(" ",30)),30)))</f>
        <v/>
      </c>
      <c r="Q434" s="98" t="str">
        <f aca="false">IF($A434="","",IFERROR(DATE(IF(LEN(P434)=8,2000+VALUE(RIGHT(P434,2)),VALUE(RIGHT(P434,4))),VALUE(LEFT(P434,2)),VALUE(MID(P434,4,2))),""))</f>
        <v/>
      </c>
      <c r="R434" s="89" t="n">
        <f aca="false">IF($A434="",0,IF(ISNUMBER(SEARCH("Float",$A434)),1,0))</f>
        <v>0</v>
      </c>
      <c r="S434" s="43" t="str">
        <f aca="false">IF($A434="","",TRIM(MID($A434,LEN(O434)+2,LEN($A434)-LEN(O434)-LEN(P434)-1)))</f>
        <v/>
      </c>
      <c r="T434" s="92" t="str">
        <f aca="false">IF(OR($A434="",R434=1),"",IFERROR(IF(ISNUMBER(FIND("/",S434)),IF(ISNUMBER(FIND(" ",S434)),VALUE(LEFT(S434,FIND(" ",S434)-1))+VALUE(MID(S434,FIND(" ",S434)+1,FIND("/",S434)-FIND(" ",S434)-1))/VALUE(MID(S434,FIND("/",S434)+1,9)),VALUE(LEFT(S434,FIND("/",S434)-1))/VALUE(MID(S434,FIND("/",S434)+1,9))),VALUE(S434)),""))</f>
        <v/>
      </c>
      <c r="U434" s="43" t="str">
        <f aca="false">IF(OR($A434="",NOT(ISNUMBER(Q434))),"",TEXT(Q434,"yyyymmdd")&amp;"|"&amp;IF(R434=1,"F",TEXT(T434,"0.000")))</f>
        <v/>
      </c>
      <c r="V434" s="43" t="str">
        <f aca="false">IF(U434="","",O434&amp;"|"&amp;U434)</f>
        <v/>
      </c>
      <c r="W434" s="43" t="str">
        <f aca="false">IF($A434="","",IFERROR(IF(VLOOKUP(O434,매핑!$A$4:$E$92,3,0)="","미분류",VLOOKUP(O434,매핑!$A$4:$E$92,3,0)),"미분류"))</f>
        <v/>
      </c>
      <c r="X434" s="89" t="n">
        <f aca="false">IF($A434="",0,IF(O434="T",1,0))</f>
        <v>0</v>
      </c>
      <c r="Y434" s="89" t="n">
        <f aca="false">IF($A434="",0,IF(AND(C434="USD",X434=0,ISNUMBER(E434),ISNUMBER(K434)),IF(K434&gt;=설정!$C$8,1,0),0))</f>
        <v>0</v>
      </c>
      <c r="Z434" s="43" t="str">
        <f aca="false">IF($A434="","",N434&amp;"|"&amp;L434)</f>
        <v/>
      </c>
      <c r="AA434" s="92" t="n">
        <f aca="false">IF(Y434=1,LN(K434),0)</f>
        <v>0</v>
      </c>
      <c r="AB434" s="93" t="n">
        <f aca="false">IF(Y434=1,E434,0)</f>
        <v>0</v>
      </c>
      <c r="AC434" s="89" t="n">
        <f aca="false">IF(Y434=1,COUNTIFS($Z$2:$Z$601,Z434,$Y$2:$Y$601,1),0)</f>
        <v>0</v>
      </c>
      <c r="AD434" s="89" t="n">
        <f aca="false">IF(Y434=1,COUNTIFS($N$2:$N$601,N434,$Y$2:$Y$601,1),0)</f>
        <v>0</v>
      </c>
      <c r="AE434" s="43" t="str">
        <f aca="false">IF(Y434&lt;&gt;1,"",IF(AND(AC434&gt;=설정!$C$7,ISNUMBER(MATCH(Z434,피어커브!$A:$A,0))),Z434,IF(AND(AD434&gt;=설정!$C$7,ISNUMBER(MATCH(N434&amp;"|전체",피어커브!$A:$A,0))),N434&amp;"|전체","전체|전체")))</f>
        <v/>
      </c>
      <c r="AF434" s="93" t="str">
        <f aca="false">IF(AE434="","",INDEX(피어커브!$K:$K,MATCH(AE434,피어커브!$A:$A,0)))</f>
        <v/>
      </c>
      <c r="AG434" s="93" t="str">
        <f aca="false">IF(AE434="","",INDEX(피어커브!$J:$J,MATCH(AE434,피어커브!$A:$A,0)))</f>
        <v/>
      </c>
      <c r="AH434" s="93" t="str">
        <f aca="false">IF(AE434="","",INDEX(피어커브!$L:$L,MATCH(AE434,피어커브!$A:$A,0)))</f>
        <v/>
      </c>
      <c r="AI434" s="93" t="str">
        <f aca="false">IF(AE434="","",AF434+AG434*AA434)</f>
        <v/>
      </c>
      <c r="AJ434" s="96" t="str">
        <f aca="false">IF(AE434="","",E434-AI434)</f>
        <v/>
      </c>
      <c r="AK434" s="95" t="str">
        <f aca="false">IF(AE434="","",IF(ISNUMBER(AH434),IF(AH434&gt;0,AJ434/AH434,""),""))</f>
        <v/>
      </c>
      <c r="AL434" s="43" t="str">
        <f aca="false">IF(AK434="","-",IF(AK434&gt;=설정!$C$6,"Cheap",IF(AK434&lt;=-설정!$C$6,"Rich","Fair")))</f>
        <v>-</v>
      </c>
      <c r="AM434" s="96" t="str">
        <f aca="false">IF(AE434="","",AJ434-AVERAGEIFS($AJ$2:$AJ$601,$B$2:$B$601,B434,$Y$2:$Y$601,1))</f>
        <v/>
      </c>
      <c r="AN434" s="93" t="n">
        <f aca="false">IF(AE434="",0,IF(K434&gt;1+설정!$C$8,AG434*(AA434-LN(K434-1)),0))</f>
        <v>0</v>
      </c>
      <c r="AO434" s="99" t="n">
        <f aca="false">IF($A434="",0,SUMIFS(보유분석!$AA$2:$AA$801,보유분석!$AB$2:$AB$801,ROW(),보유분석!$AC$2:$AC$801,1))</f>
        <v>0</v>
      </c>
      <c r="AP434" s="43" t="str">
        <f aca="false">IF($A434="","",TRIM(IF(R434=1,"FRN ","")&amp;IF(IFERROR(VLOOKUP(M434,설정!$A$15:$D$47,4,0),0)&gt;=10,IF(IFERROR(VLOOKUP(M434,설정!$A$15:$D$47,4,0),0)&lt;99,"BBB0미만 ",""),"")&amp;IF(OR(M434="",M434="NR"),"등급미입력 ","")&amp;IF(C434&lt;&gt;"USD","비USD ","")))</f>
        <v/>
      </c>
      <c r="AQ434" s="90" t="n">
        <f aca="false">IF(AND(Y434=1,AL434="Cheap"),IF(AND(ISERROR(SEARCH("FRN",AP434)),ISERROR(SEARCH("BBB0미만",AP434))),AK434+ROW()/1000000000,-999),-999)</f>
        <v>-999</v>
      </c>
      <c r="AR434" s="92" t="str">
        <f aca="false">IF(AND(ISNUMBER(D434),ISNUMBER(K434)),D434+AN434*MAX(K434-1,0)/100,"")</f>
        <v/>
      </c>
      <c r="AS434" s="93" t="str">
        <f aca="false">IF(AND(ISNUMBER(E434),ISNUMBER(K434)),IF(K434&gt;0,(E434+AN434*MAX(K434-1,0))/K434,""),"")</f>
        <v/>
      </c>
      <c r="AT434" s="90" t="n">
        <f aca="false">IFERROR(IF(AND(Y434=1,ROW()&lt;&gt;스왑분석!$C$12+1,ABS(K434-INDEX($K$2:$K$601,스왑분석!$C$12))&lt;=스왑분석!$C$5,ISERROR(SEARCH("FRN",AP434)),ISERROR(SEARCH("BBB0미만",AP434))),IF(AND(OR(스왑분석!$C$6="N",L434=INDEX($L$2:$L$601,스왑분석!$C$12)),OR(스왑분석!$C$7="N",N434=INDEX($N$2:$N$601,스왑분석!$C$12)),OR(스왑분석!$C$8="N",AO434=0),E434-INDEX($E$2:$E$601,스왑분석!$C$12)&gt;=스왑분석!$C$9),E434-INDEX($E$2:$E$601,스왑분석!$C$12)+ROW()/1000000000,-999),-999),-999)</f>
        <v>-999</v>
      </c>
      <c r="AU434" s="90" t="n">
        <f aca="false">IF(AND(Y434=1,AO434&gt;0,AL434="Rich"),-AK434+ROW()/1000000000,-999)</f>
        <v>-999</v>
      </c>
    </row>
    <row r="435" customFormat="false" ht="15" hidden="false" customHeight="false" outlineLevel="0" collapsed="false">
      <c r="A435" s="83" t="n">
        <f aca="false">IFERROR(IF(INDEX(원자료_시장!$A$1:$BZ$1000,설정!$L$6+ROW()-1,설정!$L$24)&amp;""="0","",INDEX(원자료_시장!$A$1:$BZ$1000,설정!$L$6+ROW()-1,설정!$L$24)),"")</f>
        <v>0</v>
      </c>
      <c r="B435" s="83" t="n">
        <f aca="false">IFERROR(IF(INDEX(원자료_시장!$A$1:$BZ$1000,설정!$L$6+ROW()-1,설정!$L$37)&amp;""="0","",INDEX(원자료_시장!$A$1:$BZ$1000,설정!$L$6+ROW()-1,설정!$L$37)),"")</f>
        <v>0</v>
      </c>
      <c r="C435" s="83" t="n">
        <f aca="false">IFERROR(IF(INDEX(원자료_시장!$A$1:$BZ$1000,설정!$L$6+ROW()-1,설정!$L$25)&amp;""="0","",INDEX(원자료_시장!$A$1:$BZ$1000,설정!$L$6+ROW()-1,설정!$L$25)),"")</f>
        <v>0</v>
      </c>
      <c r="D435" s="85" t="str">
        <f aca="false">IFERROR(IF(ISNUMBER(INDEX(원자료_시장!$A$1:$BZ$1000,설정!$L$6+ROW()-1,설정!$L$26)),INDEX(원자료_시장!$A$1:$BZ$1000,설정!$L$6+ROW()-1,설정!$L$26),""),"")</f>
        <v/>
      </c>
      <c r="E435" s="97" t="str">
        <f aca="false">IFERROR(IF(ISNUMBER(INDEX(원자료_시장!$A$1:$BZ$1000,설정!$L$6+ROW()-1,설정!$L$27)),INDEX(원자료_시장!$A$1:$BZ$1000,설정!$L$6+ROW()-1,설정!$L$27),""),"")</f>
        <v/>
      </c>
      <c r="F435" s="97" t="str">
        <f aca="false">IFERROR(IF(ISNUMBER(INDEX(원자료_시장!$A$1:$BZ$1000,설정!$L$6+ROW()-1,설정!$L$28)),INDEX(원자료_시장!$A$1:$BZ$1000,설정!$L$6+ROW()-1,설정!$L$28),""),"")</f>
        <v/>
      </c>
      <c r="G435" s="97" t="str">
        <f aca="false">IFERROR(IF(ISNUMBER(INDEX(원자료_시장!$A$1:$BZ$1000,설정!$L$6+ROW()-1,설정!$L$29)),INDEX(원자료_시장!$A$1:$BZ$1000,설정!$L$6+ROW()-1,설정!$L$29),""),"")</f>
        <v/>
      </c>
      <c r="H435" s="97" t="str">
        <f aca="false">IFERROR(IF(ISNUMBER(INDEX(원자료_시장!$A$1:$BZ$1000,설정!$L$6+ROW()-1,설정!$L$30)),INDEX(원자료_시장!$A$1:$BZ$1000,설정!$L$6+ROW()-1,설정!$L$30),""),"")</f>
        <v/>
      </c>
      <c r="I435" s="97" t="str">
        <f aca="false">IFERROR(IF(ISNUMBER(INDEX(원자료_시장!$A$1:$BZ$1000,설정!$L$6+ROW()-1,설정!$L$31)),INDEX(원자료_시장!$A$1:$BZ$1000,설정!$L$6+ROW()-1,설정!$L$31),""),"")</f>
        <v/>
      </c>
      <c r="J435" s="97" t="str">
        <f aca="false">IFERROR(IF(ISNUMBER(INDEX(원자료_시장!$A$1:$BZ$1000,설정!$L$6+ROW()-1,설정!$L$32)),INDEX(원자료_시장!$A$1:$BZ$1000,설정!$L$6+ROW()-1,설정!$L$32),""),"")</f>
        <v/>
      </c>
      <c r="K435" s="85" t="str">
        <f aca="false">IFERROR(IF(ISNUMBER(INDEX(원자료_시장!$A$1:$BZ$1000,설정!$L$6+ROW()-1,설정!$L$33)),INDEX(원자료_시장!$A$1:$BZ$1000,설정!$L$6+ROW()-1,설정!$L$33),""),"")</f>
        <v/>
      </c>
      <c r="L435" s="83" t="n">
        <f aca="false">IFERROR(IF(INDEX(원자료_시장!$A$1:$BZ$1000,설정!$L$6+ROW()-1,설정!$L$34)&amp;""="0","",INDEX(원자료_시장!$A$1:$BZ$1000,설정!$L$6+ROW()-1,설정!$L$34)),"")</f>
        <v>0</v>
      </c>
      <c r="M435" s="83" t="n">
        <f aca="false">IFERROR(IF(INDEX(원자료_시장!$A$1:$BZ$1000,설정!$L$6+ROW()-1,설정!$L$35)&amp;""="0","",INDEX(원자료_시장!$A$1:$BZ$1000,설정!$L$6+ROW()-1,설정!$L$35)),"")</f>
        <v>0</v>
      </c>
      <c r="N435" s="83" t="n">
        <f aca="false">IFERROR(IF(INDEX(원자료_시장!$A$1:$BZ$1000,설정!$L$6+ROW()-1,설정!$L$36)&amp;""="0","",INDEX(원자료_시장!$A$1:$BZ$1000,설정!$L$6+ROW()-1,설정!$L$36)),"")</f>
        <v>0</v>
      </c>
      <c r="O435" s="43" t="str">
        <f aca="false">IF($A435="","",UPPER(LEFT($A435,FIND(" ",$A435&amp;" ")-1)))</f>
        <v/>
      </c>
      <c r="P435" s="43" t="str">
        <f aca="false">IF($A435="","",TRIM(RIGHT(SUBSTITUTE(TRIM($A435)," ",REPT(" ",30)),30)))</f>
        <v/>
      </c>
      <c r="Q435" s="98" t="str">
        <f aca="false">IF($A435="","",IFERROR(DATE(IF(LEN(P435)=8,2000+VALUE(RIGHT(P435,2)),VALUE(RIGHT(P435,4))),VALUE(LEFT(P435,2)),VALUE(MID(P435,4,2))),""))</f>
        <v/>
      </c>
      <c r="R435" s="89" t="n">
        <f aca="false">IF($A435="",0,IF(ISNUMBER(SEARCH("Float",$A435)),1,0))</f>
        <v>0</v>
      </c>
      <c r="S435" s="43" t="str">
        <f aca="false">IF($A435="","",TRIM(MID($A435,LEN(O435)+2,LEN($A435)-LEN(O435)-LEN(P435)-1)))</f>
        <v/>
      </c>
      <c r="T435" s="92" t="str">
        <f aca="false">IF(OR($A435="",R435=1),"",IFERROR(IF(ISNUMBER(FIND("/",S435)),IF(ISNUMBER(FIND(" ",S435)),VALUE(LEFT(S435,FIND(" ",S435)-1))+VALUE(MID(S435,FIND(" ",S435)+1,FIND("/",S435)-FIND(" ",S435)-1))/VALUE(MID(S435,FIND("/",S435)+1,9)),VALUE(LEFT(S435,FIND("/",S435)-1))/VALUE(MID(S435,FIND("/",S435)+1,9))),VALUE(S435)),""))</f>
        <v/>
      </c>
      <c r="U435" s="43" t="str">
        <f aca="false">IF(OR($A435="",NOT(ISNUMBER(Q435))),"",TEXT(Q435,"yyyymmdd")&amp;"|"&amp;IF(R435=1,"F",TEXT(T435,"0.000")))</f>
        <v/>
      </c>
      <c r="V435" s="43" t="str">
        <f aca="false">IF(U435="","",O435&amp;"|"&amp;U435)</f>
        <v/>
      </c>
      <c r="W435" s="43" t="str">
        <f aca="false">IF($A435="","",IFERROR(IF(VLOOKUP(O435,매핑!$A$4:$E$92,3,0)="","미분류",VLOOKUP(O435,매핑!$A$4:$E$92,3,0)),"미분류"))</f>
        <v/>
      </c>
      <c r="X435" s="89" t="n">
        <f aca="false">IF($A435="",0,IF(O435="T",1,0))</f>
        <v>0</v>
      </c>
      <c r="Y435" s="89" t="n">
        <f aca="false">IF($A435="",0,IF(AND(C435="USD",X435=0,ISNUMBER(E435),ISNUMBER(K435)),IF(K435&gt;=설정!$C$8,1,0),0))</f>
        <v>0</v>
      </c>
      <c r="Z435" s="43" t="str">
        <f aca="false">IF($A435="","",N435&amp;"|"&amp;L435)</f>
        <v/>
      </c>
      <c r="AA435" s="92" t="n">
        <f aca="false">IF(Y435=1,LN(K435),0)</f>
        <v>0</v>
      </c>
      <c r="AB435" s="93" t="n">
        <f aca="false">IF(Y435=1,E435,0)</f>
        <v>0</v>
      </c>
      <c r="AC435" s="89" t="n">
        <f aca="false">IF(Y435=1,COUNTIFS($Z$2:$Z$601,Z435,$Y$2:$Y$601,1),0)</f>
        <v>0</v>
      </c>
      <c r="AD435" s="89" t="n">
        <f aca="false">IF(Y435=1,COUNTIFS($N$2:$N$601,N435,$Y$2:$Y$601,1),0)</f>
        <v>0</v>
      </c>
      <c r="AE435" s="43" t="str">
        <f aca="false">IF(Y435&lt;&gt;1,"",IF(AND(AC435&gt;=설정!$C$7,ISNUMBER(MATCH(Z435,피어커브!$A:$A,0))),Z435,IF(AND(AD435&gt;=설정!$C$7,ISNUMBER(MATCH(N435&amp;"|전체",피어커브!$A:$A,0))),N435&amp;"|전체","전체|전체")))</f>
        <v/>
      </c>
      <c r="AF435" s="93" t="str">
        <f aca="false">IF(AE435="","",INDEX(피어커브!$K:$K,MATCH(AE435,피어커브!$A:$A,0)))</f>
        <v/>
      </c>
      <c r="AG435" s="93" t="str">
        <f aca="false">IF(AE435="","",INDEX(피어커브!$J:$J,MATCH(AE435,피어커브!$A:$A,0)))</f>
        <v/>
      </c>
      <c r="AH435" s="93" t="str">
        <f aca="false">IF(AE435="","",INDEX(피어커브!$L:$L,MATCH(AE435,피어커브!$A:$A,0)))</f>
        <v/>
      </c>
      <c r="AI435" s="93" t="str">
        <f aca="false">IF(AE435="","",AF435+AG435*AA435)</f>
        <v/>
      </c>
      <c r="AJ435" s="96" t="str">
        <f aca="false">IF(AE435="","",E435-AI435)</f>
        <v/>
      </c>
      <c r="AK435" s="95" t="str">
        <f aca="false">IF(AE435="","",IF(ISNUMBER(AH435),IF(AH435&gt;0,AJ435/AH435,""),""))</f>
        <v/>
      </c>
      <c r="AL435" s="43" t="str">
        <f aca="false">IF(AK435="","-",IF(AK435&gt;=설정!$C$6,"Cheap",IF(AK435&lt;=-설정!$C$6,"Rich","Fair")))</f>
        <v>-</v>
      </c>
      <c r="AM435" s="96" t="str">
        <f aca="false">IF(AE435="","",AJ435-AVERAGEIFS($AJ$2:$AJ$601,$B$2:$B$601,B435,$Y$2:$Y$601,1))</f>
        <v/>
      </c>
      <c r="AN435" s="93" t="n">
        <f aca="false">IF(AE435="",0,IF(K435&gt;1+설정!$C$8,AG435*(AA435-LN(K435-1)),0))</f>
        <v>0</v>
      </c>
      <c r="AO435" s="99" t="n">
        <f aca="false">IF($A435="",0,SUMIFS(보유분석!$AA$2:$AA$801,보유분석!$AB$2:$AB$801,ROW(),보유분석!$AC$2:$AC$801,1))</f>
        <v>0</v>
      </c>
      <c r="AP435" s="43" t="str">
        <f aca="false">IF($A435="","",TRIM(IF(R435=1,"FRN ","")&amp;IF(IFERROR(VLOOKUP(M435,설정!$A$15:$D$47,4,0),0)&gt;=10,IF(IFERROR(VLOOKUP(M435,설정!$A$15:$D$47,4,0),0)&lt;99,"BBB0미만 ",""),"")&amp;IF(OR(M435="",M435="NR"),"등급미입력 ","")&amp;IF(C435&lt;&gt;"USD","비USD ","")))</f>
        <v/>
      </c>
      <c r="AQ435" s="90" t="n">
        <f aca="false">IF(AND(Y435=1,AL435="Cheap"),IF(AND(ISERROR(SEARCH("FRN",AP435)),ISERROR(SEARCH("BBB0미만",AP435))),AK435+ROW()/1000000000,-999),-999)</f>
        <v>-999</v>
      </c>
      <c r="AR435" s="92" t="str">
        <f aca="false">IF(AND(ISNUMBER(D435),ISNUMBER(K435)),D435+AN435*MAX(K435-1,0)/100,"")</f>
        <v/>
      </c>
      <c r="AS435" s="93" t="str">
        <f aca="false">IF(AND(ISNUMBER(E435),ISNUMBER(K435)),IF(K435&gt;0,(E435+AN435*MAX(K435-1,0))/K435,""),"")</f>
        <v/>
      </c>
      <c r="AT435" s="90" t="n">
        <f aca="false">IFERROR(IF(AND(Y435=1,ROW()&lt;&gt;스왑분석!$C$12+1,ABS(K435-INDEX($K$2:$K$601,스왑분석!$C$12))&lt;=스왑분석!$C$5,ISERROR(SEARCH("FRN",AP435)),ISERROR(SEARCH("BBB0미만",AP435))),IF(AND(OR(스왑분석!$C$6="N",L435=INDEX($L$2:$L$601,스왑분석!$C$12)),OR(스왑분석!$C$7="N",N435=INDEX($N$2:$N$601,스왑분석!$C$12)),OR(스왑분석!$C$8="N",AO435=0),E435-INDEX($E$2:$E$601,스왑분석!$C$12)&gt;=스왑분석!$C$9),E435-INDEX($E$2:$E$601,스왑분석!$C$12)+ROW()/1000000000,-999),-999),-999)</f>
        <v>-999</v>
      </c>
      <c r="AU435" s="90" t="n">
        <f aca="false">IF(AND(Y435=1,AO435&gt;0,AL435="Rich"),-AK435+ROW()/1000000000,-999)</f>
        <v>-999</v>
      </c>
    </row>
    <row r="436" customFormat="false" ht="15" hidden="false" customHeight="false" outlineLevel="0" collapsed="false">
      <c r="A436" s="83" t="n">
        <f aca="false">IFERROR(IF(INDEX(원자료_시장!$A$1:$BZ$1000,설정!$L$6+ROW()-1,설정!$L$24)&amp;""="0","",INDEX(원자료_시장!$A$1:$BZ$1000,설정!$L$6+ROW()-1,설정!$L$24)),"")</f>
        <v>0</v>
      </c>
      <c r="B436" s="83" t="n">
        <f aca="false">IFERROR(IF(INDEX(원자료_시장!$A$1:$BZ$1000,설정!$L$6+ROW()-1,설정!$L$37)&amp;""="0","",INDEX(원자료_시장!$A$1:$BZ$1000,설정!$L$6+ROW()-1,설정!$L$37)),"")</f>
        <v>0</v>
      </c>
      <c r="C436" s="83" t="n">
        <f aca="false">IFERROR(IF(INDEX(원자료_시장!$A$1:$BZ$1000,설정!$L$6+ROW()-1,설정!$L$25)&amp;""="0","",INDEX(원자료_시장!$A$1:$BZ$1000,설정!$L$6+ROW()-1,설정!$L$25)),"")</f>
        <v>0</v>
      </c>
      <c r="D436" s="85" t="str">
        <f aca="false">IFERROR(IF(ISNUMBER(INDEX(원자료_시장!$A$1:$BZ$1000,설정!$L$6+ROW()-1,설정!$L$26)),INDEX(원자료_시장!$A$1:$BZ$1000,설정!$L$6+ROW()-1,설정!$L$26),""),"")</f>
        <v/>
      </c>
      <c r="E436" s="97" t="str">
        <f aca="false">IFERROR(IF(ISNUMBER(INDEX(원자료_시장!$A$1:$BZ$1000,설정!$L$6+ROW()-1,설정!$L$27)),INDEX(원자료_시장!$A$1:$BZ$1000,설정!$L$6+ROW()-1,설정!$L$27),""),"")</f>
        <v/>
      </c>
      <c r="F436" s="97" t="str">
        <f aca="false">IFERROR(IF(ISNUMBER(INDEX(원자료_시장!$A$1:$BZ$1000,설정!$L$6+ROW()-1,설정!$L$28)),INDEX(원자료_시장!$A$1:$BZ$1000,설정!$L$6+ROW()-1,설정!$L$28),""),"")</f>
        <v/>
      </c>
      <c r="G436" s="97" t="str">
        <f aca="false">IFERROR(IF(ISNUMBER(INDEX(원자료_시장!$A$1:$BZ$1000,설정!$L$6+ROW()-1,설정!$L$29)),INDEX(원자료_시장!$A$1:$BZ$1000,설정!$L$6+ROW()-1,설정!$L$29),""),"")</f>
        <v/>
      </c>
      <c r="H436" s="97" t="str">
        <f aca="false">IFERROR(IF(ISNUMBER(INDEX(원자료_시장!$A$1:$BZ$1000,설정!$L$6+ROW()-1,설정!$L$30)),INDEX(원자료_시장!$A$1:$BZ$1000,설정!$L$6+ROW()-1,설정!$L$30),""),"")</f>
        <v/>
      </c>
      <c r="I436" s="97" t="str">
        <f aca="false">IFERROR(IF(ISNUMBER(INDEX(원자료_시장!$A$1:$BZ$1000,설정!$L$6+ROW()-1,설정!$L$31)),INDEX(원자료_시장!$A$1:$BZ$1000,설정!$L$6+ROW()-1,설정!$L$31),""),"")</f>
        <v/>
      </c>
      <c r="J436" s="97" t="str">
        <f aca="false">IFERROR(IF(ISNUMBER(INDEX(원자료_시장!$A$1:$BZ$1000,설정!$L$6+ROW()-1,설정!$L$32)),INDEX(원자료_시장!$A$1:$BZ$1000,설정!$L$6+ROW()-1,설정!$L$32),""),"")</f>
        <v/>
      </c>
      <c r="K436" s="85" t="str">
        <f aca="false">IFERROR(IF(ISNUMBER(INDEX(원자료_시장!$A$1:$BZ$1000,설정!$L$6+ROW()-1,설정!$L$33)),INDEX(원자료_시장!$A$1:$BZ$1000,설정!$L$6+ROW()-1,설정!$L$33),""),"")</f>
        <v/>
      </c>
      <c r="L436" s="83" t="n">
        <f aca="false">IFERROR(IF(INDEX(원자료_시장!$A$1:$BZ$1000,설정!$L$6+ROW()-1,설정!$L$34)&amp;""="0","",INDEX(원자료_시장!$A$1:$BZ$1000,설정!$L$6+ROW()-1,설정!$L$34)),"")</f>
        <v>0</v>
      </c>
      <c r="M436" s="83" t="n">
        <f aca="false">IFERROR(IF(INDEX(원자료_시장!$A$1:$BZ$1000,설정!$L$6+ROW()-1,설정!$L$35)&amp;""="0","",INDEX(원자료_시장!$A$1:$BZ$1000,설정!$L$6+ROW()-1,설정!$L$35)),"")</f>
        <v>0</v>
      </c>
      <c r="N436" s="83" t="n">
        <f aca="false">IFERROR(IF(INDEX(원자료_시장!$A$1:$BZ$1000,설정!$L$6+ROW()-1,설정!$L$36)&amp;""="0","",INDEX(원자료_시장!$A$1:$BZ$1000,설정!$L$6+ROW()-1,설정!$L$36)),"")</f>
        <v>0</v>
      </c>
      <c r="O436" s="43" t="str">
        <f aca="false">IF($A436="","",UPPER(LEFT($A436,FIND(" ",$A436&amp;" ")-1)))</f>
        <v/>
      </c>
      <c r="P436" s="43" t="str">
        <f aca="false">IF($A436="","",TRIM(RIGHT(SUBSTITUTE(TRIM($A436)," ",REPT(" ",30)),30)))</f>
        <v/>
      </c>
      <c r="Q436" s="98" t="str">
        <f aca="false">IF($A436="","",IFERROR(DATE(IF(LEN(P436)=8,2000+VALUE(RIGHT(P436,2)),VALUE(RIGHT(P436,4))),VALUE(LEFT(P436,2)),VALUE(MID(P436,4,2))),""))</f>
        <v/>
      </c>
      <c r="R436" s="89" t="n">
        <f aca="false">IF($A436="",0,IF(ISNUMBER(SEARCH("Float",$A436)),1,0))</f>
        <v>0</v>
      </c>
      <c r="S436" s="43" t="str">
        <f aca="false">IF($A436="","",TRIM(MID($A436,LEN(O436)+2,LEN($A436)-LEN(O436)-LEN(P436)-1)))</f>
        <v/>
      </c>
      <c r="T436" s="92" t="str">
        <f aca="false">IF(OR($A436="",R436=1),"",IFERROR(IF(ISNUMBER(FIND("/",S436)),IF(ISNUMBER(FIND(" ",S436)),VALUE(LEFT(S436,FIND(" ",S436)-1))+VALUE(MID(S436,FIND(" ",S436)+1,FIND("/",S436)-FIND(" ",S436)-1))/VALUE(MID(S436,FIND("/",S436)+1,9)),VALUE(LEFT(S436,FIND("/",S436)-1))/VALUE(MID(S436,FIND("/",S436)+1,9))),VALUE(S436)),""))</f>
        <v/>
      </c>
      <c r="U436" s="43" t="str">
        <f aca="false">IF(OR($A436="",NOT(ISNUMBER(Q436))),"",TEXT(Q436,"yyyymmdd")&amp;"|"&amp;IF(R436=1,"F",TEXT(T436,"0.000")))</f>
        <v/>
      </c>
      <c r="V436" s="43" t="str">
        <f aca="false">IF(U436="","",O436&amp;"|"&amp;U436)</f>
        <v/>
      </c>
      <c r="W436" s="43" t="str">
        <f aca="false">IF($A436="","",IFERROR(IF(VLOOKUP(O436,매핑!$A$4:$E$92,3,0)="","미분류",VLOOKUP(O436,매핑!$A$4:$E$92,3,0)),"미분류"))</f>
        <v/>
      </c>
      <c r="X436" s="89" t="n">
        <f aca="false">IF($A436="",0,IF(O436="T",1,0))</f>
        <v>0</v>
      </c>
      <c r="Y436" s="89" t="n">
        <f aca="false">IF($A436="",0,IF(AND(C436="USD",X436=0,ISNUMBER(E436),ISNUMBER(K436)),IF(K436&gt;=설정!$C$8,1,0),0))</f>
        <v>0</v>
      </c>
      <c r="Z436" s="43" t="str">
        <f aca="false">IF($A436="","",N436&amp;"|"&amp;L436)</f>
        <v/>
      </c>
      <c r="AA436" s="92" t="n">
        <f aca="false">IF(Y436=1,LN(K436),0)</f>
        <v>0</v>
      </c>
      <c r="AB436" s="93" t="n">
        <f aca="false">IF(Y436=1,E436,0)</f>
        <v>0</v>
      </c>
      <c r="AC436" s="89" t="n">
        <f aca="false">IF(Y436=1,COUNTIFS($Z$2:$Z$601,Z436,$Y$2:$Y$601,1),0)</f>
        <v>0</v>
      </c>
      <c r="AD436" s="89" t="n">
        <f aca="false">IF(Y436=1,COUNTIFS($N$2:$N$601,N436,$Y$2:$Y$601,1),0)</f>
        <v>0</v>
      </c>
      <c r="AE436" s="43" t="str">
        <f aca="false">IF(Y436&lt;&gt;1,"",IF(AND(AC436&gt;=설정!$C$7,ISNUMBER(MATCH(Z436,피어커브!$A:$A,0))),Z436,IF(AND(AD436&gt;=설정!$C$7,ISNUMBER(MATCH(N436&amp;"|전체",피어커브!$A:$A,0))),N436&amp;"|전체","전체|전체")))</f>
        <v/>
      </c>
      <c r="AF436" s="93" t="str">
        <f aca="false">IF(AE436="","",INDEX(피어커브!$K:$K,MATCH(AE436,피어커브!$A:$A,0)))</f>
        <v/>
      </c>
      <c r="AG436" s="93" t="str">
        <f aca="false">IF(AE436="","",INDEX(피어커브!$J:$J,MATCH(AE436,피어커브!$A:$A,0)))</f>
        <v/>
      </c>
      <c r="AH436" s="93" t="str">
        <f aca="false">IF(AE436="","",INDEX(피어커브!$L:$L,MATCH(AE436,피어커브!$A:$A,0)))</f>
        <v/>
      </c>
      <c r="AI436" s="93" t="str">
        <f aca="false">IF(AE436="","",AF436+AG436*AA436)</f>
        <v/>
      </c>
      <c r="AJ436" s="96" t="str">
        <f aca="false">IF(AE436="","",E436-AI436)</f>
        <v/>
      </c>
      <c r="AK436" s="95" t="str">
        <f aca="false">IF(AE436="","",IF(ISNUMBER(AH436),IF(AH436&gt;0,AJ436/AH436,""),""))</f>
        <v/>
      </c>
      <c r="AL436" s="43" t="str">
        <f aca="false">IF(AK436="","-",IF(AK436&gt;=설정!$C$6,"Cheap",IF(AK436&lt;=-설정!$C$6,"Rich","Fair")))</f>
        <v>-</v>
      </c>
      <c r="AM436" s="96" t="str">
        <f aca="false">IF(AE436="","",AJ436-AVERAGEIFS($AJ$2:$AJ$601,$B$2:$B$601,B436,$Y$2:$Y$601,1))</f>
        <v/>
      </c>
      <c r="AN436" s="93" t="n">
        <f aca="false">IF(AE436="",0,IF(K436&gt;1+설정!$C$8,AG436*(AA436-LN(K436-1)),0))</f>
        <v>0</v>
      </c>
      <c r="AO436" s="99" t="n">
        <f aca="false">IF($A436="",0,SUMIFS(보유분석!$AA$2:$AA$801,보유분석!$AB$2:$AB$801,ROW(),보유분석!$AC$2:$AC$801,1))</f>
        <v>0</v>
      </c>
      <c r="AP436" s="43" t="str">
        <f aca="false">IF($A436="","",TRIM(IF(R436=1,"FRN ","")&amp;IF(IFERROR(VLOOKUP(M436,설정!$A$15:$D$47,4,0),0)&gt;=10,IF(IFERROR(VLOOKUP(M436,설정!$A$15:$D$47,4,0),0)&lt;99,"BBB0미만 ",""),"")&amp;IF(OR(M436="",M436="NR"),"등급미입력 ","")&amp;IF(C436&lt;&gt;"USD","비USD ","")))</f>
        <v/>
      </c>
      <c r="AQ436" s="90" t="n">
        <f aca="false">IF(AND(Y436=1,AL436="Cheap"),IF(AND(ISERROR(SEARCH("FRN",AP436)),ISERROR(SEARCH("BBB0미만",AP436))),AK436+ROW()/1000000000,-999),-999)</f>
        <v>-999</v>
      </c>
      <c r="AR436" s="92" t="str">
        <f aca="false">IF(AND(ISNUMBER(D436),ISNUMBER(K436)),D436+AN436*MAX(K436-1,0)/100,"")</f>
        <v/>
      </c>
      <c r="AS436" s="93" t="str">
        <f aca="false">IF(AND(ISNUMBER(E436),ISNUMBER(K436)),IF(K436&gt;0,(E436+AN436*MAX(K436-1,0))/K436,""),"")</f>
        <v/>
      </c>
      <c r="AT436" s="90" t="n">
        <f aca="false">IFERROR(IF(AND(Y436=1,ROW()&lt;&gt;스왑분석!$C$12+1,ABS(K436-INDEX($K$2:$K$601,스왑분석!$C$12))&lt;=스왑분석!$C$5,ISERROR(SEARCH("FRN",AP436)),ISERROR(SEARCH("BBB0미만",AP436))),IF(AND(OR(스왑분석!$C$6="N",L436=INDEX($L$2:$L$601,스왑분석!$C$12)),OR(스왑분석!$C$7="N",N436=INDEX($N$2:$N$601,스왑분석!$C$12)),OR(스왑분석!$C$8="N",AO436=0),E436-INDEX($E$2:$E$601,스왑분석!$C$12)&gt;=스왑분석!$C$9),E436-INDEX($E$2:$E$601,스왑분석!$C$12)+ROW()/1000000000,-999),-999),-999)</f>
        <v>-999</v>
      </c>
      <c r="AU436" s="90" t="n">
        <f aca="false">IF(AND(Y436=1,AO436&gt;0,AL436="Rich"),-AK436+ROW()/1000000000,-999)</f>
        <v>-999</v>
      </c>
    </row>
    <row r="437" customFormat="false" ht="15" hidden="false" customHeight="false" outlineLevel="0" collapsed="false">
      <c r="A437" s="83" t="n">
        <f aca="false">IFERROR(IF(INDEX(원자료_시장!$A$1:$BZ$1000,설정!$L$6+ROW()-1,설정!$L$24)&amp;""="0","",INDEX(원자료_시장!$A$1:$BZ$1000,설정!$L$6+ROW()-1,설정!$L$24)),"")</f>
        <v>0</v>
      </c>
      <c r="B437" s="83" t="n">
        <f aca="false">IFERROR(IF(INDEX(원자료_시장!$A$1:$BZ$1000,설정!$L$6+ROW()-1,설정!$L$37)&amp;""="0","",INDEX(원자료_시장!$A$1:$BZ$1000,설정!$L$6+ROW()-1,설정!$L$37)),"")</f>
        <v>0</v>
      </c>
      <c r="C437" s="83" t="n">
        <f aca="false">IFERROR(IF(INDEX(원자료_시장!$A$1:$BZ$1000,설정!$L$6+ROW()-1,설정!$L$25)&amp;""="0","",INDEX(원자료_시장!$A$1:$BZ$1000,설정!$L$6+ROW()-1,설정!$L$25)),"")</f>
        <v>0</v>
      </c>
      <c r="D437" s="85" t="str">
        <f aca="false">IFERROR(IF(ISNUMBER(INDEX(원자료_시장!$A$1:$BZ$1000,설정!$L$6+ROW()-1,설정!$L$26)),INDEX(원자료_시장!$A$1:$BZ$1000,설정!$L$6+ROW()-1,설정!$L$26),""),"")</f>
        <v/>
      </c>
      <c r="E437" s="97" t="str">
        <f aca="false">IFERROR(IF(ISNUMBER(INDEX(원자료_시장!$A$1:$BZ$1000,설정!$L$6+ROW()-1,설정!$L$27)),INDEX(원자료_시장!$A$1:$BZ$1000,설정!$L$6+ROW()-1,설정!$L$27),""),"")</f>
        <v/>
      </c>
      <c r="F437" s="97" t="str">
        <f aca="false">IFERROR(IF(ISNUMBER(INDEX(원자료_시장!$A$1:$BZ$1000,설정!$L$6+ROW()-1,설정!$L$28)),INDEX(원자료_시장!$A$1:$BZ$1000,설정!$L$6+ROW()-1,설정!$L$28),""),"")</f>
        <v/>
      </c>
      <c r="G437" s="97" t="str">
        <f aca="false">IFERROR(IF(ISNUMBER(INDEX(원자료_시장!$A$1:$BZ$1000,설정!$L$6+ROW()-1,설정!$L$29)),INDEX(원자료_시장!$A$1:$BZ$1000,설정!$L$6+ROW()-1,설정!$L$29),""),"")</f>
        <v/>
      </c>
      <c r="H437" s="97" t="str">
        <f aca="false">IFERROR(IF(ISNUMBER(INDEX(원자료_시장!$A$1:$BZ$1000,설정!$L$6+ROW()-1,설정!$L$30)),INDEX(원자료_시장!$A$1:$BZ$1000,설정!$L$6+ROW()-1,설정!$L$30),""),"")</f>
        <v/>
      </c>
      <c r="I437" s="97" t="str">
        <f aca="false">IFERROR(IF(ISNUMBER(INDEX(원자료_시장!$A$1:$BZ$1000,설정!$L$6+ROW()-1,설정!$L$31)),INDEX(원자료_시장!$A$1:$BZ$1000,설정!$L$6+ROW()-1,설정!$L$31),""),"")</f>
        <v/>
      </c>
      <c r="J437" s="97" t="str">
        <f aca="false">IFERROR(IF(ISNUMBER(INDEX(원자료_시장!$A$1:$BZ$1000,설정!$L$6+ROW()-1,설정!$L$32)),INDEX(원자료_시장!$A$1:$BZ$1000,설정!$L$6+ROW()-1,설정!$L$32),""),"")</f>
        <v/>
      </c>
      <c r="K437" s="85" t="str">
        <f aca="false">IFERROR(IF(ISNUMBER(INDEX(원자료_시장!$A$1:$BZ$1000,설정!$L$6+ROW()-1,설정!$L$33)),INDEX(원자료_시장!$A$1:$BZ$1000,설정!$L$6+ROW()-1,설정!$L$33),""),"")</f>
        <v/>
      </c>
      <c r="L437" s="83" t="n">
        <f aca="false">IFERROR(IF(INDEX(원자료_시장!$A$1:$BZ$1000,설정!$L$6+ROW()-1,설정!$L$34)&amp;""="0","",INDEX(원자료_시장!$A$1:$BZ$1000,설정!$L$6+ROW()-1,설정!$L$34)),"")</f>
        <v>0</v>
      </c>
      <c r="M437" s="83" t="n">
        <f aca="false">IFERROR(IF(INDEX(원자료_시장!$A$1:$BZ$1000,설정!$L$6+ROW()-1,설정!$L$35)&amp;""="0","",INDEX(원자료_시장!$A$1:$BZ$1000,설정!$L$6+ROW()-1,설정!$L$35)),"")</f>
        <v>0</v>
      </c>
      <c r="N437" s="83" t="n">
        <f aca="false">IFERROR(IF(INDEX(원자료_시장!$A$1:$BZ$1000,설정!$L$6+ROW()-1,설정!$L$36)&amp;""="0","",INDEX(원자료_시장!$A$1:$BZ$1000,설정!$L$6+ROW()-1,설정!$L$36)),"")</f>
        <v>0</v>
      </c>
      <c r="O437" s="43" t="str">
        <f aca="false">IF($A437="","",UPPER(LEFT($A437,FIND(" ",$A437&amp;" ")-1)))</f>
        <v/>
      </c>
      <c r="P437" s="43" t="str">
        <f aca="false">IF($A437="","",TRIM(RIGHT(SUBSTITUTE(TRIM($A437)," ",REPT(" ",30)),30)))</f>
        <v/>
      </c>
      <c r="Q437" s="98" t="str">
        <f aca="false">IF($A437="","",IFERROR(DATE(IF(LEN(P437)=8,2000+VALUE(RIGHT(P437,2)),VALUE(RIGHT(P437,4))),VALUE(LEFT(P437,2)),VALUE(MID(P437,4,2))),""))</f>
        <v/>
      </c>
      <c r="R437" s="89" t="n">
        <f aca="false">IF($A437="",0,IF(ISNUMBER(SEARCH("Float",$A437)),1,0))</f>
        <v>0</v>
      </c>
      <c r="S437" s="43" t="str">
        <f aca="false">IF($A437="","",TRIM(MID($A437,LEN(O437)+2,LEN($A437)-LEN(O437)-LEN(P437)-1)))</f>
        <v/>
      </c>
      <c r="T437" s="92" t="str">
        <f aca="false">IF(OR($A437="",R437=1),"",IFERROR(IF(ISNUMBER(FIND("/",S437)),IF(ISNUMBER(FIND(" ",S437)),VALUE(LEFT(S437,FIND(" ",S437)-1))+VALUE(MID(S437,FIND(" ",S437)+1,FIND("/",S437)-FIND(" ",S437)-1))/VALUE(MID(S437,FIND("/",S437)+1,9)),VALUE(LEFT(S437,FIND("/",S437)-1))/VALUE(MID(S437,FIND("/",S437)+1,9))),VALUE(S437)),""))</f>
        <v/>
      </c>
      <c r="U437" s="43" t="str">
        <f aca="false">IF(OR($A437="",NOT(ISNUMBER(Q437))),"",TEXT(Q437,"yyyymmdd")&amp;"|"&amp;IF(R437=1,"F",TEXT(T437,"0.000")))</f>
        <v/>
      </c>
      <c r="V437" s="43" t="str">
        <f aca="false">IF(U437="","",O437&amp;"|"&amp;U437)</f>
        <v/>
      </c>
      <c r="W437" s="43" t="str">
        <f aca="false">IF($A437="","",IFERROR(IF(VLOOKUP(O437,매핑!$A$4:$E$92,3,0)="","미분류",VLOOKUP(O437,매핑!$A$4:$E$92,3,0)),"미분류"))</f>
        <v/>
      </c>
      <c r="X437" s="89" t="n">
        <f aca="false">IF($A437="",0,IF(O437="T",1,0))</f>
        <v>0</v>
      </c>
      <c r="Y437" s="89" t="n">
        <f aca="false">IF($A437="",0,IF(AND(C437="USD",X437=0,ISNUMBER(E437),ISNUMBER(K437)),IF(K437&gt;=설정!$C$8,1,0),0))</f>
        <v>0</v>
      </c>
      <c r="Z437" s="43" t="str">
        <f aca="false">IF($A437="","",N437&amp;"|"&amp;L437)</f>
        <v/>
      </c>
      <c r="AA437" s="92" t="n">
        <f aca="false">IF(Y437=1,LN(K437),0)</f>
        <v>0</v>
      </c>
      <c r="AB437" s="93" t="n">
        <f aca="false">IF(Y437=1,E437,0)</f>
        <v>0</v>
      </c>
      <c r="AC437" s="89" t="n">
        <f aca="false">IF(Y437=1,COUNTIFS($Z$2:$Z$601,Z437,$Y$2:$Y$601,1),0)</f>
        <v>0</v>
      </c>
      <c r="AD437" s="89" t="n">
        <f aca="false">IF(Y437=1,COUNTIFS($N$2:$N$601,N437,$Y$2:$Y$601,1),0)</f>
        <v>0</v>
      </c>
      <c r="AE437" s="43" t="str">
        <f aca="false">IF(Y437&lt;&gt;1,"",IF(AND(AC437&gt;=설정!$C$7,ISNUMBER(MATCH(Z437,피어커브!$A:$A,0))),Z437,IF(AND(AD437&gt;=설정!$C$7,ISNUMBER(MATCH(N437&amp;"|전체",피어커브!$A:$A,0))),N437&amp;"|전체","전체|전체")))</f>
        <v/>
      </c>
      <c r="AF437" s="93" t="str">
        <f aca="false">IF(AE437="","",INDEX(피어커브!$K:$K,MATCH(AE437,피어커브!$A:$A,0)))</f>
        <v/>
      </c>
      <c r="AG437" s="93" t="str">
        <f aca="false">IF(AE437="","",INDEX(피어커브!$J:$J,MATCH(AE437,피어커브!$A:$A,0)))</f>
        <v/>
      </c>
      <c r="AH437" s="93" t="str">
        <f aca="false">IF(AE437="","",INDEX(피어커브!$L:$L,MATCH(AE437,피어커브!$A:$A,0)))</f>
        <v/>
      </c>
      <c r="AI437" s="93" t="str">
        <f aca="false">IF(AE437="","",AF437+AG437*AA437)</f>
        <v/>
      </c>
      <c r="AJ437" s="96" t="str">
        <f aca="false">IF(AE437="","",E437-AI437)</f>
        <v/>
      </c>
      <c r="AK437" s="95" t="str">
        <f aca="false">IF(AE437="","",IF(ISNUMBER(AH437),IF(AH437&gt;0,AJ437/AH437,""),""))</f>
        <v/>
      </c>
      <c r="AL437" s="43" t="str">
        <f aca="false">IF(AK437="","-",IF(AK437&gt;=설정!$C$6,"Cheap",IF(AK437&lt;=-설정!$C$6,"Rich","Fair")))</f>
        <v>-</v>
      </c>
      <c r="AM437" s="96" t="str">
        <f aca="false">IF(AE437="","",AJ437-AVERAGEIFS($AJ$2:$AJ$601,$B$2:$B$601,B437,$Y$2:$Y$601,1))</f>
        <v/>
      </c>
      <c r="AN437" s="93" t="n">
        <f aca="false">IF(AE437="",0,IF(K437&gt;1+설정!$C$8,AG437*(AA437-LN(K437-1)),0))</f>
        <v>0</v>
      </c>
      <c r="AO437" s="99" t="n">
        <f aca="false">IF($A437="",0,SUMIFS(보유분석!$AA$2:$AA$801,보유분석!$AB$2:$AB$801,ROW(),보유분석!$AC$2:$AC$801,1))</f>
        <v>0</v>
      </c>
      <c r="AP437" s="43" t="str">
        <f aca="false">IF($A437="","",TRIM(IF(R437=1,"FRN ","")&amp;IF(IFERROR(VLOOKUP(M437,설정!$A$15:$D$47,4,0),0)&gt;=10,IF(IFERROR(VLOOKUP(M437,설정!$A$15:$D$47,4,0),0)&lt;99,"BBB0미만 ",""),"")&amp;IF(OR(M437="",M437="NR"),"등급미입력 ","")&amp;IF(C437&lt;&gt;"USD","비USD ","")))</f>
        <v/>
      </c>
      <c r="AQ437" s="90" t="n">
        <f aca="false">IF(AND(Y437=1,AL437="Cheap"),IF(AND(ISERROR(SEARCH("FRN",AP437)),ISERROR(SEARCH("BBB0미만",AP437))),AK437+ROW()/1000000000,-999),-999)</f>
        <v>-999</v>
      </c>
      <c r="AR437" s="92" t="str">
        <f aca="false">IF(AND(ISNUMBER(D437),ISNUMBER(K437)),D437+AN437*MAX(K437-1,0)/100,"")</f>
        <v/>
      </c>
      <c r="AS437" s="93" t="str">
        <f aca="false">IF(AND(ISNUMBER(E437),ISNUMBER(K437)),IF(K437&gt;0,(E437+AN437*MAX(K437-1,0))/K437,""),"")</f>
        <v/>
      </c>
      <c r="AT437" s="90" t="n">
        <f aca="false">IFERROR(IF(AND(Y437=1,ROW()&lt;&gt;스왑분석!$C$12+1,ABS(K437-INDEX($K$2:$K$601,스왑분석!$C$12))&lt;=스왑분석!$C$5,ISERROR(SEARCH("FRN",AP437)),ISERROR(SEARCH("BBB0미만",AP437))),IF(AND(OR(스왑분석!$C$6="N",L437=INDEX($L$2:$L$601,스왑분석!$C$12)),OR(스왑분석!$C$7="N",N437=INDEX($N$2:$N$601,스왑분석!$C$12)),OR(스왑분석!$C$8="N",AO437=0),E437-INDEX($E$2:$E$601,스왑분석!$C$12)&gt;=스왑분석!$C$9),E437-INDEX($E$2:$E$601,스왑분석!$C$12)+ROW()/1000000000,-999),-999),-999)</f>
        <v>-999</v>
      </c>
      <c r="AU437" s="90" t="n">
        <f aca="false">IF(AND(Y437=1,AO437&gt;0,AL437="Rich"),-AK437+ROW()/1000000000,-999)</f>
        <v>-999</v>
      </c>
    </row>
    <row r="438" customFormat="false" ht="15" hidden="false" customHeight="false" outlineLevel="0" collapsed="false">
      <c r="A438" s="83" t="n">
        <f aca="false">IFERROR(IF(INDEX(원자료_시장!$A$1:$BZ$1000,설정!$L$6+ROW()-1,설정!$L$24)&amp;""="0","",INDEX(원자료_시장!$A$1:$BZ$1000,설정!$L$6+ROW()-1,설정!$L$24)),"")</f>
        <v>0</v>
      </c>
      <c r="B438" s="83" t="n">
        <f aca="false">IFERROR(IF(INDEX(원자료_시장!$A$1:$BZ$1000,설정!$L$6+ROW()-1,설정!$L$37)&amp;""="0","",INDEX(원자료_시장!$A$1:$BZ$1000,설정!$L$6+ROW()-1,설정!$L$37)),"")</f>
        <v>0</v>
      </c>
      <c r="C438" s="83" t="n">
        <f aca="false">IFERROR(IF(INDEX(원자료_시장!$A$1:$BZ$1000,설정!$L$6+ROW()-1,설정!$L$25)&amp;""="0","",INDEX(원자료_시장!$A$1:$BZ$1000,설정!$L$6+ROW()-1,설정!$L$25)),"")</f>
        <v>0</v>
      </c>
      <c r="D438" s="85" t="str">
        <f aca="false">IFERROR(IF(ISNUMBER(INDEX(원자료_시장!$A$1:$BZ$1000,설정!$L$6+ROW()-1,설정!$L$26)),INDEX(원자료_시장!$A$1:$BZ$1000,설정!$L$6+ROW()-1,설정!$L$26),""),"")</f>
        <v/>
      </c>
      <c r="E438" s="97" t="str">
        <f aca="false">IFERROR(IF(ISNUMBER(INDEX(원자료_시장!$A$1:$BZ$1000,설정!$L$6+ROW()-1,설정!$L$27)),INDEX(원자료_시장!$A$1:$BZ$1000,설정!$L$6+ROW()-1,설정!$L$27),""),"")</f>
        <v/>
      </c>
      <c r="F438" s="97" t="str">
        <f aca="false">IFERROR(IF(ISNUMBER(INDEX(원자료_시장!$A$1:$BZ$1000,설정!$L$6+ROW()-1,설정!$L$28)),INDEX(원자료_시장!$A$1:$BZ$1000,설정!$L$6+ROW()-1,설정!$L$28),""),"")</f>
        <v/>
      </c>
      <c r="G438" s="97" t="str">
        <f aca="false">IFERROR(IF(ISNUMBER(INDEX(원자료_시장!$A$1:$BZ$1000,설정!$L$6+ROW()-1,설정!$L$29)),INDEX(원자료_시장!$A$1:$BZ$1000,설정!$L$6+ROW()-1,설정!$L$29),""),"")</f>
        <v/>
      </c>
      <c r="H438" s="97" t="str">
        <f aca="false">IFERROR(IF(ISNUMBER(INDEX(원자료_시장!$A$1:$BZ$1000,설정!$L$6+ROW()-1,설정!$L$30)),INDEX(원자료_시장!$A$1:$BZ$1000,설정!$L$6+ROW()-1,설정!$L$30),""),"")</f>
        <v/>
      </c>
      <c r="I438" s="97" t="str">
        <f aca="false">IFERROR(IF(ISNUMBER(INDEX(원자료_시장!$A$1:$BZ$1000,설정!$L$6+ROW()-1,설정!$L$31)),INDEX(원자료_시장!$A$1:$BZ$1000,설정!$L$6+ROW()-1,설정!$L$31),""),"")</f>
        <v/>
      </c>
      <c r="J438" s="97" t="str">
        <f aca="false">IFERROR(IF(ISNUMBER(INDEX(원자료_시장!$A$1:$BZ$1000,설정!$L$6+ROW()-1,설정!$L$32)),INDEX(원자료_시장!$A$1:$BZ$1000,설정!$L$6+ROW()-1,설정!$L$32),""),"")</f>
        <v/>
      </c>
      <c r="K438" s="85" t="str">
        <f aca="false">IFERROR(IF(ISNUMBER(INDEX(원자료_시장!$A$1:$BZ$1000,설정!$L$6+ROW()-1,설정!$L$33)),INDEX(원자료_시장!$A$1:$BZ$1000,설정!$L$6+ROW()-1,설정!$L$33),""),"")</f>
        <v/>
      </c>
      <c r="L438" s="83" t="n">
        <f aca="false">IFERROR(IF(INDEX(원자료_시장!$A$1:$BZ$1000,설정!$L$6+ROW()-1,설정!$L$34)&amp;""="0","",INDEX(원자료_시장!$A$1:$BZ$1000,설정!$L$6+ROW()-1,설정!$L$34)),"")</f>
        <v>0</v>
      </c>
      <c r="M438" s="83" t="n">
        <f aca="false">IFERROR(IF(INDEX(원자료_시장!$A$1:$BZ$1000,설정!$L$6+ROW()-1,설정!$L$35)&amp;""="0","",INDEX(원자료_시장!$A$1:$BZ$1000,설정!$L$6+ROW()-1,설정!$L$35)),"")</f>
        <v>0</v>
      </c>
      <c r="N438" s="83" t="n">
        <f aca="false">IFERROR(IF(INDEX(원자료_시장!$A$1:$BZ$1000,설정!$L$6+ROW()-1,설정!$L$36)&amp;""="0","",INDEX(원자료_시장!$A$1:$BZ$1000,설정!$L$6+ROW()-1,설정!$L$36)),"")</f>
        <v>0</v>
      </c>
      <c r="O438" s="43" t="str">
        <f aca="false">IF($A438="","",UPPER(LEFT($A438,FIND(" ",$A438&amp;" ")-1)))</f>
        <v/>
      </c>
      <c r="P438" s="43" t="str">
        <f aca="false">IF($A438="","",TRIM(RIGHT(SUBSTITUTE(TRIM($A438)," ",REPT(" ",30)),30)))</f>
        <v/>
      </c>
      <c r="Q438" s="98" t="str">
        <f aca="false">IF($A438="","",IFERROR(DATE(IF(LEN(P438)=8,2000+VALUE(RIGHT(P438,2)),VALUE(RIGHT(P438,4))),VALUE(LEFT(P438,2)),VALUE(MID(P438,4,2))),""))</f>
        <v/>
      </c>
      <c r="R438" s="89" t="n">
        <f aca="false">IF($A438="",0,IF(ISNUMBER(SEARCH("Float",$A438)),1,0))</f>
        <v>0</v>
      </c>
      <c r="S438" s="43" t="str">
        <f aca="false">IF($A438="","",TRIM(MID($A438,LEN(O438)+2,LEN($A438)-LEN(O438)-LEN(P438)-1)))</f>
        <v/>
      </c>
      <c r="T438" s="92" t="str">
        <f aca="false">IF(OR($A438="",R438=1),"",IFERROR(IF(ISNUMBER(FIND("/",S438)),IF(ISNUMBER(FIND(" ",S438)),VALUE(LEFT(S438,FIND(" ",S438)-1))+VALUE(MID(S438,FIND(" ",S438)+1,FIND("/",S438)-FIND(" ",S438)-1))/VALUE(MID(S438,FIND("/",S438)+1,9)),VALUE(LEFT(S438,FIND("/",S438)-1))/VALUE(MID(S438,FIND("/",S438)+1,9))),VALUE(S438)),""))</f>
        <v/>
      </c>
      <c r="U438" s="43" t="str">
        <f aca="false">IF(OR($A438="",NOT(ISNUMBER(Q438))),"",TEXT(Q438,"yyyymmdd")&amp;"|"&amp;IF(R438=1,"F",TEXT(T438,"0.000")))</f>
        <v/>
      </c>
      <c r="V438" s="43" t="str">
        <f aca="false">IF(U438="","",O438&amp;"|"&amp;U438)</f>
        <v/>
      </c>
      <c r="W438" s="43" t="str">
        <f aca="false">IF($A438="","",IFERROR(IF(VLOOKUP(O438,매핑!$A$4:$E$92,3,0)="","미분류",VLOOKUP(O438,매핑!$A$4:$E$92,3,0)),"미분류"))</f>
        <v/>
      </c>
      <c r="X438" s="89" t="n">
        <f aca="false">IF($A438="",0,IF(O438="T",1,0))</f>
        <v>0</v>
      </c>
      <c r="Y438" s="89" t="n">
        <f aca="false">IF($A438="",0,IF(AND(C438="USD",X438=0,ISNUMBER(E438),ISNUMBER(K438)),IF(K438&gt;=설정!$C$8,1,0),0))</f>
        <v>0</v>
      </c>
      <c r="Z438" s="43" t="str">
        <f aca="false">IF($A438="","",N438&amp;"|"&amp;L438)</f>
        <v/>
      </c>
      <c r="AA438" s="92" t="n">
        <f aca="false">IF(Y438=1,LN(K438),0)</f>
        <v>0</v>
      </c>
      <c r="AB438" s="93" t="n">
        <f aca="false">IF(Y438=1,E438,0)</f>
        <v>0</v>
      </c>
      <c r="AC438" s="89" t="n">
        <f aca="false">IF(Y438=1,COUNTIFS($Z$2:$Z$601,Z438,$Y$2:$Y$601,1),0)</f>
        <v>0</v>
      </c>
      <c r="AD438" s="89" t="n">
        <f aca="false">IF(Y438=1,COUNTIFS($N$2:$N$601,N438,$Y$2:$Y$601,1),0)</f>
        <v>0</v>
      </c>
      <c r="AE438" s="43" t="str">
        <f aca="false">IF(Y438&lt;&gt;1,"",IF(AND(AC438&gt;=설정!$C$7,ISNUMBER(MATCH(Z438,피어커브!$A:$A,0))),Z438,IF(AND(AD438&gt;=설정!$C$7,ISNUMBER(MATCH(N438&amp;"|전체",피어커브!$A:$A,0))),N438&amp;"|전체","전체|전체")))</f>
        <v/>
      </c>
      <c r="AF438" s="93" t="str">
        <f aca="false">IF(AE438="","",INDEX(피어커브!$K:$K,MATCH(AE438,피어커브!$A:$A,0)))</f>
        <v/>
      </c>
      <c r="AG438" s="93" t="str">
        <f aca="false">IF(AE438="","",INDEX(피어커브!$J:$J,MATCH(AE438,피어커브!$A:$A,0)))</f>
        <v/>
      </c>
      <c r="AH438" s="93" t="str">
        <f aca="false">IF(AE438="","",INDEX(피어커브!$L:$L,MATCH(AE438,피어커브!$A:$A,0)))</f>
        <v/>
      </c>
      <c r="AI438" s="93" t="str">
        <f aca="false">IF(AE438="","",AF438+AG438*AA438)</f>
        <v/>
      </c>
      <c r="AJ438" s="96" t="str">
        <f aca="false">IF(AE438="","",E438-AI438)</f>
        <v/>
      </c>
      <c r="AK438" s="95" t="str">
        <f aca="false">IF(AE438="","",IF(ISNUMBER(AH438),IF(AH438&gt;0,AJ438/AH438,""),""))</f>
        <v/>
      </c>
      <c r="AL438" s="43" t="str">
        <f aca="false">IF(AK438="","-",IF(AK438&gt;=설정!$C$6,"Cheap",IF(AK438&lt;=-설정!$C$6,"Rich","Fair")))</f>
        <v>-</v>
      </c>
      <c r="AM438" s="96" t="str">
        <f aca="false">IF(AE438="","",AJ438-AVERAGEIFS($AJ$2:$AJ$601,$B$2:$B$601,B438,$Y$2:$Y$601,1))</f>
        <v/>
      </c>
      <c r="AN438" s="93" t="n">
        <f aca="false">IF(AE438="",0,IF(K438&gt;1+설정!$C$8,AG438*(AA438-LN(K438-1)),0))</f>
        <v>0</v>
      </c>
      <c r="AO438" s="99" t="n">
        <f aca="false">IF($A438="",0,SUMIFS(보유분석!$AA$2:$AA$801,보유분석!$AB$2:$AB$801,ROW(),보유분석!$AC$2:$AC$801,1))</f>
        <v>0</v>
      </c>
      <c r="AP438" s="43" t="str">
        <f aca="false">IF($A438="","",TRIM(IF(R438=1,"FRN ","")&amp;IF(IFERROR(VLOOKUP(M438,설정!$A$15:$D$47,4,0),0)&gt;=10,IF(IFERROR(VLOOKUP(M438,설정!$A$15:$D$47,4,0),0)&lt;99,"BBB0미만 ",""),"")&amp;IF(OR(M438="",M438="NR"),"등급미입력 ","")&amp;IF(C438&lt;&gt;"USD","비USD ","")))</f>
        <v/>
      </c>
      <c r="AQ438" s="90" t="n">
        <f aca="false">IF(AND(Y438=1,AL438="Cheap"),IF(AND(ISERROR(SEARCH("FRN",AP438)),ISERROR(SEARCH("BBB0미만",AP438))),AK438+ROW()/1000000000,-999),-999)</f>
        <v>-999</v>
      </c>
      <c r="AR438" s="92" t="str">
        <f aca="false">IF(AND(ISNUMBER(D438),ISNUMBER(K438)),D438+AN438*MAX(K438-1,0)/100,"")</f>
        <v/>
      </c>
      <c r="AS438" s="93" t="str">
        <f aca="false">IF(AND(ISNUMBER(E438),ISNUMBER(K438)),IF(K438&gt;0,(E438+AN438*MAX(K438-1,0))/K438,""),"")</f>
        <v/>
      </c>
      <c r="AT438" s="90" t="n">
        <f aca="false">IFERROR(IF(AND(Y438=1,ROW()&lt;&gt;스왑분석!$C$12+1,ABS(K438-INDEX($K$2:$K$601,스왑분석!$C$12))&lt;=스왑분석!$C$5,ISERROR(SEARCH("FRN",AP438)),ISERROR(SEARCH("BBB0미만",AP438))),IF(AND(OR(스왑분석!$C$6="N",L438=INDEX($L$2:$L$601,스왑분석!$C$12)),OR(스왑분석!$C$7="N",N438=INDEX($N$2:$N$601,스왑분석!$C$12)),OR(스왑분석!$C$8="N",AO438=0),E438-INDEX($E$2:$E$601,스왑분석!$C$12)&gt;=스왑분석!$C$9),E438-INDEX($E$2:$E$601,스왑분석!$C$12)+ROW()/1000000000,-999),-999),-999)</f>
        <v>-999</v>
      </c>
      <c r="AU438" s="90" t="n">
        <f aca="false">IF(AND(Y438=1,AO438&gt;0,AL438="Rich"),-AK438+ROW()/1000000000,-999)</f>
        <v>-999</v>
      </c>
    </row>
    <row r="439" customFormat="false" ht="15" hidden="false" customHeight="false" outlineLevel="0" collapsed="false">
      <c r="A439" s="83" t="n">
        <f aca="false">IFERROR(IF(INDEX(원자료_시장!$A$1:$BZ$1000,설정!$L$6+ROW()-1,설정!$L$24)&amp;""="0","",INDEX(원자료_시장!$A$1:$BZ$1000,설정!$L$6+ROW()-1,설정!$L$24)),"")</f>
        <v>0</v>
      </c>
      <c r="B439" s="83" t="n">
        <f aca="false">IFERROR(IF(INDEX(원자료_시장!$A$1:$BZ$1000,설정!$L$6+ROW()-1,설정!$L$37)&amp;""="0","",INDEX(원자료_시장!$A$1:$BZ$1000,설정!$L$6+ROW()-1,설정!$L$37)),"")</f>
        <v>0</v>
      </c>
      <c r="C439" s="83" t="n">
        <f aca="false">IFERROR(IF(INDEX(원자료_시장!$A$1:$BZ$1000,설정!$L$6+ROW()-1,설정!$L$25)&amp;""="0","",INDEX(원자료_시장!$A$1:$BZ$1000,설정!$L$6+ROW()-1,설정!$L$25)),"")</f>
        <v>0</v>
      </c>
      <c r="D439" s="85" t="str">
        <f aca="false">IFERROR(IF(ISNUMBER(INDEX(원자료_시장!$A$1:$BZ$1000,설정!$L$6+ROW()-1,설정!$L$26)),INDEX(원자료_시장!$A$1:$BZ$1000,설정!$L$6+ROW()-1,설정!$L$26),""),"")</f>
        <v/>
      </c>
      <c r="E439" s="97" t="str">
        <f aca="false">IFERROR(IF(ISNUMBER(INDEX(원자료_시장!$A$1:$BZ$1000,설정!$L$6+ROW()-1,설정!$L$27)),INDEX(원자료_시장!$A$1:$BZ$1000,설정!$L$6+ROW()-1,설정!$L$27),""),"")</f>
        <v/>
      </c>
      <c r="F439" s="97" t="str">
        <f aca="false">IFERROR(IF(ISNUMBER(INDEX(원자료_시장!$A$1:$BZ$1000,설정!$L$6+ROW()-1,설정!$L$28)),INDEX(원자료_시장!$A$1:$BZ$1000,설정!$L$6+ROW()-1,설정!$L$28),""),"")</f>
        <v/>
      </c>
      <c r="G439" s="97" t="str">
        <f aca="false">IFERROR(IF(ISNUMBER(INDEX(원자료_시장!$A$1:$BZ$1000,설정!$L$6+ROW()-1,설정!$L$29)),INDEX(원자료_시장!$A$1:$BZ$1000,설정!$L$6+ROW()-1,설정!$L$29),""),"")</f>
        <v/>
      </c>
      <c r="H439" s="97" t="str">
        <f aca="false">IFERROR(IF(ISNUMBER(INDEX(원자료_시장!$A$1:$BZ$1000,설정!$L$6+ROW()-1,설정!$L$30)),INDEX(원자료_시장!$A$1:$BZ$1000,설정!$L$6+ROW()-1,설정!$L$30),""),"")</f>
        <v/>
      </c>
      <c r="I439" s="97" t="str">
        <f aca="false">IFERROR(IF(ISNUMBER(INDEX(원자료_시장!$A$1:$BZ$1000,설정!$L$6+ROW()-1,설정!$L$31)),INDEX(원자료_시장!$A$1:$BZ$1000,설정!$L$6+ROW()-1,설정!$L$31),""),"")</f>
        <v/>
      </c>
      <c r="J439" s="97" t="str">
        <f aca="false">IFERROR(IF(ISNUMBER(INDEX(원자료_시장!$A$1:$BZ$1000,설정!$L$6+ROW()-1,설정!$L$32)),INDEX(원자료_시장!$A$1:$BZ$1000,설정!$L$6+ROW()-1,설정!$L$32),""),"")</f>
        <v/>
      </c>
      <c r="K439" s="85" t="str">
        <f aca="false">IFERROR(IF(ISNUMBER(INDEX(원자료_시장!$A$1:$BZ$1000,설정!$L$6+ROW()-1,설정!$L$33)),INDEX(원자료_시장!$A$1:$BZ$1000,설정!$L$6+ROW()-1,설정!$L$33),""),"")</f>
        <v/>
      </c>
      <c r="L439" s="83" t="n">
        <f aca="false">IFERROR(IF(INDEX(원자료_시장!$A$1:$BZ$1000,설정!$L$6+ROW()-1,설정!$L$34)&amp;""="0","",INDEX(원자료_시장!$A$1:$BZ$1000,설정!$L$6+ROW()-1,설정!$L$34)),"")</f>
        <v>0</v>
      </c>
      <c r="M439" s="83" t="n">
        <f aca="false">IFERROR(IF(INDEX(원자료_시장!$A$1:$BZ$1000,설정!$L$6+ROW()-1,설정!$L$35)&amp;""="0","",INDEX(원자료_시장!$A$1:$BZ$1000,설정!$L$6+ROW()-1,설정!$L$35)),"")</f>
        <v>0</v>
      </c>
      <c r="N439" s="83" t="n">
        <f aca="false">IFERROR(IF(INDEX(원자료_시장!$A$1:$BZ$1000,설정!$L$6+ROW()-1,설정!$L$36)&amp;""="0","",INDEX(원자료_시장!$A$1:$BZ$1000,설정!$L$6+ROW()-1,설정!$L$36)),"")</f>
        <v>0</v>
      </c>
      <c r="O439" s="43" t="str">
        <f aca="false">IF($A439="","",UPPER(LEFT($A439,FIND(" ",$A439&amp;" ")-1)))</f>
        <v/>
      </c>
      <c r="P439" s="43" t="str">
        <f aca="false">IF($A439="","",TRIM(RIGHT(SUBSTITUTE(TRIM($A439)," ",REPT(" ",30)),30)))</f>
        <v/>
      </c>
      <c r="Q439" s="98" t="str">
        <f aca="false">IF($A439="","",IFERROR(DATE(IF(LEN(P439)=8,2000+VALUE(RIGHT(P439,2)),VALUE(RIGHT(P439,4))),VALUE(LEFT(P439,2)),VALUE(MID(P439,4,2))),""))</f>
        <v/>
      </c>
      <c r="R439" s="89" t="n">
        <f aca="false">IF($A439="",0,IF(ISNUMBER(SEARCH("Float",$A439)),1,0))</f>
        <v>0</v>
      </c>
      <c r="S439" s="43" t="str">
        <f aca="false">IF($A439="","",TRIM(MID($A439,LEN(O439)+2,LEN($A439)-LEN(O439)-LEN(P439)-1)))</f>
        <v/>
      </c>
      <c r="T439" s="92" t="str">
        <f aca="false">IF(OR($A439="",R439=1),"",IFERROR(IF(ISNUMBER(FIND("/",S439)),IF(ISNUMBER(FIND(" ",S439)),VALUE(LEFT(S439,FIND(" ",S439)-1))+VALUE(MID(S439,FIND(" ",S439)+1,FIND("/",S439)-FIND(" ",S439)-1))/VALUE(MID(S439,FIND("/",S439)+1,9)),VALUE(LEFT(S439,FIND("/",S439)-1))/VALUE(MID(S439,FIND("/",S439)+1,9))),VALUE(S439)),""))</f>
        <v/>
      </c>
      <c r="U439" s="43" t="str">
        <f aca="false">IF(OR($A439="",NOT(ISNUMBER(Q439))),"",TEXT(Q439,"yyyymmdd")&amp;"|"&amp;IF(R439=1,"F",TEXT(T439,"0.000")))</f>
        <v/>
      </c>
      <c r="V439" s="43" t="str">
        <f aca="false">IF(U439="","",O439&amp;"|"&amp;U439)</f>
        <v/>
      </c>
      <c r="W439" s="43" t="str">
        <f aca="false">IF($A439="","",IFERROR(IF(VLOOKUP(O439,매핑!$A$4:$E$92,3,0)="","미분류",VLOOKUP(O439,매핑!$A$4:$E$92,3,0)),"미분류"))</f>
        <v/>
      </c>
      <c r="X439" s="89" t="n">
        <f aca="false">IF($A439="",0,IF(O439="T",1,0))</f>
        <v>0</v>
      </c>
      <c r="Y439" s="89" t="n">
        <f aca="false">IF($A439="",0,IF(AND(C439="USD",X439=0,ISNUMBER(E439),ISNUMBER(K439)),IF(K439&gt;=설정!$C$8,1,0),0))</f>
        <v>0</v>
      </c>
      <c r="Z439" s="43" t="str">
        <f aca="false">IF($A439="","",N439&amp;"|"&amp;L439)</f>
        <v/>
      </c>
      <c r="AA439" s="92" t="n">
        <f aca="false">IF(Y439=1,LN(K439),0)</f>
        <v>0</v>
      </c>
      <c r="AB439" s="93" t="n">
        <f aca="false">IF(Y439=1,E439,0)</f>
        <v>0</v>
      </c>
      <c r="AC439" s="89" t="n">
        <f aca="false">IF(Y439=1,COUNTIFS($Z$2:$Z$601,Z439,$Y$2:$Y$601,1),0)</f>
        <v>0</v>
      </c>
      <c r="AD439" s="89" t="n">
        <f aca="false">IF(Y439=1,COUNTIFS($N$2:$N$601,N439,$Y$2:$Y$601,1),0)</f>
        <v>0</v>
      </c>
      <c r="AE439" s="43" t="str">
        <f aca="false">IF(Y439&lt;&gt;1,"",IF(AND(AC439&gt;=설정!$C$7,ISNUMBER(MATCH(Z439,피어커브!$A:$A,0))),Z439,IF(AND(AD439&gt;=설정!$C$7,ISNUMBER(MATCH(N439&amp;"|전체",피어커브!$A:$A,0))),N439&amp;"|전체","전체|전체")))</f>
        <v/>
      </c>
      <c r="AF439" s="93" t="str">
        <f aca="false">IF(AE439="","",INDEX(피어커브!$K:$K,MATCH(AE439,피어커브!$A:$A,0)))</f>
        <v/>
      </c>
      <c r="AG439" s="93" t="str">
        <f aca="false">IF(AE439="","",INDEX(피어커브!$J:$J,MATCH(AE439,피어커브!$A:$A,0)))</f>
        <v/>
      </c>
      <c r="AH439" s="93" t="str">
        <f aca="false">IF(AE439="","",INDEX(피어커브!$L:$L,MATCH(AE439,피어커브!$A:$A,0)))</f>
        <v/>
      </c>
      <c r="AI439" s="93" t="str">
        <f aca="false">IF(AE439="","",AF439+AG439*AA439)</f>
        <v/>
      </c>
      <c r="AJ439" s="96" t="str">
        <f aca="false">IF(AE439="","",E439-AI439)</f>
        <v/>
      </c>
      <c r="AK439" s="95" t="str">
        <f aca="false">IF(AE439="","",IF(ISNUMBER(AH439),IF(AH439&gt;0,AJ439/AH439,""),""))</f>
        <v/>
      </c>
      <c r="AL439" s="43" t="str">
        <f aca="false">IF(AK439="","-",IF(AK439&gt;=설정!$C$6,"Cheap",IF(AK439&lt;=-설정!$C$6,"Rich","Fair")))</f>
        <v>-</v>
      </c>
      <c r="AM439" s="96" t="str">
        <f aca="false">IF(AE439="","",AJ439-AVERAGEIFS($AJ$2:$AJ$601,$B$2:$B$601,B439,$Y$2:$Y$601,1))</f>
        <v/>
      </c>
      <c r="AN439" s="93" t="n">
        <f aca="false">IF(AE439="",0,IF(K439&gt;1+설정!$C$8,AG439*(AA439-LN(K439-1)),0))</f>
        <v>0</v>
      </c>
      <c r="AO439" s="99" t="n">
        <f aca="false">IF($A439="",0,SUMIFS(보유분석!$AA$2:$AA$801,보유분석!$AB$2:$AB$801,ROW(),보유분석!$AC$2:$AC$801,1))</f>
        <v>0</v>
      </c>
      <c r="AP439" s="43" t="str">
        <f aca="false">IF($A439="","",TRIM(IF(R439=1,"FRN ","")&amp;IF(IFERROR(VLOOKUP(M439,설정!$A$15:$D$47,4,0),0)&gt;=10,IF(IFERROR(VLOOKUP(M439,설정!$A$15:$D$47,4,0),0)&lt;99,"BBB0미만 ",""),"")&amp;IF(OR(M439="",M439="NR"),"등급미입력 ","")&amp;IF(C439&lt;&gt;"USD","비USD ","")))</f>
        <v/>
      </c>
      <c r="AQ439" s="90" t="n">
        <f aca="false">IF(AND(Y439=1,AL439="Cheap"),IF(AND(ISERROR(SEARCH("FRN",AP439)),ISERROR(SEARCH("BBB0미만",AP439))),AK439+ROW()/1000000000,-999),-999)</f>
        <v>-999</v>
      </c>
      <c r="AR439" s="92" t="str">
        <f aca="false">IF(AND(ISNUMBER(D439),ISNUMBER(K439)),D439+AN439*MAX(K439-1,0)/100,"")</f>
        <v/>
      </c>
      <c r="AS439" s="93" t="str">
        <f aca="false">IF(AND(ISNUMBER(E439),ISNUMBER(K439)),IF(K439&gt;0,(E439+AN439*MAX(K439-1,0))/K439,""),"")</f>
        <v/>
      </c>
      <c r="AT439" s="90" t="n">
        <f aca="false">IFERROR(IF(AND(Y439=1,ROW()&lt;&gt;스왑분석!$C$12+1,ABS(K439-INDEX($K$2:$K$601,스왑분석!$C$12))&lt;=스왑분석!$C$5,ISERROR(SEARCH("FRN",AP439)),ISERROR(SEARCH("BBB0미만",AP439))),IF(AND(OR(스왑분석!$C$6="N",L439=INDEX($L$2:$L$601,스왑분석!$C$12)),OR(스왑분석!$C$7="N",N439=INDEX($N$2:$N$601,스왑분석!$C$12)),OR(스왑분석!$C$8="N",AO439=0),E439-INDEX($E$2:$E$601,스왑분석!$C$12)&gt;=스왑분석!$C$9),E439-INDEX($E$2:$E$601,스왑분석!$C$12)+ROW()/1000000000,-999),-999),-999)</f>
        <v>-999</v>
      </c>
      <c r="AU439" s="90" t="n">
        <f aca="false">IF(AND(Y439=1,AO439&gt;0,AL439="Rich"),-AK439+ROW()/1000000000,-999)</f>
        <v>-999</v>
      </c>
    </row>
    <row r="440" customFormat="false" ht="15" hidden="false" customHeight="false" outlineLevel="0" collapsed="false">
      <c r="A440" s="83" t="n">
        <f aca="false">IFERROR(IF(INDEX(원자료_시장!$A$1:$BZ$1000,설정!$L$6+ROW()-1,설정!$L$24)&amp;""="0","",INDEX(원자료_시장!$A$1:$BZ$1000,설정!$L$6+ROW()-1,설정!$L$24)),"")</f>
        <v>0</v>
      </c>
      <c r="B440" s="83" t="n">
        <f aca="false">IFERROR(IF(INDEX(원자료_시장!$A$1:$BZ$1000,설정!$L$6+ROW()-1,설정!$L$37)&amp;""="0","",INDEX(원자료_시장!$A$1:$BZ$1000,설정!$L$6+ROW()-1,설정!$L$37)),"")</f>
        <v>0</v>
      </c>
      <c r="C440" s="83" t="n">
        <f aca="false">IFERROR(IF(INDEX(원자료_시장!$A$1:$BZ$1000,설정!$L$6+ROW()-1,설정!$L$25)&amp;""="0","",INDEX(원자료_시장!$A$1:$BZ$1000,설정!$L$6+ROW()-1,설정!$L$25)),"")</f>
        <v>0</v>
      </c>
      <c r="D440" s="85" t="str">
        <f aca="false">IFERROR(IF(ISNUMBER(INDEX(원자료_시장!$A$1:$BZ$1000,설정!$L$6+ROW()-1,설정!$L$26)),INDEX(원자료_시장!$A$1:$BZ$1000,설정!$L$6+ROW()-1,설정!$L$26),""),"")</f>
        <v/>
      </c>
      <c r="E440" s="97" t="str">
        <f aca="false">IFERROR(IF(ISNUMBER(INDEX(원자료_시장!$A$1:$BZ$1000,설정!$L$6+ROW()-1,설정!$L$27)),INDEX(원자료_시장!$A$1:$BZ$1000,설정!$L$6+ROW()-1,설정!$L$27),""),"")</f>
        <v/>
      </c>
      <c r="F440" s="97" t="str">
        <f aca="false">IFERROR(IF(ISNUMBER(INDEX(원자료_시장!$A$1:$BZ$1000,설정!$L$6+ROW()-1,설정!$L$28)),INDEX(원자료_시장!$A$1:$BZ$1000,설정!$L$6+ROW()-1,설정!$L$28),""),"")</f>
        <v/>
      </c>
      <c r="G440" s="97" t="str">
        <f aca="false">IFERROR(IF(ISNUMBER(INDEX(원자료_시장!$A$1:$BZ$1000,설정!$L$6+ROW()-1,설정!$L$29)),INDEX(원자료_시장!$A$1:$BZ$1000,설정!$L$6+ROW()-1,설정!$L$29),""),"")</f>
        <v/>
      </c>
      <c r="H440" s="97" t="str">
        <f aca="false">IFERROR(IF(ISNUMBER(INDEX(원자료_시장!$A$1:$BZ$1000,설정!$L$6+ROW()-1,설정!$L$30)),INDEX(원자료_시장!$A$1:$BZ$1000,설정!$L$6+ROW()-1,설정!$L$30),""),"")</f>
        <v/>
      </c>
      <c r="I440" s="97" t="str">
        <f aca="false">IFERROR(IF(ISNUMBER(INDEX(원자료_시장!$A$1:$BZ$1000,설정!$L$6+ROW()-1,설정!$L$31)),INDEX(원자료_시장!$A$1:$BZ$1000,설정!$L$6+ROW()-1,설정!$L$31),""),"")</f>
        <v/>
      </c>
      <c r="J440" s="97" t="str">
        <f aca="false">IFERROR(IF(ISNUMBER(INDEX(원자료_시장!$A$1:$BZ$1000,설정!$L$6+ROW()-1,설정!$L$32)),INDEX(원자료_시장!$A$1:$BZ$1000,설정!$L$6+ROW()-1,설정!$L$32),""),"")</f>
        <v/>
      </c>
      <c r="K440" s="85" t="str">
        <f aca="false">IFERROR(IF(ISNUMBER(INDEX(원자료_시장!$A$1:$BZ$1000,설정!$L$6+ROW()-1,설정!$L$33)),INDEX(원자료_시장!$A$1:$BZ$1000,설정!$L$6+ROW()-1,설정!$L$33),""),"")</f>
        <v/>
      </c>
      <c r="L440" s="83" t="n">
        <f aca="false">IFERROR(IF(INDEX(원자료_시장!$A$1:$BZ$1000,설정!$L$6+ROW()-1,설정!$L$34)&amp;""="0","",INDEX(원자료_시장!$A$1:$BZ$1000,설정!$L$6+ROW()-1,설정!$L$34)),"")</f>
        <v>0</v>
      </c>
      <c r="M440" s="83" t="n">
        <f aca="false">IFERROR(IF(INDEX(원자료_시장!$A$1:$BZ$1000,설정!$L$6+ROW()-1,설정!$L$35)&amp;""="0","",INDEX(원자료_시장!$A$1:$BZ$1000,설정!$L$6+ROW()-1,설정!$L$35)),"")</f>
        <v>0</v>
      </c>
      <c r="N440" s="83" t="n">
        <f aca="false">IFERROR(IF(INDEX(원자료_시장!$A$1:$BZ$1000,설정!$L$6+ROW()-1,설정!$L$36)&amp;""="0","",INDEX(원자료_시장!$A$1:$BZ$1000,설정!$L$6+ROW()-1,설정!$L$36)),"")</f>
        <v>0</v>
      </c>
      <c r="O440" s="43" t="str">
        <f aca="false">IF($A440="","",UPPER(LEFT($A440,FIND(" ",$A440&amp;" ")-1)))</f>
        <v/>
      </c>
      <c r="P440" s="43" t="str">
        <f aca="false">IF($A440="","",TRIM(RIGHT(SUBSTITUTE(TRIM($A440)," ",REPT(" ",30)),30)))</f>
        <v/>
      </c>
      <c r="Q440" s="98" t="str">
        <f aca="false">IF($A440="","",IFERROR(DATE(IF(LEN(P440)=8,2000+VALUE(RIGHT(P440,2)),VALUE(RIGHT(P440,4))),VALUE(LEFT(P440,2)),VALUE(MID(P440,4,2))),""))</f>
        <v/>
      </c>
      <c r="R440" s="89" t="n">
        <f aca="false">IF($A440="",0,IF(ISNUMBER(SEARCH("Float",$A440)),1,0))</f>
        <v>0</v>
      </c>
      <c r="S440" s="43" t="str">
        <f aca="false">IF($A440="","",TRIM(MID($A440,LEN(O440)+2,LEN($A440)-LEN(O440)-LEN(P440)-1)))</f>
        <v/>
      </c>
      <c r="T440" s="92" t="str">
        <f aca="false">IF(OR($A440="",R440=1),"",IFERROR(IF(ISNUMBER(FIND("/",S440)),IF(ISNUMBER(FIND(" ",S440)),VALUE(LEFT(S440,FIND(" ",S440)-1))+VALUE(MID(S440,FIND(" ",S440)+1,FIND("/",S440)-FIND(" ",S440)-1))/VALUE(MID(S440,FIND("/",S440)+1,9)),VALUE(LEFT(S440,FIND("/",S440)-1))/VALUE(MID(S440,FIND("/",S440)+1,9))),VALUE(S440)),""))</f>
        <v/>
      </c>
      <c r="U440" s="43" t="str">
        <f aca="false">IF(OR($A440="",NOT(ISNUMBER(Q440))),"",TEXT(Q440,"yyyymmdd")&amp;"|"&amp;IF(R440=1,"F",TEXT(T440,"0.000")))</f>
        <v/>
      </c>
      <c r="V440" s="43" t="str">
        <f aca="false">IF(U440="","",O440&amp;"|"&amp;U440)</f>
        <v/>
      </c>
      <c r="W440" s="43" t="str">
        <f aca="false">IF($A440="","",IFERROR(IF(VLOOKUP(O440,매핑!$A$4:$E$92,3,0)="","미분류",VLOOKUP(O440,매핑!$A$4:$E$92,3,0)),"미분류"))</f>
        <v/>
      </c>
      <c r="X440" s="89" t="n">
        <f aca="false">IF($A440="",0,IF(O440="T",1,0))</f>
        <v>0</v>
      </c>
      <c r="Y440" s="89" t="n">
        <f aca="false">IF($A440="",0,IF(AND(C440="USD",X440=0,ISNUMBER(E440),ISNUMBER(K440)),IF(K440&gt;=설정!$C$8,1,0),0))</f>
        <v>0</v>
      </c>
      <c r="Z440" s="43" t="str">
        <f aca="false">IF($A440="","",N440&amp;"|"&amp;L440)</f>
        <v/>
      </c>
      <c r="AA440" s="92" t="n">
        <f aca="false">IF(Y440=1,LN(K440),0)</f>
        <v>0</v>
      </c>
      <c r="AB440" s="93" t="n">
        <f aca="false">IF(Y440=1,E440,0)</f>
        <v>0</v>
      </c>
      <c r="AC440" s="89" t="n">
        <f aca="false">IF(Y440=1,COUNTIFS($Z$2:$Z$601,Z440,$Y$2:$Y$601,1),0)</f>
        <v>0</v>
      </c>
      <c r="AD440" s="89" t="n">
        <f aca="false">IF(Y440=1,COUNTIFS($N$2:$N$601,N440,$Y$2:$Y$601,1),0)</f>
        <v>0</v>
      </c>
      <c r="AE440" s="43" t="str">
        <f aca="false">IF(Y440&lt;&gt;1,"",IF(AND(AC440&gt;=설정!$C$7,ISNUMBER(MATCH(Z440,피어커브!$A:$A,0))),Z440,IF(AND(AD440&gt;=설정!$C$7,ISNUMBER(MATCH(N440&amp;"|전체",피어커브!$A:$A,0))),N440&amp;"|전체","전체|전체")))</f>
        <v/>
      </c>
      <c r="AF440" s="93" t="str">
        <f aca="false">IF(AE440="","",INDEX(피어커브!$K:$K,MATCH(AE440,피어커브!$A:$A,0)))</f>
        <v/>
      </c>
      <c r="AG440" s="93" t="str">
        <f aca="false">IF(AE440="","",INDEX(피어커브!$J:$J,MATCH(AE440,피어커브!$A:$A,0)))</f>
        <v/>
      </c>
      <c r="AH440" s="93" t="str">
        <f aca="false">IF(AE440="","",INDEX(피어커브!$L:$L,MATCH(AE440,피어커브!$A:$A,0)))</f>
        <v/>
      </c>
      <c r="AI440" s="93" t="str">
        <f aca="false">IF(AE440="","",AF440+AG440*AA440)</f>
        <v/>
      </c>
      <c r="AJ440" s="96" t="str">
        <f aca="false">IF(AE440="","",E440-AI440)</f>
        <v/>
      </c>
      <c r="AK440" s="95" t="str">
        <f aca="false">IF(AE440="","",IF(ISNUMBER(AH440),IF(AH440&gt;0,AJ440/AH440,""),""))</f>
        <v/>
      </c>
      <c r="AL440" s="43" t="str">
        <f aca="false">IF(AK440="","-",IF(AK440&gt;=설정!$C$6,"Cheap",IF(AK440&lt;=-설정!$C$6,"Rich","Fair")))</f>
        <v>-</v>
      </c>
      <c r="AM440" s="96" t="str">
        <f aca="false">IF(AE440="","",AJ440-AVERAGEIFS($AJ$2:$AJ$601,$B$2:$B$601,B440,$Y$2:$Y$601,1))</f>
        <v/>
      </c>
      <c r="AN440" s="93" t="n">
        <f aca="false">IF(AE440="",0,IF(K440&gt;1+설정!$C$8,AG440*(AA440-LN(K440-1)),0))</f>
        <v>0</v>
      </c>
      <c r="AO440" s="99" t="n">
        <f aca="false">IF($A440="",0,SUMIFS(보유분석!$AA$2:$AA$801,보유분석!$AB$2:$AB$801,ROW(),보유분석!$AC$2:$AC$801,1))</f>
        <v>0</v>
      </c>
      <c r="AP440" s="43" t="str">
        <f aca="false">IF($A440="","",TRIM(IF(R440=1,"FRN ","")&amp;IF(IFERROR(VLOOKUP(M440,설정!$A$15:$D$47,4,0),0)&gt;=10,IF(IFERROR(VLOOKUP(M440,설정!$A$15:$D$47,4,0),0)&lt;99,"BBB0미만 ",""),"")&amp;IF(OR(M440="",M440="NR"),"등급미입력 ","")&amp;IF(C440&lt;&gt;"USD","비USD ","")))</f>
        <v/>
      </c>
      <c r="AQ440" s="90" t="n">
        <f aca="false">IF(AND(Y440=1,AL440="Cheap"),IF(AND(ISERROR(SEARCH("FRN",AP440)),ISERROR(SEARCH("BBB0미만",AP440))),AK440+ROW()/1000000000,-999),-999)</f>
        <v>-999</v>
      </c>
      <c r="AR440" s="92" t="str">
        <f aca="false">IF(AND(ISNUMBER(D440),ISNUMBER(K440)),D440+AN440*MAX(K440-1,0)/100,"")</f>
        <v/>
      </c>
      <c r="AS440" s="93" t="str">
        <f aca="false">IF(AND(ISNUMBER(E440),ISNUMBER(K440)),IF(K440&gt;0,(E440+AN440*MAX(K440-1,0))/K440,""),"")</f>
        <v/>
      </c>
      <c r="AT440" s="90" t="n">
        <f aca="false">IFERROR(IF(AND(Y440=1,ROW()&lt;&gt;스왑분석!$C$12+1,ABS(K440-INDEX($K$2:$K$601,스왑분석!$C$12))&lt;=스왑분석!$C$5,ISERROR(SEARCH("FRN",AP440)),ISERROR(SEARCH("BBB0미만",AP440))),IF(AND(OR(스왑분석!$C$6="N",L440=INDEX($L$2:$L$601,스왑분석!$C$12)),OR(스왑분석!$C$7="N",N440=INDEX($N$2:$N$601,스왑분석!$C$12)),OR(스왑분석!$C$8="N",AO440=0),E440-INDEX($E$2:$E$601,스왑분석!$C$12)&gt;=스왑분석!$C$9),E440-INDEX($E$2:$E$601,스왑분석!$C$12)+ROW()/1000000000,-999),-999),-999)</f>
        <v>-999</v>
      </c>
      <c r="AU440" s="90" t="n">
        <f aca="false">IF(AND(Y440=1,AO440&gt;0,AL440="Rich"),-AK440+ROW()/1000000000,-999)</f>
        <v>-999</v>
      </c>
    </row>
    <row r="441" customFormat="false" ht="15" hidden="false" customHeight="false" outlineLevel="0" collapsed="false">
      <c r="A441" s="83" t="n">
        <f aca="false">IFERROR(IF(INDEX(원자료_시장!$A$1:$BZ$1000,설정!$L$6+ROW()-1,설정!$L$24)&amp;""="0","",INDEX(원자료_시장!$A$1:$BZ$1000,설정!$L$6+ROW()-1,설정!$L$24)),"")</f>
        <v>0</v>
      </c>
      <c r="B441" s="83" t="n">
        <f aca="false">IFERROR(IF(INDEX(원자료_시장!$A$1:$BZ$1000,설정!$L$6+ROW()-1,설정!$L$37)&amp;""="0","",INDEX(원자료_시장!$A$1:$BZ$1000,설정!$L$6+ROW()-1,설정!$L$37)),"")</f>
        <v>0</v>
      </c>
      <c r="C441" s="83" t="n">
        <f aca="false">IFERROR(IF(INDEX(원자료_시장!$A$1:$BZ$1000,설정!$L$6+ROW()-1,설정!$L$25)&amp;""="0","",INDEX(원자료_시장!$A$1:$BZ$1000,설정!$L$6+ROW()-1,설정!$L$25)),"")</f>
        <v>0</v>
      </c>
      <c r="D441" s="85" t="str">
        <f aca="false">IFERROR(IF(ISNUMBER(INDEX(원자료_시장!$A$1:$BZ$1000,설정!$L$6+ROW()-1,설정!$L$26)),INDEX(원자료_시장!$A$1:$BZ$1000,설정!$L$6+ROW()-1,설정!$L$26),""),"")</f>
        <v/>
      </c>
      <c r="E441" s="97" t="str">
        <f aca="false">IFERROR(IF(ISNUMBER(INDEX(원자료_시장!$A$1:$BZ$1000,설정!$L$6+ROW()-1,설정!$L$27)),INDEX(원자료_시장!$A$1:$BZ$1000,설정!$L$6+ROW()-1,설정!$L$27),""),"")</f>
        <v/>
      </c>
      <c r="F441" s="97" t="str">
        <f aca="false">IFERROR(IF(ISNUMBER(INDEX(원자료_시장!$A$1:$BZ$1000,설정!$L$6+ROW()-1,설정!$L$28)),INDEX(원자료_시장!$A$1:$BZ$1000,설정!$L$6+ROW()-1,설정!$L$28),""),"")</f>
        <v/>
      </c>
      <c r="G441" s="97" t="str">
        <f aca="false">IFERROR(IF(ISNUMBER(INDEX(원자료_시장!$A$1:$BZ$1000,설정!$L$6+ROW()-1,설정!$L$29)),INDEX(원자료_시장!$A$1:$BZ$1000,설정!$L$6+ROW()-1,설정!$L$29),""),"")</f>
        <v/>
      </c>
      <c r="H441" s="97" t="str">
        <f aca="false">IFERROR(IF(ISNUMBER(INDEX(원자료_시장!$A$1:$BZ$1000,설정!$L$6+ROW()-1,설정!$L$30)),INDEX(원자료_시장!$A$1:$BZ$1000,설정!$L$6+ROW()-1,설정!$L$30),""),"")</f>
        <v/>
      </c>
      <c r="I441" s="97" t="str">
        <f aca="false">IFERROR(IF(ISNUMBER(INDEX(원자료_시장!$A$1:$BZ$1000,설정!$L$6+ROW()-1,설정!$L$31)),INDEX(원자료_시장!$A$1:$BZ$1000,설정!$L$6+ROW()-1,설정!$L$31),""),"")</f>
        <v/>
      </c>
      <c r="J441" s="97" t="str">
        <f aca="false">IFERROR(IF(ISNUMBER(INDEX(원자료_시장!$A$1:$BZ$1000,설정!$L$6+ROW()-1,설정!$L$32)),INDEX(원자료_시장!$A$1:$BZ$1000,설정!$L$6+ROW()-1,설정!$L$32),""),"")</f>
        <v/>
      </c>
      <c r="K441" s="85" t="str">
        <f aca="false">IFERROR(IF(ISNUMBER(INDEX(원자료_시장!$A$1:$BZ$1000,설정!$L$6+ROW()-1,설정!$L$33)),INDEX(원자료_시장!$A$1:$BZ$1000,설정!$L$6+ROW()-1,설정!$L$33),""),"")</f>
        <v/>
      </c>
      <c r="L441" s="83" t="n">
        <f aca="false">IFERROR(IF(INDEX(원자료_시장!$A$1:$BZ$1000,설정!$L$6+ROW()-1,설정!$L$34)&amp;""="0","",INDEX(원자료_시장!$A$1:$BZ$1000,설정!$L$6+ROW()-1,설정!$L$34)),"")</f>
        <v>0</v>
      </c>
      <c r="M441" s="83" t="n">
        <f aca="false">IFERROR(IF(INDEX(원자료_시장!$A$1:$BZ$1000,설정!$L$6+ROW()-1,설정!$L$35)&amp;""="0","",INDEX(원자료_시장!$A$1:$BZ$1000,설정!$L$6+ROW()-1,설정!$L$35)),"")</f>
        <v>0</v>
      </c>
      <c r="N441" s="83" t="n">
        <f aca="false">IFERROR(IF(INDEX(원자료_시장!$A$1:$BZ$1000,설정!$L$6+ROW()-1,설정!$L$36)&amp;""="0","",INDEX(원자료_시장!$A$1:$BZ$1000,설정!$L$6+ROW()-1,설정!$L$36)),"")</f>
        <v>0</v>
      </c>
      <c r="O441" s="43" t="str">
        <f aca="false">IF($A441="","",UPPER(LEFT($A441,FIND(" ",$A441&amp;" ")-1)))</f>
        <v/>
      </c>
      <c r="P441" s="43" t="str">
        <f aca="false">IF($A441="","",TRIM(RIGHT(SUBSTITUTE(TRIM($A441)," ",REPT(" ",30)),30)))</f>
        <v/>
      </c>
      <c r="Q441" s="98" t="str">
        <f aca="false">IF($A441="","",IFERROR(DATE(IF(LEN(P441)=8,2000+VALUE(RIGHT(P441,2)),VALUE(RIGHT(P441,4))),VALUE(LEFT(P441,2)),VALUE(MID(P441,4,2))),""))</f>
        <v/>
      </c>
      <c r="R441" s="89" t="n">
        <f aca="false">IF($A441="",0,IF(ISNUMBER(SEARCH("Float",$A441)),1,0))</f>
        <v>0</v>
      </c>
      <c r="S441" s="43" t="str">
        <f aca="false">IF($A441="","",TRIM(MID($A441,LEN(O441)+2,LEN($A441)-LEN(O441)-LEN(P441)-1)))</f>
        <v/>
      </c>
      <c r="T441" s="92" t="str">
        <f aca="false">IF(OR($A441="",R441=1),"",IFERROR(IF(ISNUMBER(FIND("/",S441)),IF(ISNUMBER(FIND(" ",S441)),VALUE(LEFT(S441,FIND(" ",S441)-1))+VALUE(MID(S441,FIND(" ",S441)+1,FIND("/",S441)-FIND(" ",S441)-1))/VALUE(MID(S441,FIND("/",S441)+1,9)),VALUE(LEFT(S441,FIND("/",S441)-1))/VALUE(MID(S441,FIND("/",S441)+1,9))),VALUE(S441)),""))</f>
        <v/>
      </c>
      <c r="U441" s="43" t="str">
        <f aca="false">IF(OR($A441="",NOT(ISNUMBER(Q441))),"",TEXT(Q441,"yyyymmdd")&amp;"|"&amp;IF(R441=1,"F",TEXT(T441,"0.000")))</f>
        <v/>
      </c>
      <c r="V441" s="43" t="str">
        <f aca="false">IF(U441="","",O441&amp;"|"&amp;U441)</f>
        <v/>
      </c>
      <c r="W441" s="43" t="str">
        <f aca="false">IF($A441="","",IFERROR(IF(VLOOKUP(O441,매핑!$A$4:$E$92,3,0)="","미분류",VLOOKUP(O441,매핑!$A$4:$E$92,3,0)),"미분류"))</f>
        <v/>
      </c>
      <c r="X441" s="89" t="n">
        <f aca="false">IF($A441="",0,IF(O441="T",1,0))</f>
        <v>0</v>
      </c>
      <c r="Y441" s="89" t="n">
        <f aca="false">IF($A441="",0,IF(AND(C441="USD",X441=0,ISNUMBER(E441),ISNUMBER(K441)),IF(K441&gt;=설정!$C$8,1,0),0))</f>
        <v>0</v>
      </c>
      <c r="Z441" s="43" t="str">
        <f aca="false">IF($A441="","",N441&amp;"|"&amp;L441)</f>
        <v/>
      </c>
      <c r="AA441" s="92" t="n">
        <f aca="false">IF(Y441=1,LN(K441),0)</f>
        <v>0</v>
      </c>
      <c r="AB441" s="93" t="n">
        <f aca="false">IF(Y441=1,E441,0)</f>
        <v>0</v>
      </c>
      <c r="AC441" s="89" t="n">
        <f aca="false">IF(Y441=1,COUNTIFS($Z$2:$Z$601,Z441,$Y$2:$Y$601,1),0)</f>
        <v>0</v>
      </c>
      <c r="AD441" s="89" t="n">
        <f aca="false">IF(Y441=1,COUNTIFS($N$2:$N$601,N441,$Y$2:$Y$601,1),0)</f>
        <v>0</v>
      </c>
      <c r="AE441" s="43" t="str">
        <f aca="false">IF(Y441&lt;&gt;1,"",IF(AND(AC441&gt;=설정!$C$7,ISNUMBER(MATCH(Z441,피어커브!$A:$A,0))),Z441,IF(AND(AD441&gt;=설정!$C$7,ISNUMBER(MATCH(N441&amp;"|전체",피어커브!$A:$A,0))),N441&amp;"|전체","전체|전체")))</f>
        <v/>
      </c>
      <c r="AF441" s="93" t="str">
        <f aca="false">IF(AE441="","",INDEX(피어커브!$K:$K,MATCH(AE441,피어커브!$A:$A,0)))</f>
        <v/>
      </c>
      <c r="AG441" s="93" t="str">
        <f aca="false">IF(AE441="","",INDEX(피어커브!$J:$J,MATCH(AE441,피어커브!$A:$A,0)))</f>
        <v/>
      </c>
      <c r="AH441" s="93" t="str">
        <f aca="false">IF(AE441="","",INDEX(피어커브!$L:$L,MATCH(AE441,피어커브!$A:$A,0)))</f>
        <v/>
      </c>
      <c r="AI441" s="93" t="str">
        <f aca="false">IF(AE441="","",AF441+AG441*AA441)</f>
        <v/>
      </c>
      <c r="AJ441" s="96" t="str">
        <f aca="false">IF(AE441="","",E441-AI441)</f>
        <v/>
      </c>
      <c r="AK441" s="95" t="str">
        <f aca="false">IF(AE441="","",IF(ISNUMBER(AH441),IF(AH441&gt;0,AJ441/AH441,""),""))</f>
        <v/>
      </c>
      <c r="AL441" s="43" t="str">
        <f aca="false">IF(AK441="","-",IF(AK441&gt;=설정!$C$6,"Cheap",IF(AK441&lt;=-설정!$C$6,"Rich","Fair")))</f>
        <v>-</v>
      </c>
      <c r="AM441" s="96" t="str">
        <f aca="false">IF(AE441="","",AJ441-AVERAGEIFS($AJ$2:$AJ$601,$B$2:$B$601,B441,$Y$2:$Y$601,1))</f>
        <v/>
      </c>
      <c r="AN441" s="93" t="n">
        <f aca="false">IF(AE441="",0,IF(K441&gt;1+설정!$C$8,AG441*(AA441-LN(K441-1)),0))</f>
        <v>0</v>
      </c>
      <c r="AO441" s="99" t="n">
        <f aca="false">IF($A441="",0,SUMIFS(보유분석!$AA$2:$AA$801,보유분석!$AB$2:$AB$801,ROW(),보유분석!$AC$2:$AC$801,1))</f>
        <v>0</v>
      </c>
      <c r="AP441" s="43" t="str">
        <f aca="false">IF($A441="","",TRIM(IF(R441=1,"FRN ","")&amp;IF(IFERROR(VLOOKUP(M441,설정!$A$15:$D$47,4,0),0)&gt;=10,IF(IFERROR(VLOOKUP(M441,설정!$A$15:$D$47,4,0),0)&lt;99,"BBB0미만 ",""),"")&amp;IF(OR(M441="",M441="NR"),"등급미입력 ","")&amp;IF(C441&lt;&gt;"USD","비USD ","")))</f>
        <v/>
      </c>
      <c r="AQ441" s="90" t="n">
        <f aca="false">IF(AND(Y441=1,AL441="Cheap"),IF(AND(ISERROR(SEARCH("FRN",AP441)),ISERROR(SEARCH("BBB0미만",AP441))),AK441+ROW()/1000000000,-999),-999)</f>
        <v>-999</v>
      </c>
      <c r="AR441" s="92" t="str">
        <f aca="false">IF(AND(ISNUMBER(D441),ISNUMBER(K441)),D441+AN441*MAX(K441-1,0)/100,"")</f>
        <v/>
      </c>
      <c r="AS441" s="93" t="str">
        <f aca="false">IF(AND(ISNUMBER(E441),ISNUMBER(K441)),IF(K441&gt;0,(E441+AN441*MAX(K441-1,0))/K441,""),"")</f>
        <v/>
      </c>
      <c r="AT441" s="90" t="n">
        <f aca="false">IFERROR(IF(AND(Y441=1,ROW()&lt;&gt;스왑분석!$C$12+1,ABS(K441-INDEX($K$2:$K$601,스왑분석!$C$12))&lt;=스왑분석!$C$5,ISERROR(SEARCH("FRN",AP441)),ISERROR(SEARCH("BBB0미만",AP441))),IF(AND(OR(스왑분석!$C$6="N",L441=INDEX($L$2:$L$601,스왑분석!$C$12)),OR(스왑분석!$C$7="N",N441=INDEX($N$2:$N$601,스왑분석!$C$12)),OR(스왑분석!$C$8="N",AO441=0),E441-INDEX($E$2:$E$601,스왑분석!$C$12)&gt;=스왑분석!$C$9),E441-INDEX($E$2:$E$601,스왑분석!$C$12)+ROW()/1000000000,-999),-999),-999)</f>
        <v>-999</v>
      </c>
      <c r="AU441" s="90" t="n">
        <f aca="false">IF(AND(Y441=1,AO441&gt;0,AL441="Rich"),-AK441+ROW()/1000000000,-999)</f>
        <v>-999</v>
      </c>
    </row>
    <row r="442" customFormat="false" ht="15" hidden="false" customHeight="false" outlineLevel="0" collapsed="false">
      <c r="A442" s="83" t="n">
        <f aca="false">IFERROR(IF(INDEX(원자료_시장!$A$1:$BZ$1000,설정!$L$6+ROW()-1,설정!$L$24)&amp;""="0","",INDEX(원자료_시장!$A$1:$BZ$1000,설정!$L$6+ROW()-1,설정!$L$24)),"")</f>
        <v>0</v>
      </c>
      <c r="B442" s="83" t="n">
        <f aca="false">IFERROR(IF(INDEX(원자료_시장!$A$1:$BZ$1000,설정!$L$6+ROW()-1,설정!$L$37)&amp;""="0","",INDEX(원자료_시장!$A$1:$BZ$1000,설정!$L$6+ROW()-1,설정!$L$37)),"")</f>
        <v>0</v>
      </c>
      <c r="C442" s="83" t="n">
        <f aca="false">IFERROR(IF(INDEX(원자료_시장!$A$1:$BZ$1000,설정!$L$6+ROW()-1,설정!$L$25)&amp;""="0","",INDEX(원자료_시장!$A$1:$BZ$1000,설정!$L$6+ROW()-1,설정!$L$25)),"")</f>
        <v>0</v>
      </c>
      <c r="D442" s="85" t="str">
        <f aca="false">IFERROR(IF(ISNUMBER(INDEX(원자료_시장!$A$1:$BZ$1000,설정!$L$6+ROW()-1,설정!$L$26)),INDEX(원자료_시장!$A$1:$BZ$1000,설정!$L$6+ROW()-1,설정!$L$26),""),"")</f>
        <v/>
      </c>
      <c r="E442" s="97" t="str">
        <f aca="false">IFERROR(IF(ISNUMBER(INDEX(원자료_시장!$A$1:$BZ$1000,설정!$L$6+ROW()-1,설정!$L$27)),INDEX(원자료_시장!$A$1:$BZ$1000,설정!$L$6+ROW()-1,설정!$L$27),""),"")</f>
        <v/>
      </c>
      <c r="F442" s="97" t="str">
        <f aca="false">IFERROR(IF(ISNUMBER(INDEX(원자료_시장!$A$1:$BZ$1000,설정!$L$6+ROW()-1,설정!$L$28)),INDEX(원자료_시장!$A$1:$BZ$1000,설정!$L$6+ROW()-1,설정!$L$28),""),"")</f>
        <v/>
      </c>
      <c r="G442" s="97" t="str">
        <f aca="false">IFERROR(IF(ISNUMBER(INDEX(원자료_시장!$A$1:$BZ$1000,설정!$L$6+ROW()-1,설정!$L$29)),INDEX(원자료_시장!$A$1:$BZ$1000,설정!$L$6+ROW()-1,설정!$L$29),""),"")</f>
        <v/>
      </c>
      <c r="H442" s="97" t="str">
        <f aca="false">IFERROR(IF(ISNUMBER(INDEX(원자료_시장!$A$1:$BZ$1000,설정!$L$6+ROW()-1,설정!$L$30)),INDEX(원자료_시장!$A$1:$BZ$1000,설정!$L$6+ROW()-1,설정!$L$30),""),"")</f>
        <v/>
      </c>
      <c r="I442" s="97" t="str">
        <f aca="false">IFERROR(IF(ISNUMBER(INDEX(원자료_시장!$A$1:$BZ$1000,설정!$L$6+ROW()-1,설정!$L$31)),INDEX(원자료_시장!$A$1:$BZ$1000,설정!$L$6+ROW()-1,설정!$L$31),""),"")</f>
        <v/>
      </c>
      <c r="J442" s="97" t="str">
        <f aca="false">IFERROR(IF(ISNUMBER(INDEX(원자료_시장!$A$1:$BZ$1000,설정!$L$6+ROW()-1,설정!$L$32)),INDEX(원자료_시장!$A$1:$BZ$1000,설정!$L$6+ROW()-1,설정!$L$32),""),"")</f>
        <v/>
      </c>
      <c r="K442" s="85" t="str">
        <f aca="false">IFERROR(IF(ISNUMBER(INDEX(원자료_시장!$A$1:$BZ$1000,설정!$L$6+ROW()-1,설정!$L$33)),INDEX(원자료_시장!$A$1:$BZ$1000,설정!$L$6+ROW()-1,설정!$L$33),""),"")</f>
        <v/>
      </c>
      <c r="L442" s="83" t="n">
        <f aca="false">IFERROR(IF(INDEX(원자료_시장!$A$1:$BZ$1000,설정!$L$6+ROW()-1,설정!$L$34)&amp;""="0","",INDEX(원자료_시장!$A$1:$BZ$1000,설정!$L$6+ROW()-1,설정!$L$34)),"")</f>
        <v>0</v>
      </c>
      <c r="M442" s="83" t="n">
        <f aca="false">IFERROR(IF(INDEX(원자료_시장!$A$1:$BZ$1000,설정!$L$6+ROW()-1,설정!$L$35)&amp;""="0","",INDEX(원자료_시장!$A$1:$BZ$1000,설정!$L$6+ROW()-1,설정!$L$35)),"")</f>
        <v>0</v>
      </c>
      <c r="N442" s="83" t="n">
        <f aca="false">IFERROR(IF(INDEX(원자료_시장!$A$1:$BZ$1000,설정!$L$6+ROW()-1,설정!$L$36)&amp;""="0","",INDEX(원자료_시장!$A$1:$BZ$1000,설정!$L$6+ROW()-1,설정!$L$36)),"")</f>
        <v>0</v>
      </c>
      <c r="O442" s="43" t="str">
        <f aca="false">IF($A442="","",UPPER(LEFT($A442,FIND(" ",$A442&amp;" ")-1)))</f>
        <v/>
      </c>
      <c r="P442" s="43" t="str">
        <f aca="false">IF($A442="","",TRIM(RIGHT(SUBSTITUTE(TRIM($A442)," ",REPT(" ",30)),30)))</f>
        <v/>
      </c>
      <c r="Q442" s="98" t="str">
        <f aca="false">IF($A442="","",IFERROR(DATE(IF(LEN(P442)=8,2000+VALUE(RIGHT(P442,2)),VALUE(RIGHT(P442,4))),VALUE(LEFT(P442,2)),VALUE(MID(P442,4,2))),""))</f>
        <v/>
      </c>
      <c r="R442" s="89" t="n">
        <f aca="false">IF($A442="",0,IF(ISNUMBER(SEARCH("Float",$A442)),1,0))</f>
        <v>0</v>
      </c>
      <c r="S442" s="43" t="str">
        <f aca="false">IF($A442="","",TRIM(MID($A442,LEN(O442)+2,LEN($A442)-LEN(O442)-LEN(P442)-1)))</f>
        <v/>
      </c>
      <c r="T442" s="92" t="str">
        <f aca="false">IF(OR($A442="",R442=1),"",IFERROR(IF(ISNUMBER(FIND("/",S442)),IF(ISNUMBER(FIND(" ",S442)),VALUE(LEFT(S442,FIND(" ",S442)-1))+VALUE(MID(S442,FIND(" ",S442)+1,FIND("/",S442)-FIND(" ",S442)-1))/VALUE(MID(S442,FIND("/",S442)+1,9)),VALUE(LEFT(S442,FIND("/",S442)-1))/VALUE(MID(S442,FIND("/",S442)+1,9))),VALUE(S442)),""))</f>
        <v/>
      </c>
      <c r="U442" s="43" t="str">
        <f aca="false">IF(OR($A442="",NOT(ISNUMBER(Q442))),"",TEXT(Q442,"yyyymmdd")&amp;"|"&amp;IF(R442=1,"F",TEXT(T442,"0.000")))</f>
        <v/>
      </c>
      <c r="V442" s="43" t="str">
        <f aca="false">IF(U442="","",O442&amp;"|"&amp;U442)</f>
        <v/>
      </c>
      <c r="W442" s="43" t="str">
        <f aca="false">IF($A442="","",IFERROR(IF(VLOOKUP(O442,매핑!$A$4:$E$92,3,0)="","미분류",VLOOKUP(O442,매핑!$A$4:$E$92,3,0)),"미분류"))</f>
        <v/>
      </c>
      <c r="X442" s="89" t="n">
        <f aca="false">IF($A442="",0,IF(O442="T",1,0))</f>
        <v>0</v>
      </c>
      <c r="Y442" s="89" t="n">
        <f aca="false">IF($A442="",0,IF(AND(C442="USD",X442=0,ISNUMBER(E442),ISNUMBER(K442)),IF(K442&gt;=설정!$C$8,1,0),0))</f>
        <v>0</v>
      </c>
      <c r="Z442" s="43" t="str">
        <f aca="false">IF($A442="","",N442&amp;"|"&amp;L442)</f>
        <v/>
      </c>
      <c r="AA442" s="92" t="n">
        <f aca="false">IF(Y442=1,LN(K442),0)</f>
        <v>0</v>
      </c>
      <c r="AB442" s="93" t="n">
        <f aca="false">IF(Y442=1,E442,0)</f>
        <v>0</v>
      </c>
      <c r="AC442" s="89" t="n">
        <f aca="false">IF(Y442=1,COUNTIFS($Z$2:$Z$601,Z442,$Y$2:$Y$601,1),0)</f>
        <v>0</v>
      </c>
      <c r="AD442" s="89" t="n">
        <f aca="false">IF(Y442=1,COUNTIFS($N$2:$N$601,N442,$Y$2:$Y$601,1),0)</f>
        <v>0</v>
      </c>
      <c r="AE442" s="43" t="str">
        <f aca="false">IF(Y442&lt;&gt;1,"",IF(AND(AC442&gt;=설정!$C$7,ISNUMBER(MATCH(Z442,피어커브!$A:$A,0))),Z442,IF(AND(AD442&gt;=설정!$C$7,ISNUMBER(MATCH(N442&amp;"|전체",피어커브!$A:$A,0))),N442&amp;"|전체","전체|전체")))</f>
        <v/>
      </c>
      <c r="AF442" s="93" t="str">
        <f aca="false">IF(AE442="","",INDEX(피어커브!$K:$K,MATCH(AE442,피어커브!$A:$A,0)))</f>
        <v/>
      </c>
      <c r="AG442" s="93" t="str">
        <f aca="false">IF(AE442="","",INDEX(피어커브!$J:$J,MATCH(AE442,피어커브!$A:$A,0)))</f>
        <v/>
      </c>
      <c r="AH442" s="93" t="str">
        <f aca="false">IF(AE442="","",INDEX(피어커브!$L:$L,MATCH(AE442,피어커브!$A:$A,0)))</f>
        <v/>
      </c>
      <c r="AI442" s="93" t="str">
        <f aca="false">IF(AE442="","",AF442+AG442*AA442)</f>
        <v/>
      </c>
      <c r="AJ442" s="96" t="str">
        <f aca="false">IF(AE442="","",E442-AI442)</f>
        <v/>
      </c>
      <c r="AK442" s="95" t="str">
        <f aca="false">IF(AE442="","",IF(ISNUMBER(AH442),IF(AH442&gt;0,AJ442/AH442,""),""))</f>
        <v/>
      </c>
      <c r="AL442" s="43" t="str">
        <f aca="false">IF(AK442="","-",IF(AK442&gt;=설정!$C$6,"Cheap",IF(AK442&lt;=-설정!$C$6,"Rich","Fair")))</f>
        <v>-</v>
      </c>
      <c r="AM442" s="96" t="str">
        <f aca="false">IF(AE442="","",AJ442-AVERAGEIFS($AJ$2:$AJ$601,$B$2:$B$601,B442,$Y$2:$Y$601,1))</f>
        <v/>
      </c>
      <c r="AN442" s="93" t="n">
        <f aca="false">IF(AE442="",0,IF(K442&gt;1+설정!$C$8,AG442*(AA442-LN(K442-1)),0))</f>
        <v>0</v>
      </c>
      <c r="AO442" s="99" t="n">
        <f aca="false">IF($A442="",0,SUMIFS(보유분석!$AA$2:$AA$801,보유분석!$AB$2:$AB$801,ROW(),보유분석!$AC$2:$AC$801,1))</f>
        <v>0</v>
      </c>
      <c r="AP442" s="43" t="str">
        <f aca="false">IF($A442="","",TRIM(IF(R442=1,"FRN ","")&amp;IF(IFERROR(VLOOKUP(M442,설정!$A$15:$D$47,4,0),0)&gt;=10,IF(IFERROR(VLOOKUP(M442,설정!$A$15:$D$47,4,0),0)&lt;99,"BBB0미만 ",""),"")&amp;IF(OR(M442="",M442="NR"),"등급미입력 ","")&amp;IF(C442&lt;&gt;"USD","비USD ","")))</f>
        <v/>
      </c>
      <c r="AQ442" s="90" t="n">
        <f aca="false">IF(AND(Y442=1,AL442="Cheap"),IF(AND(ISERROR(SEARCH("FRN",AP442)),ISERROR(SEARCH("BBB0미만",AP442))),AK442+ROW()/1000000000,-999),-999)</f>
        <v>-999</v>
      </c>
      <c r="AR442" s="92" t="str">
        <f aca="false">IF(AND(ISNUMBER(D442),ISNUMBER(K442)),D442+AN442*MAX(K442-1,0)/100,"")</f>
        <v/>
      </c>
      <c r="AS442" s="93" t="str">
        <f aca="false">IF(AND(ISNUMBER(E442),ISNUMBER(K442)),IF(K442&gt;0,(E442+AN442*MAX(K442-1,0))/K442,""),"")</f>
        <v/>
      </c>
      <c r="AT442" s="90" t="n">
        <f aca="false">IFERROR(IF(AND(Y442=1,ROW()&lt;&gt;스왑분석!$C$12+1,ABS(K442-INDEX($K$2:$K$601,스왑분석!$C$12))&lt;=스왑분석!$C$5,ISERROR(SEARCH("FRN",AP442)),ISERROR(SEARCH("BBB0미만",AP442))),IF(AND(OR(스왑분석!$C$6="N",L442=INDEX($L$2:$L$601,스왑분석!$C$12)),OR(스왑분석!$C$7="N",N442=INDEX($N$2:$N$601,스왑분석!$C$12)),OR(스왑분석!$C$8="N",AO442=0),E442-INDEX($E$2:$E$601,스왑분석!$C$12)&gt;=스왑분석!$C$9),E442-INDEX($E$2:$E$601,스왑분석!$C$12)+ROW()/1000000000,-999),-999),-999)</f>
        <v>-999</v>
      </c>
      <c r="AU442" s="90" t="n">
        <f aca="false">IF(AND(Y442=1,AO442&gt;0,AL442="Rich"),-AK442+ROW()/1000000000,-999)</f>
        <v>-999</v>
      </c>
    </row>
    <row r="443" customFormat="false" ht="15" hidden="false" customHeight="false" outlineLevel="0" collapsed="false">
      <c r="A443" s="83" t="n">
        <f aca="false">IFERROR(IF(INDEX(원자료_시장!$A$1:$BZ$1000,설정!$L$6+ROW()-1,설정!$L$24)&amp;""="0","",INDEX(원자료_시장!$A$1:$BZ$1000,설정!$L$6+ROW()-1,설정!$L$24)),"")</f>
        <v>0</v>
      </c>
      <c r="B443" s="83" t="n">
        <f aca="false">IFERROR(IF(INDEX(원자료_시장!$A$1:$BZ$1000,설정!$L$6+ROW()-1,설정!$L$37)&amp;""="0","",INDEX(원자료_시장!$A$1:$BZ$1000,설정!$L$6+ROW()-1,설정!$L$37)),"")</f>
        <v>0</v>
      </c>
      <c r="C443" s="83" t="n">
        <f aca="false">IFERROR(IF(INDEX(원자료_시장!$A$1:$BZ$1000,설정!$L$6+ROW()-1,설정!$L$25)&amp;""="0","",INDEX(원자료_시장!$A$1:$BZ$1000,설정!$L$6+ROW()-1,설정!$L$25)),"")</f>
        <v>0</v>
      </c>
      <c r="D443" s="85" t="str">
        <f aca="false">IFERROR(IF(ISNUMBER(INDEX(원자료_시장!$A$1:$BZ$1000,설정!$L$6+ROW()-1,설정!$L$26)),INDEX(원자료_시장!$A$1:$BZ$1000,설정!$L$6+ROW()-1,설정!$L$26),""),"")</f>
        <v/>
      </c>
      <c r="E443" s="97" t="str">
        <f aca="false">IFERROR(IF(ISNUMBER(INDEX(원자료_시장!$A$1:$BZ$1000,설정!$L$6+ROW()-1,설정!$L$27)),INDEX(원자료_시장!$A$1:$BZ$1000,설정!$L$6+ROW()-1,설정!$L$27),""),"")</f>
        <v/>
      </c>
      <c r="F443" s="97" t="str">
        <f aca="false">IFERROR(IF(ISNUMBER(INDEX(원자료_시장!$A$1:$BZ$1000,설정!$L$6+ROW()-1,설정!$L$28)),INDEX(원자료_시장!$A$1:$BZ$1000,설정!$L$6+ROW()-1,설정!$L$28),""),"")</f>
        <v/>
      </c>
      <c r="G443" s="97" t="str">
        <f aca="false">IFERROR(IF(ISNUMBER(INDEX(원자료_시장!$A$1:$BZ$1000,설정!$L$6+ROW()-1,설정!$L$29)),INDEX(원자료_시장!$A$1:$BZ$1000,설정!$L$6+ROW()-1,설정!$L$29),""),"")</f>
        <v/>
      </c>
      <c r="H443" s="97" t="str">
        <f aca="false">IFERROR(IF(ISNUMBER(INDEX(원자료_시장!$A$1:$BZ$1000,설정!$L$6+ROW()-1,설정!$L$30)),INDEX(원자료_시장!$A$1:$BZ$1000,설정!$L$6+ROW()-1,설정!$L$30),""),"")</f>
        <v/>
      </c>
      <c r="I443" s="97" t="str">
        <f aca="false">IFERROR(IF(ISNUMBER(INDEX(원자료_시장!$A$1:$BZ$1000,설정!$L$6+ROW()-1,설정!$L$31)),INDEX(원자료_시장!$A$1:$BZ$1000,설정!$L$6+ROW()-1,설정!$L$31),""),"")</f>
        <v/>
      </c>
      <c r="J443" s="97" t="str">
        <f aca="false">IFERROR(IF(ISNUMBER(INDEX(원자료_시장!$A$1:$BZ$1000,설정!$L$6+ROW()-1,설정!$L$32)),INDEX(원자료_시장!$A$1:$BZ$1000,설정!$L$6+ROW()-1,설정!$L$32),""),"")</f>
        <v/>
      </c>
      <c r="K443" s="85" t="str">
        <f aca="false">IFERROR(IF(ISNUMBER(INDEX(원자료_시장!$A$1:$BZ$1000,설정!$L$6+ROW()-1,설정!$L$33)),INDEX(원자료_시장!$A$1:$BZ$1000,설정!$L$6+ROW()-1,설정!$L$33),""),"")</f>
        <v/>
      </c>
      <c r="L443" s="83" t="n">
        <f aca="false">IFERROR(IF(INDEX(원자료_시장!$A$1:$BZ$1000,설정!$L$6+ROW()-1,설정!$L$34)&amp;""="0","",INDEX(원자료_시장!$A$1:$BZ$1000,설정!$L$6+ROW()-1,설정!$L$34)),"")</f>
        <v>0</v>
      </c>
      <c r="M443" s="83" t="n">
        <f aca="false">IFERROR(IF(INDEX(원자료_시장!$A$1:$BZ$1000,설정!$L$6+ROW()-1,설정!$L$35)&amp;""="0","",INDEX(원자료_시장!$A$1:$BZ$1000,설정!$L$6+ROW()-1,설정!$L$35)),"")</f>
        <v>0</v>
      </c>
      <c r="N443" s="83" t="n">
        <f aca="false">IFERROR(IF(INDEX(원자료_시장!$A$1:$BZ$1000,설정!$L$6+ROW()-1,설정!$L$36)&amp;""="0","",INDEX(원자료_시장!$A$1:$BZ$1000,설정!$L$6+ROW()-1,설정!$L$36)),"")</f>
        <v>0</v>
      </c>
      <c r="O443" s="43" t="str">
        <f aca="false">IF($A443="","",UPPER(LEFT($A443,FIND(" ",$A443&amp;" ")-1)))</f>
        <v/>
      </c>
      <c r="P443" s="43" t="str">
        <f aca="false">IF($A443="","",TRIM(RIGHT(SUBSTITUTE(TRIM($A443)," ",REPT(" ",30)),30)))</f>
        <v/>
      </c>
      <c r="Q443" s="98" t="str">
        <f aca="false">IF($A443="","",IFERROR(DATE(IF(LEN(P443)=8,2000+VALUE(RIGHT(P443,2)),VALUE(RIGHT(P443,4))),VALUE(LEFT(P443,2)),VALUE(MID(P443,4,2))),""))</f>
        <v/>
      </c>
      <c r="R443" s="89" t="n">
        <f aca="false">IF($A443="",0,IF(ISNUMBER(SEARCH("Float",$A443)),1,0))</f>
        <v>0</v>
      </c>
      <c r="S443" s="43" t="str">
        <f aca="false">IF($A443="","",TRIM(MID($A443,LEN(O443)+2,LEN($A443)-LEN(O443)-LEN(P443)-1)))</f>
        <v/>
      </c>
      <c r="T443" s="92" t="str">
        <f aca="false">IF(OR($A443="",R443=1),"",IFERROR(IF(ISNUMBER(FIND("/",S443)),IF(ISNUMBER(FIND(" ",S443)),VALUE(LEFT(S443,FIND(" ",S443)-1))+VALUE(MID(S443,FIND(" ",S443)+1,FIND("/",S443)-FIND(" ",S443)-1))/VALUE(MID(S443,FIND("/",S443)+1,9)),VALUE(LEFT(S443,FIND("/",S443)-1))/VALUE(MID(S443,FIND("/",S443)+1,9))),VALUE(S443)),""))</f>
        <v/>
      </c>
      <c r="U443" s="43" t="str">
        <f aca="false">IF(OR($A443="",NOT(ISNUMBER(Q443))),"",TEXT(Q443,"yyyymmdd")&amp;"|"&amp;IF(R443=1,"F",TEXT(T443,"0.000")))</f>
        <v/>
      </c>
      <c r="V443" s="43" t="str">
        <f aca="false">IF(U443="","",O443&amp;"|"&amp;U443)</f>
        <v/>
      </c>
      <c r="W443" s="43" t="str">
        <f aca="false">IF($A443="","",IFERROR(IF(VLOOKUP(O443,매핑!$A$4:$E$92,3,0)="","미분류",VLOOKUP(O443,매핑!$A$4:$E$92,3,0)),"미분류"))</f>
        <v/>
      </c>
      <c r="X443" s="89" t="n">
        <f aca="false">IF($A443="",0,IF(O443="T",1,0))</f>
        <v>0</v>
      </c>
      <c r="Y443" s="89" t="n">
        <f aca="false">IF($A443="",0,IF(AND(C443="USD",X443=0,ISNUMBER(E443),ISNUMBER(K443)),IF(K443&gt;=설정!$C$8,1,0),0))</f>
        <v>0</v>
      </c>
      <c r="Z443" s="43" t="str">
        <f aca="false">IF($A443="","",N443&amp;"|"&amp;L443)</f>
        <v/>
      </c>
      <c r="AA443" s="92" t="n">
        <f aca="false">IF(Y443=1,LN(K443),0)</f>
        <v>0</v>
      </c>
      <c r="AB443" s="93" t="n">
        <f aca="false">IF(Y443=1,E443,0)</f>
        <v>0</v>
      </c>
      <c r="AC443" s="89" t="n">
        <f aca="false">IF(Y443=1,COUNTIFS($Z$2:$Z$601,Z443,$Y$2:$Y$601,1),0)</f>
        <v>0</v>
      </c>
      <c r="AD443" s="89" t="n">
        <f aca="false">IF(Y443=1,COUNTIFS($N$2:$N$601,N443,$Y$2:$Y$601,1),0)</f>
        <v>0</v>
      </c>
      <c r="AE443" s="43" t="str">
        <f aca="false">IF(Y443&lt;&gt;1,"",IF(AND(AC443&gt;=설정!$C$7,ISNUMBER(MATCH(Z443,피어커브!$A:$A,0))),Z443,IF(AND(AD443&gt;=설정!$C$7,ISNUMBER(MATCH(N443&amp;"|전체",피어커브!$A:$A,0))),N443&amp;"|전체","전체|전체")))</f>
        <v/>
      </c>
      <c r="AF443" s="93" t="str">
        <f aca="false">IF(AE443="","",INDEX(피어커브!$K:$K,MATCH(AE443,피어커브!$A:$A,0)))</f>
        <v/>
      </c>
      <c r="AG443" s="93" t="str">
        <f aca="false">IF(AE443="","",INDEX(피어커브!$J:$J,MATCH(AE443,피어커브!$A:$A,0)))</f>
        <v/>
      </c>
      <c r="AH443" s="93" t="str">
        <f aca="false">IF(AE443="","",INDEX(피어커브!$L:$L,MATCH(AE443,피어커브!$A:$A,0)))</f>
        <v/>
      </c>
      <c r="AI443" s="93" t="str">
        <f aca="false">IF(AE443="","",AF443+AG443*AA443)</f>
        <v/>
      </c>
      <c r="AJ443" s="96" t="str">
        <f aca="false">IF(AE443="","",E443-AI443)</f>
        <v/>
      </c>
      <c r="AK443" s="95" t="str">
        <f aca="false">IF(AE443="","",IF(ISNUMBER(AH443),IF(AH443&gt;0,AJ443/AH443,""),""))</f>
        <v/>
      </c>
      <c r="AL443" s="43" t="str">
        <f aca="false">IF(AK443="","-",IF(AK443&gt;=설정!$C$6,"Cheap",IF(AK443&lt;=-설정!$C$6,"Rich","Fair")))</f>
        <v>-</v>
      </c>
      <c r="AM443" s="96" t="str">
        <f aca="false">IF(AE443="","",AJ443-AVERAGEIFS($AJ$2:$AJ$601,$B$2:$B$601,B443,$Y$2:$Y$601,1))</f>
        <v/>
      </c>
      <c r="AN443" s="93" t="n">
        <f aca="false">IF(AE443="",0,IF(K443&gt;1+설정!$C$8,AG443*(AA443-LN(K443-1)),0))</f>
        <v>0</v>
      </c>
      <c r="AO443" s="99" t="n">
        <f aca="false">IF($A443="",0,SUMIFS(보유분석!$AA$2:$AA$801,보유분석!$AB$2:$AB$801,ROW(),보유분석!$AC$2:$AC$801,1))</f>
        <v>0</v>
      </c>
      <c r="AP443" s="43" t="str">
        <f aca="false">IF($A443="","",TRIM(IF(R443=1,"FRN ","")&amp;IF(IFERROR(VLOOKUP(M443,설정!$A$15:$D$47,4,0),0)&gt;=10,IF(IFERROR(VLOOKUP(M443,설정!$A$15:$D$47,4,0),0)&lt;99,"BBB0미만 ",""),"")&amp;IF(OR(M443="",M443="NR"),"등급미입력 ","")&amp;IF(C443&lt;&gt;"USD","비USD ","")))</f>
        <v/>
      </c>
      <c r="AQ443" s="90" t="n">
        <f aca="false">IF(AND(Y443=1,AL443="Cheap"),IF(AND(ISERROR(SEARCH("FRN",AP443)),ISERROR(SEARCH("BBB0미만",AP443))),AK443+ROW()/1000000000,-999),-999)</f>
        <v>-999</v>
      </c>
      <c r="AR443" s="92" t="str">
        <f aca="false">IF(AND(ISNUMBER(D443),ISNUMBER(K443)),D443+AN443*MAX(K443-1,0)/100,"")</f>
        <v/>
      </c>
      <c r="AS443" s="93" t="str">
        <f aca="false">IF(AND(ISNUMBER(E443),ISNUMBER(K443)),IF(K443&gt;0,(E443+AN443*MAX(K443-1,0))/K443,""),"")</f>
        <v/>
      </c>
      <c r="AT443" s="90" t="n">
        <f aca="false">IFERROR(IF(AND(Y443=1,ROW()&lt;&gt;스왑분석!$C$12+1,ABS(K443-INDEX($K$2:$K$601,스왑분석!$C$12))&lt;=스왑분석!$C$5,ISERROR(SEARCH("FRN",AP443)),ISERROR(SEARCH("BBB0미만",AP443))),IF(AND(OR(스왑분석!$C$6="N",L443=INDEX($L$2:$L$601,스왑분석!$C$12)),OR(스왑분석!$C$7="N",N443=INDEX($N$2:$N$601,스왑분석!$C$12)),OR(스왑분석!$C$8="N",AO443=0),E443-INDEX($E$2:$E$601,스왑분석!$C$12)&gt;=스왑분석!$C$9),E443-INDEX($E$2:$E$601,스왑분석!$C$12)+ROW()/1000000000,-999),-999),-999)</f>
        <v>-999</v>
      </c>
      <c r="AU443" s="90" t="n">
        <f aca="false">IF(AND(Y443=1,AO443&gt;0,AL443="Rich"),-AK443+ROW()/1000000000,-999)</f>
        <v>-999</v>
      </c>
    </row>
    <row r="444" customFormat="false" ht="15" hidden="false" customHeight="false" outlineLevel="0" collapsed="false">
      <c r="A444" s="83" t="n">
        <f aca="false">IFERROR(IF(INDEX(원자료_시장!$A$1:$BZ$1000,설정!$L$6+ROW()-1,설정!$L$24)&amp;""="0","",INDEX(원자료_시장!$A$1:$BZ$1000,설정!$L$6+ROW()-1,설정!$L$24)),"")</f>
        <v>0</v>
      </c>
      <c r="B444" s="83" t="n">
        <f aca="false">IFERROR(IF(INDEX(원자료_시장!$A$1:$BZ$1000,설정!$L$6+ROW()-1,설정!$L$37)&amp;""="0","",INDEX(원자료_시장!$A$1:$BZ$1000,설정!$L$6+ROW()-1,설정!$L$37)),"")</f>
        <v>0</v>
      </c>
      <c r="C444" s="83" t="n">
        <f aca="false">IFERROR(IF(INDEX(원자료_시장!$A$1:$BZ$1000,설정!$L$6+ROW()-1,설정!$L$25)&amp;""="0","",INDEX(원자료_시장!$A$1:$BZ$1000,설정!$L$6+ROW()-1,설정!$L$25)),"")</f>
        <v>0</v>
      </c>
      <c r="D444" s="85" t="str">
        <f aca="false">IFERROR(IF(ISNUMBER(INDEX(원자료_시장!$A$1:$BZ$1000,설정!$L$6+ROW()-1,설정!$L$26)),INDEX(원자료_시장!$A$1:$BZ$1000,설정!$L$6+ROW()-1,설정!$L$26),""),"")</f>
        <v/>
      </c>
      <c r="E444" s="97" t="str">
        <f aca="false">IFERROR(IF(ISNUMBER(INDEX(원자료_시장!$A$1:$BZ$1000,설정!$L$6+ROW()-1,설정!$L$27)),INDEX(원자료_시장!$A$1:$BZ$1000,설정!$L$6+ROW()-1,설정!$L$27),""),"")</f>
        <v/>
      </c>
      <c r="F444" s="97" t="str">
        <f aca="false">IFERROR(IF(ISNUMBER(INDEX(원자료_시장!$A$1:$BZ$1000,설정!$L$6+ROW()-1,설정!$L$28)),INDEX(원자료_시장!$A$1:$BZ$1000,설정!$L$6+ROW()-1,설정!$L$28),""),"")</f>
        <v/>
      </c>
      <c r="G444" s="97" t="str">
        <f aca="false">IFERROR(IF(ISNUMBER(INDEX(원자료_시장!$A$1:$BZ$1000,설정!$L$6+ROW()-1,설정!$L$29)),INDEX(원자료_시장!$A$1:$BZ$1000,설정!$L$6+ROW()-1,설정!$L$29),""),"")</f>
        <v/>
      </c>
      <c r="H444" s="97" t="str">
        <f aca="false">IFERROR(IF(ISNUMBER(INDEX(원자료_시장!$A$1:$BZ$1000,설정!$L$6+ROW()-1,설정!$L$30)),INDEX(원자료_시장!$A$1:$BZ$1000,설정!$L$6+ROW()-1,설정!$L$30),""),"")</f>
        <v/>
      </c>
      <c r="I444" s="97" t="str">
        <f aca="false">IFERROR(IF(ISNUMBER(INDEX(원자료_시장!$A$1:$BZ$1000,설정!$L$6+ROW()-1,설정!$L$31)),INDEX(원자료_시장!$A$1:$BZ$1000,설정!$L$6+ROW()-1,설정!$L$31),""),"")</f>
        <v/>
      </c>
      <c r="J444" s="97" t="str">
        <f aca="false">IFERROR(IF(ISNUMBER(INDEX(원자료_시장!$A$1:$BZ$1000,설정!$L$6+ROW()-1,설정!$L$32)),INDEX(원자료_시장!$A$1:$BZ$1000,설정!$L$6+ROW()-1,설정!$L$32),""),"")</f>
        <v/>
      </c>
      <c r="K444" s="85" t="str">
        <f aca="false">IFERROR(IF(ISNUMBER(INDEX(원자료_시장!$A$1:$BZ$1000,설정!$L$6+ROW()-1,설정!$L$33)),INDEX(원자료_시장!$A$1:$BZ$1000,설정!$L$6+ROW()-1,설정!$L$33),""),"")</f>
        <v/>
      </c>
      <c r="L444" s="83" t="n">
        <f aca="false">IFERROR(IF(INDEX(원자료_시장!$A$1:$BZ$1000,설정!$L$6+ROW()-1,설정!$L$34)&amp;""="0","",INDEX(원자료_시장!$A$1:$BZ$1000,설정!$L$6+ROW()-1,설정!$L$34)),"")</f>
        <v>0</v>
      </c>
      <c r="M444" s="83" t="n">
        <f aca="false">IFERROR(IF(INDEX(원자료_시장!$A$1:$BZ$1000,설정!$L$6+ROW()-1,설정!$L$35)&amp;""="0","",INDEX(원자료_시장!$A$1:$BZ$1000,설정!$L$6+ROW()-1,설정!$L$35)),"")</f>
        <v>0</v>
      </c>
      <c r="N444" s="83" t="n">
        <f aca="false">IFERROR(IF(INDEX(원자료_시장!$A$1:$BZ$1000,설정!$L$6+ROW()-1,설정!$L$36)&amp;""="0","",INDEX(원자료_시장!$A$1:$BZ$1000,설정!$L$6+ROW()-1,설정!$L$36)),"")</f>
        <v>0</v>
      </c>
      <c r="O444" s="43" t="str">
        <f aca="false">IF($A444="","",UPPER(LEFT($A444,FIND(" ",$A444&amp;" ")-1)))</f>
        <v/>
      </c>
      <c r="P444" s="43" t="str">
        <f aca="false">IF($A444="","",TRIM(RIGHT(SUBSTITUTE(TRIM($A444)," ",REPT(" ",30)),30)))</f>
        <v/>
      </c>
      <c r="Q444" s="98" t="str">
        <f aca="false">IF($A444="","",IFERROR(DATE(IF(LEN(P444)=8,2000+VALUE(RIGHT(P444,2)),VALUE(RIGHT(P444,4))),VALUE(LEFT(P444,2)),VALUE(MID(P444,4,2))),""))</f>
        <v/>
      </c>
      <c r="R444" s="89" t="n">
        <f aca="false">IF($A444="",0,IF(ISNUMBER(SEARCH("Float",$A444)),1,0))</f>
        <v>0</v>
      </c>
      <c r="S444" s="43" t="str">
        <f aca="false">IF($A444="","",TRIM(MID($A444,LEN(O444)+2,LEN($A444)-LEN(O444)-LEN(P444)-1)))</f>
        <v/>
      </c>
      <c r="T444" s="92" t="str">
        <f aca="false">IF(OR($A444="",R444=1),"",IFERROR(IF(ISNUMBER(FIND("/",S444)),IF(ISNUMBER(FIND(" ",S444)),VALUE(LEFT(S444,FIND(" ",S444)-1))+VALUE(MID(S444,FIND(" ",S444)+1,FIND("/",S444)-FIND(" ",S444)-1))/VALUE(MID(S444,FIND("/",S444)+1,9)),VALUE(LEFT(S444,FIND("/",S444)-1))/VALUE(MID(S444,FIND("/",S444)+1,9))),VALUE(S444)),""))</f>
        <v/>
      </c>
      <c r="U444" s="43" t="str">
        <f aca="false">IF(OR($A444="",NOT(ISNUMBER(Q444))),"",TEXT(Q444,"yyyymmdd")&amp;"|"&amp;IF(R444=1,"F",TEXT(T444,"0.000")))</f>
        <v/>
      </c>
      <c r="V444" s="43" t="str">
        <f aca="false">IF(U444="","",O444&amp;"|"&amp;U444)</f>
        <v/>
      </c>
      <c r="W444" s="43" t="str">
        <f aca="false">IF($A444="","",IFERROR(IF(VLOOKUP(O444,매핑!$A$4:$E$92,3,0)="","미분류",VLOOKUP(O444,매핑!$A$4:$E$92,3,0)),"미분류"))</f>
        <v/>
      </c>
      <c r="X444" s="89" t="n">
        <f aca="false">IF($A444="",0,IF(O444="T",1,0))</f>
        <v>0</v>
      </c>
      <c r="Y444" s="89" t="n">
        <f aca="false">IF($A444="",0,IF(AND(C444="USD",X444=0,ISNUMBER(E444),ISNUMBER(K444)),IF(K444&gt;=설정!$C$8,1,0),0))</f>
        <v>0</v>
      </c>
      <c r="Z444" s="43" t="str">
        <f aca="false">IF($A444="","",N444&amp;"|"&amp;L444)</f>
        <v/>
      </c>
      <c r="AA444" s="92" t="n">
        <f aca="false">IF(Y444=1,LN(K444),0)</f>
        <v>0</v>
      </c>
      <c r="AB444" s="93" t="n">
        <f aca="false">IF(Y444=1,E444,0)</f>
        <v>0</v>
      </c>
      <c r="AC444" s="89" t="n">
        <f aca="false">IF(Y444=1,COUNTIFS($Z$2:$Z$601,Z444,$Y$2:$Y$601,1),0)</f>
        <v>0</v>
      </c>
      <c r="AD444" s="89" t="n">
        <f aca="false">IF(Y444=1,COUNTIFS($N$2:$N$601,N444,$Y$2:$Y$601,1),0)</f>
        <v>0</v>
      </c>
      <c r="AE444" s="43" t="str">
        <f aca="false">IF(Y444&lt;&gt;1,"",IF(AND(AC444&gt;=설정!$C$7,ISNUMBER(MATCH(Z444,피어커브!$A:$A,0))),Z444,IF(AND(AD444&gt;=설정!$C$7,ISNUMBER(MATCH(N444&amp;"|전체",피어커브!$A:$A,0))),N444&amp;"|전체","전체|전체")))</f>
        <v/>
      </c>
      <c r="AF444" s="93" t="str">
        <f aca="false">IF(AE444="","",INDEX(피어커브!$K:$K,MATCH(AE444,피어커브!$A:$A,0)))</f>
        <v/>
      </c>
      <c r="AG444" s="93" t="str">
        <f aca="false">IF(AE444="","",INDEX(피어커브!$J:$J,MATCH(AE444,피어커브!$A:$A,0)))</f>
        <v/>
      </c>
      <c r="AH444" s="93" t="str">
        <f aca="false">IF(AE444="","",INDEX(피어커브!$L:$L,MATCH(AE444,피어커브!$A:$A,0)))</f>
        <v/>
      </c>
      <c r="AI444" s="93" t="str">
        <f aca="false">IF(AE444="","",AF444+AG444*AA444)</f>
        <v/>
      </c>
      <c r="AJ444" s="96" t="str">
        <f aca="false">IF(AE444="","",E444-AI444)</f>
        <v/>
      </c>
      <c r="AK444" s="95" t="str">
        <f aca="false">IF(AE444="","",IF(ISNUMBER(AH444),IF(AH444&gt;0,AJ444/AH444,""),""))</f>
        <v/>
      </c>
      <c r="AL444" s="43" t="str">
        <f aca="false">IF(AK444="","-",IF(AK444&gt;=설정!$C$6,"Cheap",IF(AK444&lt;=-설정!$C$6,"Rich","Fair")))</f>
        <v>-</v>
      </c>
      <c r="AM444" s="96" t="str">
        <f aca="false">IF(AE444="","",AJ444-AVERAGEIFS($AJ$2:$AJ$601,$B$2:$B$601,B444,$Y$2:$Y$601,1))</f>
        <v/>
      </c>
      <c r="AN444" s="93" t="n">
        <f aca="false">IF(AE444="",0,IF(K444&gt;1+설정!$C$8,AG444*(AA444-LN(K444-1)),0))</f>
        <v>0</v>
      </c>
      <c r="AO444" s="99" t="n">
        <f aca="false">IF($A444="",0,SUMIFS(보유분석!$AA$2:$AA$801,보유분석!$AB$2:$AB$801,ROW(),보유분석!$AC$2:$AC$801,1))</f>
        <v>0</v>
      </c>
      <c r="AP444" s="43" t="str">
        <f aca="false">IF($A444="","",TRIM(IF(R444=1,"FRN ","")&amp;IF(IFERROR(VLOOKUP(M444,설정!$A$15:$D$47,4,0),0)&gt;=10,IF(IFERROR(VLOOKUP(M444,설정!$A$15:$D$47,4,0),0)&lt;99,"BBB0미만 ",""),"")&amp;IF(OR(M444="",M444="NR"),"등급미입력 ","")&amp;IF(C444&lt;&gt;"USD","비USD ","")))</f>
        <v/>
      </c>
      <c r="AQ444" s="90" t="n">
        <f aca="false">IF(AND(Y444=1,AL444="Cheap"),IF(AND(ISERROR(SEARCH("FRN",AP444)),ISERROR(SEARCH("BBB0미만",AP444))),AK444+ROW()/1000000000,-999),-999)</f>
        <v>-999</v>
      </c>
      <c r="AR444" s="92" t="str">
        <f aca="false">IF(AND(ISNUMBER(D444),ISNUMBER(K444)),D444+AN444*MAX(K444-1,0)/100,"")</f>
        <v/>
      </c>
      <c r="AS444" s="93" t="str">
        <f aca="false">IF(AND(ISNUMBER(E444),ISNUMBER(K444)),IF(K444&gt;0,(E444+AN444*MAX(K444-1,0))/K444,""),"")</f>
        <v/>
      </c>
      <c r="AT444" s="90" t="n">
        <f aca="false">IFERROR(IF(AND(Y444=1,ROW()&lt;&gt;스왑분석!$C$12+1,ABS(K444-INDEX($K$2:$K$601,스왑분석!$C$12))&lt;=스왑분석!$C$5,ISERROR(SEARCH("FRN",AP444)),ISERROR(SEARCH("BBB0미만",AP444))),IF(AND(OR(스왑분석!$C$6="N",L444=INDEX($L$2:$L$601,스왑분석!$C$12)),OR(스왑분석!$C$7="N",N444=INDEX($N$2:$N$601,스왑분석!$C$12)),OR(스왑분석!$C$8="N",AO444=0),E444-INDEX($E$2:$E$601,스왑분석!$C$12)&gt;=스왑분석!$C$9),E444-INDEX($E$2:$E$601,스왑분석!$C$12)+ROW()/1000000000,-999),-999),-999)</f>
        <v>-999</v>
      </c>
      <c r="AU444" s="90" t="n">
        <f aca="false">IF(AND(Y444=1,AO444&gt;0,AL444="Rich"),-AK444+ROW()/1000000000,-999)</f>
        <v>-999</v>
      </c>
    </row>
    <row r="445" customFormat="false" ht="15" hidden="false" customHeight="false" outlineLevel="0" collapsed="false">
      <c r="A445" s="83" t="n">
        <f aca="false">IFERROR(IF(INDEX(원자료_시장!$A$1:$BZ$1000,설정!$L$6+ROW()-1,설정!$L$24)&amp;""="0","",INDEX(원자료_시장!$A$1:$BZ$1000,설정!$L$6+ROW()-1,설정!$L$24)),"")</f>
        <v>0</v>
      </c>
      <c r="B445" s="83" t="n">
        <f aca="false">IFERROR(IF(INDEX(원자료_시장!$A$1:$BZ$1000,설정!$L$6+ROW()-1,설정!$L$37)&amp;""="0","",INDEX(원자료_시장!$A$1:$BZ$1000,설정!$L$6+ROW()-1,설정!$L$37)),"")</f>
        <v>0</v>
      </c>
      <c r="C445" s="83" t="n">
        <f aca="false">IFERROR(IF(INDEX(원자료_시장!$A$1:$BZ$1000,설정!$L$6+ROW()-1,설정!$L$25)&amp;""="0","",INDEX(원자료_시장!$A$1:$BZ$1000,설정!$L$6+ROW()-1,설정!$L$25)),"")</f>
        <v>0</v>
      </c>
      <c r="D445" s="85" t="str">
        <f aca="false">IFERROR(IF(ISNUMBER(INDEX(원자료_시장!$A$1:$BZ$1000,설정!$L$6+ROW()-1,설정!$L$26)),INDEX(원자료_시장!$A$1:$BZ$1000,설정!$L$6+ROW()-1,설정!$L$26),""),"")</f>
        <v/>
      </c>
      <c r="E445" s="97" t="str">
        <f aca="false">IFERROR(IF(ISNUMBER(INDEX(원자료_시장!$A$1:$BZ$1000,설정!$L$6+ROW()-1,설정!$L$27)),INDEX(원자료_시장!$A$1:$BZ$1000,설정!$L$6+ROW()-1,설정!$L$27),""),"")</f>
        <v/>
      </c>
      <c r="F445" s="97" t="str">
        <f aca="false">IFERROR(IF(ISNUMBER(INDEX(원자료_시장!$A$1:$BZ$1000,설정!$L$6+ROW()-1,설정!$L$28)),INDEX(원자료_시장!$A$1:$BZ$1000,설정!$L$6+ROW()-1,설정!$L$28),""),"")</f>
        <v/>
      </c>
      <c r="G445" s="97" t="str">
        <f aca="false">IFERROR(IF(ISNUMBER(INDEX(원자료_시장!$A$1:$BZ$1000,설정!$L$6+ROW()-1,설정!$L$29)),INDEX(원자료_시장!$A$1:$BZ$1000,설정!$L$6+ROW()-1,설정!$L$29),""),"")</f>
        <v/>
      </c>
      <c r="H445" s="97" t="str">
        <f aca="false">IFERROR(IF(ISNUMBER(INDEX(원자료_시장!$A$1:$BZ$1000,설정!$L$6+ROW()-1,설정!$L$30)),INDEX(원자료_시장!$A$1:$BZ$1000,설정!$L$6+ROW()-1,설정!$L$30),""),"")</f>
        <v/>
      </c>
      <c r="I445" s="97" t="str">
        <f aca="false">IFERROR(IF(ISNUMBER(INDEX(원자료_시장!$A$1:$BZ$1000,설정!$L$6+ROW()-1,설정!$L$31)),INDEX(원자료_시장!$A$1:$BZ$1000,설정!$L$6+ROW()-1,설정!$L$31),""),"")</f>
        <v/>
      </c>
      <c r="J445" s="97" t="str">
        <f aca="false">IFERROR(IF(ISNUMBER(INDEX(원자료_시장!$A$1:$BZ$1000,설정!$L$6+ROW()-1,설정!$L$32)),INDEX(원자료_시장!$A$1:$BZ$1000,설정!$L$6+ROW()-1,설정!$L$32),""),"")</f>
        <v/>
      </c>
      <c r="K445" s="85" t="str">
        <f aca="false">IFERROR(IF(ISNUMBER(INDEX(원자료_시장!$A$1:$BZ$1000,설정!$L$6+ROW()-1,설정!$L$33)),INDEX(원자료_시장!$A$1:$BZ$1000,설정!$L$6+ROW()-1,설정!$L$33),""),"")</f>
        <v/>
      </c>
      <c r="L445" s="83" t="n">
        <f aca="false">IFERROR(IF(INDEX(원자료_시장!$A$1:$BZ$1000,설정!$L$6+ROW()-1,설정!$L$34)&amp;""="0","",INDEX(원자료_시장!$A$1:$BZ$1000,설정!$L$6+ROW()-1,설정!$L$34)),"")</f>
        <v>0</v>
      </c>
      <c r="M445" s="83" t="n">
        <f aca="false">IFERROR(IF(INDEX(원자료_시장!$A$1:$BZ$1000,설정!$L$6+ROW()-1,설정!$L$35)&amp;""="0","",INDEX(원자료_시장!$A$1:$BZ$1000,설정!$L$6+ROW()-1,설정!$L$35)),"")</f>
        <v>0</v>
      </c>
      <c r="N445" s="83" t="n">
        <f aca="false">IFERROR(IF(INDEX(원자료_시장!$A$1:$BZ$1000,설정!$L$6+ROW()-1,설정!$L$36)&amp;""="0","",INDEX(원자료_시장!$A$1:$BZ$1000,설정!$L$6+ROW()-1,설정!$L$36)),"")</f>
        <v>0</v>
      </c>
      <c r="O445" s="43" t="str">
        <f aca="false">IF($A445="","",UPPER(LEFT($A445,FIND(" ",$A445&amp;" ")-1)))</f>
        <v/>
      </c>
      <c r="P445" s="43" t="str">
        <f aca="false">IF($A445="","",TRIM(RIGHT(SUBSTITUTE(TRIM($A445)," ",REPT(" ",30)),30)))</f>
        <v/>
      </c>
      <c r="Q445" s="98" t="str">
        <f aca="false">IF($A445="","",IFERROR(DATE(IF(LEN(P445)=8,2000+VALUE(RIGHT(P445,2)),VALUE(RIGHT(P445,4))),VALUE(LEFT(P445,2)),VALUE(MID(P445,4,2))),""))</f>
        <v/>
      </c>
      <c r="R445" s="89" t="n">
        <f aca="false">IF($A445="",0,IF(ISNUMBER(SEARCH("Float",$A445)),1,0))</f>
        <v>0</v>
      </c>
      <c r="S445" s="43" t="str">
        <f aca="false">IF($A445="","",TRIM(MID($A445,LEN(O445)+2,LEN($A445)-LEN(O445)-LEN(P445)-1)))</f>
        <v/>
      </c>
      <c r="T445" s="92" t="str">
        <f aca="false">IF(OR($A445="",R445=1),"",IFERROR(IF(ISNUMBER(FIND("/",S445)),IF(ISNUMBER(FIND(" ",S445)),VALUE(LEFT(S445,FIND(" ",S445)-1))+VALUE(MID(S445,FIND(" ",S445)+1,FIND("/",S445)-FIND(" ",S445)-1))/VALUE(MID(S445,FIND("/",S445)+1,9)),VALUE(LEFT(S445,FIND("/",S445)-1))/VALUE(MID(S445,FIND("/",S445)+1,9))),VALUE(S445)),""))</f>
        <v/>
      </c>
      <c r="U445" s="43" t="str">
        <f aca="false">IF(OR($A445="",NOT(ISNUMBER(Q445))),"",TEXT(Q445,"yyyymmdd")&amp;"|"&amp;IF(R445=1,"F",TEXT(T445,"0.000")))</f>
        <v/>
      </c>
      <c r="V445" s="43" t="str">
        <f aca="false">IF(U445="","",O445&amp;"|"&amp;U445)</f>
        <v/>
      </c>
      <c r="W445" s="43" t="str">
        <f aca="false">IF($A445="","",IFERROR(IF(VLOOKUP(O445,매핑!$A$4:$E$92,3,0)="","미분류",VLOOKUP(O445,매핑!$A$4:$E$92,3,0)),"미분류"))</f>
        <v/>
      </c>
      <c r="X445" s="89" t="n">
        <f aca="false">IF($A445="",0,IF(O445="T",1,0))</f>
        <v>0</v>
      </c>
      <c r="Y445" s="89" t="n">
        <f aca="false">IF($A445="",0,IF(AND(C445="USD",X445=0,ISNUMBER(E445),ISNUMBER(K445)),IF(K445&gt;=설정!$C$8,1,0),0))</f>
        <v>0</v>
      </c>
      <c r="Z445" s="43" t="str">
        <f aca="false">IF($A445="","",N445&amp;"|"&amp;L445)</f>
        <v/>
      </c>
      <c r="AA445" s="92" t="n">
        <f aca="false">IF(Y445=1,LN(K445),0)</f>
        <v>0</v>
      </c>
      <c r="AB445" s="93" t="n">
        <f aca="false">IF(Y445=1,E445,0)</f>
        <v>0</v>
      </c>
      <c r="AC445" s="89" t="n">
        <f aca="false">IF(Y445=1,COUNTIFS($Z$2:$Z$601,Z445,$Y$2:$Y$601,1),0)</f>
        <v>0</v>
      </c>
      <c r="AD445" s="89" t="n">
        <f aca="false">IF(Y445=1,COUNTIFS($N$2:$N$601,N445,$Y$2:$Y$601,1),0)</f>
        <v>0</v>
      </c>
      <c r="AE445" s="43" t="str">
        <f aca="false">IF(Y445&lt;&gt;1,"",IF(AND(AC445&gt;=설정!$C$7,ISNUMBER(MATCH(Z445,피어커브!$A:$A,0))),Z445,IF(AND(AD445&gt;=설정!$C$7,ISNUMBER(MATCH(N445&amp;"|전체",피어커브!$A:$A,0))),N445&amp;"|전체","전체|전체")))</f>
        <v/>
      </c>
      <c r="AF445" s="93" t="str">
        <f aca="false">IF(AE445="","",INDEX(피어커브!$K:$K,MATCH(AE445,피어커브!$A:$A,0)))</f>
        <v/>
      </c>
      <c r="AG445" s="93" t="str">
        <f aca="false">IF(AE445="","",INDEX(피어커브!$J:$J,MATCH(AE445,피어커브!$A:$A,0)))</f>
        <v/>
      </c>
      <c r="AH445" s="93" t="str">
        <f aca="false">IF(AE445="","",INDEX(피어커브!$L:$L,MATCH(AE445,피어커브!$A:$A,0)))</f>
        <v/>
      </c>
      <c r="AI445" s="93" t="str">
        <f aca="false">IF(AE445="","",AF445+AG445*AA445)</f>
        <v/>
      </c>
      <c r="AJ445" s="96" t="str">
        <f aca="false">IF(AE445="","",E445-AI445)</f>
        <v/>
      </c>
      <c r="AK445" s="95" t="str">
        <f aca="false">IF(AE445="","",IF(ISNUMBER(AH445),IF(AH445&gt;0,AJ445/AH445,""),""))</f>
        <v/>
      </c>
      <c r="AL445" s="43" t="str">
        <f aca="false">IF(AK445="","-",IF(AK445&gt;=설정!$C$6,"Cheap",IF(AK445&lt;=-설정!$C$6,"Rich","Fair")))</f>
        <v>-</v>
      </c>
      <c r="AM445" s="96" t="str">
        <f aca="false">IF(AE445="","",AJ445-AVERAGEIFS($AJ$2:$AJ$601,$B$2:$B$601,B445,$Y$2:$Y$601,1))</f>
        <v/>
      </c>
      <c r="AN445" s="93" t="n">
        <f aca="false">IF(AE445="",0,IF(K445&gt;1+설정!$C$8,AG445*(AA445-LN(K445-1)),0))</f>
        <v>0</v>
      </c>
      <c r="AO445" s="99" t="n">
        <f aca="false">IF($A445="",0,SUMIFS(보유분석!$AA$2:$AA$801,보유분석!$AB$2:$AB$801,ROW(),보유분석!$AC$2:$AC$801,1))</f>
        <v>0</v>
      </c>
      <c r="AP445" s="43" t="str">
        <f aca="false">IF($A445="","",TRIM(IF(R445=1,"FRN ","")&amp;IF(IFERROR(VLOOKUP(M445,설정!$A$15:$D$47,4,0),0)&gt;=10,IF(IFERROR(VLOOKUP(M445,설정!$A$15:$D$47,4,0),0)&lt;99,"BBB0미만 ",""),"")&amp;IF(OR(M445="",M445="NR"),"등급미입력 ","")&amp;IF(C445&lt;&gt;"USD","비USD ","")))</f>
        <v/>
      </c>
      <c r="AQ445" s="90" t="n">
        <f aca="false">IF(AND(Y445=1,AL445="Cheap"),IF(AND(ISERROR(SEARCH("FRN",AP445)),ISERROR(SEARCH("BBB0미만",AP445))),AK445+ROW()/1000000000,-999),-999)</f>
        <v>-999</v>
      </c>
      <c r="AR445" s="92" t="str">
        <f aca="false">IF(AND(ISNUMBER(D445),ISNUMBER(K445)),D445+AN445*MAX(K445-1,0)/100,"")</f>
        <v/>
      </c>
      <c r="AS445" s="93" t="str">
        <f aca="false">IF(AND(ISNUMBER(E445),ISNUMBER(K445)),IF(K445&gt;0,(E445+AN445*MAX(K445-1,0))/K445,""),"")</f>
        <v/>
      </c>
      <c r="AT445" s="90" t="n">
        <f aca="false">IFERROR(IF(AND(Y445=1,ROW()&lt;&gt;스왑분석!$C$12+1,ABS(K445-INDEX($K$2:$K$601,스왑분석!$C$12))&lt;=스왑분석!$C$5,ISERROR(SEARCH("FRN",AP445)),ISERROR(SEARCH("BBB0미만",AP445))),IF(AND(OR(스왑분석!$C$6="N",L445=INDEX($L$2:$L$601,스왑분석!$C$12)),OR(스왑분석!$C$7="N",N445=INDEX($N$2:$N$601,스왑분석!$C$12)),OR(스왑분석!$C$8="N",AO445=0),E445-INDEX($E$2:$E$601,스왑분석!$C$12)&gt;=스왑분석!$C$9),E445-INDEX($E$2:$E$601,스왑분석!$C$12)+ROW()/1000000000,-999),-999),-999)</f>
        <v>-999</v>
      </c>
      <c r="AU445" s="90" t="n">
        <f aca="false">IF(AND(Y445=1,AO445&gt;0,AL445="Rich"),-AK445+ROW()/1000000000,-999)</f>
        <v>-999</v>
      </c>
    </row>
    <row r="446" customFormat="false" ht="15" hidden="false" customHeight="false" outlineLevel="0" collapsed="false">
      <c r="A446" s="83" t="n">
        <f aca="false">IFERROR(IF(INDEX(원자료_시장!$A$1:$BZ$1000,설정!$L$6+ROW()-1,설정!$L$24)&amp;""="0","",INDEX(원자료_시장!$A$1:$BZ$1000,설정!$L$6+ROW()-1,설정!$L$24)),"")</f>
        <v>0</v>
      </c>
      <c r="B446" s="83" t="n">
        <f aca="false">IFERROR(IF(INDEX(원자료_시장!$A$1:$BZ$1000,설정!$L$6+ROW()-1,설정!$L$37)&amp;""="0","",INDEX(원자료_시장!$A$1:$BZ$1000,설정!$L$6+ROW()-1,설정!$L$37)),"")</f>
        <v>0</v>
      </c>
      <c r="C446" s="83" t="n">
        <f aca="false">IFERROR(IF(INDEX(원자료_시장!$A$1:$BZ$1000,설정!$L$6+ROW()-1,설정!$L$25)&amp;""="0","",INDEX(원자료_시장!$A$1:$BZ$1000,설정!$L$6+ROW()-1,설정!$L$25)),"")</f>
        <v>0</v>
      </c>
      <c r="D446" s="85" t="str">
        <f aca="false">IFERROR(IF(ISNUMBER(INDEX(원자료_시장!$A$1:$BZ$1000,설정!$L$6+ROW()-1,설정!$L$26)),INDEX(원자료_시장!$A$1:$BZ$1000,설정!$L$6+ROW()-1,설정!$L$26),""),"")</f>
        <v/>
      </c>
      <c r="E446" s="97" t="str">
        <f aca="false">IFERROR(IF(ISNUMBER(INDEX(원자료_시장!$A$1:$BZ$1000,설정!$L$6+ROW()-1,설정!$L$27)),INDEX(원자료_시장!$A$1:$BZ$1000,설정!$L$6+ROW()-1,설정!$L$27),""),"")</f>
        <v/>
      </c>
      <c r="F446" s="97" t="str">
        <f aca="false">IFERROR(IF(ISNUMBER(INDEX(원자료_시장!$A$1:$BZ$1000,설정!$L$6+ROW()-1,설정!$L$28)),INDEX(원자료_시장!$A$1:$BZ$1000,설정!$L$6+ROW()-1,설정!$L$28),""),"")</f>
        <v/>
      </c>
      <c r="G446" s="97" t="str">
        <f aca="false">IFERROR(IF(ISNUMBER(INDEX(원자료_시장!$A$1:$BZ$1000,설정!$L$6+ROW()-1,설정!$L$29)),INDEX(원자료_시장!$A$1:$BZ$1000,설정!$L$6+ROW()-1,설정!$L$29),""),"")</f>
        <v/>
      </c>
      <c r="H446" s="97" t="str">
        <f aca="false">IFERROR(IF(ISNUMBER(INDEX(원자료_시장!$A$1:$BZ$1000,설정!$L$6+ROW()-1,설정!$L$30)),INDEX(원자료_시장!$A$1:$BZ$1000,설정!$L$6+ROW()-1,설정!$L$30),""),"")</f>
        <v/>
      </c>
      <c r="I446" s="97" t="str">
        <f aca="false">IFERROR(IF(ISNUMBER(INDEX(원자료_시장!$A$1:$BZ$1000,설정!$L$6+ROW()-1,설정!$L$31)),INDEX(원자료_시장!$A$1:$BZ$1000,설정!$L$6+ROW()-1,설정!$L$31),""),"")</f>
        <v/>
      </c>
      <c r="J446" s="97" t="str">
        <f aca="false">IFERROR(IF(ISNUMBER(INDEX(원자료_시장!$A$1:$BZ$1000,설정!$L$6+ROW()-1,설정!$L$32)),INDEX(원자료_시장!$A$1:$BZ$1000,설정!$L$6+ROW()-1,설정!$L$32),""),"")</f>
        <v/>
      </c>
      <c r="K446" s="85" t="str">
        <f aca="false">IFERROR(IF(ISNUMBER(INDEX(원자료_시장!$A$1:$BZ$1000,설정!$L$6+ROW()-1,설정!$L$33)),INDEX(원자료_시장!$A$1:$BZ$1000,설정!$L$6+ROW()-1,설정!$L$33),""),"")</f>
        <v/>
      </c>
      <c r="L446" s="83" t="n">
        <f aca="false">IFERROR(IF(INDEX(원자료_시장!$A$1:$BZ$1000,설정!$L$6+ROW()-1,설정!$L$34)&amp;""="0","",INDEX(원자료_시장!$A$1:$BZ$1000,설정!$L$6+ROW()-1,설정!$L$34)),"")</f>
        <v>0</v>
      </c>
      <c r="M446" s="83" t="n">
        <f aca="false">IFERROR(IF(INDEX(원자료_시장!$A$1:$BZ$1000,설정!$L$6+ROW()-1,설정!$L$35)&amp;""="0","",INDEX(원자료_시장!$A$1:$BZ$1000,설정!$L$6+ROW()-1,설정!$L$35)),"")</f>
        <v>0</v>
      </c>
      <c r="N446" s="83" t="n">
        <f aca="false">IFERROR(IF(INDEX(원자료_시장!$A$1:$BZ$1000,설정!$L$6+ROW()-1,설정!$L$36)&amp;""="0","",INDEX(원자료_시장!$A$1:$BZ$1000,설정!$L$6+ROW()-1,설정!$L$36)),"")</f>
        <v>0</v>
      </c>
      <c r="O446" s="43" t="str">
        <f aca="false">IF($A446="","",UPPER(LEFT($A446,FIND(" ",$A446&amp;" ")-1)))</f>
        <v/>
      </c>
      <c r="P446" s="43" t="str">
        <f aca="false">IF($A446="","",TRIM(RIGHT(SUBSTITUTE(TRIM($A446)," ",REPT(" ",30)),30)))</f>
        <v/>
      </c>
      <c r="Q446" s="98" t="str">
        <f aca="false">IF($A446="","",IFERROR(DATE(IF(LEN(P446)=8,2000+VALUE(RIGHT(P446,2)),VALUE(RIGHT(P446,4))),VALUE(LEFT(P446,2)),VALUE(MID(P446,4,2))),""))</f>
        <v/>
      </c>
      <c r="R446" s="89" t="n">
        <f aca="false">IF($A446="",0,IF(ISNUMBER(SEARCH("Float",$A446)),1,0))</f>
        <v>0</v>
      </c>
      <c r="S446" s="43" t="str">
        <f aca="false">IF($A446="","",TRIM(MID($A446,LEN(O446)+2,LEN($A446)-LEN(O446)-LEN(P446)-1)))</f>
        <v/>
      </c>
      <c r="T446" s="92" t="str">
        <f aca="false">IF(OR($A446="",R446=1),"",IFERROR(IF(ISNUMBER(FIND("/",S446)),IF(ISNUMBER(FIND(" ",S446)),VALUE(LEFT(S446,FIND(" ",S446)-1))+VALUE(MID(S446,FIND(" ",S446)+1,FIND("/",S446)-FIND(" ",S446)-1))/VALUE(MID(S446,FIND("/",S446)+1,9)),VALUE(LEFT(S446,FIND("/",S446)-1))/VALUE(MID(S446,FIND("/",S446)+1,9))),VALUE(S446)),""))</f>
        <v/>
      </c>
      <c r="U446" s="43" t="str">
        <f aca="false">IF(OR($A446="",NOT(ISNUMBER(Q446))),"",TEXT(Q446,"yyyymmdd")&amp;"|"&amp;IF(R446=1,"F",TEXT(T446,"0.000")))</f>
        <v/>
      </c>
      <c r="V446" s="43" t="str">
        <f aca="false">IF(U446="","",O446&amp;"|"&amp;U446)</f>
        <v/>
      </c>
      <c r="W446" s="43" t="str">
        <f aca="false">IF($A446="","",IFERROR(IF(VLOOKUP(O446,매핑!$A$4:$E$92,3,0)="","미분류",VLOOKUP(O446,매핑!$A$4:$E$92,3,0)),"미분류"))</f>
        <v/>
      </c>
      <c r="X446" s="89" t="n">
        <f aca="false">IF($A446="",0,IF(O446="T",1,0))</f>
        <v>0</v>
      </c>
      <c r="Y446" s="89" t="n">
        <f aca="false">IF($A446="",0,IF(AND(C446="USD",X446=0,ISNUMBER(E446),ISNUMBER(K446)),IF(K446&gt;=설정!$C$8,1,0),0))</f>
        <v>0</v>
      </c>
      <c r="Z446" s="43" t="str">
        <f aca="false">IF($A446="","",N446&amp;"|"&amp;L446)</f>
        <v/>
      </c>
      <c r="AA446" s="92" t="n">
        <f aca="false">IF(Y446=1,LN(K446),0)</f>
        <v>0</v>
      </c>
      <c r="AB446" s="93" t="n">
        <f aca="false">IF(Y446=1,E446,0)</f>
        <v>0</v>
      </c>
      <c r="AC446" s="89" t="n">
        <f aca="false">IF(Y446=1,COUNTIFS($Z$2:$Z$601,Z446,$Y$2:$Y$601,1),0)</f>
        <v>0</v>
      </c>
      <c r="AD446" s="89" t="n">
        <f aca="false">IF(Y446=1,COUNTIFS($N$2:$N$601,N446,$Y$2:$Y$601,1),0)</f>
        <v>0</v>
      </c>
      <c r="AE446" s="43" t="str">
        <f aca="false">IF(Y446&lt;&gt;1,"",IF(AND(AC446&gt;=설정!$C$7,ISNUMBER(MATCH(Z446,피어커브!$A:$A,0))),Z446,IF(AND(AD446&gt;=설정!$C$7,ISNUMBER(MATCH(N446&amp;"|전체",피어커브!$A:$A,0))),N446&amp;"|전체","전체|전체")))</f>
        <v/>
      </c>
      <c r="AF446" s="93" t="str">
        <f aca="false">IF(AE446="","",INDEX(피어커브!$K:$K,MATCH(AE446,피어커브!$A:$A,0)))</f>
        <v/>
      </c>
      <c r="AG446" s="93" t="str">
        <f aca="false">IF(AE446="","",INDEX(피어커브!$J:$J,MATCH(AE446,피어커브!$A:$A,0)))</f>
        <v/>
      </c>
      <c r="AH446" s="93" t="str">
        <f aca="false">IF(AE446="","",INDEX(피어커브!$L:$L,MATCH(AE446,피어커브!$A:$A,0)))</f>
        <v/>
      </c>
      <c r="AI446" s="93" t="str">
        <f aca="false">IF(AE446="","",AF446+AG446*AA446)</f>
        <v/>
      </c>
      <c r="AJ446" s="96" t="str">
        <f aca="false">IF(AE446="","",E446-AI446)</f>
        <v/>
      </c>
      <c r="AK446" s="95" t="str">
        <f aca="false">IF(AE446="","",IF(ISNUMBER(AH446),IF(AH446&gt;0,AJ446/AH446,""),""))</f>
        <v/>
      </c>
      <c r="AL446" s="43" t="str">
        <f aca="false">IF(AK446="","-",IF(AK446&gt;=설정!$C$6,"Cheap",IF(AK446&lt;=-설정!$C$6,"Rich","Fair")))</f>
        <v>-</v>
      </c>
      <c r="AM446" s="96" t="str">
        <f aca="false">IF(AE446="","",AJ446-AVERAGEIFS($AJ$2:$AJ$601,$B$2:$B$601,B446,$Y$2:$Y$601,1))</f>
        <v/>
      </c>
      <c r="AN446" s="93" t="n">
        <f aca="false">IF(AE446="",0,IF(K446&gt;1+설정!$C$8,AG446*(AA446-LN(K446-1)),0))</f>
        <v>0</v>
      </c>
      <c r="AO446" s="99" t="n">
        <f aca="false">IF($A446="",0,SUMIFS(보유분석!$AA$2:$AA$801,보유분석!$AB$2:$AB$801,ROW(),보유분석!$AC$2:$AC$801,1))</f>
        <v>0</v>
      </c>
      <c r="AP446" s="43" t="str">
        <f aca="false">IF($A446="","",TRIM(IF(R446=1,"FRN ","")&amp;IF(IFERROR(VLOOKUP(M446,설정!$A$15:$D$47,4,0),0)&gt;=10,IF(IFERROR(VLOOKUP(M446,설정!$A$15:$D$47,4,0),0)&lt;99,"BBB0미만 ",""),"")&amp;IF(OR(M446="",M446="NR"),"등급미입력 ","")&amp;IF(C446&lt;&gt;"USD","비USD ","")))</f>
        <v/>
      </c>
      <c r="AQ446" s="90" t="n">
        <f aca="false">IF(AND(Y446=1,AL446="Cheap"),IF(AND(ISERROR(SEARCH("FRN",AP446)),ISERROR(SEARCH("BBB0미만",AP446))),AK446+ROW()/1000000000,-999),-999)</f>
        <v>-999</v>
      </c>
      <c r="AR446" s="92" t="str">
        <f aca="false">IF(AND(ISNUMBER(D446),ISNUMBER(K446)),D446+AN446*MAX(K446-1,0)/100,"")</f>
        <v/>
      </c>
      <c r="AS446" s="93" t="str">
        <f aca="false">IF(AND(ISNUMBER(E446),ISNUMBER(K446)),IF(K446&gt;0,(E446+AN446*MAX(K446-1,0))/K446,""),"")</f>
        <v/>
      </c>
      <c r="AT446" s="90" t="n">
        <f aca="false">IFERROR(IF(AND(Y446=1,ROW()&lt;&gt;스왑분석!$C$12+1,ABS(K446-INDEX($K$2:$K$601,스왑분석!$C$12))&lt;=스왑분석!$C$5,ISERROR(SEARCH("FRN",AP446)),ISERROR(SEARCH("BBB0미만",AP446))),IF(AND(OR(스왑분석!$C$6="N",L446=INDEX($L$2:$L$601,스왑분석!$C$12)),OR(스왑분석!$C$7="N",N446=INDEX($N$2:$N$601,스왑분석!$C$12)),OR(스왑분석!$C$8="N",AO446=0),E446-INDEX($E$2:$E$601,스왑분석!$C$12)&gt;=스왑분석!$C$9),E446-INDEX($E$2:$E$601,스왑분석!$C$12)+ROW()/1000000000,-999),-999),-999)</f>
        <v>-999</v>
      </c>
      <c r="AU446" s="90" t="n">
        <f aca="false">IF(AND(Y446=1,AO446&gt;0,AL446="Rich"),-AK446+ROW()/1000000000,-999)</f>
        <v>-999</v>
      </c>
    </row>
    <row r="447" customFormat="false" ht="15" hidden="false" customHeight="false" outlineLevel="0" collapsed="false">
      <c r="A447" s="83" t="n">
        <f aca="false">IFERROR(IF(INDEX(원자료_시장!$A$1:$BZ$1000,설정!$L$6+ROW()-1,설정!$L$24)&amp;""="0","",INDEX(원자료_시장!$A$1:$BZ$1000,설정!$L$6+ROW()-1,설정!$L$24)),"")</f>
        <v>0</v>
      </c>
      <c r="B447" s="83" t="n">
        <f aca="false">IFERROR(IF(INDEX(원자료_시장!$A$1:$BZ$1000,설정!$L$6+ROW()-1,설정!$L$37)&amp;""="0","",INDEX(원자료_시장!$A$1:$BZ$1000,설정!$L$6+ROW()-1,설정!$L$37)),"")</f>
        <v>0</v>
      </c>
      <c r="C447" s="83" t="n">
        <f aca="false">IFERROR(IF(INDEX(원자료_시장!$A$1:$BZ$1000,설정!$L$6+ROW()-1,설정!$L$25)&amp;""="0","",INDEX(원자료_시장!$A$1:$BZ$1000,설정!$L$6+ROW()-1,설정!$L$25)),"")</f>
        <v>0</v>
      </c>
      <c r="D447" s="85" t="str">
        <f aca="false">IFERROR(IF(ISNUMBER(INDEX(원자료_시장!$A$1:$BZ$1000,설정!$L$6+ROW()-1,설정!$L$26)),INDEX(원자료_시장!$A$1:$BZ$1000,설정!$L$6+ROW()-1,설정!$L$26),""),"")</f>
        <v/>
      </c>
      <c r="E447" s="97" t="str">
        <f aca="false">IFERROR(IF(ISNUMBER(INDEX(원자료_시장!$A$1:$BZ$1000,설정!$L$6+ROW()-1,설정!$L$27)),INDEX(원자료_시장!$A$1:$BZ$1000,설정!$L$6+ROW()-1,설정!$L$27),""),"")</f>
        <v/>
      </c>
      <c r="F447" s="97" t="str">
        <f aca="false">IFERROR(IF(ISNUMBER(INDEX(원자료_시장!$A$1:$BZ$1000,설정!$L$6+ROW()-1,설정!$L$28)),INDEX(원자료_시장!$A$1:$BZ$1000,설정!$L$6+ROW()-1,설정!$L$28),""),"")</f>
        <v/>
      </c>
      <c r="G447" s="97" t="str">
        <f aca="false">IFERROR(IF(ISNUMBER(INDEX(원자료_시장!$A$1:$BZ$1000,설정!$L$6+ROW()-1,설정!$L$29)),INDEX(원자료_시장!$A$1:$BZ$1000,설정!$L$6+ROW()-1,설정!$L$29),""),"")</f>
        <v/>
      </c>
      <c r="H447" s="97" t="str">
        <f aca="false">IFERROR(IF(ISNUMBER(INDEX(원자료_시장!$A$1:$BZ$1000,설정!$L$6+ROW()-1,설정!$L$30)),INDEX(원자료_시장!$A$1:$BZ$1000,설정!$L$6+ROW()-1,설정!$L$30),""),"")</f>
        <v/>
      </c>
      <c r="I447" s="97" t="str">
        <f aca="false">IFERROR(IF(ISNUMBER(INDEX(원자료_시장!$A$1:$BZ$1000,설정!$L$6+ROW()-1,설정!$L$31)),INDEX(원자료_시장!$A$1:$BZ$1000,설정!$L$6+ROW()-1,설정!$L$31),""),"")</f>
        <v/>
      </c>
      <c r="J447" s="97" t="str">
        <f aca="false">IFERROR(IF(ISNUMBER(INDEX(원자료_시장!$A$1:$BZ$1000,설정!$L$6+ROW()-1,설정!$L$32)),INDEX(원자료_시장!$A$1:$BZ$1000,설정!$L$6+ROW()-1,설정!$L$32),""),"")</f>
        <v/>
      </c>
      <c r="K447" s="85" t="str">
        <f aca="false">IFERROR(IF(ISNUMBER(INDEX(원자료_시장!$A$1:$BZ$1000,설정!$L$6+ROW()-1,설정!$L$33)),INDEX(원자료_시장!$A$1:$BZ$1000,설정!$L$6+ROW()-1,설정!$L$33),""),"")</f>
        <v/>
      </c>
      <c r="L447" s="83" t="n">
        <f aca="false">IFERROR(IF(INDEX(원자료_시장!$A$1:$BZ$1000,설정!$L$6+ROW()-1,설정!$L$34)&amp;""="0","",INDEX(원자료_시장!$A$1:$BZ$1000,설정!$L$6+ROW()-1,설정!$L$34)),"")</f>
        <v>0</v>
      </c>
      <c r="M447" s="83" t="n">
        <f aca="false">IFERROR(IF(INDEX(원자료_시장!$A$1:$BZ$1000,설정!$L$6+ROW()-1,설정!$L$35)&amp;""="0","",INDEX(원자료_시장!$A$1:$BZ$1000,설정!$L$6+ROW()-1,설정!$L$35)),"")</f>
        <v>0</v>
      </c>
      <c r="N447" s="83" t="n">
        <f aca="false">IFERROR(IF(INDEX(원자료_시장!$A$1:$BZ$1000,설정!$L$6+ROW()-1,설정!$L$36)&amp;""="0","",INDEX(원자료_시장!$A$1:$BZ$1000,설정!$L$6+ROW()-1,설정!$L$36)),"")</f>
        <v>0</v>
      </c>
      <c r="O447" s="43" t="str">
        <f aca="false">IF($A447="","",UPPER(LEFT($A447,FIND(" ",$A447&amp;" ")-1)))</f>
        <v/>
      </c>
      <c r="P447" s="43" t="str">
        <f aca="false">IF($A447="","",TRIM(RIGHT(SUBSTITUTE(TRIM($A447)," ",REPT(" ",30)),30)))</f>
        <v/>
      </c>
      <c r="Q447" s="98" t="str">
        <f aca="false">IF($A447="","",IFERROR(DATE(IF(LEN(P447)=8,2000+VALUE(RIGHT(P447,2)),VALUE(RIGHT(P447,4))),VALUE(LEFT(P447,2)),VALUE(MID(P447,4,2))),""))</f>
        <v/>
      </c>
      <c r="R447" s="89" t="n">
        <f aca="false">IF($A447="",0,IF(ISNUMBER(SEARCH("Float",$A447)),1,0))</f>
        <v>0</v>
      </c>
      <c r="S447" s="43" t="str">
        <f aca="false">IF($A447="","",TRIM(MID($A447,LEN(O447)+2,LEN($A447)-LEN(O447)-LEN(P447)-1)))</f>
        <v/>
      </c>
      <c r="T447" s="92" t="str">
        <f aca="false">IF(OR($A447="",R447=1),"",IFERROR(IF(ISNUMBER(FIND("/",S447)),IF(ISNUMBER(FIND(" ",S447)),VALUE(LEFT(S447,FIND(" ",S447)-1))+VALUE(MID(S447,FIND(" ",S447)+1,FIND("/",S447)-FIND(" ",S447)-1))/VALUE(MID(S447,FIND("/",S447)+1,9)),VALUE(LEFT(S447,FIND("/",S447)-1))/VALUE(MID(S447,FIND("/",S447)+1,9))),VALUE(S447)),""))</f>
        <v/>
      </c>
      <c r="U447" s="43" t="str">
        <f aca="false">IF(OR($A447="",NOT(ISNUMBER(Q447))),"",TEXT(Q447,"yyyymmdd")&amp;"|"&amp;IF(R447=1,"F",TEXT(T447,"0.000")))</f>
        <v/>
      </c>
      <c r="V447" s="43" t="str">
        <f aca="false">IF(U447="","",O447&amp;"|"&amp;U447)</f>
        <v/>
      </c>
      <c r="W447" s="43" t="str">
        <f aca="false">IF($A447="","",IFERROR(IF(VLOOKUP(O447,매핑!$A$4:$E$92,3,0)="","미분류",VLOOKUP(O447,매핑!$A$4:$E$92,3,0)),"미분류"))</f>
        <v/>
      </c>
      <c r="X447" s="89" t="n">
        <f aca="false">IF($A447="",0,IF(O447="T",1,0))</f>
        <v>0</v>
      </c>
      <c r="Y447" s="89" t="n">
        <f aca="false">IF($A447="",0,IF(AND(C447="USD",X447=0,ISNUMBER(E447),ISNUMBER(K447)),IF(K447&gt;=설정!$C$8,1,0),0))</f>
        <v>0</v>
      </c>
      <c r="Z447" s="43" t="str">
        <f aca="false">IF($A447="","",N447&amp;"|"&amp;L447)</f>
        <v/>
      </c>
      <c r="AA447" s="92" t="n">
        <f aca="false">IF(Y447=1,LN(K447),0)</f>
        <v>0</v>
      </c>
      <c r="AB447" s="93" t="n">
        <f aca="false">IF(Y447=1,E447,0)</f>
        <v>0</v>
      </c>
      <c r="AC447" s="89" t="n">
        <f aca="false">IF(Y447=1,COUNTIFS($Z$2:$Z$601,Z447,$Y$2:$Y$601,1),0)</f>
        <v>0</v>
      </c>
      <c r="AD447" s="89" t="n">
        <f aca="false">IF(Y447=1,COUNTIFS($N$2:$N$601,N447,$Y$2:$Y$601,1),0)</f>
        <v>0</v>
      </c>
      <c r="AE447" s="43" t="str">
        <f aca="false">IF(Y447&lt;&gt;1,"",IF(AND(AC447&gt;=설정!$C$7,ISNUMBER(MATCH(Z447,피어커브!$A:$A,0))),Z447,IF(AND(AD447&gt;=설정!$C$7,ISNUMBER(MATCH(N447&amp;"|전체",피어커브!$A:$A,0))),N447&amp;"|전체","전체|전체")))</f>
        <v/>
      </c>
      <c r="AF447" s="93" t="str">
        <f aca="false">IF(AE447="","",INDEX(피어커브!$K:$K,MATCH(AE447,피어커브!$A:$A,0)))</f>
        <v/>
      </c>
      <c r="AG447" s="93" t="str">
        <f aca="false">IF(AE447="","",INDEX(피어커브!$J:$J,MATCH(AE447,피어커브!$A:$A,0)))</f>
        <v/>
      </c>
      <c r="AH447" s="93" t="str">
        <f aca="false">IF(AE447="","",INDEX(피어커브!$L:$L,MATCH(AE447,피어커브!$A:$A,0)))</f>
        <v/>
      </c>
      <c r="AI447" s="93" t="str">
        <f aca="false">IF(AE447="","",AF447+AG447*AA447)</f>
        <v/>
      </c>
      <c r="AJ447" s="96" t="str">
        <f aca="false">IF(AE447="","",E447-AI447)</f>
        <v/>
      </c>
      <c r="AK447" s="95" t="str">
        <f aca="false">IF(AE447="","",IF(ISNUMBER(AH447),IF(AH447&gt;0,AJ447/AH447,""),""))</f>
        <v/>
      </c>
      <c r="AL447" s="43" t="str">
        <f aca="false">IF(AK447="","-",IF(AK447&gt;=설정!$C$6,"Cheap",IF(AK447&lt;=-설정!$C$6,"Rich","Fair")))</f>
        <v>-</v>
      </c>
      <c r="AM447" s="96" t="str">
        <f aca="false">IF(AE447="","",AJ447-AVERAGEIFS($AJ$2:$AJ$601,$B$2:$B$601,B447,$Y$2:$Y$601,1))</f>
        <v/>
      </c>
      <c r="AN447" s="93" t="n">
        <f aca="false">IF(AE447="",0,IF(K447&gt;1+설정!$C$8,AG447*(AA447-LN(K447-1)),0))</f>
        <v>0</v>
      </c>
      <c r="AO447" s="99" t="n">
        <f aca="false">IF($A447="",0,SUMIFS(보유분석!$AA$2:$AA$801,보유분석!$AB$2:$AB$801,ROW(),보유분석!$AC$2:$AC$801,1))</f>
        <v>0</v>
      </c>
      <c r="AP447" s="43" t="str">
        <f aca="false">IF($A447="","",TRIM(IF(R447=1,"FRN ","")&amp;IF(IFERROR(VLOOKUP(M447,설정!$A$15:$D$47,4,0),0)&gt;=10,IF(IFERROR(VLOOKUP(M447,설정!$A$15:$D$47,4,0),0)&lt;99,"BBB0미만 ",""),"")&amp;IF(OR(M447="",M447="NR"),"등급미입력 ","")&amp;IF(C447&lt;&gt;"USD","비USD ","")))</f>
        <v/>
      </c>
      <c r="AQ447" s="90" t="n">
        <f aca="false">IF(AND(Y447=1,AL447="Cheap"),IF(AND(ISERROR(SEARCH("FRN",AP447)),ISERROR(SEARCH("BBB0미만",AP447))),AK447+ROW()/1000000000,-999),-999)</f>
        <v>-999</v>
      </c>
      <c r="AR447" s="92" t="str">
        <f aca="false">IF(AND(ISNUMBER(D447),ISNUMBER(K447)),D447+AN447*MAX(K447-1,0)/100,"")</f>
        <v/>
      </c>
      <c r="AS447" s="93" t="str">
        <f aca="false">IF(AND(ISNUMBER(E447),ISNUMBER(K447)),IF(K447&gt;0,(E447+AN447*MAX(K447-1,0))/K447,""),"")</f>
        <v/>
      </c>
      <c r="AT447" s="90" t="n">
        <f aca="false">IFERROR(IF(AND(Y447=1,ROW()&lt;&gt;스왑분석!$C$12+1,ABS(K447-INDEX($K$2:$K$601,스왑분석!$C$12))&lt;=스왑분석!$C$5,ISERROR(SEARCH("FRN",AP447)),ISERROR(SEARCH("BBB0미만",AP447))),IF(AND(OR(스왑분석!$C$6="N",L447=INDEX($L$2:$L$601,스왑분석!$C$12)),OR(스왑분석!$C$7="N",N447=INDEX($N$2:$N$601,스왑분석!$C$12)),OR(스왑분석!$C$8="N",AO447=0),E447-INDEX($E$2:$E$601,스왑분석!$C$12)&gt;=스왑분석!$C$9),E447-INDEX($E$2:$E$601,스왑분석!$C$12)+ROW()/1000000000,-999),-999),-999)</f>
        <v>-999</v>
      </c>
      <c r="AU447" s="90" t="n">
        <f aca="false">IF(AND(Y447=1,AO447&gt;0,AL447="Rich"),-AK447+ROW()/1000000000,-999)</f>
        <v>-999</v>
      </c>
    </row>
    <row r="448" customFormat="false" ht="15" hidden="false" customHeight="false" outlineLevel="0" collapsed="false">
      <c r="A448" s="83" t="n">
        <f aca="false">IFERROR(IF(INDEX(원자료_시장!$A$1:$BZ$1000,설정!$L$6+ROW()-1,설정!$L$24)&amp;""="0","",INDEX(원자료_시장!$A$1:$BZ$1000,설정!$L$6+ROW()-1,설정!$L$24)),"")</f>
        <v>0</v>
      </c>
      <c r="B448" s="83" t="n">
        <f aca="false">IFERROR(IF(INDEX(원자료_시장!$A$1:$BZ$1000,설정!$L$6+ROW()-1,설정!$L$37)&amp;""="0","",INDEX(원자료_시장!$A$1:$BZ$1000,설정!$L$6+ROW()-1,설정!$L$37)),"")</f>
        <v>0</v>
      </c>
      <c r="C448" s="83" t="n">
        <f aca="false">IFERROR(IF(INDEX(원자료_시장!$A$1:$BZ$1000,설정!$L$6+ROW()-1,설정!$L$25)&amp;""="0","",INDEX(원자료_시장!$A$1:$BZ$1000,설정!$L$6+ROW()-1,설정!$L$25)),"")</f>
        <v>0</v>
      </c>
      <c r="D448" s="85" t="str">
        <f aca="false">IFERROR(IF(ISNUMBER(INDEX(원자료_시장!$A$1:$BZ$1000,설정!$L$6+ROW()-1,설정!$L$26)),INDEX(원자료_시장!$A$1:$BZ$1000,설정!$L$6+ROW()-1,설정!$L$26),""),"")</f>
        <v/>
      </c>
      <c r="E448" s="97" t="str">
        <f aca="false">IFERROR(IF(ISNUMBER(INDEX(원자료_시장!$A$1:$BZ$1000,설정!$L$6+ROW()-1,설정!$L$27)),INDEX(원자료_시장!$A$1:$BZ$1000,설정!$L$6+ROW()-1,설정!$L$27),""),"")</f>
        <v/>
      </c>
      <c r="F448" s="97" t="str">
        <f aca="false">IFERROR(IF(ISNUMBER(INDEX(원자료_시장!$A$1:$BZ$1000,설정!$L$6+ROW()-1,설정!$L$28)),INDEX(원자료_시장!$A$1:$BZ$1000,설정!$L$6+ROW()-1,설정!$L$28),""),"")</f>
        <v/>
      </c>
      <c r="G448" s="97" t="str">
        <f aca="false">IFERROR(IF(ISNUMBER(INDEX(원자료_시장!$A$1:$BZ$1000,설정!$L$6+ROW()-1,설정!$L$29)),INDEX(원자료_시장!$A$1:$BZ$1000,설정!$L$6+ROW()-1,설정!$L$29),""),"")</f>
        <v/>
      </c>
      <c r="H448" s="97" t="str">
        <f aca="false">IFERROR(IF(ISNUMBER(INDEX(원자료_시장!$A$1:$BZ$1000,설정!$L$6+ROW()-1,설정!$L$30)),INDEX(원자료_시장!$A$1:$BZ$1000,설정!$L$6+ROW()-1,설정!$L$30),""),"")</f>
        <v/>
      </c>
      <c r="I448" s="97" t="str">
        <f aca="false">IFERROR(IF(ISNUMBER(INDEX(원자료_시장!$A$1:$BZ$1000,설정!$L$6+ROW()-1,설정!$L$31)),INDEX(원자료_시장!$A$1:$BZ$1000,설정!$L$6+ROW()-1,설정!$L$31),""),"")</f>
        <v/>
      </c>
      <c r="J448" s="97" t="str">
        <f aca="false">IFERROR(IF(ISNUMBER(INDEX(원자료_시장!$A$1:$BZ$1000,설정!$L$6+ROW()-1,설정!$L$32)),INDEX(원자료_시장!$A$1:$BZ$1000,설정!$L$6+ROW()-1,설정!$L$32),""),"")</f>
        <v/>
      </c>
      <c r="K448" s="85" t="str">
        <f aca="false">IFERROR(IF(ISNUMBER(INDEX(원자료_시장!$A$1:$BZ$1000,설정!$L$6+ROW()-1,설정!$L$33)),INDEX(원자료_시장!$A$1:$BZ$1000,설정!$L$6+ROW()-1,설정!$L$33),""),"")</f>
        <v/>
      </c>
      <c r="L448" s="83" t="n">
        <f aca="false">IFERROR(IF(INDEX(원자료_시장!$A$1:$BZ$1000,설정!$L$6+ROW()-1,설정!$L$34)&amp;""="0","",INDEX(원자료_시장!$A$1:$BZ$1000,설정!$L$6+ROW()-1,설정!$L$34)),"")</f>
        <v>0</v>
      </c>
      <c r="M448" s="83" t="n">
        <f aca="false">IFERROR(IF(INDEX(원자료_시장!$A$1:$BZ$1000,설정!$L$6+ROW()-1,설정!$L$35)&amp;""="0","",INDEX(원자료_시장!$A$1:$BZ$1000,설정!$L$6+ROW()-1,설정!$L$35)),"")</f>
        <v>0</v>
      </c>
      <c r="N448" s="83" t="n">
        <f aca="false">IFERROR(IF(INDEX(원자료_시장!$A$1:$BZ$1000,설정!$L$6+ROW()-1,설정!$L$36)&amp;""="0","",INDEX(원자료_시장!$A$1:$BZ$1000,설정!$L$6+ROW()-1,설정!$L$36)),"")</f>
        <v>0</v>
      </c>
      <c r="O448" s="43" t="str">
        <f aca="false">IF($A448="","",UPPER(LEFT($A448,FIND(" ",$A448&amp;" ")-1)))</f>
        <v/>
      </c>
      <c r="P448" s="43" t="str">
        <f aca="false">IF($A448="","",TRIM(RIGHT(SUBSTITUTE(TRIM($A448)," ",REPT(" ",30)),30)))</f>
        <v/>
      </c>
      <c r="Q448" s="98" t="str">
        <f aca="false">IF($A448="","",IFERROR(DATE(IF(LEN(P448)=8,2000+VALUE(RIGHT(P448,2)),VALUE(RIGHT(P448,4))),VALUE(LEFT(P448,2)),VALUE(MID(P448,4,2))),""))</f>
        <v/>
      </c>
      <c r="R448" s="89" t="n">
        <f aca="false">IF($A448="",0,IF(ISNUMBER(SEARCH("Float",$A448)),1,0))</f>
        <v>0</v>
      </c>
      <c r="S448" s="43" t="str">
        <f aca="false">IF($A448="","",TRIM(MID($A448,LEN(O448)+2,LEN($A448)-LEN(O448)-LEN(P448)-1)))</f>
        <v/>
      </c>
      <c r="T448" s="92" t="str">
        <f aca="false">IF(OR($A448="",R448=1),"",IFERROR(IF(ISNUMBER(FIND("/",S448)),IF(ISNUMBER(FIND(" ",S448)),VALUE(LEFT(S448,FIND(" ",S448)-1))+VALUE(MID(S448,FIND(" ",S448)+1,FIND("/",S448)-FIND(" ",S448)-1))/VALUE(MID(S448,FIND("/",S448)+1,9)),VALUE(LEFT(S448,FIND("/",S448)-1))/VALUE(MID(S448,FIND("/",S448)+1,9))),VALUE(S448)),""))</f>
        <v/>
      </c>
      <c r="U448" s="43" t="str">
        <f aca="false">IF(OR($A448="",NOT(ISNUMBER(Q448))),"",TEXT(Q448,"yyyymmdd")&amp;"|"&amp;IF(R448=1,"F",TEXT(T448,"0.000")))</f>
        <v/>
      </c>
      <c r="V448" s="43" t="str">
        <f aca="false">IF(U448="","",O448&amp;"|"&amp;U448)</f>
        <v/>
      </c>
      <c r="W448" s="43" t="str">
        <f aca="false">IF($A448="","",IFERROR(IF(VLOOKUP(O448,매핑!$A$4:$E$92,3,0)="","미분류",VLOOKUP(O448,매핑!$A$4:$E$92,3,0)),"미분류"))</f>
        <v/>
      </c>
      <c r="X448" s="89" t="n">
        <f aca="false">IF($A448="",0,IF(O448="T",1,0))</f>
        <v>0</v>
      </c>
      <c r="Y448" s="89" t="n">
        <f aca="false">IF($A448="",0,IF(AND(C448="USD",X448=0,ISNUMBER(E448),ISNUMBER(K448)),IF(K448&gt;=설정!$C$8,1,0),0))</f>
        <v>0</v>
      </c>
      <c r="Z448" s="43" t="str">
        <f aca="false">IF($A448="","",N448&amp;"|"&amp;L448)</f>
        <v/>
      </c>
      <c r="AA448" s="92" t="n">
        <f aca="false">IF(Y448=1,LN(K448),0)</f>
        <v>0</v>
      </c>
      <c r="AB448" s="93" t="n">
        <f aca="false">IF(Y448=1,E448,0)</f>
        <v>0</v>
      </c>
      <c r="AC448" s="89" t="n">
        <f aca="false">IF(Y448=1,COUNTIFS($Z$2:$Z$601,Z448,$Y$2:$Y$601,1),0)</f>
        <v>0</v>
      </c>
      <c r="AD448" s="89" t="n">
        <f aca="false">IF(Y448=1,COUNTIFS($N$2:$N$601,N448,$Y$2:$Y$601,1),0)</f>
        <v>0</v>
      </c>
      <c r="AE448" s="43" t="str">
        <f aca="false">IF(Y448&lt;&gt;1,"",IF(AND(AC448&gt;=설정!$C$7,ISNUMBER(MATCH(Z448,피어커브!$A:$A,0))),Z448,IF(AND(AD448&gt;=설정!$C$7,ISNUMBER(MATCH(N448&amp;"|전체",피어커브!$A:$A,0))),N448&amp;"|전체","전체|전체")))</f>
        <v/>
      </c>
      <c r="AF448" s="93" t="str">
        <f aca="false">IF(AE448="","",INDEX(피어커브!$K:$K,MATCH(AE448,피어커브!$A:$A,0)))</f>
        <v/>
      </c>
      <c r="AG448" s="93" t="str">
        <f aca="false">IF(AE448="","",INDEX(피어커브!$J:$J,MATCH(AE448,피어커브!$A:$A,0)))</f>
        <v/>
      </c>
      <c r="AH448" s="93" t="str">
        <f aca="false">IF(AE448="","",INDEX(피어커브!$L:$L,MATCH(AE448,피어커브!$A:$A,0)))</f>
        <v/>
      </c>
      <c r="AI448" s="93" t="str">
        <f aca="false">IF(AE448="","",AF448+AG448*AA448)</f>
        <v/>
      </c>
      <c r="AJ448" s="96" t="str">
        <f aca="false">IF(AE448="","",E448-AI448)</f>
        <v/>
      </c>
      <c r="AK448" s="95" t="str">
        <f aca="false">IF(AE448="","",IF(ISNUMBER(AH448),IF(AH448&gt;0,AJ448/AH448,""),""))</f>
        <v/>
      </c>
      <c r="AL448" s="43" t="str">
        <f aca="false">IF(AK448="","-",IF(AK448&gt;=설정!$C$6,"Cheap",IF(AK448&lt;=-설정!$C$6,"Rich","Fair")))</f>
        <v>-</v>
      </c>
      <c r="AM448" s="96" t="str">
        <f aca="false">IF(AE448="","",AJ448-AVERAGEIFS($AJ$2:$AJ$601,$B$2:$B$601,B448,$Y$2:$Y$601,1))</f>
        <v/>
      </c>
      <c r="AN448" s="93" t="n">
        <f aca="false">IF(AE448="",0,IF(K448&gt;1+설정!$C$8,AG448*(AA448-LN(K448-1)),0))</f>
        <v>0</v>
      </c>
      <c r="AO448" s="99" t="n">
        <f aca="false">IF($A448="",0,SUMIFS(보유분석!$AA$2:$AA$801,보유분석!$AB$2:$AB$801,ROW(),보유분석!$AC$2:$AC$801,1))</f>
        <v>0</v>
      </c>
      <c r="AP448" s="43" t="str">
        <f aca="false">IF($A448="","",TRIM(IF(R448=1,"FRN ","")&amp;IF(IFERROR(VLOOKUP(M448,설정!$A$15:$D$47,4,0),0)&gt;=10,IF(IFERROR(VLOOKUP(M448,설정!$A$15:$D$47,4,0),0)&lt;99,"BBB0미만 ",""),"")&amp;IF(OR(M448="",M448="NR"),"등급미입력 ","")&amp;IF(C448&lt;&gt;"USD","비USD ","")))</f>
        <v/>
      </c>
      <c r="AQ448" s="90" t="n">
        <f aca="false">IF(AND(Y448=1,AL448="Cheap"),IF(AND(ISERROR(SEARCH("FRN",AP448)),ISERROR(SEARCH("BBB0미만",AP448))),AK448+ROW()/1000000000,-999),-999)</f>
        <v>-999</v>
      </c>
      <c r="AR448" s="92" t="str">
        <f aca="false">IF(AND(ISNUMBER(D448),ISNUMBER(K448)),D448+AN448*MAX(K448-1,0)/100,"")</f>
        <v/>
      </c>
      <c r="AS448" s="93" t="str">
        <f aca="false">IF(AND(ISNUMBER(E448),ISNUMBER(K448)),IF(K448&gt;0,(E448+AN448*MAX(K448-1,0))/K448,""),"")</f>
        <v/>
      </c>
      <c r="AT448" s="90" t="n">
        <f aca="false">IFERROR(IF(AND(Y448=1,ROW()&lt;&gt;스왑분석!$C$12+1,ABS(K448-INDEX($K$2:$K$601,스왑분석!$C$12))&lt;=스왑분석!$C$5,ISERROR(SEARCH("FRN",AP448)),ISERROR(SEARCH("BBB0미만",AP448))),IF(AND(OR(스왑분석!$C$6="N",L448=INDEX($L$2:$L$601,스왑분석!$C$12)),OR(스왑분석!$C$7="N",N448=INDEX($N$2:$N$601,스왑분석!$C$12)),OR(스왑분석!$C$8="N",AO448=0),E448-INDEX($E$2:$E$601,스왑분석!$C$12)&gt;=스왑분석!$C$9),E448-INDEX($E$2:$E$601,스왑분석!$C$12)+ROW()/1000000000,-999),-999),-999)</f>
        <v>-999</v>
      </c>
      <c r="AU448" s="90" t="n">
        <f aca="false">IF(AND(Y448=1,AO448&gt;0,AL448="Rich"),-AK448+ROW()/1000000000,-999)</f>
        <v>-999</v>
      </c>
    </row>
    <row r="449" customFormat="false" ht="15" hidden="false" customHeight="false" outlineLevel="0" collapsed="false">
      <c r="A449" s="83" t="n">
        <f aca="false">IFERROR(IF(INDEX(원자료_시장!$A$1:$BZ$1000,설정!$L$6+ROW()-1,설정!$L$24)&amp;""="0","",INDEX(원자료_시장!$A$1:$BZ$1000,설정!$L$6+ROW()-1,설정!$L$24)),"")</f>
        <v>0</v>
      </c>
      <c r="B449" s="83" t="n">
        <f aca="false">IFERROR(IF(INDEX(원자료_시장!$A$1:$BZ$1000,설정!$L$6+ROW()-1,설정!$L$37)&amp;""="0","",INDEX(원자료_시장!$A$1:$BZ$1000,설정!$L$6+ROW()-1,설정!$L$37)),"")</f>
        <v>0</v>
      </c>
      <c r="C449" s="83" t="n">
        <f aca="false">IFERROR(IF(INDEX(원자료_시장!$A$1:$BZ$1000,설정!$L$6+ROW()-1,설정!$L$25)&amp;""="0","",INDEX(원자료_시장!$A$1:$BZ$1000,설정!$L$6+ROW()-1,설정!$L$25)),"")</f>
        <v>0</v>
      </c>
      <c r="D449" s="85" t="str">
        <f aca="false">IFERROR(IF(ISNUMBER(INDEX(원자료_시장!$A$1:$BZ$1000,설정!$L$6+ROW()-1,설정!$L$26)),INDEX(원자료_시장!$A$1:$BZ$1000,설정!$L$6+ROW()-1,설정!$L$26),""),"")</f>
        <v/>
      </c>
      <c r="E449" s="97" t="str">
        <f aca="false">IFERROR(IF(ISNUMBER(INDEX(원자료_시장!$A$1:$BZ$1000,설정!$L$6+ROW()-1,설정!$L$27)),INDEX(원자료_시장!$A$1:$BZ$1000,설정!$L$6+ROW()-1,설정!$L$27),""),"")</f>
        <v/>
      </c>
      <c r="F449" s="97" t="str">
        <f aca="false">IFERROR(IF(ISNUMBER(INDEX(원자료_시장!$A$1:$BZ$1000,설정!$L$6+ROW()-1,설정!$L$28)),INDEX(원자료_시장!$A$1:$BZ$1000,설정!$L$6+ROW()-1,설정!$L$28),""),"")</f>
        <v/>
      </c>
      <c r="G449" s="97" t="str">
        <f aca="false">IFERROR(IF(ISNUMBER(INDEX(원자료_시장!$A$1:$BZ$1000,설정!$L$6+ROW()-1,설정!$L$29)),INDEX(원자료_시장!$A$1:$BZ$1000,설정!$L$6+ROW()-1,설정!$L$29),""),"")</f>
        <v/>
      </c>
      <c r="H449" s="97" t="str">
        <f aca="false">IFERROR(IF(ISNUMBER(INDEX(원자료_시장!$A$1:$BZ$1000,설정!$L$6+ROW()-1,설정!$L$30)),INDEX(원자료_시장!$A$1:$BZ$1000,설정!$L$6+ROW()-1,설정!$L$30),""),"")</f>
        <v/>
      </c>
      <c r="I449" s="97" t="str">
        <f aca="false">IFERROR(IF(ISNUMBER(INDEX(원자료_시장!$A$1:$BZ$1000,설정!$L$6+ROW()-1,설정!$L$31)),INDEX(원자료_시장!$A$1:$BZ$1000,설정!$L$6+ROW()-1,설정!$L$31),""),"")</f>
        <v/>
      </c>
      <c r="J449" s="97" t="str">
        <f aca="false">IFERROR(IF(ISNUMBER(INDEX(원자료_시장!$A$1:$BZ$1000,설정!$L$6+ROW()-1,설정!$L$32)),INDEX(원자료_시장!$A$1:$BZ$1000,설정!$L$6+ROW()-1,설정!$L$32),""),"")</f>
        <v/>
      </c>
      <c r="K449" s="85" t="str">
        <f aca="false">IFERROR(IF(ISNUMBER(INDEX(원자료_시장!$A$1:$BZ$1000,설정!$L$6+ROW()-1,설정!$L$33)),INDEX(원자료_시장!$A$1:$BZ$1000,설정!$L$6+ROW()-1,설정!$L$33),""),"")</f>
        <v/>
      </c>
      <c r="L449" s="83" t="n">
        <f aca="false">IFERROR(IF(INDEX(원자료_시장!$A$1:$BZ$1000,설정!$L$6+ROW()-1,설정!$L$34)&amp;""="0","",INDEX(원자료_시장!$A$1:$BZ$1000,설정!$L$6+ROW()-1,설정!$L$34)),"")</f>
        <v>0</v>
      </c>
      <c r="M449" s="83" t="n">
        <f aca="false">IFERROR(IF(INDEX(원자료_시장!$A$1:$BZ$1000,설정!$L$6+ROW()-1,설정!$L$35)&amp;""="0","",INDEX(원자료_시장!$A$1:$BZ$1000,설정!$L$6+ROW()-1,설정!$L$35)),"")</f>
        <v>0</v>
      </c>
      <c r="N449" s="83" t="n">
        <f aca="false">IFERROR(IF(INDEX(원자료_시장!$A$1:$BZ$1000,설정!$L$6+ROW()-1,설정!$L$36)&amp;""="0","",INDEX(원자료_시장!$A$1:$BZ$1000,설정!$L$6+ROW()-1,설정!$L$36)),"")</f>
        <v>0</v>
      </c>
      <c r="O449" s="43" t="str">
        <f aca="false">IF($A449="","",UPPER(LEFT($A449,FIND(" ",$A449&amp;" ")-1)))</f>
        <v/>
      </c>
      <c r="P449" s="43" t="str">
        <f aca="false">IF($A449="","",TRIM(RIGHT(SUBSTITUTE(TRIM($A449)," ",REPT(" ",30)),30)))</f>
        <v/>
      </c>
      <c r="Q449" s="98" t="str">
        <f aca="false">IF($A449="","",IFERROR(DATE(IF(LEN(P449)=8,2000+VALUE(RIGHT(P449,2)),VALUE(RIGHT(P449,4))),VALUE(LEFT(P449,2)),VALUE(MID(P449,4,2))),""))</f>
        <v/>
      </c>
      <c r="R449" s="89" t="n">
        <f aca="false">IF($A449="",0,IF(ISNUMBER(SEARCH("Float",$A449)),1,0))</f>
        <v>0</v>
      </c>
      <c r="S449" s="43" t="str">
        <f aca="false">IF($A449="","",TRIM(MID($A449,LEN(O449)+2,LEN($A449)-LEN(O449)-LEN(P449)-1)))</f>
        <v/>
      </c>
      <c r="T449" s="92" t="str">
        <f aca="false">IF(OR($A449="",R449=1),"",IFERROR(IF(ISNUMBER(FIND("/",S449)),IF(ISNUMBER(FIND(" ",S449)),VALUE(LEFT(S449,FIND(" ",S449)-1))+VALUE(MID(S449,FIND(" ",S449)+1,FIND("/",S449)-FIND(" ",S449)-1))/VALUE(MID(S449,FIND("/",S449)+1,9)),VALUE(LEFT(S449,FIND("/",S449)-1))/VALUE(MID(S449,FIND("/",S449)+1,9))),VALUE(S449)),""))</f>
        <v/>
      </c>
      <c r="U449" s="43" t="str">
        <f aca="false">IF(OR($A449="",NOT(ISNUMBER(Q449))),"",TEXT(Q449,"yyyymmdd")&amp;"|"&amp;IF(R449=1,"F",TEXT(T449,"0.000")))</f>
        <v/>
      </c>
      <c r="V449" s="43" t="str">
        <f aca="false">IF(U449="","",O449&amp;"|"&amp;U449)</f>
        <v/>
      </c>
      <c r="W449" s="43" t="str">
        <f aca="false">IF($A449="","",IFERROR(IF(VLOOKUP(O449,매핑!$A$4:$E$92,3,0)="","미분류",VLOOKUP(O449,매핑!$A$4:$E$92,3,0)),"미분류"))</f>
        <v/>
      </c>
      <c r="X449" s="89" t="n">
        <f aca="false">IF($A449="",0,IF(O449="T",1,0))</f>
        <v>0</v>
      </c>
      <c r="Y449" s="89" t="n">
        <f aca="false">IF($A449="",0,IF(AND(C449="USD",X449=0,ISNUMBER(E449),ISNUMBER(K449)),IF(K449&gt;=설정!$C$8,1,0),0))</f>
        <v>0</v>
      </c>
      <c r="Z449" s="43" t="str">
        <f aca="false">IF($A449="","",N449&amp;"|"&amp;L449)</f>
        <v/>
      </c>
      <c r="AA449" s="92" t="n">
        <f aca="false">IF(Y449=1,LN(K449),0)</f>
        <v>0</v>
      </c>
      <c r="AB449" s="93" t="n">
        <f aca="false">IF(Y449=1,E449,0)</f>
        <v>0</v>
      </c>
      <c r="AC449" s="89" t="n">
        <f aca="false">IF(Y449=1,COUNTIFS($Z$2:$Z$601,Z449,$Y$2:$Y$601,1),0)</f>
        <v>0</v>
      </c>
      <c r="AD449" s="89" t="n">
        <f aca="false">IF(Y449=1,COUNTIFS($N$2:$N$601,N449,$Y$2:$Y$601,1),0)</f>
        <v>0</v>
      </c>
      <c r="AE449" s="43" t="str">
        <f aca="false">IF(Y449&lt;&gt;1,"",IF(AND(AC449&gt;=설정!$C$7,ISNUMBER(MATCH(Z449,피어커브!$A:$A,0))),Z449,IF(AND(AD449&gt;=설정!$C$7,ISNUMBER(MATCH(N449&amp;"|전체",피어커브!$A:$A,0))),N449&amp;"|전체","전체|전체")))</f>
        <v/>
      </c>
      <c r="AF449" s="93" t="str">
        <f aca="false">IF(AE449="","",INDEX(피어커브!$K:$K,MATCH(AE449,피어커브!$A:$A,0)))</f>
        <v/>
      </c>
      <c r="AG449" s="93" t="str">
        <f aca="false">IF(AE449="","",INDEX(피어커브!$J:$J,MATCH(AE449,피어커브!$A:$A,0)))</f>
        <v/>
      </c>
      <c r="AH449" s="93" t="str">
        <f aca="false">IF(AE449="","",INDEX(피어커브!$L:$L,MATCH(AE449,피어커브!$A:$A,0)))</f>
        <v/>
      </c>
      <c r="AI449" s="93" t="str">
        <f aca="false">IF(AE449="","",AF449+AG449*AA449)</f>
        <v/>
      </c>
      <c r="AJ449" s="96" t="str">
        <f aca="false">IF(AE449="","",E449-AI449)</f>
        <v/>
      </c>
      <c r="AK449" s="95" t="str">
        <f aca="false">IF(AE449="","",IF(ISNUMBER(AH449),IF(AH449&gt;0,AJ449/AH449,""),""))</f>
        <v/>
      </c>
      <c r="AL449" s="43" t="str">
        <f aca="false">IF(AK449="","-",IF(AK449&gt;=설정!$C$6,"Cheap",IF(AK449&lt;=-설정!$C$6,"Rich","Fair")))</f>
        <v>-</v>
      </c>
      <c r="AM449" s="96" t="str">
        <f aca="false">IF(AE449="","",AJ449-AVERAGEIFS($AJ$2:$AJ$601,$B$2:$B$601,B449,$Y$2:$Y$601,1))</f>
        <v/>
      </c>
      <c r="AN449" s="93" t="n">
        <f aca="false">IF(AE449="",0,IF(K449&gt;1+설정!$C$8,AG449*(AA449-LN(K449-1)),0))</f>
        <v>0</v>
      </c>
      <c r="AO449" s="99" t="n">
        <f aca="false">IF($A449="",0,SUMIFS(보유분석!$AA$2:$AA$801,보유분석!$AB$2:$AB$801,ROW(),보유분석!$AC$2:$AC$801,1))</f>
        <v>0</v>
      </c>
      <c r="AP449" s="43" t="str">
        <f aca="false">IF($A449="","",TRIM(IF(R449=1,"FRN ","")&amp;IF(IFERROR(VLOOKUP(M449,설정!$A$15:$D$47,4,0),0)&gt;=10,IF(IFERROR(VLOOKUP(M449,설정!$A$15:$D$47,4,0),0)&lt;99,"BBB0미만 ",""),"")&amp;IF(OR(M449="",M449="NR"),"등급미입력 ","")&amp;IF(C449&lt;&gt;"USD","비USD ","")))</f>
        <v/>
      </c>
      <c r="AQ449" s="90" t="n">
        <f aca="false">IF(AND(Y449=1,AL449="Cheap"),IF(AND(ISERROR(SEARCH("FRN",AP449)),ISERROR(SEARCH("BBB0미만",AP449))),AK449+ROW()/1000000000,-999),-999)</f>
        <v>-999</v>
      </c>
      <c r="AR449" s="92" t="str">
        <f aca="false">IF(AND(ISNUMBER(D449),ISNUMBER(K449)),D449+AN449*MAX(K449-1,0)/100,"")</f>
        <v/>
      </c>
      <c r="AS449" s="93" t="str">
        <f aca="false">IF(AND(ISNUMBER(E449),ISNUMBER(K449)),IF(K449&gt;0,(E449+AN449*MAX(K449-1,0))/K449,""),"")</f>
        <v/>
      </c>
      <c r="AT449" s="90" t="n">
        <f aca="false">IFERROR(IF(AND(Y449=1,ROW()&lt;&gt;스왑분석!$C$12+1,ABS(K449-INDEX($K$2:$K$601,스왑분석!$C$12))&lt;=스왑분석!$C$5,ISERROR(SEARCH("FRN",AP449)),ISERROR(SEARCH("BBB0미만",AP449))),IF(AND(OR(스왑분석!$C$6="N",L449=INDEX($L$2:$L$601,스왑분석!$C$12)),OR(스왑분석!$C$7="N",N449=INDEX($N$2:$N$601,스왑분석!$C$12)),OR(스왑분석!$C$8="N",AO449=0),E449-INDEX($E$2:$E$601,스왑분석!$C$12)&gt;=스왑분석!$C$9),E449-INDEX($E$2:$E$601,스왑분석!$C$12)+ROW()/1000000000,-999),-999),-999)</f>
        <v>-999</v>
      </c>
      <c r="AU449" s="90" t="n">
        <f aca="false">IF(AND(Y449=1,AO449&gt;0,AL449="Rich"),-AK449+ROW()/1000000000,-999)</f>
        <v>-999</v>
      </c>
    </row>
    <row r="450" customFormat="false" ht="15" hidden="false" customHeight="false" outlineLevel="0" collapsed="false">
      <c r="A450" s="83" t="n">
        <f aca="false">IFERROR(IF(INDEX(원자료_시장!$A$1:$BZ$1000,설정!$L$6+ROW()-1,설정!$L$24)&amp;""="0","",INDEX(원자료_시장!$A$1:$BZ$1000,설정!$L$6+ROW()-1,설정!$L$24)),"")</f>
        <v>0</v>
      </c>
      <c r="B450" s="83" t="n">
        <f aca="false">IFERROR(IF(INDEX(원자료_시장!$A$1:$BZ$1000,설정!$L$6+ROW()-1,설정!$L$37)&amp;""="0","",INDEX(원자료_시장!$A$1:$BZ$1000,설정!$L$6+ROW()-1,설정!$L$37)),"")</f>
        <v>0</v>
      </c>
      <c r="C450" s="83" t="n">
        <f aca="false">IFERROR(IF(INDEX(원자료_시장!$A$1:$BZ$1000,설정!$L$6+ROW()-1,설정!$L$25)&amp;""="0","",INDEX(원자료_시장!$A$1:$BZ$1000,설정!$L$6+ROW()-1,설정!$L$25)),"")</f>
        <v>0</v>
      </c>
      <c r="D450" s="85" t="str">
        <f aca="false">IFERROR(IF(ISNUMBER(INDEX(원자료_시장!$A$1:$BZ$1000,설정!$L$6+ROW()-1,설정!$L$26)),INDEX(원자료_시장!$A$1:$BZ$1000,설정!$L$6+ROW()-1,설정!$L$26),""),"")</f>
        <v/>
      </c>
      <c r="E450" s="97" t="str">
        <f aca="false">IFERROR(IF(ISNUMBER(INDEX(원자료_시장!$A$1:$BZ$1000,설정!$L$6+ROW()-1,설정!$L$27)),INDEX(원자료_시장!$A$1:$BZ$1000,설정!$L$6+ROW()-1,설정!$L$27),""),"")</f>
        <v/>
      </c>
      <c r="F450" s="97" t="str">
        <f aca="false">IFERROR(IF(ISNUMBER(INDEX(원자료_시장!$A$1:$BZ$1000,설정!$L$6+ROW()-1,설정!$L$28)),INDEX(원자료_시장!$A$1:$BZ$1000,설정!$L$6+ROW()-1,설정!$L$28),""),"")</f>
        <v/>
      </c>
      <c r="G450" s="97" t="str">
        <f aca="false">IFERROR(IF(ISNUMBER(INDEX(원자료_시장!$A$1:$BZ$1000,설정!$L$6+ROW()-1,설정!$L$29)),INDEX(원자료_시장!$A$1:$BZ$1000,설정!$L$6+ROW()-1,설정!$L$29),""),"")</f>
        <v/>
      </c>
      <c r="H450" s="97" t="str">
        <f aca="false">IFERROR(IF(ISNUMBER(INDEX(원자료_시장!$A$1:$BZ$1000,설정!$L$6+ROW()-1,설정!$L$30)),INDEX(원자료_시장!$A$1:$BZ$1000,설정!$L$6+ROW()-1,설정!$L$30),""),"")</f>
        <v/>
      </c>
      <c r="I450" s="97" t="str">
        <f aca="false">IFERROR(IF(ISNUMBER(INDEX(원자료_시장!$A$1:$BZ$1000,설정!$L$6+ROW()-1,설정!$L$31)),INDEX(원자료_시장!$A$1:$BZ$1000,설정!$L$6+ROW()-1,설정!$L$31),""),"")</f>
        <v/>
      </c>
      <c r="J450" s="97" t="str">
        <f aca="false">IFERROR(IF(ISNUMBER(INDEX(원자료_시장!$A$1:$BZ$1000,설정!$L$6+ROW()-1,설정!$L$32)),INDEX(원자료_시장!$A$1:$BZ$1000,설정!$L$6+ROW()-1,설정!$L$32),""),"")</f>
        <v/>
      </c>
      <c r="K450" s="85" t="str">
        <f aca="false">IFERROR(IF(ISNUMBER(INDEX(원자료_시장!$A$1:$BZ$1000,설정!$L$6+ROW()-1,설정!$L$33)),INDEX(원자료_시장!$A$1:$BZ$1000,설정!$L$6+ROW()-1,설정!$L$33),""),"")</f>
        <v/>
      </c>
      <c r="L450" s="83" t="n">
        <f aca="false">IFERROR(IF(INDEX(원자료_시장!$A$1:$BZ$1000,설정!$L$6+ROW()-1,설정!$L$34)&amp;""="0","",INDEX(원자료_시장!$A$1:$BZ$1000,설정!$L$6+ROW()-1,설정!$L$34)),"")</f>
        <v>0</v>
      </c>
      <c r="M450" s="83" t="n">
        <f aca="false">IFERROR(IF(INDEX(원자료_시장!$A$1:$BZ$1000,설정!$L$6+ROW()-1,설정!$L$35)&amp;""="0","",INDEX(원자료_시장!$A$1:$BZ$1000,설정!$L$6+ROW()-1,설정!$L$35)),"")</f>
        <v>0</v>
      </c>
      <c r="N450" s="83" t="n">
        <f aca="false">IFERROR(IF(INDEX(원자료_시장!$A$1:$BZ$1000,설정!$L$6+ROW()-1,설정!$L$36)&amp;""="0","",INDEX(원자료_시장!$A$1:$BZ$1000,설정!$L$6+ROW()-1,설정!$L$36)),"")</f>
        <v>0</v>
      </c>
      <c r="O450" s="43" t="str">
        <f aca="false">IF($A450="","",UPPER(LEFT($A450,FIND(" ",$A450&amp;" ")-1)))</f>
        <v/>
      </c>
      <c r="P450" s="43" t="str">
        <f aca="false">IF($A450="","",TRIM(RIGHT(SUBSTITUTE(TRIM($A450)," ",REPT(" ",30)),30)))</f>
        <v/>
      </c>
      <c r="Q450" s="98" t="str">
        <f aca="false">IF($A450="","",IFERROR(DATE(IF(LEN(P450)=8,2000+VALUE(RIGHT(P450,2)),VALUE(RIGHT(P450,4))),VALUE(LEFT(P450,2)),VALUE(MID(P450,4,2))),""))</f>
        <v/>
      </c>
      <c r="R450" s="89" t="n">
        <f aca="false">IF($A450="",0,IF(ISNUMBER(SEARCH("Float",$A450)),1,0))</f>
        <v>0</v>
      </c>
      <c r="S450" s="43" t="str">
        <f aca="false">IF($A450="","",TRIM(MID($A450,LEN(O450)+2,LEN($A450)-LEN(O450)-LEN(P450)-1)))</f>
        <v/>
      </c>
      <c r="T450" s="92" t="str">
        <f aca="false">IF(OR($A450="",R450=1),"",IFERROR(IF(ISNUMBER(FIND("/",S450)),IF(ISNUMBER(FIND(" ",S450)),VALUE(LEFT(S450,FIND(" ",S450)-1))+VALUE(MID(S450,FIND(" ",S450)+1,FIND("/",S450)-FIND(" ",S450)-1))/VALUE(MID(S450,FIND("/",S450)+1,9)),VALUE(LEFT(S450,FIND("/",S450)-1))/VALUE(MID(S450,FIND("/",S450)+1,9))),VALUE(S450)),""))</f>
        <v/>
      </c>
      <c r="U450" s="43" t="str">
        <f aca="false">IF(OR($A450="",NOT(ISNUMBER(Q450))),"",TEXT(Q450,"yyyymmdd")&amp;"|"&amp;IF(R450=1,"F",TEXT(T450,"0.000")))</f>
        <v/>
      </c>
      <c r="V450" s="43" t="str">
        <f aca="false">IF(U450="","",O450&amp;"|"&amp;U450)</f>
        <v/>
      </c>
      <c r="W450" s="43" t="str">
        <f aca="false">IF($A450="","",IFERROR(IF(VLOOKUP(O450,매핑!$A$4:$E$92,3,0)="","미분류",VLOOKUP(O450,매핑!$A$4:$E$92,3,0)),"미분류"))</f>
        <v/>
      </c>
      <c r="X450" s="89" t="n">
        <f aca="false">IF($A450="",0,IF(O450="T",1,0))</f>
        <v>0</v>
      </c>
      <c r="Y450" s="89" t="n">
        <f aca="false">IF($A450="",0,IF(AND(C450="USD",X450=0,ISNUMBER(E450),ISNUMBER(K450)),IF(K450&gt;=설정!$C$8,1,0),0))</f>
        <v>0</v>
      </c>
      <c r="Z450" s="43" t="str">
        <f aca="false">IF($A450="","",N450&amp;"|"&amp;L450)</f>
        <v/>
      </c>
      <c r="AA450" s="92" t="n">
        <f aca="false">IF(Y450=1,LN(K450),0)</f>
        <v>0</v>
      </c>
      <c r="AB450" s="93" t="n">
        <f aca="false">IF(Y450=1,E450,0)</f>
        <v>0</v>
      </c>
      <c r="AC450" s="89" t="n">
        <f aca="false">IF(Y450=1,COUNTIFS($Z$2:$Z$601,Z450,$Y$2:$Y$601,1),0)</f>
        <v>0</v>
      </c>
      <c r="AD450" s="89" t="n">
        <f aca="false">IF(Y450=1,COUNTIFS($N$2:$N$601,N450,$Y$2:$Y$601,1),0)</f>
        <v>0</v>
      </c>
      <c r="AE450" s="43" t="str">
        <f aca="false">IF(Y450&lt;&gt;1,"",IF(AND(AC450&gt;=설정!$C$7,ISNUMBER(MATCH(Z450,피어커브!$A:$A,0))),Z450,IF(AND(AD450&gt;=설정!$C$7,ISNUMBER(MATCH(N450&amp;"|전체",피어커브!$A:$A,0))),N450&amp;"|전체","전체|전체")))</f>
        <v/>
      </c>
      <c r="AF450" s="93" t="str">
        <f aca="false">IF(AE450="","",INDEX(피어커브!$K:$K,MATCH(AE450,피어커브!$A:$A,0)))</f>
        <v/>
      </c>
      <c r="AG450" s="93" t="str">
        <f aca="false">IF(AE450="","",INDEX(피어커브!$J:$J,MATCH(AE450,피어커브!$A:$A,0)))</f>
        <v/>
      </c>
      <c r="AH450" s="93" t="str">
        <f aca="false">IF(AE450="","",INDEX(피어커브!$L:$L,MATCH(AE450,피어커브!$A:$A,0)))</f>
        <v/>
      </c>
      <c r="AI450" s="93" t="str">
        <f aca="false">IF(AE450="","",AF450+AG450*AA450)</f>
        <v/>
      </c>
      <c r="AJ450" s="96" t="str">
        <f aca="false">IF(AE450="","",E450-AI450)</f>
        <v/>
      </c>
      <c r="AK450" s="95" t="str">
        <f aca="false">IF(AE450="","",IF(ISNUMBER(AH450),IF(AH450&gt;0,AJ450/AH450,""),""))</f>
        <v/>
      </c>
      <c r="AL450" s="43" t="str">
        <f aca="false">IF(AK450="","-",IF(AK450&gt;=설정!$C$6,"Cheap",IF(AK450&lt;=-설정!$C$6,"Rich","Fair")))</f>
        <v>-</v>
      </c>
      <c r="AM450" s="96" t="str">
        <f aca="false">IF(AE450="","",AJ450-AVERAGEIFS($AJ$2:$AJ$601,$B$2:$B$601,B450,$Y$2:$Y$601,1))</f>
        <v/>
      </c>
      <c r="AN450" s="93" t="n">
        <f aca="false">IF(AE450="",0,IF(K450&gt;1+설정!$C$8,AG450*(AA450-LN(K450-1)),0))</f>
        <v>0</v>
      </c>
      <c r="AO450" s="99" t="n">
        <f aca="false">IF($A450="",0,SUMIFS(보유분석!$AA$2:$AA$801,보유분석!$AB$2:$AB$801,ROW(),보유분석!$AC$2:$AC$801,1))</f>
        <v>0</v>
      </c>
      <c r="AP450" s="43" t="str">
        <f aca="false">IF($A450="","",TRIM(IF(R450=1,"FRN ","")&amp;IF(IFERROR(VLOOKUP(M450,설정!$A$15:$D$47,4,0),0)&gt;=10,IF(IFERROR(VLOOKUP(M450,설정!$A$15:$D$47,4,0),0)&lt;99,"BBB0미만 ",""),"")&amp;IF(OR(M450="",M450="NR"),"등급미입력 ","")&amp;IF(C450&lt;&gt;"USD","비USD ","")))</f>
        <v/>
      </c>
      <c r="AQ450" s="90" t="n">
        <f aca="false">IF(AND(Y450=1,AL450="Cheap"),IF(AND(ISERROR(SEARCH("FRN",AP450)),ISERROR(SEARCH("BBB0미만",AP450))),AK450+ROW()/1000000000,-999),-999)</f>
        <v>-999</v>
      </c>
      <c r="AR450" s="92" t="str">
        <f aca="false">IF(AND(ISNUMBER(D450),ISNUMBER(K450)),D450+AN450*MAX(K450-1,0)/100,"")</f>
        <v/>
      </c>
      <c r="AS450" s="93" t="str">
        <f aca="false">IF(AND(ISNUMBER(E450),ISNUMBER(K450)),IF(K450&gt;0,(E450+AN450*MAX(K450-1,0))/K450,""),"")</f>
        <v/>
      </c>
      <c r="AT450" s="90" t="n">
        <f aca="false">IFERROR(IF(AND(Y450=1,ROW()&lt;&gt;스왑분석!$C$12+1,ABS(K450-INDEX($K$2:$K$601,스왑분석!$C$12))&lt;=스왑분석!$C$5,ISERROR(SEARCH("FRN",AP450)),ISERROR(SEARCH("BBB0미만",AP450))),IF(AND(OR(스왑분석!$C$6="N",L450=INDEX($L$2:$L$601,스왑분석!$C$12)),OR(스왑분석!$C$7="N",N450=INDEX($N$2:$N$601,스왑분석!$C$12)),OR(스왑분석!$C$8="N",AO450=0),E450-INDEX($E$2:$E$601,스왑분석!$C$12)&gt;=스왑분석!$C$9),E450-INDEX($E$2:$E$601,스왑분석!$C$12)+ROW()/1000000000,-999),-999),-999)</f>
        <v>-999</v>
      </c>
      <c r="AU450" s="90" t="n">
        <f aca="false">IF(AND(Y450=1,AO450&gt;0,AL450="Rich"),-AK450+ROW()/1000000000,-999)</f>
        <v>-999</v>
      </c>
    </row>
    <row r="451" customFormat="false" ht="15" hidden="false" customHeight="false" outlineLevel="0" collapsed="false">
      <c r="A451" s="83" t="n">
        <f aca="false">IFERROR(IF(INDEX(원자료_시장!$A$1:$BZ$1000,설정!$L$6+ROW()-1,설정!$L$24)&amp;""="0","",INDEX(원자료_시장!$A$1:$BZ$1000,설정!$L$6+ROW()-1,설정!$L$24)),"")</f>
        <v>0</v>
      </c>
      <c r="B451" s="83" t="n">
        <f aca="false">IFERROR(IF(INDEX(원자료_시장!$A$1:$BZ$1000,설정!$L$6+ROW()-1,설정!$L$37)&amp;""="0","",INDEX(원자료_시장!$A$1:$BZ$1000,설정!$L$6+ROW()-1,설정!$L$37)),"")</f>
        <v>0</v>
      </c>
      <c r="C451" s="83" t="n">
        <f aca="false">IFERROR(IF(INDEX(원자료_시장!$A$1:$BZ$1000,설정!$L$6+ROW()-1,설정!$L$25)&amp;""="0","",INDEX(원자료_시장!$A$1:$BZ$1000,설정!$L$6+ROW()-1,설정!$L$25)),"")</f>
        <v>0</v>
      </c>
      <c r="D451" s="85" t="str">
        <f aca="false">IFERROR(IF(ISNUMBER(INDEX(원자료_시장!$A$1:$BZ$1000,설정!$L$6+ROW()-1,설정!$L$26)),INDEX(원자료_시장!$A$1:$BZ$1000,설정!$L$6+ROW()-1,설정!$L$26),""),"")</f>
        <v/>
      </c>
      <c r="E451" s="97" t="str">
        <f aca="false">IFERROR(IF(ISNUMBER(INDEX(원자료_시장!$A$1:$BZ$1000,설정!$L$6+ROW()-1,설정!$L$27)),INDEX(원자료_시장!$A$1:$BZ$1000,설정!$L$6+ROW()-1,설정!$L$27),""),"")</f>
        <v/>
      </c>
      <c r="F451" s="97" t="str">
        <f aca="false">IFERROR(IF(ISNUMBER(INDEX(원자료_시장!$A$1:$BZ$1000,설정!$L$6+ROW()-1,설정!$L$28)),INDEX(원자료_시장!$A$1:$BZ$1000,설정!$L$6+ROW()-1,설정!$L$28),""),"")</f>
        <v/>
      </c>
      <c r="G451" s="97" t="str">
        <f aca="false">IFERROR(IF(ISNUMBER(INDEX(원자료_시장!$A$1:$BZ$1000,설정!$L$6+ROW()-1,설정!$L$29)),INDEX(원자료_시장!$A$1:$BZ$1000,설정!$L$6+ROW()-1,설정!$L$29),""),"")</f>
        <v/>
      </c>
      <c r="H451" s="97" t="str">
        <f aca="false">IFERROR(IF(ISNUMBER(INDEX(원자료_시장!$A$1:$BZ$1000,설정!$L$6+ROW()-1,설정!$L$30)),INDEX(원자료_시장!$A$1:$BZ$1000,설정!$L$6+ROW()-1,설정!$L$30),""),"")</f>
        <v/>
      </c>
      <c r="I451" s="97" t="str">
        <f aca="false">IFERROR(IF(ISNUMBER(INDEX(원자료_시장!$A$1:$BZ$1000,설정!$L$6+ROW()-1,설정!$L$31)),INDEX(원자료_시장!$A$1:$BZ$1000,설정!$L$6+ROW()-1,설정!$L$31),""),"")</f>
        <v/>
      </c>
      <c r="J451" s="97" t="str">
        <f aca="false">IFERROR(IF(ISNUMBER(INDEX(원자료_시장!$A$1:$BZ$1000,설정!$L$6+ROW()-1,설정!$L$32)),INDEX(원자료_시장!$A$1:$BZ$1000,설정!$L$6+ROW()-1,설정!$L$32),""),"")</f>
        <v/>
      </c>
      <c r="K451" s="85" t="str">
        <f aca="false">IFERROR(IF(ISNUMBER(INDEX(원자료_시장!$A$1:$BZ$1000,설정!$L$6+ROW()-1,설정!$L$33)),INDEX(원자료_시장!$A$1:$BZ$1000,설정!$L$6+ROW()-1,설정!$L$33),""),"")</f>
        <v/>
      </c>
      <c r="L451" s="83" t="n">
        <f aca="false">IFERROR(IF(INDEX(원자료_시장!$A$1:$BZ$1000,설정!$L$6+ROW()-1,설정!$L$34)&amp;""="0","",INDEX(원자료_시장!$A$1:$BZ$1000,설정!$L$6+ROW()-1,설정!$L$34)),"")</f>
        <v>0</v>
      </c>
      <c r="M451" s="83" t="n">
        <f aca="false">IFERROR(IF(INDEX(원자료_시장!$A$1:$BZ$1000,설정!$L$6+ROW()-1,설정!$L$35)&amp;""="0","",INDEX(원자료_시장!$A$1:$BZ$1000,설정!$L$6+ROW()-1,설정!$L$35)),"")</f>
        <v>0</v>
      </c>
      <c r="N451" s="83" t="n">
        <f aca="false">IFERROR(IF(INDEX(원자료_시장!$A$1:$BZ$1000,설정!$L$6+ROW()-1,설정!$L$36)&amp;""="0","",INDEX(원자료_시장!$A$1:$BZ$1000,설정!$L$6+ROW()-1,설정!$L$36)),"")</f>
        <v>0</v>
      </c>
      <c r="O451" s="43" t="str">
        <f aca="false">IF($A451="","",UPPER(LEFT($A451,FIND(" ",$A451&amp;" ")-1)))</f>
        <v/>
      </c>
      <c r="P451" s="43" t="str">
        <f aca="false">IF($A451="","",TRIM(RIGHT(SUBSTITUTE(TRIM($A451)," ",REPT(" ",30)),30)))</f>
        <v/>
      </c>
      <c r="Q451" s="98" t="str">
        <f aca="false">IF($A451="","",IFERROR(DATE(IF(LEN(P451)=8,2000+VALUE(RIGHT(P451,2)),VALUE(RIGHT(P451,4))),VALUE(LEFT(P451,2)),VALUE(MID(P451,4,2))),""))</f>
        <v/>
      </c>
      <c r="R451" s="89" t="n">
        <f aca="false">IF($A451="",0,IF(ISNUMBER(SEARCH("Float",$A451)),1,0))</f>
        <v>0</v>
      </c>
      <c r="S451" s="43" t="str">
        <f aca="false">IF($A451="","",TRIM(MID($A451,LEN(O451)+2,LEN($A451)-LEN(O451)-LEN(P451)-1)))</f>
        <v/>
      </c>
      <c r="T451" s="92" t="str">
        <f aca="false">IF(OR($A451="",R451=1),"",IFERROR(IF(ISNUMBER(FIND("/",S451)),IF(ISNUMBER(FIND(" ",S451)),VALUE(LEFT(S451,FIND(" ",S451)-1))+VALUE(MID(S451,FIND(" ",S451)+1,FIND("/",S451)-FIND(" ",S451)-1))/VALUE(MID(S451,FIND("/",S451)+1,9)),VALUE(LEFT(S451,FIND("/",S451)-1))/VALUE(MID(S451,FIND("/",S451)+1,9))),VALUE(S451)),""))</f>
        <v/>
      </c>
      <c r="U451" s="43" t="str">
        <f aca="false">IF(OR($A451="",NOT(ISNUMBER(Q451))),"",TEXT(Q451,"yyyymmdd")&amp;"|"&amp;IF(R451=1,"F",TEXT(T451,"0.000")))</f>
        <v/>
      </c>
      <c r="V451" s="43" t="str">
        <f aca="false">IF(U451="","",O451&amp;"|"&amp;U451)</f>
        <v/>
      </c>
      <c r="W451" s="43" t="str">
        <f aca="false">IF($A451="","",IFERROR(IF(VLOOKUP(O451,매핑!$A$4:$E$92,3,0)="","미분류",VLOOKUP(O451,매핑!$A$4:$E$92,3,0)),"미분류"))</f>
        <v/>
      </c>
      <c r="X451" s="89" t="n">
        <f aca="false">IF($A451="",0,IF(O451="T",1,0))</f>
        <v>0</v>
      </c>
      <c r="Y451" s="89" t="n">
        <f aca="false">IF($A451="",0,IF(AND(C451="USD",X451=0,ISNUMBER(E451),ISNUMBER(K451)),IF(K451&gt;=설정!$C$8,1,0),0))</f>
        <v>0</v>
      </c>
      <c r="Z451" s="43" t="str">
        <f aca="false">IF($A451="","",N451&amp;"|"&amp;L451)</f>
        <v/>
      </c>
      <c r="AA451" s="92" t="n">
        <f aca="false">IF(Y451=1,LN(K451),0)</f>
        <v>0</v>
      </c>
      <c r="AB451" s="93" t="n">
        <f aca="false">IF(Y451=1,E451,0)</f>
        <v>0</v>
      </c>
      <c r="AC451" s="89" t="n">
        <f aca="false">IF(Y451=1,COUNTIFS($Z$2:$Z$601,Z451,$Y$2:$Y$601,1),0)</f>
        <v>0</v>
      </c>
      <c r="AD451" s="89" t="n">
        <f aca="false">IF(Y451=1,COUNTIFS($N$2:$N$601,N451,$Y$2:$Y$601,1),0)</f>
        <v>0</v>
      </c>
      <c r="AE451" s="43" t="str">
        <f aca="false">IF(Y451&lt;&gt;1,"",IF(AND(AC451&gt;=설정!$C$7,ISNUMBER(MATCH(Z451,피어커브!$A:$A,0))),Z451,IF(AND(AD451&gt;=설정!$C$7,ISNUMBER(MATCH(N451&amp;"|전체",피어커브!$A:$A,0))),N451&amp;"|전체","전체|전체")))</f>
        <v/>
      </c>
      <c r="AF451" s="93" t="str">
        <f aca="false">IF(AE451="","",INDEX(피어커브!$K:$K,MATCH(AE451,피어커브!$A:$A,0)))</f>
        <v/>
      </c>
      <c r="AG451" s="93" t="str">
        <f aca="false">IF(AE451="","",INDEX(피어커브!$J:$J,MATCH(AE451,피어커브!$A:$A,0)))</f>
        <v/>
      </c>
      <c r="AH451" s="93" t="str">
        <f aca="false">IF(AE451="","",INDEX(피어커브!$L:$L,MATCH(AE451,피어커브!$A:$A,0)))</f>
        <v/>
      </c>
      <c r="AI451" s="93" t="str">
        <f aca="false">IF(AE451="","",AF451+AG451*AA451)</f>
        <v/>
      </c>
      <c r="AJ451" s="96" t="str">
        <f aca="false">IF(AE451="","",E451-AI451)</f>
        <v/>
      </c>
      <c r="AK451" s="95" t="str">
        <f aca="false">IF(AE451="","",IF(ISNUMBER(AH451),IF(AH451&gt;0,AJ451/AH451,""),""))</f>
        <v/>
      </c>
      <c r="AL451" s="43" t="str">
        <f aca="false">IF(AK451="","-",IF(AK451&gt;=설정!$C$6,"Cheap",IF(AK451&lt;=-설정!$C$6,"Rich","Fair")))</f>
        <v>-</v>
      </c>
      <c r="AM451" s="96" t="str">
        <f aca="false">IF(AE451="","",AJ451-AVERAGEIFS($AJ$2:$AJ$601,$B$2:$B$601,B451,$Y$2:$Y$601,1))</f>
        <v/>
      </c>
      <c r="AN451" s="93" t="n">
        <f aca="false">IF(AE451="",0,IF(K451&gt;1+설정!$C$8,AG451*(AA451-LN(K451-1)),0))</f>
        <v>0</v>
      </c>
      <c r="AO451" s="99" t="n">
        <f aca="false">IF($A451="",0,SUMIFS(보유분석!$AA$2:$AA$801,보유분석!$AB$2:$AB$801,ROW(),보유분석!$AC$2:$AC$801,1))</f>
        <v>0</v>
      </c>
      <c r="AP451" s="43" t="str">
        <f aca="false">IF($A451="","",TRIM(IF(R451=1,"FRN ","")&amp;IF(IFERROR(VLOOKUP(M451,설정!$A$15:$D$47,4,0),0)&gt;=10,IF(IFERROR(VLOOKUP(M451,설정!$A$15:$D$47,4,0),0)&lt;99,"BBB0미만 ",""),"")&amp;IF(OR(M451="",M451="NR"),"등급미입력 ","")&amp;IF(C451&lt;&gt;"USD","비USD ","")))</f>
        <v/>
      </c>
      <c r="AQ451" s="90" t="n">
        <f aca="false">IF(AND(Y451=1,AL451="Cheap"),IF(AND(ISERROR(SEARCH("FRN",AP451)),ISERROR(SEARCH("BBB0미만",AP451))),AK451+ROW()/1000000000,-999),-999)</f>
        <v>-999</v>
      </c>
      <c r="AR451" s="92" t="str">
        <f aca="false">IF(AND(ISNUMBER(D451),ISNUMBER(K451)),D451+AN451*MAX(K451-1,0)/100,"")</f>
        <v/>
      </c>
      <c r="AS451" s="93" t="str">
        <f aca="false">IF(AND(ISNUMBER(E451),ISNUMBER(K451)),IF(K451&gt;0,(E451+AN451*MAX(K451-1,0))/K451,""),"")</f>
        <v/>
      </c>
      <c r="AT451" s="90" t="n">
        <f aca="false">IFERROR(IF(AND(Y451=1,ROW()&lt;&gt;스왑분석!$C$12+1,ABS(K451-INDEX($K$2:$K$601,스왑분석!$C$12))&lt;=스왑분석!$C$5,ISERROR(SEARCH("FRN",AP451)),ISERROR(SEARCH("BBB0미만",AP451))),IF(AND(OR(스왑분석!$C$6="N",L451=INDEX($L$2:$L$601,스왑분석!$C$12)),OR(스왑분석!$C$7="N",N451=INDEX($N$2:$N$601,스왑분석!$C$12)),OR(스왑분석!$C$8="N",AO451=0),E451-INDEX($E$2:$E$601,스왑분석!$C$12)&gt;=스왑분석!$C$9),E451-INDEX($E$2:$E$601,스왑분석!$C$12)+ROW()/1000000000,-999),-999),-999)</f>
        <v>-999</v>
      </c>
      <c r="AU451" s="90" t="n">
        <f aca="false">IF(AND(Y451=1,AO451&gt;0,AL451="Rich"),-AK451+ROW()/1000000000,-999)</f>
        <v>-999</v>
      </c>
    </row>
    <row r="452" customFormat="false" ht="15" hidden="false" customHeight="false" outlineLevel="0" collapsed="false">
      <c r="A452" s="83" t="n">
        <f aca="false">IFERROR(IF(INDEX(원자료_시장!$A$1:$BZ$1000,설정!$L$6+ROW()-1,설정!$L$24)&amp;""="0","",INDEX(원자료_시장!$A$1:$BZ$1000,설정!$L$6+ROW()-1,설정!$L$24)),"")</f>
        <v>0</v>
      </c>
      <c r="B452" s="83" t="n">
        <f aca="false">IFERROR(IF(INDEX(원자료_시장!$A$1:$BZ$1000,설정!$L$6+ROW()-1,설정!$L$37)&amp;""="0","",INDEX(원자료_시장!$A$1:$BZ$1000,설정!$L$6+ROW()-1,설정!$L$37)),"")</f>
        <v>0</v>
      </c>
      <c r="C452" s="83" t="n">
        <f aca="false">IFERROR(IF(INDEX(원자료_시장!$A$1:$BZ$1000,설정!$L$6+ROW()-1,설정!$L$25)&amp;""="0","",INDEX(원자료_시장!$A$1:$BZ$1000,설정!$L$6+ROW()-1,설정!$L$25)),"")</f>
        <v>0</v>
      </c>
      <c r="D452" s="85" t="str">
        <f aca="false">IFERROR(IF(ISNUMBER(INDEX(원자료_시장!$A$1:$BZ$1000,설정!$L$6+ROW()-1,설정!$L$26)),INDEX(원자료_시장!$A$1:$BZ$1000,설정!$L$6+ROW()-1,설정!$L$26),""),"")</f>
        <v/>
      </c>
      <c r="E452" s="97" t="str">
        <f aca="false">IFERROR(IF(ISNUMBER(INDEX(원자료_시장!$A$1:$BZ$1000,설정!$L$6+ROW()-1,설정!$L$27)),INDEX(원자료_시장!$A$1:$BZ$1000,설정!$L$6+ROW()-1,설정!$L$27),""),"")</f>
        <v/>
      </c>
      <c r="F452" s="97" t="str">
        <f aca="false">IFERROR(IF(ISNUMBER(INDEX(원자료_시장!$A$1:$BZ$1000,설정!$L$6+ROW()-1,설정!$L$28)),INDEX(원자료_시장!$A$1:$BZ$1000,설정!$L$6+ROW()-1,설정!$L$28),""),"")</f>
        <v/>
      </c>
      <c r="G452" s="97" t="str">
        <f aca="false">IFERROR(IF(ISNUMBER(INDEX(원자료_시장!$A$1:$BZ$1000,설정!$L$6+ROW()-1,설정!$L$29)),INDEX(원자료_시장!$A$1:$BZ$1000,설정!$L$6+ROW()-1,설정!$L$29),""),"")</f>
        <v/>
      </c>
      <c r="H452" s="97" t="str">
        <f aca="false">IFERROR(IF(ISNUMBER(INDEX(원자료_시장!$A$1:$BZ$1000,설정!$L$6+ROW()-1,설정!$L$30)),INDEX(원자료_시장!$A$1:$BZ$1000,설정!$L$6+ROW()-1,설정!$L$30),""),"")</f>
        <v/>
      </c>
      <c r="I452" s="97" t="str">
        <f aca="false">IFERROR(IF(ISNUMBER(INDEX(원자료_시장!$A$1:$BZ$1000,설정!$L$6+ROW()-1,설정!$L$31)),INDEX(원자료_시장!$A$1:$BZ$1000,설정!$L$6+ROW()-1,설정!$L$31),""),"")</f>
        <v/>
      </c>
      <c r="J452" s="97" t="str">
        <f aca="false">IFERROR(IF(ISNUMBER(INDEX(원자료_시장!$A$1:$BZ$1000,설정!$L$6+ROW()-1,설정!$L$32)),INDEX(원자료_시장!$A$1:$BZ$1000,설정!$L$6+ROW()-1,설정!$L$32),""),"")</f>
        <v/>
      </c>
      <c r="K452" s="85" t="str">
        <f aca="false">IFERROR(IF(ISNUMBER(INDEX(원자료_시장!$A$1:$BZ$1000,설정!$L$6+ROW()-1,설정!$L$33)),INDEX(원자료_시장!$A$1:$BZ$1000,설정!$L$6+ROW()-1,설정!$L$33),""),"")</f>
        <v/>
      </c>
      <c r="L452" s="83" t="n">
        <f aca="false">IFERROR(IF(INDEX(원자료_시장!$A$1:$BZ$1000,설정!$L$6+ROW()-1,설정!$L$34)&amp;""="0","",INDEX(원자료_시장!$A$1:$BZ$1000,설정!$L$6+ROW()-1,설정!$L$34)),"")</f>
        <v>0</v>
      </c>
      <c r="M452" s="83" t="n">
        <f aca="false">IFERROR(IF(INDEX(원자료_시장!$A$1:$BZ$1000,설정!$L$6+ROW()-1,설정!$L$35)&amp;""="0","",INDEX(원자료_시장!$A$1:$BZ$1000,설정!$L$6+ROW()-1,설정!$L$35)),"")</f>
        <v>0</v>
      </c>
      <c r="N452" s="83" t="n">
        <f aca="false">IFERROR(IF(INDEX(원자료_시장!$A$1:$BZ$1000,설정!$L$6+ROW()-1,설정!$L$36)&amp;""="0","",INDEX(원자료_시장!$A$1:$BZ$1000,설정!$L$6+ROW()-1,설정!$L$36)),"")</f>
        <v>0</v>
      </c>
      <c r="O452" s="43" t="str">
        <f aca="false">IF($A452="","",UPPER(LEFT($A452,FIND(" ",$A452&amp;" ")-1)))</f>
        <v/>
      </c>
      <c r="P452" s="43" t="str">
        <f aca="false">IF($A452="","",TRIM(RIGHT(SUBSTITUTE(TRIM($A452)," ",REPT(" ",30)),30)))</f>
        <v/>
      </c>
      <c r="Q452" s="98" t="str">
        <f aca="false">IF($A452="","",IFERROR(DATE(IF(LEN(P452)=8,2000+VALUE(RIGHT(P452,2)),VALUE(RIGHT(P452,4))),VALUE(LEFT(P452,2)),VALUE(MID(P452,4,2))),""))</f>
        <v/>
      </c>
      <c r="R452" s="89" t="n">
        <f aca="false">IF($A452="",0,IF(ISNUMBER(SEARCH("Float",$A452)),1,0))</f>
        <v>0</v>
      </c>
      <c r="S452" s="43" t="str">
        <f aca="false">IF($A452="","",TRIM(MID($A452,LEN(O452)+2,LEN($A452)-LEN(O452)-LEN(P452)-1)))</f>
        <v/>
      </c>
      <c r="T452" s="92" t="str">
        <f aca="false">IF(OR($A452="",R452=1),"",IFERROR(IF(ISNUMBER(FIND("/",S452)),IF(ISNUMBER(FIND(" ",S452)),VALUE(LEFT(S452,FIND(" ",S452)-1))+VALUE(MID(S452,FIND(" ",S452)+1,FIND("/",S452)-FIND(" ",S452)-1))/VALUE(MID(S452,FIND("/",S452)+1,9)),VALUE(LEFT(S452,FIND("/",S452)-1))/VALUE(MID(S452,FIND("/",S452)+1,9))),VALUE(S452)),""))</f>
        <v/>
      </c>
      <c r="U452" s="43" t="str">
        <f aca="false">IF(OR($A452="",NOT(ISNUMBER(Q452))),"",TEXT(Q452,"yyyymmdd")&amp;"|"&amp;IF(R452=1,"F",TEXT(T452,"0.000")))</f>
        <v/>
      </c>
      <c r="V452" s="43" t="str">
        <f aca="false">IF(U452="","",O452&amp;"|"&amp;U452)</f>
        <v/>
      </c>
      <c r="W452" s="43" t="str">
        <f aca="false">IF($A452="","",IFERROR(IF(VLOOKUP(O452,매핑!$A$4:$E$92,3,0)="","미분류",VLOOKUP(O452,매핑!$A$4:$E$92,3,0)),"미분류"))</f>
        <v/>
      </c>
      <c r="X452" s="89" t="n">
        <f aca="false">IF($A452="",0,IF(O452="T",1,0))</f>
        <v>0</v>
      </c>
      <c r="Y452" s="89" t="n">
        <f aca="false">IF($A452="",0,IF(AND(C452="USD",X452=0,ISNUMBER(E452),ISNUMBER(K452)),IF(K452&gt;=설정!$C$8,1,0),0))</f>
        <v>0</v>
      </c>
      <c r="Z452" s="43" t="str">
        <f aca="false">IF($A452="","",N452&amp;"|"&amp;L452)</f>
        <v/>
      </c>
      <c r="AA452" s="92" t="n">
        <f aca="false">IF(Y452=1,LN(K452),0)</f>
        <v>0</v>
      </c>
      <c r="AB452" s="93" t="n">
        <f aca="false">IF(Y452=1,E452,0)</f>
        <v>0</v>
      </c>
      <c r="AC452" s="89" t="n">
        <f aca="false">IF(Y452=1,COUNTIFS($Z$2:$Z$601,Z452,$Y$2:$Y$601,1),0)</f>
        <v>0</v>
      </c>
      <c r="AD452" s="89" t="n">
        <f aca="false">IF(Y452=1,COUNTIFS($N$2:$N$601,N452,$Y$2:$Y$601,1),0)</f>
        <v>0</v>
      </c>
      <c r="AE452" s="43" t="str">
        <f aca="false">IF(Y452&lt;&gt;1,"",IF(AND(AC452&gt;=설정!$C$7,ISNUMBER(MATCH(Z452,피어커브!$A:$A,0))),Z452,IF(AND(AD452&gt;=설정!$C$7,ISNUMBER(MATCH(N452&amp;"|전체",피어커브!$A:$A,0))),N452&amp;"|전체","전체|전체")))</f>
        <v/>
      </c>
      <c r="AF452" s="93" t="str">
        <f aca="false">IF(AE452="","",INDEX(피어커브!$K:$K,MATCH(AE452,피어커브!$A:$A,0)))</f>
        <v/>
      </c>
      <c r="AG452" s="93" t="str">
        <f aca="false">IF(AE452="","",INDEX(피어커브!$J:$J,MATCH(AE452,피어커브!$A:$A,0)))</f>
        <v/>
      </c>
      <c r="AH452" s="93" t="str">
        <f aca="false">IF(AE452="","",INDEX(피어커브!$L:$L,MATCH(AE452,피어커브!$A:$A,0)))</f>
        <v/>
      </c>
      <c r="AI452" s="93" t="str">
        <f aca="false">IF(AE452="","",AF452+AG452*AA452)</f>
        <v/>
      </c>
      <c r="AJ452" s="96" t="str">
        <f aca="false">IF(AE452="","",E452-AI452)</f>
        <v/>
      </c>
      <c r="AK452" s="95" t="str">
        <f aca="false">IF(AE452="","",IF(ISNUMBER(AH452),IF(AH452&gt;0,AJ452/AH452,""),""))</f>
        <v/>
      </c>
      <c r="AL452" s="43" t="str">
        <f aca="false">IF(AK452="","-",IF(AK452&gt;=설정!$C$6,"Cheap",IF(AK452&lt;=-설정!$C$6,"Rich","Fair")))</f>
        <v>-</v>
      </c>
      <c r="AM452" s="96" t="str">
        <f aca="false">IF(AE452="","",AJ452-AVERAGEIFS($AJ$2:$AJ$601,$B$2:$B$601,B452,$Y$2:$Y$601,1))</f>
        <v/>
      </c>
      <c r="AN452" s="93" t="n">
        <f aca="false">IF(AE452="",0,IF(K452&gt;1+설정!$C$8,AG452*(AA452-LN(K452-1)),0))</f>
        <v>0</v>
      </c>
      <c r="AO452" s="99" t="n">
        <f aca="false">IF($A452="",0,SUMIFS(보유분석!$AA$2:$AA$801,보유분석!$AB$2:$AB$801,ROW(),보유분석!$AC$2:$AC$801,1))</f>
        <v>0</v>
      </c>
      <c r="AP452" s="43" t="str">
        <f aca="false">IF($A452="","",TRIM(IF(R452=1,"FRN ","")&amp;IF(IFERROR(VLOOKUP(M452,설정!$A$15:$D$47,4,0),0)&gt;=10,IF(IFERROR(VLOOKUP(M452,설정!$A$15:$D$47,4,0),0)&lt;99,"BBB0미만 ",""),"")&amp;IF(OR(M452="",M452="NR"),"등급미입력 ","")&amp;IF(C452&lt;&gt;"USD","비USD ","")))</f>
        <v/>
      </c>
      <c r="AQ452" s="90" t="n">
        <f aca="false">IF(AND(Y452=1,AL452="Cheap"),IF(AND(ISERROR(SEARCH("FRN",AP452)),ISERROR(SEARCH("BBB0미만",AP452))),AK452+ROW()/1000000000,-999),-999)</f>
        <v>-999</v>
      </c>
      <c r="AR452" s="92" t="str">
        <f aca="false">IF(AND(ISNUMBER(D452),ISNUMBER(K452)),D452+AN452*MAX(K452-1,0)/100,"")</f>
        <v/>
      </c>
      <c r="AS452" s="93" t="str">
        <f aca="false">IF(AND(ISNUMBER(E452),ISNUMBER(K452)),IF(K452&gt;0,(E452+AN452*MAX(K452-1,0))/K452,""),"")</f>
        <v/>
      </c>
      <c r="AT452" s="90" t="n">
        <f aca="false">IFERROR(IF(AND(Y452=1,ROW()&lt;&gt;스왑분석!$C$12+1,ABS(K452-INDEX($K$2:$K$601,스왑분석!$C$12))&lt;=스왑분석!$C$5,ISERROR(SEARCH("FRN",AP452)),ISERROR(SEARCH("BBB0미만",AP452))),IF(AND(OR(스왑분석!$C$6="N",L452=INDEX($L$2:$L$601,스왑분석!$C$12)),OR(스왑분석!$C$7="N",N452=INDEX($N$2:$N$601,스왑분석!$C$12)),OR(스왑분석!$C$8="N",AO452=0),E452-INDEX($E$2:$E$601,스왑분석!$C$12)&gt;=스왑분석!$C$9),E452-INDEX($E$2:$E$601,스왑분석!$C$12)+ROW()/1000000000,-999),-999),-999)</f>
        <v>-999</v>
      </c>
      <c r="AU452" s="90" t="n">
        <f aca="false">IF(AND(Y452=1,AO452&gt;0,AL452="Rich"),-AK452+ROW()/1000000000,-999)</f>
        <v>-999</v>
      </c>
    </row>
    <row r="453" customFormat="false" ht="15" hidden="false" customHeight="false" outlineLevel="0" collapsed="false">
      <c r="A453" s="83" t="n">
        <f aca="false">IFERROR(IF(INDEX(원자료_시장!$A$1:$BZ$1000,설정!$L$6+ROW()-1,설정!$L$24)&amp;""="0","",INDEX(원자료_시장!$A$1:$BZ$1000,설정!$L$6+ROW()-1,설정!$L$24)),"")</f>
        <v>0</v>
      </c>
      <c r="B453" s="83" t="n">
        <f aca="false">IFERROR(IF(INDEX(원자료_시장!$A$1:$BZ$1000,설정!$L$6+ROW()-1,설정!$L$37)&amp;""="0","",INDEX(원자료_시장!$A$1:$BZ$1000,설정!$L$6+ROW()-1,설정!$L$37)),"")</f>
        <v>0</v>
      </c>
      <c r="C453" s="83" t="n">
        <f aca="false">IFERROR(IF(INDEX(원자료_시장!$A$1:$BZ$1000,설정!$L$6+ROW()-1,설정!$L$25)&amp;""="0","",INDEX(원자료_시장!$A$1:$BZ$1000,설정!$L$6+ROW()-1,설정!$L$25)),"")</f>
        <v>0</v>
      </c>
      <c r="D453" s="85" t="str">
        <f aca="false">IFERROR(IF(ISNUMBER(INDEX(원자료_시장!$A$1:$BZ$1000,설정!$L$6+ROW()-1,설정!$L$26)),INDEX(원자료_시장!$A$1:$BZ$1000,설정!$L$6+ROW()-1,설정!$L$26),""),"")</f>
        <v/>
      </c>
      <c r="E453" s="97" t="str">
        <f aca="false">IFERROR(IF(ISNUMBER(INDEX(원자료_시장!$A$1:$BZ$1000,설정!$L$6+ROW()-1,설정!$L$27)),INDEX(원자료_시장!$A$1:$BZ$1000,설정!$L$6+ROW()-1,설정!$L$27),""),"")</f>
        <v/>
      </c>
      <c r="F453" s="97" t="str">
        <f aca="false">IFERROR(IF(ISNUMBER(INDEX(원자료_시장!$A$1:$BZ$1000,설정!$L$6+ROW()-1,설정!$L$28)),INDEX(원자료_시장!$A$1:$BZ$1000,설정!$L$6+ROW()-1,설정!$L$28),""),"")</f>
        <v/>
      </c>
      <c r="G453" s="97" t="str">
        <f aca="false">IFERROR(IF(ISNUMBER(INDEX(원자료_시장!$A$1:$BZ$1000,설정!$L$6+ROW()-1,설정!$L$29)),INDEX(원자료_시장!$A$1:$BZ$1000,설정!$L$6+ROW()-1,설정!$L$29),""),"")</f>
        <v/>
      </c>
      <c r="H453" s="97" t="str">
        <f aca="false">IFERROR(IF(ISNUMBER(INDEX(원자료_시장!$A$1:$BZ$1000,설정!$L$6+ROW()-1,설정!$L$30)),INDEX(원자료_시장!$A$1:$BZ$1000,설정!$L$6+ROW()-1,설정!$L$30),""),"")</f>
        <v/>
      </c>
      <c r="I453" s="97" t="str">
        <f aca="false">IFERROR(IF(ISNUMBER(INDEX(원자료_시장!$A$1:$BZ$1000,설정!$L$6+ROW()-1,설정!$L$31)),INDEX(원자료_시장!$A$1:$BZ$1000,설정!$L$6+ROW()-1,설정!$L$31),""),"")</f>
        <v/>
      </c>
      <c r="J453" s="97" t="str">
        <f aca="false">IFERROR(IF(ISNUMBER(INDEX(원자료_시장!$A$1:$BZ$1000,설정!$L$6+ROW()-1,설정!$L$32)),INDEX(원자료_시장!$A$1:$BZ$1000,설정!$L$6+ROW()-1,설정!$L$32),""),"")</f>
        <v/>
      </c>
      <c r="K453" s="85" t="str">
        <f aca="false">IFERROR(IF(ISNUMBER(INDEX(원자료_시장!$A$1:$BZ$1000,설정!$L$6+ROW()-1,설정!$L$33)),INDEX(원자료_시장!$A$1:$BZ$1000,설정!$L$6+ROW()-1,설정!$L$33),""),"")</f>
        <v/>
      </c>
      <c r="L453" s="83" t="n">
        <f aca="false">IFERROR(IF(INDEX(원자료_시장!$A$1:$BZ$1000,설정!$L$6+ROW()-1,설정!$L$34)&amp;""="0","",INDEX(원자료_시장!$A$1:$BZ$1000,설정!$L$6+ROW()-1,설정!$L$34)),"")</f>
        <v>0</v>
      </c>
      <c r="M453" s="83" t="n">
        <f aca="false">IFERROR(IF(INDEX(원자료_시장!$A$1:$BZ$1000,설정!$L$6+ROW()-1,설정!$L$35)&amp;""="0","",INDEX(원자료_시장!$A$1:$BZ$1000,설정!$L$6+ROW()-1,설정!$L$35)),"")</f>
        <v>0</v>
      </c>
      <c r="N453" s="83" t="n">
        <f aca="false">IFERROR(IF(INDEX(원자료_시장!$A$1:$BZ$1000,설정!$L$6+ROW()-1,설정!$L$36)&amp;""="0","",INDEX(원자료_시장!$A$1:$BZ$1000,설정!$L$6+ROW()-1,설정!$L$36)),"")</f>
        <v>0</v>
      </c>
      <c r="O453" s="43" t="str">
        <f aca="false">IF($A453="","",UPPER(LEFT($A453,FIND(" ",$A453&amp;" ")-1)))</f>
        <v/>
      </c>
      <c r="P453" s="43" t="str">
        <f aca="false">IF($A453="","",TRIM(RIGHT(SUBSTITUTE(TRIM($A453)," ",REPT(" ",30)),30)))</f>
        <v/>
      </c>
      <c r="Q453" s="98" t="str">
        <f aca="false">IF($A453="","",IFERROR(DATE(IF(LEN(P453)=8,2000+VALUE(RIGHT(P453,2)),VALUE(RIGHT(P453,4))),VALUE(LEFT(P453,2)),VALUE(MID(P453,4,2))),""))</f>
        <v/>
      </c>
      <c r="R453" s="89" t="n">
        <f aca="false">IF($A453="",0,IF(ISNUMBER(SEARCH("Float",$A453)),1,0))</f>
        <v>0</v>
      </c>
      <c r="S453" s="43" t="str">
        <f aca="false">IF($A453="","",TRIM(MID($A453,LEN(O453)+2,LEN($A453)-LEN(O453)-LEN(P453)-1)))</f>
        <v/>
      </c>
      <c r="T453" s="92" t="str">
        <f aca="false">IF(OR($A453="",R453=1),"",IFERROR(IF(ISNUMBER(FIND("/",S453)),IF(ISNUMBER(FIND(" ",S453)),VALUE(LEFT(S453,FIND(" ",S453)-1))+VALUE(MID(S453,FIND(" ",S453)+1,FIND("/",S453)-FIND(" ",S453)-1))/VALUE(MID(S453,FIND("/",S453)+1,9)),VALUE(LEFT(S453,FIND("/",S453)-1))/VALUE(MID(S453,FIND("/",S453)+1,9))),VALUE(S453)),""))</f>
        <v/>
      </c>
      <c r="U453" s="43" t="str">
        <f aca="false">IF(OR($A453="",NOT(ISNUMBER(Q453))),"",TEXT(Q453,"yyyymmdd")&amp;"|"&amp;IF(R453=1,"F",TEXT(T453,"0.000")))</f>
        <v/>
      </c>
      <c r="V453" s="43" t="str">
        <f aca="false">IF(U453="","",O453&amp;"|"&amp;U453)</f>
        <v/>
      </c>
      <c r="W453" s="43" t="str">
        <f aca="false">IF($A453="","",IFERROR(IF(VLOOKUP(O453,매핑!$A$4:$E$92,3,0)="","미분류",VLOOKUP(O453,매핑!$A$4:$E$92,3,0)),"미분류"))</f>
        <v/>
      </c>
      <c r="X453" s="89" t="n">
        <f aca="false">IF($A453="",0,IF(O453="T",1,0))</f>
        <v>0</v>
      </c>
      <c r="Y453" s="89" t="n">
        <f aca="false">IF($A453="",0,IF(AND(C453="USD",X453=0,ISNUMBER(E453),ISNUMBER(K453)),IF(K453&gt;=설정!$C$8,1,0),0))</f>
        <v>0</v>
      </c>
      <c r="Z453" s="43" t="str">
        <f aca="false">IF($A453="","",N453&amp;"|"&amp;L453)</f>
        <v/>
      </c>
      <c r="AA453" s="92" t="n">
        <f aca="false">IF(Y453=1,LN(K453),0)</f>
        <v>0</v>
      </c>
      <c r="AB453" s="93" t="n">
        <f aca="false">IF(Y453=1,E453,0)</f>
        <v>0</v>
      </c>
      <c r="AC453" s="89" t="n">
        <f aca="false">IF(Y453=1,COUNTIFS($Z$2:$Z$601,Z453,$Y$2:$Y$601,1),0)</f>
        <v>0</v>
      </c>
      <c r="AD453" s="89" t="n">
        <f aca="false">IF(Y453=1,COUNTIFS($N$2:$N$601,N453,$Y$2:$Y$601,1),0)</f>
        <v>0</v>
      </c>
      <c r="AE453" s="43" t="str">
        <f aca="false">IF(Y453&lt;&gt;1,"",IF(AND(AC453&gt;=설정!$C$7,ISNUMBER(MATCH(Z453,피어커브!$A:$A,0))),Z453,IF(AND(AD453&gt;=설정!$C$7,ISNUMBER(MATCH(N453&amp;"|전체",피어커브!$A:$A,0))),N453&amp;"|전체","전체|전체")))</f>
        <v/>
      </c>
      <c r="AF453" s="93" t="str">
        <f aca="false">IF(AE453="","",INDEX(피어커브!$K:$K,MATCH(AE453,피어커브!$A:$A,0)))</f>
        <v/>
      </c>
      <c r="AG453" s="93" t="str">
        <f aca="false">IF(AE453="","",INDEX(피어커브!$J:$J,MATCH(AE453,피어커브!$A:$A,0)))</f>
        <v/>
      </c>
      <c r="AH453" s="93" t="str">
        <f aca="false">IF(AE453="","",INDEX(피어커브!$L:$L,MATCH(AE453,피어커브!$A:$A,0)))</f>
        <v/>
      </c>
      <c r="AI453" s="93" t="str">
        <f aca="false">IF(AE453="","",AF453+AG453*AA453)</f>
        <v/>
      </c>
      <c r="AJ453" s="96" t="str">
        <f aca="false">IF(AE453="","",E453-AI453)</f>
        <v/>
      </c>
      <c r="AK453" s="95" t="str">
        <f aca="false">IF(AE453="","",IF(ISNUMBER(AH453),IF(AH453&gt;0,AJ453/AH453,""),""))</f>
        <v/>
      </c>
      <c r="AL453" s="43" t="str">
        <f aca="false">IF(AK453="","-",IF(AK453&gt;=설정!$C$6,"Cheap",IF(AK453&lt;=-설정!$C$6,"Rich","Fair")))</f>
        <v>-</v>
      </c>
      <c r="AM453" s="96" t="str">
        <f aca="false">IF(AE453="","",AJ453-AVERAGEIFS($AJ$2:$AJ$601,$B$2:$B$601,B453,$Y$2:$Y$601,1))</f>
        <v/>
      </c>
      <c r="AN453" s="93" t="n">
        <f aca="false">IF(AE453="",0,IF(K453&gt;1+설정!$C$8,AG453*(AA453-LN(K453-1)),0))</f>
        <v>0</v>
      </c>
      <c r="AO453" s="99" t="n">
        <f aca="false">IF($A453="",0,SUMIFS(보유분석!$AA$2:$AA$801,보유분석!$AB$2:$AB$801,ROW(),보유분석!$AC$2:$AC$801,1))</f>
        <v>0</v>
      </c>
      <c r="AP453" s="43" t="str">
        <f aca="false">IF($A453="","",TRIM(IF(R453=1,"FRN ","")&amp;IF(IFERROR(VLOOKUP(M453,설정!$A$15:$D$47,4,0),0)&gt;=10,IF(IFERROR(VLOOKUP(M453,설정!$A$15:$D$47,4,0),0)&lt;99,"BBB0미만 ",""),"")&amp;IF(OR(M453="",M453="NR"),"등급미입력 ","")&amp;IF(C453&lt;&gt;"USD","비USD ","")))</f>
        <v/>
      </c>
      <c r="AQ453" s="90" t="n">
        <f aca="false">IF(AND(Y453=1,AL453="Cheap"),IF(AND(ISERROR(SEARCH("FRN",AP453)),ISERROR(SEARCH("BBB0미만",AP453))),AK453+ROW()/1000000000,-999),-999)</f>
        <v>-999</v>
      </c>
      <c r="AR453" s="92" t="str">
        <f aca="false">IF(AND(ISNUMBER(D453),ISNUMBER(K453)),D453+AN453*MAX(K453-1,0)/100,"")</f>
        <v/>
      </c>
      <c r="AS453" s="93" t="str">
        <f aca="false">IF(AND(ISNUMBER(E453),ISNUMBER(K453)),IF(K453&gt;0,(E453+AN453*MAX(K453-1,0))/K453,""),"")</f>
        <v/>
      </c>
      <c r="AT453" s="90" t="n">
        <f aca="false">IFERROR(IF(AND(Y453=1,ROW()&lt;&gt;스왑분석!$C$12+1,ABS(K453-INDEX($K$2:$K$601,스왑분석!$C$12))&lt;=스왑분석!$C$5,ISERROR(SEARCH("FRN",AP453)),ISERROR(SEARCH("BBB0미만",AP453))),IF(AND(OR(스왑분석!$C$6="N",L453=INDEX($L$2:$L$601,스왑분석!$C$12)),OR(스왑분석!$C$7="N",N453=INDEX($N$2:$N$601,스왑분석!$C$12)),OR(스왑분석!$C$8="N",AO453=0),E453-INDEX($E$2:$E$601,스왑분석!$C$12)&gt;=스왑분석!$C$9),E453-INDEX($E$2:$E$601,스왑분석!$C$12)+ROW()/1000000000,-999),-999),-999)</f>
        <v>-999</v>
      </c>
      <c r="AU453" s="90" t="n">
        <f aca="false">IF(AND(Y453=1,AO453&gt;0,AL453="Rich"),-AK453+ROW()/1000000000,-999)</f>
        <v>-999</v>
      </c>
    </row>
    <row r="454" customFormat="false" ht="15" hidden="false" customHeight="false" outlineLevel="0" collapsed="false">
      <c r="A454" s="83" t="n">
        <f aca="false">IFERROR(IF(INDEX(원자료_시장!$A$1:$BZ$1000,설정!$L$6+ROW()-1,설정!$L$24)&amp;""="0","",INDEX(원자료_시장!$A$1:$BZ$1000,설정!$L$6+ROW()-1,설정!$L$24)),"")</f>
        <v>0</v>
      </c>
      <c r="B454" s="83" t="n">
        <f aca="false">IFERROR(IF(INDEX(원자료_시장!$A$1:$BZ$1000,설정!$L$6+ROW()-1,설정!$L$37)&amp;""="0","",INDEX(원자료_시장!$A$1:$BZ$1000,설정!$L$6+ROW()-1,설정!$L$37)),"")</f>
        <v>0</v>
      </c>
      <c r="C454" s="83" t="n">
        <f aca="false">IFERROR(IF(INDEX(원자료_시장!$A$1:$BZ$1000,설정!$L$6+ROW()-1,설정!$L$25)&amp;""="0","",INDEX(원자료_시장!$A$1:$BZ$1000,설정!$L$6+ROW()-1,설정!$L$25)),"")</f>
        <v>0</v>
      </c>
      <c r="D454" s="85" t="str">
        <f aca="false">IFERROR(IF(ISNUMBER(INDEX(원자료_시장!$A$1:$BZ$1000,설정!$L$6+ROW()-1,설정!$L$26)),INDEX(원자료_시장!$A$1:$BZ$1000,설정!$L$6+ROW()-1,설정!$L$26),""),"")</f>
        <v/>
      </c>
      <c r="E454" s="97" t="str">
        <f aca="false">IFERROR(IF(ISNUMBER(INDEX(원자료_시장!$A$1:$BZ$1000,설정!$L$6+ROW()-1,설정!$L$27)),INDEX(원자료_시장!$A$1:$BZ$1000,설정!$L$6+ROW()-1,설정!$L$27),""),"")</f>
        <v/>
      </c>
      <c r="F454" s="97" t="str">
        <f aca="false">IFERROR(IF(ISNUMBER(INDEX(원자료_시장!$A$1:$BZ$1000,설정!$L$6+ROW()-1,설정!$L$28)),INDEX(원자료_시장!$A$1:$BZ$1000,설정!$L$6+ROW()-1,설정!$L$28),""),"")</f>
        <v/>
      </c>
      <c r="G454" s="97" t="str">
        <f aca="false">IFERROR(IF(ISNUMBER(INDEX(원자료_시장!$A$1:$BZ$1000,설정!$L$6+ROW()-1,설정!$L$29)),INDEX(원자료_시장!$A$1:$BZ$1000,설정!$L$6+ROW()-1,설정!$L$29),""),"")</f>
        <v/>
      </c>
      <c r="H454" s="97" t="str">
        <f aca="false">IFERROR(IF(ISNUMBER(INDEX(원자료_시장!$A$1:$BZ$1000,설정!$L$6+ROW()-1,설정!$L$30)),INDEX(원자료_시장!$A$1:$BZ$1000,설정!$L$6+ROW()-1,설정!$L$30),""),"")</f>
        <v/>
      </c>
      <c r="I454" s="97" t="str">
        <f aca="false">IFERROR(IF(ISNUMBER(INDEX(원자료_시장!$A$1:$BZ$1000,설정!$L$6+ROW()-1,설정!$L$31)),INDEX(원자료_시장!$A$1:$BZ$1000,설정!$L$6+ROW()-1,설정!$L$31),""),"")</f>
        <v/>
      </c>
      <c r="J454" s="97" t="str">
        <f aca="false">IFERROR(IF(ISNUMBER(INDEX(원자료_시장!$A$1:$BZ$1000,설정!$L$6+ROW()-1,설정!$L$32)),INDEX(원자료_시장!$A$1:$BZ$1000,설정!$L$6+ROW()-1,설정!$L$32),""),"")</f>
        <v/>
      </c>
      <c r="K454" s="85" t="str">
        <f aca="false">IFERROR(IF(ISNUMBER(INDEX(원자료_시장!$A$1:$BZ$1000,설정!$L$6+ROW()-1,설정!$L$33)),INDEX(원자료_시장!$A$1:$BZ$1000,설정!$L$6+ROW()-1,설정!$L$33),""),"")</f>
        <v/>
      </c>
      <c r="L454" s="83" t="n">
        <f aca="false">IFERROR(IF(INDEX(원자료_시장!$A$1:$BZ$1000,설정!$L$6+ROW()-1,설정!$L$34)&amp;""="0","",INDEX(원자료_시장!$A$1:$BZ$1000,설정!$L$6+ROW()-1,설정!$L$34)),"")</f>
        <v>0</v>
      </c>
      <c r="M454" s="83" t="n">
        <f aca="false">IFERROR(IF(INDEX(원자료_시장!$A$1:$BZ$1000,설정!$L$6+ROW()-1,설정!$L$35)&amp;""="0","",INDEX(원자료_시장!$A$1:$BZ$1000,설정!$L$6+ROW()-1,설정!$L$35)),"")</f>
        <v>0</v>
      </c>
      <c r="N454" s="83" t="n">
        <f aca="false">IFERROR(IF(INDEX(원자료_시장!$A$1:$BZ$1000,설정!$L$6+ROW()-1,설정!$L$36)&amp;""="0","",INDEX(원자료_시장!$A$1:$BZ$1000,설정!$L$6+ROW()-1,설정!$L$36)),"")</f>
        <v>0</v>
      </c>
      <c r="O454" s="43" t="str">
        <f aca="false">IF($A454="","",UPPER(LEFT($A454,FIND(" ",$A454&amp;" ")-1)))</f>
        <v/>
      </c>
      <c r="P454" s="43" t="str">
        <f aca="false">IF($A454="","",TRIM(RIGHT(SUBSTITUTE(TRIM($A454)," ",REPT(" ",30)),30)))</f>
        <v/>
      </c>
      <c r="Q454" s="98" t="str">
        <f aca="false">IF($A454="","",IFERROR(DATE(IF(LEN(P454)=8,2000+VALUE(RIGHT(P454,2)),VALUE(RIGHT(P454,4))),VALUE(LEFT(P454,2)),VALUE(MID(P454,4,2))),""))</f>
        <v/>
      </c>
      <c r="R454" s="89" t="n">
        <f aca="false">IF($A454="",0,IF(ISNUMBER(SEARCH("Float",$A454)),1,0))</f>
        <v>0</v>
      </c>
      <c r="S454" s="43" t="str">
        <f aca="false">IF($A454="","",TRIM(MID($A454,LEN(O454)+2,LEN($A454)-LEN(O454)-LEN(P454)-1)))</f>
        <v/>
      </c>
      <c r="T454" s="92" t="str">
        <f aca="false">IF(OR($A454="",R454=1),"",IFERROR(IF(ISNUMBER(FIND("/",S454)),IF(ISNUMBER(FIND(" ",S454)),VALUE(LEFT(S454,FIND(" ",S454)-1))+VALUE(MID(S454,FIND(" ",S454)+1,FIND("/",S454)-FIND(" ",S454)-1))/VALUE(MID(S454,FIND("/",S454)+1,9)),VALUE(LEFT(S454,FIND("/",S454)-1))/VALUE(MID(S454,FIND("/",S454)+1,9))),VALUE(S454)),""))</f>
        <v/>
      </c>
      <c r="U454" s="43" t="str">
        <f aca="false">IF(OR($A454="",NOT(ISNUMBER(Q454))),"",TEXT(Q454,"yyyymmdd")&amp;"|"&amp;IF(R454=1,"F",TEXT(T454,"0.000")))</f>
        <v/>
      </c>
      <c r="V454" s="43" t="str">
        <f aca="false">IF(U454="","",O454&amp;"|"&amp;U454)</f>
        <v/>
      </c>
      <c r="W454" s="43" t="str">
        <f aca="false">IF($A454="","",IFERROR(IF(VLOOKUP(O454,매핑!$A$4:$E$92,3,0)="","미분류",VLOOKUP(O454,매핑!$A$4:$E$92,3,0)),"미분류"))</f>
        <v/>
      </c>
      <c r="X454" s="89" t="n">
        <f aca="false">IF($A454="",0,IF(O454="T",1,0))</f>
        <v>0</v>
      </c>
      <c r="Y454" s="89" t="n">
        <f aca="false">IF($A454="",0,IF(AND(C454="USD",X454=0,ISNUMBER(E454),ISNUMBER(K454)),IF(K454&gt;=설정!$C$8,1,0),0))</f>
        <v>0</v>
      </c>
      <c r="Z454" s="43" t="str">
        <f aca="false">IF($A454="","",N454&amp;"|"&amp;L454)</f>
        <v/>
      </c>
      <c r="AA454" s="92" t="n">
        <f aca="false">IF(Y454=1,LN(K454),0)</f>
        <v>0</v>
      </c>
      <c r="AB454" s="93" t="n">
        <f aca="false">IF(Y454=1,E454,0)</f>
        <v>0</v>
      </c>
      <c r="AC454" s="89" t="n">
        <f aca="false">IF(Y454=1,COUNTIFS($Z$2:$Z$601,Z454,$Y$2:$Y$601,1),0)</f>
        <v>0</v>
      </c>
      <c r="AD454" s="89" t="n">
        <f aca="false">IF(Y454=1,COUNTIFS($N$2:$N$601,N454,$Y$2:$Y$601,1),0)</f>
        <v>0</v>
      </c>
      <c r="AE454" s="43" t="str">
        <f aca="false">IF(Y454&lt;&gt;1,"",IF(AND(AC454&gt;=설정!$C$7,ISNUMBER(MATCH(Z454,피어커브!$A:$A,0))),Z454,IF(AND(AD454&gt;=설정!$C$7,ISNUMBER(MATCH(N454&amp;"|전체",피어커브!$A:$A,0))),N454&amp;"|전체","전체|전체")))</f>
        <v/>
      </c>
      <c r="AF454" s="93" t="str">
        <f aca="false">IF(AE454="","",INDEX(피어커브!$K:$K,MATCH(AE454,피어커브!$A:$A,0)))</f>
        <v/>
      </c>
      <c r="AG454" s="93" t="str">
        <f aca="false">IF(AE454="","",INDEX(피어커브!$J:$J,MATCH(AE454,피어커브!$A:$A,0)))</f>
        <v/>
      </c>
      <c r="AH454" s="93" t="str">
        <f aca="false">IF(AE454="","",INDEX(피어커브!$L:$L,MATCH(AE454,피어커브!$A:$A,0)))</f>
        <v/>
      </c>
      <c r="AI454" s="93" t="str">
        <f aca="false">IF(AE454="","",AF454+AG454*AA454)</f>
        <v/>
      </c>
      <c r="AJ454" s="96" t="str">
        <f aca="false">IF(AE454="","",E454-AI454)</f>
        <v/>
      </c>
      <c r="AK454" s="95" t="str">
        <f aca="false">IF(AE454="","",IF(ISNUMBER(AH454),IF(AH454&gt;0,AJ454/AH454,""),""))</f>
        <v/>
      </c>
      <c r="AL454" s="43" t="str">
        <f aca="false">IF(AK454="","-",IF(AK454&gt;=설정!$C$6,"Cheap",IF(AK454&lt;=-설정!$C$6,"Rich","Fair")))</f>
        <v>-</v>
      </c>
      <c r="AM454" s="96" t="str">
        <f aca="false">IF(AE454="","",AJ454-AVERAGEIFS($AJ$2:$AJ$601,$B$2:$B$601,B454,$Y$2:$Y$601,1))</f>
        <v/>
      </c>
      <c r="AN454" s="93" t="n">
        <f aca="false">IF(AE454="",0,IF(K454&gt;1+설정!$C$8,AG454*(AA454-LN(K454-1)),0))</f>
        <v>0</v>
      </c>
      <c r="AO454" s="99" t="n">
        <f aca="false">IF($A454="",0,SUMIFS(보유분석!$AA$2:$AA$801,보유분석!$AB$2:$AB$801,ROW(),보유분석!$AC$2:$AC$801,1))</f>
        <v>0</v>
      </c>
      <c r="AP454" s="43" t="str">
        <f aca="false">IF($A454="","",TRIM(IF(R454=1,"FRN ","")&amp;IF(IFERROR(VLOOKUP(M454,설정!$A$15:$D$47,4,0),0)&gt;=10,IF(IFERROR(VLOOKUP(M454,설정!$A$15:$D$47,4,0),0)&lt;99,"BBB0미만 ",""),"")&amp;IF(OR(M454="",M454="NR"),"등급미입력 ","")&amp;IF(C454&lt;&gt;"USD","비USD ","")))</f>
        <v/>
      </c>
      <c r="AQ454" s="90" t="n">
        <f aca="false">IF(AND(Y454=1,AL454="Cheap"),IF(AND(ISERROR(SEARCH("FRN",AP454)),ISERROR(SEARCH("BBB0미만",AP454))),AK454+ROW()/1000000000,-999),-999)</f>
        <v>-999</v>
      </c>
      <c r="AR454" s="92" t="str">
        <f aca="false">IF(AND(ISNUMBER(D454),ISNUMBER(K454)),D454+AN454*MAX(K454-1,0)/100,"")</f>
        <v/>
      </c>
      <c r="AS454" s="93" t="str">
        <f aca="false">IF(AND(ISNUMBER(E454),ISNUMBER(K454)),IF(K454&gt;0,(E454+AN454*MAX(K454-1,0))/K454,""),"")</f>
        <v/>
      </c>
      <c r="AT454" s="90" t="n">
        <f aca="false">IFERROR(IF(AND(Y454=1,ROW()&lt;&gt;스왑분석!$C$12+1,ABS(K454-INDEX($K$2:$K$601,스왑분석!$C$12))&lt;=스왑분석!$C$5,ISERROR(SEARCH("FRN",AP454)),ISERROR(SEARCH("BBB0미만",AP454))),IF(AND(OR(스왑분석!$C$6="N",L454=INDEX($L$2:$L$601,스왑분석!$C$12)),OR(스왑분석!$C$7="N",N454=INDEX($N$2:$N$601,스왑분석!$C$12)),OR(스왑분석!$C$8="N",AO454=0),E454-INDEX($E$2:$E$601,스왑분석!$C$12)&gt;=스왑분석!$C$9),E454-INDEX($E$2:$E$601,스왑분석!$C$12)+ROW()/1000000000,-999),-999),-999)</f>
        <v>-999</v>
      </c>
      <c r="AU454" s="90" t="n">
        <f aca="false">IF(AND(Y454=1,AO454&gt;0,AL454="Rich"),-AK454+ROW()/1000000000,-999)</f>
        <v>-999</v>
      </c>
    </row>
    <row r="455" customFormat="false" ht="15" hidden="false" customHeight="false" outlineLevel="0" collapsed="false">
      <c r="A455" s="83" t="n">
        <f aca="false">IFERROR(IF(INDEX(원자료_시장!$A$1:$BZ$1000,설정!$L$6+ROW()-1,설정!$L$24)&amp;""="0","",INDEX(원자료_시장!$A$1:$BZ$1000,설정!$L$6+ROW()-1,설정!$L$24)),"")</f>
        <v>0</v>
      </c>
      <c r="B455" s="83" t="n">
        <f aca="false">IFERROR(IF(INDEX(원자료_시장!$A$1:$BZ$1000,설정!$L$6+ROW()-1,설정!$L$37)&amp;""="0","",INDEX(원자료_시장!$A$1:$BZ$1000,설정!$L$6+ROW()-1,설정!$L$37)),"")</f>
        <v>0</v>
      </c>
      <c r="C455" s="83" t="n">
        <f aca="false">IFERROR(IF(INDEX(원자료_시장!$A$1:$BZ$1000,설정!$L$6+ROW()-1,설정!$L$25)&amp;""="0","",INDEX(원자료_시장!$A$1:$BZ$1000,설정!$L$6+ROW()-1,설정!$L$25)),"")</f>
        <v>0</v>
      </c>
      <c r="D455" s="85" t="str">
        <f aca="false">IFERROR(IF(ISNUMBER(INDEX(원자료_시장!$A$1:$BZ$1000,설정!$L$6+ROW()-1,설정!$L$26)),INDEX(원자료_시장!$A$1:$BZ$1000,설정!$L$6+ROW()-1,설정!$L$26),""),"")</f>
        <v/>
      </c>
      <c r="E455" s="97" t="str">
        <f aca="false">IFERROR(IF(ISNUMBER(INDEX(원자료_시장!$A$1:$BZ$1000,설정!$L$6+ROW()-1,설정!$L$27)),INDEX(원자료_시장!$A$1:$BZ$1000,설정!$L$6+ROW()-1,설정!$L$27),""),"")</f>
        <v/>
      </c>
      <c r="F455" s="97" t="str">
        <f aca="false">IFERROR(IF(ISNUMBER(INDEX(원자료_시장!$A$1:$BZ$1000,설정!$L$6+ROW()-1,설정!$L$28)),INDEX(원자료_시장!$A$1:$BZ$1000,설정!$L$6+ROW()-1,설정!$L$28),""),"")</f>
        <v/>
      </c>
      <c r="G455" s="97" t="str">
        <f aca="false">IFERROR(IF(ISNUMBER(INDEX(원자료_시장!$A$1:$BZ$1000,설정!$L$6+ROW()-1,설정!$L$29)),INDEX(원자료_시장!$A$1:$BZ$1000,설정!$L$6+ROW()-1,설정!$L$29),""),"")</f>
        <v/>
      </c>
      <c r="H455" s="97" t="str">
        <f aca="false">IFERROR(IF(ISNUMBER(INDEX(원자료_시장!$A$1:$BZ$1000,설정!$L$6+ROW()-1,설정!$L$30)),INDEX(원자료_시장!$A$1:$BZ$1000,설정!$L$6+ROW()-1,설정!$L$30),""),"")</f>
        <v/>
      </c>
      <c r="I455" s="97" t="str">
        <f aca="false">IFERROR(IF(ISNUMBER(INDEX(원자료_시장!$A$1:$BZ$1000,설정!$L$6+ROW()-1,설정!$L$31)),INDEX(원자료_시장!$A$1:$BZ$1000,설정!$L$6+ROW()-1,설정!$L$31),""),"")</f>
        <v/>
      </c>
      <c r="J455" s="97" t="str">
        <f aca="false">IFERROR(IF(ISNUMBER(INDEX(원자료_시장!$A$1:$BZ$1000,설정!$L$6+ROW()-1,설정!$L$32)),INDEX(원자료_시장!$A$1:$BZ$1000,설정!$L$6+ROW()-1,설정!$L$32),""),"")</f>
        <v/>
      </c>
      <c r="K455" s="85" t="str">
        <f aca="false">IFERROR(IF(ISNUMBER(INDEX(원자료_시장!$A$1:$BZ$1000,설정!$L$6+ROW()-1,설정!$L$33)),INDEX(원자료_시장!$A$1:$BZ$1000,설정!$L$6+ROW()-1,설정!$L$33),""),"")</f>
        <v/>
      </c>
      <c r="L455" s="83" t="n">
        <f aca="false">IFERROR(IF(INDEX(원자료_시장!$A$1:$BZ$1000,설정!$L$6+ROW()-1,설정!$L$34)&amp;""="0","",INDEX(원자료_시장!$A$1:$BZ$1000,설정!$L$6+ROW()-1,설정!$L$34)),"")</f>
        <v>0</v>
      </c>
      <c r="M455" s="83" t="n">
        <f aca="false">IFERROR(IF(INDEX(원자료_시장!$A$1:$BZ$1000,설정!$L$6+ROW()-1,설정!$L$35)&amp;""="0","",INDEX(원자료_시장!$A$1:$BZ$1000,설정!$L$6+ROW()-1,설정!$L$35)),"")</f>
        <v>0</v>
      </c>
      <c r="N455" s="83" t="n">
        <f aca="false">IFERROR(IF(INDEX(원자료_시장!$A$1:$BZ$1000,설정!$L$6+ROW()-1,설정!$L$36)&amp;""="0","",INDEX(원자료_시장!$A$1:$BZ$1000,설정!$L$6+ROW()-1,설정!$L$36)),"")</f>
        <v>0</v>
      </c>
      <c r="O455" s="43" t="str">
        <f aca="false">IF($A455="","",UPPER(LEFT($A455,FIND(" ",$A455&amp;" ")-1)))</f>
        <v/>
      </c>
      <c r="P455" s="43" t="str">
        <f aca="false">IF($A455="","",TRIM(RIGHT(SUBSTITUTE(TRIM($A455)," ",REPT(" ",30)),30)))</f>
        <v/>
      </c>
      <c r="Q455" s="98" t="str">
        <f aca="false">IF($A455="","",IFERROR(DATE(IF(LEN(P455)=8,2000+VALUE(RIGHT(P455,2)),VALUE(RIGHT(P455,4))),VALUE(LEFT(P455,2)),VALUE(MID(P455,4,2))),""))</f>
        <v/>
      </c>
      <c r="R455" s="89" t="n">
        <f aca="false">IF($A455="",0,IF(ISNUMBER(SEARCH("Float",$A455)),1,0))</f>
        <v>0</v>
      </c>
      <c r="S455" s="43" t="str">
        <f aca="false">IF($A455="","",TRIM(MID($A455,LEN(O455)+2,LEN($A455)-LEN(O455)-LEN(P455)-1)))</f>
        <v/>
      </c>
      <c r="T455" s="92" t="str">
        <f aca="false">IF(OR($A455="",R455=1),"",IFERROR(IF(ISNUMBER(FIND("/",S455)),IF(ISNUMBER(FIND(" ",S455)),VALUE(LEFT(S455,FIND(" ",S455)-1))+VALUE(MID(S455,FIND(" ",S455)+1,FIND("/",S455)-FIND(" ",S455)-1))/VALUE(MID(S455,FIND("/",S455)+1,9)),VALUE(LEFT(S455,FIND("/",S455)-1))/VALUE(MID(S455,FIND("/",S455)+1,9))),VALUE(S455)),""))</f>
        <v/>
      </c>
      <c r="U455" s="43" t="str">
        <f aca="false">IF(OR($A455="",NOT(ISNUMBER(Q455))),"",TEXT(Q455,"yyyymmdd")&amp;"|"&amp;IF(R455=1,"F",TEXT(T455,"0.000")))</f>
        <v/>
      </c>
      <c r="V455" s="43" t="str">
        <f aca="false">IF(U455="","",O455&amp;"|"&amp;U455)</f>
        <v/>
      </c>
      <c r="W455" s="43" t="str">
        <f aca="false">IF($A455="","",IFERROR(IF(VLOOKUP(O455,매핑!$A$4:$E$92,3,0)="","미분류",VLOOKUP(O455,매핑!$A$4:$E$92,3,0)),"미분류"))</f>
        <v/>
      </c>
      <c r="X455" s="89" t="n">
        <f aca="false">IF($A455="",0,IF(O455="T",1,0))</f>
        <v>0</v>
      </c>
      <c r="Y455" s="89" t="n">
        <f aca="false">IF($A455="",0,IF(AND(C455="USD",X455=0,ISNUMBER(E455),ISNUMBER(K455)),IF(K455&gt;=설정!$C$8,1,0),0))</f>
        <v>0</v>
      </c>
      <c r="Z455" s="43" t="str">
        <f aca="false">IF($A455="","",N455&amp;"|"&amp;L455)</f>
        <v/>
      </c>
      <c r="AA455" s="92" t="n">
        <f aca="false">IF(Y455=1,LN(K455),0)</f>
        <v>0</v>
      </c>
      <c r="AB455" s="93" t="n">
        <f aca="false">IF(Y455=1,E455,0)</f>
        <v>0</v>
      </c>
      <c r="AC455" s="89" t="n">
        <f aca="false">IF(Y455=1,COUNTIFS($Z$2:$Z$601,Z455,$Y$2:$Y$601,1),0)</f>
        <v>0</v>
      </c>
      <c r="AD455" s="89" t="n">
        <f aca="false">IF(Y455=1,COUNTIFS($N$2:$N$601,N455,$Y$2:$Y$601,1),0)</f>
        <v>0</v>
      </c>
      <c r="AE455" s="43" t="str">
        <f aca="false">IF(Y455&lt;&gt;1,"",IF(AND(AC455&gt;=설정!$C$7,ISNUMBER(MATCH(Z455,피어커브!$A:$A,0))),Z455,IF(AND(AD455&gt;=설정!$C$7,ISNUMBER(MATCH(N455&amp;"|전체",피어커브!$A:$A,0))),N455&amp;"|전체","전체|전체")))</f>
        <v/>
      </c>
      <c r="AF455" s="93" t="str">
        <f aca="false">IF(AE455="","",INDEX(피어커브!$K:$K,MATCH(AE455,피어커브!$A:$A,0)))</f>
        <v/>
      </c>
      <c r="AG455" s="93" t="str">
        <f aca="false">IF(AE455="","",INDEX(피어커브!$J:$J,MATCH(AE455,피어커브!$A:$A,0)))</f>
        <v/>
      </c>
      <c r="AH455" s="93" t="str">
        <f aca="false">IF(AE455="","",INDEX(피어커브!$L:$L,MATCH(AE455,피어커브!$A:$A,0)))</f>
        <v/>
      </c>
      <c r="AI455" s="93" t="str">
        <f aca="false">IF(AE455="","",AF455+AG455*AA455)</f>
        <v/>
      </c>
      <c r="AJ455" s="96" t="str">
        <f aca="false">IF(AE455="","",E455-AI455)</f>
        <v/>
      </c>
      <c r="AK455" s="95" t="str">
        <f aca="false">IF(AE455="","",IF(ISNUMBER(AH455),IF(AH455&gt;0,AJ455/AH455,""),""))</f>
        <v/>
      </c>
      <c r="AL455" s="43" t="str">
        <f aca="false">IF(AK455="","-",IF(AK455&gt;=설정!$C$6,"Cheap",IF(AK455&lt;=-설정!$C$6,"Rich","Fair")))</f>
        <v>-</v>
      </c>
      <c r="AM455" s="96" t="str">
        <f aca="false">IF(AE455="","",AJ455-AVERAGEIFS($AJ$2:$AJ$601,$B$2:$B$601,B455,$Y$2:$Y$601,1))</f>
        <v/>
      </c>
      <c r="AN455" s="93" t="n">
        <f aca="false">IF(AE455="",0,IF(K455&gt;1+설정!$C$8,AG455*(AA455-LN(K455-1)),0))</f>
        <v>0</v>
      </c>
      <c r="AO455" s="99" t="n">
        <f aca="false">IF($A455="",0,SUMIFS(보유분석!$AA$2:$AA$801,보유분석!$AB$2:$AB$801,ROW(),보유분석!$AC$2:$AC$801,1))</f>
        <v>0</v>
      </c>
      <c r="AP455" s="43" t="str">
        <f aca="false">IF($A455="","",TRIM(IF(R455=1,"FRN ","")&amp;IF(IFERROR(VLOOKUP(M455,설정!$A$15:$D$47,4,0),0)&gt;=10,IF(IFERROR(VLOOKUP(M455,설정!$A$15:$D$47,4,0),0)&lt;99,"BBB0미만 ",""),"")&amp;IF(OR(M455="",M455="NR"),"등급미입력 ","")&amp;IF(C455&lt;&gt;"USD","비USD ","")))</f>
        <v/>
      </c>
      <c r="AQ455" s="90" t="n">
        <f aca="false">IF(AND(Y455=1,AL455="Cheap"),IF(AND(ISERROR(SEARCH("FRN",AP455)),ISERROR(SEARCH("BBB0미만",AP455))),AK455+ROW()/1000000000,-999),-999)</f>
        <v>-999</v>
      </c>
      <c r="AR455" s="92" t="str">
        <f aca="false">IF(AND(ISNUMBER(D455),ISNUMBER(K455)),D455+AN455*MAX(K455-1,0)/100,"")</f>
        <v/>
      </c>
      <c r="AS455" s="93" t="str">
        <f aca="false">IF(AND(ISNUMBER(E455),ISNUMBER(K455)),IF(K455&gt;0,(E455+AN455*MAX(K455-1,0))/K455,""),"")</f>
        <v/>
      </c>
      <c r="AT455" s="90" t="n">
        <f aca="false">IFERROR(IF(AND(Y455=1,ROW()&lt;&gt;스왑분석!$C$12+1,ABS(K455-INDEX($K$2:$K$601,스왑분석!$C$12))&lt;=스왑분석!$C$5,ISERROR(SEARCH("FRN",AP455)),ISERROR(SEARCH("BBB0미만",AP455))),IF(AND(OR(스왑분석!$C$6="N",L455=INDEX($L$2:$L$601,스왑분석!$C$12)),OR(스왑분석!$C$7="N",N455=INDEX($N$2:$N$601,스왑분석!$C$12)),OR(스왑분석!$C$8="N",AO455=0),E455-INDEX($E$2:$E$601,스왑분석!$C$12)&gt;=스왑분석!$C$9),E455-INDEX($E$2:$E$601,스왑분석!$C$12)+ROW()/1000000000,-999),-999),-999)</f>
        <v>-999</v>
      </c>
      <c r="AU455" s="90" t="n">
        <f aca="false">IF(AND(Y455=1,AO455&gt;0,AL455="Rich"),-AK455+ROW()/1000000000,-999)</f>
        <v>-999</v>
      </c>
    </row>
    <row r="456" customFormat="false" ht="15" hidden="false" customHeight="false" outlineLevel="0" collapsed="false">
      <c r="A456" s="83" t="n">
        <f aca="false">IFERROR(IF(INDEX(원자료_시장!$A$1:$BZ$1000,설정!$L$6+ROW()-1,설정!$L$24)&amp;""="0","",INDEX(원자료_시장!$A$1:$BZ$1000,설정!$L$6+ROW()-1,설정!$L$24)),"")</f>
        <v>0</v>
      </c>
      <c r="B456" s="83" t="n">
        <f aca="false">IFERROR(IF(INDEX(원자료_시장!$A$1:$BZ$1000,설정!$L$6+ROW()-1,설정!$L$37)&amp;""="0","",INDEX(원자료_시장!$A$1:$BZ$1000,설정!$L$6+ROW()-1,설정!$L$37)),"")</f>
        <v>0</v>
      </c>
      <c r="C456" s="83" t="n">
        <f aca="false">IFERROR(IF(INDEX(원자료_시장!$A$1:$BZ$1000,설정!$L$6+ROW()-1,설정!$L$25)&amp;""="0","",INDEX(원자료_시장!$A$1:$BZ$1000,설정!$L$6+ROW()-1,설정!$L$25)),"")</f>
        <v>0</v>
      </c>
      <c r="D456" s="85" t="str">
        <f aca="false">IFERROR(IF(ISNUMBER(INDEX(원자료_시장!$A$1:$BZ$1000,설정!$L$6+ROW()-1,설정!$L$26)),INDEX(원자료_시장!$A$1:$BZ$1000,설정!$L$6+ROW()-1,설정!$L$26),""),"")</f>
        <v/>
      </c>
      <c r="E456" s="97" t="str">
        <f aca="false">IFERROR(IF(ISNUMBER(INDEX(원자료_시장!$A$1:$BZ$1000,설정!$L$6+ROW()-1,설정!$L$27)),INDEX(원자료_시장!$A$1:$BZ$1000,설정!$L$6+ROW()-1,설정!$L$27),""),"")</f>
        <v/>
      </c>
      <c r="F456" s="97" t="str">
        <f aca="false">IFERROR(IF(ISNUMBER(INDEX(원자료_시장!$A$1:$BZ$1000,설정!$L$6+ROW()-1,설정!$L$28)),INDEX(원자료_시장!$A$1:$BZ$1000,설정!$L$6+ROW()-1,설정!$L$28),""),"")</f>
        <v/>
      </c>
      <c r="G456" s="97" t="str">
        <f aca="false">IFERROR(IF(ISNUMBER(INDEX(원자료_시장!$A$1:$BZ$1000,설정!$L$6+ROW()-1,설정!$L$29)),INDEX(원자료_시장!$A$1:$BZ$1000,설정!$L$6+ROW()-1,설정!$L$29),""),"")</f>
        <v/>
      </c>
      <c r="H456" s="97" t="str">
        <f aca="false">IFERROR(IF(ISNUMBER(INDEX(원자료_시장!$A$1:$BZ$1000,설정!$L$6+ROW()-1,설정!$L$30)),INDEX(원자료_시장!$A$1:$BZ$1000,설정!$L$6+ROW()-1,설정!$L$30),""),"")</f>
        <v/>
      </c>
      <c r="I456" s="97" t="str">
        <f aca="false">IFERROR(IF(ISNUMBER(INDEX(원자료_시장!$A$1:$BZ$1000,설정!$L$6+ROW()-1,설정!$L$31)),INDEX(원자료_시장!$A$1:$BZ$1000,설정!$L$6+ROW()-1,설정!$L$31),""),"")</f>
        <v/>
      </c>
      <c r="J456" s="97" t="str">
        <f aca="false">IFERROR(IF(ISNUMBER(INDEX(원자료_시장!$A$1:$BZ$1000,설정!$L$6+ROW()-1,설정!$L$32)),INDEX(원자료_시장!$A$1:$BZ$1000,설정!$L$6+ROW()-1,설정!$L$32),""),"")</f>
        <v/>
      </c>
      <c r="K456" s="85" t="str">
        <f aca="false">IFERROR(IF(ISNUMBER(INDEX(원자료_시장!$A$1:$BZ$1000,설정!$L$6+ROW()-1,설정!$L$33)),INDEX(원자료_시장!$A$1:$BZ$1000,설정!$L$6+ROW()-1,설정!$L$33),""),"")</f>
        <v/>
      </c>
      <c r="L456" s="83" t="n">
        <f aca="false">IFERROR(IF(INDEX(원자료_시장!$A$1:$BZ$1000,설정!$L$6+ROW()-1,설정!$L$34)&amp;""="0","",INDEX(원자료_시장!$A$1:$BZ$1000,설정!$L$6+ROW()-1,설정!$L$34)),"")</f>
        <v>0</v>
      </c>
      <c r="M456" s="83" t="n">
        <f aca="false">IFERROR(IF(INDEX(원자료_시장!$A$1:$BZ$1000,설정!$L$6+ROW()-1,설정!$L$35)&amp;""="0","",INDEX(원자료_시장!$A$1:$BZ$1000,설정!$L$6+ROW()-1,설정!$L$35)),"")</f>
        <v>0</v>
      </c>
      <c r="N456" s="83" t="n">
        <f aca="false">IFERROR(IF(INDEX(원자료_시장!$A$1:$BZ$1000,설정!$L$6+ROW()-1,설정!$L$36)&amp;""="0","",INDEX(원자료_시장!$A$1:$BZ$1000,설정!$L$6+ROW()-1,설정!$L$36)),"")</f>
        <v>0</v>
      </c>
      <c r="O456" s="43" t="str">
        <f aca="false">IF($A456="","",UPPER(LEFT($A456,FIND(" ",$A456&amp;" ")-1)))</f>
        <v/>
      </c>
      <c r="P456" s="43" t="str">
        <f aca="false">IF($A456="","",TRIM(RIGHT(SUBSTITUTE(TRIM($A456)," ",REPT(" ",30)),30)))</f>
        <v/>
      </c>
      <c r="Q456" s="98" t="str">
        <f aca="false">IF($A456="","",IFERROR(DATE(IF(LEN(P456)=8,2000+VALUE(RIGHT(P456,2)),VALUE(RIGHT(P456,4))),VALUE(LEFT(P456,2)),VALUE(MID(P456,4,2))),""))</f>
        <v/>
      </c>
      <c r="R456" s="89" t="n">
        <f aca="false">IF($A456="",0,IF(ISNUMBER(SEARCH("Float",$A456)),1,0))</f>
        <v>0</v>
      </c>
      <c r="S456" s="43" t="str">
        <f aca="false">IF($A456="","",TRIM(MID($A456,LEN(O456)+2,LEN($A456)-LEN(O456)-LEN(P456)-1)))</f>
        <v/>
      </c>
      <c r="T456" s="92" t="str">
        <f aca="false">IF(OR($A456="",R456=1),"",IFERROR(IF(ISNUMBER(FIND("/",S456)),IF(ISNUMBER(FIND(" ",S456)),VALUE(LEFT(S456,FIND(" ",S456)-1))+VALUE(MID(S456,FIND(" ",S456)+1,FIND("/",S456)-FIND(" ",S456)-1))/VALUE(MID(S456,FIND("/",S456)+1,9)),VALUE(LEFT(S456,FIND("/",S456)-1))/VALUE(MID(S456,FIND("/",S456)+1,9))),VALUE(S456)),""))</f>
        <v/>
      </c>
      <c r="U456" s="43" t="str">
        <f aca="false">IF(OR($A456="",NOT(ISNUMBER(Q456))),"",TEXT(Q456,"yyyymmdd")&amp;"|"&amp;IF(R456=1,"F",TEXT(T456,"0.000")))</f>
        <v/>
      </c>
      <c r="V456" s="43" t="str">
        <f aca="false">IF(U456="","",O456&amp;"|"&amp;U456)</f>
        <v/>
      </c>
      <c r="W456" s="43" t="str">
        <f aca="false">IF($A456="","",IFERROR(IF(VLOOKUP(O456,매핑!$A$4:$E$92,3,0)="","미분류",VLOOKUP(O456,매핑!$A$4:$E$92,3,0)),"미분류"))</f>
        <v/>
      </c>
      <c r="X456" s="89" t="n">
        <f aca="false">IF($A456="",0,IF(O456="T",1,0))</f>
        <v>0</v>
      </c>
      <c r="Y456" s="89" t="n">
        <f aca="false">IF($A456="",0,IF(AND(C456="USD",X456=0,ISNUMBER(E456),ISNUMBER(K456)),IF(K456&gt;=설정!$C$8,1,0),0))</f>
        <v>0</v>
      </c>
      <c r="Z456" s="43" t="str">
        <f aca="false">IF($A456="","",N456&amp;"|"&amp;L456)</f>
        <v/>
      </c>
      <c r="AA456" s="92" t="n">
        <f aca="false">IF(Y456=1,LN(K456),0)</f>
        <v>0</v>
      </c>
      <c r="AB456" s="93" t="n">
        <f aca="false">IF(Y456=1,E456,0)</f>
        <v>0</v>
      </c>
      <c r="AC456" s="89" t="n">
        <f aca="false">IF(Y456=1,COUNTIFS($Z$2:$Z$601,Z456,$Y$2:$Y$601,1),0)</f>
        <v>0</v>
      </c>
      <c r="AD456" s="89" t="n">
        <f aca="false">IF(Y456=1,COUNTIFS($N$2:$N$601,N456,$Y$2:$Y$601,1),0)</f>
        <v>0</v>
      </c>
      <c r="AE456" s="43" t="str">
        <f aca="false">IF(Y456&lt;&gt;1,"",IF(AND(AC456&gt;=설정!$C$7,ISNUMBER(MATCH(Z456,피어커브!$A:$A,0))),Z456,IF(AND(AD456&gt;=설정!$C$7,ISNUMBER(MATCH(N456&amp;"|전체",피어커브!$A:$A,0))),N456&amp;"|전체","전체|전체")))</f>
        <v/>
      </c>
      <c r="AF456" s="93" t="str">
        <f aca="false">IF(AE456="","",INDEX(피어커브!$K:$K,MATCH(AE456,피어커브!$A:$A,0)))</f>
        <v/>
      </c>
      <c r="AG456" s="93" t="str">
        <f aca="false">IF(AE456="","",INDEX(피어커브!$J:$J,MATCH(AE456,피어커브!$A:$A,0)))</f>
        <v/>
      </c>
      <c r="AH456" s="93" t="str">
        <f aca="false">IF(AE456="","",INDEX(피어커브!$L:$L,MATCH(AE456,피어커브!$A:$A,0)))</f>
        <v/>
      </c>
      <c r="AI456" s="93" t="str">
        <f aca="false">IF(AE456="","",AF456+AG456*AA456)</f>
        <v/>
      </c>
      <c r="AJ456" s="96" t="str">
        <f aca="false">IF(AE456="","",E456-AI456)</f>
        <v/>
      </c>
      <c r="AK456" s="95" t="str">
        <f aca="false">IF(AE456="","",IF(ISNUMBER(AH456),IF(AH456&gt;0,AJ456/AH456,""),""))</f>
        <v/>
      </c>
      <c r="AL456" s="43" t="str">
        <f aca="false">IF(AK456="","-",IF(AK456&gt;=설정!$C$6,"Cheap",IF(AK456&lt;=-설정!$C$6,"Rich","Fair")))</f>
        <v>-</v>
      </c>
      <c r="AM456" s="96" t="str">
        <f aca="false">IF(AE456="","",AJ456-AVERAGEIFS($AJ$2:$AJ$601,$B$2:$B$601,B456,$Y$2:$Y$601,1))</f>
        <v/>
      </c>
      <c r="AN456" s="93" t="n">
        <f aca="false">IF(AE456="",0,IF(K456&gt;1+설정!$C$8,AG456*(AA456-LN(K456-1)),0))</f>
        <v>0</v>
      </c>
      <c r="AO456" s="99" t="n">
        <f aca="false">IF($A456="",0,SUMIFS(보유분석!$AA$2:$AA$801,보유분석!$AB$2:$AB$801,ROW(),보유분석!$AC$2:$AC$801,1))</f>
        <v>0</v>
      </c>
      <c r="AP456" s="43" t="str">
        <f aca="false">IF($A456="","",TRIM(IF(R456=1,"FRN ","")&amp;IF(IFERROR(VLOOKUP(M456,설정!$A$15:$D$47,4,0),0)&gt;=10,IF(IFERROR(VLOOKUP(M456,설정!$A$15:$D$47,4,0),0)&lt;99,"BBB0미만 ",""),"")&amp;IF(OR(M456="",M456="NR"),"등급미입력 ","")&amp;IF(C456&lt;&gt;"USD","비USD ","")))</f>
        <v/>
      </c>
      <c r="AQ456" s="90" t="n">
        <f aca="false">IF(AND(Y456=1,AL456="Cheap"),IF(AND(ISERROR(SEARCH("FRN",AP456)),ISERROR(SEARCH("BBB0미만",AP456))),AK456+ROW()/1000000000,-999),-999)</f>
        <v>-999</v>
      </c>
      <c r="AR456" s="92" t="str">
        <f aca="false">IF(AND(ISNUMBER(D456),ISNUMBER(K456)),D456+AN456*MAX(K456-1,0)/100,"")</f>
        <v/>
      </c>
      <c r="AS456" s="93" t="str">
        <f aca="false">IF(AND(ISNUMBER(E456),ISNUMBER(K456)),IF(K456&gt;0,(E456+AN456*MAX(K456-1,0))/K456,""),"")</f>
        <v/>
      </c>
      <c r="AT456" s="90" t="n">
        <f aca="false">IFERROR(IF(AND(Y456=1,ROW()&lt;&gt;스왑분석!$C$12+1,ABS(K456-INDEX($K$2:$K$601,스왑분석!$C$12))&lt;=스왑분석!$C$5,ISERROR(SEARCH("FRN",AP456)),ISERROR(SEARCH("BBB0미만",AP456))),IF(AND(OR(스왑분석!$C$6="N",L456=INDEX($L$2:$L$601,스왑분석!$C$12)),OR(스왑분석!$C$7="N",N456=INDEX($N$2:$N$601,스왑분석!$C$12)),OR(스왑분석!$C$8="N",AO456=0),E456-INDEX($E$2:$E$601,스왑분석!$C$12)&gt;=스왑분석!$C$9),E456-INDEX($E$2:$E$601,스왑분석!$C$12)+ROW()/1000000000,-999),-999),-999)</f>
        <v>-999</v>
      </c>
      <c r="AU456" s="90" t="n">
        <f aca="false">IF(AND(Y456=1,AO456&gt;0,AL456="Rich"),-AK456+ROW()/1000000000,-999)</f>
        <v>-999</v>
      </c>
    </row>
    <row r="457" customFormat="false" ht="15" hidden="false" customHeight="false" outlineLevel="0" collapsed="false">
      <c r="A457" s="83" t="n">
        <f aca="false">IFERROR(IF(INDEX(원자료_시장!$A$1:$BZ$1000,설정!$L$6+ROW()-1,설정!$L$24)&amp;""="0","",INDEX(원자료_시장!$A$1:$BZ$1000,설정!$L$6+ROW()-1,설정!$L$24)),"")</f>
        <v>0</v>
      </c>
      <c r="B457" s="83" t="n">
        <f aca="false">IFERROR(IF(INDEX(원자료_시장!$A$1:$BZ$1000,설정!$L$6+ROW()-1,설정!$L$37)&amp;""="0","",INDEX(원자료_시장!$A$1:$BZ$1000,설정!$L$6+ROW()-1,설정!$L$37)),"")</f>
        <v>0</v>
      </c>
      <c r="C457" s="83" t="n">
        <f aca="false">IFERROR(IF(INDEX(원자료_시장!$A$1:$BZ$1000,설정!$L$6+ROW()-1,설정!$L$25)&amp;""="0","",INDEX(원자료_시장!$A$1:$BZ$1000,설정!$L$6+ROW()-1,설정!$L$25)),"")</f>
        <v>0</v>
      </c>
      <c r="D457" s="85" t="str">
        <f aca="false">IFERROR(IF(ISNUMBER(INDEX(원자료_시장!$A$1:$BZ$1000,설정!$L$6+ROW()-1,설정!$L$26)),INDEX(원자료_시장!$A$1:$BZ$1000,설정!$L$6+ROW()-1,설정!$L$26),""),"")</f>
        <v/>
      </c>
      <c r="E457" s="97" t="str">
        <f aca="false">IFERROR(IF(ISNUMBER(INDEX(원자료_시장!$A$1:$BZ$1000,설정!$L$6+ROW()-1,설정!$L$27)),INDEX(원자료_시장!$A$1:$BZ$1000,설정!$L$6+ROW()-1,설정!$L$27),""),"")</f>
        <v/>
      </c>
      <c r="F457" s="97" t="str">
        <f aca="false">IFERROR(IF(ISNUMBER(INDEX(원자료_시장!$A$1:$BZ$1000,설정!$L$6+ROW()-1,설정!$L$28)),INDEX(원자료_시장!$A$1:$BZ$1000,설정!$L$6+ROW()-1,설정!$L$28),""),"")</f>
        <v/>
      </c>
      <c r="G457" s="97" t="str">
        <f aca="false">IFERROR(IF(ISNUMBER(INDEX(원자료_시장!$A$1:$BZ$1000,설정!$L$6+ROW()-1,설정!$L$29)),INDEX(원자료_시장!$A$1:$BZ$1000,설정!$L$6+ROW()-1,설정!$L$29),""),"")</f>
        <v/>
      </c>
      <c r="H457" s="97" t="str">
        <f aca="false">IFERROR(IF(ISNUMBER(INDEX(원자료_시장!$A$1:$BZ$1000,설정!$L$6+ROW()-1,설정!$L$30)),INDEX(원자료_시장!$A$1:$BZ$1000,설정!$L$6+ROW()-1,설정!$L$30),""),"")</f>
        <v/>
      </c>
      <c r="I457" s="97" t="str">
        <f aca="false">IFERROR(IF(ISNUMBER(INDEX(원자료_시장!$A$1:$BZ$1000,설정!$L$6+ROW()-1,설정!$L$31)),INDEX(원자료_시장!$A$1:$BZ$1000,설정!$L$6+ROW()-1,설정!$L$31),""),"")</f>
        <v/>
      </c>
      <c r="J457" s="97" t="str">
        <f aca="false">IFERROR(IF(ISNUMBER(INDEX(원자료_시장!$A$1:$BZ$1000,설정!$L$6+ROW()-1,설정!$L$32)),INDEX(원자료_시장!$A$1:$BZ$1000,설정!$L$6+ROW()-1,설정!$L$32),""),"")</f>
        <v/>
      </c>
      <c r="K457" s="85" t="str">
        <f aca="false">IFERROR(IF(ISNUMBER(INDEX(원자료_시장!$A$1:$BZ$1000,설정!$L$6+ROW()-1,설정!$L$33)),INDEX(원자료_시장!$A$1:$BZ$1000,설정!$L$6+ROW()-1,설정!$L$33),""),"")</f>
        <v/>
      </c>
      <c r="L457" s="83" t="n">
        <f aca="false">IFERROR(IF(INDEX(원자료_시장!$A$1:$BZ$1000,설정!$L$6+ROW()-1,설정!$L$34)&amp;""="0","",INDEX(원자료_시장!$A$1:$BZ$1000,설정!$L$6+ROW()-1,설정!$L$34)),"")</f>
        <v>0</v>
      </c>
      <c r="M457" s="83" t="n">
        <f aca="false">IFERROR(IF(INDEX(원자료_시장!$A$1:$BZ$1000,설정!$L$6+ROW()-1,설정!$L$35)&amp;""="0","",INDEX(원자료_시장!$A$1:$BZ$1000,설정!$L$6+ROW()-1,설정!$L$35)),"")</f>
        <v>0</v>
      </c>
      <c r="N457" s="83" t="n">
        <f aca="false">IFERROR(IF(INDEX(원자료_시장!$A$1:$BZ$1000,설정!$L$6+ROW()-1,설정!$L$36)&amp;""="0","",INDEX(원자료_시장!$A$1:$BZ$1000,설정!$L$6+ROW()-1,설정!$L$36)),"")</f>
        <v>0</v>
      </c>
      <c r="O457" s="43" t="str">
        <f aca="false">IF($A457="","",UPPER(LEFT($A457,FIND(" ",$A457&amp;" ")-1)))</f>
        <v/>
      </c>
      <c r="P457" s="43" t="str">
        <f aca="false">IF($A457="","",TRIM(RIGHT(SUBSTITUTE(TRIM($A457)," ",REPT(" ",30)),30)))</f>
        <v/>
      </c>
      <c r="Q457" s="98" t="str">
        <f aca="false">IF($A457="","",IFERROR(DATE(IF(LEN(P457)=8,2000+VALUE(RIGHT(P457,2)),VALUE(RIGHT(P457,4))),VALUE(LEFT(P457,2)),VALUE(MID(P457,4,2))),""))</f>
        <v/>
      </c>
      <c r="R457" s="89" t="n">
        <f aca="false">IF($A457="",0,IF(ISNUMBER(SEARCH("Float",$A457)),1,0))</f>
        <v>0</v>
      </c>
      <c r="S457" s="43" t="str">
        <f aca="false">IF($A457="","",TRIM(MID($A457,LEN(O457)+2,LEN($A457)-LEN(O457)-LEN(P457)-1)))</f>
        <v/>
      </c>
      <c r="T457" s="92" t="str">
        <f aca="false">IF(OR($A457="",R457=1),"",IFERROR(IF(ISNUMBER(FIND("/",S457)),IF(ISNUMBER(FIND(" ",S457)),VALUE(LEFT(S457,FIND(" ",S457)-1))+VALUE(MID(S457,FIND(" ",S457)+1,FIND("/",S457)-FIND(" ",S457)-1))/VALUE(MID(S457,FIND("/",S457)+1,9)),VALUE(LEFT(S457,FIND("/",S457)-1))/VALUE(MID(S457,FIND("/",S457)+1,9))),VALUE(S457)),""))</f>
        <v/>
      </c>
      <c r="U457" s="43" t="str">
        <f aca="false">IF(OR($A457="",NOT(ISNUMBER(Q457))),"",TEXT(Q457,"yyyymmdd")&amp;"|"&amp;IF(R457=1,"F",TEXT(T457,"0.000")))</f>
        <v/>
      </c>
      <c r="V457" s="43" t="str">
        <f aca="false">IF(U457="","",O457&amp;"|"&amp;U457)</f>
        <v/>
      </c>
      <c r="W457" s="43" t="str">
        <f aca="false">IF($A457="","",IFERROR(IF(VLOOKUP(O457,매핑!$A$4:$E$92,3,0)="","미분류",VLOOKUP(O457,매핑!$A$4:$E$92,3,0)),"미분류"))</f>
        <v/>
      </c>
      <c r="X457" s="89" t="n">
        <f aca="false">IF($A457="",0,IF(O457="T",1,0))</f>
        <v>0</v>
      </c>
      <c r="Y457" s="89" t="n">
        <f aca="false">IF($A457="",0,IF(AND(C457="USD",X457=0,ISNUMBER(E457),ISNUMBER(K457)),IF(K457&gt;=설정!$C$8,1,0),0))</f>
        <v>0</v>
      </c>
      <c r="Z457" s="43" t="str">
        <f aca="false">IF($A457="","",N457&amp;"|"&amp;L457)</f>
        <v/>
      </c>
      <c r="AA457" s="92" t="n">
        <f aca="false">IF(Y457=1,LN(K457),0)</f>
        <v>0</v>
      </c>
      <c r="AB457" s="93" t="n">
        <f aca="false">IF(Y457=1,E457,0)</f>
        <v>0</v>
      </c>
      <c r="AC457" s="89" t="n">
        <f aca="false">IF(Y457=1,COUNTIFS($Z$2:$Z$601,Z457,$Y$2:$Y$601,1),0)</f>
        <v>0</v>
      </c>
      <c r="AD457" s="89" t="n">
        <f aca="false">IF(Y457=1,COUNTIFS($N$2:$N$601,N457,$Y$2:$Y$601,1),0)</f>
        <v>0</v>
      </c>
      <c r="AE457" s="43" t="str">
        <f aca="false">IF(Y457&lt;&gt;1,"",IF(AND(AC457&gt;=설정!$C$7,ISNUMBER(MATCH(Z457,피어커브!$A:$A,0))),Z457,IF(AND(AD457&gt;=설정!$C$7,ISNUMBER(MATCH(N457&amp;"|전체",피어커브!$A:$A,0))),N457&amp;"|전체","전체|전체")))</f>
        <v/>
      </c>
      <c r="AF457" s="93" t="str">
        <f aca="false">IF(AE457="","",INDEX(피어커브!$K:$K,MATCH(AE457,피어커브!$A:$A,0)))</f>
        <v/>
      </c>
      <c r="AG457" s="93" t="str">
        <f aca="false">IF(AE457="","",INDEX(피어커브!$J:$J,MATCH(AE457,피어커브!$A:$A,0)))</f>
        <v/>
      </c>
      <c r="AH457" s="93" t="str">
        <f aca="false">IF(AE457="","",INDEX(피어커브!$L:$L,MATCH(AE457,피어커브!$A:$A,0)))</f>
        <v/>
      </c>
      <c r="AI457" s="93" t="str">
        <f aca="false">IF(AE457="","",AF457+AG457*AA457)</f>
        <v/>
      </c>
      <c r="AJ457" s="96" t="str">
        <f aca="false">IF(AE457="","",E457-AI457)</f>
        <v/>
      </c>
      <c r="AK457" s="95" t="str">
        <f aca="false">IF(AE457="","",IF(ISNUMBER(AH457),IF(AH457&gt;0,AJ457/AH457,""),""))</f>
        <v/>
      </c>
      <c r="AL457" s="43" t="str">
        <f aca="false">IF(AK457="","-",IF(AK457&gt;=설정!$C$6,"Cheap",IF(AK457&lt;=-설정!$C$6,"Rich","Fair")))</f>
        <v>-</v>
      </c>
      <c r="AM457" s="96" t="str">
        <f aca="false">IF(AE457="","",AJ457-AVERAGEIFS($AJ$2:$AJ$601,$B$2:$B$601,B457,$Y$2:$Y$601,1))</f>
        <v/>
      </c>
      <c r="AN457" s="93" t="n">
        <f aca="false">IF(AE457="",0,IF(K457&gt;1+설정!$C$8,AG457*(AA457-LN(K457-1)),0))</f>
        <v>0</v>
      </c>
      <c r="AO457" s="99" t="n">
        <f aca="false">IF($A457="",0,SUMIFS(보유분석!$AA$2:$AA$801,보유분석!$AB$2:$AB$801,ROW(),보유분석!$AC$2:$AC$801,1))</f>
        <v>0</v>
      </c>
      <c r="AP457" s="43" t="str">
        <f aca="false">IF($A457="","",TRIM(IF(R457=1,"FRN ","")&amp;IF(IFERROR(VLOOKUP(M457,설정!$A$15:$D$47,4,0),0)&gt;=10,IF(IFERROR(VLOOKUP(M457,설정!$A$15:$D$47,4,0),0)&lt;99,"BBB0미만 ",""),"")&amp;IF(OR(M457="",M457="NR"),"등급미입력 ","")&amp;IF(C457&lt;&gt;"USD","비USD ","")))</f>
        <v/>
      </c>
      <c r="AQ457" s="90" t="n">
        <f aca="false">IF(AND(Y457=1,AL457="Cheap"),IF(AND(ISERROR(SEARCH("FRN",AP457)),ISERROR(SEARCH("BBB0미만",AP457))),AK457+ROW()/1000000000,-999),-999)</f>
        <v>-999</v>
      </c>
      <c r="AR457" s="92" t="str">
        <f aca="false">IF(AND(ISNUMBER(D457),ISNUMBER(K457)),D457+AN457*MAX(K457-1,0)/100,"")</f>
        <v/>
      </c>
      <c r="AS457" s="93" t="str">
        <f aca="false">IF(AND(ISNUMBER(E457),ISNUMBER(K457)),IF(K457&gt;0,(E457+AN457*MAX(K457-1,0))/K457,""),"")</f>
        <v/>
      </c>
      <c r="AT457" s="90" t="n">
        <f aca="false">IFERROR(IF(AND(Y457=1,ROW()&lt;&gt;스왑분석!$C$12+1,ABS(K457-INDEX($K$2:$K$601,스왑분석!$C$12))&lt;=스왑분석!$C$5,ISERROR(SEARCH("FRN",AP457)),ISERROR(SEARCH("BBB0미만",AP457))),IF(AND(OR(스왑분석!$C$6="N",L457=INDEX($L$2:$L$601,스왑분석!$C$12)),OR(스왑분석!$C$7="N",N457=INDEX($N$2:$N$601,스왑분석!$C$12)),OR(스왑분석!$C$8="N",AO457=0),E457-INDEX($E$2:$E$601,스왑분석!$C$12)&gt;=스왑분석!$C$9),E457-INDEX($E$2:$E$601,스왑분석!$C$12)+ROW()/1000000000,-999),-999),-999)</f>
        <v>-999</v>
      </c>
      <c r="AU457" s="90" t="n">
        <f aca="false">IF(AND(Y457=1,AO457&gt;0,AL457="Rich"),-AK457+ROW()/1000000000,-999)</f>
        <v>-999</v>
      </c>
    </row>
    <row r="458" customFormat="false" ht="15" hidden="false" customHeight="false" outlineLevel="0" collapsed="false">
      <c r="A458" s="83" t="n">
        <f aca="false">IFERROR(IF(INDEX(원자료_시장!$A$1:$BZ$1000,설정!$L$6+ROW()-1,설정!$L$24)&amp;""="0","",INDEX(원자료_시장!$A$1:$BZ$1000,설정!$L$6+ROW()-1,설정!$L$24)),"")</f>
        <v>0</v>
      </c>
      <c r="B458" s="83" t="n">
        <f aca="false">IFERROR(IF(INDEX(원자료_시장!$A$1:$BZ$1000,설정!$L$6+ROW()-1,설정!$L$37)&amp;""="0","",INDEX(원자료_시장!$A$1:$BZ$1000,설정!$L$6+ROW()-1,설정!$L$37)),"")</f>
        <v>0</v>
      </c>
      <c r="C458" s="83" t="n">
        <f aca="false">IFERROR(IF(INDEX(원자료_시장!$A$1:$BZ$1000,설정!$L$6+ROW()-1,설정!$L$25)&amp;""="0","",INDEX(원자료_시장!$A$1:$BZ$1000,설정!$L$6+ROW()-1,설정!$L$25)),"")</f>
        <v>0</v>
      </c>
      <c r="D458" s="85" t="str">
        <f aca="false">IFERROR(IF(ISNUMBER(INDEX(원자료_시장!$A$1:$BZ$1000,설정!$L$6+ROW()-1,설정!$L$26)),INDEX(원자료_시장!$A$1:$BZ$1000,설정!$L$6+ROW()-1,설정!$L$26),""),"")</f>
        <v/>
      </c>
      <c r="E458" s="97" t="str">
        <f aca="false">IFERROR(IF(ISNUMBER(INDEX(원자료_시장!$A$1:$BZ$1000,설정!$L$6+ROW()-1,설정!$L$27)),INDEX(원자료_시장!$A$1:$BZ$1000,설정!$L$6+ROW()-1,설정!$L$27),""),"")</f>
        <v/>
      </c>
      <c r="F458" s="97" t="str">
        <f aca="false">IFERROR(IF(ISNUMBER(INDEX(원자료_시장!$A$1:$BZ$1000,설정!$L$6+ROW()-1,설정!$L$28)),INDEX(원자료_시장!$A$1:$BZ$1000,설정!$L$6+ROW()-1,설정!$L$28),""),"")</f>
        <v/>
      </c>
      <c r="G458" s="97" t="str">
        <f aca="false">IFERROR(IF(ISNUMBER(INDEX(원자료_시장!$A$1:$BZ$1000,설정!$L$6+ROW()-1,설정!$L$29)),INDEX(원자료_시장!$A$1:$BZ$1000,설정!$L$6+ROW()-1,설정!$L$29),""),"")</f>
        <v/>
      </c>
      <c r="H458" s="97" t="str">
        <f aca="false">IFERROR(IF(ISNUMBER(INDEX(원자료_시장!$A$1:$BZ$1000,설정!$L$6+ROW()-1,설정!$L$30)),INDEX(원자료_시장!$A$1:$BZ$1000,설정!$L$6+ROW()-1,설정!$L$30),""),"")</f>
        <v/>
      </c>
      <c r="I458" s="97" t="str">
        <f aca="false">IFERROR(IF(ISNUMBER(INDEX(원자료_시장!$A$1:$BZ$1000,설정!$L$6+ROW()-1,설정!$L$31)),INDEX(원자료_시장!$A$1:$BZ$1000,설정!$L$6+ROW()-1,설정!$L$31),""),"")</f>
        <v/>
      </c>
      <c r="J458" s="97" t="str">
        <f aca="false">IFERROR(IF(ISNUMBER(INDEX(원자료_시장!$A$1:$BZ$1000,설정!$L$6+ROW()-1,설정!$L$32)),INDEX(원자료_시장!$A$1:$BZ$1000,설정!$L$6+ROW()-1,설정!$L$32),""),"")</f>
        <v/>
      </c>
      <c r="K458" s="85" t="str">
        <f aca="false">IFERROR(IF(ISNUMBER(INDEX(원자료_시장!$A$1:$BZ$1000,설정!$L$6+ROW()-1,설정!$L$33)),INDEX(원자료_시장!$A$1:$BZ$1000,설정!$L$6+ROW()-1,설정!$L$33),""),"")</f>
        <v/>
      </c>
      <c r="L458" s="83" t="n">
        <f aca="false">IFERROR(IF(INDEX(원자료_시장!$A$1:$BZ$1000,설정!$L$6+ROW()-1,설정!$L$34)&amp;""="0","",INDEX(원자료_시장!$A$1:$BZ$1000,설정!$L$6+ROW()-1,설정!$L$34)),"")</f>
        <v>0</v>
      </c>
      <c r="M458" s="83" t="n">
        <f aca="false">IFERROR(IF(INDEX(원자료_시장!$A$1:$BZ$1000,설정!$L$6+ROW()-1,설정!$L$35)&amp;""="0","",INDEX(원자료_시장!$A$1:$BZ$1000,설정!$L$6+ROW()-1,설정!$L$35)),"")</f>
        <v>0</v>
      </c>
      <c r="N458" s="83" t="n">
        <f aca="false">IFERROR(IF(INDEX(원자료_시장!$A$1:$BZ$1000,설정!$L$6+ROW()-1,설정!$L$36)&amp;""="0","",INDEX(원자료_시장!$A$1:$BZ$1000,설정!$L$6+ROW()-1,설정!$L$36)),"")</f>
        <v>0</v>
      </c>
      <c r="O458" s="43" t="str">
        <f aca="false">IF($A458="","",UPPER(LEFT($A458,FIND(" ",$A458&amp;" ")-1)))</f>
        <v/>
      </c>
      <c r="P458" s="43" t="str">
        <f aca="false">IF($A458="","",TRIM(RIGHT(SUBSTITUTE(TRIM($A458)," ",REPT(" ",30)),30)))</f>
        <v/>
      </c>
      <c r="Q458" s="98" t="str">
        <f aca="false">IF($A458="","",IFERROR(DATE(IF(LEN(P458)=8,2000+VALUE(RIGHT(P458,2)),VALUE(RIGHT(P458,4))),VALUE(LEFT(P458,2)),VALUE(MID(P458,4,2))),""))</f>
        <v/>
      </c>
      <c r="R458" s="89" t="n">
        <f aca="false">IF($A458="",0,IF(ISNUMBER(SEARCH("Float",$A458)),1,0))</f>
        <v>0</v>
      </c>
      <c r="S458" s="43" t="str">
        <f aca="false">IF($A458="","",TRIM(MID($A458,LEN(O458)+2,LEN($A458)-LEN(O458)-LEN(P458)-1)))</f>
        <v/>
      </c>
      <c r="T458" s="92" t="str">
        <f aca="false">IF(OR($A458="",R458=1),"",IFERROR(IF(ISNUMBER(FIND("/",S458)),IF(ISNUMBER(FIND(" ",S458)),VALUE(LEFT(S458,FIND(" ",S458)-1))+VALUE(MID(S458,FIND(" ",S458)+1,FIND("/",S458)-FIND(" ",S458)-1))/VALUE(MID(S458,FIND("/",S458)+1,9)),VALUE(LEFT(S458,FIND("/",S458)-1))/VALUE(MID(S458,FIND("/",S458)+1,9))),VALUE(S458)),""))</f>
        <v/>
      </c>
      <c r="U458" s="43" t="str">
        <f aca="false">IF(OR($A458="",NOT(ISNUMBER(Q458))),"",TEXT(Q458,"yyyymmdd")&amp;"|"&amp;IF(R458=1,"F",TEXT(T458,"0.000")))</f>
        <v/>
      </c>
      <c r="V458" s="43" t="str">
        <f aca="false">IF(U458="","",O458&amp;"|"&amp;U458)</f>
        <v/>
      </c>
      <c r="W458" s="43" t="str">
        <f aca="false">IF($A458="","",IFERROR(IF(VLOOKUP(O458,매핑!$A$4:$E$92,3,0)="","미분류",VLOOKUP(O458,매핑!$A$4:$E$92,3,0)),"미분류"))</f>
        <v/>
      </c>
      <c r="X458" s="89" t="n">
        <f aca="false">IF($A458="",0,IF(O458="T",1,0))</f>
        <v>0</v>
      </c>
      <c r="Y458" s="89" t="n">
        <f aca="false">IF($A458="",0,IF(AND(C458="USD",X458=0,ISNUMBER(E458),ISNUMBER(K458)),IF(K458&gt;=설정!$C$8,1,0),0))</f>
        <v>0</v>
      </c>
      <c r="Z458" s="43" t="str">
        <f aca="false">IF($A458="","",N458&amp;"|"&amp;L458)</f>
        <v/>
      </c>
      <c r="AA458" s="92" t="n">
        <f aca="false">IF(Y458=1,LN(K458),0)</f>
        <v>0</v>
      </c>
      <c r="AB458" s="93" t="n">
        <f aca="false">IF(Y458=1,E458,0)</f>
        <v>0</v>
      </c>
      <c r="AC458" s="89" t="n">
        <f aca="false">IF(Y458=1,COUNTIFS($Z$2:$Z$601,Z458,$Y$2:$Y$601,1),0)</f>
        <v>0</v>
      </c>
      <c r="AD458" s="89" t="n">
        <f aca="false">IF(Y458=1,COUNTIFS($N$2:$N$601,N458,$Y$2:$Y$601,1),0)</f>
        <v>0</v>
      </c>
      <c r="AE458" s="43" t="str">
        <f aca="false">IF(Y458&lt;&gt;1,"",IF(AND(AC458&gt;=설정!$C$7,ISNUMBER(MATCH(Z458,피어커브!$A:$A,0))),Z458,IF(AND(AD458&gt;=설정!$C$7,ISNUMBER(MATCH(N458&amp;"|전체",피어커브!$A:$A,0))),N458&amp;"|전체","전체|전체")))</f>
        <v/>
      </c>
      <c r="AF458" s="93" t="str">
        <f aca="false">IF(AE458="","",INDEX(피어커브!$K:$K,MATCH(AE458,피어커브!$A:$A,0)))</f>
        <v/>
      </c>
      <c r="AG458" s="93" t="str">
        <f aca="false">IF(AE458="","",INDEX(피어커브!$J:$J,MATCH(AE458,피어커브!$A:$A,0)))</f>
        <v/>
      </c>
      <c r="AH458" s="93" t="str">
        <f aca="false">IF(AE458="","",INDEX(피어커브!$L:$L,MATCH(AE458,피어커브!$A:$A,0)))</f>
        <v/>
      </c>
      <c r="AI458" s="93" t="str">
        <f aca="false">IF(AE458="","",AF458+AG458*AA458)</f>
        <v/>
      </c>
      <c r="AJ458" s="96" t="str">
        <f aca="false">IF(AE458="","",E458-AI458)</f>
        <v/>
      </c>
      <c r="AK458" s="95" t="str">
        <f aca="false">IF(AE458="","",IF(ISNUMBER(AH458),IF(AH458&gt;0,AJ458/AH458,""),""))</f>
        <v/>
      </c>
      <c r="AL458" s="43" t="str">
        <f aca="false">IF(AK458="","-",IF(AK458&gt;=설정!$C$6,"Cheap",IF(AK458&lt;=-설정!$C$6,"Rich","Fair")))</f>
        <v>-</v>
      </c>
      <c r="AM458" s="96" t="str">
        <f aca="false">IF(AE458="","",AJ458-AVERAGEIFS($AJ$2:$AJ$601,$B$2:$B$601,B458,$Y$2:$Y$601,1))</f>
        <v/>
      </c>
      <c r="AN458" s="93" t="n">
        <f aca="false">IF(AE458="",0,IF(K458&gt;1+설정!$C$8,AG458*(AA458-LN(K458-1)),0))</f>
        <v>0</v>
      </c>
      <c r="AO458" s="99" t="n">
        <f aca="false">IF($A458="",0,SUMIFS(보유분석!$AA$2:$AA$801,보유분석!$AB$2:$AB$801,ROW(),보유분석!$AC$2:$AC$801,1))</f>
        <v>0</v>
      </c>
      <c r="AP458" s="43" t="str">
        <f aca="false">IF($A458="","",TRIM(IF(R458=1,"FRN ","")&amp;IF(IFERROR(VLOOKUP(M458,설정!$A$15:$D$47,4,0),0)&gt;=10,IF(IFERROR(VLOOKUP(M458,설정!$A$15:$D$47,4,0),0)&lt;99,"BBB0미만 ",""),"")&amp;IF(OR(M458="",M458="NR"),"등급미입력 ","")&amp;IF(C458&lt;&gt;"USD","비USD ","")))</f>
        <v/>
      </c>
      <c r="AQ458" s="90" t="n">
        <f aca="false">IF(AND(Y458=1,AL458="Cheap"),IF(AND(ISERROR(SEARCH("FRN",AP458)),ISERROR(SEARCH("BBB0미만",AP458))),AK458+ROW()/1000000000,-999),-999)</f>
        <v>-999</v>
      </c>
      <c r="AR458" s="92" t="str">
        <f aca="false">IF(AND(ISNUMBER(D458),ISNUMBER(K458)),D458+AN458*MAX(K458-1,0)/100,"")</f>
        <v/>
      </c>
      <c r="AS458" s="93" t="str">
        <f aca="false">IF(AND(ISNUMBER(E458),ISNUMBER(K458)),IF(K458&gt;0,(E458+AN458*MAX(K458-1,0))/K458,""),"")</f>
        <v/>
      </c>
      <c r="AT458" s="90" t="n">
        <f aca="false">IFERROR(IF(AND(Y458=1,ROW()&lt;&gt;스왑분석!$C$12+1,ABS(K458-INDEX($K$2:$K$601,스왑분석!$C$12))&lt;=스왑분석!$C$5,ISERROR(SEARCH("FRN",AP458)),ISERROR(SEARCH("BBB0미만",AP458))),IF(AND(OR(스왑분석!$C$6="N",L458=INDEX($L$2:$L$601,스왑분석!$C$12)),OR(스왑분석!$C$7="N",N458=INDEX($N$2:$N$601,스왑분석!$C$12)),OR(스왑분석!$C$8="N",AO458=0),E458-INDEX($E$2:$E$601,스왑분석!$C$12)&gt;=스왑분석!$C$9),E458-INDEX($E$2:$E$601,스왑분석!$C$12)+ROW()/1000000000,-999),-999),-999)</f>
        <v>-999</v>
      </c>
      <c r="AU458" s="90" t="n">
        <f aca="false">IF(AND(Y458=1,AO458&gt;0,AL458="Rich"),-AK458+ROW()/1000000000,-999)</f>
        <v>-999</v>
      </c>
    </row>
    <row r="459" customFormat="false" ht="15" hidden="false" customHeight="false" outlineLevel="0" collapsed="false">
      <c r="A459" s="83" t="n">
        <f aca="false">IFERROR(IF(INDEX(원자료_시장!$A$1:$BZ$1000,설정!$L$6+ROW()-1,설정!$L$24)&amp;""="0","",INDEX(원자료_시장!$A$1:$BZ$1000,설정!$L$6+ROW()-1,설정!$L$24)),"")</f>
        <v>0</v>
      </c>
      <c r="B459" s="83" t="n">
        <f aca="false">IFERROR(IF(INDEX(원자료_시장!$A$1:$BZ$1000,설정!$L$6+ROW()-1,설정!$L$37)&amp;""="0","",INDEX(원자료_시장!$A$1:$BZ$1000,설정!$L$6+ROW()-1,설정!$L$37)),"")</f>
        <v>0</v>
      </c>
      <c r="C459" s="83" t="n">
        <f aca="false">IFERROR(IF(INDEX(원자료_시장!$A$1:$BZ$1000,설정!$L$6+ROW()-1,설정!$L$25)&amp;""="0","",INDEX(원자료_시장!$A$1:$BZ$1000,설정!$L$6+ROW()-1,설정!$L$25)),"")</f>
        <v>0</v>
      </c>
      <c r="D459" s="85" t="str">
        <f aca="false">IFERROR(IF(ISNUMBER(INDEX(원자료_시장!$A$1:$BZ$1000,설정!$L$6+ROW()-1,설정!$L$26)),INDEX(원자료_시장!$A$1:$BZ$1000,설정!$L$6+ROW()-1,설정!$L$26),""),"")</f>
        <v/>
      </c>
      <c r="E459" s="97" t="str">
        <f aca="false">IFERROR(IF(ISNUMBER(INDEX(원자료_시장!$A$1:$BZ$1000,설정!$L$6+ROW()-1,설정!$L$27)),INDEX(원자료_시장!$A$1:$BZ$1000,설정!$L$6+ROW()-1,설정!$L$27),""),"")</f>
        <v/>
      </c>
      <c r="F459" s="97" t="str">
        <f aca="false">IFERROR(IF(ISNUMBER(INDEX(원자료_시장!$A$1:$BZ$1000,설정!$L$6+ROW()-1,설정!$L$28)),INDEX(원자료_시장!$A$1:$BZ$1000,설정!$L$6+ROW()-1,설정!$L$28),""),"")</f>
        <v/>
      </c>
      <c r="G459" s="97" t="str">
        <f aca="false">IFERROR(IF(ISNUMBER(INDEX(원자료_시장!$A$1:$BZ$1000,설정!$L$6+ROW()-1,설정!$L$29)),INDEX(원자료_시장!$A$1:$BZ$1000,설정!$L$6+ROW()-1,설정!$L$29),""),"")</f>
        <v/>
      </c>
      <c r="H459" s="97" t="str">
        <f aca="false">IFERROR(IF(ISNUMBER(INDEX(원자료_시장!$A$1:$BZ$1000,설정!$L$6+ROW()-1,설정!$L$30)),INDEX(원자료_시장!$A$1:$BZ$1000,설정!$L$6+ROW()-1,설정!$L$30),""),"")</f>
        <v/>
      </c>
      <c r="I459" s="97" t="str">
        <f aca="false">IFERROR(IF(ISNUMBER(INDEX(원자료_시장!$A$1:$BZ$1000,설정!$L$6+ROW()-1,설정!$L$31)),INDEX(원자료_시장!$A$1:$BZ$1000,설정!$L$6+ROW()-1,설정!$L$31),""),"")</f>
        <v/>
      </c>
      <c r="J459" s="97" t="str">
        <f aca="false">IFERROR(IF(ISNUMBER(INDEX(원자료_시장!$A$1:$BZ$1000,설정!$L$6+ROW()-1,설정!$L$32)),INDEX(원자료_시장!$A$1:$BZ$1000,설정!$L$6+ROW()-1,설정!$L$32),""),"")</f>
        <v/>
      </c>
      <c r="K459" s="85" t="str">
        <f aca="false">IFERROR(IF(ISNUMBER(INDEX(원자료_시장!$A$1:$BZ$1000,설정!$L$6+ROW()-1,설정!$L$33)),INDEX(원자료_시장!$A$1:$BZ$1000,설정!$L$6+ROW()-1,설정!$L$33),""),"")</f>
        <v/>
      </c>
      <c r="L459" s="83" t="n">
        <f aca="false">IFERROR(IF(INDEX(원자료_시장!$A$1:$BZ$1000,설정!$L$6+ROW()-1,설정!$L$34)&amp;""="0","",INDEX(원자료_시장!$A$1:$BZ$1000,설정!$L$6+ROW()-1,설정!$L$34)),"")</f>
        <v>0</v>
      </c>
      <c r="M459" s="83" t="n">
        <f aca="false">IFERROR(IF(INDEX(원자료_시장!$A$1:$BZ$1000,설정!$L$6+ROW()-1,설정!$L$35)&amp;""="0","",INDEX(원자료_시장!$A$1:$BZ$1000,설정!$L$6+ROW()-1,설정!$L$35)),"")</f>
        <v>0</v>
      </c>
      <c r="N459" s="83" t="n">
        <f aca="false">IFERROR(IF(INDEX(원자료_시장!$A$1:$BZ$1000,설정!$L$6+ROW()-1,설정!$L$36)&amp;""="0","",INDEX(원자료_시장!$A$1:$BZ$1000,설정!$L$6+ROW()-1,설정!$L$36)),"")</f>
        <v>0</v>
      </c>
      <c r="O459" s="43" t="str">
        <f aca="false">IF($A459="","",UPPER(LEFT($A459,FIND(" ",$A459&amp;" ")-1)))</f>
        <v/>
      </c>
      <c r="P459" s="43" t="str">
        <f aca="false">IF($A459="","",TRIM(RIGHT(SUBSTITUTE(TRIM($A459)," ",REPT(" ",30)),30)))</f>
        <v/>
      </c>
      <c r="Q459" s="98" t="str">
        <f aca="false">IF($A459="","",IFERROR(DATE(IF(LEN(P459)=8,2000+VALUE(RIGHT(P459,2)),VALUE(RIGHT(P459,4))),VALUE(LEFT(P459,2)),VALUE(MID(P459,4,2))),""))</f>
        <v/>
      </c>
      <c r="R459" s="89" t="n">
        <f aca="false">IF($A459="",0,IF(ISNUMBER(SEARCH("Float",$A459)),1,0))</f>
        <v>0</v>
      </c>
      <c r="S459" s="43" t="str">
        <f aca="false">IF($A459="","",TRIM(MID($A459,LEN(O459)+2,LEN($A459)-LEN(O459)-LEN(P459)-1)))</f>
        <v/>
      </c>
      <c r="T459" s="92" t="str">
        <f aca="false">IF(OR($A459="",R459=1),"",IFERROR(IF(ISNUMBER(FIND("/",S459)),IF(ISNUMBER(FIND(" ",S459)),VALUE(LEFT(S459,FIND(" ",S459)-1))+VALUE(MID(S459,FIND(" ",S459)+1,FIND("/",S459)-FIND(" ",S459)-1))/VALUE(MID(S459,FIND("/",S459)+1,9)),VALUE(LEFT(S459,FIND("/",S459)-1))/VALUE(MID(S459,FIND("/",S459)+1,9))),VALUE(S459)),""))</f>
        <v/>
      </c>
      <c r="U459" s="43" t="str">
        <f aca="false">IF(OR($A459="",NOT(ISNUMBER(Q459))),"",TEXT(Q459,"yyyymmdd")&amp;"|"&amp;IF(R459=1,"F",TEXT(T459,"0.000")))</f>
        <v/>
      </c>
      <c r="V459" s="43" t="str">
        <f aca="false">IF(U459="","",O459&amp;"|"&amp;U459)</f>
        <v/>
      </c>
      <c r="W459" s="43" t="str">
        <f aca="false">IF($A459="","",IFERROR(IF(VLOOKUP(O459,매핑!$A$4:$E$92,3,0)="","미분류",VLOOKUP(O459,매핑!$A$4:$E$92,3,0)),"미분류"))</f>
        <v/>
      </c>
      <c r="X459" s="89" t="n">
        <f aca="false">IF($A459="",0,IF(O459="T",1,0))</f>
        <v>0</v>
      </c>
      <c r="Y459" s="89" t="n">
        <f aca="false">IF($A459="",0,IF(AND(C459="USD",X459=0,ISNUMBER(E459),ISNUMBER(K459)),IF(K459&gt;=설정!$C$8,1,0),0))</f>
        <v>0</v>
      </c>
      <c r="Z459" s="43" t="str">
        <f aca="false">IF($A459="","",N459&amp;"|"&amp;L459)</f>
        <v/>
      </c>
      <c r="AA459" s="92" t="n">
        <f aca="false">IF(Y459=1,LN(K459),0)</f>
        <v>0</v>
      </c>
      <c r="AB459" s="93" t="n">
        <f aca="false">IF(Y459=1,E459,0)</f>
        <v>0</v>
      </c>
      <c r="AC459" s="89" t="n">
        <f aca="false">IF(Y459=1,COUNTIFS($Z$2:$Z$601,Z459,$Y$2:$Y$601,1),0)</f>
        <v>0</v>
      </c>
      <c r="AD459" s="89" t="n">
        <f aca="false">IF(Y459=1,COUNTIFS($N$2:$N$601,N459,$Y$2:$Y$601,1),0)</f>
        <v>0</v>
      </c>
      <c r="AE459" s="43" t="str">
        <f aca="false">IF(Y459&lt;&gt;1,"",IF(AND(AC459&gt;=설정!$C$7,ISNUMBER(MATCH(Z459,피어커브!$A:$A,0))),Z459,IF(AND(AD459&gt;=설정!$C$7,ISNUMBER(MATCH(N459&amp;"|전체",피어커브!$A:$A,0))),N459&amp;"|전체","전체|전체")))</f>
        <v/>
      </c>
      <c r="AF459" s="93" t="str">
        <f aca="false">IF(AE459="","",INDEX(피어커브!$K:$K,MATCH(AE459,피어커브!$A:$A,0)))</f>
        <v/>
      </c>
      <c r="AG459" s="93" t="str">
        <f aca="false">IF(AE459="","",INDEX(피어커브!$J:$J,MATCH(AE459,피어커브!$A:$A,0)))</f>
        <v/>
      </c>
      <c r="AH459" s="93" t="str">
        <f aca="false">IF(AE459="","",INDEX(피어커브!$L:$L,MATCH(AE459,피어커브!$A:$A,0)))</f>
        <v/>
      </c>
      <c r="AI459" s="93" t="str">
        <f aca="false">IF(AE459="","",AF459+AG459*AA459)</f>
        <v/>
      </c>
      <c r="AJ459" s="96" t="str">
        <f aca="false">IF(AE459="","",E459-AI459)</f>
        <v/>
      </c>
      <c r="AK459" s="95" t="str">
        <f aca="false">IF(AE459="","",IF(ISNUMBER(AH459),IF(AH459&gt;0,AJ459/AH459,""),""))</f>
        <v/>
      </c>
      <c r="AL459" s="43" t="str">
        <f aca="false">IF(AK459="","-",IF(AK459&gt;=설정!$C$6,"Cheap",IF(AK459&lt;=-설정!$C$6,"Rich","Fair")))</f>
        <v>-</v>
      </c>
      <c r="AM459" s="96" t="str">
        <f aca="false">IF(AE459="","",AJ459-AVERAGEIFS($AJ$2:$AJ$601,$B$2:$B$601,B459,$Y$2:$Y$601,1))</f>
        <v/>
      </c>
      <c r="AN459" s="93" t="n">
        <f aca="false">IF(AE459="",0,IF(K459&gt;1+설정!$C$8,AG459*(AA459-LN(K459-1)),0))</f>
        <v>0</v>
      </c>
      <c r="AO459" s="99" t="n">
        <f aca="false">IF($A459="",0,SUMIFS(보유분석!$AA$2:$AA$801,보유분석!$AB$2:$AB$801,ROW(),보유분석!$AC$2:$AC$801,1))</f>
        <v>0</v>
      </c>
      <c r="AP459" s="43" t="str">
        <f aca="false">IF($A459="","",TRIM(IF(R459=1,"FRN ","")&amp;IF(IFERROR(VLOOKUP(M459,설정!$A$15:$D$47,4,0),0)&gt;=10,IF(IFERROR(VLOOKUP(M459,설정!$A$15:$D$47,4,0),0)&lt;99,"BBB0미만 ",""),"")&amp;IF(OR(M459="",M459="NR"),"등급미입력 ","")&amp;IF(C459&lt;&gt;"USD","비USD ","")))</f>
        <v/>
      </c>
      <c r="AQ459" s="90" t="n">
        <f aca="false">IF(AND(Y459=1,AL459="Cheap"),IF(AND(ISERROR(SEARCH("FRN",AP459)),ISERROR(SEARCH("BBB0미만",AP459))),AK459+ROW()/1000000000,-999),-999)</f>
        <v>-999</v>
      </c>
      <c r="AR459" s="92" t="str">
        <f aca="false">IF(AND(ISNUMBER(D459),ISNUMBER(K459)),D459+AN459*MAX(K459-1,0)/100,"")</f>
        <v/>
      </c>
      <c r="AS459" s="93" t="str">
        <f aca="false">IF(AND(ISNUMBER(E459),ISNUMBER(K459)),IF(K459&gt;0,(E459+AN459*MAX(K459-1,0))/K459,""),"")</f>
        <v/>
      </c>
      <c r="AT459" s="90" t="n">
        <f aca="false">IFERROR(IF(AND(Y459=1,ROW()&lt;&gt;스왑분석!$C$12+1,ABS(K459-INDEX($K$2:$K$601,스왑분석!$C$12))&lt;=스왑분석!$C$5,ISERROR(SEARCH("FRN",AP459)),ISERROR(SEARCH("BBB0미만",AP459))),IF(AND(OR(스왑분석!$C$6="N",L459=INDEX($L$2:$L$601,스왑분석!$C$12)),OR(스왑분석!$C$7="N",N459=INDEX($N$2:$N$601,스왑분석!$C$12)),OR(스왑분석!$C$8="N",AO459=0),E459-INDEX($E$2:$E$601,스왑분석!$C$12)&gt;=스왑분석!$C$9),E459-INDEX($E$2:$E$601,스왑분석!$C$12)+ROW()/1000000000,-999),-999),-999)</f>
        <v>-999</v>
      </c>
      <c r="AU459" s="90" t="n">
        <f aca="false">IF(AND(Y459=1,AO459&gt;0,AL459="Rich"),-AK459+ROW()/1000000000,-999)</f>
        <v>-999</v>
      </c>
    </row>
    <row r="460" customFormat="false" ht="15" hidden="false" customHeight="false" outlineLevel="0" collapsed="false">
      <c r="A460" s="83" t="n">
        <f aca="false">IFERROR(IF(INDEX(원자료_시장!$A$1:$BZ$1000,설정!$L$6+ROW()-1,설정!$L$24)&amp;""="0","",INDEX(원자료_시장!$A$1:$BZ$1000,설정!$L$6+ROW()-1,설정!$L$24)),"")</f>
        <v>0</v>
      </c>
      <c r="B460" s="83" t="n">
        <f aca="false">IFERROR(IF(INDEX(원자료_시장!$A$1:$BZ$1000,설정!$L$6+ROW()-1,설정!$L$37)&amp;""="0","",INDEX(원자료_시장!$A$1:$BZ$1000,설정!$L$6+ROW()-1,설정!$L$37)),"")</f>
        <v>0</v>
      </c>
      <c r="C460" s="83" t="n">
        <f aca="false">IFERROR(IF(INDEX(원자료_시장!$A$1:$BZ$1000,설정!$L$6+ROW()-1,설정!$L$25)&amp;""="0","",INDEX(원자료_시장!$A$1:$BZ$1000,설정!$L$6+ROW()-1,설정!$L$25)),"")</f>
        <v>0</v>
      </c>
      <c r="D460" s="85" t="str">
        <f aca="false">IFERROR(IF(ISNUMBER(INDEX(원자료_시장!$A$1:$BZ$1000,설정!$L$6+ROW()-1,설정!$L$26)),INDEX(원자료_시장!$A$1:$BZ$1000,설정!$L$6+ROW()-1,설정!$L$26),""),"")</f>
        <v/>
      </c>
      <c r="E460" s="97" t="str">
        <f aca="false">IFERROR(IF(ISNUMBER(INDEX(원자료_시장!$A$1:$BZ$1000,설정!$L$6+ROW()-1,설정!$L$27)),INDEX(원자료_시장!$A$1:$BZ$1000,설정!$L$6+ROW()-1,설정!$L$27),""),"")</f>
        <v/>
      </c>
      <c r="F460" s="97" t="str">
        <f aca="false">IFERROR(IF(ISNUMBER(INDEX(원자료_시장!$A$1:$BZ$1000,설정!$L$6+ROW()-1,설정!$L$28)),INDEX(원자료_시장!$A$1:$BZ$1000,설정!$L$6+ROW()-1,설정!$L$28),""),"")</f>
        <v/>
      </c>
      <c r="G460" s="97" t="str">
        <f aca="false">IFERROR(IF(ISNUMBER(INDEX(원자료_시장!$A$1:$BZ$1000,설정!$L$6+ROW()-1,설정!$L$29)),INDEX(원자료_시장!$A$1:$BZ$1000,설정!$L$6+ROW()-1,설정!$L$29),""),"")</f>
        <v/>
      </c>
      <c r="H460" s="97" t="str">
        <f aca="false">IFERROR(IF(ISNUMBER(INDEX(원자료_시장!$A$1:$BZ$1000,설정!$L$6+ROW()-1,설정!$L$30)),INDEX(원자료_시장!$A$1:$BZ$1000,설정!$L$6+ROW()-1,설정!$L$30),""),"")</f>
        <v/>
      </c>
      <c r="I460" s="97" t="str">
        <f aca="false">IFERROR(IF(ISNUMBER(INDEX(원자료_시장!$A$1:$BZ$1000,설정!$L$6+ROW()-1,설정!$L$31)),INDEX(원자료_시장!$A$1:$BZ$1000,설정!$L$6+ROW()-1,설정!$L$31),""),"")</f>
        <v/>
      </c>
      <c r="J460" s="97" t="str">
        <f aca="false">IFERROR(IF(ISNUMBER(INDEX(원자료_시장!$A$1:$BZ$1000,설정!$L$6+ROW()-1,설정!$L$32)),INDEX(원자료_시장!$A$1:$BZ$1000,설정!$L$6+ROW()-1,설정!$L$32),""),"")</f>
        <v/>
      </c>
      <c r="K460" s="85" t="str">
        <f aca="false">IFERROR(IF(ISNUMBER(INDEX(원자료_시장!$A$1:$BZ$1000,설정!$L$6+ROW()-1,설정!$L$33)),INDEX(원자료_시장!$A$1:$BZ$1000,설정!$L$6+ROW()-1,설정!$L$33),""),"")</f>
        <v/>
      </c>
      <c r="L460" s="83" t="n">
        <f aca="false">IFERROR(IF(INDEX(원자료_시장!$A$1:$BZ$1000,설정!$L$6+ROW()-1,설정!$L$34)&amp;""="0","",INDEX(원자료_시장!$A$1:$BZ$1000,설정!$L$6+ROW()-1,설정!$L$34)),"")</f>
        <v>0</v>
      </c>
      <c r="M460" s="83" t="n">
        <f aca="false">IFERROR(IF(INDEX(원자료_시장!$A$1:$BZ$1000,설정!$L$6+ROW()-1,설정!$L$35)&amp;""="0","",INDEX(원자료_시장!$A$1:$BZ$1000,설정!$L$6+ROW()-1,설정!$L$35)),"")</f>
        <v>0</v>
      </c>
      <c r="N460" s="83" t="n">
        <f aca="false">IFERROR(IF(INDEX(원자료_시장!$A$1:$BZ$1000,설정!$L$6+ROW()-1,설정!$L$36)&amp;""="0","",INDEX(원자료_시장!$A$1:$BZ$1000,설정!$L$6+ROW()-1,설정!$L$36)),"")</f>
        <v>0</v>
      </c>
      <c r="O460" s="43" t="str">
        <f aca="false">IF($A460="","",UPPER(LEFT($A460,FIND(" ",$A460&amp;" ")-1)))</f>
        <v/>
      </c>
      <c r="P460" s="43" t="str">
        <f aca="false">IF($A460="","",TRIM(RIGHT(SUBSTITUTE(TRIM($A460)," ",REPT(" ",30)),30)))</f>
        <v/>
      </c>
      <c r="Q460" s="98" t="str">
        <f aca="false">IF($A460="","",IFERROR(DATE(IF(LEN(P460)=8,2000+VALUE(RIGHT(P460,2)),VALUE(RIGHT(P460,4))),VALUE(LEFT(P460,2)),VALUE(MID(P460,4,2))),""))</f>
        <v/>
      </c>
      <c r="R460" s="89" t="n">
        <f aca="false">IF($A460="",0,IF(ISNUMBER(SEARCH("Float",$A460)),1,0))</f>
        <v>0</v>
      </c>
      <c r="S460" s="43" t="str">
        <f aca="false">IF($A460="","",TRIM(MID($A460,LEN(O460)+2,LEN($A460)-LEN(O460)-LEN(P460)-1)))</f>
        <v/>
      </c>
      <c r="T460" s="92" t="str">
        <f aca="false">IF(OR($A460="",R460=1),"",IFERROR(IF(ISNUMBER(FIND("/",S460)),IF(ISNUMBER(FIND(" ",S460)),VALUE(LEFT(S460,FIND(" ",S460)-1))+VALUE(MID(S460,FIND(" ",S460)+1,FIND("/",S460)-FIND(" ",S460)-1))/VALUE(MID(S460,FIND("/",S460)+1,9)),VALUE(LEFT(S460,FIND("/",S460)-1))/VALUE(MID(S460,FIND("/",S460)+1,9))),VALUE(S460)),""))</f>
        <v/>
      </c>
      <c r="U460" s="43" t="str">
        <f aca="false">IF(OR($A460="",NOT(ISNUMBER(Q460))),"",TEXT(Q460,"yyyymmdd")&amp;"|"&amp;IF(R460=1,"F",TEXT(T460,"0.000")))</f>
        <v/>
      </c>
      <c r="V460" s="43" t="str">
        <f aca="false">IF(U460="","",O460&amp;"|"&amp;U460)</f>
        <v/>
      </c>
      <c r="W460" s="43" t="str">
        <f aca="false">IF($A460="","",IFERROR(IF(VLOOKUP(O460,매핑!$A$4:$E$92,3,0)="","미분류",VLOOKUP(O460,매핑!$A$4:$E$92,3,0)),"미분류"))</f>
        <v/>
      </c>
      <c r="X460" s="89" t="n">
        <f aca="false">IF($A460="",0,IF(O460="T",1,0))</f>
        <v>0</v>
      </c>
      <c r="Y460" s="89" t="n">
        <f aca="false">IF($A460="",0,IF(AND(C460="USD",X460=0,ISNUMBER(E460),ISNUMBER(K460)),IF(K460&gt;=설정!$C$8,1,0),0))</f>
        <v>0</v>
      </c>
      <c r="Z460" s="43" t="str">
        <f aca="false">IF($A460="","",N460&amp;"|"&amp;L460)</f>
        <v/>
      </c>
      <c r="AA460" s="92" t="n">
        <f aca="false">IF(Y460=1,LN(K460),0)</f>
        <v>0</v>
      </c>
      <c r="AB460" s="93" t="n">
        <f aca="false">IF(Y460=1,E460,0)</f>
        <v>0</v>
      </c>
      <c r="AC460" s="89" t="n">
        <f aca="false">IF(Y460=1,COUNTIFS($Z$2:$Z$601,Z460,$Y$2:$Y$601,1),0)</f>
        <v>0</v>
      </c>
      <c r="AD460" s="89" t="n">
        <f aca="false">IF(Y460=1,COUNTIFS($N$2:$N$601,N460,$Y$2:$Y$601,1),0)</f>
        <v>0</v>
      </c>
      <c r="AE460" s="43" t="str">
        <f aca="false">IF(Y460&lt;&gt;1,"",IF(AND(AC460&gt;=설정!$C$7,ISNUMBER(MATCH(Z460,피어커브!$A:$A,0))),Z460,IF(AND(AD460&gt;=설정!$C$7,ISNUMBER(MATCH(N460&amp;"|전체",피어커브!$A:$A,0))),N460&amp;"|전체","전체|전체")))</f>
        <v/>
      </c>
      <c r="AF460" s="93" t="str">
        <f aca="false">IF(AE460="","",INDEX(피어커브!$K:$K,MATCH(AE460,피어커브!$A:$A,0)))</f>
        <v/>
      </c>
      <c r="AG460" s="93" t="str">
        <f aca="false">IF(AE460="","",INDEX(피어커브!$J:$J,MATCH(AE460,피어커브!$A:$A,0)))</f>
        <v/>
      </c>
      <c r="AH460" s="93" t="str">
        <f aca="false">IF(AE460="","",INDEX(피어커브!$L:$L,MATCH(AE460,피어커브!$A:$A,0)))</f>
        <v/>
      </c>
      <c r="AI460" s="93" t="str">
        <f aca="false">IF(AE460="","",AF460+AG460*AA460)</f>
        <v/>
      </c>
      <c r="AJ460" s="96" t="str">
        <f aca="false">IF(AE460="","",E460-AI460)</f>
        <v/>
      </c>
      <c r="AK460" s="95" t="str">
        <f aca="false">IF(AE460="","",IF(ISNUMBER(AH460),IF(AH460&gt;0,AJ460/AH460,""),""))</f>
        <v/>
      </c>
      <c r="AL460" s="43" t="str">
        <f aca="false">IF(AK460="","-",IF(AK460&gt;=설정!$C$6,"Cheap",IF(AK460&lt;=-설정!$C$6,"Rich","Fair")))</f>
        <v>-</v>
      </c>
      <c r="AM460" s="96" t="str">
        <f aca="false">IF(AE460="","",AJ460-AVERAGEIFS($AJ$2:$AJ$601,$B$2:$B$601,B460,$Y$2:$Y$601,1))</f>
        <v/>
      </c>
      <c r="AN460" s="93" t="n">
        <f aca="false">IF(AE460="",0,IF(K460&gt;1+설정!$C$8,AG460*(AA460-LN(K460-1)),0))</f>
        <v>0</v>
      </c>
      <c r="AO460" s="99" t="n">
        <f aca="false">IF($A460="",0,SUMIFS(보유분석!$AA$2:$AA$801,보유분석!$AB$2:$AB$801,ROW(),보유분석!$AC$2:$AC$801,1))</f>
        <v>0</v>
      </c>
      <c r="AP460" s="43" t="str">
        <f aca="false">IF($A460="","",TRIM(IF(R460=1,"FRN ","")&amp;IF(IFERROR(VLOOKUP(M460,설정!$A$15:$D$47,4,0),0)&gt;=10,IF(IFERROR(VLOOKUP(M460,설정!$A$15:$D$47,4,0),0)&lt;99,"BBB0미만 ",""),"")&amp;IF(OR(M460="",M460="NR"),"등급미입력 ","")&amp;IF(C460&lt;&gt;"USD","비USD ","")))</f>
        <v/>
      </c>
      <c r="AQ460" s="90" t="n">
        <f aca="false">IF(AND(Y460=1,AL460="Cheap"),IF(AND(ISERROR(SEARCH("FRN",AP460)),ISERROR(SEARCH("BBB0미만",AP460))),AK460+ROW()/1000000000,-999),-999)</f>
        <v>-999</v>
      </c>
      <c r="AR460" s="92" t="str">
        <f aca="false">IF(AND(ISNUMBER(D460),ISNUMBER(K460)),D460+AN460*MAX(K460-1,0)/100,"")</f>
        <v/>
      </c>
      <c r="AS460" s="93" t="str">
        <f aca="false">IF(AND(ISNUMBER(E460),ISNUMBER(K460)),IF(K460&gt;0,(E460+AN460*MAX(K460-1,0))/K460,""),"")</f>
        <v/>
      </c>
      <c r="AT460" s="90" t="n">
        <f aca="false">IFERROR(IF(AND(Y460=1,ROW()&lt;&gt;스왑분석!$C$12+1,ABS(K460-INDEX($K$2:$K$601,스왑분석!$C$12))&lt;=스왑분석!$C$5,ISERROR(SEARCH("FRN",AP460)),ISERROR(SEARCH("BBB0미만",AP460))),IF(AND(OR(스왑분석!$C$6="N",L460=INDEX($L$2:$L$601,스왑분석!$C$12)),OR(스왑분석!$C$7="N",N460=INDEX($N$2:$N$601,스왑분석!$C$12)),OR(스왑분석!$C$8="N",AO460=0),E460-INDEX($E$2:$E$601,스왑분석!$C$12)&gt;=스왑분석!$C$9),E460-INDEX($E$2:$E$601,스왑분석!$C$12)+ROW()/1000000000,-999),-999),-999)</f>
        <v>-999</v>
      </c>
      <c r="AU460" s="90" t="n">
        <f aca="false">IF(AND(Y460=1,AO460&gt;0,AL460="Rich"),-AK460+ROW()/1000000000,-999)</f>
        <v>-999</v>
      </c>
    </row>
    <row r="461" customFormat="false" ht="15" hidden="false" customHeight="false" outlineLevel="0" collapsed="false">
      <c r="A461" s="83" t="n">
        <f aca="false">IFERROR(IF(INDEX(원자료_시장!$A$1:$BZ$1000,설정!$L$6+ROW()-1,설정!$L$24)&amp;""="0","",INDEX(원자료_시장!$A$1:$BZ$1000,설정!$L$6+ROW()-1,설정!$L$24)),"")</f>
        <v>0</v>
      </c>
      <c r="B461" s="83" t="n">
        <f aca="false">IFERROR(IF(INDEX(원자료_시장!$A$1:$BZ$1000,설정!$L$6+ROW()-1,설정!$L$37)&amp;""="0","",INDEX(원자료_시장!$A$1:$BZ$1000,설정!$L$6+ROW()-1,설정!$L$37)),"")</f>
        <v>0</v>
      </c>
      <c r="C461" s="83" t="n">
        <f aca="false">IFERROR(IF(INDEX(원자료_시장!$A$1:$BZ$1000,설정!$L$6+ROW()-1,설정!$L$25)&amp;""="0","",INDEX(원자료_시장!$A$1:$BZ$1000,설정!$L$6+ROW()-1,설정!$L$25)),"")</f>
        <v>0</v>
      </c>
      <c r="D461" s="85" t="str">
        <f aca="false">IFERROR(IF(ISNUMBER(INDEX(원자료_시장!$A$1:$BZ$1000,설정!$L$6+ROW()-1,설정!$L$26)),INDEX(원자료_시장!$A$1:$BZ$1000,설정!$L$6+ROW()-1,설정!$L$26),""),"")</f>
        <v/>
      </c>
      <c r="E461" s="97" t="str">
        <f aca="false">IFERROR(IF(ISNUMBER(INDEX(원자료_시장!$A$1:$BZ$1000,설정!$L$6+ROW()-1,설정!$L$27)),INDEX(원자료_시장!$A$1:$BZ$1000,설정!$L$6+ROW()-1,설정!$L$27),""),"")</f>
        <v/>
      </c>
      <c r="F461" s="97" t="str">
        <f aca="false">IFERROR(IF(ISNUMBER(INDEX(원자료_시장!$A$1:$BZ$1000,설정!$L$6+ROW()-1,설정!$L$28)),INDEX(원자료_시장!$A$1:$BZ$1000,설정!$L$6+ROW()-1,설정!$L$28),""),"")</f>
        <v/>
      </c>
      <c r="G461" s="97" t="str">
        <f aca="false">IFERROR(IF(ISNUMBER(INDEX(원자료_시장!$A$1:$BZ$1000,설정!$L$6+ROW()-1,설정!$L$29)),INDEX(원자료_시장!$A$1:$BZ$1000,설정!$L$6+ROW()-1,설정!$L$29),""),"")</f>
        <v/>
      </c>
      <c r="H461" s="97" t="str">
        <f aca="false">IFERROR(IF(ISNUMBER(INDEX(원자료_시장!$A$1:$BZ$1000,설정!$L$6+ROW()-1,설정!$L$30)),INDEX(원자료_시장!$A$1:$BZ$1000,설정!$L$6+ROW()-1,설정!$L$30),""),"")</f>
        <v/>
      </c>
      <c r="I461" s="97" t="str">
        <f aca="false">IFERROR(IF(ISNUMBER(INDEX(원자료_시장!$A$1:$BZ$1000,설정!$L$6+ROW()-1,설정!$L$31)),INDEX(원자료_시장!$A$1:$BZ$1000,설정!$L$6+ROW()-1,설정!$L$31),""),"")</f>
        <v/>
      </c>
      <c r="J461" s="97" t="str">
        <f aca="false">IFERROR(IF(ISNUMBER(INDEX(원자료_시장!$A$1:$BZ$1000,설정!$L$6+ROW()-1,설정!$L$32)),INDEX(원자료_시장!$A$1:$BZ$1000,설정!$L$6+ROW()-1,설정!$L$32),""),"")</f>
        <v/>
      </c>
      <c r="K461" s="85" t="str">
        <f aca="false">IFERROR(IF(ISNUMBER(INDEX(원자료_시장!$A$1:$BZ$1000,설정!$L$6+ROW()-1,설정!$L$33)),INDEX(원자료_시장!$A$1:$BZ$1000,설정!$L$6+ROW()-1,설정!$L$33),""),"")</f>
        <v/>
      </c>
      <c r="L461" s="83" t="n">
        <f aca="false">IFERROR(IF(INDEX(원자료_시장!$A$1:$BZ$1000,설정!$L$6+ROW()-1,설정!$L$34)&amp;""="0","",INDEX(원자료_시장!$A$1:$BZ$1000,설정!$L$6+ROW()-1,설정!$L$34)),"")</f>
        <v>0</v>
      </c>
      <c r="M461" s="83" t="n">
        <f aca="false">IFERROR(IF(INDEX(원자료_시장!$A$1:$BZ$1000,설정!$L$6+ROW()-1,설정!$L$35)&amp;""="0","",INDEX(원자료_시장!$A$1:$BZ$1000,설정!$L$6+ROW()-1,설정!$L$35)),"")</f>
        <v>0</v>
      </c>
      <c r="N461" s="83" t="n">
        <f aca="false">IFERROR(IF(INDEX(원자료_시장!$A$1:$BZ$1000,설정!$L$6+ROW()-1,설정!$L$36)&amp;""="0","",INDEX(원자료_시장!$A$1:$BZ$1000,설정!$L$6+ROW()-1,설정!$L$36)),"")</f>
        <v>0</v>
      </c>
      <c r="O461" s="43" t="str">
        <f aca="false">IF($A461="","",UPPER(LEFT($A461,FIND(" ",$A461&amp;" ")-1)))</f>
        <v/>
      </c>
      <c r="P461" s="43" t="str">
        <f aca="false">IF($A461="","",TRIM(RIGHT(SUBSTITUTE(TRIM($A461)," ",REPT(" ",30)),30)))</f>
        <v/>
      </c>
      <c r="Q461" s="98" t="str">
        <f aca="false">IF($A461="","",IFERROR(DATE(IF(LEN(P461)=8,2000+VALUE(RIGHT(P461,2)),VALUE(RIGHT(P461,4))),VALUE(LEFT(P461,2)),VALUE(MID(P461,4,2))),""))</f>
        <v/>
      </c>
      <c r="R461" s="89" t="n">
        <f aca="false">IF($A461="",0,IF(ISNUMBER(SEARCH("Float",$A461)),1,0))</f>
        <v>0</v>
      </c>
      <c r="S461" s="43" t="str">
        <f aca="false">IF($A461="","",TRIM(MID($A461,LEN(O461)+2,LEN($A461)-LEN(O461)-LEN(P461)-1)))</f>
        <v/>
      </c>
      <c r="T461" s="92" t="str">
        <f aca="false">IF(OR($A461="",R461=1),"",IFERROR(IF(ISNUMBER(FIND("/",S461)),IF(ISNUMBER(FIND(" ",S461)),VALUE(LEFT(S461,FIND(" ",S461)-1))+VALUE(MID(S461,FIND(" ",S461)+1,FIND("/",S461)-FIND(" ",S461)-1))/VALUE(MID(S461,FIND("/",S461)+1,9)),VALUE(LEFT(S461,FIND("/",S461)-1))/VALUE(MID(S461,FIND("/",S461)+1,9))),VALUE(S461)),""))</f>
        <v/>
      </c>
      <c r="U461" s="43" t="str">
        <f aca="false">IF(OR($A461="",NOT(ISNUMBER(Q461))),"",TEXT(Q461,"yyyymmdd")&amp;"|"&amp;IF(R461=1,"F",TEXT(T461,"0.000")))</f>
        <v/>
      </c>
      <c r="V461" s="43" t="str">
        <f aca="false">IF(U461="","",O461&amp;"|"&amp;U461)</f>
        <v/>
      </c>
      <c r="W461" s="43" t="str">
        <f aca="false">IF($A461="","",IFERROR(IF(VLOOKUP(O461,매핑!$A$4:$E$92,3,0)="","미분류",VLOOKUP(O461,매핑!$A$4:$E$92,3,0)),"미분류"))</f>
        <v/>
      </c>
      <c r="X461" s="89" t="n">
        <f aca="false">IF($A461="",0,IF(O461="T",1,0))</f>
        <v>0</v>
      </c>
      <c r="Y461" s="89" t="n">
        <f aca="false">IF($A461="",0,IF(AND(C461="USD",X461=0,ISNUMBER(E461),ISNUMBER(K461)),IF(K461&gt;=설정!$C$8,1,0),0))</f>
        <v>0</v>
      </c>
      <c r="Z461" s="43" t="str">
        <f aca="false">IF($A461="","",N461&amp;"|"&amp;L461)</f>
        <v/>
      </c>
      <c r="AA461" s="92" t="n">
        <f aca="false">IF(Y461=1,LN(K461),0)</f>
        <v>0</v>
      </c>
      <c r="AB461" s="93" t="n">
        <f aca="false">IF(Y461=1,E461,0)</f>
        <v>0</v>
      </c>
      <c r="AC461" s="89" t="n">
        <f aca="false">IF(Y461=1,COUNTIFS($Z$2:$Z$601,Z461,$Y$2:$Y$601,1),0)</f>
        <v>0</v>
      </c>
      <c r="AD461" s="89" t="n">
        <f aca="false">IF(Y461=1,COUNTIFS($N$2:$N$601,N461,$Y$2:$Y$601,1),0)</f>
        <v>0</v>
      </c>
      <c r="AE461" s="43" t="str">
        <f aca="false">IF(Y461&lt;&gt;1,"",IF(AND(AC461&gt;=설정!$C$7,ISNUMBER(MATCH(Z461,피어커브!$A:$A,0))),Z461,IF(AND(AD461&gt;=설정!$C$7,ISNUMBER(MATCH(N461&amp;"|전체",피어커브!$A:$A,0))),N461&amp;"|전체","전체|전체")))</f>
        <v/>
      </c>
      <c r="AF461" s="93" t="str">
        <f aca="false">IF(AE461="","",INDEX(피어커브!$K:$K,MATCH(AE461,피어커브!$A:$A,0)))</f>
        <v/>
      </c>
      <c r="AG461" s="93" t="str">
        <f aca="false">IF(AE461="","",INDEX(피어커브!$J:$J,MATCH(AE461,피어커브!$A:$A,0)))</f>
        <v/>
      </c>
      <c r="AH461" s="93" t="str">
        <f aca="false">IF(AE461="","",INDEX(피어커브!$L:$L,MATCH(AE461,피어커브!$A:$A,0)))</f>
        <v/>
      </c>
      <c r="AI461" s="93" t="str">
        <f aca="false">IF(AE461="","",AF461+AG461*AA461)</f>
        <v/>
      </c>
      <c r="AJ461" s="96" t="str">
        <f aca="false">IF(AE461="","",E461-AI461)</f>
        <v/>
      </c>
      <c r="AK461" s="95" t="str">
        <f aca="false">IF(AE461="","",IF(ISNUMBER(AH461),IF(AH461&gt;0,AJ461/AH461,""),""))</f>
        <v/>
      </c>
      <c r="AL461" s="43" t="str">
        <f aca="false">IF(AK461="","-",IF(AK461&gt;=설정!$C$6,"Cheap",IF(AK461&lt;=-설정!$C$6,"Rich","Fair")))</f>
        <v>-</v>
      </c>
      <c r="AM461" s="96" t="str">
        <f aca="false">IF(AE461="","",AJ461-AVERAGEIFS($AJ$2:$AJ$601,$B$2:$B$601,B461,$Y$2:$Y$601,1))</f>
        <v/>
      </c>
      <c r="AN461" s="93" t="n">
        <f aca="false">IF(AE461="",0,IF(K461&gt;1+설정!$C$8,AG461*(AA461-LN(K461-1)),0))</f>
        <v>0</v>
      </c>
      <c r="AO461" s="99" t="n">
        <f aca="false">IF($A461="",0,SUMIFS(보유분석!$AA$2:$AA$801,보유분석!$AB$2:$AB$801,ROW(),보유분석!$AC$2:$AC$801,1))</f>
        <v>0</v>
      </c>
      <c r="AP461" s="43" t="str">
        <f aca="false">IF($A461="","",TRIM(IF(R461=1,"FRN ","")&amp;IF(IFERROR(VLOOKUP(M461,설정!$A$15:$D$47,4,0),0)&gt;=10,IF(IFERROR(VLOOKUP(M461,설정!$A$15:$D$47,4,0),0)&lt;99,"BBB0미만 ",""),"")&amp;IF(OR(M461="",M461="NR"),"등급미입력 ","")&amp;IF(C461&lt;&gt;"USD","비USD ","")))</f>
        <v/>
      </c>
      <c r="AQ461" s="90" t="n">
        <f aca="false">IF(AND(Y461=1,AL461="Cheap"),IF(AND(ISERROR(SEARCH("FRN",AP461)),ISERROR(SEARCH("BBB0미만",AP461))),AK461+ROW()/1000000000,-999),-999)</f>
        <v>-999</v>
      </c>
      <c r="AR461" s="92" t="str">
        <f aca="false">IF(AND(ISNUMBER(D461),ISNUMBER(K461)),D461+AN461*MAX(K461-1,0)/100,"")</f>
        <v/>
      </c>
      <c r="AS461" s="93" t="str">
        <f aca="false">IF(AND(ISNUMBER(E461),ISNUMBER(K461)),IF(K461&gt;0,(E461+AN461*MAX(K461-1,0))/K461,""),"")</f>
        <v/>
      </c>
      <c r="AT461" s="90" t="n">
        <f aca="false">IFERROR(IF(AND(Y461=1,ROW()&lt;&gt;스왑분석!$C$12+1,ABS(K461-INDEX($K$2:$K$601,스왑분석!$C$12))&lt;=스왑분석!$C$5,ISERROR(SEARCH("FRN",AP461)),ISERROR(SEARCH("BBB0미만",AP461))),IF(AND(OR(스왑분석!$C$6="N",L461=INDEX($L$2:$L$601,스왑분석!$C$12)),OR(스왑분석!$C$7="N",N461=INDEX($N$2:$N$601,스왑분석!$C$12)),OR(스왑분석!$C$8="N",AO461=0),E461-INDEX($E$2:$E$601,스왑분석!$C$12)&gt;=스왑분석!$C$9),E461-INDEX($E$2:$E$601,스왑분석!$C$12)+ROW()/1000000000,-999),-999),-999)</f>
        <v>-999</v>
      </c>
      <c r="AU461" s="90" t="n">
        <f aca="false">IF(AND(Y461=1,AO461&gt;0,AL461="Rich"),-AK461+ROW()/1000000000,-999)</f>
        <v>-999</v>
      </c>
    </row>
    <row r="462" customFormat="false" ht="15" hidden="false" customHeight="false" outlineLevel="0" collapsed="false">
      <c r="A462" s="83" t="n">
        <f aca="false">IFERROR(IF(INDEX(원자료_시장!$A$1:$BZ$1000,설정!$L$6+ROW()-1,설정!$L$24)&amp;""="0","",INDEX(원자료_시장!$A$1:$BZ$1000,설정!$L$6+ROW()-1,설정!$L$24)),"")</f>
        <v>0</v>
      </c>
      <c r="B462" s="83" t="n">
        <f aca="false">IFERROR(IF(INDEX(원자료_시장!$A$1:$BZ$1000,설정!$L$6+ROW()-1,설정!$L$37)&amp;""="0","",INDEX(원자료_시장!$A$1:$BZ$1000,설정!$L$6+ROW()-1,설정!$L$37)),"")</f>
        <v>0</v>
      </c>
      <c r="C462" s="83" t="n">
        <f aca="false">IFERROR(IF(INDEX(원자료_시장!$A$1:$BZ$1000,설정!$L$6+ROW()-1,설정!$L$25)&amp;""="0","",INDEX(원자료_시장!$A$1:$BZ$1000,설정!$L$6+ROW()-1,설정!$L$25)),"")</f>
        <v>0</v>
      </c>
      <c r="D462" s="85" t="str">
        <f aca="false">IFERROR(IF(ISNUMBER(INDEX(원자료_시장!$A$1:$BZ$1000,설정!$L$6+ROW()-1,설정!$L$26)),INDEX(원자료_시장!$A$1:$BZ$1000,설정!$L$6+ROW()-1,설정!$L$26),""),"")</f>
        <v/>
      </c>
      <c r="E462" s="97" t="str">
        <f aca="false">IFERROR(IF(ISNUMBER(INDEX(원자료_시장!$A$1:$BZ$1000,설정!$L$6+ROW()-1,설정!$L$27)),INDEX(원자료_시장!$A$1:$BZ$1000,설정!$L$6+ROW()-1,설정!$L$27),""),"")</f>
        <v/>
      </c>
      <c r="F462" s="97" t="str">
        <f aca="false">IFERROR(IF(ISNUMBER(INDEX(원자료_시장!$A$1:$BZ$1000,설정!$L$6+ROW()-1,설정!$L$28)),INDEX(원자료_시장!$A$1:$BZ$1000,설정!$L$6+ROW()-1,설정!$L$28),""),"")</f>
        <v/>
      </c>
      <c r="G462" s="97" t="str">
        <f aca="false">IFERROR(IF(ISNUMBER(INDEX(원자료_시장!$A$1:$BZ$1000,설정!$L$6+ROW()-1,설정!$L$29)),INDEX(원자료_시장!$A$1:$BZ$1000,설정!$L$6+ROW()-1,설정!$L$29),""),"")</f>
        <v/>
      </c>
      <c r="H462" s="97" t="str">
        <f aca="false">IFERROR(IF(ISNUMBER(INDEX(원자료_시장!$A$1:$BZ$1000,설정!$L$6+ROW()-1,설정!$L$30)),INDEX(원자료_시장!$A$1:$BZ$1000,설정!$L$6+ROW()-1,설정!$L$30),""),"")</f>
        <v/>
      </c>
      <c r="I462" s="97" t="str">
        <f aca="false">IFERROR(IF(ISNUMBER(INDEX(원자료_시장!$A$1:$BZ$1000,설정!$L$6+ROW()-1,설정!$L$31)),INDEX(원자료_시장!$A$1:$BZ$1000,설정!$L$6+ROW()-1,설정!$L$31),""),"")</f>
        <v/>
      </c>
      <c r="J462" s="97" t="str">
        <f aca="false">IFERROR(IF(ISNUMBER(INDEX(원자료_시장!$A$1:$BZ$1000,설정!$L$6+ROW()-1,설정!$L$32)),INDEX(원자료_시장!$A$1:$BZ$1000,설정!$L$6+ROW()-1,설정!$L$32),""),"")</f>
        <v/>
      </c>
      <c r="K462" s="85" t="str">
        <f aca="false">IFERROR(IF(ISNUMBER(INDEX(원자료_시장!$A$1:$BZ$1000,설정!$L$6+ROW()-1,설정!$L$33)),INDEX(원자료_시장!$A$1:$BZ$1000,설정!$L$6+ROW()-1,설정!$L$33),""),"")</f>
        <v/>
      </c>
      <c r="L462" s="83" t="n">
        <f aca="false">IFERROR(IF(INDEX(원자료_시장!$A$1:$BZ$1000,설정!$L$6+ROW()-1,설정!$L$34)&amp;""="0","",INDEX(원자료_시장!$A$1:$BZ$1000,설정!$L$6+ROW()-1,설정!$L$34)),"")</f>
        <v>0</v>
      </c>
      <c r="M462" s="83" t="n">
        <f aca="false">IFERROR(IF(INDEX(원자료_시장!$A$1:$BZ$1000,설정!$L$6+ROW()-1,설정!$L$35)&amp;""="0","",INDEX(원자료_시장!$A$1:$BZ$1000,설정!$L$6+ROW()-1,설정!$L$35)),"")</f>
        <v>0</v>
      </c>
      <c r="N462" s="83" t="n">
        <f aca="false">IFERROR(IF(INDEX(원자료_시장!$A$1:$BZ$1000,설정!$L$6+ROW()-1,설정!$L$36)&amp;""="0","",INDEX(원자료_시장!$A$1:$BZ$1000,설정!$L$6+ROW()-1,설정!$L$36)),"")</f>
        <v>0</v>
      </c>
      <c r="O462" s="43" t="str">
        <f aca="false">IF($A462="","",UPPER(LEFT($A462,FIND(" ",$A462&amp;" ")-1)))</f>
        <v/>
      </c>
      <c r="P462" s="43" t="str">
        <f aca="false">IF($A462="","",TRIM(RIGHT(SUBSTITUTE(TRIM($A462)," ",REPT(" ",30)),30)))</f>
        <v/>
      </c>
      <c r="Q462" s="98" t="str">
        <f aca="false">IF($A462="","",IFERROR(DATE(IF(LEN(P462)=8,2000+VALUE(RIGHT(P462,2)),VALUE(RIGHT(P462,4))),VALUE(LEFT(P462,2)),VALUE(MID(P462,4,2))),""))</f>
        <v/>
      </c>
      <c r="R462" s="89" t="n">
        <f aca="false">IF($A462="",0,IF(ISNUMBER(SEARCH("Float",$A462)),1,0))</f>
        <v>0</v>
      </c>
      <c r="S462" s="43" t="str">
        <f aca="false">IF($A462="","",TRIM(MID($A462,LEN(O462)+2,LEN($A462)-LEN(O462)-LEN(P462)-1)))</f>
        <v/>
      </c>
      <c r="T462" s="92" t="str">
        <f aca="false">IF(OR($A462="",R462=1),"",IFERROR(IF(ISNUMBER(FIND("/",S462)),IF(ISNUMBER(FIND(" ",S462)),VALUE(LEFT(S462,FIND(" ",S462)-1))+VALUE(MID(S462,FIND(" ",S462)+1,FIND("/",S462)-FIND(" ",S462)-1))/VALUE(MID(S462,FIND("/",S462)+1,9)),VALUE(LEFT(S462,FIND("/",S462)-1))/VALUE(MID(S462,FIND("/",S462)+1,9))),VALUE(S462)),""))</f>
        <v/>
      </c>
      <c r="U462" s="43" t="str">
        <f aca="false">IF(OR($A462="",NOT(ISNUMBER(Q462))),"",TEXT(Q462,"yyyymmdd")&amp;"|"&amp;IF(R462=1,"F",TEXT(T462,"0.000")))</f>
        <v/>
      </c>
      <c r="V462" s="43" t="str">
        <f aca="false">IF(U462="","",O462&amp;"|"&amp;U462)</f>
        <v/>
      </c>
      <c r="W462" s="43" t="str">
        <f aca="false">IF($A462="","",IFERROR(IF(VLOOKUP(O462,매핑!$A$4:$E$92,3,0)="","미분류",VLOOKUP(O462,매핑!$A$4:$E$92,3,0)),"미분류"))</f>
        <v/>
      </c>
      <c r="X462" s="89" t="n">
        <f aca="false">IF($A462="",0,IF(O462="T",1,0))</f>
        <v>0</v>
      </c>
      <c r="Y462" s="89" t="n">
        <f aca="false">IF($A462="",0,IF(AND(C462="USD",X462=0,ISNUMBER(E462),ISNUMBER(K462)),IF(K462&gt;=설정!$C$8,1,0),0))</f>
        <v>0</v>
      </c>
      <c r="Z462" s="43" t="str">
        <f aca="false">IF($A462="","",N462&amp;"|"&amp;L462)</f>
        <v/>
      </c>
      <c r="AA462" s="92" t="n">
        <f aca="false">IF(Y462=1,LN(K462),0)</f>
        <v>0</v>
      </c>
      <c r="AB462" s="93" t="n">
        <f aca="false">IF(Y462=1,E462,0)</f>
        <v>0</v>
      </c>
      <c r="AC462" s="89" t="n">
        <f aca="false">IF(Y462=1,COUNTIFS($Z$2:$Z$601,Z462,$Y$2:$Y$601,1),0)</f>
        <v>0</v>
      </c>
      <c r="AD462" s="89" t="n">
        <f aca="false">IF(Y462=1,COUNTIFS($N$2:$N$601,N462,$Y$2:$Y$601,1),0)</f>
        <v>0</v>
      </c>
      <c r="AE462" s="43" t="str">
        <f aca="false">IF(Y462&lt;&gt;1,"",IF(AND(AC462&gt;=설정!$C$7,ISNUMBER(MATCH(Z462,피어커브!$A:$A,0))),Z462,IF(AND(AD462&gt;=설정!$C$7,ISNUMBER(MATCH(N462&amp;"|전체",피어커브!$A:$A,0))),N462&amp;"|전체","전체|전체")))</f>
        <v/>
      </c>
      <c r="AF462" s="93" t="str">
        <f aca="false">IF(AE462="","",INDEX(피어커브!$K:$K,MATCH(AE462,피어커브!$A:$A,0)))</f>
        <v/>
      </c>
      <c r="AG462" s="93" t="str">
        <f aca="false">IF(AE462="","",INDEX(피어커브!$J:$J,MATCH(AE462,피어커브!$A:$A,0)))</f>
        <v/>
      </c>
      <c r="AH462" s="93" t="str">
        <f aca="false">IF(AE462="","",INDEX(피어커브!$L:$L,MATCH(AE462,피어커브!$A:$A,0)))</f>
        <v/>
      </c>
      <c r="AI462" s="93" t="str">
        <f aca="false">IF(AE462="","",AF462+AG462*AA462)</f>
        <v/>
      </c>
      <c r="AJ462" s="96" t="str">
        <f aca="false">IF(AE462="","",E462-AI462)</f>
        <v/>
      </c>
      <c r="AK462" s="95" t="str">
        <f aca="false">IF(AE462="","",IF(ISNUMBER(AH462),IF(AH462&gt;0,AJ462/AH462,""),""))</f>
        <v/>
      </c>
      <c r="AL462" s="43" t="str">
        <f aca="false">IF(AK462="","-",IF(AK462&gt;=설정!$C$6,"Cheap",IF(AK462&lt;=-설정!$C$6,"Rich","Fair")))</f>
        <v>-</v>
      </c>
      <c r="AM462" s="96" t="str">
        <f aca="false">IF(AE462="","",AJ462-AVERAGEIFS($AJ$2:$AJ$601,$B$2:$B$601,B462,$Y$2:$Y$601,1))</f>
        <v/>
      </c>
      <c r="AN462" s="93" t="n">
        <f aca="false">IF(AE462="",0,IF(K462&gt;1+설정!$C$8,AG462*(AA462-LN(K462-1)),0))</f>
        <v>0</v>
      </c>
      <c r="AO462" s="99" t="n">
        <f aca="false">IF($A462="",0,SUMIFS(보유분석!$AA$2:$AA$801,보유분석!$AB$2:$AB$801,ROW(),보유분석!$AC$2:$AC$801,1))</f>
        <v>0</v>
      </c>
      <c r="AP462" s="43" t="str">
        <f aca="false">IF($A462="","",TRIM(IF(R462=1,"FRN ","")&amp;IF(IFERROR(VLOOKUP(M462,설정!$A$15:$D$47,4,0),0)&gt;=10,IF(IFERROR(VLOOKUP(M462,설정!$A$15:$D$47,4,0),0)&lt;99,"BBB0미만 ",""),"")&amp;IF(OR(M462="",M462="NR"),"등급미입력 ","")&amp;IF(C462&lt;&gt;"USD","비USD ","")))</f>
        <v/>
      </c>
      <c r="AQ462" s="90" t="n">
        <f aca="false">IF(AND(Y462=1,AL462="Cheap"),IF(AND(ISERROR(SEARCH("FRN",AP462)),ISERROR(SEARCH("BBB0미만",AP462))),AK462+ROW()/1000000000,-999),-999)</f>
        <v>-999</v>
      </c>
      <c r="AR462" s="92" t="str">
        <f aca="false">IF(AND(ISNUMBER(D462),ISNUMBER(K462)),D462+AN462*MAX(K462-1,0)/100,"")</f>
        <v/>
      </c>
      <c r="AS462" s="93" t="str">
        <f aca="false">IF(AND(ISNUMBER(E462),ISNUMBER(K462)),IF(K462&gt;0,(E462+AN462*MAX(K462-1,0))/K462,""),"")</f>
        <v/>
      </c>
      <c r="AT462" s="90" t="n">
        <f aca="false">IFERROR(IF(AND(Y462=1,ROW()&lt;&gt;스왑분석!$C$12+1,ABS(K462-INDEX($K$2:$K$601,스왑분석!$C$12))&lt;=스왑분석!$C$5,ISERROR(SEARCH("FRN",AP462)),ISERROR(SEARCH("BBB0미만",AP462))),IF(AND(OR(스왑분석!$C$6="N",L462=INDEX($L$2:$L$601,스왑분석!$C$12)),OR(스왑분석!$C$7="N",N462=INDEX($N$2:$N$601,스왑분석!$C$12)),OR(스왑분석!$C$8="N",AO462=0),E462-INDEX($E$2:$E$601,스왑분석!$C$12)&gt;=스왑분석!$C$9),E462-INDEX($E$2:$E$601,스왑분석!$C$12)+ROW()/1000000000,-999),-999),-999)</f>
        <v>-999</v>
      </c>
      <c r="AU462" s="90" t="n">
        <f aca="false">IF(AND(Y462=1,AO462&gt;0,AL462="Rich"),-AK462+ROW()/1000000000,-999)</f>
        <v>-999</v>
      </c>
    </row>
    <row r="463" customFormat="false" ht="15" hidden="false" customHeight="false" outlineLevel="0" collapsed="false">
      <c r="A463" s="83" t="n">
        <f aca="false">IFERROR(IF(INDEX(원자료_시장!$A$1:$BZ$1000,설정!$L$6+ROW()-1,설정!$L$24)&amp;""="0","",INDEX(원자료_시장!$A$1:$BZ$1000,설정!$L$6+ROW()-1,설정!$L$24)),"")</f>
        <v>0</v>
      </c>
      <c r="B463" s="83" t="n">
        <f aca="false">IFERROR(IF(INDEX(원자료_시장!$A$1:$BZ$1000,설정!$L$6+ROW()-1,설정!$L$37)&amp;""="0","",INDEX(원자료_시장!$A$1:$BZ$1000,설정!$L$6+ROW()-1,설정!$L$37)),"")</f>
        <v>0</v>
      </c>
      <c r="C463" s="83" t="n">
        <f aca="false">IFERROR(IF(INDEX(원자료_시장!$A$1:$BZ$1000,설정!$L$6+ROW()-1,설정!$L$25)&amp;""="0","",INDEX(원자료_시장!$A$1:$BZ$1000,설정!$L$6+ROW()-1,설정!$L$25)),"")</f>
        <v>0</v>
      </c>
      <c r="D463" s="85" t="str">
        <f aca="false">IFERROR(IF(ISNUMBER(INDEX(원자료_시장!$A$1:$BZ$1000,설정!$L$6+ROW()-1,설정!$L$26)),INDEX(원자료_시장!$A$1:$BZ$1000,설정!$L$6+ROW()-1,설정!$L$26),""),"")</f>
        <v/>
      </c>
      <c r="E463" s="97" t="str">
        <f aca="false">IFERROR(IF(ISNUMBER(INDEX(원자료_시장!$A$1:$BZ$1000,설정!$L$6+ROW()-1,설정!$L$27)),INDEX(원자료_시장!$A$1:$BZ$1000,설정!$L$6+ROW()-1,설정!$L$27),""),"")</f>
        <v/>
      </c>
      <c r="F463" s="97" t="str">
        <f aca="false">IFERROR(IF(ISNUMBER(INDEX(원자료_시장!$A$1:$BZ$1000,설정!$L$6+ROW()-1,설정!$L$28)),INDEX(원자료_시장!$A$1:$BZ$1000,설정!$L$6+ROW()-1,설정!$L$28),""),"")</f>
        <v/>
      </c>
      <c r="G463" s="97" t="str">
        <f aca="false">IFERROR(IF(ISNUMBER(INDEX(원자료_시장!$A$1:$BZ$1000,설정!$L$6+ROW()-1,설정!$L$29)),INDEX(원자료_시장!$A$1:$BZ$1000,설정!$L$6+ROW()-1,설정!$L$29),""),"")</f>
        <v/>
      </c>
      <c r="H463" s="97" t="str">
        <f aca="false">IFERROR(IF(ISNUMBER(INDEX(원자료_시장!$A$1:$BZ$1000,설정!$L$6+ROW()-1,설정!$L$30)),INDEX(원자료_시장!$A$1:$BZ$1000,설정!$L$6+ROW()-1,설정!$L$30),""),"")</f>
        <v/>
      </c>
      <c r="I463" s="97" t="str">
        <f aca="false">IFERROR(IF(ISNUMBER(INDEX(원자료_시장!$A$1:$BZ$1000,설정!$L$6+ROW()-1,설정!$L$31)),INDEX(원자료_시장!$A$1:$BZ$1000,설정!$L$6+ROW()-1,설정!$L$31),""),"")</f>
        <v/>
      </c>
      <c r="J463" s="97" t="str">
        <f aca="false">IFERROR(IF(ISNUMBER(INDEX(원자료_시장!$A$1:$BZ$1000,설정!$L$6+ROW()-1,설정!$L$32)),INDEX(원자료_시장!$A$1:$BZ$1000,설정!$L$6+ROW()-1,설정!$L$32),""),"")</f>
        <v/>
      </c>
      <c r="K463" s="85" t="str">
        <f aca="false">IFERROR(IF(ISNUMBER(INDEX(원자료_시장!$A$1:$BZ$1000,설정!$L$6+ROW()-1,설정!$L$33)),INDEX(원자료_시장!$A$1:$BZ$1000,설정!$L$6+ROW()-1,설정!$L$33),""),"")</f>
        <v/>
      </c>
      <c r="L463" s="83" t="n">
        <f aca="false">IFERROR(IF(INDEX(원자료_시장!$A$1:$BZ$1000,설정!$L$6+ROW()-1,설정!$L$34)&amp;""="0","",INDEX(원자료_시장!$A$1:$BZ$1000,설정!$L$6+ROW()-1,설정!$L$34)),"")</f>
        <v>0</v>
      </c>
      <c r="M463" s="83" t="n">
        <f aca="false">IFERROR(IF(INDEX(원자료_시장!$A$1:$BZ$1000,설정!$L$6+ROW()-1,설정!$L$35)&amp;""="0","",INDEX(원자료_시장!$A$1:$BZ$1000,설정!$L$6+ROW()-1,설정!$L$35)),"")</f>
        <v>0</v>
      </c>
      <c r="N463" s="83" t="n">
        <f aca="false">IFERROR(IF(INDEX(원자료_시장!$A$1:$BZ$1000,설정!$L$6+ROW()-1,설정!$L$36)&amp;""="0","",INDEX(원자료_시장!$A$1:$BZ$1000,설정!$L$6+ROW()-1,설정!$L$36)),"")</f>
        <v>0</v>
      </c>
      <c r="O463" s="43" t="str">
        <f aca="false">IF($A463="","",UPPER(LEFT($A463,FIND(" ",$A463&amp;" ")-1)))</f>
        <v/>
      </c>
      <c r="P463" s="43" t="str">
        <f aca="false">IF($A463="","",TRIM(RIGHT(SUBSTITUTE(TRIM($A463)," ",REPT(" ",30)),30)))</f>
        <v/>
      </c>
      <c r="Q463" s="98" t="str">
        <f aca="false">IF($A463="","",IFERROR(DATE(IF(LEN(P463)=8,2000+VALUE(RIGHT(P463,2)),VALUE(RIGHT(P463,4))),VALUE(LEFT(P463,2)),VALUE(MID(P463,4,2))),""))</f>
        <v/>
      </c>
      <c r="R463" s="89" t="n">
        <f aca="false">IF($A463="",0,IF(ISNUMBER(SEARCH("Float",$A463)),1,0))</f>
        <v>0</v>
      </c>
      <c r="S463" s="43" t="str">
        <f aca="false">IF($A463="","",TRIM(MID($A463,LEN(O463)+2,LEN($A463)-LEN(O463)-LEN(P463)-1)))</f>
        <v/>
      </c>
      <c r="T463" s="92" t="str">
        <f aca="false">IF(OR($A463="",R463=1),"",IFERROR(IF(ISNUMBER(FIND("/",S463)),IF(ISNUMBER(FIND(" ",S463)),VALUE(LEFT(S463,FIND(" ",S463)-1))+VALUE(MID(S463,FIND(" ",S463)+1,FIND("/",S463)-FIND(" ",S463)-1))/VALUE(MID(S463,FIND("/",S463)+1,9)),VALUE(LEFT(S463,FIND("/",S463)-1))/VALUE(MID(S463,FIND("/",S463)+1,9))),VALUE(S463)),""))</f>
        <v/>
      </c>
      <c r="U463" s="43" t="str">
        <f aca="false">IF(OR($A463="",NOT(ISNUMBER(Q463))),"",TEXT(Q463,"yyyymmdd")&amp;"|"&amp;IF(R463=1,"F",TEXT(T463,"0.000")))</f>
        <v/>
      </c>
      <c r="V463" s="43" t="str">
        <f aca="false">IF(U463="","",O463&amp;"|"&amp;U463)</f>
        <v/>
      </c>
      <c r="W463" s="43" t="str">
        <f aca="false">IF($A463="","",IFERROR(IF(VLOOKUP(O463,매핑!$A$4:$E$92,3,0)="","미분류",VLOOKUP(O463,매핑!$A$4:$E$92,3,0)),"미분류"))</f>
        <v/>
      </c>
      <c r="X463" s="89" t="n">
        <f aca="false">IF($A463="",0,IF(O463="T",1,0))</f>
        <v>0</v>
      </c>
      <c r="Y463" s="89" t="n">
        <f aca="false">IF($A463="",0,IF(AND(C463="USD",X463=0,ISNUMBER(E463),ISNUMBER(K463)),IF(K463&gt;=설정!$C$8,1,0),0))</f>
        <v>0</v>
      </c>
      <c r="Z463" s="43" t="str">
        <f aca="false">IF($A463="","",N463&amp;"|"&amp;L463)</f>
        <v/>
      </c>
      <c r="AA463" s="92" t="n">
        <f aca="false">IF(Y463=1,LN(K463),0)</f>
        <v>0</v>
      </c>
      <c r="AB463" s="93" t="n">
        <f aca="false">IF(Y463=1,E463,0)</f>
        <v>0</v>
      </c>
      <c r="AC463" s="89" t="n">
        <f aca="false">IF(Y463=1,COUNTIFS($Z$2:$Z$601,Z463,$Y$2:$Y$601,1),0)</f>
        <v>0</v>
      </c>
      <c r="AD463" s="89" t="n">
        <f aca="false">IF(Y463=1,COUNTIFS($N$2:$N$601,N463,$Y$2:$Y$601,1),0)</f>
        <v>0</v>
      </c>
      <c r="AE463" s="43" t="str">
        <f aca="false">IF(Y463&lt;&gt;1,"",IF(AND(AC463&gt;=설정!$C$7,ISNUMBER(MATCH(Z463,피어커브!$A:$A,0))),Z463,IF(AND(AD463&gt;=설정!$C$7,ISNUMBER(MATCH(N463&amp;"|전체",피어커브!$A:$A,0))),N463&amp;"|전체","전체|전체")))</f>
        <v/>
      </c>
      <c r="AF463" s="93" t="str">
        <f aca="false">IF(AE463="","",INDEX(피어커브!$K:$K,MATCH(AE463,피어커브!$A:$A,0)))</f>
        <v/>
      </c>
      <c r="AG463" s="93" t="str">
        <f aca="false">IF(AE463="","",INDEX(피어커브!$J:$J,MATCH(AE463,피어커브!$A:$A,0)))</f>
        <v/>
      </c>
      <c r="AH463" s="93" t="str">
        <f aca="false">IF(AE463="","",INDEX(피어커브!$L:$L,MATCH(AE463,피어커브!$A:$A,0)))</f>
        <v/>
      </c>
      <c r="AI463" s="93" t="str">
        <f aca="false">IF(AE463="","",AF463+AG463*AA463)</f>
        <v/>
      </c>
      <c r="AJ463" s="96" t="str">
        <f aca="false">IF(AE463="","",E463-AI463)</f>
        <v/>
      </c>
      <c r="AK463" s="95" t="str">
        <f aca="false">IF(AE463="","",IF(ISNUMBER(AH463),IF(AH463&gt;0,AJ463/AH463,""),""))</f>
        <v/>
      </c>
      <c r="AL463" s="43" t="str">
        <f aca="false">IF(AK463="","-",IF(AK463&gt;=설정!$C$6,"Cheap",IF(AK463&lt;=-설정!$C$6,"Rich","Fair")))</f>
        <v>-</v>
      </c>
      <c r="AM463" s="96" t="str">
        <f aca="false">IF(AE463="","",AJ463-AVERAGEIFS($AJ$2:$AJ$601,$B$2:$B$601,B463,$Y$2:$Y$601,1))</f>
        <v/>
      </c>
      <c r="AN463" s="93" t="n">
        <f aca="false">IF(AE463="",0,IF(K463&gt;1+설정!$C$8,AG463*(AA463-LN(K463-1)),0))</f>
        <v>0</v>
      </c>
      <c r="AO463" s="99" t="n">
        <f aca="false">IF($A463="",0,SUMIFS(보유분석!$AA$2:$AA$801,보유분석!$AB$2:$AB$801,ROW(),보유분석!$AC$2:$AC$801,1))</f>
        <v>0</v>
      </c>
      <c r="AP463" s="43" t="str">
        <f aca="false">IF($A463="","",TRIM(IF(R463=1,"FRN ","")&amp;IF(IFERROR(VLOOKUP(M463,설정!$A$15:$D$47,4,0),0)&gt;=10,IF(IFERROR(VLOOKUP(M463,설정!$A$15:$D$47,4,0),0)&lt;99,"BBB0미만 ",""),"")&amp;IF(OR(M463="",M463="NR"),"등급미입력 ","")&amp;IF(C463&lt;&gt;"USD","비USD ","")))</f>
        <v/>
      </c>
      <c r="AQ463" s="90" t="n">
        <f aca="false">IF(AND(Y463=1,AL463="Cheap"),IF(AND(ISERROR(SEARCH("FRN",AP463)),ISERROR(SEARCH("BBB0미만",AP463))),AK463+ROW()/1000000000,-999),-999)</f>
        <v>-999</v>
      </c>
      <c r="AR463" s="92" t="str">
        <f aca="false">IF(AND(ISNUMBER(D463),ISNUMBER(K463)),D463+AN463*MAX(K463-1,0)/100,"")</f>
        <v/>
      </c>
      <c r="AS463" s="93" t="str">
        <f aca="false">IF(AND(ISNUMBER(E463),ISNUMBER(K463)),IF(K463&gt;0,(E463+AN463*MAX(K463-1,0))/K463,""),"")</f>
        <v/>
      </c>
      <c r="AT463" s="90" t="n">
        <f aca="false">IFERROR(IF(AND(Y463=1,ROW()&lt;&gt;스왑분석!$C$12+1,ABS(K463-INDEX($K$2:$K$601,스왑분석!$C$12))&lt;=스왑분석!$C$5,ISERROR(SEARCH("FRN",AP463)),ISERROR(SEARCH("BBB0미만",AP463))),IF(AND(OR(스왑분석!$C$6="N",L463=INDEX($L$2:$L$601,스왑분석!$C$12)),OR(스왑분석!$C$7="N",N463=INDEX($N$2:$N$601,스왑분석!$C$12)),OR(스왑분석!$C$8="N",AO463=0),E463-INDEX($E$2:$E$601,스왑분석!$C$12)&gt;=스왑분석!$C$9),E463-INDEX($E$2:$E$601,스왑분석!$C$12)+ROW()/1000000000,-999),-999),-999)</f>
        <v>-999</v>
      </c>
      <c r="AU463" s="90" t="n">
        <f aca="false">IF(AND(Y463=1,AO463&gt;0,AL463="Rich"),-AK463+ROW()/1000000000,-999)</f>
        <v>-999</v>
      </c>
    </row>
    <row r="464" customFormat="false" ht="15" hidden="false" customHeight="false" outlineLevel="0" collapsed="false">
      <c r="A464" s="83" t="n">
        <f aca="false">IFERROR(IF(INDEX(원자료_시장!$A$1:$BZ$1000,설정!$L$6+ROW()-1,설정!$L$24)&amp;""="0","",INDEX(원자료_시장!$A$1:$BZ$1000,설정!$L$6+ROW()-1,설정!$L$24)),"")</f>
        <v>0</v>
      </c>
      <c r="B464" s="83" t="n">
        <f aca="false">IFERROR(IF(INDEX(원자료_시장!$A$1:$BZ$1000,설정!$L$6+ROW()-1,설정!$L$37)&amp;""="0","",INDEX(원자료_시장!$A$1:$BZ$1000,설정!$L$6+ROW()-1,설정!$L$37)),"")</f>
        <v>0</v>
      </c>
      <c r="C464" s="83" t="n">
        <f aca="false">IFERROR(IF(INDEX(원자료_시장!$A$1:$BZ$1000,설정!$L$6+ROW()-1,설정!$L$25)&amp;""="0","",INDEX(원자료_시장!$A$1:$BZ$1000,설정!$L$6+ROW()-1,설정!$L$25)),"")</f>
        <v>0</v>
      </c>
      <c r="D464" s="85" t="str">
        <f aca="false">IFERROR(IF(ISNUMBER(INDEX(원자료_시장!$A$1:$BZ$1000,설정!$L$6+ROW()-1,설정!$L$26)),INDEX(원자료_시장!$A$1:$BZ$1000,설정!$L$6+ROW()-1,설정!$L$26),""),"")</f>
        <v/>
      </c>
      <c r="E464" s="97" t="str">
        <f aca="false">IFERROR(IF(ISNUMBER(INDEX(원자료_시장!$A$1:$BZ$1000,설정!$L$6+ROW()-1,설정!$L$27)),INDEX(원자료_시장!$A$1:$BZ$1000,설정!$L$6+ROW()-1,설정!$L$27),""),"")</f>
        <v/>
      </c>
      <c r="F464" s="97" t="str">
        <f aca="false">IFERROR(IF(ISNUMBER(INDEX(원자료_시장!$A$1:$BZ$1000,설정!$L$6+ROW()-1,설정!$L$28)),INDEX(원자료_시장!$A$1:$BZ$1000,설정!$L$6+ROW()-1,설정!$L$28),""),"")</f>
        <v/>
      </c>
      <c r="G464" s="97" t="str">
        <f aca="false">IFERROR(IF(ISNUMBER(INDEX(원자료_시장!$A$1:$BZ$1000,설정!$L$6+ROW()-1,설정!$L$29)),INDEX(원자료_시장!$A$1:$BZ$1000,설정!$L$6+ROW()-1,설정!$L$29),""),"")</f>
        <v/>
      </c>
      <c r="H464" s="97" t="str">
        <f aca="false">IFERROR(IF(ISNUMBER(INDEX(원자료_시장!$A$1:$BZ$1000,설정!$L$6+ROW()-1,설정!$L$30)),INDEX(원자료_시장!$A$1:$BZ$1000,설정!$L$6+ROW()-1,설정!$L$30),""),"")</f>
        <v/>
      </c>
      <c r="I464" s="97" t="str">
        <f aca="false">IFERROR(IF(ISNUMBER(INDEX(원자료_시장!$A$1:$BZ$1000,설정!$L$6+ROW()-1,설정!$L$31)),INDEX(원자료_시장!$A$1:$BZ$1000,설정!$L$6+ROW()-1,설정!$L$31),""),"")</f>
        <v/>
      </c>
      <c r="J464" s="97" t="str">
        <f aca="false">IFERROR(IF(ISNUMBER(INDEX(원자료_시장!$A$1:$BZ$1000,설정!$L$6+ROW()-1,설정!$L$32)),INDEX(원자료_시장!$A$1:$BZ$1000,설정!$L$6+ROW()-1,설정!$L$32),""),"")</f>
        <v/>
      </c>
      <c r="K464" s="85" t="str">
        <f aca="false">IFERROR(IF(ISNUMBER(INDEX(원자료_시장!$A$1:$BZ$1000,설정!$L$6+ROW()-1,설정!$L$33)),INDEX(원자료_시장!$A$1:$BZ$1000,설정!$L$6+ROW()-1,설정!$L$33),""),"")</f>
        <v/>
      </c>
      <c r="L464" s="83" t="n">
        <f aca="false">IFERROR(IF(INDEX(원자료_시장!$A$1:$BZ$1000,설정!$L$6+ROW()-1,설정!$L$34)&amp;""="0","",INDEX(원자료_시장!$A$1:$BZ$1000,설정!$L$6+ROW()-1,설정!$L$34)),"")</f>
        <v>0</v>
      </c>
      <c r="M464" s="83" t="n">
        <f aca="false">IFERROR(IF(INDEX(원자료_시장!$A$1:$BZ$1000,설정!$L$6+ROW()-1,설정!$L$35)&amp;""="0","",INDEX(원자료_시장!$A$1:$BZ$1000,설정!$L$6+ROW()-1,설정!$L$35)),"")</f>
        <v>0</v>
      </c>
      <c r="N464" s="83" t="n">
        <f aca="false">IFERROR(IF(INDEX(원자료_시장!$A$1:$BZ$1000,설정!$L$6+ROW()-1,설정!$L$36)&amp;""="0","",INDEX(원자료_시장!$A$1:$BZ$1000,설정!$L$6+ROW()-1,설정!$L$36)),"")</f>
        <v>0</v>
      </c>
      <c r="O464" s="43" t="str">
        <f aca="false">IF($A464="","",UPPER(LEFT($A464,FIND(" ",$A464&amp;" ")-1)))</f>
        <v/>
      </c>
      <c r="P464" s="43" t="str">
        <f aca="false">IF($A464="","",TRIM(RIGHT(SUBSTITUTE(TRIM($A464)," ",REPT(" ",30)),30)))</f>
        <v/>
      </c>
      <c r="Q464" s="98" t="str">
        <f aca="false">IF($A464="","",IFERROR(DATE(IF(LEN(P464)=8,2000+VALUE(RIGHT(P464,2)),VALUE(RIGHT(P464,4))),VALUE(LEFT(P464,2)),VALUE(MID(P464,4,2))),""))</f>
        <v/>
      </c>
      <c r="R464" s="89" t="n">
        <f aca="false">IF($A464="",0,IF(ISNUMBER(SEARCH("Float",$A464)),1,0))</f>
        <v>0</v>
      </c>
      <c r="S464" s="43" t="str">
        <f aca="false">IF($A464="","",TRIM(MID($A464,LEN(O464)+2,LEN($A464)-LEN(O464)-LEN(P464)-1)))</f>
        <v/>
      </c>
      <c r="T464" s="92" t="str">
        <f aca="false">IF(OR($A464="",R464=1),"",IFERROR(IF(ISNUMBER(FIND("/",S464)),IF(ISNUMBER(FIND(" ",S464)),VALUE(LEFT(S464,FIND(" ",S464)-1))+VALUE(MID(S464,FIND(" ",S464)+1,FIND("/",S464)-FIND(" ",S464)-1))/VALUE(MID(S464,FIND("/",S464)+1,9)),VALUE(LEFT(S464,FIND("/",S464)-1))/VALUE(MID(S464,FIND("/",S464)+1,9))),VALUE(S464)),""))</f>
        <v/>
      </c>
      <c r="U464" s="43" t="str">
        <f aca="false">IF(OR($A464="",NOT(ISNUMBER(Q464))),"",TEXT(Q464,"yyyymmdd")&amp;"|"&amp;IF(R464=1,"F",TEXT(T464,"0.000")))</f>
        <v/>
      </c>
      <c r="V464" s="43" t="str">
        <f aca="false">IF(U464="","",O464&amp;"|"&amp;U464)</f>
        <v/>
      </c>
      <c r="W464" s="43" t="str">
        <f aca="false">IF($A464="","",IFERROR(IF(VLOOKUP(O464,매핑!$A$4:$E$92,3,0)="","미분류",VLOOKUP(O464,매핑!$A$4:$E$92,3,0)),"미분류"))</f>
        <v/>
      </c>
      <c r="X464" s="89" t="n">
        <f aca="false">IF($A464="",0,IF(O464="T",1,0))</f>
        <v>0</v>
      </c>
      <c r="Y464" s="89" t="n">
        <f aca="false">IF($A464="",0,IF(AND(C464="USD",X464=0,ISNUMBER(E464),ISNUMBER(K464)),IF(K464&gt;=설정!$C$8,1,0),0))</f>
        <v>0</v>
      </c>
      <c r="Z464" s="43" t="str">
        <f aca="false">IF($A464="","",N464&amp;"|"&amp;L464)</f>
        <v/>
      </c>
      <c r="AA464" s="92" t="n">
        <f aca="false">IF(Y464=1,LN(K464),0)</f>
        <v>0</v>
      </c>
      <c r="AB464" s="93" t="n">
        <f aca="false">IF(Y464=1,E464,0)</f>
        <v>0</v>
      </c>
      <c r="AC464" s="89" t="n">
        <f aca="false">IF(Y464=1,COUNTIFS($Z$2:$Z$601,Z464,$Y$2:$Y$601,1),0)</f>
        <v>0</v>
      </c>
      <c r="AD464" s="89" t="n">
        <f aca="false">IF(Y464=1,COUNTIFS($N$2:$N$601,N464,$Y$2:$Y$601,1),0)</f>
        <v>0</v>
      </c>
      <c r="AE464" s="43" t="str">
        <f aca="false">IF(Y464&lt;&gt;1,"",IF(AND(AC464&gt;=설정!$C$7,ISNUMBER(MATCH(Z464,피어커브!$A:$A,0))),Z464,IF(AND(AD464&gt;=설정!$C$7,ISNUMBER(MATCH(N464&amp;"|전체",피어커브!$A:$A,0))),N464&amp;"|전체","전체|전체")))</f>
        <v/>
      </c>
      <c r="AF464" s="93" t="str">
        <f aca="false">IF(AE464="","",INDEX(피어커브!$K:$K,MATCH(AE464,피어커브!$A:$A,0)))</f>
        <v/>
      </c>
      <c r="AG464" s="93" t="str">
        <f aca="false">IF(AE464="","",INDEX(피어커브!$J:$J,MATCH(AE464,피어커브!$A:$A,0)))</f>
        <v/>
      </c>
      <c r="AH464" s="93" t="str">
        <f aca="false">IF(AE464="","",INDEX(피어커브!$L:$L,MATCH(AE464,피어커브!$A:$A,0)))</f>
        <v/>
      </c>
      <c r="AI464" s="93" t="str">
        <f aca="false">IF(AE464="","",AF464+AG464*AA464)</f>
        <v/>
      </c>
      <c r="AJ464" s="96" t="str">
        <f aca="false">IF(AE464="","",E464-AI464)</f>
        <v/>
      </c>
      <c r="AK464" s="95" t="str">
        <f aca="false">IF(AE464="","",IF(ISNUMBER(AH464),IF(AH464&gt;0,AJ464/AH464,""),""))</f>
        <v/>
      </c>
      <c r="AL464" s="43" t="str">
        <f aca="false">IF(AK464="","-",IF(AK464&gt;=설정!$C$6,"Cheap",IF(AK464&lt;=-설정!$C$6,"Rich","Fair")))</f>
        <v>-</v>
      </c>
      <c r="AM464" s="96" t="str">
        <f aca="false">IF(AE464="","",AJ464-AVERAGEIFS($AJ$2:$AJ$601,$B$2:$B$601,B464,$Y$2:$Y$601,1))</f>
        <v/>
      </c>
      <c r="AN464" s="93" t="n">
        <f aca="false">IF(AE464="",0,IF(K464&gt;1+설정!$C$8,AG464*(AA464-LN(K464-1)),0))</f>
        <v>0</v>
      </c>
      <c r="AO464" s="99" t="n">
        <f aca="false">IF($A464="",0,SUMIFS(보유분석!$AA$2:$AA$801,보유분석!$AB$2:$AB$801,ROW(),보유분석!$AC$2:$AC$801,1))</f>
        <v>0</v>
      </c>
      <c r="AP464" s="43" t="str">
        <f aca="false">IF($A464="","",TRIM(IF(R464=1,"FRN ","")&amp;IF(IFERROR(VLOOKUP(M464,설정!$A$15:$D$47,4,0),0)&gt;=10,IF(IFERROR(VLOOKUP(M464,설정!$A$15:$D$47,4,0),0)&lt;99,"BBB0미만 ",""),"")&amp;IF(OR(M464="",M464="NR"),"등급미입력 ","")&amp;IF(C464&lt;&gt;"USD","비USD ","")))</f>
        <v/>
      </c>
      <c r="AQ464" s="90" t="n">
        <f aca="false">IF(AND(Y464=1,AL464="Cheap"),IF(AND(ISERROR(SEARCH("FRN",AP464)),ISERROR(SEARCH("BBB0미만",AP464))),AK464+ROW()/1000000000,-999),-999)</f>
        <v>-999</v>
      </c>
      <c r="AR464" s="92" t="str">
        <f aca="false">IF(AND(ISNUMBER(D464),ISNUMBER(K464)),D464+AN464*MAX(K464-1,0)/100,"")</f>
        <v/>
      </c>
      <c r="AS464" s="93" t="str">
        <f aca="false">IF(AND(ISNUMBER(E464),ISNUMBER(K464)),IF(K464&gt;0,(E464+AN464*MAX(K464-1,0))/K464,""),"")</f>
        <v/>
      </c>
      <c r="AT464" s="90" t="n">
        <f aca="false">IFERROR(IF(AND(Y464=1,ROW()&lt;&gt;스왑분석!$C$12+1,ABS(K464-INDEX($K$2:$K$601,스왑분석!$C$12))&lt;=스왑분석!$C$5,ISERROR(SEARCH("FRN",AP464)),ISERROR(SEARCH("BBB0미만",AP464))),IF(AND(OR(스왑분석!$C$6="N",L464=INDEX($L$2:$L$601,스왑분석!$C$12)),OR(스왑분석!$C$7="N",N464=INDEX($N$2:$N$601,스왑분석!$C$12)),OR(스왑분석!$C$8="N",AO464=0),E464-INDEX($E$2:$E$601,스왑분석!$C$12)&gt;=스왑분석!$C$9),E464-INDEX($E$2:$E$601,스왑분석!$C$12)+ROW()/1000000000,-999),-999),-999)</f>
        <v>-999</v>
      </c>
      <c r="AU464" s="90" t="n">
        <f aca="false">IF(AND(Y464=1,AO464&gt;0,AL464="Rich"),-AK464+ROW()/1000000000,-999)</f>
        <v>-999</v>
      </c>
    </row>
    <row r="465" customFormat="false" ht="15" hidden="false" customHeight="false" outlineLevel="0" collapsed="false">
      <c r="A465" s="83" t="n">
        <f aca="false">IFERROR(IF(INDEX(원자료_시장!$A$1:$BZ$1000,설정!$L$6+ROW()-1,설정!$L$24)&amp;""="0","",INDEX(원자료_시장!$A$1:$BZ$1000,설정!$L$6+ROW()-1,설정!$L$24)),"")</f>
        <v>0</v>
      </c>
      <c r="B465" s="83" t="n">
        <f aca="false">IFERROR(IF(INDEX(원자료_시장!$A$1:$BZ$1000,설정!$L$6+ROW()-1,설정!$L$37)&amp;""="0","",INDEX(원자료_시장!$A$1:$BZ$1000,설정!$L$6+ROW()-1,설정!$L$37)),"")</f>
        <v>0</v>
      </c>
      <c r="C465" s="83" t="n">
        <f aca="false">IFERROR(IF(INDEX(원자료_시장!$A$1:$BZ$1000,설정!$L$6+ROW()-1,설정!$L$25)&amp;""="0","",INDEX(원자료_시장!$A$1:$BZ$1000,설정!$L$6+ROW()-1,설정!$L$25)),"")</f>
        <v>0</v>
      </c>
      <c r="D465" s="85" t="str">
        <f aca="false">IFERROR(IF(ISNUMBER(INDEX(원자료_시장!$A$1:$BZ$1000,설정!$L$6+ROW()-1,설정!$L$26)),INDEX(원자료_시장!$A$1:$BZ$1000,설정!$L$6+ROW()-1,설정!$L$26),""),"")</f>
        <v/>
      </c>
      <c r="E465" s="97" t="str">
        <f aca="false">IFERROR(IF(ISNUMBER(INDEX(원자료_시장!$A$1:$BZ$1000,설정!$L$6+ROW()-1,설정!$L$27)),INDEX(원자료_시장!$A$1:$BZ$1000,설정!$L$6+ROW()-1,설정!$L$27),""),"")</f>
        <v/>
      </c>
      <c r="F465" s="97" t="str">
        <f aca="false">IFERROR(IF(ISNUMBER(INDEX(원자료_시장!$A$1:$BZ$1000,설정!$L$6+ROW()-1,설정!$L$28)),INDEX(원자료_시장!$A$1:$BZ$1000,설정!$L$6+ROW()-1,설정!$L$28),""),"")</f>
        <v/>
      </c>
      <c r="G465" s="97" t="str">
        <f aca="false">IFERROR(IF(ISNUMBER(INDEX(원자료_시장!$A$1:$BZ$1000,설정!$L$6+ROW()-1,설정!$L$29)),INDEX(원자료_시장!$A$1:$BZ$1000,설정!$L$6+ROW()-1,설정!$L$29),""),"")</f>
        <v/>
      </c>
      <c r="H465" s="97" t="str">
        <f aca="false">IFERROR(IF(ISNUMBER(INDEX(원자료_시장!$A$1:$BZ$1000,설정!$L$6+ROW()-1,설정!$L$30)),INDEX(원자료_시장!$A$1:$BZ$1000,설정!$L$6+ROW()-1,설정!$L$30),""),"")</f>
        <v/>
      </c>
      <c r="I465" s="97" t="str">
        <f aca="false">IFERROR(IF(ISNUMBER(INDEX(원자료_시장!$A$1:$BZ$1000,설정!$L$6+ROW()-1,설정!$L$31)),INDEX(원자료_시장!$A$1:$BZ$1000,설정!$L$6+ROW()-1,설정!$L$31),""),"")</f>
        <v/>
      </c>
      <c r="J465" s="97" t="str">
        <f aca="false">IFERROR(IF(ISNUMBER(INDEX(원자료_시장!$A$1:$BZ$1000,설정!$L$6+ROW()-1,설정!$L$32)),INDEX(원자료_시장!$A$1:$BZ$1000,설정!$L$6+ROW()-1,설정!$L$32),""),"")</f>
        <v/>
      </c>
      <c r="K465" s="85" t="str">
        <f aca="false">IFERROR(IF(ISNUMBER(INDEX(원자료_시장!$A$1:$BZ$1000,설정!$L$6+ROW()-1,설정!$L$33)),INDEX(원자료_시장!$A$1:$BZ$1000,설정!$L$6+ROW()-1,설정!$L$33),""),"")</f>
        <v/>
      </c>
      <c r="L465" s="83" t="n">
        <f aca="false">IFERROR(IF(INDEX(원자료_시장!$A$1:$BZ$1000,설정!$L$6+ROW()-1,설정!$L$34)&amp;""="0","",INDEX(원자료_시장!$A$1:$BZ$1000,설정!$L$6+ROW()-1,설정!$L$34)),"")</f>
        <v>0</v>
      </c>
      <c r="M465" s="83" t="n">
        <f aca="false">IFERROR(IF(INDEX(원자료_시장!$A$1:$BZ$1000,설정!$L$6+ROW()-1,설정!$L$35)&amp;""="0","",INDEX(원자료_시장!$A$1:$BZ$1000,설정!$L$6+ROW()-1,설정!$L$35)),"")</f>
        <v>0</v>
      </c>
      <c r="N465" s="83" t="n">
        <f aca="false">IFERROR(IF(INDEX(원자료_시장!$A$1:$BZ$1000,설정!$L$6+ROW()-1,설정!$L$36)&amp;""="0","",INDEX(원자료_시장!$A$1:$BZ$1000,설정!$L$6+ROW()-1,설정!$L$36)),"")</f>
        <v>0</v>
      </c>
      <c r="O465" s="43" t="str">
        <f aca="false">IF($A465="","",UPPER(LEFT($A465,FIND(" ",$A465&amp;" ")-1)))</f>
        <v/>
      </c>
      <c r="P465" s="43" t="str">
        <f aca="false">IF($A465="","",TRIM(RIGHT(SUBSTITUTE(TRIM($A465)," ",REPT(" ",30)),30)))</f>
        <v/>
      </c>
      <c r="Q465" s="98" t="str">
        <f aca="false">IF($A465="","",IFERROR(DATE(IF(LEN(P465)=8,2000+VALUE(RIGHT(P465,2)),VALUE(RIGHT(P465,4))),VALUE(LEFT(P465,2)),VALUE(MID(P465,4,2))),""))</f>
        <v/>
      </c>
      <c r="R465" s="89" t="n">
        <f aca="false">IF($A465="",0,IF(ISNUMBER(SEARCH("Float",$A465)),1,0))</f>
        <v>0</v>
      </c>
      <c r="S465" s="43" t="str">
        <f aca="false">IF($A465="","",TRIM(MID($A465,LEN(O465)+2,LEN($A465)-LEN(O465)-LEN(P465)-1)))</f>
        <v/>
      </c>
      <c r="T465" s="92" t="str">
        <f aca="false">IF(OR($A465="",R465=1),"",IFERROR(IF(ISNUMBER(FIND("/",S465)),IF(ISNUMBER(FIND(" ",S465)),VALUE(LEFT(S465,FIND(" ",S465)-1))+VALUE(MID(S465,FIND(" ",S465)+1,FIND("/",S465)-FIND(" ",S465)-1))/VALUE(MID(S465,FIND("/",S465)+1,9)),VALUE(LEFT(S465,FIND("/",S465)-1))/VALUE(MID(S465,FIND("/",S465)+1,9))),VALUE(S465)),""))</f>
        <v/>
      </c>
      <c r="U465" s="43" t="str">
        <f aca="false">IF(OR($A465="",NOT(ISNUMBER(Q465))),"",TEXT(Q465,"yyyymmdd")&amp;"|"&amp;IF(R465=1,"F",TEXT(T465,"0.000")))</f>
        <v/>
      </c>
      <c r="V465" s="43" t="str">
        <f aca="false">IF(U465="","",O465&amp;"|"&amp;U465)</f>
        <v/>
      </c>
      <c r="W465" s="43" t="str">
        <f aca="false">IF($A465="","",IFERROR(IF(VLOOKUP(O465,매핑!$A$4:$E$92,3,0)="","미분류",VLOOKUP(O465,매핑!$A$4:$E$92,3,0)),"미분류"))</f>
        <v/>
      </c>
      <c r="X465" s="89" t="n">
        <f aca="false">IF($A465="",0,IF(O465="T",1,0))</f>
        <v>0</v>
      </c>
      <c r="Y465" s="89" t="n">
        <f aca="false">IF($A465="",0,IF(AND(C465="USD",X465=0,ISNUMBER(E465),ISNUMBER(K465)),IF(K465&gt;=설정!$C$8,1,0),0))</f>
        <v>0</v>
      </c>
      <c r="Z465" s="43" t="str">
        <f aca="false">IF($A465="","",N465&amp;"|"&amp;L465)</f>
        <v/>
      </c>
      <c r="AA465" s="92" t="n">
        <f aca="false">IF(Y465=1,LN(K465),0)</f>
        <v>0</v>
      </c>
      <c r="AB465" s="93" t="n">
        <f aca="false">IF(Y465=1,E465,0)</f>
        <v>0</v>
      </c>
      <c r="AC465" s="89" t="n">
        <f aca="false">IF(Y465=1,COUNTIFS($Z$2:$Z$601,Z465,$Y$2:$Y$601,1),0)</f>
        <v>0</v>
      </c>
      <c r="AD465" s="89" t="n">
        <f aca="false">IF(Y465=1,COUNTIFS($N$2:$N$601,N465,$Y$2:$Y$601,1),0)</f>
        <v>0</v>
      </c>
      <c r="AE465" s="43" t="str">
        <f aca="false">IF(Y465&lt;&gt;1,"",IF(AND(AC465&gt;=설정!$C$7,ISNUMBER(MATCH(Z465,피어커브!$A:$A,0))),Z465,IF(AND(AD465&gt;=설정!$C$7,ISNUMBER(MATCH(N465&amp;"|전체",피어커브!$A:$A,0))),N465&amp;"|전체","전체|전체")))</f>
        <v/>
      </c>
      <c r="AF465" s="93" t="str">
        <f aca="false">IF(AE465="","",INDEX(피어커브!$K:$K,MATCH(AE465,피어커브!$A:$A,0)))</f>
        <v/>
      </c>
      <c r="AG465" s="93" t="str">
        <f aca="false">IF(AE465="","",INDEX(피어커브!$J:$J,MATCH(AE465,피어커브!$A:$A,0)))</f>
        <v/>
      </c>
      <c r="AH465" s="93" t="str">
        <f aca="false">IF(AE465="","",INDEX(피어커브!$L:$L,MATCH(AE465,피어커브!$A:$A,0)))</f>
        <v/>
      </c>
      <c r="AI465" s="93" t="str">
        <f aca="false">IF(AE465="","",AF465+AG465*AA465)</f>
        <v/>
      </c>
      <c r="AJ465" s="96" t="str">
        <f aca="false">IF(AE465="","",E465-AI465)</f>
        <v/>
      </c>
      <c r="AK465" s="95" t="str">
        <f aca="false">IF(AE465="","",IF(ISNUMBER(AH465),IF(AH465&gt;0,AJ465/AH465,""),""))</f>
        <v/>
      </c>
      <c r="AL465" s="43" t="str">
        <f aca="false">IF(AK465="","-",IF(AK465&gt;=설정!$C$6,"Cheap",IF(AK465&lt;=-설정!$C$6,"Rich","Fair")))</f>
        <v>-</v>
      </c>
      <c r="AM465" s="96" t="str">
        <f aca="false">IF(AE465="","",AJ465-AVERAGEIFS($AJ$2:$AJ$601,$B$2:$B$601,B465,$Y$2:$Y$601,1))</f>
        <v/>
      </c>
      <c r="AN465" s="93" t="n">
        <f aca="false">IF(AE465="",0,IF(K465&gt;1+설정!$C$8,AG465*(AA465-LN(K465-1)),0))</f>
        <v>0</v>
      </c>
      <c r="AO465" s="99" t="n">
        <f aca="false">IF($A465="",0,SUMIFS(보유분석!$AA$2:$AA$801,보유분석!$AB$2:$AB$801,ROW(),보유분석!$AC$2:$AC$801,1))</f>
        <v>0</v>
      </c>
      <c r="AP465" s="43" t="str">
        <f aca="false">IF($A465="","",TRIM(IF(R465=1,"FRN ","")&amp;IF(IFERROR(VLOOKUP(M465,설정!$A$15:$D$47,4,0),0)&gt;=10,IF(IFERROR(VLOOKUP(M465,설정!$A$15:$D$47,4,0),0)&lt;99,"BBB0미만 ",""),"")&amp;IF(OR(M465="",M465="NR"),"등급미입력 ","")&amp;IF(C465&lt;&gt;"USD","비USD ","")))</f>
        <v/>
      </c>
      <c r="AQ465" s="90" t="n">
        <f aca="false">IF(AND(Y465=1,AL465="Cheap"),IF(AND(ISERROR(SEARCH("FRN",AP465)),ISERROR(SEARCH("BBB0미만",AP465))),AK465+ROW()/1000000000,-999),-999)</f>
        <v>-999</v>
      </c>
      <c r="AR465" s="92" t="str">
        <f aca="false">IF(AND(ISNUMBER(D465),ISNUMBER(K465)),D465+AN465*MAX(K465-1,0)/100,"")</f>
        <v/>
      </c>
      <c r="AS465" s="93" t="str">
        <f aca="false">IF(AND(ISNUMBER(E465),ISNUMBER(K465)),IF(K465&gt;0,(E465+AN465*MAX(K465-1,0))/K465,""),"")</f>
        <v/>
      </c>
      <c r="AT465" s="90" t="n">
        <f aca="false">IFERROR(IF(AND(Y465=1,ROW()&lt;&gt;스왑분석!$C$12+1,ABS(K465-INDEX($K$2:$K$601,스왑분석!$C$12))&lt;=스왑분석!$C$5,ISERROR(SEARCH("FRN",AP465)),ISERROR(SEARCH("BBB0미만",AP465))),IF(AND(OR(스왑분석!$C$6="N",L465=INDEX($L$2:$L$601,스왑분석!$C$12)),OR(스왑분석!$C$7="N",N465=INDEX($N$2:$N$601,스왑분석!$C$12)),OR(스왑분석!$C$8="N",AO465=0),E465-INDEX($E$2:$E$601,스왑분석!$C$12)&gt;=스왑분석!$C$9),E465-INDEX($E$2:$E$601,스왑분석!$C$12)+ROW()/1000000000,-999),-999),-999)</f>
        <v>-999</v>
      </c>
      <c r="AU465" s="90" t="n">
        <f aca="false">IF(AND(Y465=1,AO465&gt;0,AL465="Rich"),-AK465+ROW()/1000000000,-999)</f>
        <v>-999</v>
      </c>
    </row>
    <row r="466" customFormat="false" ht="15" hidden="false" customHeight="false" outlineLevel="0" collapsed="false">
      <c r="A466" s="83" t="n">
        <f aca="false">IFERROR(IF(INDEX(원자료_시장!$A$1:$BZ$1000,설정!$L$6+ROW()-1,설정!$L$24)&amp;""="0","",INDEX(원자료_시장!$A$1:$BZ$1000,설정!$L$6+ROW()-1,설정!$L$24)),"")</f>
        <v>0</v>
      </c>
      <c r="B466" s="83" t="n">
        <f aca="false">IFERROR(IF(INDEX(원자료_시장!$A$1:$BZ$1000,설정!$L$6+ROW()-1,설정!$L$37)&amp;""="0","",INDEX(원자료_시장!$A$1:$BZ$1000,설정!$L$6+ROW()-1,설정!$L$37)),"")</f>
        <v>0</v>
      </c>
      <c r="C466" s="83" t="n">
        <f aca="false">IFERROR(IF(INDEX(원자료_시장!$A$1:$BZ$1000,설정!$L$6+ROW()-1,설정!$L$25)&amp;""="0","",INDEX(원자료_시장!$A$1:$BZ$1000,설정!$L$6+ROW()-1,설정!$L$25)),"")</f>
        <v>0</v>
      </c>
      <c r="D466" s="85" t="str">
        <f aca="false">IFERROR(IF(ISNUMBER(INDEX(원자료_시장!$A$1:$BZ$1000,설정!$L$6+ROW()-1,설정!$L$26)),INDEX(원자료_시장!$A$1:$BZ$1000,설정!$L$6+ROW()-1,설정!$L$26),""),"")</f>
        <v/>
      </c>
      <c r="E466" s="97" t="str">
        <f aca="false">IFERROR(IF(ISNUMBER(INDEX(원자료_시장!$A$1:$BZ$1000,설정!$L$6+ROW()-1,설정!$L$27)),INDEX(원자료_시장!$A$1:$BZ$1000,설정!$L$6+ROW()-1,설정!$L$27),""),"")</f>
        <v/>
      </c>
      <c r="F466" s="97" t="str">
        <f aca="false">IFERROR(IF(ISNUMBER(INDEX(원자료_시장!$A$1:$BZ$1000,설정!$L$6+ROW()-1,설정!$L$28)),INDEX(원자료_시장!$A$1:$BZ$1000,설정!$L$6+ROW()-1,설정!$L$28),""),"")</f>
        <v/>
      </c>
      <c r="G466" s="97" t="str">
        <f aca="false">IFERROR(IF(ISNUMBER(INDEX(원자료_시장!$A$1:$BZ$1000,설정!$L$6+ROW()-1,설정!$L$29)),INDEX(원자료_시장!$A$1:$BZ$1000,설정!$L$6+ROW()-1,설정!$L$29),""),"")</f>
        <v/>
      </c>
      <c r="H466" s="97" t="str">
        <f aca="false">IFERROR(IF(ISNUMBER(INDEX(원자료_시장!$A$1:$BZ$1000,설정!$L$6+ROW()-1,설정!$L$30)),INDEX(원자료_시장!$A$1:$BZ$1000,설정!$L$6+ROW()-1,설정!$L$30),""),"")</f>
        <v/>
      </c>
      <c r="I466" s="97" t="str">
        <f aca="false">IFERROR(IF(ISNUMBER(INDEX(원자료_시장!$A$1:$BZ$1000,설정!$L$6+ROW()-1,설정!$L$31)),INDEX(원자료_시장!$A$1:$BZ$1000,설정!$L$6+ROW()-1,설정!$L$31),""),"")</f>
        <v/>
      </c>
      <c r="J466" s="97" t="str">
        <f aca="false">IFERROR(IF(ISNUMBER(INDEX(원자료_시장!$A$1:$BZ$1000,설정!$L$6+ROW()-1,설정!$L$32)),INDEX(원자료_시장!$A$1:$BZ$1000,설정!$L$6+ROW()-1,설정!$L$32),""),"")</f>
        <v/>
      </c>
      <c r="K466" s="85" t="str">
        <f aca="false">IFERROR(IF(ISNUMBER(INDEX(원자료_시장!$A$1:$BZ$1000,설정!$L$6+ROW()-1,설정!$L$33)),INDEX(원자료_시장!$A$1:$BZ$1000,설정!$L$6+ROW()-1,설정!$L$33),""),"")</f>
        <v/>
      </c>
      <c r="L466" s="83" t="n">
        <f aca="false">IFERROR(IF(INDEX(원자료_시장!$A$1:$BZ$1000,설정!$L$6+ROW()-1,설정!$L$34)&amp;""="0","",INDEX(원자료_시장!$A$1:$BZ$1000,설정!$L$6+ROW()-1,설정!$L$34)),"")</f>
        <v>0</v>
      </c>
      <c r="M466" s="83" t="n">
        <f aca="false">IFERROR(IF(INDEX(원자료_시장!$A$1:$BZ$1000,설정!$L$6+ROW()-1,설정!$L$35)&amp;""="0","",INDEX(원자료_시장!$A$1:$BZ$1000,설정!$L$6+ROW()-1,설정!$L$35)),"")</f>
        <v>0</v>
      </c>
      <c r="N466" s="83" t="n">
        <f aca="false">IFERROR(IF(INDEX(원자료_시장!$A$1:$BZ$1000,설정!$L$6+ROW()-1,설정!$L$36)&amp;""="0","",INDEX(원자료_시장!$A$1:$BZ$1000,설정!$L$6+ROW()-1,설정!$L$36)),"")</f>
        <v>0</v>
      </c>
      <c r="O466" s="43" t="str">
        <f aca="false">IF($A466="","",UPPER(LEFT($A466,FIND(" ",$A466&amp;" ")-1)))</f>
        <v/>
      </c>
      <c r="P466" s="43" t="str">
        <f aca="false">IF($A466="","",TRIM(RIGHT(SUBSTITUTE(TRIM($A466)," ",REPT(" ",30)),30)))</f>
        <v/>
      </c>
      <c r="Q466" s="98" t="str">
        <f aca="false">IF($A466="","",IFERROR(DATE(IF(LEN(P466)=8,2000+VALUE(RIGHT(P466,2)),VALUE(RIGHT(P466,4))),VALUE(LEFT(P466,2)),VALUE(MID(P466,4,2))),""))</f>
        <v/>
      </c>
      <c r="R466" s="89" t="n">
        <f aca="false">IF($A466="",0,IF(ISNUMBER(SEARCH("Float",$A466)),1,0))</f>
        <v>0</v>
      </c>
      <c r="S466" s="43" t="str">
        <f aca="false">IF($A466="","",TRIM(MID($A466,LEN(O466)+2,LEN($A466)-LEN(O466)-LEN(P466)-1)))</f>
        <v/>
      </c>
      <c r="T466" s="92" t="str">
        <f aca="false">IF(OR($A466="",R466=1),"",IFERROR(IF(ISNUMBER(FIND("/",S466)),IF(ISNUMBER(FIND(" ",S466)),VALUE(LEFT(S466,FIND(" ",S466)-1))+VALUE(MID(S466,FIND(" ",S466)+1,FIND("/",S466)-FIND(" ",S466)-1))/VALUE(MID(S466,FIND("/",S466)+1,9)),VALUE(LEFT(S466,FIND("/",S466)-1))/VALUE(MID(S466,FIND("/",S466)+1,9))),VALUE(S466)),""))</f>
        <v/>
      </c>
      <c r="U466" s="43" t="str">
        <f aca="false">IF(OR($A466="",NOT(ISNUMBER(Q466))),"",TEXT(Q466,"yyyymmdd")&amp;"|"&amp;IF(R466=1,"F",TEXT(T466,"0.000")))</f>
        <v/>
      </c>
      <c r="V466" s="43" t="str">
        <f aca="false">IF(U466="","",O466&amp;"|"&amp;U466)</f>
        <v/>
      </c>
      <c r="W466" s="43" t="str">
        <f aca="false">IF($A466="","",IFERROR(IF(VLOOKUP(O466,매핑!$A$4:$E$92,3,0)="","미분류",VLOOKUP(O466,매핑!$A$4:$E$92,3,0)),"미분류"))</f>
        <v/>
      </c>
      <c r="X466" s="89" t="n">
        <f aca="false">IF($A466="",0,IF(O466="T",1,0))</f>
        <v>0</v>
      </c>
      <c r="Y466" s="89" t="n">
        <f aca="false">IF($A466="",0,IF(AND(C466="USD",X466=0,ISNUMBER(E466),ISNUMBER(K466)),IF(K466&gt;=설정!$C$8,1,0),0))</f>
        <v>0</v>
      </c>
      <c r="Z466" s="43" t="str">
        <f aca="false">IF($A466="","",N466&amp;"|"&amp;L466)</f>
        <v/>
      </c>
      <c r="AA466" s="92" t="n">
        <f aca="false">IF(Y466=1,LN(K466),0)</f>
        <v>0</v>
      </c>
      <c r="AB466" s="93" t="n">
        <f aca="false">IF(Y466=1,E466,0)</f>
        <v>0</v>
      </c>
      <c r="AC466" s="89" t="n">
        <f aca="false">IF(Y466=1,COUNTIFS($Z$2:$Z$601,Z466,$Y$2:$Y$601,1),0)</f>
        <v>0</v>
      </c>
      <c r="AD466" s="89" t="n">
        <f aca="false">IF(Y466=1,COUNTIFS($N$2:$N$601,N466,$Y$2:$Y$601,1),0)</f>
        <v>0</v>
      </c>
      <c r="AE466" s="43" t="str">
        <f aca="false">IF(Y466&lt;&gt;1,"",IF(AND(AC466&gt;=설정!$C$7,ISNUMBER(MATCH(Z466,피어커브!$A:$A,0))),Z466,IF(AND(AD466&gt;=설정!$C$7,ISNUMBER(MATCH(N466&amp;"|전체",피어커브!$A:$A,0))),N466&amp;"|전체","전체|전체")))</f>
        <v/>
      </c>
      <c r="AF466" s="93" t="str">
        <f aca="false">IF(AE466="","",INDEX(피어커브!$K:$K,MATCH(AE466,피어커브!$A:$A,0)))</f>
        <v/>
      </c>
      <c r="AG466" s="93" t="str">
        <f aca="false">IF(AE466="","",INDEX(피어커브!$J:$J,MATCH(AE466,피어커브!$A:$A,0)))</f>
        <v/>
      </c>
      <c r="AH466" s="93" t="str">
        <f aca="false">IF(AE466="","",INDEX(피어커브!$L:$L,MATCH(AE466,피어커브!$A:$A,0)))</f>
        <v/>
      </c>
      <c r="AI466" s="93" t="str">
        <f aca="false">IF(AE466="","",AF466+AG466*AA466)</f>
        <v/>
      </c>
      <c r="AJ466" s="96" t="str">
        <f aca="false">IF(AE466="","",E466-AI466)</f>
        <v/>
      </c>
      <c r="AK466" s="95" t="str">
        <f aca="false">IF(AE466="","",IF(ISNUMBER(AH466),IF(AH466&gt;0,AJ466/AH466,""),""))</f>
        <v/>
      </c>
      <c r="AL466" s="43" t="str">
        <f aca="false">IF(AK466="","-",IF(AK466&gt;=설정!$C$6,"Cheap",IF(AK466&lt;=-설정!$C$6,"Rich","Fair")))</f>
        <v>-</v>
      </c>
      <c r="AM466" s="96" t="str">
        <f aca="false">IF(AE466="","",AJ466-AVERAGEIFS($AJ$2:$AJ$601,$B$2:$B$601,B466,$Y$2:$Y$601,1))</f>
        <v/>
      </c>
      <c r="AN466" s="93" t="n">
        <f aca="false">IF(AE466="",0,IF(K466&gt;1+설정!$C$8,AG466*(AA466-LN(K466-1)),0))</f>
        <v>0</v>
      </c>
      <c r="AO466" s="99" t="n">
        <f aca="false">IF($A466="",0,SUMIFS(보유분석!$AA$2:$AA$801,보유분석!$AB$2:$AB$801,ROW(),보유분석!$AC$2:$AC$801,1))</f>
        <v>0</v>
      </c>
      <c r="AP466" s="43" t="str">
        <f aca="false">IF($A466="","",TRIM(IF(R466=1,"FRN ","")&amp;IF(IFERROR(VLOOKUP(M466,설정!$A$15:$D$47,4,0),0)&gt;=10,IF(IFERROR(VLOOKUP(M466,설정!$A$15:$D$47,4,0),0)&lt;99,"BBB0미만 ",""),"")&amp;IF(OR(M466="",M466="NR"),"등급미입력 ","")&amp;IF(C466&lt;&gt;"USD","비USD ","")))</f>
        <v/>
      </c>
      <c r="AQ466" s="90" t="n">
        <f aca="false">IF(AND(Y466=1,AL466="Cheap"),IF(AND(ISERROR(SEARCH("FRN",AP466)),ISERROR(SEARCH("BBB0미만",AP466))),AK466+ROW()/1000000000,-999),-999)</f>
        <v>-999</v>
      </c>
      <c r="AR466" s="92" t="str">
        <f aca="false">IF(AND(ISNUMBER(D466),ISNUMBER(K466)),D466+AN466*MAX(K466-1,0)/100,"")</f>
        <v/>
      </c>
      <c r="AS466" s="93" t="str">
        <f aca="false">IF(AND(ISNUMBER(E466),ISNUMBER(K466)),IF(K466&gt;0,(E466+AN466*MAX(K466-1,0))/K466,""),"")</f>
        <v/>
      </c>
      <c r="AT466" s="90" t="n">
        <f aca="false">IFERROR(IF(AND(Y466=1,ROW()&lt;&gt;스왑분석!$C$12+1,ABS(K466-INDEX($K$2:$K$601,스왑분석!$C$12))&lt;=스왑분석!$C$5,ISERROR(SEARCH("FRN",AP466)),ISERROR(SEARCH("BBB0미만",AP466))),IF(AND(OR(스왑분석!$C$6="N",L466=INDEX($L$2:$L$601,스왑분석!$C$12)),OR(스왑분석!$C$7="N",N466=INDEX($N$2:$N$601,스왑분석!$C$12)),OR(스왑분석!$C$8="N",AO466=0),E466-INDEX($E$2:$E$601,스왑분석!$C$12)&gt;=스왑분석!$C$9),E466-INDEX($E$2:$E$601,스왑분석!$C$12)+ROW()/1000000000,-999),-999),-999)</f>
        <v>-999</v>
      </c>
      <c r="AU466" s="90" t="n">
        <f aca="false">IF(AND(Y466=1,AO466&gt;0,AL466="Rich"),-AK466+ROW()/1000000000,-999)</f>
        <v>-999</v>
      </c>
    </row>
    <row r="467" customFormat="false" ht="15" hidden="false" customHeight="false" outlineLevel="0" collapsed="false">
      <c r="A467" s="83" t="n">
        <f aca="false">IFERROR(IF(INDEX(원자료_시장!$A$1:$BZ$1000,설정!$L$6+ROW()-1,설정!$L$24)&amp;""="0","",INDEX(원자료_시장!$A$1:$BZ$1000,설정!$L$6+ROW()-1,설정!$L$24)),"")</f>
        <v>0</v>
      </c>
      <c r="B467" s="83" t="n">
        <f aca="false">IFERROR(IF(INDEX(원자료_시장!$A$1:$BZ$1000,설정!$L$6+ROW()-1,설정!$L$37)&amp;""="0","",INDEX(원자료_시장!$A$1:$BZ$1000,설정!$L$6+ROW()-1,설정!$L$37)),"")</f>
        <v>0</v>
      </c>
      <c r="C467" s="83" t="n">
        <f aca="false">IFERROR(IF(INDEX(원자료_시장!$A$1:$BZ$1000,설정!$L$6+ROW()-1,설정!$L$25)&amp;""="0","",INDEX(원자료_시장!$A$1:$BZ$1000,설정!$L$6+ROW()-1,설정!$L$25)),"")</f>
        <v>0</v>
      </c>
      <c r="D467" s="85" t="str">
        <f aca="false">IFERROR(IF(ISNUMBER(INDEX(원자료_시장!$A$1:$BZ$1000,설정!$L$6+ROW()-1,설정!$L$26)),INDEX(원자료_시장!$A$1:$BZ$1000,설정!$L$6+ROW()-1,설정!$L$26),""),"")</f>
        <v/>
      </c>
      <c r="E467" s="97" t="str">
        <f aca="false">IFERROR(IF(ISNUMBER(INDEX(원자료_시장!$A$1:$BZ$1000,설정!$L$6+ROW()-1,설정!$L$27)),INDEX(원자료_시장!$A$1:$BZ$1000,설정!$L$6+ROW()-1,설정!$L$27),""),"")</f>
        <v/>
      </c>
      <c r="F467" s="97" t="str">
        <f aca="false">IFERROR(IF(ISNUMBER(INDEX(원자료_시장!$A$1:$BZ$1000,설정!$L$6+ROW()-1,설정!$L$28)),INDEX(원자료_시장!$A$1:$BZ$1000,설정!$L$6+ROW()-1,설정!$L$28),""),"")</f>
        <v/>
      </c>
      <c r="G467" s="97" t="str">
        <f aca="false">IFERROR(IF(ISNUMBER(INDEX(원자료_시장!$A$1:$BZ$1000,설정!$L$6+ROW()-1,설정!$L$29)),INDEX(원자료_시장!$A$1:$BZ$1000,설정!$L$6+ROW()-1,설정!$L$29),""),"")</f>
        <v/>
      </c>
      <c r="H467" s="97" t="str">
        <f aca="false">IFERROR(IF(ISNUMBER(INDEX(원자료_시장!$A$1:$BZ$1000,설정!$L$6+ROW()-1,설정!$L$30)),INDEX(원자료_시장!$A$1:$BZ$1000,설정!$L$6+ROW()-1,설정!$L$30),""),"")</f>
        <v/>
      </c>
      <c r="I467" s="97" t="str">
        <f aca="false">IFERROR(IF(ISNUMBER(INDEX(원자료_시장!$A$1:$BZ$1000,설정!$L$6+ROW()-1,설정!$L$31)),INDEX(원자료_시장!$A$1:$BZ$1000,설정!$L$6+ROW()-1,설정!$L$31),""),"")</f>
        <v/>
      </c>
      <c r="J467" s="97" t="str">
        <f aca="false">IFERROR(IF(ISNUMBER(INDEX(원자료_시장!$A$1:$BZ$1000,설정!$L$6+ROW()-1,설정!$L$32)),INDEX(원자료_시장!$A$1:$BZ$1000,설정!$L$6+ROW()-1,설정!$L$32),""),"")</f>
        <v/>
      </c>
      <c r="K467" s="85" t="str">
        <f aca="false">IFERROR(IF(ISNUMBER(INDEX(원자료_시장!$A$1:$BZ$1000,설정!$L$6+ROW()-1,설정!$L$33)),INDEX(원자료_시장!$A$1:$BZ$1000,설정!$L$6+ROW()-1,설정!$L$33),""),"")</f>
        <v/>
      </c>
      <c r="L467" s="83" t="n">
        <f aca="false">IFERROR(IF(INDEX(원자료_시장!$A$1:$BZ$1000,설정!$L$6+ROW()-1,설정!$L$34)&amp;""="0","",INDEX(원자료_시장!$A$1:$BZ$1000,설정!$L$6+ROW()-1,설정!$L$34)),"")</f>
        <v>0</v>
      </c>
      <c r="M467" s="83" t="n">
        <f aca="false">IFERROR(IF(INDEX(원자료_시장!$A$1:$BZ$1000,설정!$L$6+ROW()-1,설정!$L$35)&amp;""="0","",INDEX(원자료_시장!$A$1:$BZ$1000,설정!$L$6+ROW()-1,설정!$L$35)),"")</f>
        <v>0</v>
      </c>
      <c r="N467" s="83" t="n">
        <f aca="false">IFERROR(IF(INDEX(원자료_시장!$A$1:$BZ$1000,설정!$L$6+ROW()-1,설정!$L$36)&amp;""="0","",INDEX(원자료_시장!$A$1:$BZ$1000,설정!$L$6+ROW()-1,설정!$L$36)),"")</f>
        <v>0</v>
      </c>
      <c r="O467" s="43" t="str">
        <f aca="false">IF($A467="","",UPPER(LEFT($A467,FIND(" ",$A467&amp;" ")-1)))</f>
        <v/>
      </c>
      <c r="P467" s="43" t="str">
        <f aca="false">IF($A467="","",TRIM(RIGHT(SUBSTITUTE(TRIM($A467)," ",REPT(" ",30)),30)))</f>
        <v/>
      </c>
      <c r="Q467" s="98" t="str">
        <f aca="false">IF($A467="","",IFERROR(DATE(IF(LEN(P467)=8,2000+VALUE(RIGHT(P467,2)),VALUE(RIGHT(P467,4))),VALUE(LEFT(P467,2)),VALUE(MID(P467,4,2))),""))</f>
        <v/>
      </c>
      <c r="R467" s="89" t="n">
        <f aca="false">IF($A467="",0,IF(ISNUMBER(SEARCH("Float",$A467)),1,0))</f>
        <v>0</v>
      </c>
      <c r="S467" s="43" t="str">
        <f aca="false">IF($A467="","",TRIM(MID($A467,LEN(O467)+2,LEN($A467)-LEN(O467)-LEN(P467)-1)))</f>
        <v/>
      </c>
      <c r="T467" s="92" t="str">
        <f aca="false">IF(OR($A467="",R467=1),"",IFERROR(IF(ISNUMBER(FIND("/",S467)),IF(ISNUMBER(FIND(" ",S467)),VALUE(LEFT(S467,FIND(" ",S467)-1))+VALUE(MID(S467,FIND(" ",S467)+1,FIND("/",S467)-FIND(" ",S467)-1))/VALUE(MID(S467,FIND("/",S467)+1,9)),VALUE(LEFT(S467,FIND("/",S467)-1))/VALUE(MID(S467,FIND("/",S467)+1,9))),VALUE(S467)),""))</f>
        <v/>
      </c>
      <c r="U467" s="43" t="str">
        <f aca="false">IF(OR($A467="",NOT(ISNUMBER(Q467))),"",TEXT(Q467,"yyyymmdd")&amp;"|"&amp;IF(R467=1,"F",TEXT(T467,"0.000")))</f>
        <v/>
      </c>
      <c r="V467" s="43" t="str">
        <f aca="false">IF(U467="","",O467&amp;"|"&amp;U467)</f>
        <v/>
      </c>
      <c r="W467" s="43" t="str">
        <f aca="false">IF($A467="","",IFERROR(IF(VLOOKUP(O467,매핑!$A$4:$E$92,3,0)="","미분류",VLOOKUP(O467,매핑!$A$4:$E$92,3,0)),"미분류"))</f>
        <v/>
      </c>
      <c r="X467" s="89" t="n">
        <f aca="false">IF($A467="",0,IF(O467="T",1,0))</f>
        <v>0</v>
      </c>
      <c r="Y467" s="89" t="n">
        <f aca="false">IF($A467="",0,IF(AND(C467="USD",X467=0,ISNUMBER(E467),ISNUMBER(K467)),IF(K467&gt;=설정!$C$8,1,0),0))</f>
        <v>0</v>
      </c>
      <c r="Z467" s="43" t="str">
        <f aca="false">IF($A467="","",N467&amp;"|"&amp;L467)</f>
        <v/>
      </c>
      <c r="AA467" s="92" t="n">
        <f aca="false">IF(Y467=1,LN(K467),0)</f>
        <v>0</v>
      </c>
      <c r="AB467" s="93" t="n">
        <f aca="false">IF(Y467=1,E467,0)</f>
        <v>0</v>
      </c>
      <c r="AC467" s="89" t="n">
        <f aca="false">IF(Y467=1,COUNTIFS($Z$2:$Z$601,Z467,$Y$2:$Y$601,1),0)</f>
        <v>0</v>
      </c>
      <c r="AD467" s="89" t="n">
        <f aca="false">IF(Y467=1,COUNTIFS($N$2:$N$601,N467,$Y$2:$Y$601,1),0)</f>
        <v>0</v>
      </c>
      <c r="AE467" s="43" t="str">
        <f aca="false">IF(Y467&lt;&gt;1,"",IF(AND(AC467&gt;=설정!$C$7,ISNUMBER(MATCH(Z467,피어커브!$A:$A,0))),Z467,IF(AND(AD467&gt;=설정!$C$7,ISNUMBER(MATCH(N467&amp;"|전체",피어커브!$A:$A,0))),N467&amp;"|전체","전체|전체")))</f>
        <v/>
      </c>
      <c r="AF467" s="93" t="str">
        <f aca="false">IF(AE467="","",INDEX(피어커브!$K:$K,MATCH(AE467,피어커브!$A:$A,0)))</f>
        <v/>
      </c>
      <c r="AG467" s="93" t="str">
        <f aca="false">IF(AE467="","",INDEX(피어커브!$J:$J,MATCH(AE467,피어커브!$A:$A,0)))</f>
        <v/>
      </c>
      <c r="AH467" s="93" t="str">
        <f aca="false">IF(AE467="","",INDEX(피어커브!$L:$L,MATCH(AE467,피어커브!$A:$A,0)))</f>
        <v/>
      </c>
      <c r="AI467" s="93" t="str">
        <f aca="false">IF(AE467="","",AF467+AG467*AA467)</f>
        <v/>
      </c>
      <c r="AJ467" s="96" t="str">
        <f aca="false">IF(AE467="","",E467-AI467)</f>
        <v/>
      </c>
      <c r="AK467" s="95" t="str">
        <f aca="false">IF(AE467="","",IF(ISNUMBER(AH467),IF(AH467&gt;0,AJ467/AH467,""),""))</f>
        <v/>
      </c>
      <c r="AL467" s="43" t="str">
        <f aca="false">IF(AK467="","-",IF(AK467&gt;=설정!$C$6,"Cheap",IF(AK467&lt;=-설정!$C$6,"Rich","Fair")))</f>
        <v>-</v>
      </c>
      <c r="AM467" s="96" t="str">
        <f aca="false">IF(AE467="","",AJ467-AVERAGEIFS($AJ$2:$AJ$601,$B$2:$B$601,B467,$Y$2:$Y$601,1))</f>
        <v/>
      </c>
      <c r="AN467" s="93" t="n">
        <f aca="false">IF(AE467="",0,IF(K467&gt;1+설정!$C$8,AG467*(AA467-LN(K467-1)),0))</f>
        <v>0</v>
      </c>
      <c r="AO467" s="99" t="n">
        <f aca="false">IF($A467="",0,SUMIFS(보유분석!$AA$2:$AA$801,보유분석!$AB$2:$AB$801,ROW(),보유분석!$AC$2:$AC$801,1))</f>
        <v>0</v>
      </c>
      <c r="AP467" s="43" t="str">
        <f aca="false">IF($A467="","",TRIM(IF(R467=1,"FRN ","")&amp;IF(IFERROR(VLOOKUP(M467,설정!$A$15:$D$47,4,0),0)&gt;=10,IF(IFERROR(VLOOKUP(M467,설정!$A$15:$D$47,4,0),0)&lt;99,"BBB0미만 ",""),"")&amp;IF(OR(M467="",M467="NR"),"등급미입력 ","")&amp;IF(C467&lt;&gt;"USD","비USD ","")))</f>
        <v/>
      </c>
      <c r="AQ467" s="90" t="n">
        <f aca="false">IF(AND(Y467=1,AL467="Cheap"),IF(AND(ISERROR(SEARCH("FRN",AP467)),ISERROR(SEARCH("BBB0미만",AP467))),AK467+ROW()/1000000000,-999),-999)</f>
        <v>-999</v>
      </c>
      <c r="AR467" s="92" t="str">
        <f aca="false">IF(AND(ISNUMBER(D467),ISNUMBER(K467)),D467+AN467*MAX(K467-1,0)/100,"")</f>
        <v/>
      </c>
      <c r="AS467" s="93" t="str">
        <f aca="false">IF(AND(ISNUMBER(E467),ISNUMBER(K467)),IF(K467&gt;0,(E467+AN467*MAX(K467-1,0))/K467,""),"")</f>
        <v/>
      </c>
      <c r="AT467" s="90" t="n">
        <f aca="false">IFERROR(IF(AND(Y467=1,ROW()&lt;&gt;스왑분석!$C$12+1,ABS(K467-INDEX($K$2:$K$601,스왑분석!$C$12))&lt;=스왑분석!$C$5,ISERROR(SEARCH("FRN",AP467)),ISERROR(SEARCH("BBB0미만",AP467))),IF(AND(OR(스왑분석!$C$6="N",L467=INDEX($L$2:$L$601,스왑분석!$C$12)),OR(스왑분석!$C$7="N",N467=INDEX($N$2:$N$601,스왑분석!$C$12)),OR(스왑분석!$C$8="N",AO467=0),E467-INDEX($E$2:$E$601,스왑분석!$C$12)&gt;=스왑분석!$C$9),E467-INDEX($E$2:$E$601,스왑분석!$C$12)+ROW()/1000000000,-999),-999),-999)</f>
        <v>-999</v>
      </c>
      <c r="AU467" s="90" t="n">
        <f aca="false">IF(AND(Y467=1,AO467&gt;0,AL467="Rich"),-AK467+ROW()/1000000000,-999)</f>
        <v>-999</v>
      </c>
    </row>
    <row r="468" customFormat="false" ht="15" hidden="false" customHeight="false" outlineLevel="0" collapsed="false">
      <c r="A468" s="83" t="n">
        <f aca="false">IFERROR(IF(INDEX(원자료_시장!$A$1:$BZ$1000,설정!$L$6+ROW()-1,설정!$L$24)&amp;""="0","",INDEX(원자료_시장!$A$1:$BZ$1000,설정!$L$6+ROW()-1,설정!$L$24)),"")</f>
        <v>0</v>
      </c>
      <c r="B468" s="83" t="n">
        <f aca="false">IFERROR(IF(INDEX(원자료_시장!$A$1:$BZ$1000,설정!$L$6+ROW()-1,설정!$L$37)&amp;""="0","",INDEX(원자료_시장!$A$1:$BZ$1000,설정!$L$6+ROW()-1,설정!$L$37)),"")</f>
        <v>0</v>
      </c>
      <c r="C468" s="83" t="n">
        <f aca="false">IFERROR(IF(INDEX(원자료_시장!$A$1:$BZ$1000,설정!$L$6+ROW()-1,설정!$L$25)&amp;""="0","",INDEX(원자료_시장!$A$1:$BZ$1000,설정!$L$6+ROW()-1,설정!$L$25)),"")</f>
        <v>0</v>
      </c>
      <c r="D468" s="85" t="str">
        <f aca="false">IFERROR(IF(ISNUMBER(INDEX(원자료_시장!$A$1:$BZ$1000,설정!$L$6+ROW()-1,설정!$L$26)),INDEX(원자료_시장!$A$1:$BZ$1000,설정!$L$6+ROW()-1,설정!$L$26),""),"")</f>
        <v/>
      </c>
      <c r="E468" s="97" t="str">
        <f aca="false">IFERROR(IF(ISNUMBER(INDEX(원자료_시장!$A$1:$BZ$1000,설정!$L$6+ROW()-1,설정!$L$27)),INDEX(원자료_시장!$A$1:$BZ$1000,설정!$L$6+ROW()-1,설정!$L$27),""),"")</f>
        <v/>
      </c>
      <c r="F468" s="97" t="str">
        <f aca="false">IFERROR(IF(ISNUMBER(INDEX(원자료_시장!$A$1:$BZ$1000,설정!$L$6+ROW()-1,설정!$L$28)),INDEX(원자료_시장!$A$1:$BZ$1000,설정!$L$6+ROW()-1,설정!$L$28),""),"")</f>
        <v/>
      </c>
      <c r="G468" s="97" t="str">
        <f aca="false">IFERROR(IF(ISNUMBER(INDEX(원자료_시장!$A$1:$BZ$1000,설정!$L$6+ROW()-1,설정!$L$29)),INDEX(원자료_시장!$A$1:$BZ$1000,설정!$L$6+ROW()-1,설정!$L$29),""),"")</f>
        <v/>
      </c>
      <c r="H468" s="97" t="str">
        <f aca="false">IFERROR(IF(ISNUMBER(INDEX(원자료_시장!$A$1:$BZ$1000,설정!$L$6+ROW()-1,설정!$L$30)),INDEX(원자료_시장!$A$1:$BZ$1000,설정!$L$6+ROW()-1,설정!$L$30),""),"")</f>
        <v/>
      </c>
      <c r="I468" s="97" t="str">
        <f aca="false">IFERROR(IF(ISNUMBER(INDEX(원자료_시장!$A$1:$BZ$1000,설정!$L$6+ROW()-1,설정!$L$31)),INDEX(원자료_시장!$A$1:$BZ$1000,설정!$L$6+ROW()-1,설정!$L$31),""),"")</f>
        <v/>
      </c>
      <c r="J468" s="97" t="str">
        <f aca="false">IFERROR(IF(ISNUMBER(INDEX(원자료_시장!$A$1:$BZ$1000,설정!$L$6+ROW()-1,설정!$L$32)),INDEX(원자료_시장!$A$1:$BZ$1000,설정!$L$6+ROW()-1,설정!$L$32),""),"")</f>
        <v/>
      </c>
      <c r="K468" s="85" t="str">
        <f aca="false">IFERROR(IF(ISNUMBER(INDEX(원자료_시장!$A$1:$BZ$1000,설정!$L$6+ROW()-1,설정!$L$33)),INDEX(원자료_시장!$A$1:$BZ$1000,설정!$L$6+ROW()-1,설정!$L$33),""),"")</f>
        <v/>
      </c>
      <c r="L468" s="83" t="n">
        <f aca="false">IFERROR(IF(INDEX(원자료_시장!$A$1:$BZ$1000,설정!$L$6+ROW()-1,설정!$L$34)&amp;""="0","",INDEX(원자료_시장!$A$1:$BZ$1000,설정!$L$6+ROW()-1,설정!$L$34)),"")</f>
        <v>0</v>
      </c>
      <c r="M468" s="83" t="n">
        <f aca="false">IFERROR(IF(INDEX(원자료_시장!$A$1:$BZ$1000,설정!$L$6+ROW()-1,설정!$L$35)&amp;""="0","",INDEX(원자료_시장!$A$1:$BZ$1000,설정!$L$6+ROW()-1,설정!$L$35)),"")</f>
        <v>0</v>
      </c>
      <c r="N468" s="83" t="n">
        <f aca="false">IFERROR(IF(INDEX(원자료_시장!$A$1:$BZ$1000,설정!$L$6+ROW()-1,설정!$L$36)&amp;""="0","",INDEX(원자료_시장!$A$1:$BZ$1000,설정!$L$6+ROW()-1,설정!$L$36)),"")</f>
        <v>0</v>
      </c>
      <c r="O468" s="43" t="str">
        <f aca="false">IF($A468="","",UPPER(LEFT($A468,FIND(" ",$A468&amp;" ")-1)))</f>
        <v/>
      </c>
      <c r="P468" s="43" t="str">
        <f aca="false">IF($A468="","",TRIM(RIGHT(SUBSTITUTE(TRIM($A468)," ",REPT(" ",30)),30)))</f>
        <v/>
      </c>
      <c r="Q468" s="98" t="str">
        <f aca="false">IF($A468="","",IFERROR(DATE(IF(LEN(P468)=8,2000+VALUE(RIGHT(P468,2)),VALUE(RIGHT(P468,4))),VALUE(LEFT(P468,2)),VALUE(MID(P468,4,2))),""))</f>
        <v/>
      </c>
      <c r="R468" s="89" t="n">
        <f aca="false">IF($A468="",0,IF(ISNUMBER(SEARCH("Float",$A468)),1,0))</f>
        <v>0</v>
      </c>
      <c r="S468" s="43" t="str">
        <f aca="false">IF($A468="","",TRIM(MID($A468,LEN(O468)+2,LEN($A468)-LEN(O468)-LEN(P468)-1)))</f>
        <v/>
      </c>
      <c r="T468" s="92" t="str">
        <f aca="false">IF(OR($A468="",R468=1),"",IFERROR(IF(ISNUMBER(FIND("/",S468)),IF(ISNUMBER(FIND(" ",S468)),VALUE(LEFT(S468,FIND(" ",S468)-1))+VALUE(MID(S468,FIND(" ",S468)+1,FIND("/",S468)-FIND(" ",S468)-1))/VALUE(MID(S468,FIND("/",S468)+1,9)),VALUE(LEFT(S468,FIND("/",S468)-1))/VALUE(MID(S468,FIND("/",S468)+1,9))),VALUE(S468)),""))</f>
        <v/>
      </c>
      <c r="U468" s="43" t="str">
        <f aca="false">IF(OR($A468="",NOT(ISNUMBER(Q468))),"",TEXT(Q468,"yyyymmdd")&amp;"|"&amp;IF(R468=1,"F",TEXT(T468,"0.000")))</f>
        <v/>
      </c>
      <c r="V468" s="43" t="str">
        <f aca="false">IF(U468="","",O468&amp;"|"&amp;U468)</f>
        <v/>
      </c>
      <c r="W468" s="43" t="str">
        <f aca="false">IF($A468="","",IFERROR(IF(VLOOKUP(O468,매핑!$A$4:$E$92,3,0)="","미분류",VLOOKUP(O468,매핑!$A$4:$E$92,3,0)),"미분류"))</f>
        <v/>
      </c>
      <c r="X468" s="89" t="n">
        <f aca="false">IF($A468="",0,IF(O468="T",1,0))</f>
        <v>0</v>
      </c>
      <c r="Y468" s="89" t="n">
        <f aca="false">IF($A468="",0,IF(AND(C468="USD",X468=0,ISNUMBER(E468),ISNUMBER(K468)),IF(K468&gt;=설정!$C$8,1,0),0))</f>
        <v>0</v>
      </c>
      <c r="Z468" s="43" t="str">
        <f aca="false">IF($A468="","",N468&amp;"|"&amp;L468)</f>
        <v/>
      </c>
      <c r="AA468" s="92" t="n">
        <f aca="false">IF(Y468=1,LN(K468),0)</f>
        <v>0</v>
      </c>
      <c r="AB468" s="93" t="n">
        <f aca="false">IF(Y468=1,E468,0)</f>
        <v>0</v>
      </c>
      <c r="AC468" s="89" t="n">
        <f aca="false">IF(Y468=1,COUNTIFS($Z$2:$Z$601,Z468,$Y$2:$Y$601,1),0)</f>
        <v>0</v>
      </c>
      <c r="AD468" s="89" t="n">
        <f aca="false">IF(Y468=1,COUNTIFS($N$2:$N$601,N468,$Y$2:$Y$601,1),0)</f>
        <v>0</v>
      </c>
      <c r="AE468" s="43" t="str">
        <f aca="false">IF(Y468&lt;&gt;1,"",IF(AND(AC468&gt;=설정!$C$7,ISNUMBER(MATCH(Z468,피어커브!$A:$A,0))),Z468,IF(AND(AD468&gt;=설정!$C$7,ISNUMBER(MATCH(N468&amp;"|전체",피어커브!$A:$A,0))),N468&amp;"|전체","전체|전체")))</f>
        <v/>
      </c>
      <c r="AF468" s="93" t="str">
        <f aca="false">IF(AE468="","",INDEX(피어커브!$K:$K,MATCH(AE468,피어커브!$A:$A,0)))</f>
        <v/>
      </c>
      <c r="AG468" s="93" t="str">
        <f aca="false">IF(AE468="","",INDEX(피어커브!$J:$J,MATCH(AE468,피어커브!$A:$A,0)))</f>
        <v/>
      </c>
      <c r="AH468" s="93" t="str">
        <f aca="false">IF(AE468="","",INDEX(피어커브!$L:$L,MATCH(AE468,피어커브!$A:$A,0)))</f>
        <v/>
      </c>
      <c r="AI468" s="93" t="str">
        <f aca="false">IF(AE468="","",AF468+AG468*AA468)</f>
        <v/>
      </c>
      <c r="AJ468" s="96" t="str">
        <f aca="false">IF(AE468="","",E468-AI468)</f>
        <v/>
      </c>
      <c r="AK468" s="95" t="str">
        <f aca="false">IF(AE468="","",IF(ISNUMBER(AH468),IF(AH468&gt;0,AJ468/AH468,""),""))</f>
        <v/>
      </c>
      <c r="AL468" s="43" t="str">
        <f aca="false">IF(AK468="","-",IF(AK468&gt;=설정!$C$6,"Cheap",IF(AK468&lt;=-설정!$C$6,"Rich","Fair")))</f>
        <v>-</v>
      </c>
      <c r="AM468" s="96" t="str">
        <f aca="false">IF(AE468="","",AJ468-AVERAGEIFS($AJ$2:$AJ$601,$B$2:$B$601,B468,$Y$2:$Y$601,1))</f>
        <v/>
      </c>
      <c r="AN468" s="93" t="n">
        <f aca="false">IF(AE468="",0,IF(K468&gt;1+설정!$C$8,AG468*(AA468-LN(K468-1)),0))</f>
        <v>0</v>
      </c>
      <c r="AO468" s="99" t="n">
        <f aca="false">IF($A468="",0,SUMIFS(보유분석!$AA$2:$AA$801,보유분석!$AB$2:$AB$801,ROW(),보유분석!$AC$2:$AC$801,1))</f>
        <v>0</v>
      </c>
      <c r="AP468" s="43" t="str">
        <f aca="false">IF($A468="","",TRIM(IF(R468=1,"FRN ","")&amp;IF(IFERROR(VLOOKUP(M468,설정!$A$15:$D$47,4,0),0)&gt;=10,IF(IFERROR(VLOOKUP(M468,설정!$A$15:$D$47,4,0),0)&lt;99,"BBB0미만 ",""),"")&amp;IF(OR(M468="",M468="NR"),"등급미입력 ","")&amp;IF(C468&lt;&gt;"USD","비USD ","")))</f>
        <v/>
      </c>
      <c r="AQ468" s="90" t="n">
        <f aca="false">IF(AND(Y468=1,AL468="Cheap"),IF(AND(ISERROR(SEARCH("FRN",AP468)),ISERROR(SEARCH("BBB0미만",AP468))),AK468+ROW()/1000000000,-999),-999)</f>
        <v>-999</v>
      </c>
      <c r="AR468" s="92" t="str">
        <f aca="false">IF(AND(ISNUMBER(D468),ISNUMBER(K468)),D468+AN468*MAX(K468-1,0)/100,"")</f>
        <v/>
      </c>
      <c r="AS468" s="93" t="str">
        <f aca="false">IF(AND(ISNUMBER(E468),ISNUMBER(K468)),IF(K468&gt;0,(E468+AN468*MAX(K468-1,0))/K468,""),"")</f>
        <v/>
      </c>
      <c r="AT468" s="90" t="n">
        <f aca="false">IFERROR(IF(AND(Y468=1,ROW()&lt;&gt;스왑분석!$C$12+1,ABS(K468-INDEX($K$2:$K$601,스왑분석!$C$12))&lt;=스왑분석!$C$5,ISERROR(SEARCH("FRN",AP468)),ISERROR(SEARCH("BBB0미만",AP468))),IF(AND(OR(스왑분석!$C$6="N",L468=INDEX($L$2:$L$601,스왑분석!$C$12)),OR(스왑분석!$C$7="N",N468=INDEX($N$2:$N$601,스왑분석!$C$12)),OR(스왑분석!$C$8="N",AO468=0),E468-INDEX($E$2:$E$601,스왑분석!$C$12)&gt;=스왑분석!$C$9),E468-INDEX($E$2:$E$601,스왑분석!$C$12)+ROW()/1000000000,-999),-999),-999)</f>
        <v>-999</v>
      </c>
      <c r="AU468" s="90" t="n">
        <f aca="false">IF(AND(Y468=1,AO468&gt;0,AL468="Rich"),-AK468+ROW()/1000000000,-999)</f>
        <v>-999</v>
      </c>
    </row>
    <row r="469" customFormat="false" ht="15" hidden="false" customHeight="false" outlineLevel="0" collapsed="false">
      <c r="A469" s="83" t="n">
        <f aca="false">IFERROR(IF(INDEX(원자료_시장!$A$1:$BZ$1000,설정!$L$6+ROW()-1,설정!$L$24)&amp;""="0","",INDEX(원자료_시장!$A$1:$BZ$1000,설정!$L$6+ROW()-1,설정!$L$24)),"")</f>
        <v>0</v>
      </c>
      <c r="B469" s="83" t="n">
        <f aca="false">IFERROR(IF(INDEX(원자료_시장!$A$1:$BZ$1000,설정!$L$6+ROW()-1,설정!$L$37)&amp;""="0","",INDEX(원자료_시장!$A$1:$BZ$1000,설정!$L$6+ROW()-1,설정!$L$37)),"")</f>
        <v>0</v>
      </c>
      <c r="C469" s="83" t="n">
        <f aca="false">IFERROR(IF(INDEX(원자료_시장!$A$1:$BZ$1000,설정!$L$6+ROW()-1,설정!$L$25)&amp;""="0","",INDEX(원자료_시장!$A$1:$BZ$1000,설정!$L$6+ROW()-1,설정!$L$25)),"")</f>
        <v>0</v>
      </c>
      <c r="D469" s="85" t="str">
        <f aca="false">IFERROR(IF(ISNUMBER(INDEX(원자료_시장!$A$1:$BZ$1000,설정!$L$6+ROW()-1,설정!$L$26)),INDEX(원자료_시장!$A$1:$BZ$1000,설정!$L$6+ROW()-1,설정!$L$26),""),"")</f>
        <v/>
      </c>
      <c r="E469" s="97" t="str">
        <f aca="false">IFERROR(IF(ISNUMBER(INDEX(원자료_시장!$A$1:$BZ$1000,설정!$L$6+ROW()-1,설정!$L$27)),INDEX(원자료_시장!$A$1:$BZ$1000,설정!$L$6+ROW()-1,설정!$L$27),""),"")</f>
        <v/>
      </c>
      <c r="F469" s="97" t="str">
        <f aca="false">IFERROR(IF(ISNUMBER(INDEX(원자료_시장!$A$1:$BZ$1000,설정!$L$6+ROW()-1,설정!$L$28)),INDEX(원자료_시장!$A$1:$BZ$1000,설정!$L$6+ROW()-1,설정!$L$28),""),"")</f>
        <v/>
      </c>
      <c r="G469" s="97" t="str">
        <f aca="false">IFERROR(IF(ISNUMBER(INDEX(원자료_시장!$A$1:$BZ$1000,설정!$L$6+ROW()-1,설정!$L$29)),INDEX(원자료_시장!$A$1:$BZ$1000,설정!$L$6+ROW()-1,설정!$L$29),""),"")</f>
        <v/>
      </c>
      <c r="H469" s="97" t="str">
        <f aca="false">IFERROR(IF(ISNUMBER(INDEX(원자료_시장!$A$1:$BZ$1000,설정!$L$6+ROW()-1,설정!$L$30)),INDEX(원자료_시장!$A$1:$BZ$1000,설정!$L$6+ROW()-1,설정!$L$30),""),"")</f>
        <v/>
      </c>
      <c r="I469" s="97" t="str">
        <f aca="false">IFERROR(IF(ISNUMBER(INDEX(원자료_시장!$A$1:$BZ$1000,설정!$L$6+ROW()-1,설정!$L$31)),INDEX(원자료_시장!$A$1:$BZ$1000,설정!$L$6+ROW()-1,설정!$L$31),""),"")</f>
        <v/>
      </c>
      <c r="J469" s="97" t="str">
        <f aca="false">IFERROR(IF(ISNUMBER(INDEX(원자료_시장!$A$1:$BZ$1000,설정!$L$6+ROW()-1,설정!$L$32)),INDEX(원자료_시장!$A$1:$BZ$1000,설정!$L$6+ROW()-1,설정!$L$32),""),"")</f>
        <v/>
      </c>
      <c r="K469" s="85" t="str">
        <f aca="false">IFERROR(IF(ISNUMBER(INDEX(원자료_시장!$A$1:$BZ$1000,설정!$L$6+ROW()-1,설정!$L$33)),INDEX(원자료_시장!$A$1:$BZ$1000,설정!$L$6+ROW()-1,설정!$L$33),""),"")</f>
        <v/>
      </c>
      <c r="L469" s="83" t="n">
        <f aca="false">IFERROR(IF(INDEX(원자료_시장!$A$1:$BZ$1000,설정!$L$6+ROW()-1,설정!$L$34)&amp;""="0","",INDEX(원자료_시장!$A$1:$BZ$1000,설정!$L$6+ROW()-1,설정!$L$34)),"")</f>
        <v>0</v>
      </c>
      <c r="M469" s="83" t="n">
        <f aca="false">IFERROR(IF(INDEX(원자료_시장!$A$1:$BZ$1000,설정!$L$6+ROW()-1,설정!$L$35)&amp;""="0","",INDEX(원자료_시장!$A$1:$BZ$1000,설정!$L$6+ROW()-1,설정!$L$35)),"")</f>
        <v>0</v>
      </c>
      <c r="N469" s="83" t="n">
        <f aca="false">IFERROR(IF(INDEX(원자료_시장!$A$1:$BZ$1000,설정!$L$6+ROW()-1,설정!$L$36)&amp;""="0","",INDEX(원자료_시장!$A$1:$BZ$1000,설정!$L$6+ROW()-1,설정!$L$36)),"")</f>
        <v>0</v>
      </c>
      <c r="O469" s="43" t="str">
        <f aca="false">IF($A469="","",UPPER(LEFT($A469,FIND(" ",$A469&amp;" ")-1)))</f>
        <v/>
      </c>
      <c r="P469" s="43" t="str">
        <f aca="false">IF($A469="","",TRIM(RIGHT(SUBSTITUTE(TRIM($A469)," ",REPT(" ",30)),30)))</f>
        <v/>
      </c>
      <c r="Q469" s="98" t="str">
        <f aca="false">IF($A469="","",IFERROR(DATE(IF(LEN(P469)=8,2000+VALUE(RIGHT(P469,2)),VALUE(RIGHT(P469,4))),VALUE(LEFT(P469,2)),VALUE(MID(P469,4,2))),""))</f>
        <v/>
      </c>
      <c r="R469" s="89" t="n">
        <f aca="false">IF($A469="",0,IF(ISNUMBER(SEARCH("Float",$A469)),1,0))</f>
        <v>0</v>
      </c>
      <c r="S469" s="43" t="str">
        <f aca="false">IF($A469="","",TRIM(MID($A469,LEN(O469)+2,LEN($A469)-LEN(O469)-LEN(P469)-1)))</f>
        <v/>
      </c>
      <c r="T469" s="92" t="str">
        <f aca="false">IF(OR($A469="",R469=1),"",IFERROR(IF(ISNUMBER(FIND("/",S469)),IF(ISNUMBER(FIND(" ",S469)),VALUE(LEFT(S469,FIND(" ",S469)-1))+VALUE(MID(S469,FIND(" ",S469)+1,FIND("/",S469)-FIND(" ",S469)-1))/VALUE(MID(S469,FIND("/",S469)+1,9)),VALUE(LEFT(S469,FIND("/",S469)-1))/VALUE(MID(S469,FIND("/",S469)+1,9))),VALUE(S469)),""))</f>
        <v/>
      </c>
      <c r="U469" s="43" t="str">
        <f aca="false">IF(OR($A469="",NOT(ISNUMBER(Q469))),"",TEXT(Q469,"yyyymmdd")&amp;"|"&amp;IF(R469=1,"F",TEXT(T469,"0.000")))</f>
        <v/>
      </c>
      <c r="V469" s="43" t="str">
        <f aca="false">IF(U469="","",O469&amp;"|"&amp;U469)</f>
        <v/>
      </c>
      <c r="W469" s="43" t="str">
        <f aca="false">IF($A469="","",IFERROR(IF(VLOOKUP(O469,매핑!$A$4:$E$92,3,0)="","미분류",VLOOKUP(O469,매핑!$A$4:$E$92,3,0)),"미분류"))</f>
        <v/>
      </c>
      <c r="X469" s="89" t="n">
        <f aca="false">IF($A469="",0,IF(O469="T",1,0))</f>
        <v>0</v>
      </c>
      <c r="Y469" s="89" t="n">
        <f aca="false">IF($A469="",0,IF(AND(C469="USD",X469=0,ISNUMBER(E469),ISNUMBER(K469)),IF(K469&gt;=설정!$C$8,1,0),0))</f>
        <v>0</v>
      </c>
      <c r="Z469" s="43" t="str">
        <f aca="false">IF($A469="","",N469&amp;"|"&amp;L469)</f>
        <v/>
      </c>
      <c r="AA469" s="92" t="n">
        <f aca="false">IF(Y469=1,LN(K469),0)</f>
        <v>0</v>
      </c>
      <c r="AB469" s="93" t="n">
        <f aca="false">IF(Y469=1,E469,0)</f>
        <v>0</v>
      </c>
      <c r="AC469" s="89" t="n">
        <f aca="false">IF(Y469=1,COUNTIFS($Z$2:$Z$601,Z469,$Y$2:$Y$601,1),0)</f>
        <v>0</v>
      </c>
      <c r="AD469" s="89" t="n">
        <f aca="false">IF(Y469=1,COUNTIFS($N$2:$N$601,N469,$Y$2:$Y$601,1),0)</f>
        <v>0</v>
      </c>
      <c r="AE469" s="43" t="str">
        <f aca="false">IF(Y469&lt;&gt;1,"",IF(AND(AC469&gt;=설정!$C$7,ISNUMBER(MATCH(Z469,피어커브!$A:$A,0))),Z469,IF(AND(AD469&gt;=설정!$C$7,ISNUMBER(MATCH(N469&amp;"|전체",피어커브!$A:$A,0))),N469&amp;"|전체","전체|전체")))</f>
        <v/>
      </c>
      <c r="AF469" s="93" t="str">
        <f aca="false">IF(AE469="","",INDEX(피어커브!$K:$K,MATCH(AE469,피어커브!$A:$A,0)))</f>
        <v/>
      </c>
      <c r="AG469" s="93" t="str">
        <f aca="false">IF(AE469="","",INDEX(피어커브!$J:$J,MATCH(AE469,피어커브!$A:$A,0)))</f>
        <v/>
      </c>
      <c r="AH469" s="93" t="str">
        <f aca="false">IF(AE469="","",INDEX(피어커브!$L:$L,MATCH(AE469,피어커브!$A:$A,0)))</f>
        <v/>
      </c>
      <c r="AI469" s="93" t="str">
        <f aca="false">IF(AE469="","",AF469+AG469*AA469)</f>
        <v/>
      </c>
      <c r="AJ469" s="96" t="str">
        <f aca="false">IF(AE469="","",E469-AI469)</f>
        <v/>
      </c>
      <c r="AK469" s="95" t="str">
        <f aca="false">IF(AE469="","",IF(ISNUMBER(AH469),IF(AH469&gt;0,AJ469/AH469,""),""))</f>
        <v/>
      </c>
      <c r="AL469" s="43" t="str">
        <f aca="false">IF(AK469="","-",IF(AK469&gt;=설정!$C$6,"Cheap",IF(AK469&lt;=-설정!$C$6,"Rich","Fair")))</f>
        <v>-</v>
      </c>
      <c r="AM469" s="96" t="str">
        <f aca="false">IF(AE469="","",AJ469-AVERAGEIFS($AJ$2:$AJ$601,$B$2:$B$601,B469,$Y$2:$Y$601,1))</f>
        <v/>
      </c>
      <c r="AN469" s="93" t="n">
        <f aca="false">IF(AE469="",0,IF(K469&gt;1+설정!$C$8,AG469*(AA469-LN(K469-1)),0))</f>
        <v>0</v>
      </c>
      <c r="AO469" s="99" t="n">
        <f aca="false">IF($A469="",0,SUMIFS(보유분석!$AA$2:$AA$801,보유분석!$AB$2:$AB$801,ROW(),보유분석!$AC$2:$AC$801,1))</f>
        <v>0</v>
      </c>
      <c r="AP469" s="43" t="str">
        <f aca="false">IF($A469="","",TRIM(IF(R469=1,"FRN ","")&amp;IF(IFERROR(VLOOKUP(M469,설정!$A$15:$D$47,4,0),0)&gt;=10,IF(IFERROR(VLOOKUP(M469,설정!$A$15:$D$47,4,0),0)&lt;99,"BBB0미만 ",""),"")&amp;IF(OR(M469="",M469="NR"),"등급미입력 ","")&amp;IF(C469&lt;&gt;"USD","비USD ","")))</f>
        <v/>
      </c>
      <c r="AQ469" s="90" t="n">
        <f aca="false">IF(AND(Y469=1,AL469="Cheap"),IF(AND(ISERROR(SEARCH("FRN",AP469)),ISERROR(SEARCH("BBB0미만",AP469))),AK469+ROW()/1000000000,-999),-999)</f>
        <v>-999</v>
      </c>
      <c r="AR469" s="92" t="str">
        <f aca="false">IF(AND(ISNUMBER(D469),ISNUMBER(K469)),D469+AN469*MAX(K469-1,0)/100,"")</f>
        <v/>
      </c>
      <c r="AS469" s="93" t="str">
        <f aca="false">IF(AND(ISNUMBER(E469),ISNUMBER(K469)),IF(K469&gt;0,(E469+AN469*MAX(K469-1,0))/K469,""),"")</f>
        <v/>
      </c>
      <c r="AT469" s="90" t="n">
        <f aca="false">IFERROR(IF(AND(Y469=1,ROW()&lt;&gt;스왑분석!$C$12+1,ABS(K469-INDEX($K$2:$K$601,스왑분석!$C$12))&lt;=스왑분석!$C$5,ISERROR(SEARCH("FRN",AP469)),ISERROR(SEARCH("BBB0미만",AP469))),IF(AND(OR(스왑분석!$C$6="N",L469=INDEX($L$2:$L$601,스왑분석!$C$12)),OR(스왑분석!$C$7="N",N469=INDEX($N$2:$N$601,스왑분석!$C$12)),OR(스왑분석!$C$8="N",AO469=0),E469-INDEX($E$2:$E$601,스왑분석!$C$12)&gt;=스왑분석!$C$9),E469-INDEX($E$2:$E$601,스왑분석!$C$12)+ROW()/1000000000,-999),-999),-999)</f>
        <v>-999</v>
      </c>
      <c r="AU469" s="90" t="n">
        <f aca="false">IF(AND(Y469=1,AO469&gt;0,AL469="Rich"),-AK469+ROW()/1000000000,-999)</f>
        <v>-999</v>
      </c>
    </row>
    <row r="470" customFormat="false" ht="15" hidden="false" customHeight="false" outlineLevel="0" collapsed="false">
      <c r="A470" s="83" t="n">
        <f aca="false">IFERROR(IF(INDEX(원자료_시장!$A$1:$BZ$1000,설정!$L$6+ROW()-1,설정!$L$24)&amp;""="0","",INDEX(원자료_시장!$A$1:$BZ$1000,설정!$L$6+ROW()-1,설정!$L$24)),"")</f>
        <v>0</v>
      </c>
      <c r="B470" s="83" t="n">
        <f aca="false">IFERROR(IF(INDEX(원자료_시장!$A$1:$BZ$1000,설정!$L$6+ROW()-1,설정!$L$37)&amp;""="0","",INDEX(원자료_시장!$A$1:$BZ$1000,설정!$L$6+ROW()-1,설정!$L$37)),"")</f>
        <v>0</v>
      </c>
      <c r="C470" s="83" t="n">
        <f aca="false">IFERROR(IF(INDEX(원자료_시장!$A$1:$BZ$1000,설정!$L$6+ROW()-1,설정!$L$25)&amp;""="0","",INDEX(원자료_시장!$A$1:$BZ$1000,설정!$L$6+ROW()-1,설정!$L$25)),"")</f>
        <v>0</v>
      </c>
      <c r="D470" s="85" t="str">
        <f aca="false">IFERROR(IF(ISNUMBER(INDEX(원자료_시장!$A$1:$BZ$1000,설정!$L$6+ROW()-1,설정!$L$26)),INDEX(원자료_시장!$A$1:$BZ$1000,설정!$L$6+ROW()-1,설정!$L$26),""),"")</f>
        <v/>
      </c>
      <c r="E470" s="97" t="str">
        <f aca="false">IFERROR(IF(ISNUMBER(INDEX(원자료_시장!$A$1:$BZ$1000,설정!$L$6+ROW()-1,설정!$L$27)),INDEX(원자료_시장!$A$1:$BZ$1000,설정!$L$6+ROW()-1,설정!$L$27),""),"")</f>
        <v/>
      </c>
      <c r="F470" s="97" t="str">
        <f aca="false">IFERROR(IF(ISNUMBER(INDEX(원자료_시장!$A$1:$BZ$1000,설정!$L$6+ROW()-1,설정!$L$28)),INDEX(원자료_시장!$A$1:$BZ$1000,설정!$L$6+ROW()-1,설정!$L$28),""),"")</f>
        <v/>
      </c>
      <c r="G470" s="97" t="str">
        <f aca="false">IFERROR(IF(ISNUMBER(INDEX(원자료_시장!$A$1:$BZ$1000,설정!$L$6+ROW()-1,설정!$L$29)),INDEX(원자료_시장!$A$1:$BZ$1000,설정!$L$6+ROW()-1,설정!$L$29),""),"")</f>
        <v/>
      </c>
      <c r="H470" s="97" t="str">
        <f aca="false">IFERROR(IF(ISNUMBER(INDEX(원자료_시장!$A$1:$BZ$1000,설정!$L$6+ROW()-1,설정!$L$30)),INDEX(원자료_시장!$A$1:$BZ$1000,설정!$L$6+ROW()-1,설정!$L$30),""),"")</f>
        <v/>
      </c>
      <c r="I470" s="97" t="str">
        <f aca="false">IFERROR(IF(ISNUMBER(INDEX(원자료_시장!$A$1:$BZ$1000,설정!$L$6+ROW()-1,설정!$L$31)),INDEX(원자료_시장!$A$1:$BZ$1000,설정!$L$6+ROW()-1,설정!$L$31),""),"")</f>
        <v/>
      </c>
      <c r="J470" s="97" t="str">
        <f aca="false">IFERROR(IF(ISNUMBER(INDEX(원자료_시장!$A$1:$BZ$1000,설정!$L$6+ROW()-1,설정!$L$32)),INDEX(원자료_시장!$A$1:$BZ$1000,설정!$L$6+ROW()-1,설정!$L$32),""),"")</f>
        <v/>
      </c>
      <c r="K470" s="85" t="str">
        <f aca="false">IFERROR(IF(ISNUMBER(INDEX(원자료_시장!$A$1:$BZ$1000,설정!$L$6+ROW()-1,설정!$L$33)),INDEX(원자료_시장!$A$1:$BZ$1000,설정!$L$6+ROW()-1,설정!$L$33),""),"")</f>
        <v/>
      </c>
      <c r="L470" s="83" t="n">
        <f aca="false">IFERROR(IF(INDEX(원자료_시장!$A$1:$BZ$1000,설정!$L$6+ROW()-1,설정!$L$34)&amp;""="0","",INDEX(원자료_시장!$A$1:$BZ$1000,설정!$L$6+ROW()-1,설정!$L$34)),"")</f>
        <v>0</v>
      </c>
      <c r="M470" s="83" t="n">
        <f aca="false">IFERROR(IF(INDEX(원자료_시장!$A$1:$BZ$1000,설정!$L$6+ROW()-1,설정!$L$35)&amp;""="0","",INDEX(원자료_시장!$A$1:$BZ$1000,설정!$L$6+ROW()-1,설정!$L$35)),"")</f>
        <v>0</v>
      </c>
      <c r="N470" s="83" t="n">
        <f aca="false">IFERROR(IF(INDEX(원자료_시장!$A$1:$BZ$1000,설정!$L$6+ROW()-1,설정!$L$36)&amp;""="0","",INDEX(원자료_시장!$A$1:$BZ$1000,설정!$L$6+ROW()-1,설정!$L$36)),"")</f>
        <v>0</v>
      </c>
      <c r="O470" s="43" t="str">
        <f aca="false">IF($A470="","",UPPER(LEFT($A470,FIND(" ",$A470&amp;" ")-1)))</f>
        <v/>
      </c>
      <c r="P470" s="43" t="str">
        <f aca="false">IF($A470="","",TRIM(RIGHT(SUBSTITUTE(TRIM($A470)," ",REPT(" ",30)),30)))</f>
        <v/>
      </c>
      <c r="Q470" s="98" t="str">
        <f aca="false">IF($A470="","",IFERROR(DATE(IF(LEN(P470)=8,2000+VALUE(RIGHT(P470,2)),VALUE(RIGHT(P470,4))),VALUE(LEFT(P470,2)),VALUE(MID(P470,4,2))),""))</f>
        <v/>
      </c>
      <c r="R470" s="89" t="n">
        <f aca="false">IF($A470="",0,IF(ISNUMBER(SEARCH("Float",$A470)),1,0))</f>
        <v>0</v>
      </c>
      <c r="S470" s="43" t="str">
        <f aca="false">IF($A470="","",TRIM(MID($A470,LEN(O470)+2,LEN($A470)-LEN(O470)-LEN(P470)-1)))</f>
        <v/>
      </c>
      <c r="T470" s="92" t="str">
        <f aca="false">IF(OR($A470="",R470=1),"",IFERROR(IF(ISNUMBER(FIND("/",S470)),IF(ISNUMBER(FIND(" ",S470)),VALUE(LEFT(S470,FIND(" ",S470)-1))+VALUE(MID(S470,FIND(" ",S470)+1,FIND("/",S470)-FIND(" ",S470)-1))/VALUE(MID(S470,FIND("/",S470)+1,9)),VALUE(LEFT(S470,FIND("/",S470)-1))/VALUE(MID(S470,FIND("/",S470)+1,9))),VALUE(S470)),""))</f>
        <v/>
      </c>
      <c r="U470" s="43" t="str">
        <f aca="false">IF(OR($A470="",NOT(ISNUMBER(Q470))),"",TEXT(Q470,"yyyymmdd")&amp;"|"&amp;IF(R470=1,"F",TEXT(T470,"0.000")))</f>
        <v/>
      </c>
      <c r="V470" s="43" t="str">
        <f aca="false">IF(U470="","",O470&amp;"|"&amp;U470)</f>
        <v/>
      </c>
      <c r="W470" s="43" t="str">
        <f aca="false">IF($A470="","",IFERROR(IF(VLOOKUP(O470,매핑!$A$4:$E$92,3,0)="","미분류",VLOOKUP(O470,매핑!$A$4:$E$92,3,0)),"미분류"))</f>
        <v/>
      </c>
      <c r="X470" s="89" t="n">
        <f aca="false">IF($A470="",0,IF(O470="T",1,0))</f>
        <v>0</v>
      </c>
      <c r="Y470" s="89" t="n">
        <f aca="false">IF($A470="",0,IF(AND(C470="USD",X470=0,ISNUMBER(E470),ISNUMBER(K470)),IF(K470&gt;=설정!$C$8,1,0),0))</f>
        <v>0</v>
      </c>
      <c r="Z470" s="43" t="str">
        <f aca="false">IF($A470="","",N470&amp;"|"&amp;L470)</f>
        <v/>
      </c>
      <c r="AA470" s="92" t="n">
        <f aca="false">IF(Y470=1,LN(K470),0)</f>
        <v>0</v>
      </c>
      <c r="AB470" s="93" t="n">
        <f aca="false">IF(Y470=1,E470,0)</f>
        <v>0</v>
      </c>
      <c r="AC470" s="89" t="n">
        <f aca="false">IF(Y470=1,COUNTIFS($Z$2:$Z$601,Z470,$Y$2:$Y$601,1),0)</f>
        <v>0</v>
      </c>
      <c r="AD470" s="89" t="n">
        <f aca="false">IF(Y470=1,COUNTIFS($N$2:$N$601,N470,$Y$2:$Y$601,1),0)</f>
        <v>0</v>
      </c>
      <c r="AE470" s="43" t="str">
        <f aca="false">IF(Y470&lt;&gt;1,"",IF(AND(AC470&gt;=설정!$C$7,ISNUMBER(MATCH(Z470,피어커브!$A:$A,0))),Z470,IF(AND(AD470&gt;=설정!$C$7,ISNUMBER(MATCH(N470&amp;"|전체",피어커브!$A:$A,0))),N470&amp;"|전체","전체|전체")))</f>
        <v/>
      </c>
      <c r="AF470" s="93" t="str">
        <f aca="false">IF(AE470="","",INDEX(피어커브!$K:$K,MATCH(AE470,피어커브!$A:$A,0)))</f>
        <v/>
      </c>
      <c r="AG470" s="93" t="str">
        <f aca="false">IF(AE470="","",INDEX(피어커브!$J:$J,MATCH(AE470,피어커브!$A:$A,0)))</f>
        <v/>
      </c>
      <c r="AH470" s="93" t="str">
        <f aca="false">IF(AE470="","",INDEX(피어커브!$L:$L,MATCH(AE470,피어커브!$A:$A,0)))</f>
        <v/>
      </c>
      <c r="AI470" s="93" t="str">
        <f aca="false">IF(AE470="","",AF470+AG470*AA470)</f>
        <v/>
      </c>
      <c r="AJ470" s="96" t="str">
        <f aca="false">IF(AE470="","",E470-AI470)</f>
        <v/>
      </c>
      <c r="AK470" s="95" t="str">
        <f aca="false">IF(AE470="","",IF(ISNUMBER(AH470),IF(AH470&gt;0,AJ470/AH470,""),""))</f>
        <v/>
      </c>
      <c r="AL470" s="43" t="str">
        <f aca="false">IF(AK470="","-",IF(AK470&gt;=설정!$C$6,"Cheap",IF(AK470&lt;=-설정!$C$6,"Rich","Fair")))</f>
        <v>-</v>
      </c>
      <c r="AM470" s="96" t="str">
        <f aca="false">IF(AE470="","",AJ470-AVERAGEIFS($AJ$2:$AJ$601,$B$2:$B$601,B470,$Y$2:$Y$601,1))</f>
        <v/>
      </c>
      <c r="AN470" s="93" t="n">
        <f aca="false">IF(AE470="",0,IF(K470&gt;1+설정!$C$8,AG470*(AA470-LN(K470-1)),0))</f>
        <v>0</v>
      </c>
      <c r="AO470" s="99" t="n">
        <f aca="false">IF($A470="",0,SUMIFS(보유분석!$AA$2:$AA$801,보유분석!$AB$2:$AB$801,ROW(),보유분석!$AC$2:$AC$801,1))</f>
        <v>0</v>
      </c>
      <c r="AP470" s="43" t="str">
        <f aca="false">IF($A470="","",TRIM(IF(R470=1,"FRN ","")&amp;IF(IFERROR(VLOOKUP(M470,설정!$A$15:$D$47,4,0),0)&gt;=10,IF(IFERROR(VLOOKUP(M470,설정!$A$15:$D$47,4,0),0)&lt;99,"BBB0미만 ",""),"")&amp;IF(OR(M470="",M470="NR"),"등급미입력 ","")&amp;IF(C470&lt;&gt;"USD","비USD ","")))</f>
        <v/>
      </c>
      <c r="AQ470" s="90" t="n">
        <f aca="false">IF(AND(Y470=1,AL470="Cheap"),IF(AND(ISERROR(SEARCH("FRN",AP470)),ISERROR(SEARCH("BBB0미만",AP470))),AK470+ROW()/1000000000,-999),-999)</f>
        <v>-999</v>
      </c>
      <c r="AR470" s="92" t="str">
        <f aca="false">IF(AND(ISNUMBER(D470),ISNUMBER(K470)),D470+AN470*MAX(K470-1,0)/100,"")</f>
        <v/>
      </c>
      <c r="AS470" s="93" t="str">
        <f aca="false">IF(AND(ISNUMBER(E470),ISNUMBER(K470)),IF(K470&gt;0,(E470+AN470*MAX(K470-1,0))/K470,""),"")</f>
        <v/>
      </c>
      <c r="AT470" s="90" t="n">
        <f aca="false">IFERROR(IF(AND(Y470=1,ROW()&lt;&gt;스왑분석!$C$12+1,ABS(K470-INDEX($K$2:$K$601,스왑분석!$C$12))&lt;=스왑분석!$C$5,ISERROR(SEARCH("FRN",AP470)),ISERROR(SEARCH("BBB0미만",AP470))),IF(AND(OR(스왑분석!$C$6="N",L470=INDEX($L$2:$L$601,스왑분석!$C$12)),OR(스왑분석!$C$7="N",N470=INDEX($N$2:$N$601,스왑분석!$C$12)),OR(스왑분석!$C$8="N",AO470=0),E470-INDEX($E$2:$E$601,스왑분석!$C$12)&gt;=스왑분석!$C$9),E470-INDEX($E$2:$E$601,스왑분석!$C$12)+ROW()/1000000000,-999),-999),-999)</f>
        <v>-999</v>
      </c>
      <c r="AU470" s="90" t="n">
        <f aca="false">IF(AND(Y470=1,AO470&gt;0,AL470="Rich"),-AK470+ROW()/1000000000,-999)</f>
        <v>-999</v>
      </c>
    </row>
    <row r="471" customFormat="false" ht="15" hidden="false" customHeight="false" outlineLevel="0" collapsed="false">
      <c r="A471" s="83" t="n">
        <f aca="false">IFERROR(IF(INDEX(원자료_시장!$A$1:$BZ$1000,설정!$L$6+ROW()-1,설정!$L$24)&amp;""="0","",INDEX(원자료_시장!$A$1:$BZ$1000,설정!$L$6+ROW()-1,설정!$L$24)),"")</f>
        <v>0</v>
      </c>
      <c r="B471" s="83" t="n">
        <f aca="false">IFERROR(IF(INDEX(원자료_시장!$A$1:$BZ$1000,설정!$L$6+ROW()-1,설정!$L$37)&amp;""="0","",INDEX(원자료_시장!$A$1:$BZ$1000,설정!$L$6+ROW()-1,설정!$L$37)),"")</f>
        <v>0</v>
      </c>
      <c r="C471" s="83" t="n">
        <f aca="false">IFERROR(IF(INDEX(원자료_시장!$A$1:$BZ$1000,설정!$L$6+ROW()-1,설정!$L$25)&amp;""="0","",INDEX(원자료_시장!$A$1:$BZ$1000,설정!$L$6+ROW()-1,설정!$L$25)),"")</f>
        <v>0</v>
      </c>
      <c r="D471" s="85" t="str">
        <f aca="false">IFERROR(IF(ISNUMBER(INDEX(원자료_시장!$A$1:$BZ$1000,설정!$L$6+ROW()-1,설정!$L$26)),INDEX(원자료_시장!$A$1:$BZ$1000,설정!$L$6+ROW()-1,설정!$L$26),""),"")</f>
        <v/>
      </c>
      <c r="E471" s="97" t="str">
        <f aca="false">IFERROR(IF(ISNUMBER(INDEX(원자료_시장!$A$1:$BZ$1000,설정!$L$6+ROW()-1,설정!$L$27)),INDEX(원자료_시장!$A$1:$BZ$1000,설정!$L$6+ROW()-1,설정!$L$27),""),"")</f>
        <v/>
      </c>
      <c r="F471" s="97" t="str">
        <f aca="false">IFERROR(IF(ISNUMBER(INDEX(원자료_시장!$A$1:$BZ$1000,설정!$L$6+ROW()-1,설정!$L$28)),INDEX(원자료_시장!$A$1:$BZ$1000,설정!$L$6+ROW()-1,설정!$L$28),""),"")</f>
        <v/>
      </c>
      <c r="G471" s="97" t="str">
        <f aca="false">IFERROR(IF(ISNUMBER(INDEX(원자료_시장!$A$1:$BZ$1000,설정!$L$6+ROW()-1,설정!$L$29)),INDEX(원자료_시장!$A$1:$BZ$1000,설정!$L$6+ROW()-1,설정!$L$29),""),"")</f>
        <v/>
      </c>
      <c r="H471" s="97" t="str">
        <f aca="false">IFERROR(IF(ISNUMBER(INDEX(원자료_시장!$A$1:$BZ$1000,설정!$L$6+ROW()-1,설정!$L$30)),INDEX(원자료_시장!$A$1:$BZ$1000,설정!$L$6+ROW()-1,설정!$L$30),""),"")</f>
        <v/>
      </c>
      <c r="I471" s="97" t="str">
        <f aca="false">IFERROR(IF(ISNUMBER(INDEX(원자료_시장!$A$1:$BZ$1000,설정!$L$6+ROW()-1,설정!$L$31)),INDEX(원자료_시장!$A$1:$BZ$1000,설정!$L$6+ROW()-1,설정!$L$31),""),"")</f>
        <v/>
      </c>
      <c r="J471" s="97" t="str">
        <f aca="false">IFERROR(IF(ISNUMBER(INDEX(원자료_시장!$A$1:$BZ$1000,설정!$L$6+ROW()-1,설정!$L$32)),INDEX(원자료_시장!$A$1:$BZ$1000,설정!$L$6+ROW()-1,설정!$L$32),""),"")</f>
        <v/>
      </c>
      <c r="K471" s="85" t="str">
        <f aca="false">IFERROR(IF(ISNUMBER(INDEX(원자료_시장!$A$1:$BZ$1000,설정!$L$6+ROW()-1,설정!$L$33)),INDEX(원자료_시장!$A$1:$BZ$1000,설정!$L$6+ROW()-1,설정!$L$33),""),"")</f>
        <v/>
      </c>
      <c r="L471" s="83" t="n">
        <f aca="false">IFERROR(IF(INDEX(원자료_시장!$A$1:$BZ$1000,설정!$L$6+ROW()-1,설정!$L$34)&amp;""="0","",INDEX(원자료_시장!$A$1:$BZ$1000,설정!$L$6+ROW()-1,설정!$L$34)),"")</f>
        <v>0</v>
      </c>
      <c r="M471" s="83" t="n">
        <f aca="false">IFERROR(IF(INDEX(원자료_시장!$A$1:$BZ$1000,설정!$L$6+ROW()-1,설정!$L$35)&amp;""="0","",INDEX(원자료_시장!$A$1:$BZ$1000,설정!$L$6+ROW()-1,설정!$L$35)),"")</f>
        <v>0</v>
      </c>
      <c r="N471" s="83" t="n">
        <f aca="false">IFERROR(IF(INDEX(원자료_시장!$A$1:$BZ$1000,설정!$L$6+ROW()-1,설정!$L$36)&amp;""="0","",INDEX(원자료_시장!$A$1:$BZ$1000,설정!$L$6+ROW()-1,설정!$L$36)),"")</f>
        <v>0</v>
      </c>
      <c r="O471" s="43" t="str">
        <f aca="false">IF($A471="","",UPPER(LEFT($A471,FIND(" ",$A471&amp;" ")-1)))</f>
        <v/>
      </c>
      <c r="P471" s="43" t="str">
        <f aca="false">IF($A471="","",TRIM(RIGHT(SUBSTITUTE(TRIM($A471)," ",REPT(" ",30)),30)))</f>
        <v/>
      </c>
      <c r="Q471" s="98" t="str">
        <f aca="false">IF($A471="","",IFERROR(DATE(IF(LEN(P471)=8,2000+VALUE(RIGHT(P471,2)),VALUE(RIGHT(P471,4))),VALUE(LEFT(P471,2)),VALUE(MID(P471,4,2))),""))</f>
        <v/>
      </c>
      <c r="R471" s="89" t="n">
        <f aca="false">IF($A471="",0,IF(ISNUMBER(SEARCH("Float",$A471)),1,0))</f>
        <v>0</v>
      </c>
      <c r="S471" s="43" t="str">
        <f aca="false">IF($A471="","",TRIM(MID($A471,LEN(O471)+2,LEN($A471)-LEN(O471)-LEN(P471)-1)))</f>
        <v/>
      </c>
      <c r="T471" s="92" t="str">
        <f aca="false">IF(OR($A471="",R471=1),"",IFERROR(IF(ISNUMBER(FIND("/",S471)),IF(ISNUMBER(FIND(" ",S471)),VALUE(LEFT(S471,FIND(" ",S471)-1))+VALUE(MID(S471,FIND(" ",S471)+1,FIND("/",S471)-FIND(" ",S471)-1))/VALUE(MID(S471,FIND("/",S471)+1,9)),VALUE(LEFT(S471,FIND("/",S471)-1))/VALUE(MID(S471,FIND("/",S471)+1,9))),VALUE(S471)),""))</f>
        <v/>
      </c>
      <c r="U471" s="43" t="str">
        <f aca="false">IF(OR($A471="",NOT(ISNUMBER(Q471))),"",TEXT(Q471,"yyyymmdd")&amp;"|"&amp;IF(R471=1,"F",TEXT(T471,"0.000")))</f>
        <v/>
      </c>
      <c r="V471" s="43" t="str">
        <f aca="false">IF(U471="","",O471&amp;"|"&amp;U471)</f>
        <v/>
      </c>
      <c r="W471" s="43" t="str">
        <f aca="false">IF($A471="","",IFERROR(IF(VLOOKUP(O471,매핑!$A$4:$E$92,3,0)="","미분류",VLOOKUP(O471,매핑!$A$4:$E$92,3,0)),"미분류"))</f>
        <v/>
      </c>
      <c r="X471" s="89" t="n">
        <f aca="false">IF($A471="",0,IF(O471="T",1,0))</f>
        <v>0</v>
      </c>
      <c r="Y471" s="89" t="n">
        <f aca="false">IF($A471="",0,IF(AND(C471="USD",X471=0,ISNUMBER(E471),ISNUMBER(K471)),IF(K471&gt;=설정!$C$8,1,0),0))</f>
        <v>0</v>
      </c>
      <c r="Z471" s="43" t="str">
        <f aca="false">IF($A471="","",N471&amp;"|"&amp;L471)</f>
        <v/>
      </c>
      <c r="AA471" s="92" t="n">
        <f aca="false">IF(Y471=1,LN(K471),0)</f>
        <v>0</v>
      </c>
      <c r="AB471" s="93" t="n">
        <f aca="false">IF(Y471=1,E471,0)</f>
        <v>0</v>
      </c>
      <c r="AC471" s="89" t="n">
        <f aca="false">IF(Y471=1,COUNTIFS($Z$2:$Z$601,Z471,$Y$2:$Y$601,1),0)</f>
        <v>0</v>
      </c>
      <c r="AD471" s="89" t="n">
        <f aca="false">IF(Y471=1,COUNTIFS($N$2:$N$601,N471,$Y$2:$Y$601,1),0)</f>
        <v>0</v>
      </c>
      <c r="AE471" s="43" t="str">
        <f aca="false">IF(Y471&lt;&gt;1,"",IF(AND(AC471&gt;=설정!$C$7,ISNUMBER(MATCH(Z471,피어커브!$A:$A,0))),Z471,IF(AND(AD471&gt;=설정!$C$7,ISNUMBER(MATCH(N471&amp;"|전체",피어커브!$A:$A,0))),N471&amp;"|전체","전체|전체")))</f>
        <v/>
      </c>
      <c r="AF471" s="93" t="str">
        <f aca="false">IF(AE471="","",INDEX(피어커브!$K:$K,MATCH(AE471,피어커브!$A:$A,0)))</f>
        <v/>
      </c>
      <c r="AG471" s="93" t="str">
        <f aca="false">IF(AE471="","",INDEX(피어커브!$J:$J,MATCH(AE471,피어커브!$A:$A,0)))</f>
        <v/>
      </c>
      <c r="AH471" s="93" t="str">
        <f aca="false">IF(AE471="","",INDEX(피어커브!$L:$L,MATCH(AE471,피어커브!$A:$A,0)))</f>
        <v/>
      </c>
      <c r="AI471" s="93" t="str">
        <f aca="false">IF(AE471="","",AF471+AG471*AA471)</f>
        <v/>
      </c>
      <c r="AJ471" s="96" t="str">
        <f aca="false">IF(AE471="","",E471-AI471)</f>
        <v/>
      </c>
      <c r="AK471" s="95" t="str">
        <f aca="false">IF(AE471="","",IF(ISNUMBER(AH471),IF(AH471&gt;0,AJ471/AH471,""),""))</f>
        <v/>
      </c>
      <c r="AL471" s="43" t="str">
        <f aca="false">IF(AK471="","-",IF(AK471&gt;=설정!$C$6,"Cheap",IF(AK471&lt;=-설정!$C$6,"Rich","Fair")))</f>
        <v>-</v>
      </c>
      <c r="AM471" s="96" t="str">
        <f aca="false">IF(AE471="","",AJ471-AVERAGEIFS($AJ$2:$AJ$601,$B$2:$B$601,B471,$Y$2:$Y$601,1))</f>
        <v/>
      </c>
      <c r="AN471" s="93" t="n">
        <f aca="false">IF(AE471="",0,IF(K471&gt;1+설정!$C$8,AG471*(AA471-LN(K471-1)),0))</f>
        <v>0</v>
      </c>
      <c r="AO471" s="99" t="n">
        <f aca="false">IF($A471="",0,SUMIFS(보유분석!$AA$2:$AA$801,보유분석!$AB$2:$AB$801,ROW(),보유분석!$AC$2:$AC$801,1))</f>
        <v>0</v>
      </c>
      <c r="AP471" s="43" t="str">
        <f aca="false">IF($A471="","",TRIM(IF(R471=1,"FRN ","")&amp;IF(IFERROR(VLOOKUP(M471,설정!$A$15:$D$47,4,0),0)&gt;=10,IF(IFERROR(VLOOKUP(M471,설정!$A$15:$D$47,4,0),0)&lt;99,"BBB0미만 ",""),"")&amp;IF(OR(M471="",M471="NR"),"등급미입력 ","")&amp;IF(C471&lt;&gt;"USD","비USD ","")))</f>
        <v/>
      </c>
      <c r="AQ471" s="90" t="n">
        <f aca="false">IF(AND(Y471=1,AL471="Cheap"),IF(AND(ISERROR(SEARCH("FRN",AP471)),ISERROR(SEARCH("BBB0미만",AP471))),AK471+ROW()/1000000000,-999),-999)</f>
        <v>-999</v>
      </c>
      <c r="AR471" s="92" t="str">
        <f aca="false">IF(AND(ISNUMBER(D471),ISNUMBER(K471)),D471+AN471*MAX(K471-1,0)/100,"")</f>
        <v/>
      </c>
      <c r="AS471" s="93" t="str">
        <f aca="false">IF(AND(ISNUMBER(E471),ISNUMBER(K471)),IF(K471&gt;0,(E471+AN471*MAX(K471-1,0))/K471,""),"")</f>
        <v/>
      </c>
      <c r="AT471" s="90" t="n">
        <f aca="false">IFERROR(IF(AND(Y471=1,ROW()&lt;&gt;스왑분석!$C$12+1,ABS(K471-INDEX($K$2:$K$601,스왑분석!$C$12))&lt;=스왑분석!$C$5,ISERROR(SEARCH("FRN",AP471)),ISERROR(SEARCH("BBB0미만",AP471))),IF(AND(OR(스왑분석!$C$6="N",L471=INDEX($L$2:$L$601,스왑분석!$C$12)),OR(스왑분석!$C$7="N",N471=INDEX($N$2:$N$601,스왑분석!$C$12)),OR(스왑분석!$C$8="N",AO471=0),E471-INDEX($E$2:$E$601,스왑분석!$C$12)&gt;=스왑분석!$C$9),E471-INDEX($E$2:$E$601,스왑분석!$C$12)+ROW()/1000000000,-999),-999),-999)</f>
        <v>-999</v>
      </c>
      <c r="AU471" s="90" t="n">
        <f aca="false">IF(AND(Y471=1,AO471&gt;0,AL471="Rich"),-AK471+ROW()/1000000000,-999)</f>
        <v>-999</v>
      </c>
    </row>
    <row r="472" customFormat="false" ht="15" hidden="false" customHeight="false" outlineLevel="0" collapsed="false">
      <c r="A472" s="83" t="n">
        <f aca="false">IFERROR(IF(INDEX(원자료_시장!$A$1:$BZ$1000,설정!$L$6+ROW()-1,설정!$L$24)&amp;""="0","",INDEX(원자료_시장!$A$1:$BZ$1000,설정!$L$6+ROW()-1,설정!$L$24)),"")</f>
        <v>0</v>
      </c>
      <c r="B472" s="83" t="n">
        <f aca="false">IFERROR(IF(INDEX(원자료_시장!$A$1:$BZ$1000,설정!$L$6+ROW()-1,설정!$L$37)&amp;""="0","",INDEX(원자료_시장!$A$1:$BZ$1000,설정!$L$6+ROW()-1,설정!$L$37)),"")</f>
        <v>0</v>
      </c>
      <c r="C472" s="83" t="n">
        <f aca="false">IFERROR(IF(INDEX(원자료_시장!$A$1:$BZ$1000,설정!$L$6+ROW()-1,설정!$L$25)&amp;""="0","",INDEX(원자료_시장!$A$1:$BZ$1000,설정!$L$6+ROW()-1,설정!$L$25)),"")</f>
        <v>0</v>
      </c>
      <c r="D472" s="85" t="str">
        <f aca="false">IFERROR(IF(ISNUMBER(INDEX(원자료_시장!$A$1:$BZ$1000,설정!$L$6+ROW()-1,설정!$L$26)),INDEX(원자료_시장!$A$1:$BZ$1000,설정!$L$6+ROW()-1,설정!$L$26),""),"")</f>
        <v/>
      </c>
      <c r="E472" s="97" t="str">
        <f aca="false">IFERROR(IF(ISNUMBER(INDEX(원자료_시장!$A$1:$BZ$1000,설정!$L$6+ROW()-1,설정!$L$27)),INDEX(원자료_시장!$A$1:$BZ$1000,설정!$L$6+ROW()-1,설정!$L$27),""),"")</f>
        <v/>
      </c>
      <c r="F472" s="97" t="str">
        <f aca="false">IFERROR(IF(ISNUMBER(INDEX(원자료_시장!$A$1:$BZ$1000,설정!$L$6+ROW()-1,설정!$L$28)),INDEX(원자료_시장!$A$1:$BZ$1000,설정!$L$6+ROW()-1,설정!$L$28),""),"")</f>
        <v/>
      </c>
      <c r="G472" s="97" t="str">
        <f aca="false">IFERROR(IF(ISNUMBER(INDEX(원자료_시장!$A$1:$BZ$1000,설정!$L$6+ROW()-1,설정!$L$29)),INDEX(원자료_시장!$A$1:$BZ$1000,설정!$L$6+ROW()-1,설정!$L$29),""),"")</f>
        <v/>
      </c>
      <c r="H472" s="97" t="str">
        <f aca="false">IFERROR(IF(ISNUMBER(INDEX(원자료_시장!$A$1:$BZ$1000,설정!$L$6+ROW()-1,설정!$L$30)),INDEX(원자료_시장!$A$1:$BZ$1000,설정!$L$6+ROW()-1,설정!$L$30),""),"")</f>
        <v/>
      </c>
      <c r="I472" s="97" t="str">
        <f aca="false">IFERROR(IF(ISNUMBER(INDEX(원자료_시장!$A$1:$BZ$1000,설정!$L$6+ROW()-1,설정!$L$31)),INDEX(원자료_시장!$A$1:$BZ$1000,설정!$L$6+ROW()-1,설정!$L$31),""),"")</f>
        <v/>
      </c>
      <c r="J472" s="97" t="str">
        <f aca="false">IFERROR(IF(ISNUMBER(INDEX(원자료_시장!$A$1:$BZ$1000,설정!$L$6+ROW()-1,설정!$L$32)),INDEX(원자료_시장!$A$1:$BZ$1000,설정!$L$6+ROW()-1,설정!$L$32),""),"")</f>
        <v/>
      </c>
      <c r="K472" s="85" t="str">
        <f aca="false">IFERROR(IF(ISNUMBER(INDEX(원자료_시장!$A$1:$BZ$1000,설정!$L$6+ROW()-1,설정!$L$33)),INDEX(원자료_시장!$A$1:$BZ$1000,설정!$L$6+ROW()-1,설정!$L$33),""),"")</f>
        <v/>
      </c>
      <c r="L472" s="83" t="n">
        <f aca="false">IFERROR(IF(INDEX(원자료_시장!$A$1:$BZ$1000,설정!$L$6+ROW()-1,설정!$L$34)&amp;""="0","",INDEX(원자료_시장!$A$1:$BZ$1000,설정!$L$6+ROW()-1,설정!$L$34)),"")</f>
        <v>0</v>
      </c>
      <c r="M472" s="83" t="n">
        <f aca="false">IFERROR(IF(INDEX(원자료_시장!$A$1:$BZ$1000,설정!$L$6+ROW()-1,설정!$L$35)&amp;""="0","",INDEX(원자료_시장!$A$1:$BZ$1000,설정!$L$6+ROW()-1,설정!$L$35)),"")</f>
        <v>0</v>
      </c>
      <c r="N472" s="83" t="n">
        <f aca="false">IFERROR(IF(INDEX(원자료_시장!$A$1:$BZ$1000,설정!$L$6+ROW()-1,설정!$L$36)&amp;""="0","",INDEX(원자료_시장!$A$1:$BZ$1000,설정!$L$6+ROW()-1,설정!$L$36)),"")</f>
        <v>0</v>
      </c>
      <c r="O472" s="43" t="str">
        <f aca="false">IF($A472="","",UPPER(LEFT($A472,FIND(" ",$A472&amp;" ")-1)))</f>
        <v/>
      </c>
      <c r="P472" s="43" t="str">
        <f aca="false">IF($A472="","",TRIM(RIGHT(SUBSTITUTE(TRIM($A472)," ",REPT(" ",30)),30)))</f>
        <v/>
      </c>
      <c r="Q472" s="98" t="str">
        <f aca="false">IF($A472="","",IFERROR(DATE(IF(LEN(P472)=8,2000+VALUE(RIGHT(P472,2)),VALUE(RIGHT(P472,4))),VALUE(LEFT(P472,2)),VALUE(MID(P472,4,2))),""))</f>
        <v/>
      </c>
      <c r="R472" s="89" t="n">
        <f aca="false">IF($A472="",0,IF(ISNUMBER(SEARCH("Float",$A472)),1,0))</f>
        <v>0</v>
      </c>
      <c r="S472" s="43" t="str">
        <f aca="false">IF($A472="","",TRIM(MID($A472,LEN(O472)+2,LEN($A472)-LEN(O472)-LEN(P472)-1)))</f>
        <v/>
      </c>
      <c r="T472" s="92" t="str">
        <f aca="false">IF(OR($A472="",R472=1),"",IFERROR(IF(ISNUMBER(FIND("/",S472)),IF(ISNUMBER(FIND(" ",S472)),VALUE(LEFT(S472,FIND(" ",S472)-1))+VALUE(MID(S472,FIND(" ",S472)+1,FIND("/",S472)-FIND(" ",S472)-1))/VALUE(MID(S472,FIND("/",S472)+1,9)),VALUE(LEFT(S472,FIND("/",S472)-1))/VALUE(MID(S472,FIND("/",S472)+1,9))),VALUE(S472)),""))</f>
        <v/>
      </c>
      <c r="U472" s="43" t="str">
        <f aca="false">IF(OR($A472="",NOT(ISNUMBER(Q472))),"",TEXT(Q472,"yyyymmdd")&amp;"|"&amp;IF(R472=1,"F",TEXT(T472,"0.000")))</f>
        <v/>
      </c>
      <c r="V472" s="43" t="str">
        <f aca="false">IF(U472="","",O472&amp;"|"&amp;U472)</f>
        <v/>
      </c>
      <c r="W472" s="43" t="str">
        <f aca="false">IF($A472="","",IFERROR(IF(VLOOKUP(O472,매핑!$A$4:$E$92,3,0)="","미분류",VLOOKUP(O472,매핑!$A$4:$E$92,3,0)),"미분류"))</f>
        <v/>
      </c>
      <c r="X472" s="89" t="n">
        <f aca="false">IF($A472="",0,IF(O472="T",1,0))</f>
        <v>0</v>
      </c>
      <c r="Y472" s="89" t="n">
        <f aca="false">IF($A472="",0,IF(AND(C472="USD",X472=0,ISNUMBER(E472),ISNUMBER(K472)),IF(K472&gt;=설정!$C$8,1,0),0))</f>
        <v>0</v>
      </c>
      <c r="Z472" s="43" t="str">
        <f aca="false">IF($A472="","",N472&amp;"|"&amp;L472)</f>
        <v/>
      </c>
      <c r="AA472" s="92" t="n">
        <f aca="false">IF(Y472=1,LN(K472),0)</f>
        <v>0</v>
      </c>
      <c r="AB472" s="93" t="n">
        <f aca="false">IF(Y472=1,E472,0)</f>
        <v>0</v>
      </c>
      <c r="AC472" s="89" t="n">
        <f aca="false">IF(Y472=1,COUNTIFS($Z$2:$Z$601,Z472,$Y$2:$Y$601,1),0)</f>
        <v>0</v>
      </c>
      <c r="AD472" s="89" t="n">
        <f aca="false">IF(Y472=1,COUNTIFS($N$2:$N$601,N472,$Y$2:$Y$601,1),0)</f>
        <v>0</v>
      </c>
      <c r="AE472" s="43" t="str">
        <f aca="false">IF(Y472&lt;&gt;1,"",IF(AND(AC472&gt;=설정!$C$7,ISNUMBER(MATCH(Z472,피어커브!$A:$A,0))),Z472,IF(AND(AD472&gt;=설정!$C$7,ISNUMBER(MATCH(N472&amp;"|전체",피어커브!$A:$A,0))),N472&amp;"|전체","전체|전체")))</f>
        <v/>
      </c>
      <c r="AF472" s="93" t="str">
        <f aca="false">IF(AE472="","",INDEX(피어커브!$K:$K,MATCH(AE472,피어커브!$A:$A,0)))</f>
        <v/>
      </c>
      <c r="AG472" s="93" t="str">
        <f aca="false">IF(AE472="","",INDEX(피어커브!$J:$J,MATCH(AE472,피어커브!$A:$A,0)))</f>
        <v/>
      </c>
      <c r="AH472" s="93" t="str">
        <f aca="false">IF(AE472="","",INDEX(피어커브!$L:$L,MATCH(AE472,피어커브!$A:$A,0)))</f>
        <v/>
      </c>
      <c r="AI472" s="93" t="str">
        <f aca="false">IF(AE472="","",AF472+AG472*AA472)</f>
        <v/>
      </c>
      <c r="AJ472" s="96" t="str">
        <f aca="false">IF(AE472="","",E472-AI472)</f>
        <v/>
      </c>
      <c r="AK472" s="95" t="str">
        <f aca="false">IF(AE472="","",IF(ISNUMBER(AH472),IF(AH472&gt;0,AJ472/AH472,""),""))</f>
        <v/>
      </c>
      <c r="AL472" s="43" t="str">
        <f aca="false">IF(AK472="","-",IF(AK472&gt;=설정!$C$6,"Cheap",IF(AK472&lt;=-설정!$C$6,"Rich","Fair")))</f>
        <v>-</v>
      </c>
      <c r="AM472" s="96" t="str">
        <f aca="false">IF(AE472="","",AJ472-AVERAGEIFS($AJ$2:$AJ$601,$B$2:$B$601,B472,$Y$2:$Y$601,1))</f>
        <v/>
      </c>
      <c r="AN472" s="93" t="n">
        <f aca="false">IF(AE472="",0,IF(K472&gt;1+설정!$C$8,AG472*(AA472-LN(K472-1)),0))</f>
        <v>0</v>
      </c>
      <c r="AO472" s="99" t="n">
        <f aca="false">IF($A472="",0,SUMIFS(보유분석!$AA$2:$AA$801,보유분석!$AB$2:$AB$801,ROW(),보유분석!$AC$2:$AC$801,1))</f>
        <v>0</v>
      </c>
      <c r="AP472" s="43" t="str">
        <f aca="false">IF($A472="","",TRIM(IF(R472=1,"FRN ","")&amp;IF(IFERROR(VLOOKUP(M472,설정!$A$15:$D$47,4,0),0)&gt;=10,IF(IFERROR(VLOOKUP(M472,설정!$A$15:$D$47,4,0),0)&lt;99,"BBB0미만 ",""),"")&amp;IF(OR(M472="",M472="NR"),"등급미입력 ","")&amp;IF(C472&lt;&gt;"USD","비USD ","")))</f>
        <v/>
      </c>
      <c r="AQ472" s="90" t="n">
        <f aca="false">IF(AND(Y472=1,AL472="Cheap"),IF(AND(ISERROR(SEARCH("FRN",AP472)),ISERROR(SEARCH("BBB0미만",AP472))),AK472+ROW()/1000000000,-999),-999)</f>
        <v>-999</v>
      </c>
      <c r="AR472" s="92" t="str">
        <f aca="false">IF(AND(ISNUMBER(D472),ISNUMBER(K472)),D472+AN472*MAX(K472-1,0)/100,"")</f>
        <v/>
      </c>
      <c r="AS472" s="93" t="str">
        <f aca="false">IF(AND(ISNUMBER(E472),ISNUMBER(K472)),IF(K472&gt;0,(E472+AN472*MAX(K472-1,0))/K472,""),"")</f>
        <v/>
      </c>
      <c r="AT472" s="90" t="n">
        <f aca="false">IFERROR(IF(AND(Y472=1,ROW()&lt;&gt;스왑분석!$C$12+1,ABS(K472-INDEX($K$2:$K$601,스왑분석!$C$12))&lt;=스왑분석!$C$5,ISERROR(SEARCH("FRN",AP472)),ISERROR(SEARCH("BBB0미만",AP472))),IF(AND(OR(스왑분석!$C$6="N",L472=INDEX($L$2:$L$601,스왑분석!$C$12)),OR(스왑분석!$C$7="N",N472=INDEX($N$2:$N$601,스왑분석!$C$12)),OR(스왑분석!$C$8="N",AO472=0),E472-INDEX($E$2:$E$601,스왑분석!$C$12)&gt;=스왑분석!$C$9),E472-INDEX($E$2:$E$601,스왑분석!$C$12)+ROW()/1000000000,-999),-999),-999)</f>
        <v>-999</v>
      </c>
      <c r="AU472" s="90" t="n">
        <f aca="false">IF(AND(Y472=1,AO472&gt;0,AL472="Rich"),-AK472+ROW()/1000000000,-999)</f>
        <v>-999</v>
      </c>
    </row>
    <row r="473" customFormat="false" ht="15" hidden="false" customHeight="false" outlineLevel="0" collapsed="false">
      <c r="A473" s="83" t="n">
        <f aca="false">IFERROR(IF(INDEX(원자료_시장!$A$1:$BZ$1000,설정!$L$6+ROW()-1,설정!$L$24)&amp;""="0","",INDEX(원자료_시장!$A$1:$BZ$1000,설정!$L$6+ROW()-1,설정!$L$24)),"")</f>
        <v>0</v>
      </c>
      <c r="B473" s="83" t="n">
        <f aca="false">IFERROR(IF(INDEX(원자료_시장!$A$1:$BZ$1000,설정!$L$6+ROW()-1,설정!$L$37)&amp;""="0","",INDEX(원자료_시장!$A$1:$BZ$1000,설정!$L$6+ROW()-1,설정!$L$37)),"")</f>
        <v>0</v>
      </c>
      <c r="C473" s="83" t="n">
        <f aca="false">IFERROR(IF(INDEX(원자료_시장!$A$1:$BZ$1000,설정!$L$6+ROW()-1,설정!$L$25)&amp;""="0","",INDEX(원자료_시장!$A$1:$BZ$1000,설정!$L$6+ROW()-1,설정!$L$25)),"")</f>
        <v>0</v>
      </c>
      <c r="D473" s="85" t="str">
        <f aca="false">IFERROR(IF(ISNUMBER(INDEX(원자료_시장!$A$1:$BZ$1000,설정!$L$6+ROW()-1,설정!$L$26)),INDEX(원자료_시장!$A$1:$BZ$1000,설정!$L$6+ROW()-1,설정!$L$26),""),"")</f>
        <v/>
      </c>
      <c r="E473" s="97" t="str">
        <f aca="false">IFERROR(IF(ISNUMBER(INDEX(원자료_시장!$A$1:$BZ$1000,설정!$L$6+ROW()-1,설정!$L$27)),INDEX(원자료_시장!$A$1:$BZ$1000,설정!$L$6+ROW()-1,설정!$L$27),""),"")</f>
        <v/>
      </c>
      <c r="F473" s="97" t="str">
        <f aca="false">IFERROR(IF(ISNUMBER(INDEX(원자료_시장!$A$1:$BZ$1000,설정!$L$6+ROW()-1,설정!$L$28)),INDEX(원자료_시장!$A$1:$BZ$1000,설정!$L$6+ROW()-1,설정!$L$28),""),"")</f>
        <v/>
      </c>
      <c r="G473" s="97" t="str">
        <f aca="false">IFERROR(IF(ISNUMBER(INDEX(원자료_시장!$A$1:$BZ$1000,설정!$L$6+ROW()-1,설정!$L$29)),INDEX(원자료_시장!$A$1:$BZ$1000,설정!$L$6+ROW()-1,설정!$L$29),""),"")</f>
        <v/>
      </c>
      <c r="H473" s="97" t="str">
        <f aca="false">IFERROR(IF(ISNUMBER(INDEX(원자료_시장!$A$1:$BZ$1000,설정!$L$6+ROW()-1,설정!$L$30)),INDEX(원자료_시장!$A$1:$BZ$1000,설정!$L$6+ROW()-1,설정!$L$30),""),"")</f>
        <v/>
      </c>
      <c r="I473" s="97" t="str">
        <f aca="false">IFERROR(IF(ISNUMBER(INDEX(원자료_시장!$A$1:$BZ$1000,설정!$L$6+ROW()-1,설정!$L$31)),INDEX(원자료_시장!$A$1:$BZ$1000,설정!$L$6+ROW()-1,설정!$L$31),""),"")</f>
        <v/>
      </c>
      <c r="J473" s="97" t="str">
        <f aca="false">IFERROR(IF(ISNUMBER(INDEX(원자료_시장!$A$1:$BZ$1000,설정!$L$6+ROW()-1,설정!$L$32)),INDEX(원자료_시장!$A$1:$BZ$1000,설정!$L$6+ROW()-1,설정!$L$32),""),"")</f>
        <v/>
      </c>
      <c r="K473" s="85" t="str">
        <f aca="false">IFERROR(IF(ISNUMBER(INDEX(원자료_시장!$A$1:$BZ$1000,설정!$L$6+ROW()-1,설정!$L$33)),INDEX(원자료_시장!$A$1:$BZ$1000,설정!$L$6+ROW()-1,설정!$L$33),""),"")</f>
        <v/>
      </c>
      <c r="L473" s="83" t="n">
        <f aca="false">IFERROR(IF(INDEX(원자료_시장!$A$1:$BZ$1000,설정!$L$6+ROW()-1,설정!$L$34)&amp;""="0","",INDEX(원자료_시장!$A$1:$BZ$1000,설정!$L$6+ROW()-1,설정!$L$34)),"")</f>
        <v>0</v>
      </c>
      <c r="M473" s="83" t="n">
        <f aca="false">IFERROR(IF(INDEX(원자료_시장!$A$1:$BZ$1000,설정!$L$6+ROW()-1,설정!$L$35)&amp;""="0","",INDEX(원자료_시장!$A$1:$BZ$1000,설정!$L$6+ROW()-1,설정!$L$35)),"")</f>
        <v>0</v>
      </c>
      <c r="N473" s="83" t="n">
        <f aca="false">IFERROR(IF(INDEX(원자료_시장!$A$1:$BZ$1000,설정!$L$6+ROW()-1,설정!$L$36)&amp;""="0","",INDEX(원자료_시장!$A$1:$BZ$1000,설정!$L$6+ROW()-1,설정!$L$36)),"")</f>
        <v>0</v>
      </c>
      <c r="O473" s="43" t="str">
        <f aca="false">IF($A473="","",UPPER(LEFT($A473,FIND(" ",$A473&amp;" ")-1)))</f>
        <v/>
      </c>
      <c r="P473" s="43" t="str">
        <f aca="false">IF($A473="","",TRIM(RIGHT(SUBSTITUTE(TRIM($A473)," ",REPT(" ",30)),30)))</f>
        <v/>
      </c>
      <c r="Q473" s="98" t="str">
        <f aca="false">IF($A473="","",IFERROR(DATE(IF(LEN(P473)=8,2000+VALUE(RIGHT(P473,2)),VALUE(RIGHT(P473,4))),VALUE(LEFT(P473,2)),VALUE(MID(P473,4,2))),""))</f>
        <v/>
      </c>
      <c r="R473" s="89" t="n">
        <f aca="false">IF($A473="",0,IF(ISNUMBER(SEARCH("Float",$A473)),1,0))</f>
        <v>0</v>
      </c>
      <c r="S473" s="43" t="str">
        <f aca="false">IF($A473="","",TRIM(MID($A473,LEN(O473)+2,LEN($A473)-LEN(O473)-LEN(P473)-1)))</f>
        <v/>
      </c>
      <c r="T473" s="92" t="str">
        <f aca="false">IF(OR($A473="",R473=1),"",IFERROR(IF(ISNUMBER(FIND("/",S473)),IF(ISNUMBER(FIND(" ",S473)),VALUE(LEFT(S473,FIND(" ",S473)-1))+VALUE(MID(S473,FIND(" ",S473)+1,FIND("/",S473)-FIND(" ",S473)-1))/VALUE(MID(S473,FIND("/",S473)+1,9)),VALUE(LEFT(S473,FIND("/",S473)-1))/VALUE(MID(S473,FIND("/",S473)+1,9))),VALUE(S473)),""))</f>
        <v/>
      </c>
      <c r="U473" s="43" t="str">
        <f aca="false">IF(OR($A473="",NOT(ISNUMBER(Q473))),"",TEXT(Q473,"yyyymmdd")&amp;"|"&amp;IF(R473=1,"F",TEXT(T473,"0.000")))</f>
        <v/>
      </c>
      <c r="V473" s="43" t="str">
        <f aca="false">IF(U473="","",O473&amp;"|"&amp;U473)</f>
        <v/>
      </c>
      <c r="W473" s="43" t="str">
        <f aca="false">IF($A473="","",IFERROR(IF(VLOOKUP(O473,매핑!$A$4:$E$92,3,0)="","미분류",VLOOKUP(O473,매핑!$A$4:$E$92,3,0)),"미분류"))</f>
        <v/>
      </c>
      <c r="X473" s="89" t="n">
        <f aca="false">IF($A473="",0,IF(O473="T",1,0))</f>
        <v>0</v>
      </c>
      <c r="Y473" s="89" t="n">
        <f aca="false">IF($A473="",0,IF(AND(C473="USD",X473=0,ISNUMBER(E473),ISNUMBER(K473)),IF(K473&gt;=설정!$C$8,1,0),0))</f>
        <v>0</v>
      </c>
      <c r="Z473" s="43" t="str">
        <f aca="false">IF($A473="","",N473&amp;"|"&amp;L473)</f>
        <v/>
      </c>
      <c r="AA473" s="92" t="n">
        <f aca="false">IF(Y473=1,LN(K473),0)</f>
        <v>0</v>
      </c>
      <c r="AB473" s="93" t="n">
        <f aca="false">IF(Y473=1,E473,0)</f>
        <v>0</v>
      </c>
      <c r="AC473" s="89" t="n">
        <f aca="false">IF(Y473=1,COUNTIFS($Z$2:$Z$601,Z473,$Y$2:$Y$601,1),0)</f>
        <v>0</v>
      </c>
      <c r="AD473" s="89" t="n">
        <f aca="false">IF(Y473=1,COUNTIFS($N$2:$N$601,N473,$Y$2:$Y$601,1),0)</f>
        <v>0</v>
      </c>
      <c r="AE473" s="43" t="str">
        <f aca="false">IF(Y473&lt;&gt;1,"",IF(AND(AC473&gt;=설정!$C$7,ISNUMBER(MATCH(Z473,피어커브!$A:$A,0))),Z473,IF(AND(AD473&gt;=설정!$C$7,ISNUMBER(MATCH(N473&amp;"|전체",피어커브!$A:$A,0))),N473&amp;"|전체","전체|전체")))</f>
        <v/>
      </c>
      <c r="AF473" s="93" t="str">
        <f aca="false">IF(AE473="","",INDEX(피어커브!$K:$K,MATCH(AE473,피어커브!$A:$A,0)))</f>
        <v/>
      </c>
      <c r="AG473" s="93" t="str">
        <f aca="false">IF(AE473="","",INDEX(피어커브!$J:$J,MATCH(AE473,피어커브!$A:$A,0)))</f>
        <v/>
      </c>
      <c r="AH473" s="93" t="str">
        <f aca="false">IF(AE473="","",INDEX(피어커브!$L:$L,MATCH(AE473,피어커브!$A:$A,0)))</f>
        <v/>
      </c>
      <c r="AI473" s="93" t="str">
        <f aca="false">IF(AE473="","",AF473+AG473*AA473)</f>
        <v/>
      </c>
      <c r="AJ473" s="96" t="str">
        <f aca="false">IF(AE473="","",E473-AI473)</f>
        <v/>
      </c>
      <c r="AK473" s="95" t="str">
        <f aca="false">IF(AE473="","",IF(ISNUMBER(AH473),IF(AH473&gt;0,AJ473/AH473,""),""))</f>
        <v/>
      </c>
      <c r="AL473" s="43" t="str">
        <f aca="false">IF(AK473="","-",IF(AK473&gt;=설정!$C$6,"Cheap",IF(AK473&lt;=-설정!$C$6,"Rich","Fair")))</f>
        <v>-</v>
      </c>
      <c r="AM473" s="96" t="str">
        <f aca="false">IF(AE473="","",AJ473-AVERAGEIFS($AJ$2:$AJ$601,$B$2:$B$601,B473,$Y$2:$Y$601,1))</f>
        <v/>
      </c>
      <c r="AN473" s="93" t="n">
        <f aca="false">IF(AE473="",0,IF(K473&gt;1+설정!$C$8,AG473*(AA473-LN(K473-1)),0))</f>
        <v>0</v>
      </c>
      <c r="AO473" s="99" t="n">
        <f aca="false">IF($A473="",0,SUMIFS(보유분석!$AA$2:$AA$801,보유분석!$AB$2:$AB$801,ROW(),보유분석!$AC$2:$AC$801,1))</f>
        <v>0</v>
      </c>
      <c r="AP473" s="43" t="str">
        <f aca="false">IF($A473="","",TRIM(IF(R473=1,"FRN ","")&amp;IF(IFERROR(VLOOKUP(M473,설정!$A$15:$D$47,4,0),0)&gt;=10,IF(IFERROR(VLOOKUP(M473,설정!$A$15:$D$47,4,0),0)&lt;99,"BBB0미만 ",""),"")&amp;IF(OR(M473="",M473="NR"),"등급미입력 ","")&amp;IF(C473&lt;&gt;"USD","비USD ","")))</f>
        <v/>
      </c>
      <c r="AQ473" s="90" t="n">
        <f aca="false">IF(AND(Y473=1,AL473="Cheap"),IF(AND(ISERROR(SEARCH("FRN",AP473)),ISERROR(SEARCH("BBB0미만",AP473))),AK473+ROW()/1000000000,-999),-999)</f>
        <v>-999</v>
      </c>
      <c r="AR473" s="92" t="str">
        <f aca="false">IF(AND(ISNUMBER(D473),ISNUMBER(K473)),D473+AN473*MAX(K473-1,0)/100,"")</f>
        <v/>
      </c>
      <c r="AS473" s="93" t="str">
        <f aca="false">IF(AND(ISNUMBER(E473),ISNUMBER(K473)),IF(K473&gt;0,(E473+AN473*MAX(K473-1,0))/K473,""),"")</f>
        <v/>
      </c>
      <c r="AT473" s="90" t="n">
        <f aca="false">IFERROR(IF(AND(Y473=1,ROW()&lt;&gt;스왑분석!$C$12+1,ABS(K473-INDEX($K$2:$K$601,스왑분석!$C$12))&lt;=스왑분석!$C$5,ISERROR(SEARCH("FRN",AP473)),ISERROR(SEARCH("BBB0미만",AP473))),IF(AND(OR(스왑분석!$C$6="N",L473=INDEX($L$2:$L$601,스왑분석!$C$12)),OR(스왑분석!$C$7="N",N473=INDEX($N$2:$N$601,스왑분석!$C$12)),OR(스왑분석!$C$8="N",AO473=0),E473-INDEX($E$2:$E$601,스왑분석!$C$12)&gt;=스왑분석!$C$9),E473-INDEX($E$2:$E$601,스왑분석!$C$12)+ROW()/1000000000,-999),-999),-999)</f>
        <v>-999</v>
      </c>
      <c r="AU473" s="90" t="n">
        <f aca="false">IF(AND(Y473=1,AO473&gt;0,AL473="Rich"),-AK473+ROW()/1000000000,-999)</f>
        <v>-999</v>
      </c>
    </row>
    <row r="474" customFormat="false" ht="15" hidden="false" customHeight="false" outlineLevel="0" collapsed="false">
      <c r="A474" s="83" t="n">
        <f aca="false">IFERROR(IF(INDEX(원자료_시장!$A$1:$BZ$1000,설정!$L$6+ROW()-1,설정!$L$24)&amp;""="0","",INDEX(원자료_시장!$A$1:$BZ$1000,설정!$L$6+ROW()-1,설정!$L$24)),"")</f>
        <v>0</v>
      </c>
      <c r="B474" s="83" t="n">
        <f aca="false">IFERROR(IF(INDEX(원자료_시장!$A$1:$BZ$1000,설정!$L$6+ROW()-1,설정!$L$37)&amp;""="0","",INDEX(원자료_시장!$A$1:$BZ$1000,설정!$L$6+ROW()-1,설정!$L$37)),"")</f>
        <v>0</v>
      </c>
      <c r="C474" s="83" t="n">
        <f aca="false">IFERROR(IF(INDEX(원자료_시장!$A$1:$BZ$1000,설정!$L$6+ROW()-1,설정!$L$25)&amp;""="0","",INDEX(원자료_시장!$A$1:$BZ$1000,설정!$L$6+ROW()-1,설정!$L$25)),"")</f>
        <v>0</v>
      </c>
      <c r="D474" s="85" t="str">
        <f aca="false">IFERROR(IF(ISNUMBER(INDEX(원자료_시장!$A$1:$BZ$1000,설정!$L$6+ROW()-1,설정!$L$26)),INDEX(원자료_시장!$A$1:$BZ$1000,설정!$L$6+ROW()-1,설정!$L$26),""),"")</f>
        <v/>
      </c>
      <c r="E474" s="97" t="str">
        <f aca="false">IFERROR(IF(ISNUMBER(INDEX(원자료_시장!$A$1:$BZ$1000,설정!$L$6+ROW()-1,설정!$L$27)),INDEX(원자료_시장!$A$1:$BZ$1000,설정!$L$6+ROW()-1,설정!$L$27),""),"")</f>
        <v/>
      </c>
      <c r="F474" s="97" t="str">
        <f aca="false">IFERROR(IF(ISNUMBER(INDEX(원자료_시장!$A$1:$BZ$1000,설정!$L$6+ROW()-1,설정!$L$28)),INDEX(원자료_시장!$A$1:$BZ$1000,설정!$L$6+ROW()-1,설정!$L$28),""),"")</f>
        <v/>
      </c>
      <c r="G474" s="97" t="str">
        <f aca="false">IFERROR(IF(ISNUMBER(INDEX(원자료_시장!$A$1:$BZ$1000,설정!$L$6+ROW()-1,설정!$L$29)),INDEX(원자료_시장!$A$1:$BZ$1000,설정!$L$6+ROW()-1,설정!$L$29),""),"")</f>
        <v/>
      </c>
      <c r="H474" s="97" t="str">
        <f aca="false">IFERROR(IF(ISNUMBER(INDEX(원자료_시장!$A$1:$BZ$1000,설정!$L$6+ROW()-1,설정!$L$30)),INDEX(원자료_시장!$A$1:$BZ$1000,설정!$L$6+ROW()-1,설정!$L$30),""),"")</f>
        <v/>
      </c>
      <c r="I474" s="97" t="str">
        <f aca="false">IFERROR(IF(ISNUMBER(INDEX(원자료_시장!$A$1:$BZ$1000,설정!$L$6+ROW()-1,설정!$L$31)),INDEX(원자료_시장!$A$1:$BZ$1000,설정!$L$6+ROW()-1,설정!$L$31),""),"")</f>
        <v/>
      </c>
      <c r="J474" s="97" t="str">
        <f aca="false">IFERROR(IF(ISNUMBER(INDEX(원자료_시장!$A$1:$BZ$1000,설정!$L$6+ROW()-1,설정!$L$32)),INDEX(원자료_시장!$A$1:$BZ$1000,설정!$L$6+ROW()-1,설정!$L$32),""),"")</f>
        <v/>
      </c>
      <c r="K474" s="85" t="str">
        <f aca="false">IFERROR(IF(ISNUMBER(INDEX(원자료_시장!$A$1:$BZ$1000,설정!$L$6+ROW()-1,설정!$L$33)),INDEX(원자료_시장!$A$1:$BZ$1000,설정!$L$6+ROW()-1,설정!$L$33),""),"")</f>
        <v/>
      </c>
      <c r="L474" s="83" t="n">
        <f aca="false">IFERROR(IF(INDEX(원자료_시장!$A$1:$BZ$1000,설정!$L$6+ROW()-1,설정!$L$34)&amp;""="0","",INDEX(원자료_시장!$A$1:$BZ$1000,설정!$L$6+ROW()-1,설정!$L$34)),"")</f>
        <v>0</v>
      </c>
      <c r="M474" s="83" t="n">
        <f aca="false">IFERROR(IF(INDEX(원자료_시장!$A$1:$BZ$1000,설정!$L$6+ROW()-1,설정!$L$35)&amp;""="0","",INDEX(원자료_시장!$A$1:$BZ$1000,설정!$L$6+ROW()-1,설정!$L$35)),"")</f>
        <v>0</v>
      </c>
      <c r="N474" s="83" t="n">
        <f aca="false">IFERROR(IF(INDEX(원자료_시장!$A$1:$BZ$1000,설정!$L$6+ROW()-1,설정!$L$36)&amp;""="0","",INDEX(원자료_시장!$A$1:$BZ$1000,설정!$L$6+ROW()-1,설정!$L$36)),"")</f>
        <v>0</v>
      </c>
      <c r="O474" s="43" t="str">
        <f aca="false">IF($A474="","",UPPER(LEFT($A474,FIND(" ",$A474&amp;" ")-1)))</f>
        <v/>
      </c>
      <c r="P474" s="43" t="str">
        <f aca="false">IF($A474="","",TRIM(RIGHT(SUBSTITUTE(TRIM($A474)," ",REPT(" ",30)),30)))</f>
        <v/>
      </c>
      <c r="Q474" s="98" t="str">
        <f aca="false">IF($A474="","",IFERROR(DATE(IF(LEN(P474)=8,2000+VALUE(RIGHT(P474,2)),VALUE(RIGHT(P474,4))),VALUE(LEFT(P474,2)),VALUE(MID(P474,4,2))),""))</f>
        <v/>
      </c>
      <c r="R474" s="89" t="n">
        <f aca="false">IF($A474="",0,IF(ISNUMBER(SEARCH("Float",$A474)),1,0))</f>
        <v>0</v>
      </c>
      <c r="S474" s="43" t="str">
        <f aca="false">IF($A474="","",TRIM(MID($A474,LEN(O474)+2,LEN($A474)-LEN(O474)-LEN(P474)-1)))</f>
        <v/>
      </c>
      <c r="T474" s="92" t="str">
        <f aca="false">IF(OR($A474="",R474=1),"",IFERROR(IF(ISNUMBER(FIND("/",S474)),IF(ISNUMBER(FIND(" ",S474)),VALUE(LEFT(S474,FIND(" ",S474)-1))+VALUE(MID(S474,FIND(" ",S474)+1,FIND("/",S474)-FIND(" ",S474)-1))/VALUE(MID(S474,FIND("/",S474)+1,9)),VALUE(LEFT(S474,FIND("/",S474)-1))/VALUE(MID(S474,FIND("/",S474)+1,9))),VALUE(S474)),""))</f>
        <v/>
      </c>
      <c r="U474" s="43" t="str">
        <f aca="false">IF(OR($A474="",NOT(ISNUMBER(Q474))),"",TEXT(Q474,"yyyymmdd")&amp;"|"&amp;IF(R474=1,"F",TEXT(T474,"0.000")))</f>
        <v/>
      </c>
      <c r="V474" s="43" t="str">
        <f aca="false">IF(U474="","",O474&amp;"|"&amp;U474)</f>
        <v/>
      </c>
      <c r="W474" s="43" t="str">
        <f aca="false">IF($A474="","",IFERROR(IF(VLOOKUP(O474,매핑!$A$4:$E$92,3,0)="","미분류",VLOOKUP(O474,매핑!$A$4:$E$92,3,0)),"미분류"))</f>
        <v/>
      </c>
      <c r="X474" s="89" t="n">
        <f aca="false">IF($A474="",0,IF(O474="T",1,0))</f>
        <v>0</v>
      </c>
      <c r="Y474" s="89" t="n">
        <f aca="false">IF($A474="",0,IF(AND(C474="USD",X474=0,ISNUMBER(E474),ISNUMBER(K474)),IF(K474&gt;=설정!$C$8,1,0),0))</f>
        <v>0</v>
      </c>
      <c r="Z474" s="43" t="str">
        <f aca="false">IF($A474="","",N474&amp;"|"&amp;L474)</f>
        <v/>
      </c>
      <c r="AA474" s="92" t="n">
        <f aca="false">IF(Y474=1,LN(K474),0)</f>
        <v>0</v>
      </c>
      <c r="AB474" s="93" t="n">
        <f aca="false">IF(Y474=1,E474,0)</f>
        <v>0</v>
      </c>
      <c r="AC474" s="89" t="n">
        <f aca="false">IF(Y474=1,COUNTIFS($Z$2:$Z$601,Z474,$Y$2:$Y$601,1),0)</f>
        <v>0</v>
      </c>
      <c r="AD474" s="89" t="n">
        <f aca="false">IF(Y474=1,COUNTIFS($N$2:$N$601,N474,$Y$2:$Y$601,1),0)</f>
        <v>0</v>
      </c>
      <c r="AE474" s="43" t="str">
        <f aca="false">IF(Y474&lt;&gt;1,"",IF(AND(AC474&gt;=설정!$C$7,ISNUMBER(MATCH(Z474,피어커브!$A:$A,0))),Z474,IF(AND(AD474&gt;=설정!$C$7,ISNUMBER(MATCH(N474&amp;"|전체",피어커브!$A:$A,0))),N474&amp;"|전체","전체|전체")))</f>
        <v/>
      </c>
      <c r="AF474" s="93" t="str">
        <f aca="false">IF(AE474="","",INDEX(피어커브!$K:$K,MATCH(AE474,피어커브!$A:$A,0)))</f>
        <v/>
      </c>
      <c r="AG474" s="93" t="str">
        <f aca="false">IF(AE474="","",INDEX(피어커브!$J:$J,MATCH(AE474,피어커브!$A:$A,0)))</f>
        <v/>
      </c>
      <c r="AH474" s="93" t="str">
        <f aca="false">IF(AE474="","",INDEX(피어커브!$L:$L,MATCH(AE474,피어커브!$A:$A,0)))</f>
        <v/>
      </c>
      <c r="AI474" s="93" t="str">
        <f aca="false">IF(AE474="","",AF474+AG474*AA474)</f>
        <v/>
      </c>
      <c r="AJ474" s="96" t="str">
        <f aca="false">IF(AE474="","",E474-AI474)</f>
        <v/>
      </c>
      <c r="AK474" s="95" t="str">
        <f aca="false">IF(AE474="","",IF(ISNUMBER(AH474),IF(AH474&gt;0,AJ474/AH474,""),""))</f>
        <v/>
      </c>
      <c r="AL474" s="43" t="str">
        <f aca="false">IF(AK474="","-",IF(AK474&gt;=설정!$C$6,"Cheap",IF(AK474&lt;=-설정!$C$6,"Rich","Fair")))</f>
        <v>-</v>
      </c>
      <c r="AM474" s="96" t="str">
        <f aca="false">IF(AE474="","",AJ474-AVERAGEIFS($AJ$2:$AJ$601,$B$2:$B$601,B474,$Y$2:$Y$601,1))</f>
        <v/>
      </c>
      <c r="AN474" s="93" t="n">
        <f aca="false">IF(AE474="",0,IF(K474&gt;1+설정!$C$8,AG474*(AA474-LN(K474-1)),0))</f>
        <v>0</v>
      </c>
      <c r="AO474" s="99" t="n">
        <f aca="false">IF($A474="",0,SUMIFS(보유분석!$AA$2:$AA$801,보유분석!$AB$2:$AB$801,ROW(),보유분석!$AC$2:$AC$801,1))</f>
        <v>0</v>
      </c>
      <c r="AP474" s="43" t="str">
        <f aca="false">IF($A474="","",TRIM(IF(R474=1,"FRN ","")&amp;IF(IFERROR(VLOOKUP(M474,설정!$A$15:$D$47,4,0),0)&gt;=10,IF(IFERROR(VLOOKUP(M474,설정!$A$15:$D$47,4,0),0)&lt;99,"BBB0미만 ",""),"")&amp;IF(OR(M474="",M474="NR"),"등급미입력 ","")&amp;IF(C474&lt;&gt;"USD","비USD ","")))</f>
        <v/>
      </c>
      <c r="AQ474" s="90" t="n">
        <f aca="false">IF(AND(Y474=1,AL474="Cheap"),IF(AND(ISERROR(SEARCH("FRN",AP474)),ISERROR(SEARCH("BBB0미만",AP474))),AK474+ROW()/1000000000,-999),-999)</f>
        <v>-999</v>
      </c>
      <c r="AR474" s="92" t="str">
        <f aca="false">IF(AND(ISNUMBER(D474),ISNUMBER(K474)),D474+AN474*MAX(K474-1,0)/100,"")</f>
        <v/>
      </c>
      <c r="AS474" s="93" t="str">
        <f aca="false">IF(AND(ISNUMBER(E474),ISNUMBER(K474)),IF(K474&gt;0,(E474+AN474*MAX(K474-1,0))/K474,""),"")</f>
        <v/>
      </c>
      <c r="AT474" s="90" t="n">
        <f aca="false">IFERROR(IF(AND(Y474=1,ROW()&lt;&gt;스왑분석!$C$12+1,ABS(K474-INDEX($K$2:$K$601,스왑분석!$C$12))&lt;=스왑분석!$C$5,ISERROR(SEARCH("FRN",AP474)),ISERROR(SEARCH("BBB0미만",AP474))),IF(AND(OR(스왑분석!$C$6="N",L474=INDEX($L$2:$L$601,스왑분석!$C$12)),OR(스왑분석!$C$7="N",N474=INDEX($N$2:$N$601,스왑분석!$C$12)),OR(스왑분석!$C$8="N",AO474=0),E474-INDEX($E$2:$E$601,스왑분석!$C$12)&gt;=스왑분석!$C$9),E474-INDEX($E$2:$E$601,스왑분석!$C$12)+ROW()/1000000000,-999),-999),-999)</f>
        <v>-999</v>
      </c>
      <c r="AU474" s="90" t="n">
        <f aca="false">IF(AND(Y474=1,AO474&gt;0,AL474="Rich"),-AK474+ROW()/1000000000,-999)</f>
        <v>-999</v>
      </c>
    </row>
    <row r="475" customFormat="false" ht="15" hidden="false" customHeight="false" outlineLevel="0" collapsed="false">
      <c r="A475" s="83" t="n">
        <f aca="false">IFERROR(IF(INDEX(원자료_시장!$A$1:$BZ$1000,설정!$L$6+ROW()-1,설정!$L$24)&amp;""="0","",INDEX(원자료_시장!$A$1:$BZ$1000,설정!$L$6+ROW()-1,설정!$L$24)),"")</f>
        <v>0</v>
      </c>
      <c r="B475" s="83" t="n">
        <f aca="false">IFERROR(IF(INDEX(원자료_시장!$A$1:$BZ$1000,설정!$L$6+ROW()-1,설정!$L$37)&amp;""="0","",INDEX(원자료_시장!$A$1:$BZ$1000,설정!$L$6+ROW()-1,설정!$L$37)),"")</f>
        <v>0</v>
      </c>
      <c r="C475" s="83" t="n">
        <f aca="false">IFERROR(IF(INDEX(원자료_시장!$A$1:$BZ$1000,설정!$L$6+ROW()-1,설정!$L$25)&amp;""="0","",INDEX(원자료_시장!$A$1:$BZ$1000,설정!$L$6+ROW()-1,설정!$L$25)),"")</f>
        <v>0</v>
      </c>
      <c r="D475" s="85" t="str">
        <f aca="false">IFERROR(IF(ISNUMBER(INDEX(원자료_시장!$A$1:$BZ$1000,설정!$L$6+ROW()-1,설정!$L$26)),INDEX(원자료_시장!$A$1:$BZ$1000,설정!$L$6+ROW()-1,설정!$L$26),""),"")</f>
        <v/>
      </c>
      <c r="E475" s="97" t="str">
        <f aca="false">IFERROR(IF(ISNUMBER(INDEX(원자료_시장!$A$1:$BZ$1000,설정!$L$6+ROW()-1,설정!$L$27)),INDEX(원자료_시장!$A$1:$BZ$1000,설정!$L$6+ROW()-1,설정!$L$27),""),"")</f>
        <v/>
      </c>
      <c r="F475" s="97" t="str">
        <f aca="false">IFERROR(IF(ISNUMBER(INDEX(원자료_시장!$A$1:$BZ$1000,설정!$L$6+ROW()-1,설정!$L$28)),INDEX(원자료_시장!$A$1:$BZ$1000,설정!$L$6+ROW()-1,설정!$L$28),""),"")</f>
        <v/>
      </c>
      <c r="G475" s="97" t="str">
        <f aca="false">IFERROR(IF(ISNUMBER(INDEX(원자료_시장!$A$1:$BZ$1000,설정!$L$6+ROW()-1,설정!$L$29)),INDEX(원자료_시장!$A$1:$BZ$1000,설정!$L$6+ROW()-1,설정!$L$29),""),"")</f>
        <v/>
      </c>
      <c r="H475" s="97" t="str">
        <f aca="false">IFERROR(IF(ISNUMBER(INDEX(원자료_시장!$A$1:$BZ$1000,설정!$L$6+ROW()-1,설정!$L$30)),INDEX(원자료_시장!$A$1:$BZ$1000,설정!$L$6+ROW()-1,설정!$L$30),""),"")</f>
        <v/>
      </c>
      <c r="I475" s="97" t="str">
        <f aca="false">IFERROR(IF(ISNUMBER(INDEX(원자료_시장!$A$1:$BZ$1000,설정!$L$6+ROW()-1,설정!$L$31)),INDEX(원자료_시장!$A$1:$BZ$1000,설정!$L$6+ROW()-1,설정!$L$31),""),"")</f>
        <v/>
      </c>
      <c r="J475" s="97" t="str">
        <f aca="false">IFERROR(IF(ISNUMBER(INDEX(원자료_시장!$A$1:$BZ$1000,설정!$L$6+ROW()-1,설정!$L$32)),INDEX(원자료_시장!$A$1:$BZ$1000,설정!$L$6+ROW()-1,설정!$L$32),""),"")</f>
        <v/>
      </c>
      <c r="K475" s="85" t="str">
        <f aca="false">IFERROR(IF(ISNUMBER(INDEX(원자료_시장!$A$1:$BZ$1000,설정!$L$6+ROW()-1,설정!$L$33)),INDEX(원자료_시장!$A$1:$BZ$1000,설정!$L$6+ROW()-1,설정!$L$33),""),"")</f>
        <v/>
      </c>
      <c r="L475" s="83" t="n">
        <f aca="false">IFERROR(IF(INDEX(원자료_시장!$A$1:$BZ$1000,설정!$L$6+ROW()-1,설정!$L$34)&amp;""="0","",INDEX(원자료_시장!$A$1:$BZ$1000,설정!$L$6+ROW()-1,설정!$L$34)),"")</f>
        <v>0</v>
      </c>
      <c r="M475" s="83" t="n">
        <f aca="false">IFERROR(IF(INDEX(원자료_시장!$A$1:$BZ$1000,설정!$L$6+ROW()-1,설정!$L$35)&amp;""="0","",INDEX(원자료_시장!$A$1:$BZ$1000,설정!$L$6+ROW()-1,설정!$L$35)),"")</f>
        <v>0</v>
      </c>
      <c r="N475" s="83" t="n">
        <f aca="false">IFERROR(IF(INDEX(원자료_시장!$A$1:$BZ$1000,설정!$L$6+ROW()-1,설정!$L$36)&amp;""="0","",INDEX(원자료_시장!$A$1:$BZ$1000,설정!$L$6+ROW()-1,설정!$L$36)),"")</f>
        <v>0</v>
      </c>
      <c r="O475" s="43" t="str">
        <f aca="false">IF($A475="","",UPPER(LEFT($A475,FIND(" ",$A475&amp;" ")-1)))</f>
        <v/>
      </c>
      <c r="P475" s="43" t="str">
        <f aca="false">IF($A475="","",TRIM(RIGHT(SUBSTITUTE(TRIM($A475)," ",REPT(" ",30)),30)))</f>
        <v/>
      </c>
      <c r="Q475" s="98" t="str">
        <f aca="false">IF($A475="","",IFERROR(DATE(IF(LEN(P475)=8,2000+VALUE(RIGHT(P475,2)),VALUE(RIGHT(P475,4))),VALUE(LEFT(P475,2)),VALUE(MID(P475,4,2))),""))</f>
        <v/>
      </c>
      <c r="R475" s="89" t="n">
        <f aca="false">IF($A475="",0,IF(ISNUMBER(SEARCH("Float",$A475)),1,0))</f>
        <v>0</v>
      </c>
      <c r="S475" s="43" t="str">
        <f aca="false">IF($A475="","",TRIM(MID($A475,LEN(O475)+2,LEN($A475)-LEN(O475)-LEN(P475)-1)))</f>
        <v/>
      </c>
      <c r="T475" s="92" t="str">
        <f aca="false">IF(OR($A475="",R475=1),"",IFERROR(IF(ISNUMBER(FIND("/",S475)),IF(ISNUMBER(FIND(" ",S475)),VALUE(LEFT(S475,FIND(" ",S475)-1))+VALUE(MID(S475,FIND(" ",S475)+1,FIND("/",S475)-FIND(" ",S475)-1))/VALUE(MID(S475,FIND("/",S475)+1,9)),VALUE(LEFT(S475,FIND("/",S475)-1))/VALUE(MID(S475,FIND("/",S475)+1,9))),VALUE(S475)),""))</f>
        <v/>
      </c>
      <c r="U475" s="43" t="str">
        <f aca="false">IF(OR($A475="",NOT(ISNUMBER(Q475))),"",TEXT(Q475,"yyyymmdd")&amp;"|"&amp;IF(R475=1,"F",TEXT(T475,"0.000")))</f>
        <v/>
      </c>
      <c r="V475" s="43" t="str">
        <f aca="false">IF(U475="","",O475&amp;"|"&amp;U475)</f>
        <v/>
      </c>
      <c r="W475" s="43" t="str">
        <f aca="false">IF($A475="","",IFERROR(IF(VLOOKUP(O475,매핑!$A$4:$E$92,3,0)="","미분류",VLOOKUP(O475,매핑!$A$4:$E$92,3,0)),"미분류"))</f>
        <v/>
      </c>
      <c r="X475" s="89" t="n">
        <f aca="false">IF($A475="",0,IF(O475="T",1,0))</f>
        <v>0</v>
      </c>
      <c r="Y475" s="89" t="n">
        <f aca="false">IF($A475="",0,IF(AND(C475="USD",X475=0,ISNUMBER(E475),ISNUMBER(K475)),IF(K475&gt;=설정!$C$8,1,0),0))</f>
        <v>0</v>
      </c>
      <c r="Z475" s="43" t="str">
        <f aca="false">IF($A475="","",N475&amp;"|"&amp;L475)</f>
        <v/>
      </c>
      <c r="AA475" s="92" t="n">
        <f aca="false">IF(Y475=1,LN(K475),0)</f>
        <v>0</v>
      </c>
      <c r="AB475" s="93" t="n">
        <f aca="false">IF(Y475=1,E475,0)</f>
        <v>0</v>
      </c>
      <c r="AC475" s="89" t="n">
        <f aca="false">IF(Y475=1,COUNTIFS($Z$2:$Z$601,Z475,$Y$2:$Y$601,1),0)</f>
        <v>0</v>
      </c>
      <c r="AD475" s="89" t="n">
        <f aca="false">IF(Y475=1,COUNTIFS($N$2:$N$601,N475,$Y$2:$Y$601,1),0)</f>
        <v>0</v>
      </c>
      <c r="AE475" s="43" t="str">
        <f aca="false">IF(Y475&lt;&gt;1,"",IF(AND(AC475&gt;=설정!$C$7,ISNUMBER(MATCH(Z475,피어커브!$A:$A,0))),Z475,IF(AND(AD475&gt;=설정!$C$7,ISNUMBER(MATCH(N475&amp;"|전체",피어커브!$A:$A,0))),N475&amp;"|전체","전체|전체")))</f>
        <v/>
      </c>
      <c r="AF475" s="93" t="str">
        <f aca="false">IF(AE475="","",INDEX(피어커브!$K:$K,MATCH(AE475,피어커브!$A:$A,0)))</f>
        <v/>
      </c>
      <c r="AG475" s="93" t="str">
        <f aca="false">IF(AE475="","",INDEX(피어커브!$J:$J,MATCH(AE475,피어커브!$A:$A,0)))</f>
        <v/>
      </c>
      <c r="AH475" s="93" t="str">
        <f aca="false">IF(AE475="","",INDEX(피어커브!$L:$L,MATCH(AE475,피어커브!$A:$A,0)))</f>
        <v/>
      </c>
      <c r="AI475" s="93" t="str">
        <f aca="false">IF(AE475="","",AF475+AG475*AA475)</f>
        <v/>
      </c>
      <c r="AJ475" s="96" t="str">
        <f aca="false">IF(AE475="","",E475-AI475)</f>
        <v/>
      </c>
      <c r="AK475" s="95" t="str">
        <f aca="false">IF(AE475="","",IF(ISNUMBER(AH475),IF(AH475&gt;0,AJ475/AH475,""),""))</f>
        <v/>
      </c>
      <c r="AL475" s="43" t="str">
        <f aca="false">IF(AK475="","-",IF(AK475&gt;=설정!$C$6,"Cheap",IF(AK475&lt;=-설정!$C$6,"Rich","Fair")))</f>
        <v>-</v>
      </c>
      <c r="AM475" s="96" t="str">
        <f aca="false">IF(AE475="","",AJ475-AVERAGEIFS($AJ$2:$AJ$601,$B$2:$B$601,B475,$Y$2:$Y$601,1))</f>
        <v/>
      </c>
      <c r="AN475" s="93" t="n">
        <f aca="false">IF(AE475="",0,IF(K475&gt;1+설정!$C$8,AG475*(AA475-LN(K475-1)),0))</f>
        <v>0</v>
      </c>
      <c r="AO475" s="99" t="n">
        <f aca="false">IF($A475="",0,SUMIFS(보유분석!$AA$2:$AA$801,보유분석!$AB$2:$AB$801,ROW(),보유분석!$AC$2:$AC$801,1))</f>
        <v>0</v>
      </c>
      <c r="AP475" s="43" t="str">
        <f aca="false">IF($A475="","",TRIM(IF(R475=1,"FRN ","")&amp;IF(IFERROR(VLOOKUP(M475,설정!$A$15:$D$47,4,0),0)&gt;=10,IF(IFERROR(VLOOKUP(M475,설정!$A$15:$D$47,4,0),0)&lt;99,"BBB0미만 ",""),"")&amp;IF(OR(M475="",M475="NR"),"등급미입력 ","")&amp;IF(C475&lt;&gt;"USD","비USD ","")))</f>
        <v/>
      </c>
      <c r="AQ475" s="90" t="n">
        <f aca="false">IF(AND(Y475=1,AL475="Cheap"),IF(AND(ISERROR(SEARCH("FRN",AP475)),ISERROR(SEARCH("BBB0미만",AP475))),AK475+ROW()/1000000000,-999),-999)</f>
        <v>-999</v>
      </c>
      <c r="AR475" s="92" t="str">
        <f aca="false">IF(AND(ISNUMBER(D475),ISNUMBER(K475)),D475+AN475*MAX(K475-1,0)/100,"")</f>
        <v/>
      </c>
      <c r="AS475" s="93" t="str">
        <f aca="false">IF(AND(ISNUMBER(E475),ISNUMBER(K475)),IF(K475&gt;0,(E475+AN475*MAX(K475-1,0))/K475,""),"")</f>
        <v/>
      </c>
      <c r="AT475" s="90" t="n">
        <f aca="false">IFERROR(IF(AND(Y475=1,ROW()&lt;&gt;스왑분석!$C$12+1,ABS(K475-INDEX($K$2:$K$601,스왑분석!$C$12))&lt;=스왑분석!$C$5,ISERROR(SEARCH("FRN",AP475)),ISERROR(SEARCH("BBB0미만",AP475))),IF(AND(OR(스왑분석!$C$6="N",L475=INDEX($L$2:$L$601,스왑분석!$C$12)),OR(스왑분석!$C$7="N",N475=INDEX($N$2:$N$601,스왑분석!$C$12)),OR(스왑분석!$C$8="N",AO475=0),E475-INDEX($E$2:$E$601,스왑분석!$C$12)&gt;=스왑분석!$C$9),E475-INDEX($E$2:$E$601,스왑분석!$C$12)+ROW()/1000000000,-999),-999),-999)</f>
        <v>-999</v>
      </c>
      <c r="AU475" s="90" t="n">
        <f aca="false">IF(AND(Y475=1,AO475&gt;0,AL475="Rich"),-AK475+ROW()/1000000000,-999)</f>
        <v>-999</v>
      </c>
    </row>
    <row r="476" customFormat="false" ht="15" hidden="false" customHeight="false" outlineLevel="0" collapsed="false">
      <c r="A476" s="83" t="n">
        <f aca="false">IFERROR(IF(INDEX(원자료_시장!$A$1:$BZ$1000,설정!$L$6+ROW()-1,설정!$L$24)&amp;""="0","",INDEX(원자료_시장!$A$1:$BZ$1000,설정!$L$6+ROW()-1,설정!$L$24)),"")</f>
        <v>0</v>
      </c>
      <c r="B476" s="83" t="n">
        <f aca="false">IFERROR(IF(INDEX(원자료_시장!$A$1:$BZ$1000,설정!$L$6+ROW()-1,설정!$L$37)&amp;""="0","",INDEX(원자료_시장!$A$1:$BZ$1000,설정!$L$6+ROW()-1,설정!$L$37)),"")</f>
        <v>0</v>
      </c>
      <c r="C476" s="83" t="n">
        <f aca="false">IFERROR(IF(INDEX(원자료_시장!$A$1:$BZ$1000,설정!$L$6+ROW()-1,설정!$L$25)&amp;""="0","",INDEX(원자료_시장!$A$1:$BZ$1000,설정!$L$6+ROW()-1,설정!$L$25)),"")</f>
        <v>0</v>
      </c>
      <c r="D476" s="85" t="str">
        <f aca="false">IFERROR(IF(ISNUMBER(INDEX(원자료_시장!$A$1:$BZ$1000,설정!$L$6+ROW()-1,설정!$L$26)),INDEX(원자료_시장!$A$1:$BZ$1000,설정!$L$6+ROW()-1,설정!$L$26),""),"")</f>
        <v/>
      </c>
      <c r="E476" s="97" t="str">
        <f aca="false">IFERROR(IF(ISNUMBER(INDEX(원자료_시장!$A$1:$BZ$1000,설정!$L$6+ROW()-1,설정!$L$27)),INDEX(원자료_시장!$A$1:$BZ$1000,설정!$L$6+ROW()-1,설정!$L$27),""),"")</f>
        <v/>
      </c>
      <c r="F476" s="97" t="str">
        <f aca="false">IFERROR(IF(ISNUMBER(INDEX(원자료_시장!$A$1:$BZ$1000,설정!$L$6+ROW()-1,설정!$L$28)),INDEX(원자료_시장!$A$1:$BZ$1000,설정!$L$6+ROW()-1,설정!$L$28),""),"")</f>
        <v/>
      </c>
      <c r="G476" s="97" t="str">
        <f aca="false">IFERROR(IF(ISNUMBER(INDEX(원자료_시장!$A$1:$BZ$1000,설정!$L$6+ROW()-1,설정!$L$29)),INDEX(원자료_시장!$A$1:$BZ$1000,설정!$L$6+ROW()-1,설정!$L$29),""),"")</f>
        <v/>
      </c>
      <c r="H476" s="97" t="str">
        <f aca="false">IFERROR(IF(ISNUMBER(INDEX(원자료_시장!$A$1:$BZ$1000,설정!$L$6+ROW()-1,설정!$L$30)),INDEX(원자료_시장!$A$1:$BZ$1000,설정!$L$6+ROW()-1,설정!$L$30),""),"")</f>
        <v/>
      </c>
      <c r="I476" s="97" t="str">
        <f aca="false">IFERROR(IF(ISNUMBER(INDEX(원자료_시장!$A$1:$BZ$1000,설정!$L$6+ROW()-1,설정!$L$31)),INDEX(원자료_시장!$A$1:$BZ$1000,설정!$L$6+ROW()-1,설정!$L$31),""),"")</f>
        <v/>
      </c>
      <c r="J476" s="97" t="str">
        <f aca="false">IFERROR(IF(ISNUMBER(INDEX(원자료_시장!$A$1:$BZ$1000,설정!$L$6+ROW()-1,설정!$L$32)),INDEX(원자료_시장!$A$1:$BZ$1000,설정!$L$6+ROW()-1,설정!$L$32),""),"")</f>
        <v/>
      </c>
      <c r="K476" s="85" t="str">
        <f aca="false">IFERROR(IF(ISNUMBER(INDEX(원자료_시장!$A$1:$BZ$1000,설정!$L$6+ROW()-1,설정!$L$33)),INDEX(원자료_시장!$A$1:$BZ$1000,설정!$L$6+ROW()-1,설정!$L$33),""),"")</f>
        <v/>
      </c>
      <c r="L476" s="83" t="n">
        <f aca="false">IFERROR(IF(INDEX(원자료_시장!$A$1:$BZ$1000,설정!$L$6+ROW()-1,설정!$L$34)&amp;""="0","",INDEX(원자료_시장!$A$1:$BZ$1000,설정!$L$6+ROW()-1,설정!$L$34)),"")</f>
        <v>0</v>
      </c>
      <c r="M476" s="83" t="n">
        <f aca="false">IFERROR(IF(INDEX(원자료_시장!$A$1:$BZ$1000,설정!$L$6+ROW()-1,설정!$L$35)&amp;""="0","",INDEX(원자료_시장!$A$1:$BZ$1000,설정!$L$6+ROW()-1,설정!$L$35)),"")</f>
        <v>0</v>
      </c>
      <c r="N476" s="83" t="n">
        <f aca="false">IFERROR(IF(INDEX(원자료_시장!$A$1:$BZ$1000,설정!$L$6+ROW()-1,설정!$L$36)&amp;""="0","",INDEX(원자료_시장!$A$1:$BZ$1000,설정!$L$6+ROW()-1,설정!$L$36)),"")</f>
        <v>0</v>
      </c>
      <c r="O476" s="43" t="str">
        <f aca="false">IF($A476="","",UPPER(LEFT($A476,FIND(" ",$A476&amp;" ")-1)))</f>
        <v/>
      </c>
      <c r="P476" s="43" t="str">
        <f aca="false">IF($A476="","",TRIM(RIGHT(SUBSTITUTE(TRIM($A476)," ",REPT(" ",30)),30)))</f>
        <v/>
      </c>
      <c r="Q476" s="98" t="str">
        <f aca="false">IF($A476="","",IFERROR(DATE(IF(LEN(P476)=8,2000+VALUE(RIGHT(P476,2)),VALUE(RIGHT(P476,4))),VALUE(LEFT(P476,2)),VALUE(MID(P476,4,2))),""))</f>
        <v/>
      </c>
      <c r="R476" s="89" t="n">
        <f aca="false">IF($A476="",0,IF(ISNUMBER(SEARCH("Float",$A476)),1,0))</f>
        <v>0</v>
      </c>
      <c r="S476" s="43" t="str">
        <f aca="false">IF($A476="","",TRIM(MID($A476,LEN(O476)+2,LEN($A476)-LEN(O476)-LEN(P476)-1)))</f>
        <v/>
      </c>
      <c r="T476" s="92" t="str">
        <f aca="false">IF(OR($A476="",R476=1),"",IFERROR(IF(ISNUMBER(FIND("/",S476)),IF(ISNUMBER(FIND(" ",S476)),VALUE(LEFT(S476,FIND(" ",S476)-1))+VALUE(MID(S476,FIND(" ",S476)+1,FIND("/",S476)-FIND(" ",S476)-1))/VALUE(MID(S476,FIND("/",S476)+1,9)),VALUE(LEFT(S476,FIND("/",S476)-1))/VALUE(MID(S476,FIND("/",S476)+1,9))),VALUE(S476)),""))</f>
        <v/>
      </c>
      <c r="U476" s="43" t="str">
        <f aca="false">IF(OR($A476="",NOT(ISNUMBER(Q476))),"",TEXT(Q476,"yyyymmdd")&amp;"|"&amp;IF(R476=1,"F",TEXT(T476,"0.000")))</f>
        <v/>
      </c>
      <c r="V476" s="43" t="str">
        <f aca="false">IF(U476="","",O476&amp;"|"&amp;U476)</f>
        <v/>
      </c>
      <c r="W476" s="43" t="str">
        <f aca="false">IF($A476="","",IFERROR(IF(VLOOKUP(O476,매핑!$A$4:$E$92,3,0)="","미분류",VLOOKUP(O476,매핑!$A$4:$E$92,3,0)),"미분류"))</f>
        <v/>
      </c>
      <c r="X476" s="89" t="n">
        <f aca="false">IF($A476="",0,IF(O476="T",1,0))</f>
        <v>0</v>
      </c>
      <c r="Y476" s="89" t="n">
        <f aca="false">IF($A476="",0,IF(AND(C476="USD",X476=0,ISNUMBER(E476),ISNUMBER(K476)),IF(K476&gt;=설정!$C$8,1,0),0))</f>
        <v>0</v>
      </c>
      <c r="Z476" s="43" t="str">
        <f aca="false">IF($A476="","",N476&amp;"|"&amp;L476)</f>
        <v/>
      </c>
      <c r="AA476" s="92" t="n">
        <f aca="false">IF(Y476=1,LN(K476),0)</f>
        <v>0</v>
      </c>
      <c r="AB476" s="93" t="n">
        <f aca="false">IF(Y476=1,E476,0)</f>
        <v>0</v>
      </c>
      <c r="AC476" s="89" t="n">
        <f aca="false">IF(Y476=1,COUNTIFS($Z$2:$Z$601,Z476,$Y$2:$Y$601,1),0)</f>
        <v>0</v>
      </c>
      <c r="AD476" s="89" t="n">
        <f aca="false">IF(Y476=1,COUNTIFS($N$2:$N$601,N476,$Y$2:$Y$601,1),0)</f>
        <v>0</v>
      </c>
      <c r="AE476" s="43" t="str">
        <f aca="false">IF(Y476&lt;&gt;1,"",IF(AND(AC476&gt;=설정!$C$7,ISNUMBER(MATCH(Z476,피어커브!$A:$A,0))),Z476,IF(AND(AD476&gt;=설정!$C$7,ISNUMBER(MATCH(N476&amp;"|전체",피어커브!$A:$A,0))),N476&amp;"|전체","전체|전체")))</f>
        <v/>
      </c>
      <c r="AF476" s="93" t="str">
        <f aca="false">IF(AE476="","",INDEX(피어커브!$K:$K,MATCH(AE476,피어커브!$A:$A,0)))</f>
        <v/>
      </c>
      <c r="AG476" s="93" t="str">
        <f aca="false">IF(AE476="","",INDEX(피어커브!$J:$J,MATCH(AE476,피어커브!$A:$A,0)))</f>
        <v/>
      </c>
      <c r="AH476" s="93" t="str">
        <f aca="false">IF(AE476="","",INDEX(피어커브!$L:$L,MATCH(AE476,피어커브!$A:$A,0)))</f>
        <v/>
      </c>
      <c r="AI476" s="93" t="str">
        <f aca="false">IF(AE476="","",AF476+AG476*AA476)</f>
        <v/>
      </c>
      <c r="AJ476" s="96" t="str">
        <f aca="false">IF(AE476="","",E476-AI476)</f>
        <v/>
      </c>
      <c r="AK476" s="95" t="str">
        <f aca="false">IF(AE476="","",IF(ISNUMBER(AH476),IF(AH476&gt;0,AJ476/AH476,""),""))</f>
        <v/>
      </c>
      <c r="AL476" s="43" t="str">
        <f aca="false">IF(AK476="","-",IF(AK476&gt;=설정!$C$6,"Cheap",IF(AK476&lt;=-설정!$C$6,"Rich","Fair")))</f>
        <v>-</v>
      </c>
      <c r="AM476" s="96" t="str">
        <f aca="false">IF(AE476="","",AJ476-AVERAGEIFS($AJ$2:$AJ$601,$B$2:$B$601,B476,$Y$2:$Y$601,1))</f>
        <v/>
      </c>
      <c r="AN476" s="93" t="n">
        <f aca="false">IF(AE476="",0,IF(K476&gt;1+설정!$C$8,AG476*(AA476-LN(K476-1)),0))</f>
        <v>0</v>
      </c>
      <c r="AO476" s="99" t="n">
        <f aca="false">IF($A476="",0,SUMIFS(보유분석!$AA$2:$AA$801,보유분석!$AB$2:$AB$801,ROW(),보유분석!$AC$2:$AC$801,1))</f>
        <v>0</v>
      </c>
      <c r="AP476" s="43" t="str">
        <f aca="false">IF($A476="","",TRIM(IF(R476=1,"FRN ","")&amp;IF(IFERROR(VLOOKUP(M476,설정!$A$15:$D$47,4,0),0)&gt;=10,IF(IFERROR(VLOOKUP(M476,설정!$A$15:$D$47,4,0),0)&lt;99,"BBB0미만 ",""),"")&amp;IF(OR(M476="",M476="NR"),"등급미입력 ","")&amp;IF(C476&lt;&gt;"USD","비USD ","")))</f>
        <v/>
      </c>
      <c r="AQ476" s="90" t="n">
        <f aca="false">IF(AND(Y476=1,AL476="Cheap"),IF(AND(ISERROR(SEARCH("FRN",AP476)),ISERROR(SEARCH("BBB0미만",AP476))),AK476+ROW()/1000000000,-999),-999)</f>
        <v>-999</v>
      </c>
      <c r="AR476" s="92" t="str">
        <f aca="false">IF(AND(ISNUMBER(D476),ISNUMBER(K476)),D476+AN476*MAX(K476-1,0)/100,"")</f>
        <v/>
      </c>
      <c r="AS476" s="93" t="str">
        <f aca="false">IF(AND(ISNUMBER(E476),ISNUMBER(K476)),IF(K476&gt;0,(E476+AN476*MAX(K476-1,0))/K476,""),"")</f>
        <v/>
      </c>
      <c r="AT476" s="90" t="n">
        <f aca="false">IFERROR(IF(AND(Y476=1,ROW()&lt;&gt;스왑분석!$C$12+1,ABS(K476-INDEX($K$2:$K$601,스왑분석!$C$12))&lt;=스왑분석!$C$5,ISERROR(SEARCH("FRN",AP476)),ISERROR(SEARCH("BBB0미만",AP476))),IF(AND(OR(스왑분석!$C$6="N",L476=INDEX($L$2:$L$601,스왑분석!$C$12)),OR(스왑분석!$C$7="N",N476=INDEX($N$2:$N$601,스왑분석!$C$12)),OR(스왑분석!$C$8="N",AO476=0),E476-INDEX($E$2:$E$601,스왑분석!$C$12)&gt;=스왑분석!$C$9),E476-INDEX($E$2:$E$601,스왑분석!$C$12)+ROW()/1000000000,-999),-999),-999)</f>
        <v>-999</v>
      </c>
      <c r="AU476" s="90" t="n">
        <f aca="false">IF(AND(Y476=1,AO476&gt;0,AL476="Rich"),-AK476+ROW()/1000000000,-999)</f>
        <v>-999</v>
      </c>
    </row>
    <row r="477" customFormat="false" ht="15" hidden="false" customHeight="false" outlineLevel="0" collapsed="false">
      <c r="A477" s="83" t="n">
        <f aca="false">IFERROR(IF(INDEX(원자료_시장!$A$1:$BZ$1000,설정!$L$6+ROW()-1,설정!$L$24)&amp;""="0","",INDEX(원자료_시장!$A$1:$BZ$1000,설정!$L$6+ROW()-1,설정!$L$24)),"")</f>
        <v>0</v>
      </c>
      <c r="B477" s="83" t="n">
        <f aca="false">IFERROR(IF(INDEX(원자료_시장!$A$1:$BZ$1000,설정!$L$6+ROW()-1,설정!$L$37)&amp;""="0","",INDEX(원자료_시장!$A$1:$BZ$1000,설정!$L$6+ROW()-1,설정!$L$37)),"")</f>
        <v>0</v>
      </c>
      <c r="C477" s="83" t="n">
        <f aca="false">IFERROR(IF(INDEX(원자료_시장!$A$1:$BZ$1000,설정!$L$6+ROW()-1,설정!$L$25)&amp;""="0","",INDEX(원자료_시장!$A$1:$BZ$1000,설정!$L$6+ROW()-1,설정!$L$25)),"")</f>
        <v>0</v>
      </c>
      <c r="D477" s="85" t="str">
        <f aca="false">IFERROR(IF(ISNUMBER(INDEX(원자료_시장!$A$1:$BZ$1000,설정!$L$6+ROW()-1,설정!$L$26)),INDEX(원자료_시장!$A$1:$BZ$1000,설정!$L$6+ROW()-1,설정!$L$26),""),"")</f>
        <v/>
      </c>
      <c r="E477" s="97" t="str">
        <f aca="false">IFERROR(IF(ISNUMBER(INDEX(원자료_시장!$A$1:$BZ$1000,설정!$L$6+ROW()-1,설정!$L$27)),INDEX(원자료_시장!$A$1:$BZ$1000,설정!$L$6+ROW()-1,설정!$L$27),""),"")</f>
        <v/>
      </c>
      <c r="F477" s="97" t="str">
        <f aca="false">IFERROR(IF(ISNUMBER(INDEX(원자료_시장!$A$1:$BZ$1000,설정!$L$6+ROW()-1,설정!$L$28)),INDEX(원자료_시장!$A$1:$BZ$1000,설정!$L$6+ROW()-1,설정!$L$28),""),"")</f>
        <v/>
      </c>
      <c r="G477" s="97" t="str">
        <f aca="false">IFERROR(IF(ISNUMBER(INDEX(원자료_시장!$A$1:$BZ$1000,설정!$L$6+ROW()-1,설정!$L$29)),INDEX(원자료_시장!$A$1:$BZ$1000,설정!$L$6+ROW()-1,설정!$L$29),""),"")</f>
        <v/>
      </c>
      <c r="H477" s="97" t="str">
        <f aca="false">IFERROR(IF(ISNUMBER(INDEX(원자료_시장!$A$1:$BZ$1000,설정!$L$6+ROW()-1,설정!$L$30)),INDEX(원자료_시장!$A$1:$BZ$1000,설정!$L$6+ROW()-1,설정!$L$30),""),"")</f>
        <v/>
      </c>
      <c r="I477" s="97" t="str">
        <f aca="false">IFERROR(IF(ISNUMBER(INDEX(원자료_시장!$A$1:$BZ$1000,설정!$L$6+ROW()-1,설정!$L$31)),INDEX(원자료_시장!$A$1:$BZ$1000,설정!$L$6+ROW()-1,설정!$L$31),""),"")</f>
        <v/>
      </c>
      <c r="J477" s="97" t="str">
        <f aca="false">IFERROR(IF(ISNUMBER(INDEX(원자료_시장!$A$1:$BZ$1000,설정!$L$6+ROW()-1,설정!$L$32)),INDEX(원자료_시장!$A$1:$BZ$1000,설정!$L$6+ROW()-1,설정!$L$32),""),"")</f>
        <v/>
      </c>
      <c r="K477" s="85" t="str">
        <f aca="false">IFERROR(IF(ISNUMBER(INDEX(원자료_시장!$A$1:$BZ$1000,설정!$L$6+ROW()-1,설정!$L$33)),INDEX(원자료_시장!$A$1:$BZ$1000,설정!$L$6+ROW()-1,설정!$L$33),""),"")</f>
        <v/>
      </c>
      <c r="L477" s="83" t="n">
        <f aca="false">IFERROR(IF(INDEX(원자료_시장!$A$1:$BZ$1000,설정!$L$6+ROW()-1,설정!$L$34)&amp;""="0","",INDEX(원자료_시장!$A$1:$BZ$1000,설정!$L$6+ROW()-1,설정!$L$34)),"")</f>
        <v>0</v>
      </c>
      <c r="M477" s="83" t="n">
        <f aca="false">IFERROR(IF(INDEX(원자료_시장!$A$1:$BZ$1000,설정!$L$6+ROW()-1,설정!$L$35)&amp;""="0","",INDEX(원자료_시장!$A$1:$BZ$1000,설정!$L$6+ROW()-1,설정!$L$35)),"")</f>
        <v>0</v>
      </c>
      <c r="N477" s="83" t="n">
        <f aca="false">IFERROR(IF(INDEX(원자료_시장!$A$1:$BZ$1000,설정!$L$6+ROW()-1,설정!$L$36)&amp;""="0","",INDEX(원자료_시장!$A$1:$BZ$1000,설정!$L$6+ROW()-1,설정!$L$36)),"")</f>
        <v>0</v>
      </c>
      <c r="O477" s="43" t="str">
        <f aca="false">IF($A477="","",UPPER(LEFT($A477,FIND(" ",$A477&amp;" ")-1)))</f>
        <v/>
      </c>
      <c r="P477" s="43" t="str">
        <f aca="false">IF($A477="","",TRIM(RIGHT(SUBSTITUTE(TRIM($A477)," ",REPT(" ",30)),30)))</f>
        <v/>
      </c>
      <c r="Q477" s="98" t="str">
        <f aca="false">IF($A477="","",IFERROR(DATE(IF(LEN(P477)=8,2000+VALUE(RIGHT(P477,2)),VALUE(RIGHT(P477,4))),VALUE(LEFT(P477,2)),VALUE(MID(P477,4,2))),""))</f>
        <v/>
      </c>
      <c r="R477" s="89" t="n">
        <f aca="false">IF($A477="",0,IF(ISNUMBER(SEARCH("Float",$A477)),1,0))</f>
        <v>0</v>
      </c>
      <c r="S477" s="43" t="str">
        <f aca="false">IF($A477="","",TRIM(MID($A477,LEN(O477)+2,LEN($A477)-LEN(O477)-LEN(P477)-1)))</f>
        <v/>
      </c>
      <c r="T477" s="92" t="str">
        <f aca="false">IF(OR($A477="",R477=1),"",IFERROR(IF(ISNUMBER(FIND("/",S477)),IF(ISNUMBER(FIND(" ",S477)),VALUE(LEFT(S477,FIND(" ",S477)-1))+VALUE(MID(S477,FIND(" ",S477)+1,FIND("/",S477)-FIND(" ",S477)-1))/VALUE(MID(S477,FIND("/",S477)+1,9)),VALUE(LEFT(S477,FIND("/",S477)-1))/VALUE(MID(S477,FIND("/",S477)+1,9))),VALUE(S477)),""))</f>
        <v/>
      </c>
      <c r="U477" s="43" t="str">
        <f aca="false">IF(OR($A477="",NOT(ISNUMBER(Q477))),"",TEXT(Q477,"yyyymmdd")&amp;"|"&amp;IF(R477=1,"F",TEXT(T477,"0.000")))</f>
        <v/>
      </c>
      <c r="V477" s="43" t="str">
        <f aca="false">IF(U477="","",O477&amp;"|"&amp;U477)</f>
        <v/>
      </c>
      <c r="W477" s="43" t="str">
        <f aca="false">IF($A477="","",IFERROR(IF(VLOOKUP(O477,매핑!$A$4:$E$92,3,0)="","미분류",VLOOKUP(O477,매핑!$A$4:$E$92,3,0)),"미분류"))</f>
        <v/>
      </c>
      <c r="X477" s="89" t="n">
        <f aca="false">IF($A477="",0,IF(O477="T",1,0))</f>
        <v>0</v>
      </c>
      <c r="Y477" s="89" t="n">
        <f aca="false">IF($A477="",0,IF(AND(C477="USD",X477=0,ISNUMBER(E477),ISNUMBER(K477)),IF(K477&gt;=설정!$C$8,1,0),0))</f>
        <v>0</v>
      </c>
      <c r="Z477" s="43" t="str">
        <f aca="false">IF($A477="","",N477&amp;"|"&amp;L477)</f>
        <v/>
      </c>
      <c r="AA477" s="92" t="n">
        <f aca="false">IF(Y477=1,LN(K477),0)</f>
        <v>0</v>
      </c>
      <c r="AB477" s="93" t="n">
        <f aca="false">IF(Y477=1,E477,0)</f>
        <v>0</v>
      </c>
      <c r="AC477" s="89" t="n">
        <f aca="false">IF(Y477=1,COUNTIFS($Z$2:$Z$601,Z477,$Y$2:$Y$601,1),0)</f>
        <v>0</v>
      </c>
      <c r="AD477" s="89" t="n">
        <f aca="false">IF(Y477=1,COUNTIFS($N$2:$N$601,N477,$Y$2:$Y$601,1),0)</f>
        <v>0</v>
      </c>
      <c r="AE477" s="43" t="str">
        <f aca="false">IF(Y477&lt;&gt;1,"",IF(AND(AC477&gt;=설정!$C$7,ISNUMBER(MATCH(Z477,피어커브!$A:$A,0))),Z477,IF(AND(AD477&gt;=설정!$C$7,ISNUMBER(MATCH(N477&amp;"|전체",피어커브!$A:$A,0))),N477&amp;"|전체","전체|전체")))</f>
        <v/>
      </c>
      <c r="AF477" s="93" t="str">
        <f aca="false">IF(AE477="","",INDEX(피어커브!$K:$K,MATCH(AE477,피어커브!$A:$A,0)))</f>
        <v/>
      </c>
      <c r="AG477" s="93" t="str">
        <f aca="false">IF(AE477="","",INDEX(피어커브!$J:$J,MATCH(AE477,피어커브!$A:$A,0)))</f>
        <v/>
      </c>
      <c r="AH477" s="93" t="str">
        <f aca="false">IF(AE477="","",INDEX(피어커브!$L:$L,MATCH(AE477,피어커브!$A:$A,0)))</f>
        <v/>
      </c>
      <c r="AI477" s="93" t="str">
        <f aca="false">IF(AE477="","",AF477+AG477*AA477)</f>
        <v/>
      </c>
      <c r="AJ477" s="96" t="str">
        <f aca="false">IF(AE477="","",E477-AI477)</f>
        <v/>
      </c>
      <c r="AK477" s="95" t="str">
        <f aca="false">IF(AE477="","",IF(ISNUMBER(AH477),IF(AH477&gt;0,AJ477/AH477,""),""))</f>
        <v/>
      </c>
      <c r="AL477" s="43" t="str">
        <f aca="false">IF(AK477="","-",IF(AK477&gt;=설정!$C$6,"Cheap",IF(AK477&lt;=-설정!$C$6,"Rich","Fair")))</f>
        <v>-</v>
      </c>
      <c r="AM477" s="96" t="str">
        <f aca="false">IF(AE477="","",AJ477-AVERAGEIFS($AJ$2:$AJ$601,$B$2:$B$601,B477,$Y$2:$Y$601,1))</f>
        <v/>
      </c>
      <c r="AN477" s="93" t="n">
        <f aca="false">IF(AE477="",0,IF(K477&gt;1+설정!$C$8,AG477*(AA477-LN(K477-1)),0))</f>
        <v>0</v>
      </c>
      <c r="AO477" s="99" t="n">
        <f aca="false">IF($A477="",0,SUMIFS(보유분석!$AA$2:$AA$801,보유분석!$AB$2:$AB$801,ROW(),보유분석!$AC$2:$AC$801,1))</f>
        <v>0</v>
      </c>
      <c r="AP477" s="43" t="str">
        <f aca="false">IF($A477="","",TRIM(IF(R477=1,"FRN ","")&amp;IF(IFERROR(VLOOKUP(M477,설정!$A$15:$D$47,4,0),0)&gt;=10,IF(IFERROR(VLOOKUP(M477,설정!$A$15:$D$47,4,0),0)&lt;99,"BBB0미만 ",""),"")&amp;IF(OR(M477="",M477="NR"),"등급미입력 ","")&amp;IF(C477&lt;&gt;"USD","비USD ","")))</f>
        <v/>
      </c>
      <c r="AQ477" s="90" t="n">
        <f aca="false">IF(AND(Y477=1,AL477="Cheap"),IF(AND(ISERROR(SEARCH("FRN",AP477)),ISERROR(SEARCH("BBB0미만",AP477))),AK477+ROW()/1000000000,-999),-999)</f>
        <v>-999</v>
      </c>
      <c r="AR477" s="92" t="str">
        <f aca="false">IF(AND(ISNUMBER(D477),ISNUMBER(K477)),D477+AN477*MAX(K477-1,0)/100,"")</f>
        <v/>
      </c>
      <c r="AS477" s="93" t="str">
        <f aca="false">IF(AND(ISNUMBER(E477),ISNUMBER(K477)),IF(K477&gt;0,(E477+AN477*MAX(K477-1,0))/K477,""),"")</f>
        <v/>
      </c>
      <c r="AT477" s="90" t="n">
        <f aca="false">IFERROR(IF(AND(Y477=1,ROW()&lt;&gt;스왑분석!$C$12+1,ABS(K477-INDEX($K$2:$K$601,스왑분석!$C$12))&lt;=스왑분석!$C$5,ISERROR(SEARCH("FRN",AP477)),ISERROR(SEARCH("BBB0미만",AP477))),IF(AND(OR(스왑분석!$C$6="N",L477=INDEX($L$2:$L$601,스왑분석!$C$12)),OR(스왑분석!$C$7="N",N477=INDEX($N$2:$N$601,스왑분석!$C$12)),OR(스왑분석!$C$8="N",AO477=0),E477-INDEX($E$2:$E$601,스왑분석!$C$12)&gt;=스왑분석!$C$9),E477-INDEX($E$2:$E$601,스왑분석!$C$12)+ROW()/1000000000,-999),-999),-999)</f>
        <v>-999</v>
      </c>
      <c r="AU477" s="90" t="n">
        <f aca="false">IF(AND(Y477=1,AO477&gt;0,AL477="Rich"),-AK477+ROW()/1000000000,-999)</f>
        <v>-999</v>
      </c>
    </row>
    <row r="478" customFormat="false" ht="15" hidden="false" customHeight="false" outlineLevel="0" collapsed="false">
      <c r="A478" s="83" t="n">
        <f aca="false">IFERROR(IF(INDEX(원자료_시장!$A$1:$BZ$1000,설정!$L$6+ROW()-1,설정!$L$24)&amp;""="0","",INDEX(원자료_시장!$A$1:$BZ$1000,설정!$L$6+ROW()-1,설정!$L$24)),"")</f>
        <v>0</v>
      </c>
      <c r="B478" s="83" t="n">
        <f aca="false">IFERROR(IF(INDEX(원자료_시장!$A$1:$BZ$1000,설정!$L$6+ROW()-1,설정!$L$37)&amp;""="0","",INDEX(원자료_시장!$A$1:$BZ$1000,설정!$L$6+ROW()-1,설정!$L$37)),"")</f>
        <v>0</v>
      </c>
      <c r="C478" s="83" t="n">
        <f aca="false">IFERROR(IF(INDEX(원자료_시장!$A$1:$BZ$1000,설정!$L$6+ROW()-1,설정!$L$25)&amp;""="0","",INDEX(원자료_시장!$A$1:$BZ$1000,설정!$L$6+ROW()-1,설정!$L$25)),"")</f>
        <v>0</v>
      </c>
      <c r="D478" s="85" t="str">
        <f aca="false">IFERROR(IF(ISNUMBER(INDEX(원자료_시장!$A$1:$BZ$1000,설정!$L$6+ROW()-1,설정!$L$26)),INDEX(원자료_시장!$A$1:$BZ$1000,설정!$L$6+ROW()-1,설정!$L$26),""),"")</f>
        <v/>
      </c>
      <c r="E478" s="97" t="str">
        <f aca="false">IFERROR(IF(ISNUMBER(INDEX(원자료_시장!$A$1:$BZ$1000,설정!$L$6+ROW()-1,설정!$L$27)),INDEX(원자료_시장!$A$1:$BZ$1000,설정!$L$6+ROW()-1,설정!$L$27),""),"")</f>
        <v/>
      </c>
      <c r="F478" s="97" t="str">
        <f aca="false">IFERROR(IF(ISNUMBER(INDEX(원자료_시장!$A$1:$BZ$1000,설정!$L$6+ROW()-1,설정!$L$28)),INDEX(원자료_시장!$A$1:$BZ$1000,설정!$L$6+ROW()-1,설정!$L$28),""),"")</f>
        <v/>
      </c>
      <c r="G478" s="97" t="str">
        <f aca="false">IFERROR(IF(ISNUMBER(INDEX(원자료_시장!$A$1:$BZ$1000,설정!$L$6+ROW()-1,설정!$L$29)),INDEX(원자료_시장!$A$1:$BZ$1000,설정!$L$6+ROW()-1,설정!$L$29),""),"")</f>
        <v/>
      </c>
      <c r="H478" s="97" t="str">
        <f aca="false">IFERROR(IF(ISNUMBER(INDEX(원자료_시장!$A$1:$BZ$1000,설정!$L$6+ROW()-1,설정!$L$30)),INDEX(원자료_시장!$A$1:$BZ$1000,설정!$L$6+ROW()-1,설정!$L$30),""),"")</f>
        <v/>
      </c>
      <c r="I478" s="97" t="str">
        <f aca="false">IFERROR(IF(ISNUMBER(INDEX(원자료_시장!$A$1:$BZ$1000,설정!$L$6+ROW()-1,설정!$L$31)),INDEX(원자료_시장!$A$1:$BZ$1000,설정!$L$6+ROW()-1,설정!$L$31),""),"")</f>
        <v/>
      </c>
      <c r="J478" s="97" t="str">
        <f aca="false">IFERROR(IF(ISNUMBER(INDEX(원자료_시장!$A$1:$BZ$1000,설정!$L$6+ROW()-1,설정!$L$32)),INDEX(원자료_시장!$A$1:$BZ$1000,설정!$L$6+ROW()-1,설정!$L$32),""),"")</f>
        <v/>
      </c>
      <c r="K478" s="85" t="str">
        <f aca="false">IFERROR(IF(ISNUMBER(INDEX(원자료_시장!$A$1:$BZ$1000,설정!$L$6+ROW()-1,설정!$L$33)),INDEX(원자료_시장!$A$1:$BZ$1000,설정!$L$6+ROW()-1,설정!$L$33),""),"")</f>
        <v/>
      </c>
      <c r="L478" s="83" t="n">
        <f aca="false">IFERROR(IF(INDEX(원자료_시장!$A$1:$BZ$1000,설정!$L$6+ROW()-1,설정!$L$34)&amp;""="0","",INDEX(원자료_시장!$A$1:$BZ$1000,설정!$L$6+ROW()-1,설정!$L$34)),"")</f>
        <v>0</v>
      </c>
      <c r="M478" s="83" t="n">
        <f aca="false">IFERROR(IF(INDEX(원자료_시장!$A$1:$BZ$1000,설정!$L$6+ROW()-1,설정!$L$35)&amp;""="0","",INDEX(원자료_시장!$A$1:$BZ$1000,설정!$L$6+ROW()-1,설정!$L$35)),"")</f>
        <v>0</v>
      </c>
      <c r="N478" s="83" t="n">
        <f aca="false">IFERROR(IF(INDEX(원자료_시장!$A$1:$BZ$1000,설정!$L$6+ROW()-1,설정!$L$36)&amp;""="0","",INDEX(원자료_시장!$A$1:$BZ$1000,설정!$L$6+ROW()-1,설정!$L$36)),"")</f>
        <v>0</v>
      </c>
      <c r="O478" s="43" t="str">
        <f aca="false">IF($A478="","",UPPER(LEFT($A478,FIND(" ",$A478&amp;" ")-1)))</f>
        <v/>
      </c>
      <c r="P478" s="43" t="str">
        <f aca="false">IF($A478="","",TRIM(RIGHT(SUBSTITUTE(TRIM($A478)," ",REPT(" ",30)),30)))</f>
        <v/>
      </c>
      <c r="Q478" s="98" t="str">
        <f aca="false">IF($A478="","",IFERROR(DATE(IF(LEN(P478)=8,2000+VALUE(RIGHT(P478,2)),VALUE(RIGHT(P478,4))),VALUE(LEFT(P478,2)),VALUE(MID(P478,4,2))),""))</f>
        <v/>
      </c>
      <c r="R478" s="89" t="n">
        <f aca="false">IF($A478="",0,IF(ISNUMBER(SEARCH("Float",$A478)),1,0))</f>
        <v>0</v>
      </c>
      <c r="S478" s="43" t="str">
        <f aca="false">IF($A478="","",TRIM(MID($A478,LEN(O478)+2,LEN($A478)-LEN(O478)-LEN(P478)-1)))</f>
        <v/>
      </c>
      <c r="T478" s="92" t="str">
        <f aca="false">IF(OR($A478="",R478=1),"",IFERROR(IF(ISNUMBER(FIND("/",S478)),IF(ISNUMBER(FIND(" ",S478)),VALUE(LEFT(S478,FIND(" ",S478)-1))+VALUE(MID(S478,FIND(" ",S478)+1,FIND("/",S478)-FIND(" ",S478)-1))/VALUE(MID(S478,FIND("/",S478)+1,9)),VALUE(LEFT(S478,FIND("/",S478)-1))/VALUE(MID(S478,FIND("/",S478)+1,9))),VALUE(S478)),""))</f>
        <v/>
      </c>
      <c r="U478" s="43" t="str">
        <f aca="false">IF(OR($A478="",NOT(ISNUMBER(Q478))),"",TEXT(Q478,"yyyymmdd")&amp;"|"&amp;IF(R478=1,"F",TEXT(T478,"0.000")))</f>
        <v/>
      </c>
      <c r="V478" s="43" t="str">
        <f aca="false">IF(U478="","",O478&amp;"|"&amp;U478)</f>
        <v/>
      </c>
      <c r="W478" s="43" t="str">
        <f aca="false">IF($A478="","",IFERROR(IF(VLOOKUP(O478,매핑!$A$4:$E$92,3,0)="","미분류",VLOOKUP(O478,매핑!$A$4:$E$92,3,0)),"미분류"))</f>
        <v/>
      </c>
      <c r="X478" s="89" t="n">
        <f aca="false">IF($A478="",0,IF(O478="T",1,0))</f>
        <v>0</v>
      </c>
      <c r="Y478" s="89" t="n">
        <f aca="false">IF($A478="",0,IF(AND(C478="USD",X478=0,ISNUMBER(E478),ISNUMBER(K478)),IF(K478&gt;=설정!$C$8,1,0),0))</f>
        <v>0</v>
      </c>
      <c r="Z478" s="43" t="str">
        <f aca="false">IF($A478="","",N478&amp;"|"&amp;L478)</f>
        <v/>
      </c>
      <c r="AA478" s="92" t="n">
        <f aca="false">IF(Y478=1,LN(K478),0)</f>
        <v>0</v>
      </c>
      <c r="AB478" s="93" t="n">
        <f aca="false">IF(Y478=1,E478,0)</f>
        <v>0</v>
      </c>
      <c r="AC478" s="89" t="n">
        <f aca="false">IF(Y478=1,COUNTIFS($Z$2:$Z$601,Z478,$Y$2:$Y$601,1),0)</f>
        <v>0</v>
      </c>
      <c r="AD478" s="89" t="n">
        <f aca="false">IF(Y478=1,COUNTIFS($N$2:$N$601,N478,$Y$2:$Y$601,1),0)</f>
        <v>0</v>
      </c>
      <c r="AE478" s="43" t="str">
        <f aca="false">IF(Y478&lt;&gt;1,"",IF(AND(AC478&gt;=설정!$C$7,ISNUMBER(MATCH(Z478,피어커브!$A:$A,0))),Z478,IF(AND(AD478&gt;=설정!$C$7,ISNUMBER(MATCH(N478&amp;"|전체",피어커브!$A:$A,0))),N478&amp;"|전체","전체|전체")))</f>
        <v/>
      </c>
      <c r="AF478" s="93" t="str">
        <f aca="false">IF(AE478="","",INDEX(피어커브!$K:$K,MATCH(AE478,피어커브!$A:$A,0)))</f>
        <v/>
      </c>
      <c r="AG478" s="93" t="str">
        <f aca="false">IF(AE478="","",INDEX(피어커브!$J:$J,MATCH(AE478,피어커브!$A:$A,0)))</f>
        <v/>
      </c>
      <c r="AH478" s="93" t="str">
        <f aca="false">IF(AE478="","",INDEX(피어커브!$L:$L,MATCH(AE478,피어커브!$A:$A,0)))</f>
        <v/>
      </c>
      <c r="AI478" s="93" t="str">
        <f aca="false">IF(AE478="","",AF478+AG478*AA478)</f>
        <v/>
      </c>
      <c r="AJ478" s="96" t="str">
        <f aca="false">IF(AE478="","",E478-AI478)</f>
        <v/>
      </c>
      <c r="AK478" s="95" t="str">
        <f aca="false">IF(AE478="","",IF(ISNUMBER(AH478),IF(AH478&gt;0,AJ478/AH478,""),""))</f>
        <v/>
      </c>
      <c r="AL478" s="43" t="str">
        <f aca="false">IF(AK478="","-",IF(AK478&gt;=설정!$C$6,"Cheap",IF(AK478&lt;=-설정!$C$6,"Rich","Fair")))</f>
        <v>-</v>
      </c>
      <c r="AM478" s="96" t="str">
        <f aca="false">IF(AE478="","",AJ478-AVERAGEIFS($AJ$2:$AJ$601,$B$2:$B$601,B478,$Y$2:$Y$601,1))</f>
        <v/>
      </c>
      <c r="AN478" s="93" t="n">
        <f aca="false">IF(AE478="",0,IF(K478&gt;1+설정!$C$8,AG478*(AA478-LN(K478-1)),0))</f>
        <v>0</v>
      </c>
      <c r="AO478" s="99" t="n">
        <f aca="false">IF($A478="",0,SUMIFS(보유분석!$AA$2:$AA$801,보유분석!$AB$2:$AB$801,ROW(),보유분석!$AC$2:$AC$801,1))</f>
        <v>0</v>
      </c>
      <c r="AP478" s="43" t="str">
        <f aca="false">IF($A478="","",TRIM(IF(R478=1,"FRN ","")&amp;IF(IFERROR(VLOOKUP(M478,설정!$A$15:$D$47,4,0),0)&gt;=10,IF(IFERROR(VLOOKUP(M478,설정!$A$15:$D$47,4,0),0)&lt;99,"BBB0미만 ",""),"")&amp;IF(OR(M478="",M478="NR"),"등급미입력 ","")&amp;IF(C478&lt;&gt;"USD","비USD ","")))</f>
        <v/>
      </c>
      <c r="AQ478" s="90" t="n">
        <f aca="false">IF(AND(Y478=1,AL478="Cheap"),IF(AND(ISERROR(SEARCH("FRN",AP478)),ISERROR(SEARCH("BBB0미만",AP478))),AK478+ROW()/1000000000,-999),-999)</f>
        <v>-999</v>
      </c>
      <c r="AR478" s="92" t="str">
        <f aca="false">IF(AND(ISNUMBER(D478),ISNUMBER(K478)),D478+AN478*MAX(K478-1,0)/100,"")</f>
        <v/>
      </c>
      <c r="AS478" s="93" t="str">
        <f aca="false">IF(AND(ISNUMBER(E478),ISNUMBER(K478)),IF(K478&gt;0,(E478+AN478*MAX(K478-1,0))/K478,""),"")</f>
        <v/>
      </c>
      <c r="AT478" s="90" t="n">
        <f aca="false">IFERROR(IF(AND(Y478=1,ROW()&lt;&gt;스왑분석!$C$12+1,ABS(K478-INDEX($K$2:$K$601,스왑분석!$C$12))&lt;=스왑분석!$C$5,ISERROR(SEARCH("FRN",AP478)),ISERROR(SEARCH("BBB0미만",AP478))),IF(AND(OR(스왑분석!$C$6="N",L478=INDEX($L$2:$L$601,스왑분석!$C$12)),OR(스왑분석!$C$7="N",N478=INDEX($N$2:$N$601,스왑분석!$C$12)),OR(스왑분석!$C$8="N",AO478=0),E478-INDEX($E$2:$E$601,스왑분석!$C$12)&gt;=스왑분석!$C$9),E478-INDEX($E$2:$E$601,스왑분석!$C$12)+ROW()/1000000000,-999),-999),-999)</f>
        <v>-999</v>
      </c>
      <c r="AU478" s="90" t="n">
        <f aca="false">IF(AND(Y478=1,AO478&gt;0,AL478="Rich"),-AK478+ROW()/1000000000,-999)</f>
        <v>-999</v>
      </c>
    </row>
    <row r="479" customFormat="false" ht="15" hidden="false" customHeight="false" outlineLevel="0" collapsed="false">
      <c r="A479" s="83" t="n">
        <f aca="false">IFERROR(IF(INDEX(원자료_시장!$A$1:$BZ$1000,설정!$L$6+ROW()-1,설정!$L$24)&amp;""="0","",INDEX(원자료_시장!$A$1:$BZ$1000,설정!$L$6+ROW()-1,설정!$L$24)),"")</f>
        <v>0</v>
      </c>
      <c r="B479" s="83" t="n">
        <f aca="false">IFERROR(IF(INDEX(원자료_시장!$A$1:$BZ$1000,설정!$L$6+ROW()-1,설정!$L$37)&amp;""="0","",INDEX(원자료_시장!$A$1:$BZ$1000,설정!$L$6+ROW()-1,설정!$L$37)),"")</f>
        <v>0</v>
      </c>
      <c r="C479" s="83" t="n">
        <f aca="false">IFERROR(IF(INDEX(원자료_시장!$A$1:$BZ$1000,설정!$L$6+ROW()-1,설정!$L$25)&amp;""="0","",INDEX(원자료_시장!$A$1:$BZ$1000,설정!$L$6+ROW()-1,설정!$L$25)),"")</f>
        <v>0</v>
      </c>
      <c r="D479" s="85" t="str">
        <f aca="false">IFERROR(IF(ISNUMBER(INDEX(원자료_시장!$A$1:$BZ$1000,설정!$L$6+ROW()-1,설정!$L$26)),INDEX(원자료_시장!$A$1:$BZ$1000,설정!$L$6+ROW()-1,설정!$L$26),""),"")</f>
        <v/>
      </c>
      <c r="E479" s="97" t="str">
        <f aca="false">IFERROR(IF(ISNUMBER(INDEX(원자료_시장!$A$1:$BZ$1000,설정!$L$6+ROW()-1,설정!$L$27)),INDEX(원자료_시장!$A$1:$BZ$1000,설정!$L$6+ROW()-1,설정!$L$27),""),"")</f>
        <v/>
      </c>
      <c r="F479" s="97" t="str">
        <f aca="false">IFERROR(IF(ISNUMBER(INDEX(원자료_시장!$A$1:$BZ$1000,설정!$L$6+ROW()-1,설정!$L$28)),INDEX(원자료_시장!$A$1:$BZ$1000,설정!$L$6+ROW()-1,설정!$L$28),""),"")</f>
        <v/>
      </c>
      <c r="G479" s="97" t="str">
        <f aca="false">IFERROR(IF(ISNUMBER(INDEX(원자료_시장!$A$1:$BZ$1000,설정!$L$6+ROW()-1,설정!$L$29)),INDEX(원자료_시장!$A$1:$BZ$1000,설정!$L$6+ROW()-1,설정!$L$29),""),"")</f>
        <v/>
      </c>
      <c r="H479" s="97" t="str">
        <f aca="false">IFERROR(IF(ISNUMBER(INDEX(원자료_시장!$A$1:$BZ$1000,설정!$L$6+ROW()-1,설정!$L$30)),INDEX(원자료_시장!$A$1:$BZ$1000,설정!$L$6+ROW()-1,설정!$L$30),""),"")</f>
        <v/>
      </c>
      <c r="I479" s="97" t="str">
        <f aca="false">IFERROR(IF(ISNUMBER(INDEX(원자료_시장!$A$1:$BZ$1000,설정!$L$6+ROW()-1,설정!$L$31)),INDEX(원자료_시장!$A$1:$BZ$1000,설정!$L$6+ROW()-1,설정!$L$31),""),"")</f>
        <v/>
      </c>
      <c r="J479" s="97" t="str">
        <f aca="false">IFERROR(IF(ISNUMBER(INDEX(원자료_시장!$A$1:$BZ$1000,설정!$L$6+ROW()-1,설정!$L$32)),INDEX(원자료_시장!$A$1:$BZ$1000,설정!$L$6+ROW()-1,설정!$L$32),""),"")</f>
        <v/>
      </c>
      <c r="K479" s="85" t="str">
        <f aca="false">IFERROR(IF(ISNUMBER(INDEX(원자료_시장!$A$1:$BZ$1000,설정!$L$6+ROW()-1,설정!$L$33)),INDEX(원자료_시장!$A$1:$BZ$1000,설정!$L$6+ROW()-1,설정!$L$33),""),"")</f>
        <v/>
      </c>
      <c r="L479" s="83" t="n">
        <f aca="false">IFERROR(IF(INDEX(원자료_시장!$A$1:$BZ$1000,설정!$L$6+ROW()-1,설정!$L$34)&amp;""="0","",INDEX(원자료_시장!$A$1:$BZ$1000,설정!$L$6+ROW()-1,설정!$L$34)),"")</f>
        <v>0</v>
      </c>
      <c r="M479" s="83" t="n">
        <f aca="false">IFERROR(IF(INDEX(원자료_시장!$A$1:$BZ$1000,설정!$L$6+ROW()-1,설정!$L$35)&amp;""="0","",INDEX(원자료_시장!$A$1:$BZ$1000,설정!$L$6+ROW()-1,설정!$L$35)),"")</f>
        <v>0</v>
      </c>
      <c r="N479" s="83" t="n">
        <f aca="false">IFERROR(IF(INDEX(원자료_시장!$A$1:$BZ$1000,설정!$L$6+ROW()-1,설정!$L$36)&amp;""="0","",INDEX(원자료_시장!$A$1:$BZ$1000,설정!$L$6+ROW()-1,설정!$L$36)),"")</f>
        <v>0</v>
      </c>
      <c r="O479" s="43" t="str">
        <f aca="false">IF($A479="","",UPPER(LEFT($A479,FIND(" ",$A479&amp;" ")-1)))</f>
        <v/>
      </c>
      <c r="P479" s="43" t="str">
        <f aca="false">IF($A479="","",TRIM(RIGHT(SUBSTITUTE(TRIM($A479)," ",REPT(" ",30)),30)))</f>
        <v/>
      </c>
      <c r="Q479" s="98" t="str">
        <f aca="false">IF($A479="","",IFERROR(DATE(IF(LEN(P479)=8,2000+VALUE(RIGHT(P479,2)),VALUE(RIGHT(P479,4))),VALUE(LEFT(P479,2)),VALUE(MID(P479,4,2))),""))</f>
        <v/>
      </c>
      <c r="R479" s="89" t="n">
        <f aca="false">IF($A479="",0,IF(ISNUMBER(SEARCH("Float",$A479)),1,0))</f>
        <v>0</v>
      </c>
      <c r="S479" s="43" t="str">
        <f aca="false">IF($A479="","",TRIM(MID($A479,LEN(O479)+2,LEN($A479)-LEN(O479)-LEN(P479)-1)))</f>
        <v/>
      </c>
      <c r="T479" s="92" t="str">
        <f aca="false">IF(OR($A479="",R479=1),"",IFERROR(IF(ISNUMBER(FIND("/",S479)),IF(ISNUMBER(FIND(" ",S479)),VALUE(LEFT(S479,FIND(" ",S479)-1))+VALUE(MID(S479,FIND(" ",S479)+1,FIND("/",S479)-FIND(" ",S479)-1))/VALUE(MID(S479,FIND("/",S479)+1,9)),VALUE(LEFT(S479,FIND("/",S479)-1))/VALUE(MID(S479,FIND("/",S479)+1,9))),VALUE(S479)),""))</f>
        <v/>
      </c>
      <c r="U479" s="43" t="str">
        <f aca="false">IF(OR($A479="",NOT(ISNUMBER(Q479))),"",TEXT(Q479,"yyyymmdd")&amp;"|"&amp;IF(R479=1,"F",TEXT(T479,"0.000")))</f>
        <v/>
      </c>
      <c r="V479" s="43" t="str">
        <f aca="false">IF(U479="","",O479&amp;"|"&amp;U479)</f>
        <v/>
      </c>
      <c r="W479" s="43" t="str">
        <f aca="false">IF($A479="","",IFERROR(IF(VLOOKUP(O479,매핑!$A$4:$E$92,3,0)="","미분류",VLOOKUP(O479,매핑!$A$4:$E$92,3,0)),"미분류"))</f>
        <v/>
      </c>
      <c r="X479" s="89" t="n">
        <f aca="false">IF($A479="",0,IF(O479="T",1,0))</f>
        <v>0</v>
      </c>
      <c r="Y479" s="89" t="n">
        <f aca="false">IF($A479="",0,IF(AND(C479="USD",X479=0,ISNUMBER(E479),ISNUMBER(K479)),IF(K479&gt;=설정!$C$8,1,0),0))</f>
        <v>0</v>
      </c>
      <c r="Z479" s="43" t="str">
        <f aca="false">IF($A479="","",N479&amp;"|"&amp;L479)</f>
        <v/>
      </c>
      <c r="AA479" s="92" t="n">
        <f aca="false">IF(Y479=1,LN(K479),0)</f>
        <v>0</v>
      </c>
      <c r="AB479" s="93" t="n">
        <f aca="false">IF(Y479=1,E479,0)</f>
        <v>0</v>
      </c>
      <c r="AC479" s="89" t="n">
        <f aca="false">IF(Y479=1,COUNTIFS($Z$2:$Z$601,Z479,$Y$2:$Y$601,1),0)</f>
        <v>0</v>
      </c>
      <c r="AD479" s="89" t="n">
        <f aca="false">IF(Y479=1,COUNTIFS($N$2:$N$601,N479,$Y$2:$Y$601,1),0)</f>
        <v>0</v>
      </c>
      <c r="AE479" s="43" t="str">
        <f aca="false">IF(Y479&lt;&gt;1,"",IF(AND(AC479&gt;=설정!$C$7,ISNUMBER(MATCH(Z479,피어커브!$A:$A,0))),Z479,IF(AND(AD479&gt;=설정!$C$7,ISNUMBER(MATCH(N479&amp;"|전체",피어커브!$A:$A,0))),N479&amp;"|전체","전체|전체")))</f>
        <v/>
      </c>
      <c r="AF479" s="93" t="str">
        <f aca="false">IF(AE479="","",INDEX(피어커브!$K:$K,MATCH(AE479,피어커브!$A:$A,0)))</f>
        <v/>
      </c>
      <c r="AG479" s="93" t="str">
        <f aca="false">IF(AE479="","",INDEX(피어커브!$J:$J,MATCH(AE479,피어커브!$A:$A,0)))</f>
        <v/>
      </c>
      <c r="AH479" s="93" t="str">
        <f aca="false">IF(AE479="","",INDEX(피어커브!$L:$L,MATCH(AE479,피어커브!$A:$A,0)))</f>
        <v/>
      </c>
      <c r="AI479" s="93" t="str">
        <f aca="false">IF(AE479="","",AF479+AG479*AA479)</f>
        <v/>
      </c>
      <c r="AJ479" s="96" t="str">
        <f aca="false">IF(AE479="","",E479-AI479)</f>
        <v/>
      </c>
      <c r="AK479" s="95" t="str">
        <f aca="false">IF(AE479="","",IF(ISNUMBER(AH479),IF(AH479&gt;0,AJ479/AH479,""),""))</f>
        <v/>
      </c>
      <c r="AL479" s="43" t="str">
        <f aca="false">IF(AK479="","-",IF(AK479&gt;=설정!$C$6,"Cheap",IF(AK479&lt;=-설정!$C$6,"Rich","Fair")))</f>
        <v>-</v>
      </c>
      <c r="AM479" s="96" t="str">
        <f aca="false">IF(AE479="","",AJ479-AVERAGEIFS($AJ$2:$AJ$601,$B$2:$B$601,B479,$Y$2:$Y$601,1))</f>
        <v/>
      </c>
      <c r="AN479" s="93" t="n">
        <f aca="false">IF(AE479="",0,IF(K479&gt;1+설정!$C$8,AG479*(AA479-LN(K479-1)),0))</f>
        <v>0</v>
      </c>
      <c r="AO479" s="99" t="n">
        <f aca="false">IF($A479="",0,SUMIFS(보유분석!$AA$2:$AA$801,보유분석!$AB$2:$AB$801,ROW(),보유분석!$AC$2:$AC$801,1))</f>
        <v>0</v>
      </c>
      <c r="AP479" s="43" t="str">
        <f aca="false">IF($A479="","",TRIM(IF(R479=1,"FRN ","")&amp;IF(IFERROR(VLOOKUP(M479,설정!$A$15:$D$47,4,0),0)&gt;=10,IF(IFERROR(VLOOKUP(M479,설정!$A$15:$D$47,4,0),0)&lt;99,"BBB0미만 ",""),"")&amp;IF(OR(M479="",M479="NR"),"등급미입력 ","")&amp;IF(C479&lt;&gt;"USD","비USD ","")))</f>
        <v/>
      </c>
      <c r="AQ479" s="90" t="n">
        <f aca="false">IF(AND(Y479=1,AL479="Cheap"),IF(AND(ISERROR(SEARCH("FRN",AP479)),ISERROR(SEARCH("BBB0미만",AP479))),AK479+ROW()/1000000000,-999),-999)</f>
        <v>-999</v>
      </c>
      <c r="AR479" s="92" t="str">
        <f aca="false">IF(AND(ISNUMBER(D479),ISNUMBER(K479)),D479+AN479*MAX(K479-1,0)/100,"")</f>
        <v/>
      </c>
      <c r="AS479" s="93" t="str">
        <f aca="false">IF(AND(ISNUMBER(E479),ISNUMBER(K479)),IF(K479&gt;0,(E479+AN479*MAX(K479-1,0))/K479,""),"")</f>
        <v/>
      </c>
      <c r="AT479" s="90" t="n">
        <f aca="false">IFERROR(IF(AND(Y479=1,ROW()&lt;&gt;스왑분석!$C$12+1,ABS(K479-INDEX($K$2:$K$601,스왑분석!$C$12))&lt;=스왑분석!$C$5,ISERROR(SEARCH("FRN",AP479)),ISERROR(SEARCH("BBB0미만",AP479))),IF(AND(OR(스왑분석!$C$6="N",L479=INDEX($L$2:$L$601,스왑분석!$C$12)),OR(스왑분석!$C$7="N",N479=INDEX($N$2:$N$601,스왑분석!$C$12)),OR(스왑분석!$C$8="N",AO479=0),E479-INDEX($E$2:$E$601,스왑분석!$C$12)&gt;=스왑분석!$C$9),E479-INDEX($E$2:$E$601,스왑분석!$C$12)+ROW()/1000000000,-999),-999),-999)</f>
        <v>-999</v>
      </c>
      <c r="AU479" s="90" t="n">
        <f aca="false">IF(AND(Y479=1,AO479&gt;0,AL479="Rich"),-AK479+ROW()/1000000000,-999)</f>
        <v>-999</v>
      </c>
    </row>
    <row r="480" customFormat="false" ht="15" hidden="false" customHeight="false" outlineLevel="0" collapsed="false">
      <c r="A480" s="83" t="n">
        <f aca="false">IFERROR(IF(INDEX(원자료_시장!$A$1:$BZ$1000,설정!$L$6+ROW()-1,설정!$L$24)&amp;""="0","",INDEX(원자료_시장!$A$1:$BZ$1000,설정!$L$6+ROW()-1,설정!$L$24)),"")</f>
        <v>0</v>
      </c>
      <c r="B480" s="83" t="n">
        <f aca="false">IFERROR(IF(INDEX(원자료_시장!$A$1:$BZ$1000,설정!$L$6+ROW()-1,설정!$L$37)&amp;""="0","",INDEX(원자료_시장!$A$1:$BZ$1000,설정!$L$6+ROW()-1,설정!$L$37)),"")</f>
        <v>0</v>
      </c>
      <c r="C480" s="83" t="n">
        <f aca="false">IFERROR(IF(INDEX(원자료_시장!$A$1:$BZ$1000,설정!$L$6+ROW()-1,설정!$L$25)&amp;""="0","",INDEX(원자료_시장!$A$1:$BZ$1000,설정!$L$6+ROW()-1,설정!$L$25)),"")</f>
        <v>0</v>
      </c>
      <c r="D480" s="85" t="str">
        <f aca="false">IFERROR(IF(ISNUMBER(INDEX(원자료_시장!$A$1:$BZ$1000,설정!$L$6+ROW()-1,설정!$L$26)),INDEX(원자료_시장!$A$1:$BZ$1000,설정!$L$6+ROW()-1,설정!$L$26),""),"")</f>
        <v/>
      </c>
      <c r="E480" s="97" t="str">
        <f aca="false">IFERROR(IF(ISNUMBER(INDEX(원자료_시장!$A$1:$BZ$1000,설정!$L$6+ROW()-1,설정!$L$27)),INDEX(원자료_시장!$A$1:$BZ$1000,설정!$L$6+ROW()-1,설정!$L$27),""),"")</f>
        <v/>
      </c>
      <c r="F480" s="97" t="str">
        <f aca="false">IFERROR(IF(ISNUMBER(INDEX(원자료_시장!$A$1:$BZ$1000,설정!$L$6+ROW()-1,설정!$L$28)),INDEX(원자료_시장!$A$1:$BZ$1000,설정!$L$6+ROW()-1,설정!$L$28),""),"")</f>
        <v/>
      </c>
      <c r="G480" s="97" t="str">
        <f aca="false">IFERROR(IF(ISNUMBER(INDEX(원자료_시장!$A$1:$BZ$1000,설정!$L$6+ROW()-1,설정!$L$29)),INDEX(원자료_시장!$A$1:$BZ$1000,설정!$L$6+ROW()-1,설정!$L$29),""),"")</f>
        <v/>
      </c>
      <c r="H480" s="97" t="str">
        <f aca="false">IFERROR(IF(ISNUMBER(INDEX(원자료_시장!$A$1:$BZ$1000,설정!$L$6+ROW()-1,설정!$L$30)),INDEX(원자료_시장!$A$1:$BZ$1000,설정!$L$6+ROW()-1,설정!$L$30),""),"")</f>
        <v/>
      </c>
      <c r="I480" s="97" t="str">
        <f aca="false">IFERROR(IF(ISNUMBER(INDEX(원자료_시장!$A$1:$BZ$1000,설정!$L$6+ROW()-1,설정!$L$31)),INDEX(원자료_시장!$A$1:$BZ$1000,설정!$L$6+ROW()-1,설정!$L$31),""),"")</f>
        <v/>
      </c>
      <c r="J480" s="97" t="str">
        <f aca="false">IFERROR(IF(ISNUMBER(INDEX(원자료_시장!$A$1:$BZ$1000,설정!$L$6+ROW()-1,설정!$L$32)),INDEX(원자료_시장!$A$1:$BZ$1000,설정!$L$6+ROW()-1,설정!$L$32),""),"")</f>
        <v/>
      </c>
      <c r="K480" s="85" t="str">
        <f aca="false">IFERROR(IF(ISNUMBER(INDEX(원자료_시장!$A$1:$BZ$1000,설정!$L$6+ROW()-1,설정!$L$33)),INDEX(원자료_시장!$A$1:$BZ$1000,설정!$L$6+ROW()-1,설정!$L$33),""),"")</f>
        <v/>
      </c>
      <c r="L480" s="83" t="n">
        <f aca="false">IFERROR(IF(INDEX(원자료_시장!$A$1:$BZ$1000,설정!$L$6+ROW()-1,설정!$L$34)&amp;""="0","",INDEX(원자료_시장!$A$1:$BZ$1000,설정!$L$6+ROW()-1,설정!$L$34)),"")</f>
        <v>0</v>
      </c>
      <c r="M480" s="83" t="n">
        <f aca="false">IFERROR(IF(INDEX(원자료_시장!$A$1:$BZ$1000,설정!$L$6+ROW()-1,설정!$L$35)&amp;""="0","",INDEX(원자료_시장!$A$1:$BZ$1000,설정!$L$6+ROW()-1,설정!$L$35)),"")</f>
        <v>0</v>
      </c>
      <c r="N480" s="83" t="n">
        <f aca="false">IFERROR(IF(INDEX(원자료_시장!$A$1:$BZ$1000,설정!$L$6+ROW()-1,설정!$L$36)&amp;""="0","",INDEX(원자료_시장!$A$1:$BZ$1000,설정!$L$6+ROW()-1,설정!$L$36)),"")</f>
        <v>0</v>
      </c>
      <c r="O480" s="43" t="str">
        <f aca="false">IF($A480="","",UPPER(LEFT($A480,FIND(" ",$A480&amp;" ")-1)))</f>
        <v/>
      </c>
      <c r="P480" s="43" t="str">
        <f aca="false">IF($A480="","",TRIM(RIGHT(SUBSTITUTE(TRIM($A480)," ",REPT(" ",30)),30)))</f>
        <v/>
      </c>
      <c r="Q480" s="98" t="str">
        <f aca="false">IF($A480="","",IFERROR(DATE(IF(LEN(P480)=8,2000+VALUE(RIGHT(P480,2)),VALUE(RIGHT(P480,4))),VALUE(LEFT(P480,2)),VALUE(MID(P480,4,2))),""))</f>
        <v/>
      </c>
      <c r="R480" s="89" t="n">
        <f aca="false">IF($A480="",0,IF(ISNUMBER(SEARCH("Float",$A480)),1,0))</f>
        <v>0</v>
      </c>
      <c r="S480" s="43" t="str">
        <f aca="false">IF($A480="","",TRIM(MID($A480,LEN(O480)+2,LEN($A480)-LEN(O480)-LEN(P480)-1)))</f>
        <v/>
      </c>
      <c r="T480" s="92" t="str">
        <f aca="false">IF(OR($A480="",R480=1),"",IFERROR(IF(ISNUMBER(FIND("/",S480)),IF(ISNUMBER(FIND(" ",S480)),VALUE(LEFT(S480,FIND(" ",S480)-1))+VALUE(MID(S480,FIND(" ",S480)+1,FIND("/",S480)-FIND(" ",S480)-1))/VALUE(MID(S480,FIND("/",S480)+1,9)),VALUE(LEFT(S480,FIND("/",S480)-1))/VALUE(MID(S480,FIND("/",S480)+1,9))),VALUE(S480)),""))</f>
        <v/>
      </c>
      <c r="U480" s="43" t="str">
        <f aca="false">IF(OR($A480="",NOT(ISNUMBER(Q480))),"",TEXT(Q480,"yyyymmdd")&amp;"|"&amp;IF(R480=1,"F",TEXT(T480,"0.000")))</f>
        <v/>
      </c>
      <c r="V480" s="43" t="str">
        <f aca="false">IF(U480="","",O480&amp;"|"&amp;U480)</f>
        <v/>
      </c>
      <c r="W480" s="43" t="str">
        <f aca="false">IF($A480="","",IFERROR(IF(VLOOKUP(O480,매핑!$A$4:$E$92,3,0)="","미분류",VLOOKUP(O480,매핑!$A$4:$E$92,3,0)),"미분류"))</f>
        <v/>
      </c>
      <c r="X480" s="89" t="n">
        <f aca="false">IF($A480="",0,IF(O480="T",1,0))</f>
        <v>0</v>
      </c>
      <c r="Y480" s="89" t="n">
        <f aca="false">IF($A480="",0,IF(AND(C480="USD",X480=0,ISNUMBER(E480),ISNUMBER(K480)),IF(K480&gt;=설정!$C$8,1,0),0))</f>
        <v>0</v>
      </c>
      <c r="Z480" s="43" t="str">
        <f aca="false">IF($A480="","",N480&amp;"|"&amp;L480)</f>
        <v/>
      </c>
      <c r="AA480" s="92" t="n">
        <f aca="false">IF(Y480=1,LN(K480),0)</f>
        <v>0</v>
      </c>
      <c r="AB480" s="93" t="n">
        <f aca="false">IF(Y480=1,E480,0)</f>
        <v>0</v>
      </c>
      <c r="AC480" s="89" t="n">
        <f aca="false">IF(Y480=1,COUNTIFS($Z$2:$Z$601,Z480,$Y$2:$Y$601,1),0)</f>
        <v>0</v>
      </c>
      <c r="AD480" s="89" t="n">
        <f aca="false">IF(Y480=1,COUNTIFS($N$2:$N$601,N480,$Y$2:$Y$601,1),0)</f>
        <v>0</v>
      </c>
      <c r="AE480" s="43" t="str">
        <f aca="false">IF(Y480&lt;&gt;1,"",IF(AND(AC480&gt;=설정!$C$7,ISNUMBER(MATCH(Z480,피어커브!$A:$A,0))),Z480,IF(AND(AD480&gt;=설정!$C$7,ISNUMBER(MATCH(N480&amp;"|전체",피어커브!$A:$A,0))),N480&amp;"|전체","전체|전체")))</f>
        <v/>
      </c>
      <c r="AF480" s="93" t="str">
        <f aca="false">IF(AE480="","",INDEX(피어커브!$K:$K,MATCH(AE480,피어커브!$A:$A,0)))</f>
        <v/>
      </c>
      <c r="AG480" s="93" t="str">
        <f aca="false">IF(AE480="","",INDEX(피어커브!$J:$J,MATCH(AE480,피어커브!$A:$A,0)))</f>
        <v/>
      </c>
      <c r="AH480" s="93" t="str">
        <f aca="false">IF(AE480="","",INDEX(피어커브!$L:$L,MATCH(AE480,피어커브!$A:$A,0)))</f>
        <v/>
      </c>
      <c r="AI480" s="93" t="str">
        <f aca="false">IF(AE480="","",AF480+AG480*AA480)</f>
        <v/>
      </c>
      <c r="AJ480" s="96" t="str">
        <f aca="false">IF(AE480="","",E480-AI480)</f>
        <v/>
      </c>
      <c r="AK480" s="95" t="str">
        <f aca="false">IF(AE480="","",IF(ISNUMBER(AH480),IF(AH480&gt;0,AJ480/AH480,""),""))</f>
        <v/>
      </c>
      <c r="AL480" s="43" t="str">
        <f aca="false">IF(AK480="","-",IF(AK480&gt;=설정!$C$6,"Cheap",IF(AK480&lt;=-설정!$C$6,"Rich","Fair")))</f>
        <v>-</v>
      </c>
      <c r="AM480" s="96" t="str">
        <f aca="false">IF(AE480="","",AJ480-AVERAGEIFS($AJ$2:$AJ$601,$B$2:$B$601,B480,$Y$2:$Y$601,1))</f>
        <v/>
      </c>
      <c r="AN480" s="93" t="n">
        <f aca="false">IF(AE480="",0,IF(K480&gt;1+설정!$C$8,AG480*(AA480-LN(K480-1)),0))</f>
        <v>0</v>
      </c>
      <c r="AO480" s="99" t="n">
        <f aca="false">IF($A480="",0,SUMIFS(보유분석!$AA$2:$AA$801,보유분석!$AB$2:$AB$801,ROW(),보유분석!$AC$2:$AC$801,1))</f>
        <v>0</v>
      </c>
      <c r="AP480" s="43" t="str">
        <f aca="false">IF($A480="","",TRIM(IF(R480=1,"FRN ","")&amp;IF(IFERROR(VLOOKUP(M480,설정!$A$15:$D$47,4,0),0)&gt;=10,IF(IFERROR(VLOOKUP(M480,설정!$A$15:$D$47,4,0),0)&lt;99,"BBB0미만 ",""),"")&amp;IF(OR(M480="",M480="NR"),"등급미입력 ","")&amp;IF(C480&lt;&gt;"USD","비USD ","")))</f>
        <v/>
      </c>
      <c r="AQ480" s="90" t="n">
        <f aca="false">IF(AND(Y480=1,AL480="Cheap"),IF(AND(ISERROR(SEARCH("FRN",AP480)),ISERROR(SEARCH("BBB0미만",AP480))),AK480+ROW()/1000000000,-999),-999)</f>
        <v>-999</v>
      </c>
      <c r="AR480" s="92" t="str">
        <f aca="false">IF(AND(ISNUMBER(D480),ISNUMBER(K480)),D480+AN480*MAX(K480-1,0)/100,"")</f>
        <v/>
      </c>
      <c r="AS480" s="93" t="str">
        <f aca="false">IF(AND(ISNUMBER(E480),ISNUMBER(K480)),IF(K480&gt;0,(E480+AN480*MAX(K480-1,0))/K480,""),"")</f>
        <v/>
      </c>
      <c r="AT480" s="90" t="n">
        <f aca="false">IFERROR(IF(AND(Y480=1,ROW()&lt;&gt;스왑분석!$C$12+1,ABS(K480-INDEX($K$2:$K$601,스왑분석!$C$12))&lt;=스왑분석!$C$5,ISERROR(SEARCH("FRN",AP480)),ISERROR(SEARCH("BBB0미만",AP480))),IF(AND(OR(스왑분석!$C$6="N",L480=INDEX($L$2:$L$601,스왑분석!$C$12)),OR(스왑분석!$C$7="N",N480=INDEX($N$2:$N$601,스왑분석!$C$12)),OR(스왑분석!$C$8="N",AO480=0),E480-INDEX($E$2:$E$601,스왑분석!$C$12)&gt;=스왑분석!$C$9),E480-INDEX($E$2:$E$601,스왑분석!$C$12)+ROW()/1000000000,-999),-999),-999)</f>
        <v>-999</v>
      </c>
      <c r="AU480" s="90" t="n">
        <f aca="false">IF(AND(Y480=1,AO480&gt;0,AL480="Rich"),-AK480+ROW()/1000000000,-999)</f>
        <v>-999</v>
      </c>
    </row>
    <row r="481" customFormat="false" ht="15" hidden="false" customHeight="false" outlineLevel="0" collapsed="false">
      <c r="A481" s="83" t="n">
        <f aca="false">IFERROR(IF(INDEX(원자료_시장!$A$1:$BZ$1000,설정!$L$6+ROW()-1,설정!$L$24)&amp;""="0","",INDEX(원자료_시장!$A$1:$BZ$1000,설정!$L$6+ROW()-1,설정!$L$24)),"")</f>
        <v>0</v>
      </c>
      <c r="B481" s="83" t="n">
        <f aca="false">IFERROR(IF(INDEX(원자료_시장!$A$1:$BZ$1000,설정!$L$6+ROW()-1,설정!$L$37)&amp;""="0","",INDEX(원자료_시장!$A$1:$BZ$1000,설정!$L$6+ROW()-1,설정!$L$37)),"")</f>
        <v>0</v>
      </c>
      <c r="C481" s="83" t="n">
        <f aca="false">IFERROR(IF(INDEX(원자료_시장!$A$1:$BZ$1000,설정!$L$6+ROW()-1,설정!$L$25)&amp;""="0","",INDEX(원자료_시장!$A$1:$BZ$1000,설정!$L$6+ROW()-1,설정!$L$25)),"")</f>
        <v>0</v>
      </c>
      <c r="D481" s="85" t="str">
        <f aca="false">IFERROR(IF(ISNUMBER(INDEX(원자료_시장!$A$1:$BZ$1000,설정!$L$6+ROW()-1,설정!$L$26)),INDEX(원자료_시장!$A$1:$BZ$1000,설정!$L$6+ROW()-1,설정!$L$26),""),"")</f>
        <v/>
      </c>
      <c r="E481" s="97" t="str">
        <f aca="false">IFERROR(IF(ISNUMBER(INDEX(원자료_시장!$A$1:$BZ$1000,설정!$L$6+ROW()-1,설정!$L$27)),INDEX(원자료_시장!$A$1:$BZ$1000,설정!$L$6+ROW()-1,설정!$L$27),""),"")</f>
        <v/>
      </c>
      <c r="F481" s="97" t="str">
        <f aca="false">IFERROR(IF(ISNUMBER(INDEX(원자료_시장!$A$1:$BZ$1000,설정!$L$6+ROW()-1,설정!$L$28)),INDEX(원자료_시장!$A$1:$BZ$1000,설정!$L$6+ROW()-1,설정!$L$28),""),"")</f>
        <v/>
      </c>
      <c r="G481" s="97" t="str">
        <f aca="false">IFERROR(IF(ISNUMBER(INDEX(원자료_시장!$A$1:$BZ$1000,설정!$L$6+ROW()-1,설정!$L$29)),INDEX(원자료_시장!$A$1:$BZ$1000,설정!$L$6+ROW()-1,설정!$L$29),""),"")</f>
        <v/>
      </c>
      <c r="H481" s="97" t="str">
        <f aca="false">IFERROR(IF(ISNUMBER(INDEX(원자료_시장!$A$1:$BZ$1000,설정!$L$6+ROW()-1,설정!$L$30)),INDEX(원자료_시장!$A$1:$BZ$1000,설정!$L$6+ROW()-1,설정!$L$30),""),"")</f>
        <v/>
      </c>
      <c r="I481" s="97" t="str">
        <f aca="false">IFERROR(IF(ISNUMBER(INDEX(원자료_시장!$A$1:$BZ$1000,설정!$L$6+ROW()-1,설정!$L$31)),INDEX(원자료_시장!$A$1:$BZ$1000,설정!$L$6+ROW()-1,설정!$L$31),""),"")</f>
        <v/>
      </c>
      <c r="J481" s="97" t="str">
        <f aca="false">IFERROR(IF(ISNUMBER(INDEX(원자료_시장!$A$1:$BZ$1000,설정!$L$6+ROW()-1,설정!$L$32)),INDEX(원자료_시장!$A$1:$BZ$1000,설정!$L$6+ROW()-1,설정!$L$32),""),"")</f>
        <v/>
      </c>
      <c r="K481" s="85" t="str">
        <f aca="false">IFERROR(IF(ISNUMBER(INDEX(원자료_시장!$A$1:$BZ$1000,설정!$L$6+ROW()-1,설정!$L$33)),INDEX(원자료_시장!$A$1:$BZ$1000,설정!$L$6+ROW()-1,설정!$L$33),""),"")</f>
        <v/>
      </c>
      <c r="L481" s="83" t="n">
        <f aca="false">IFERROR(IF(INDEX(원자료_시장!$A$1:$BZ$1000,설정!$L$6+ROW()-1,설정!$L$34)&amp;""="0","",INDEX(원자료_시장!$A$1:$BZ$1000,설정!$L$6+ROW()-1,설정!$L$34)),"")</f>
        <v>0</v>
      </c>
      <c r="M481" s="83" t="n">
        <f aca="false">IFERROR(IF(INDEX(원자료_시장!$A$1:$BZ$1000,설정!$L$6+ROW()-1,설정!$L$35)&amp;""="0","",INDEX(원자료_시장!$A$1:$BZ$1000,설정!$L$6+ROW()-1,설정!$L$35)),"")</f>
        <v>0</v>
      </c>
      <c r="N481" s="83" t="n">
        <f aca="false">IFERROR(IF(INDEX(원자료_시장!$A$1:$BZ$1000,설정!$L$6+ROW()-1,설정!$L$36)&amp;""="0","",INDEX(원자료_시장!$A$1:$BZ$1000,설정!$L$6+ROW()-1,설정!$L$36)),"")</f>
        <v>0</v>
      </c>
      <c r="O481" s="43" t="str">
        <f aca="false">IF($A481="","",UPPER(LEFT($A481,FIND(" ",$A481&amp;" ")-1)))</f>
        <v/>
      </c>
      <c r="P481" s="43" t="str">
        <f aca="false">IF($A481="","",TRIM(RIGHT(SUBSTITUTE(TRIM($A481)," ",REPT(" ",30)),30)))</f>
        <v/>
      </c>
      <c r="Q481" s="98" t="str">
        <f aca="false">IF($A481="","",IFERROR(DATE(IF(LEN(P481)=8,2000+VALUE(RIGHT(P481,2)),VALUE(RIGHT(P481,4))),VALUE(LEFT(P481,2)),VALUE(MID(P481,4,2))),""))</f>
        <v/>
      </c>
      <c r="R481" s="89" t="n">
        <f aca="false">IF($A481="",0,IF(ISNUMBER(SEARCH("Float",$A481)),1,0))</f>
        <v>0</v>
      </c>
      <c r="S481" s="43" t="str">
        <f aca="false">IF($A481="","",TRIM(MID($A481,LEN(O481)+2,LEN($A481)-LEN(O481)-LEN(P481)-1)))</f>
        <v/>
      </c>
      <c r="T481" s="92" t="str">
        <f aca="false">IF(OR($A481="",R481=1),"",IFERROR(IF(ISNUMBER(FIND("/",S481)),IF(ISNUMBER(FIND(" ",S481)),VALUE(LEFT(S481,FIND(" ",S481)-1))+VALUE(MID(S481,FIND(" ",S481)+1,FIND("/",S481)-FIND(" ",S481)-1))/VALUE(MID(S481,FIND("/",S481)+1,9)),VALUE(LEFT(S481,FIND("/",S481)-1))/VALUE(MID(S481,FIND("/",S481)+1,9))),VALUE(S481)),""))</f>
        <v/>
      </c>
      <c r="U481" s="43" t="str">
        <f aca="false">IF(OR($A481="",NOT(ISNUMBER(Q481))),"",TEXT(Q481,"yyyymmdd")&amp;"|"&amp;IF(R481=1,"F",TEXT(T481,"0.000")))</f>
        <v/>
      </c>
      <c r="V481" s="43" t="str">
        <f aca="false">IF(U481="","",O481&amp;"|"&amp;U481)</f>
        <v/>
      </c>
      <c r="W481" s="43" t="str">
        <f aca="false">IF($A481="","",IFERROR(IF(VLOOKUP(O481,매핑!$A$4:$E$92,3,0)="","미분류",VLOOKUP(O481,매핑!$A$4:$E$92,3,0)),"미분류"))</f>
        <v/>
      </c>
      <c r="X481" s="89" t="n">
        <f aca="false">IF($A481="",0,IF(O481="T",1,0))</f>
        <v>0</v>
      </c>
      <c r="Y481" s="89" t="n">
        <f aca="false">IF($A481="",0,IF(AND(C481="USD",X481=0,ISNUMBER(E481),ISNUMBER(K481)),IF(K481&gt;=설정!$C$8,1,0),0))</f>
        <v>0</v>
      </c>
      <c r="Z481" s="43" t="str">
        <f aca="false">IF($A481="","",N481&amp;"|"&amp;L481)</f>
        <v/>
      </c>
      <c r="AA481" s="92" t="n">
        <f aca="false">IF(Y481=1,LN(K481),0)</f>
        <v>0</v>
      </c>
      <c r="AB481" s="93" t="n">
        <f aca="false">IF(Y481=1,E481,0)</f>
        <v>0</v>
      </c>
      <c r="AC481" s="89" t="n">
        <f aca="false">IF(Y481=1,COUNTIFS($Z$2:$Z$601,Z481,$Y$2:$Y$601,1),0)</f>
        <v>0</v>
      </c>
      <c r="AD481" s="89" t="n">
        <f aca="false">IF(Y481=1,COUNTIFS($N$2:$N$601,N481,$Y$2:$Y$601,1),0)</f>
        <v>0</v>
      </c>
      <c r="AE481" s="43" t="str">
        <f aca="false">IF(Y481&lt;&gt;1,"",IF(AND(AC481&gt;=설정!$C$7,ISNUMBER(MATCH(Z481,피어커브!$A:$A,0))),Z481,IF(AND(AD481&gt;=설정!$C$7,ISNUMBER(MATCH(N481&amp;"|전체",피어커브!$A:$A,0))),N481&amp;"|전체","전체|전체")))</f>
        <v/>
      </c>
      <c r="AF481" s="93" t="str">
        <f aca="false">IF(AE481="","",INDEX(피어커브!$K:$K,MATCH(AE481,피어커브!$A:$A,0)))</f>
        <v/>
      </c>
      <c r="AG481" s="93" t="str">
        <f aca="false">IF(AE481="","",INDEX(피어커브!$J:$J,MATCH(AE481,피어커브!$A:$A,0)))</f>
        <v/>
      </c>
      <c r="AH481" s="93" t="str">
        <f aca="false">IF(AE481="","",INDEX(피어커브!$L:$L,MATCH(AE481,피어커브!$A:$A,0)))</f>
        <v/>
      </c>
      <c r="AI481" s="93" t="str">
        <f aca="false">IF(AE481="","",AF481+AG481*AA481)</f>
        <v/>
      </c>
      <c r="AJ481" s="96" t="str">
        <f aca="false">IF(AE481="","",E481-AI481)</f>
        <v/>
      </c>
      <c r="AK481" s="95" t="str">
        <f aca="false">IF(AE481="","",IF(ISNUMBER(AH481),IF(AH481&gt;0,AJ481/AH481,""),""))</f>
        <v/>
      </c>
      <c r="AL481" s="43" t="str">
        <f aca="false">IF(AK481="","-",IF(AK481&gt;=설정!$C$6,"Cheap",IF(AK481&lt;=-설정!$C$6,"Rich","Fair")))</f>
        <v>-</v>
      </c>
      <c r="AM481" s="96" t="str">
        <f aca="false">IF(AE481="","",AJ481-AVERAGEIFS($AJ$2:$AJ$601,$B$2:$B$601,B481,$Y$2:$Y$601,1))</f>
        <v/>
      </c>
      <c r="AN481" s="93" t="n">
        <f aca="false">IF(AE481="",0,IF(K481&gt;1+설정!$C$8,AG481*(AA481-LN(K481-1)),0))</f>
        <v>0</v>
      </c>
      <c r="AO481" s="99" t="n">
        <f aca="false">IF($A481="",0,SUMIFS(보유분석!$AA$2:$AA$801,보유분석!$AB$2:$AB$801,ROW(),보유분석!$AC$2:$AC$801,1))</f>
        <v>0</v>
      </c>
      <c r="AP481" s="43" t="str">
        <f aca="false">IF($A481="","",TRIM(IF(R481=1,"FRN ","")&amp;IF(IFERROR(VLOOKUP(M481,설정!$A$15:$D$47,4,0),0)&gt;=10,IF(IFERROR(VLOOKUP(M481,설정!$A$15:$D$47,4,0),0)&lt;99,"BBB0미만 ",""),"")&amp;IF(OR(M481="",M481="NR"),"등급미입력 ","")&amp;IF(C481&lt;&gt;"USD","비USD ","")))</f>
        <v/>
      </c>
      <c r="AQ481" s="90" t="n">
        <f aca="false">IF(AND(Y481=1,AL481="Cheap"),IF(AND(ISERROR(SEARCH("FRN",AP481)),ISERROR(SEARCH("BBB0미만",AP481))),AK481+ROW()/1000000000,-999),-999)</f>
        <v>-999</v>
      </c>
      <c r="AR481" s="92" t="str">
        <f aca="false">IF(AND(ISNUMBER(D481),ISNUMBER(K481)),D481+AN481*MAX(K481-1,0)/100,"")</f>
        <v/>
      </c>
      <c r="AS481" s="93" t="str">
        <f aca="false">IF(AND(ISNUMBER(E481),ISNUMBER(K481)),IF(K481&gt;0,(E481+AN481*MAX(K481-1,0))/K481,""),"")</f>
        <v/>
      </c>
      <c r="AT481" s="90" t="n">
        <f aca="false">IFERROR(IF(AND(Y481=1,ROW()&lt;&gt;스왑분석!$C$12+1,ABS(K481-INDEX($K$2:$K$601,스왑분석!$C$12))&lt;=스왑분석!$C$5,ISERROR(SEARCH("FRN",AP481)),ISERROR(SEARCH("BBB0미만",AP481))),IF(AND(OR(스왑분석!$C$6="N",L481=INDEX($L$2:$L$601,스왑분석!$C$12)),OR(스왑분석!$C$7="N",N481=INDEX($N$2:$N$601,스왑분석!$C$12)),OR(스왑분석!$C$8="N",AO481=0),E481-INDEX($E$2:$E$601,스왑분석!$C$12)&gt;=스왑분석!$C$9),E481-INDEX($E$2:$E$601,스왑분석!$C$12)+ROW()/1000000000,-999),-999),-999)</f>
        <v>-999</v>
      </c>
      <c r="AU481" s="90" t="n">
        <f aca="false">IF(AND(Y481=1,AO481&gt;0,AL481="Rich"),-AK481+ROW()/1000000000,-999)</f>
        <v>-999</v>
      </c>
    </row>
    <row r="482" customFormat="false" ht="15" hidden="false" customHeight="false" outlineLevel="0" collapsed="false">
      <c r="A482" s="83" t="n">
        <f aca="false">IFERROR(IF(INDEX(원자료_시장!$A$1:$BZ$1000,설정!$L$6+ROW()-1,설정!$L$24)&amp;""="0","",INDEX(원자료_시장!$A$1:$BZ$1000,설정!$L$6+ROW()-1,설정!$L$24)),"")</f>
        <v>0</v>
      </c>
      <c r="B482" s="83" t="n">
        <f aca="false">IFERROR(IF(INDEX(원자료_시장!$A$1:$BZ$1000,설정!$L$6+ROW()-1,설정!$L$37)&amp;""="0","",INDEX(원자료_시장!$A$1:$BZ$1000,설정!$L$6+ROW()-1,설정!$L$37)),"")</f>
        <v>0</v>
      </c>
      <c r="C482" s="83" t="n">
        <f aca="false">IFERROR(IF(INDEX(원자료_시장!$A$1:$BZ$1000,설정!$L$6+ROW()-1,설정!$L$25)&amp;""="0","",INDEX(원자료_시장!$A$1:$BZ$1000,설정!$L$6+ROW()-1,설정!$L$25)),"")</f>
        <v>0</v>
      </c>
      <c r="D482" s="85" t="str">
        <f aca="false">IFERROR(IF(ISNUMBER(INDEX(원자료_시장!$A$1:$BZ$1000,설정!$L$6+ROW()-1,설정!$L$26)),INDEX(원자료_시장!$A$1:$BZ$1000,설정!$L$6+ROW()-1,설정!$L$26),""),"")</f>
        <v/>
      </c>
      <c r="E482" s="97" t="str">
        <f aca="false">IFERROR(IF(ISNUMBER(INDEX(원자료_시장!$A$1:$BZ$1000,설정!$L$6+ROW()-1,설정!$L$27)),INDEX(원자료_시장!$A$1:$BZ$1000,설정!$L$6+ROW()-1,설정!$L$27),""),"")</f>
        <v/>
      </c>
      <c r="F482" s="97" t="str">
        <f aca="false">IFERROR(IF(ISNUMBER(INDEX(원자료_시장!$A$1:$BZ$1000,설정!$L$6+ROW()-1,설정!$L$28)),INDEX(원자료_시장!$A$1:$BZ$1000,설정!$L$6+ROW()-1,설정!$L$28),""),"")</f>
        <v/>
      </c>
      <c r="G482" s="97" t="str">
        <f aca="false">IFERROR(IF(ISNUMBER(INDEX(원자료_시장!$A$1:$BZ$1000,설정!$L$6+ROW()-1,설정!$L$29)),INDEX(원자료_시장!$A$1:$BZ$1000,설정!$L$6+ROW()-1,설정!$L$29),""),"")</f>
        <v/>
      </c>
      <c r="H482" s="97" t="str">
        <f aca="false">IFERROR(IF(ISNUMBER(INDEX(원자료_시장!$A$1:$BZ$1000,설정!$L$6+ROW()-1,설정!$L$30)),INDEX(원자료_시장!$A$1:$BZ$1000,설정!$L$6+ROW()-1,설정!$L$30),""),"")</f>
        <v/>
      </c>
      <c r="I482" s="97" t="str">
        <f aca="false">IFERROR(IF(ISNUMBER(INDEX(원자료_시장!$A$1:$BZ$1000,설정!$L$6+ROW()-1,설정!$L$31)),INDEX(원자료_시장!$A$1:$BZ$1000,설정!$L$6+ROW()-1,설정!$L$31),""),"")</f>
        <v/>
      </c>
      <c r="J482" s="97" t="str">
        <f aca="false">IFERROR(IF(ISNUMBER(INDEX(원자료_시장!$A$1:$BZ$1000,설정!$L$6+ROW()-1,설정!$L$32)),INDEX(원자료_시장!$A$1:$BZ$1000,설정!$L$6+ROW()-1,설정!$L$32),""),"")</f>
        <v/>
      </c>
      <c r="K482" s="85" t="str">
        <f aca="false">IFERROR(IF(ISNUMBER(INDEX(원자료_시장!$A$1:$BZ$1000,설정!$L$6+ROW()-1,설정!$L$33)),INDEX(원자료_시장!$A$1:$BZ$1000,설정!$L$6+ROW()-1,설정!$L$33),""),"")</f>
        <v/>
      </c>
      <c r="L482" s="83" t="n">
        <f aca="false">IFERROR(IF(INDEX(원자료_시장!$A$1:$BZ$1000,설정!$L$6+ROW()-1,설정!$L$34)&amp;""="0","",INDEX(원자료_시장!$A$1:$BZ$1000,설정!$L$6+ROW()-1,설정!$L$34)),"")</f>
        <v>0</v>
      </c>
      <c r="M482" s="83" t="n">
        <f aca="false">IFERROR(IF(INDEX(원자료_시장!$A$1:$BZ$1000,설정!$L$6+ROW()-1,설정!$L$35)&amp;""="0","",INDEX(원자료_시장!$A$1:$BZ$1000,설정!$L$6+ROW()-1,설정!$L$35)),"")</f>
        <v>0</v>
      </c>
      <c r="N482" s="83" t="n">
        <f aca="false">IFERROR(IF(INDEX(원자료_시장!$A$1:$BZ$1000,설정!$L$6+ROW()-1,설정!$L$36)&amp;""="0","",INDEX(원자료_시장!$A$1:$BZ$1000,설정!$L$6+ROW()-1,설정!$L$36)),"")</f>
        <v>0</v>
      </c>
      <c r="O482" s="43" t="str">
        <f aca="false">IF($A482="","",UPPER(LEFT($A482,FIND(" ",$A482&amp;" ")-1)))</f>
        <v/>
      </c>
      <c r="P482" s="43" t="str">
        <f aca="false">IF($A482="","",TRIM(RIGHT(SUBSTITUTE(TRIM($A482)," ",REPT(" ",30)),30)))</f>
        <v/>
      </c>
      <c r="Q482" s="98" t="str">
        <f aca="false">IF($A482="","",IFERROR(DATE(IF(LEN(P482)=8,2000+VALUE(RIGHT(P482,2)),VALUE(RIGHT(P482,4))),VALUE(LEFT(P482,2)),VALUE(MID(P482,4,2))),""))</f>
        <v/>
      </c>
      <c r="R482" s="89" t="n">
        <f aca="false">IF($A482="",0,IF(ISNUMBER(SEARCH("Float",$A482)),1,0))</f>
        <v>0</v>
      </c>
      <c r="S482" s="43" t="str">
        <f aca="false">IF($A482="","",TRIM(MID($A482,LEN(O482)+2,LEN($A482)-LEN(O482)-LEN(P482)-1)))</f>
        <v/>
      </c>
      <c r="T482" s="92" t="str">
        <f aca="false">IF(OR($A482="",R482=1),"",IFERROR(IF(ISNUMBER(FIND("/",S482)),IF(ISNUMBER(FIND(" ",S482)),VALUE(LEFT(S482,FIND(" ",S482)-1))+VALUE(MID(S482,FIND(" ",S482)+1,FIND("/",S482)-FIND(" ",S482)-1))/VALUE(MID(S482,FIND("/",S482)+1,9)),VALUE(LEFT(S482,FIND("/",S482)-1))/VALUE(MID(S482,FIND("/",S482)+1,9))),VALUE(S482)),""))</f>
        <v/>
      </c>
      <c r="U482" s="43" t="str">
        <f aca="false">IF(OR($A482="",NOT(ISNUMBER(Q482))),"",TEXT(Q482,"yyyymmdd")&amp;"|"&amp;IF(R482=1,"F",TEXT(T482,"0.000")))</f>
        <v/>
      </c>
      <c r="V482" s="43" t="str">
        <f aca="false">IF(U482="","",O482&amp;"|"&amp;U482)</f>
        <v/>
      </c>
      <c r="W482" s="43" t="str">
        <f aca="false">IF($A482="","",IFERROR(IF(VLOOKUP(O482,매핑!$A$4:$E$92,3,0)="","미분류",VLOOKUP(O482,매핑!$A$4:$E$92,3,0)),"미분류"))</f>
        <v/>
      </c>
      <c r="X482" s="89" t="n">
        <f aca="false">IF($A482="",0,IF(O482="T",1,0))</f>
        <v>0</v>
      </c>
      <c r="Y482" s="89" t="n">
        <f aca="false">IF($A482="",0,IF(AND(C482="USD",X482=0,ISNUMBER(E482),ISNUMBER(K482)),IF(K482&gt;=설정!$C$8,1,0),0))</f>
        <v>0</v>
      </c>
      <c r="Z482" s="43" t="str">
        <f aca="false">IF($A482="","",N482&amp;"|"&amp;L482)</f>
        <v/>
      </c>
      <c r="AA482" s="92" t="n">
        <f aca="false">IF(Y482=1,LN(K482),0)</f>
        <v>0</v>
      </c>
      <c r="AB482" s="93" t="n">
        <f aca="false">IF(Y482=1,E482,0)</f>
        <v>0</v>
      </c>
      <c r="AC482" s="89" t="n">
        <f aca="false">IF(Y482=1,COUNTIFS($Z$2:$Z$601,Z482,$Y$2:$Y$601,1),0)</f>
        <v>0</v>
      </c>
      <c r="AD482" s="89" t="n">
        <f aca="false">IF(Y482=1,COUNTIFS($N$2:$N$601,N482,$Y$2:$Y$601,1),0)</f>
        <v>0</v>
      </c>
      <c r="AE482" s="43" t="str">
        <f aca="false">IF(Y482&lt;&gt;1,"",IF(AND(AC482&gt;=설정!$C$7,ISNUMBER(MATCH(Z482,피어커브!$A:$A,0))),Z482,IF(AND(AD482&gt;=설정!$C$7,ISNUMBER(MATCH(N482&amp;"|전체",피어커브!$A:$A,0))),N482&amp;"|전체","전체|전체")))</f>
        <v/>
      </c>
      <c r="AF482" s="93" t="str">
        <f aca="false">IF(AE482="","",INDEX(피어커브!$K:$K,MATCH(AE482,피어커브!$A:$A,0)))</f>
        <v/>
      </c>
      <c r="AG482" s="93" t="str">
        <f aca="false">IF(AE482="","",INDEX(피어커브!$J:$J,MATCH(AE482,피어커브!$A:$A,0)))</f>
        <v/>
      </c>
      <c r="AH482" s="93" t="str">
        <f aca="false">IF(AE482="","",INDEX(피어커브!$L:$L,MATCH(AE482,피어커브!$A:$A,0)))</f>
        <v/>
      </c>
      <c r="AI482" s="93" t="str">
        <f aca="false">IF(AE482="","",AF482+AG482*AA482)</f>
        <v/>
      </c>
      <c r="AJ482" s="96" t="str">
        <f aca="false">IF(AE482="","",E482-AI482)</f>
        <v/>
      </c>
      <c r="AK482" s="95" t="str">
        <f aca="false">IF(AE482="","",IF(ISNUMBER(AH482),IF(AH482&gt;0,AJ482/AH482,""),""))</f>
        <v/>
      </c>
      <c r="AL482" s="43" t="str">
        <f aca="false">IF(AK482="","-",IF(AK482&gt;=설정!$C$6,"Cheap",IF(AK482&lt;=-설정!$C$6,"Rich","Fair")))</f>
        <v>-</v>
      </c>
      <c r="AM482" s="96" t="str">
        <f aca="false">IF(AE482="","",AJ482-AVERAGEIFS($AJ$2:$AJ$601,$B$2:$B$601,B482,$Y$2:$Y$601,1))</f>
        <v/>
      </c>
      <c r="AN482" s="93" t="n">
        <f aca="false">IF(AE482="",0,IF(K482&gt;1+설정!$C$8,AG482*(AA482-LN(K482-1)),0))</f>
        <v>0</v>
      </c>
      <c r="AO482" s="99" t="n">
        <f aca="false">IF($A482="",0,SUMIFS(보유분석!$AA$2:$AA$801,보유분석!$AB$2:$AB$801,ROW(),보유분석!$AC$2:$AC$801,1))</f>
        <v>0</v>
      </c>
      <c r="AP482" s="43" t="str">
        <f aca="false">IF($A482="","",TRIM(IF(R482=1,"FRN ","")&amp;IF(IFERROR(VLOOKUP(M482,설정!$A$15:$D$47,4,0),0)&gt;=10,IF(IFERROR(VLOOKUP(M482,설정!$A$15:$D$47,4,0),0)&lt;99,"BBB0미만 ",""),"")&amp;IF(OR(M482="",M482="NR"),"등급미입력 ","")&amp;IF(C482&lt;&gt;"USD","비USD ","")))</f>
        <v/>
      </c>
      <c r="AQ482" s="90" t="n">
        <f aca="false">IF(AND(Y482=1,AL482="Cheap"),IF(AND(ISERROR(SEARCH("FRN",AP482)),ISERROR(SEARCH("BBB0미만",AP482))),AK482+ROW()/1000000000,-999),-999)</f>
        <v>-999</v>
      </c>
      <c r="AR482" s="92" t="str">
        <f aca="false">IF(AND(ISNUMBER(D482),ISNUMBER(K482)),D482+AN482*MAX(K482-1,0)/100,"")</f>
        <v/>
      </c>
      <c r="AS482" s="93" t="str">
        <f aca="false">IF(AND(ISNUMBER(E482),ISNUMBER(K482)),IF(K482&gt;0,(E482+AN482*MAX(K482-1,0))/K482,""),"")</f>
        <v/>
      </c>
      <c r="AT482" s="90" t="n">
        <f aca="false">IFERROR(IF(AND(Y482=1,ROW()&lt;&gt;스왑분석!$C$12+1,ABS(K482-INDEX($K$2:$K$601,스왑분석!$C$12))&lt;=스왑분석!$C$5,ISERROR(SEARCH("FRN",AP482)),ISERROR(SEARCH("BBB0미만",AP482))),IF(AND(OR(스왑분석!$C$6="N",L482=INDEX($L$2:$L$601,스왑분석!$C$12)),OR(스왑분석!$C$7="N",N482=INDEX($N$2:$N$601,스왑분석!$C$12)),OR(스왑분석!$C$8="N",AO482=0),E482-INDEX($E$2:$E$601,스왑분석!$C$12)&gt;=스왑분석!$C$9),E482-INDEX($E$2:$E$601,스왑분석!$C$12)+ROW()/1000000000,-999),-999),-999)</f>
        <v>-999</v>
      </c>
      <c r="AU482" s="90" t="n">
        <f aca="false">IF(AND(Y482=1,AO482&gt;0,AL482="Rich"),-AK482+ROW()/1000000000,-999)</f>
        <v>-999</v>
      </c>
    </row>
    <row r="483" customFormat="false" ht="15" hidden="false" customHeight="false" outlineLevel="0" collapsed="false">
      <c r="A483" s="83" t="n">
        <f aca="false">IFERROR(IF(INDEX(원자료_시장!$A$1:$BZ$1000,설정!$L$6+ROW()-1,설정!$L$24)&amp;""="0","",INDEX(원자료_시장!$A$1:$BZ$1000,설정!$L$6+ROW()-1,설정!$L$24)),"")</f>
        <v>0</v>
      </c>
      <c r="B483" s="83" t="n">
        <f aca="false">IFERROR(IF(INDEX(원자료_시장!$A$1:$BZ$1000,설정!$L$6+ROW()-1,설정!$L$37)&amp;""="0","",INDEX(원자료_시장!$A$1:$BZ$1000,설정!$L$6+ROW()-1,설정!$L$37)),"")</f>
        <v>0</v>
      </c>
      <c r="C483" s="83" t="n">
        <f aca="false">IFERROR(IF(INDEX(원자료_시장!$A$1:$BZ$1000,설정!$L$6+ROW()-1,설정!$L$25)&amp;""="0","",INDEX(원자료_시장!$A$1:$BZ$1000,설정!$L$6+ROW()-1,설정!$L$25)),"")</f>
        <v>0</v>
      </c>
      <c r="D483" s="85" t="str">
        <f aca="false">IFERROR(IF(ISNUMBER(INDEX(원자료_시장!$A$1:$BZ$1000,설정!$L$6+ROW()-1,설정!$L$26)),INDEX(원자료_시장!$A$1:$BZ$1000,설정!$L$6+ROW()-1,설정!$L$26),""),"")</f>
        <v/>
      </c>
      <c r="E483" s="97" t="str">
        <f aca="false">IFERROR(IF(ISNUMBER(INDEX(원자료_시장!$A$1:$BZ$1000,설정!$L$6+ROW()-1,설정!$L$27)),INDEX(원자료_시장!$A$1:$BZ$1000,설정!$L$6+ROW()-1,설정!$L$27),""),"")</f>
        <v/>
      </c>
      <c r="F483" s="97" t="str">
        <f aca="false">IFERROR(IF(ISNUMBER(INDEX(원자료_시장!$A$1:$BZ$1000,설정!$L$6+ROW()-1,설정!$L$28)),INDEX(원자료_시장!$A$1:$BZ$1000,설정!$L$6+ROW()-1,설정!$L$28),""),"")</f>
        <v/>
      </c>
      <c r="G483" s="97" t="str">
        <f aca="false">IFERROR(IF(ISNUMBER(INDEX(원자료_시장!$A$1:$BZ$1000,설정!$L$6+ROW()-1,설정!$L$29)),INDEX(원자료_시장!$A$1:$BZ$1000,설정!$L$6+ROW()-1,설정!$L$29),""),"")</f>
        <v/>
      </c>
      <c r="H483" s="97" t="str">
        <f aca="false">IFERROR(IF(ISNUMBER(INDEX(원자료_시장!$A$1:$BZ$1000,설정!$L$6+ROW()-1,설정!$L$30)),INDEX(원자료_시장!$A$1:$BZ$1000,설정!$L$6+ROW()-1,설정!$L$30),""),"")</f>
        <v/>
      </c>
      <c r="I483" s="97" t="str">
        <f aca="false">IFERROR(IF(ISNUMBER(INDEX(원자료_시장!$A$1:$BZ$1000,설정!$L$6+ROW()-1,설정!$L$31)),INDEX(원자료_시장!$A$1:$BZ$1000,설정!$L$6+ROW()-1,설정!$L$31),""),"")</f>
        <v/>
      </c>
      <c r="J483" s="97" t="str">
        <f aca="false">IFERROR(IF(ISNUMBER(INDEX(원자료_시장!$A$1:$BZ$1000,설정!$L$6+ROW()-1,설정!$L$32)),INDEX(원자료_시장!$A$1:$BZ$1000,설정!$L$6+ROW()-1,설정!$L$32),""),"")</f>
        <v/>
      </c>
      <c r="K483" s="85" t="str">
        <f aca="false">IFERROR(IF(ISNUMBER(INDEX(원자료_시장!$A$1:$BZ$1000,설정!$L$6+ROW()-1,설정!$L$33)),INDEX(원자료_시장!$A$1:$BZ$1000,설정!$L$6+ROW()-1,설정!$L$33),""),"")</f>
        <v/>
      </c>
      <c r="L483" s="83" t="n">
        <f aca="false">IFERROR(IF(INDEX(원자료_시장!$A$1:$BZ$1000,설정!$L$6+ROW()-1,설정!$L$34)&amp;""="0","",INDEX(원자료_시장!$A$1:$BZ$1000,설정!$L$6+ROW()-1,설정!$L$34)),"")</f>
        <v>0</v>
      </c>
      <c r="M483" s="83" t="n">
        <f aca="false">IFERROR(IF(INDEX(원자료_시장!$A$1:$BZ$1000,설정!$L$6+ROW()-1,설정!$L$35)&amp;""="0","",INDEX(원자료_시장!$A$1:$BZ$1000,설정!$L$6+ROW()-1,설정!$L$35)),"")</f>
        <v>0</v>
      </c>
      <c r="N483" s="83" t="n">
        <f aca="false">IFERROR(IF(INDEX(원자료_시장!$A$1:$BZ$1000,설정!$L$6+ROW()-1,설정!$L$36)&amp;""="0","",INDEX(원자료_시장!$A$1:$BZ$1000,설정!$L$6+ROW()-1,설정!$L$36)),"")</f>
        <v>0</v>
      </c>
      <c r="O483" s="43" t="str">
        <f aca="false">IF($A483="","",UPPER(LEFT($A483,FIND(" ",$A483&amp;" ")-1)))</f>
        <v/>
      </c>
      <c r="P483" s="43" t="str">
        <f aca="false">IF($A483="","",TRIM(RIGHT(SUBSTITUTE(TRIM($A483)," ",REPT(" ",30)),30)))</f>
        <v/>
      </c>
      <c r="Q483" s="98" t="str">
        <f aca="false">IF($A483="","",IFERROR(DATE(IF(LEN(P483)=8,2000+VALUE(RIGHT(P483,2)),VALUE(RIGHT(P483,4))),VALUE(LEFT(P483,2)),VALUE(MID(P483,4,2))),""))</f>
        <v/>
      </c>
      <c r="R483" s="89" t="n">
        <f aca="false">IF($A483="",0,IF(ISNUMBER(SEARCH("Float",$A483)),1,0))</f>
        <v>0</v>
      </c>
      <c r="S483" s="43" t="str">
        <f aca="false">IF($A483="","",TRIM(MID($A483,LEN(O483)+2,LEN($A483)-LEN(O483)-LEN(P483)-1)))</f>
        <v/>
      </c>
      <c r="T483" s="92" t="str">
        <f aca="false">IF(OR($A483="",R483=1),"",IFERROR(IF(ISNUMBER(FIND("/",S483)),IF(ISNUMBER(FIND(" ",S483)),VALUE(LEFT(S483,FIND(" ",S483)-1))+VALUE(MID(S483,FIND(" ",S483)+1,FIND("/",S483)-FIND(" ",S483)-1))/VALUE(MID(S483,FIND("/",S483)+1,9)),VALUE(LEFT(S483,FIND("/",S483)-1))/VALUE(MID(S483,FIND("/",S483)+1,9))),VALUE(S483)),""))</f>
        <v/>
      </c>
      <c r="U483" s="43" t="str">
        <f aca="false">IF(OR($A483="",NOT(ISNUMBER(Q483))),"",TEXT(Q483,"yyyymmdd")&amp;"|"&amp;IF(R483=1,"F",TEXT(T483,"0.000")))</f>
        <v/>
      </c>
      <c r="V483" s="43" t="str">
        <f aca="false">IF(U483="","",O483&amp;"|"&amp;U483)</f>
        <v/>
      </c>
      <c r="W483" s="43" t="str">
        <f aca="false">IF($A483="","",IFERROR(IF(VLOOKUP(O483,매핑!$A$4:$E$92,3,0)="","미분류",VLOOKUP(O483,매핑!$A$4:$E$92,3,0)),"미분류"))</f>
        <v/>
      </c>
      <c r="X483" s="89" t="n">
        <f aca="false">IF($A483="",0,IF(O483="T",1,0))</f>
        <v>0</v>
      </c>
      <c r="Y483" s="89" t="n">
        <f aca="false">IF($A483="",0,IF(AND(C483="USD",X483=0,ISNUMBER(E483),ISNUMBER(K483)),IF(K483&gt;=설정!$C$8,1,0),0))</f>
        <v>0</v>
      </c>
      <c r="Z483" s="43" t="str">
        <f aca="false">IF($A483="","",N483&amp;"|"&amp;L483)</f>
        <v/>
      </c>
      <c r="AA483" s="92" t="n">
        <f aca="false">IF(Y483=1,LN(K483),0)</f>
        <v>0</v>
      </c>
      <c r="AB483" s="93" t="n">
        <f aca="false">IF(Y483=1,E483,0)</f>
        <v>0</v>
      </c>
      <c r="AC483" s="89" t="n">
        <f aca="false">IF(Y483=1,COUNTIFS($Z$2:$Z$601,Z483,$Y$2:$Y$601,1),0)</f>
        <v>0</v>
      </c>
      <c r="AD483" s="89" t="n">
        <f aca="false">IF(Y483=1,COUNTIFS($N$2:$N$601,N483,$Y$2:$Y$601,1),0)</f>
        <v>0</v>
      </c>
      <c r="AE483" s="43" t="str">
        <f aca="false">IF(Y483&lt;&gt;1,"",IF(AND(AC483&gt;=설정!$C$7,ISNUMBER(MATCH(Z483,피어커브!$A:$A,0))),Z483,IF(AND(AD483&gt;=설정!$C$7,ISNUMBER(MATCH(N483&amp;"|전체",피어커브!$A:$A,0))),N483&amp;"|전체","전체|전체")))</f>
        <v/>
      </c>
      <c r="AF483" s="93" t="str">
        <f aca="false">IF(AE483="","",INDEX(피어커브!$K:$K,MATCH(AE483,피어커브!$A:$A,0)))</f>
        <v/>
      </c>
      <c r="AG483" s="93" t="str">
        <f aca="false">IF(AE483="","",INDEX(피어커브!$J:$J,MATCH(AE483,피어커브!$A:$A,0)))</f>
        <v/>
      </c>
      <c r="AH483" s="93" t="str">
        <f aca="false">IF(AE483="","",INDEX(피어커브!$L:$L,MATCH(AE483,피어커브!$A:$A,0)))</f>
        <v/>
      </c>
      <c r="AI483" s="93" t="str">
        <f aca="false">IF(AE483="","",AF483+AG483*AA483)</f>
        <v/>
      </c>
      <c r="AJ483" s="96" t="str">
        <f aca="false">IF(AE483="","",E483-AI483)</f>
        <v/>
      </c>
      <c r="AK483" s="95" t="str">
        <f aca="false">IF(AE483="","",IF(ISNUMBER(AH483),IF(AH483&gt;0,AJ483/AH483,""),""))</f>
        <v/>
      </c>
      <c r="AL483" s="43" t="str">
        <f aca="false">IF(AK483="","-",IF(AK483&gt;=설정!$C$6,"Cheap",IF(AK483&lt;=-설정!$C$6,"Rich","Fair")))</f>
        <v>-</v>
      </c>
      <c r="AM483" s="96" t="str">
        <f aca="false">IF(AE483="","",AJ483-AVERAGEIFS($AJ$2:$AJ$601,$B$2:$B$601,B483,$Y$2:$Y$601,1))</f>
        <v/>
      </c>
      <c r="AN483" s="93" t="n">
        <f aca="false">IF(AE483="",0,IF(K483&gt;1+설정!$C$8,AG483*(AA483-LN(K483-1)),0))</f>
        <v>0</v>
      </c>
      <c r="AO483" s="99" t="n">
        <f aca="false">IF($A483="",0,SUMIFS(보유분석!$AA$2:$AA$801,보유분석!$AB$2:$AB$801,ROW(),보유분석!$AC$2:$AC$801,1))</f>
        <v>0</v>
      </c>
      <c r="AP483" s="43" t="str">
        <f aca="false">IF($A483="","",TRIM(IF(R483=1,"FRN ","")&amp;IF(IFERROR(VLOOKUP(M483,설정!$A$15:$D$47,4,0),0)&gt;=10,IF(IFERROR(VLOOKUP(M483,설정!$A$15:$D$47,4,0),0)&lt;99,"BBB0미만 ",""),"")&amp;IF(OR(M483="",M483="NR"),"등급미입력 ","")&amp;IF(C483&lt;&gt;"USD","비USD ","")))</f>
        <v/>
      </c>
      <c r="AQ483" s="90" t="n">
        <f aca="false">IF(AND(Y483=1,AL483="Cheap"),IF(AND(ISERROR(SEARCH("FRN",AP483)),ISERROR(SEARCH("BBB0미만",AP483))),AK483+ROW()/1000000000,-999),-999)</f>
        <v>-999</v>
      </c>
      <c r="AR483" s="92" t="str">
        <f aca="false">IF(AND(ISNUMBER(D483),ISNUMBER(K483)),D483+AN483*MAX(K483-1,0)/100,"")</f>
        <v/>
      </c>
      <c r="AS483" s="93" t="str">
        <f aca="false">IF(AND(ISNUMBER(E483),ISNUMBER(K483)),IF(K483&gt;0,(E483+AN483*MAX(K483-1,0))/K483,""),"")</f>
        <v/>
      </c>
      <c r="AT483" s="90" t="n">
        <f aca="false">IFERROR(IF(AND(Y483=1,ROW()&lt;&gt;스왑분석!$C$12+1,ABS(K483-INDEX($K$2:$K$601,스왑분석!$C$12))&lt;=스왑분석!$C$5,ISERROR(SEARCH("FRN",AP483)),ISERROR(SEARCH("BBB0미만",AP483))),IF(AND(OR(스왑분석!$C$6="N",L483=INDEX($L$2:$L$601,스왑분석!$C$12)),OR(스왑분석!$C$7="N",N483=INDEX($N$2:$N$601,스왑분석!$C$12)),OR(스왑분석!$C$8="N",AO483=0),E483-INDEX($E$2:$E$601,스왑분석!$C$12)&gt;=스왑분석!$C$9),E483-INDEX($E$2:$E$601,스왑분석!$C$12)+ROW()/1000000000,-999),-999),-999)</f>
        <v>-999</v>
      </c>
      <c r="AU483" s="90" t="n">
        <f aca="false">IF(AND(Y483=1,AO483&gt;0,AL483="Rich"),-AK483+ROW()/1000000000,-999)</f>
        <v>-999</v>
      </c>
    </row>
    <row r="484" customFormat="false" ht="15" hidden="false" customHeight="false" outlineLevel="0" collapsed="false">
      <c r="A484" s="83" t="n">
        <f aca="false">IFERROR(IF(INDEX(원자료_시장!$A$1:$BZ$1000,설정!$L$6+ROW()-1,설정!$L$24)&amp;""="0","",INDEX(원자료_시장!$A$1:$BZ$1000,설정!$L$6+ROW()-1,설정!$L$24)),"")</f>
        <v>0</v>
      </c>
      <c r="B484" s="83" t="n">
        <f aca="false">IFERROR(IF(INDEX(원자료_시장!$A$1:$BZ$1000,설정!$L$6+ROW()-1,설정!$L$37)&amp;""="0","",INDEX(원자료_시장!$A$1:$BZ$1000,설정!$L$6+ROW()-1,설정!$L$37)),"")</f>
        <v>0</v>
      </c>
      <c r="C484" s="83" t="n">
        <f aca="false">IFERROR(IF(INDEX(원자료_시장!$A$1:$BZ$1000,설정!$L$6+ROW()-1,설정!$L$25)&amp;""="0","",INDEX(원자료_시장!$A$1:$BZ$1000,설정!$L$6+ROW()-1,설정!$L$25)),"")</f>
        <v>0</v>
      </c>
      <c r="D484" s="85" t="str">
        <f aca="false">IFERROR(IF(ISNUMBER(INDEX(원자료_시장!$A$1:$BZ$1000,설정!$L$6+ROW()-1,설정!$L$26)),INDEX(원자료_시장!$A$1:$BZ$1000,설정!$L$6+ROW()-1,설정!$L$26),""),"")</f>
        <v/>
      </c>
      <c r="E484" s="97" t="str">
        <f aca="false">IFERROR(IF(ISNUMBER(INDEX(원자료_시장!$A$1:$BZ$1000,설정!$L$6+ROW()-1,설정!$L$27)),INDEX(원자료_시장!$A$1:$BZ$1000,설정!$L$6+ROW()-1,설정!$L$27),""),"")</f>
        <v/>
      </c>
      <c r="F484" s="97" t="str">
        <f aca="false">IFERROR(IF(ISNUMBER(INDEX(원자료_시장!$A$1:$BZ$1000,설정!$L$6+ROW()-1,설정!$L$28)),INDEX(원자료_시장!$A$1:$BZ$1000,설정!$L$6+ROW()-1,설정!$L$28),""),"")</f>
        <v/>
      </c>
      <c r="G484" s="97" t="str">
        <f aca="false">IFERROR(IF(ISNUMBER(INDEX(원자료_시장!$A$1:$BZ$1000,설정!$L$6+ROW()-1,설정!$L$29)),INDEX(원자료_시장!$A$1:$BZ$1000,설정!$L$6+ROW()-1,설정!$L$29),""),"")</f>
        <v/>
      </c>
      <c r="H484" s="97" t="str">
        <f aca="false">IFERROR(IF(ISNUMBER(INDEX(원자료_시장!$A$1:$BZ$1000,설정!$L$6+ROW()-1,설정!$L$30)),INDEX(원자료_시장!$A$1:$BZ$1000,설정!$L$6+ROW()-1,설정!$L$30),""),"")</f>
        <v/>
      </c>
      <c r="I484" s="97" t="str">
        <f aca="false">IFERROR(IF(ISNUMBER(INDEX(원자료_시장!$A$1:$BZ$1000,설정!$L$6+ROW()-1,설정!$L$31)),INDEX(원자료_시장!$A$1:$BZ$1000,설정!$L$6+ROW()-1,설정!$L$31),""),"")</f>
        <v/>
      </c>
      <c r="J484" s="97" t="str">
        <f aca="false">IFERROR(IF(ISNUMBER(INDEX(원자료_시장!$A$1:$BZ$1000,설정!$L$6+ROW()-1,설정!$L$32)),INDEX(원자료_시장!$A$1:$BZ$1000,설정!$L$6+ROW()-1,설정!$L$32),""),"")</f>
        <v/>
      </c>
      <c r="K484" s="85" t="str">
        <f aca="false">IFERROR(IF(ISNUMBER(INDEX(원자료_시장!$A$1:$BZ$1000,설정!$L$6+ROW()-1,설정!$L$33)),INDEX(원자료_시장!$A$1:$BZ$1000,설정!$L$6+ROW()-1,설정!$L$33),""),"")</f>
        <v/>
      </c>
      <c r="L484" s="83" t="n">
        <f aca="false">IFERROR(IF(INDEX(원자료_시장!$A$1:$BZ$1000,설정!$L$6+ROW()-1,설정!$L$34)&amp;""="0","",INDEX(원자료_시장!$A$1:$BZ$1000,설정!$L$6+ROW()-1,설정!$L$34)),"")</f>
        <v>0</v>
      </c>
      <c r="M484" s="83" t="n">
        <f aca="false">IFERROR(IF(INDEX(원자료_시장!$A$1:$BZ$1000,설정!$L$6+ROW()-1,설정!$L$35)&amp;""="0","",INDEX(원자료_시장!$A$1:$BZ$1000,설정!$L$6+ROW()-1,설정!$L$35)),"")</f>
        <v>0</v>
      </c>
      <c r="N484" s="83" t="n">
        <f aca="false">IFERROR(IF(INDEX(원자료_시장!$A$1:$BZ$1000,설정!$L$6+ROW()-1,설정!$L$36)&amp;""="0","",INDEX(원자료_시장!$A$1:$BZ$1000,설정!$L$6+ROW()-1,설정!$L$36)),"")</f>
        <v>0</v>
      </c>
      <c r="O484" s="43" t="str">
        <f aca="false">IF($A484="","",UPPER(LEFT($A484,FIND(" ",$A484&amp;" ")-1)))</f>
        <v/>
      </c>
      <c r="P484" s="43" t="str">
        <f aca="false">IF($A484="","",TRIM(RIGHT(SUBSTITUTE(TRIM($A484)," ",REPT(" ",30)),30)))</f>
        <v/>
      </c>
      <c r="Q484" s="98" t="str">
        <f aca="false">IF($A484="","",IFERROR(DATE(IF(LEN(P484)=8,2000+VALUE(RIGHT(P484,2)),VALUE(RIGHT(P484,4))),VALUE(LEFT(P484,2)),VALUE(MID(P484,4,2))),""))</f>
        <v/>
      </c>
      <c r="R484" s="89" t="n">
        <f aca="false">IF($A484="",0,IF(ISNUMBER(SEARCH("Float",$A484)),1,0))</f>
        <v>0</v>
      </c>
      <c r="S484" s="43" t="str">
        <f aca="false">IF($A484="","",TRIM(MID($A484,LEN(O484)+2,LEN($A484)-LEN(O484)-LEN(P484)-1)))</f>
        <v/>
      </c>
      <c r="T484" s="92" t="str">
        <f aca="false">IF(OR($A484="",R484=1),"",IFERROR(IF(ISNUMBER(FIND("/",S484)),IF(ISNUMBER(FIND(" ",S484)),VALUE(LEFT(S484,FIND(" ",S484)-1))+VALUE(MID(S484,FIND(" ",S484)+1,FIND("/",S484)-FIND(" ",S484)-1))/VALUE(MID(S484,FIND("/",S484)+1,9)),VALUE(LEFT(S484,FIND("/",S484)-1))/VALUE(MID(S484,FIND("/",S484)+1,9))),VALUE(S484)),""))</f>
        <v/>
      </c>
      <c r="U484" s="43" t="str">
        <f aca="false">IF(OR($A484="",NOT(ISNUMBER(Q484))),"",TEXT(Q484,"yyyymmdd")&amp;"|"&amp;IF(R484=1,"F",TEXT(T484,"0.000")))</f>
        <v/>
      </c>
      <c r="V484" s="43" t="str">
        <f aca="false">IF(U484="","",O484&amp;"|"&amp;U484)</f>
        <v/>
      </c>
      <c r="W484" s="43" t="str">
        <f aca="false">IF($A484="","",IFERROR(IF(VLOOKUP(O484,매핑!$A$4:$E$92,3,0)="","미분류",VLOOKUP(O484,매핑!$A$4:$E$92,3,0)),"미분류"))</f>
        <v/>
      </c>
      <c r="X484" s="89" t="n">
        <f aca="false">IF($A484="",0,IF(O484="T",1,0))</f>
        <v>0</v>
      </c>
      <c r="Y484" s="89" t="n">
        <f aca="false">IF($A484="",0,IF(AND(C484="USD",X484=0,ISNUMBER(E484),ISNUMBER(K484)),IF(K484&gt;=설정!$C$8,1,0),0))</f>
        <v>0</v>
      </c>
      <c r="Z484" s="43" t="str">
        <f aca="false">IF($A484="","",N484&amp;"|"&amp;L484)</f>
        <v/>
      </c>
      <c r="AA484" s="92" t="n">
        <f aca="false">IF(Y484=1,LN(K484),0)</f>
        <v>0</v>
      </c>
      <c r="AB484" s="93" t="n">
        <f aca="false">IF(Y484=1,E484,0)</f>
        <v>0</v>
      </c>
      <c r="AC484" s="89" t="n">
        <f aca="false">IF(Y484=1,COUNTIFS($Z$2:$Z$601,Z484,$Y$2:$Y$601,1),0)</f>
        <v>0</v>
      </c>
      <c r="AD484" s="89" t="n">
        <f aca="false">IF(Y484=1,COUNTIFS($N$2:$N$601,N484,$Y$2:$Y$601,1),0)</f>
        <v>0</v>
      </c>
      <c r="AE484" s="43" t="str">
        <f aca="false">IF(Y484&lt;&gt;1,"",IF(AND(AC484&gt;=설정!$C$7,ISNUMBER(MATCH(Z484,피어커브!$A:$A,0))),Z484,IF(AND(AD484&gt;=설정!$C$7,ISNUMBER(MATCH(N484&amp;"|전체",피어커브!$A:$A,0))),N484&amp;"|전체","전체|전체")))</f>
        <v/>
      </c>
      <c r="AF484" s="93" t="str">
        <f aca="false">IF(AE484="","",INDEX(피어커브!$K:$K,MATCH(AE484,피어커브!$A:$A,0)))</f>
        <v/>
      </c>
      <c r="AG484" s="93" t="str">
        <f aca="false">IF(AE484="","",INDEX(피어커브!$J:$J,MATCH(AE484,피어커브!$A:$A,0)))</f>
        <v/>
      </c>
      <c r="AH484" s="93" t="str">
        <f aca="false">IF(AE484="","",INDEX(피어커브!$L:$L,MATCH(AE484,피어커브!$A:$A,0)))</f>
        <v/>
      </c>
      <c r="AI484" s="93" t="str">
        <f aca="false">IF(AE484="","",AF484+AG484*AA484)</f>
        <v/>
      </c>
      <c r="AJ484" s="96" t="str">
        <f aca="false">IF(AE484="","",E484-AI484)</f>
        <v/>
      </c>
      <c r="AK484" s="95" t="str">
        <f aca="false">IF(AE484="","",IF(ISNUMBER(AH484),IF(AH484&gt;0,AJ484/AH484,""),""))</f>
        <v/>
      </c>
      <c r="AL484" s="43" t="str">
        <f aca="false">IF(AK484="","-",IF(AK484&gt;=설정!$C$6,"Cheap",IF(AK484&lt;=-설정!$C$6,"Rich","Fair")))</f>
        <v>-</v>
      </c>
      <c r="AM484" s="96" t="str">
        <f aca="false">IF(AE484="","",AJ484-AVERAGEIFS($AJ$2:$AJ$601,$B$2:$B$601,B484,$Y$2:$Y$601,1))</f>
        <v/>
      </c>
      <c r="AN484" s="93" t="n">
        <f aca="false">IF(AE484="",0,IF(K484&gt;1+설정!$C$8,AG484*(AA484-LN(K484-1)),0))</f>
        <v>0</v>
      </c>
      <c r="AO484" s="99" t="n">
        <f aca="false">IF($A484="",0,SUMIFS(보유분석!$AA$2:$AA$801,보유분석!$AB$2:$AB$801,ROW(),보유분석!$AC$2:$AC$801,1))</f>
        <v>0</v>
      </c>
      <c r="AP484" s="43" t="str">
        <f aca="false">IF($A484="","",TRIM(IF(R484=1,"FRN ","")&amp;IF(IFERROR(VLOOKUP(M484,설정!$A$15:$D$47,4,0),0)&gt;=10,IF(IFERROR(VLOOKUP(M484,설정!$A$15:$D$47,4,0),0)&lt;99,"BBB0미만 ",""),"")&amp;IF(OR(M484="",M484="NR"),"등급미입력 ","")&amp;IF(C484&lt;&gt;"USD","비USD ","")))</f>
        <v/>
      </c>
      <c r="AQ484" s="90" t="n">
        <f aca="false">IF(AND(Y484=1,AL484="Cheap"),IF(AND(ISERROR(SEARCH("FRN",AP484)),ISERROR(SEARCH("BBB0미만",AP484))),AK484+ROW()/1000000000,-999),-999)</f>
        <v>-999</v>
      </c>
      <c r="AR484" s="92" t="str">
        <f aca="false">IF(AND(ISNUMBER(D484),ISNUMBER(K484)),D484+AN484*MAX(K484-1,0)/100,"")</f>
        <v/>
      </c>
      <c r="AS484" s="93" t="str">
        <f aca="false">IF(AND(ISNUMBER(E484),ISNUMBER(K484)),IF(K484&gt;0,(E484+AN484*MAX(K484-1,0))/K484,""),"")</f>
        <v/>
      </c>
      <c r="AT484" s="90" t="n">
        <f aca="false">IFERROR(IF(AND(Y484=1,ROW()&lt;&gt;스왑분석!$C$12+1,ABS(K484-INDEX($K$2:$K$601,스왑분석!$C$12))&lt;=스왑분석!$C$5,ISERROR(SEARCH("FRN",AP484)),ISERROR(SEARCH("BBB0미만",AP484))),IF(AND(OR(스왑분석!$C$6="N",L484=INDEX($L$2:$L$601,스왑분석!$C$12)),OR(스왑분석!$C$7="N",N484=INDEX($N$2:$N$601,스왑분석!$C$12)),OR(스왑분석!$C$8="N",AO484=0),E484-INDEX($E$2:$E$601,스왑분석!$C$12)&gt;=스왑분석!$C$9),E484-INDEX($E$2:$E$601,스왑분석!$C$12)+ROW()/1000000000,-999),-999),-999)</f>
        <v>-999</v>
      </c>
      <c r="AU484" s="90" t="n">
        <f aca="false">IF(AND(Y484=1,AO484&gt;0,AL484="Rich"),-AK484+ROW()/1000000000,-999)</f>
        <v>-999</v>
      </c>
    </row>
    <row r="485" customFormat="false" ht="15" hidden="false" customHeight="false" outlineLevel="0" collapsed="false">
      <c r="A485" s="83" t="n">
        <f aca="false">IFERROR(IF(INDEX(원자료_시장!$A$1:$BZ$1000,설정!$L$6+ROW()-1,설정!$L$24)&amp;""="0","",INDEX(원자료_시장!$A$1:$BZ$1000,설정!$L$6+ROW()-1,설정!$L$24)),"")</f>
        <v>0</v>
      </c>
      <c r="B485" s="83" t="n">
        <f aca="false">IFERROR(IF(INDEX(원자료_시장!$A$1:$BZ$1000,설정!$L$6+ROW()-1,설정!$L$37)&amp;""="0","",INDEX(원자료_시장!$A$1:$BZ$1000,설정!$L$6+ROW()-1,설정!$L$37)),"")</f>
        <v>0</v>
      </c>
      <c r="C485" s="83" t="n">
        <f aca="false">IFERROR(IF(INDEX(원자료_시장!$A$1:$BZ$1000,설정!$L$6+ROW()-1,설정!$L$25)&amp;""="0","",INDEX(원자료_시장!$A$1:$BZ$1000,설정!$L$6+ROW()-1,설정!$L$25)),"")</f>
        <v>0</v>
      </c>
      <c r="D485" s="85" t="str">
        <f aca="false">IFERROR(IF(ISNUMBER(INDEX(원자료_시장!$A$1:$BZ$1000,설정!$L$6+ROW()-1,설정!$L$26)),INDEX(원자료_시장!$A$1:$BZ$1000,설정!$L$6+ROW()-1,설정!$L$26),""),"")</f>
        <v/>
      </c>
      <c r="E485" s="97" t="str">
        <f aca="false">IFERROR(IF(ISNUMBER(INDEX(원자료_시장!$A$1:$BZ$1000,설정!$L$6+ROW()-1,설정!$L$27)),INDEX(원자료_시장!$A$1:$BZ$1000,설정!$L$6+ROW()-1,설정!$L$27),""),"")</f>
        <v/>
      </c>
      <c r="F485" s="97" t="str">
        <f aca="false">IFERROR(IF(ISNUMBER(INDEX(원자료_시장!$A$1:$BZ$1000,설정!$L$6+ROW()-1,설정!$L$28)),INDEX(원자료_시장!$A$1:$BZ$1000,설정!$L$6+ROW()-1,설정!$L$28),""),"")</f>
        <v/>
      </c>
      <c r="G485" s="97" t="str">
        <f aca="false">IFERROR(IF(ISNUMBER(INDEX(원자료_시장!$A$1:$BZ$1000,설정!$L$6+ROW()-1,설정!$L$29)),INDEX(원자료_시장!$A$1:$BZ$1000,설정!$L$6+ROW()-1,설정!$L$29),""),"")</f>
        <v/>
      </c>
      <c r="H485" s="97" t="str">
        <f aca="false">IFERROR(IF(ISNUMBER(INDEX(원자료_시장!$A$1:$BZ$1000,설정!$L$6+ROW()-1,설정!$L$30)),INDEX(원자료_시장!$A$1:$BZ$1000,설정!$L$6+ROW()-1,설정!$L$30),""),"")</f>
        <v/>
      </c>
      <c r="I485" s="97" t="str">
        <f aca="false">IFERROR(IF(ISNUMBER(INDEX(원자료_시장!$A$1:$BZ$1000,설정!$L$6+ROW()-1,설정!$L$31)),INDEX(원자료_시장!$A$1:$BZ$1000,설정!$L$6+ROW()-1,설정!$L$31),""),"")</f>
        <v/>
      </c>
      <c r="J485" s="97" t="str">
        <f aca="false">IFERROR(IF(ISNUMBER(INDEX(원자료_시장!$A$1:$BZ$1000,설정!$L$6+ROW()-1,설정!$L$32)),INDEX(원자료_시장!$A$1:$BZ$1000,설정!$L$6+ROW()-1,설정!$L$32),""),"")</f>
        <v/>
      </c>
      <c r="K485" s="85" t="str">
        <f aca="false">IFERROR(IF(ISNUMBER(INDEX(원자료_시장!$A$1:$BZ$1000,설정!$L$6+ROW()-1,설정!$L$33)),INDEX(원자료_시장!$A$1:$BZ$1000,설정!$L$6+ROW()-1,설정!$L$33),""),"")</f>
        <v/>
      </c>
      <c r="L485" s="83" t="n">
        <f aca="false">IFERROR(IF(INDEX(원자료_시장!$A$1:$BZ$1000,설정!$L$6+ROW()-1,설정!$L$34)&amp;""="0","",INDEX(원자료_시장!$A$1:$BZ$1000,설정!$L$6+ROW()-1,설정!$L$34)),"")</f>
        <v>0</v>
      </c>
      <c r="M485" s="83" t="n">
        <f aca="false">IFERROR(IF(INDEX(원자료_시장!$A$1:$BZ$1000,설정!$L$6+ROW()-1,설정!$L$35)&amp;""="0","",INDEX(원자료_시장!$A$1:$BZ$1000,설정!$L$6+ROW()-1,설정!$L$35)),"")</f>
        <v>0</v>
      </c>
      <c r="N485" s="83" t="n">
        <f aca="false">IFERROR(IF(INDEX(원자료_시장!$A$1:$BZ$1000,설정!$L$6+ROW()-1,설정!$L$36)&amp;""="0","",INDEX(원자료_시장!$A$1:$BZ$1000,설정!$L$6+ROW()-1,설정!$L$36)),"")</f>
        <v>0</v>
      </c>
      <c r="O485" s="43" t="str">
        <f aca="false">IF($A485="","",UPPER(LEFT($A485,FIND(" ",$A485&amp;" ")-1)))</f>
        <v/>
      </c>
      <c r="P485" s="43" t="str">
        <f aca="false">IF($A485="","",TRIM(RIGHT(SUBSTITUTE(TRIM($A485)," ",REPT(" ",30)),30)))</f>
        <v/>
      </c>
      <c r="Q485" s="98" t="str">
        <f aca="false">IF($A485="","",IFERROR(DATE(IF(LEN(P485)=8,2000+VALUE(RIGHT(P485,2)),VALUE(RIGHT(P485,4))),VALUE(LEFT(P485,2)),VALUE(MID(P485,4,2))),""))</f>
        <v/>
      </c>
      <c r="R485" s="89" t="n">
        <f aca="false">IF($A485="",0,IF(ISNUMBER(SEARCH("Float",$A485)),1,0))</f>
        <v>0</v>
      </c>
      <c r="S485" s="43" t="str">
        <f aca="false">IF($A485="","",TRIM(MID($A485,LEN(O485)+2,LEN($A485)-LEN(O485)-LEN(P485)-1)))</f>
        <v/>
      </c>
      <c r="T485" s="92" t="str">
        <f aca="false">IF(OR($A485="",R485=1),"",IFERROR(IF(ISNUMBER(FIND("/",S485)),IF(ISNUMBER(FIND(" ",S485)),VALUE(LEFT(S485,FIND(" ",S485)-1))+VALUE(MID(S485,FIND(" ",S485)+1,FIND("/",S485)-FIND(" ",S485)-1))/VALUE(MID(S485,FIND("/",S485)+1,9)),VALUE(LEFT(S485,FIND("/",S485)-1))/VALUE(MID(S485,FIND("/",S485)+1,9))),VALUE(S485)),""))</f>
        <v/>
      </c>
      <c r="U485" s="43" t="str">
        <f aca="false">IF(OR($A485="",NOT(ISNUMBER(Q485))),"",TEXT(Q485,"yyyymmdd")&amp;"|"&amp;IF(R485=1,"F",TEXT(T485,"0.000")))</f>
        <v/>
      </c>
      <c r="V485" s="43" t="str">
        <f aca="false">IF(U485="","",O485&amp;"|"&amp;U485)</f>
        <v/>
      </c>
      <c r="W485" s="43" t="str">
        <f aca="false">IF($A485="","",IFERROR(IF(VLOOKUP(O485,매핑!$A$4:$E$92,3,0)="","미분류",VLOOKUP(O485,매핑!$A$4:$E$92,3,0)),"미분류"))</f>
        <v/>
      </c>
      <c r="X485" s="89" t="n">
        <f aca="false">IF($A485="",0,IF(O485="T",1,0))</f>
        <v>0</v>
      </c>
      <c r="Y485" s="89" t="n">
        <f aca="false">IF($A485="",0,IF(AND(C485="USD",X485=0,ISNUMBER(E485),ISNUMBER(K485)),IF(K485&gt;=설정!$C$8,1,0),0))</f>
        <v>0</v>
      </c>
      <c r="Z485" s="43" t="str">
        <f aca="false">IF($A485="","",N485&amp;"|"&amp;L485)</f>
        <v/>
      </c>
      <c r="AA485" s="92" t="n">
        <f aca="false">IF(Y485=1,LN(K485),0)</f>
        <v>0</v>
      </c>
      <c r="AB485" s="93" t="n">
        <f aca="false">IF(Y485=1,E485,0)</f>
        <v>0</v>
      </c>
      <c r="AC485" s="89" t="n">
        <f aca="false">IF(Y485=1,COUNTIFS($Z$2:$Z$601,Z485,$Y$2:$Y$601,1),0)</f>
        <v>0</v>
      </c>
      <c r="AD485" s="89" t="n">
        <f aca="false">IF(Y485=1,COUNTIFS($N$2:$N$601,N485,$Y$2:$Y$601,1),0)</f>
        <v>0</v>
      </c>
      <c r="AE485" s="43" t="str">
        <f aca="false">IF(Y485&lt;&gt;1,"",IF(AND(AC485&gt;=설정!$C$7,ISNUMBER(MATCH(Z485,피어커브!$A:$A,0))),Z485,IF(AND(AD485&gt;=설정!$C$7,ISNUMBER(MATCH(N485&amp;"|전체",피어커브!$A:$A,0))),N485&amp;"|전체","전체|전체")))</f>
        <v/>
      </c>
      <c r="AF485" s="93" t="str">
        <f aca="false">IF(AE485="","",INDEX(피어커브!$K:$K,MATCH(AE485,피어커브!$A:$A,0)))</f>
        <v/>
      </c>
      <c r="AG485" s="93" t="str">
        <f aca="false">IF(AE485="","",INDEX(피어커브!$J:$J,MATCH(AE485,피어커브!$A:$A,0)))</f>
        <v/>
      </c>
      <c r="AH485" s="93" t="str">
        <f aca="false">IF(AE485="","",INDEX(피어커브!$L:$L,MATCH(AE485,피어커브!$A:$A,0)))</f>
        <v/>
      </c>
      <c r="AI485" s="93" t="str">
        <f aca="false">IF(AE485="","",AF485+AG485*AA485)</f>
        <v/>
      </c>
      <c r="AJ485" s="96" t="str">
        <f aca="false">IF(AE485="","",E485-AI485)</f>
        <v/>
      </c>
      <c r="AK485" s="95" t="str">
        <f aca="false">IF(AE485="","",IF(ISNUMBER(AH485),IF(AH485&gt;0,AJ485/AH485,""),""))</f>
        <v/>
      </c>
      <c r="AL485" s="43" t="str">
        <f aca="false">IF(AK485="","-",IF(AK485&gt;=설정!$C$6,"Cheap",IF(AK485&lt;=-설정!$C$6,"Rich","Fair")))</f>
        <v>-</v>
      </c>
      <c r="AM485" s="96" t="str">
        <f aca="false">IF(AE485="","",AJ485-AVERAGEIFS($AJ$2:$AJ$601,$B$2:$B$601,B485,$Y$2:$Y$601,1))</f>
        <v/>
      </c>
      <c r="AN485" s="93" t="n">
        <f aca="false">IF(AE485="",0,IF(K485&gt;1+설정!$C$8,AG485*(AA485-LN(K485-1)),0))</f>
        <v>0</v>
      </c>
      <c r="AO485" s="99" t="n">
        <f aca="false">IF($A485="",0,SUMIFS(보유분석!$AA$2:$AA$801,보유분석!$AB$2:$AB$801,ROW(),보유분석!$AC$2:$AC$801,1))</f>
        <v>0</v>
      </c>
      <c r="AP485" s="43" t="str">
        <f aca="false">IF($A485="","",TRIM(IF(R485=1,"FRN ","")&amp;IF(IFERROR(VLOOKUP(M485,설정!$A$15:$D$47,4,0),0)&gt;=10,IF(IFERROR(VLOOKUP(M485,설정!$A$15:$D$47,4,0),0)&lt;99,"BBB0미만 ",""),"")&amp;IF(OR(M485="",M485="NR"),"등급미입력 ","")&amp;IF(C485&lt;&gt;"USD","비USD ","")))</f>
        <v/>
      </c>
      <c r="AQ485" s="90" t="n">
        <f aca="false">IF(AND(Y485=1,AL485="Cheap"),IF(AND(ISERROR(SEARCH("FRN",AP485)),ISERROR(SEARCH("BBB0미만",AP485))),AK485+ROW()/1000000000,-999),-999)</f>
        <v>-999</v>
      </c>
      <c r="AR485" s="92" t="str">
        <f aca="false">IF(AND(ISNUMBER(D485),ISNUMBER(K485)),D485+AN485*MAX(K485-1,0)/100,"")</f>
        <v/>
      </c>
      <c r="AS485" s="93" t="str">
        <f aca="false">IF(AND(ISNUMBER(E485),ISNUMBER(K485)),IF(K485&gt;0,(E485+AN485*MAX(K485-1,0))/K485,""),"")</f>
        <v/>
      </c>
      <c r="AT485" s="90" t="n">
        <f aca="false">IFERROR(IF(AND(Y485=1,ROW()&lt;&gt;스왑분석!$C$12+1,ABS(K485-INDEX($K$2:$K$601,스왑분석!$C$12))&lt;=스왑분석!$C$5,ISERROR(SEARCH("FRN",AP485)),ISERROR(SEARCH("BBB0미만",AP485))),IF(AND(OR(스왑분석!$C$6="N",L485=INDEX($L$2:$L$601,스왑분석!$C$12)),OR(스왑분석!$C$7="N",N485=INDEX($N$2:$N$601,스왑분석!$C$12)),OR(스왑분석!$C$8="N",AO485=0),E485-INDEX($E$2:$E$601,스왑분석!$C$12)&gt;=스왑분석!$C$9),E485-INDEX($E$2:$E$601,스왑분석!$C$12)+ROW()/1000000000,-999),-999),-999)</f>
        <v>-999</v>
      </c>
      <c r="AU485" s="90" t="n">
        <f aca="false">IF(AND(Y485=1,AO485&gt;0,AL485="Rich"),-AK485+ROW()/1000000000,-999)</f>
        <v>-999</v>
      </c>
    </row>
    <row r="486" customFormat="false" ht="15" hidden="false" customHeight="false" outlineLevel="0" collapsed="false">
      <c r="A486" s="83" t="n">
        <f aca="false">IFERROR(IF(INDEX(원자료_시장!$A$1:$BZ$1000,설정!$L$6+ROW()-1,설정!$L$24)&amp;""="0","",INDEX(원자료_시장!$A$1:$BZ$1000,설정!$L$6+ROW()-1,설정!$L$24)),"")</f>
        <v>0</v>
      </c>
      <c r="B486" s="83" t="n">
        <f aca="false">IFERROR(IF(INDEX(원자료_시장!$A$1:$BZ$1000,설정!$L$6+ROW()-1,설정!$L$37)&amp;""="0","",INDEX(원자료_시장!$A$1:$BZ$1000,설정!$L$6+ROW()-1,설정!$L$37)),"")</f>
        <v>0</v>
      </c>
      <c r="C486" s="83" t="n">
        <f aca="false">IFERROR(IF(INDEX(원자료_시장!$A$1:$BZ$1000,설정!$L$6+ROW()-1,설정!$L$25)&amp;""="0","",INDEX(원자료_시장!$A$1:$BZ$1000,설정!$L$6+ROW()-1,설정!$L$25)),"")</f>
        <v>0</v>
      </c>
      <c r="D486" s="85" t="str">
        <f aca="false">IFERROR(IF(ISNUMBER(INDEX(원자료_시장!$A$1:$BZ$1000,설정!$L$6+ROW()-1,설정!$L$26)),INDEX(원자료_시장!$A$1:$BZ$1000,설정!$L$6+ROW()-1,설정!$L$26),""),"")</f>
        <v/>
      </c>
      <c r="E486" s="97" t="str">
        <f aca="false">IFERROR(IF(ISNUMBER(INDEX(원자료_시장!$A$1:$BZ$1000,설정!$L$6+ROW()-1,설정!$L$27)),INDEX(원자료_시장!$A$1:$BZ$1000,설정!$L$6+ROW()-1,설정!$L$27),""),"")</f>
        <v/>
      </c>
      <c r="F486" s="97" t="str">
        <f aca="false">IFERROR(IF(ISNUMBER(INDEX(원자료_시장!$A$1:$BZ$1000,설정!$L$6+ROW()-1,설정!$L$28)),INDEX(원자료_시장!$A$1:$BZ$1000,설정!$L$6+ROW()-1,설정!$L$28),""),"")</f>
        <v/>
      </c>
      <c r="G486" s="97" t="str">
        <f aca="false">IFERROR(IF(ISNUMBER(INDEX(원자료_시장!$A$1:$BZ$1000,설정!$L$6+ROW()-1,설정!$L$29)),INDEX(원자료_시장!$A$1:$BZ$1000,설정!$L$6+ROW()-1,설정!$L$29),""),"")</f>
        <v/>
      </c>
      <c r="H486" s="97" t="str">
        <f aca="false">IFERROR(IF(ISNUMBER(INDEX(원자료_시장!$A$1:$BZ$1000,설정!$L$6+ROW()-1,설정!$L$30)),INDEX(원자료_시장!$A$1:$BZ$1000,설정!$L$6+ROW()-1,설정!$L$30),""),"")</f>
        <v/>
      </c>
      <c r="I486" s="97" t="str">
        <f aca="false">IFERROR(IF(ISNUMBER(INDEX(원자료_시장!$A$1:$BZ$1000,설정!$L$6+ROW()-1,설정!$L$31)),INDEX(원자료_시장!$A$1:$BZ$1000,설정!$L$6+ROW()-1,설정!$L$31),""),"")</f>
        <v/>
      </c>
      <c r="J486" s="97" t="str">
        <f aca="false">IFERROR(IF(ISNUMBER(INDEX(원자료_시장!$A$1:$BZ$1000,설정!$L$6+ROW()-1,설정!$L$32)),INDEX(원자료_시장!$A$1:$BZ$1000,설정!$L$6+ROW()-1,설정!$L$32),""),"")</f>
        <v/>
      </c>
      <c r="K486" s="85" t="str">
        <f aca="false">IFERROR(IF(ISNUMBER(INDEX(원자료_시장!$A$1:$BZ$1000,설정!$L$6+ROW()-1,설정!$L$33)),INDEX(원자료_시장!$A$1:$BZ$1000,설정!$L$6+ROW()-1,설정!$L$33),""),"")</f>
        <v/>
      </c>
      <c r="L486" s="83" t="n">
        <f aca="false">IFERROR(IF(INDEX(원자료_시장!$A$1:$BZ$1000,설정!$L$6+ROW()-1,설정!$L$34)&amp;""="0","",INDEX(원자료_시장!$A$1:$BZ$1000,설정!$L$6+ROW()-1,설정!$L$34)),"")</f>
        <v>0</v>
      </c>
      <c r="M486" s="83" t="n">
        <f aca="false">IFERROR(IF(INDEX(원자료_시장!$A$1:$BZ$1000,설정!$L$6+ROW()-1,설정!$L$35)&amp;""="0","",INDEX(원자료_시장!$A$1:$BZ$1000,설정!$L$6+ROW()-1,설정!$L$35)),"")</f>
        <v>0</v>
      </c>
      <c r="N486" s="83" t="n">
        <f aca="false">IFERROR(IF(INDEX(원자료_시장!$A$1:$BZ$1000,설정!$L$6+ROW()-1,설정!$L$36)&amp;""="0","",INDEX(원자료_시장!$A$1:$BZ$1000,설정!$L$6+ROW()-1,설정!$L$36)),"")</f>
        <v>0</v>
      </c>
      <c r="O486" s="43" t="str">
        <f aca="false">IF($A486="","",UPPER(LEFT($A486,FIND(" ",$A486&amp;" ")-1)))</f>
        <v/>
      </c>
      <c r="P486" s="43" t="str">
        <f aca="false">IF($A486="","",TRIM(RIGHT(SUBSTITUTE(TRIM($A486)," ",REPT(" ",30)),30)))</f>
        <v/>
      </c>
      <c r="Q486" s="98" t="str">
        <f aca="false">IF($A486="","",IFERROR(DATE(IF(LEN(P486)=8,2000+VALUE(RIGHT(P486,2)),VALUE(RIGHT(P486,4))),VALUE(LEFT(P486,2)),VALUE(MID(P486,4,2))),""))</f>
        <v/>
      </c>
      <c r="R486" s="89" t="n">
        <f aca="false">IF($A486="",0,IF(ISNUMBER(SEARCH("Float",$A486)),1,0))</f>
        <v>0</v>
      </c>
      <c r="S486" s="43" t="str">
        <f aca="false">IF($A486="","",TRIM(MID($A486,LEN(O486)+2,LEN($A486)-LEN(O486)-LEN(P486)-1)))</f>
        <v/>
      </c>
      <c r="T486" s="92" t="str">
        <f aca="false">IF(OR($A486="",R486=1),"",IFERROR(IF(ISNUMBER(FIND("/",S486)),IF(ISNUMBER(FIND(" ",S486)),VALUE(LEFT(S486,FIND(" ",S486)-1))+VALUE(MID(S486,FIND(" ",S486)+1,FIND("/",S486)-FIND(" ",S486)-1))/VALUE(MID(S486,FIND("/",S486)+1,9)),VALUE(LEFT(S486,FIND("/",S486)-1))/VALUE(MID(S486,FIND("/",S486)+1,9))),VALUE(S486)),""))</f>
        <v/>
      </c>
      <c r="U486" s="43" t="str">
        <f aca="false">IF(OR($A486="",NOT(ISNUMBER(Q486))),"",TEXT(Q486,"yyyymmdd")&amp;"|"&amp;IF(R486=1,"F",TEXT(T486,"0.000")))</f>
        <v/>
      </c>
      <c r="V486" s="43" t="str">
        <f aca="false">IF(U486="","",O486&amp;"|"&amp;U486)</f>
        <v/>
      </c>
      <c r="W486" s="43" t="str">
        <f aca="false">IF($A486="","",IFERROR(IF(VLOOKUP(O486,매핑!$A$4:$E$92,3,0)="","미분류",VLOOKUP(O486,매핑!$A$4:$E$92,3,0)),"미분류"))</f>
        <v/>
      </c>
      <c r="X486" s="89" t="n">
        <f aca="false">IF($A486="",0,IF(O486="T",1,0))</f>
        <v>0</v>
      </c>
      <c r="Y486" s="89" t="n">
        <f aca="false">IF($A486="",0,IF(AND(C486="USD",X486=0,ISNUMBER(E486),ISNUMBER(K486)),IF(K486&gt;=설정!$C$8,1,0),0))</f>
        <v>0</v>
      </c>
      <c r="Z486" s="43" t="str">
        <f aca="false">IF($A486="","",N486&amp;"|"&amp;L486)</f>
        <v/>
      </c>
      <c r="AA486" s="92" t="n">
        <f aca="false">IF(Y486=1,LN(K486),0)</f>
        <v>0</v>
      </c>
      <c r="AB486" s="93" t="n">
        <f aca="false">IF(Y486=1,E486,0)</f>
        <v>0</v>
      </c>
      <c r="AC486" s="89" t="n">
        <f aca="false">IF(Y486=1,COUNTIFS($Z$2:$Z$601,Z486,$Y$2:$Y$601,1),0)</f>
        <v>0</v>
      </c>
      <c r="AD486" s="89" t="n">
        <f aca="false">IF(Y486=1,COUNTIFS($N$2:$N$601,N486,$Y$2:$Y$601,1),0)</f>
        <v>0</v>
      </c>
      <c r="AE486" s="43" t="str">
        <f aca="false">IF(Y486&lt;&gt;1,"",IF(AND(AC486&gt;=설정!$C$7,ISNUMBER(MATCH(Z486,피어커브!$A:$A,0))),Z486,IF(AND(AD486&gt;=설정!$C$7,ISNUMBER(MATCH(N486&amp;"|전체",피어커브!$A:$A,0))),N486&amp;"|전체","전체|전체")))</f>
        <v/>
      </c>
      <c r="AF486" s="93" t="str">
        <f aca="false">IF(AE486="","",INDEX(피어커브!$K:$K,MATCH(AE486,피어커브!$A:$A,0)))</f>
        <v/>
      </c>
      <c r="AG486" s="93" t="str">
        <f aca="false">IF(AE486="","",INDEX(피어커브!$J:$J,MATCH(AE486,피어커브!$A:$A,0)))</f>
        <v/>
      </c>
      <c r="AH486" s="93" t="str">
        <f aca="false">IF(AE486="","",INDEX(피어커브!$L:$L,MATCH(AE486,피어커브!$A:$A,0)))</f>
        <v/>
      </c>
      <c r="AI486" s="93" t="str">
        <f aca="false">IF(AE486="","",AF486+AG486*AA486)</f>
        <v/>
      </c>
      <c r="AJ486" s="96" t="str">
        <f aca="false">IF(AE486="","",E486-AI486)</f>
        <v/>
      </c>
      <c r="AK486" s="95" t="str">
        <f aca="false">IF(AE486="","",IF(ISNUMBER(AH486),IF(AH486&gt;0,AJ486/AH486,""),""))</f>
        <v/>
      </c>
      <c r="AL486" s="43" t="str">
        <f aca="false">IF(AK486="","-",IF(AK486&gt;=설정!$C$6,"Cheap",IF(AK486&lt;=-설정!$C$6,"Rich","Fair")))</f>
        <v>-</v>
      </c>
      <c r="AM486" s="96" t="str">
        <f aca="false">IF(AE486="","",AJ486-AVERAGEIFS($AJ$2:$AJ$601,$B$2:$B$601,B486,$Y$2:$Y$601,1))</f>
        <v/>
      </c>
      <c r="AN486" s="93" t="n">
        <f aca="false">IF(AE486="",0,IF(K486&gt;1+설정!$C$8,AG486*(AA486-LN(K486-1)),0))</f>
        <v>0</v>
      </c>
      <c r="AO486" s="99" t="n">
        <f aca="false">IF($A486="",0,SUMIFS(보유분석!$AA$2:$AA$801,보유분석!$AB$2:$AB$801,ROW(),보유분석!$AC$2:$AC$801,1))</f>
        <v>0</v>
      </c>
      <c r="AP486" s="43" t="str">
        <f aca="false">IF($A486="","",TRIM(IF(R486=1,"FRN ","")&amp;IF(IFERROR(VLOOKUP(M486,설정!$A$15:$D$47,4,0),0)&gt;=10,IF(IFERROR(VLOOKUP(M486,설정!$A$15:$D$47,4,0),0)&lt;99,"BBB0미만 ",""),"")&amp;IF(OR(M486="",M486="NR"),"등급미입력 ","")&amp;IF(C486&lt;&gt;"USD","비USD ","")))</f>
        <v/>
      </c>
      <c r="AQ486" s="90" t="n">
        <f aca="false">IF(AND(Y486=1,AL486="Cheap"),IF(AND(ISERROR(SEARCH("FRN",AP486)),ISERROR(SEARCH("BBB0미만",AP486))),AK486+ROW()/1000000000,-999),-999)</f>
        <v>-999</v>
      </c>
      <c r="AR486" s="92" t="str">
        <f aca="false">IF(AND(ISNUMBER(D486),ISNUMBER(K486)),D486+AN486*MAX(K486-1,0)/100,"")</f>
        <v/>
      </c>
      <c r="AS486" s="93" t="str">
        <f aca="false">IF(AND(ISNUMBER(E486),ISNUMBER(K486)),IF(K486&gt;0,(E486+AN486*MAX(K486-1,0))/K486,""),"")</f>
        <v/>
      </c>
      <c r="AT486" s="90" t="n">
        <f aca="false">IFERROR(IF(AND(Y486=1,ROW()&lt;&gt;스왑분석!$C$12+1,ABS(K486-INDEX($K$2:$K$601,스왑분석!$C$12))&lt;=스왑분석!$C$5,ISERROR(SEARCH("FRN",AP486)),ISERROR(SEARCH("BBB0미만",AP486))),IF(AND(OR(스왑분석!$C$6="N",L486=INDEX($L$2:$L$601,스왑분석!$C$12)),OR(스왑분석!$C$7="N",N486=INDEX($N$2:$N$601,스왑분석!$C$12)),OR(스왑분석!$C$8="N",AO486=0),E486-INDEX($E$2:$E$601,스왑분석!$C$12)&gt;=스왑분석!$C$9),E486-INDEX($E$2:$E$601,스왑분석!$C$12)+ROW()/1000000000,-999),-999),-999)</f>
        <v>-999</v>
      </c>
      <c r="AU486" s="90" t="n">
        <f aca="false">IF(AND(Y486=1,AO486&gt;0,AL486="Rich"),-AK486+ROW()/1000000000,-999)</f>
        <v>-999</v>
      </c>
    </row>
    <row r="487" customFormat="false" ht="15" hidden="false" customHeight="false" outlineLevel="0" collapsed="false">
      <c r="A487" s="83" t="n">
        <f aca="false">IFERROR(IF(INDEX(원자료_시장!$A$1:$BZ$1000,설정!$L$6+ROW()-1,설정!$L$24)&amp;""="0","",INDEX(원자료_시장!$A$1:$BZ$1000,설정!$L$6+ROW()-1,설정!$L$24)),"")</f>
        <v>0</v>
      </c>
      <c r="B487" s="83" t="n">
        <f aca="false">IFERROR(IF(INDEX(원자료_시장!$A$1:$BZ$1000,설정!$L$6+ROW()-1,설정!$L$37)&amp;""="0","",INDEX(원자료_시장!$A$1:$BZ$1000,설정!$L$6+ROW()-1,설정!$L$37)),"")</f>
        <v>0</v>
      </c>
      <c r="C487" s="83" t="n">
        <f aca="false">IFERROR(IF(INDEX(원자료_시장!$A$1:$BZ$1000,설정!$L$6+ROW()-1,설정!$L$25)&amp;""="0","",INDEX(원자료_시장!$A$1:$BZ$1000,설정!$L$6+ROW()-1,설정!$L$25)),"")</f>
        <v>0</v>
      </c>
      <c r="D487" s="85" t="str">
        <f aca="false">IFERROR(IF(ISNUMBER(INDEX(원자료_시장!$A$1:$BZ$1000,설정!$L$6+ROW()-1,설정!$L$26)),INDEX(원자료_시장!$A$1:$BZ$1000,설정!$L$6+ROW()-1,설정!$L$26),""),"")</f>
        <v/>
      </c>
      <c r="E487" s="97" t="str">
        <f aca="false">IFERROR(IF(ISNUMBER(INDEX(원자료_시장!$A$1:$BZ$1000,설정!$L$6+ROW()-1,설정!$L$27)),INDEX(원자료_시장!$A$1:$BZ$1000,설정!$L$6+ROW()-1,설정!$L$27),""),"")</f>
        <v/>
      </c>
      <c r="F487" s="97" t="str">
        <f aca="false">IFERROR(IF(ISNUMBER(INDEX(원자료_시장!$A$1:$BZ$1000,설정!$L$6+ROW()-1,설정!$L$28)),INDEX(원자료_시장!$A$1:$BZ$1000,설정!$L$6+ROW()-1,설정!$L$28),""),"")</f>
        <v/>
      </c>
      <c r="G487" s="97" t="str">
        <f aca="false">IFERROR(IF(ISNUMBER(INDEX(원자료_시장!$A$1:$BZ$1000,설정!$L$6+ROW()-1,설정!$L$29)),INDEX(원자료_시장!$A$1:$BZ$1000,설정!$L$6+ROW()-1,설정!$L$29),""),"")</f>
        <v/>
      </c>
      <c r="H487" s="97" t="str">
        <f aca="false">IFERROR(IF(ISNUMBER(INDEX(원자료_시장!$A$1:$BZ$1000,설정!$L$6+ROW()-1,설정!$L$30)),INDEX(원자료_시장!$A$1:$BZ$1000,설정!$L$6+ROW()-1,설정!$L$30),""),"")</f>
        <v/>
      </c>
      <c r="I487" s="97" t="str">
        <f aca="false">IFERROR(IF(ISNUMBER(INDEX(원자료_시장!$A$1:$BZ$1000,설정!$L$6+ROW()-1,설정!$L$31)),INDEX(원자료_시장!$A$1:$BZ$1000,설정!$L$6+ROW()-1,설정!$L$31),""),"")</f>
        <v/>
      </c>
      <c r="J487" s="97" t="str">
        <f aca="false">IFERROR(IF(ISNUMBER(INDEX(원자료_시장!$A$1:$BZ$1000,설정!$L$6+ROW()-1,설정!$L$32)),INDEX(원자료_시장!$A$1:$BZ$1000,설정!$L$6+ROW()-1,설정!$L$32),""),"")</f>
        <v/>
      </c>
      <c r="K487" s="85" t="str">
        <f aca="false">IFERROR(IF(ISNUMBER(INDEX(원자료_시장!$A$1:$BZ$1000,설정!$L$6+ROW()-1,설정!$L$33)),INDEX(원자료_시장!$A$1:$BZ$1000,설정!$L$6+ROW()-1,설정!$L$33),""),"")</f>
        <v/>
      </c>
      <c r="L487" s="83" t="n">
        <f aca="false">IFERROR(IF(INDEX(원자료_시장!$A$1:$BZ$1000,설정!$L$6+ROW()-1,설정!$L$34)&amp;""="0","",INDEX(원자료_시장!$A$1:$BZ$1000,설정!$L$6+ROW()-1,설정!$L$34)),"")</f>
        <v>0</v>
      </c>
      <c r="M487" s="83" t="n">
        <f aca="false">IFERROR(IF(INDEX(원자료_시장!$A$1:$BZ$1000,설정!$L$6+ROW()-1,설정!$L$35)&amp;""="0","",INDEX(원자료_시장!$A$1:$BZ$1000,설정!$L$6+ROW()-1,설정!$L$35)),"")</f>
        <v>0</v>
      </c>
      <c r="N487" s="83" t="n">
        <f aca="false">IFERROR(IF(INDEX(원자료_시장!$A$1:$BZ$1000,설정!$L$6+ROW()-1,설정!$L$36)&amp;""="0","",INDEX(원자료_시장!$A$1:$BZ$1000,설정!$L$6+ROW()-1,설정!$L$36)),"")</f>
        <v>0</v>
      </c>
      <c r="O487" s="43" t="str">
        <f aca="false">IF($A487="","",UPPER(LEFT($A487,FIND(" ",$A487&amp;" ")-1)))</f>
        <v/>
      </c>
      <c r="P487" s="43" t="str">
        <f aca="false">IF($A487="","",TRIM(RIGHT(SUBSTITUTE(TRIM($A487)," ",REPT(" ",30)),30)))</f>
        <v/>
      </c>
      <c r="Q487" s="98" t="str">
        <f aca="false">IF($A487="","",IFERROR(DATE(IF(LEN(P487)=8,2000+VALUE(RIGHT(P487,2)),VALUE(RIGHT(P487,4))),VALUE(LEFT(P487,2)),VALUE(MID(P487,4,2))),""))</f>
        <v/>
      </c>
      <c r="R487" s="89" t="n">
        <f aca="false">IF($A487="",0,IF(ISNUMBER(SEARCH("Float",$A487)),1,0))</f>
        <v>0</v>
      </c>
      <c r="S487" s="43" t="str">
        <f aca="false">IF($A487="","",TRIM(MID($A487,LEN(O487)+2,LEN($A487)-LEN(O487)-LEN(P487)-1)))</f>
        <v/>
      </c>
      <c r="T487" s="92" t="str">
        <f aca="false">IF(OR($A487="",R487=1),"",IFERROR(IF(ISNUMBER(FIND("/",S487)),IF(ISNUMBER(FIND(" ",S487)),VALUE(LEFT(S487,FIND(" ",S487)-1))+VALUE(MID(S487,FIND(" ",S487)+1,FIND("/",S487)-FIND(" ",S487)-1))/VALUE(MID(S487,FIND("/",S487)+1,9)),VALUE(LEFT(S487,FIND("/",S487)-1))/VALUE(MID(S487,FIND("/",S487)+1,9))),VALUE(S487)),""))</f>
        <v/>
      </c>
      <c r="U487" s="43" t="str">
        <f aca="false">IF(OR($A487="",NOT(ISNUMBER(Q487))),"",TEXT(Q487,"yyyymmdd")&amp;"|"&amp;IF(R487=1,"F",TEXT(T487,"0.000")))</f>
        <v/>
      </c>
      <c r="V487" s="43" t="str">
        <f aca="false">IF(U487="","",O487&amp;"|"&amp;U487)</f>
        <v/>
      </c>
      <c r="W487" s="43" t="str">
        <f aca="false">IF($A487="","",IFERROR(IF(VLOOKUP(O487,매핑!$A$4:$E$92,3,0)="","미분류",VLOOKUP(O487,매핑!$A$4:$E$92,3,0)),"미분류"))</f>
        <v/>
      </c>
      <c r="X487" s="89" t="n">
        <f aca="false">IF($A487="",0,IF(O487="T",1,0))</f>
        <v>0</v>
      </c>
      <c r="Y487" s="89" t="n">
        <f aca="false">IF($A487="",0,IF(AND(C487="USD",X487=0,ISNUMBER(E487),ISNUMBER(K487)),IF(K487&gt;=설정!$C$8,1,0),0))</f>
        <v>0</v>
      </c>
      <c r="Z487" s="43" t="str">
        <f aca="false">IF($A487="","",N487&amp;"|"&amp;L487)</f>
        <v/>
      </c>
      <c r="AA487" s="92" t="n">
        <f aca="false">IF(Y487=1,LN(K487),0)</f>
        <v>0</v>
      </c>
      <c r="AB487" s="93" t="n">
        <f aca="false">IF(Y487=1,E487,0)</f>
        <v>0</v>
      </c>
      <c r="AC487" s="89" t="n">
        <f aca="false">IF(Y487=1,COUNTIFS($Z$2:$Z$601,Z487,$Y$2:$Y$601,1),0)</f>
        <v>0</v>
      </c>
      <c r="AD487" s="89" t="n">
        <f aca="false">IF(Y487=1,COUNTIFS($N$2:$N$601,N487,$Y$2:$Y$601,1),0)</f>
        <v>0</v>
      </c>
      <c r="AE487" s="43" t="str">
        <f aca="false">IF(Y487&lt;&gt;1,"",IF(AND(AC487&gt;=설정!$C$7,ISNUMBER(MATCH(Z487,피어커브!$A:$A,0))),Z487,IF(AND(AD487&gt;=설정!$C$7,ISNUMBER(MATCH(N487&amp;"|전체",피어커브!$A:$A,0))),N487&amp;"|전체","전체|전체")))</f>
        <v/>
      </c>
      <c r="AF487" s="93" t="str">
        <f aca="false">IF(AE487="","",INDEX(피어커브!$K:$K,MATCH(AE487,피어커브!$A:$A,0)))</f>
        <v/>
      </c>
      <c r="AG487" s="93" t="str">
        <f aca="false">IF(AE487="","",INDEX(피어커브!$J:$J,MATCH(AE487,피어커브!$A:$A,0)))</f>
        <v/>
      </c>
      <c r="AH487" s="93" t="str">
        <f aca="false">IF(AE487="","",INDEX(피어커브!$L:$L,MATCH(AE487,피어커브!$A:$A,0)))</f>
        <v/>
      </c>
      <c r="AI487" s="93" t="str">
        <f aca="false">IF(AE487="","",AF487+AG487*AA487)</f>
        <v/>
      </c>
      <c r="AJ487" s="96" t="str">
        <f aca="false">IF(AE487="","",E487-AI487)</f>
        <v/>
      </c>
      <c r="AK487" s="95" t="str">
        <f aca="false">IF(AE487="","",IF(ISNUMBER(AH487),IF(AH487&gt;0,AJ487/AH487,""),""))</f>
        <v/>
      </c>
      <c r="AL487" s="43" t="str">
        <f aca="false">IF(AK487="","-",IF(AK487&gt;=설정!$C$6,"Cheap",IF(AK487&lt;=-설정!$C$6,"Rich","Fair")))</f>
        <v>-</v>
      </c>
      <c r="AM487" s="96" t="str">
        <f aca="false">IF(AE487="","",AJ487-AVERAGEIFS($AJ$2:$AJ$601,$B$2:$B$601,B487,$Y$2:$Y$601,1))</f>
        <v/>
      </c>
      <c r="AN487" s="93" t="n">
        <f aca="false">IF(AE487="",0,IF(K487&gt;1+설정!$C$8,AG487*(AA487-LN(K487-1)),0))</f>
        <v>0</v>
      </c>
      <c r="AO487" s="99" t="n">
        <f aca="false">IF($A487="",0,SUMIFS(보유분석!$AA$2:$AA$801,보유분석!$AB$2:$AB$801,ROW(),보유분석!$AC$2:$AC$801,1))</f>
        <v>0</v>
      </c>
      <c r="AP487" s="43" t="str">
        <f aca="false">IF($A487="","",TRIM(IF(R487=1,"FRN ","")&amp;IF(IFERROR(VLOOKUP(M487,설정!$A$15:$D$47,4,0),0)&gt;=10,IF(IFERROR(VLOOKUP(M487,설정!$A$15:$D$47,4,0),0)&lt;99,"BBB0미만 ",""),"")&amp;IF(OR(M487="",M487="NR"),"등급미입력 ","")&amp;IF(C487&lt;&gt;"USD","비USD ","")))</f>
        <v/>
      </c>
      <c r="AQ487" s="90" t="n">
        <f aca="false">IF(AND(Y487=1,AL487="Cheap"),IF(AND(ISERROR(SEARCH("FRN",AP487)),ISERROR(SEARCH("BBB0미만",AP487))),AK487+ROW()/1000000000,-999),-999)</f>
        <v>-999</v>
      </c>
      <c r="AR487" s="92" t="str">
        <f aca="false">IF(AND(ISNUMBER(D487),ISNUMBER(K487)),D487+AN487*MAX(K487-1,0)/100,"")</f>
        <v/>
      </c>
      <c r="AS487" s="93" t="str">
        <f aca="false">IF(AND(ISNUMBER(E487),ISNUMBER(K487)),IF(K487&gt;0,(E487+AN487*MAX(K487-1,0))/K487,""),"")</f>
        <v/>
      </c>
      <c r="AT487" s="90" t="n">
        <f aca="false">IFERROR(IF(AND(Y487=1,ROW()&lt;&gt;스왑분석!$C$12+1,ABS(K487-INDEX($K$2:$K$601,스왑분석!$C$12))&lt;=스왑분석!$C$5,ISERROR(SEARCH("FRN",AP487)),ISERROR(SEARCH("BBB0미만",AP487))),IF(AND(OR(스왑분석!$C$6="N",L487=INDEX($L$2:$L$601,스왑분석!$C$12)),OR(스왑분석!$C$7="N",N487=INDEX($N$2:$N$601,스왑분석!$C$12)),OR(스왑분석!$C$8="N",AO487=0),E487-INDEX($E$2:$E$601,스왑분석!$C$12)&gt;=스왑분석!$C$9),E487-INDEX($E$2:$E$601,스왑분석!$C$12)+ROW()/1000000000,-999),-999),-999)</f>
        <v>-999</v>
      </c>
      <c r="AU487" s="90" t="n">
        <f aca="false">IF(AND(Y487=1,AO487&gt;0,AL487="Rich"),-AK487+ROW()/1000000000,-999)</f>
        <v>-999</v>
      </c>
    </row>
    <row r="488" customFormat="false" ht="15" hidden="false" customHeight="false" outlineLevel="0" collapsed="false">
      <c r="A488" s="83" t="n">
        <f aca="false">IFERROR(IF(INDEX(원자료_시장!$A$1:$BZ$1000,설정!$L$6+ROW()-1,설정!$L$24)&amp;""="0","",INDEX(원자료_시장!$A$1:$BZ$1000,설정!$L$6+ROW()-1,설정!$L$24)),"")</f>
        <v>0</v>
      </c>
      <c r="B488" s="83" t="n">
        <f aca="false">IFERROR(IF(INDEX(원자료_시장!$A$1:$BZ$1000,설정!$L$6+ROW()-1,설정!$L$37)&amp;""="0","",INDEX(원자료_시장!$A$1:$BZ$1000,설정!$L$6+ROW()-1,설정!$L$37)),"")</f>
        <v>0</v>
      </c>
      <c r="C488" s="83" t="n">
        <f aca="false">IFERROR(IF(INDEX(원자료_시장!$A$1:$BZ$1000,설정!$L$6+ROW()-1,설정!$L$25)&amp;""="0","",INDEX(원자료_시장!$A$1:$BZ$1000,설정!$L$6+ROW()-1,설정!$L$25)),"")</f>
        <v>0</v>
      </c>
      <c r="D488" s="85" t="str">
        <f aca="false">IFERROR(IF(ISNUMBER(INDEX(원자료_시장!$A$1:$BZ$1000,설정!$L$6+ROW()-1,설정!$L$26)),INDEX(원자료_시장!$A$1:$BZ$1000,설정!$L$6+ROW()-1,설정!$L$26),""),"")</f>
        <v/>
      </c>
      <c r="E488" s="97" t="str">
        <f aca="false">IFERROR(IF(ISNUMBER(INDEX(원자료_시장!$A$1:$BZ$1000,설정!$L$6+ROW()-1,설정!$L$27)),INDEX(원자료_시장!$A$1:$BZ$1000,설정!$L$6+ROW()-1,설정!$L$27),""),"")</f>
        <v/>
      </c>
      <c r="F488" s="97" t="str">
        <f aca="false">IFERROR(IF(ISNUMBER(INDEX(원자료_시장!$A$1:$BZ$1000,설정!$L$6+ROW()-1,설정!$L$28)),INDEX(원자료_시장!$A$1:$BZ$1000,설정!$L$6+ROW()-1,설정!$L$28),""),"")</f>
        <v/>
      </c>
      <c r="G488" s="97" t="str">
        <f aca="false">IFERROR(IF(ISNUMBER(INDEX(원자료_시장!$A$1:$BZ$1000,설정!$L$6+ROW()-1,설정!$L$29)),INDEX(원자료_시장!$A$1:$BZ$1000,설정!$L$6+ROW()-1,설정!$L$29),""),"")</f>
        <v/>
      </c>
      <c r="H488" s="97" t="str">
        <f aca="false">IFERROR(IF(ISNUMBER(INDEX(원자료_시장!$A$1:$BZ$1000,설정!$L$6+ROW()-1,설정!$L$30)),INDEX(원자료_시장!$A$1:$BZ$1000,설정!$L$6+ROW()-1,설정!$L$30),""),"")</f>
        <v/>
      </c>
      <c r="I488" s="97" t="str">
        <f aca="false">IFERROR(IF(ISNUMBER(INDEX(원자료_시장!$A$1:$BZ$1000,설정!$L$6+ROW()-1,설정!$L$31)),INDEX(원자료_시장!$A$1:$BZ$1000,설정!$L$6+ROW()-1,설정!$L$31),""),"")</f>
        <v/>
      </c>
      <c r="J488" s="97" t="str">
        <f aca="false">IFERROR(IF(ISNUMBER(INDEX(원자료_시장!$A$1:$BZ$1000,설정!$L$6+ROW()-1,설정!$L$32)),INDEX(원자료_시장!$A$1:$BZ$1000,설정!$L$6+ROW()-1,설정!$L$32),""),"")</f>
        <v/>
      </c>
      <c r="K488" s="85" t="str">
        <f aca="false">IFERROR(IF(ISNUMBER(INDEX(원자료_시장!$A$1:$BZ$1000,설정!$L$6+ROW()-1,설정!$L$33)),INDEX(원자료_시장!$A$1:$BZ$1000,설정!$L$6+ROW()-1,설정!$L$33),""),"")</f>
        <v/>
      </c>
      <c r="L488" s="83" t="n">
        <f aca="false">IFERROR(IF(INDEX(원자료_시장!$A$1:$BZ$1000,설정!$L$6+ROW()-1,설정!$L$34)&amp;""="0","",INDEX(원자료_시장!$A$1:$BZ$1000,설정!$L$6+ROW()-1,설정!$L$34)),"")</f>
        <v>0</v>
      </c>
      <c r="M488" s="83" t="n">
        <f aca="false">IFERROR(IF(INDEX(원자료_시장!$A$1:$BZ$1000,설정!$L$6+ROW()-1,설정!$L$35)&amp;""="0","",INDEX(원자료_시장!$A$1:$BZ$1000,설정!$L$6+ROW()-1,설정!$L$35)),"")</f>
        <v>0</v>
      </c>
      <c r="N488" s="83" t="n">
        <f aca="false">IFERROR(IF(INDEX(원자료_시장!$A$1:$BZ$1000,설정!$L$6+ROW()-1,설정!$L$36)&amp;""="0","",INDEX(원자료_시장!$A$1:$BZ$1000,설정!$L$6+ROW()-1,설정!$L$36)),"")</f>
        <v>0</v>
      </c>
      <c r="O488" s="43" t="str">
        <f aca="false">IF($A488="","",UPPER(LEFT($A488,FIND(" ",$A488&amp;" ")-1)))</f>
        <v/>
      </c>
      <c r="P488" s="43" t="str">
        <f aca="false">IF($A488="","",TRIM(RIGHT(SUBSTITUTE(TRIM($A488)," ",REPT(" ",30)),30)))</f>
        <v/>
      </c>
      <c r="Q488" s="98" t="str">
        <f aca="false">IF($A488="","",IFERROR(DATE(IF(LEN(P488)=8,2000+VALUE(RIGHT(P488,2)),VALUE(RIGHT(P488,4))),VALUE(LEFT(P488,2)),VALUE(MID(P488,4,2))),""))</f>
        <v/>
      </c>
      <c r="R488" s="89" t="n">
        <f aca="false">IF($A488="",0,IF(ISNUMBER(SEARCH("Float",$A488)),1,0))</f>
        <v>0</v>
      </c>
      <c r="S488" s="43" t="str">
        <f aca="false">IF($A488="","",TRIM(MID($A488,LEN(O488)+2,LEN($A488)-LEN(O488)-LEN(P488)-1)))</f>
        <v/>
      </c>
      <c r="T488" s="92" t="str">
        <f aca="false">IF(OR($A488="",R488=1),"",IFERROR(IF(ISNUMBER(FIND("/",S488)),IF(ISNUMBER(FIND(" ",S488)),VALUE(LEFT(S488,FIND(" ",S488)-1))+VALUE(MID(S488,FIND(" ",S488)+1,FIND("/",S488)-FIND(" ",S488)-1))/VALUE(MID(S488,FIND("/",S488)+1,9)),VALUE(LEFT(S488,FIND("/",S488)-1))/VALUE(MID(S488,FIND("/",S488)+1,9))),VALUE(S488)),""))</f>
        <v/>
      </c>
      <c r="U488" s="43" t="str">
        <f aca="false">IF(OR($A488="",NOT(ISNUMBER(Q488))),"",TEXT(Q488,"yyyymmdd")&amp;"|"&amp;IF(R488=1,"F",TEXT(T488,"0.000")))</f>
        <v/>
      </c>
      <c r="V488" s="43" t="str">
        <f aca="false">IF(U488="","",O488&amp;"|"&amp;U488)</f>
        <v/>
      </c>
      <c r="W488" s="43" t="str">
        <f aca="false">IF($A488="","",IFERROR(IF(VLOOKUP(O488,매핑!$A$4:$E$92,3,0)="","미분류",VLOOKUP(O488,매핑!$A$4:$E$92,3,0)),"미분류"))</f>
        <v/>
      </c>
      <c r="X488" s="89" t="n">
        <f aca="false">IF($A488="",0,IF(O488="T",1,0))</f>
        <v>0</v>
      </c>
      <c r="Y488" s="89" t="n">
        <f aca="false">IF($A488="",0,IF(AND(C488="USD",X488=0,ISNUMBER(E488),ISNUMBER(K488)),IF(K488&gt;=설정!$C$8,1,0),0))</f>
        <v>0</v>
      </c>
      <c r="Z488" s="43" t="str">
        <f aca="false">IF($A488="","",N488&amp;"|"&amp;L488)</f>
        <v/>
      </c>
      <c r="AA488" s="92" t="n">
        <f aca="false">IF(Y488=1,LN(K488),0)</f>
        <v>0</v>
      </c>
      <c r="AB488" s="93" t="n">
        <f aca="false">IF(Y488=1,E488,0)</f>
        <v>0</v>
      </c>
      <c r="AC488" s="89" t="n">
        <f aca="false">IF(Y488=1,COUNTIFS($Z$2:$Z$601,Z488,$Y$2:$Y$601,1),0)</f>
        <v>0</v>
      </c>
      <c r="AD488" s="89" t="n">
        <f aca="false">IF(Y488=1,COUNTIFS($N$2:$N$601,N488,$Y$2:$Y$601,1),0)</f>
        <v>0</v>
      </c>
      <c r="AE488" s="43" t="str">
        <f aca="false">IF(Y488&lt;&gt;1,"",IF(AND(AC488&gt;=설정!$C$7,ISNUMBER(MATCH(Z488,피어커브!$A:$A,0))),Z488,IF(AND(AD488&gt;=설정!$C$7,ISNUMBER(MATCH(N488&amp;"|전체",피어커브!$A:$A,0))),N488&amp;"|전체","전체|전체")))</f>
        <v/>
      </c>
      <c r="AF488" s="93" t="str">
        <f aca="false">IF(AE488="","",INDEX(피어커브!$K:$K,MATCH(AE488,피어커브!$A:$A,0)))</f>
        <v/>
      </c>
      <c r="AG488" s="93" t="str">
        <f aca="false">IF(AE488="","",INDEX(피어커브!$J:$J,MATCH(AE488,피어커브!$A:$A,0)))</f>
        <v/>
      </c>
      <c r="AH488" s="93" t="str">
        <f aca="false">IF(AE488="","",INDEX(피어커브!$L:$L,MATCH(AE488,피어커브!$A:$A,0)))</f>
        <v/>
      </c>
      <c r="AI488" s="93" t="str">
        <f aca="false">IF(AE488="","",AF488+AG488*AA488)</f>
        <v/>
      </c>
      <c r="AJ488" s="96" t="str">
        <f aca="false">IF(AE488="","",E488-AI488)</f>
        <v/>
      </c>
      <c r="AK488" s="95" t="str">
        <f aca="false">IF(AE488="","",IF(ISNUMBER(AH488),IF(AH488&gt;0,AJ488/AH488,""),""))</f>
        <v/>
      </c>
      <c r="AL488" s="43" t="str">
        <f aca="false">IF(AK488="","-",IF(AK488&gt;=설정!$C$6,"Cheap",IF(AK488&lt;=-설정!$C$6,"Rich","Fair")))</f>
        <v>-</v>
      </c>
      <c r="AM488" s="96" t="str">
        <f aca="false">IF(AE488="","",AJ488-AVERAGEIFS($AJ$2:$AJ$601,$B$2:$B$601,B488,$Y$2:$Y$601,1))</f>
        <v/>
      </c>
      <c r="AN488" s="93" t="n">
        <f aca="false">IF(AE488="",0,IF(K488&gt;1+설정!$C$8,AG488*(AA488-LN(K488-1)),0))</f>
        <v>0</v>
      </c>
      <c r="AO488" s="99" t="n">
        <f aca="false">IF($A488="",0,SUMIFS(보유분석!$AA$2:$AA$801,보유분석!$AB$2:$AB$801,ROW(),보유분석!$AC$2:$AC$801,1))</f>
        <v>0</v>
      </c>
      <c r="AP488" s="43" t="str">
        <f aca="false">IF($A488="","",TRIM(IF(R488=1,"FRN ","")&amp;IF(IFERROR(VLOOKUP(M488,설정!$A$15:$D$47,4,0),0)&gt;=10,IF(IFERROR(VLOOKUP(M488,설정!$A$15:$D$47,4,0),0)&lt;99,"BBB0미만 ",""),"")&amp;IF(OR(M488="",M488="NR"),"등급미입력 ","")&amp;IF(C488&lt;&gt;"USD","비USD ","")))</f>
        <v/>
      </c>
      <c r="AQ488" s="90" t="n">
        <f aca="false">IF(AND(Y488=1,AL488="Cheap"),IF(AND(ISERROR(SEARCH("FRN",AP488)),ISERROR(SEARCH("BBB0미만",AP488))),AK488+ROW()/1000000000,-999),-999)</f>
        <v>-999</v>
      </c>
      <c r="AR488" s="92" t="str">
        <f aca="false">IF(AND(ISNUMBER(D488),ISNUMBER(K488)),D488+AN488*MAX(K488-1,0)/100,"")</f>
        <v/>
      </c>
      <c r="AS488" s="93" t="str">
        <f aca="false">IF(AND(ISNUMBER(E488),ISNUMBER(K488)),IF(K488&gt;0,(E488+AN488*MAX(K488-1,0))/K488,""),"")</f>
        <v/>
      </c>
      <c r="AT488" s="90" t="n">
        <f aca="false">IFERROR(IF(AND(Y488=1,ROW()&lt;&gt;스왑분석!$C$12+1,ABS(K488-INDEX($K$2:$K$601,스왑분석!$C$12))&lt;=스왑분석!$C$5,ISERROR(SEARCH("FRN",AP488)),ISERROR(SEARCH("BBB0미만",AP488))),IF(AND(OR(스왑분석!$C$6="N",L488=INDEX($L$2:$L$601,스왑분석!$C$12)),OR(스왑분석!$C$7="N",N488=INDEX($N$2:$N$601,스왑분석!$C$12)),OR(스왑분석!$C$8="N",AO488=0),E488-INDEX($E$2:$E$601,스왑분석!$C$12)&gt;=스왑분석!$C$9),E488-INDEX($E$2:$E$601,스왑분석!$C$12)+ROW()/1000000000,-999),-999),-999)</f>
        <v>-999</v>
      </c>
      <c r="AU488" s="90" t="n">
        <f aca="false">IF(AND(Y488=1,AO488&gt;0,AL488="Rich"),-AK488+ROW()/1000000000,-999)</f>
        <v>-999</v>
      </c>
    </row>
    <row r="489" customFormat="false" ht="15" hidden="false" customHeight="false" outlineLevel="0" collapsed="false">
      <c r="A489" s="83" t="n">
        <f aca="false">IFERROR(IF(INDEX(원자료_시장!$A$1:$BZ$1000,설정!$L$6+ROW()-1,설정!$L$24)&amp;""="0","",INDEX(원자료_시장!$A$1:$BZ$1000,설정!$L$6+ROW()-1,설정!$L$24)),"")</f>
        <v>0</v>
      </c>
      <c r="B489" s="83" t="n">
        <f aca="false">IFERROR(IF(INDEX(원자료_시장!$A$1:$BZ$1000,설정!$L$6+ROW()-1,설정!$L$37)&amp;""="0","",INDEX(원자료_시장!$A$1:$BZ$1000,설정!$L$6+ROW()-1,설정!$L$37)),"")</f>
        <v>0</v>
      </c>
      <c r="C489" s="83" t="n">
        <f aca="false">IFERROR(IF(INDEX(원자료_시장!$A$1:$BZ$1000,설정!$L$6+ROW()-1,설정!$L$25)&amp;""="0","",INDEX(원자료_시장!$A$1:$BZ$1000,설정!$L$6+ROW()-1,설정!$L$25)),"")</f>
        <v>0</v>
      </c>
      <c r="D489" s="85" t="str">
        <f aca="false">IFERROR(IF(ISNUMBER(INDEX(원자료_시장!$A$1:$BZ$1000,설정!$L$6+ROW()-1,설정!$L$26)),INDEX(원자료_시장!$A$1:$BZ$1000,설정!$L$6+ROW()-1,설정!$L$26),""),"")</f>
        <v/>
      </c>
      <c r="E489" s="97" t="str">
        <f aca="false">IFERROR(IF(ISNUMBER(INDEX(원자료_시장!$A$1:$BZ$1000,설정!$L$6+ROW()-1,설정!$L$27)),INDEX(원자료_시장!$A$1:$BZ$1000,설정!$L$6+ROW()-1,설정!$L$27),""),"")</f>
        <v/>
      </c>
      <c r="F489" s="97" t="str">
        <f aca="false">IFERROR(IF(ISNUMBER(INDEX(원자료_시장!$A$1:$BZ$1000,설정!$L$6+ROW()-1,설정!$L$28)),INDEX(원자료_시장!$A$1:$BZ$1000,설정!$L$6+ROW()-1,설정!$L$28),""),"")</f>
        <v/>
      </c>
      <c r="G489" s="97" t="str">
        <f aca="false">IFERROR(IF(ISNUMBER(INDEX(원자료_시장!$A$1:$BZ$1000,설정!$L$6+ROW()-1,설정!$L$29)),INDEX(원자료_시장!$A$1:$BZ$1000,설정!$L$6+ROW()-1,설정!$L$29),""),"")</f>
        <v/>
      </c>
      <c r="H489" s="97" t="str">
        <f aca="false">IFERROR(IF(ISNUMBER(INDEX(원자료_시장!$A$1:$BZ$1000,설정!$L$6+ROW()-1,설정!$L$30)),INDEX(원자료_시장!$A$1:$BZ$1000,설정!$L$6+ROW()-1,설정!$L$30),""),"")</f>
        <v/>
      </c>
      <c r="I489" s="97" t="str">
        <f aca="false">IFERROR(IF(ISNUMBER(INDEX(원자료_시장!$A$1:$BZ$1000,설정!$L$6+ROW()-1,설정!$L$31)),INDEX(원자료_시장!$A$1:$BZ$1000,설정!$L$6+ROW()-1,설정!$L$31),""),"")</f>
        <v/>
      </c>
      <c r="J489" s="97" t="str">
        <f aca="false">IFERROR(IF(ISNUMBER(INDEX(원자료_시장!$A$1:$BZ$1000,설정!$L$6+ROW()-1,설정!$L$32)),INDEX(원자료_시장!$A$1:$BZ$1000,설정!$L$6+ROW()-1,설정!$L$32),""),"")</f>
        <v/>
      </c>
      <c r="K489" s="85" t="str">
        <f aca="false">IFERROR(IF(ISNUMBER(INDEX(원자료_시장!$A$1:$BZ$1000,설정!$L$6+ROW()-1,설정!$L$33)),INDEX(원자료_시장!$A$1:$BZ$1000,설정!$L$6+ROW()-1,설정!$L$33),""),"")</f>
        <v/>
      </c>
      <c r="L489" s="83" t="n">
        <f aca="false">IFERROR(IF(INDEX(원자료_시장!$A$1:$BZ$1000,설정!$L$6+ROW()-1,설정!$L$34)&amp;""="0","",INDEX(원자료_시장!$A$1:$BZ$1000,설정!$L$6+ROW()-1,설정!$L$34)),"")</f>
        <v>0</v>
      </c>
      <c r="M489" s="83" t="n">
        <f aca="false">IFERROR(IF(INDEX(원자료_시장!$A$1:$BZ$1000,설정!$L$6+ROW()-1,설정!$L$35)&amp;""="0","",INDEX(원자료_시장!$A$1:$BZ$1000,설정!$L$6+ROW()-1,설정!$L$35)),"")</f>
        <v>0</v>
      </c>
      <c r="N489" s="83" t="n">
        <f aca="false">IFERROR(IF(INDEX(원자료_시장!$A$1:$BZ$1000,설정!$L$6+ROW()-1,설정!$L$36)&amp;""="0","",INDEX(원자료_시장!$A$1:$BZ$1000,설정!$L$6+ROW()-1,설정!$L$36)),"")</f>
        <v>0</v>
      </c>
      <c r="O489" s="43" t="str">
        <f aca="false">IF($A489="","",UPPER(LEFT($A489,FIND(" ",$A489&amp;" ")-1)))</f>
        <v/>
      </c>
      <c r="P489" s="43" t="str">
        <f aca="false">IF($A489="","",TRIM(RIGHT(SUBSTITUTE(TRIM($A489)," ",REPT(" ",30)),30)))</f>
        <v/>
      </c>
      <c r="Q489" s="98" t="str">
        <f aca="false">IF($A489="","",IFERROR(DATE(IF(LEN(P489)=8,2000+VALUE(RIGHT(P489,2)),VALUE(RIGHT(P489,4))),VALUE(LEFT(P489,2)),VALUE(MID(P489,4,2))),""))</f>
        <v/>
      </c>
      <c r="R489" s="89" t="n">
        <f aca="false">IF($A489="",0,IF(ISNUMBER(SEARCH("Float",$A489)),1,0))</f>
        <v>0</v>
      </c>
      <c r="S489" s="43" t="str">
        <f aca="false">IF($A489="","",TRIM(MID($A489,LEN(O489)+2,LEN($A489)-LEN(O489)-LEN(P489)-1)))</f>
        <v/>
      </c>
      <c r="T489" s="92" t="str">
        <f aca="false">IF(OR($A489="",R489=1),"",IFERROR(IF(ISNUMBER(FIND("/",S489)),IF(ISNUMBER(FIND(" ",S489)),VALUE(LEFT(S489,FIND(" ",S489)-1))+VALUE(MID(S489,FIND(" ",S489)+1,FIND("/",S489)-FIND(" ",S489)-1))/VALUE(MID(S489,FIND("/",S489)+1,9)),VALUE(LEFT(S489,FIND("/",S489)-1))/VALUE(MID(S489,FIND("/",S489)+1,9))),VALUE(S489)),""))</f>
        <v/>
      </c>
      <c r="U489" s="43" t="str">
        <f aca="false">IF(OR($A489="",NOT(ISNUMBER(Q489))),"",TEXT(Q489,"yyyymmdd")&amp;"|"&amp;IF(R489=1,"F",TEXT(T489,"0.000")))</f>
        <v/>
      </c>
      <c r="V489" s="43" t="str">
        <f aca="false">IF(U489="","",O489&amp;"|"&amp;U489)</f>
        <v/>
      </c>
      <c r="W489" s="43" t="str">
        <f aca="false">IF($A489="","",IFERROR(IF(VLOOKUP(O489,매핑!$A$4:$E$92,3,0)="","미분류",VLOOKUP(O489,매핑!$A$4:$E$92,3,0)),"미분류"))</f>
        <v/>
      </c>
      <c r="X489" s="89" t="n">
        <f aca="false">IF($A489="",0,IF(O489="T",1,0))</f>
        <v>0</v>
      </c>
      <c r="Y489" s="89" t="n">
        <f aca="false">IF($A489="",0,IF(AND(C489="USD",X489=0,ISNUMBER(E489),ISNUMBER(K489)),IF(K489&gt;=설정!$C$8,1,0),0))</f>
        <v>0</v>
      </c>
      <c r="Z489" s="43" t="str">
        <f aca="false">IF($A489="","",N489&amp;"|"&amp;L489)</f>
        <v/>
      </c>
      <c r="AA489" s="92" t="n">
        <f aca="false">IF(Y489=1,LN(K489),0)</f>
        <v>0</v>
      </c>
      <c r="AB489" s="93" t="n">
        <f aca="false">IF(Y489=1,E489,0)</f>
        <v>0</v>
      </c>
      <c r="AC489" s="89" t="n">
        <f aca="false">IF(Y489=1,COUNTIFS($Z$2:$Z$601,Z489,$Y$2:$Y$601,1),0)</f>
        <v>0</v>
      </c>
      <c r="AD489" s="89" t="n">
        <f aca="false">IF(Y489=1,COUNTIFS($N$2:$N$601,N489,$Y$2:$Y$601,1),0)</f>
        <v>0</v>
      </c>
      <c r="AE489" s="43" t="str">
        <f aca="false">IF(Y489&lt;&gt;1,"",IF(AND(AC489&gt;=설정!$C$7,ISNUMBER(MATCH(Z489,피어커브!$A:$A,0))),Z489,IF(AND(AD489&gt;=설정!$C$7,ISNUMBER(MATCH(N489&amp;"|전체",피어커브!$A:$A,0))),N489&amp;"|전체","전체|전체")))</f>
        <v/>
      </c>
      <c r="AF489" s="93" t="str">
        <f aca="false">IF(AE489="","",INDEX(피어커브!$K:$K,MATCH(AE489,피어커브!$A:$A,0)))</f>
        <v/>
      </c>
      <c r="AG489" s="93" t="str">
        <f aca="false">IF(AE489="","",INDEX(피어커브!$J:$J,MATCH(AE489,피어커브!$A:$A,0)))</f>
        <v/>
      </c>
      <c r="AH489" s="93" t="str">
        <f aca="false">IF(AE489="","",INDEX(피어커브!$L:$L,MATCH(AE489,피어커브!$A:$A,0)))</f>
        <v/>
      </c>
      <c r="AI489" s="93" t="str">
        <f aca="false">IF(AE489="","",AF489+AG489*AA489)</f>
        <v/>
      </c>
      <c r="AJ489" s="96" t="str">
        <f aca="false">IF(AE489="","",E489-AI489)</f>
        <v/>
      </c>
      <c r="AK489" s="95" t="str">
        <f aca="false">IF(AE489="","",IF(ISNUMBER(AH489),IF(AH489&gt;0,AJ489/AH489,""),""))</f>
        <v/>
      </c>
      <c r="AL489" s="43" t="str">
        <f aca="false">IF(AK489="","-",IF(AK489&gt;=설정!$C$6,"Cheap",IF(AK489&lt;=-설정!$C$6,"Rich","Fair")))</f>
        <v>-</v>
      </c>
      <c r="AM489" s="96" t="str">
        <f aca="false">IF(AE489="","",AJ489-AVERAGEIFS($AJ$2:$AJ$601,$B$2:$B$601,B489,$Y$2:$Y$601,1))</f>
        <v/>
      </c>
      <c r="AN489" s="93" t="n">
        <f aca="false">IF(AE489="",0,IF(K489&gt;1+설정!$C$8,AG489*(AA489-LN(K489-1)),0))</f>
        <v>0</v>
      </c>
      <c r="AO489" s="99" t="n">
        <f aca="false">IF($A489="",0,SUMIFS(보유분석!$AA$2:$AA$801,보유분석!$AB$2:$AB$801,ROW(),보유분석!$AC$2:$AC$801,1))</f>
        <v>0</v>
      </c>
      <c r="AP489" s="43" t="str">
        <f aca="false">IF($A489="","",TRIM(IF(R489=1,"FRN ","")&amp;IF(IFERROR(VLOOKUP(M489,설정!$A$15:$D$47,4,0),0)&gt;=10,IF(IFERROR(VLOOKUP(M489,설정!$A$15:$D$47,4,0),0)&lt;99,"BBB0미만 ",""),"")&amp;IF(OR(M489="",M489="NR"),"등급미입력 ","")&amp;IF(C489&lt;&gt;"USD","비USD ","")))</f>
        <v/>
      </c>
      <c r="AQ489" s="90" t="n">
        <f aca="false">IF(AND(Y489=1,AL489="Cheap"),IF(AND(ISERROR(SEARCH("FRN",AP489)),ISERROR(SEARCH("BBB0미만",AP489))),AK489+ROW()/1000000000,-999),-999)</f>
        <v>-999</v>
      </c>
      <c r="AR489" s="92" t="str">
        <f aca="false">IF(AND(ISNUMBER(D489),ISNUMBER(K489)),D489+AN489*MAX(K489-1,0)/100,"")</f>
        <v/>
      </c>
      <c r="AS489" s="93" t="str">
        <f aca="false">IF(AND(ISNUMBER(E489),ISNUMBER(K489)),IF(K489&gt;0,(E489+AN489*MAX(K489-1,0))/K489,""),"")</f>
        <v/>
      </c>
      <c r="AT489" s="90" t="n">
        <f aca="false">IFERROR(IF(AND(Y489=1,ROW()&lt;&gt;스왑분석!$C$12+1,ABS(K489-INDEX($K$2:$K$601,스왑분석!$C$12))&lt;=스왑분석!$C$5,ISERROR(SEARCH("FRN",AP489)),ISERROR(SEARCH("BBB0미만",AP489))),IF(AND(OR(스왑분석!$C$6="N",L489=INDEX($L$2:$L$601,스왑분석!$C$12)),OR(스왑분석!$C$7="N",N489=INDEX($N$2:$N$601,스왑분석!$C$12)),OR(스왑분석!$C$8="N",AO489=0),E489-INDEX($E$2:$E$601,스왑분석!$C$12)&gt;=스왑분석!$C$9),E489-INDEX($E$2:$E$601,스왑분석!$C$12)+ROW()/1000000000,-999),-999),-999)</f>
        <v>-999</v>
      </c>
      <c r="AU489" s="90" t="n">
        <f aca="false">IF(AND(Y489=1,AO489&gt;0,AL489="Rich"),-AK489+ROW()/1000000000,-999)</f>
        <v>-999</v>
      </c>
    </row>
    <row r="490" customFormat="false" ht="15" hidden="false" customHeight="false" outlineLevel="0" collapsed="false">
      <c r="A490" s="83" t="n">
        <f aca="false">IFERROR(IF(INDEX(원자료_시장!$A$1:$BZ$1000,설정!$L$6+ROW()-1,설정!$L$24)&amp;""="0","",INDEX(원자료_시장!$A$1:$BZ$1000,설정!$L$6+ROW()-1,설정!$L$24)),"")</f>
        <v>0</v>
      </c>
      <c r="B490" s="83" t="n">
        <f aca="false">IFERROR(IF(INDEX(원자료_시장!$A$1:$BZ$1000,설정!$L$6+ROW()-1,설정!$L$37)&amp;""="0","",INDEX(원자료_시장!$A$1:$BZ$1000,설정!$L$6+ROW()-1,설정!$L$37)),"")</f>
        <v>0</v>
      </c>
      <c r="C490" s="83" t="n">
        <f aca="false">IFERROR(IF(INDEX(원자료_시장!$A$1:$BZ$1000,설정!$L$6+ROW()-1,설정!$L$25)&amp;""="0","",INDEX(원자료_시장!$A$1:$BZ$1000,설정!$L$6+ROW()-1,설정!$L$25)),"")</f>
        <v>0</v>
      </c>
      <c r="D490" s="85" t="str">
        <f aca="false">IFERROR(IF(ISNUMBER(INDEX(원자료_시장!$A$1:$BZ$1000,설정!$L$6+ROW()-1,설정!$L$26)),INDEX(원자료_시장!$A$1:$BZ$1000,설정!$L$6+ROW()-1,설정!$L$26),""),"")</f>
        <v/>
      </c>
      <c r="E490" s="97" t="str">
        <f aca="false">IFERROR(IF(ISNUMBER(INDEX(원자료_시장!$A$1:$BZ$1000,설정!$L$6+ROW()-1,설정!$L$27)),INDEX(원자료_시장!$A$1:$BZ$1000,설정!$L$6+ROW()-1,설정!$L$27),""),"")</f>
        <v/>
      </c>
      <c r="F490" s="97" t="str">
        <f aca="false">IFERROR(IF(ISNUMBER(INDEX(원자료_시장!$A$1:$BZ$1000,설정!$L$6+ROW()-1,설정!$L$28)),INDEX(원자료_시장!$A$1:$BZ$1000,설정!$L$6+ROW()-1,설정!$L$28),""),"")</f>
        <v/>
      </c>
      <c r="G490" s="97" t="str">
        <f aca="false">IFERROR(IF(ISNUMBER(INDEX(원자료_시장!$A$1:$BZ$1000,설정!$L$6+ROW()-1,설정!$L$29)),INDEX(원자료_시장!$A$1:$BZ$1000,설정!$L$6+ROW()-1,설정!$L$29),""),"")</f>
        <v/>
      </c>
      <c r="H490" s="97" t="str">
        <f aca="false">IFERROR(IF(ISNUMBER(INDEX(원자료_시장!$A$1:$BZ$1000,설정!$L$6+ROW()-1,설정!$L$30)),INDEX(원자료_시장!$A$1:$BZ$1000,설정!$L$6+ROW()-1,설정!$L$30),""),"")</f>
        <v/>
      </c>
      <c r="I490" s="97" t="str">
        <f aca="false">IFERROR(IF(ISNUMBER(INDEX(원자료_시장!$A$1:$BZ$1000,설정!$L$6+ROW()-1,설정!$L$31)),INDEX(원자료_시장!$A$1:$BZ$1000,설정!$L$6+ROW()-1,설정!$L$31),""),"")</f>
        <v/>
      </c>
      <c r="J490" s="97" t="str">
        <f aca="false">IFERROR(IF(ISNUMBER(INDEX(원자료_시장!$A$1:$BZ$1000,설정!$L$6+ROW()-1,설정!$L$32)),INDEX(원자료_시장!$A$1:$BZ$1000,설정!$L$6+ROW()-1,설정!$L$32),""),"")</f>
        <v/>
      </c>
      <c r="K490" s="85" t="str">
        <f aca="false">IFERROR(IF(ISNUMBER(INDEX(원자료_시장!$A$1:$BZ$1000,설정!$L$6+ROW()-1,설정!$L$33)),INDEX(원자료_시장!$A$1:$BZ$1000,설정!$L$6+ROW()-1,설정!$L$33),""),"")</f>
        <v/>
      </c>
      <c r="L490" s="83" t="n">
        <f aca="false">IFERROR(IF(INDEX(원자료_시장!$A$1:$BZ$1000,설정!$L$6+ROW()-1,설정!$L$34)&amp;""="0","",INDEX(원자료_시장!$A$1:$BZ$1000,설정!$L$6+ROW()-1,설정!$L$34)),"")</f>
        <v>0</v>
      </c>
      <c r="M490" s="83" t="n">
        <f aca="false">IFERROR(IF(INDEX(원자료_시장!$A$1:$BZ$1000,설정!$L$6+ROW()-1,설정!$L$35)&amp;""="0","",INDEX(원자료_시장!$A$1:$BZ$1000,설정!$L$6+ROW()-1,설정!$L$35)),"")</f>
        <v>0</v>
      </c>
      <c r="N490" s="83" t="n">
        <f aca="false">IFERROR(IF(INDEX(원자료_시장!$A$1:$BZ$1000,설정!$L$6+ROW()-1,설정!$L$36)&amp;""="0","",INDEX(원자료_시장!$A$1:$BZ$1000,설정!$L$6+ROW()-1,설정!$L$36)),"")</f>
        <v>0</v>
      </c>
      <c r="O490" s="43" t="str">
        <f aca="false">IF($A490="","",UPPER(LEFT($A490,FIND(" ",$A490&amp;" ")-1)))</f>
        <v/>
      </c>
      <c r="P490" s="43" t="str">
        <f aca="false">IF($A490="","",TRIM(RIGHT(SUBSTITUTE(TRIM($A490)," ",REPT(" ",30)),30)))</f>
        <v/>
      </c>
      <c r="Q490" s="98" t="str">
        <f aca="false">IF($A490="","",IFERROR(DATE(IF(LEN(P490)=8,2000+VALUE(RIGHT(P490,2)),VALUE(RIGHT(P490,4))),VALUE(LEFT(P490,2)),VALUE(MID(P490,4,2))),""))</f>
        <v/>
      </c>
      <c r="R490" s="89" t="n">
        <f aca="false">IF($A490="",0,IF(ISNUMBER(SEARCH("Float",$A490)),1,0))</f>
        <v>0</v>
      </c>
      <c r="S490" s="43" t="str">
        <f aca="false">IF($A490="","",TRIM(MID($A490,LEN(O490)+2,LEN($A490)-LEN(O490)-LEN(P490)-1)))</f>
        <v/>
      </c>
      <c r="T490" s="92" t="str">
        <f aca="false">IF(OR($A490="",R490=1),"",IFERROR(IF(ISNUMBER(FIND("/",S490)),IF(ISNUMBER(FIND(" ",S490)),VALUE(LEFT(S490,FIND(" ",S490)-1))+VALUE(MID(S490,FIND(" ",S490)+1,FIND("/",S490)-FIND(" ",S490)-1))/VALUE(MID(S490,FIND("/",S490)+1,9)),VALUE(LEFT(S490,FIND("/",S490)-1))/VALUE(MID(S490,FIND("/",S490)+1,9))),VALUE(S490)),""))</f>
        <v/>
      </c>
      <c r="U490" s="43" t="str">
        <f aca="false">IF(OR($A490="",NOT(ISNUMBER(Q490))),"",TEXT(Q490,"yyyymmdd")&amp;"|"&amp;IF(R490=1,"F",TEXT(T490,"0.000")))</f>
        <v/>
      </c>
      <c r="V490" s="43" t="str">
        <f aca="false">IF(U490="","",O490&amp;"|"&amp;U490)</f>
        <v/>
      </c>
      <c r="W490" s="43" t="str">
        <f aca="false">IF($A490="","",IFERROR(IF(VLOOKUP(O490,매핑!$A$4:$E$92,3,0)="","미분류",VLOOKUP(O490,매핑!$A$4:$E$92,3,0)),"미분류"))</f>
        <v/>
      </c>
      <c r="X490" s="89" t="n">
        <f aca="false">IF($A490="",0,IF(O490="T",1,0))</f>
        <v>0</v>
      </c>
      <c r="Y490" s="89" t="n">
        <f aca="false">IF($A490="",0,IF(AND(C490="USD",X490=0,ISNUMBER(E490),ISNUMBER(K490)),IF(K490&gt;=설정!$C$8,1,0),0))</f>
        <v>0</v>
      </c>
      <c r="Z490" s="43" t="str">
        <f aca="false">IF($A490="","",N490&amp;"|"&amp;L490)</f>
        <v/>
      </c>
      <c r="AA490" s="92" t="n">
        <f aca="false">IF(Y490=1,LN(K490),0)</f>
        <v>0</v>
      </c>
      <c r="AB490" s="93" t="n">
        <f aca="false">IF(Y490=1,E490,0)</f>
        <v>0</v>
      </c>
      <c r="AC490" s="89" t="n">
        <f aca="false">IF(Y490=1,COUNTIFS($Z$2:$Z$601,Z490,$Y$2:$Y$601,1),0)</f>
        <v>0</v>
      </c>
      <c r="AD490" s="89" t="n">
        <f aca="false">IF(Y490=1,COUNTIFS($N$2:$N$601,N490,$Y$2:$Y$601,1),0)</f>
        <v>0</v>
      </c>
      <c r="AE490" s="43" t="str">
        <f aca="false">IF(Y490&lt;&gt;1,"",IF(AND(AC490&gt;=설정!$C$7,ISNUMBER(MATCH(Z490,피어커브!$A:$A,0))),Z490,IF(AND(AD490&gt;=설정!$C$7,ISNUMBER(MATCH(N490&amp;"|전체",피어커브!$A:$A,0))),N490&amp;"|전체","전체|전체")))</f>
        <v/>
      </c>
      <c r="AF490" s="93" t="str">
        <f aca="false">IF(AE490="","",INDEX(피어커브!$K:$K,MATCH(AE490,피어커브!$A:$A,0)))</f>
        <v/>
      </c>
      <c r="AG490" s="93" t="str">
        <f aca="false">IF(AE490="","",INDEX(피어커브!$J:$J,MATCH(AE490,피어커브!$A:$A,0)))</f>
        <v/>
      </c>
      <c r="AH490" s="93" t="str">
        <f aca="false">IF(AE490="","",INDEX(피어커브!$L:$L,MATCH(AE490,피어커브!$A:$A,0)))</f>
        <v/>
      </c>
      <c r="AI490" s="93" t="str">
        <f aca="false">IF(AE490="","",AF490+AG490*AA490)</f>
        <v/>
      </c>
      <c r="AJ490" s="96" t="str">
        <f aca="false">IF(AE490="","",E490-AI490)</f>
        <v/>
      </c>
      <c r="AK490" s="95" t="str">
        <f aca="false">IF(AE490="","",IF(ISNUMBER(AH490),IF(AH490&gt;0,AJ490/AH490,""),""))</f>
        <v/>
      </c>
      <c r="AL490" s="43" t="str">
        <f aca="false">IF(AK490="","-",IF(AK490&gt;=설정!$C$6,"Cheap",IF(AK490&lt;=-설정!$C$6,"Rich","Fair")))</f>
        <v>-</v>
      </c>
      <c r="AM490" s="96" t="str">
        <f aca="false">IF(AE490="","",AJ490-AVERAGEIFS($AJ$2:$AJ$601,$B$2:$B$601,B490,$Y$2:$Y$601,1))</f>
        <v/>
      </c>
      <c r="AN490" s="93" t="n">
        <f aca="false">IF(AE490="",0,IF(K490&gt;1+설정!$C$8,AG490*(AA490-LN(K490-1)),0))</f>
        <v>0</v>
      </c>
      <c r="AO490" s="99" t="n">
        <f aca="false">IF($A490="",0,SUMIFS(보유분석!$AA$2:$AA$801,보유분석!$AB$2:$AB$801,ROW(),보유분석!$AC$2:$AC$801,1))</f>
        <v>0</v>
      </c>
      <c r="AP490" s="43" t="str">
        <f aca="false">IF($A490="","",TRIM(IF(R490=1,"FRN ","")&amp;IF(IFERROR(VLOOKUP(M490,설정!$A$15:$D$47,4,0),0)&gt;=10,IF(IFERROR(VLOOKUP(M490,설정!$A$15:$D$47,4,0),0)&lt;99,"BBB0미만 ",""),"")&amp;IF(OR(M490="",M490="NR"),"등급미입력 ","")&amp;IF(C490&lt;&gt;"USD","비USD ","")))</f>
        <v/>
      </c>
      <c r="AQ490" s="90" t="n">
        <f aca="false">IF(AND(Y490=1,AL490="Cheap"),IF(AND(ISERROR(SEARCH("FRN",AP490)),ISERROR(SEARCH("BBB0미만",AP490))),AK490+ROW()/1000000000,-999),-999)</f>
        <v>-999</v>
      </c>
      <c r="AR490" s="92" t="str">
        <f aca="false">IF(AND(ISNUMBER(D490),ISNUMBER(K490)),D490+AN490*MAX(K490-1,0)/100,"")</f>
        <v/>
      </c>
      <c r="AS490" s="93" t="str">
        <f aca="false">IF(AND(ISNUMBER(E490),ISNUMBER(K490)),IF(K490&gt;0,(E490+AN490*MAX(K490-1,0))/K490,""),"")</f>
        <v/>
      </c>
      <c r="AT490" s="90" t="n">
        <f aca="false">IFERROR(IF(AND(Y490=1,ROW()&lt;&gt;스왑분석!$C$12+1,ABS(K490-INDEX($K$2:$K$601,스왑분석!$C$12))&lt;=스왑분석!$C$5,ISERROR(SEARCH("FRN",AP490)),ISERROR(SEARCH("BBB0미만",AP490))),IF(AND(OR(스왑분석!$C$6="N",L490=INDEX($L$2:$L$601,스왑분석!$C$12)),OR(스왑분석!$C$7="N",N490=INDEX($N$2:$N$601,스왑분석!$C$12)),OR(스왑분석!$C$8="N",AO490=0),E490-INDEX($E$2:$E$601,스왑분석!$C$12)&gt;=스왑분석!$C$9),E490-INDEX($E$2:$E$601,스왑분석!$C$12)+ROW()/1000000000,-999),-999),-999)</f>
        <v>-999</v>
      </c>
      <c r="AU490" s="90" t="n">
        <f aca="false">IF(AND(Y490=1,AO490&gt;0,AL490="Rich"),-AK490+ROW()/1000000000,-999)</f>
        <v>-999</v>
      </c>
    </row>
    <row r="491" customFormat="false" ht="15" hidden="false" customHeight="false" outlineLevel="0" collapsed="false">
      <c r="A491" s="83" t="n">
        <f aca="false">IFERROR(IF(INDEX(원자료_시장!$A$1:$BZ$1000,설정!$L$6+ROW()-1,설정!$L$24)&amp;""="0","",INDEX(원자료_시장!$A$1:$BZ$1000,설정!$L$6+ROW()-1,설정!$L$24)),"")</f>
        <v>0</v>
      </c>
      <c r="B491" s="83" t="n">
        <f aca="false">IFERROR(IF(INDEX(원자료_시장!$A$1:$BZ$1000,설정!$L$6+ROW()-1,설정!$L$37)&amp;""="0","",INDEX(원자료_시장!$A$1:$BZ$1000,설정!$L$6+ROW()-1,설정!$L$37)),"")</f>
        <v>0</v>
      </c>
      <c r="C491" s="83" t="n">
        <f aca="false">IFERROR(IF(INDEX(원자료_시장!$A$1:$BZ$1000,설정!$L$6+ROW()-1,설정!$L$25)&amp;""="0","",INDEX(원자료_시장!$A$1:$BZ$1000,설정!$L$6+ROW()-1,설정!$L$25)),"")</f>
        <v>0</v>
      </c>
      <c r="D491" s="85" t="str">
        <f aca="false">IFERROR(IF(ISNUMBER(INDEX(원자료_시장!$A$1:$BZ$1000,설정!$L$6+ROW()-1,설정!$L$26)),INDEX(원자료_시장!$A$1:$BZ$1000,설정!$L$6+ROW()-1,설정!$L$26),""),"")</f>
        <v/>
      </c>
      <c r="E491" s="97" t="str">
        <f aca="false">IFERROR(IF(ISNUMBER(INDEX(원자료_시장!$A$1:$BZ$1000,설정!$L$6+ROW()-1,설정!$L$27)),INDEX(원자료_시장!$A$1:$BZ$1000,설정!$L$6+ROW()-1,설정!$L$27),""),"")</f>
        <v/>
      </c>
      <c r="F491" s="97" t="str">
        <f aca="false">IFERROR(IF(ISNUMBER(INDEX(원자료_시장!$A$1:$BZ$1000,설정!$L$6+ROW()-1,설정!$L$28)),INDEX(원자료_시장!$A$1:$BZ$1000,설정!$L$6+ROW()-1,설정!$L$28),""),"")</f>
        <v/>
      </c>
      <c r="G491" s="97" t="str">
        <f aca="false">IFERROR(IF(ISNUMBER(INDEX(원자료_시장!$A$1:$BZ$1000,설정!$L$6+ROW()-1,설정!$L$29)),INDEX(원자료_시장!$A$1:$BZ$1000,설정!$L$6+ROW()-1,설정!$L$29),""),"")</f>
        <v/>
      </c>
      <c r="H491" s="97" t="str">
        <f aca="false">IFERROR(IF(ISNUMBER(INDEX(원자료_시장!$A$1:$BZ$1000,설정!$L$6+ROW()-1,설정!$L$30)),INDEX(원자료_시장!$A$1:$BZ$1000,설정!$L$6+ROW()-1,설정!$L$30),""),"")</f>
        <v/>
      </c>
      <c r="I491" s="97" t="str">
        <f aca="false">IFERROR(IF(ISNUMBER(INDEX(원자료_시장!$A$1:$BZ$1000,설정!$L$6+ROW()-1,설정!$L$31)),INDEX(원자료_시장!$A$1:$BZ$1000,설정!$L$6+ROW()-1,설정!$L$31),""),"")</f>
        <v/>
      </c>
      <c r="J491" s="97" t="str">
        <f aca="false">IFERROR(IF(ISNUMBER(INDEX(원자료_시장!$A$1:$BZ$1000,설정!$L$6+ROW()-1,설정!$L$32)),INDEX(원자료_시장!$A$1:$BZ$1000,설정!$L$6+ROW()-1,설정!$L$32),""),"")</f>
        <v/>
      </c>
      <c r="K491" s="85" t="str">
        <f aca="false">IFERROR(IF(ISNUMBER(INDEX(원자료_시장!$A$1:$BZ$1000,설정!$L$6+ROW()-1,설정!$L$33)),INDEX(원자료_시장!$A$1:$BZ$1000,설정!$L$6+ROW()-1,설정!$L$33),""),"")</f>
        <v/>
      </c>
      <c r="L491" s="83" t="n">
        <f aca="false">IFERROR(IF(INDEX(원자료_시장!$A$1:$BZ$1000,설정!$L$6+ROW()-1,설정!$L$34)&amp;""="0","",INDEX(원자료_시장!$A$1:$BZ$1000,설정!$L$6+ROW()-1,설정!$L$34)),"")</f>
        <v>0</v>
      </c>
      <c r="M491" s="83" t="n">
        <f aca="false">IFERROR(IF(INDEX(원자료_시장!$A$1:$BZ$1000,설정!$L$6+ROW()-1,설정!$L$35)&amp;""="0","",INDEX(원자료_시장!$A$1:$BZ$1000,설정!$L$6+ROW()-1,설정!$L$35)),"")</f>
        <v>0</v>
      </c>
      <c r="N491" s="83" t="n">
        <f aca="false">IFERROR(IF(INDEX(원자료_시장!$A$1:$BZ$1000,설정!$L$6+ROW()-1,설정!$L$36)&amp;""="0","",INDEX(원자료_시장!$A$1:$BZ$1000,설정!$L$6+ROW()-1,설정!$L$36)),"")</f>
        <v>0</v>
      </c>
      <c r="O491" s="43" t="str">
        <f aca="false">IF($A491="","",UPPER(LEFT($A491,FIND(" ",$A491&amp;" ")-1)))</f>
        <v/>
      </c>
      <c r="P491" s="43" t="str">
        <f aca="false">IF($A491="","",TRIM(RIGHT(SUBSTITUTE(TRIM($A491)," ",REPT(" ",30)),30)))</f>
        <v/>
      </c>
      <c r="Q491" s="98" t="str">
        <f aca="false">IF($A491="","",IFERROR(DATE(IF(LEN(P491)=8,2000+VALUE(RIGHT(P491,2)),VALUE(RIGHT(P491,4))),VALUE(LEFT(P491,2)),VALUE(MID(P491,4,2))),""))</f>
        <v/>
      </c>
      <c r="R491" s="89" t="n">
        <f aca="false">IF($A491="",0,IF(ISNUMBER(SEARCH("Float",$A491)),1,0))</f>
        <v>0</v>
      </c>
      <c r="S491" s="43" t="str">
        <f aca="false">IF($A491="","",TRIM(MID($A491,LEN(O491)+2,LEN($A491)-LEN(O491)-LEN(P491)-1)))</f>
        <v/>
      </c>
      <c r="T491" s="92" t="str">
        <f aca="false">IF(OR($A491="",R491=1),"",IFERROR(IF(ISNUMBER(FIND("/",S491)),IF(ISNUMBER(FIND(" ",S491)),VALUE(LEFT(S491,FIND(" ",S491)-1))+VALUE(MID(S491,FIND(" ",S491)+1,FIND("/",S491)-FIND(" ",S491)-1))/VALUE(MID(S491,FIND("/",S491)+1,9)),VALUE(LEFT(S491,FIND("/",S491)-1))/VALUE(MID(S491,FIND("/",S491)+1,9))),VALUE(S491)),""))</f>
        <v/>
      </c>
      <c r="U491" s="43" t="str">
        <f aca="false">IF(OR($A491="",NOT(ISNUMBER(Q491))),"",TEXT(Q491,"yyyymmdd")&amp;"|"&amp;IF(R491=1,"F",TEXT(T491,"0.000")))</f>
        <v/>
      </c>
      <c r="V491" s="43" t="str">
        <f aca="false">IF(U491="","",O491&amp;"|"&amp;U491)</f>
        <v/>
      </c>
      <c r="W491" s="43" t="str">
        <f aca="false">IF($A491="","",IFERROR(IF(VLOOKUP(O491,매핑!$A$4:$E$92,3,0)="","미분류",VLOOKUP(O491,매핑!$A$4:$E$92,3,0)),"미분류"))</f>
        <v/>
      </c>
      <c r="X491" s="89" t="n">
        <f aca="false">IF($A491="",0,IF(O491="T",1,0))</f>
        <v>0</v>
      </c>
      <c r="Y491" s="89" t="n">
        <f aca="false">IF($A491="",0,IF(AND(C491="USD",X491=0,ISNUMBER(E491),ISNUMBER(K491)),IF(K491&gt;=설정!$C$8,1,0),0))</f>
        <v>0</v>
      </c>
      <c r="Z491" s="43" t="str">
        <f aca="false">IF($A491="","",N491&amp;"|"&amp;L491)</f>
        <v/>
      </c>
      <c r="AA491" s="92" t="n">
        <f aca="false">IF(Y491=1,LN(K491),0)</f>
        <v>0</v>
      </c>
      <c r="AB491" s="93" t="n">
        <f aca="false">IF(Y491=1,E491,0)</f>
        <v>0</v>
      </c>
      <c r="AC491" s="89" t="n">
        <f aca="false">IF(Y491=1,COUNTIFS($Z$2:$Z$601,Z491,$Y$2:$Y$601,1),0)</f>
        <v>0</v>
      </c>
      <c r="AD491" s="89" t="n">
        <f aca="false">IF(Y491=1,COUNTIFS($N$2:$N$601,N491,$Y$2:$Y$601,1),0)</f>
        <v>0</v>
      </c>
      <c r="AE491" s="43" t="str">
        <f aca="false">IF(Y491&lt;&gt;1,"",IF(AND(AC491&gt;=설정!$C$7,ISNUMBER(MATCH(Z491,피어커브!$A:$A,0))),Z491,IF(AND(AD491&gt;=설정!$C$7,ISNUMBER(MATCH(N491&amp;"|전체",피어커브!$A:$A,0))),N491&amp;"|전체","전체|전체")))</f>
        <v/>
      </c>
      <c r="AF491" s="93" t="str">
        <f aca="false">IF(AE491="","",INDEX(피어커브!$K:$K,MATCH(AE491,피어커브!$A:$A,0)))</f>
        <v/>
      </c>
      <c r="AG491" s="93" t="str">
        <f aca="false">IF(AE491="","",INDEX(피어커브!$J:$J,MATCH(AE491,피어커브!$A:$A,0)))</f>
        <v/>
      </c>
      <c r="AH491" s="93" t="str">
        <f aca="false">IF(AE491="","",INDEX(피어커브!$L:$L,MATCH(AE491,피어커브!$A:$A,0)))</f>
        <v/>
      </c>
      <c r="AI491" s="93" t="str">
        <f aca="false">IF(AE491="","",AF491+AG491*AA491)</f>
        <v/>
      </c>
      <c r="AJ491" s="96" t="str">
        <f aca="false">IF(AE491="","",E491-AI491)</f>
        <v/>
      </c>
      <c r="AK491" s="95" t="str">
        <f aca="false">IF(AE491="","",IF(ISNUMBER(AH491),IF(AH491&gt;0,AJ491/AH491,""),""))</f>
        <v/>
      </c>
      <c r="AL491" s="43" t="str">
        <f aca="false">IF(AK491="","-",IF(AK491&gt;=설정!$C$6,"Cheap",IF(AK491&lt;=-설정!$C$6,"Rich","Fair")))</f>
        <v>-</v>
      </c>
      <c r="AM491" s="96" t="str">
        <f aca="false">IF(AE491="","",AJ491-AVERAGEIFS($AJ$2:$AJ$601,$B$2:$B$601,B491,$Y$2:$Y$601,1))</f>
        <v/>
      </c>
      <c r="AN491" s="93" t="n">
        <f aca="false">IF(AE491="",0,IF(K491&gt;1+설정!$C$8,AG491*(AA491-LN(K491-1)),0))</f>
        <v>0</v>
      </c>
      <c r="AO491" s="99" t="n">
        <f aca="false">IF($A491="",0,SUMIFS(보유분석!$AA$2:$AA$801,보유분석!$AB$2:$AB$801,ROW(),보유분석!$AC$2:$AC$801,1))</f>
        <v>0</v>
      </c>
      <c r="AP491" s="43" t="str">
        <f aca="false">IF($A491="","",TRIM(IF(R491=1,"FRN ","")&amp;IF(IFERROR(VLOOKUP(M491,설정!$A$15:$D$47,4,0),0)&gt;=10,IF(IFERROR(VLOOKUP(M491,설정!$A$15:$D$47,4,0),0)&lt;99,"BBB0미만 ",""),"")&amp;IF(OR(M491="",M491="NR"),"등급미입력 ","")&amp;IF(C491&lt;&gt;"USD","비USD ","")))</f>
        <v/>
      </c>
      <c r="AQ491" s="90" t="n">
        <f aca="false">IF(AND(Y491=1,AL491="Cheap"),IF(AND(ISERROR(SEARCH("FRN",AP491)),ISERROR(SEARCH("BBB0미만",AP491))),AK491+ROW()/1000000000,-999),-999)</f>
        <v>-999</v>
      </c>
      <c r="AR491" s="92" t="str">
        <f aca="false">IF(AND(ISNUMBER(D491),ISNUMBER(K491)),D491+AN491*MAX(K491-1,0)/100,"")</f>
        <v/>
      </c>
      <c r="AS491" s="93" t="str">
        <f aca="false">IF(AND(ISNUMBER(E491),ISNUMBER(K491)),IF(K491&gt;0,(E491+AN491*MAX(K491-1,0))/K491,""),"")</f>
        <v/>
      </c>
      <c r="AT491" s="90" t="n">
        <f aca="false">IFERROR(IF(AND(Y491=1,ROW()&lt;&gt;스왑분석!$C$12+1,ABS(K491-INDEX($K$2:$K$601,스왑분석!$C$12))&lt;=스왑분석!$C$5,ISERROR(SEARCH("FRN",AP491)),ISERROR(SEARCH("BBB0미만",AP491))),IF(AND(OR(스왑분석!$C$6="N",L491=INDEX($L$2:$L$601,스왑분석!$C$12)),OR(스왑분석!$C$7="N",N491=INDEX($N$2:$N$601,스왑분석!$C$12)),OR(스왑분석!$C$8="N",AO491=0),E491-INDEX($E$2:$E$601,스왑분석!$C$12)&gt;=스왑분석!$C$9),E491-INDEX($E$2:$E$601,스왑분석!$C$12)+ROW()/1000000000,-999),-999),-999)</f>
        <v>-999</v>
      </c>
      <c r="AU491" s="90" t="n">
        <f aca="false">IF(AND(Y491=1,AO491&gt;0,AL491="Rich"),-AK491+ROW()/1000000000,-999)</f>
        <v>-999</v>
      </c>
    </row>
    <row r="492" customFormat="false" ht="15" hidden="false" customHeight="false" outlineLevel="0" collapsed="false">
      <c r="A492" s="83" t="n">
        <f aca="false">IFERROR(IF(INDEX(원자료_시장!$A$1:$BZ$1000,설정!$L$6+ROW()-1,설정!$L$24)&amp;""="0","",INDEX(원자료_시장!$A$1:$BZ$1000,설정!$L$6+ROW()-1,설정!$L$24)),"")</f>
        <v>0</v>
      </c>
      <c r="B492" s="83" t="n">
        <f aca="false">IFERROR(IF(INDEX(원자료_시장!$A$1:$BZ$1000,설정!$L$6+ROW()-1,설정!$L$37)&amp;""="0","",INDEX(원자료_시장!$A$1:$BZ$1000,설정!$L$6+ROW()-1,설정!$L$37)),"")</f>
        <v>0</v>
      </c>
      <c r="C492" s="83" t="n">
        <f aca="false">IFERROR(IF(INDEX(원자료_시장!$A$1:$BZ$1000,설정!$L$6+ROW()-1,설정!$L$25)&amp;""="0","",INDEX(원자료_시장!$A$1:$BZ$1000,설정!$L$6+ROW()-1,설정!$L$25)),"")</f>
        <v>0</v>
      </c>
      <c r="D492" s="85" t="str">
        <f aca="false">IFERROR(IF(ISNUMBER(INDEX(원자료_시장!$A$1:$BZ$1000,설정!$L$6+ROW()-1,설정!$L$26)),INDEX(원자료_시장!$A$1:$BZ$1000,설정!$L$6+ROW()-1,설정!$L$26),""),"")</f>
        <v/>
      </c>
      <c r="E492" s="97" t="str">
        <f aca="false">IFERROR(IF(ISNUMBER(INDEX(원자료_시장!$A$1:$BZ$1000,설정!$L$6+ROW()-1,설정!$L$27)),INDEX(원자료_시장!$A$1:$BZ$1000,설정!$L$6+ROW()-1,설정!$L$27),""),"")</f>
        <v/>
      </c>
      <c r="F492" s="97" t="str">
        <f aca="false">IFERROR(IF(ISNUMBER(INDEX(원자료_시장!$A$1:$BZ$1000,설정!$L$6+ROW()-1,설정!$L$28)),INDEX(원자료_시장!$A$1:$BZ$1000,설정!$L$6+ROW()-1,설정!$L$28),""),"")</f>
        <v/>
      </c>
      <c r="G492" s="97" t="str">
        <f aca="false">IFERROR(IF(ISNUMBER(INDEX(원자료_시장!$A$1:$BZ$1000,설정!$L$6+ROW()-1,설정!$L$29)),INDEX(원자료_시장!$A$1:$BZ$1000,설정!$L$6+ROW()-1,설정!$L$29),""),"")</f>
        <v/>
      </c>
      <c r="H492" s="97" t="str">
        <f aca="false">IFERROR(IF(ISNUMBER(INDEX(원자료_시장!$A$1:$BZ$1000,설정!$L$6+ROW()-1,설정!$L$30)),INDEX(원자료_시장!$A$1:$BZ$1000,설정!$L$6+ROW()-1,설정!$L$30),""),"")</f>
        <v/>
      </c>
      <c r="I492" s="97" t="str">
        <f aca="false">IFERROR(IF(ISNUMBER(INDEX(원자료_시장!$A$1:$BZ$1000,설정!$L$6+ROW()-1,설정!$L$31)),INDEX(원자료_시장!$A$1:$BZ$1000,설정!$L$6+ROW()-1,설정!$L$31),""),"")</f>
        <v/>
      </c>
      <c r="J492" s="97" t="str">
        <f aca="false">IFERROR(IF(ISNUMBER(INDEX(원자료_시장!$A$1:$BZ$1000,설정!$L$6+ROW()-1,설정!$L$32)),INDEX(원자료_시장!$A$1:$BZ$1000,설정!$L$6+ROW()-1,설정!$L$32),""),"")</f>
        <v/>
      </c>
      <c r="K492" s="85" t="str">
        <f aca="false">IFERROR(IF(ISNUMBER(INDEX(원자료_시장!$A$1:$BZ$1000,설정!$L$6+ROW()-1,설정!$L$33)),INDEX(원자료_시장!$A$1:$BZ$1000,설정!$L$6+ROW()-1,설정!$L$33),""),"")</f>
        <v/>
      </c>
      <c r="L492" s="83" t="n">
        <f aca="false">IFERROR(IF(INDEX(원자료_시장!$A$1:$BZ$1000,설정!$L$6+ROW()-1,설정!$L$34)&amp;""="0","",INDEX(원자료_시장!$A$1:$BZ$1000,설정!$L$6+ROW()-1,설정!$L$34)),"")</f>
        <v>0</v>
      </c>
      <c r="M492" s="83" t="n">
        <f aca="false">IFERROR(IF(INDEX(원자료_시장!$A$1:$BZ$1000,설정!$L$6+ROW()-1,설정!$L$35)&amp;""="0","",INDEX(원자료_시장!$A$1:$BZ$1000,설정!$L$6+ROW()-1,설정!$L$35)),"")</f>
        <v>0</v>
      </c>
      <c r="N492" s="83" t="n">
        <f aca="false">IFERROR(IF(INDEX(원자료_시장!$A$1:$BZ$1000,설정!$L$6+ROW()-1,설정!$L$36)&amp;""="0","",INDEX(원자료_시장!$A$1:$BZ$1000,설정!$L$6+ROW()-1,설정!$L$36)),"")</f>
        <v>0</v>
      </c>
      <c r="O492" s="43" t="str">
        <f aca="false">IF($A492="","",UPPER(LEFT($A492,FIND(" ",$A492&amp;" ")-1)))</f>
        <v/>
      </c>
      <c r="P492" s="43" t="str">
        <f aca="false">IF($A492="","",TRIM(RIGHT(SUBSTITUTE(TRIM($A492)," ",REPT(" ",30)),30)))</f>
        <v/>
      </c>
      <c r="Q492" s="98" t="str">
        <f aca="false">IF($A492="","",IFERROR(DATE(IF(LEN(P492)=8,2000+VALUE(RIGHT(P492,2)),VALUE(RIGHT(P492,4))),VALUE(LEFT(P492,2)),VALUE(MID(P492,4,2))),""))</f>
        <v/>
      </c>
      <c r="R492" s="89" t="n">
        <f aca="false">IF($A492="",0,IF(ISNUMBER(SEARCH("Float",$A492)),1,0))</f>
        <v>0</v>
      </c>
      <c r="S492" s="43" t="str">
        <f aca="false">IF($A492="","",TRIM(MID($A492,LEN(O492)+2,LEN($A492)-LEN(O492)-LEN(P492)-1)))</f>
        <v/>
      </c>
      <c r="T492" s="92" t="str">
        <f aca="false">IF(OR($A492="",R492=1),"",IFERROR(IF(ISNUMBER(FIND("/",S492)),IF(ISNUMBER(FIND(" ",S492)),VALUE(LEFT(S492,FIND(" ",S492)-1))+VALUE(MID(S492,FIND(" ",S492)+1,FIND("/",S492)-FIND(" ",S492)-1))/VALUE(MID(S492,FIND("/",S492)+1,9)),VALUE(LEFT(S492,FIND("/",S492)-1))/VALUE(MID(S492,FIND("/",S492)+1,9))),VALUE(S492)),""))</f>
        <v/>
      </c>
      <c r="U492" s="43" t="str">
        <f aca="false">IF(OR($A492="",NOT(ISNUMBER(Q492))),"",TEXT(Q492,"yyyymmdd")&amp;"|"&amp;IF(R492=1,"F",TEXT(T492,"0.000")))</f>
        <v/>
      </c>
      <c r="V492" s="43" t="str">
        <f aca="false">IF(U492="","",O492&amp;"|"&amp;U492)</f>
        <v/>
      </c>
      <c r="W492" s="43" t="str">
        <f aca="false">IF($A492="","",IFERROR(IF(VLOOKUP(O492,매핑!$A$4:$E$92,3,0)="","미분류",VLOOKUP(O492,매핑!$A$4:$E$92,3,0)),"미분류"))</f>
        <v/>
      </c>
      <c r="X492" s="89" t="n">
        <f aca="false">IF($A492="",0,IF(O492="T",1,0))</f>
        <v>0</v>
      </c>
      <c r="Y492" s="89" t="n">
        <f aca="false">IF($A492="",0,IF(AND(C492="USD",X492=0,ISNUMBER(E492),ISNUMBER(K492)),IF(K492&gt;=설정!$C$8,1,0),0))</f>
        <v>0</v>
      </c>
      <c r="Z492" s="43" t="str">
        <f aca="false">IF($A492="","",N492&amp;"|"&amp;L492)</f>
        <v/>
      </c>
      <c r="AA492" s="92" t="n">
        <f aca="false">IF(Y492=1,LN(K492),0)</f>
        <v>0</v>
      </c>
      <c r="AB492" s="93" t="n">
        <f aca="false">IF(Y492=1,E492,0)</f>
        <v>0</v>
      </c>
      <c r="AC492" s="89" t="n">
        <f aca="false">IF(Y492=1,COUNTIFS($Z$2:$Z$601,Z492,$Y$2:$Y$601,1),0)</f>
        <v>0</v>
      </c>
      <c r="AD492" s="89" t="n">
        <f aca="false">IF(Y492=1,COUNTIFS($N$2:$N$601,N492,$Y$2:$Y$601,1),0)</f>
        <v>0</v>
      </c>
      <c r="AE492" s="43" t="str">
        <f aca="false">IF(Y492&lt;&gt;1,"",IF(AND(AC492&gt;=설정!$C$7,ISNUMBER(MATCH(Z492,피어커브!$A:$A,0))),Z492,IF(AND(AD492&gt;=설정!$C$7,ISNUMBER(MATCH(N492&amp;"|전체",피어커브!$A:$A,0))),N492&amp;"|전체","전체|전체")))</f>
        <v/>
      </c>
      <c r="AF492" s="93" t="str">
        <f aca="false">IF(AE492="","",INDEX(피어커브!$K:$K,MATCH(AE492,피어커브!$A:$A,0)))</f>
        <v/>
      </c>
      <c r="AG492" s="93" t="str">
        <f aca="false">IF(AE492="","",INDEX(피어커브!$J:$J,MATCH(AE492,피어커브!$A:$A,0)))</f>
        <v/>
      </c>
      <c r="AH492" s="93" t="str">
        <f aca="false">IF(AE492="","",INDEX(피어커브!$L:$L,MATCH(AE492,피어커브!$A:$A,0)))</f>
        <v/>
      </c>
      <c r="AI492" s="93" t="str">
        <f aca="false">IF(AE492="","",AF492+AG492*AA492)</f>
        <v/>
      </c>
      <c r="AJ492" s="96" t="str">
        <f aca="false">IF(AE492="","",E492-AI492)</f>
        <v/>
      </c>
      <c r="AK492" s="95" t="str">
        <f aca="false">IF(AE492="","",IF(ISNUMBER(AH492),IF(AH492&gt;0,AJ492/AH492,""),""))</f>
        <v/>
      </c>
      <c r="AL492" s="43" t="str">
        <f aca="false">IF(AK492="","-",IF(AK492&gt;=설정!$C$6,"Cheap",IF(AK492&lt;=-설정!$C$6,"Rich","Fair")))</f>
        <v>-</v>
      </c>
      <c r="AM492" s="96" t="str">
        <f aca="false">IF(AE492="","",AJ492-AVERAGEIFS($AJ$2:$AJ$601,$B$2:$B$601,B492,$Y$2:$Y$601,1))</f>
        <v/>
      </c>
      <c r="AN492" s="93" t="n">
        <f aca="false">IF(AE492="",0,IF(K492&gt;1+설정!$C$8,AG492*(AA492-LN(K492-1)),0))</f>
        <v>0</v>
      </c>
      <c r="AO492" s="99" t="n">
        <f aca="false">IF($A492="",0,SUMIFS(보유분석!$AA$2:$AA$801,보유분석!$AB$2:$AB$801,ROW(),보유분석!$AC$2:$AC$801,1))</f>
        <v>0</v>
      </c>
      <c r="AP492" s="43" t="str">
        <f aca="false">IF($A492="","",TRIM(IF(R492=1,"FRN ","")&amp;IF(IFERROR(VLOOKUP(M492,설정!$A$15:$D$47,4,0),0)&gt;=10,IF(IFERROR(VLOOKUP(M492,설정!$A$15:$D$47,4,0),0)&lt;99,"BBB0미만 ",""),"")&amp;IF(OR(M492="",M492="NR"),"등급미입력 ","")&amp;IF(C492&lt;&gt;"USD","비USD ","")))</f>
        <v/>
      </c>
      <c r="AQ492" s="90" t="n">
        <f aca="false">IF(AND(Y492=1,AL492="Cheap"),IF(AND(ISERROR(SEARCH("FRN",AP492)),ISERROR(SEARCH("BBB0미만",AP492))),AK492+ROW()/1000000000,-999),-999)</f>
        <v>-999</v>
      </c>
      <c r="AR492" s="92" t="str">
        <f aca="false">IF(AND(ISNUMBER(D492),ISNUMBER(K492)),D492+AN492*MAX(K492-1,0)/100,"")</f>
        <v/>
      </c>
      <c r="AS492" s="93" t="str">
        <f aca="false">IF(AND(ISNUMBER(E492),ISNUMBER(K492)),IF(K492&gt;0,(E492+AN492*MAX(K492-1,0))/K492,""),"")</f>
        <v/>
      </c>
      <c r="AT492" s="90" t="n">
        <f aca="false">IFERROR(IF(AND(Y492=1,ROW()&lt;&gt;스왑분석!$C$12+1,ABS(K492-INDEX($K$2:$K$601,스왑분석!$C$12))&lt;=스왑분석!$C$5,ISERROR(SEARCH("FRN",AP492)),ISERROR(SEARCH("BBB0미만",AP492))),IF(AND(OR(스왑분석!$C$6="N",L492=INDEX($L$2:$L$601,스왑분석!$C$12)),OR(스왑분석!$C$7="N",N492=INDEX($N$2:$N$601,스왑분석!$C$12)),OR(스왑분석!$C$8="N",AO492=0),E492-INDEX($E$2:$E$601,스왑분석!$C$12)&gt;=스왑분석!$C$9),E492-INDEX($E$2:$E$601,스왑분석!$C$12)+ROW()/1000000000,-999),-999),-999)</f>
        <v>-999</v>
      </c>
      <c r="AU492" s="90" t="n">
        <f aca="false">IF(AND(Y492=1,AO492&gt;0,AL492="Rich"),-AK492+ROW()/1000000000,-999)</f>
        <v>-999</v>
      </c>
    </row>
    <row r="493" customFormat="false" ht="15" hidden="false" customHeight="false" outlineLevel="0" collapsed="false">
      <c r="A493" s="83" t="n">
        <f aca="false">IFERROR(IF(INDEX(원자료_시장!$A$1:$BZ$1000,설정!$L$6+ROW()-1,설정!$L$24)&amp;""="0","",INDEX(원자료_시장!$A$1:$BZ$1000,설정!$L$6+ROW()-1,설정!$L$24)),"")</f>
        <v>0</v>
      </c>
      <c r="B493" s="83" t="n">
        <f aca="false">IFERROR(IF(INDEX(원자료_시장!$A$1:$BZ$1000,설정!$L$6+ROW()-1,설정!$L$37)&amp;""="0","",INDEX(원자료_시장!$A$1:$BZ$1000,설정!$L$6+ROW()-1,설정!$L$37)),"")</f>
        <v>0</v>
      </c>
      <c r="C493" s="83" t="n">
        <f aca="false">IFERROR(IF(INDEX(원자료_시장!$A$1:$BZ$1000,설정!$L$6+ROW()-1,설정!$L$25)&amp;""="0","",INDEX(원자료_시장!$A$1:$BZ$1000,설정!$L$6+ROW()-1,설정!$L$25)),"")</f>
        <v>0</v>
      </c>
      <c r="D493" s="85" t="str">
        <f aca="false">IFERROR(IF(ISNUMBER(INDEX(원자료_시장!$A$1:$BZ$1000,설정!$L$6+ROW()-1,설정!$L$26)),INDEX(원자료_시장!$A$1:$BZ$1000,설정!$L$6+ROW()-1,설정!$L$26),""),"")</f>
        <v/>
      </c>
      <c r="E493" s="97" t="str">
        <f aca="false">IFERROR(IF(ISNUMBER(INDEX(원자료_시장!$A$1:$BZ$1000,설정!$L$6+ROW()-1,설정!$L$27)),INDEX(원자료_시장!$A$1:$BZ$1000,설정!$L$6+ROW()-1,설정!$L$27),""),"")</f>
        <v/>
      </c>
      <c r="F493" s="97" t="str">
        <f aca="false">IFERROR(IF(ISNUMBER(INDEX(원자료_시장!$A$1:$BZ$1000,설정!$L$6+ROW()-1,설정!$L$28)),INDEX(원자료_시장!$A$1:$BZ$1000,설정!$L$6+ROW()-1,설정!$L$28),""),"")</f>
        <v/>
      </c>
      <c r="G493" s="97" t="str">
        <f aca="false">IFERROR(IF(ISNUMBER(INDEX(원자료_시장!$A$1:$BZ$1000,설정!$L$6+ROW()-1,설정!$L$29)),INDEX(원자료_시장!$A$1:$BZ$1000,설정!$L$6+ROW()-1,설정!$L$29),""),"")</f>
        <v/>
      </c>
      <c r="H493" s="97" t="str">
        <f aca="false">IFERROR(IF(ISNUMBER(INDEX(원자료_시장!$A$1:$BZ$1000,설정!$L$6+ROW()-1,설정!$L$30)),INDEX(원자료_시장!$A$1:$BZ$1000,설정!$L$6+ROW()-1,설정!$L$30),""),"")</f>
        <v/>
      </c>
      <c r="I493" s="97" t="str">
        <f aca="false">IFERROR(IF(ISNUMBER(INDEX(원자료_시장!$A$1:$BZ$1000,설정!$L$6+ROW()-1,설정!$L$31)),INDEX(원자료_시장!$A$1:$BZ$1000,설정!$L$6+ROW()-1,설정!$L$31),""),"")</f>
        <v/>
      </c>
      <c r="J493" s="97" t="str">
        <f aca="false">IFERROR(IF(ISNUMBER(INDEX(원자료_시장!$A$1:$BZ$1000,설정!$L$6+ROW()-1,설정!$L$32)),INDEX(원자료_시장!$A$1:$BZ$1000,설정!$L$6+ROW()-1,설정!$L$32),""),"")</f>
        <v/>
      </c>
      <c r="K493" s="85" t="str">
        <f aca="false">IFERROR(IF(ISNUMBER(INDEX(원자료_시장!$A$1:$BZ$1000,설정!$L$6+ROW()-1,설정!$L$33)),INDEX(원자료_시장!$A$1:$BZ$1000,설정!$L$6+ROW()-1,설정!$L$33),""),"")</f>
        <v/>
      </c>
      <c r="L493" s="83" t="n">
        <f aca="false">IFERROR(IF(INDEX(원자료_시장!$A$1:$BZ$1000,설정!$L$6+ROW()-1,설정!$L$34)&amp;""="0","",INDEX(원자료_시장!$A$1:$BZ$1000,설정!$L$6+ROW()-1,설정!$L$34)),"")</f>
        <v>0</v>
      </c>
      <c r="M493" s="83" t="n">
        <f aca="false">IFERROR(IF(INDEX(원자료_시장!$A$1:$BZ$1000,설정!$L$6+ROW()-1,설정!$L$35)&amp;""="0","",INDEX(원자료_시장!$A$1:$BZ$1000,설정!$L$6+ROW()-1,설정!$L$35)),"")</f>
        <v>0</v>
      </c>
      <c r="N493" s="83" t="n">
        <f aca="false">IFERROR(IF(INDEX(원자료_시장!$A$1:$BZ$1000,설정!$L$6+ROW()-1,설정!$L$36)&amp;""="0","",INDEX(원자료_시장!$A$1:$BZ$1000,설정!$L$6+ROW()-1,설정!$L$36)),"")</f>
        <v>0</v>
      </c>
      <c r="O493" s="43" t="str">
        <f aca="false">IF($A493="","",UPPER(LEFT($A493,FIND(" ",$A493&amp;" ")-1)))</f>
        <v/>
      </c>
      <c r="P493" s="43" t="str">
        <f aca="false">IF($A493="","",TRIM(RIGHT(SUBSTITUTE(TRIM($A493)," ",REPT(" ",30)),30)))</f>
        <v/>
      </c>
      <c r="Q493" s="98" t="str">
        <f aca="false">IF($A493="","",IFERROR(DATE(IF(LEN(P493)=8,2000+VALUE(RIGHT(P493,2)),VALUE(RIGHT(P493,4))),VALUE(LEFT(P493,2)),VALUE(MID(P493,4,2))),""))</f>
        <v/>
      </c>
      <c r="R493" s="89" t="n">
        <f aca="false">IF($A493="",0,IF(ISNUMBER(SEARCH("Float",$A493)),1,0))</f>
        <v>0</v>
      </c>
      <c r="S493" s="43" t="str">
        <f aca="false">IF($A493="","",TRIM(MID($A493,LEN(O493)+2,LEN($A493)-LEN(O493)-LEN(P493)-1)))</f>
        <v/>
      </c>
      <c r="T493" s="92" t="str">
        <f aca="false">IF(OR($A493="",R493=1),"",IFERROR(IF(ISNUMBER(FIND("/",S493)),IF(ISNUMBER(FIND(" ",S493)),VALUE(LEFT(S493,FIND(" ",S493)-1))+VALUE(MID(S493,FIND(" ",S493)+1,FIND("/",S493)-FIND(" ",S493)-1))/VALUE(MID(S493,FIND("/",S493)+1,9)),VALUE(LEFT(S493,FIND("/",S493)-1))/VALUE(MID(S493,FIND("/",S493)+1,9))),VALUE(S493)),""))</f>
        <v/>
      </c>
      <c r="U493" s="43" t="str">
        <f aca="false">IF(OR($A493="",NOT(ISNUMBER(Q493))),"",TEXT(Q493,"yyyymmdd")&amp;"|"&amp;IF(R493=1,"F",TEXT(T493,"0.000")))</f>
        <v/>
      </c>
      <c r="V493" s="43" t="str">
        <f aca="false">IF(U493="","",O493&amp;"|"&amp;U493)</f>
        <v/>
      </c>
      <c r="W493" s="43" t="str">
        <f aca="false">IF($A493="","",IFERROR(IF(VLOOKUP(O493,매핑!$A$4:$E$92,3,0)="","미분류",VLOOKUP(O493,매핑!$A$4:$E$92,3,0)),"미분류"))</f>
        <v/>
      </c>
      <c r="X493" s="89" t="n">
        <f aca="false">IF($A493="",0,IF(O493="T",1,0))</f>
        <v>0</v>
      </c>
      <c r="Y493" s="89" t="n">
        <f aca="false">IF($A493="",0,IF(AND(C493="USD",X493=0,ISNUMBER(E493),ISNUMBER(K493)),IF(K493&gt;=설정!$C$8,1,0),0))</f>
        <v>0</v>
      </c>
      <c r="Z493" s="43" t="str">
        <f aca="false">IF($A493="","",N493&amp;"|"&amp;L493)</f>
        <v/>
      </c>
      <c r="AA493" s="92" t="n">
        <f aca="false">IF(Y493=1,LN(K493),0)</f>
        <v>0</v>
      </c>
      <c r="AB493" s="93" t="n">
        <f aca="false">IF(Y493=1,E493,0)</f>
        <v>0</v>
      </c>
      <c r="AC493" s="89" t="n">
        <f aca="false">IF(Y493=1,COUNTIFS($Z$2:$Z$601,Z493,$Y$2:$Y$601,1),0)</f>
        <v>0</v>
      </c>
      <c r="AD493" s="89" t="n">
        <f aca="false">IF(Y493=1,COUNTIFS($N$2:$N$601,N493,$Y$2:$Y$601,1),0)</f>
        <v>0</v>
      </c>
      <c r="AE493" s="43" t="str">
        <f aca="false">IF(Y493&lt;&gt;1,"",IF(AND(AC493&gt;=설정!$C$7,ISNUMBER(MATCH(Z493,피어커브!$A:$A,0))),Z493,IF(AND(AD493&gt;=설정!$C$7,ISNUMBER(MATCH(N493&amp;"|전체",피어커브!$A:$A,0))),N493&amp;"|전체","전체|전체")))</f>
        <v/>
      </c>
      <c r="AF493" s="93" t="str">
        <f aca="false">IF(AE493="","",INDEX(피어커브!$K:$K,MATCH(AE493,피어커브!$A:$A,0)))</f>
        <v/>
      </c>
      <c r="AG493" s="93" t="str">
        <f aca="false">IF(AE493="","",INDEX(피어커브!$J:$J,MATCH(AE493,피어커브!$A:$A,0)))</f>
        <v/>
      </c>
      <c r="AH493" s="93" t="str">
        <f aca="false">IF(AE493="","",INDEX(피어커브!$L:$L,MATCH(AE493,피어커브!$A:$A,0)))</f>
        <v/>
      </c>
      <c r="AI493" s="93" t="str">
        <f aca="false">IF(AE493="","",AF493+AG493*AA493)</f>
        <v/>
      </c>
      <c r="AJ493" s="96" t="str">
        <f aca="false">IF(AE493="","",E493-AI493)</f>
        <v/>
      </c>
      <c r="AK493" s="95" t="str">
        <f aca="false">IF(AE493="","",IF(ISNUMBER(AH493),IF(AH493&gt;0,AJ493/AH493,""),""))</f>
        <v/>
      </c>
      <c r="AL493" s="43" t="str">
        <f aca="false">IF(AK493="","-",IF(AK493&gt;=설정!$C$6,"Cheap",IF(AK493&lt;=-설정!$C$6,"Rich","Fair")))</f>
        <v>-</v>
      </c>
      <c r="AM493" s="96" t="str">
        <f aca="false">IF(AE493="","",AJ493-AVERAGEIFS($AJ$2:$AJ$601,$B$2:$B$601,B493,$Y$2:$Y$601,1))</f>
        <v/>
      </c>
      <c r="AN493" s="93" t="n">
        <f aca="false">IF(AE493="",0,IF(K493&gt;1+설정!$C$8,AG493*(AA493-LN(K493-1)),0))</f>
        <v>0</v>
      </c>
      <c r="AO493" s="99" t="n">
        <f aca="false">IF($A493="",0,SUMIFS(보유분석!$AA$2:$AA$801,보유분석!$AB$2:$AB$801,ROW(),보유분석!$AC$2:$AC$801,1))</f>
        <v>0</v>
      </c>
      <c r="AP493" s="43" t="str">
        <f aca="false">IF($A493="","",TRIM(IF(R493=1,"FRN ","")&amp;IF(IFERROR(VLOOKUP(M493,설정!$A$15:$D$47,4,0),0)&gt;=10,IF(IFERROR(VLOOKUP(M493,설정!$A$15:$D$47,4,0),0)&lt;99,"BBB0미만 ",""),"")&amp;IF(OR(M493="",M493="NR"),"등급미입력 ","")&amp;IF(C493&lt;&gt;"USD","비USD ","")))</f>
        <v/>
      </c>
      <c r="AQ493" s="90" t="n">
        <f aca="false">IF(AND(Y493=1,AL493="Cheap"),IF(AND(ISERROR(SEARCH("FRN",AP493)),ISERROR(SEARCH("BBB0미만",AP493))),AK493+ROW()/1000000000,-999),-999)</f>
        <v>-999</v>
      </c>
      <c r="AR493" s="92" t="str">
        <f aca="false">IF(AND(ISNUMBER(D493),ISNUMBER(K493)),D493+AN493*MAX(K493-1,0)/100,"")</f>
        <v/>
      </c>
      <c r="AS493" s="93" t="str">
        <f aca="false">IF(AND(ISNUMBER(E493),ISNUMBER(K493)),IF(K493&gt;0,(E493+AN493*MAX(K493-1,0))/K493,""),"")</f>
        <v/>
      </c>
      <c r="AT493" s="90" t="n">
        <f aca="false">IFERROR(IF(AND(Y493=1,ROW()&lt;&gt;스왑분석!$C$12+1,ABS(K493-INDEX($K$2:$K$601,스왑분석!$C$12))&lt;=스왑분석!$C$5,ISERROR(SEARCH("FRN",AP493)),ISERROR(SEARCH("BBB0미만",AP493))),IF(AND(OR(스왑분석!$C$6="N",L493=INDEX($L$2:$L$601,스왑분석!$C$12)),OR(스왑분석!$C$7="N",N493=INDEX($N$2:$N$601,스왑분석!$C$12)),OR(스왑분석!$C$8="N",AO493=0),E493-INDEX($E$2:$E$601,스왑분석!$C$12)&gt;=스왑분석!$C$9),E493-INDEX($E$2:$E$601,스왑분석!$C$12)+ROW()/1000000000,-999),-999),-999)</f>
        <v>-999</v>
      </c>
      <c r="AU493" s="90" t="n">
        <f aca="false">IF(AND(Y493=1,AO493&gt;0,AL493="Rich"),-AK493+ROW()/1000000000,-999)</f>
        <v>-999</v>
      </c>
    </row>
    <row r="494" customFormat="false" ht="15" hidden="false" customHeight="false" outlineLevel="0" collapsed="false">
      <c r="A494" s="83" t="n">
        <f aca="false">IFERROR(IF(INDEX(원자료_시장!$A$1:$BZ$1000,설정!$L$6+ROW()-1,설정!$L$24)&amp;""="0","",INDEX(원자료_시장!$A$1:$BZ$1000,설정!$L$6+ROW()-1,설정!$L$24)),"")</f>
        <v>0</v>
      </c>
      <c r="B494" s="83" t="n">
        <f aca="false">IFERROR(IF(INDEX(원자료_시장!$A$1:$BZ$1000,설정!$L$6+ROW()-1,설정!$L$37)&amp;""="0","",INDEX(원자료_시장!$A$1:$BZ$1000,설정!$L$6+ROW()-1,설정!$L$37)),"")</f>
        <v>0</v>
      </c>
      <c r="C494" s="83" t="n">
        <f aca="false">IFERROR(IF(INDEX(원자료_시장!$A$1:$BZ$1000,설정!$L$6+ROW()-1,설정!$L$25)&amp;""="0","",INDEX(원자료_시장!$A$1:$BZ$1000,설정!$L$6+ROW()-1,설정!$L$25)),"")</f>
        <v>0</v>
      </c>
      <c r="D494" s="85" t="str">
        <f aca="false">IFERROR(IF(ISNUMBER(INDEX(원자료_시장!$A$1:$BZ$1000,설정!$L$6+ROW()-1,설정!$L$26)),INDEX(원자료_시장!$A$1:$BZ$1000,설정!$L$6+ROW()-1,설정!$L$26),""),"")</f>
        <v/>
      </c>
      <c r="E494" s="97" t="str">
        <f aca="false">IFERROR(IF(ISNUMBER(INDEX(원자료_시장!$A$1:$BZ$1000,설정!$L$6+ROW()-1,설정!$L$27)),INDEX(원자료_시장!$A$1:$BZ$1000,설정!$L$6+ROW()-1,설정!$L$27),""),"")</f>
        <v/>
      </c>
      <c r="F494" s="97" t="str">
        <f aca="false">IFERROR(IF(ISNUMBER(INDEX(원자료_시장!$A$1:$BZ$1000,설정!$L$6+ROW()-1,설정!$L$28)),INDEX(원자료_시장!$A$1:$BZ$1000,설정!$L$6+ROW()-1,설정!$L$28),""),"")</f>
        <v/>
      </c>
      <c r="G494" s="97" t="str">
        <f aca="false">IFERROR(IF(ISNUMBER(INDEX(원자료_시장!$A$1:$BZ$1000,설정!$L$6+ROW()-1,설정!$L$29)),INDEX(원자료_시장!$A$1:$BZ$1000,설정!$L$6+ROW()-1,설정!$L$29),""),"")</f>
        <v/>
      </c>
      <c r="H494" s="97" t="str">
        <f aca="false">IFERROR(IF(ISNUMBER(INDEX(원자료_시장!$A$1:$BZ$1000,설정!$L$6+ROW()-1,설정!$L$30)),INDEX(원자료_시장!$A$1:$BZ$1000,설정!$L$6+ROW()-1,설정!$L$30),""),"")</f>
        <v/>
      </c>
      <c r="I494" s="97" t="str">
        <f aca="false">IFERROR(IF(ISNUMBER(INDEX(원자료_시장!$A$1:$BZ$1000,설정!$L$6+ROW()-1,설정!$L$31)),INDEX(원자료_시장!$A$1:$BZ$1000,설정!$L$6+ROW()-1,설정!$L$31),""),"")</f>
        <v/>
      </c>
      <c r="J494" s="97" t="str">
        <f aca="false">IFERROR(IF(ISNUMBER(INDEX(원자료_시장!$A$1:$BZ$1000,설정!$L$6+ROW()-1,설정!$L$32)),INDEX(원자료_시장!$A$1:$BZ$1000,설정!$L$6+ROW()-1,설정!$L$32),""),"")</f>
        <v/>
      </c>
      <c r="K494" s="85" t="str">
        <f aca="false">IFERROR(IF(ISNUMBER(INDEX(원자료_시장!$A$1:$BZ$1000,설정!$L$6+ROW()-1,설정!$L$33)),INDEX(원자료_시장!$A$1:$BZ$1000,설정!$L$6+ROW()-1,설정!$L$33),""),"")</f>
        <v/>
      </c>
      <c r="L494" s="83" t="n">
        <f aca="false">IFERROR(IF(INDEX(원자료_시장!$A$1:$BZ$1000,설정!$L$6+ROW()-1,설정!$L$34)&amp;""="0","",INDEX(원자료_시장!$A$1:$BZ$1000,설정!$L$6+ROW()-1,설정!$L$34)),"")</f>
        <v>0</v>
      </c>
      <c r="M494" s="83" t="n">
        <f aca="false">IFERROR(IF(INDEX(원자료_시장!$A$1:$BZ$1000,설정!$L$6+ROW()-1,설정!$L$35)&amp;""="0","",INDEX(원자료_시장!$A$1:$BZ$1000,설정!$L$6+ROW()-1,설정!$L$35)),"")</f>
        <v>0</v>
      </c>
      <c r="N494" s="83" t="n">
        <f aca="false">IFERROR(IF(INDEX(원자료_시장!$A$1:$BZ$1000,설정!$L$6+ROW()-1,설정!$L$36)&amp;""="0","",INDEX(원자료_시장!$A$1:$BZ$1000,설정!$L$6+ROW()-1,설정!$L$36)),"")</f>
        <v>0</v>
      </c>
      <c r="O494" s="43" t="str">
        <f aca="false">IF($A494="","",UPPER(LEFT($A494,FIND(" ",$A494&amp;" ")-1)))</f>
        <v/>
      </c>
      <c r="P494" s="43" t="str">
        <f aca="false">IF($A494="","",TRIM(RIGHT(SUBSTITUTE(TRIM($A494)," ",REPT(" ",30)),30)))</f>
        <v/>
      </c>
      <c r="Q494" s="98" t="str">
        <f aca="false">IF($A494="","",IFERROR(DATE(IF(LEN(P494)=8,2000+VALUE(RIGHT(P494,2)),VALUE(RIGHT(P494,4))),VALUE(LEFT(P494,2)),VALUE(MID(P494,4,2))),""))</f>
        <v/>
      </c>
      <c r="R494" s="89" t="n">
        <f aca="false">IF($A494="",0,IF(ISNUMBER(SEARCH("Float",$A494)),1,0))</f>
        <v>0</v>
      </c>
      <c r="S494" s="43" t="str">
        <f aca="false">IF($A494="","",TRIM(MID($A494,LEN(O494)+2,LEN($A494)-LEN(O494)-LEN(P494)-1)))</f>
        <v/>
      </c>
      <c r="T494" s="92" t="str">
        <f aca="false">IF(OR($A494="",R494=1),"",IFERROR(IF(ISNUMBER(FIND("/",S494)),IF(ISNUMBER(FIND(" ",S494)),VALUE(LEFT(S494,FIND(" ",S494)-1))+VALUE(MID(S494,FIND(" ",S494)+1,FIND("/",S494)-FIND(" ",S494)-1))/VALUE(MID(S494,FIND("/",S494)+1,9)),VALUE(LEFT(S494,FIND("/",S494)-1))/VALUE(MID(S494,FIND("/",S494)+1,9))),VALUE(S494)),""))</f>
        <v/>
      </c>
      <c r="U494" s="43" t="str">
        <f aca="false">IF(OR($A494="",NOT(ISNUMBER(Q494))),"",TEXT(Q494,"yyyymmdd")&amp;"|"&amp;IF(R494=1,"F",TEXT(T494,"0.000")))</f>
        <v/>
      </c>
      <c r="V494" s="43" t="str">
        <f aca="false">IF(U494="","",O494&amp;"|"&amp;U494)</f>
        <v/>
      </c>
      <c r="W494" s="43" t="str">
        <f aca="false">IF($A494="","",IFERROR(IF(VLOOKUP(O494,매핑!$A$4:$E$92,3,0)="","미분류",VLOOKUP(O494,매핑!$A$4:$E$92,3,0)),"미분류"))</f>
        <v/>
      </c>
      <c r="X494" s="89" t="n">
        <f aca="false">IF($A494="",0,IF(O494="T",1,0))</f>
        <v>0</v>
      </c>
      <c r="Y494" s="89" t="n">
        <f aca="false">IF($A494="",0,IF(AND(C494="USD",X494=0,ISNUMBER(E494),ISNUMBER(K494)),IF(K494&gt;=설정!$C$8,1,0),0))</f>
        <v>0</v>
      </c>
      <c r="Z494" s="43" t="str">
        <f aca="false">IF($A494="","",N494&amp;"|"&amp;L494)</f>
        <v/>
      </c>
      <c r="AA494" s="92" t="n">
        <f aca="false">IF(Y494=1,LN(K494),0)</f>
        <v>0</v>
      </c>
      <c r="AB494" s="93" t="n">
        <f aca="false">IF(Y494=1,E494,0)</f>
        <v>0</v>
      </c>
      <c r="AC494" s="89" t="n">
        <f aca="false">IF(Y494=1,COUNTIFS($Z$2:$Z$601,Z494,$Y$2:$Y$601,1),0)</f>
        <v>0</v>
      </c>
      <c r="AD494" s="89" t="n">
        <f aca="false">IF(Y494=1,COUNTIFS($N$2:$N$601,N494,$Y$2:$Y$601,1),0)</f>
        <v>0</v>
      </c>
      <c r="AE494" s="43" t="str">
        <f aca="false">IF(Y494&lt;&gt;1,"",IF(AND(AC494&gt;=설정!$C$7,ISNUMBER(MATCH(Z494,피어커브!$A:$A,0))),Z494,IF(AND(AD494&gt;=설정!$C$7,ISNUMBER(MATCH(N494&amp;"|전체",피어커브!$A:$A,0))),N494&amp;"|전체","전체|전체")))</f>
        <v/>
      </c>
      <c r="AF494" s="93" t="str">
        <f aca="false">IF(AE494="","",INDEX(피어커브!$K:$K,MATCH(AE494,피어커브!$A:$A,0)))</f>
        <v/>
      </c>
      <c r="AG494" s="93" t="str">
        <f aca="false">IF(AE494="","",INDEX(피어커브!$J:$J,MATCH(AE494,피어커브!$A:$A,0)))</f>
        <v/>
      </c>
      <c r="AH494" s="93" t="str">
        <f aca="false">IF(AE494="","",INDEX(피어커브!$L:$L,MATCH(AE494,피어커브!$A:$A,0)))</f>
        <v/>
      </c>
      <c r="AI494" s="93" t="str">
        <f aca="false">IF(AE494="","",AF494+AG494*AA494)</f>
        <v/>
      </c>
      <c r="AJ494" s="96" t="str">
        <f aca="false">IF(AE494="","",E494-AI494)</f>
        <v/>
      </c>
      <c r="AK494" s="95" t="str">
        <f aca="false">IF(AE494="","",IF(ISNUMBER(AH494),IF(AH494&gt;0,AJ494/AH494,""),""))</f>
        <v/>
      </c>
      <c r="AL494" s="43" t="str">
        <f aca="false">IF(AK494="","-",IF(AK494&gt;=설정!$C$6,"Cheap",IF(AK494&lt;=-설정!$C$6,"Rich","Fair")))</f>
        <v>-</v>
      </c>
      <c r="AM494" s="96" t="str">
        <f aca="false">IF(AE494="","",AJ494-AVERAGEIFS($AJ$2:$AJ$601,$B$2:$B$601,B494,$Y$2:$Y$601,1))</f>
        <v/>
      </c>
      <c r="AN494" s="93" t="n">
        <f aca="false">IF(AE494="",0,IF(K494&gt;1+설정!$C$8,AG494*(AA494-LN(K494-1)),0))</f>
        <v>0</v>
      </c>
      <c r="AO494" s="99" t="n">
        <f aca="false">IF($A494="",0,SUMIFS(보유분석!$AA$2:$AA$801,보유분석!$AB$2:$AB$801,ROW(),보유분석!$AC$2:$AC$801,1))</f>
        <v>0</v>
      </c>
      <c r="AP494" s="43" t="str">
        <f aca="false">IF($A494="","",TRIM(IF(R494=1,"FRN ","")&amp;IF(IFERROR(VLOOKUP(M494,설정!$A$15:$D$47,4,0),0)&gt;=10,IF(IFERROR(VLOOKUP(M494,설정!$A$15:$D$47,4,0),0)&lt;99,"BBB0미만 ",""),"")&amp;IF(OR(M494="",M494="NR"),"등급미입력 ","")&amp;IF(C494&lt;&gt;"USD","비USD ","")))</f>
        <v/>
      </c>
      <c r="AQ494" s="90" t="n">
        <f aca="false">IF(AND(Y494=1,AL494="Cheap"),IF(AND(ISERROR(SEARCH("FRN",AP494)),ISERROR(SEARCH("BBB0미만",AP494))),AK494+ROW()/1000000000,-999),-999)</f>
        <v>-999</v>
      </c>
      <c r="AR494" s="92" t="str">
        <f aca="false">IF(AND(ISNUMBER(D494),ISNUMBER(K494)),D494+AN494*MAX(K494-1,0)/100,"")</f>
        <v/>
      </c>
      <c r="AS494" s="93" t="str">
        <f aca="false">IF(AND(ISNUMBER(E494),ISNUMBER(K494)),IF(K494&gt;0,(E494+AN494*MAX(K494-1,0))/K494,""),"")</f>
        <v/>
      </c>
      <c r="AT494" s="90" t="n">
        <f aca="false">IFERROR(IF(AND(Y494=1,ROW()&lt;&gt;스왑분석!$C$12+1,ABS(K494-INDEX($K$2:$K$601,스왑분석!$C$12))&lt;=스왑분석!$C$5,ISERROR(SEARCH("FRN",AP494)),ISERROR(SEARCH("BBB0미만",AP494))),IF(AND(OR(스왑분석!$C$6="N",L494=INDEX($L$2:$L$601,스왑분석!$C$12)),OR(스왑분석!$C$7="N",N494=INDEX($N$2:$N$601,스왑분석!$C$12)),OR(스왑분석!$C$8="N",AO494=0),E494-INDEX($E$2:$E$601,스왑분석!$C$12)&gt;=스왑분석!$C$9),E494-INDEX($E$2:$E$601,스왑분석!$C$12)+ROW()/1000000000,-999),-999),-999)</f>
        <v>-999</v>
      </c>
      <c r="AU494" s="90" t="n">
        <f aca="false">IF(AND(Y494=1,AO494&gt;0,AL494="Rich"),-AK494+ROW()/1000000000,-999)</f>
        <v>-999</v>
      </c>
    </row>
    <row r="495" customFormat="false" ht="15" hidden="false" customHeight="false" outlineLevel="0" collapsed="false">
      <c r="A495" s="83" t="n">
        <f aca="false">IFERROR(IF(INDEX(원자료_시장!$A$1:$BZ$1000,설정!$L$6+ROW()-1,설정!$L$24)&amp;""="0","",INDEX(원자료_시장!$A$1:$BZ$1000,설정!$L$6+ROW()-1,설정!$L$24)),"")</f>
        <v>0</v>
      </c>
      <c r="B495" s="83" t="n">
        <f aca="false">IFERROR(IF(INDEX(원자료_시장!$A$1:$BZ$1000,설정!$L$6+ROW()-1,설정!$L$37)&amp;""="0","",INDEX(원자료_시장!$A$1:$BZ$1000,설정!$L$6+ROW()-1,설정!$L$37)),"")</f>
        <v>0</v>
      </c>
      <c r="C495" s="83" t="n">
        <f aca="false">IFERROR(IF(INDEX(원자료_시장!$A$1:$BZ$1000,설정!$L$6+ROW()-1,설정!$L$25)&amp;""="0","",INDEX(원자료_시장!$A$1:$BZ$1000,설정!$L$6+ROW()-1,설정!$L$25)),"")</f>
        <v>0</v>
      </c>
      <c r="D495" s="85" t="str">
        <f aca="false">IFERROR(IF(ISNUMBER(INDEX(원자료_시장!$A$1:$BZ$1000,설정!$L$6+ROW()-1,설정!$L$26)),INDEX(원자료_시장!$A$1:$BZ$1000,설정!$L$6+ROW()-1,설정!$L$26),""),"")</f>
        <v/>
      </c>
      <c r="E495" s="97" t="str">
        <f aca="false">IFERROR(IF(ISNUMBER(INDEX(원자료_시장!$A$1:$BZ$1000,설정!$L$6+ROW()-1,설정!$L$27)),INDEX(원자료_시장!$A$1:$BZ$1000,설정!$L$6+ROW()-1,설정!$L$27),""),"")</f>
        <v/>
      </c>
      <c r="F495" s="97" t="str">
        <f aca="false">IFERROR(IF(ISNUMBER(INDEX(원자료_시장!$A$1:$BZ$1000,설정!$L$6+ROW()-1,설정!$L$28)),INDEX(원자료_시장!$A$1:$BZ$1000,설정!$L$6+ROW()-1,설정!$L$28),""),"")</f>
        <v/>
      </c>
      <c r="G495" s="97" t="str">
        <f aca="false">IFERROR(IF(ISNUMBER(INDEX(원자료_시장!$A$1:$BZ$1000,설정!$L$6+ROW()-1,설정!$L$29)),INDEX(원자료_시장!$A$1:$BZ$1000,설정!$L$6+ROW()-1,설정!$L$29),""),"")</f>
        <v/>
      </c>
      <c r="H495" s="97" t="str">
        <f aca="false">IFERROR(IF(ISNUMBER(INDEX(원자료_시장!$A$1:$BZ$1000,설정!$L$6+ROW()-1,설정!$L$30)),INDEX(원자료_시장!$A$1:$BZ$1000,설정!$L$6+ROW()-1,설정!$L$30),""),"")</f>
        <v/>
      </c>
      <c r="I495" s="97" t="str">
        <f aca="false">IFERROR(IF(ISNUMBER(INDEX(원자료_시장!$A$1:$BZ$1000,설정!$L$6+ROW()-1,설정!$L$31)),INDEX(원자료_시장!$A$1:$BZ$1000,설정!$L$6+ROW()-1,설정!$L$31),""),"")</f>
        <v/>
      </c>
      <c r="J495" s="97" t="str">
        <f aca="false">IFERROR(IF(ISNUMBER(INDEX(원자료_시장!$A$1:$BZ$1000,설정!$L$6+ROW()-1,설정!$L$32)),INDEX(원자료_시장!$A$1:$BZ$1000,설정!$L$6+ROW()-1,설정!$L$32),""),"")</f>
        <v/>
      </c>
      <c r="K495" s="85" t="str">
        <f aca="false">IFERROR(IF(ISNUMBER(INDEX(원자료_시장!$A$1:$BZ$1000,설정!$L$6+ROW()-1,설정!$L$33)),INDEX(원자료_시장!$A$1:$BZ$1000,설정!$L$6+ROW()-1,설정!$L$33),""),"")</f>
        <v/>
      </c>
      <c r="L495" s="83" t="n">
        <f aca="false">IFERROR(IF(INDEX(원자료_시장!$A$1:$BZ$1000,설정!$L$6+ROW()-1,설정!$L$34)&amp;""="0","",INDEX(원자료_시장!$A$1:$BZ$1000,설정!$L$6+ROW()-1,설정!$L$34)),"")</f>
        <v>0</v>
      </c>
      <c r="M495" s="83" t="n">
        <f aca="false">IFERROR(IF(INDEX(원자료_시장!$A$1:$BZ$1000,설정!$L$6+ROW()-1,설정!$L$35)&amp;""="0","",INDEX(원자료_시장!$A$1:$BZ$1000,설정!$L$6+ROW()-1,설정!$L$35)),"")</f>
        <v>0</v>
      </c>
      <c r="N495" s="83" t="n">
        <f aca="false">IFERROR(IF(INDEX(원자료_시장!$A$1:$BZ$1000,설정!$L$6+ROW()-1,설정!$L$36)&amp;""="0","",INDEX(원자료_시장!$A$1:$BZ$1000,설정!$L$6+ROW()-1,설정!$L$36)),"")</f>
        <v>0</v>
      </c>
      <c r="O495" s="43" t="str">
        <f aca="false">IF($A495="","",UPPER(LEFT($A495,FIND(" ",$A495&amp;" ")-1)))</f>
        <v/>
      </c>
      <c r="P495" s="43" t="str">
        <f aca="false">IF($A495="","",TRIM(RIGHT(SUBSTITUTE(TRIM($A495)," ",REPT(" ",30)),30)))</f>
        <v/>
      </c>
      <c r="Q495" s="98" t="str">
        <f aca="false">IF($A495="","",IFERROR(DATE(IF(LEN(P495)=8,2000+VALUE(RIGHT(P495,2)),VALUE(RIGHT(P495,4))),VALUE(LEFT(P495,2)),VALUE(MID(P495,4,2))),""))</f>
        <v/>
      </c>
      <c r="R495" s="89" t="n">
        <f aca="false">IF($A495="",0,IF(ISNUMBER(SEARCH("Float",$A495)),1,0))</f>
        <v>0</v>
      </c>
      <c r="S495" s="43" t="str">
        <f aca="false">IF($A495="","",TRIM(MID($A495,LEN(O495)+2,LEN($A495)-LEN(O495)-LEN(P495)-1)))</f>
        <v/>
      </c>
      <c r="T495" s="92" t="str">
        <f aca="false">IF(OR($A495="",R495=1),"",IFERROR(IF(ISNUMBER(FIND("/",S495)),IF(ISNUMBER(FIND(" ",S495)),VALUE(LEFT(S495,FIND(" ",S495)-1))+VALUE(MID(S495,FIND(" ",S495)+1,FIND("/",S495)-FIND(" ",S495)-1))/VALUE(MID(S495,FIND("/",S495)+1,9)),VALUE(LEFT(S495,FIND("/",S495)-1))/VALUE(MID(S495,FIND("/",S495)+1,9))),VALUE(S495)),""))</f>
        <v/>
      </c>
      <c r="U495" s="43" t="str">
        <f aca="false">IF(OR($A495="",NOT(ISNUMBER(Q495))),"",TEXT(Q495,"yyyymmdd")&amp;"|"&amp;IF(R495=1,"F",TEXT(T495,"0.000")))</f>
        <v/>
      </c>
      <c r="V495" s="43" t="str">
        <f aca="false">IF(U495="","",O495&amp;"|"&amp;U495)</f>
        <v/>
      </c>
      <c r="W495" s="43" t="str">
        <f aca="false">IF($A495="","",IFERROR(IF(VLOOKUP(O495,매핑!$A$4:$E$92,3,0)="","미분류",VLOOKUP(O495,매핑!$A$4:$E$92,3,0)),"미분류"))</f>
        <v/>
      </c>
      <c r="X495" s="89" t="n">
        <f aca="false">IF($A495="",0,IF(O495="T",1,0))</f>
        <v>0</v>
      </c>
      <c r="Y495" s="89" t="n">
        <f aca="false">IF($A495="",0,IF(AND(C495="USD",X495=0,ISNUMBER(E495),ISNUMBER(K495)),IF(K495&gt;=설정!$C$8,1,0),0))</f>
        <v>0</v>
      </c>
      <c r="Z495" s="43" t="str">
        <f aca="false">IF($A495="","",N495&amp;"|"&amp;L495)</f>
        <v/>
      </c>
      <c r="AA495" s="92" t="n">
        <f aca="false">IF(Y495=1,LN(K495),0)</f>
        <v>0</v>
      </c>
      <c r="AB495" s="93" t="n">
        <f aca="false">IF(Y495=1,E495,0)</f>
        <v>0</v>
      </c>
      <c r="AC495" s="89" t="n">
        <f aca="false">IF(Y495=1,COUNTIFS($Z$2:$Z$601,Z495,$Y$2:$Y$601,1),0)</f>
        <v>0</v>
      </c>
      <c r="AD495" s="89" t="n">
        <f aca="false">IF(Y495=1,COUNTIFS($N$2:$N$601,N495,$Y$2:$Y$601,1),0)</f>
        <v>0</v>
      </c>
      <c r="AE495" s="43" t="str">
        <f aca="false">IF(Y495&lt;&gt;1,"",IF(AND(AC495&gt;=설정!$C$7,ISNUMBER(MATCH(Z495,피어커브!$A:$A,0))),Z495,IF(AND(AD495&gt;=설정!$C$7,ISNUMBER(MATCH(N495&amp;"|전체",피어커브!$A:$A,0))),N495&amp;"|전체","전체|전체")))</f>
        <v/>
      </c>
      <c r="AF495" s="93" t="str">
        <f aca="false">IF(AE495="","",INDEX(피어커브!$K:$K,MATCH(AE495,피어커브!$A:$A,0)))</f>
        <v/>
      </c>
      <c r="AG495" s="93" t="str">
        <f aca="false">IF(AE495="","",INDEX(피어커브!$J:$J,MATCH(AE495,피어커브!$A:$A,0)))</f>
        <v/>
      </c>
      <c r="AH495" s="93" t="str">
        <f aca="false">IF(AE495="","",INDEX(피어커브!$L:$L,MATCH(AE495,피어커브!$A:$A,0)))</f>
        <v/>
      </c>
      <c r="AI495" s="93" t="str">
        <f aca="false">IF(AE495="","",AF495+AG495*AA495)</f>
        <v/>
      </c>
      <c r="AJ495" s="96" t="str">
        <f aca="false">IF(AE495="","",E495-AI495)</f>
        <v/>
      </c>
      <c r="AK495" s="95" t="str">
        <f aca="false">IF(AE495="","",IF(ISNUMBER(AH495),IF(AH495&gt;0,AJ495/AH495,""),""))</f>
        <v/>
      </c>
      <c r="AL495" s="43" t="str">
        <f aca="false">IF(AK495="","-",IF(AK495&gt;=설정!$C$6,"Cheap",IF(AK495&lt;=-설정!$C$6,"Rich","Fair")))</f>
        <v>-</v>
      </c>
      <c r="AM495" s="96" t="str">
        <f aca="false">IF(AE495="","",AJ495-AVERAGEIFS($AJ$2:$AJ$601,$B$2:$B$601,B495,$Y$2:$Y$601,1))</f>
        <v/>
      </c>
      <c r="AN495" s="93" t="n">
        <f aca="false">IF(AE495="",0,IF(K495&gt;1+설정!$C$8,AG495*(AA495-LN(K495-1)),0))</f>
        <v>0</v>
      </c>
      <c r="AO495" s="99" t="n">
        <f aca="false">IF($A495="",0,SUMIFS(보유분석!$AA$2:$AA$801,보유분석!$AB$2:$AB$801,ROW(),보유분석!$AC$2:$AC$801,1))</f>
        <v>0</v>
      </c>
      <c r="AP495" s="43" t="str">
        <f aca="false">IF($A495="","",TRIM(IF(R495=1,"FRN ","")&amp;IF(IFERROR(VLOOKUP(M495,설정!$A$15:$D$47,4,0),0)&gt;=10,IF(IFERROR(VLOOKUP(M495,설정!$A$15:$D$47,4,0),0)&lt;99,"BBB0미만 ",""),"")&amp;IF(OR(M495="",M495="NR"),"등급미입력 ","")&amp;IF(C495&lt;&gt;"USD","비USD ","")))</f>
        <v/>
      </c>
      <c r="AQ495" s="90" t="n">
        <f aca="false">IF(AND(Y495=1,AL495="Cheap"),IF(AND(ISERROR(SEARCH("FRN",AP495)),ISERROR(SEARCH("BBB0미만",AP495))),AK495+ROW()/1000000000,-999),-999)</f>
        <v>-999</v>
      </c>
      <c r="AR495" s="92" t="str">
        <f aca="false">IF(AND(ISNUMBER(D495),ISNUMBER(K495)),D495+AN495*MAX(K495-1,0)/100,"")</f>
        <v/>
      </c>
      <c r="AS495" s="93" t="str">
        <f aca="false">IF(AND(ISNUMBER(E495),ISNUMBER(K495)),IF(K495&gt;0,(E495+AN495*MAX(K495-1,0))/K495,""),"")</f>
        <v/>
      </c>
      <c r="AT495" s="90" t="n">
        <f aca="false">IFERROR(IF(AND(Y495=1,ROW()&lt;&gt;스왑분석!$C$12+1,ABS(K495-INDEX($K$2:$K$601,스왑분석!$C$12))&lt;=스왑분석!$C$5,ISERROR(SEARCH("FRN",AP495)),ISERROR(SEARCH("BBB0미만",AP495))),IF(AND(OR(스왑분석!$C$6="N",L495=INDEX($L$2:$L$601,스왑분석!$C$12)),OR(스왑분석!$C$7="N",N495=INDEX($N$2:$N$601,스왑분석!$C$12)),OR(스왑분석!$C$8="N",AO495=0),E495-INDEX($E$2:$E$601,스왑분석!$C$12)&gt;=스왑분석!$C$9),E495-INDEX($E$2:$E$601,스왑분석!$C$12)+ROW()/1000000000,-999),-999),-999)</f>
        <v>-999</v>
      </c>
      <c r="AU495" s="90" t="n">
        <f aca="false">IF(AND(Y495=1,AO495&gt;0,AL495="Rich"),-AK495+ROW()/1000000000,-999)</f>
        <v>-999</v>
      </c>
    </row>
    <row r="496" customFormat="false" ht="15" hidden="false" customHeight="false" outlineLevel="0" collapsed="false">
      <c r="A496" s="83" t="n">
        <f aca="false">IFERROR(IF(INDEX(원자료_시장!$A$1:$BZ$1000,설정!$L$6+ROW()-1,설정!$L$24)&amp;""="0","",INDEX(원자료_시장!$A$1:$BZ$1000,설정!$L$6+ROW()-1,설정!$L$24)),"")</f>
        <v>0</v>
      </c>
      <c r="B496" s="83" t="n">
        <f aca="false">IFERROR(IF(INDEX(원자료_시장!$A$1:$BZ$1000,설정!$L$6+ROW()-1,설정!$L$37)&amp;""="0","",INDEX(원자료_시장!$A$1:$BZ$1000,설정!$L$6+ROW()-1,설정!$L$37)),"")</f>
        <v>0</v>
      </c>
      <c r="C496" s="83" t="n">
        <f aca="false">IFERROR(IF(INDEX(원자료_시장!$A$1:$BZ$1000,설정!$L$6+ROW()-1,설정!$L$25)&amp;""="0","",INDEX(원자료_시장!$A$1:$BZ$1000,설정!$L$6+ROW()-1,설정!$L$25)),"")</f>
        <v>0</v>
      </c>
      <c r="D496" s="85" t="str">
        <f aca="false">IFERROR(IF(ISNUMBER(INDEX(원자료_시장!$A$1:$BZ$1000,설정!$L$6+ROW()-1,설정!$L$26)),INDEX(원자료_시장!$A$1:$BZ$1000,설정!$L$6+ROW()-1,설정!$L$26),""),"")</f>
        <v/>
      </c>
      <c r="E496" s="97" t="str">
        <f aca="false">IFERROR(IF(ISNUMBER(INDEX(원자료_시장!$A$1:$BZ$1000,설정!$L$6+ROW()-1,설정!$L$27)),INDEX(원자료_시장!$A$1:$BZ$1000,설정!$L$6+ROW()-1,설정!$L$27),""),"")</f>
        <v/>
      </c>
      <c r="F496" s="97" t="str">
        <f aca="false">IFERROR(IF(ISNUMBER(INDEX(원자료_시장!$A$1:$BZ$1000,설정!$L$6+ROW()-1,설정!$L$28)),INDEX(원자료_시장!$A$1:$BZ$1000,설정!$L$6+ROW()-1,설정!$L$28),""),"")</f>
        <v/>
      </c>
      <c r="G496" s="97" t="str">
        <f aca="false">IFERROR(IF(ISNUMBER(INDEX(원자료_시장!$A$1:$BZ$1000,설정!$L$6+ROW()-1,설정!$L$29)),INDEX(원자료_시장!$A$1:$BZ$1000,설정!$L$6+ROW()-1,설정!$L$29),""),"")</f>
        <v/>
      </c>
      <c r="H496" s="97" t="str">
        <f aca="false">IFERROR(IF(ISNUMBER(INDEX(원자료_시장!$A$1:$BZ$1000,설정!$L$6+ROW()-1,설정!$L$30)),INDEX(원자료_시장!$A$1:$BZ$1000,설정!$L$6+ROW()-1,설정!$L$30),""),"")</f>
        <v/>
      </c>
      <c r="I496" s="97" t="str">
        <f aca="false">IFERROR(IF(ISNUMBER(INDEX(원자료_시장!$A$1:$BZ$1000,설정!$L$6+ROW()-1,설정!$L$31)),INDEX(원자료_시장!$A$1:$BZ$1000,설정!$L$6+ROW()-1,설정!$L$31),""),"")</f>
        <v/>
      </c>
      <c r="J496" s="97" t="str">
        <f aca="false">IFERROR(IF(ISNUMBER(INDEX(원자료_시장!$A$1:$BZ$1000,설정!$L$6+ROW()-1,설정!$L$32)),INDEX(원자료_시장!$A$1:$BZ$1000,설정!$L$6+ROW()-1,설정!$L$32),""),"")</f>
        <v/>
      </c>
      <c r="K496" s="85" t="str">
        <f aca="false">IFERROR(IF(ISNUMBER(INDEX(원자료_시장!$A$1:$BZ$1000,설정!$L$6+ROW()-1,설정!$L$33)),INDEX(원자료_시장!$A$1:$BZ$1000,설정!$L$6+ROW()-1,설정!$L$33),""),"")</f>
        <v/>
      </c>
      <c r="L496" s="83" t="n">
        <f aca="false">IFERROR(IF(INDEX(원자료_시장!$A$1:$BZ$1000,설정!$L$6+ROW()-1,설정!$L$34)&amp;""="0","",INDEX(원자료_시장!$A$1:$BZ$1000,설정!$L$6+ROW()-1,설정!$L$34)),"")</f>
        <v>0</v>
      </c>
      <c r="M496" s="83" t="n">
        <f aca="false">IFERROR(IF(INDEX(원자료_시장!$A$1:$BZ$1000,설정!$L$6+ROW()-1,설정!$L$35)&amp;""="0","",INDEX(원자료_시장!$A$1:$BZ$1000,설정!$L$6+ROW()-1,설정!$L$35)),"")</f>
        <v>0</v>
      </c>
      <c r="N496" s="83" t="n">
        <f aca="false">IFERROR(IF(INDEX(원자료_시장!$A$1:$BZ$1000,설정!$L$6+ROW()-1,설정!$L$36)&amp;""="0","",INDEX(원자료_시장!$A$1:$BZ$1000,설정!$L$6+ROW()-1,설정!$L$36)),"")</f>
        <v>0</v>
      </c>
      <c r="O496" s="43" t="str">
        <f aca="false">IF($A496="","",UPPER(LEFT($A496,FIND(" ",$A496&amp;" ")-1)))</f>
        <v/>
      </c>
      <c r="P496" s="43" t="str">
        <f aca="false">IF($A496="","",TRIM(RIGHT(SUBSTITUTE(TRIM($A496)," ",REPT(" ",30)),30)))</f>
        <v/>
      </c>
      <c r="Q496" s="98" t="str">
        <f aca="false">IF($A496="","",IFERROR(DATE(IF(LEN(P496)=8,2000+VALUE(RIGHT(P496,2)),VALUE(RIGHT(P496,4))),VALUE(LEFT(P496,2)),VALUE(MID(P496,4,2))),""))</f>
        <v/>
      </c>
      <c r="R496" s="89" t="n">
        <f aca="false">IF($A496="",0,IF(ISNUMBER(SEARCH("Float",$A496)),1,0))</f>
        <v>0</v>
      </c>
      <c r="S496" s="43" t="str">
        <f aca="false">IF($A496="","",TRIM(MID($A496,LEN(O496)+2,LEN($A496)-LEN(O496)-LEN(P496)-1)))</f>
        <v/>
      </c>
      <c r="T496" s="92" t="str">
        <f aca="false">IF(OR($A496="",R496=1),"",IFERROR(IF(ISNUMBER(FIND("/",S496)),IF(ISNUMBER(FIND(" ",S496)),VALUE(LEFT(S496,FIND(" ",S496)-1))+VALUE(MID(S496,FIND(" ",S496)+1,FIND("/",S496)-FIND(" ",S496)-1))/VALUE(MID(S496,FIND("/",S496)+1,9)),VALUE(LEFT(S496,FIND("/",S496)-1))/VALUE(MID(S496,FIND("/",S496)+1,9))),VALUE(S496)),""))</f>
        <v/>
      </c>
      <c r="U496" s="43" t="str">
        <f aca="false">IF(OR($A496="",NOT(ISNUMBER(Q496))),"",TEXT(Q496,"yyyymmdd")&amp;"|"&amp;IF(R496=1,"F",TEXT(T496,"0.000")))</f>
        <v/>
      </c>
      <c r="V496" s="43" t="str">
        <f aca="false">IF(U496="","",O496&amp;"|"&amp;U496)</f>
        <v/>
      </c>
      <c r="W496" s="43" t="str">
        <f aca="false">IF($A496="","",IFERROR(IF(VLOOKUP(O496,매핑!$A$4:$E$92,3,0)="","미분류",VLOOKUP(O496,매핑!$A$4:$E$92,3,0)),"미분류"))</f>
        <v/>
      </c>
      <c r="X496" s="89" t="n">
        <f aca="false">IF($A496="",0,IF(O496="T",1,0))</f>
        <v>0</v>
      </c>
      <c r="Y496" s="89" t="n">
        <f aca="false">IF($A496="",0,IF(AND(C496="USD",X496=0,ISNUMBER(E496),ISNUMBER(K496)),IF(K496&gt;=설정!$C$8,1,0),0))</f>
        <v>0</v>
      </c>
      <c r="Z496" s="43" t="str">
        <f aca="false">IF($A496="","",N496&amp;"|"&amp;L496)</f>
        <v/>
      </c>
      <c r="AA496" s="92" t="n">
        <f aca="false">IF(Y496=1,LN(K496),0)</f>
        <v>0</v>
      </c>
      <c r="AB496" s="93" t="n">
        <f aca="false">IF(Y496=1,E496,0)</f>
        <v>0</v>
      </c>
      <c r="AC496" s="89" t="n">
        <f aca="false">IF(Y496=1,COUNTIFS($Z$2:$Z$601,Z496,$Y$2:$Y$601,1),0)</f>
        <v>0</v>
      </c>
      <c r="AD496" s="89" t="n">
        <f aca="false">IF(Y496=1,COUNTIFS($N$2:$N$601,N496,$Y$2:$Y$601,1),0)</f>
        <v>0</v>
      </c>
      <c r="AE496" s="43" t="str">
        <f aca="false">IF(Y496&lt;&gt;1,"",IF(AND(AC496&gt;=설정!$C$7,ISNUMBER(MATCH(Z496,피어커브!$A:$A,0))),Z496,IF(AND(AD496&gt;=설정!$C$7,ISNUMBER(MATCH(N496&amp;"|전체",피어커브!$A:$A,0))),N496&amp;"|전체","전체|전체")))</f>
        <v/>
      </c>
      <c r="AF496" s="93" t="str">
        <f aca="false">IF(AE496="","",INDEX(피어커브!$K:$K,MATCH(AE496,피어커브!$A:$A,0)))</f>
        <v/>
      </c>
      <c r="AG496" s="93" t="str">
        <f aca="false">IF(AE496="","",INDEX(피어커브!$J:$J,MATCH(AE496,피어커브!$A:$A,0)))</f>
        <v/>
      </c>
      <c r="AH496" s="93" t="str">
        <f aca="false">IF(AE496="","",INDEX(피어커브!$L:$L,MATCH(AE496,피어커브!$A:$A,0)))</f>
        <v/>
      </c>
      <c r="AI496" s="93" t="str">
        <f aca="false">IF(AE496="","",AF496+AG496*AA496)</f>
        <v/>
      </c>
      <c r="AJ496" s="96" t="str">
        <f aca="false">IF(AE496="","",E496-AI496)</f>
        <v/>
      </c>
      <c r="AK496" s="95" t="str">
        <f aca="false">IF(AE496="","",IF(ISNUMBER(AH496),IF(AH496&gt;0,AJ496/AH496,""),""))</f>
        <v/>
      </c>
      <c r="AL496" s="43" t="str">
        <f aca="false">IF(AK496="","-",IF(AK496&gt;=설정!$C$6,"Cheap",IF(AK496&lt;=-설정!$C$6,"Rich","Fair")))</f>
        <v>-</v>
      </c>
      <c r="AM496" s="96" t="str">
        <f aca="false">IF(AE496="","",AJ496-AVERAGEIFS($AJ$2:$AJ$601,$B$2:$B$601,B496,$Y$2:$Y$601,1))</f>
        <v/>
      </c>
      <c r="AN496" s="93" t="n">
        <f aca="false">IF(AE496="",0,IF(K496&gt;1+설정!$C$8,AG496*(AA496-LN(K496-1)),0))</f>
        <v>0</v>
      </c>
      <c r="AO496" s="99" t="n">
        <f aca="false">IF($A496="",0,SUMIFS(보유분석!$AA$2:$AA$801,보유분석!$AB$2:$AB$801,ROW(),보유분석!$AC$2:$AC$801,1))</f>
        <v>0</v>
      </c>
      <c r="AP496" s="43" t="str">
        <f aca="false">IF($A496="","",TRIM(IF(R496=1,"FRN ","")&amp;IF(IFERROR(VLOOKUP(M496,설정!$A$15:$D$47,4,0),0)&gt;=10,IF(IFERROR(VLOOKUP(M496,설정!$A$15:$D$47,4,0),0)&lt;99,"BBB0미만 ",""),"")&amp;IF(OR(M496="",M496="NR"),"등급미입력 ","")&amp;IF(C496&lt;&gt;"USD","비USD ","")))</f>
        <v/>
      </c>
      <c r="AQ496" s="90" t="n">
        <f aca="false">IF(AND(Y496=1,AL496="Cheap"),IF(AND(ISERROR(SEARCH("FRN",AP496)),ISERROR(SEARCH("BBB0미만",AP496))),AK496+ROW()/1000000000,-999),-999)</f>
        <v>-999</v>
      </c>
      <c r="AR496" s="92" t="str">
        <f aca="false">IF(AND(ISNUMBER(D496),ISNUMBER(K496)),D496+AN496*MAX(K496-1,0)/100,"")</f>
        <v/>
      </c>
      <c r="AS496" s="93" t="str">
        <f aca="false">IF(AND(ISNUMBER(E496),ISNUMBER(K496)),IF(K496&gt;0,(E496+AN496*MAX(K496-1,0))/K496,""),"")</f>
        <v/>
      </c>
      <c r="AT496" s="90" t="n">
        <f aca="false">IFERROR(IF(AND(Y496=1,ROW()&lt;&gt;스왑분석!$C$12+1,ABS(K496-INDEX($K$2:$K$601,스왑분석!$C$12))&lt;=스왑분석!$C$5,ISERROR(SEARCH("FRN",AP496)),ISERROR(SEARCH("BBB0미만",AP496))),IF(AND(OR(스왑분석!$C$6="N",L496=INDEX($L$2:$L$601,스왑분석!$C$12)),OR(스왑분석!$C$7="N",N496=INDEX($N$2:$N$601,스왑분석!$C$12)),OR(스왑분석!$C$8="N",AO496=0),E496-INDEX($E$2:$E$601,스왑분석!$C$12)&gt;=스왑분석!$C$9),E496-INDEX($E$2:$E$601,스왑분석!$C$12)+ROW()/1000000000,-999),-999),-999)</f>
        <v>-999</v>
      </c>
      <c r="AU496" s="90" t="n">
        <f aca="false">IF(AND(Y496=1,AO496&gt;0,AL496="Rich"),-AK496+ROW()/1000000000,-999)</f>
        <v>-999</v>
      </c>
    </row>
    <row r="497" customFormat="false" ht="15" hidden="false" customHeight="false" outlineLevel="0" collapsed="false">
      <c r="A497" s="83" t="n">
        <f aca="false">IFERROR(IF(INDEX(원자료_시장!$A$1:$BZ$1000,설정!$L$6+ROW()-1,설정!$L$24)&amp;""="0","",INDEX(원자료_시장!$A$1:$BZ$1000,설정!$L$6+ROW()-1,설정!$L$24)),"")</f>
        <v>0</v>
      </c>
      <c r="B497" s="83" t="n">
        <f aca="false">IFERROR(IF(INDEX(원자료_시장!$A$1:$BZ$1000,설정!$L$6+ROW()-1,설정!$L$37)&amp;""="0","",INDEX(원자료_시장!$A$1:$BZ$1000,설정!$L$6+ROW()-1,설정!$L$37)),"")</f>
        <v>0</v>
      </c>
      <c r="C497" s="83" t="n">
        <f aca="false">IFERROR(IF(INDEX(원자료_시장!$A$1:$BZ$1000,설정!$L$6+ROW()-1,설정!$L$25)&amp;""="0","",INDEX(원자료_시장!$A$1:$BZ$1000,설정!$L$6+ROW()-1,설정!$L$25)),"")</f>
        <v>0</v>
      </c>
      <c r="D497" s="85" t="str">
        <f aca="false">IFERROR(IF(ISNUMBER(INDEX(원자료_시장!$A$1:$BZ$1000,설정!$L$6+ROW()-1,설정!$L$26)),INDEX(원자료_시장!$A$1:$BZ$1000,설정!$L$6+ROW()-1,설정!$L$26),""),"")</f>
        <v/>
      </c>
      <c r="E497" s="97" t="str">
        <f aca="false">IFERROR(IF(ISNUMBER(INDEX(원자료_시장!$A$1:$BZ$1000,설정!$L$6+ROW()-1,설정!$L$27)),INDEX(원자료_시장!$A$1:$BZ$1000,설정!$L$6+ROW()-1,설정!$L$27),""),"")</f>
        <v/>
      </c>
      <c r="F497" s="97" t="str">
        <f aca="false">IFERROR(IF(ISNUMBER(INDEX(원자료_시장!$A$1:$BZ$1000,설정!$L$6+ROW()-1,설정!$L$28)),INDEX(원자료_시장!$A$1:$BZ$1000,설정!$L$6+ROW()-1,설정!$L$28),""),"")</f>
        <v/>
      </c>
      <c r="G497" s="97" t="str">
        <f aca="false">IFERROR(IF(ISNUMBER(INDEX(원자료_시장!$A$1:$BZ$1000,설정!$L$6+ROW()-1,설정!$L$29)),INDEX(원자료_시장!$A$1:$BZ$1000,설정!$L$6+ROW()-1,설정!$L$29),""),"")</f>
        <v/>
      </c>
      <c r="H497" s="97" t="str">
        <f aca="false">IFERROR(IF(ISNUMBER(INDEX(원자료_시장!$A$1:$BZ$1000,설정!$L$6+ROW()-1,설정!$L$30)),INDEX(원자료_시장!$A$1:$BZ$1000,설정!$L$6+ROW()-1,설정!$L$30),""),"")</f>
        <v/>
      </c>
      <c r="I497" s="97" t="str">
        <f aca="false">IFERROR(IF(ISNUMBER(INDEX(원자료_시장!$A$1:$BZ$1000,설정!$L$6+ROW()-1,설정!$L$31)),INDEX(원자료_시장!$A$1:$BZ$1000,설정!$L$6+ROW()-1,설정!$L$31),""),"")</f>
        <v/>
      </c>
      <c r="J497" s="97" t="str">
        <f aca="false">IFERROR(IF(ISNUMBER(INDEX(원자료_시장!$A$1:$BZ$1000,설정!$L$6+ROW()-1,설정!$L$32)),INDEX(원자료_시장!$A$1:$BZ$1000,설정!$L$6+ROW()-1,설정!$L$32),""),"")</f>
        <v/>
      </c>
      <c r="K497" s="85" t="str">
        <f aca="false">IFERROR(IF(ISNUMBER(INDEX(원자료_시장!$A$1:$BZ$1000,설정!$L$6+ROW()-1,설정!$L$33)),INDEX(원자료_시장!$A$1:$BZ$1000,설정!$L$6+ROW()-1,설정!$L$33),""),"")</f>
        <v/>
      </c>
      <c r="L497" s="83" t="n">
        <f aca="false">IFERROR(IF(INDEX(원자료_시장!$A$1:$BZ$1000,설정!$L$6+ROW()-1,설정!$L$34)&amp;""="0","",INDEX(원자료_시장!$A$1:$BZ$1000,설정!$L$6+ROW()-1,설정!$L$34)),"")</f>
        <v>0</v>
      </c>
      <c r="M497" s="83" t="n">
        <f aca="false">IFERROR(IF(INDEX(원자료_시장!$A$1:$BZ$1000,설정!$L$6+ROW()-1,설정!$L$35)&amp;""="0","",INDEX(원자료_시장!$A$1:$BZ$1000,설정!$L$6+ROW()-1,설정!$L$35)),"")</f>
        <v>0</v>
      </c>
      <c r="N497" s="83" t="n">
        <f aca="false">IFERROR(IF(INDEX(원자료_시장!$A$1:$BZ$1000,설정!$L$6+ROW()-1,설정!$L$36)&amp;""="0","",INDEX(원자료_시장!$A$1:$BZ$1000,설정!$L$6+ROW()-1,설정!$L$36)),"")</f>
        <v>0</v>
      </c>
      <c r="O497" s="43" t="str">
        <f aca="false">IF($A497="","",UPPER(LEFT($A497,FIND(" ",$A497&amp;" ")-1)))</f>
        <v/>
      </c>
      <c r="P497" s="43" t="str">
        <f aca="false">IF($A497="","",TRIM(RIGHT(SUBSTITUTE(TRIM($A497)," ",REPT(" ",30)),30)))</f>
        <v/>
      </c>
      <c r="Q497" s="98" t="str">
        <f aca="false">IF($A497="","",IFERROR(DATE(IF(LEN(P497)=8,2000+VALUE(RIGHT(P497,2)),VALUE(RIGHT(P497,4))),VALUE(LEFT(P497,2)),VALUE(MID(P497,4,2))),""))</f>
        <v/>
      </c>
      <c r="R497" s="89" t="n">
        <f aca="false">IF($A497="",0,IF(ISNUMBER(SEARCH("Float",$A497)),1,0))</f>
        <v>0</v>
      </c>
      <c r="S497" s="43" t="str">
        <f aca="false">IF($A497="","",TRIM(MID($A497,LEN(O497)+2,LEN($A497)-LEN(O497)-LEN(P497)-1)))</f>
        <v/>
      </c>
      <c r="T497" s="92" t="str">
        <f aca="false">IF(OR($A497="",R497=1),"",IFERROR(IF(ISNUMBER(FIND("/",S497)),IF(ISNUMBER(FIND(" ",S497)),VALUE(LEFT(S497,FIND(" ",S497)-1))+VALUE(MID(S497,FIND(" ",S497)+1,FIND("/",S497)-FIND(" ",S497)-1))/VALUE(MID(S497,FIND("/",S497)+1,9)),VALUE(LEFT(S497,FIND("/",S497)-1))/VALUE(MID(S497,FIND("/",S497)+1,9))),VALUE(S497)),""))</f>
        <v/>
      </c>
      <c r="U497" s="43" t="str">
        <f aca="false">IF(OR($A497="",NOT(ISNUMBER(Q497))),"",TEXT(Q497,"yyyymmdd")&amp;"|"&amp;IF(R497=1,"F",TEXT(T497,"0.000")))</f>
        <v/>
      </c>
      <c r="V497" s="43" t="str">
        <f aca="false">IF(U497="","",O497&amp;"|"&amp;U497)</f>
        <v/>
      </c>
      <c r="W497" s="43" t="str">
        <f aca="false">IF($A497="","",IFERROR(IF(VLOOKUP(O497,매핑!$A$4:$E$92,3,0)="","미분류",VLOOKUP(O497,매핑!$A$4:$E$92,3,0)),"미분류"))</f>
        <v/>
      </c>
      <c r="X497" s="89" t="n">
        <f aca="false">IF($A497="",0,IF(O497="T",1,0))</f>
        <v>0</v>
      </c>
      <c r="Y497" s="89" t="n">
        <f aca="false">IF($A497="",0,IF(AND(C497="USD",X497=0,ISNUMBER(E497),ISNUMBER(K497)),IF(K497&gt;=설정!$C$8,1,0),0))</f>
        <v>0</v>
      </c>
      <c r="Z497" s="43" t="str">
        <f aca="false">IF($A497="","",N497&amp;"|"&amp;L497)</f>
        <v/>
      </c>
      <c r="AA497" s="92" t="n">
        <f aca="false">IF(Y497=1,LN(K497),0)</f>
        <v>0</v>
      </c>
      <c r="AB497" s="93" t="n">
        <f aca="false">IF(Y497=1,E497,0)</f>
        <v>0</v>
      </c>
      <c r="AC497" s="89" t="n">
        <f aca="false">IF(Y497=1,COUNTIFS($Z$2:$Z$601,Z497,$Y$2:$Y$601,1),0)</f>
        <v>0</v>
      </c>
      <c r="AD497" s="89" t="n">
        <f aca="false">IF(Y497=1,COUNTIFS($N$2:$N$601,N497,$Y$2:$Y$601,1),0)</f>
        <v>0</v>
      </c>
      <c r="AE497" s="43" t="str">
        <f aca="false">IF(Y497&lt;&gt;1,"",IF(AND(AC497&gt;=설정!$C$7,ISNUMBER(MATCH(Z497,피어커브!$A:$A,0))),Z497,IF(AND(AD497&gt;=설정!$C$7,ISNUMBER(MATCH(N497&amp;"|전체",피어커브!$A:$A,0))),N497&amp;"|전체","전체|전체")))</f>
        <v/>
      </c>
      <c r="AF497" s="93" t="str">
        <f aca="false">IF(AE497="","",INDEX(피어커브!$K:$K,MATCH(AE497,피어커브!$A:$A,0)))</f>
        <v/>
      </c>
      <c r="AG497" s="93" t="str">
        <f aca="false">IF(AE497="","",INDEX(피어커브!$J:$J,MATCH(AE497,피어커브!$A:$A,0)))</f>
        <v/>
      </c>
      <c r="AH497" s="93" t="str">
        <f aca="false">IF(AE497="","",INDEX(피어커브!$L:$L,MATCH(AE497,피어커브!$A:$A,0)))</f>
        <v/>
      </c>
      <c r="AI497" s="93" t="str">
        <f aca="false">IF(AE497="","",AF497+AG497*AA497)</f>
        <v/>
      </c>
      <c r="AJ497" s="96" t="str">
        <f aca="false">IF(AE497="","",E497-AI497)</f>
        <v/>
      </c>
      <c r="AK497" s="95" t="str">
        <f aca="false">IF(AE497="","",IF(ISNUMBER(AH497),IF(AH497&gt;0,AJ497/AH497,""),""))</f>
        <v/>
      </c>
      <c r="AL497" s="43" t="str">
        <f aca="false">IF(AK497="","-",IF(AK497&gt;=설정!$C$6,"Cheap",IF(AK497&lt;=-설정!$C$6,"Rich","Fair")))</f>
        <v>-</v>
      </c>
      <c r="AM497" s="96" t="str">
        <f aca="false">IF(AE497="","",AJ497-AVERAGEIFS($AJ$2:$AJ$601,$B$2:$B$601,B497,$Y$2:$Y$601,1))</f>
        <v/>
      </c>
      <c r="AN497" s="93" t="n">
        <f aca="false">IF(AE497="",0,IF(K497&gt;1+설정!$C$8,AG497*(AA497-LN(K497-1)),0))</f>
        <v>0</v>
      </c>
      <c r="AO497" s="99" t="n">
        <f aca="false">IF($A497="",0,SUMIFS(보유분석!$AA$2:$AA$801,보유분석!$AB$2:$AB$801,ROW(),보유분석!$AC$2:$AC$801,1))</f>
        <v>0</v>
      </c>
      <c r="AP497" s="43" t="str">
        <f aca="false">IF($A497="","",TRIM(IF(R497=1,"FRN ","")&amp;IF(IFERROR(VLOOKUP(M497,설정!$A$15:$D$47,4,0),0)&gt;=10,IF(IFERROR(VLOOKUP(M497,설정!$A$15:$D$47,4,0),0)&lt;99,"BBB0미만 ",""),"")&amp;IF(OR(M497="",M497="NR"),"등급미입력 ","")&amp;IF(C497&lt;&gt;"USD","비USD ","")))</f>
        <v/>
      </c>
      <c r="AQ497" s="90" t="n">
        <f aca="false">IF(AND(Y497=1,AL497="Cheap"),IF(AND(ISERROR(SEARCH("FRN",AP497)),ISERROR(SEARCH("BBB0미만",AP497))),AK497+ROW()/1000000000,-999),-999)</f>
        <v>-999</v>
      </c>
      <c r="AR497" s="92" t="str">
        <f aca="false">IF(AND(ISNUMBER(D497),ISNUMBER(K497)),D497+AN497*MAX(K497-1,0)/100,"")</f>
        <v/>
      </c>
      <c r="AS497" s="93" t="str">
        <f aca="false">IF(AND(ISNUMBER(E497),ISNUMBER(K497)),IF(K497&gt;0,(E497+AN497*MAX(K497-1,0))/K497,""),"")</f>
        <v/>
      </c>
      <c r="AT497" s="90" t="n">
        <f aca="false">IFERROR(IF(AND(Y497=1,ROW()&lt;&gt;스왑분석!$C$12+1,ABS(K497-INDEX($K$2:$K$601,스왑분석!$C$12))&lt;=스왑분석!$C$5,ISERROR(SEARCH("FRN",AP497)),ISERROR(SEARCH("BBB0미만",AP497))),IF(AND(OR(스왑분석!$C$6="N",L497=INDEX($L$2:$L$601,스왑분석!$C$12)),OR(스왑분석!$C$7="N",N497=INDEX($N$2:$N$601,스왑분석!$C$12)),OR(스왑분석!$C$8="N",AO497=0),E497-INDEX($E$2:$E$601,스왑분석!$C$12)&gt;=스왑분석!$C$9),E497-INDEX($E$2:$E$601,스왑분석!$C$12)+ROW()/1000000000,-999),-999),-999)</f>
        <v>-999</v>
      </c>
      <c r="AU497" s="90" t="n">
        <f aca="false">IF(AND(Y497=1,AO497&gt;0,AL497="Rich"),-AK497+ROW()/1000000000,-999)</f>
        <v>-999</v>
      </c>
    </row>
    <row r="498" customFormat="false" ht="15" hidden="false" customHeight="false" outlineLevel="0" collapsed="false">
      <c r="A498" s="83" t="n">
        <f aca="false">IFERROR(IF(INDEX(원자료_시장!$A$1:$BZ$1000,설정!$L$6+ROW()-1,설정!$L$24)&amp;""="0","",INDEX(원자료_시장!$A$1:$BZ$1000,설정!$L$6+ROW()-1,설정!$L$24)),"")</f>
        <v>0</v>
      </c>
      <c r="B498" s="83" t="n">
        <f aca="false">IFERROR(IF(INDEX(원자료_시장!$A$1:$BZ$1000,설정!$L$6+ROW()-1,설정!$L$37)&amp;""="0","",INDEX(원자료_시장!$A$1:$BZ$1000,설정!$L$6+ROW()-1,설정!$L$37)),"")</f>
        <v>0</v>
      </c>
      <c r="C498" s="83" t="n">
        <f aca="false">IFERROR(IF(INDEX(원자료_시장!$A$1:$BZ$1000,설정!$L$6+ROW()-1,설정!$L$25)&amp;""="0","",INDEX(원자료_시장!$A$1:$BZ$1000,설정!$L$6+ROW()-1,설정!$L$25)),"")</f>
        <v>0</v>
      </c>
      <c r="D498" s="85" t="str">
        <f aca="false">IFERROR(IF(ISNUMBER(INDEX(원자료_시장!$A$1:$BZ$1000,설정!$L$6+ROW()-1,설정!$L$26)),INDEX(원자료_시장!$A$1:$BZ$1000,설정!$L$6+ROW()-1,설정!$L$26),""),"")</f>
        <v/>
      </c>
      <c r="E498" s="97" t="str">
        <f aca="false">IFERROR(IF(ISNUMBER(INDEX(원자료_시장!$A$1:$BZ$1000,설정!$L$6+ROW()-1,설정!$L$27)),INDEX(원자료_시장!$A$1:$BZ$1000,설정!$L$6+ROW()-1,설정!$L$27),""),"")</f>
        <v/>
      </c>
      <c r="F498" s="97" t="str">
        <f aca="false">IFERROR(IF(ISNUMBER(INDEX(원자료_시장!$A$1:$BZ$1000,설정!$L$6+ROW()-1,설정!$L$28)),INDEX(원자료_시장!$A$1:$BZ$1000,설정!$L$6+ROW()-1,설정!$L$28),""),"")</f>
        <v/>
      </c>
      <c r="G498" s="97" t="str">
        <f aca="false">IFERROR(IF(ISNUMBER(INDEX(원자료_시장!$A$1:$BZ$1000,설정!$L$6+ROW()-1,설정!$L$29)),INDEX(원자료_시장!$A$1:$BZ$1000,설정!$L$6+ROW()-1,설정!$L$29),""),"")</f>
        <v/>
      </c>
      <c r="H498" s="97" t="str">
        <f aca="false">IFERROR(IF(ISNUMBER(INDEX(원자료_시장!$A$1:$BZ$1000,설정!$L$6+ROW()-1,설정!$L$30)),INDEX(원자료_시장!$A$1:$BZ$1000,설정!$L$6+ROW()-1,설정!$L$30),""),"")</f>
        <v/>
      </c>
      <c r="I498" s="97" t="str">
        <f aca="false">IFERROR(IF(ISNUMBER(INDEX(원자료_시장!$A$1:$BZ$1000,설정!$L$6+ROW()-1,설정!$L$31)),INDEX(원자료_시장!$A$1:$BZ$1000,설정!$L$6+ROW()-1,설정!$L$31),""),"")</f>
        <v/>
      </c>
      <c r="J498" s="97" t="str">
        <f aca="false">IFERROR(IF(ISNUMBER(INDEX(원자료_시장!$A$1:$BZ$1000,설정!$L$6+ROW()-1,설정!$L$32)),INDEX(원자료_시장!$A$1:$BZ$1000,설정!$L$6+ROW()-1,설정!$L$32),""),"")</f>
        <v/>
      </c>
      <c r="K498" s="85" t="str">
        <f aca="false">IFERROR(IF(ISNUMBER(INDEX(원자료_시장!$A$1:$BZ$1000,설정!$L$6+ROW()-1,설정!$L$33)),INDEX(원자료_시장!$A$1:$BZ$1000,설정!$L$6+ROW()-1,설정!$L$33),""),"")</f>
        <v/>
      </c>
      <c r="L498" s="83" t="n">
        <f aca="false">IFERROR(IF(INDEX(원자료_시장!$A$1:$BZ$1000,설정!$L$6+ROW()-1,설정!$L$34)&amp;""="0","",INDEX(원자료_시장!$A$1:$BZ$1000,설정!$L$6+ROW()-1,설정!$L$34)),"")</f>
        <v>0</v>
      </c>
      <c r="M498" s="83" t="n">
        <f aca="false">IFERROR(IF(INDEX(원자료_시장!$A$1:$BZ$1000,설정!$L$6+ROW()-1,설정!$L$35)&amp;""="0","",INDEX(원자료_시장!$A$1:$BZ$1000,설정!$L$6+ROW()-1,설정!$L$35)),"")</f>
        <v>0</v>
      </c>
      <c r="N498" s="83" t="n">
        <f aca="false">IFERROR(IF(INDEX(원자료_시장!$A$1:$BZ$1000,설정!$L$6+ROW()-1,설정!$L$36)&amp;""="0","",INDEX(원자료_시장!$A$1:$BZ$1000,설정!$L$6+ROW()-1,설정!$L$36)),"")</f>
        <v>0</v>
      </c>
      <c r="O498" s="43" t="str">
        <f aca="false">IF($A498="","",UPPER(LEFT($A498,FIND(" ",$A498&amp;" ")-1)))</f>
        <v/>
      </c>
      <c r="P498" s="43" t="str">
        <f aca="false">IF($A498="","",TRIM(RIGHT(SUBSTITUTE(TRIM($A498)," ",REPT(" ",30)),30)))</f>
        <v/>
      </c>
      <c r="Q498" s="98" t="str">
        <f aca="false">IF($A498="","",IFERROR(DATE(IF(LEN(P498)=8,2000+VALUE(RIGHT(P498,2)),VALUE(RIGHT(P498,4))),VALUE(LEFT(P498,2)),VALUE(MID(P498,4,2))),""))</f>
        <v/>
      </c>
      <c r="R498" s="89" t="n">
        <f aca="false">IF($A498="",0,IF(ISNUMBER(SEARCH("Float",$A498)),1,0))</f>
        <v>0</v>
      </c>
      <c r="S498" s="43" t="str">
        <f aca="false">IF($A498="","",TRIM(MID($A498,LEN(O498)+2,LEN($A498)-LEN(O498)-LEN(P498)-1)))</f>
        <v/>
      </c>
      <c r="T498" s="92" t="str">
        <f aca="false">IF(OR($A498="",R498=1),"",IFERROR(IF(ISNUMBER(FIND("/",S498)),IF(ISNUMBER(FIND(" ",S498)),VALUE(LEFT(S498,FIND(" ",S498)-1))+VALUE(MID(S498,FIND(" ",S498)+1,FIND("/",S498)-FIND(" ",S498)-1))/VALUE(MID(S498,FIND("/",S498)+1,9)),VALUE(LEFT(S498,FIND("/",S498)-1))/VALUE(MID(S498,FIND("/",S498)+1,9))),VALUE(S498)),""))</f>
        <v/>
      </c>
      <c r="U498" s="43" t="str">
        <f aca="false">IF(OR($A498="",NOT(ISNUMBER(Q498))),"",TEXT(Q498,"yyyymmdd")&amp;"|"&amp;IF(R498=1,"F",TEXT(T498,"0.000")))</f>
        <v/>
      </c>
      <c r="V498" s="43" t="str">
        <f aca="false">IF(U498="","",O498&amp;"|"&amp;U498)</f>
        <v/>
      </c>
      <c r="W498" s="43" t="str">
        <f aca="false">IF($A498="","",IFERROR(IF(VLOOKUP(O498,매핑!$A$4:$E$92,3,0)="","미분류",VLOOKUP(O498,매핑!$A$4:$E$92,3,0)),"미분류"))</f>
        <v/>
      </c>
      <c r="X498" s="89" t="n">
        <f aca="false">IF($A498="",0,IF(O498="T",1,0))</f>
        <v>0</v>
      </c>
      <c r="Y498" s="89" t="n">
        <f aca="false">IF($A498="",0,IF(AND(C498="USD",X498=0,ISNUMBER(E498),ISNUMBER(K498)),IF(K498&gt;=설정!$C$8,1,0),0))</f>
        <v>0</v>
      </c>
      <c r="Z498" s="43" t="str">
        <f aca="false">IF($A498="","",N498&amp;"|"&amp;L498)</f>
        <v/>
      </c>
      <c r="AA498" s="92" t="n">
        <f aca="false">IF(Y498=1,LN(K498),0)</f>
        <v>0</v>
      </c>
      <c r="AB498" s="93" t="n">
        <f aca="false">IF(Y498=1,E498,0)</f>
        <v>0</v>
      </c>
      <c r="AC498" s="89" t="n">
        <f aca="false">IF(Y498=1,COUNTIFS($Z$2:$Z$601,Z498,$Y$2:$Y$601,1),0)</f>
        <v>0</v>
      </c>
      <c r="AD498" s="89" t="n">
        <f aca="false">IF(Y498=1,COUNTIFS($N$2:$N$601,N498,$Y$2:$Y$601,1),0)</f>
        <v>0</v>
      </c>
      <c r="AE498" s="43" t="str">
        <f aca="false">IF(Y498&lt;&gt;1,"",IF(AND(AC498&gt;=설정!$C$7,ISNUMBER(MATCH(Z498,피어커브!$A:$A,0))),Z498,IF(AND(AD498&gt;=설정!$C$7,ISNUMBER(MATCH(N498&amp;"|전체",피어커브!$A:$A,0))),N498&amp;"|전체","전체|전체")))</f>
        <v/>
      </c>
      <c r="AF498" s="93" t="str">
        <f aca="false">IF(AE498="","",INDEX(피어커브!$K:$K,MATCH(AE498,피어커브!$A:$A,0)))</f>
        <v/>
      </c>
      <c r="AG498" s="93" t="str">
        <f aca="false">IF(AE498="","",INDEX(피어커브!$J:$J,MATCH(AE498,피어커브!$A:$A,0)))</f>
        <v/>
      </c>
      <c r="AH498" s="93" t="str">
        <f aca="false">IF(AE498="","",INDEX(피어커브!$L:$L,MATCH(AE498,피어커브!$A:$A,0)))</f>
        <v/>
      </c>
      <c r="AI498" s="93" t="str">
        <f aca="false">IF(AE498="","",AF498+AG498*AA498)</f>
        <v/>
      </c>
      <c r="AJ498" s="96" t="str">
        <f aca="false">IF(AE498="","",E498-AI498)</f>
        <v/>
      </c>
      <c r="AK498" s="95" t="str">
        <f aca="false">IF(AE498="","",IF(ISNUMBER(AH498),IF(AH498&gt;0,AJ498/AH498,""),""))</f>
        <v/>
      </c>
      <c r="AL498" s="43" t="str">
        <f aca="false">IF(AK498="","-",IF(AK498&gt;=설정!$C$6,"Cheap",IF(AK498&lt;=-설정!$C$6,"Rich","Fair")))</f>
        <v>-</v>
      </c>
      <c r="AM498" s="96" t="str">
        <f aca="false">IF(AE498="","",AJ498-AVERAGEIFS($AJ$2:$AJ$601,$B$2:$B$601,B498,$Y$2:$Y$601,1))</f>
        <v/>
      </c>
      <c r="AN498" s="93" t="n">
        <f aca="false">IF(AE498="",0,IF(K498&gt;1+설정!$C$8,AG498*(AA498-LN(K498-1)),0))</f>
        <v>0</v>
      </c>
      <c r="AO498" s="99" t="n">
        <f aca="false">IF($A498="",0,SUMIFS(보유분석!$AA$2:$AA$801,보유분석!$AB$2:$AB$801,ROW(),보유분석!$AC$2:$AC$801,1))</f>
        <v>0</v>
      </c>
      <c r="AP498" s="43" t="str">
        <f aca="false">IF($A498="","",TRIM(IF(R498=1,"FRN ","")&amp;IF(IFERROR(VLOOKUP(M498,설정!$A$15:$D$47,4,0),0)&gt;=10,IF(IFERROR(VLOOKUP(M498,설정!$A$15:$D$47,4,0),0)&lt;99,"BBB0미만 ",""),"")&amp;IF(OR(M498="",M498="NR"),"등급미입력 ","")&amp;IF(C498&lt;&gt;"USD","비USD ","")))</f>
        <v/>
      </c>
      <c r="AQ498" s="90" t="n">
        <f aca="false">IF(AND(Y498=1,AL498="Cheap"),IF(AND(ISERROR(SEARCH("FRN",AP498)),ISERROR(SEARCH("BBB0미만",AP498))),AK498+ROW()/1000000000,-999),-999)</f>
        <v>-999</v>
      </c>
      <c r="AR498" s="92" t="str">
        <f aca="false">IF(AND(ISNUMBER(D498),ISNUMBER(K498)),D498+AN498*MAX(K498-1,0)/100,"")</f>
        <v/>
      </c>
      <c r="AS498" s="93" t="str">
        <f aca="false">IF(AND(ISNUMBER(E498),ISNUMBER(K498)),IF(K498&gt;0,(E498+AN498*MAX(K498-1,0))/K498,""),"")</f>
        <v/>
      </c>
      <c r="AT498" s="90" t="n">
        <f aca="false">IFERROR(IF(AND(Y498=1,ROW()&lt;&gt;스왑분석!$C$12+1,ABS(K498-INDEX($K$2:$K$601,스왑분석!$C$12))&lt;=스왑분석!$C$5,ISERROR(SEARCH("FRN",AP498)),ISERROR(SEARCH("BBB0미만",AP498))),IF(AND(OR(스왑분석!$C$6="N",L498=INDEX($L$2:$L$601,스왑분석!$C$12)),OR(스왑분석!$C$7="N",N498=INDEX($N$2:$N$601,스왑분석!$C$12)),OR(스왑분석!$C$8="N",AO498=0),E498-INDEX($E$2:$E$601,스왑분석!$C$12)&gt;=스왑분석!$C$9),E498-INDEX($E$2:$E$601,스왑분석!$C$12)+ROW()/1000000000,-999),-999),-999)</f>
        <v>-999</v>
      </c>
      <c r="AU498" s="90" t="n">
        <f aca="false">IF(AND(Y498=1,AO498&gt;0,AL498="Rich"),-AK498+ROW()/1000000000,-999)</f>
        <v>-999</v>
      </c>
    </row>
    <row r="499" customFormat="false" ht="15" hidden="false" customHeight="false" outlineLevel="0" collapsed="false">
      <c r="A499" s="83" t="n">
        <f aca="false">IFERROR(IF(INDEX(원자료_시장!$A$1:$BZ$1000,설정!$L$6+ROW()-1,설정!$L$24)&amp;""="0","",INDEX(원자료_시장!$A$1:$BZ$1000,설정!$L$6+ROW()-1,설정!$L$24)),"")</f>
        <v>0</v>
      </c>
      <c r="B499" s="83" t="n">
        <f aca="false">IFERROR(IF(INDEX(원자료_시장!$A$1:$BZ$1000,설정!$L$6+ROW()-1,설정!$L$37)&amp;""="0","",INDEX(원자료_시장!$A$1:$BZ$1000,설정!$L$6+ROW()-1,설정!$L$37)),"")</f>
        <v>0</v>
      </c>
      <c r="C499" s="83" t="n">
        <f aca="false">IFERROR(IF(INDEX(원자료_시장!$A$1:$BZ$1000,설정!$L$6+ROW()-1,설정!$L$25)&amp;""="0","",INDEX(원자료_시장!$A$1:$BZ$1000,설정!$L$6+ROW()-1,설정!$L$25)),"")</f>
        <v>0</v>
      </c>
      <c r="D499" s="85" t="str">
        <f aca="false">IFERROR(IF(ISNUMBER(INDEX(원자료_시장!$A$1:$BZ$1000,설정!$L$6+ROW()-1,설정!$L$26)),INDEX(원자료_시장!$A$1:$BZ$1000,설정!$L$6+ROW()-1,설정!$L$26),""),"")</f>
        <v/>
      </c>
      <c r="E499" s="97" t="str">
        <f aca="false">IFERROR(IF(ISNUMBER(INDEX(원자료_시장!$A$1:$BZ$1000,설정!$L$6+ROW()-1,설정!$L$27)),INDEX(원자료_시장!$A$1:$BZ$1000,설정!$L$6+ROW()-1,설정!$L$27),""),"")</f>
        <v/>
      </c>
      <c r="F499" s="97" t="str">
        <f aca="false">IFERROR(IF(ISNUMBER(INDEX(원자료_시장!$A$1:$BZ$1000,설정!$L$6+ROW()-1,설정!$L$28)),INDEX(원자료_시장!$A$1:$BZ$1000,설정!$L$6+ROW()-1,설정!$L$28),""),"")</f>
        <v/>
      </c>
      <c r="G499" s="97" t="str">
        <f aca="false">IFERROR(IF(ISNUMBER(INDEX(원자료_시장!$A$1:$BZ$1000,설정!$L$6+ROW()-1,설정!$L$29)),INDEX(원자료_시장!$A$1:$BZ$1000,설정!$L$6+ROW()-1,설정!$L$29),""),"")</f>
        <v/>
      </c>
      <c r="H499" s="97" t="str">
        <f aca="false">IFERROR(IF(ISNUMBER(INDEX(원자료_시장!$A$1:$BZ$1000,설정!$L$6+ROW()-1,설정!$L$30)),INDEX(원자료_시장!$A$1:$BZ$1000,설정!$L$6+ROW()-1,설정!$L$30),""),"")</f>
        <v/>
      </c>
      <c r="I499" s="97" t="str">
        <f aca="false">IFERROR(IF(ISNUMBER(INDEX(원자료_시장!$A$1:$BZ$1000,설정!$L$6+ROW()-1,설정!$L$31)),INDEX(원자료_시장!$A$1:$BZ$1000,설정!$L$6+ROW()-1,설정!$L$31),""),"")</f>
        <v/>
      </c>
      <c r="J499" s="97" t="str">
        <f aca="false">IFERROR(IF(ISNUMBER(INDEX(원자료_시장!$A$1:$BZ$1000,설정!$L$6+ROW()-1,설정!$L$32)),INDEX(원자료_시장!$A$1:$BZ$1000,설정!$L$6+ROW()-1,설정!$L$32),""),"")</f>
        <v/>
      </c>
      <c r="K499" s="85" t="str">
        <f aca="false">IFERROR(IF(ISNUMBER(INDEX(원자료_시장!$A$1:$BZ$1000,설정!$L$6+ROW()-1,설정!$L$33)),INDEX(원자료_시장!$A$1:$BZ$1000,설정!$L$6+ROW()-1,설정!$L$33),""),"")</f>
        <v/>
      </c>
      <c r="L499" s="83" t="n">
        <f aca="false">IFERROR(IF(INDEX(원자료_시장!$A$1:$BZ$1000,설정!$L$6+ROW()-1,설정!$L$34)&amp;""="0","",INDEX(원자료_시장!$A$1:$BZ$1000,설정!$L$6+ROW()-1,설정!$L$34)),"")</f>
        <v>0</v>
      </c>
      <c r="M499" s="83" t="n">
        <f aca="false">IFERROR(IF(INDEX(원자료_시장!$A$1:$BZ$1000,설정!$L$6+ROW()-1,설정!$L$35)&amp;""="0","",INDEX(원자료_시장!$A$1:$BZ$1000,설정!$L$6+ROW()-1,설정!$L$35)),"")</f>
        <v>0</v>
      </c>
      <c r="N499" s="83" t="n">
        <f aca="false">IFERROR(IF(INDEX(원자료_시장!$A$1:$BZ$1000,설정!$L$6+ROW()-1,설정!$L$36)&amp;""="0","",INDEX(원자료_시장!$A$1:$BZ$1000,설정!$L$6+ROW()-1,설정!$L$36)),"")</f>
        <v>0</v>
      </c>
      <c r="O499" s="43" t="str">
        <f aca="false">IF($A499="","",UPPER(LEFT($A499,FIND(" ",$A499&amp;" ")-1)))</f>
        <v/>
      </c>
      <c r="P499" s="43" t="str">
        <f aca="false">IF($A499="","",TRIM(RIGHT(SUBSTITUTE(TRIM($A499)," ",REPT(" ",30)),30)))</f>
        <v/>
      </c>
      <c r="Q499" s="98" t="str">
        <f aca="false">IF($A499="","",IFERROR(DATE(IF(LEN(P499)=8,2000+VALUE(RIGHT(P499,2)),VALUE(RIGHT(P499,4))),VALUE(LEFT(P499,2)),VALUE(MID(P499,4,2))),""))</f>
        <v/>
      </c>
      <c r="R499" s="89" t="n">
        <f aca="false">IF($A499="",0,IF(ISNUMBER(SEARCH("Float",$A499)),1,0))</f>
        <v>0</v>
      </c>
      <c r="S499" s="43" t="str">
        <f aca="false">IF($A499="","",TRIM(MID($A499,LEN(O499)+2,LEN($A499)-LEN(O499)-LEN(P499)-1)))</f>
        <v/>
      </c>
      <c r="T499" s="92" t="str">
        <f aca="false">IF(OR($A499="",R499=1),"",IFERROR(IF(ISNUMBER(FIND("/",S499)),IF(ISNUMBER(FIND(" ",S499)),VALUE(LEFT(S499,FIND(" ",S499)-1))+VALUE(MID(S499,FIND(" ",S499)+1,FIND("/",S499)-FIND(" ",S499)-1))/VALUE(MID(S499,FIND("/",S499)+1,9)),VALUE(LEFT(S499,FIND("/",S499)-1))/VALUE(MID(S499,FIND("/",S499)+1,9))),VALUE(S499)),""))</f>
        <v/>
      </c>
      <c r="U499" s="43" t="str">
        <f aca="false">IF(OR($A499="",NOT(ISNUMBER(Q499))),"",TEXT(Q499,"yyyymmdd")&amp;"|"&amp;IF(R499=1,"F",TEXT(T499,"0.000")))</f>
        <v/>
      </c>
      <c r="V499" s="43" t="str">
        <f aca="false">IF(U499="","",O499&amp;"|"&amp;U499)</f>
        <v/>
      </c>
      <c r="W499" s="43" t="str">
        <f aca="false">IF($A499="","",IFERROR(IF(VLOOKUP(O499,매핑!$A$4:$E$92,3,0)="","미분류",VLOOKUP(O499,매핑!$A$4:$E$92,3,0)),"미분류"))</f>
        <v/>
      </c>
      <c r="X499" s="89" t="n">
        <f aca="false">IF($A499="",0,IF(O499="T",1,0))</f>
        <v>0</v>
      </c>
      <c r="Y499" s="89" t="n">
        <f aca="false">IF($A499="",0,IF(AND(C499="USD",X499=0,ISNUMBER(E499),ISNUMBER(K499)),IF(K499&gt;=설정!$C$8,1,0),0))</f>
        <v>0</v>
      </c>
      <c r="Z499" s="43" t="str">
        <f aca="false">IF($A499="","",N499&amp;"|"&amp;L499)</f>
        <v/>
      </c>
      <c r="AA499" s="92" t="n">
        <f aca="false">IF(Y499=1,LN(K499),0)</f>
        <v>0</v>
      </c>
      <c r="AB499" s="93" t="n">
        <f aca="false">IF(Y499=1,E499,0)</f>
        <v>0</v>
      </c>
      <c r="AC499" s="89" t="n">
        <f aca="false">IF(Y499=1,COUNTIFS($Z$2:$Z$601,Z499,$Y$2:$Y$601,1),0)</f>
        <v>0</v>
      </c>
      <c r="AD499" s="89" t="n">
        <f aca="false">IF(Y499=1,COUNTIFS($N$2:$N$601,N499,$Y$2:$Y$601,1),0)</f>
        <v>0</v>
      </c>
      <c r="AE499" s="43" t="str">
        <f aca="false">IF(Y499&lt;&gt;1,"",IF(AND(AC499&gt;=설정!$C$7,ISNUMBER(MATCH(Z499,피어커브!$A:$A,0))),Z499,IF(AND(AD499&gt;=설정!$C$7,ISNUMBER(MATCH(N499&amp;"|전체",피어커브!$A:$A,0))),N499&amp;"|전체","전체|전체")))</f>
        <v/>
      </c>
      <c r="AF499" s="93" t="str">
        <f aca="false">IF(AE499="","",INDEX(피어커브!$K:$K,MATCH(AE499,피어커브!$A:$A,0)))</f>
        <v/>
      </c>
      <c r="AG499" s="93" t="str">
        <f aca="false">IF(AE499="","",INDEX(피어커브!$J:$J,MATCH(AE499,피어커브!$A:$A,0)))</f>
        <v/>
      </c>
      <c r="AH499" s="93" t="str">
        <f aca="false">IF(AE499="","",INDEX(피어커브!$L:$L,MATCH(AE499,피어커브!$A:$A,0)))</f>
        <v/>
      </c>
      <c r="AI499" s="93" t="str">
        <f aca="false">IF(AE499="","",AF499+AG499*AA499)</f>
        <v/>
      </c>
      <c r="AJ499" s="96" t="str">
        <f aca="false">IF(AE499="","",E499-AI499)</f>
        <v/>
      </c>
      <c r="AK499" s="95" t="str">
        <f aca="false">IF(AE499="","",IF(ISNUMBER(AH499),IF(AH499&gt;0,AJ499/AH499,""),""))</f>
        <v/>
      </c>
      <c r="AL499" s="43" t="str">
        <f aca="false">IF(AK499="","-",IF(AK499&gt;=설정!$C$6,"Cheap",IF(AK499&lt;=-설정!$C$6,"Rich","Fair")))</f>
        <v>-</v>
      </c>
      <c r="AM499" s="96" t="str">
        <f aca="false">IF(AE499="","",AJ499-AVERAGEIFS($AJ$2:$AJ$601,$B$2:$B$601,B499,$Y$2:$Y$601,1))</f>
        <v/>
      </c>
      <c r="AN499" s="93" t="n">
        <f aca="false">IF(AE499="",0,IF(K499&gt;1+설정!$C$8,AG499*(AA499-LN(K499-1)),0))</f>
        <v>0</v>
      </c>
      <c r="AO499" s="99" t="n">
        <f aca="false">IF($A499="",0,SUMIFS(보유분석!$AA$2:$AA$801,보유분석!$AB$2:$AB$801,ROW(),보유분석!$AC$2:$AC$801,1))</f>
        <v>0</v>
      </c>
      <c r="AP499" s="43" t="str">
        <f aca="false">IF($A499="","",TRIM(IF(R499=1,"FRN ","")&amp;IF(IFERROR(VLOOKUP(M499,설정!$A$15:$D$47,4,0),0)&gt;=10,IF(IFERROR(VLOOKUP(M499,설정!$A$15:$D$47,4,0),0)&lt;99,"BBB0미만 ",""),"")&amp;IF(OR(M499="",M499="NR"),"등급미입력 ","")&amp;IF(C499&lt;&gt;"USD","비USD ","")))</f>
        <v/>
      </c>
      <c r="AQ499" s="90" t="n">
        <f aca="false">IF(AND(Y499=1,AL499="Cheap"),IF(AND(ISERROR(SEARCH("FRN",AP499)),ISERROR(SEARCH("BBB0미만",AP499))),AK499+ROW()/1000000000,-999),-999)</f>
        <v>-999</v>
      </c>
      <c r="AR499" s="92" t="str">
        <f aca="false">IF(AND(ISNUMBER(D499),ISNUMBER(K499)),D499+AN499*MAX(K499-1,0)/100,"")</f>
        <v/>
      </c>
      <c r="AS499" s="93" t="str">
        <f aca="false">IF(AND(ISNUMBER(E499),ISNUMBER(K499)),IF(K499&gt;0,(E499+AN499*MAX(K499-1,0))/K499,""),"")</f>
        <v/>
      </c>
      <c r="AT499" s="90" t="n">
        <f aca="false">IFERROR(IF(AND(Y499=1,ROW()&lt;&gt;스왑분석!$C$12+1,ABS(K499-INDEX($K$2:$K$601,스왑분석!$C$12))&lt;=스왑분석!$C$5,ISERROR(SEARCH("FRN",AP499)),ISERROR(SEARCH("BBB0미만",AP499))),IF(AND(OR(스왑분석!$C$6="N",L499=INDEX($L$2:$L$601,스왑분석!$C$12)),OR(스왑분석!$C$7="N",N499=INDEX($N$2:$N$601,스왑분석!$C$12)),OR(스왑분석!$C$8="N",AO499=0),E499-INDEX($E$2:$E$601,스왑분석!$C$12)&gt;=스왑분석!$C$9),E499-INDEX($E$2:$E$601,스왑분석!$C$12)+ROW()/1000000000,-999),-999),-999)</f>
        <v>-999</v>
      </c>
      <c r="AU499" s="90" t="n">
        <f aca="false">IF(AND(Y499=1,AO499&gt;0,AL499="Rich"),-AK499+ROW()/1000000000,-999)</f>
        <v>-999</v>
      </c>
    </row>
    <row r="500" customFormat="false" ht="15" hidden="false" customHeight="false" outlineLevel="0" collapsed="false">
      <c r="A500" s="83" t="n">
        <f aca="false">IFERROR(IF(INDEX(원자료_시장!$A$1:$BZ$1000,설정!$L$6+ROW()-1,설정!$L$24)&amp;""="0","",INDEX(원자료_시장!$A$1:$BZ$1000,설정!$L$6+ROW()-1,설정!$L$24)),"")</f>
        <v>0</v>
      </c>
      <c r="B500" s="83" t="n">
        <f aca="false">IFERROR(IF(INDEX(원자료_시장!$A$1:$BZ$1000,설정!$L$6+ROW()-1,설정!$L$37)&amp;""="0","",INDEX(원자료_시장!$A$1:$BZ$1000,설정!$L$6+ROW()-1,설정!$L$37)),"")</f>
        <v>0</v>
      </c>
      <c r="C500" s="83" t="n">
        <f aca="false">IFERROR(IF(INDEX(원자료_시장!$A$1:$BZ$1000,설정!$L$6+ROW()-1,설정!$L$25)&amp;""="0","",INDEX(원자료_시장!$A$1:$BZ$1000,설정!$L$6+ROW()-1,설정!$L$25)),"")</f>
        <v>0</v>
      </c>
      <c r="D500" s="85" t="str">
        <f aca="false">IFERROR(IF(ISNUMBER(INDEX(원자료_시장!$A$1:$BZ$1000,설정!$L$6+ROW()-1,설정!$L$26)),INDEX(원자료_시장!$A$1:$BZ$1000,설정!$L$6+ROW()-1,설정!$L$26),""),"")</f>
        <v/>
      </c>
      <c r="E500" s="97" t="str">
        <f aca="false">IFERROR(IF(ISNUMBER(INDEX(원자료_시장!$A$1:$BZ$1000,설정!$L$6+ROW()-1,설정!$L$27)),INDEX(원자료_시장!$A$1:$BZ$1000,설정!$L$6+ROW()-1,설정!$L$27),""),"")</f>
        <v/>
      </c>
      <c r="F500" s="97" t="str">
        <f aca="false">IFERROR(IF(ISNUMBER(INDEX(원자료_시장!$A$1:$BZ$1000,설정!$L$6+ROW()-1,설정!$L$28)),INDEX(원자료_시장!$A$1:$BZ$1000,설정!$L$6+ROW()-1,설정!$L$28),""),"")</f>
        <v/>
      </c>
      <c r="G500" s="97" t="str">
        <f aca="false">IFERROR(IF(ISNUMBER(INDEX(원자료_시장!$A$1:$BZ$1000,설정!$L$6+ROW()-1,설정!$L$29)),INDEX(원자료_시장!$A$1:$BZ$1000,설정!$L$6+ROW()-1,설정!$L$29),""),"")</f>
        <v/>
      </c>
      <c r="H500" s="97" t="str">
        <f aca="false">IFERROR(IF(ISNUMBER(INDEX(원자료_시장!$A$1:$BZ$1000,설정!$L$6+ROW()-1,설정!$L$30)),INDEX(원자료_시장!$A$1:$BZ$1000,설정!$L$6+ROW()-1,설정!$L$30),""),"")</f>
        <v/>
      </c>
      <c r="I500" s="97" t="str">
        <f aca="false">IFERROR(IF(ISNUMBER(INDEX(원자료_시장!$A$1:$BZ$1000,설정!$L$6+ROW()-1,설정!$L$31)),INDEX(원자료_시장!$A$1:$BZ$1000,설정!$L$6+ROW()-1,설정!$L$31),""),"")</f>
        <v/>
      </c>
      <c r="J500" s="97" t="str">
        <f aca="false">IFERROR(IF(ISNUMBER(INDEX(원자료_시장!$A$1:$BZ$1000,설정!$L$6+ROW()-1,설정!$L$32)),INDEX(원자료_시장!$A$1:$BZ$1000,설정!$L$6+ROW()-1,설정!$L$32),""),"")</f>
        <v/>
      </c>
      <c r="K500" s="85" t="str">
        <f aca="false">IFERROR(IF(ISNUMBER(INDEX(원자료_시장!$A$1:$BZ$1000,설정!$L$6+ROW()-1,설정!$L$33)),INDEX(원자료_시장!$A$1:$BZ$1000,설정!$L$6+ROW()-1,설정!$L$33),""),"")</f>
        <v/>
      </c>
      <c r="L500" s="83" t="n">
        <f aca="false">IFERROR(IF(INDEX(원자료_시장!$A$1:$BZ$1000,설정!$L$6+ROW()-1,설정!$L$34)&amp;""="0","",INDEX(원자료_시장!$A$1:$BZ$1000,설정!$L$6+ROW()-1,설정!$L$34)),"")</f>
        <v>0</v>
      </c>
      <c r="M500" s="83" t="n">
        <f aca="false">IFERROR(IF(INDEX(원자료_시장!$A$1:$BZ$1000,설정!$L$6+ROW()-1,설정!$L$35)&amp;""="0","",INDEX(원자료_시장!$A$1:$BZ$1000,설정!$L$6+ROW()-1,설정!$L$35)),"")</f>
        <v>0</v>
      </c>
      <c r="N500" s="83" t="n">
        <f aca="false">IFERROR(IF(INDEX(원자료_시장!$A$1:$BZ$1000,설정!$L$6+ROW()-1,설정!$L$36)&amp;""="0","",INDEX(원자료_시장!$A$1:$BZ$1000,설정!$L$6+ROW()-1,설정!$L$36)),"")</f>
        <v>0</v>
      </c>
      <c r="O500" s="43" t="str">
        <f aca="false">IF($A500="","",UPPER(LEFT($A500,FIND(" ",$A500&amp;" ")-1)))</f>
        <v/>
      </c>
      <c r="P500" s="43" t="str">
        <f aca="false">IF($A500="","",TRIM(RIGHT(SUBSTITUTE(TRIM($A500)," ",REPT(" ",30)),30)))</f>
        <v/>
      </c>
      <c r="Q500" s="98" t="str">
        <f aca="false">IF($A500="","",IFERROR(DATE(IF(LEN(P500)=8,2000+VALUE(RIGHT(P500,2)),VALUE(RIGHT(P500,4))),VALUE(LEFT(P500,2)),VALUE(MID(P500,4,2))),""))</f>
        <v/>
      </c>
      <c r="R500" s="89" t="n">
        <f aca="false">IF($A500="",0,IF(ISNUMBER(SEARCH("Float",$A500)),1,0))</f>
        <v>0</v>
      </c>
      <c r="S500" s="43" t="str">
        <f aca="false">IF($A500="","",TRIM(MID($A500,LEN(O500)+2,LEN($A500)-LEN(O500)-LEN(P500)-1)))</f>
        <v/>
      </c>
      <c r="T500" s="92" t="str">
        <f aca="false">IF(OR($A500="",R500=1),"",IFERROR(IF(ISNUMBER(FIND("/",S500)),IF(ISNUMBER(FIND(" ",S500)),VALUE(LEFT(S500,FIND(" ",S500)-1))+VALUE(MID(S500,FIND(" ",S500)+1,FIND("/",S500)-FIND(" ",S500)-1))/VALUE(MID(S500,FIND("/",S500)+1,9)),VALUE(LEFT(S500,FIND("/",S500)-1))/VALUE(MID(S500,FIND("/",S500)+1,9))),VALUE(S500)),""))</f>
        <v/>
      </c>
      <c r="U500" s="43" t="str">
        <f aca="false">IF(OR($A500="",NOT(ISNUMBER(Q500))),"",TEXT(Q500,"yyyymmdd")&amp;"|"&amp;IF(R500=1,"F",TEXT(T500,"0.000")))</f>
        <v/>
      </c>
      <c r="V500" s="43" t="str">
        <f aca="false">IF(U500="","",O500&amp;"|"&amp;U500)</f>
        <v/>
      </c>
      <c r="W500" s="43" t="str">
        <f aca="false">IF($A500="","",IFERROR(IF(VLOOKUP(O500,매핑!$A$4:$E$92,3,0)="","미분류",VLOOKUP(O500,매핑!$A$4:$E$92,3,0)),"미분류"))</f>
        <v/>
      </c>
      <c r="X500" s="89" t="n">
        <f aca="false">IF($A500="",0,IF(O500="T",1,0))</f>
        <v>0</v>
      </c>
      <c r="Y500" s="89" t="n">
        <f aca="false">IF($A500="",0,IF(AND(C500="USD",X500=0,ISNUMBER(E500),ISNUMBER(K500)),IF(K500&gt;=설정!$C$8,1,0),0))</f>
        <v>0</v>
      </c>
      <c r="Z500" s="43" t="str">
        <f aca="false">IF($A500="","",N500&amp;"|"&amp;L500)</f>
        <v/>
      </c>
      <c r="AA500" s="92" t="n">
        <f aca="false">IF(Y500=1,LN(K500),0)</f>
        <v>0</v>
      </c>
      <c r="AB500" s="93" t="n">
        <f aca="false">IF(Y500=1,E500,0)</f>
        <v>0</v>
      </c>
      <c r="AC500" s="89" t="n">
        <f aca="false">IF(Y500=1,COUNTIFS($Z$2:$Z$601,Z500,$Y$2:$Y$601,1),0)</f>
        <v>0</v>
      </c>
      <c r="AD500" s="89" t="n">
        <f aca="false">IF(Y500=1,COUNTIFS($N$2:$N$601,N500,$Y$2:$Y$601,1),0)</f>
        <v>0</v>
      </c>
      <c r="AE500" s="43" t="str">
        <f aca="false">IF(Y500&lt;&gt;1,"",IF(AND(AC500&gt;=설정!$C$7,ISNUMBER(MATCH(Z500,피어커브!$A:$A,0))),Z500,IF(AND(AD500&gt;=설정!$C$7,ISNUMBER(MATCH(N500&amp;"|전체",피어커브!$A:$A,0))),N500&amp;"|전체","전체|전체")))</f>
        <v/>
      </c>
      <c r="AF500" s="93" t="str">
        <f aca="false">IF(AE500="","",INDEX(피어커브!$K:$K,MATCH(AE500,피어커브!$A:$A,0)))</f>
        <v/>
      </c>
      <c r="AG500" s="93" t="str">
        <f aca="false">IF(AE500="","",INDEX(피어커브!$J:$J,MATCH(AE500,피어커브!$A:$A,0)))</f>
        <v/>
      </c>
      <c r="AH500" s="93" t="str">
        <f aca="false">IF(AE500="","",INDEX(피어커브!$L:$L,MATCH(AE500,피어커브!$A:$A,0)))</f>
        <v/>
      </c>
      <c r="AI500" s="93" t="str">
        <f aca="false">IF(AE500="","",AF500+AG500*AA500)</f>
        <v/>
      </c>
      <c r="AJ500" s="96" t="str">
        <f aca="false">IF(AE500="","",E500-AI500)</f>
        <v/>
      </c>
      <c r="AK500" s="95" t="str">
        <f aca="false">IF(AE500="","",IF(ISNUMBER(AH500),IF(AH500&gt;0,AJ500/AH500,""),""))</f>
        <v/>
      </c>
      <c r="AL500" s="43" t="str">
        <f aca="false">IF(AK500="","-",IF(AK500&gt;=설정!$C$6,"Cheap",IF(AK500&lt;=-설정!$C$6,"Rich","Fair")))</f>
        <v>-</v>
      </c>
      <c r="AM500" s="96" t="str">
        <f aca="false">IF(AE500="","",AJ500-AVERAGEIFS($AJ$2:$AJ$601,$B$2:$B$601,B500,$Y$2:$Y$601,1))</f>
        <v/>
      </c>
      <c r="AN500" s="93" t="n">
        <f aca="false">IF(AE500="",0,IF(K500&gt;1+설정!$C$8,AG500*(AA500-LN(K500-1)),0))</f>
        <v>0</v>
      </c>
      <c r="AO500" s="99" t="n">
        <f aca="false">IF($A500="",0,SUMIFS(보유분석!$AA$2:$AA$801,보유분석!$AB$2:$AB$801,ROW(),보유분석!$AC$2:$AC$801,1))</f>
        <v>0</v>
      </c>
      <c r="AP500" s="43" t="str">
        <f aca="false">IF($A500="","",TRIM(IF(R500=1,"FRN ","")&amp;IF(IFERROR(VLOOKUP(M500,설정!$A$15:$D$47,4,0),0)&gt;=10,IF(IFERROR(VLOOKUP(M500,설정!$A$15:$D$47,4,0),0)&lt;99,"BBB0미만 ",""),"")&amp;IF(OR(M500="",M500="NR"),"등급미입력 ","")&amp;IF(C500&lt;&gt;"USD","비USD ","")))</f>
        <v/>
      </c>
      <c r="AQ500" s="90" t="n">
        <f aca="false">IF(AND(Y500=1,AL500="Cheap"),IF(AND(ISERROR(SEARCH("FRN",AP500)),ISERROR(SEARCH("BBB0미만",AP500))),AK500+ROW()/1000000000,-999),-999)</f>
        <v>-999</v>
      </c>
      <c r="AR500" s="92" t="str">
        <f aca="false">IF(AND(ISNUMBER(D500),ISNUMBER(K500)),D500+AN500*MAX(K500-1,0)/100,"")</f>
        <v/>
      </c>
      <c r="AS500" s="93" t="str">
        <f aca="false">IF(AND(ISNUMBER(E500),ISNUMBER(K500)),IF(K500&gt;0,(E500+AN500*MAX(K500-1,0))/K500,""),"")</f>
        <v/>
      </c>
      <c r="AT500" s="90" t="n">
        <f aca="false">IFERROR(IF(AND(Y500=1,ROW()&lt;&gt;스왑분석!$C$12+1,ABS(K500-INDEX($K$2:$K$601,스왑분석!$C$12))&lt;=스왑분석!$C$5,ISERROR(SEARCH("FRN",AP500)),ISERROR(SEARCH("BBB0미만",AP500))),IF(AND(OR(스왑분석!$C$6="N",L500=INDEX($L$2:$L$601,스왑분석!$C$12)),OR(스왑분석!$C$7="N",N500=INDEX($N$2:$N$601,스왑분석!$C$12)),OR(스왑분석!$C$8="N",AO500=0),E500-INDEX($E$2:$E$601,스왑분석!$C$12)&gt;=스왑분석!$C$9),E500-INDEX($E$2:$E$601,스왑분석!$C$12)+ROW()/1000000000,-999),-999),-999)</f>
        <v>-999</v>
      </c>
      <c r="AU500" s="90" t="n">
        <f aca="false">IF(AND(Y500=1,AO500&gt;0,AL500="Rich"),-AK500+ROW()/1000000000,-999)</f>
        <v>-999</v>
      </c>
    </row>
    <row r="501" customFormat="false" ht="15" hidden="false" customHeight="false" outlineLevel="0" collapsed="false">
      <c r="A501" s="83" t="n">
        <f aca="false">IFERROR(IF(INDEX(원자료_시장!$A$1:$BZ$1000,설정!$L$6+ROW()-1,설정!$L$24)&amp;""="0","",INDEX(원자료_시장!$A$1:$BZ$1000,설정!$L$6+ROW()-1,설정!$L$24)),"")</f>
        <v>0</v>
      </c>
      <c r="B501" s="83" t="n">
        <f aca="false">IFERROR(IF(INDEX(원자료_시장!$A$1:$BZ$1000,설정!$L$6+ROW()-1,설정!$L$37)&amp;""="0","",INDEX(원자료_시장!$A$1:$BZ$1000,설정!$L$6+ROW()-1,설정!$L$37)),"")</f>
        <v>0</v>
      </c>
      <c r="C501" s="83" t="n">
        <f aca="false">IFERROR(IF(INDEX(원자료_시장!$A$1:$BZ$1000,설정!$L$6+ROW()-1,설정!$L$25)&amp;""="0","",INDEX(원자료_시장!$A$1:$BZ$1000,설정!$L$6+ROW()-1,설정!$L$25)),"")</f>
        <v>0</v>
      </c>
      <c r="D501" s="85" t="str">
        <f aca="false">IFERROR(IF(ISNUMBER(INDEX(원자료_시장!$A$1:$BZ$1000,설정!$L$6+ROW()-1,설정!$L$26)),INDEX(원자료_시장!$A$1:$BZ$1000,설정!$L$6+ROW()-1,설정!$L$26),""),"")</f>
        <v/>
      </c>
      <c r="E501" s="97" t="str">
        <f aca="false">IFERROR(IF(ISNUMBER(INDEX(원자료_시장!$A$1:$BZ$1000,설정!$L$6+ROW()-1,설정!$L$27)),INDEX(원자료_시장!$A$1:$BZ$1000,설정!$L$6+ROW()-1,설정!$L$27),""),"")</f>
        <v/>
      </c>
      <c r="F501" s="97" t="str">
        <f aca="false">IFERROR(IF(ISNUMBER(INDEX(원자료_시장!$A$1:$BZ$1000,설정!$L$6+ROW()-1,설정!$L$28)),INDEX(원자료_시장!$A$1:$BZ$1000,설정!$L$6+ROW()-1,설정!$L$28),""),"")</f>
        <v/>
      </c>
      <c r="G501" s="97" t="str">
        <f aca="false">IFERROR(IF(ISNUMBER(INDEX(원자료_시장!$A$1:$BZ$1000,설정!$L$6+ROW()-1,설정!$L$29)),INDEX(원자료_시장!$A$1:$BZ$1000,설정!$L$6+ROW()-1,설정!$L$29),""),"")</f>
        <v/>
      </c>
      <c r="H501" s="97" t="str">
        <f aca="false">IFERROR(IF(ISNUMBER(INDEX(원자료_시장!$A$1:$BZ$1000,설정!$L$6+ROW()-1,설정!$L$30)),INDEX(원자료_시장!$A$1:$BZ$1000,설정!$L$6+ROW()-1,설정!$L$30),""),"")</f>
        <v/>
      </c>
      <c r="I501" s="97" t="str">
        <f aca="false">IFERROR(IF(ISNUMBER(INDEX(원자료_시장!$A$1:$BZ$1000,설정!$L$6+ROW()-1,설정!$L$31)),INDEX(원자료_시장!$A$1:$BZ$1000,설정!$L$6+ROW()-1,설정!$L$31),""),"")</f>
        <v/>
      </c>
      <c r="J501" s="97" t="str">
        <f aca="false">IFERROR(IF(ISNUMBER(INDEX(원자료_시장!$A$1:$BZ$1000,설정!$L$6+ROW()-1,설정!$L$32)),INDEX(원자료_시장!$A$1:$BZ$1000,설정!$L$6+ROW()-1,설정!$L$32),""),"")</f>
        <v/>
      </c>
      <c r="K501" s="85" t="str">
        <f aca="false">IFERROR(IF(ISNUMBER(INDEX(원자료_시장!$A$1:$BZ$1000,설정!$L$6+ROW()-1,설정!$L$33)),INDEX(원자료_시장!$A$1:$BZ$1000,설정!$L$6+ROW()-1,설정!$L$33),""),"")</f>
        <v/>
      </c>
      <c r="L501" s="83" t="n">
        <f aca="false">IFERROR(IF(INDEX(원자료_시장!$A$1:$BZ$1000,설정!$L$6+ROW()-1,설정!$L$34)&amp;""="0","",INDEX(원자료_시장!$A$1:$BZ$1000,설정!$L$6+ROW()-1,설정!$L$34)),"")</f>
        <v>0</v>
      </c>
      <c r="M501" s="83" t="n">
        <f aca="false">IFERROR(IF(INDEX(원자료_시장!$A$1:$BZ$1000,설정!$L$6+ROW()-1,설정!$L$35)&amp;""="0","",INDEX(원자료_시장!$A$1:$BZ$1000,설정!$L$6+ROW()-1,설정!$L$35)),"")</f>
        <v>0</v>
      </c>
      <c r="N501" s="83" t="n">
        <f aca="false">IFERROR(IF(INDEX(원자료_시장!$A$1:$BZ$1000,설정!$L$6+ROW()-1,설정!$L$36)&amp;""="0","",INDEX(원자료_시장!$A$1:$BZ$1000,설정!$L$6+ROW()-1,설정!$L$36)),"")</f>
        <v>0</v>
      </c>
      <c r="O501" s="43" t="str">
        <f aca="false">IF($A501="","",UPPER(LEFT($A501,FIND(" ",$A501&amp;" ")-1)))</f>
        <v/>
      </c>
      <c r="P501" s="43" t="str">
        <f aca="false">IF($A501="","",TRIM(RIGHT(SUBSTITUTE(TRIM($A501)," ",REPT(" ",30)),30)))</f>
        <v/>
      </c>
      <c r="Q501" s="98" t="str">
        <f aca="false">IF($A501="","",IFERROR(DATE(IF(LEN(P501)=8,2000+VALUE(RIGHT(P501,2)),VALUE(RIGHT(P501,4))),VALUE(LEFT(P501,2)),VALUE(MID(P501,4,2))),""))</f>
        <v/>
      </c>
      <c r="R501" s="89" t="n">
        <f aca="false">IF($A501="",0,IF(ISNUMBER(SEARCH("Float",$A501)),1,0))</f>
        <v>0</v>
      </c>
      <c r="S501" s="43" t="str">
        <f aca="false">IF($A501="","",TRIM(MID($A501,LEN(O501)+2,LEN($A501)-LEN(O501)-LEN(P501)-1)))</f>
        <v/>
      </c>
      <c r="T501" s="92" t="str">
        <f aca="false">IF(OR($A501="",R501=1),"",IFERROR(IF(ISNUMBER(FIND("/",S501)),IF(ISNUMBER(FIND(" ",S501)),VALUE(LEFT(S501,FIND(" ",S501)-1))+VALUE(MID(S501,FIND(" ",S501)+1,FIND("/",S501)-FIND(" ",S501)-1))/VALUE(MID(S501,FIND("/",S501)+1,9)),VALUE(LEFT(S501,FIND("/",S501)-1))/VALUE(MID(S501,FIND("/",S501)+1,9))),VALUE(S501)),""))</f>
        <v/>
      </c>
      <c r="U501" s="43" t="str">
        <f aca="false">IF(OR($A501="",NOT(ISNUMBER(Q501))),"",TEXT(Q501,"yyyymmdd")&amp;"|"&amp;IF(R501=1,"F",TEXT(T501,"0.000")))</f>
        <v/>
      </c>
      <c r="V501" s="43" t="str">
        <f aca="false">IF(U501="","",O501&amp;"|"&amp;U501)</f>
        <v/>
      </c>
      <c r="W501" s="43" t="str">
        <f aca="false">IF($A501="","",IFERROR(IF(VLOOKUP(O501,매핑!$A$4:$E$92,3,0)="","미분류",VLOOKUP(O501,매핑!$A$4:$E$92,3,0)),"미분류"))</f>
        <v/>
      </c>
      <c r="X501" s="89" t="n">
        <f aca="false">IF($A501="",0,IF(O501="T",1,0))</f>
        <v>0</v>
      </c>
      <c r="Y501" s="89" t="n">
        <f aca="false">IF($A501="",0,IF(AND(C501="USD",X501=0,ISNUMBER(E501),ISNUMBER(K501)),IF(K501&gt;=설정!$C$8,1,0),0))</f>
        <v>0</v>
      </c>
      <c r="Z501" s="43" t="str">
        <f aca="false">IF($A501="","",N501&amp;"|"&amp;L501)</f>
        <v/>
      </c>
      <c r="AA501" s="92" t="n">
        <f aca="false">IF(Y501=1,LN(K501),0)</f>
        <v>0</v>
      </c>
      <c r="AB501" s="93" t="n">
        <f aca="false">IF(Y501=1,E501,0)</f>
        <v>0</v>
      </c>
      <c r="AC501" s="89" t="n">
        <f aca="false">IF(Y501=1,COUNTIFS($Z$2:$Z$601,Z501,$Y$2:$Y$601,1),0)</f>
        <v>0</v>
      </c>
      <c r="AD501" s="89" t="n">
        <f aca="false">IF(Y501=1,COUNTIFS($N$2:$N$601,N501,$Y$2:$Y$601,1),0)</f>
        <v>0</v>
      </c>
      <c r="AE501" s="43" t="str">
        <f aca="false">IF(Y501&lt;&gt;1,"",IF(AND(AC501&gt;=설정!$C$7,ISNUMBER(MATCH(Z501,피어커브!$A:$A,0))),Z501,IF(AND(AD501&gt;=설정!$C$7,ISNUMBER(MATCH(N501&amp;"|전체",피어커브!$A:$A,0))),N501&amp;"|전체","전체|전체")))</f>
        <v/>
      </c>
      <c r="AF501" s="93" t="str">
        <f aca="false">IF(AE501="","",INDEX(피어커브!$K:$K,MATCH(AE501,피어커브!$A:$A,0)))</f>
        <v/>
      </c>
      <c r="AG501" s="93" t="str">
        <f aca="false">IF(AE501="","",INDEX(피어커브!$J:$J,MATCH(AE501,피어커브!$A:$A,0)))</f>
        <v/>
      </c>
      <c r="AH501" s="93" t="str">
        <f aca="false">IF(AE501="","",INDEX(피어커브!$L:$L,MATCH(AE501,피어커브!$A:$A,0)))</f>
        <v/>
      </c>
      <c r="AI501" s="93" t="str">
        <f aca="false">IF(AE501="","",AF501+AG501*AA501)</f>
        <v/>
      </c>
      <c r="AJ501" s="96" t="str">
        <f aca="false">IF(AE501="","",E501-AI501)</f>
        <v/>
      </c>
      <c r="AK501" s="95" t="str">
        <f aca="false">IF(AE501="","",IF(ISNUMBER(AH501),IF(AH501&gt;0,AJ501/AH501,""),""))</f>
        <v/>
      </c>
      <c r="AL501" s="43" t="str">
        <f aca="false">IF(AK501="","-",IF(AK501&gt;=설정!$C$6,"Cheap",IF(AK501&lt;=-설정!$C$6,"Rich","Fair")))</f>
        <v>-</v>
      </c>
      <c r="AM501" s="96" t="str">
        <f aca="false">IF(AE501="","",AJ501-AVERAGEIFS($AJ$2:$AJ$601,$B$2:$B$601,B501,$Y$2:$Y$601,1))</f>
        <v/>
      </c>
      <c r="AN501" s="93" t="n">
        <f aca="false">IF(AE501="",0,IF(K501&gt;1+설정!$C$8,AG501*(AA501-LN(K501-1)),0))</f>
        <v>0</v>
      </c>
      <c r="AO501" s="99" t="n">
        <f aca="false">IF($A501="",0,SUMIFS(보유분석!$AA$2:$AA$801,보유분석!$AB$2:$AB$801,ROW(),보유분석!$AC$2:$AC$801,1))</f>
        <v>0</v>
      </c>
      <c r="AP501" s="43" t="str">
        <f aca="false">IF($A501="","",TRIM(IF(R501=1,"FRN ","")&amp;IF(IFERROR(VLOOKUP(M501,설정!$A$15:$D$47,4,0),0)&gt;=10,IF(IFERROR(VLOOKUP(M501,설정!$A$15:$D$47,4,0),0)&lt;99,"BBB0미만 ",""),"")&amp;IF(OR(M501="",M501="NR"),"등급미입력 ","")&amp;IF(C501&lt;&gt;"USD","비USD ","")))</f>
        <v/>
      </c>
      <c r="AQ501" s="90" t="n">
        <f aca="false">IF(AND(Y501=1,AL501="Cheap"),IF(AND(ISERROR(SEARCH("FRN",AP501)),ISERROR(SEARCH("BBB0미만",AP501))),AK501+ROW()/1000000000,-999),-999)</f>
        <v>-999</v>
      </c>
      <c r="AR501" s="92" t="str">
        <f aca="false">IF(AND(ISNUMBER(D501),ISNUMBER(K501)),D501+AN501*MAX(K501-1,0)/100,"")</f>
        <v/>
      </c>
      <c r="AS501" s="93" t="str">
        <f aca="false">IF(AND(ISNUMBER(E501),ISNUMBER(K501)),IF(K501&gt;0,(E501+AN501*MAX(K501-1,0))/K501,""),"")</f>
        <v/>
      </c>
      <c r="AT501" s="90" t="n">
        <f aca="false">IFERROR(IF(AND(Y501=1,ROW()&lt;&gt;스왑분석!$C$12+1,ABS(K501-INDEX($K$2:$K$601,스왑분석!$C$12))&lt;=스왑분석!$C$5,ISERROR(SEARCH("FRN",AP501)),ISERROR(SEARCH("BBB0미만",AP501))),IF(AND(OR(스왑분석!$C$6="N",L501=INDEX($L$2:$L$601,스왑분석!$C$12)),OR(스왑분석!$C$7="N",N501=INDEX($N$2:$N$601,스왑분석!$C$12)),OR(스왑분석!$C$8="N",AO501=0),E501-INDEX($E$2:$E$601,스왑분석!$C$12)&gt;=스왑분석!$C$9),E501-INDEX($E$2:$E$601,스왑분석!$C$12)+ROW()/1000000000,-999),-999),-999)</f>
        <v>-999</v>
      </c>
      <c r="AU501" s="90" t="n">
        <f aca="false">IF(AND(Y501=1,AO501&gt;0,AL501="Rich"),-AK501+ROW()/1000000000,-999)</f>
        <v>-999</v>
      </c>
    </row>
    <row r="502" customFormat="false" ht="15" hidden="false" customHeight="false" outlineLevel="0" collapsed="false">
      <c r="A502" s="83" t="n">
        <f aca="false">IFERROR(IF(INDEX(원자료_시장!$A$1:$BZ$1000,설정!$L$6+ROW()-1,설정!$L$24)&amp;""="0","",INDEX(원자료_시장!$A$1:$BZ$1000,설정!$L$6+ROW()-1,설정!$L$24)),"")</f>
        <v>0</v>
      </c>
      <c r="B502" s="83" t="n">
        <f aca="false">IFERROR(IF(INDEX(원자료_시장!$A$1:$BZ$1000,설정!$L$6+ROW()-1,설정!$L$37)&amp;""="0","",INDEX(원자료_시장!$A$1:$BZ$1000,설정!$L$6+ROW()-1,설정!$L$37)),"")</f>
        <v>0</v>
      </c>
      <c r="C502" s="83" t="n">
        <f aca="false">IFERROR(IF(INDEX(원자료_시장!$A$1:$BZ$1000,설정!$L$6+ROW()-1,설정!$L$25)&amp;""="0","",INDEX(원자료_시장!$A$1:$BZ$1000,설정!$L$6+ROW()-1,설정!$L$25)),"")</f>
        <v>0</v>
      </c>
      <c r="D502" s="85" t="str">
        <f aca="false">IFERROR(IF(ISNUMBER(INDEX(원자료_시장!$A$1:$BZ$1000,설정!$L$6+ROW()-1,설정!$L$26)),INDEX(원자료_시장!$A$1:$BZ$1000,설정!$L$6+ROW()-1,설정!$L$26),""),"")</f>
        <v/>
      </c>
      <c r="E502" s="97" t="str">
        <f aca="false">IFERROR(IF(ISNUMBER(INDEX(원자료_시장!$A$1:$BZ$1000,설정!$L$6+ROW()-1,설정!$L$27)),INDEX(원자료_시장!$A$1:$BZ$1000,설정!$L$6+ROW()-1,설정!$L$27),""),"")</f>
        <v/>
      </c>
      <c r="F502" s="97" t="str">
        <f aca="false">IFERROR(IF(ISNUMBER(INDEX(원자료_시장!$A$1:$BZ$1000,설정!$L$6+ROW()-1,설정!$L$28)),INDEX(원자료_시장!$A$1:$BZ$1000,설정!$L$6+ROW()-1,설정!$L$28),""),"")</f>
        <v/>
      </c>
      <c r="G502" s="97" t="str">
        <f aca="false">IFERROR(IF(ISNUMBER(INDEX(원자료_시장!$A$1:$BZ$1000,설정!$L$6+ROW()-1,설정!$L$29)),INDEX(원자료_시장!$A$1:$BZ$1000,설정!$L$6+ROW()-1,설정!$L$29),""),"")</f>
        <v/>
      </c>
      <c r="H502" s="97" t="str">
        <f aca="false">IFERROR(IF(ISNUMBER(INDEX(원자료_시장!$A$1:$BZ$1000,설정!$L$6+ROW()-1,설정!$L$30)),INDEX(원자료_시장!$A$1:$BZ$1000,설정!$L$6+ROW()-1,설정!$L$30),""),"")</f>
        <v/>
      </c>
      <c r="I502" s="97" t="str">
        <f aca="false">IFERROR(IF(ISNUMBER(INDEX(원자료_시장!$A$1:$BZ$1000,설정!$L$6+ROW()-1,설정!$L$31)),INDEX(원자료_시장!$A$1:$BZ$1000,설정!$L$6+ROW()-1,설정!$L$31),""),"")</f>
        <v/>
      </c>
      <c r="J502" s="97" t="str">
        <f aca="false">IFERROR(IF(ISNUMBER(INDEX(원자료_시장!$A$1:$BZ$1000,설정!$L$6+ROW()-1,설정!$L$32)),INDEX(원자료_시장!$A$1:$BZ$1000,설정!$L$6+ROW()-1,설정!$L$32),""),"")</f>
        <v/>
      </c>
      <c r="K502" s="85" t="str">
        <f aca="false">IFERROR(IF(ISNUMBER(INDEX(원자료_시장!$A$1:$BZ$1000,설정!$L$6+ROW()-1,설정!$L$33)),INDEX(원자료_시장!$A$1:$BZ$1000,설정!$L$6+ROW()-1,설정!$L$33),""),"")</f>
        <v/>
      </c>
      <c r="L502" s="83" t="n">
        <f aca="false">IFERROR(IF(INDEX(원자료_시장!$A$1:$BZ$1000,설정!$L$6+ROW()-1,설정!$L$34)&amp;""="0","",INDEX(원자료_시장!$A$1:$BZ$1000,설정!$L$6+ROW()-1,설정!$L$34)),"")</f>
        <v>0</v>
      </c>
      <c r="M502" s="83" t="n">
        <f aca="false">IFERROR(IF(INDEX(원자료_시장!$A$1:$BZ$1000,설정!$L$6+ROW()-1,설정!$L$35)&amp;""="0","",INDEX(원자료_시장!$A$1:$BZ$1000,설정!$L$6+ROW()-1,설정!$L$35)),"")</f>
        <v>0</v>
      </c>
      <c r="N502" s="83" t="n">
        <f aca="false">IFERROR(IF(INDEX(원자료_시장!$A$1:$BZ$1000,설정!$L$6+ROW()-1,설정!$L$36)&amp;""="0","",INDEX(원자료_시장!$A$1:$BZ$1000,설정!$L$6+ROW()-1,설정!$L$36)),"")</f>
        <v>0</v>
      </c>
      <c r="O502" s="43" t="str">
        <f aca="false">IF($A502="","",UPPER(LEFT($A502,FIND(" ",$A502&amp;" ")-1)))</f>
        <v/>
      </c>
      <c r="P502" s="43" t="str">
        <f aca="false">IF($A502="","",TRIM(RIGHT(SUBSTITUTE(TRIM($A502)," ",REPT(" ",30)),30)))</f>
        <v/>
      </c>
      <c r="Q502" s="98" t="str">
        <f aca="false">IF($A502="","",IFERROR(DATE(IF(LEN(P502)=8,2000+VALUE(RIGHT(P502,2)),VALUE(RIGHT(P502,4))),VALUE(LEFT(P502,2)),VALUE(MID(P502,4,2))),""))</f>
        <v/>
      </c>
      <c r="R502" s="89" t="n">
        <f aca="false">IF($A502="",0,IF(ISNUMBER(SEARCH("Float",$A502)),1,0))</f>
        <v>0</v>
      </c>
      <c r="S502" s="43" t="str">
        <f aca="false">IF($A502="","",TRIM(MID($A502,LEN(O502)+2,LEN($A502)-LEN(O502)-LEN(P502)-1)))</f>
        <v/>
      </c>
      <c r="T502" s="92" t="str">
        <f aca="false">IF(OR($A502="",R502=1),"",IFERROR(IF(ISNUMBER(FIND("/",S502)),IF(ISNUMBER(FIND(" ",S502)),VALUE(LEFT(S502,FIND(" ",S502)-1))+VALUE(MID(S502,FIND(" ",S502)+1,FIND("/",S502)-FIND(" ",S502)-1))/VALUE(MID(S502,FIND("/",S502)+1,9)),VALUE(LEFT(S502,FIND("/",S502)-1))/VALUE(MID(S502,FIND("/",S502)+1,9))),VALUE(S502)),""))</f>
        <v/>
      </c>
      <c r="U502" s="43" t="str">
        <f aca="false">IF(OR($A502="",NOT(ISNUMBER(Q502))),"",TEXT(Q502,"yyyymmdd")&amp;"|"&amp;IF(R502=1,"F",TEXT(T502,"0.000")))</f>
        <v/>
      </c>
      <c r="V502" s="43" t="str">
        <f aca="false">IF(U502="","",O502&amp;"|"&amp;U502)</f>
        <v/>
      </c>
      <c r="W502" s="43" t="str">
        <f aca="false">IF($A502="","",IFERROR(IF(VLOOKUP(O502,매핑!$A$4:$E$92,3,0)="","미분류",VLOOKUP(O502,매핑!$A$4:$E$92,3,0)),"미분류"))</f>
        <v/>
      </c>
      <c r="X502" s="89" t="n">
        <f aca="false">IF($A502="",0,IF(O502="T",1,0))</f>
        <v>0</v>
      </c>
      <c r="Y502" s="89" t="n">
        <f aca="false">IF($A502="",0,IF(AND(C502="USD",X502=0,ISNUMBER(E502),ISNUMBER(K502)),IF(K502&gt;=설정!$C$8,1,0),0))</f>
        <v>0</v>
      </c>
      <c r="Z502" s="43" t="str">
        <f aca="false">IF($A502="","",N502&amp;"|"&amp;L502)</f>
        <v/>
      </c>
      <c r="AA502" s="92" t="n">
        <f aca="false">IF(Y502=1,LN(K502),0)</f>
        <v>0</v>
      </c>
      <c r="AB502" s="93" t="n">
        <f aca="false">IF(Y502=1,E502,0)</f>
        <v>0</v>
      </c>
      <c r="AC502" s="89" t="n">
        <f aca="false">IF(Y502=1,COUNTIFS($Z$2:$Z$601,Z502,$Y$2:$Y$601,1),0)</f>
        <v>0</v>
      </c>
      <c r="AD502" s="89" t="n">
        <f aca="false">IF(Y502=1,COUNTIFS($N$2:$N$601,N502,$Y$2:$Y$601,1),0)</f>
        <v>0</v>
      </c>
      <c r="AE502" s="43" t="str">
        <f aca="false">IF(Y502&lt;&gt;1,"",IF(AND(AC502&gt;=설정!$C$7,ISNUMBER(MATCH(Z502,피어커브!$A:$A,0))),Z502,IF(AND(AD502&gt;=설정!$C$7,ISNUMBER(MATCH(N502&amp;"|전체",피어커브!$A:$A,0))),N502&amp;"|전체","전체|전체")))</f>
        <v/>
      </c>
      <c r="AF502" s="93" t="str">
        <f aca="false">IF(AE502="","",INDEX(피어커브!$K:$K,MATCH(AE502,피어커브!$A:$A,0)))</f>
        <v/>
      </c>
      <c r="AG502" s="93" t="str">
        <f aca="false">IF(AE502="","",INDEX(피어커브!$J:$J,MATCH(AE502,피어커브!$A:$A,0)))</f>
        <v/>
      </c>
      <c r="AH502" s="93" t="str">
        <f aca="false">IF(AE502="","",INDEX(피어커브!$L:$L,MATCH(AE502,피어커브!$A:$A,0)))</f>
        <v/>
      </c>
      <c r="AI502" s="93" t="str">
        <f aca="false">IF(AE502="","",AF502+AG502*AA502)</f>
        <v/>
      </c>
      <c r="AJ502" s="96" t="str">
        <f aca="false">IF(AE502="","",E502-AI502)</f>
        <v/>
      </c>
      <c r="AK502" s="95" t="str">
        <f aca="false">IF(AE502="","",IF(ISNUMBER(AH502),IF(AH502&gt;0,AJ502/AH502,""),""))</f>
        <v/>
      </c>
      <c r="AL502" s="43" t="str">
        <f aca="false">IF(AK502="","-",IF(AK502&gt;=설정!$C$6,"Cheap",IF(AK502&lt;=-설정!$C$6,"Rich","Fair")))</f>
        <v>-</v>
      </c>
      <c r="AM502" s="96" t="str">
        <f aca="false">IF(AE502="","",AJ502-AVERAGEIFS($AJ$2:$AJ$601,$B$2:$B$601,B502,$Y$2:$Y$601,1))</f>
        <v/>
      </c>
      <c r="AN502" s="93" t="n">
        <f aca="false">IF(AE502="",0,IF(K502&gt;1+설정!$C$8,AG502*(AA502-LN(K502-1)),0))</f>
        <v>0</v>
      </c>
      <c r="AO502" s="99" t="n">
        <f aca="false">IF($A502="",0,SUMIFS(보유분석!$AA$2:$AA$801,보유분석!$AB$2:$AB$801,ROW(),보유분석!$AC$2:$AC$801,1))</f>
        <v>0</v>
      </c>
      <c r="AP502" s="43" t="str">
        <f aca="false">IF($A502="","",TRIM(IF(R502=1,"FRN ","")&amp;IF(IFERROR(VLOOKUP(M502,설정!$A$15:$D$47,4,0),0)&gt;=10,IF(IFERROR(VLOOKUP(M502,설정!$A$15:$D$47,4,0),0)&lt;99,"BBB0미만 ",""),"")&amp;IF(OR(M502="",M502="NR"),"등급미입력 ","")&amp;IF(C502&lt;&gt;"USD","비USD ","")))</f>
        <v/>
      </c>
      <c r="AQ502" s="90" t="n">
        <f aca="false">IF(AND(Y502=1,AL502="Cheap"),IF(AND(ISERROR(SEARCH("FRN",AP502)),ISERROR(SEARCH("BBB0미만",AP502))),AK502+ROW()/1000000000,-999),-999)</f>
        <v>-999</v>
      </c>
      <c r="AR502" s="92" t="str">
        <f aca="false">IF(AND(ISNUMBER(D502),ISNUMBER(K502)),D502+AN502*MAX(K502-1,0)/100,"")</f>
        <v/>
      </c>
      <c r="AS502" s="93" t="str">
        <f aca="false">IF(AND(ISNUMBER(E502),ISNUMBER(K502)),IF(K502&gt;0,(E502+AN502*MAX(K502-1,0))/K502,""),"")</f>
        <v/>
      </c>
      <c r="AT502" s="90" t="n">
        <f aca="false">IFERROR(IF(AND(Y502=1,ROW()&lt;&gt;스왑분석!$C$12+1,ABS(K502-INDEX($K$2:$K$601,스왑분석!$C$12))&lt;=스왑분석!$C$5,ISERROR(SEARCH("FRN",AP502)),ISERROR(SEARCH("BBB0미만",AP502))),IF(AND(OR(스왑분석!$C$6="N",L502=INDEX($L$2:$L$601,스왑분석!$C$12)),OR(스왑분석!$C$7="N",N502=INDEX($N$2:$N$601,스왑분석!$C$12)),OR(스왑분석!$C$8="N",AO502=0),E502-INDEX($E$2:$E$601,스왑분석!$C$12)&gt;=스왑분석!$C$9),E502-INDEX($E$2:$E$601,스왑분석!$C$12)+ROW()/1000000000,-999),-999),-999)</f>
        <v>-999</v>
      </c>
      <c r="AU502" s="90" t="n">
        <f aca="false">IF(AND(Y502=1,AO502&gt;0,AL502="Rich"),-AK502+ROW()/1000000000,-999)</f>
        <v>-999</v>
      </c>
    </row>
    <row r="503" customFormat="false" ht="15" hidden="false" customHeight="false" outlineLevel="0" collapsed="false">
      <c r="A503" s="83" t="n">
        <f aca="false">IFERROR(IF(INDEX(원자료_시장!$A$1:$BZ$1000,설정!$L$6+ROW()-1,설정!$L$24)&amp;""="0","",INDEX(원자료_시장!$A$1:$BZ$1000,설정!$L$6+ROW()-1,설정!$L$24)),"")</f>
        <v>0</v>
      </c>
      <c r="B503" s="83" t="n">
        <f aca="false">IFERROR(IF(INDEX(원자료_시장!$A$1:$BZ$1000,설정!$L$6+ROW()-1,설정!$L$37)&amp;""="0","",INDEX(원자료_시장!$A$1:$BZ$1000,설정!$L$6+ROW()-1,설정!$L$37)),"")</f>
        <v>0</v>
      </c>
      <c r="C503" s="83" t="n">
        <f aca="false">IFERROR(IF(INDEX(원자료_시장!$A$1:$BZ$1000,설정!$L$6+ROW()-1,설정!$L$25)&amp;""="0","",INDEX(원자료_시장!$A$1:$BZ$1000,설정!$L$6+ROW()-1,설정!$L$25)),"")</f>
        <v>0</v>
      </c>
      <c r="D503" s="85" t="str">
        <f aca="false">IFERROR(IF(ISNUMBER(INDEX(원자료_시장!$A$1:$BZ$1000,설정!$L$6+ROW()-1,설정!$L$26)),INDEX(원자료_시장!$A$1:$BZ$1000,설정!$L$6+ROW()-1,설정!$L$26),""),"")</f>
        <v/>
      </c>
      <c r="E503" s="97" t="str">
        <f aca="false">IFERROR(IF(ISNUMBER(INDEX(원자료_시장!$A$1:$BZ$1000,설정!$L$6+ROW()-1,설정!$L$27)),INDEX(원자료_시장!$A$1:$BZ$1000,설정!$L$6+ROW()-1,설정!$L$27),""),"")</f>
        <v/>
      </c>
      <c r="F503" s="97" t="str">
        <f aca="false">IFERROR(IF(ISNUMBER(INDEX(원자료_시장!$A$1:$BZ$1000,설정!$L$6+ROW()-1,설정!$L$28)),INDEX(원자료_시장!$A$1:$BZ$1000,설정!$L$6+ROW()-1,설정!$L$28),""),"")</f>
        <v/>
      </c>
      <c r="G503" s="97" t="str">
        <f aca="false">IFERROR(IF(ISNUMBER(INDEX(원자료_시장!$A$1:$BZ$1000,설정!$L$6+ROW()-1,설정!$L$29)),INDEX(원자료_시장!$A$1:$BZ$1000,설정!$L$6+ROW()-1,설정!$L$29),""),"")</f>
        <v/>
      </c>
      <c r="H503" s="97" t="str">
        <f aca="false">IFERROR(IF(ISNUMBER(INDEX(원자료_시장!$A$1:$BZ$1000,설정!$L$6+ROW()-1,설정!$L$30)),INDEX(원자료_시장!$A$1:$BZ$1000,설정!$L$6+ROW()-1,설정!$L$30),""),"")</f>
        <v/>
      </c>
      <c r="I503" s="97" t="str">
        <f aca="false">IFERROR(IF(ISNUMBER(INDEX(원자료_시장!$A$1:$BZ$1000,설정!$L$6+ROW()-1,설정!$L$31)),INDEX(원자료_시장!$A$1:$BZ$1000,설정!$L$6+ROW()-1,설정!$L$31),""),"")</f>
        <v/>
      </c>
      <c r="J503" s="97" t="str">
        <f aca="false">IFERROR(IF(ISNUMBER(INDEX(원자료_시장!$A$1:$BZ$1000,설정!$L$6+ROW()-1,설정!$L$32)),INDEX(원자료_시장!$A$1:$BZ$1000,설정!$L$6+ROW()-1,설정!$L$32),""),"")</f>
        <v/>
      </c>
      <c r="K503" s="85" t="str">
        <f aca="false">IFERROR(IF(ISNUMBER(INDEX(원자료_시장!$A$1:$BZ$1000,설정!$L$6+ROW()-1,설정!$L$33)),INDEX(원자료_시장!$A$1:$BZ$1000,설정!$L$6+ROW()-1,설정!$L$33),""),"")</f>
        <v/>
      </c>
      <c r="L503" s="83" t="n">
        <f aca="false">IFERROR(IF(INDEX(원자료_시장!$A$1:$BZ$1000,설정!$L$6+ROW()-1,설정!$L$34)&amp;""="0","",INDEX(원자료_시장!$A$1:$BZ$1000,설정!$L$6+ROW()-1,설정!$L$34)),"")</f>
        <v>0</v>
      </c>
      <c r="M503" s="83" t="n">
        <f aca="false">IFERROR(IF(INDEX(원자료_시장!$A$1:$BZ$1000,설정!$L$6+ROW()-1,설정!$L$35)&amp;""="0","",INDEX(원자료_시장!$A$1:$BZ$1000,설정!$L$6+ROW()-1,설정!$L$35)),"")</f>
        <v>0</v>
      </c>
      <c r="N503" s="83" t="n">
        <f aca="false">IFERROR(IF(INDEX(원자료_시장!$A$1:$BZ$1000,설정!$L$6+ROW()-1,설정!$L$36)&amp;""="0","",INDEX(원자료_시장!$A$1:$BZ$1000,설정!$L$6+ROW()-1,설정!$L$36)),"")</f>
        <v>0</v>
      </c>
      <c r="O503" s="43" t="str">
        <f aca="false">IF($A503="","",UPPER(LEFT($A503,FIND(" ",$A503&amp;" ")-1)))</f>
        <v/>
      </c>
      <c r="P503" s="43" t="str">
        <f aca="false">IF($A503="","",TRIM(RIGHT(SUBSTITUTE(TRIM($A503)," ",REPT(" ",30)),30)))</f>
        <v/>
      </c>
      <c r="Q503" s="98" t="str">
        <f aca="false">IF($A503="","",IFERROR(DATE(IF(LEN(P503)=8,2000+VALUE(RIGHT(P503,2)),VALUE(RIGHT(P503,4))),VALUE(LEFT(P503,2)),VALUE(MID(P503,4,2))),""))</f>
        <v/>
      </c>
      <c r="R503" s="89" t="n">
        <f aca="false">IF($A503="",0,IF(ISNUMBER(SEARCH("Float",$A503)),1,0))</f>
        <v>0</v>
      </c>
      <c r="S503" s="43" t="str">
        <f aca="false">IF($A503="","",TRIM(MID($A503,LEN(O503)+2,LEN($A503)-LEN(O503)-LEN(P503)-1)))</f>
        <v/>
      </c>
      <c r="T503" s="92" t="str">
        <f aca="false">IF(OR($A503="",R503=1),"",IFERROR(IF(ISNUMBER(FIND("/",S503)),IF(ISNUMBER(FIND(" ",S503)),VALUE(LEFT(S503,FIND(" ",S503)-1))+VALUE(MID(S503,FIND(" ",S503)+1,FIND("/",S503)-FIND(" ",S503)-1))/VALUE(MID(S503,FIND("/",S503)+1,9)),VALUE(LEFT(S503,FIND("/",S503)-1))/VALUE(MID(S503,FIND("/",S503)+1,9))),VALUE(S503)),""))</f>
        <v/>
      </c>
      <c r="U503" s="43" t="str">
        <f aca="false">IF(OR($A503="",NOT(ISNUMBER(Q503))),"",TEXT(Q503,"yyyymmdd")&amp;"|"&amp;IF(R503=1,"F",TEXT(T503,"0.000")))</f>
        <v/>
      </c>
      <c r="V503" s="43" t="str">
        <f aca="false">IF(U503="","",O503&amp;"|"&amp;U503)</f>
        <v/>
      </c>
      <c r="W503" s="43" t="str">
        <f aca="false">IF($A503="","",IFERROR(IF(VLOOKUP(O503,매핑!$A$4:$E$92,3,0)="","미분류",VLOOKUP(O503,매핑!$A$4:$E$92,3,0)),"미분류"))</f>
        <v/>
      </c>
      <c r="X503" s="89" t="n">
        <f aca="false">IF($A503="",0,IF(O503="T",1,0))</f>
        <v>0</v>
      </c>
      <c r="Y503" s="89" t="n">
        <f aca="false">IF($A503="",0,IF(AND(C503="USD",X503=0,ISNUMBER(E503),ISNUMBER(K503)),IF(K503&gt;=설정!$C$8,1,0),0))</f>
        <v>0</v>
      </c>
      <c r="Z503" s="43" t="str">
        <f aca="false">IF($A503="","",N503&amp;"|"&amp;L503)</f>
        <v/>
      </c>
      <c r="AA503" s="92" t="n">
        <f aca="false">IF(Y503=1,LN(K503),0)</f>
        <v>0</v>
      </c>
      <c r="AB503" s="93" t="n">
        <f aca="false">IF(Y503=1,E503,0)</f>
        <v>0</v>
      </c>
      <c r="AC503" s="89" t="n">
        <f aca="false">IF(Y503=1,COUNTIFS($Z$2:$Z$601,Z503,$Y$2:$Y$601,1),0)</f>
        <v>0</v>
      </c>
      <c r="AD503" s="89" t="n">
        <f aca="false">IF(Y503=1,COUNTIFS($N$2:$N$601,N503,$Y$2:$Y$601,1),0)</f>
        <v>0</v>
      </c>
      <c r="AE503" s="43" t="str">
        <f aca="false">IF(Y503&lt;&gt;1,"",IF(AND(AC503&gt;=설정!$C$7,ISNUMBER(MATCH(Z503,피어커브!$A:$A,0))),Z503,IF(AND(AD503&gt;=설정!$C$7,ISNUMBER(MATCH(N503&amp;"|전체",피어커브!$A:$A,0))),N503&amp;"|전체","전체|전체")))</f>
        <v/>
      </c>
      <c r="AF503" s="93" t="str">
        <f aca="false">IF(AE503="","",INDEX(피어커브!$K:$K,MATCH(AE503,피어커브!$A:$A,0)))</f>
        <v/>
      </c>
      <c r="AG503" s="93" t="str">
        <f aca="false">IF(AE503="","",INDEX(피어커브!$J:$J,MATCH(AE503,피어커브!$A:$A,0)))</f>
        <v/>
      </c>
      <c r="AH503" s="93" t="str">
        <f aca="false">IF(AE503="","",INDEX(피어커브!$L:$L,MATCH(AE503,피어커브!$A:$A,0)))</f>
        <v/>
      </c>
      <c r="AI503" s="93" t="str">
        <f aca="false">IF(AE503="","",AF503+AG503*AA503)</f>
        <v/>
      </c>
      <c r="AJ503" s="96" t="str">
        <f aca="false">IF(AE503="","",E503-AI503)</f>
        <v/>
      </c>
      <c r="AK503" s="95" t="str">
        <f aca="false">IF(AE503="","",IF(ISNUMBER(AH503),IF(AH503&gt;0,AJ503/AH503,""),""))</f>
        <v/>
      </c>
      <c r="AL503" s="43" t="str">
        <f aca="false">IF(AK503="","-",IF(AK503&gt;=설정!$C$6,"Cheap",IF(AK503&lt;=-설정!$C$6,"Rich","Fair")))</f>
        <v>-</v>
      </c>
      <c r="AM503" s="96" t="str">
        <f aca="false">IF(AE503="","",AJ503-AVERAGEIFS($AJ$2:$AJ$601,$B$2:$B$601,B503,$Y$2:$Y$601,1))</f>
        <v/>
      </c>
      <c r="AN503" s="93" t="n">
        <f aca="false">IF(AE503="",0,IF(K503&gt;1+설정!$C$8,AG503*(AA503-LN(K503-1)),0))</f>
        <v>0</v>
      </c>
      <c r="AO503" s="99" t="n">
        <f aca="false">IF($A503="",0,SUMIFS(보유분석!$AA$2:$AA$801,보유분석!$AB$2:$AB$801,ROW(),보유분석!$AC$2:$AC$801,1))</f>
        <v>0</v>
      </c>
      <c r="AP503" s="43" t="str">
        <f aca="false">IF($A503="","",TRIM(IF(R503=1,"FRN ","")&amp;IF(IFERROR(VLOOKUP(M503,설정!$A$15:$D$47,4,0),0)&gt;=10,IF(IFERROR(VLOOKUP(M503,설정!$A$15:$D$47,4,0),0)&lt;99,"BBB0미만 ",""),"")&amp;IF(OR(M503="",M503="NR"),"등급미입력 ","")&amp;IF(C503&lt;&gt;"USD","비USD ","")))</f>
        <v/>
      </c>
      <c r="AQ503" s="90" t="n">
        <f aca="false">IF(AND(Y503=1,AL503="Cheap"),IF(AND(ISERROR(SEARCH("FRN",AP503)),ISERROR(SEARCH("BBB0미만",AP503))),AK503+ROW()/1000000000,-999),-999)</f>
        <v>-999</v>
      </c>
      <c r="AR503" s="92" t="str">
        <f aca="false">IF(AND(ISNUMBER(D503),ISNUMBER(K503)),D503+AN503*MAX(K503-1,0)/100,"")</f>
        <v/>
      </c>
      <c r="AS503" s="93" t="str">
        <f aca="false">IF(AND(ISNUMBER(E503),ISNUMBER(K503)),IF(K503&gt;0,(E503+AN503*MAX(K503-1,0))/K503,""),"")</f>
        <v/>
      </c>
      <c r="AT503" s="90" t="n">
        <f aca="false">IFERROR(IF(AND(Y503=1,ROW()&lt;&gt;스왑분석!$C$12+1,ABS(K503-INDEX($K$2:$K$601,스왑분석!$C$12))&lt;=스왑분석!$C$5,ISERROR(SEARCH("FRN",AP503)),ISERROR(SEARCH("BBB0미만",AP503))),IF(AND(OR(스왑분석!$C$6="N",L503=INDEX($L$2:$L$601,스왑분석!$C$12)),OR(스왑분석!$C$7="N",N503=INDEX($N$2:$N$601,스왑분석!$C$12)),OR(스왑분석!$C$8="N",AO503=0),E503-INDEX($E$2:$E$601,스왑분석!$C$12)&gt;=스왑분석!$C$9),E503-INDEX($E$2:$E$601,스왑분석!$C$12)+ROW()/1000000000,-999),-999),-999)</f>
        <v>-999</v>
      </c>
      <c r="AU503" s="90" t="n">
        <f aca="false">IF(AND(Y503=1,AO503&gt;0,AL503="Rich"),-AK503+ROW()/1000000000,-999)</f>
        <v>-999</v>
      </c>
    </row>
    <row r="504" customFormat="false" ht="15" hidden="false" customHeight="false" outlineLevel="0" collapsed="false">
      <c r="A504" s="83" t="n">
        <f aca="false">IFERROR(IF(INDEX(원자료_시장!$A$1:$BZ$1000,설정!$L$6+ROW()-1,설정!$L$24)&amp;""="0","",INDEX(원자료_시장!$A$1:$BZ$1000,설정!$L$6+ROW()-1,설정!$L$24)),"")</f>
        <v>0</v>
      </c>
      <c r="B504" s="83" t="n">
        <f aca="false">IFERROR(IF(INDEX(원자료_시장!$A$1:$BZ$1000,설정!$L$6+ROW()-1,설정!$L$37)&amp;""="0","",INDEX(원자료_시장!$A$1:$BZ$1000,설정!$L$6+ROW()-1,설정!$L$37)),"")</f>
        <v>0</v>
      </c>
      <c r="C504" s="83" t="n">
        <f aca="false">IFERROR(IF(INDEX(원자료_시장!$A$1:$BZ$1000,설정!$L$6+ROW()-1,설정!$L$25)&amp;""="0","",INDEX(원자료_시장!$A$1:$BZ$1000,설정!$L$6+ROW()-1,설정!$L$25)),"")</f>
        <v>0</v>
      </c>
      <c r="D504" s="85" t="str">
        <f aca="false">IFERROR(IF(ISNUMBER(INDEX(원자료_시장!$A$1:$BZ$1000,설정!$L$6+ROW()-1,설정!$L$26)),INDEX(원자료_시장!$A$1:$BZ$1000,설정!$L$6+ROW()-1,설정!$L$26),""),"")</f>
        <v/>
      </c>
      <c r="E504" s="97" t="str">
        <f aca="false">IFERROR(IF(ISNUMBER(INDEX(원자료_시장!$A$1:$BZ$1000,설정!$L$6+ROW()-1,설정!$L$27)),INDEX(원자료_시장!$A$1:$BZ$1000,설정!$L$6+ROW()-1,설정!$L$27),""),"")</f>
        <v/>
      </c>
      <c r="F504" s="97" t="str">
        <f aca="false">IFERROR(IF(ISNUMBER(INDEX(원자료_시장!$A$1:$BZ$1000,설정!$L$6+ROW()-1,설정!$L$28)),INDEX(원자료_시장!$A$1:$BZ$1000,설정!$L$6+ROW()-1,설정!$L$28),""),"")</f>
        <v/>
      </c>
      <c r="G504" s="97" t="str">
        <f aca="false">IFERROR(IF(ISNUMBER(INDEX(원자료_시장!$A$1:$BZ$1000,설정!$L$6+ROW()-1,설정!$L$29)),INDEX(원자료_시장!$A$1:$BZ$1000,설정!$L$6+ROW()-1,설정!$L$29),""),"")</f>
        <v/>
      </c>
      <c r="H504" s="97" t="str">
        <f aca="false">IFERROR(IF(ISNUMBER(INDEX(원자료_시장!$A$1:$BZ$1000,설정!$L$6+ROW()-1,설정!$L$30)),INDEX(원자료_시장!$A$1:$BZ$1000,설정!$L$6+ROW()-1,설정!$L$30),""),"")</f>
        <v/>
      </c>
      <c r="I504" s="97" t="str">
        <f aca="false">IFERROR(IF(ISNUMBER(INDEX(원자료_시장!$A$1:$BZ$1000,설정!$L$6+ROW()-1,설정!$L$31)),INDEX(원자료_시장!$A$1:$BZ$1000,설정!$L$6+ROW()-1,설정!$L$31),""),"")</f>
        <v/>
      </c>
      <c r="J504" s="97" t="str">
        <f aca="false">IFERROR(IF(ISNUMBER(INDEX(원자료_시장!$A$1:$BZ$1000,설정!$L$6+ROW()-1,설정!$L$32)),INDEX(원자료_시장!$A$1:$BZ$1000,설정!$L$6+ROW()-1,설정!$L$32),""),"")</f>
        <v/>
      </c>
      <c r="K504" s="85" t="str">
        <f aca="false">IFERROR(IF(ISNUMBER(INDEX(원자료_시장!$A$1:$BZ$1000,설정!$L$6+ROW()-1,설정!$L$33)),INDEX(원자료_시장!$A$1:$BZ$1000,설정!$L$6+ROW()-1,설정!$L$33),""),"")</f>
        <v/>
      </c>
      <c r="L504" s="83" t="n">
        <f aca="false">IFERROR(IF(INDEX(원자료_시장!$A$1:$BZ$1000,설정!$L$6+ROW()-1,설정!$L$34)&amp;""="0","",INDEX(원자료_시장!$A$1:$BZ$1000,설정!$L$6+ROW()-1,설정!$L$34)),"")</f>
        <v>0</v>
      </c>
      <c r="M504" s="83" t="n">
        <f aca="false">IFERROR(IF(INDEX(원자료_시장!$A$1:$BZ$1000,설정!$L$6+ROW()-1,설정!$L$35)&amp;""="0","",INDEX(원자료_시장!$A$1:$BZ$1000,설정!$L$6+ROW()-1,설정!$L$35)),"")</f>
        <v>0</v>
      </c>
      <c r="N504" s="83" t="n">
        <f aca="false">IFERROR(IF(INDEX(원자료_시장!$A$1:$BZ$1000,설정!$L$6+ROW()-1,설정!$L$36)&amp;""="0","",INDEX(원자료_시장!$A$1:$BZ$1000,설정!$L$6+ROW()-1,설정!$L$36)),"")</f>
        <v>0</v>
      </c>
      <c r="O504" s="43" t="str">
        <f aca="false">IF($A504="","",UPPER(LEFT($A504,FIND(" ",$A504&amp;" ")-1)))</f>
        <v/>
      </c>
      <c r="P504" s="43" t="str">
        <f aca="false">IF($A504="","",TRIM(RIGHT(SUBSTITUTE(TRIM($A504)," ",REPT(" ",30)),30)))</f>
        <v/>
      </c>
      <c r="Q504" s="98" t="str">
        <f aca="false">IF($A504="","",IFERROR(DATE(IF(LEN(P504)=8,2000+VALUE(RIGHT(P504,2)),VALUE(RIGHT(P504,4))),VALUE(LEFT(P504,2)),VALUE(MID(P504,4,2))),""))</f>
        <v/>
      </c>
      <c r="R504" s="89" t="n">
        <f aca="false">IF($A504="",0,IF(ISNUMBER(SEARCH("Float",$A504)),1,0))</f>
        <v>0</v>
      </c>
      <c r="S504" s="43" t="str">
        <f aca="false">IF($A504="","",TRIM(MID($A504,LEN(O504)+2,LEN($A504)-LEN(O504)-LEN(P504)-1)))</f>
        <v/>
      </c>
      <c r="T504" s="92" t="str">
        <f aca="false">IF(OR($A504="",R504=1),"",IFERROR(IF(ISNUMBER(FIND("/",S504)),IF(ISNUMBER(FIND(" ",S504)),VALUE(LEFT(S504,FIND(" ",S504)-1))+VALUE(MID(S504,FIND(" ",S504)+1,FIND("/",S504)-FIND(" ",S504)-1))/VALUE(MID(S504,FIND("/",S504)+1,9)),VALUE(LEFT(S504,FIND("/",S504)-1))/VALUE(MID(S504,FIND("/",S504)+1,9))),VALUE(S504)),""))</f>
        <v/>
      </c>
      <c r="U504" s="43" t="str">
        <f aca="false">IF(OR($A504="",NOT(ISNUMBER(Q504))),"",TEXT(Q504,"yyyymmdd")&amp;"|"&amp;IF(R504=1,"F",TEXT(T504,"0.000")))</f>
        <v/>
      </c>
      <c r="V504" s="43" t="str">
        <f aca="false">IF(U504="","",O504&amp;"|"&amp;U504)</f>
        <v/>
      </c>
      <c r="W504" s="43" t="str">
        <f aca="false">IF($A504="","",IFERROR(IF(VLOOKUP(O504,매핑!$A$4:$E$92,3,0)="","미분류",VLOOKUP(O504,매핑!$A$4:$E$92,3,0)),"미분류"))</f>
        <v/>
      </c>
      <c r="X504" s="89" t="n">
        <f aca="false">IF($A504="",0,IF(O504="T",1,0))</f>
        <v>0</v>
      </c>
      <c r="Y504" s="89" t="n">
        <f aca="false">IF($A504="",0,IF(AND(C504="USD",X504=0,ISNUMBER(E504),ISNUMBER(K504)),IF(K504&gt;=설정!$C$8,1,0),0))</f>
        <v>0</v>
      </c>
      <c r="Z504" s="43" t="str">
        <f aca="false">IF($A504="","",N504&amp;"|"&amp;L504)</f>
        <v/>
      </c>
      <c r="AA504" s="92" t="n">
        <f aca="false">IF(Y504=1,LN(K504),0)</f>
        <v>0</v>
      </c>
      <c r="AB504" s="93" t="n">
        <f aca="false">IF(Y504=1,E504,0)</f>
        <v>0</v>
      </c>
      <c r="AC504" s="89" t="n">
        <f aca="false">IF(Y504=1,COUNTIFS($Z$2:$Z$601,Z504,$Y$2:$Y$601,1),0)</f>
        <v>0</v>
      </c>
      <c r="AD504" s="89" t="n">
        <f aca="false">IF(Y504=1,COUNTIFS($N$2:$N$601,N504,$Y$2:$Y$601,1),0)</f>
        <v>0</v>
      </c>
      <c r="AE504" s="43" t="str">
        <f aca="false">IF(Y504&lt;&gt;1,"",IF(AND(AC504&gt;=설정!$C$7,ISNUMBER(MATCH(Z504,피어커브!$A:$A,0))),Z504,IF(AND(AD504&gt;=설정!$C$7,ISNUMBER(MATCH(N504&amp;"|전체",피어커브!$A:$A,0))),N504&amp;"|전체","전체|전체")))</f>
        <v/>
      </c>
      <c r="AF504" s="93" t="str">
        <f aca="false">IF(AE504="","",INDEX(피어커브!$K:$K,MATCH(AE504,피어커브!$A:$A,0)))</f>
        <v/>
      </c>
      <c r="AG504" s="93" t="str">
        <f aca="false">IF(AE504="","",INDEX(피어커브!$J:$J,MATCH(AE504,피어커브!$A:$A,0)))</f>
        <v/>
      </c>
      <c r="AH504" s="93" t="str">
        <f aca="false">IF(AE504="","",INDEX(피어커브!$L:$L,MATCH(AE504,피어커브!$A:$A,0)))</f>
        <v/>
      </c>
      <c r="AI504" s="93" t="str">
        <f aca="false">IF(AE504="","",AF504+AG504*AA504)</f>
        <v/>
      </c>
      <c r="AJ504" s="96" t="str">
        <f aca="false">IF(AE504="","",E504-AI504)</f>
        <v/>
      </c>
      <c r="AK504" s="95" t="str">
        <f aca="false">IF(AE504="","",IF(ISNUMBER(AH504),IF(AH504&gt;0,AJ504/AH504,""),""))</f>
        <v/>
      </c>
      <c r="AL504" s="43" t="str">
        <f aca="false">IF(AK504="","-",IF(AK504&gt;=설정!$C$6,"Cheap",IF(AK504&lt;=-설정!$C$6,"Rich","Fair")))</f>
        <v>-</v>
      </c>
      <c r="AM504" s="96" t="str">
        <f aca="false">IF(AE504="","",AJ504-AVERAGEIFS($AJ$2:$AJ$601,$B$2:$B$601,B504,$Y$2:$Y$601,1))</f>
        <v/>
      </c>
      <c r="AN504" s="93" t="n">
        <f aca="false">IF(AE504="",0,IF(K504&gt;1+설정!$C$8,AG504*(AA504-LN(K504-1)),0))</f>
        <v>0</v>
      </c>
      <c r="AO504" s="99" t="n">
        <f aca="false">IF($A504="",0,SUMIFS(보유분석!$AA$2:$AA$801,보유분석!$AB$2:$AB$801,ROW(),보유분석!$AC$2:$AC$801,1))</f>
        <v>0</v>
      </c>
      <c r="AP504" s="43" t="str">
        <f aca="false">IF($A504="","",TRIM(IF(R504=1,"FRN ","")&amp;IF(IFERROR(VLOOKUP(M504,설정!$A$15:$D$47,4,0),0)&gt;=10,IF(IFERROR(VLOOKUP(M504,설정!$A$15:$D$47,4,0),0)&lt;99,"BBB0미만 ",""),"")&amp;IF(OR(M504="",M504="NR"),"등급미입력 ","")&amp;IF(C504&lt;&gt;"USD","비USD ","")))</f>
        <v/>
      </c>
      <c r="AQ504" s="90" t="n">
        <f aca="false">IF(AND(Y504=1,AL504="Cheap"),IF(AND(ISERROR(SEARCH("FRN",AP504)),ISERROR(SEARCH("BBB0미만",AP504))),AK504+ROW()/1000000000,-999),-999)</f>
        <v>-999</v>
      </c>
      <c r="AR504" s="92" t="str">
        <f aca="false">IF(AND(ISNUMBER(D504),ISNUMBER(K504)),D504+AN504*MAX(K504-1,0)/100,"")</f>
        <v/>
      </c>
      <c r="AS504" s="93" t="str">
        <f aca="false">IF(AND(ISNUMBER(E504),ISNUMBER(K504)),IF(K504&gt;0,(E504+AN504*MAX(K504-1,0))/K504,""),"")</f>
        <v/>
      </c>
      <c r="AT504" s="90" t="n">
        <f aca="false">IFERROR(IF(AND(Y504=1,ROW()&lt;&gt;스왑분석!$C$12+1,ABS(K504-INDEX($K$2:$K$601,스왑분석!$C$12))&lt;=스왑분석!$C$5,ISERROR(SEARCH("FRN",AP504)),ISERROR(SEARCH("BBB0미만",AP504))),IF(AND(OR(스왑분석!$C$6="N",L504=INDEX($L$2:$L$601,스왑분석!$C$12)),OR(스왑분석!$C$7="N",N504=INDEX($N$2:$N$601,스왑분석!$C$12)),OR(스왑분석!$C$8="N",AO504=0),E504-INDEX($E$2:$E$601,스왑분석!$C$12)&gt;=스왑분석!$C$9),E504-INDEX($E$2:$E$601,스왑분석!$C$12)+ROW()/1000000000,-999),-999),-999)</f>
        <v>-999</v>
      </c>
      <c r="AU504" s="90" t="n">
        <f aca="false">IF(AND(Y504=1,AO504&gt;0,AL504="Rich"),-AK504+ROW()/1000000000,-999)</f>
        <v>-999</v>
      </c>
    </row>
    <row r="505" customFormat="false" ht="15" hidden="false" customHeight="false" outlineLevel="0" collapsed="false">
      <c r="A505" s="83" t="n">
        <f aca="false">IFERROR(IF(INDEX(원자료_시장!$A$1:$BZ$1000,설정!$L$6+ROW()-1,설정!$L$24)&amp;""="0","",INDEX(원자료_시장!$A$1:$BZ$1000,설정!$L$6+ROW()-1,설정!$L$24)),"")</f>
        <v>0</v>
      </c>
      <c r="B505" s="83" t="n">
        <f aca="false">IFERROR(IF(INDEX(원자료_시장!$A$1:$BZ$1000,설정!$L$6+ROW()-1,설정!$L$37)&amp;""="0","",INDEX(원자료_시장!$A$1:$BZ$1000,설정!$L$6+ROW()-1,설정!$L$37)),"")</f>
        <v>0</v>
      </c>
      <c r="C505" s="83" t="n">
        <f aca="false">IFERROR(IF(INDEX(원자료_시장!$A$1:$BZ$1000,설정!$L$6+ROW()-1,설정!$L$25)&amp;""="0","",INDEX(원자료_시장!$A$1:$BZ$1000,설정!$L$6+ROW()-1,설정!$L$25)),"")</f>
        <v>0</v>
      </c>
      <c r="D505" s="85" t="str">
        <f aca="false">IFERROR(IF(ISNUMBER(INDEX(원자료_시장!$A$1:$BZ$1000,설정!$L$6+ROW()-1,설정!$L$26)),INDEX(원자료_시장!$A$1:$BZ$1000,설정!$L$6+ROW()-1,설정!$L$26),""),"")</f>
        <v/>
      </c>
      <c r="E505" s="97" t="str">
        <f aca="false">IFERROR(IF(ISNUMBER(INDEX(원자료_시장!$A$1:$BZ$1000,설정!$L$6+ROW()-1,설정!$L$27)),INDEX(원자료_시장!$A$1:$BZ$1000,설정!$L$6+ROW()-1,설정!$L$27),""),"")</f>
        <v/>
      </c>
      <c r="F505" s="97" t="str">
        <f aca="false">IFERROR(IF(ISNUMBER(INDEX(원자료_시장!$A$1:$BZ$1000,설정!$L$6+ROW()-1,설정!$L$28)),INDEX(원자료_시장!$A$1:$BZ$1000,설정!$L$6+ROW()-1,설정!$L$28),""),"")</f>
        <v/>
      </c>
      <c r="G505" s="97" t="str">
        <f aca="false">IFERROR(IF(ISNUMBER(INDEX(원자료_시장!$A$1:$BZ$1000,설정!$L$6+ROW()-1,설정!$L$29)),INDEX(원자료_시장!$A$1:$BZ$1000,설정!$L$6+ROW()-1,설정!$L$29),""),"")</f>
        <v/>
      </c>
      <c r="H505" s="97" t="str">
        <f aca="false">IFERROR(IF(ISNUMBER(INDEX(원자료_시장!$A$1:$BZ$1000,설정!$L$6+ROW()-1,설정!$L$30)),INDEX(원자료_시장!$A$1:$BZ$1000,설정!$L$6+ROW()-1,설정!$L$30),""),"")</f>
        <v/>
      </c>
      <c r="I505" s="97" t="str">
        <f aca="false">IFERROR(IF(ISNUMBER(INDEX(원자료_시장!$A$1:$BZ$1000,설정!$L$6+ROW()-1,설정!$L$31)),INDEX(원자료_시장!$A$1:$BZ$1000,설정!$L$6+ROW()-1,설정!$L$31),""),"")</f>
        <v/>
      </c>
      <c r="J505" s="97" t="str">
        <f aca="false">IFERROR(IF(ISNUMBER(INDEX(원자료_시장!$A$1:$BZ$1000,설정!$L$6+ROW()-1,설정!$L$32)),INDEX(원자료_시장!$A$1:$BZ$1000,설정!$L$6+ROW()-1,설정!$L$32),""),"")</f>
        <v/>
      </c>
      <c r="K505" s="85" t="str">
        <f aca="false">IFERROR(IF(ISNUMBER(INDEX(원자료_시장!$A$1:$BZ$1000,설정!$L$6+ROW()-1,설정!$L$33)),INDEX(원자료_시장!$A$1:$BZ$1000,설정!$L$6+ROW()-1,설정!$L$33),""),"")</f>
        <v/>
      </c>
      <c r="L505" s="83" t="n">
        <f aca="false">IFERROR(IF(INDEX(원자료_시장!$A$1:$BZ$1000,설정!$L$6+ROW()-1,설정!$L$34)&amp;""="0","",INDEX(원자료_시장!$A$1:$BZ$1000,설정!$L$6+ROW()-1,설정!$L$34)),"")</f>
        <v>0</v>
      </c>
      <c r="M505" s="83" t="n">
        <f aca="false">IFERROR(IF(INDEX(원자료_시장!$A$1:$BZ$1000,설정!$L$6+ROW()-1,설정!$L$35)&amp;""="0","",INDEX(원자료_시장!$A$1:$BZ$1000,설정!$L$6+ROW()-1,설정!$L$35)),"")</f>
        <v>0</v>
      </c>
      <c r="N505" s="83" t="n">
        <f aca="false">IFERROR(IF(INDEX(원자료_시장!$A$1:$BZ$1000,설정!$L$6+ROW()-1,설정!$L$36)&amp;""="0","",INDEX(원자료_시장!$A$1:$BZ$1000,설정!$L$6+ROW()-1,설정!$L$36)),"")</f>
        <v>0</v>
      </c>
      <c r="O505" s="43" t="str">
        <f aca="false">IF($A505="","",UPPER(LEFT($A505,FIND(" ",$A505&amp;" ")-1)))</f>
        <v/>
      </c>
      <c r="P505" s="43" t="str">
        <f aca="false">IF($A505="","",TRIM(RIGHT(SUBSTITUTE(TRIM($A505)," ",REPT(" ",30)),30)))</f>
        <v/>
      </c>
      <c r="Q505" s="98" t="str">
        <f aca="false">IF($A505="","",IFERROR(DATE(IF(LEN(P505)=8,2000+VALUE(RIGHT(P505,2)),VALUE(RIGHT(P505,4))),VALUE(LEFT(P505,2)),VALUE(MID(P505,4,2))),""))</f>
        <v/>
      </c>
      <c r="R505" s="89" t="n">
        <f aca="false">IF($A505="",0,IF(ISNUMBER(SEARCH("Float",$A505)),1,0))</f>
        <v>0</v>
      </c>
      <c r="S505" s="43" t="str">
        <f aca="false">IF($A505="","",TRIM(MID($A505,LEN(O505)+2,LEN($A505)-LEN(O505)-LEN(P505)-1)))</f>
        <v/>
      </c>
      <c r="T505" s="92" t="str">
        <f aca="false">IF(OR($A505="",R505=1),"",IFERROR(IF(ISNUMBER(FIND("/",S505)),IF(ISNUMBER(FIND(" ",S505)),VALUE(LEFT(S505,FIND(" ",S505)-1))+VALUE(MID(S505,FIND(" ",S505)+1,FIND("/",S505)-FIND(" ",S505)-1))/VALUE(MID(S505,FIND("/",S505)+1,9)),VALUE(LEFT(S505,FIND("/",S505)-1))/VALUE(MID(S505,FIND("/",S505)+1,9))),VALUE(S505)),""))</f>
        <v/>
      </c>
      <c r="U505" s="43" t="str">
        <f aca="false">IF(OR($A505="",NOT(ISNUMBER(Q505))),"",TEXT(Q505,"yyyymmdd")&amp;"|"&amp;IF(R505=1,"F",TEXT(T505,"0.000")))</f>
        <v/>
      </c>
      <c r="V505" s="43" t="str">
        <f aca="false">IF(U505="","",O505&amp;"|"&amp;U505)</f>
        <v/>
      </c>
      <c r="W505" s="43" t="str">
        <f aca="false">IF($A505="","",IFERROR(IF(VLOOKUP(O505,매핑!$A$4:$E$92,3,0)="","미분류",VLOOKUP(O505,매핑!$A$4:$E$92,3,0)),"미분류"))</f>
        <v/>
      </c>
      <c r="X505" s="89" t="n">
        <f aca="false">IF($A505="",0,IF(O505="T",1,0))</f>
        <v>0</v>
      </c>
      <c r="Y505" s="89" t="n">
        <f aca="false">IF($A505="",0,IF(AND(C505="USD",X505=0,ISNUMBER(E505),ISNUMBER(K505)),IF(K505&gt;=설정!$C$8,1,0),0))</f>
        <v>0</v>
      </c>
      <c r="Z505" s="43" t="str">
        <f aca="false">IF($A505="","",N505&amp;"|"&amp;L505)</f>
        <v/>
      </c>
      <c r="AA505" s="92" t="n">
        <f aca="false">IF(Y505=1,LN(K505),0)</f>
        <v>0</v>
      </c>
      <c r="AB505" s="93" t="n">
        <f aca="false">IF(Y505=1,E505,0)</f>
        <v>0</v>
      </c>
      <c r="AC505" s="89" t="n">
        <f aca="false">IF(Y505=1,COUNTIFS($Z$2:$Z$601,Z505,$Y$2:$Y$601,1),0)</f>
        <v>0</v>
      </c>
      <c r="AD505" s="89" t="n">
        <f aca="false">IF(Y505=1,COUNTIFS($N$2:$N$601,N505,$Y$2:$Y$601,1),0)</f>
        <v>0</v>
      </c>
      <c r="AE505" s="43" t="str">
        <f aca="false">IF(Y505&lt;&gt;1,"",IF(AND(AC505&gt;=설정!$C$7,ISNUMBER(MATCH(Z505,피어커브!$A:$A,0))),Z505,IF(AND(AD505&gt;=설정!$C$7,ISNUMBER(MATCH(N505&amp;"|전체",피어커브!$A:$A,0))),N505&amp;"|전체","전체|전체")))</f>
        <v/>
      </c>
      <c r="AF505" s="93" t="str">
        <f aca="false">IF(AE505="","",INDEX(피어커브!$K:$K,MATCH(AE505,피어커브!$A:$A,0)))</f>
        <v/>
      </c>
      <c r="AG505" s="93" t="str">
        <f aca="false">IF(AE505="","",INDEX(피어커브!$J:$J,MATCH(AE505,피어커브!$A:$A,0)))</f>
        <v/>
      </c>
      <c r="AH505" s="93" t="str">
        <f aca="false">IF(AE505="","",INDEX(피어커브!$L:$L,MATCH(AE505,피어커브!$A:$A,0)))</f>
        <v/>
      </c>
      <c r="AI505" s="93" t="str">
        <f aca="false">IF(AE505="","",AF505+AG505*AA505)</f>
        <v/>
      </c>
      <c r="AJ505" s="96" t="str">
        <f aca="false">IF(AE505="","",E505-AI505)</f>
        <v/>
      </c>
      <c r="AK505" s="95" t="str">
        <f aca="false">IF(AE505="","",IF(ISNUMBER(AH505),IF(AH505&gt;0,AJ505/AH505,""),""))</f>
        <v/>
      </c>
      <c r="AL505" s="43" t="str">
        <f aca="false">IF(AK505="","-",IF(AK505&gt;=설정!$C$6,"Cheap",IF(AK505&lt;=-설정!$C$6,"Rich","Fair")))</f>
        <v>-</v>
      </c>
      <c r="AM505" s="96" t="str">
        <f aca="false">IF(AE505="","",AJ505-AVERAGEIFS($AJ$2:$AJ$601,$B$2:$B$601,B505,$Y$2:$Y$601,1))</f>
        <v/>
      </c>
      <c r="AN505" s="93" t="n">
        <f aca="false">IF(AE505="",0,IF(K505&gt;1+설정!$C$8,AG505*(AA505-LN(K505-1)),0))</f>
        <v>0</v>
      </c>
      <c r="AO505" s="99" t="n">
        <f aca="false">IF($A505="",0,SUMIFS(보유분석!$AA$2:$AA$801,보유분석!$AB$2:$AB$801,ROW(),보유분석!$AC$2:$AC$801,1))</f>
        <v>0</v>
      </c>
      <c r="AP505" s="43" t="str">
        <f aca="false">IF($A505="","",TRIM(IF(R505=1,"FRN ","")&amp;IF(IFERROR(VLOOKUP(M505,설정!$A$15:$D$47,4,0),0)&gt;=10,IF(IFERROR(VLOOKUP(M505,설정!$A$15:$D$47,4,0),0)&lt;99,"BBB0미만 ",""),"")&amp;IF(OR(M505="",M505="NR"),"등급미입력 ","")&amp;IF(C505&lt;&gt;"USD","비USD ","")))</f>
        <v/>
      </c>
      <c r="AQ505" s="90" t="n">
        <f aca="false">IF(AND(Y505=1,AL505="Cheap"),IF(AND(ISERROR(SEARCH("FRN",AP505)),ISERROR(SEARCH("BBB0미만",AP505))),AK505+ROW()/1000000000,-999),-999)</f>
        <v>-999</v>
      </c>
      <c r="AR505" s="92" t="str">
        <f aca="false">IF(AND(ISNUMBER(D505),ISNUMBER(K505)),D505+AN505*MAX(K505-1,0)/100,"")</f>
        <v/>
      </c>
      <c r="AS505" s="93" t="str">
        <f aca="false">IF(AND(ISNUMBER(E505),ISNUMBER(K505)),IF(K505&gt;0,(E505+AN505*MAX(K505-1,0))/K505,""),"")</f>
        <v/>
      </c>
      <c r="AT505" s="90" t="n">
        <f aca="false">IFERROR(IF(AND(Y505=1,ROW()&lt;&gt;스왑분석!$C$12+1,ABS(K505-INDEX($K$2:$K$601,스왑분석!$C$12))&lt;=스왑분석!$C$5,ISERROR(SEARCH("FRN",AP505)),ISERROR(SEARCH("BBB0미만",AP505))),IF(AND(OR(스왑분석!$C$6="N",L505=INDEX($L$2:$L$601,스왑분석!$C$12)),OR(스왑분석!$C$7="N",N505=INDEX($N$2:$N$601,스왑분석!$C$12)),OR(스왑분석!$C$8="N",AO505=0),E505-INDEX($E$2:$E$601,스왑분석!$C$12)&gt;=스왑분석!$C$9),E505-INDEX($E$2:$E$601,스왑분석!$C$12)+ROW()/1000000000,-999),-999),-999)</f>
        <v>-999</v>
      </c>
      <c r="AU505" s="90" t="n">
        <f aca="false">IF(AND(Y505=1,AO505&gt;0,AL505="Rich"),-AK505+ROW()/1000000000,-999)</f>
        <v>-999</v>
      </c>
    </row>
    <row r="506" customFormat="false" ht="15" hidden="false" customHeight="false" outlineLevel="0" collapsed="false">
      <c r="A506" s="83" t="n">
        <f aca="false">IFERROR(IF(INDEX(원자료_시장!$A$1:$BZ$1000,설정!$L$6+ROW()-1,설정!$L$24)&amp;""="0","",INDEX(원자료_시장!$A$1:$BZ$1000,설정!$L$6+ROW()-1,설정!$L$24)),"")</f>
        <v>0</v>
      </c>
      <c r="B506" s="83" t="n">
        <f aca="false">IFERROR(IF(INDEX(원자료_시장!$A$1:$BZ$1000,설정!$L$6+ROW()-1,설정!$L$37)&amp;""="0","",INDEX(원자료_시장!$A$1:$BZ$1000,설정!$L$6+ROW()-1,설정!$L$37)),"")</f>
        <v>0</v>
      </c>
      <c r="C506" s="83" t="n">
        <f aca="false">IFERROR(IF(INDEX(원자료_시장!$A$1:$BZ$1000,설정!$L$6+ROW()-1,설정!$L$25)&amp;""="0","",INDEX(원자료_시장!$A$1:$BZ$1000,설정!$L$6+ROW()-1,설정!$L$25)),"")</f>
        <v>0</v>
      </c>
      <c r="D506" s="85" t="str">
        <f aca="false">IFERROR(IF(ISNUMBER(INDEX(원자료_시장!$A$1:$BZ$1000,설정!$L$6+ROW()-1,설정!$L$26)),INDEX(원자료_시장!$A$1:$BZ$1000,설정!$L$6+ROW()-1,설정!$L$26),""),"")</f>
        <v/>
      </c>
      <c r="E506" s="97" t="str">
        <f aca="false">IFERROR(IF(ISNUMBER(INDEX(원자료_시장!$A$1:$BZ$1000,설정!$L$6+ROW()-1,설정!$L$27)),INDEX(원자료_시장!$A$1:$BZ$1000,설정!$L$6+ROW()-1,설정!$L$27),""),"")</f>
        <v/>
      </c>
      <c r="F506" s="97" t="str">
        <f aca="false">IFERROR(IF(ISNUMBER(INDEX(원자료_시장!$A$1:$BZ$1000,설정!$L$6+ROW()-1,설정!$L$28)),INDEX(원자료_시장!$A$1:$BZ$1000,설정!$L$6+ROW()-1,설정!$L$28),""),"")</f>
        <v/>
      </c>
      <c r="G506" s="97" t="str">
        <f aca="false">IFERROR(IF(ISNUMBER(INDEX(원자료_시장!$A$1:$BZ$1000,설정!$L$6+ROW()-1,설정!$L$29)),INDEX(원자료_시장!$A$1:$BZ$1000,설정!$L$6+ROW()-1,설정!$L$29),""),"")</f>
        <v/>
      </c>
      <c r="H506" s="97" t="str">
        <f aca="false">IFERROR(IF(ISNUMBER(INDEX(원자료_시장!$A$1:$BZ$1000,설정!$L$6+ROW()-1,설정!$L$30)),INDEX(원자료_시장!$A$1:$BZ$1000,설정!$L$6+ROW()-1,설정!$L$30),""),"")</f>
        <v/>
      </c>
      <c r="I506" s="97" t="str">
        <f aca="false">IFERROR(IF(ISNUMBER(INDEX(원자료_시장!$A$1:$BZ$1000,설정!$L$6+ROW()-1,설정!$L$31)),INDEX(원자료_시장!$A$1:$BZ$1000,설정!$L$6+ROW()-1,설정!$L$31),""),"")</f>
        <v/>
      </c>
      <c r="J506" s="97" t="str">
        <f aca="false">IFERROR(IF(ISNUMBER(INDEX(원자료_시장!$A$1:$BZ$1000,설정!$L$6+ROW()-1,설정!$L$32)),INDEX(원자료_시장!$A$1:$BZ$1000,설정!$L$6+ROW()-1,설정!$L$32),""),"")</f>
        <v/>
      </c>
      <c r="K506" s="85" t="str">
        <f aca="false">IFERROR(IF(ISNUMBER(INDEX(원자료_시장!$A$1:$BZ$1000,설정!$L$6+ROW()-1,설정!$L$33)),INDEX(원자료_시장!$A$1:$BZ$1000,설정!$L$6+ROW()-1,설정!$L$33),""),"")</f>
        <v/>
      </c>
      <c r="L506" s="83" t="n">
        <f aca="false">IFERROR(IF(INDEX(원자료_시장!$A$1:$BZ$1000,설정!$L$6+ROW()-1,설정!$L$34)&amp;""="0","",INDEX(원자료_시장!$A$1:$BZ$1000,설정!$L$6+ROW()-1,설정!$L$34)),"")</f>
        <v>0</v>
      </c>
      <c r="M506" s="83" t="n">
        <f aca="false">IFERROR(IF(INDEX(원자료_시장!$A$1:$BZ$1000,설정!$L$6+ROW()-1,설정!$L$35)&amp;""="0","",INDEX(원자료_시장!$A$1:$BZ$1000,설정!$L$6+ROW()-1,설정!$L$35)),"")</f>
        <v>0</v>
      </c>
      <c r="N506" s="83" t="n">
        <f aca="false">IFERROR(IF(INDEX(원자료_시장!$A$1:$BZ$1000,설정!$L$6+ROW()-1,설정!$L$36)&amp;""="0","",INDEX(원자료_시장!$A$1:$BZ$1000,설정!$L$6+ROW()-1,설정!$L$36)),"")</f>
        <v>0</v>
      </c>
      <c r="O506" s="43" t="str">
        <f aca="false">IF($A506="","",UPPER(LEFT($A506,FIND(" ",$A506&amp;" ")-1)))</f>
        <v/>
      </c>
      <c r="P506" s="43" t="str">
        <f aca="false">IF($A506="","",TRIM(RIGHT(SUBSTITUTE(TRIM($A506)," ",REPT(" ",30)),30)))</f>
        <v/>
      </c>
      <c r="Q506" s="98" t="str">
        <f aca="false">IF($A506="","",IFERROR(DATE(IF(LEN(P506)=8,2000+VALUE(RIGHT(P506,2)),VALUE(RIGHT(P506,4))),VALUE(LEFT(P506,2)),VALUE(MID(P506,4,2))),""))</f>
        <v/>
      </c>
      <c r="R506" s="89" t="n">
        <f aca="false">IF($A506="",0,IF(ISNUMBER(SEARCH("Float",$A506)),1,0))</f>
        <v>0</v>
      </c>
      <c r="S506" s="43" t="str">
        <f aca="false">IF($A506="","",TRIM(MID($A506,LEN(O506)+2,LEN($A506)-LEN(O506)-LEN(P506)-1)))</f>
        <v/>
      </c>
      <c r="T506" s="92" t="str">
        <f aca="false">IF(OR($A506="",R506=1),"",IFERROR(IF(ISNUMBER(FIND("/",S506)),IF(ISNUMBER(FIND(" ",S506)),VALUE(LEFT(S506,FIND(" ",S506)-1))+VALUE(MID(S506,FIND(" ",S506)+1,FIND("/",S506)-FIND(" ",S506)-1))/VALUE(MID(S506,FIND("/",S506)+1,9)),VALUE(LEFT(S506,FIND("/",S506)-1))/VALUE(MID(S506,FIND("/",S506)+1,9))),VALUE(S506)),""))</f>
        <v/>
      </c>
      <c r="U506" s="43" t="str">
        <f aca="false">IF(OR($A506="",NOT(ISNUMBER(Q506))),"",TEXT(Q506,"yyyymmdd")&amp;"|"&amp;IF(R506=1,"F",TEXT(T506,"0.000")))</f>
        <v/>
      </c>
      <c r="V506" s="43" t="str">
        <f aca="false">IF(U506="","",O506&amp;"|"&amp;U506)</f>
        <v/>
      </c>
      <c r="W506" s="43" t="str">
        <f aca="false">IF($A506="","",IFERROR(IF(VLOOKUP(O506,매핑!$A$4:$E$92,3,0)="","미분류",VLOOKUP(O506,매핑!$A$4:$E$92,3,0)),"미분류"))</f>
        <v/>
      </c>
      <c r="X506" s="89" t="n">
        <f aca="false">IF($A506="",0,IF(O506="T",1,0))</f>
        <v>0</v>
      </c>
      <c r="Y506" s="89" t="n">
        <f aca="false">IF($A506="",0,IF(AND(C506="USD",X506=0,ISNUMBER(E506),ISNUMBER(K506)),IF(K506&gt;=설정!$C$8,1,0),0))</f>
        <v>0</v>
      </c>
      <c r="Z506" s="43" t="str">
        <f aca="false">IF($A506="","",N506&amp;"|"&amp;L506)</f>
        <v/>
      </c>
      <c r="AA506" s="92" t="n">
        <f aca="false">IF(Y506=1,LN(K506),0)</f>
        <v>0</v>
      </c>
      <c r="AB506" s="93" t="n">
        <f aca="false">IF(Y506=1,E506,0)</f>
        <v>0</v>
      </c>
      <c r="AC506" s="89" t="n">
        <f aca="false">IF(Y506=1,COUNTIFS($Z$2:$Z$601,Z506,$Y$2:$Y$601,1),0)</f>
        <v>0</v>
      </c>
      <c r="AD506" s="89" t="n">
        <f aca="false">IF(Y506=1,COUNTIFS($N$2:$N$601,N506,$Y$2:$Y$601,1),0)</f>
        <v>0</v>
      </c>
      <c r="AE506" s="43" t="str">
        <f aca="false">IF(Y506&lt;&gt;1,"",IF(AND(AC506&gt;=설정!$C$7,ISNUMBER(MATCH(Z506,피어커브!$A:$A,0))),Z506,IF(AND(AD506&gt;=설정!$C$7,ISNUMBER(MATCH(N506&amp;"|전체",피어커브!$A:$A,0))),N506&amp;"|전체","전체|전체")))</f>
        <v/>
      </c>
      <c r="AF506" s="93" t="str">
        <f aca="false">IF(AE506="","",INDEX(피어커브!$K:$K,MATCH(AE506,피어커브!$A:$A,0)))</f>
        <v/>
      </c>
      <c r="AG506" s="93" t="str">
        <f aca="false">IF(AE506="","",INDEX(피어커브!$J:$J,MATCH(AE506,피어커브!$A:$A,0)))</f>
        <v/>
      </c>
      <c r="AH506" s="93" t="str">
        <f aca="false">IF(AE506="","",INDEX(피어커브!$L:$L,MATCH(AE506,피어커브!$A:$A,0)))</f>
        <v/>
      </c>
      <c r="AI506" s="93" t="str">
        <f aca="false">IF(AE506="","",AF506+AG506*AA506)</f>
        <v/>
      </c>
      <c r="AJ506" s="96" t="str">
        <f aca="false">IF(AE506="","",E506-AI506)</f>
        <v/>
      </c>
      <c r="AK506" s="95" t="str">
        <f aca="false">IF(AE506="","",IF(ISNUMBER(AH506),IF(AH506&gt;0,AJ506/AH506,""),""))</f>
        <v/>
      </c>
      <c r="AL506" s="43" t="str">
        <f aca="false">IF(AK506="","-",IF(AK506&gt;=설정!$C$6,"Cheap",IF(AK506&lt;=-설정!$C$6,"Rich","Fair")))</f>
        <v>-</v>
      </c>
      <c r="AM506" s="96" t="str">
        <f aca="false">IF(AE506="","",AJ506-AVERAGEIFS($AJ$2:$AJ$601,$B$2:$B$601,B506,$Y$2:$Y$601,1))</f>
        <v/>
      </c>
      <c r="AN506" s="93" t="n">
        <f aca="false">IF(AE506="",0,IF(K506&gt;1+설정!$C$8,AG506*(AA506-LN(K506-1)),0))</f>
        <v>0</v>
      </c>
      <c r="AO506" s="99" t="n">
        <f aca="false">IF($A506="",0,SUMIFS(보유분석!$AA$2:$AA$801,보유분석!$AB$2:$AB$801,ROW(),보유분석!$AC$2:$AC$801,1))</f>
        <v>0</v>
      </c>
      <c r="AP506" s="43" t="str">
        <f aca="false">IF($A506="","",TRIM(IF(R506=1,"FRN ","")&amp;IF(IFERROR(VLOOKUP(M506,설정!$A$15:$D$47,4,0),0)&gt;=10,IF(IFERROR(VLOOKUP(M506,설정!$A$15:$D$47,4,0),0)&lt;99,"BBB0미만 ",""),"")&amp;IF(OR(M506="",M506="NR"),"등급미입력 ","")&amp;IF(C506&lt;&gt;"USD","비USD ","")))</f>
        <v/>
      </c>
      <c r="AQ506" s="90" t="n">
        <f aca="false">IF(AND(Y506=1,AL506="Cheap"),IF(AND(ISERROR(SEARCH("FRN",AP506)),ISERROR(SEARCH("BBB0미만",AP506))),AK506+ROW()/1000000000,-999),-999)</f>
        <v>-999</v>
      </c>
      <c r="AR506" s="92" t="str">
        <f aca="false">IF(AND(ISNUMBER(D506),ISNUMBER(K506)),D506+AN506*MAX(K506-1,0)/100,"")</f>
        <v/>
      </c>
      <c r="AS506" s="93" t="str">
        <f aca="false">IF(AND(ISNUMBER(E506),ISNUMBER(K506)),IF(K506&gt;0,(E506+AN506*MAX(K506-1,0))/K506,""),"")</f>
        <v/>
      </c>
      <c r="AT506" s="90" t="n">
        <f aca="false">IFERROR(IF(AND(Y506=1,ROW()&lt;&gt;스왑분석!$C$12+1,ABS(K506-INDEX($K$2:$K$601,스왑분석!$C$12))&lt;=스왑분석!$C$5,ISERROR(SEARCH("FRN",AP506)),ISERROR(SEARCH("BBB0미만",AP506))),IF(AND(OR(스왑분석!$C$6="N",L506=INDEX($L$2:$L$601,스왑분석!$C$12)),OR(스왑분석!$C$7="N",N506=INDEX($N$2:$N$601,스왑분석!$C$12)),OR(스왑분석!$C$8="N",AO506=0),E506-INDEX($E$2:$E$601,스왑분석!$C$12)&gt;=스왑분석!$C$9),E506-INDEX($E$2:$E$601,스왑분석!$C$12)+ROW()/1000000000,-999),-999),-999)</f>
        <v>-999</v>
      </c>
      <c r="AU506" s="90" t="n">
        <f aca="false">IF(AND(Y506=1,AO506&gt;0,AL506="Rich"),-AK506+ROW()/1000000000,-999)</f>
        <v>-999</v>
      </c>
    </row>
    <row r="507" customFormat="false" ht="15" hidden="false" customHeight="false" outlineLevel="0" collapsed="false">
      <c r="A507" s="83" t="n">
        <f aca="false">IFERROR(IF(INDEX(원자료_시장!$A$1:$BZ$1000,설정!$L$6+ROW()-1,설정!$L$24)&amp;""="0","",INDEX(원자료_시장!$A$1:$BZ$1000,설정!$L$6+ROW()-1,설정!$L$24)),"")</f>
        <v>0</v>
      </c>
      <c r="B507" s="83" t="n">
        <f aca="false">IFERROR(IF(INDEX(원자료_시장!$A$1:$BZ$1000,설정!$L$6+ROW()-1,설정!$L$37)&amp;""="0","",INDEX(원자료_시장!$A$1:$BZ$1000,설정!$L$6+ROW()-1,설정!$L$37)),"")</f>
        <v>0</v>
      </c>
      <c r="C507" s="83" t="n">
        <f aca="false">IFERROR(IF(INDEX(원자료_시장!$A$1:$BZ$1000,설정!$L$6+ROW()-1,설정!$L$25)&amp;""="0","",INDEX(원자료_시장!$A$1:$BZ$1000,설정!$L$6+ROW()-1,설정!$L$25)),"")</f>
        <v>0</v>
      </c>
      <c r="D507" s="85" t="str">
        <f aca="false">IFERROR(IF(ISNUMBER(INDEX(원자료_시장!$A$1:$BZ$1000,설정!$L$6+ROW()-1,설정!$L$26)),INDEX(원자료_시장!$A$1:$BZ$1000,설정!$L$6+ROW()-1,설정!$L$26),""),"")</f>
        <v/>
      </c>
      <c r="E507" s="97" t="str">
        <f aca="false">IFERROR(IF(ISNUMBER(INDEX(원자료_시장!$A$1:$BZ$1000,설정!$L$6+ROW()-1,설정!$L$27)),INDEX(원자료_시장!$A$1:$BZ$1000,설정!$L$6+ROW()-1,설정!$L$27),""),"")</f>
        <v/>
      </c>
      <c r="F507" s="97" t="str">
        <f aca="false">IFERROR(IF(ISNUMBER(INDEX(원자료_시장!$A$1:$BZ$1000,설정!$L$6+ROW()-1,설정!$L$28)),INDEX(원자료_시장!$A$1:$BZ$1000,설정!$L$6+ROW()-1,설정!$L$28),""),"")</f>
        <v/>
      </c>
      <c r="G507" s="97" t="str">
        <f aca="false">IFERROR(IF(ISNUMBER(INDEX(원자료_시장!$A$1:$BZ$1000,설정!$L$6+ROW()-1,설정!$L$29)),INDEX(원자료_시장!$A$1:$BZ$1000,설정!$L$6+ROW()-1,설정!$L$29),""),"")</f>
        <v/>
      </c>
      <c r="H507" s="97" t="str">
        <f aca="false">IFERROR(IF(ISNUMBER(INDEX(원자료_시장!$A$1:$BZ$1000,설정!$L$6+ROW()-1,설정!$L$30)),INDEX(원자료_시장!$A$1:$BZ$1000,설정!$L$6+ROW()-1,설정!$L$30),""),"")</f>
        <v/>
      </c>
      <c r="I507" s="97" t="str">
        <f aca="false">IFERROR(IF(ISNUMBER(INDEX(원자료_시장!$A$1:$BZ$1000,설정!$L$6+ROW()-1,설정!$L$31)),INDEX(원자료_시장!$A$1:$BZ$1000,설정!$L$6+ROW()-1,설정!$L$31),""),"")</f>
        <v/>
      </c>
      <c r="J507" s="97" t="str">
        <f aca="false">IFERROR(IF(ISNUMBER(INDEX(원자료_시장!$A$1:$BZ$1000,설정!$L$6+ROW()-1,설정!$L$32)),INDEX(원자료_시장!$A$1:$BZ$1000,설정!$L$6+ROW()-1,설정!$L$32),""),"")</f>
        <v/>
      </c>
      <c r="K507" s="85" t="str">
        <f aca="false">IFERROR(IF(ISNUMBER(INDEX(원자료_시장!$A$1:$BZ$1000,설정!$L$6+ROW()-1,설정!$L$33)),INDEX(원자료_시장!$A$1:$BZ$1000,설정!$L$6+ROW()-1,설정!$L$33),""),"")</f>
        <v/>
      </c>
      <c r="L507" s="83" t="n">
        <f aca="false">IFERROR(IF(INDEX(원자료_시장!$A$1:$BZ$1000,설정!$L$6+ROW()-1,설정!$L$34)&amp;""="0","",INDEX(원자료_시장!$A$1:$BZ$1000,설정!$L$6+ROW()-1,설정!$L$34)),"")</f>
        <v>0</v>
      </c>
      <c r="M507" s="83" t="n">
        <f aca="false">IFERROR(IF(INDEX(원자료_시장!$A$1:$BZ$1000,설정!$L$6+ROW()-1,설정!$L$35)&amp;""="0","",INDEX(원자료_시장!$A$1:$BZ$1000,설정!$L$6+ROW()-1,설정!$L$35)),"")</f>
        <v>0</v>
      </c>
      <c r="N507" s="83" t="n">
        <f aca="false">IFERROR(IF(INDEX(원자료_시장!$A$1:$BZ$1000,설정!$L$6+ROW()-1,설정!$L$36)&amp;""="0","",INDEX(원자료_시장!$A$1:$BZ$1000,설정!$L$6+ROW()-1,설정!$L$36)),"")</f>
        <v>0</v>
      </c>
      <c r="O507" s="43" t="str">
        <f aca="false">IF($A507="","",UPPER(LEFT($A507,FIND(" ",$A507&amp;" ")-1)))</f>
        <v/>
      </c>
      <c r="P507" s="43" t="str">
        <f aca="false">IF($A507="","",TRIM(RIGHT(SUBSTITUTE(TRIM($A507)," ",REPT(" ",30)),30)))</f>
        <v/>
      </c>
      <c r="Q507" s="98" t="str">
        <f aca="false">IF($A507="","",IFERROR(DATE(IF(LEN(P507)=8,2000+VALUE(RIGHT(P507,2)),VALUE(RIGHT(P507,4))),VALUE(LEFT(P507,2)),VALUE(MID(P507,4,2))),""))</f>
        <v/>
      </c>
      <c r="R507" s="89" t="n">
        <f aca="false">IF($A507="",0,IF(ISNUMBER(SEARCH("Float",$A507)),1,0))</f>
        <v>0</v>
      </c>
      <c r="S507" s="43" t="str">
        <f aca="false">IF($A507="","",TRIM(MID($A507,LEN(O507)+2,LEN($A507)-LEN(O507)-LEN(P507)-1)))</f>
        <v/>
      </c>
      <c r="T507" s="92" t="str">
        <f aca="false">IF(OR($A507="",R507=1),"",IFERROR(IF(ISNUMBER(FIND("/",S507)),IF(ISNUMBER(FIND(" ",S507)),VALUE(LEFT(S507,FIND(" ",S507)-1))+VALUE(MID(S507,FIND(" ",S507)+1,FIND("/",S507)-FIND(" ",S507)-1))/VALUE(MID(S507,FIND("/",S507)+1,9)),VALUE(LEFT(S507,FIND("/",S507)-1))/VALUE(MID(S507,FIND("/",S507)+1,9))),VALUE(S507)),""))</f>
        <v/>
      </c>
      <c r="U507" s="43" t="str">
        <f aca="false">IF(OR($A507="",NOT(ISNUMBER(Q507))),"",TEXT(Q507,"yyyymmdd")&amp;"|"&amp;IF(R507=1,"F",TEXT(T507,"0.000")))</f>
        <v/>
      </c>
      <c r="V507" s="43" t="str">
        <f aca="false">IF(U507="","",O507&amp;"|"&amp;U507)</f>
        <v/>
      </c>
      <c r="W507" s="43" t="str">
        <f aca="false">IF($A507="","",IFERROR(IF(VLOOKUP(O507,매핑!$A$4:$E$92,3,0)="","미분류",VLOOKUP(O507,매핑!$A$4:$E$92,3,0)),"미분류"))</f>
        <v/>
      </c>
      <c r="X507" s="89" t="n">
        <f aca="false">IF($A507="",0,IF(O507="T",1,0))</f>
        <v>0</v>
      </c>
      <c r="Y507" s="89" t="n">
        <f aca="false">IF($A507="",0,IF(AND(C507="USD",X507=0,ISNUMBER(E507),ISNUMBER(K507)),IF(K507&gt;=설정!$C$8,1,0),0))</f>
        <v>0</v>
      </c>
      <c r="Z507" s="43" t="str">
        <f aca="false">IF($A507="","",N507&amp;"|"&amp;L507)</f>
        <v/>
      </c>
      <c r="AA507" s="92" t="n">
        <f aca="false">IF(Y507=1,LN(K507),0)</f>
        <v>0</v>
      </c>
      <c r="AB507" s="93" t="n">
        <f aca="false">IF(Y507=1,E507,0)</f>
        <v>0</v>
      </c>
      <c r="AC507" s="89" t="n">
        <f aca="false">IF(Y507=1,COUNTIFS($Z$2:$Z$601,Z507,$Y$2:$Y$601,1),0)</f>
        <v>0</v>
      </c>
      <c r="AD507" s="89" t="n">
        <f aca="false">IF(Y507=1,COUNTIFS($N$2:$N$601,N507,$Y$2:$Y$601,1),0)</f>
        <v>0</v>
      </c>
      <c r="AE507" s="43" t="str">
        <f aca="false">IF(Y507&lt;&gt;1,"",IF(AND(AC507&gt;=설정!$C$7,ISNUMBER(MATCH(Z507,피어커브!$A:$A,0))),Z507,IF(AND(AD507&gt;=설정!$C$7,ISNUMBER(MATCH(N507&amp;"|전체",피어커브!$A:$A,0))),N507&amp;"|전체","전체|전체")))</f>
        <v/>
      </c>
      <c r="AF507" s="93" t="str">
        <f aca="false">IF(AE507="","",INDEX(피어커브!$K:$K,MATCH(AE507,피어커브!$A:$A,0)))</f>
        <v/>
      </c>
      <c r="AG507" s="93" t="str">
        <f aca="false">IF(AE507="","",INDEX(피어커브!$J:$J,MATCH(AE507,피어커브!$A:$A,0)))</f>
        <v/>
      </c>
      <c r="AH507" s="93" t="str">
        <f aca="false">IF(AE507="","",INDEX(피어커브!$L:$L,MATCH(AE507,피어커브!$A:$A,0)))</f>
        <v/>
      </c>
      <c r="AI507" s="93" t="str">
        <f aca="false">IF(AE507="","",AF507+AG507*AA507)</f>
        <v/>
      </c>
      <c r="AJ507" s="96" t="str">
        <f aca="false">IF(AE507="","",E507-AI507)</f>
        <v/>
      </c>
      <c r="AK507" s="95" t="str">
        <f aca="false">IF(AE507="","",IF(ISNUMBER(AH507),IF(AH507&gt;0,AJ507/AH507,""),""))</f>
        <v/>
      </c>
      <c r="AL507" s="43" t="str">
        <f aca="false">IF(AK507="","-",IF(AK507&gt;=설정!$C$6,"Cheap",IF(AK507&lt;=-설정!$C$6,"Rich","Fair")))</f>
        <v>-</v>
      </c>
      <c r="AM507" s="96" t="str">
        <f aca="false">IF(AE507="","",AJ507-AVERAGEIFS($AJ$2:$AJ$601,$B$2:$B$601,B507,$Y$2:$Y$601,1))</f>
        <v/>
      </c>
      <c r="AN507" s="93" t="n">
        <f aca="false">IF(AE507="",0,IF(K507&gt;1+설정!$C$8,AG507*(AA507-LN(K507-1)),0))</f>
        <v>0</v>
      </c>
      <c r="AO507" s="99" t="n">
        <f aca="false">IF($A507="",0,SUMIFS(보유분석!$AA$2:$AA$801,보유분석!$AB$2:$AB$801,ROW(),보유분석!$AC$2:$AC$801,1))</f>
        <v>0</v>
      </c>
      <c r="AP507" s="43" t="str">
        <f aca="false">IF($A507="","",TRIM(IF(R507=1,"FRN ","")&amp;IF(IFERROR(VLOOKUP(M507,설정!$A$15:$D$47,4,0),0)&gt;=10,IF(IFERROR(VLOOKUP(M507,설정!$A$15:$D$47,4,0),0)&lt;99,"BBB0미만 ",""),"")&amp;IF(OR(M507="",M507="NR"),"등급미입력 ","")&amp;IF(C507&lt;&gt;"USD","비USD ","")))</f>
        <v/>
      </c>
      <c r="AQ507" s="90" t="n">
        <f aca="false">IF(AND(Y507=1,AL507="Cheap"),IF(AND(ISERROR(SEARCH("FRN",AP507)),ISERROR(SEARCH("BBB0미만",AP507))),AK507+ROW()/1000000000,-999),-999)</f>
        <v>-999</v>
      </c>
      <c r="AR507" s="92" t="str">
        <f aca="false">IF(AND(ISNUMBER(D507),ISNUMBER(K507)),D507+AN507*MAX(K507-1,0)/100,"")</f>
        <v/>
      </c>
      <c r="AS507" s="93" t="str">
        <f aca="false">IF(AND(ISNUMBER(E507),ISNUMBER(K507)),IF(K507&gt;0,(E507+AN507*MAX(K507-1,0))/K507,""),"")</f>
        <v/>
      </c>
      <c r="AT507" s="90" t="n">
        <f aca="false">IFERROR(IF(AND(Y507=1,ROW()&lt;&gt;스왑분석!$C$12+1,ABS(K507-INDEX($K$2:$K$601,스왑분석!$C$12))&lt;=스왑분석!$C$5,ISERROR(SEARCH("FRN",AP507)),ISERROR(SEARCH("BBB0미만",AP507))),IF(AND(OR(스왑분석!$C$6="N",L507=INDEX($L$2:$L$601,스왑분석!$C$12)),OR(스왑분석!$C$7="N",N507=INDEX($N$2:$N$601,스왑분석!$C$12)),OR(스왑분석!$C$8="N",AO507=0),E507-INDEX($E$2:$E$601,스왑분석!$C$12)&gt;=스왑분석!$C$9),E507-INDEX($E$2:$E$601,스왑분석!$C$12)+ROW()/1000000000,-999),-999),-999)</f>
        <v>-999</v>
      </c>
      <c r="AU507" s="90" t="n">
        <f aca="false">IF(AND(Y507=1,AO507&gt;0,AL507="Rich"),-AK507+ROW()/1000000000,-999)</f>
        <v>-999</v>
      </c>
    </row>
    <row r="508" customFormat="false" ht="15" hidden="false" customHeight="false" outlineLevel="0" collapsed="false">
      <c r="A508" s="83" t="n">
        <f aca="false">IFERROR(IF(INDEX(원자료_시장!$A$1:$BZ$1000,설정!$L$6+ROW()-1,설정!$L$24)&amp;""="0","",INDEX(원자료_시장!$A$1:$BZ$1000,설정!$L$6+ROW()-1,설정!$L$24)),"")</f>
        <v>0</v>
      </c>
      <c r="B508" s="83" t="n">
        <f aca="false">IFERROR(IF(INDEX(원자료_시장!$A$1:$BZ$1000,설정!$L$6+ROW()-1,설정!$L$37)&amp;""="0","",INDEX(원자료_시장!$A$1:$BZ$1000,설정!$L$6+ROW()-1,설정!$L$37)),"")</f>
        <v>0</v>
      </c>
      <c r="C508" s="83" t="n">
        <f aca="false">IFERROR(IF(INDEX(원자료_시장!$A$1:$BZ$1000,설정!$L$6+ROW()-1,설정!$L$25)&amp;""="0","",INDEX(원자료_시장!$A$1:$BZ$1000,설정!$L$6+ROW()-1,설정!$L$25)),"")</f>
        <v>0</v>
      </c>
      <c r="D508" s="85" t="str">
        <f aca="false">IFERROR(IF(ISNUMBER(INDEX(원자료_시장!$A$1:$BZ$1000,설정!$L$6+ROW()-1,설정!$L$26)),INDEX(원자료_시장!$A$1:$BZ$1000,설정!$L$6+ROW()-1,설정!$L$26),""),"")</f>
        <v/>
      </c>
      <c r="E508" s="97" t="str">
        <f aca="false">IFERROR(IF(ISNUMBER(INDEX(원자료_시장!$A$1:$BZ$1000,설정!$L$6+ROW()-1,설정!$L$27)),INDEX(원자료_시장!$A$1:$BZ$1000,설정!$L$6+ROW()-1,설정!$L$27),""),"")</f>
        <v/>
      </c>
      <c r="F508" s="97" t="str">
        <f aca="false">IFERROR(IF(ISNUMBER(INDEX(원자료_시장!$A$1:$BZ$1000,설정!$L$6+ROW()-1,설정!$L$28)),INDEX(원자료_시장!$A$1:$BZ$1000,설정!$L$6+ROW()-1,설정!$L$28),""),"")</f>
        <v/>
      </c>
      <c r="G508" s="97" t="str">
        <f aca="false">IFERROR(IF(ISNUMBER(INDEX(원자료_시장!$A$1:$BZ$1000,설정!$L$6+ROW()-1,설정!$L$29)),INDEX(원자료_시장!$A$1:$BZ$1000,설정!$L$6+ROW()-1,설정!$L$29),""),"")</f>
        <v/>
      </c>
      <c r="H508" s="97" t="str">
        <f aca="false">IFERROR(IF(ISNUMBER(INDEX(원자료_시장!$A$1:$BZ$1000,설정!$L$6+ROW()-1,설정!$L$30)),INDEX(원자료_시장!$A$1:$BZ$1000,설정!$L$6+ROW()-1,설정!$L$30),""),"")</f>
        <v/>
      </c>
      <c r="I508" s="97" t="str">
        <f aca="false">IFERROR(IF(ISNUMBER(INDEX(원자료_시장!$A$1:$BZ$1000,설정!$L$6+ROW()-1,설정!$L$31)),INDEX(원자료_시장!$A$1:$BZ$1000,설정!$L$6+ROW()-1,설정!$L$31),""),"")</f>
        <v/>
      </c>
      <c r="J508" s="97" t="str">
        <f aca="false">IFERROR(IF(ISNUMBER(INDEX(원자료_시장!$A$1:$BZ$1000,설정!$L$6+ROW()-1,설정!$L$32)),INDEX(원자료_시장!$A$1:$BZ$1000,설정!$L$6+ROW()-1,설정!$L$32),""),"")</f>
        <v/>
      </c>
      <c r="K508" s="85" t="str">
        <f aca="false">IFERROR(IF(ISNUMBER(INDEX(원자료_시장!$A$1:$BZ$1000,설정!$L$6+ROW()-1,설정!$L$33)),INDEX(원자료_시장!$A$1:$BZ$1000,설정!$L$6+ROW()-1,설정!$L$33),""),"")</f>
        <v/>
      </c>
      <c r="L508" s="83" t="n">
        <f aca="false">IFERROR(IF(INDEX(원자료_시장!$A$1:$BZ$1000,설정!$L$6+ROW()-1,설정!$L$34)&amp;""="0","",INDEX(원자료_시장!$A$1:$BZ$1000,설정!$L$6+ROW()-1,설정!$L$34)),"")</f>
        <v>0</v>
      </c>
      <c r="M508" s="83" t="n">
        <f aca="false">IFERROR(IF(INDEX(원자료_시장!$A$1:$BZ$1000,설정!$L$6+ROW()-1,설정!$L$35)&amp;""="0","",INDEX(원자료_시장!$A$1:$BZ$1000,설정!$L$6+ROW()-1,설정!$L$35)),"")</f>
        <v>0</v>
      </c>
      <c r="N508" s="83" t="n">
        <f aca="false">IFERROR(IF(INDEX(원자료_시장!$A$1:$BZ$1000,설정!$L$6+ROW()-1,설정!$L$36)&amp;""="0","",INDEX(원자료_시장!$A$1:$BZ$1000,설정!$L$6+ROW()-1,설정!$L$36)),"")</f>
        <v>0</v>
      </c>
      <c r="O508" s="43" t="str">
        <f aca="false">IF($A508="","",UPPER(LEFT($A508,FIND(" ",$A508&amp;" ")-1)))</f>
        <v/>
      </c>
      <c r="P508" s="43" t="str">
        <f aca="false">IF($A508="","",TRIM(RIGHT(SUBSTITUTE(TRIM($A508)," ",REPT(" ",30)),30)))</f>
        <v/>
      </c>
      <c r="Q508" s="98" t="str">
        <f aca="false">IF($A508="","",IFERROR(DATE(IF(LEN(P508)=8,2000+VALUE(RIGHT(P508,2)),VALUE(RIGHT(P508,4))),VALUE(LEFT(P508,2)),VALUE(MID(P508,4,2))),""))</f>
        <v/>
      </c>
      <c r="R508" s="89" t="n">
        <f aca="false">IF($A508="",0,IF(ISNUMBER(SEARCH("Float",$A508)),1,0))</f>
        <v>0</v>
      </c>
      <c r="S508" s="43" t="str">
        <f aca="false">IF($A508="","",TRIM(MID($A508,LEN(O508)+2,LEN($A508)-LEN(O508)-LEN(P508)-1)))</f>
        <v/>
      </c>
      <c r="T508" s="92" t="str">
        <f aca="false">IF(OR($A508="",R508=1),"",IFERROR(IF(ISNUMBER(FIND("/",S508)),IF(ISNUMBER(FIND(" ",S508)),VALUE(LEFT(S508,FIND(" ",S508)-1))+VALUE(MID(S508,FIND(" ",S508)+1,FIND("/",S508)-FIND(" ",S508)-1))/VALUE(MID(S508,FIND("/",S508)+1,9)),VALUE(LEFT(S508,FIND("/",S508)-1))/VALUE(MID(S508,FIND("/",S508)+1,9))),VALUE(S508)),""))</f>
        <v/>
      </c>
      <c r="U508" s="43" t="str">
        <f aca="false">IF(OR($A508="",NOT(ISNUMBER(Q508))),"",TEXT(Q508,"yyyymmdd")&amp;"|"&amp;IF(R508=1,"F",TEXT(T508,"0.000")))</f>
        <v/>
      </c>
      <c r="V508" s="43" t="str">
        <f aca="false">IF(U508="","",O508&amp;"|"&amp;U508)</f>
        <v/>
      </c>
      <c r="W508" s="43" t="str">
        <f aca="false">IF($A508="","",IFERROR(IF(VLOOKUP(O508,매핑!$A$4:$E$92,3,0)="","미분류",VLOOKUP(O508,매핑!$A$4:$E$92,3,0)),"미분류"))</f>
        <v/>
      </c>
      <c r="X508" s="89" t="n">
        <f aca="false">IF($A508="",0,IF(O508="T",1,0))</f>
        <v>0</v>
      </c>
      <c r="Y508" s="89" t="n">
        <f aca="false">IF($A508="",0,IF(AND(C508="USD",X508=0,ISNUMBER(E508),ISNUMBER(K508)),IF(K508&gt;=설정!$C$8,1,0),0))</f>
        <v>0</v>
      </c>
      <c r="Z508" s="43" t="str">
        <f aca="false">IF($A508="","",N508&amp;"|"&amp;L508)</f>
        <v/>
      </c>
      <c r="AA508" s="92" t="n">
        <f aca="false">IF(Y508=1,LN(K508),0)</f>
        <v>0</v>
      </c>
      <c r="AB508" s="93" t="n">
        <f aca="false">IF(Y508=1,E508,0)</f>
        <v>0</v>
      </c>
      <c r="AC508" s="89" t="n">
        <f aca="false">IF(Y508=1,COUNTIFS($Z$2:$Z$601,Z508,$Y$2:$Y$601,1),0)</f>
        <v>0</v>
      </c>
      <c r="AD508" s="89" t="n">
        <f aca="false">IF(Y508=1,COUNTIFS($N$2:$N$601,N508,$Y$2:$Y$601,1),0)</f>
        <v>0</v>
      </c>
      <c r="AE508" s="43" t="str">
        <f aca="false">IF(Y508&lt;&gt;1,"",IF(AND(AC508&gt;=설정!$C$7,ISNUMBER(MATCH(Z508,피어커브!$A:$A,0))),Z508,IF(AND(AD508&gt;=설정!$C$7,ISNUMBER(MATCH(N508&amp;"|전체",피어커브!$A:$A,0))),N508&amp;"|전체","전체|전체")))</f>
        <v/>
      </c>
      <c r="AF508" s="93" t="str">
        <f aca="false">IF(AE508="","",INDEX(피어커브!$K:$K,MATCH(AE508,피어커브!$A:$A,0)))</f>
        <v/>
      </c>
      <c r="AG508" s="93" t="str">
        <f aca="false">IF(AE508="","",INDEX(피어커브!$J:$J,MATCH(AE508,피어커브!$A:$A,0)))</f>
        <v/>
      </c>
      <c r="AH508" s="93" t="str">
        <f aca="false">IF(AE508="","",INDEX(피어커브!$L:$L,MATCH(AE508,피어커브!$A:$A,0)))</f>
        <v/>
      </c>
      <c r="AI508" s="93" t="str">
        <f aca="false">IF(AE508="","",AF508+AG508*AA508)</f>
        <v/>
      </c>
      <c r="AJ508" s="96" t="str">
        <f aca="false">IF(AE508="","",E508-AI508)</f>
        <v/>
      </c>
      <c r="AK508" s="95" t="str">
        <f aca="false">IF(AE508="","",IF(ISNUMBER(AH508),IF(AH508&gt;0,AJ508/AH508,""),""))</f>
        <v/>
      </c>
      <c r="AL508" s="43" t="str">
        <f aca="false">IF(AK508="","-",IF(AK508&gt;=설정!$C$6,"Cheap",IF(AK508&lt;=-설정!$C$6,"Rich","Fair")))</f>
        <v>-</v>
      </c>
      <c r="AM508" s="96" t="str">
        <f aca="false">IF(AE508="","",AJ508-AVERAGEIFS($AJ$2:$AJ$601,$B$2:$B$601,B508,$Y$2:$Y$601,1))</f>
        <v/>
      </c>
      <c r="AN508" s="93" t="n">
        <f aca="false">IF(AE508="",0,IF(K508&gt;1+설정!$C$8,AG508*(AA508-LN(K508-1)),0))</f>
        <v>0</v>
      </c>
      <c r="AO508" s="99" t="n">
        <f aca="false">IF($A508="",0,SUMIFS(보유분석!$AA$2:$AA$801,보유분석!$AB$2:$AB$801,ROW(),보유분석!$AC$2:$AC$801,1))</f>
        <v>0</v>
      </c>
      <c r="AP508" s="43" t="str">
        <f aca="false">IF($A508="","",TRIM(IF(R508=1,"FRN ","")&amp;IF(IFERROR(VLOOKUP(M508,설정!$A$15:$D$47,4,0),0)&gt;=10,IF(IFERROR(VLOOKUP(M508,설정!$A$15:$D$47,4,0),0)&lt;99,"BBB0미만 ",""),"")&amp;IF(OR(M508="",M508="NR"),"등급미입력 ","")&amp;IF(C508&lt;&gt;"USD","비USD ","")))</f>
        <v/>
      </c>
      <c r="AQ508" s="90" t="n">
        <f aca="false">IF(AND(Y508=1,AL508="Cheap"),IF(AND(ISERROR(SEARCH("FRN",AP508)),ISERROR(SEARCH("BBB0미만",AP508))),AK508+ROW()/1000000000,-999),-999)</f>
        <v>-999</v>
      </c>
      <c r="AR508" s="92" t="str">
        <f aca="false">IF(AND(ISNUMBER(D508),ISNUMBER(K508)),D508+AN508*MAX(K508-1,0)/100,"")</f>
        <v/>
      </c>
      <c r="AS508" s="93" t="str">
        <f aca="false">IF(AND(ISNUMBER(E508),ISNUMBER(K508)),IF(K508&gt;0,(E508+AN508*MAX(K508-1,0))/K508,""),"")</f>
        <v/>
      </c>
      <c r="AT508" s="90" t="n">
        <f aca="false">IFERROR(IF(AND(Y508=1,ROW()&lt;&gt;스왑분석!$C$12+1,ABS(K508-INDEX($K$2:$K$601,스왑분석!$C$12))&lt;=스왑분석!$C$5,ISERROR(SEARCH("FRN",AP508)),ISERROR(SEARCH("BBB0미만",AP508))),IF(AND(OR(스왑분석!$C$6="N",L508=INDEX($L$2:$L$601,스왑분석!$C$12)),OR(스왑분석!$C$7="N",N508=INDEX($N$2:$N$601,스왑분석!$C$12)),OR(스왑분석!$C$8="N",AO508=0),E508-INDEX($E$2:$E$601,스왑분석!$C$12)&gt;=스왑분석!$C$9),E508-INDEX($E$2:$E$601,스왑분석!$C$12)+ROW()/1000000000,-999),-999),-999)</f>
        <v>-999</v>
      </c>
      <c r="AU508" s="90" t="n">
        <f aca="false">IF(AND(Y508=1,AO508&gt;0,AL508="Rich"),-AK508+ROW()/1000000000,-999)</f>
        <v>-999</v>
      </c>
    </row>
    <row r="509" customFormat="false" ht="15" hidden="false" customHeight="false" outlineLevel="0" collapsed="false">
      <c r="A509" s="83" t="n">
        <f aca="false">IFERROR(IF(INDEX(원자료_시장!$A$1:$BZ$1000,설정!$L$6+ROW()-1,설정!$L$24)&amp;""="0","",INDEX(원자료_시장!$A$1:$BZ$1000,설정!$L$6+ROW()-1,설정!$L$24)),"")</f>
        <v>0</v>
      </c>
      <c r="B509" s="83" t="n">
        <f aca="false">IFERROR(IF(INDEX(원자료_시장!$A$1:$BZ$1000,설정!$L$6+ROW()-1,설정!$L$37)&amp;""="0","",INDEX(원자료_시장!$A$1:$BZ$1000,설정!$L$6+ROW()-1,설정!$L$37)),"")</f>
        <v>0</v>
      </c>
      <c r="C509" s="83" t="n">
        <f aca="false">IFERROR(IF(INDEX(원자료_시장!$A$1:$BZ$1000,설정!$L$6+ROW()-1,설정!$L$25)&amp;""="0","",INDEX(원자료_시장!$A$1:$BZ$1000,설정!$L$6+ROW()-1,설정!$L$25)),"")</f>
        <v>0</v>
      </c>
      <c r="D509" s="85" t="str">
        <f aca="false">IFERROR(IF(ISNUMBER(INDEX(원자료_시장!$A$1:$BZ$1000,설정!$L$6+ROW()-1,설정!$L$26)),INDEX(원자료_시장!$A$1:$BZ$1000,설정!$L$6+ROW()-1,설정!$L$26),""),"")</f>
        <v/>
      </c>
      <c r="E509" s="97" t="str">
        <f aca="false">IFERROR(IF(ISNUMBER(INDEX(원자료_시장!$A$1:$BZ$1000,설정!$L$6+ROW()-1,설정!$L$27)),INDEX(원자료_시장!$A$1:$BZ$1000,설정!$L$6+ROW()-1,설정!$L$27),""),"")</f>
        <v/>
      </c>
      <c r="F509" s="97" t="str">
        <f aca="false">IFERROR(IF(ISNUMBER(INDEX(원자료_시장!$A$1:$BZ$1000,설정!$L$6+ROW()-1,설정!$L$28)),INDEX(원자료_시장!$A$1:$BZ$1000,설정!$L$6+ROW()-1,설정!$L$28),""),"")</f>
        <v/>
      </c>
      <c r="G509" s="97" t="str">
        <f aca="false">IFERROR(IF(ISNUMBER(INDEX(원자료_시장!$A$1:$BZ$1000,설정!$L$6+ROW()-1,설정!$L$29)),INDEX(원자료_시장!$A$1:$BZ$1000,설정!$L$6+ROW()-1,설정!$L$29),""),"")</f>
        <v/>
      </c>
      <c r="H509" s="97" t="str">
        <f aca="false">IFERROR(IF(ISNUMBER(INDEX(원자료_시장!$A$1:$BZ$1000,설정!$L$6+ROW()-1,설정!$L$30)),INDEX(원자료_시장!$A$1:$BZ$1000,설정!$L$6+ROW()-1,설정!$L$30),""),"")</f>
        <v/>
      </c>
      <c r="I509" s="97" t="str">
        <f aca="false">IFERROR(IF(ISNUMBER(INDEX(원자료_시장!$A$1:$BZ$1000,설정!$L$6+ROW()-1,설정!$L$31)),INDEX(원자료_시장!$A$1:$BZ$1000,설정!$L$6+ROW()-1,설정!$L$31),""),"")</f>
        <v/>
      </c>
      <c r="J509" s="97" t="str">
        <f aca="false">IFERROR(IF(ISNUMBER(INDEX(원자료_시장!$A$1:$BZ$1000,설정!$L$6+ROW()-1,설정!$L$32)),INDEX(원자료_시장!$A$1:$BZ$1000,설정!$L$6+ROW()-1,설정!$L$32),""),"")</f>
        <v/>
      </c>
      <c r="K509" s="85" t="str">
        <f aca="false">IFERROR(IF(ISNUMBER(INDEX(원자료_시장!$A$1:$BZ$1000,설정!$L$6+ROW()-1,설정!$L$33)),INDEX(원자료_시장!$A$1:$BZ$1000,설정!$L$6+ROW()-1,설정!$L$33),""),"")</f>
        <v/>
      </c>
      <c r="L509" s="83" t="n">
        <f aca="false">IFERROR(IF(INDEX(원자료_시장!$A$1:$BZ$1000,설정!$L$6+ROW()-1,설정!$L$34)&amp;""="0","",INDEX(원자료_시장!$A$1:$BZ$1000,설정!$L$6+ROW()-1,설정!$L$34)),"")</f>
        <v>0</v>
      </c>
      <c r="M509" s="83" t="n">
        <f aca="false">IFERROR(IF(INDEX(원자료_시장!$A$1:$BZ$1000,설정!$L$6+ROW()-1,설정!$L$35)&amp;""="0","",INDEX(원자료_시장!$A$1:$BZ$1000,설정!$L$6+ROW()-1,설정!$L$35)),"")</f>
        <v>0</v>
      </c>
      <c r="N509" s="83" t="n">
        <f aca="false">IFERROR(IF(INDEX(원자료_시장!$A$1:$BZ$1000,설정!$L$6+ROW()-1,설정!$L$36)&amp;""="0","",INDEX(원자료_시장!$A$1:$BZ$1000,설정!$L$6+ROW()-1,설정!$L$36)),"")</f>
        <v>0</v>
      </c>
      <c r="O509" s="43" t="str">
        <f aca="false">IF($A509="","",UPPER(LEFT($A509,FIND(" ",$A509&amp;" ")-1)))</f>
        <v/>
      </c>
      <c r="P509" s="43" t="str">
        <f aca="false">IF($A509="","",TRIM(RIGHT(SUBSTITUTE(TRIM($A509)," ",REPT(" ",30)),30)))</f>
        <v/>
      </c>
      <c r="Q509" s="98" t="str">
        <f aca="false">IF($A509="","",IFERROR(DATE(IF(LEN(P509)=8,2000+VALUE(RIGHT(P509,2)),VALUE(RIGHT(P509,4))),VALUE(LEFT(P509,2)),VALUE(MID(P509,4,2))),""))</f>
        <v/>
      </c>
      <c r="R509" s="89" t="n">
        <f aca="false">IF($A509="",0,IF(ISNUMBER(SEARCH("Float",$A509)),1,0))</f>
        <v>0</v>
      </c>
      <c r="S509" s="43" t="str">
        <f aca="false">IF($A509="","",TRIM(MID($A509,LEN(O509)+2,LEN($A509)-LEN(O509)-LEN(P509)-1)))</f>
        <v/>
      </c>
      <c r="T509" s="92" t="str">
        <f aca="false">IF(OR($A509="",R509=1),"",IFERROR(IF(ISNUMBER(FIND("/",S509)),IF(ISNUMBER(FIND(" ",S509)),VALUE(LEFT(S509,FIND(" ",S509)-1))+VALUE(MID(S509,FIND(" ",S509)+1,FIND("/",S509)-FIND(" ",S509)-1))/VALUE(MID(S509,FIND("/",S509)+1,9)),VALUE(LEFT(S509,FIND("/",S509)-1))/VALUE(MID(S509,FIND("/",S509)+1,9))),VALUE(S509)),""))</f>
        <v/>
      </c>
      <c r="U509" s="43" t="str">
        <f aca="false">IF(OR($A509="",NOT(ISNUMBER(Q509))),"",TEXT(Q509,"yyyymmdd")&amp;"|"&amp;IF(R509=1,"F",TEXT(T509,"0.000")))</f>
        <v/>
      </c>
      <c r="V509" s="43" t="str">
        <f aca="false">IF(U509="","",O509&amp;"|"&amp;U509)</f>
        <v/>
      </c>
      <c r="W509" s="43" t="str">
        <f aca="false">IF($A509="","",IFERROR(IF(VLOOKUP(O509,매핑!$A$4:$E$92,3,0)="","미분류",VLOOKUP(O509,매핑!$A$4:$E$92,3,0)),"미분류"))</f>
        <v/>
      </c>
      <c r="X509" s="89" t="n">
        <f aca="false">IF($A509="",0,IF(O509="T",1,0))</f>
        <v>0</v>
      </c>
      <c r="Y509" s="89" t="n">
        <f aca="false">IF($A509="",0,IF(AND(C509="USD",X509=0,ISNUMBER(E509),ISNUMBER(K509)),IF(K509&gt;=설정!$C$8,1,0),0))</f>
        <v>0</v>
      </c>
      <c r="Z509" s="43" t="str">
        <f aca="false">IF($A509="","",N509&amp;"|"&amp;L509)</f>
        <v/>
      </c>
      <c r="AA509" s="92" t="n">
        <f aca="false">IF(Y509=1,LN(K509),0)</f>
        <v>0</v>
      </c>
      <c r="AB509" s="93" t="n">
        <f aca="false">IF(Y509=1,E509,0)</f>
        <v>0</v>
      </c>
      <c r="AC509" s="89" t="n">
        <f aca="false">IF(Y509=1,COUNTIFS($Z$2:$Z$601,Z509,$Y$2:$Y$601,1),0)</f>
        <v>0</v>
      </c>
      <c r="AD509" s="89" t="n">
        <f aca="false">IF(Y509=1,COUNTIFS($N$2:$N$601,N509,$Y$2:$Y$601,1),0)</f>
        <v>0</v>
      </c>
      <c r="AE509" s="43" t="str">
        <f aca="false">IF(Y509&lt;&gt;1,"",IF(AND(AC509&gt;=설정!$C$7,ISNUMBER(MATCH(Z509,피어커브!$A:$A,0))),Z509,IF(AND(AD509&gt;=설정!$C$7,ISNUMBER(MATCH(N509&amp;"|전체",피어커브!$A:$A,0))),N509&amp;"|전체","전체|전체")))</f>
        <v/>
      </c>
      <c r="AF509" s="93" t="str">
        <f aca="false">IF(AE509="","",INDEX(피어커브!$K:$K,MATCH(AE509,피어커브!$A:$A,0)))</f>
        <v/>
      </c>
      <c r="AG509" s="93" t="str">
        <f aca="false">IF(AE509="","",INDEX(피어커브!$J:$J,MATCH(AE509,피어커브!$A:$A,0)))</f>
        <v/>
      </c>
      <c r="AH509" s="93" t="str">
        <f aca="false">IF(AE509="","",INDEX(피어커브!$L:$L,MATCH(AE509,피어커브!$A:$A,0)))</f>
        <v/>
      </c>
      <c r="AI509" s="93" t="str">
        <f aca="false">IF(AE509="","",AF509+AG509*AA509)</f>
        <v/>
      </c>
      <c r="AJ509" s="96" t="str">
        <f aca="false">IF(AE509="","",E509-AI509)</f>
        <v/>
      </c>
      <c r="AK509" s="95" t="str">
        <f aca="false">IF(AE509="","",IF(ISNUMBER(AH509),IF(AH509&gt;0,AJ509/AH509,""),""))</f>
        <v/>
      </c>
      <c r="AL509" s="43" t="str">
        <f aca="false">IF(AK509="","-",IF(AK509&gt;=설정!$C$6,"Cheap",IF(AK509&lt;=-설정!$C$6,"Rich","Fair")))</f>
        <v>-</v>
      </c>
      <c r="AM509" s="96" t="str">
        <f aca="false">IF(AE509="","",AJ509-AVERAGEIFS($AJ$2:$AJ$601,$B$2:$B$601,B509,$Y$2:$Y$601,1))</f>
        <v/>
      </c>
      <c r="AN509" s="93" t="n">
        <f aca="false">IF(AE509="",0,IF(K509&gt;1+설정!$C$8,AG509*(AA509-LN(K509-1)),0))</f>
        <v>0</v>
      </c>
      <c r="AO509" s="99" t="n">
        <f aca="false">IF($A509="",0,SUMIFS(보유분석!$AA$2:$AA$801,보유분석!$AB$2:$AB$801,ROW(),보유분석!$AC$2:$AC$801,1))</f>
        <v>0</v>
      </c>
      <c r="AP509" s="43" t="str">
        <f aca="false">IF($A509="","",TRIM(IF(R509=1,"FRN ","")&amp;IF(IFERROR(VLOOKUP(M509,설정!$A$15:$D$47,4,0),0)&gt;=10,IF(IFERROR(VLOOKUP(M509,설정!$A$15:$D$47,4,0),0)&lt;99,"BBB0미만 ",""),"")&amp;IF(OR(M509="",M509="NR"),"등급미입력 ","")&amp;IF(C509&lt;&gt;"USD","비USD ","")))</f>
        <v/>
      </c>
      <c r="AQ509" s="90" t="n">
        <f aca="false">IF(AND(Y509=1,AL509="Cheap"),IF(AND(ISERROR(SEARCH("FRN",AP509)),ISERROR(SEARCH("BBB0미만",AP509))),AK509+ROW()/1000000000,-999),-999)</f>
        <v>-999</v>
      </c>
      <c r="AR509" s="92" t="str">
        <f aca="false">IF(AND(ISNUMBER(D509),ISNUMBER(K509)),D509+AN509*MAX(K509-1,0)/100,"")</f>
        <v/>
      </c>
      <c r="AS509" s="93" t="str">
        <f aca="false">IF(AND(ISNUMBER(E509),ISNUMBER(K509)),IF(K509&gt;0,(E509+AN509*MAX(K509-1,0))/K509,""),"")</f>
        <v/>
      </c>
      <c r="AT509" s="90" t="n">
        <f aca="false">IFERROR(IF(AND(Y509=1,ROW()&lt;&gt;스왑분석!$C$12+1,ABS(K509-INDEX($K$2:$K$601,스왑분석!$C$12))&lt;=스왑분석!$C$5,ISERROR(SEARCH("FRN",AP509)),ISERROR(SEARCH("BBB0미만",AP509))),IF(AND(OR(스왑분석!$C$6="N",L509=INDEX($L$2:$L$601,스왑분석!$C$12)),OR(스왑분석!$C$7="N",N509=INDEX($N$2:$N$601,스왑분석!$C$12)),OR(스왑분석!$C$8="N",AO509=0),E509-INDEX($E$2:$E$601,스왑분석!$C$12)&gt;=스왑분석!$C$9),E509-INDEX($E$2:$E$601,스왑분석!$C$12)+ROW()/1000000000,-999),-999),-999)</f>
        <v>-999</v>
      </c>
      <c r="AU509" s="90" t="n">
        <f aca="false">IF(AND(Y509=1,AO509&gt;0,AL509="Rich"),-AK509+ROW()/1000000000,-999)</f>
        <v>-999</v>
      </c>
    </row>
    <row r="510" customFormat="false" ht="15" hidden="false" customHeight="false" outlineLevel="0" collapsed="false">
      <c r="A510" s="83" t="n">
        <f aca="false">IFERROR(IF(INDEX(원자료_시장!$A$1:$BZ$1000,설정!$L$6+ROW()-1,설정!$L$24)&amp;""="0","",INDEX(원자료_시장!$A$1:$BZ$1000,설정!$L$6+ROW()-1,설정!$L$24)),"")</f>
        <v>0</v>
      </c>
      <c r="B510" s="83" t="n">
        <f aca="false">IFERROR(IF(INDEX(원자료_시장!$A$1:$BZ$1000,설정!$L$6+ROW()-1,설정!$L$37)&amp;""="0","",INDEX(원자료_시장!$A$1:$BZ$1000,설정!$L$6+ROW()-1,설정!$L$37)),"")</f>
        <v>0</v>
      </c>
      <c r="C510" s="83" t="n">
        <f aca="false">IFERROR(IF(INDEX(원자료_시장!$A$1:$BZ$1000,설정!$L$6+ROW()-1,설정!$L$25)&amp;""="0","",INDEX(원자료_시장!$A$1:$BZ$1000,설정!$L$6+ROW()-1,설정!$L$25)),"")</f>
        <v>0</v>
      </c>
      <c r="D510" s="85" t="str">
        <f aca="false">IFERROR(IF(ISNUMBER(INDEX(원자료_시장!$A$1:$BZ$1000,설정!$L$6+ROW()-1,설정!$L$26)),INDEX(원자료_시장!$A$1:$BZ$1000,설정!$L$6+ROW()-1,설정!$L$26),""),"")</f>
        <v/>
      </c>
      <c r="E510" s="97" t="str">
        <f aca="false">IFERROR(IF(ISNUMBER(INDEX(원자료_시장!$A$1:$BZ$1000,설정!$L$6+ROW()-1,설정!$L$27)),INDEX(원자료_시장!$A$1:$BZ$1000,설정!$L$6+ROW()-1,설정!$L$27),""),"")</f>
        <v/>
      </c>
      <c r="F510" s="97" t="str">
        <f aca="false">IFERROR(IF(ISNUMBER(INDEX(원자료_시장!$A$1:$BZ$1000,설정!$L$6+ROW()-1,설정!$L$28)),INDEX(원자료_시장!$A$1:$BZ$1000,설정!$L$6+ROW()-1,설정!$L$28),""),"")</f>
        <v/>
      </c>
      <c r="G510" s="97" t="str">
        <f aca="false">IFERROR(IF(ISNUMBER(INDEX(원자료_시장!$A$1:$BZ$1000,설정!$L$6+ROW()-1,설정!$L$29)),INDEX(원자료_시장!$A$1:$BZ$1000,설정!$L$6+ROW()-1,설정!$L$29),""),"")</f>
        <v/>
      </c>
      <c r="H510" s="97" t="str">
        <f aca="false">IFERROR(IF(ISNUMBER(INDEX(원자료_시장!$A$1:$BZ$1000,설정!$L$6+ROW()-1,설정!$L$30)),INDEX(원자료_시장!$A$1:$BZ$1000,설정!$L$6+ROW()-1,설정!$L$30),""),"")</f>
        <v/>
      </c>
      <c r="I510" s="97" t="str">
        <f aca="false">IFERROR(IF(ISNUMBER(INDEX(원자료_시장!$A$1:$BZ$1000,설정!$L$6+ROW()-1,설정!$L$31)),INDEX(원자료_시장!$A$1:$BZ$1000,설정!$L$6+ROW()-1,설정!$L$31),""),"")</f>
        <v/>
      </c>
      <c r="J510" s="97" t="str">
        <f aca="false">IFERROR(IF(ISNUMBER(INDEX(원자료_시장!$A$1:$BZ$1000,설정!$L$6+ROW()-1,설정!$L$32)),INDEX(원자료_시장!$A$1:$BZ$1000,설정!$L$6+ROW()-1,설정!$L$32),""),"")</f>
        <v/>
      </c>
      <c r="K510" s="85" t="str">
        <f aca="false">IFERROR(IF(ISNUMBER(INDEX(원자료_시장!$A$1:$BZ$1000,설정!$L$6+ROW()-1,설정!$L$33)),INDEX(원자료_시장!$A$1:$BZ$1000,설정!$L$6+ROW()-1,설정!$L$33),""),"")</f>
        <v/>
      </c>
      <c r="L510" s="83" t="n">
        <f aca="false">IFERROR(IF(INDEX(원자료_시장!$A$1:$BZ$1000,설정!$L$6+ROW()-1,설정!$L$34)&amp;""="0","",INDEX(원자료_시장!$A$1:$BZ$1000,설정!$L$6+ROW()-1,설정!$L$34)),"")</f>
        <v>0</v>
      </c>
      <c r="M510" s="83" t="n">
        <f aca="false">IFERROR(IF(INDEX(원자료_시장!$A$1:$BZ$1000,설정!$L$6+ROW()-1,설정!$L$35)&amp;""="0","",INDEX(원자료_시장!$A$1:$BZ$1000,설정!$L$6+ROW()-1,설정!$L$35)),"")</f>
        <v>0</v>
      </c>
      <c r="N510" s="83" t="n">
        <f aca="false">IFERROR(IF(INDEX(원자료_시장!$A$1:$BZ$1000,설정!$L$6+ROW()-1,설정!$L$36)&amp;""="0","",INDEX(원자료_시장!$A$1:$BZ$1000,설정!$L$6+ROW()-1,설정!$L$36)),"")</f>
        <v>0</v>
      </c>
      <c r="O510" s="43" t="str">
        <f aca="false">IF($A510="","",UPPER(LEFT($A510,FIND(" ",$A510&amp;" ")-1)))</f>
        <v/>
      </c>
      <c r="P510" s="43" t="str">
        <f aca="false">IF($A510="","",TRIM(RIGHT(SUBSTITUTE(TRIM($A510)," ",REPT(" ",30)),30)))</f>
        <v/>
      </c>
      <c r="Q510" s="98" t="str">
        <f aca="false">IF($A510="","",IFERROR(DATE(IF(LEN(P510)=8,2000+VALUE(RIGHT(P510,2)),VALUE(RIGHT(P510,4))),VALUE(LEFT(P510,2)),VALUE(MID(P510,4,2))),""))</f>
        <v/>
      </c>
      <c r="R510" s="89" t="n">
        <f aca="false">IF($A510="",0,IF(ISNUMBER(SEARCH("Float",$A510)),1,0))</f>
        <v>0</v>
      </c>
      <c r="S510" s="43" t="str">
        <f aca="false">IF($A510="","",TRIM(MID($A510,LEN(O510)+2,LEN($A510)-LEN(O510)-LEN(P510)-1)))</f>
        <v/>
      </c>
      <c r="T510" s="92" t="str">
        <f aca="false">IF(OR($A510="",R510=1),"",IFERROR(IF(ISNUMBER(FIND("/",S510)),IF(ISNUMBER(FIND(" ",S510)),VALUE(LEFT(S510,FIND(" ",S510)-1))+VALUE(MID(S510,FIND(" ",S510)+1,FIND("/",S510)-FIND(" ",S510)-1))/VALUE(MID(S510,FIND("/",S510)+1,9)),VALUE(LEFT(S510,FIND("/",S510)-1))/VALUE(MID(S510,FIND("/",S510)+1,9))),VALUE(S510)),""))</f>
        <v/>
      </c>
      <c r="U510" s="43" t="str">
        <f aca="false">IF(OR($A510="",NOT(ISNUMBER(Q510))),"",TEXT(Q510,"yyyymmdd")&amp;"|"&amp;IF(R510=1,"F",TEXT(T510,"0.000")))</f>
        <v/>
      </c>
      <c r="V510" s="43" t="str">
        <f aca="false">IF(U510="","",O510&amp;"|"&amp;U510)</f>
        <v/>
      </c>
      <c r="W510" s="43" t="str">
        <f aca="false">IF($A510="","",IFERROR(IF(VLOOKUP(O510,매핑!$A$4:$E$92,3,0)="","미분류",VLOOKUP(O510,매핑!$A$4:$E$92,3,0)),"미분류"))</f>
        <v/>
      </c>
      <c r="X510" s="89" t="n">
        <f aca="false">IF($A510="",0,IF(O510="T",1,0))</f>
        <v>0</v>
      </c>
      <c r="Y510" s="89" t="n">
        <f aca="false">IF($A510="",0,IF(AND(C510="USD",X510=0,ISNUMBER(E510),ISNUMBER(K510)),IF(K510&gt;=설정!$C$8,1,0),0))</f>
        <v>0</v>
      </c>
      <c r="Z510" s="43" t="str">
        <f aca="false">IF($A510="","",N510&amp;"|"&amp;L510)</f>
        <v/>
      </c>
      <c r="AA510" s="92" t="n">
        <f aca="false">IF(Y510=1,LN(K510),0)</f>
        <v>0</v>
      </c>
      <c r="AB510" s="93" t="n">
        <f aca="false">IF(Y510=1,E510,0)</f>
        <v>0</v>
      </c>
      <c r="AC510" s="89" t="n">
        <f aca="false">IF(Y510=1,COUNTIFS($Z$2:$Z$601,Z510,$Y$2:$Y$601,1),0)</f>
        <v>0</v>
      </c>
      <c r="AD510" s="89" t="n">
        <f aca="false">IF(Y510=1,COUNTIFS($N$2:$N$601,N510,$Y$2:$Y$601,1),0)</f>
        <v>0</v>
      </c>
      <c r="AE510" s="43" t="str">
        <f aca="false">IF(Y510&lt;&gt;1,"",IF(AND(AC510&gt;=설정!$C$7,ISNUMBER(MATCH(Z510,피어커브!$A:$A,0))),Z510,IF(AND(AD510&gt;=설정!$C$7,ISNUMBER(MATCH(N510&amp;"|전체",피어커브!$A:$A,0))),N510&amp;"|전체","전체|전체")))</f>
        <v/>
      </c>
      <c r="AF510" s="93" t="str">
        <f aca="false">IF(AE510="","",INDEX(피어커브!$K:$K,MATCH(AE510,피어커브!$A:$A,0)))</f>
        <v/>
      </c>
      <c r="AG510" s="93" t="str">
        <f aca="false">IF(AE510="","",INDEX(피어커브!$J:$J,MATCH(AE510,피어커브!$A:$A,0)))</f>
        <v/>
      </c>
      <c r="AH510" s="93" t="str">
        <f aca="false">IF(AE510="","",INDEX(피어커브!$L:$L,MATCH(AE510,피어커브!$A:$A,0)))</f>
        <v/>
      </c>
      <c r="AI510" s="93" t="str">
        <f aca="false">IF(AE510="","",AF510+AG510*AA510)</f>
        <v/>
      </c>
      <c r="AJ510" s="96" t="str">
        <f aca="false">IF(AE510="","",E510-AI510)</f>
        <v/>
      </c>
      <c r="AK510" s="95" t="str">
        <f aca="false">IF(AE510="","",IF(ISNUMBER(AH510),IF(AH510&gt;0,AJ510/AH510,""),""))</f>
        <v/>
      </c>
      <c r="AL510" s="43" t="str">
        <f aca="false">IF(AK510="","-",IF(AK510&gt;=설정!$C$6,"Cheap",IF(AK510&lt;=-설정!$C$6,"Rich","Fair")))</f>
        <v>-</v>
      </c>
      <c r="AM510" s="96" t="str">
        <f aca="false">IF(AE510="","",AJ510-AVERAGEIFS($AJ$2:$AJ$601,$B$2:$B$601,B510,$Y$2:$Y$601,1))</f>
        <v/>
      </c>
      <c r="AN510" s="93" t="n">
        <f aca="false">IF(AE510="",0,IF(K510&gt;1+설정!$C$8,AG510*(AA510-LN(K510-1)),0))</f>
        <v>0</v>
      </c>
      <c r="AO510" s="99" t="n">
        <f aca="false">IF($A510="",0,SUMIFS(보유분석!$AA$2:$AA$801,보유분석!$AB$2:$AB$801,ROW(),보유분석!$AC$2:$AC$801,1))</f>
        <v>0</v>
      </c>
      <c r="AP510" s="43" t="str">
        <f aca="false">IF($A510="","",TRIM(IF(R510=1,"FRN ","")&amp;IF(IFERROR(VLOOKUP(M510,설정!$A$15:$D$47,4,0),0)&gt;=10,IF(IFERROR(VLOOKUP(M510,설정!$A$15:$D$47,4,0),0)&lt;99,"BBB0미만 ",""),"")&amp;IF(OR(M510="",M510="NR"),"등급미입력 ","")&amp;IF(C510&lt;&gt;"USD","비USD ","")))</f>
        <v/>
      </c>
      <c r="AQ510" s="90" t="n">
        <f aca="false">IF(AND(Y510=1,AL510="Cheap"),IF(AND(ISERROR(SEARCH("FRN",AP510)),ISERROR(SEARCH("BBB0미만",AP510))),AK510+ROW()/1000000000,-999),-999)</f>
        <v>-999</v>
      </c>
      <c r="AR510" s="92" t="str">
        <f aca="false">IF(AND(ISNUMBER(D510),ISNUMBER(K510)),D510+AN510*MAX(K510-1,0)/100,"")</f>
        <v/>
      </c>
      <c r="AS510" s="93" t="str">
        <f aca="false">IF(AND(ISNUMBER(E510),ISNUMBER(K510)),IF(K510&gt;0,(E510+AN510*MAX(K510-1,0))/K510,""),"")</f>
        <v/>
      </c>
      <c r="AT510" s="90" t="n">
        <f aca="false">IFERROR(IF(AND(Y510=1,ROW()&lt;&gt;스왑분석!$C$12+1,ABS(K510-INDEX($K$2:$K$601,스왑분석!$C$12))&lt;=스왑분석!$C$5,ISERROR(SEARCH("FRN",AP510)),ISERROR(SEARCH("BBB0미만",AP510))),IF(AND(OR(스왑분석!$C$6="N",L510=INDEX($L$2:$L$601,스왑분석!$C$12)),OR(스왑분석!$C$7="N",N510=INDEX($N$2:$N$601,스왑분석!$C$12)),OR(스왑분석!$C$8="N",AO510=0),E510-INDEX($E$2:$E$601,스왑분석!$C$12)&gt;=스왑분석!$C$9),E510-INDEX($E$2:$E$601,스왑분석!$C$12)+ROW()/1000000000,-999),-999),-999)</f>
        <v>-999</v>
      </c>
      <c r="AU510" s="90" t="n">
        <f aca="false">IF(AND(Y510=1,AO510&gt;0,AL510="Rich"),-AK510+ROW()/1000000000,-999)</f>
        <v>-999</v>
      </c>
    </row>
    <row r="511" customFormat="false" ht="15" hidden="false" customHeight="false" outlineLevel="0" collapsed="false">
      <c r="A511" s="83" t="n">
        <f aca="false">IFERROR(IF(INDEX(원자료_시장!$A$1:$BZ$1000,설정!$L$6+ROW()-1,설정!$L$24)&amp;""="0","",INDEX(원자료_시장!$A$1:$BZ$1000,설정!$L$6+ROW()-1,설정!$L$24)),"")</f>
        <v>0</v>
      </c>
      <c r="B511" s="83" t="n">
        <f aca="false">IFERROR(IF(INDEX(원자료_시장!$A$1:$BZ$1000,설정!$L$6+ROW()-1,설정!$L$37)&amp;""="0","",INDEX(원자료_시장!$A$1:$BZ$1000,설정!$L$6+ROW()-1,설정!$L$37)),"")</f>
        <v>0</v>
      </c>
      <c r="C511" s="83" t="n">
        <f aca="false">IFERROR(IF(INDEX(원자료_시장!$A$1:$BZ$1000,설정!$L$6+ROW()-1,설정!$L$25)&amp;""="0","",INDEX(원자료_시장!$A$1:$BZ$1000,설정!$L$6+ROW()-1,설정!$L$25)),"")</f>
        <v>0</v>
      </c>
      <c r="D511" s="85" t="str">
        <f aca="false">IFERROR(IF(ISNUMBER(INDEX(원자료_시장!$A$1:$BZ$1000,설정!$L$6+ROW()-1,설정!$L$26)),INDEX(원자료_시장!$A$1:$BZ$1000,설정!$L$6+ROW()-1,설정!$L$26),""),"")</f>
        <v/>
      </c>
      <c r="E511" s="97" t="str">
        <f aca="false">IFERROR(IF(ISNUMBER(INDEX(원자료_시장!$A$1:$BZ$1000,설정!$L$6+ROW()-1,설정!$L$27)),INDEX(원자료_시장!$A$1:$BZ$1000,설정!$L$6+ROW()-1,설정!$L$27),""),"")</f>
        <v/>
      </c>
      <c r="F511" s="97" t="str">
        <f aca="false">IFERROR(IF(ISNUMBER(INDEX(원자료_시장!$A$1:$BZ$1000,설정!$L$6+ROW()-1,설정!$L$28)),INDEX(원자료_시장!$A$1:$BZ$1000,설정!$L$6+ROW()-1,설정!$L$28),""),"")</f>
        <v/>
      </c>
      <c r="G511" s="97" t="str">
        <f aca="false">IFERROR(IF(ISNUMBER(INDEX(원자료_시장!$A$1:$BZ$1000,설정!$L$6+ROW()-1,설정!$L$29)),INDEX(원자료_시장!$A$1:$BZ$1000,설정!$L$6+ROW()-1,설정!$L$29),""),"")</f>
        <v/>
      </c>
      <c r="H511" s="97" t="str">
        <f aca="false">IFERROR(IF(ISNUMBER(INDEX(원자료_시장!$A$1:$BZ$1000,설정!$L$6+ROW()-1,설정!$L$30)),INDEX(원자료_시장!$A$1:$BZ$1000,설정!$L$6+ROW()-1,설정!$L$30),""),"")</f>
        <v/>
      </c>
      <c r="I511" s="97" t="str">
        <f aca="false">IFERROR(IF(ISNUMBER(INDEX(원자료_시장!$A$1:$BZ$1000,설정!$L$6+ROW()-1,설정!$L$31)),INDEX(원자료_시장!$A$1:$BZ$1000,설정!$L$6+ROW()-1,설정!$L$31),""),"")</f>
        <v/>
      </c>
      <c r="J511" s="97" t="str">
        <f aca="false">IFERROR(IF(ISNUMBER(INDEX(원자료_시장!$A$1:$BZ$1000,설정!$L$6+ROW()-1,설정!$L$32)),INDEX(원자료_시장!$A$1:$BZ$1000,설정!$L$6+ROW()-1,설정!$L$32),""),"")</f>
        <v/>
      </c>
      <c r="K511" s="85" t="str">
        <f aca="false">IFERROR(IF(ISNUMBER(INDEX(원자료_시장!$A$1:$BZ$1000,설정!$L$6+ROW()-1,설정!$L$33)),INDEX(원자료_시장!$A$1:$BZ$1000,설정!$L$6+ROW()-1,설정!$L$33),""),"")</f>
        <v/>
      </c>
      <c r="L511" s="83" t="n">
        <f aca="false">IFERROR(IF(INDEX(원자료_시장!$A$1:$BZ$1000,설정!$L$6+ROW()-1,설정!$L$34)&amp;""="0","",INDEX(원자료_시장!$A$1:$BZ$1000,설정!$L$6+ROW()-1,설정!$L$34)),"")</f>
        <v>0</v>
      </c>
      <c r="M511" s="83" t="n">
        <f aca="false">IFERROR(IF(INDEX(원자료_시장!$A$1:$BZ$1000,설정!$L$6+ROW()-1,설정!$L$35)&amp;""="0","",INDEX(원자료_시장!$A$1:$BZ$1000,설정!$L$6+ROW()-1,설정!$L$35)),"")</f>
        <v>0</v>
      </c>
      <c r="N511" s="83" t="n">
        <f aca="false">IFERROR(IF(INDEX(원자료_시장!$A$1:$BZ$1000,설정!$L$6+ROW()-1,설정!$L$36)&amp;""="0","",INDEX(원자료_시장!$A$1:$BZ$1000,설정!$L$6+ROW()-1,설정!$L$36)),"")</f>
        <v>0</v>
      </c>
      <c r="O511" s="43" t="str">
        <f aca="false">IF($A511="","",UPPER(LEFT($A511,FIND(" ",$A511&amp;" ")-1)))</f>
        <v/>
      </c>
      <c r="P511" s="43" t="str">
        <f aca="false">IF($A511="","",TRIM(RIGHT(SUBSTITUTE(TRIM($A511)," ",REPT(" ",30)),30)))</f>
        <v/>
      </c>
      <c r="Q511" s="98" t="str">
        <f aca="false">IF($A511="","",IFERROR(DATE(IF(LEN(P511)=8,2000+VALUE(RIGHT(P511,2)),VALUE(RIGHT(P511,4))),VALUE(LEFT(P511,2)),VALUE(MID(P511,4,2))),""))</f>
        <v/>
      </c>
      <c r="R511" s="89" t="n">
        <f aca="false">IF($A511="",0,IF(ISNUMBER(SEARCH("Float",$A511)),1,0))</f>
        <v>0</v>
      </c>
      <c r="S511" s="43" t="str">
        <f aca="false">IF($A511="","",TRIM(MID($A511,LEN(O511)+2,LEN($A511)-LEN(O511)-LEN(P511)-1)))</f>
        <v/>
      </c>
      <c r="T511" s="92" t="str">
        <f aca="false">IF(OR($A511="",R511=1),"",IFERROR(IF(ISNUMBER(FIND("/",S511)),IF(ISNUMBER(FIND(" ",S511)),VALUE(LEFT(S511,FIND(" ",S511)-1))+VALUE(MID(S511,FIND(" ",S511)+1,FIND("/",S511)-FIND(" ",S511)-1))/VALUE(MID(S511,FIND("/",S511)+1,9)),VALUE(LEFT(S511,FIND("/",S511)-1))/VALUE(MID(S511,FIND("/",S511)+1,9))),VALUE(S511)),""))</f>
        <v/>
      </c>
      <c r="U511" s="43" t="str">
        <f aca="false">IF(OR($A511="",NOT(ISNUMBER(Q511))),"",TEXT(Q511,"yyyymmdd")&amp;"|"&amp;IF(R511=1,"F",TEXT(T511,"0.000")))</f>
        <v/>
      </c>
      <c r="V511" s="43" t="str">
        <f aca="false">IF(U511="","",O511&amp;"|"&amp;U511)</f>
        <v/>
      </c>
      <c r="W511" s="43" t="str">
        <f aca="false">IF($A511="","",IFERROR(IF(VLOOKUP(O511,매핑!$A$4:$E$92,3,0)="","미분류",VLOOKUP(O511,매핑!$A$4:$E$92,3,0)),"미분류"))</f>
        <v/>
      </c>
      <c r="X511" s="89" t="n">
        <f aca="false">IF($A511="",0,IF(O511="T",1,0))</f>
        <v>0</v>
      </c>
      <c r="Y511" s="89" t="n">
        <f aca="false">IF($A511="",0,IF(AND(C511="USD",X511=0,ISNUMBER(E511),ISNUMBER(K511)),IF(K511&gt;=설정!$C$8,1,0),0))</f>
        <v>0</v>
      </c>
      <c r="Z511" s="43" t="str">
        <f aca="false">IF($A511="","",N511&amp;"|"&amp;L511)</f>
        <v/>
      </c>
      <c r="AA511" s="92" t="n">
        <f aca="false">IF(Y511=1,LN(K511),0)</f>
        <v>0</v>
      </c>
      <c r="AB511" s="93" t="n">
        <f aca="false">IF(Y511=1,E511,0)</f>
        <v>0</v>
      </c>
      <c r="AC511" s="89" t="n">
        <f aca="false">IF(Y511=1,COUNTIFS($Z$2:$Z$601,Z511,$Y$2:$Y$601,1),0)</f>
        <v>0</v>
      </c>
      <c r="AD511" s="89" t="n">
        <f aca="false">IF(Y511=1,COUNTIFS($N$2:$N$601,N511,$Y$2:$Y$601,1),0)</f>
        <v>0</v>
      </c>
      <c r="AE511" s="43" t="str">
        <f aca="false">IF(Y511&lt;&gt;1,"",IF(AND(AC511&gt;=설정!$C$7,ISNUMBER(MATCH(Z511,피어커브!$A:$A,0))),Z511,IF(AND(AD511&gt;=설정!$C$7,ISNUMBER(MATCH(N511&amp;"|전체",피어커브!$A:$A,0))),N511&amp;"|전체","전체|전체")))</f>
        <v/>
      </c>
      <c r="AF511" s="93" t="str">
        <f aca="false">IF(AE511="","",INDEX(피어커브!$K:$K,MATCH(AE511,피어커브!$A:$A,0)))</f>
        <v/>
      </c>
      <c r="AG511" s="93" t="str">
        <f aca="false">IF(AE511="","",INDEX(피어커브!$J:$J,MATCH(AE511,피어커브!$A:$A,0)))</f>
        <v/>
      </c>
      <c r="AH511" s="93" t="str">
        <f aca="false">IF(AE511="","",INDEX(피어커브!$L:$L,MATCH(AE511,피어커브!$A:$A,0)))</f>
        <v/>
      </c>
      <c r="AI511" s="93" t="str">
        <f aca="false">IF(AE511="","",AF511+AG511*AA511)</f>
        <v/>
      </c>
      <c r="AJ511" s="96" t="str">
        <f aca="false">IF(AE511="","",E511-AI511)</f>
        <v/>
      </c>
      <c r="AK511" s="95" t="str">
        <f aca="false">IF(AE511="","",IF(ISNUMBER(AH511),IF(AH511&gt;0,AJ511/AH511,""),""))</f>
        <v/>
      </c>
      <c r="AL511" s="43" t="str">
        <f aca="false">IF(AK511="","-",IF(AK511&gt;=설정!$C$6,"Cheap",IF(AK511&lt;=-설정!$C$6,"Rich","Fair")))</f>
        <v>-</v>
      </c>
      <c r="AM511" s="96" t="str">
        <f aca="false">IF(AE511="","",AJ511-AVERAGEIFS($AJ$2:$AJ$601,$B$2:$B$601,B511,$Y$2:$Y$601,1))</f>
        <v/>
      </c>
      <c r="AN511" s="93" t="n">
        <f aca="false">IF(AE511="",0,IF(K511&gt;1+설정!$C$8,AG511*(AA511-LN(K511-1)),0))</f>
        <v>0</v>
      </c>
      <c r="AO511" s="99" t="n">
        <f aca="false">IF($A511="",0,SUMIFS(보유분석!$AA$2:$AA$801,보유분석!$AB$2:$AB$801,ROW(),보유분석!$AC$2:$AC$801,1))</f>
        <v>0</v>
      </c>
      <c r="AP511" s="43" t="str">
        <f aca="false">IF($A511="","",TRIM(IF(R511=1,"FRN ","")&amp;IF(IFERROR(VLOOKUP(M511,설정!$A$15:$D$47,4,0),0)&gt;=10,IF(IFERROR(VLOOKUP(M511,설정!$A$15:$D$47,4,0),0)&lt;99,"BBB0미만 ",""),"")&amp;IF(OR(M511="",M511="NR"),"등급미입력 ","")&amp;IF(C511&lt;&gt;"USD","비USD ","")))</f>
        <v/>
      </c>
      <c r="AQ511" s="90" t="n">
        <f aca="false">IF(AND(Y511=1,AL511="Cheap"),IF(AND(ISERROR(SEARCH("FRN",AP511)),ISERROR(SEARCH("BBB0미만",AP511))),AK511+ROW()/1000000000,-999),-999)</f>
        <v>-999</v>
      </c>
      <c r="AR511" s="92" t="str">
        <f aca="false">IF(AND(ISNUMBER(D511),ISNUMBER(K511)),D511+AN511*MAX(K511-1,0)/100,"")</f>
        <v/>
      </c>
      <c r="AS511" s="93" t="str">
        <f aca="false">IF(AND(ISNUMBER(E511),ISNUMBER(K511)),IF(K511&gt;0,(E511+AN511*MAX(K511-1,0))/K511,""),"")</f>
        <v/>
      </c>
      <c r="AT511" s="90" t="n">
        <f aca="false">IFERROR(IF(AND(Y511=1,ROW()&lt;&gt;스왑분석!$C$12+1,ABS(K511-INDEX($K$2:$K$601,스왑분석!$C$12))&lt;=스왑분석!$C$5,ISERROR(SEARCH("FRN",AP511)),ISERROR(SEARCH("BBB0미만",AP511))),IF(AND(OR(스왑분석!$C$6="N",L511=INDEX($L$2:$L$601,스왑분석!$C$12)),OR(스왑분석!$C$7="N",N511=INDEX($N$2:$N$601,스왑분석!$C$12)),OR(스왑분석!$C$8="N",AO511=0),E511-INDEX($E$2:$E$601,스왑분석!$C$12)&gt;=스왑분석!$C$9),E511-INDEX($E$2:$E$601,스왑분석!$C$12)+ROW()/1000000000,-999),-999),-999)</f>
        <v>-999</v>
      </c>
      <c r="AU511" s="90" t="n">
        <f aca="false">IF(AND(Y511=1,AO511&gt;0,AL511="Rich"),-AK511+ROW()/1000000000,-999)</f>
        <v>-999</v>
      </c>
    </row>
    <row r="512" customFormat="false" ht="15" hidden="false" customHeight="false" outlineLevel="0" collapsed="false">
      <c r="A512" s="83" t="n">
        <f aca="false">IFERROR(IF(INDEX(원자료_시장!$A$1:$BZ$1000,설정!$L$6+ROW()-1,설정!$L$24)&amp;""="0","",INDEX(원자료_시장!$A$1:$BZ$1000,설정!$L$6+ROW()-1,설정!$L$24)),"")</f>
        <v>0</v>
      </c>
      <c r="B512" s="83" t="n">
        <f aca="false">IFERROR(IF(INDEX(원자료_시장!$A$1:$BZ$1000,설정!$L$6+ROW()-1,설정!$L$37)&amp;""="0","",INDEX(원자료_시장!$A$1:$BZ$1000,설정!$L$6+ROW()-1,설정!$L$37)),"")</f>
        <v>0</v>
      </c>
      <c r="C512" s="83" t="n">
        <f aca="false">IFERROR(IF(INDEX(원자료_시장!$A$1:$BZ$1000,설정!$L$6+ROW()-1,설정!$L$25)&amp;""="0","",INDEX(원자료_시장!$A$1:$BZ$1000,설정!$L$6+ROW()-1,설정!$L$25)),"")</f>
        <v>0</v>
      </c>
      <c r="D512" s="85" t="str">
        <f aca="false">IFERROR(IF(ISNUMBER(INDEX(원자료_시장!$A$1:$BZ$1000,설정!$L$6+ROW()-1,설정!$L$26)),INDEX(원자료_시장!$A$1:$BZ$1000,설정!$L$6+ROW()-1,설정!$L$26),""),"")</f>
        <v/>
      </c>
      <c r="E512" s="97" t="str">
        <f aca="false">IFERROR(IF(ISNUMBER(INDEX(원자료_시장!$A$1:$BZ$1000,설정!$L$6+ROW()-1,설정!$L$27)),INDEX(원자료_시장!$A$1:$BZ$1000,설정!$L$6+ROW()-1,설정!$L$27),""),"")</f>
        <v/>
      </c>
      <c r="F512" s="97" t="str">
        <f aca="false">IFERROR(IF(ISNUMBER(INDEX(원자료_시장!$A$1:$BZ$1000,설정!$L$6+ROW()-1,설정!$L$28)),INDEX(원자료_시장!$A$1:$BZ$1000,설정!$L$6+ROW()-1,설정!$L$28),""),"")</f>
        <v/>
      </c>
      <c r="G512" s="97" t="str">
        <f aca="false">IFERROR(IF(ISNUMBER(INDEX(원자료_시장!$A$1:$BZ$1000,설정!$L$6+ROW()-1,설정!$L$29)),INDEX(원자료_시장!$A$1:$BZ$1000,설정!$L$6+ROW()-1,설정!$L$29),""),"")</f>
        <v/>
      </c>
      <c r="H512" s="97" t="str">
        <f aca="false">IFERROR(IF(ISNUMBER(INDEX(원자료_시장!$A$1:$BZ$1000,설정!$L$6+ROW()-1,설정!$L$30)),INDEX(원자료_시장!$A$1:$BZ$1000,설정!$L$6+ROW()-1,설정!$L$30),""),"")</f>
        <v/>
      </c>
      <c r="I512" s="97" t="str">
        <f aca="false">IFERROR(IF(ISNUMBER(INDEX(원자료_시장!$A$1:$BZ$1000,설정!$L$6+ROW()-1,설정!$L$31)),INDEX(원자료_시장!$A$1:$BZ$1000,설정!$L$6+ROW()-1,설정!$L$31),""),"")</f>
        <v/>
      </c>
      <c r="J512" s="97" t="str">
        <f aca="false">IFERROR(IF(ISNUMBER(INDEX(원자료_시장!$A$1:$BZ$1000,설정!$L$6+ROW()-1,설정!$L$32)),INDEX(원자료_시장!$A$1:$BZ$1000,설정!$L$6+ROW()-1,설정!$L$32),""),"")</f>
        <v/>
      </c>
      <c r="K512" s="85" t="str">
        <f aca="false">IFERROR(IF(ISNUMBER(INDEX(원자료_시장!$A$1:$BZ$1000,설정!$L$6+ROW()-1,설정!$L$33)),INDEX(원자료_시장!$A$1:$BZ$1000,설정!$L$6+ROW()-1,설정!$L$33),""),"")</f>
        <v/>
      </c>
      <c r="L512" s="83" t="n">
        <f aca="false">IFERROR(IF(INDEX(원자료_시장!$A$1:$BZ$1000,설정!$L$6+ROW()-1,설정!$L$34)&amp;""="0","",INDEX(원자료_시장!$A$1:$BZ$1000,설정!$L$6+ROW()-1,설정!$L$34)),"")</f>
        <v>0</v>
      </c>
      <c r="M512" s="83" t="n">
        <f aca="false">IFERROR(IF(INDEX(원자료_시장!$A$1:$BZ$1000,설정!$L$6+ROW()-1,설정!$L$35)&amp;""="0","",INDEX(원자료_시장!$A$1:$BZ$1000,설정!$L$6+ROW()-1,설정!$L$35)),"")</f>
        <v>0</v>
      </c>
      <c r="N512" s="83" t="n">
        <f aca="false">IFERROR(IF(INDEX(원자료_시장!$A$1:$BZ$1000,설정!$L$6+ROW()-1,설정!$L$36)&amp;""="0","",INDEX(원자료_시장!$A$1:$BZ$1000,설정!$L$6+ROW()-1,설정!$L$36)),"")</f>
        <v>0</v>
      </c>
      <c r="O512" s="43" t="str">
        <f aca="false">IF($A512="","",UPPER(LEFT($A512,FIND(" ",$A512&amp;" ")-1)))</f>
        <v/>
      </c>
      <c r="P512" s="43" t="str">
        <f aca="false">IF($A512="","",TRIM(RIGHT(SUBSTITUTE(TRIM($A512)," ",REPT(" ",30)),30)))</f>
        <v/>
      </c>
      <c r="Q512" s="98" t="str">
        <f aca="false">IF($A512="","",IFERROR(DATE(IF(LEN(P512)=8,2000+VALUE(RIGHT(P512,2)),VALUE(RIGHT(P512,4))),VALUE(LEFT(P512,2)),VALUE(MID(P512,4,2))),""))</f>
        <v/>
      </c>
      <c r="R512" s="89" t="n">
        <f aca="false">IF($A512="",0,IF(ISNUMBER(SEARCH("Float",$A512)),1,0))</f>
        <v>0</v>
      </c>
      <c r="S512" s="43" t="str">
        <f aca="false">IF($A512="","",TRIM(MID($A512,LEN(O512)+2,LEN($A512)-LEN(O512)-LEN(P512)-1)))</f>
        <v/>
      </c>
      <c r="T512" s="92" t="str">
        <f aca="false">IF(OR($A512="",R512=1),"",IFERROR(IF(ISNUMBER(FIND("/",S512)),IF(ISNUMBER(FIND(" ",S512)),VALUE(LEFT(S512,FIND(" ",S512)-1))+VALUE(MID(S512,FIND(" ",S512)+1,FIND("/",S512)-FIND(" ",S512)-1))/VALUE(MID(S512,FIND("/",S512)+1,9)),VALUE(LEFT(S512,FIND("/",S512)-1))/VALUE(MID(S512,FIND("/",S512)+1,9))),VALUE(S512)),""))</f>
        <v/>
      </c>
      <c r="U512" s="43" t="str">
        <f aca="false">IF(OR($A512="",NOT(ISNUMBER(Q512))),"",TEXT(Q512,"yyyymmdd")&amp;"|"&amp;IF(R512=1,"F",TEXT(T512,"0.000")))</f>
        <v/>
      </c>
      <c r="V512" s="43" t="str">
        <f aca="false">IF(U512="","",O512&amp;"|"&amp;U512)</f>
        <v/>
      </c>
      <c r="W512" s="43" t="str">
        <f aca="false">IF($A512="","",IFERROR(IF(VLOOKUP(O512,매핑!$A$4:$E$92,3,0)="","미분류",VLOOKUP(O512,매핑!$A$4:$E$92,3,0)),"미분류"))</f>
        <v/>
      </c>
      <c r="X512" s="89" t="n">
        <f aca="false">IF($A512="",0,IF(O512="T",1,0))</f>
        <v>0</v>
      </c>
      <c r="Y512" s="89" t="n">
        <f aca="false">IF($A512="",0,IF(AND(C512="USD",X512=0,ISNUMBER(E512),ISNUMBER(K512)),IF(K512&gt;=설정!$C$8,1,0),0))</f>
        <v>0</v>
      </c>
      <c r="Z512" s="43" t="str">
        <f aca="false">IF($A512="","",N512&amp;"|"&amp;L512)</f>
        <v/>
      </c>
      <c r="AA512" s="92" t="n">
        <f aca="false">IF(Y512=1,LN(K512),0)</f>
        <v>0</v>
      </c>
      <c r="AB512" s="93" t="n">
        <f aca="false">IF(Y512=1,E512,0)</f>
        <v>0</v>
      </c>
      <c r="AC512" s="89" t="n">
        <f aca="false">IF(Y512=1,COUNTIFS($Z$2:$Z$601,Z512,$Y$2:$Y$601,1),0)</f>
        <v>0</v>
      </c>
      <c r="AD512" s="89" t="n">
        <f aca="false">IF(Y512=1,COUNTIFS($N$2:$N$601,N512,$Y$2:$Y$601,1),0)</f>
        <v>0</v>
      </c>
      <c r="AE512" s="43" t="str">
        <f aca="false">IF(Y512&lt;&gt;1,"",IF(AND(AC512&gt;=설정!$C$7,ISNUMBER(MATCH(Z512,피어커브!$A:$A,0))),Z512,IF(AND(AD512&gt;=설정!$C$7,ISNUMBER(MATCH(N512&amp;"|전체",피어커브!$A:$A,0))),N512&amp;"|전체","전체|전체")))</f>
        <v/>
      </c>
      <c r="AF512" s="93" t="str">
        <f aca="false">IF(AE512="","",INDEX(피어커브!$K:$K,MATCH(AE512,피어커브!$A:$A,0)))</f>
        <v/>
      </c>
      <c r="AG512" s="93" t="str">
        <f aca="false">IF(AE512="","",INDEX(피어커브!$J:$J,MATCH(AE512,피어커브!$A:$A,0)))</f>
        <v/>
      </c>
      <c r="AH512" s="93" t="str">
        <f aca="false">IF(AE512="","",INDEX(피어커브!$L:$L,MATCH(AE512,피어커브!$A:$A,0)))</f>
        <v/>
      </c>
      <c r="AI512" s="93" t="str">
        <f aca="false">IF(AE512="","",AF512+AG512*AA512)</f>
        <v/>
      </c>
      <c r="AJ512" s="96" t="str">
        <f aca="false">IF(AE512="","",E512-AI512)</f>
        <v/>
      </c>
      <c r="AK512" s="95" t="str">
        <f aca="false">IF(AE512="","",IF(ISNUMBER(AH512),IF(AH512&gt;0,AJ512/AH512,""),""))</f>
        <v/>
      </c>
      <c r="AL512" s="43" t="str">
        <f aca="false">IF(AK512="","-",IF(AK512&gt;=설정!$C$6,"Cheap",IF(AK512&lt;=-설정!$C$6,"Rich","Fair")))</f>
        <v>-</v>
      </c>
      <c r="AM512" s="96" t="str">
        <f aca="false">IF(AE512="","",AJ512-AVERAGEIFS($AJ$2:$AJ$601,$B$2:$B$601,B512,$Y$2:$Y$601,1))</f>
        <v/>
      </c>
      <c r="AN512" s="93" t="n">
        <f aca="false">IF(AE512="",0,IF(K512&gt;1+설정!$C$8,AG512*(AA512-LN(K512-1)),0))</f>
        <v>0</v>
      </c>
      <c r="AO512" s="99" t="n">
        <f aca="false">IF($A512="",0,SUMIFS(보유분석!$AA$2:$AA$801,보유분석!$AB$2:$AB$801,ROW(),보유분석!$AC$2:$AC$801,1))</f>
        <v>0</v>
      </c>
      <c r="AP512" s="43" t="str">
        <f aca="false">IF($A512="","",TRIM(IF(R512=1,"FRN ","")&amp;IF(IFERROR(VLOOKUP(M512,설정!$A$15:$D$47,4,0),0)&gt;=10,IF(IFERROR(VLOOKUP(M512,설정!$A$15:$D$47,4,0),0)&lt;99,"BBB0미만 ",""),"")&amp;IF(OR(M512="",M512="NR"),"등급미입력 ","")&amp;IF(C512&lt;&gt;"USD","비USD ","")))</f>
        <v/>
      </c>
      <c r="AQ512" s="90" t="n">
        <f aca="false">IF(AND(Y512=1,AL512="Cheap"),IF(AND(ISERROR(SEARCH("FRN",AP512)),ISERROR(SEARCH("BBB0미만",AP512))),AK512+ROW()/1000000000,-999),-999)</f>
        <v>-999</v>
      </c>
      <c r="AR512" s="92" t="str">
        <f aca="false">IF(AND(ISNUMBER(D512),ISNUMBER(K512)),D512+AN512*MAX(K512-1,0)/100,"")</f>
        <v/>
      </c>
      <c r="AS512" s="93" t="str">
        <f aca="false">IF(AND(ISNUMBER(E512),ISNUMBER(K512)),IF(K512&gt;0,(E512+AN512*MAX(K512-1,0))/K512,""),"")</f>
        <v/>
      </c>
      <c r="AT512" s="90" t="n">
        <f aca="false">IFERROR(IF(AND(Y512=1,ROW()&lt;&gt;스왑분석!$C$12+1,ABS(K512-INDEX($K$2:$K$601,스왑분석!$C$12))&lt;=스왑분석!$C$5,ISERROR(SEARCH("FRN",AP512)),ISERROR(SEARCH("BBB0미만",AP512))),IF(AND(OR(스왑분석!$C$6="N",L512=INDEX($L$2:$L$601,스왑분석!$C$12)),OR(스왑분석!$C$7="N",N512=INDEX($N$2:$N$601,스왑분석!$C$12)),OR(스왑분석!$C$8="N",AO512=0),E512-INDEX($E$2:$E$601,스왑분석!$C$12)&gt;=스왑분석!$C$9),E512-INDEX($E$2:$E$601,스왑분석!$C$12)+ROW()/1000000000,-999),-999),-999)</f>
        <v>-999</v>
      </c>
      <c r="AU512" s="90" t="n">
        <f aca="false">IF(AND(Y512=1,AO512&gt;0,AL512="Rich"),-AK512+ROW()/1000000000,-999)</f>
        <v>-999</v>
      </c>
    </row>
    <row r="513" customFormat="false" ht="15" hidden="false" customHeight="false" outlineLevel="0" collapsed="false">
      <c r="A513" s="83" t="n">
        <f aca="false">IFERROR(IF(INDEX(원자료_시장!$A$1:$BZ$1000,설정!$L$6+ROW()-1,설정!$L$24)&amp;""="0","",INDEX(원자료_시장!$A$1:$BZ$1000,설정!$L$6+ROW()-1,설정!$L$24)),"")</f>
        <v>0</v>
      </c>
      <c r="B513" s="83" t="n">
        <f aca="false">IFERROR(IF(INDEX(원자료_시장!$A$1:$BZ$1000,설정!$L$6+ROW()-1,설정!$L$37)&amp;""="0","",INDEX(원자료_시장!$A$1:$BZ$1000,설정!$L$6+ROW()-1,설정!$L$37)),"")</f>
        <v>0</v>
      </c>
      <c r="C513" s="83" t="n">
        <f aca="false">IFERROR(IF(INDEX(원자료_시장!$A$1:$BZ$1000,설정!$L$6+ROW()-1,설정!$L$25)&amp;""="0","",INDEX(원자료_시장!$A$1:$BZ$1000,설정!$L$6+ROW()-1,설정!$L$25)),"")</f>
        <v>0</v>
      </c>
      <c r="D513" s="85" t="str">
        <f aca="false">IFERROR(IF(ISNUMBER(INDEX(원자료_시장!$A$1:$BZ$1000,설정!$L$6+ROW()-1,설정!$L$26)),INDEX(원자료_시장!$A$1:$BZ$1000,설정!$L$6+ROW()-1,설정!$L$26),""),"")</f>
        <v/>
      </c>
      <c r="E513" s="97" t="str">
        <f aca="false">IFERROR(IF(ISNUMBER(INDEX(원자료_시장!$A$1:$BZ$1000,설정!$L$6+ROW()-1,설정!$L$27)),INDEX(원자료_시장!$A$1:$BZ$1000,설정!$L$6+ROW()-1,설정!$L$27),""),"")</f>
        <v/>
      </c>
      <c r="F513" s="97" t="str">
        <f aca="false">IFERROR(IF(ISNUMBER(INDEX(원자료_시장!$A$1:$BZ$1000,설정!$L$6+ROW()-1,설정!$L$28)),INDEX(원자료_시장!$A$1:$BZ$1000,설정!$L$6+ROW()-1,설정!$L$28),""),"")</f>
        <v/>
      </c>
      <c r="G513" s="97" t="str">
        <f aca="false">IFERROR(IF(ISNUMBER(INDEX(원자료_시장!$A$1:$BZ$1000,설정!$L$6+ROW()-1,설정!$L$29)),INDEX(원자료_시장!$A$1:$BZ$1000,설정!$L$6+ROW()-1,설정!$L$29),""),"")</f>
        <v/>
      </c>
      <c r="H513" s="97" t="str">
        <f aca="false">IFERROR(IF(ISNUMBER(INDEX(원자료_시장!$A$1:$BZ$1000,설정!$L$6+ROW()-1,설정!$L$30)),INDEX(원자료_시장!$A$1:$BZ$1000,설정!$L$6+ROW()-1,설정!$L$30),""),"")</f>
        <v/>
      </c>
      <c r="I513" s="97" t="str">
        <f aca="false">IFERROR(IF(ISNUMBER(INDEX(원자료_시장!$A$1:$BZ$1000,설정!$L$6+ROW()-1,설정!$L$31)),INDEX(원자료_시장!$A$1:$BZ$1000,설정!$L$6+ROW()-1,설정!$L$31),""),"")</f>
        <v/>
      </c>
      <c r="J513" s="97" t="str">
        <f aca="false">IFERROR(IF(ISNUMBER(INDEX(원자료_시장!$A$1:$BZ$1000,설정!$L$6+ROW()-1,설정!$L$32)),INDEX(원자료_시장!$A$1:$BZ$1000,설정!$L$6+ROW()-1,설정!$L$32),""),"")</f>
        <v/>
      </c>
      <c r="K513" s="85" t="str">
        <f aca="false">IFERROR(IF(ISNUMBER(INDEX(원자료_시장!$A$1:$BZ$1000,설정!$L$6+ROW()-1,설정!$L$33)),INDEX(원자료_시장!$A$1:$BZ$1000,설정!$L$6+ROW()-1,설정!$L$33),""),"")</f>
        <v/>
      </c>
      <c r="L513" s="83" t="n">
        <f aca="false">IFERROR(IF(INDEX(원자료_시장!$A$1:$BZ$1000,설정!$L$6+ROW()-1,설정!$L$34)&amp;""="0","",INDEX(원자료_시장!$A$1:$BZ$1000,설정!$L$6+ROW()-1,설정!$L$34)),"")</f>
        <v>0</v>
      </c>
      <c r="M513" s="83" t="n">
        <f aca="false">IFERROR(IF(INDEX(원자료_시장!$A$1:$BZ$1000,설정!$L$6+ROW()-1,설정!$L$35)&amp;""="0","",INDEX(원자료_시장!$A$1:$BZ$1000,설정!$L$6+ROW()-1,설정!$L$35)),"")</f>
        <v>0</v>
      </c>
      <c r="N513" s="83" t="n">
        <f aca="false">IFERROR(IF(INDEX(원자료_시장!$A$1:$BZ$1000,설정!$L$6+ROW()-1,설정!$L$36)&amp;""="0","",INDEX(원자료_시장!$A$1:$BZ$1000,설정!$L$6+ROW()-1,설정!$L$36)),"")</f>
        <v>0</v>
      </c>
      <c r="O513" s="43" t="str">
        <f aca="false">IF($A513="","",UPPER(LEFT($A513,FIND(" ",$A513&amp;" ")-1)))</f>
        <v/>
      </c>
      <c r="P513" s="43" t="str">
        <f aca="false">IF($A513="","",TRIM(RIGHT(SUBSTITUTE(TRIM($A513)," ",REPT(" ",30)),30)))</f>
        <v/>
      </c>
      <c r="Q513" s="98" t="str">
        <f aca="false">IF($A513="","",IFERROR(DATE(IF(LEN(P513)=8,2000+VALUE(RIGHT(P513,2)),VALUE(RIGHT(P513,4))),VALUE(LEFT(P513,2)),VALUE(MID(P513,4,2))),""))</f>
        <v/>
      </c>
      <c r="R513" s="89" t="n">
        <f aca="false">IF($A513="",0,IF(ISNUMBER(SEARCH("Float",$A513)),1,0))</f>
        <v>0</v>
      </c>
      <c r="S513" s="43" t="str">
        <f aca="false">IF($A513="","",TRIM(MID($A513,LEN(O513)+2,LEN($A513)-LEN(O513)-LEN(P513)-1)))</f>
        <v/>
      </c>
      <c r="T513" s="92" t="str">
        <f aca="false">IF(OR($A513="",R513=1),"",IFERROR(IF(ISNUMBER(FIND("/",S513)),IF(ISNUMBER(FIND(" ",S513)),VALUE(LEFT(S513,FIND(" ",S513)-1))+VALUE(MID(S513,FIND(" ",S513)+1,FIND("/",S513)-FIND(" ",S513)-1))/VALUE(MID(S513,FIND("/",S513)+1,9)),VALUE(LEFT(S513,FIND("/",S513)-1))/VALUE(MID(S513,FIND("/",S513)+1,9))),VALUE(S513)),""))</f>
        <v/>
      </c>
      <c r="U513" s="43" t="str">
        <f aca="false">IF(OR($A513="",NOT(ISNUMBER(Q513))),"",TEXT(Q513,"yyyymmdd")&amp;"|"&amp;IF(R513=1,"F",TEXT(T513,"0.000")))</f>
        <v/>
      </c>
      <c r="V513" s="43" t="str">
        <f aca="false">IF(U513="","",O513&amp;"|"&amp;U513)</f>
        <v/>
      </c>
      <c r="W513" s="43" t="str">
        <f aca="false">IF($A513="","",IFERROR(IF(VLOOKUP(O513,매핑!$A$4:$E$92,3,0)="","미분류",VLOOKUP(O513,매핑!$A$4:$E$92,3,0)),"미분류"))</f>
        <v/>
      </c>
      <c r="X513" s="89" t="n">
        <f aca="false">IF($A513="",0,IF(O513="T",1,0))</f>
        <v>0</v>
      </c>
      <c r="Y513" s="89" t="n">
        <f aca="false">IF($A513="",0,IF(AND(C513="USD",X513=0,ISNUMBER(E513),ISNUMBER(K513)),IF(K513&gt;=설정!$C$8,1,0),0))</f>
        <v>0</v>
      </c>
      <c r="Z513" s="43" t="str">
        <f aca="false">IF($A513="","",N513&amp;"|"&amp;L513)</f>
        <v/>
      </c>
      <c r="AA513" s="92" t="n">
        <f aca="false">IF(Y513=1,LN(K513),0)</f>
        <v>0</v>
      </c>
      <c r="AB513" s="93" t="n">
        <f aca="false">IF(Y513=1,E513,0)</f>
        <v>0</v>
      </c>
      <c r="AC513" s="89" t="n">
        <f aca="false">IF(Y513=1,COUNTIFS($Z$2:$Z$601,Z513,$Y$2:$Y$601,1),0)</f>
        <v>0</v>
      </c>
      <c r="AD513" s="89" t="n">
        <f aca="false">IF(Y513=1,COUNTIFS($N$2:$N$601,N513,$Y$2:$Y$601,1),0)</f>
        <v>0</v>
      </c>
      <c r="AE513" s="43" t="str">
        <f aca="false">IF(Y513&lt;&gt;1,"",IF(AND(AC513&gt;=설정!$C$7,ISNUMBER(MATCH(Z513,피어커브!$A:$A,0))),Z513,IF(AND(AD513&gt;=설정!$C$7,ISNUMBER(MATCH(N513&amp;"|전체",피어커브!$A:$A,0))),N513&amp;"|전체","전체|전체")))</f>
        <v/>
      </c>
      <c r="AF513" s="93" t="str">
        <f aca="false">IF(AE513="","",INDEX(피어커브!$K:$K,MATCH(AE513,피어커브!$A:$A,0)))</f>
        <v/>
      </c>
      <c r="AG513" s="93" t="str">
        <f aca="false">IF(AE513="","",INDEX(피어커브!$J:$J,MATCH(AE513,피어커브!$A:$A,0)))</f>
        <v/>
      </c>
      <c r="AH513" s="93" t="str">
        <f aca="false">IF(AE513="","",INDEX(피어커브!$L:$L,MATCH(AE513,피어커브!$A:$A,0)))</f>
        <v/>
      </c>
      <c r="AI513" s="93" t="str">
        <f aca="false">IF(AE513="","",AF513+AG513*AA513)</f>
        <v/>
      </c>
      <c r="AJ513" s="96" t="str">
        <f aca="false">IF(AE513="","",E513-AI513)</f>
        <v/>
      </c>
      <c r="AK513" s="95" t="str">
        <f aca="false">IF(AE513="","",IF(ISNUMBER(AH513),IF(AH513&gt;0,AJ513/AH513,""),""))</f>
        <v/>
      </c>
      <c r="AL513" s="43" t="str">
        <f aca="false">IF(AK513="","-",IF(AK513&gt;=설정!$C$6,"Cheap",IF(AK513&lt;=-설정!$C$6,"Rich","Fair")))</f>
        <v>-</v>
      </c>
      <c r="AM513" s="96" t="str">
        <f aca="false">IF(AE513="","",AJ513-AVERAGEIFS($AJ$2:$AJ$601,$B$2:$B$601,B513,$Y$2:$Y$601,1))</f>
        <v/>
      </c>
      <c r="AN513" s="93" t="n">
        <f aca="false">IF(AE513="",0,IF(K513&gt;1+설정!$C$8,AG513*(AA513-LN(K513-1)),0))</f>
        <v>0</v>
      </c>
      <c r="AO513" s="99" t="n">
        <f aca="false">IF($A513="",0,SUMIFS(보유분석!$AA$2:$AA$801,보유분석!$AB$2:$AB$801,ROW(),보유분석!$AC$2:$AC$801,1))</f>
        <v>0</v>
      </c>
      <c r="AP513" s="43" t="str">
        <f aca="false">IF($A513="","",TRIM(IF(R513=1,"FRN ","")&amp;IF(IFERROR(VLOOKUP(M513,설정!$A$15:$D$47,4,0),0)&gt;=10,IF(IFERROR(VLOOKUP(M513,설정!$A$15:$D$47,4,0),0)&lt;99,"BBB0미만 ",""),"")&amp;IF(OR(M513="",M513="NR"),"등급미입력 ","")&amp;IF(C513&lt;&gt;"USD","비USD ","")))</f>
        <v/>
      </c>
      <c r="AQ513" s="90" t="n">
        <f aca="false">IF(AND(Y513=1,AL513="Cheap"),IF(AND(ISERROR(SEARCH("FRN",AP513)),ISERROR(SEARCH("BBB0미만",AP513))),AK513+ROW()/1000000000,-999),-999)</f>
        <v>-999</v>
      </c>
      <c r="AR513" s="92" t="str">
        <f aca="false">IF(AND(ISNUMBER(D513),ISNUMBER(K513)),D513+AN513*MAX(K513-1,0)/100,"")</f>
        <v/>
      </c>
      <c r="AS513" s="93" t="str">
        <f aca="false">IF(AND(ISNUMBER(E513),ISNUMBER(K513)),IF(K513&gt;0,(E513+AN513*MAX(K513-1,0))/K513,""),"")</f>
        <v/>
      </c>
      <c r="AT513" s="90" t="n">
        <f aca="false">IFERROR(IF(AND(Y513=1,ROW()&lt;&gt;스왑분석!$C$12+1,ABS(K513-INDEX($K$2:$K$601,스왑분석!$C$12))&lt;=스왑분석!$C$5,ISERROR(SEARCH("FRN",AP513)),ISERROR(SEARCH("BBB0미만",AP513))),IF(AND(OR(스왑분석!$C$6="N",L513=INDEX($L$2:$L$601,스왑분석!$C$12)),OR(스왑분석!$C$7="N",N513=INDEX($N$2:$N$601,스왑분석!$C$12)),OR(스왑분석!$C$8="N",AO513=0),E513-INDEX($E$2:$E$601,스왑분석!$C$12)&gt;=스왑분석!$C$9),E513-INDEX($E$2:$E$601,스왑분석!$C$12)+ROW()/1000000000,-999),-999),-999)</f>
        <v>-999</v>
      </c>
      <c r="AU513" s="90" t="n">
        <f aca="false">IF(AND(Y513=1,AO513&gt;0,AL513="Rich"),-AK513+ROW()/1000000000,-999)</f>
        <v>-999</v>
      </c>
    </row>
    <row r="514" customFormat="false" ht="15" hidden="false" customHeight="false" outlineLevel="0" collapsed="false">
      <c r="A514" s="83" t="n">
        <f aca="false">IFERROR(IF(INDEX(원자료_시장!$A$1:$BZ$1000,설정!$L$6+ROW()-1,설정!$L$24)&amp;""="0","",INDEX(원자료_시장!$A$1:$BZ$1000,설정!$L$6+ROW()-1,설정!$L$24)),"")</f>
        <v>0</v>
      </c>
      <c r="B514" s="83" t="n">
        <f aca="false">IFERROR(IF(INDEX(원자료_시장!$A$1:$BZ$1000,설정!$L$6+ROW()-1,설정!$L$37)&amp;""="0","",INDEX(원자료_시장!$A$1:$BZ$1000,설정!$L$6+ROW()-1,설정!$L$37)),"")</f>
        <v>0</v>
      </c>
      <c r="C514" s="83" t="n">
        <f aca="false">IFERROR(IF(INDEX(원자료_시장!$A$1:$BZ$1000,설정!$L$6+ROW()-1,설정!$L$25)&amp;""="0","",INDEX(원자료_시장!$A$1:$BZ$1000,설정!$L$6+ROW()-1,설정!$L$25)),"")</f>
        <v>0</v>
      </c>
      <c r="D514" s="85" t="str">
        <f aca="false">IFERROR(IF(ISNUMBER(INDEX(원자료_시장!$A$1:$BZ$1000,설정!$L$6+ROW()-1,설정!$L$26)),INDEX(원자료_시장!$A$1:$BZ$1000,설정!$L$6+ROW()-1,설정!$L$26),""),"")</f>
        <v/>
      </c>
      <c r="E514" s="97" t="str">
        <f aca="false">IFERROR(IF(ISNUMBER(INDEX(원자료_시장!$A$1:$BZ$1000,설정!$L$6+ROW()-1,설정!$L$27)),INDEX(원자료_시장!$A$1:$BZ$1000,설정!$L$6+ROW()-1,설정!$L$27),""),"")</f>
        <v/>
      </c>
      <c r="F514" s="97" t="str">
        <f aca="false">IFERROR(IF(ISNUMBER(INDEX(원자료_시장!$A$1:$BZ$1000,설정!$L$6+ROW()-1,설정!$L$28)),INDEX(원자료_시장!$A$1:$BZ$1000,설정!$L$6+ROW()-1,설정!$L$28),""),"")</f>
        <v/>
      </c>
      <c r="G514" s="97" t="str">
        <f aca="false">IFERROR(IF(ISNUMBER(INDEX(원자료_시장!$A$1:$BZ$1000,설정!$L$6+ROW()-1,설정!$L$29)),INDEX(원자료_시장!$A$1:$BZ$1000,설정!$L$6+ROW()-1,설정!$L$29),""),"")</f>
        <v/>
      </c>
      <c r="H514" s="97" t="str">
        <f aca="false">IFERROR(IF(ISNUMBER(INDEX(원자료_시장!$A$1:$BZ$1000,설정!$L$6+ROW()-1,설정!$L$30)),INDEX(원자료_시장!$A$1:$BZ$1000,설정!$L$6+ROW()-1,설정!$L$30),""),"")</f>
        <v/>
      </c>
      <c r="I514" s="97" t="str">
        <f aca="false">IFERROR(IF(ISNUMBER(INDEX(원자료_시장!$A$1:$BZ$1000,설정!$L$6+ROW()-1,설정!$L$31)),INDEX(원자료_시장!$A$1:$BZ$1000,설정!$L$6+ROW()-1,설정!$L$31),""),"")</f>
        <v/>
      </c>
      <c r="J514" s="97" t="str">
        <f aca="false">IFERROR(IF(ISNUMBER(INDEX(원자료_시장!$A$1:$BZ$1000,설정!$L$6+ROW()-1,설정!$L$32)),INDEX(원자료_시장!$A$1:$BZ$1000,설정!$L$6+ROW()-1,설정!$L$32),""),"")</f>
        <v/>
      </c>
      <c r="K514" s="85" t="str">
        <f aca="false">IFERROR(IF(ISNUMBER(INDEX(원자료_시장!$A$1:$BZ$1000,설정!$L$6+ROW()-1,설정!$L$33)),INDEX(원자료_시장!$A$1:$BZ$1000,설정!$L$6+ROW()-1,설정!$L$33),""),"")</f>
        <v/>
      </c>
      <c r="L514" s="83" t="n">
        <f aca="false">IFERROR(IF(INDEX(원자료_시장!$A$1:$BZ$1000,설정!$L$6+ROW()-1,설정!$L$34)&amp;""="0","",INDEX(원자료_시장!$A$1:$BZ$1000,설정!$L$6+ROW()-1,설정!$L$34)),"")</f>
        <v>0</v>
      </c>
      <c r="M514" s="83" t="n">
        <f aca="false">IFERROR(IF(INDEX(원자료_시장!$A$1:$BZ$1000,설정!$L$6+ROW()-1,설정!$L$35)&amp;""="0","",INDEX(원자료_시장!$A$1:$BZ$1000,설정!$L$6+ROW()-1,설정!$L$35)),"")</f>
        <v>0</v>
      </c>
      <c r="N514" s="83" t="n">
        <f aca="false">IFERROR(IF(INDEX(원자료_시장!$A$1:$BZ$1000,설정!$L$6+ROW()-1,설정!$L$36)&amp;""="0","",INDEX(원자료_시장!$A$1:$BZ$1000,설정!$L$6+ROW()-1,설정!$L$36)),"")</f>
        <v>0</v>
      </c>
      <c r="O514" s="43" t="str">
        <f aca="false">IF($A514="","",UPPER(LEFT($A514,FIND(" ",$A514&amp;" ")-1)))</f>
        <v/>
      </c>
      <c r="P514" s="43" t="str">
        <f aca="false">IF($A514="","",TRIM(RIGHT(SUBSTITUTE(TRIM($A514)," ",REPT(" ",30)),30)))</f>
        <v/>
      </c>
      <c r="Q514" s="98" t="str">
        <f aca="false">IF($A514="","",IFERROR(DATE(IF(LEN(P514)=8,2000+VALUE(RIGHT(P514,2)),VALUE(RIGHT(P514,4))),VALUE(LEFT(P514,2)),VALUE(MID(P514,4,2))),""))</f>
        <v/>
      </c>
      <c r="R514" s="89" t="n">
        <f aca="false">IF($A514="",0,IF(ISNUMBER(SEARCH("Float",$A514)),1,0))</f>
        <v>0</v>
      </c>
      <c r="S514" s="43" t="str">
        <f aca="false">IF($A514="","",TRIM(MID($A514,LEN(O514)+2,LEN($A514)-LEN(O514)-LEN(P514)-1)))</f>
        <v/>
      </c>
      <c r="T514" s="92" t="str">
        <f aca="false">IF(OR($A514="",R514=1),"",IFERROR(IF(ISNUMBER(FIND("/",S514)),IF(ISNUMBER(FIND(" ",S514)),VALUE(LEFT(S514,FIND(" ",S514)-1))+VALUE(MID(S514,FIND(" ",S514)+1,FIND("/",S514)-FIND(" ",S514)-1))/VALUE(MID(S514,FIND("/",S514)+1,9)),VALUE(LEFT(S514,FIND("/",S514)-1))/VALUE(MID(S514,FIND("/",S514)+1,9))),VALUE(S514)),""))</f>
        <v/>
      </c>
      <c r="U514" s="43" t="str">
        <f aca="false">IF(OR($A514="",NOT(ISNUMBER(Q514))),"",TEXT(Q514,"yyyymmdd")&amp;"|"&amp;IF(R514=1,"F",TEXT(T514,"0.000")))</f>
        <v/>
      </c>
      <c r="V514" s="43" t="str">
        <f aca="false">IF(U514="","",O514&amp;"|"&amp;U514)</f>
        <v/>
      </c>
      <c r="W514" s="43" t="str">
        <f aca="false">IF($A514="","",IFERROR(IF(VLOOKUP(O514,매핑!$A$4:$E$92,3,0)="","미분류",VLOOKUP(O514,매핑!$A$4:$E$92,3,0)),"미분류"))</f>
        <v/>
      </c>
      <c r="X514" s="89" t="n">
        <f aca="false">IF($A514="",0,IF(O514="T",1,0))</f>
        <v>0</v>
      </c>
      <c r="Y514" s="89" t="n">
        <f aca="false">IF($A514="",0,IF(AND(C514="USD",X514=0,ISNUMBER(E514),ISNUMBER(K514)),IF(K514&gt;=설정!$C$8,1,0),0))</f>
        <v>0</v>
      </c>
      <c r="Z514" s="43" t="str">
        <f aca="false">IF($A514="","",N514&amp;"|"&amp;L514)</f>
        <v/>
      </c>
      <c r="AA514" s="92" t="n">
        <f aca="false">IF(Y514=1,LN(K514),0)</f>
        <v>0</v>
      </c>
      <c r="AB514" s="93" t="n">
        <f aca="false">IF(Y514=1,E514,0)</f>
        <v>0</v>
      </c>
      <c r="AC514" s="89" t="n">
        <f aca="false">IF(Y514=1,COUNTIFS($Z$2:$Z$601,Z514,$Y$2:$Y$601,1),0)</f>
        <v>0</v>
      </c>
      <c r="AD514" s="89" t="n">
        <f aca="false">IF(Y514=1,COUNTIFS($N$2:$N$601,N514,$Y$2:$Y$601,1),0)</f>
        <v>0</v>
      </c>
      <c r="AE514" s="43" t="str">
        <f aca="false">IF(Y514&lt;&gt;1,"",IF(AND(AC514&gt;=설정!$C$7,ISNUMBER(MATCH(Z514,피어커브!$A:$A,0))),Z514,IF(AND(AD514&gt;=설정!$C$7,ISNUMBER(MATCH(N514&amp;"|전체",피어커브!$A:$A,0))),N514&amp;"|전체","전체|전체")))</f>
        <v/>
      </c>
      <c r="AF514" s="93" t="str">
        <f aca="false">IF(AE514="","",INDEX(피어커브!$K:$K,MATCH(AE514,피어커브!$A:$A,0)))</f>
        <v/>
      </c>
      <c r="AG514" s="93" t="str">
        <f aca="false">IF(AE514="","",INDEX(피어커브!$J:$J,MATCH(AE514,피어커브!$A:$A,0)))</f>
        <v/>
      </c>
      <c r="AH514" s="93" t="str">
        <f aca="false">IF(AE514="","",INDEX(피어커브!$L:$L,MATCH(AE514,피어커브!$A:$A,0)))</f>
        <v/>
      </c>
      <c r="AI514" s="93" t="str">
        <f aca="false">IF(AE514="","",AF514+AG514*AA514)</f>
        <v/>
      </c>
      <c r="AJ514" s="96" t="str">
        <f aca="false">IF(AE514="","",E514-AI514)</f>
        <v/>
      </c>
      <c r="AK514" s="95" t="str">
        <f aca="false">IF(AE514="","",IF(ISNUMBER(AH514),IF(AH514&gt;0,AJ514/AH514,""),""))</f>
        <v/>
      </c>
      <c r="AL514" s="43" t="str">
        <f aca="false">IF(AK514="","-",IF(AK514&gt;=설정!$C$6,"Cheap",IF(AK514&lt;=-설정!$C$6,"Rich","Fair")))</f>
        <v>-</v>
      </c>
      <c r="AM514" s="96" t="str">
        <f aca="false">IF(AE514="","",AJ514-AVERAGEIFS($AJ$2:$AJ$601,$B$2:$B$601,B514,$Y$2:$Y$601,1))</f>
        <v/>
      </c>
      <c r="AN514" s="93" t="n">
        <f aca="false">IF(AE514="",0,IF(K514&gt;1+설정!$C$8,AG514*(AA514-LN(K514-1)),0))</f>
        <v>0</v>
      </c>
      <c r="AO514" s="99" t="n">
        <f aca="false">IF($A514="",0,SUMIFS(보유분석!$AA$2:$AA$801,보유분석!$AB$2:$AB$801,ROW(),보유분석!$AC$2:$AC$801,1))</f>
        <v>0</v>
      </c>
      <c r="AP514" s="43" t="str">
        <f aca="false">IF($A514="","",TRIM(IF(R514=1,"FRN ","")&amp;IF(IFERROR(VLOOKUP(M514,설정!$A$15:$D$47,4,0),0)&gt;=10,IF(IFERROR(VLOOKUP(M514,설정!$A$15:$D$47,4,0),0)&lt;99,"BBB0미만 ",""),"")&amp;IF(OR(M514="",M514="NR"),"등급미입력 ","")&amp;IF(C514&lt;&gt;"USD","비USD ","")))</f>
        <v/>
      </c>
      <c r="AQ514" s="90" t="n">
        <f aca="false">IF(AND(Y514=1,AL514="Cheap"),IF(AND(ISERROR(SEARCH("FRN",AP514)),ISERROR(SEARCH("BBB0미만",AP514))),AK514+ROW()/1000000000,-999),-999)</f>
        <v>-999</v>
      </c>
      <c r="AR514" s="92" t="str">
        <f aca="false">IF(AND(ISNUMBER(D514),ISNUMBER(K514)),D514+AN514*MAX(K514-1,0)/100,"")</f>
        <v/>
      </c>
      <c r="AS514" s="93" t="str">
        <f aca="false">IF(AND(ISNUMBER(E514),ISNUMBER(K514)),IF(K514&gt;0,(E514+AN514*MAX(K514-1,0))/K514,""),"")</f>
        <v/>
      </c>
      <c r="AT514" s="90" t="n">
        <f aca="false">IFERROR(IF(AND(Y514=1,ROW()&lt;&gt;스왑분석!$C$12+1,ABS(K514-INDEX($K$2:$K$601,스왑분석!$C$12))&lt;=스왑분석!$C$5,ISERROR(SEARCH("FRN",AP514)),ISERROR(SEARCH("BBB0미만",AP514))),IF(AND(OR(스왑분석!$C$6="N",L514=INDEX($L$2:$L$601,스왑분석!$C$12)),OR(스왑분석!$C$7="N",N514=INDEX($N$2:$N$601,스왑분석!$C$12)),OR(스왑분석!$C$8="N",AO514=0),E514-INDEX($E$2:$E$601,스왑분석!$C$12)&gt;=스왑분석!$C$9),E514-INDEX($E$2:$E$601,스왑분석!$C$12)+ROW()/1000000000,-999),-999),-999)</f>
        <v>-999</v>
      </c>
      <c r="AU514" s="90" t="n">
        <f aca="false">IF(AND(Y514=1,AO514&gt;0,AL514="Rich"),-AK514+ROW()/1000000000,-999)</f>
        <v>-999</v>
      </c>
    </row>
    <row r="515" customFormat="false" ht="15" hidden="false" customHeight="false" outlineLevel="0" collapsed="false">
      <c r="A515" s="83" t="n">
        <f aca="false">IFERROR(IF(INDEX(원자료_시장!$A$1:$BZ$1000,설정!$L$6+ROW()-1,설정!$L$24)&amp;""="0","",INDEX(원자료_시장!$A$1:$BZ$1000,설정!$L$6+ROW()-1,설정!$L$24)),"")</f>
        <v>0</v>
      </c>
      <c r="B515" s="83" t="n">
        <f aca="false">IFERROR(IF(INDEX(원자료_시장!$A$1:$BZ$1000,설정!$L$6+ROW()-1,설정!$L$37)&amp;""="0","",INDEX(원자료_시장!$A$1:$BZ$1000,설정!$L$6+ROW()-1,설정!$L$37)),"")</f>
        <v>0</v>
      </c>
      <c r="C515" s="83" t="n">
        <f aca="false">IFERROR(IF(INDEX(원자료_시장!$A$1:$BZ$1000,설정!$L$6+ROW()-1,설정!$L$25)&amp;""="0","",INDEX(원자료_시장!$A$1:$BZ$1000,설정!$L$6+ROW()-1,설정!$L$25)),"")</f>
        <v>0</v>
      </c>
      <c r="D515" s="85" t="str">
        <f aca="false">IFERROR(IF(ISNUMBER(INDEX(원자료_시장!$A$1:$BZ$1000,설정!$L$6+ROW()-1,설정!$L$26)),INDEX(원자료_시장!$A$1:$BZ$1000,설정!$L$6+ROW()-1,설정!$L$26),""),"")</f>
        <v/>
      </c>
      <c r="E515" s="97" t="str">
        <f aca="false">IFERROR(IF(ISNUMBER(INDEX(원자료_시장!$A$1:$BZ$1000,설정!$L$6+ROW()-1,설정!$L$27)),INDEX(원자료_시장!$A$1:$BZ$1000,설정!$L$6+ROW()-1,설정!$L$27),""),"")</f>
        <v/>
      </c>
      <c r="F515" s="97" t="str">
        <f aca="false">IFERROR(IF(ISNUMBER(INDEX(원자료_시장!$A$1:$BZ$1000,설정!$L$6+ROW()-1,설정!$L$28)),INDEX(원자료_시장!$A$1:$BZ$1000,설정!$L$6+ROW()-1,설정!$L$28),""),"")</f>
        <v/>
      </c>
      <c r="G515" s="97" t="str">
        <f aca="false">IFERROR(IF(ISNUMBER(INDEX(원자료_시장!$A$1:$BZ$1000,설정!$L$6+ROW()-1,설정!$L$29)),INDEX(원자료_시장!$A$1:$BZ$1000,설정!$L$6+ROW()-1,설정!$L$29),""),"")</f>
        <v/>
      </c>
      <c r="H515" s="97" t="str">
        <f aca="false">IFERROR(IF(ISNUMBER(INDEX(원자료_시장!$A$1:$BZ$1000,설정!$L$6+ROW()-1,설정!$L$30)),INDEX(원자료_시장!$A$1:$BZ$1000,설정!$L$6+ROW()-1,설정!$L$30),""),"")</f>
        <v/>
      </c>
      <c r="I515" s="97" t="str">
        <f aca="false">IFERROR(IF(ISNUMBER(INDEX(원자료_시장!$A$1:$BZ$1000,설정!$L$6+ROW()-1,설정!$L$31)),INDEX(원자료_시장!$A$1:$BZ$1000,설정!$L$6+ROW()-1,설정!$L$31),""),"")</f>
        <v/>
      </c>
      <c r="J515" s="97" t="str">
        <f aca="false">IFERROR(IF(ISNUMBER(INDEX(원자료_시장!$A$1:$BZ$1000,설정!$L$6+ROW()-1,설정!$L$32)),INDEX(원자료_시장!$A$1:$BZ$1000,설정!$L$6+ROW()-1,설정!$L$32),""),"")</f>
        <v/>
      </c>
      <c r="K515" s="85" t="str">
        <f aca="false">IFERROR(IF(ISNUMBER(INDEX(원자료_시장!$A$1:$BZ$1000,설정!$L$6+ROW()-1,설정!$L$33)),INDEX(원자료_시장!$A$1:$BZ$1000,설정!$L$6+ROW()-1,설정!$L$33),""),"")</f>
        <v/>
      </c>
      <c r="L515" s="83" t="n">
        <f aca="false">IFERROR(IF(INDEX(원자료_시장!$A$1:$BZ$1000,설정!$L$6+ROW()-1,설정!$L$34)&amp;""="0","",INDEX(원자료_시장!$A$1:$BZ$1000,설정!$L$6+ROW()-1,설정!$L$34)),"")</f>
        <v>0</v>
      </c>
      <c r="M515" s="83" t="n">
        <f aca="false">IFERROR(IF(INDEX(원자료_시장!$A$1:$BZ$1000,설정!$L$6+ROW()-1,설정!$L$35)&amp;""="0","",INDEX(원자료_시장!$A$1:$BZ$1000,설정!$L$6+ROW()-1,설정!$L$35)),"")</f>
        <v>0</v>
      </c>
      <c r="N515" s="83" t="n">
        <f aca="false">IFERROR(IF(INDEX(원자료_시장!$A$1:$BZ$1000,설정!$L$6+ROW()-1,설정!$L$36)&amp;""="0","",INDEX(원자료_시장!$A$1:$BZ$1000,설정!$L$6+ROW()-1,설정!$L$36)),"")</f>
        <v>0</v>
      </c>
      <c r="O515" s="43" t="str">
        <f aca="false">IF($A515="","",UPPER(LEFT($A515,FIND(" ",$A515&amp;" ")-1)))</f>
        <v/>
      </c>
      <c r="P515" s="43" t="str">
        <f aca="false">IF($A515="","",TRIM(RIGHT(SUBSTITUTE(TRIM($A515)," ",REPT(" ",30)),30)))</f>
        <v/>
      </c>
      <c r="Q515" s="98" t="str">
        <f aca="false">IF($A515="","",IFERROR(DATE(IF(LEN(P515)=8,2000+VALUE(RIGHT(P515,2)),VALUE(RIGHT(P515,4))),VALUE(LEFT(P515,2)),VALUE(MID(P515,4,2))),""))</f>
        <v/>
      </c>
      <c r="R515" s="89" t="n">
        <f aca="false">IF($A515="",0,IF(ISNUMBER(SEARCH("Float",$A515)),1,0))</f>
        <v>0</v>
      </c>
      <c r="S515" s="43" t="str">
        <f aca="false">IF($A515="","",TRIM(MID($A515,LEN(O515)+2,LEN($A515)-LEN(O515)-LEN(P515)-1)))</f>
        <v/>
      </c>
      <c r="T515" s="92" t="str">
        <f aca="false">IF(OR($A515="",R515=1),"",IFERROR(IF(ISNUMBER(FIND("/",S515)),IF(ISNUMBER(FIND(" ",S515)),VALUE(LEFT(S515,FIND(" ",S515)-1))+VALUE(MID(S515,FIND(" ",S515)+1,FIND("/",S515)-FIND(" ",S515)-1))/VALUE(MID(S515,FIND("/",S515)+1,9)),VALUE(LEFT(S515,FIND("/",S515)-1))/VALUE(MID(S515,FIND("/",S515)+1,9))),VALUE(S515)),""))</f>
        <v/>
      </c>
      <c r="U515" s="43" t="str">
        <f aca="false">IF(OR($A515="",NOT(ISNUMBER(Q515))),"",TEXT(Q515,"yyyymmdd")&amp;"|"&amp;IF(R515=1,"F",TEXT(T515,"0.000")))</f>
        <v/>
      </c>
      <c r="V515" s="43" t="str">
        <f aca="false">IF(U515="","",O515&amp;"|"&amp;U515)</f>
        <v/>
      </c>
      <c r="W515" s="43" t="str">
        <f aca="false">IF($A515="","",IFERROR(IF(VLOOKUP(O515,매핑!$A$4:$E$92,3,0)="","미분류",VLOOKUP(O515,매핑!$A$4:$E$92,3,0)),"미분류"))</f>
        <v/>
      </c>
      <c r="X515" s="89" t="n">
        <f aca="false">IF($A515="",0,IF(O515="T",1,0))</f>
        <v>0</v>
      </c>
      <c r="Y515" s="89" t="n">
        <f aca="false">IF($A515="",0,IF(AND(C515="USD",X515=0,ISNUMBER(E515),ISNUMBER(K515)),IF(K515&gt;=설정!$C$8,1,0),0))</f>
        <v>0</v>
      </c>
      <c r="Z515" s="43" t="str">
        <f aca="false">IF($A515="","",N515&amp;"|"&amp;L515)</f>
        <v/>
      </c>
      <c r="AA515" s="92" t="n">
        <f aca="false">IF(Y515=1,LN(K515),0)</f>
        <v>0</v>
      </c>
      <c r="AB515" s="93" t="n">
        <f aca="false">IF(Y515=1,E515,0)</f>
        <v>0</v>
      </c>
      <c r="AC515" s="89" t="n">
        <f aca="false">IF(Y515=1,COUNTIFS($Z$2:$Z$601,Z515,$Y$2:$Y$601,1),0)</f>
        <v>0</v>
      </c>
      <c r="AD515" s="89" t="n">
        <f aca="false">IF(Y515=1,COUNTIFS($N$2:$N$601,N515,$Y$2:$Y$601,1),0)</f>
        <v>0</v>
      </c>
      <c r="AE515" s="43" t="str">
        <f aca="false">IF(Y515&lt;&gt;1,"",IF(AND(AC515&gt;=설정!$C$7,ISNUMBER(MATCH(Z515,피어커브!$A:$A,0))),Z515,IF(AND(AD515&gt;=설정!$C$7,ISNUMBER(MATCH(N515&amp;"|전체",피어커브!$A:$A,0))),N515&amp;"|전체","전체|전체")))</f>
        <v/>
      </c>
      <c r="AF515" s="93" t="str">
        <f aca="false">IF(AE515="","",INDEX(피어커브!$K:$K,MATCH(AE515,피어커브!$A:$A,0)))</f>
        <v/>
      </c>
      <c r="AG515" s="93" t="str">
        <f aca="false">IF(AE515="","",INDEX(피어커브!$J:$J,MATCH(AE515,피어커브!$A:$A,0)))</f>
        <v/>
      </c>
      <c r="AH515" s="93" t="str">
        <f aca="false">IF(AE515="","",INDEX(피어커브!$L:$L,MATCH(AE515,피어커브!$A:$A,0)))</f>
        <v/>
      </c>
      <c r="AI515" s="93" t="str">
        <f aca="false">IF(AE515="","",AF515+AG515*AA515)</f>
        <v/>
      </c>
      <c r="AJ515" s="96" t="str">
        <f aca="false">IF(AE515="","",E515-AI515)</f>
        <v/>
      </c>
      <c r="AK515" s="95" t="str">
        <f aca="false">IF(AE515="","",IF(ISNUMBER(AH515),IF(AH515&gt;0,AJ515/AH515,""),""))</f>
        <v/>
      </c>
      <c r="AL515" s="43" t="str">
        <f aca="false">IF(AK515="","-",IF(AK515&gt;=설정!$C$6,"Cheap",IF(AK515&lt;=-설정!$C$6,"Rich","Fair")))</f>
        <v>-</v>
      </c>
      <c r="AM515" s="96" t="str">
        <f aca="false">IF(AE515="","",AJ515-AVERAGEIFS($AJ$2:$AJ$601,$B$2:$B$601,B515,$Y$2:$Y$601,1))</f>
        <v/>
      </c>
      <c r="AN515" s="93" t="n">
        <f aca="false">IF(AE515="",0,IF(K515&gt;1+설정!$C$8,AG515*(AA515-LN(K515-1)),0))</f>
        <v>0</v>
      </c>
      <c r="AO515" s="99" t="n">
        <f aca="false">IF($A515="",0,SUMIFS(보유분석!$AA$2:$AA$801,보유분석!$AB$2:$AB$801,ROW(),보유분석!$AC$2:$AC$801,1))</f>
        <v>0</v>
      </c>
      <c r="AP515" s="43" t="str">
        <f aca="false">IF($A515="","",TRIM(IF(R515=1,"FRN ","")&amp;IF(IFERROR(VLOOKUP(M515,설정!$A$15:$D$47,4,0),0)&gt;=10,IF(IFERROR(VLOOKUP(M515,설정!$A$15:$D$47,4,0),0)&lt;99,"BBB0미만 ",""),"")&amp;IF(OR(M515="",M515="NR"),"등급미입력 ","")&amp;IF(C515&lt;&gt;"USD","비USD ","")))</f>
        <v/>
      </c>
      <c r="AQ515" s="90" t="n">
        <f aca="false">IF(AND(Y515=1,AL515="Cheap"),IF(AND(ISERROR(SEARCH("FRN",AP515)),ISERROR(SEARCH("BBB0미만",AP515))),AK515+ROW()/1000000000,-999),-999)</f>
        <v>-999</v>
      </c>
      <c r="AR515" s="92" t="str">
        <f aca="false">IF(AND(ISNUMBER(D515),ISNUMBER(K515)),D515+AN515*MAX(K515-1,0)/100,"")</f>
        <v/>
      </c>
      <c r="AS515" s="93" t="str">
        <f aca="false">IF(AND(ISNUMBER(E515),ISNUMBER(K515)),IF(K515&gt;0,(E515+AN515*MAX(K515-1,0))/K515,""),"")</f>
        <v/>
      </c>
      <c r="AT515" s="90" t="n">
        <f aca="false">IFERROR(IF(AND(Y515=1,ROW()&lt;&gt;스왑분석!$C$12+1,ABS(K515-INDEX($K$2:$K$601,스왑분석!$C$12))&lt;=스왑분석!$C$5,ISERROR(SEARCH("FRN",AP515)),ISERROR(SEARCH("BBB0미만",AP515))),IF(AND(OR(스왑분석!$C$6="N",L515=INDEX($L$2:$L$601,스왑분석!$C$12)),OR(스왑분석!$C$7="N",N515=INDEX($N$2:$N$601,스왑분석!$C$12)),OR(스왑분석!$C$8="N",AO515=0),E515-INDEX($E$2:$E$601,스왑분석!$C$12)&gt;=스왑분석!$C$9),E515-INDEX($E$2:$E$601,스왑분석!$C$12)+ROW()/1000000000,-999),-999),-999)</f>
        <v>-999</v>
      </c>
      <c r="AU515" s="90" t="n">
        <f aca="false">IF(AND(Y515=1,AO515&gt;0,AL515="Rich"),-AK515+ROW()/1000000000,-999)</f>
        <v>-999</v>
      </c>
    </row>
    <row r="516" customFormat="false" ht="15" hidden="false" customHeight="false" outlineLevel="0" collapsed="false">
      <c r="A516" s="83" t="n">
        <f aca="false">IFERROR(IF(INDEX(원자료_시장!$A$1:$BZ$1000,설정!$L$6+ROW()-1,설정!$L$24)&amp;""="0","",INDEX(원자료_시장!$A$1:$BZ$1000,설정!$L$6+ROW()-1,설정!$L$24)),"")</f>
        <v>0</v>
      </c>
      <c r="B516" s="83" t="n">
        <f aca="false">IFERROR(IF(INDEX(원자료_시장!$A$1:$BZ$1000,설정!$L$6+ROW()-1,설정!$L$37)&amp;""="0","",INDEX(원자료_시장!$A$1:$BZ$1000,설정!$L$6+ROW()-1,설정!$L$37)),"")</f>
        <v>0</v>
      </c>
      <c r="C516" s="83" t="n">
        <f aca="false">IFERROR(IF(INDEX(원자료_시장!$A$1:$BZ$1000,설정!$L$6+ROW()-1,설정!$L$25)&amp;""="0","",INDEX(원자료_시장!$A$1:$BZ$1000,설정!$L$6+ROW()-1,설정!$L$25)),"")</f>
        <v>0</v>
      </c>
      <c r="D516" s="85" t="str">
        <f aca="false">IFERROR(IF(ISNUMBER(INDEX(원자료_시장!$A$1:$BZ$1000,설정!$L$6+ROW()-1,설정!$L$26)),INDEX(원자료_시장!$A$1:$BZ$1000,설정!$L$6+ROW()-1,설정!$L$26),""),"")</f>
        <v/>
      </c>
      <c r="E516" s="97" t="str">
        <f aca="false">IFERROR(IF(ISNUMBER(INDEX(원자료_시장!$A$1:$BZ$1000,설정!$L$6+ROW()-1,설정!$L$27)),INDEX(원자료_시장!$A$1:$BZ$1000,설정!$L$6+ROW()-1,설정!$L$27),""),"")</f>
        <v/>
      </c>
      <c r="F516" s="97" t="str">
        <f aca="false">IFERROR(IF(ISNUMBER(INDEX(원자료_시장!$A$1:$BZ$1000,설정!$L$6+ROW()-1,설정!$L$28)),INDEX(원자료_시장!$A$1:$BZ$1000,설정!$L$6+ROW()-1,설정!$L$28),""),"")</f>
        <v/>
      </c>
      <c r="G516" s="97" t="str">
        <f aca="false">IFERROR(IF(ISNUMBER(INDEX(원자료_시장!$A$1:$BZ$1000,설정!$L$6+ROW()-1,설정!$L$29)),INDEX(원자료_시장!$A$1:$BZ$1000,설정!$L$6+ROW()-1,설정!$L$29),""),"")</f>
        <v/>
      </c>
      <c r="H516" s="97" t="str">
        <f aca="false">IFERROR(IF(ISNUMBER(INDEX(원자료_시장!$A$1:$BZ$1000,설정!$L$6+ROW()-1,설정!$L$30)),INDEX(원자료_시장!$A$1:$BZ$1000,설정!$L$6+ROW()-1,설정!$L$30),""),"")</f>
        <v/>
      </c>
      <c r="I516" s="97" t="str">
        <f aca="false">IFERROR(IF(ISNUMBER(INDEX(원자료_시장!$A$1:$BZ$1000,설정!$L$6+ROW()-1,설정!$L$31)),INDEX(원자료_시장!$A$1:$BZ$1000,설정!$L$6+ROW()-1,설정!$L$31),""),"")</f>
        <v/>
      </c>
      <c r="J516" s="97" t="str">
        <f aca="false">IFERROR(IF(ISNUMBER(INDEX(원자료_시장!$A$1:$BZ$1000,설정!$L$6+ROW()-1,설정!$L$32)),INDEX(원자료_시장!$A$1:$BZ$1000,설정!$L$6+ROW()-1,설정!$L$32),""),"")</f>
        <v/>
      </c>
      <c r="K516" s="85" t="str">
        <f aca="false">IFERROR(IF(ISNUMBER(INDEX(원자료_시장!$A$1:$BZ$1000,설정!$L$6+ROW()-1,설정!$L$33)),INDEX(원자료_시장!$A$1:$BZ$1000,설정!$L$6+ROW()-1,설정!$L$33),""),"")</f>
        <v/>
      </c>
      <c r="L516" s="83" t="n">
        <f aca="false">IFERROR(IF(INDEX(원자료_시장!$A$1:$BZ$1000,설정!$L$6+ROW()-1,설정!$L$34)&amp;""="0","",INDEX(원자료_시장!$A$1:$BZ$1000,설정!$L$6+ROW()-1,설정!$L$34)),"")</f>
        <v>0</v>
      </c>
      <c r="M516" s="83" t="n">
        <f aca="false">IFERROR(IF(INDEX(원자료_시장!$A$1:$BZ$1000,설정!$L$6+ROW()-1,설정!$L$35)&amp;""="0","",INDEX(원자료_시장!$A$1:$BZ$1000,설정!$L$6+ROW()-1,설정!$L$35)),"")</f>
        <v>0</v>
      </c>
      <c r="N516" s="83" t="n">
        <f aca="false">IFERROR(IF(INDEX(원자료_시장!$A$1:$BZ$1000,설정!$L$6+ROW()-1,설정!$L$36)&amp;""="0","",INDEX(원자료_시장!$A$1:$BZ$1000,설정!$L$6+ROW()-1,설정!$L$36)),"")</f>
        <v>0</v>
      </c>
      <c r="O516" s="43" t="str">
        <f aca="false">IF($A516="","",UPPER(LEFT($A516,FIND(" ",$A516&amp;" ")-1)))</f>
        <v/>
      </c>
      <c r="P516" s="43" t="str">
        <f aca="false">IF($A516="","",TRIM(RIGHT(SUBSTITUTE(TRIM($A516)," ",REPT(" ",30)),30)))</f>
        <v/>
      </c>
      <c r="Q516" s="98" t="str">
        <f aca="false">IF($A516="","",IFERROR(DATE(IF(LEN(P516)=8,2000+VALUE(RIGHT(P516,2)),VALUE(RIGHT(P516,4))),VALUE(LEFT(P516,2)),VALUE(MID(P516,4,2))),""))</f>
        <v/>
      </c>
      <c r="R516" s="89" t="n">
        <f aca="false">IF($A516="",0,IF(ISNUMBER(SEARCH("Float",$A516)),1,0))</f>
        <v>0</v>
      </c>
      <c r="S516" s="43" t="str">
        <f aca="false">IF($A516="","",TRIM(MID($A516,LEN(O516)+2,LEN($A516)-LEN(O516)-LEN(P516)-1)))</f>
        <v/>
      </c>
      <c r="T516" s="92" t="str">
        <f aca="false">IF(OR($A516="",R516=1),"",IFERROR(IF(ISNUMBER(FIND("/",S516)),IF(ISNUMBER(FIND(" ",S516)),VALUE(LEFT(S516,FIND(" ",S516)-1))+VALUE(MID(S516,FIND(" ",S516)+1,FIND("/",S516)-FIND(" ",S516)-1))/VALUE(MID(S516,FIND("/",S516)+1,9)),VALUE(LEFT(S516,FIND("/",S516)-1))/VALUE(MID(S516,FIND("/",S516)+1,9))),VALUE(S516)),""))</f>
        <v/>
      </c>
      <c r="U516" s="43" t="str">
        <f aca="false">IF(OR($A516="",NOT(ISNUMBER(Q516))),"",TEXT(Q516,"yyyymmdd")&amp;"|"&amp;IF(R516=1,"F",TEXT(T516,"0.000")))</f>
        <v/>
      </c>
      <c r="V516" s="43" t="str">
        <f aca="false">IF(U516="","",O516&amp;"|"&amp;U516)</f>
        <v/>
      </c>
      <c r="W516" s="43" t="str">
        <f aca="false">IF($A516="","",IFERROR(IF(VLOOKUP(O516,매핑!$A$4:$E$92,3,0)="","미분류",VLOOKUP(O516,매핑!$A$4:$E$92,3,0)),"미분류"))</f>
        <v/>
      </c>
      <c r="X516" s="89" t="n">
        <f aca="false">IF($A516="",0,IF(O516="T",1,0))</f>
        <v>0</v>
      </c>
      <c r="Y516" s="89" t="n">
        <f aca="false">IF($A516="",0,IF(AND(C516="USD",X516=0,ISNUMBER(E516),ISNUMBER(K516)),IF(K516&gt;=설정!$C$8,1,0),0))</f>
        <v>0</v>
      </c>
      <c r="Z516" s="43" t="str">
        <f aca="false">IF($A516="","",N516&amp;"|"&amp;L516)</f>
        <v/>
      </c>
      <c r="AA516" s="92" t="n">
        <f aca="false">IF(Y516=1,LN(K516),0)</f>
        <v>0</v>
      </c>
      <c r="AB516" s="93" t="n">
        <f aca="false">IF(Y516=1,E516,0)</f>
        <v>0</v>
      </c>
      <c r="AC516" s="89" t="n">
        <f aca="false">IF(Y516=1,COUNTIFS($Z$2:$Z$601,Z516,$Y$2:$Y$601,1),0)</f>
        <v>0</v>
      </c>
      <c r="AD516" s="89" t="n">
        <f aca="false">IF(Y516=1,COUNTIFS($N$2:$N$601,N516,$Y$2:$Y$601,1),0)</f>
        <v>0</v>
      </c>
      <c r="AE516" s="43" t="str">
        <f aca="false">IF(Y516&lt;&gt;1,"",IF(AND(AC516&gt;=설정!$C$7,ISNUMBER(MATCH(Z516,피어커브!$A:$A,0))),Z516,IF(AND(AD516&gt;=설정!$C$7,ISNUMBER(MATCH(N516&amp;"|전체",피어커브!$A:$A,0))),N516&amp;"|전체","전체|전체")))</f>
        <v/>
      </c>
      <c r="AF516" s="93" t="str">
        <f aca="false">IF(AE516="","",INDEX(피어커브!$K:$K,MATCH(AE516,피어커브!$A:$A,0)))</f>
        <v/>
      </c>
      <c r="AG516" s="93" t="str">
        <f aca="false">IF(AE516="","",INDEX(피어커브!$J:$J,MATCH(AE516,피어커브!$A:$A,0)))</f>
        <v/>
      </c>
      <c r="AH516" s="93" t="str">
        <f aca="false">IF(AE516="","",INDEX(피어커브!$L:$L,MATCH(AE516,피어커브!$A:$A,0)))</f>
        <v/>
      </c>
      <c r="AI516" s="93" t="str">
        <f aca="false">IF(AE516="","",AF516+AG516*AA516)</f>
        <v/>
      </c>
      <c r="AJ516" s="96" t="str">
        <f aca="false">IF(AE516="","",E516-AI516)</f>
        <v/>
      </c>
      <c r="AK516" s="95" t="str">
        <f aca="false">IF(AE516="","",IF(ISNUMBER(AH516),IF(AH516&gt;0,AJ516/AH516,""),""))</f>
        <v/>
      </c>
      <c r="AL516" s="43" t="str">
        <f aca="false">IF(AK516="","-",IF(AK516&gt;=설정!$C$6,"Cheap",IF(AK516&lt;=-설정!$C$6,"Rich","Fair")))</f>
        <v>-</v>
      </c>
      <c r="AM516" s="96" t="str">
        <f aca="false">IF(AE516="","",AJ516-AVERAGEIFS($AJ$2:$AJ$601,$B$2:$B$601,B516,$Y$2:$Y$601,1))</f>
        <v/>
      </c>
      <c r="AN516" s="93" t="n">
        <f aca="false">IF(AE516="",0,IF(K516&gt;1+설정!$C$8,AG516*(AA516-LN(K516-1)),0))</f>
        <v>0</v>
      </c>
      <c r="AO516" s="99" t="n">
        <f aca="false">IF($A516="",0,SUMIFS(보유분석!$AA$2:$AA$801,보유분석!$AB$2:$AB$801,ROW(),보유분석!$AC$2:$AC$801,1))</f>
        <v>0</v>
      </c>
      <c r="AP516" s="43" t="str">
        <f aca="false">IF($A516="","",TRIM(IF(R516=1,"FRN ","")&amp;IF(IFERROR(VLOOKUP(M516,설정!$A$15:$D$47,4,0),0)&gt;=10,IF(IFERROR(VLOOKUP(M516,설정!$A$15:$D$47,4,0),0)&lt;99,"BBB0미만 ",""),"")&amp;IF(OR(M516="",M516="NR"),"등급미입력 ","")&amp;IF(C516&lt;&gt;"USD","비USD ","")))</f>
        <v/>
      </c>
      <c r="AQ516" s="90" t="n">
        <f aca="false">IF(AND(Y516=1,AL516="Cheap"),IF(AND(ISERROR(SEARCH("FRN",AP516)),ISERROR(SEARCH("BBB0미만",AP516))),AK516+ROW()/1000000000,-999),-999)</f>
        <v>-999</v>
      </c>
      <c r="AR516" s="92" t="str">
        <f aca="false">IF(AND(ISNUMBER(D516),ISNUMBER(K516)),D516+AN516*MAX(K516-1,0)/100,"")</f>
        <v/>
      </c>
      <c r="AS516" s="93" t="str">
        <f aca="false">IF(AND(ISNUMBER(E516),ISNUMBER(K516)),IF(K516&gt;0,(E516+AN516*MAX(K516-1,0))/K516,""),"")</f>
        <v/>
      </c>
      <c r="AT516" s="90" t="n">
        <f aca="false">IFERROR(IF(AND(Y516=1,ROW()&lt;&gt;스왑분석!$C$12+1,ABS(K516-INDEX($K$2:$K$601,스왑분석!$C$12))&lt;=스왑분석!$C$5,ISERROR(SEARCH("FRN",AP516)),ISERROR(SEARCH("BBB0미만",AP516))),IF(AND(OR(스왑분석!$C$6="N",L516=INDEX($L$2:$L$601,스왑분석!$C$12)),OR(스왑분석!$C$7="N",N516=INDEX($N$2:$N$601,스왑분석!$C$12)),OR(스왑분석!$C$8="N",AO516=0),E516-INDEX($E$2:$E$601,스왑분석!$C$12)&gt;=스왑분석!$C$9),E516-INDEX($E$2:$E$601,스왑분석!$C$12)+ROW()/1000000000,-999),-999),-999)</f>
        <v>-999</v>
      </c>
      <c r="AU516" s="90" t="n">
        <f aca="false">IF(AND(Y516=1,AO516&gt;0,AL516="Rich"),-AK516+ROW()/1000000000,-999)</f>
        <v>-999</v>
      </c>
    </row>
    <row r="517" customFormat="false" ht="15" hidden="false" customHeight="false" outlineLevel="0" collapsed="false">
      <c r="A517" s="83" t="n">
        <f aca="false">IFERROR(IF(INDEX(원자료_시장!$A$1:$BZ$1000,설정!$L$6+ROW()-1,설정!$L$24)&amp;""="0","",INDEX(원자료_시장!$A$1:$BZ$1000,설정!$L$6+ROW()-1,설정!$L$24)),"")</f>
        <v>0</v>
      </c>
      <c r="B517" s="83" t="n">
        <f aca="false">IFERROR(IF(INDEX(원자료_시장!$A$1:$BZ$1000,설정!$L$6+ROW()-1,설정!$L$37)&amp;""="0","",INDEX(원자료_시장!$A$1:$BZ$1000,설정!$L$6+ROW()-1,설정!$L$37)),"")</f>
        <v>0</v>
      </c>
      <c r="C517" s="83" t="n">
        <f aca="false">IFERROR(IF(INDEX(원자료_시장!$A$1:$BZ$1000,설정!$L$6+ROW()-1,설정!$L$25)&amp;""="0","",INDEX(원자료_시장!$A$1:$BZ$1000,설정!$L$6+ROW()-1,설정!$L$25)),"")</f>
        <v>0</v>
      </c>
      <c r="D517" s="85" t="str">
        <f aca="false">IFERROR(IF(ISNUMBER(INDEX(원자료_시장!$A$1:$BZ$1000,설정!$L$6+ROW()-1,설정!$L$26)),INDEX(원자료_시장!$A$1:$BZ$1000,설정!$L$6+ROW()-1,설정!$L$26),""),"")</f>
        <v/>
      </c>
      <c r="E517" s="97" t="str">
        <f aca="false">IFERROR(IF(ISNUMBER(INDEX(원자료_시장!$A$1:$BZ$1000,설정!$L$6+ROW()-1,설정!$L$27)),INDEX(원자료_시장!$A$1:$BZ$1000,설정!$L$6+ROW()-1,설정!$L$27),""),"")</f>
        <v/>
      </c>
      <c r="F517" s="97" t="str">
        <f aca="false">IFERROR(IF(ISNUMBER(INDEX(원자료_시장!$A$1:$BZ$1000,설정!$L$6+ROW()-1,설정!$L$28)),INDEX(원자료_시장!$A$1:$BZ$1000,설정!$L$6+ROW()-1,설정!$L$28),""),"")</f>
        <v/>
      </c>
      <c r="G517" s="97" t="str">
        <f aca="false">IFERROR(IF(ISNUMBER(INDEX(원자료_시장!$A$1:$BZ$1000,설정!$L$6+ROW()-1,설정!$L$29)),INDEX(원자료_시장!$A$1:$BZ$1000,설정!$L$6+ROW()-1,설정!$L$29),""),"")</f>
        <v/>
      </c>
      <c r="H517" s="97" t="str">
        <f aca="false">IFERROR(IF(ISNUMBER(INDEX(원자료_시장!$A$1:$BZ$1000,설정!$L$6+ROW()-1,설정!$L$30)),INDEX(원자료_시장!$A$1:$BZ$1000,설정!$L$6+ROW()-1,설정!$L$30),""),"")</f>
        <v/>
      </c>
      <c r="I517" s="97" t="str">
        <f aca="false">IFERROR(IF(ISNUMBER(INDEX(원자료_시장!$A$1:$BZ$1000,설정!$L$6+ROW()-1,설정!$L$31)),INDEX(원자료_시장!$A$1:$BZ$1000,설정!$L$6+ROW()-1,설정!$L$31),""),"")</f>
        <v/>
      </c>
      <c r="J517" s="97" t="str">
        <f aca="false">IFERROR(IF(ISNUMBER(INDEX(원자료_시장!$A$1:$BZ$1000,설정!$L$6+ROW()-1,설정!$L$32)),INDEX(원자료_시장!$A$1:$BZ$1000,설정!$L$6+ROW()-1,설정!$L$32),""),"")</f>
        <v/>
      </c>
      <c r="K517" s="85" t="str">
        <f aca="false">IFERROR(IF(ISNUMBER(INDEX(원자료_시장!$A$1:$BZ$1000,설정!$L$6+ROW()-1,설정!$L$33)),INDEX(원자료_시장!$A$1:$BZ$1000,설정!$L$6+ROW()-1,설정!$L$33),""),"")</f>
        <v/>
      </c>
      <c r="L517" s="83" t="n">
        <f aca="false">IFERROR(IF(INDEX(원자료_시장!$A$1:$BZ$1000,설정!$L$6+ROW()-1,설정!$L$34)&amp;""="0","",INDEX(원자료_시장!$A$1:$BZ$1000,설정!$L$6+ROW()-1,설정!$L$34)),"")</f>
        <v>0</v>
      </c>
      <c r="M517" s="83" t="n">
        <f aca="false">IFERROR(IF(INDEX(원자료_시장!$A$1:$BZ$1000,설정!$L$6+ROW()-1,설정!$L$35)&amp;""="0","",INDEX(원자료_시장!$A$1:$BZ$1000,설정!$L$6+ROW()-1,설정!$L$35)),"")</f>
        <v>0</v>
      </c>
      <c r="N517" s="83" t="n">
        <f aca="false">IFERROR(IF(INDEX(원자료_시장!$A$1:$BZ$1000,설정!$L$6+ROW()-1,설정!$L$36)&amp;""="0","",INDEX(원자료_시장!$A$1:$BZ$1000,설정!$L$6+ROW()-1,설정!$L$36)),"")</f>
        <v>0</v>
      </c>
      <c r="O517" s="43" t="str">
        <f aca="false">IF($A517="","",UPPER(LEFT($A517,FIND(" ",$A517&amp;" ")-1)))</f>
        <v/>
      </c>
      <c r="P517" s="43" t="str">
        <f aca="false">IF($A517="","",TRIM(RIGHT(SUBSTITUTE(TRIM($A517)," ",REPT(" ",30)),30)))</f>
        <v/>
      </c>
      <c r="Q517" s="98" t="str">
        <f aca="false">IF($A517="","",IFERROR(DATE(IF(LEN(P517)=8,2000+VALUE(RIGHT(P517,2)),VALUE(RIGHT(P517,4))),VALUE(LEFT(P517,2)),VALUE(MID(P517,4,2))),""))</f>
        <v/>
      </c>
      <c r="R517" s="89" t="n">
        <f aca="false">IF($A517="",0,IF(ISNUMBER(SEARCH("Float",$A517)),1,0))</f>
        <v>0</v>
      </c>
      <c r="S517" s="43" t="str">
        <f aca="false">IF($A517="","",TRIM(MID($A517,LEN(O517)+2,LEN($A517)-LEN(O517)-LEN(P517)-1)))</f>
        <v/>
      </c>
      <c r="T517" s="92" t="str">
        <f aca="false">IF(OR($A517="",R517=1),"",IFERROR(IF(ISNUMBER(FIND("/",S517)),IF(ISNUMBER(FIND(" ",S517)),VALUE(LEFT(S517,FIND(" ",S517)-1))+VALUE(MID(S517,FIND(" ",S517)+1,FIND("/",S517)-FIND(" ",S517)-1))/VALUE(MID(S517,FIND("/",S517)+1,9)),VALUE(LEFT(S517,FIND("/",S517)-1))/VALUE(MID(S517,FIND("/",S517)+1,9))),VALUE(S517)),""))</f>
        <v/>
      </c>
      <c r="U517" s="43" t="str">
        <f aca="false">IF(OR($A517="",NOT(ISNUMBER(Q517))),"",TEXT(Q517,"yyyymmdd")&amp;"|"&amp;IF(R517=1,"F",TEXT(T517,"0.000")))</f>
        <v/>
      </c>
      <c r="V517" s="43" t="str">
        <f aca="false">IF(U517="","",O517&amp;"|"&amp;U517)</f>
        <v/>
      </c>
      <c r="W517" s="43" t="str">
        <f aca="false">IF($A517="","",IFERROR(IF(VLOOKUP(O517,매핑!$A$4:$E$92,3,0)="","미분류",VLOOKUP(O517,매핑!$A$4:$E$92,3,0)),"미분류"))</f>
        <v/>
      </c>
      <c r="X517" s="89" t="n">
        <f aca="false">IF($A517="",0,IF(O517="T",1,0))</f>
        <v>0</v>
      </c>
      <c r="Y517" s="89" t="n">
        <f aca="false">IF($A517="",0,IF(AND(C517="USD",X517=0,ISNUMBER(E517),ISNUMBER(K517)),IF(K517&gt;=설정!$C$8,1,0),0))</f>
        <v>0</v>
      </c>
      <c r="Z517" s="43" t="str">
        <f aca="false">IF($A517="","",N517&amp;"|"&amp;L517)</f>
        <v/>
      </c>
      <c r="AA517" s="92" t="n">
        <f aca="false">IF(Y517=1,LN(K517),0)</f>
        <v>0</v>
      </c>
      <c r="AB517" s="93" t="n">
        <f aca="false">IF(Y517=1,E517,0)</f>
        <v>0</v>
      </c>
      <c r="AC517" s="89" t="n">
        <f aca="false">IF(Y517=1,COUNTIFS($Z$2:$Z$601,Z517,$Y$2:$Y$601,1),0)</f>
        <v>0</v>
      </c>
      <c r="AD517" s="89" t="n">
        <f aca="false">IF(Y517=1,COUNTIFS($N$2:$N$601,N517,$Y$2:$Y$601,1),0)</f>
        <v>0</v>
      </c>
      <c r="AE517" s="43" t="str">
        <f aca="false">IF(Y517&lt;&gt;1,"",IF(AND(AC517&gt;=설정!$C$7,ISNUMBER(MATCH(Z517,피어커브!$A:$A,0))),Z517,IF(AND(AD517&gt;=설정!$C$7,ISNUMBER(MATCH(N517&amp;"|전체",피어커브!$A:$A,0))),N517&amp;"|전체","전체|전체")))</f>
        <v/>
      </c>
      <c r="AF517" s="93" t="str">
        <f aca="false">IF(AE517="","",INDEX(피어커브!$K:$K,MATCH(AE517,피어커브!$A:$A,0)))</f>
        <v/>
      </c>
      <c r="AG517" s="93" t="str">
        <f aca="false">IF(AE517="","",INDEX(피어커브!$J:$J,MATCH(AE517,피어커브!$A:$A,0)))</f>
        <v/>
      </c>
      <c r="AH517" s="93" t="str">
        <f aca="false">IF(AE517="","",INDEX(피어커브!$L:$L,MATCH(AE517,피어커브!$A:$A,0)))</f>
        <v/>
      </c>
      <c r="AI517" s="93" t="str">
        <f aca="false">IF(AE517="","",AF517+AG517*AA517)</f>
        <v/>
      </c>
      <c r="AJ517" s="96" t="str">
        <f aca="false">IF(AE517="","",E517-AI517)</f>
        <v/>
      </c>
      <c r="AK517" s="95" t="str">
        <f aca="false">IF(AE517="","",IF(ISNUMBER(AH517),IF(AH517&gt;0,AJ517/AH517,""),""))</f>
        <v/>
      </c>
      <c r="AL517" s="43" t="str">
        <f aca="false">IF(AK517="","-",IF(AK517&gt;=설정!$C$6,"Cheap",IF(AK517&lt;=-설정!$C$6,"Rich","Fair")))</f>
        <v>-</v>
      </c>
      <c r="AM517" s="96" t="str">
        <f aca="false">IF(AE517="","",AJ517-AVERAGEIFS($AJ$2:$AJ$601,$B$2:$B$601,B517,$Y$2:$Y$601,1))</f>
        <v/>
      </c>
      <c r="AN517" s="93" t="n">
        <f aca="false">IF(AE517="",0,IF(K517&gt;1+설정!$C$8,AG517*(AA517-LN(K517-1)),0))</f>
        <v>0</v>
      </c>
      <c r="AO517" s="99" t="n">
        <f aca="false">IF($A517="",0,SUMIFS(보유분석!$AA$2:$AA$801,보유분석!$AB$2:$AB$801,ROW(),보유분석!$AC$2:$AC$801,1))</f>
        <v>0</v>
      </c>
      <c r="AP517" s="43" t="str">
        <f aca="false">IF($A517="","",TRIM(IF(R517=1,"FRN ","")&amp;IF(IFERROR(VLOOKUP(M517,설정!$A$15:$D$47,4,0),0)&gt;=10,IF(IFERROR(VLOOKUP(M517,설정!$A$15:$D$47,4,0),0)&lt;99,"BBB0미만 ",""),"")&amp;IF(OR(M517="",M517="NR"),"등급미입력 ","")&amp;IF(C517&lt;&gt;"USD","비USD ","")))</f>
        <v/>
      </c>
      <c r="AQ517" s="90" t="n">
        <f aca="false">IF(AND(Y517=1,AL517="Cheap"),IF(AND(ISERROR(SEARCH("FRN",AP517)),ISERROR(SEARCH("BBB0미만",AP517))),AK517+ROW()/1000000000,-999),-999)</f>
        <v>-999</v>
      </c>
      <c r="AR517" s="92" t="str">
        <f aca="false">IF(AND(ISNUMBER(D517),ISNUMBER(K517)),D517+AN517*MAX(K517-1,0)/100,"")</f>
        <v/>
      </c>
      <c r="AS517" s="93" t="str">
        <f aca="false">IF(AND(ISNUMBER(E517),ISNUMBER(K517)),IF(K517&gt;0,(E517+AN517*MAX(K517-1,0))/K517,""),"")</f>
        <v/>
      </c>
      <c r="AT517" s="90" t="n">
        <f aca="false">IFERROR(IF(AND(Y517=1,ROW()&lt;&gt;스왑분석!$C$12+1,ABS(K517-INDEX($K$2:$K$601,스왑분석!$C$12))&lt;=스왑분석!$C$5,ISERROR(SEARCH("FRN",AP517)),ISERROR(SEARCH("BBB0미만",AP517))),IF(AND(OR(스왑분석!$C$6="N",L517=INDEX($L$2:$L$601,스왑분석!$C$12)),OR(스왑분석!$C$7="N",N517=INDEX($N$2:$N$601,스왑분석!$C$12)),OR(스왑분석!$C$8="N",AO517=0),E517-INDEX($E$2:$E$601,스왑분석!$C$12)&gt;=스왑분석!$C$9),E517-INDEX($E$2:$E$601,스왑분석!$C$12)+ROW()/1000000000,-999),-999),-999)</f>
        <v>-999</v>
      </c>
      <c r="AU517" s="90" t="n">
        <f aca="false">IF(AND(Y517=1,AO517&gt;0,AL517="Rich"),-AK517+ROW()/1000000000,-999)</f>
        <v>-999</v>
      </c>
    </row>
    <row r="518" customFormat="false" ht="15" hidden="false" customHeight="false" outlineLevel="0" collapsed="false">
      <c r="A518" s="83" t="n">
        <f aca="false">IFERROR(IF(INDEX(원자료_시장!$A$1:$BZ$1000,설정!$L$6+ROW()-1,설정!$L$24)&amp;""="0","",INDEX(원자료_시장!$A$1:$BZ$1000,설정!$L$6+ROW()-1,설정!$L$24)),"")</f>
        <v>0</v>
      </c>
      <c r="B518" s="83" t="n">
        <f aca="false">IFERROR(IF(INDEX(원자료_시장!$A$1:$BZ$1000,설정!$L$6+ROW()-1,설정!$L$37)&amp;""="0","",INDEX(원자료_시장!$A$1:$BZ$1000,설정!$L$6+ROW()-1,설정!$L$37)),"")</f>
        <v>0</v>
      </c>
      <c r="C518" s="83" t="n">
        <f aca="false">IFERROR(IF(INDEX(원자료_시장!$A$1:$BZ$1000,설정!$L$6+ROW()-1,설정!$L$25)&amp;""="0","",INDEX(원자료_시장!$A$1:$BZ$1000,설정!$L$6+ROW()-1,설정!$L$25)),"")</f>
        <v>0</v>
      </c>
      <c r="D518" s="85" t="str">
        <f aca="false">IFERROR(IF(ISNUMBER(INDEX(원자료_시장!$A$1:$BZ$1000,설정!$L$6+ROW()-1,설정!$L$26)),INDEX(원자료_시장!$A$1:$BZ$1000,설정!$L$6+ROW()-1,설정!$L$26),""),"")</f>
        <v/>
      </c>
      <c r="E518" s="97" t="str">
        <f aca="false">IFERROR(IF(ISNUMBER(INDEX(원자료_시장!$A$1:$BZ$1000,설정!$L$6+ROW()-1,설정!$L$27)),INDEX(원자료_시장!$A$1:$BZ$1000,설정!$L$6+ROW()-1,설정!$L$27),""),"")</f>
        <v/>
      </c>
      <c r="F518" s="97" t="str">
        <f aca="false">IFERROR(IF(ISNUMBER(INDEX(원자료_시장!$A$1:$BZ$1000,설정!$L$6+ROW()-1,설정!$L$28)),INDEX(원자료_시장!$A$1:$BZ$1000,설정!$L$6+ROW()-1,설정!$L$28),""),"")</f>
        <v/>
      </c>
      <c r="G518" s="97" t="str">
        <f aca="false">IFERROR(IF(ISNUMBER(INDEX(원자료_시장!$A$1:$BZ$1000,설정!$L$6+ROW()-1,설정!$L$29)),INDEX(원자료_시장!$A$1:$BZ$1000,설정!$L$6+ROW()-1,설정!$L$29),""),"")</f>
        <v/>
      </c>
      <c r="H518" s="97" t="str">
        <f aca="false">IFERROR(IF(ISNUMBER(INDEX(원자료_시장!$A$1:$BZ$1000,설정!$L$6+ROW()-1,설정!$L$30)),INDEX(원자료_시장!$A$1:$BZ$1000,설정!$L$6+ROW()-1,설정!$L$30),""),"")</f>
        <v/>
      </c>
      <c r="I518" s="97" t="str">
        <f aca="false">IFERROR(IF(ISNUMBER(INDEX(원자료_시장!$A$1:$BZ$1000,설정!$L$6+ROW()-1,설정!$L$31)),INDEX(원자료_시장!$A$1:$BZ$1000,설정!$L$6+ROW()-1,설정!$L$31),""),"")</f>
        <v/>
      </c>
      <c r="J518" s="97" t="str">
        <f aca="false">IFERROR(IF(ISNUMBER(INDEX(원자료_시장!$A$1:$BZ$1000,설정!$L$6+ROW()-1,설정!$L$32)),INDEX(원자료_시장!$A$1:$BZ$1000,설정!$L$6+ROW()-1,설정!$L$32),""),"")</f>
        <v/>
      </c>
      <c r="K518" s="85" t="str">
        <f aca="false">IFERROR(IF(ISNUMBER(INDEX(원자료_시장!$A$1:$BZ$1000,설정!$L$6+ROW()-1,설정!$L$33)),INDEX(원자료_시장!$A$1:$BZ$1000,설정!$L$6+ROW()-1,설정!$L$33),""),"")</f>
        <v/>
      </c>
      <c r="L518" s="83" t="n">
        <f aca="false">IFERROR(IF(INDEX(원자료_시장!$A$1:$BZ$1000,설정!$L$6+ROW()-1,설정!$L$34)&amp;""="0","",INDEX(원자료_시장!$A$1:$BZ$1000,설정!$L$6+ROW()-1,설정!$L$34)),"")</f>
        <v>0</v>
      </c>
      <c r="M518" s="83" t="n">
        <f aca="false">IFERROR(IF(INDEX(원자료_시장!$A$1:$BZ$1000,설정!$L$6+ROW()-1,설정!$L$35)&amp;""="0","",INDEX(원자료_시장!$A$1:$BZ$1000,설정!$L$6+ROW()-1,설정!$L$35)),"")</f>
        <v>0</v>
      </c>
      <c r="N518" s="83" t="n">
        <f aca="false">IFERROR(IF(INDEX(원자료_시장!$A$1:$BZ$1000,설정!$L$6+ROW()-1,설정!$L$36)&amp;""="0","",INDEX(원자료_시장!$A$1:$BZ$1000,설정!$L$6+ROW()-1,설정!$L$36)),"")</f>
        <v>0</v>
      </c>
      <c r="O518" s="43" t="str">
        <f aca="false">IF($A518="","",UPPER(LEFT($A518,FIND(" ",$A518&amp;" ")-1)))</f>
        <v/>
      </c>
      <c r="P518" s="43" t="str">
        <f aca="false">IF($A518="","",TRIM(RIGHT(SUBSTITUTE(TRIM($A518)," ",REPT(" ",30)),30)))</f>
        <v/>
      </c>
      <c r="Q518" s="98" t="str">
        <f aca="false">IF($A518="","",IFERROR(DATE(IF(LEN(P518)=8,2000+VALUE(RIGHT(P518,2)),VALUE(RIGHT(P518,4))),VALUE(LEFT(P518,2)),VALUE(MID(P518,4,2))),""))</f>
        <v/>
      </c>
      <c r="R518" s="89" t="n">
        <f aca="false">IF($A518="",0,IF(ISNUMBER(SEARCH("Float",$A518)),1,0))</f>
        <v>0</v>
      </c>
      <c r="S518" s="43" t="str">
        <f aca="false">IF($A518="","",TRIM(MID($A518,LEN(O518)+2,LEN($A518)-LEN(O518)-LEN(P518)-1)))</f>
        <v/>
      </c>
      <c r="T518" s="92" t="str">
        <f aca="false">IF(OR($A518="",R518=1),"",IFERROR(IF(ISNUMBER(FIND("/",S518)),IF(ISNUMBER(FIND(" ",S518)),VALUE(LEFT(S518,FIND(" ",S518)-1))+VALUE(MID(S518,FIND(" ",S518)+1,FIND("/",S518)-FIND(" ",S518)-1))/VALUE(MID(S518,FIND("/",S518)+1,9)),VALUE(LEFT(S518,FIND("/",S518)-1))/VALUE(MID(S518,FIND("/",S518)+1,9))),VALUE(S518)),""))</f>
        <v/>
      </c>
      <c r="U518" s="43" t="str">
        <f aca="false">IF(OR($A518="",NOT(ISNUMBER(Q518))),"",TEXT(Q518,"yyyymmdd")&amp;"|"&amp;IF(R518=1,"F",TEXT(T518,"0.000")))</f>
        <v/>
      </c>
      <c r="V518" s="43" t="str">
        <f aca="false">IF(U518="","",O518&amp;"|"&amp;U518)</f>
        <v/>
      </c>
      <c r="W518" s="43" t="str">
        <f aca="false">IF($A518="","",IFERROR(IF(VLOOKUP(O518,매핑!$A$4:$E$92,3,0)="","미분류",VLOOKUP(O518,매핑!$A$4:$E$92,3,0)),"미분류"))</f>
        <v/>
      </c>
      <c r="X518" s="89" t="n">
        <f aca="false">IF($A518="",0,IF(O518="T",1,0))</f>
        <v>0</v>
      </c>
      <c r="Y518" s="89" t="n">
        <f aca="false">IF($A518="",0,IF(AND(C518="USD",X518=0,ISNUMBER(E518),ISNUMBER(K518)),IF(K518&gt;=설정!$C$8,1,0),0))</f>
        <v>0</v>
      </c>
      <c r="Z518" s="43" t="str">
        <f aca="false">IF($A518="","",N518&amp;"|"&amp;L518)</f>
        <v/>
      </c>
      <c r="AA518" s="92" t="n">
        <f aca="false">IF(Y518=1,LN(K518),0)</f>
        <v>0</v>
      </c>
      <c r="AB518" s="93" t="n">
        <f aca="false">IF(Y518=1,E518,0)</f>
        <v>0</v>
      </c>
      <c r="AC518" s="89" t="n">
        <f aca="false">IF(Y518=1,COUNTIFS($Z$2:$Z$601,Z518,$Y$2:$Y$601,1),0)</f>
        <v>0</v>
      </c>
      <c r="AD518" s="89" t="n">
        <f aca="false">IF(Y518=1,COUNTIFS($N$2:$N$601,N518,$Y$2:$Y$601,1),0)</f>
        <v>0</v>
      </c>
      <c r="AE518" s="43" t="str">
        <f aca="false">IF(Y518&lt;&gt;1,"",IF(AND(AC518&gt;=설정!$C$7,ISNUMBER(MATCH(Z518,피어커브!$A:$A,0))),Z518,IF(AND(AD518&gt;=설정!$C$7,ISNUMBER(MATCH(N518&amp;"|전체",피어커브!$A:$A,0))),N518&amp;"|전체","전체|전체")))</f>
        <v/>
      </c>
      <c r="AF518" s="93" t="str">
        <f aca="false">IF(AE518="","",INDEX(피어커브!$K:$K,MATCH(AE518,피어커브!$A:$A,0)))</f>
        <v/>
      </c>
      <c r="AG518" s="93" t="str">
        <f aca="false">IF(AE518="","",INDEX(피어커브!$J:$J,MATCH(AE518,피어커브!$A:$A,0)))</f>
        <v/>
      </c>
      <c r="AH518" s="93" t="str">
        <f aca="false">IF(AE518="","",INDEX(피어커브!$L:$L,MATCH(AE518,피어커브!$A:$A,0)))</f>
        <v/>
      </c>
      <c r="AI518" s="93" t="str">
        <f aca="false">IF(AE518="","",AF518+AG518*AA518)</f>
        <v/>
      </c>
      <c r="AJ518" s="96" t="str">
        <f aca="false">IF(AE518="","",E518-AI518)</f>
        <v/>
      </c>
      <c r="AK518" s="95" t="str">
        <f aca="false">IF(AE518="","",IF(ISNUMBER(AH518),IF(AH518&gt;0,AJ518/AH518,""),""))</f>
        <v/>
      </c>
      <c r="AL518" s="43" t="str">
        <f aca="false">IF(AK518="","-",IF(AK518&gt;=설정!$C$6,"Cheap",IF(AK518&lt;=-설정!$C$6,"Rich","Fair")))</f>
        <v>-</v>
      </c>
      <c r="AM518" s="96" t="str">
        <f aca="false">IF(AE518="","",AJ518-AVERAGEIFS($AJ$2:$AJ$601,$B$2:$B$601,B518,$Y$2:$Y$601,1))</f>
        <v/>
      </c>
      <c r="AN518" s="93" t="n">
        <f aca="false">IF(AE518="",0,IF(K518&gt;1+설정!$C$8,AG518*(AA518-LN(K518-1)),0))</f>
        <v>0</v>
      </c>
      <c r="AO518" s="99" t="n">
        <f aca="false">IF($A518="",0,SUMIFS(보유분석!$AA$2:$AA$801,보유분석!$AB$2:$AB$801,ROW(),보유분석!$AC$2:$AC$801,1))</f>
        <v>0</v>
      </c>
      <c r="AP518" s="43" t="str">
        <f aca="false">IF($A518="","",TRIM(IF(R518=1,"FRN ","")&amp;IF(IFERROR(VLOOKUP(M518,설정!$A$15:$D$47,4,0),0)&gt;=10,IF(IFERROR(VLOOKUP(M518,설정!$A$15:$D$47,4,0),0)&lt;99,"BBB0미만 ",""),"")&amp;IF(OR(M518="",M518="NR"),"등급미입력 ","")&amp;IF(C518&lt;&gt;"USD","비USD ","")))</f>
        <v/>
      </c>
      <c r="AQ518" s="90" t="n">
        <f aca="false">IF(AND(Y518=1,AL518="Cheap"),IF(AND(ISERROR(SEARCH("FRN",AP518)),ISERROR(SEARCH("BBB0미만",AP518))),AK518+ROW()/1000000000,-999),-999)</f>
        <v>-999</v>
      </c>
      <c r="AR518" s="92" t="str">
        <f aca="false">IF(AND(ISNUMBER(D518),ISNUMBER(K518)),D518+AN518*MAX(K518-1,0)/100,"")</f>
        <v/>
      </c>
      <c r="AS518" s="93" t="str">
        <f aca="false">IF(AND(ISNUMBER(E518),ISNUMBER(K518)),IF(K518&gt;0,(E518+AN518*MAX(K518-1,0))/K518,""),"")</f>
        <v/>
      </c>
      <c r="AT518" s="90" t="n">
        <f aca="false">IFERROR(IF(AND(Y518=1,ROW()&lt;&gt;스왑분석!$C$12+1,ABS(K518-INDEX($K$2:$K$601,스왑분석!$C$12))&lt;=스왑분석!$C$5,ISERROR(SEARCH("FRN",AP518)),ISERROR(SEARCH("BBB0미만",AP518))),IF(AND(OR(스왑분석!$C$6="N",L518=INDEX($L$2:$L$601,스왑분석!$C$12)),OR(스왑분석!$C$7="N",N518=INDEX($N$2:$N$601,스왑분석!$C$12)),OR(스왑분석!$C$8="N",AO518=0),E518-INDEX($E$2:$E$601,스왑분석!$C$12)&gt;=스왑분석!$C$9),E518-INDEX($E$2:$E$601,스왑분석!$C$12)+ROW()/1000000000,-999),-999),-999)</f>
        <v>-999</v>
      </c>
      <c r="AU518" s="90" t="n">
        <f aca="false">IF(AND(Y518=1,AO518&gt;0,AL518="Rich"),-AK518+ROW()/1000000000,-999)</f>
        <v>-999</v>
      </c>
    </row>
    <row r="519" customFormat="false" ht="15" hidden="false" customHeight="false" outlineLevel="0" collapsed="false">
      <c r="A519" s="83" t="n">
        <f aca="false">IFERROR(IF(INDEX(원자료_시장!$A$1:$BZ$1000,설정!$L$6+ROW()-1,설정!$L$24)&amp;""="0","",INDEX(원자료_시장!$A$1:$BZ$1000,설정!$L$6+ROW()-1,설정!$L$24)),"")</f>
        <v>0</v>
      </c>
      <c r="B519" s="83" t="n">
        <f aca="false">IFERROR(IF(INDEX(원자료_시장!$A$1:$BZ$1000,설정!$L$6+ROW()-1,설정!$L$37)&amp;""="0","",INDEX(원자료_시장!$A$1:$BZ$1000,설정!$L$6+ROW()-1,설정!$L$37)),"")</f>
        <v>0</v>
      </c>
      <c r="C519" s="83" t="n">
        <f aca="false">IFERROR(IF(INDEX(원자료_시장!$A$1:$BZ$1000,설정!$L$6+ROW()-1,설정!$L$25)&amp;""="0","",INDEX(원자료_시장!$A$1:$BZ$1000,설정!$L$6+ROW()-1,설정!$L$25)),"")</f>
        <v>0</v>
      </c>
      <c r="D519" s="85" t="str">
        <f aca="false">IFERROR(IF(ISNUMBER(INDEX(원자료_시장!$A$1:$BZ$1000,설정!$L$6+ROW()-1,설정!$L$26)),INDEX(원자료_시장!$A$1:$BZ$1000,설정!$L$6+ROW()-1,설정!$L$26),""),"")</f>
        <v/>
      </c>
      <c r="E519" s="97" t="str">
        <f aca="false">IFERROR(IF(ISNUMBER(INDEX(원자료_시장!$A$1:$BZ$1000,설정!$L$6+ROW()-1,설정!$L$27)),INDEX(원자료_시장!$A$1:$BZ$1000,설정!$L$6+ROW()-1,설정!$L$27),""),"")</f>
        <v/>
      </c>
      <c r="F519" s="97" t="str">
        <f aca="false">IFERROR(IF(ISNUMBER(INDEX(원자료_시장!$A$1:$BZ$1000,설정!$L$6+ROW()-1,설정!$L$28)),INDEX(원자료_시장!$A$1:$BZ$1000,설정!$L$6+ROW()-1,설정!$L$28),""),"")</f>
        <v/>
      </c>
      <c r="G519" s="97" t="str">
        <f aca="false">IFERROR(IF(ISNUMBER(INDEX(원자료_시장!$A$1:$BZ$1000,설정!$L$6+ROW()-1,설정!$L$29)),INDEX(원자료_시장!$A$1:$BZ$1000,설정!$L$6+ROW()-1,설정!$L$29),""),"")</f>
        <v/>
      </c>
      <c r="H519" s="97" t="str">
        <f aca="false">IFERROR(IF(ISNUMBER(INDEX(원자료_시장!$A$1:$BZ$1000,설정!$L$6+ROW()-1,설정!$L$30)),INDEX(원자료_시장!$A$1:$BZ$1000,설정!$L$6+ROW()-1,설정!$L$30),""),"")</f>
        <v/>
      </c>
      <c r="I519" s="97" t="str">
        <f aca="false">IFERROR(IF(ISNUMBER(INDEX(원자료_시장!$A$1:$BZ$1000,설정!$L$6+ROW()-1,설정!$L$31)),INDEX(원자료_시장!$A$1:$BZ$1000,설정!$L$6+ROW()-1,설정!$L$31),""),"")</f>
        <v/>
      </c>
      <c r="J519" s="97" t="str">
        <f aca="false">IFERROR(IF(ISNUMBER(INDEX(원자료_시장!$A$1:$BZ$1000,설정!$L$6+ROW()-1,설정!$L$32)),INDEX(원자료_시장!$A$1:$BZ$1000,설정!$L$6+ROW()-1,설정!$L$32),""),"")</f>
        <v/>
      </c>
      <c r="K519" s="85" t="str">
        <f aca="false">IFERROR(IF(ISNUMBER(INDEX(원자료_시장!$A$1:$BZ$1000,설정!$L$6+ROW()-1,설정!$L$33)),INDEX(원자료_시장!$A$1:$BZ$1000,설정!$L$6+ROW()-1,설정!$L$33),""),"")</f>
        <v/>
      </c>
      <c r="L519" s="83" t="n">
        <f aca="false">IFERROR(IF(INDEX(원자료_시장!$A$1:$BZ$1000,설정!$L$6+ROW()-1,설정!$L$34)&amp;""="0","",INDEX(원자료_시장!$A$1:$BZ$1000,설정!$L$6+ROW()-1,설정!$L$34)),"")</f>
        <v>0</v>
      </c>
      <c r="M519" s="83" t="n">
        <f aca="false">IFERROR(IF(INDEX(원자료_시장!$A$1:$BZ$1000,설정!$L$6+ROW()-1,설정!$L$35)&amp;""="0","",INDEX(원자료_시장!$A$1:$BZ$1000,설정!$L$6+ROW()-1,설정!$L$35)),"")</f>
        <v>0</v>
      </c>
      <c r="N519" s="83" t="n">
        <f aca="false">IFERROR(IF(INDEX(원자료_시장!$A$1:$BZ$1000,설정!$L$6+ROW()-1,설정!$L$36)&amp;""="0","",INDEX(원자료_시장!$A$1:$BZ$1000,설정!$L$6+ROW()-1,설정!$L$36)),"")</f>
        <v>0</v>
      </c>
      <c r="O519" s="43" t="str">
        <f aca="false">IF($A519="","",UPPER(LEFT($A519,FIND(" ",$A519&amp;" ")-1)))</f>
        <v/>
      </c>
      <c r="P519" s="43" t="str">
        <f aca="false">IF($A519="","",TRIM(RIGHT(SUBSTITUTE(TRIM($A519)," ",REPT(" ",30)),30)))</f>
        <v/>
      </c>
      <c r="Q519" s="98" t="str">
        <f aca="false">IF($A519="","",IFERROR(DATE(IF(LEN(P519)=8,2000+VALUE(RIGHT(P519,2)),VALUE(RIGHT(P519,4))),VALUE(LEFT(P519,2)),VALUE(MID(P519,4,2))),""))</f>
        <v/>
      </c>
      <c r="R519" s="89" t="n">
        <f aca="false">IF($A519="",0,IF(ISNUMBER(SEARCH("Float",$A519)),1,0))</f>
        <v>0</v>
      </c>
      <c r="S519" s="43" t="str">
        <f aca="false">IF($A519="","",TRIM(MID($A519,LEN(O519)+2,LEN($A519)-LEN(O519)-LEN(P519)-1)))</f>
        <v/>
      </c>
      <c r="T519" s="92" t="str">
        <f aca="false">IF(OR($A519="",R519=1),"",IFERROR(IF(ISNUMBER(FIND("/",S519)),IF(ISNUMBER(FIND(" ",S519)),VALUE(LEFT(S519,FIND(" ",S519)-1))+VALUE(MID(S519,FIND(" ",S519)+1,FIND("/",S519)-FIND(" ",S519)-1))/VALUE(MID(S519,FIND("/",S519)+1,9)),VALUE(LEFT(S519,FIND("/",S519)-1))/VALUE(MID(S519,FIND("/",S519)+1,9))),VALUE(S519)),""))</f>
        <v/>
      </c>
      <c r="U519" s="43" t="str">
        <f aca="false">IF(OR($A519="",NOT(ISNUMBER(Q519))),"",TEXT(Q519,"yyyymmdd")&amp;"|"&amp;IF(R519=1,"F",TEXT(T519,"0.000")))</f>
        <v/>
      </c>
      <c r="V519" s="43" t="str">
        <f aca="false">IF(U519="","",O519&amp;"|"&amp;U519)</f>
        <v/>
      </c>
      <c r="W519" s="43" t="str">
        <f aca="false">IF($A519="","",IFERROR(IF(VLOOKUP(O519,매핑!$A$4:$E$92,3,0)="","미분류",VLOOKUP(O519,매핑!$A$4:$E$92,3,0)),"미분류"))</f>
        <v/>
      </c>
      <c r="X519" s="89" t="n">
        <f aca="false">IF($A519="",0,IF(O519="T",1,0))</f>
        <v>0</v>
      </c>
      <c r="Y519" s="89" t="n">
        <f aca="false">IF($A519="",0,IF(AND(C519="USD",X519=0,ISNUMBER(E519),ISNUMBER(K519)),IF(K519&gt;=설정!$C$8,1,0),0))</f>
        <v>0</v>
      </c>
      <c r="Z519" s="43" t="str">
        <f aca="false">IF($A519="","",N519&amp;"|"&amp;L519)</f>
        <v/>
      </c>
      <c r="AA519" s="92" t="n">
        <f aca="false">IF(Y519=1,LN(K519),0)</f>
        <v>0</v>
      </c>
      <c r="AB519" s="93" t="n">
        <f aca="false">IF(Y519=1,E519,0)</f>
        <v>0</v>
      </c>
      <c r="AC519" s="89" t="n">
        <f aca="false">IF(Y519=1,COUNTIFS($Z$2:$Z$601,Z519,$Y$2:$Y$601,1),0)</f>
        <v>0</v>
      </c>
      <c r="AD519" s="89" t="n">
        <f aca="false">IF(Y519=1,COUNTIFS($N$2:$N$601,N519,$Y$2:$Y$601,1),0)</f>
        <v>0</v>
      </c>
      <c r="AE519" s="43" t="str">
        <f aca="false">IF(Y519&lt;&gt;1,"",IF(AND(AC519&gt;=설정!$C$7,ISNUMBER(MATCH(Z519,피어커브!$A:$A,0))),Z519,IF(AND(AD519&gt;=설정!$C$7,ISNUMBER(MATCH(N519&amp;"|전체",피어커브!$A:$A,0))),N519&amp;"|전체","전체|전체")))</f>
        <v/>
      </c>
      <c r="AF519" s="93" t="str">
        <f aca="false">IF(AE519="","",INDEX(피어커브!$K:$K,MATCH(AE519,피어커브!$A:$A,0)))</f>
        <v/>
      </c>
      <c r="AG519" s="93" t="str">
        <f aca="false">IF(AE519="","",INDEX(피어커브!$J:$J,MATCH(AE519,피어커브!$A:$A,0)))</f>
        <v/>
      </c>
      <c r="AH519" s="93" t="str">
        <f aca="false">IF(AE519="","",INDEX(피어커브!$L:$L,MATCH(AE519,피어커브!$A:$A,0)))</f>
        <v/>
      </c>
      <c r="AI519" s="93" t="str">
        <f aca="false">IF(AE519="","",AF519+AG519*AA519)</f>
        <v/>
      </c>
      <c r="AJ519" s="96" t="str">
        <f aca="false">IF(AE519="","",E519-AI519)</f>
        <v/>
      </c>
      <c r="AK519" s="95" t="str">
        <f aca="false">IF(AE519="","",IF(ISNUMBER(AH519),IF(AH519&gt;0,AJ519/AH519,""),""))</f>
        <v/>
      </c>
      <c r="AL519" s="43" t="str">
        <f aca="false">IF(AK519="","-",IF(AK519&gt;=설정!$C$6,"Cheap",IF(AK519&lt;=-설정!$C$6,"Rich","Fair")))</f>
        <v>-</v>
      </c>
      <c r="AM519" s="96" t="str">
        <f aca="false">IF(AE519="","",AJ519-AVERAGEIFS($AJ$2:$AJ$601,$B$2:$B$601,B519,$Y$2:$Y$601,1))</f>
        <v/>
      </c>
      <c r="AN519" s="93" t="n">
        <f aca="false">IF(AE519="",0,IF(K519&gt;1+설정!$C$8,AG519*(AA519-LN(K519-1)),0))</f>
        <v>0</v>
      </c>
      <c r="AO519" s="99" t="n">
        <f aca="false">IF($A519="",0,SUMIFS(보유분석!$AA$2:$AA$801,보유분석!$AB$2:$AB$801,ROW(),보유분석!$AC$2:$AC$801,1))</f>
        <v>0</v>
      </c>
      <c r="AP519" s="43" t="str">
        <f aca="false">IF($A519="","",TRIM(IF(R519=1,"FRN ","")&amp;IF(IFERROR(VLOOKUP(M519,설정!$A$15:$D$47,4,0),0)&gt;=10,IF(IFERROR(VLOOKUP(M519,설정!$A$15:$D$47,4,0),0)&lt;99,"BBB0미만 ",""),"")&amp;IF(OR(M519="",M519="NR"),"등급미입력 ","")&amp;IF(C519&lt;&gt;"USD","비USD ","")))</f>
        <v/>
      </c>
      <c r="AQ519" s="90" t="n">
        <f aca="false">IF(AND(Y519=1,AL519="Cheap"),IF(AND(ISERROR(SEARCH("FRN",AP519)),ISERROR(SEARCH("BBB0미만",AP519))),AK519+ROW()/1000000000,-999),-999)</f>
        <v>-999</v>
      </c>
      <c r="AR519" s="92" t="str">
        <f aca="false">IF(AND(ISNUMBER(D519),ISNUMBER(K519)),D519+AN519*MAX(K519-1,0)/100,"")</f>
        <v/>
      </c>
      <c r="AS519" s="93" t="str">
        <f aca="false">IF(AND(ISNUMBER(E519),ISNUMBER(K519)),IF(K519&gt;0,(E519+AN519*MAX(K519-1,0))/K519,""),"")</f>
        <v/>
      </c>
      <c r="AT519" s="90" t="n">
        <f aca="false">IFERROR(IF(AND(Y519=1,ROW()&lt;&gt;스왑분석!$C$12+1,ABS(K519-INDEX($K$2:$K$601,스왑분석!$C$12))&lt;=스왑분석!$C$5,ISERROR(SEARCH("FRN",AP519)),ISERROR(SEARCH("BBB0미만",AP519))),IF(AND(OR(스왑분석!$C$6="N",L519=INDEX($L$2:$L$601,스왑분석!$C$12)),OR(스왑분석!$C$7="N",N519=INDEX($N$2:$N$601,스왑분석!$C$12)),OR(스왑분석!$C$8="N",AO519=0),E519-INDEX($E$2:$E$601,스왑분석!$C$12)&gt;=스왑분석!$C$9),E519-INDEX($E$2:$E$601,스왑분석!$C$12)+ROW()/1000000000,-999),-999),-999)</f>
        <v>-999</v>
      </c>
      <c r="AU519" s="90" t="n">
        <f aca="false">IF(AND(Y519=1,AO519&gt;0,AL519="Rich"),-AK519+ROW()/1000000000,-999)</f>
        <v>-999</v>
      </c>
    </row>
    <row r="520" customFormat="false" ht="15" hidden="false" customHeight="false" outlineLevel="0" collapsed="false">
      <c r="A520" s="83" t="n">
        <f aca="false">IFERROR(IF(INDEX(원자료_시장!$A$1:$BZ$1000,설정!$L$6+ROW()-1,설정!$L$24)&amp;""="0","",INDEX(원자료_시장!$A$1:$BZ$1000,설정!$L$6+ROW()-1,설정!$L$24)),"")</f>
        <v>0</v>
      </c>
      <c r="B520" s="83" t="n">
        <f aca="false">IFERROR(IF(INDEX(원자료_시장!$A$1:$BZ$1000,설정!$L$6+ROW()-1,설정!$L$37)&amp;""="0","",INDEX(원자료_시장!$A$1:$BZ$1000,설정!$L$6+ROW()-1,설정!$L$37)),"")</f>
        <v>0</v>
      </c>
      <c r="C520" s="83" t="n">
        <f aca="false">IFERROR(IF(INDEX(원자료_시장!$A$1:$BZ$1000,설정!$L$6+ROW()-1,설정!$L$25)&amp;""="0","",INDEX(원자료_시장!$A$1:$BZ$1000,설정!$L$6+ROW()-1,설정!$L$25)),"")</f>
        <v>0</v>
      </c>
      <c r="D520" s="85" t="str">
        <f aca="false">IFERROR(IF(ISNUMBER(INDEX(원자료_시장!$A$1:$BZ$1000,설정!$L$6+ROW()-1,설정!$L$26)),INDEX(원자료_시장!$A$1:$BZ$1000,설정!$L$6+ROW()-1,설정!$L$26),""),"")</f>
        <v/>
      </c>
      <c r="E520" s="97" t="str">
        <f aca="false">IFERROR(IF(ISNUMBER(INDEX(원자료_시장!$A$1:$BZ$1000,설정!$L$6+ROW()-1,설정!$L$27)),INDEX(원자료_시장!$A$1:$BZ$1000,설정!$L$6+ROW()-1,설정!$L$27),""),"")</f>
        <v/>
      </c>
      <c r="F520" s="97" t="str">
        <f aca="false">IFERROR(IF(ISNUMBER(INDEX(원자료_시장!$A$1:$BZ$1000,설정!$L$6+ROW()-1,설정!$L$28)),INDEX(원자료_시장!$A$1:$BZ$1000,설정!$L$6+ROW()-1,설정!$L$28),""),"")</f>
        <v/>
      </c>
      <c r="G520" s="97" t="str">
        <f aca="false">IFERROR(IF(ISNUMBER(INDEX(원자료_시장!$A$1:$BZ$1000,설정!$L$6+ROW()-1,설정!$L$29)),INDEX(원자료_시장!$A$1:$BZ$1000,설정!$L$6+ROW()-1,설정!$L$29),""),"")</f>
        <v/>
      </c>
      <c r="H520" s="97" t="str">
        <f aca="false">IFERROR(IF(ISNUMBER(INDEX(원자료_시장!$A$1:$BZ$1000,설정!$L$6+ROW()-1,설정!$L$30)),INDEX(원자료_시장!$A$1:$BZ$1000,설정!$L$6+ROW()-1,설정!$L$30),""),"")</f>
        <v/>
      </c>
      <c r="I520" s="97" t="str">
        <f aca="false">IFERROR(IF(ISNUMBER(INDEX(원자료_시장!$A$1:$BZ$1000,설정!$L$6+ROW()-1,설정!$L$31)),INDEX(원자료_시장!$A$1:$BZ$1000,설정!$L$6+ROW()-1,설정!$L$31),""),"")</f>
        <v/>
      </c>
      <c r="J520" s="97" t="str">
        <f aca="false">IFERROR(IF(ISNUMBER(INDEX(원자료_시장!$A$1:$BZ$1000,설정!$L$6+ROW()-1,설정!$L$32)),INDEX(원자료_시장!$A$1:$BZ$1000,설정!$L$6+ROW()-1,설정!$L$32),""),"")</f>
        <v/>
      </c>
      <c r="K520" s="85" t="str">
        <f aca="false">IFERROR(IF(ISNUMBER(INDEX(원자료_시장!$A$1:$BZ$1000,설정!$L$6+ROW()-1,설정!$L$33)),INDEX(원자료_시장!$A$1:$BZ$1000,설정!$L$6+ROW()-1,설정!$L$33),""),"")</f>
        <v/>
      </c>
      <c r="L520" s="83" t="n">
        <f aca="false">IFERROR(IF(INDEX(원자료_시장!$A$1:$BZ$1000,설정!$L$6+ROW()-1,설정!$L$34)&amp;""="0","",INDEX(원자료_시장!$A$1:$BZ$1000,설정!$L$6+ROW()-1,설정!$L$34)),"")</f>
        <v>0</v>
      </c>
      <c r="M520" s="83" t="n">
        <f aca="false">IFERROR(IF(INDEX(원자료_시장!$A$1:$BZ$1000,설정!$L$6+ROW()-1,설정!$L$35)&amp;""="0","",INDEX(원자료_시장!$A$1:$BZ$1000,설정!$L$6+ROW()-1,설정!$L$35)),"")</f>
        <v>0</v>
      </c>
      <c r="N520" s="83" t="n">
        <f aca="false">IFERROR(IF(INDEX(원자료_시장!$A$1:$BZ$1000,설정!$L$6+ROW()-1,설정!$L$36)&amp;""="0","",INDEX(원자료_시장!$A$1:$BZ$1000,설정!$L$6+ROW()-1,설정!$L$36)),"")</f>
        <v>0</v>
      </c>
      <c r="O520" s="43" t="str">
        <f aca="false">IF($A520="","",UPPER(LEFT($A520,FIND(" ",$A520&amp;" ")-1)))</f>
        <v/>
      </c>
      <c r="P520" s="43" t="str">
        <f aca="false">IF($A520="","",TRIM(RIGHT(SUBSTITUTE(TRIM($A520)," ",REPT(" ",30)),30)))</f>
        <v/>
      </c>
      <c r="Q520" s="98" t="str">
        <f aca="false">IF($A520="","",IFERROR(DATE(IF(LEN(P520)=8,2000+VALUE(RIGHT(P520,2)),VALUE(RIGHT(P520,4))),VALUE(LEFT(P520,2)),VALUE(MID(P520,4,2))),""))</f>
        <v/>
      </c>
      <c r="R520" s="89" t="n">
        <f aca="false">IF($A520="",0,IF(ISNUMBER(SEARCH("Float",$A520)),1,0))</f>
        <v>0</v>
      </c>
      <c r="S520" s="43" t="str">
        <f aca="false">IF($A520="","",TRIM(MID($A520,LEN(O520)+2,LEN($A520)-LEN(O520)-LEN(P520)-1)))</f>
        <v/>
      </c>
      <c r="T520" s="92" t="str">
        <f aca="false">IF(OR($A520="",R520=1),"",IFERROR(IF(ISNUMBER(FIND("/",S520)),IF(ISNUMBER(FIND(" ",S520)),VALUE(LEFT(S520,FIND(" ",S520)-1))+VALUE(MID(S520,FIND(" ",S520)+1,FIND("/",S520)-FIND(" ",S520)-1))/VALUE(MID(S520,FIND("/",S520)+1,9)),VALUE(LEFT(S520,FIND("/",S520)-1))/VALUE(MID(S520,FIND("/",S520)+1,9))),VALUE(S520)),""))</f>
        <v/>
      </c>
      <c r="U520" s="43" t="str">
        <f aca="false">IF(OR($A520="",NOT(ISNUMBER(Q520))),"",TEXT(Q520,"yyyymmdd")&amp;"|"&amp;IF(R520=1,"F",TEXT(T520,"0.000")))</f>
        <v/>
      </c>
      <c r="V520" s="43" t="str">
        <f aca="false">IF(U520="","",O520&amp;"|"&amp;U520)</f>
        <v/>
      </c>
      <c r="W520" s="43" t="str">
        <f aca="false">IF($A520="","",IFERROR(IF(VLOOKUP(O520,매핑!$A$4:$E$92,3,0)="","미분류",VLOOKUP(O520,매핑!$A$4:$E$92,3,0)),"미분류"))</f>
        <v/>
      </c>
      <c r="X520" s="89" t="n">
        <f aca="false">IF($A520="",0,IF(O520="T",1,0))</f>
        <v>0</v>
      </c>
      <c r="Y520" s="89" t="n">
        <f aca="false">IF($A520="",0,IF(AND(C520="USD",X520=0,ISNUMBER(E520),ISNUMBER(K520)),IF(K520&gt;=설정!$C$8,1,0),0))</f>
        <v>0</v>
      </c>
      <c r="Z520" s="43" t="str">
        <f aca="false">IF($A520="","",N520&amp;"|"&amp;L520)</f>
        <v/>
      </c>
      <c r="AA520" s="92" t="n">
        <f aca="false">IF(Y520=1,LN(K520),0)</f>
        <v>0</v>
      </c>
      <c r="AB520" s="93" t="n">
        <f aca="false">IF(Y520=1,E520,0)</f>
        <v>0</v>
      </c>
      <c r="AC520" s="89" t="n">
        <f aca="false">IF(Y520=1,COUNTIFS($Z$2:$Z$601,Z520,$Y$2:$Y$601,1),0)</f>
        <v>0</v>
      </c>
      <c r="AD520" s="89" t="n">
        <f aca="false">IF(Y520=1,COUNTIFS($N$2:$N$601,N520,$Y$2:$Y$601,1),0)</f>
        <v>0</v>
      </c>
      <c r="AE520" s="43" t="str">
        <f aca="false">IF(Y520&lt;&gt;1,"",IF(AND(AC520&gt;=설정!$C$7,ISNUMBER(MATCH(Z520,피어커브!$A:$A,0))),Z520,IF(AND(AD520&gt;=설정!$C$7,ISNUMBER(MATCH(N520&amp;"|전체",피어커브!$A:$A,0))),N520&amp;"|전체","전체|전체")))</f>
        <v/>
      </c>
      <c r="AF520" s="93" t="str">
        <f aca="false">IF(AE520="","",INDEX(피어커브!$K:$K,MATCH(AE520,피어커브!$A:$A,0)))</f>
        <v/>
      </c>
      <c r="AG520" s="93" t="str">
        <f aca="false">IF(AE520="","",INDEX(피어커브!$J:$J,MATCH(AE520,피어커브!$A:$A,0)))</f>
        <v/>
      </c>
      <c r="AH520" s="93" t="str">
        <f aca="false">IF(AE520="","",INDEX(피어커브!$L:$L,MATCH(AE520,피어커브!$A:$A,0)))</f>
        <v/>
      </c>
      <c r="AI520" s="93" t="str">
        <f aca="false">IF(AE520="","",AF520+AG520*AA520)</f>
        <v/>
      </c>
      <c r="AJ520" s="96" t="str">
        <f aca="false">IF(AE520="","",E520-AI520)</f>
        <v/>
      </c>
      <c r="AK520" s="95" t="str">
        <f aca="false">IF(AE520="","",IF(ISNUMBER(AH520),IF(AH520&gt;0,AJ520/AH520,""),""))</f>
        <v/>
      </c>
      <c r="AL520" s="43" t="str">
        <f aca="false">IF(AK520="","-",IF(AK520&gt;=설정!$C$6,"Cheap",IF(AK520&lt;=-설정!$C$6,"Rich","Fair")))</f>
        <v>-</v>
      </c>
      <c r="AM520" s="96" t="str">
        <f aca="false">IF(AE520="","",AJ520-AVERAGEIFS($AJ$2:$AJ$601,$B$2:$B$601,B520,$Y$2:$Y$601,1))</f>
        <v/>
      </c>
      <c r="AN520" s="93" t="n">
        <f aca="false">IF(AE520="",0,IF(K520&gt;1+설정!$C$8,AG520*(AA520-LN(K520-1)),0))</f>
        <v>0</v>
      </c>
      <c r="AO520" s="99" t="n">
        <f aca="false">IF($A520="",0,SUMIFS(보유분석!$AA$2:$AA$801,보유분석!$AB$2:$AB$801,ROW(),보유분석!$AC$2:$AC$801,1))</f>
        <v>0</v>
      </c>
      <c r="AP520" s="43" t="str">
        <f aca="false">IF($A520="","",TRIM(IF(R520=1,"FRN ","")&amp;IF(IFERROR(VLOOKUP(M520,설정!$A$15:$D$47,4,0),0)&gt;=10,IF(IFERROR(VLOOKUP(M520,설정!$A$15:$D$47,4,0),0)&lt;99,"BBB0미만 ",""),"")&amp;IF(OR(M520="",M520="NR"),"등급미입력 ","")&amp;IF(C520&lt;&gt;"USD","비USD ","")))</f>
        <v/>
      </c>
      <c r="AQ520" s="90" t="n">
        <f aca="false">IF(AND(Y520=1,AL520="Cheap"),IF(AND(ISERROR(SEARCH("FRN",AP520)),ISERROR(SEARCH("BBB0미만",AP520))),AK520+ROW()/1000000000,-999),-999)</f>
        <v>-999</v>
      </c>
      <c r="AR520" s="92" t="str">
        <f aca="false">IF(AND(ISNUMBER(D520),ISNUMBER(K520)),D520+AN520*MAX(K520-1,0)/100,"")</f>
        <v/>
      </c>
      <c r="AS520" s="93" t="str">
        <f aca="false">IF(AND(ISNUMBER(E520),ISNUMBER(K520)),IF(K520&gt;0,(E520+AN520*MAX(K520-1,0))/K520,""),"")</f>
        <v/>
      </c>
      <c r="AT520" s="90" t="n">
        <f aca="false">IFERROR(IF(AND(Y520=1,ROW()&lt;&gt;스왑분석!$C$12+1,ABS(K520-INDEX($K$2:$K$601,스왑분석!$C$12))&lt;=스왑분석!$C$5,ISERROR(SEARCH("FRN",AP520)),ISERROR(SEARCH("BBB0미만",AP520))),IF(AND(OR(스왑분석!$C$6="N",L520=INDEX($L$2:$L$601,스왑분석!$C$12)),OR(스왑분석!$C$7="N",N520=INDEX($N$2:$N$601,스왑분석!$C$12)),OR(스왑분석!$C$8="N",AO520=0),E520-INDEX($E$2:$E$601,스왑분석!$C$12)&gt;=스왑분석!$C$9),E520-INDEX($E$2:$E$601,스왑분석!$C$12)+ROW()/1000000000,-999),-999),-999)</f>
        <v>-999</v>
      </c>
      <c r="AU520" s="90" t="n">
        <f aca="false">IF(AND(Y520=1,AO520&gt;0,AL520="Rich"),-AK520+ROW()/1000000000,-999)</f>
        <v>-999</v>
      </c>
    </row>
    <row r="521" customFormat="false" ht="15" hidden="false" customHeight="false" outlineLevel="0" collapsed="false">
      <c r="A521" s="83" t="n">
        <f aca="false">IFERROR(IF(INDEX(원자료_시장!$A$1:$BZ$1000,설정!$L$6+ROW()-1,설정!$L$24)&amp;""="0","",INDEX(원자료_시장!$A$1:$BZ$1000,설정!$L$6+ROW()-1,설정!$L$24)),"")</f>
        <v>0</v>
      </c>
      <c r="B521" s="83" t="n">
        <f aca="false">IFERROR(IF(INDEX(원자료_시장!$A$1:$BZ$1000,설정!$L$6+ROW()-1,설정!$L$37)&amp;""="0","",INDEX(원자료_시장!$A$1:$BZ$1000,설정!$L$6+ROW()-1,설정!$L$37)),"")</f>
        <v>0</v>
      </c>
      <c r="C521" s="83" t="n">
        <f aca="false">IFERROR(IF(INDEX(원자료_시장!$A$1:$BZ$1000,설정!$L$6+ROW()-1,설정!$L$25)&amp;""="0","",INDEX(원자료_시장!$A$1:$BZ$1000,설정!$L$6+ROW()-1,설정!$L$25)),"")</f>
        <v>0</v>
      </c>
      <c r="D521" s="85" t="str">
        <f aca="false">IFERROR(IF(ISNUMBER(INDEX(원자료_시장!$A$1:$BZ$1000,설정!$L$6+ROW()-1,설정!$L$26)),INDEX(원자료_시장!$A$1:$BZ$1000,설정!$L$6+ROW()-1,설정!$L$26),""),"")</f>
        <v/>
      </c>
      <c r="E521" s="97" t="str">
        <f aca="false">IFERROR(IF(ISNUMBER(INDEX(원자료_시장!$A$1:$BZ$1000,설정!$L$6+ROW()-1,설정!$L$27)),INDEX(원자료_시장!$A$1:$BZ$1000,설정!$L$6+ROW()-1,설정!$L$27),""),"")</f>
        <v/>
      </c>
      <c r="F521" s="97" t="str">
        <f aca="false">IFERROR(IF(ISNUMBER(INDEX(원자료_시장!$A$1:$BZ$1000,설정!$L$6+ROW()-1,설정!$L$28)),INDEX(원자료_시장!$A$1:$BZ$1000,설정!$L$6+ROW()-1,설정!$L$28),""),"")</f>
        <v/>
      </c>
      <c r="G521" s="97" t="str">
        <f aca="false">IFERROR(IF(ISNUMBER(INDEX(원자료_시장!$A$1:$BZ$1000,설정!$L$6+ROW()-1,설정!$L$29)),INDEX(원자료_시장!$A$1:$BZ$1000,설정!$L$6+ROW()-1,설정!$L$29),""),"")</f>
        <v/>
      </c>
      <c r="H521" s="97" t="str">
        <f aca="false">IFERROR(IF(ISNUMBER(INDEX(원자료_시장!$A$1:$BZ$1000,설정!$L$6+ROW()-1,설정!$L$30)),INDEX(원자료_시장!$A$1:$BZ$1000,설정!$L$6+ROW()-1,설정!$L$30),""),"")</f>
        <v/>
      </c>
      <c r="I521" s="97" t="str">
        <f aca="false">IFERROR(IF(ISNUMBER(INDEX(원자료_시장!$A$1:$BZ$1000,설정!$L$6+ROW()-1,설정!$L$31)),INDEX(원자료_시장!$A$1:$BZ$1000,설정!$L$6+ROW()-1,설정!$L$31),""),"")</f>
        <v/>
      </c>
      <c r="J521" s="97" t="str">
        <f aca="false">IFERROR(IF(ISNUMBER(INDEX(원자료_시장!$A$1:$BZ$1000,설정!$L$6+ROW()-1,설정!$L$32)),INDEX(원자료_시장!$A$1:$BZ$1000,설정!$L$6+ROW()-1,설정!$L$32),""),"")</f>
        <v/>
      </c>
      <c r="K521" s="85" t="str">
        <f aca="false">IFERROR(IF(ISNUMBER(INDEX(원자료_시장!$A$1:$BZ$1000,설정!$L$6+ROW()-1,설정!$L$33)),INDEX(원자료_시장!$A$1:$BZ$1000,설정!$L$6+ROW()-1,설정!$L$33),""),"")</f>
        <v/>
      </c>
      <c r="L521" s="83" t="n">
        <f aca="false">IFERROR(IF(INDEX(원자료_시장!$A$1:$BZ$1000,설정!$L$6+ROW()-1,설정!$L$34)&amp;""="0","",INDEX(원자료_시장!$A$1:$BZ$1000,설정!$L$6+ROW()-1,설정!$L$34)),"")</f>
        <v>0</v>
      </c>
      <c r="M521" s="83" t="n">
        <f aca="false">IFERROR(IF(INDEX(원자료_시장!$A$1:$BZ$1000,설정!$L$6+ROW()-1,설정!$L$35)&amp;""="0","",INDEX(원자료_시장!$A$1:$BZ$1000,설정!$L$6+ROW()-1,설정!$L$35)),"")</f>
        <v>0</v>
      </c>
      <c r="N521" s="83" t="n">
        <f aca="false">IFERROR(IF(INDEX(원자료_시장!$A$1:$BZ$1000,설정!$L$6+ROW()-1,설정!$L$36)&amp;""="0","",INDEX(원자료_시장!$A$1:$BZ$1000,설정!$L$6+ROW()-1,설정!$L$36)),"")</f>
        <v>0</v>
      </c>
      <c r="O521" s="43" t="str">
        <f aca="false">IF($A521="","",UPPER(LEFT($A521,FIND(" ",$A521&amp;" ")-1)))</f>
        <v/>
      </c>
      <c r="P521" s="43" t="str">
        <f aca="false">IF($A521="","",TRIM(RIGHT(SUBSTITUTE(TRIM($A521)," ",REPT(" ",30)),30)))</f>
        <v/>
      </c>
      <c r="Q521" s="98" t="str">
        <f aca="false">IF($A521="","",IFERROR(DATE(IF(LEN(P521)=8,2000+VALUE(RIGHT(P521,2)),VALUE(RIGHT(P521,4))),VALUE(LEFT(P521,2)),VALUE(MID(P521,4,2))),""))</f>
        <v/>
      </c>
      <c r="R521" s="89" t="n">
        <f aca="false">IF($A521="",0,IF(ISNUMBER(SEARCH("Float",$A521)),1,0))</f>
        <v>0</v>
      </c>
      <c r="S521" s="43" t="str">
        <f aca="false">IF($A521="","",TRIM(MID($A521,LEN(O521)+2,LEN($A521)-LEN(O521)-LEN(P521)-1)))</f>
        <v/>
      </c>
      <c r="T521" s="92" t="str">
        <f aca="false">IF(OR($A521="",R521=1),"",IFERROR(IF(ISNUMBER(FIND("/",S521)),IF(ISNUMBER(FIND(" ",S521)),VALUE(LEFT(S521,FIND(" ",S521)-1))+VALUE(MID(S521,FIND(" ",S521)+1,FIND("/",S521)-FIND(" ",S521)-1))/VALUE(MID(S521,FIND("/",S521)+1,9)),VALUE(LEFT(S521,FIND("/",S521)-1))/VALUE(MID(S521,FIND("/",S521)+1,9))),VALUE(S521)),""))</f>
        <v/>
      </c>
      <c r="U521" s="43" t="str">
        <f aca="false">IF(OR($A521="",NOT(ISNUMBER(Q521))),"",TEXT(Q521,"yyyymmdd")&amp;"|"&amp;IF(R521=1,"F",TEXT(T521,"0.000")))</f>
        <v/>
      </c>
      <c r="V521" s="43" t="str">
        <f aca="false">IF(U521="","",O521&amp;"|"&amp;U521)</f>
        <v/>
      </c>
      <c r="W521" s="43" t="str">
        <f aca="false">IF($A521="","",IFERROR(IF(VLOOKUP(O521,매핑!$A$4:$E$92,3,0)="","미분류",VLOOKUP(O521,매핑!$A$4:$E$92,3,0)),"미분류"))</f>
        <v/>
      </c>
      <c r="X521" s="89" t="n">
        <f aca="false">IF($A521="",0,IF(O521="T",1,0))</f>
        <v>0</v>
      </c>
      <c r="Y521" s="89" t="n">
        <f aca="false">IF($A521="",0,IF(AND(C521="USD",X521=0,ISNUMBER(E521),ISNUMBER(K521)),IF(K521&gt;=설정!$C$8,1,0),0))</f>
        <v>0</v>
      </c>
      <c r="Z521" s="43" t="str">
        <f aca="false">IF($A521="","",N521&amp;"|"&amp;L521)</f>
        <v/>
      </c>
      <c r="AA521" s="92" t="n">
        <f aca="false">IF(Y521=1,LN(K521),0)</f>
        <v>0</v>
      </c>
      <c r="AB521" s="93" t="n">
        <f aca="false">IF(Y521=1,E521,0)</f>
        <v>0</v>
      </c>
      <c r="AC521" s="89" t="n">
        <f aca="false">IF(Y521=1,COUNTIFS($Z$2:$Z$601,Z521,$Y$2:$Y$601,1),0)</f>
        <v>0</v>
      </c>
      <c r="AD521" s="89" t="n">
        <f aca="false">IF(Y521=1,COUNTIFS($N$2:$N$601,N521,$Y$2:$Y$601,1),0)</f>
        <v>0</v>
      </c>
      <c r="AE521" s="43" t="str">
        <f aca="false">IF(Y521&lt;&gt;1,"",IF(AND(AC521&gt;=설정!$C$7,ISNUMBER(MATCH(Z521,피어커브!$A:$A,0))),Z521,IF(AND(AD521&gt;=설정!$C$7,ISNUMBER(MATCH(N521&amp;"|전체",피어커브!$A:$A,0))),N521&amp;"|전체","전체|전체")))</f>
        <v/>
      </c>
      <c r="AF521" s="93" t="str">
        <f aca="false">IF(AE521="","",INDEX(피어커브!$K:$K,MATCH(AE521,피어커브!$A:$A,0)))</f>
        <v/>
      </c>
      <c r="AG521" s="93" t="str">
        <f aca="false">IF(AE521="","",INDEX(피어커브!$J:$J,MATCH(AE521,피어커브!$A:$A,0)))</f>
        <v/>
      </c>
      <c r="AH521" s="93" t="str">
        <f aca="false">IF(AE521="","",INDEX(피어커브!$L:$L,MATCH(AE521,피어커브!$A:$A,0)))</f>
        <v/>
      </c>
      <c r="AI521" s="93" t="str">
        <f aca="false">IF(AE521="","",AF521+AG521*AA521)</f>
        <v/>
      </c>
      <c r="AJ521" s="96" t="str">
        <f aca="false">IF(AE521="","",E521-AI521)</f>
        <v/>
      </c>
      <c r="AK521" s="95" t="str">
        <f aca="false">IF(AE521="","",IF(ISNUMBER(AH521),IF(AH521&gt;0,AJ521/AH521,""),""))</f>
        <v/>
      </c>
      <c r="AL521" s="43" t="str">
        <f aca="false">IF(AK521="","-",IF(AK521&gt;=설정!$C$6,"Cheap",IF(AK521&lt;=-설정!$C$6,"Rich","Fair")))</f>
        <v>-</v>
      </c>
      <c r="AM521" s="96" t="str">
        <f aca="false">IF(AE521="","",AJ521-AVERAGEIFS($AJ$2:$AJ$601,$B$2:$B$601,B521,$Y$2:$Y$601,1))</f>
        <v/>
      </c>
      <c r="AN521" s="93" t="n">
        <f aca="false">IF(AE521="",0,IF(K521&gt;1+설정!$C$8,AG521*(AA521-LN(K521-1)),0))</f>
        <v>0</v>
      </c>
      <c r="AO521" s="99" t="n">
        <f aca="false">IF($A521="",0,SUMIFS(보유분석!$AA$2:$AA$801,보유분석!$AB$2:$AB$801,ROW(),보유분석!$AC$2:$AC$801,1))</f>
        <v>0</v>
      </c>
      <c r="AP521" s="43" t="str">
        <f aca="false">IF($A521="","",TRIM(IF(R521=1,"FRN ","")&amp;IF(IFERROR(VLOOKUP(M521,설정!$A$15:$D$47,4,0),0)&gt;=10,IF(IFERROR(VLOOKUP(M521,설정!$A$15:$D$47,4,0),0)&lt;99,"BBB0미만 ",""),"")&amp;IF(OR(M521="",M521="NR"),"등급미입력 ","")&amp;IF(C521&lt;&gt;"USD","비USD ","")))</f>
        <v/>
      </c>
      <c r="AQ521" s="90" t="n">
        <f aca="false">IF(AND(Y521=1,AL521="Cheap"),IF(AND(ISERROR(SEARCH("FRN",AP521)),ISERROR(SEARCH("BBB0미만",AP521))),AK521+ROW()/1000000000,-999),-999)</f>
        <v>-999</v>
      </c>
      <c r="AR521" s="92" t="str">
        <f aca="false">IF(AND(ISNUMBER(D521),ISNUMBER(K521)),D521+AN521*MAX(K521-1,0)/100,"")</f>
        <v/>
      </c>
      <c r="AS521" s="93" t="str">
        <f aca="false">IF(AND(ISNUMBER(E521),ISNUMBER(K521)),IF(K521&gt;0,(E521+AN521*MAX(K521-1,0))/K521,""),"")</f>
        <v/>
      </c>
      <c r="AT521" s="90" t="n">
        <f aca="false">IFERROR(IF(AND(Y521=1,ROW()&lt;&gt;스왑분석!$C$12+1,ABS(K521-INDEX($K$2:$K$601,스왑분석!$C$12))&lt;=스왑분석!$C$5,ISERROR(SEARCH("FRN",AP521)),ISERROR(SEARCH("BBB0미만",AP521))),IF(AND(OR(스왑분석!$C$6="N",L521=INDEX($L$2:$L$601,스왑분석!$C$12)),OR(스왑분석!$C$7="N",N521=INDEX($N$2:$N$601,스왑분석!$C$12)),OR(스왑분석!$C$8="N",AO521=0),E521-INDEX($E$2:$E$601,스왑분석!$C$12)&gt;=스왑분석!$C$9),E521-INDEX($E$2:$E$601,스왑분석!$C$12)+ROW()/1000000000,-999),-999),-999)</f>
        <v>-999</v>
      </c>
      <c r="AU521" s="90" t="n">
        <f aca="false">IF(AND(Y521=1,AO521&gt;0,AL521="Rich"),-AK521+ROW()/1000000000,-999)</f>
        <v>-999</v>
      </c>
    </row>
    <row r="522" customFormat="false" ht="15" hidden="false" customHeight="false" outlineLevel="0" collapsed="false">
      <c r="A522" s="83" t="n">
        <f aca="false">IFERROR(IF(INDEX(원자료_시장!$A$1:$BZ$1000,설정!$L$6+ROW()-1,설정!$L$24)&amp;""="0","",INDEX(원자료_시장!$A$1:$BZ$1000,설정!$L$6+ROW()-1,설정!$L$24)),"")</f>
        <v>0</v>
      </c>
      <c r="B522" s="83" t="n">
        <f aca="false">IFERROR(IF(INDEX(원자료_시장!$A$1:$BZ$1000,설정!$L$6+ROW()-1,설정!$L$37)&amp;""="0","",INDEX(원자료_시장!$A$1:$BZ$1000,설정!$L$6+ROW()-1,설정!$L$37)),"")</f>
        <v>0</v>
      </c>
      <c r="C522" s="83" t="n">
        <f aca="false">IFERROR(IF(INDEX(원자료_시장!$A$1:$BZ$1000,설정!$L$6+ROW()-1,설정!$L$25)&amp;""="0","",INDEX(원자료_시장!$A$1:$BZ$1000,설정!$L$6+ROW()-1,설정!$L$25)),"")</f>
        <v>0</v>
      </c>
      <c r="D522" s="85" t="str">
        <f aca="false">IFERROR(IF(ISNUMBER(INDEX(원자료_시장!$A$1:$BZ$1000,설정!$L$6+ROW()-1,설정!$L$26)),INDEX(원자료_시장!$A$1:$BZ$1000,설정!$L$6+ROW()-1,설정!$L$26),""),"")</f>
        <v/>
      </c>
      <c r="E522" s="97" t="str">
        <f aca="false">IFERROR(IF(ISNUMBER(INDEX(원자료_시장!$A$1:$BZ$1000,설정!$L$6+ROW()-1,설정!$L$27)),INDEX(원자료_시장!$A$1:$BZ$1000,설정!$L$6+ROW()-1,설정!$L$27),""),"")</f>
        <v/>
      </c>
      <c r="F522" s="97" t="str">
        <f aca="false">IFERROR(IF(ISNUMBER(INDEX(원자료_시장!$A$1:$BZ$1000,설정!$L$6+ROW()-1,설정!$L$28)),INDEX(원자료_시장!$A$1:$BZ$1000,설정!$L$6+ROW()-1,설정!$L$28),""),"")</f>
        <v/>
      </c>
      <c r="G522" s="97" t="str">
        <f aca="false">IFERROR(IF(ISNUMBER(INDEX(원자료_시장!$A$1:$BZ$1000,설정!$L$6+ROW()-1,설정!$L$29)),INDEX(원자료_시장!$A$1:$BZ$1000,설정!$L$6+ROW()-1,설정!$L$29),""),"")</f>
        <v/>
      </c>
      <c r="H522" s="97" t="str">
        <f aca="false">IFERROR(IF(ISNUMBER(INDEX(원자료_시장!$A$1:$BZ$1000,설정!$L$6+ROW()-1,설정!$L$30)),INDEX(원자료_시장!$A$1:$BZ$1000,설정!$L$6+ROW()-1,설정!$L$30),""),"")</f>
        <v/>
      </c>
      <c r="I522" s="97" t="str">
        <f aca="false">IFERROR(IF(ISNUMBER(INDEX(원자료_시장!$A$1:$BZ$1000,설정!$L$6+ROW()-1,설정!$L$31)),INDEX(원자료_시장!$A$1:$BZ$1000,설정!$L$6+ROW()-1,설정!$L$31),""),"")</f>
        <v/>
      </c>
      <c r="J522" s="97" t="str">
        <f aca="false">IFERROR(IF(ISNUMBER(INDEX(원자료_시장!$A$1:$BZ$1000,설정!$L$6+ROW()-1,설정!$L$32)),INDEX(원자료_시장!$A$1:$BZ$1000,설정!$L$6+ROW()-1,설정!$L$32),""),"")</f>
        <v/>
      </c>
      <c r="K522" s="85" t="str">
        <f aca="false">IFERROR(IF(ISNUMBER(INDEX(원자료_시장!$A$1:$BZ$1000,설정!$L$6+ROW()-1,설정!$L$33)),INDEX(원자료_시장!$A$1:$BZ$1000,설정!$L$6+ROW()-1,설정!$L$33),""),"")</f>
        <v/>
      </c>
      <c r="L522" s="83" t="n">
        <f aca="false">IFERROR(IF(INDEX(원자료_시장!$A$1:$BZ$1000,설정!$L$6+ROW()-1,설정!$L$34)&amp;""="0","",INDEX(원자료_시장!$A$1:$BZ$1000,설정!$L$6+ROW()-1,설정!$L$34)),"")</f>
        <v>0</v>
      </c>
      <c r="M522" s="83" t="n">
        <f aca="false">IFERROR(IF(INDEX(원자료_시장!$A$1:$BZ$1000,설정!$L$6+ROW()-1,설정!$L$35)&amp;""="0","",INDEX(원자료_시장!$A$1:$BZ$1000,설정!$L$6+ROW()-1,설정!$L$35)),"")</f>
        <v>0</v>
      </c>
      <c r="N522" s="83" t="n">
        <f aca="false">IFERROR(IF(INDEX(원자료_시장!$A$1:$BZ$1000,설정!$L$6+ROW()-1,설정!$L$36)&amp;""="0","",INDEX(원자료_시장!$A$1:$BZ$1000,설정!$L$6+ROW()-1,설정!$L$36)),"")</f>
        <v>0</v>
      </c>
      <c r="O522" s="43" t="str">
        <f aca="false">IF($A522="","",UPPER(LEFT($A522,FIND(" ",$A522&amp;" ")-1)))</f>
        <v/>
      </c>
      <c r="P522" s="43" t="str">
        <f aca="false">IF($A522="","",TRIM(RIGHT(SUBSTITUTE(TRIM($A522)," ",REPT(" ",30)),30)))</f>
        <v/>
      </c>
      <c r="Q522" s="98" t="str">
        <f aca="false">IF($A522="","",IFERROR(DATE(IF(LEN(P522)=8,2000+VALUE(RIGHT(P522,2)),VALUE(RIGHT(P522,4))),VALUE(LEFT(P522,2)),VALUE(MID(P522,4,2))),""))</f>
        <v/>
      </c>
      <c r="R522" s="89" t="n">
        <f aca="false">IF($A522="",0,IF(ISNUMBER(SEARCH("Float",$A522)),1,0))</f>
        <v>0</v>
      </c>
      <c r="S522" s="43" t="str">
        <f aca="false">IF($A522="","",TRIM(MID($A522,LEN(O522)+2,LEN($A522)-LEN(O522)-LEN(P522)-1)))</f>
        <v/>
      </c>
      <c r="T522" s="92" t="str">
        <f aca="false">IF(OR($A522="",R522=1),"",IFERROR(IF(ISNUMBER(FIND("/",S522)),IF(ISNUMBER(FIND(" ",S522)),VALUE(LEFT(S522,FIND(" ",S522)-1))+VALUE(MID(S522,FIND(" ",S522)+1,FIND("/",S522)-FIND(" ",S522)-1))/VALUE(MID(S522,FIND("/",S522)+1,9)),VALUE(LEFT(S522,FIND("/",S522)-1))/VALUE(MID(S522,FIND("/",S522)+1,9))),VALUE(S522)),""))</f>
        <v/>
      </c>
      <c r="U522" s="43" t="str">
        <f aca="false">IF(OR($A522="",NOT(ISNUMBER(Q522))),"",TEXT(Q522,"yyyymmdd")&amp;"|"&amp;IF(R522=1,"F",TEXT(T522,"0.000")))</f>
        <v/>
      </c>
      <c r="V522" s="43" t="str">
        <f aca="false">IF(U522="","",O522&amp;"|"&amp;U522)</f>
        <v/>
      </c>
      <c r="W522" s="43" t="str">
        <f aca="false">IF($A522="","",IFERROR(IF(VLOOKUP(O522,매핑!$A$4:$E$92,3,0)="","미분류",VLOOKUP(O522,매핑!$A$4:$E$92,3,0)),"미분류"))</f>
        <v/>
      </c>
      <c r="X522" s="89" t="n">
        <f aca="false">IF($A522="",0,IF(O522="T",1,0))</f>
        <v>0</v>
      </c>
      <c r="Y522" s="89" t="n">
        <f aca="false">IF($A522="",0,IF(AND(C522="USD",X522=0,ISNUMBER(E522),ISNUMBER(K522)),IF(K522&gt;=설정!$C$8,1,0),0))</f>
        <v>0</v>
      </c>
      <c r="Z522" s="43" t="str">
        <f aca="false">IF($A522="","",N522&amp;"|"&amp;L522)</f>
        <v/>
      </c>
      <c r="AA522" s="92" t="n">
        <f aca="false">IF(Y522=1,LN(K522),0)</f>
        <v>0</v>
      </c>
      <c r="AB522" s="93" t="n">
        <f aca="false">IF(Y522=1,E522,0)</f>
        <v>0</v>
      </c>
      <c r="AC522" s="89" t="n">
        <f aca="false">IF(Y522=1,COUNTIFS($Z$2:$Z$601,Z522,$Y$2:$Y$601,1),0)</f>
        <v>0</v>
      </c>
      <c r="AD522" s="89" t="n">
        <f aca="false">IF(Y522=1,COUNTIFS($N$2:$N$601,N522,$Y$2:$Y$601,1),0)</f>
        <v>0</v>
      </c>
      <c r="AE522" s="43" t="str">
        <f aca="false">IF(Y522&lt;&gt;1,"",IF(AND(AC522&gt;=설정!$C$7,ISNUMBER(MATCH(Z522,피어커브!$A:$A,0))),Z522,IF(AND(AD522&gt;=설정!$C$7,ISNUMBER(MATCH(N522&amp;"|전체",피어커브!$A:$A,0))),N522&amp;"|전체","전체|전체")))</f>
        <v/>
      </c>
      <c r="AF522" s="93" t="str">
        <f aca="false">IF(AE522="","",INDEX(피어커브!$K:$K,MATCH(AE522,피어커브!$A:$A,0)))</f>
        <v/>
      </c>
      <c r="AG522" s="93" t="str">
        <f aca="false">IF(AE522="","",INDEX(피어커브!$J:$J,MATCH(AE522,피어커브!$A:$A,0)))</f>
        <v/>
      </c>
      <c r="AH522" s="93" t="str">
        <f aca="false">IF(AE522="","",INDEX(피어커브!$L:$L,MATCH(AE522,피어커브!$A:$A,0)))</f>
        <v/>
      </c>
      <c r="AI522" s="93" t="str">
        <f aca="false">IF(AE522="","",AF522+AG522*AA522)</f>
        <v/>
      </c>
      <c r="AJ522" s="96" t="str">
        <f aca="false">IF(AE522="","",E522-AI522)</f>
        <v/>
      </c>
      <c r="AK522" s="95" t="str">
        <f aca="false">IF(AE522="","",IF(ISNUMBER(AH522),IF(AH522&gt;0,AJ522/AH522,""),""))</f>
        <v/>
      </c>
      <c r="AL522" s="43" t="str">
        <f aca="false">IF(AK522="","-",IF(AK522&gt;=설정!$C$6,"Cheap",IF(AK522&lt;=-설정!$C$6,"Rich","Fair")))</f>
        <v>-</v>
      </c>
      <c r="AM522" s="96" t="str">
        <f aca="false">IF(AE522="","",AJ522-AVERAGEIFS($AJ$2:$AJ$601,$B$2:$B$601,B522,$Y$2:$Y$601,1))</f>
        <v/>
      </c>
      <c r="AN522" s="93" t="n">
        <f aca="false">IF(AE522="",0,IF(K522&gt;1+설정!$C$8,AG522*(AA522-LN(K522-1)),0))</f>
        <v>0</v>
      </c>
      <c r="AO522" s="99" t="n">
        <f aca="false">IF($A522="",0,SUMIFS(보유분석!$AA$2:$AA$801,보유분석!$AB$2:$AB$801,ROW(),보유분석!$AC$2:$AC$801,1))</f>
        <v>0</v>
      </c>
      <c r="AP522" s="43" t="str">
        <f aca="false">IF($A522="","",TRIM(IF(R522=1,"FRN ","")&amp;IF(IFERROR(VLOOKUP(M522,설정!$A$15:$D$47,4,0),0)&gt;=10,IF(IFERROR(VLOOKUP(M522,설정!$A$15:$D$47,4,0),0)&lt;99,"BBB0미만 ",""),"")&amp;IF(OR(M522="",M522="NR"),"등급미입력 ","")&amp;IF(C522&lt;&gt;"USD","비USD ","")))</f>
        <v/>
      </c>
      <c r="AQ522" s="90" t="n">
        <f aca="false">IF(AND(Y522=1,AL522="Cheap"),IF(AND(ISERROR(SEARCH("FRN",AP522)),ISERROR(SEARCH("BBB0미만",AP522))),AK522+ROW()/1000000000,-999),-999)</f>
        <v>-999</v>
      </c>
      <c r="AR522" s="92" t="str">
        <f aca="false">IF(AND(ISNUMBER(D522),ISNUMBER(K522)),D522+AN522*MAX(K522-1,0)/100,"")</f>
        <v/>
      </c>
      <c r="AS522" s="93" t="str">
        <f aca="false">IF(AND(ISNUMBER(E522),ISNUMBER(K522)),IF(K522&gt;0,(E522+AN522*MAX(K522-1,0))/K522,""),"")</f>
        <v/>
      </c>
      <c r="AT522" s="90" t="n">
        <f aca="false">IFERROR(IF(AND(Y522=1,ROW()&lt;&gt;스왑분석!$C$12+1,ABS(K522-INDEX($K$2:$K$601,스왑분석!$C$12))&lt;=스왑분석!$C$5,ISERROR(SEARCH("FRN",AP522)),ISERROR(SEARCH("BBB0미만",AP522))),IF(AND(OR(스왑분석!$C$6="N",L522=INDEX($L$2:$L$601,스왑분석!$C$12)),OR(스왑분석!$C$7="N",N522=INDEX($N$2:$N$601,스왑분석!$C$12)),OR(스왑분석!$C$8="N",AO522=0),E522-INDEX($E$2:$E$601,스왑분석!$C$12)&gt;=스왑분석!$C$9),E522-INDEX($E$2:$E$601,스왑분석!$C$12)+ROW()/1000000000,-999),-999),-999)</f>
        <v>-999</v>
      </c>
      <c r="AU522" s="90" t="n">
        <f aca="false">IF(AND(Y522=1,AO522&gt;0,AL522="Rich"),-AK522+ROW()/1000000000,-999)</f>
        <v>-999</v>
      </c>
    </row>
    <row r="523" customFormat="false" ht="15" hidden="false" customHeight="false" outlineLevel="0" collapsed="false">
      <c r="A523" s="83" t="n">
        <f aca="false">IFERROR(IF(INDEX(원자료_시장!$A$1:$BZ$1000,설정!$L$6+ROW()-1,설정!$L$24)&amp;""="0","",INDEX(원자료_시장!$A$1:$BZ$1000,설정!$L$6+ROW()-1,설정!$L$24)),"")</f>
        <v>0</v>
      </c>
      <c r="B523" s="83" t="n">
        <f aca="false">IFERROR(IF(INDEX(원자료_시장!$A$1:$BZ$1000,설정!$L$6+ROW()-1,설정!$L$37)&amp;""="0","",INDEX(원자료_시장!$A$1:$BZ$1000,설정!$L$6+ROW()-1,설정!$L$37)),"")</f>
        <v>0</v>
      </c>
      <c r="C523" s="83" t="n">
        <f aca="false">IFERROR(IF(INDEX(원자료_시장!$A$1:$BZ$1000,설정!$L$6+ROW()-1,설정!$L$25)&amp;""="0","",INDEX(원자료_시장!$A$1:$BZ$1000,설정!$L$6+ROW()-1,설정!$L$25)),"")</f>
        <v>0</v>
      </c>
      <c r="D523" s="85" t="str">
        <f aca="false">IFERROR(IF(ISNUMBER(INDEX(원자료_시장!$A$1:$BZ$1000,설정!$L$6+ROW()-1,설정!$L$26)),INDEX(원자료_시장!$A$1:$BZ$1000,설정!$L$6+ROW()-1,설정!$L$26),""),"")</f>
        <v/>
      </c>
      <c r="E523" s="97" t="str">
        <f aca="false">IFERROR(IF(ISNUMBER(INDEX(원자료_시장!$A$1:$BZ$1000,설정!$L$6+ROW()-1,설정!$L$27)),INDEX(원자료_시장!$A$1:$BZ$1000,설정!$L$6+ROW()-1,설정!$L$27),""),"")</f>
        <v/>
      </c>
      <c r="F523" s="97" t="str">
        <f aca="false">IFERROR(IF(ISNUMBER(INDEX(원자료_시장!$A$1:$BZ$1000,설정!$L$6+ROW()-1,설정!$L$28)),INDEX(원자료_시장!$A$1:$BZ$1000,설정!$L$6+ROW()-1,설정!$L$28),""),"")</f>
        <v/>
      </c>
      <c r="G523" s="97" t="str">
        <f aca="false">IFERROR(IF(ISNUMBER(INDEX(원자료_시장!$A$1:$BZ$1000,설정!$L$6+ROW()-1,설정!$L$29)),INDEX(원자료_시장!$A$1:$BZ$1000,설정!$L$6+ROW()-1,설정!$L$29),""),"")</f>
        <v/>
      </c>
      <c r="H523" s="97" t="str">
        <f aca="false">IFERROR(IF(ISNUMBER(INDEX(원자료_시장!$A$1:$BZ$1000,설정!$L$6+ROW()-1,설정!$L$30)),INDEX(원자료_시장!$A$1:$BZ$1000,설정!$L$6+ROW()-1,설정!$L$30),""),"")</f>
        <v/>
      </c>
      <c r="I523" s="97" t="str">
        <f aca="false">IFERROR(IF(ISNUMBER(INDEX(원자료_시장!$A$1:$BZ$1000,설정!$L$6+ROW()-1,설정!$L$31)),INDEX(원자료_시장!$A$1:$BZ$1000,설정!$L$6+ROW()-1,설정!$L$31),""),"")</f>
        <v/>
      </c>
      <c r="J523" s="97" t="str">
        <f aca="false">IFERROR(IF(ISNUMBER(INDEX(원자료_시장!$A$1:$BZ$1000,설정!$L$6+ROW()-1,설정!$L$32)),INDEX(원자료_시장!$A$1:$BZ$1000,설정!$L$6+ROW()-1,설정!$L$32),""),"")</f>
        <v/>
      </c>
      <c r="K523" s="85" t="str">
        <f aca="false">IFERROR(IF(ISNUMBER(INDEX(원자료_시장!$A$1:$BZ$1000,설정!$L$6+ROW()-1,설정!$L$33)),INDEX(원자료_시장!$A$1:$BZ$1000,설정!$L$6+ROW()-1,설정!$L$33),""),"")</f>
        <v/>
      </c>
      <c r="L523" s="83" t="n">
        <f aca="false">IFERROR(IF(INDEX(원자료_시장!$A$1:$BZ$1000,설정!$L$6+ROW()-1,설정!$L$34)&amp;""="0","",INDEX(원자료_시장!$A$1:$BZ$1000,설정!$L$6+ROW()-1,설정!$L$34)),"")</f>
        <v>0</v>
      </c>
      <c r="M523" s="83" t="n">
        <f aca="false">IFERROR(IF(INDEX(원자료_시장!$A$1:$BZ$1000,설정!$L$6+ROW()-1,설정!$L$35)&amp;""="0","",INDEX(원자료_시장!$A$1:$BZ$1000,설정!$L$6+ROW()-1,설정!$L$35)),"")</f>
        <v>0</v>
      </c>
      <c r="N523" s="83" t="n">
        <f aca="false">IFERROR(IF(INDEX(원자료_시장!$A$1:$BZ$1000,설정!$L$6+ROW()-1,설정!$L$36)&amp;""="0","",INDEX(원자료_시장!$A$1:$BZ$1000,설정!$L$6+ROW()-1,설정!$L$36)),"")</f>
        <v>0</v>
      </c>
      <c r="O523" s="43" t="str">
        <f aca="false">IF($A523="","",UPPER(LEFT($A523,FIND(" ",$A523&amp;" ")-1)))</f>
        <v/>
      </c>
      <c r="P523" s="43" t="str">
        <f aca="false">IF($A523="","",TRIM(RIGHT(SUBSTITUTE(TRIM($A523)," ",REPT(" ",30)),30)))</f>
        <v/>
      </c>
      <c r="Q523" s="98" t="str">
        <f aca="false">IF($A523="","",IFERROR(DATE(IF(LEN(P523)=8,2000+VALUE(RIGHT(P523,2)),VALUE(RIGHT(P523,4))),VALUE(LEFT(P523,2)),VALUE(MID(P523,4,2))),""))</f>
        <v/>
      </c>
      <c r="R523" s="89" t="n">
        <f aca="false">IF($A523="",0,IF(ISNUMBER(SEARCH("Float",$A523)),1,0))</f>
        <v>0</v>
      </c>
      <c r="S523" s="43" t="str">
        <f aca="false">IF($A523="","",TRIM(MID($A523,LEN(O523)+2,LEN($A523)-LEN(O523)-LEN(P523)-1)))</f>
        <v/>
      </c>
      <c r="T523" s="92" t="str">
        <f aca="false">IF(OR($A523="",R523=1),"",IFERROR(IF(ISNUMBER(FIND("/",S523)),IF(ISNUMBER(FIND(" ",S523)),VALUE(LEFT(S523,FIND(" ",S523)-1))+VALUE(MID(S523,FIND(" ",S523)+1,FIND("/",S523)-FIND(" ",S523)-1))/VALUE(MID(S523,FIND("/",S523)+1,9)),VALUE(LEFT(S523,FIND("/",S523)-1))/VALUE(MID(S523,FIND("/",S523)+1,9))),VALUE(S523)),""))</f>
        <v/>
      </c>
      <c r="U523" s="43" t="str">
        <f aca="false">IF(OR($A523="",NOT(ISNUMBER(Q523))),"",TEXT(Q523,"yyyymmdd")&amp;"|"&amp;IF(R523=1,"F",TEXT(T523,"0.000")))</f>
        <v/>
      </c>
      <c r="V523" s="43" t="str">
        <f aca="false">IF(U523="","",O523&amp;"|"&amp;U523)</f>
        <v/>
      </c>
      <c r="W523" s="43" t="str">
        <f aca="false">IF($A523="","",IFERROR(IF(VLOOKUP(O523,매핑!$A$4:$E$92,3,0)="","미분류",VLOOKUP(O523,매핑!$A$4:$E$92,3,0)),"미분류"))</f>
        <v/>
      </c>
      <c r="X523" s="89" t="n">
        <f aca="false">IF($A523="",0,IF(O523="T",1,0))</f>
        <v>0</v>
      </c>
      <c r="Y523" s="89" t="n">
        <f aca="false">IF($A523="",0,IF(AND(C523="USD",X523=0,ISNUMBER(E523),ISNUMBER(K523)),IF(K523&gt;=설정!$C$8,1,0),0))</f>
        <v>0</v>
      </c>
      <c r="Z523" s="43" t="str">
        <f aca="false">IF($A523="","",N523&amp;"|"&amp;L523)</f>
        <v/>
      </c>
      <c r="AA523" s="92" t="n">
        <f aca="false">IF(Y523=1,LN(K523),0)</f>
        <v>0</v>
      </c>
      <c r="AB523" s="93" t="n">
        <f aca="false">IF(Y523=1,E523,0)</f>
        <v>0</v>
      </c>
      <c r="AC523" s="89" t="n">
        <f aca="false">IF(Y523=1,COUNTIFS($Z$2:$Z$601,Z523,$Y$2:$Y$601,1),0)</f>
        <v>0</v>
      </c>
      <c r="AD523" s="89" t="n">
        <f aca="false">IF(Y523=1,COUNTIFS($N$2:$N$601,N523,$Y$2:$Y$601,1),0)</f>
        <v>0</v>
      </c>
      <c r="AE523" s="43" t="str">
        <f aca="false">IF(Y523&lt;&gt;1,"",IF(AND(AC523&gt;=설정!$C$7,ISNUMBER(MATCH(Z523,피어커브!$A:$A,0))),Z523,IF(AND(AD523&gt;=설정!$C$7,ISNUMBER(MATCH(N523&amp;"|전체",피어커브!$A:$A,0))),N523&amp;"|전체","전체|전체")))</f>
        <v/>
      </c>
      <c r="AF523" s="93" t="str">
        <f aca="false">IF(AE523="","",INDEX(피어커브!$K:$K,MATCH(AE523,피어커브!$A:$A,0)))</f>
        <v/>
      </c>
      <c r="AG523" s="93" t="str">
        <f aca="false">IF(AE523="","",INDEX(피어커브!$J:$J,MATCH(AE523,피어커브!$A:$A,0)))</f>
        <v/>
      </c>
      <c r="AH523" s="93" t="str">
        <f aca="false">IF(AE523="","",INDEX(피어커브!$L:$L,MATCH(AE523,피어커브!$A:$A,0)))</f>
        <v/>
      </c>
      <c r="AI523" s="93" t="str">
        <f aca="false">IF(AE523="","",AF523+AG523*AA523)</f>
        <v/>
      </c>
      <c r="AJ523" s="96" t="str">
        <f aca="false">IF(AE523="","",E523-AI523)</f>
        <v/>
      </c>
      <c r="AK523" s="95" t="str">
        <f aca="false">IF(AE523="","",IF(ISNUMBER(AH523),IF(AH523&gt;0,AJ523/AH523,""),""))</f>
        <v/>
      </c>
      <c r="AL523" s="43" t="str">
        <f aca="false">IF(AK523="","-",IF(AK523&gt;=설정!$C$6,"Cheap",IF(AK523&lt;=-설정!$C$6,"Rich","Fair")))</f>
        <v>-</v>
      </c>
      <c r="AM523" s="96" t="str">
        <f aca="false">IF(AE523="","",AJ523-AVERAGEIFS($AJ$2:$AJ$601,$B$2:$B$601,B523,$Y$2:$Y$601,1))</f>
        <v/>
      </c>
      <c r="AN523" s="93" t="n">
        <f aca="false">IF(AE523="",0,IF(K523&gt;1+설정!$C$8,AG523*(AA523-LN(K523-1)),0))</f>
        <v>0</v>
      </c>
      <c r="AO523" s="99" t="n">
        <f aca="false">IF($A523="",0,SUMIFS(보유분석!$AA$2:$AA$801,보유분석!$AB$2:$AB$801,ROW(),보유분석!$AC$2:$AC$801,1))</f>
        <v>0</v>
      </c>
      <c r="AP523" s="43" t="str">
        <f aca="false">IF($A523="","",TRIM(IF(R523=1,"FRN ","")&amp;IF(IFERROR(VLOOKUP(M523,설정!$A$15:$D$47,4,0),0)&gt;=10,IF(IFERROR(VLOOKUP(M523,설정!$A$15:$D$47,4,0),0)&lt;99,"BBB0미만 ",""),"")&amp;IF(OR(M523="",M523="NR"),"등급미입력 ","")&amp;IF(C523&lt;&gt;"USD","비USD ","")))</f>
        <v/>
      </c>
      <c r="AQ523" s="90" t="n">
        <f aca="false">IF(AND(Y523=1,AL523="Cheap"),IF(AND(ISERROR(SEARCH("FRN",AP523)),ISERROR(SEARCH("BBB0미만",AP523))),AK523+ROW()/1000000000,-999),-999)</f>
        <v>-999</v>
      </c>
      <c r="AR523" s="92" t="str">
        <f aca="false">IF(AND(ISNUMBER(D523),ISNUMBER(K523)),D523+AN523*MAX(K523-1,0)/100,"")</f>
        <v/>
      </c>
      <c r="AS523" s="93" t="str">
        <f aca="false">IF(AND(ISNUMBER(E523),ISNUMBER(K523)),IF(K523&gt;0,(E523+AN523*MAX(K523-1,0))/K523,""),"")</f>
        <v/>
      </c>
      <c r="AT523" s="90" t="n">
        <f aca="false">IFERROR(IF(AND(Y523=1,ROW()&lt;&gt;스왑분석!$C$12+1,ABS(K523-INDEX($K$2:$K$601,스왑분석!$C$12))&lt;=스왑분석!$C$5,ISERROR(SEARCH("FRN",AP523)),ISERROR(SEARCH("BBB0미만",AP523))),IF(AND(OR(스왑분석!$C$6="N",L523=INDEX($L$2:$L$601,스왑분석!$C$12)),OR(스왑분석!$C$7="N",N523=INDEX($N$2:$N$601,스왑분석!$C$12)),OR(스왑분석!$C$8="N",AO523=0),E523-INDEX($E$2:$E$601,스왑분석!$C$12)&gt;=스왑분석!$C$9),E523-INDEX($E$2:$E$601,스왑분석!$C$12)+ROW()/1000000000,-999),-999),-999)</f>
        <v>-999</v>
      </c>
      <c r="AU523" s="90" t="n">
        <f aca="false">IF(AND(Y523=1,AO523&gt;0,AL523="Rich"),-AK523+ROW()/1000000000,-999)</f>
        <v>-999</v>
      </c>
    </row>
    <row r="524" customFormat="false" ht="15" hidden="false" customHeight="false" outlineLevel="0" collapsed="false">
      <c r="A524" s="83" t="n">
        <f aca="false">IFERROR(IF(INDEX(원자료_시장!$A$1:$BZ$1000,설정!$L$6+ROW()-1,설정!$L$24)&amp;""="0","",INDEX(원자료_시장!$A$1:$BZ$1000,설정!$L$6+ROW()-1,설정!$L$24)),"")</f>
        <v>0</v>
      </c>
      <c r="B524" s="83" t="n">
        <f aca="false">IFERROR(IF(INDEX(원자료_시장!$A$1:$BZ$1000,설정!$L$6+ROW()-1,설정!$L$37)&amp;""="0","",INDEX(원자료_시장!$A$1:$BZ$1000,설정!$L$6+ROW()-1,설정!$L$37)),"")</f>
        <v>0</v>
      </c>
      <c r="C524" s="83" t="n">
        <f aca="false">IFERROR(IF(INDEX(원자료_시장!$A$1:$BZ$1000,설정!$L$6+ROW()-1,설정!$L$25)&amp;""="0","",INDEX(원자료_시장!$A$1:$BZ$1000,설정!$L$6+ROW()-1,설정!$L$25)),"")</f>
        <v>0</v>
      </c>
      <c r="D524" s="85" t="str">
        <f aca="false">IFERROR(IF(ISNUMBER(INDEX(원자료_시장!$A$1:$BZ$1000,설정!$L$6+ROW()-1,설정!$L$26)),INDEX(원자료_시장!$A$1:$BZ$1000,설정!$L$6+ROW()-1,설정!$L$26),""),"")</f>
        <v/>
      </c>
      <c r="E524" s="97" t="str">
        <f aca="false">IFERROR(IF(ISNUMBER(INDEX(원자료_시장!$A$1:$BZ$1000,설정!$L$6+ROW()-1,설정!$L$27)),INDEX(원자료_시장!$A$1:$BZ$1000,설정!$L$6+ROW()-1,설정!$L$27),""),"")</f>
        <v/>
      </c>
      <c r="F524" s="97" t="str">
        <f aca="false">IFERROR(IF(ISNUMBER(INDEX(원자료_시장!$A$1:$BZ$1000,설정!$L$6+ROW()-1,설정!$L$28)),INDEX(원자료_시장!$A$1:$BZ$1000,설정!$L$6+ROW()-1,설정!$L$28),""),"")</f>
        <v/>
      </c>
      <c r="G524" s="97" t="str">
        <f aca="false">IFERROR(IF(ISNUMBER(INDEX(원자료_시장!$A$1:$BZ$1000,설정!$L$6+ROW()-1,설정!$L$29)),INDEX(원자료_시장!$A$1:$BZ$1000,설정!$L$6+ROW()-1,설정!$L$29),""),"")</f>
        <v/>
      </c>
      <c r="H524" s="97" t="str">
        <f aca="false">IFERROR(IF(ISNUMBER(INDEX(원자료_시장!$A$1:$BZ$1000,설정!$L$6+ROW()-1,설정!$L$30)),INDEX(원자료_시장!$A$1:$BZ$1000,설정!$L$6+ROW()-1,설정!$L$30),""),"")</f>
        <v/>
      </c>
      <c r="I524" s="97" t="str">
        <f aca="false">IFERROR(IF(ISNUMBER(INDEX(원자료_시장!$A$1:$BZ$1000,설정!$L$6+ROW()-1,설정!$L$31)),INDEX(원자료_시장!$A$1:$BZ$1000,설정!$L$6+ROW()-1,설정!$L$31),""),"")</f>
        <v/>
      </c>
      <c r="J524" s="97" t="str">
        <f aca="false">IFERROR(IF(ISNUMBER(INDEX(원자료_시장!$A$1:$BZ$1000,설정!$L$6+ROW()-1,설정!$L$32)),INDEX(원자료_시장!$A$1:$BZ$1000,설정!$L$6+ROW()-1,설정!$L$32),""),"")</f>
        <v/>
      </c>
      <c r="K524" s="85" t="str">
        <f aca="false">IFERROR(IF(ISNUMBER(INDEX(원자료_시장!$A$1:$BZ$1000,설정!$L$6+ROW()-1,설정!$L$33)),INDEX(원자료_시장!$A$1:$BZ$1000,설정!$L$6+ROW()-1,설정!$L$33),""),"")</f>
        <v/>
      </c>
      <c r="L524" s="83" t="n">
        <f aca="false">IFERROR(IF(INDEX(원자료_시장!$A$1:$BZ$1000,설정!$L$6+ROW()-1,설정!$L$34)&amp;""="0","",INDEX(원자료_시장!$A$1:$BZ$1000,설정!$L$6+ROW()-1,설정!$L$34)),"")</f>
        <v>0</v>
      </c>
      <c r="M524" s="83" t="n">
        <f aca="false">IFERROR(IF(INDEX(원자료_시장!$A$1:$BZ$1000,설정!$L$6+ROW()-1,설정!$L$35)&amp;""="0","",INDEX(원자료_시장!$A$1:$BZ$1000,설정!$L$6+ROW()-1,설정!$L$35)),"")</f>
        <v>0</v>
      </c>
      <c r="N524" s="83" t="n">
        <f aca="false">IFERROR(IF(INDEX(원자료_시장!$A$1:$BZ$1000,설정!$L$6+ROW()-1,설정!$L$36)&amp;""="0","",INDEX(원자료_시장!$A$1:$BZ$1000,설정!$L$6+ROW()-1,설정!$L$36)),"")</f>
        <v>0</v>
      </c>
      <c r="O524" s="43" t="str">
        <f aca="false">IF($A524="","",UPPER(LEFT($A524,FIND(" ",$A524&amp;" ")-1)))</f>
        <v/>
      </c>
      <c r="P524" s="43" t="str">
        <f aca="false">IF($A524="","",TRIM(RIGHT(SUBSTITUTE(TRIM($A524)," ",REPT(" ",30)),30)))</f>
        <v/>
      </c>
      <c r="Q524" s="98" t="str">
        <f aca="false">IF($A524="","",IFERROR(DATE(IF(LEN(P524)=8,2000+VALUE(RIGHT(P524,2)),VALUE(RIGHT(P524,4))),VALUE(LEFT(P524,2)),VALUE(MID(P524,4,2))),""))</f>
        <v/>
      </c>
      <c r="R524" s="89" t="n">
        <f aca="false">IF($A524="",0,IF(ISNUMBER(SEARCH("Float",$A524)),1,0))</f>
        <v>0</v>
      </c>
      <c r="S524" s="43" t="str">
        <f aca="false">IF($A524="","",TRIM(MID($A524,LEN(O524)+2,LEN($A524)-LEN(O524)-LEN(P524)-1)))</f>
        <v/>
      </c>
      <c r="T524" s="92" t="str">
        <f aca="false">IF(OR($A524="",R524=1),"",IFERROR(IF(ISNUMBER(FIND("/",S524)),IF(ISNUMBER(FIND(" ",S524)),VALUE(LEFT(S524,FIND(" ",S524)-1))+VALUE(MID(S524,FIND(" ",S524)+1,FIND("/",S524)-FIND(" ",S524)-1))/VALUE(MID(S524,FIND("/",S524)+1,9)),VALUE(LEFT(S524,FIND("/",S524)-1))/VALUE(MID(S524,FIND("/",S524)+1,9))),VALUE(S524)),""))</f>
        <v/>
      </c>
      <c r="U524" s="43" t="str">
        <f aca="false">IF(OR($A524="",NOT(ISNUMBER(Q524))),"",TEXT(Q524,"yyyymmdd")&amp;"|"&amp;IF(R524=1,"F",TEXT(T524,"0.000")))</f>
        <v/>
      </c>
      <c r="V524" s="43" t="str">
        <f aca="false">IF(U524="","",O524&amp;"|"&amp;U524)</f>
        <v/>
      </c>
      <c r="W524" s="43" t="str">
        <f aca="false">IF($A524="","",IFERROR(IF(VLOOKUP(O524,매핑!$A$4:$E$92,3,0)="","미분류",VLOOKUP(O524,매핑!$A$4:$E$92,3,0)),"미분류"))</f>
        <v/>
      </c>
      <c r="X524" s="89" t="n">
        <f aca="false">IF($A524="",0,IF(O524="T",1,0))</f>
        <v>0</v>
      </c>
      <c r="Y524" s="89" t="n">
        <f aca="false">IF($A524="",0,IF(AND(C524="USD",X524=0,ISNUMBER(E524),ISNUMBER(K524)),IF(K524&gt;=설정!$C$8,1,0),0))</f>
        <v>0</v>
      </c>
      <c r="Z524" s="43" t="str">
        <f aca="false">IF($A524="","",N524&amp;"|"&amp;L524)</f>
        <v/>
      </c>
      <c r="AA524" s="92" t="n">
        <f aca="false">IF(Y524=1,LN(K524),0)</f>
        <v>0</v>
      </c>
      <c r="AB524" s="93" t="n">
        <f aca="false">IF(Y524=1,E524,0)</f>
        <v>0</v>
      </c>
      <c r="AC524" s="89" t="n">
        <f aca="false">IF(Y524=1,COUNTIFS($Z$2:$Z$601,Z524,$Y$2:$Y$601,1),0)</f>
        <v>0</v>
      </c>
      <c r="AD524" s="89" t="n">
        <f aca="false">IF(Y524=1,COUNTIFS($N$2:$N$601,N524,$Y$2:$Y$601,1),0)</f>
        <v>0</v>
      </c>
      <c r="AE524" s="43" t="str">
        <f aca="false">IF(Y524&lt;&gt;1,"",IF(AND(AC524&gt;=설정!$C$7,ISNUMBER(MATCH(Z524,피어커브!$A:$A,0))),Z524,IF(AND(AD524&gt;=설정!$C$7,ISNUMBER(MATCH(N524&amp;"|전체",피어커브!$A:$A,0))),N524&amp;"|전체","전체|전체")))</f>
        <v/>
      </c>
      <c r="AF524" s="93" t="str">
        <f aca="false">IF(AE524="","",INDEX(피어커브!$K:$K,MATCH(AE524,피어커브!$A:$A,0)))</f>
        <v/>
      </c>
      <c r="AG524" s="93" t="str">
        <f aca="false">IF(AE524="","",INDEX(피어커브!$J:$J,MATCH(AE524,피어커브!$A:$A,0)))</f>
        <v/>
      </c>
      <c r="AH524" s="93" t="str">
        <f aca="false">IF(AE524="","",INDEX(피어커브!$L:$L,MATCH(AE524,피어커브!$A:$A,0)))</f>
        <v/>
      </c>
      <c r="AI524" s="93" t="str">
        <f aca="false">IF(AE524="","",AF524+AG524*AA524)</f>
        <v/>
      </c>
      <c r="AJ524" s="96" t="str">
        <f aca="false">IF(AE524="","",E524-AI524)</f>
        <v/>
      </c>
      <c r="AK524" s="95" t="str">
        <f aca="false">IF(AE524="","",IF(ISNUMBER(AH524),IF(AH524&gt;0,AJ524/AH524,""),""))</f>
        <v/>
      </c>
      <c r="AL524" s="43" t="str">
        <f aca="false">IF(AK524="","-",IF(AK524&gt;=설정!$C$6,"Cheap",IF(AK524&lt;=-설정!$C$6,"Rich","Fair")))</f>
        <v>-</v>
      </c>
      <c r="AM524" s="96" t="str">
        <f aca="false">IF(AE524="","",AJ524-AVERAGEIFS($AJ$2:$AJ$601,$B$2:$B$601,B524,$Y$2:$Y$601,1))</f>
        <v/>
      </c>
      <c r="AN524" s="93" t="n">
        <f aca="false">IF(AE524="",0,IF(K524&gt;1+설정!$C$8,AG524*(AA524-LN(K524-1)),0))</f>
        <v>0</v>
      </c>
      <c r="AO524" s="99" t="n">
        <f aca="false">IF($A524="",0,SUMIFS(보유분석!$AA$2:$AA$801,보유분석!$AB$2:$AB$801,ROW(),보유분석!$AC$2:$AC$801,1))</f>
        <v>0</v>
      </c>
      <c r="AP524" s="43" t="str">
        <f aca="false">IF($A524="","",TRIM(IF(R524=1,"FRN ","")&amp;IF(IFERROR(VLOOKUP(M524,설정!$A$15:$D$47,4,0),0)&gt;=10,IF(IFERROR(VLOOKUP(M524,설정!$A$15:$D$47,4,0),0)&lt;99,"BBB0미만 ",""),"")&amp;IF(OR(M524="",M524="NR"),"등급미입력 ","")&amp;IF(C524&lt;&gt;"USD","비USD ","")))</f>
        <v/>
      </c>
      <c r="AQ524" s="90" t="n">
        <f aca="false">IF(AND(Y524=1,AL524="Cheap"),IF(AND(ISERROR(SEARCH("FRN",AP524)),ISERROR(SEARCH("BBB0미만",AP524))),AK524+ROW()/1000000000,-999),-999)</f>
        <v>-999</v>
      </c>
      <c r="AR524" s="92" t="str">
        <f aca="false">IF(AND(ISNUMBER(D524),ISNUMBER(K524)),D524+AN524*MAX(K524-1,0)/100,"")</f>
        <v/>
      </c>
      <c r="AS524" s="93" t="str">
        <f aca="false">IF(AND(ISNUMBER(E524),ISNUMBER(K524)),IF(K524&gt;0,(E524+AN524*MAX(K524-1,0))/K524,""),"")</f>
        <v/>
      </c>
      <c r="AT524" s="90" t="n">
        <f aca="false">IFERROR(IF(AND(Y524=1,ROW()&lt;&gt;스왑분석!$C$12+1,ABS(K524-INDEX($K$2:$K$601,스왑분석!$C$12))&lt;=스왑분석!$C$5,ISERROR(SEARCH("FRN",AP524)),ISERROR(SEARCH("BBB0미만",AP524))),IF(AND(OR(스왑분석!$C$6="N",L524=INDEX($L$2:$L$601,스왑분석!$C$12)),OR(스왑분석!$C$7="N",N524=INDEX($N$2:$N$601,스왑분석!$C$12)),OR(스왑분석!$C$8="N",AO524=0),E524-INDEX($E$2:$E$601,스왑분석!$C$12)&gt;=스왑분석!$C$9),E524-INDEX($E$2:$E$601,스왑분석!$C$12)+ROW()/1000000000,-999),-999),-999)</f>
        <v>-999</v>
      </c>
      <c r="AU524" s="90" t="n">
        <f aca="false">IF(AND(Y524=1,AO524&gt;0,AL524="Rich"),-AK524+ROW()/1000000000,-999)</f>
        <v>-999</v>
      </c>
    </row>
    <row r="525" customFormat="false" ht="15" hidden="false" customHeight="false" outlineLevel="0" collapsed="false">
      <c r="A525" s="83" t="n">
        <f aca="false">IFERROR(IF(INDEX(원자료_시장!$A$1:$BZ$1000,설정!$L$6+ROW()-1,설정!$L$24)&amp;""="0","",INDEX(원자료_시장!$A$1:$BZ$1000,설정!$L$6+ROW()-1,설정!$L$24)),"")</f>
        <v>0</v>
      </c>
      <c r="B525" s="83" t="n">
        <f aca="false">IFERROR(IF(INDEX(원자료_시장!$A$1:$BZ$1000,설정!$L$6+ROW()-1,설정!$L$37)&amp;""="0","",INDEX(원자료_시장!$A$1:$BZ$1000,설정!$L$6+ROW()-1,설정!$L$37)),"")</f>
        <v>0</v>
      </c>
      <c r="C525" s="83" t="n">
        <f aca="false">IFERROR(IF(INDEX(원자료_시장!$A$1:$BZ$1000,설정!$L$6+ROW()-1,설정!$L$25)&amp;""="0","",INDEX(원자료_시장!$A$1:$BZ$1000,설정!$L$6+ROW()-1,설정!$L$25)),"")</f>
        <v>0</v>
      </c>
      <c r="D525" s="85" t="str">
        <f aca="false">IFERROR(IF(ISNUMBER(INDEX(원자료_시장!$A$1:$BZ$1000,설정!$L$6+ROW()-1,설정!$L$26)),INDEX(원자료_시장!$A$1:$BZ$1000,설정!$L$6+ROW()-1,설정!$L$26),""),"")</f>
        <v/>
      </c>
      <c r="E525" s="97" t="str">
        <f aca="false">IFERROR(IF(ISNUMBER(INDEX(원자료_시장!$A$1:$BZ$1000,설정!$L$6+ROW()-1,설정!$L$27)),INDEX(원자료_시장!$A$1:$BZ$1000,설정!$L$6+ROW()-1,설정!$L$27),""),"")</f>
        <v/>
      </c>
      <c r="F525" s="97" t="str">
        <f aca="false">IFERROR(IF(ISNUMBER(INDEX(원자료_시장!$A$1:$BZ$1000,설정!$L$6+ROW()-1,설정!$L$28)),INDEX(원자료_시장!$A$1:$BZ$1000,설정!$L$6+ROW()-1,설정!$L$28),""),"")</f>
        <v/>
      </c>
      <c r="G525" s="97" t="str">
        <f aca="false">IFERROR(IF(ISNUMBER(INDEX(원자료_시장!$A$1:$BZ$1000,설정!$L$6+ROW()-1,설정!$L$29)),INDEX(원자료_시장!$A$1:$BZ$1000,설정!$L$6+ROW()-1,설정!$L$29),""),"")</f>
        <v/>
      </c>
      <c r="H525" s="97" t="str">
        <f aca="false">IFERROR(IF(ISNUMBER(INDEX(원자료_시장!$A$1:$BZ$1000,설정!$L$6+ROW()-1,설정!$L$30)),INDEX(원자료_시장!$A$1:$BZ$1000,설정!$L$6+ROW()-1,설정!$L$30),""),"")</f>
        <v/>
      </c>
      <c r="I525" s="97" t="str">
        <f aca="false">IFERROR(IF(ISNUMBER(INDEX(원자료_시장!$A$1:$BZ$1000,설정!$L$6+ROW()-1,설정!$L$31)),INDEX(원자료_시장!$A$1:$BZ$1000,설정!$L$6+ROW()-1,설정!$L$31),""),"")</f>
        <v/>
      </c>
      <c r="J525" s="97" t="str">
        <f aca="false">IFERROR(IF(ISNUMBER(INDEX(원자료_시장!$A$1:$BZ$1000,설정!$L$6+ROW()-1,설정!$L$32)),INDEX(원자료_시장!$A$1:$BZ$1000,설정!$L$6+ROW()-1,설정!$L$32),""),"")</f>
        <v/>
      </c>
      <c r="K525" s="85" t="str">
        <f aca="false">IFERROR(IF(ISNUMBER(INDEX(원자료_시장!$A$1:$BZ$1000,설정!$L$6+ROW()-1,설정!$L$33)),INDEX(원자료_시장!$A$1:$BZ$1000,설정!$L$6+ROW()-1,설정!$L$33),""),"")</f>
        <v/>
      </c>
      <c r="L525" s="83" t="n">
        <f aca="false">IFERROR(IF(INDEX(원자료_시장!$A$1:$BZ$1000,설정!$L$6+ROW()-1,설정!$L$34)&amp;""="0","",INDEX(원자료_시장!$A$1:$BZ$1000,설정!$L$6+ROW()-1,설정!$L$34)),"")</f>
        <v>0</v>
      </c>
      <c r="M525" s="83" t="n">
        <f aca="false">IFERROR(IF(INDEX(원자료_시장!$A$1:$BZ$1000,설정!$L$6+ROW()-1,설정!$L$35)&amp;""="0","",INDEX(원자료_시장!$A$1:$BZ$1000,설정!$L$6+ROW()-1,설정!$L$35)),"")</f>
        <v>0</v>
      </c>
      <c r="N525" s="83" t="n">
        <f aca="false">IFERROR(IF(INDEX(원자료_시장!$A$1:$BZ$1000,설정!$L$6+ROW()-1,설정!$L$36)&amp;""="0","",INDEX(원자료_시장!$A$1:$BZ$1000,설정!$L$6+ROW()-1,설정!$L$36)),"")</f>
        <v>0</v>
      </c>
      <c r="O525" s="43" t="str">
        <f aca="false">IF($A525="","",UPPER(LEFT($A525,FIND(" ",$A525&amp;" ")-1)))</f>
        <v/>
      </c>
      <c r="P525" s="43" t="str">
        <f aca="false">IF($A525="","",TRIM(RIGHT(SUBSTITUTE(TRIM($A525)," ",REPT(" ",30)),30)))</f>
        <v/>
      </c>
      <c r="Q525" s="98" t="str">
        <f aca="false">IF($A525="","",IFERROR(DATE(IF(LEN(P525)=8,2000+VALUE(RIGHT(P525,2)),VALUE(RIGHT(P525,4))),VALUE(LEFT(P525,2)),VALUE(MID(P525,4,2))),""))</f>
        <v/>
      </c>
      <c r="R525" s="89" t="n">
        <f aca="false">IF($A525="",0,IF(ISNUMBER(SEARCH("Float",$A525)),1,0))</f>
        <v>0</v>
      </c>
      <c r="S525" s="43" t="str">
        <f aca="false">IF($A525="","",TRIM(MID($A525,LEN(O525)+2,LEN($A525)-LEN(O525)-LEN(P525)-1)))</f>
        <v/>
      </c>
      <c r="T525" s="92" t="str">
        <f aca="false">IF(OR($A525="",R525=1),"",IFERROR(IF(ISNUMBER(FIND("/",S525)),IF(ISNUMBER(FIND(" ",S525)),VALUE(LEFT(S525,FIND(" ",S525)-1))+VALUE(MID(S525,FIND(" ",S525)+1,FIND("/",S525)-FIND(" ",S525)-1))/VALUE(MID(S525,FIND("/",S525)+1,9)),VALUE(LEFT(S525,FIND("/",S525)-1))/VALUE(MID(S525,FIND("/",S525)+1,9))),VALUE(S525)),""))</f>
        <v/>
      </c>
      <c r="U525" s="43" t="str">
        <f aca="false">IF(OR($A525="",NOT(ISNUMBER(Q525))),"",TEXT(Q525,"yyyymmdd")&amp;"|"&amp;IF(R525=1,"F",TEXT(T525,"0.000")))</f>
        <v/>
      </c>
      <c r="V525" s="43" t="str">
        <f aca="false">IF(U525="","",O525&amp;"|"&amp;U525)</f>
        <v/>
      </c>
      <c r="W525" s="43" t="str">
        <f aca="false">IF($A525="","",IFERROR(IF(VLOOKUP(O525,매핑!$A$4:$E$92,3,0)="","미분류",VLOOKUP(O525,매핑!$A$4:$E$92,3,0)),"미분류"))</f>
        <v/>
      </c>
      <c r="X525" s="89" t="n">
        <f aca="false">IF($A525="",0,IF(O525="T",1,0))</f>
        <v>0</v>
      </c>
      <c r="Y525" s="89" t="n">
        <f aca="false">IF($A525="",0,IF(AND(C525="USD",X525=0,ISNUMBER(E525),ISNUMBER(K525)),IF(K525&gt;=설정!$C$8,1,0),0))</f>
        <v>0</v>
      </c>
      <c r="Z525" s="43" t="str">
        <f aca="false">IF($A525="","",N525&amp;"|"&amp;L525)</f>
        <v/>
      </c>
      <c r="AA525" s="92" t="n">
        <f aca="false">IF(Y525=1,LN(K525),0)</f>
        <v>0</v>
      </c>
      <c r="AB525" s="93" t="n">
        <f aca="false">IF(Y525=1,E525,0)</f>
        <v>0</v>
      </c>
      <c r="AC525" s="89" t="n">
        <f aca="false">IF(Y525=1,COUNTIFS($Z$2:$Z$601,Z525,$Y$2:$Y$601,1),0)</f>
        <v>0</v>
      </c>
      <c r="AD525" s="89" t="n">
        <f aca="false">IF(Y525=1,COUNTIFS($N$2:$N$601,N525,$Y$2:$Y$601,1),0)</f>
        <v>0</v>
      </c>
      <c r="AE525" s="43" t="str">
        <f aca="false">IF(Y525&lt;&gt;1,"",IF(AND(AC525&gt;=설정!$C$7,ISNUMBER(MATCH(Z525,피어커브!$A:$A,0))),Z525,IF(AND(AD525&gt;=설정!$C$7,ISNUMBER(MATCH(N525&amp;"|전체",피어커브!$A:$A,0))),N525&amp;"|전체","전체|전체")))</f>
        <v/>
      </c>
      <c r="AF525" s="93" t="str">
        <f aca="false">IF(AE525="","",INDEX(피어커브!$K:$K,MATCH(AE525,피어커브!$A:$A,0)))</f>
        <v/>
      </c>
      <c r="AG525" s="93" t="str">
        <f aca="false">IF(AE525="","",INDEX(피어커브!$J:$J,MATCH(AE525,피어커브!$A:$A,0)))</f>
        <v/>
      </c>
      <c r="AH525" s="93" t="str">
        <f aca="false">IF(AE525="","",INDEX(피어커브!$L:$L,MATCH(AE525,피어커브!$A:$A,0)))</f>
        <v/>
      </c>
      <c r="AI525" s="93" t="str">
        <f aca="false">IF(AE525="","",AF525+AG525*AA525)</f>
        <v/>
      </c>
      <c r="AJ525" s="96" t="str">
        <f aca="false">IF(AE525="","",E525-AI525)</f>
        <v/>
      </c>
      <c r="AK525" s="95" t="str">
        <f aca="false">IF(AE525="","",IF(ISNUMBER(AH525),IF(AH525&gt;0,AJ525/AH525,""),""))</f>
        <v/>
      </c>
      <c r="AL525" s="43" t="str">
        <f aca="false">IF(AK525="","-",IF(AK525&gt;=설정!$C$6,"Cheap",IF(AK525&lt;=-설정!$C$6,"Rich","Fair")))</f>
        <v>-</v>
      </c>
      <c r="AM525" s="96" t="str">
        <f aca="false">IF(AE525="","",AJ525-AVERAGEIFS($AJ$2:$AJ$601,$B$2:$B$601,B525,$Y$2:$Y$601,1))</f>
        <v/>
      </c>
      <c r="AN525" s="93" t="n">
        <f aca="false">IF(AE525="",0,IF(K525&gt;1+설정!$C$8,AG525*(AA525-LN(K525-1)),0))</f>
        <v>0</v>
      </c>
      <c r="AO525" s="99" t="n">
        <f aca="false">IF($A525="",0,SUMIFS(보유분석!$AA$2:$AA$801,보유분석!$AB$2:$AB$801,ROW(),보유분석!$AC$2:$AC$801,1))</f>
        <v>0</v>
      </c>
      <c r="AP525" s="43" t="str">
        <f aca="false">IF($A525="","",TRIM(IF(R525=1,"FRN ","")&amp;IF(IFERROR(VLOOKUP(M525,설정!$A$15:$D$47,4,0),0)&gt;=10,IF(IFERROR(VLOOKUP(M525,설정!$A$15:$D$47,4,0),0)&lt;99,"BBB0미만 ",""),"")&amp;IF(OR(M525="",M525="NR"),"등급미입력 ","")&amp;IF(C525&lt;&gt;"USD","비USD ","")))</f>
        <v/>
      </c>
      <c r="AQ525" s="90" t="n">
        <f aca="false">IF(AND(Y525=1,AL525="Cheap"),IF(AND(ISERROR(SEARCH("FRN",AP525)),ISERROR(SEARCH("BBB0미만",AP525))),AK525+ROW()/1000000000,-999),-999)</f>
        <v>-999</v>
      </c>
      <c r="AR525" s="92" t="str">
        <f aca="false">IF(AND(ISNUMBER(D525),ISNUMBER(K525)),D525+AN525*MAX(K525-1,0)/100,"")</f>
        <v/>
      </c>
      <c r="AS525" s="93" t="str">
        <f aca="false">IF(AND(ISNUMBER(E525),ISNUMBER(K525)),IF(K525&gt;0,(E525+AN525*MAX(K525-1,0))/K525,""),"")</f>
        <v/>
      </c>
      <c r="AT525" s="90" t="n">
        <f aca="false">IFERROR(IF(AND(Y525=1,ROW()&lt;&gt;스왑분석!$C$12+1,ABS(K525-INDEX($K$2:$K$601,스왑분석!$C$12))&lt;=스왑분석!$C$5,ISERROR(SEARCH("FRN",AP525)),ISERROR(SEARCH("BBB0미만",AP525))),IF(AND(OR(스왑분석!$C$6="N",L525=INDEX($L$2:$L$601,스왑분석!$C$12)),OR(스왑분석!$C$7="N",N525=INDEX($N$2:$N$601,스왑분석!$C$12)),OR(스왑분석!$C$8="N",AO525=0),E525-INDEX($E$2:$E$601,스왑분석!$C$12)&gt;=스왑분석!$C$9),E525-INDEX($E$2:$E$601,스왑분석!$C$12)+ROW()/1000000000,-999),-999),-999)</f>
        <v>-999</v>
      </c>
      <c r="AU525" s="90" t="n">
        <f aca="false">IF(AND(Y525=1,AO525&gt;0,AL525="Rich"),-AK525+ROW()/1000000000,-999)</f>
        <v>-999</v>
      </c>
    </row>
    <row r="526" customFormat="false" ht="15" hidden="false" customHeight="false" outlineLevel="0" collapsed="false">
      <c r="A526" s="83" t="n">
        <f aca="false">IFERROR(IF(INDEX(원자료_시장!$A$1:$BZ$1000,설정!$L$6+ROW()-1,설정!$L$24)&amp;""="0","",INDEX(원자료_시장!$A$1:$BZ$1000,설정!$L$6+ROW()-1,설정!$L$24)),"")</f>
        <v>0</v>
      </c>
      <c r="B526" s="83" t="n">
        <f aca="false">IFERROR(IF(INDEX(원자료_시장!$A$1:$BZ$1000,설정!$L$6+ROW()-1,설정!$L$37)&amp;""="0","",INDEX(원자료_시장!$A$1:$BZ$1000,설정!$L$6+ROW()-1,설정!$L$37)),"")</f>
        <v>0</v>
      </c>
      <c r="C526" s="83" t="n">
        <f aca="false">IFERROR(IF(INDEX(원자료_시장!$A$1:$BZ$1000,설정!$L$6+ROW()-1,설정!$L$25)&amp;""="0","",INDEX(원자료_시장!$A$1:$BZ$1000,설정!$L$6+ROW()-1,설정!$L$25)),"")</f>
        <v>0</v>
      </c>
      <c r="D526" s="85" t="str">
        <f aca="false">IFERROR(IF(ISNUMBER(INDEX(원자료_시장!$A$1:$BZ$1000,설정!$L$6+ROW()-1,설정!$L$26)),INDEX(원자료_시장!$A$1:$BZ$1000,설정!$L$6+ROW()-1,설정!$L$26),""),"")</f>
        <v/>
      </c>
      <c r="E526" s="97" t="str">
        <f aca="false">IFERROR(IF(ISNUMBER(INDEX(원자료_시장!$A$1:$BZ$1000,설정!$L$6+ROW()-1,설정!$L$27)),INDEX(원자료_시장!$A$1:$BZ$1000,설정!$L$6+ROW()-1,설정!$L$27),""),"")</f>
        <v/>
      </c>
      <c r="F526" s="97" t="str">
        <f aca="false">IFERROR(IF(ISNUMBER(INDEX(원자료_시장!$A$1:$BZ$1000,설정!$L$6+ROW()-1,설정!$L$28)),INDEX(원자료_시장!$A$1:$BZ$1000,설정!$L$6+ROW()-1,설정!$L$28),""),"")</f>
        <v/>
      </c>
      <c r="G526" s="97" t="str">
        <f aca="false">IFERROR(IF(ISNUMBER(INDEX(원자료_시장!$A$1:$BZ$1000,설정!$L$6+ROW()-1,설정!$L$29)),INDEX(원자료_시장!$A$1:$BZ$1000,설정!$L$6+ROW()-1,설정!$L$29),""),"")</f>
        <v/>
      </c>
      <c r="H526" s="97" t="str">
        <f aca="false">IFERROR(IF(ISNUMBER(INDEX(원자료_시장!$A$1:$BZ$1000,설정!$L$6+ROW()-1,설정!$L$30)),INDEX(원자료_시장!$A$1:$BZ$1000,설정!$L$6+ROW()-1,설정!$L$30),""),"")</f>
        <v/>
      </c>
      <c r="I526" s="97" t="str">
        <f aca="false">IFERROR(IF(ISNUMBER(INDEX(원자료_시장!$A$1:$BZ$1000,설정!$L$6+ROW()-1,설정!$L$31)),INDEX(원자료_시장!$A$1:$BZ$1000,설정!$L$6+ROW()-1,설정!$L$31),""),"")</f>
        <v/>
      </c>
      <c r="J526" s="97" t="str">
        <f aca="false">IFERROR(IF(ISNUMBER(INDEX(원자료_시장!$A$1:$BZ$1000,설정!$L$6+ROW()-1,설정!$L$32)),INDEX(원자료_시장!$A$1:$BZ$1000,설정!$L$6+ROW()-1,설정!$L$32),""),"")</f>
        <v/>
      </c>
      <c r="K526" s="85" t="str">
        <f aca="false">IFERROR(IF(ISNUMBER(INDEX(원자료_시장!$A$1:$BZ$1000,설정!$L$6+ROW()-1,설정!$L$33)),INDEX(원자료_시장!$A$1:$BZ$1000,설정!$L$6+ROW()-1,설정!$L$33),""),"")</f>
        <v/>
      </c>
      <c r="L526" s="83" t="n">
        <f aca="false">IFERROR(IF(INDEX(원자료_시장!$A$1:$BZ$1000,설정!$L$6+ROW()-1,설정!$L$34)&amp;""="0","",INDEX(원자료_시장!$A$1:$BZ$1000,설정!$L$6+ROW()-1,설정!$L$34)),"")</f>
        <v>0</v>
      </c>
      <c r="M526" s="83" t="n">
        <f aca="false">IFERROR(IF(INDEX(원자료_시장!$A$1:$BZ$1000,설정!$L$6+ROW()-1,설정!$L$35)&amp;""="0","",INDEX(원자료_시장!$A$1:$BZ$1000,설정!$L$6+ROW()-1,설정!$L$35)),"")</f>
        <v>0</v>
      </c>
      <c r="N526" s="83" t="n">
        <f aca="false">IFERROR(IF(INDEX(원자료_시장!$A$1:$BZ$1000,설정!$L$6+ROW()-1,설정!$L$36)&amp;""="0","",INDEX(원자료_시장!$A$1:$BZ$1000,설정!$L$6+ROW()-1,설정!$L$36)),"")</f>
        <v>0</v>
      </c>
      <c r="O526" s="43" t="str">
        <f aca="false">IF($A526="","",UPPER(LEFT($A526,FIND(" ",$A526&amp;" ")-1)))</f>
        <v/>
      </c>
      <c r="P526" s="43" t="str">
        <f aca="false">IF($A526="","",TRIM(RIGHT(SUBSTITUTE(TRIM($A526)," ",REPT(" ",30)),30)))</f>
        <v/>
      </c>
      <c r="Q526" s="98" t="str">
        <f aca="false">IF($A526="","",IFERROR(DATE(IF(LEN(P526)=8,2000+VALUE(RIGHT(P526,2)),VALUE(RIGHT(P526,4))),VALUE(LEFT(P526,2)),VALUE(MID(P526,4,2))),""))</f>
        <v/>
      </c>
      <c r="R526" s="89" t="n">
        <f aca="false">IF($A526="",0,IF(ISNUMBER(SEARCH("Float",$A526)),1,0))</f>
        <v>0</v>
      </c>
      <c r="S526" s="43" t="str">
        <f aca="false">IF($A526="","",TRIM(MID($A526,LEN(O526)+2,LEN($A526)-LEN(O526)-LEN(P526)-1)))</f>
        <v/>
      </c>
      <c r="T526" s="92" t="str">
        <f aca="false">IF(OR($A526="",R526=1),"",IFERROR(IF(ISNUMBER(FIND("/",S526)),IF(ISNUMBER(FIND(" ",S526)),VALUE(LEFT(S526,FIND(" ",S526)-1))+VALUE(MID(S526,FIND(" ",S526)+1,FIND("/",S526)-FIND(" ",S526)-1))/VALUE(MID(S526,FIND("/",S526)+1,9)),VALUE(LEFT(S526,FIND("/",S526)-1))/VALUE(MID(S526,FIND("/",S526)+1,9))),VALUE(S526)),""))</f>
        <v/>
      </c>
      <c r="U526" s="43" t="str">
        <f aca="false">IF(OR($A526="",NOT(ISNUMBER(Q526))),"",TEXT(Q526,"yyyymmdd")&amp;"|"&amp;IF(R526=1,"F",TEXT(T526,"0.000")))</f>
        <v/>
      </c>
      <c r="V526" s="43" t="str">
        <f aca="false">IF(U526="","",O526&amp;"|"&amp;U526)</f>
        <v/>
      </c>
      <c r="W526" s="43" t="str">
        <f aca="false">IF($A526="","",IFERROR(IF(VLOOKUP(O526,매핑!$A$4:$E$92,3,0)="","미분류",VLOOKUP(O526,매핑!$A$4:$E$92,3,0)),"미분류"))</f>
        <v/>
      </c>
      <c r="X526" s="89" t="n">
        <f aca="false">IF($A526="",0,IF(O526="T",1,0))</f>
        <v>0</v>
      </c>
      <c r="Y526" s="89" t="n">
        <f aca="false">IF($A526="",0,IF(AND(C526="USD",X526=0,ISNUMBER(E526),ISNUMBER(K526)),IF(K526&gt;=설정!$C$8,1,0),0))</f>
        <v>0</v>
      </c>
      <c r="Z526" s="43" t="str">
        <f aca="false">IF($A526="","",N526&amp;"|"&amp;L526)</f>
        <v/>
      </c>
      <c r="AA526" s="92" t="n">
        <f aca="false">IF(Y526=1,LN(K526),0)</f>
        <v>0</v>
      </c>
      <c r="AB526" s="93" t="n">
        <f aca="false">IF(Y526=1,E526,0)</f>
        <v>0</v>
      </c>
      <c r="AC526" s="89" t="n">
        <f aca="false">IF(Y526=1,COUNTIFS($Z$2:$Z$601,Z526,$Y$2:$Y$601,1),0)</f>
        <v>0</v>
      </c>
      <c r="AD526" s="89" t="n">
        <f aca="false">IF(Y526=1,COUNTIFS($N$2:$N$601,N526,$Y$2:$Y$601,1),0)</f>
        <v>0</v>
      </c>
      <c r="AE526" s="43" t="str">
        <f aca="false">IF(Y526&lt;&gt;1,"",IF(AND(AC526&gt;=설정!$C$7,ISNUMBER(MATCH(Z526,피어커브!$A:$A,0))),Z526,IF(AND(AD526&gt;=설정!$C$7,ISNUMBER(MATCH(N526&amp;"|전체",피어커브!$A:$A,0))),N526&amp;"|전체","전체|전체")))</f>
        <v/>
      </c>
      <c r="AF526" s="93" t="str">
        <f aca="false">IF(AE526="","",INDEX(피어커브!$K:$K,MATCH(AE526,피어커브!$A:$A,0)))</f>
        <v/>
      </c>
      <c r="AG526" s="93" t="str">
        <f aca="false">IF(AE526="","",INDEX(피어커브!$J:$J,MATCH(AE526,피어커브!$A:$A,0)))</f>
        <v/>
      </c>
      <c r="AH526" s="93" t="str">
        <f aca="false">IF(AE526="","",INDEX(피어커브!$L:$L,MATCH(AE526,피어커브!$A:$A,0)))</f>
        <v/>
      </c>
      <c r="AI526" s="93" t="str">
        <f aca="false">IF(AE526="","",AF526+AG526*AA526)</f>
        <v/>
      </c>
      <c r="AJ526" s="96" t="str">
        <f aca="false">IF(AE526="","",E526-AI526)</f>
        <v/>
      </c>
      <c r="AK526" s="95" t="str">
        <f aca="false">IF(AE526="","",IF(ISNUMBER(AH526),IF(AH526&gt;0,AJ526/AH526,""),""))</f>
        <v/>
      </c>
      <c r="AL526" s="43" t="str">
        <f aca="false">IF(AK526="","-",IF(AK526&gt;=설정!$C$6,"Cheap",IF(AK526&lt;=-설정!$C$6,"Rich","Fair")))</f>
        <v>-</v>
      </c>
      <c r="AM526" s="96" t="str">
        <f aca="false">IF(AE526="","",AJ526-AVERAGEIFS($AJ$2:$AJ$601,$B$2:$B$601,B526,$Y$2:$Y$601,1))</f>
        <v/>
      </c>
      <c r="AN526" s="93" t="n">
        <f aca="false">IF(AE526="",0,IF(K526&gt;1+설정!$C$8,AG526*(AA526-LN(K526-1)),0))</f>
        <v>0</v>
      </c>
      <c r="AO526" s="99" t="n">
        <f aca="false">IF($A526="",0,SUMIFS(보유분석!$AA$2:$AA$801,보유분석!$AB$2:$AB$801,ROW(),보유분석!$AC$2:$AC$801,1))</f>
        <v>0</v>
      </c>
      <c r="AP526" s="43" t="str">
        <f aca="false">IF($A526="","",TRIM(IF(R526=1,"FRN ","")&amp;IF(IFERROR(VLOOKUP(M526,설정!$A$15:$D$47,4,0),0)&gt;=10,IF(IFERROR(VLOOKUP(M526,설정!$A$15:$D$47,4,0),0)&lt;99,"BBB0미만 ",""),"")&amp;IF(OR(M526="",M526="NR"),"등급미입력 ","")&amp;IF(C526&lt;&gt;"USD","비USD ","")))</f>
        <v/>
      </c>
      <c r="AQ526" s="90" t="n">
        <f aca="false">IF(AND(Y526=1,AL526="Cheap"),IF(AND(ISERROR(SEARCH("FRN",AP526)),ISERROR(SEARCH("BBB0미만",AP526))),AK526+ROW()/1000000000,-999),-999)</f>
        <v>-999</v>
      </c>
      <c r="AR526" s="92" t="str">
        <f aca="false">IF(AND(ISNUMBER(D526),ISNUMBER(K526)),D526+AN526*MAX(K526-1,0)/100,"")</f>
        <v/>
      </c>
      <c r="AS526" s="93" t="str">
        <f aca="false">IF(AND(ISNUMBER(E526),ISNUMBER(K526)),IF(K526&gt;0,(E526+AN526*MAX(K526-1,0))/K526,""),"")</f>
        <v/>
      </c>
      <c r="AT526" s="90" t="n">
        <f aca="false">IFERROR(IF(AND(Y526=1,ROW()&lt;&gt;스왑분석!$C$12+1,ABS(K526-INDEX($K$2:$K$601,스왑분석!$C$12))&lt;=스왑분석!$C$5,ISERROR(SEARCH("FRN",AP526)),ISERROR(SEARCH("BBB0미만",AP526))),IF(AND(OR(스왑분석!$C$6="N",L526=INDEX($L$2:$L$601,스왑분석!$C$12)),OR(스왑분석!$C$7="N",N526=INDEX($N$2:$N$601,스왑분석!$C$12)),OR(스왑분석!$C$8="N",AO526=0),E526-INDEX($E$2:$E$601,스왑분석!$C$12)&gt;=스왑분석!$C$9),E526-INDEX($E$2:$E$601,스왑분석!$C$12)+ROW()/1000000000,-999),-999),-999)</f>
        <v>-999</v>
      </c>
      <c r="AU526" s="90" t="n">
        <f aca="false">IF(AND(Y526=1,AO526&gt;0,AL526="Rich"),-AK526+ROW()/1000000000,-999)</f>
        <v>-999</v>
      </c>
    </row>
    <row r="527" customFormat="false" ht="15" hidden="false" customHeight="false" outlineLevel="0" collapsed="false">
      <c r="A527" s="83" t="n">
        <f aca="false">IFERROR(IF(INDEX(원자료_시장!$A$1:$BZ$1000,설정!$L$6+ROW()-1,설정!$L$24)&amp;""="0","",INDEX(원자료_시장!$A$1:$BZ$1000,설정!$L$6+ROW()-1,설정!$L$24)),"")</f>
        <v>0</v>
      </c>
      <c r="B527" s="83" t="n">
        <f aca="false">IFERROR(IF(INDEX(원자료_시장!$A$1:$BZ$1000,설정!$L$6+ROW()-1,설정!$L$37)&amp;""="0","",INDEX(원자료_시장!$A$1:$BZ$1000,설정!$L$6+ROW()-1,설정!$L$37)),"")</f>
        <v>0</v>
      </c>
      <c r="C527" s="83" t="n">
        <f aca="false">IFERROR(IF(INDEX(원자료_시장!$A$1:$BZ$1000,설정!$L$6+ROW()-1,설정!$L$25)&amp;""="0","",INDEX(원자료_시장!$A$1:$BZ$1000,설정!$L$6+ROW()-1,설정!$L$25)),"")</f>
        <v>0</v>
      </c>
      <c r="D527" s="85" t="str">
        <f aca="false">IFERROR(IF(ISNUMBER(INDEX(원자료_시장!$A$1:$BZ$1000,설정!$L$6+ROW()-1,설정!$L$26)),INDEX(원자료_시장!$A$1:$BZ$1000,설정!$L$6+ROW()-1,설정!$L$26),""),"")</f>
        <v/>
      </c>
      <c r="E527" s="97" t="str">
        <f aca="false">IFERROR(IF(ISNUMBER(INDEX(원자료_시장!$A$1:$BZ$1000,설정!$L$6+ROW()-1,설정!$L$27)),INDEX(원자료_시장!$A$1:$BZ$1000,설정!$L$6+ROW()-1,설정!$L$27),""),"")</f>
        <v/>
      </c>
      <c r="F527" s="97" t="str">
        <f aca="false">IFERROR(IF(ISNUMBER(INDEX(원자료_시장!$A$1:$BZ$1000,설정!$L$6+ROW()-1,설정!$L$28)),INDEX(원자료_시장!$A$1:$BZ$1000,설정!$L$6+ROW()-1,설정!$L$28),""),"")</f>
        <v/>
      </c>
      <c r="G527" s="97" t="str">
        <f aca="false">IFERROR(IF(ISNUMBER(INDEX(원자료_시장!$A$1:$BZ$1000,설정!$L$6+ROW()-1,설정!$L$29)),INDEX(원자료_시장!$A$1:$BZ$1000,설정!$L$6+ROW()-1,설정!$L$29),""),"")</f>
        <v/>
      </c>
      <c r="H527" s="97" t="str">
        <f aca="false">IFERROR(IF(ISNUMBER(INDEX(원자료_시장!$A$1:$BZ$1000,설정!$L$6+ROW()-1,설정!$L$30)),INDEX(원자료_시장!$A$1:$BZ$1000,설정!$L$6+ROW()-1,설정!$L$30),""),"")</f>
        <v/>
      </c>
      <c r="I527" s="97" t="str">
        <f aca="false">IFERROR(IF(ISNUMBER(INDEX(원자료_시장!$A$1:$BZ$1000,설정!$L$6+ROW()-1,설정!$L$31)),INDEX(원자료_시장!$A$1:$BZ$1000,설정!$L$6+ROW()-1,설정!$L$31),""),"")</f>
        <v/>
      </c>
      <c r="J527" s="97" t="str">
        <f aca="false">IFERROR(IF(ISNUMBER(INDEX(원자료_시장!$A$1:$BZ$1000,설정!$L$6+ROW()-1,설정!$L$32)),INDEX(원자료_시장!$A$1:$BZ$1000,설정!$L$6+ROW()-1,설정!$L$32),""),"")</f>
        <v/>
      </c>
      <c r="K527" s="85" t="str">
        <f aca="false">IFERROR(IF(ISNUMBER(INDEX(원자료_시장!$A$1:$BZ$1000,설정!$L$6+ROW()-1,설정!$L$33)),INDEX(원자료_시장!$A$1:$BZ$1000,설정!$L$6+ROW()-1,설정!$L$33),""),"")</f>
        <v/>
      </c>
      <c r="L527" s="83" t="n">
        <f aca="false">IFERROR(IF(INDEX(원자료_시장!$A$1:$BZ$1000,설정!$L$6+ROW()-1,설정!$L$34)&amp;""="0","",INDEX(원자료_시장!$A$1:$BZ$1000,설정!$L$6+ROW()-1,설정!$L$34)),"")</f>
        <v>0</v>
      </c>
      <c r="M527" s="83" t="n">
        <f aca="false">IFERROR(IF(INDEX(원자료_시장!$A$1:$BZ$1000,설정!$L$6+ROW()-1,설정!$L$35)&amp;""="0","",INDEX(원자료_시장!$A$1:$BZ$1000,설정!$L$6+ROW()-1,설정!$L$35)),"")</f>
        <v>0</v>
      </c>
      <c r="N527" s="83" t="n">
        <f aca="false">IFERROR(IF(INDEX(원자료_시장!$A$1:$BZ$1000,설정!$L$6+ROW()-1,설정!$L$36)&amp;""="0","",INDEX(원자료_시장!$A$1:$BZ$1000,설정!$L$6+ROW()-1,설정!$L$36)),"")</f>
        <v>0</v>
      </c>
      <c r="O527" s="43" t="str">
        <f aca="false">IF($A527="","",UPPER(LEFT($A527,FIND(" ",$A527&amp;" ")-1)))</f>
        <v/>
      </c>
      <c r="P527" s="43" t="str">
        <f aca="false">IF($A527="","",TRIM(RIGHT(SUBSTITUTE(TRIM($A527)," ",REPT(" ",30)),30)))</f>
        <v/>
      </c>
      <c r="Q527" s="98" t="str">
        <f aca="false">IF($A527="","",IFERROR(DATE(IF(LEN(P527)=8,2000+VALUE(RIGHT(P527,2)),VALUE(RIGHT(P527,4))),VALUE(LEFT(P527,2)),VALUE(MID(P527,4,2))),""))</f>
        <v/>
      </c>
      <c r="R527" s="89" t="n">
        <f aca="false">IF($A527="",0,IF(ISNUMBER(SEARCH("Float",$A527)),1,0))</f>
        <v>0</v>
      </c>
      <c r="S527" s="43" t="str">
        <f aca="false">IF($A527="","",TRIM(MID($A527,LEN(O527)+2,LEN($A527)-LEN(O527)-LEN(P527)-1)))</f>
        <v/>
      </c>
      <c r="T527" s="92" t="str">
        <f aca="false">IF(OR($A527="",R527=1),"",IFERROR(IF(ISNUMBER(FIND("/",S527)),IF(ISNUMBER(FIND(" ",S527)),VALUE(LEFT(S527,FIND(" ",S527)-1))+VALUE(MID(S527,FIND(" ",S527)+1,FIND("/",S527)-FIND(" ",S527)-1))/VALUE(MID(S527,FIND("/",S527)+1,9)),VALUE(LEFT(S527,FIND("/",S527)-1))/VALUE(MID(S527,FIND("/",S527)+1,9))),VALUE(S527)),""))</f>
        <v/>
      </c>
      <c r="U527" s="43" t="str">
        <f aca="false">IF(OR($A527="",NOT(ISNUMBER(Q527))),"",TEXT(Q527,"yyyymmdd")&amp;"|"&amp;IF(R527=1,"F",TEXT(T527,"0.000")))</f>
        <v/>
      </c>
      <c r="V527" s="43" t="str">
        <f aca="false">IF(U527="","",O527&amp;"|"&amp;U527)</f>
        <v/>
      </c>
      <c r="W527" s="43" t="str">
        <f aca="false">IF($A527="","",IFERROR(IF(VLOOKUP(O527,매핑!$A$4:$E$92,3,0)="","미분류",VLOOKUP(O527,매핑!$A$4:$E$92,3,0)),"미분류"))</f>
        <v/>
      </c>
      <c r="X527" s="89" t="n">
        <f aca="false">IF($A527="",0,IF(O527="T",1,0))</f>
        <v>0</v>
      </c>
      <c r="Y527" s="89" t="n">
        <f aca="false">IF($A527="",0,IF(AND(C527="USD",X527=0,ISNUMBER(E527),ISNUMBER(K527)),IF(K527&gt;=설정!$C$8,1,0),0))</f>
        <v>0</v>
      </c>
      <c r="Z527" s="43" t="str">
        <f aca="false">IF($A527="","",N527&amp;"|"&amp;L527)</f>
        <v/>
      </c>
      <c r="AA527" s="92" t="n">
        <f aca="false">IF(Y527=1,LN(K527),0)</f>
        <v>0</v>
      </c>
      <c r="AB527" s="93" t="n">
        <f aca="false">IF(Y527=1,E527,0)</f>
        <v>0</v>
      </c>
      <c r="AC527" s="89" t="n">
        <f aca="false">IF(Y527=1,COUNTIFS($Z$2:$Z$601,Z527,$Y$2:$Y$601,1),0)</f>
        <v>0</v>
      </c>
      <c r="AD527" s="89" t="n">
        <f aca="false">IF(Y527=1,COUNTIFS($N$2:$N$601,N527,$Y$2:$Y$601,1),0)</f>
        <v>0</v>
      </c>
      <c r="AE527" s="43" t="str">
        <f aca="false">IF(Y527&lt;&gt;1,"",IF(AND(AC527&gt;=설정!$C$7,ISNUMBER(MATCH(Z527,피어커브!$A:$A,0))),Z527,IF(AND(AD527&gt;=설정!$C$7,ISNUMBER(MATCH(N527&amp;"|전체",피어커브!$A:$A,0))),N527&amp;"|전체","전체|전체")))</f>
        <v/>
      </c>
      <c r="AF527" s="93" t="str">
        <f aca="false">IF(AE527="","",INDEX(피어커브!$K:$K,MATCH(AE527,피어커브!$A:$A,0)))</f>
        <v/>
      </c>
      <c r="AG527" s="93" t="str">
        <f aca="false">IF(AE527="","",INDEX(피어커브!$J:$J,MATCH(AE527,피어커브!$A:$A,0)))</f>
        <v/>
      </c>
      <c r="AH527" s="93" t="str">
        <f aca="false">IF(AE527="","",INDEX(피어커브!$L:$L,MATCH(AE527,피어커브!$A:$A,0)))</f>
        <v/>
      </c>
      <c r="AI527" s="93" t="str">
        <f aca="false">IF(AE527="","",AF527+AG527*AA527)</f>
        <v/>
      </c>
      <c r="AJ527" s="96" t="str">
        <f aca="false">IF(AE527="","",E527-AI527)</f>
        <v/>
      </c>
      <c r="AK527" s="95" t="str">
        <f aca="false">IF(AE527="","",IF(ISNUMBER(AH527),IF(AH527&gt;0,AJ527/AH527,""),""))</f>
        <v/>
      </c>
      <c r="AL527" s="43" t="str">
        <f aca="false">IF(AK527="","-",IF(AK527&gt;=설정!$C$6,"Cheap",IF(AK527&lt;=-설정!$C$6,"Rich","Fair")))</f>
        <v>-</v>
      </c>
      <c r="AM527" s="96" t="str">
        <f aca="false">IF(AE527="","",AJ527-AVERAGEIFS($AJ$2:$AJ$601,$B$2:$B$601,B527,$Y$2:$Y$601,1))</f>
        <v/>
      </c>
      <c r="AN527" s="93" t="n">
        <f aca="false">IF(AE527="",0,IF(K527&gt;1+설정!$C$8,AG527*(AA527-LN(K527-1)),0))</f>
        <v>0</v>
      </c>
      <c r="AO527" s="99" t="n">
        <f aca="false">IF($A527="",0,SUMIFS(보유분석!$AA$2:$AA$801,보유분석!$AB$2:$AB$801,ROW(),보유분석!$AC$2:$AC$801,1))</f>
        <v>0</v>
      </c>
      <c r="AP527" s="43" t="str">
        <f aca="false">IF($A527="","",TRIM(IF(R527=1,"FRN ","")&amp;IF(IFERROR(VLOOKUP(M527,설정!$A$15:$D$47,4,0),0)&gt;=10,IF(IFERROR(VLOOKUP(M527,설정!$A$15:$D$47,4,0),0)&lt;99,"BBB0미만 ",""),"")&amp;IF(OR(M527="",M527="NR"),"등급미입력 ","")&amp;IF(C527&lt;&gt;"USD","비USD ","")))</f>
        <v/>
      </c>
      <c r="AQ527" s="90" t="n">
        <f aca="false">IF(AND(Y527=1,AL527="Cheap"),IF(AND(ISERROR(SEARCH("FRN",AP527)),ISERROR(SEARCH("BBB0미만",AP527))),AK527+ROW()/1000000000,-999),-999)</f>
        <v>-999</v>
      </c>
      <c r="AR527" s="92" t="str">
        <f aca="false">IF(AND(ISNUMBER(D527),ISNUMBER(K527)),D527+AN527*MAX(K527-1,0)/100,"")</f>
        <v/>
      </c>
      <c r="AS527" s="93" t="str">
        <f aca="false">IF(AND(ISNUMBER(E527),ISNUMBER(K527)),IF(K527&gt;0,(E527+AN527*MAX(K527-1,0))/K527,""),"")</f>
        <v/>
      </c>
      <c r="AT527" s="90" t="n">
        <f aca="false">IFERROR(IF(AND(Y527=1,ROW()&lt;&gt;스왑분석!$C$12+1,ABS(K527-INDEX($K$2:$K$601,스왑분석!$C$12))&lt;=스왑분석!$C$5,ISERROR(SEARCH("FRN",AP527)),ISERROR(SEARCH("BBB0미만",AP527))),IF(AND(OR(스왑분석!$C$6="N",L527=INDEX($L$2:$L$601,스왑분석!$C$12)),OR(스왑분석!$C$7="N",N527=INDEX($N$2:$N$601,스왑분석!$C$12)),OR(스왑분석!$C$8="N",AO527=0),E527-INDEX($E$2:$E$601,스왑분석!$C$12)&gt;=스왑분석!$C$9),E527-INDEX($E$2:$E$601,스왑분석!$C$12)+ROW()/1000000000,-999),-999),-999)</f>
        <v>-999</v>
      </c>
      <c r="AU527" s="90" t="n">
        <f aca="false">IF(AND(Y527=1,AO527&gt;0,AL527="Rich"),-AK527+ROW()/1000000000,-999)</f>
        <v>-999</v>
      </c>
    </row>
    <row r="528" customFormat="false" ht="15" hidden="false" customHeight="false" outlineLevel="0" collapsed="false">
      <c r="A528" s="83" t="n">
        <f aca="false">IFERROR(IF(INDEX(원자료_시장!$A$1:$BZ$1000,설정!$L$6+ROW()-1,설정!$L$24)&amp;""="0","",INDEX(원자료_시장!$A$1:$BZ$1000,설정!$L$6+ROW()-1,설정!$L$24)),"")</f>
        <v>0</v>
      </c>
      <c r="B528" s="83" t="n">
        <f aca="false">IFERROR(IF(INDEX(원자료_시장!$A$1:$BZ$1000,설정!$L$6+ROW()-1,설정!$L$37)&amp;""="0","",INDEX(원자료_시장!$A$1:$BZ$1000,설정!$L$6+ROW()-1,설정!$L$37)),"")</f>
        <v>0</v>
      </c>
      <c r="C528" s="83" t="n">
        <f aca="false">IFERROR(IF(INDEX(원자료_시장!$A$1:$BZ$1000,설정!$L$6+ROW()-1,설정!$L$25)&amp;""="0","",INDEX(원자료_시장!$A$1:$BZ$1000,설정!$L$6+ROW()-1,설정!$L$25)),"")</f>
        <v>0</v>
      </c>
      <c r="D528" s="85" t="str">
        <f aca="false">IFERROR(IF(ISNUMBER(INDEX(원자료_시장!$A$1:$BZ$1000,설정!$L$6+ROW()-1,설정!$L$26)),INDEX(원자료_시장!$A$1:$BZ$1000,설정!$L$6+ROW()-1,설정!$L$26),""),"")</f>
        <v/>
      </c>
      <c r="E528" s="97" t="str">
        <f aca="false">IFERROR(IF(ISNUMBER(INDEX(원자료_시장!$A$1:$BZ$1000,설정!$L$6+ROW()-1,설정!$L$27)),INDEX(원자료_시장!$A$1:$BZ$1000,설정!$L$6+ROW()-1,설정!$L$27),""),"")</f>
        <v/>
      </c>
      <c r="F528" s="97" t="str">
        <f aca="false">IFERROR(IF(ISNUMBER(INDEX(원자료_시장!$A$1:$BZ$1000,설정!$L$6+ROW()-1,설정!$L$28)),INDEX(원자료_시장!$A$1:$BZ$1000,설정!$L$6+ROW()-1,설정!$L$28),""),"")</f>
        <v/>
      </c>
      <c r="G528" s="97" t="str">
        <f aca="false">IFERROR(IF(ISNUMBER(INDEX(원자료_시장!$A$1:$BZ$1000,설정!$L$6+ROW()-1,설정!$L$29)),INDEX(원자료_시장!$A$1:$BZ$1000,설정!$L$6+ROW()-1,설정!$L$29),""),"")</f>
        <v/>
      </c>
      <c r="H528" s="97" t="str">
        <f aca="false">IFERROR(IF(ISNUMBER(INDEX(원자료_시장!$A$1:$BZ$1000,설정!$L$6+ROW()-1,설정!$L$30)),INDEX(원자료_시장!$A$1:$BZ$1000,설정!$L$6+ROW()-1,설정!$L$30),""),"")</f>
        <v/>
      </c>
      <c r="I528" s="97" t="str">
        <f aca="false">IFERROR(IF(ISNUMBER(INDEX(원자료_시장!$A$1:$BZ$1000,설정!$L$6+ROW()-1,설정!$L$31)),INDEX(원자료_시장!$A$1:$BZ$1000,설정!$L$6+ROW()-1,설정!$L$31),""),"")</f>
        <v/>
      </c>
      <c r="J528" s="97" t="str">
        <f aca="false">IFERROR(IF(ISNUMBER(INDEX(원자료_시장!$A$1:$BZ$1000,설정!$L$6+ROW()-1,설정!$L$32)),INDEX(원자료_시장!$A$1:$BZ$1000,설정!$L$6+ROW()-1,설정!$L$32),""),"")</f>
        <v/>
      </c>
      <c r="K528" s="85" t="str">
        <f aca="false">IFERROR(IF(ISNUMBER(INDEX(원자료_시장!$A$1:$BZ$1000,설정!$L$6+ROW()-1,설정!$L$33)),INDEX(원자료_시장!$A$1:$BZ$1000,설정!$L$6+ROW()-1,설정!$L$33),""),"")</f>
        <v/>
      </c>
      <c r="L528" s="83" t="n">
        <f aca="false">IFERROR(IF(INDEX(원자료_시장!$A$1:$BZ$1000,설정!$L$6+ROW()-1,설정!$L$34)&amp;""="0","",INDEX(원자료_시장!$A$1:$BZ$1000,설정!$L$6+ROW()-1,설정!$L$34)),"")</f>
        <v>0</v>
      </c>
      <c r="M528" s="83" t="n">
        <f aca="false">IFERROR(IF(INDEX(원자료_시장!$A$1:$BZ$1000,설정!$L$6+ROW()-1,설정!$L$35)&amp;""="0","",INDEX(원자료_시장!$A$1:$BZ$1000,설정!$L$6+ROW()-1,설정!$L$35)),"")</f>
        <v>0</v>
      </c>
      <c r="N528" s="83" t="n">
        <f aca="false">IFERROR(IF(INDEX(원자료_시장!$A$1:$BZ$1000,설정!$L$6+ROW()-1,설정!$L$36)&amp;""="0","",INDEX(원자료_시장!$A$1:$BZ$1000,설정!$L$6+ROW()-1,설정!$L$36)),"")</f>
        <v>0</v>
      </c>
      <c r="O528" s="43" t="str">
        <f aca="false">IF($A528="","",UPPER(LEFT($A528,FIND(" ",$A528&amp;" ")-1)))</f>
        <v/>
      </c>
      <c r="P528" s="43" t="str">
        <f aca="false">IF($A528="","",TRIM(RIGHT(SUBSTITUTE(TRIM($A528)," ",REPT(" ",30)),30)))</f>
        <v/>
      </c>
      <c r="Q528" s="98" t="str">
        <f aca="false">IF($A528="","",IFERROR(DATE(IF(LEN(P528)=8,2000+VALUE(RIGHT(P528,2)),VALUE(RIGHT(P528,4))),VALUE(LEFT(P528,2)),VALUE(MID(P528,4,2))),""))</f>
        <v/>
      </c>
      <c r="R528" s="89" t="n">
        <f aca="false">IF($A528="",0,IF(ISNUMBER(SEARCH("Float",$A528)),1,0))</f>
        <v>0</v>
      </c>
      <c r="S528" s="43" t="str">
        <f aca="false">IF($A528="","",TRIM(MID($A528,LEN(O528)+2,LEN($A528)-LEN(O528)-LEN(P528)-1)))</f>
        <v/>
      </c>
      <c r="T528" s="92" t="str">
        <f aca="false">IF(OR($A528="",R528=1),"",IFERROR(IF(ISNUMBER(FIND("/",S528)),IF(ISNUMBER(FIND(" ",S528)),VALUE(LEFT(S528,FIND(" ",S528)-1))+VALUE(MID(S528,FIND(" ",S528)+1,FIND("/",S528)-FIND(" ",S528)-1))/VALUE(MID(S528,FIND("/",S528)+1,9)),VALUE(LEFT(S528,FIND("/",S528)-1))/VALUE(MID(S528,FIND("/",S528)+1,9))),VALUE(S528)),""))</f>
        <v/>
      </c>
      <c r="U528" s="43" t="str">
        <f aca="false">IF(OR($A528="",NOT(ISNUMBER(Q528))),"",TEXT(Q528,"yyyymmdd")&amp;"|"&amp;IF(R528=1,"F",TEXT(T528,"0.000")))</f>
        <v/>
      </c>
      <c r="V528" s="43" t="str">
        <f aca="false">IF(U528="","",O528&amp;"|"&amp;U528)</f>
        <v/>
      </c>
      <c r="W528" s="43" t="str">
        <f aca="false">IF($A528="","",IFERROR(IF(VLOOKUP(O528,매핑!$A$4:$E$92,3,0)="","미분류",VLOOKUP(O528,매핑!$A$4:$E$92,3,0)),"미분류"))</f>
        <v/>
      </c>
      <c r="X528" s="89" t="n">
        <f aca="false">IF($A528="",0,IF(O528="T",1,0))</f>
        <v>0</v>
      </c>
      <c r="Y528" s="89" t="n">
        <f aca="false">IF($A528="",0,IF(AND(C528="USD",X528=0,ISNUMBER(E528),ISNUMBER(K528)),IF(K528&gt;=설정!$C$8,1,0),0))</f>
        <v>0</v>
      </c>
      <c r="Z528" s="43" t="str">
        <f aca="false">IF($A528="","",N528&amp;"|"&amp;L528)</f>
        <v/>
      </c>
      <c r="AA528" s="92" t="n">
        <f aca="false">IF(Y528=1,LN(K528),0)</f>
        <v>0</v>
      </c>
      <c r="AB528" s="93" t="n">
        <f aca="false">IF(Y528=1,E528,0)</f>
        <v>0</v>
      </c>
      <c r="AC528" s="89" t="n">
        <f aca="false">IF(Y528=1,COUNTIFS($Z$2:$Z$601,Z528,$Y$2:$Y$601,1),0)</f>
        <v>0</v>
      </c>
      <c r="AD528" s="89" t="n">
        <f aca="false">IF(Y528=1,COUNTIFS($N$2:$N$601,N528,$Y$2:$Y$601,1),0)</f>
        <v>0</v>
      </c>
      <c r="AE528" s="43" t="str">
        <f aca="false">IF(Y528&lt;&gt;1,"",IF(AND(AC528&gt;=설정!$C$7,ISNUMBER(MATCH(Z528,피어커브!$A:$A,0))),Z528,IF(AND(AD528&gt;=설정!$C$7,ISNUMBER(MATCH(N528&amp;"|전체",피어커브!$A:$A,0))),N528&amp;"|전체","전체|전체")))</f>
        <v/>
      </c>
      <c r="AF528" s="93" t="str">
        <f aca="false">IF(AE528="","",INDEX(피어커브!$K:$K,MATCH(AE528,피어커브!$A:$A,0)))</f>
        <v/>
      </c>
      <c r="AG528" s="93" t="str">
        <f aca="false">IF(AE528="","",INDEX(피어커브!$J:$J,MATCH(AE528,피어커브!$A:$A,0)))</f>
        <v/>
      </c>
      <c r="AH528" s="93" t="str">
        <f aca="false">IF(AE528="","",INDEX(피어커브!$L:$L,MATCH(AE528,피어커브!$A:$A,0)))</f>
        <v/>
      </c>
      <c r="AI528" s="93" t="str">
        <f aca="false">IF(AE528="","",AF528+AG528*AA528)</f>
        <v/>
      </c>
      <c r="AJ528" s="96" t="str">
        <f aca="false">IF(AE528="","",E528-AI528)</f>
        <v/>
      </c>
      <c r="AK528" s="95" t="str">
        <f aca="false">IF(AE528="","",IF(ISNUMBER(AH528),IF(AH528&gt;0,AJ528/AH528,""),""))</f>
        <v/>
      </c>
      <c r="AL528" s="43" t="str">
        <f aca="false">IF(AK528="","-",IF(AK528&gt;=설정!$C$6,"Cheap",IF(AK528&lt;=-설정!$C$6,"Rich","Fair")))</f>
        <v>-</v>
      </c>
      <c r="AM528" s="96" t="str">
        <f aca="false">IF(AE528="","",AJ528-AVERAGEIFS($AJ$2:$AJ$601,$B$2:$B$601,B528,$Y$2:$Y$601,1))</f>
        <v/>
      </c>
      <c r="AN528" s="93" t="n">
        <f aca="false">IF(AE528="",0,IF(K528&gt;1+설정!$C$8,AG528*(AA528-LN(K528-1)),0))</f>
        <v>0</v>
      </c>
      <c r="AO528" s="99" t="n">
        <f aca="false">IF($A528="",0,SUMIFS(보유분석!$AA$2:$AA$801,보유분석!$AB$2:$AB$801,ROW(),보유분석!$AC$2:$AC$801,1))</f>
        <v>0</v>
      </c>
      <c r="AP528" s="43" t="str">
        <f aca="false">IF($A528="","",TRIM(IF(R528=1,"FRN ","")&amp;IF(IFERROR(VLOOKUP(M528,설정!$A$15:$D$47,4,0),0)&gt;=10,IF(IFERROR(VLOOKUP(M528,설정!$A$15:$D$47,4,0),0)&lt;99,"BBB0미만 ",""),"")&amp;IF(OR(M528="",M528="NR"),"등급미입력 ","")&amp;IF(C528&lt;&gt;"USD","비USD ","")))</f>
        <v/>
      </c>
      <c r="AQ528" s="90" t="n">
        <f aca="false">IF(AND(Y528=1,AL528="Cheap"),IF(AND(ISERROR(SEARCH("FRN",AP528)),ISERROR(SEARCH("BBB0미만",AP528))),AK528+ROW()/1000000000,-999),-999)</f>
        <v>-999</v>
      </c>
      <c r="AR528" s="92" t="str">
        <f aca="false">IF(AND(ISNUMBER(D528),ISNUMBER(K528)),D528+AN528*MAX(K528-1,0)/100,"")</f>
        <v/>
      </c>
      <c r="AS528" s="93" t="str">
        <f aca="false">IF(AND(ISNUMBER(E528),ISNUMBER(K528)),IF(K528&gt;0,(E528+AN528*MAX(K528-1,0))/K528,""),"")</f>
        <v/>
      </c>
      <c r="AT528" s="90" t="n">
        <f aca="false">IFERROR(IF(AND(Y528=1,ROW()&lt;&gt;스왑분석!$C$12+1,ABS(K528-INDEX($K$2:$K$601,스왑분석!$C$12))&lt;=스왑분석!$C$5,ISERROR(SEARCH("FRN",AP528)),ISERROR(SEARCH("BBB0미만",AP528))),IF(AND(OR(스왑분석!$C$6="N",L528=INDEX($L$2:$L$601,스왑분석!$C$12)),OR(스왑분석!$C$7="N",N528=INDEX($N$2:$N$601,스왑분석!$C$12)),OR(스왑분석!$C$8="N",AO528=0),E528-INDEX($E$2:$E$601,스왑분석!$C$12)&gt;=스왑분석!$C$9),E528-INDEX($E$2:$E$601,스왑분석!$C$12)+ROW()/1000000000,-999),-999),-999)</f>
        <v>-999</v>
      </c>
      <c r="AU528" s="90" t="n">
        <f aca="false">IF(AND(Y528=1,AO528&gt;0,AL528="Rich"),-AK528+ROW()/1000000000,-999)</f>
        <v>-999</v>
      </c>
    </row>
    <row r="529" customFormat="false" ht="15" hidden="false" customHeight="false" outlineLevel="0" collapsed="false">
      <c r="A529" s="83" t="n">
        <f aca="false">IFERROR(IF(INDEX(원자료_시장!$A$1:$BZ$1000,설정!$L$6+ROW()-1,설정!$L$24)&amp;""="0","",INDEX(원자료_시장!$A$1:$BZ$1000,설정!$L$6+ROW()-1,설정!$L$24)),"")</f>
        <v>0</v>
      </c>
      <c r="B529" s="83" t="n">
        <f aca="false">IFERROR(IF(INDEX(원자료_시장!$A$1:$BZ$1000,설정!$L$6+ROW()-1,설정!$L$37)&amp;""="0","",INDEX(원자료_시장!$A$1:$BZ$1000,설정!$L$6+ROW()-1,설정!$L$37)),"")</f>
        <v>0</v>
      </c>
      <c r="C529" s="83" t="n">
        <f aca="false">IFERROR(IF(INDEX(원자료_시장!$A$1:$BZ$1000,설정!$L$6+ROW()-1,설정!$L$25)&amp;""="0","",INDEX(원자료_시장!$A$1:$BZ$1000,설정!$L$6+ROW()-1,설정!$L$25)),"")</f>
        <v>0</v>
      </c>
      <c r="D529" s="85" t="str">
        <f aca="false">IFERROR(IF(ISNUMBER(INDEX(원자료_시장!$A$1:$BZ$1000,설정!$L$6+ROW()-1,설정!$L$26)),INDEX(원자료_시장!$A$1:$BZ$1000,설정!$L$6+ROW()-1,설정!$L$26),""),"")</f>
        <v/>
      </c>
      <c r="E529" s="97" t="str">
        <f aca="false">IFERROR(IF(ISNUMBER(INDEX(원자료_시장!$A$1:$BZ$1000,설정!$L$6+ROW()-1,설정!$L$27)),INDEX(원자료_시장!$A$1:$BZ$1000,설정!$L$6+ROW()-1,설정!$L$27),""),"")</f>
        <v/>
      </c>
      <c r="F529" s="97" t="str">
        <f aca="false">IFERROR(IF(ISNUMBER(INDEX(원자료_시장!$A$1:$BZ$1000,설정!$L$6+ROW()-1,설정!$L$28)),INDEX(원자료_시장!$A$1:$BZ$1000,설정!$L$6+ROW()-1,설정!$L$28),""),"")</f>
        <v/>
      </c>
      <c r="G529" s="97" t="str">
        <f aca="false">IFERROR(IF(ISNUMBER(INDEX(원자료_시장!$A$1:$BZ$1000,설정!$L$6+ROW()-1,설정!$L$29)),INDEX(원자료_시장!$A$1:$BZ$1000,설정!$L$6+ROW()-1,설정!$L$29),""),"")</f>
        <v/>
      </c>
      <c r="H529" s="97" t="str">
        <f aca="false">IFERROR(IF(ISNUMBER(INDEX(원자료_시장!$A$1:$BZ$1000,설정!$L$6+ROW()-1,설정!$L$30)),INDEX(원자료_시장!$A$1:$BZ$1000,설정!$L$6+ROW()-1,설정!$L$30),""),"")</f>
        <v/>
      </c>
      <c r="I529" s="97" t="str">
        <f aca="false">IFERROR(IF(ISNUMBER(INDEX(원자료_시장!$A$1:$BZ$1000,설정!$L$6+ROW()-1,설정!$L$31)),INDEX(원자료_시장!$A$1:$BZ$1000,설정!$L$6+ROW()-1,설정!$L$31),""),"")</f>
        <v/>
      </c>
      <c r="J529" s="97" t="str">
        <f aca="false">IFERROR(IF(ISNUMBER(INDEX(원자료_시장!$A$1:$BZ$1000,설정!$L$6+ROW()-1,설정!$L$32)),INDEX(원자료_시장!$A$1:$BZ$1000,설정!$L$6+ROW()-1,설정!$L$32),""),"")</f>
        <v/>
      </c>
      <c r="K529" s="85" t="str">
        <f aca="false">IFERROR(IF(ISNUMBER(INDEX(원자료_시장!$A$1:$BZ$1000,설정!$L$6+ROW()-1,설정!$L$33)),INDEX(원자료_시장!$A$1:$BZ$1000,설정!$L$6+ROW()-1,설정!$L$33),""),"")</f>
        <v/>
      </c>
      <c r="L529" s="83" t="n">
        <f aca="false">IFERROR(IF(INDEX(원자료_시장!$A$1:$BZ$1000,설정!$L$6+ROW()-1,설정!$L$34)&amp;""="0","",INDEX(원자료_시장!$A$1:$BZ$1000,설정!$L$6+ROW()-1,설정!$L$34)),"")</f>
        <v>0</v>
      </c>
      <c r="M529" s="83" t="n">
        <f aca="false">IFERROR(IF(INDEX(원자료_시장!$A$1:$BZ$1000,설정!$L$6+ROW()-1,설정!$L$35)&amp;""="0","",INDEX(원자료_시장!$A$1:$BZ$1000,설정!$L$6+ROW()-1,설정!$L$35)),"")</f>
        <v>0</v>
      </c>
      <c r="N529" s="83" t="n">
        <f aca="false">IFERROR(IF(INDEX(원자료_시장!$A$1:$BZ$1000,설정!$L$6+ROW()-1,설정!$L$36)&amp;""="0","",INDEX(원자료_시장!$A$1:$BZ$1000,설정!$L$6+ROW()-1,설정!$L$36)),"")</f>
        <v>0</v>
      </c>
      <c r="O529" s="43" t="str">
        <f aca="false">IF($A529="","",UPPER(LEFT($A529,FIND(" ",$A529&amp;" ")-1)))</f>
        <v/>
      </c>
      <c r="P529" s="43" t="str">
        <f aca="false">IF($A529="","",TRIM(RIGHT(SUBSTITUTE(TRIM($A529)," ",REPT(" ",30)),30)))</f>
        <v/>
      </c>
      <c r="Q529" s="98" t="str">
        <f aca="false">IF($A529="","",IFERROR(DATE(IF(LEN(P529)=8,2000+VALUE(RIGHT(P529,2)),VALUE(RIGHT(P529,4))),VALUE(LEFT(P529,2)),VALUE(MID(P529,4,2))),""))</f>
        <v/>
      </c>
      <c r="R529" s="89" t="n">
        <f aca="false">IF($A529="",0,IF(ISNUMBER(SEARCH("Float",$A529)),1,0))</f>
        <v>0</v>
      </c>
      <c r="S529" s="43" t="str">
        <f aca="false">IF($A529="","",TRIM(MID($A529,LEN(O529)+2,LEN($A529)-LEN(O529)-LEN(P529)-1)))</f>
        <v/>
      </c>
      <c r="T529" s="92" t="str">
        <f aca="false">IF(OR($A529="",R529=1),"",IFERROR(IF(ISNUMBER(FIND("/",S529)),IF(ISNUMBER(FIND(" ",S529)),VALUE(LEFT(S529,FIND(" ",S529)-1))+VALUE(MID(S529,FIND(" ",S529)+1,FIND("/",S529)-FIND(" ",S529)-1))/VALUE(MID(S529,FIND("/",S529)+1,9)),VALUE(LEFT(S529,FIND("/",S529)-1))/VALUE(MID(S529,FIND("/",S529)+1,9))),VALUE(S529)),""))</f>
        <v/>
      </c>
      <c r="U529" s="43" t="str">
        <f aca="false">IF(OR($A529="",NOT(ISNUMBER(Q529))),"",TEXT(Q529,"yyyymmdd")&amp;"|"&amp;IF(R529=1,"F",TEXT(T529,"0.000")))</f>
        <v/>
      </c>
      <c r="V529" s="43" t="str">
        <f aca="false">IF(U529="","",O529&amp;"|"&amp;U529)</f>
        <v/>
      </c>
      <c r="W529" s="43" t="str">
        <f aca="false">IF($A529="","",IFERROR(IF(VLOOKUP(O529,매핑!$A$4:$E$92,3,0)="","미분류",VLOOKUP(O529,매핑!$A$4:$E$92,3,0)),"미분류"))</f>
        <v/>
      </c>
      <c r="X529" s="89" t="n">
        <f aca="false">IF($A529="",0,IF(O529="T",1,0))</f>
        <v>0</v>
      </c>
      <c r="Y529" s="89" t="n">
        <f aca="false">IF($A529="",0,IF(AND(C529="USD",X529=0,ISNUMBER(E529),ISNUMBER(K529)),IF(K529&gt;=설정!$C$8,1,0),0))</f>
        <v>0</v>
      </c>
      <c r="Z529" s="43" t="str">
        <f aca="false">IF($A529="","",N529&amp;"|"&amp;L529)</f>
        <v/>
      </c>
      <c r="AA529" s="92" t="n">
        <f aca="false">IF(Y529=1,LN(K529),0)</f>
        <v>0</v>
      </c>
      <c r="AB529" s="93" t="n">
        <f aca="false">IF(Y529=1,E529,0)</f>
        <v>0</v>
      </c>
      <c r="AC529" s="89" t="n">
        <f aca="false">IF(Y529=1,COUNTIFS($Z$2:$Z$601,Z529,$Y$2:$Y$601,1),0)</f>
        <v>0</v>
      </c>
      <c r="AD529" s="89" t="n">
        <f aca="false">IF(Y529=1,COUNTIFS($N$2:$N$601,N529,$Y$2:$Y$601,1),0)</f>
        <v>0</v>
      </c>
      <c r="AE529" s="43" t="str">
        <f aca="false">IF(Y529&lt;&gt;1,"",IF(AND(AC529&gt;=설정!$C$7,ISNUMBER(MATCH(Z529,피어커브!$A:$A,0))),Z529,IF(AND(AD529&gt;=설정!$C$7,ISNUMBER(MATCH(N529&amp;"|전체",피어커브!$A:$A,0))),N529&amp;"|전체","전체|전체")))</f>
        <v/>
      </c>
      <c r="AF529" s="93" t="str">
        <f aca="false">IF(AE529="","",INDEX(피어커브!$K:$K,MATCH(AE529,피어커브!$A:$A,0)))</f>
        <v/>
      </c>
      <c r="AG529" s="93" t="str">
        <f aca="false">IF(AE529="","",INDEX(피어커브!$J:$J,MATCH(AE529,피어커브!$A:$A,0)))</f>
        <v/>
      </c>
      <c r="AH529" s="93" t="str">
        <f aca="false">IF(AE529="","",INDEX(피어커브!$L:$L,MATCH(AE529,피어커브!$A:$A,0)))</f>
        <v/>
      </c>
      <c r="AI529" s="93" t="str">
        <f aca="false">IF(AE529="","",AF529+AG529*AA529)</f>
        <v/>
      </c>
      <c r="AJ529" s="96" t="str">
        <f aca="false">IF(AE529="","",E529-AI529)</f>
        <v/>
      </c>
      <c r="AK529" s="95" t="str">
        <f aca="false">IF(AE529="","",IF(ISNUMBER(AH529),IF(AH529&gt;0,AJ529/AH529,""),""))</f>
        <v/>
      </c>
      <c r="AL529" s="43" t="str">
        <f aca="false">IF(AK529="","-",IF(AK529&gt;=설정!$C$6,"Cheap",IF(AK529&lt;=-설정!$C$6,"Rich","Fair")))</f>
        <v>-</v>
      </c>
      <c r="AM529" s="96" t="str">
        <f aca="false">IF(AE529="","",AJ529-AVERAGEIFS($AJ$2:$AJ$601,$B$2:$B$601,B529,$Y$2:$Y$601,1))</f>
        <v/>
      </c>
      <c r="AN529" s="93" t="n">
        <f aca="false">IF(AE529="",0,IF(K529&gt;1+설정!$C$8,AG529*(AA529-LN(K529-1)),0))</f>
        <v>0</v>
      </c>
      <c r="AO529" s="99" t="n">
        <f aca="false">IF($A529="",0,SUMIFS(보유분석!$AA$2:$AA$801,보유분석!$AB$2:$AB$801,ROW(),보유분석!$AC$2:$AC$801,1))</f>
        <v>0</v>
      </c>
      <c r="AP529" s="43" t="str">
        <f aca="false">IF($A529="","",TRIM(IF(R529=1,"FRN ","")&amp;IF(IFERROR(VLOOKUP(M529,설정!$A$15:$D$47,4,0),0)&gt;=10,IF(IFERROR(VLOOKUP(M529,설정!$A$15:$D$47,4,0),0)&lt;99,"BBB0미만 ",""),"")&amp;IF(OR(M529="",M529="NR"),"등급미입력 ","")&amp;IF(C529&lt;&gt;"USD","비USD ","")))</f>
        <v/>
      </c>
      <c r="AQ529" s="90" t="n">
        <f aca="false">IF(AND(Y529=1,AL529="Cheap"),IF(AND(ISERROR(SEARCH("FRN",AP529)),ISERROR(SEARCH("BBB0미만",AP529))),AK529+ROW()/1000000000,-999),-999)</f>
        <v>-999</v>
      </c>
      <c r="AR529" s="92" t="str">
        <f aca="false">IF(AND(ISNUMBER(D529),ISNUMBER(K529)),D529+AN529*MAX(K529-1,0)/100,"")</f>
        <v/>
      </c>
      <c r="AS529" s="93" t="str">
        <f aca="false">IF(AND(ISNUMBER(E529),ISNUMBER(K529)),IF(K529&gt;0,(E529+AN529*MAX(K529-1,0))/K529,""),"")</f>
        <v/>
      </c>
      <c r="AT529" s="90" t="n">
        <f aca="false">IFERROR(IF(AND(Y529=1,ROW()&lt;&gt;스왑분석!$C$12+1,ABS(K529-INDEX($K$2:$K$601,스왑분석!$C$12))&lt;=스왑분석!$C$5,ISERROR(SEARCH("FRN",AP529)),ISERROR(SEARCH("BBB0미만",AP529))),IF(AND(OR(스왑분석!$C$6="N",L529=INDEX($L$2:$L$601,스왑분석!$C$12)),OR(스왑분석!$C$7="N",N529=INDEX($N$2:$N$601,스왑분석!$C$12)),OR(스왑분석!$C$8="N",AO529=0),E529-INDEX($E$2:$E$601,스왑분석!$C$12)&gt;=스왑분석!$C$9),E529-INDEX($E$2:$E$601,스왑분석!$C$12)+ROW()/1000000000,-999),-999),-999)</f>
        <v>-999</v>
      </c>
      <c r="AU529" s="90" t="n">
        <f aca="false">IF(AND(Y529=1,AO529&gt;0,AL529="Rich"),-AK529+ROW()/1000000000,-999)</f>
        <v>-999</v>
      </c>
    </row>
    <row r="530" customFormat="false" ht="15" hidden="false" customHeight="false" outlineLevel="0" collapsed="false">
      <c r="A530" s="83" t="n">
        <f aca="false">IFERROR(IF(INDEX(원자료_시장!$A$1:$BZ$1000,설정!$L$6+ROW()-1,설정!$L$24)&amp;""="0","",INDEX(원자료_시장!$A$1:$BZ$1000,설정!$L$6+ROW()-1,설정!$L$24)),"")</f>
        <v>0</v>
      </c>
      <c r="B530" s="83" t="n">
        <f aca="false">IFERROR(IF(INDEX(원자료_시장!$A$1:$BZ$1000,설정!$L$6+ROW()-1,설정!$L$37)&amp;""="0","",INDEX(원자료_시장!$A$1:$BZ$1000,설정!$L$6+ROW()-1,설정!$L$37)),"")</f>
        <v>0</v>
      </c>
      <c r="C530" s="83" t="n">
        <f aca="false">IFERROR(IF(INDEX(원자료_시장!$A$1:$BZ$1000,설정!$L$6+ROW()-1,설정!$L$25)&amp;""="0","",INDEX(원자료_시장!$A$1:$BZ$1000,설정!$L$6+ROW()-1,설정!$L$25)),"")</f>
        <v>0</v>
      </c>
      <c r="D530" s="85" t="str">
        <f aca="false">IFERROR(IF(ISNUMBER(INDEX(원자료_시장!$A$1:$BZ$1000,설정!$L$6+ROW()-1,설정!$L$26)),INDEX(원자료_시장!$A$1:$BZ$1000,설정!$L$6+ROW()-1,설정!$L$26),""),"")</f>
        <v/>
      </c>
      <c r="E530" s="97" t="str">
        <f aca="false">IFERROR(IF(ISNUMBER(INDEX(원자료_시장!$A$1:$BZ$1000,설정!$L$6+ROW()-1,설정!$L$27)),INDEX(원자료_시장!$A$1:$BZ$1000,설정!$L$6+ROW()-1,설정!$L$27),""),"")</f>
        <v/>
      </c>
      <c r="F530" s="97" t="str">
        <f aca="false">IFERROR(IF(ISNUMBER(INDEX(원자료_시장!$A$1:$BZ$1000,설정!$L$6+ROW()-1,설정!$L$28)),INDEX(원자료_시장!$A$1:$BZ$1000,설정!$L$6+ROW()-1,설정!$L$28),""),"")</f>
        <v/>
      </c>
      <c r="G530" s="97" t="str">
        <f aca="false">IFERROR(IF(ISNUMBER(INDEX(원자료_시장!$A$1:$BZ$1000,설정!$L$6+ROW()-1,설정!$L$29)),INDEX(원자료_시장!$A$1:$BZ$1000,설정!$L$6+ROW()-1,설정!$L$29),""),"")</f>
        <v/>
      </c>
      <c r="H530" s="97" t="str">
        <f aca="false">IFERROR(IF(ISNUMBER(INDEX(원자료_시장!$A$1:$BZ$1000,설정!$L$6+ROW()-1,설정!$L$30)),INDEX(원자료_시장!$A$1:$BZ$1000,설정!$L$6+ROW()-1,설정!$L$30),""),"")</f>
        <v/>
      </c>
      <c r="I530" s="97" t="str">
        <f aca="false">IFERROR(IF(ISNUMBER(INDEX(원자료_시장!$A$1:$BZ$1000,설정!$L$6+ROW()-1,설정!$L$31)),INDEX(원자료_시장!$A$1:$BZ$1000,설정!$L$6+ROW()-1,설정!$L$31),""),"")</f>
        <v/>
      </c>
      <c r="J530" s="97" t="str">
        <f aca="false">IFERROR(IF(ISNUMBER(INDEX(원자료_시장!$A$1:$BZ$1000,설정!$L$6+ROW()-1,설정!$L$32)),INDEX(원자료_시장!$A$1:$BZ$1000,설정!$L$6+ROW()-1,설정!$L$32),""),"")</f>
        <v/>
      </c>
      <c r="K530" s="85" t="str">
        <f aca="false">IFERROR(IF(ISNUMBER(INDEX(원자료_시장!$A$1:$BZ$1000,설정!$L$6+ROW()-1,설정!$L$33)),INDEX(원자료_시장!$A$1:$BZ$1000,설정!$L$6+ROW()-1,설정!$L$33),""),"")</f>
        <v/>
      </c>
      <c r="L530" s="83" t="n">
        <f aca="false">IFERROR(IF(INDEX(원자료_시장!$A$1:$BZ$1000,설정!$L$6+ROW()-1,설정!$L$34)&amp;""="0","",INDEX(원자료_시장!$A$1:$BZ$1000,설정!$L$6+ROW()-1,설정!$L$34)),"")</f>
        <v>0</v>
      </c>
      <c r="M530" s="83" t="n">
        <f aca="false">IFERROR(IF(INDEX(원자료_시장!$A$1:$BZ$1000,설정!$L$6+ROW()-1,설정!$L$35)&amp;""="0","",INDEX(원자료_시장!$A$1:$BZ$1000,설정!$L$6+ROW()-1,설정!$L$35)),"")</f>
        <v>0</v>
      </c>
      <c r="N530" s="83" t="n">
        <f aca="false">IFERROR(IF(INDEX(원자료_시장!$A$1:$BZ$1000,설정!$L$6+ROW()-1,설정!$L$36)&amp;""="0","",INDEX(원자료_시장!$A$1:$BZ$1000,설정!$L$6+ROW()-1,설정!$L$36)),"")</f>
        <v>0</v>
      </c>
      <c r="O530" s="43" t="str">
        <f aca="false">IF($A530="","",UPPER(LEFT($A530,FIND(" ",$A530&amp;" ")-1)))</f>
        <v/>
      </c>
      <c r="P530" s="43" t="str">
        <f aca="false">IF($A530="","",TRIM(RIGHT(SUBSTITUTE(TRIM($A530)," ",REPT(" ",30)),30)))</f>
        <v/>
      </c>
      <c r="Q530" s="98" t="str">
        <f aca="false">IF($A530="","",IFERROR(DATE(IF(LEN(P530)=8,2000+VALUE(RIGHT(P530,2)),VALUE(RIGHT(P530,4))),VALUE(LEFT(P530,2)),VALUE(MID(P530,4,2))),""))</f>
        <v/>
      </c>
      <c r="R530" s="89" t="n">
        <f aca="false">IF($A530="",0,IF(ISNUMBER(SEARCH("Float",$A530)),1,0))</f>
        <v>0</v>
      </c>
      <c r="S530" s="43" t="str">
        <f aca="false">IF($A530="","",TRIM(MID($A530,LEN(O530)+2,LEN($A530)-LEN(O530)-LEN(P530)-1)))</f>
        <v/>
      </c>
      <c r="T530" s="92" t="str">
        <f aca="false">IF(OR($A530="",R530=1),"",IFERROR(IF(ISNUMBER(FIND("/",S530)),IF(ISNUMBER(FIND(" ",S530)),VALUE(LEFT(S530,FIND(" ",S530)-1))+VALUE(MID(S530,FIND(" ",S530)+1,FIND("/",S530)-FIND(" ",S530)-1))/VALUE(MID(S530,FIND("/",S530)+1,9)),VALUE(LEFT(S530,FIND("/",S530)-1))/VALUE(MID(S530,FIND("/",S530)+1,9))),VALUE(S530)),""))</f>
        <v/>
      </c>
      <c r="U530" s="43" t="str">
        <f aca="false">IF(OR($A530="",NOT(ISNUMBER(Q530))),"",TEXT(Q530,"yyyymmdd")&amp;"|"&amp;IF(R530=1,"F",TEXT(T530,"0.000")))</f>
        <v/>
      </c>
      <c r="V530" s="43" t="str">
        <f aca="false">IF(U530="","",O530&amp;"|"&amp;U530)</f>
        <v/>
      </c>
      <c r="W530" s="43" t="str">
        <f aca="false">IF($A530="","",IFERROR(IF(VLOOKUP(O530,매핑!$A$4:$E$92,3,0)="","미분류",VLOOKUP(O530,매핑!$A$4:$E$92,3,0)),"미분류"))</f>
        <v/>
      </c>
      <c r="X530" s="89" t="n">
        <f aca="false">IF($A530="",0,IF(O530="T",1,0))</f>
        <v>0</v>
      </c>
      <c r="Y530" s="89" t="n">
        <f aca="false">IF($A530="",0,IF(AND(C530="USD",X530=0,ISNUMBER(E530),ISNUMBER(K530)),IF(K530&gt;=설정!$C$8,1,0),0))</f>
        <v>0</v>
      </c>
      <c r="Z530" s="43" t="str">
        <f aca="false">IF($A530="","",N530&amp;"|"&amp;L530)</f>
        <v/>
      </c>
      <c r="AA530" s="92" t="n">
        <f aca="false">IF(Y530=1,LN(K530),0)</f>
        <v>0</v>
      </c>
      <c r="AB530" s="93" t="n">
        <f aca="false">IF(Y530=1,E530,0)</f>
        <v>0</v>
      </c>
      <c r="AC530" s="89" t="n">
        <f aca="false">IF(Y530=1,COUNTIFS($Z$2:$Z$601,Z530,$Y$2:$Y$601,1),0)</f>
        <v>0</v>
      </c>
      <c r="AD530" s="89" t="n">
        <f aca="false">IF(Y530=1,COUNTIFS($N$2:$N$601,N530,$Y$2:$Y$601,1),0)</f>
        <v>0</v>
      </c>
      <c r="AE530" s="43" t="str">
        <f aca="false">IF(Y530&lt;&gt;1,"",IF(AND(AC530&gt;=설정!$C$7,ISNUMBER(MATCH(Z530,피어커브!$A:$A,0))),Z530,IF(AND(AD530&gt;=설정!$C$7,ISNUMBER(MATCH(N530&amp;"|전체",피어커브!$A:$A,0))),N530&amp;"|전체","전체|전체")))</f>
        <v/>
      </c>
      <c r="AF530" s="93" t="str">
        <f aca="false">IF(AE530="","",INDEX(피어커브!$K:$K,MATCH(AE530,피어커브!$A:$A,0)))</f>
        <v/>
      </c>
      <c r="AG530" s="93" t="str">
        <f aca="false">IF(AE530="","",INDEX(피어커브!$J:$J,MATCH(AE530,피어커브!$A:$A,0)))</f>
        <v/>
      </c>
      <c r="AH530" s="93" t="str">
        <f aca="false">IF(AE530="","",INDEX(피어커브!$L:$L,MATCH(AE530,피어커브!$A:$A,0)))</f>
        <v/>
      </c>
      <c r="AI530" s="93" t="str">
        <f aca="false">IF(AE530="","",AF530+AG530*AA530)</f>
        <v/>
      </c>
      <c r="AJ530" s="96" t="str">
        <f aca="false">IF(AE530="","",E530-AI530)</f>
        <v/>
      </c>
      <c r="AK530" s="95" t="str">
        <f aca="false">IF(AE530="","",IF(ISNUMBER(AH530),IF(AH530&gt;0,AJ530/AH530,""),""))</f>
        <v/>
      </c>
      <c r="AL530" s="43" t="str">
        <f aca="false">IF(AK530="","-",IF(AK530&gt;=설정!$C$6,"Cheap",IF(AK530&lt;=-설정!$C$6,"Rich","Fair")))</f>
        <v>-</v>
      </c>
      <c r="AM530" s="96" t="str">
        <f aca="false">IF(AE530="","",AJ530-AVERAGEIFS($AJ$2:$AJ$601,$B$2:$B$601,B530,$Y$2:$Y$601,1))</f>
        <v/>
      </c>
      <c r="AN530" s="93" t="n">
        <f aca="false">IF(AE530="",0,IF(K530&gt;1+설정!$C$8,AG530*(AA530-LN(K530-1)),0))</f>
        <v>0</v>
      </c>
      <c r="AO530" s="99" t="n">
        <f aca="false">IF($A530="",0,SUMIFS(보유분석!$AA$2:$AA$801,보유분석!$AB$2:$AB$801,ROW(),보유분석!$AC$2:$AC$801,1))</f>
        <v>0</v>
      </c>
      <c r="AP530" s="43" t="str">
        <f aca="false">IF($A530="","",TRIM(IF(R530=1,"FRN ","")&amp;IF(IFERROR(VLOOKUP(M530,설정!$A$15:$D$47,4,0),0)&gt;=10,IF(IFERROR(VLOOKUP(M530,설정!$A$15:$D$47,4,0),0)&lt;99,"BBB0미만 ",""),"")&amp;IF(OR(M530="",M530="NR"),"등급미입력 ","")&amp;IF(C530&lt;&gt;"USD","비USD ","")))</f>
        <v/>
      </c>
      <c r="AQ530" s="90" t="n">
        <f aca="false">IF(AND(Y530=1,AL530="Cheap"),IF(AND(ISERROR(SEARCH("FRN",AP530)),ISERROR(SEARCH("BBB0미만",AP530))),AK530+ROW()/1000000000,-999),-999)</f>
        <v>-999</v>
      </c>
      <c r="AR530" s="92" t="str">
        <f aca="false">IF(AND(ISNUMBER(D530),ISNUMBER(K530)),D530+AN530*MAX(K530-1,0)/100,"")</f>
        <v/>
      </c>
      <c r="AS530" s="93" t="str">
        <f aca="false">IF(AND(ISNUMBER(E530),ISNUMBER(K530)),IF(K530&gt;0,(E530+AN530*MAX(K530-1,0))/K530,""),"")</f>
        <v/>
      </c>
      <c r="AT530" s="90" t="n">
        <f aca="false">IFERROR(IF(AND(Y530=1,ROW()&lt;&gt;스왑분석!$C$12+1,ABS(K530-INDEX($K$2:$K$601,스왑분석!$C$12))&lt;=스왑분석!$C$5,ISERROR(SEARCH("FRN",AP530)),ISERROR(SEARCH("BBB0미만",AP530))),IF(AND(OR(스왑분석!$C$6="N",L530=INDEX($L$2:$L$601,스왑분석!$C$12)),OR(스왑분석!$C$7="N",N530=INDEX($N$2:$N$601,스왑분석!$C$12)),OR(스왑분석!$C$8="N",AO530=0),E530-INDEX($E$2:$E$601,스왑분석!$C$12)&gt;=스왑분석!$C$9),E530-INDEX($E$2:$E$601,스왑분석!$C$12)+ROW()/1000000000,-999),-999),-999)</f>
        <v>-999</v>
      </c>
      <c r="AU530" s="90" t="n">
        <f aca="false">IF(AND(Y530=1,AO530&gt;0,AL530="Rich"),-AK530+ROW()/1000000000,-999)</f>
        <v>-999</v>
      </c>
    </row>
    <row r="531" customFormat="false" ht="15" hidden="false" customHeight="false" outlineLevel="0" collapsed="false">
      <c r="A531" s="83" t="n">
        <f aca="false">IFERROR(IF(INDEX(원자료_시장!$A$1:$BZ$1000,설정!$L$6+ROW()-1,설정!$L$24)&amp;""="0","",INDEX(원자료_시장!$A$1:$BZ$1000,설정!$L$6+ROW()-1,설정!$L$24)),"")</f>
        <v>0</v>
      </c>
      <c r="B531" s="83" t="n">
        <f aca="false">IFERROR(IF(INDEX(원자료_시장!$A$1:$BZ$1000,설정!$L$6+ROW()-1,설정!$L$37)&amp;""="0","",INDEX(원자료_시장!$A$1:$BZ$1000,설정!$L$6+ROW()-1,설정!$L$37)),"")</f>
        <v>0</v>
      </c>
      <c r="C531" s="83" t="n">
        <f aca="false">IFERROR(IF(INDEX(원자료_시장!$A$1:$BZ$1000,설정!$L$6+ROW()-1,설정!$L$25)&amp;""="0","",INDEX(원자료_시장!$A$1:$BZ$1000,설정!$L$6+ROW()-1,설정!$L$25)),"")</f>
        <v>0</v>
      </c>
      <c r="D531" s="85" t="str">
        <f aca="false">IFERROR(IF(ISNUMBER(INDEX(원자료_시장!$A$1:$BZ$1000,설정!$L$6+ROW()-1,설정!$L$26)),INDEX(원자료_시장!$A$1:$BZ$1000,설정!$L$6+ROW()-1,설정!$L$26),""),"")</f>
        <v/>
      </c>
      <c r="E531" s="97" t="str">
        <f aca="false">IFERROR(IF(ISNUMBER(INDEX(원자료_시장!$A$1:$BZ$1000,설정!$L$6+ROW()-1,설정!$L$27)),INDEX(원자료_시장!$A$1:$BZ$1000,설정!$L$6+ROW()-1,설정!$L$27),""),"")</f>
        <v/>
      </c>
      <c r="F531" s="97" t="str">
        <f aca="false">IFERROR(IF(ISNUMBER(INDEX(원자료_시장!$A$1:$BZ$1000,설정!$L$6+ROW()-1,설정!$L$28)),INDEX(원자료_시장!$A$1:$BZ$1000,설정!$L$6+ROW()-1,설정!$L$28),""),"")</f>
        <v/>
      </c>
      <c r="G531" s="97" t="str">
        <f aca="false">IFERROR(IF(ISNUMBER(INDEX(원자료_시장!$A$1:$BZ$1000,설정!$L$6+ROW()-1,설정!$L$29)),INDEX(원자료_시장!$A$1:$BZ$1000,설정!$L$6+ROW()-1,설정!$L$29),""),"")</f>
        <v/>
      </c>
      <c r="H531" s="97" t="str">
        <f aca="false">IFERROR(IF(ISNUMBER(INDEX(원자료_시장!$A$1:$BZ$1000,설정!$L$6+ROW()-1,설정!$L$30)),INDEX(원자료_시장!$A$1:$BZ$1000,설정!$L$6+ROW()-1,설정!$L$30),""),"")</f>
        <v/>
      </c>
      <c r="I531" s="97" t="str">
        <f aca="false">IFERROR(IF(ISNUMBER(INDEX(원자료_시장!$A$1:$BZ$1000,설정!$L$6+ROW()-1,설정!$L$31)),INDEX(원자료_시장!$A$1:$BZ$1000,설정!$L$6+ROW()-1,설정!$L$31),""),"")</f>
        <v/>
      </c>
      <c r="J531" s="97" t="str">
        <f aca="false">IFERROR(IF(ISNUMBER(INDEX(원자료_시장!$A$1:$BZ$1000,설정!$L$6+ROW()-1,설정!$L$32)),INDEX(원자료_시장!$A$1:$BZ$1000,설정!$L$6+ROW()-1,설정!$L$32),""),"")</f>
        <v/>
      </c>
      <c r="K531" s="85" t="str">
        <f aca="false">IFERROR(IF(ISNUMBER(INDEX(원자료_시장!$A$1:$BZ$1000,설정!$L$6+ROW()-1,설정!$L$33)),INDEX(원자료_시장!$A$1:$BZ$1000,설정!$L$6+ROW()-1,설정!$L$33),""),"")</f>
        <v/>
      </c>
      <c r="L531" s="83" t="n">
        <f aca="false">IFERROR(IF(INDEX(원자료_시장!$A$1:$BZ$1000,설정!$L$6+ROW()-1,설정!$L$34)&amp;""="0","",INDEX(원자료_시장!$A$1:$BZ$1000,설정!$L$6+ROW()-1,설정!$L$34)),"")</f>
        <v>0</v>
      </c>
      <c r="M531" s="83" t="n">
        <f aca="false">IFERROR(IF(INDEX(원자료_시장!$A$1:$BZ$1000,설정!$L$6+ROW()-1,설정!$L$35)&amp;""="0","",INDEX(원자료_시장!$A$1:$BZ$1000,설정!$L$6+ROW()-1,설정!$L$35)),"")</f>
        <v>0</v>
      </c>
      <c r="N531" s="83" t="n">
        <f aca="false">IFERROR(IF(INDEX(원자료_시장!$A$1:$BZ$1000,설정!$L$6+ROW()-1,설정!$L$36)&amp;""="0","",INDEX(원자료_시장!$A$1:$BZ$1000,설정!$L$6+ROW()-1,설정!$L$36)),"")</f>
        <v>0</v>
      </c>
      <c r="O531" s="43" t="str">
        <f aca="false">IF($A531="","",UPPER(LEFT($A531,FIND(" ",$A531&amp;" ")-1)))</f>
        <v/>
      </c>
      <c r="P531" s="43" t="str">
        <f aca="false">IF($A531="","",TRIM(RIGHT(SUBSTITUTE(TRIM($A531)," ",REPT(" ",30)),30)))</f>
        <v/>
      </c>
      <c r="Q531" s="98" t="str">
        <f aca="false">IF($A531="","",IFERROR(DATE(IF(LEN(P531)=8,2000+VALUE(RIGHT(P531,2)),VALUE(RIGHT(P531,4))),VALUE(LEFT(P531,2)),VALUE(MID(P531,4,2))),""))</f>
        <v/>
      </c>
      <c r="R531" s="89" t="n">
        <f aca="false">IF($A531="",0,IF(ISNUMBER(SEARCH("Float",$A531)),1,0))</f>
        <v>0</v>
      </c>
      <c r="S531" s="43" t="str">
        <f aca="false">IF($A531="","",TRIM(MID($A531,LEN(O531)+2,LEN($A531)-LEN(O531)-LEN(P531)-1)))</f>
        <v/>
      </c>
      <c r="T531" s="92" t="str">
        <f aca="false">IF(OR($A531="",R531=1),"",IFERROR(IF(ISNUMBER(FIND("/",S531)),IF(ISNUMBER(FIND(" ",S531)),VALUE(LEFT(S531,FIND(" ",S531)-1))+VALUE(MID(S531,FIND(" ",S531)+1,FIND("/",S531)-FIND(" ",S531)-1))/VALUE(MID(S531,FIND("/",S531)+1,9)),VALUE(LEFT(S531,FIND("/",S531)-1))/VALUE(MID(S531,FIND("/",S531)+1,9))),VALUE(S531)),""))</f>
        <v/>
      </c>
      <c r="U531" s="43" t="str">
        <f aca="false">IF(OR($A531="",NOT(ISNUMBER(Q531))),"",TEXT(Q531,"yyyymmdd")&amp;"|"&amp;IF(R531=1,"F",TEXT(T531,"0.000")))</f>
        <v/>
      </c>
      <c r="V531" s="43" t="str">
        <f aca="false">IF(U531="","",O531&amp;"|"&amp;U531)</f>
        <v/>
      </c>
      <c r="W531" s="43" t="str">
        <f aca="false">IF($A531="","",IFERROR(IF(VLOOKUP(O531,매핑!$A$4:$E$92,3,0)="","미분류",VLOOKUP(O531,매핑!$A$4:$E$92,3,0)),"미분류"))</f>
        <v/>
      </c>
      <c r="X531" s="89" t="n">
        <f aca="false">IF($A531="",0,IF(O531="T",1,0))</f>
        <v>0</v>
      </c>
      <c r="Y531" s="89" t="n">
        <f aca="false">IF($A531="",0,IF(AND(C531="USD",X531=0,ISNUMBER(E531),ISNUMBER(K531)),IF(K531&gt;=설정!$C$8,1,0),0))</f>
        <v>0</v>
      </c>
      <c r="Z531" s="43" t="str">
        <f aca="false">IF($A531="","",N531&amp;"|"&amp;L531)</f>
        <v/>
      </c>
      <c r="AA531" s="92" t="n">
        <f aca="false">IF(Y531=1,LN(K531),0)</f>
        <v>0</v>
      </c>
      <c r="AB531" s="93" t="n">
        <f aca="false">IF(Y531=1,E531,0)</f>
        <v>0</v>
      </c>
      <c r="AC531" s="89" t="n">
        <f aca="false">IF(Y531=1,COUNTIFS($Z$2:$Z$601,Z531,$Y$2:$Y$601,1),0)</f>
        <v>0</v>
      </c>
      <c r="AD531" s="89" t="n">
        <f aca="false">IF(Y531=1,COUNTIFS($N$2:$N$601,N531,$Y$2:$Y$601,1),0)</f>
        <v>0</v>
      </c>
      <c r="AE531" s="43" t="str">
        <f aca="false">IF(Y531&lt;&gt;1,"",IF(AND(AC531&gt;=설정!$C$7,ISNUMBER(MATCH(Z531,피어커브!$A:$A,0))),Z531,IF(AND(AD531&gt;=설정!$C$7,ISNUMBER(MATCH(N531&amp;"|전체",피어커브!$A:$A,0))),N531&amp;"|전체","전체|전체")))</f>
        <v/>
      </c>
      <c r="AF531" s="93" t="str">
        <f aca="false">IF(AE531="","",INDEX(피어커브!$K:$K,MATCH(AE531,피어커브!$A:$A,0)))</f>
        <v/>
      </c>
      <c r="AG531" s="93" t="str">
        <f aca="false">IF(AE531="","",INDEX(피어커브!$J:$J,MATCH(AE531,피어커브!$A:$A,0)))</f>
        <v/>
      </c>
      <c r="AH531" s="93" t="str">
        <f aca="false">IF(AE531="","",INDEX(피어커브!$L:$L,MATCH(AE531,피어커브!$A:$A,0)))</f>
        <v/>
      </c>
      <c r="AI531" s="93" t="str">
        <f aca="false">IF(AE531="","",AF531+AG531*AA531)</f>
        <v/>
      </c>
      <c r="AJ531" s="96" t="str">
        <f aca="false">IF(AE531="","",E531-AI531)</f>
        <v/>
      </c>
      <c r="AK531" s="95" t="str">
        <f aca="false">IF(AE531="","",IF(ISNUMBER(AH531),IF(AH531&gt;0,AJ531/AH531,""),""))</f>
        <v/>
      </c>
      <c r="AL531" s="43" t="str">
        <f aca="false">IF(AK531="","-",IF(AK531&gt;=설정!$C$6,"Cheap",IF(AK531&lt;=-설정!$C$6,"Rich","Fair")))</f>
        <v>-</v>
      </c>
      <c r="AM531" s="96" t="str">
        <f aca="false">IF(AE531="","",AJ531-AVERAGEIFS($AJ$2:$AJ$601,$B$2:$B$601,B531,$Y$2:$Y$601,1))</f>
        <v/>
      </c>
      <c r="AN531" s="93" t="n">
        <f aca="false">IF(AE531="",0,IF(K531&gt;1+설정!$C$8,AG531*(AA531-LN(K531-1)),0))</f>
        <v>0</v>
      </c>
      <c r="AO531" s="99" t="n">
        <f aca="false">IF($A531="",0,SUMIFS(보유분석!$AA$2:$AA$801,보유분석!$AB$2:$AB$801,ROW(),보유분석!$AC$2:$AC$801,1))</f>
        <v>0</v>
      </c>
      <c r="AP531" s="43" t="str">
        <f aca="false">IF($A531="","",TRIM(IF(R531=1,"FRN ","")&amp;IF(IFERROR(VLOOKUP(M531,설정!$A$15:$D$47,4,0),0)&gt;=10,IF(IFERROR(VLOOKUP(M531,설정!$A$15:$D$47,4,0),0)&lt;99,"BBB0미만 ",""),"")&amp;IF(OR(M531="",M531="NR"),"등급미입력 ","")&amp;IF(C531&lt;&gt;"USD","비USD ","")))</f>
        <v/>
      </c>
      <c r="AQ531" s="90" t="n">
        <f aca="false">IF(AND(Y531=1,AL531="Cheap"),IF(AND(ISERROR(SEARCH("FRN",AP531)),ISERROR(SEARCH("BBB0미만",AP531))),AK531+ROW()/1000000000,-999),-999)</f>
        <v>-999</v>
      </c>
      <c r="AR531" s="92" t="str">
        <f aca="false">IF(AND(ISNUMBER(D531),ISNUMBER(K531)),D531+AN531*MAX(K531-1,0)/100,"")</f>
        <v/>
      </c>
      <c r="AS531" s="93" t="str">
        <f aca="false">IF(AND(ISNUMBER(E531),ISNUMBER(K531)),IF(K531&gt;0,(E531+AN531*MAX(K531-1,0))/K531,""),"")</f>
        <v/>
      </c>
      <c r="AT531" s="90" t="n">
        <f aca="false">IFERROR(IF(AND(Y531=1,ROW()&lt;&gt;스왑분석!$C$12+1,ABS(K531-INDEX($K$2:$K$601,스왑분석!$C$12))&lt;=스왑분석!$C$5,ISERROR(SEARCH("FRN",AP531)),ISERROR(SEARCH("BBB0미만",AP531))),IF(AND(OR(스왑분석!$C$6="N",L531=INDEX($L$2:$L$601,스왑분석!$C$12)),OR(스왑분석!$C$7="N",N531=INDEX($N$2:$N$601,스왑분석!$C$12)),OR(스왑분석!$C$8="N",AO531=0),E531-INDEX($E$2:$E$601,스왑분석!$C$12)&gt;=스왑분석!$C$9),E531-INDEX($E$2:$E$601,스왑분석!$C$12)+ROW()/1000000000,-999),-999),-999)</f>
        <v>-999</v>
      </c>
      <c r="AU531" s="90" t="n">
        <f aca="false">IF(AND(Y531=1,AO531&gt;0,AL531="Rich"),-AK531+ROW()/1000000000,-999)</f>
        <v>-999</v>
      </c>
    </row>
    <row r="532" customFormat="false" ht="15" hidden="false" customHeight="false" outlineLevel="0" collapsed="false">
      <c r="A532" s="83" t="n">
        <f aca="false">IFERROR(IF(INDEX(원자료_시장!$A$1:$BZ$1000,설정!$L$6+ROW()-1,설정!$L$24)&amp;""="0","",INDEX(원자료_시장!$A$1:$BZ$1000,설정!$L$6+ROW()-1,설정!$L$24)),"")</f>
        <v>0</v>
      </c>
      <c r="B532" s="83" t="n">
        <f aca="false">IFERROR(IF(INDEX(원자료_시장!$A$1:$BZ$1000,설정!$L$6+ROW()-1,설정!$L$37)&amp;""="0","",INDEX(원자료_시장!$A$1:$BZ$1000,설정!$L$6+ROW()-1,설정!$L$37)),"")</f>
        <v>0</v>
      </c>
      <c r="C532" s="83" t="n">
        <f aca="false">IFERROR(IF(INDEX(원자료_시장!$A$1:$BZ$1000,설정!$L$6+ROW()-1,설정!$L$25)&amp;""="0","",INDEX(원자료_시장!$A$1:$BZ$1000,설정!$L$6+ROW()-1,설정!$L$25)),"")</f>
        <v>0</v>
      </c>
      <c r="D532" s="85" t="str">
        <f aca="false">IFERROR(IF(ISNUMBER(INDEX(원자료_시장!$A$1:$BZ$1000,설정!$L$6+ROW()-1,설정!$L$26)),INDEX(원자료_시장!$A$1:$BZ$1000,설정!$L$6+ROW()-1,설정!$L$26),""),"")</f>
        <v/>
      </c>
      <c r="E532" s="97" t="str">
        <f aca="false">IFERROR(IF(ISNUMBER(INDEX(원자료_시장!$A$1:$BZ$1000,설정!$L$6+ROW()-1,설정!$L$27)),INDEX(원자료_시장!$A$1:$BZ$1000,설정!$L$6+ROW()-1,설정!$L$27),""),"")</f>
        <v/>
      </c>
      <c r="F532" s="97" t="str">
        <f aca="false">IFERROR(IF(ISNUMBER(INDEX(원자료_시장!$A$1:$BZ$1000,설정!$L$6+ROW()-1,설정!$L$28)),INDEX(원자료_시장!$A$1:$BZ$1000,설정!$L$6+ROW()-1,설정!$L$28),""),"")</f>
        <v/>
      </c>
      <c r="G532" s="97" t="str">
        <f aca="false">IFERROR(IF(ISNUMBER(INDEX(원자료_시장!$A$1:$BZ$1000,설정!$L$6+ROW()-1,설정!$L$29)),INDEX(원자료_시장!$A$1:$BZ$1000,설정!$L$6+ROW()-1,설정!$L$29),""),"")</f>
        <v/>
      </c>
      <c r="H532" s="97" t="str">
        <f aca="false">IFERROR(IF(ISNUMBER(INDEX(원자료_시장!$A$1:$BZ$1000,설정!$L$6+ROW()-1,설정!$L$30)),INDEX(원자료_시장!$A$1:$BZ$1000,설정!$L$6+ROW()-1,설정!$L$30),""),"")</f>
        <v/>
      </c>
      <c r="I532" s="97" t="str">
        <f aca="false">IFERROR(IF(ISNUMBER(INDEX(원자료_시장!$A$1:$BZ$1000,설정!$L$6+ROW()-1,설정!$L$31)),INDEX(원자료_시장!$A$1:$BZ$1000,설정!$L$6+ROW()-1,설정!$L$31),""),"")</f>
        <v/>
      </c>
      <c r="J532" s="97" t="str">
        <f aca="false">IFERROR(IF(ISNUMBER(INDEX(원자료_시장!$A$1:$BZ$1000,설정!$L$6+ROW()-1,설정!$L$32)),INDEX(원자료_시장!$A$1:$BZ$1000,설정!$L$6+ROW()-1,설정!$L$32),""),"")</f>
        <v/>
      </c>
      <c r="K532" s="85" t="str">
        <f aca="false">IFERROR(IF(ISNUMBER(INDEX(원자료_시장!$A$1:$BZ$1000,설정!$L$6+ROW()-1,설정!$L$33)),INDEX(원자료_시장!$A$1:$BZ$1000,설정!$L$6+ROW()-1,설정!$L$33),""),"")</f>
        <v/>
      </c>
      <c r="L532" s="83" t="n">
        <f aca="false">IFERROR(IF(INDEX(원자료_시장!$A$1:$BZ$1000,설정!$L$6+ROW()-1,설정!$L$34)&amp;""="0","",INDEX(원자료_시장!$A$1:$BZ$1000,설정!$L$6+ROW()-1,설정!$L$34)),"")</f>
        <v>0</v>
      </c>
      <c r="M532" s="83" t="n">
        <f aca="false">IFERROR(IF(INDEX(원자료_시장!$A$1:$BZ$1000,설정!$L$6+ROW()-1,설정!$L$35)&amp;""="0","",INDEX(원자료_시장!$A$1:$BZ$1000,설정!$L$6+ROW()-1,설정!$L$35)),"")</f>
        <v>0</v>
      </c>
      <c r="N532" s="83" t="n">
        <f aca="false">IFERROR(IF(INDEX(원자료_시장!$A$1:$BZ$1000,설정!$L$6+ROW()-1,설정!$L$36)&amp;""="0","",INDEX(원자료_시장!$A$1:$BZ$1000,설정!$L$6+ROW()-1,설정!$L$36)),"")</f>
        <v>0</v>
      </c>
      <c r="O532" s="43" t="str">
        <f aca="false">IF($A532="","",UPPER(LEFT($A532,FIND(" ",$A532&amp;" ")-1)))</f>
        <v/>
      </c>
      <c r="P532" s="43" t="str">
        <f aca="false">IF($A532="","",TRIM(RIGHT(SUBSTITUTE(TRIM($A532)," ",REPT(" ",30)),30)))</f>
        <v/>
      </c>
      <c r="Q532" s="98" t="str">
        <f aca="false">IF($A532="","",IFERROR(DATE(IF(LEN(P532)=8,2000+VALUE(RIGHT(P532,2)),VALUE(RIGHT(P532,4))),VALUE(LEFT(P532,2)),VALUE(MID(P532,4,2))),""))</f>
        <v/>
      </c>
      <c r="R532" s="89" t="n">
        <f aca="false">IF($A532="",0,IF(ISNUMBER(SEARCH("Float",$A532)),1,0))</f>
        <v>0</v>
      </c>
      <c r="S532" s="43" t="str">
        <f aca="false">IF($A532="","",TRIM(MID($A532,LEN(O532)+2,LEN($A532)-LEN(O532)-LEN(P532)-1)))</f>
        <v/>
      </c>
      <c r="T532" s="92" t="str">
        <f aca="false">IF(OR($A532="",R532=1),"",IFERROR(IF(ISNUMBER(FIND("/",S532)),IF(ISNUMBER(FIND(" ",S532)),VALUE(LEFT(S532,FIND(" ",S532)-1))+VALUE(MID(S532,FIND(" ",S532)+1,FIND("/",S532)-FIND(" ",S532)-1))/VALUE(MID(S532,FIND("/",S532)+1,9)),VALUE(LEFT(S532,FIND("/",S532)-1))/VALUE(MID(S532,FIND("/",S532)+1,9))),VALUE(S532)),""))</f>
        <v/>
      </c>
      <c r="U532" s="43" t="str">
        <f aca="false">IF(OR($A532="",NOT(ISNUMBER(Q532))),"",TEXT(Q532,"yyyymmdd")&amp;"|"&amp;IF(R532=1,"F",TEXT(T532,"0.000")))</f>
        <v/>
      </c>
      <c r="V532" s="43" t="str">
        <f aca="false">IF(U532="","",O532&amp;"|"&amp;U532)</f>
        <v/>
      </c>
      <c r="W532" s="43" t="str">
        <f aca="false">IF($A532="","",IFERROR(IF(VLOOKUP(O532,매핑!$A$4:$E$92,3,0)="","미분류",VLOOKUP(O532,매핑!$A$4:$E$92,3,0)),"미분류"))</f>
        <v/>
      </c>
      <c r="X532" s="89" t="n">
        <f aca="false">IF($A532="",0,IF(O532="T",1,0))</f>
        <v>0</v>
      </c>
      <c r="Y532" s="89" t="n">
        <f aca="false">IF($A532="",0,IF(AND(C532="USD",X532=0,ISNUMBER(E532),ISNUMBER(K532)),IF(K532&gt;=설정!$C$8,1,0),0))</f>
        <v>0</v>
      </c>
      <c r="Z532" s="43" t="str">
        <f aca="false">IF($A532="","",N532&amp;"|"&amp;L532)</f>
        <v/>
      </c>
      <c r="AA532" s="92" t="n">
        <f aca="false">IF(Y532=1,LN(K532),0)</f>
        <v>0</v>
      </c>
      <c r="AB532" s="93" t="n">
        <f aca="false">IF(Y532=1,E532,0)</f>
        <v>0</v>
      </c>
      <c r="AC532" s="89" t="n">
        <f aca="false">IF(Y532=1,COUNTIFS($Z$2:$Z$601,Z532,$Y$2:$Y$601,1),0)</f>
        <v>0</v>
      </c>
      <c r="AD532" s="89" t="n">
        <f aca="false">IF(Y532=1,COUNTIFS($N$2:$N$601,N532,$Y$2:$Y$601,1),0)</f>
        <v>0</v>
      </c>
      <c r="AE532" s="43" t="str">
        <f aca="false">IF(Y532&lt;&gt;1,"",IF(AND(AC532&gt;=설정!$C$7,ISNUMBER(MATCH(Z532,피어커브!$A:$A,0))),Z532,IF(AND(AD532&gt;=설정!$C$7,ISNUMBER(MATCH(N532&amp;"|전체",피어커브!$A:$A,0))),N532&amp;"|전체","전체|전체")))</f>
        <v/>
      </c>
      <c r="AF532" s="93" t="str">
        <f aca="false">IF(AE532="","",INDEX(피어커브!$K:$K,MATCH(AE532,피어커브!$A:$A,0)))</f>
        <v/>
      </c>
      <c r="AG532" s="93" t="str">
        <f aca="false">IF(AE532="","",INDEX(피어커브!$J:$J,MATCH(AE532,피어커브!$A:$A,0)))</f>
        <v/>
      </c>
      <c r="AH532" s="93" t="str">
        <f aca="false">IF(AE532="","",INDEX(피어커브!$L:$L,MATCH(AE532,피어커브!$A:$A,0)))</f>
        <v/>
      </c>
      <c r="AI532" s="93" t="str">
        <f aca="false">IF(AE532="","",AF532+AG532*AA532)</f>
        <v/>
      </c>
      <c r="AJ532" s="96" t="str">
        <f aca="false">IF(AE532="","",E532-AI532)</f>
        <v/>
      </c>
      <c r="AK532" s="95" t="str">
        <f aca="false">IF(AE532="","",IF(ISNUMBER(AH532),IF(AH532&gt;0,AJ532/AH532,""),""))</f>
        <v/>
      </c>
      <c r="AL532" s="43" t="str">
        <f aca="false">IF(AK532="","-",IF(AK532&gt;=설정!$C$6,"Cheap",IF(AK532&lt;=-설정!$C$6,"Rich","Fair")))</f>
        <v>-</v>
      </c>
      <c r="AM532" s="96" t="str">
        <f aca="false">IF(AE532="","",AJ532-AVERAGEIFS($AJ$2:$AJ$601,$B$2:$B$601,B532,$Y$2:$Y$601,1))</f>
        <v/>
      </c>
      <c r="AN532" s="93" t="n">
        <f aca="false">IF(AE532="",0,IF(K532&gt;1+설정!$C$8,AG532*(AA532-LN(K532-1)),0))</f>
        <v>0</v>
      </c>
      <c r="AO532" s="99" t="n">
        <f aca="false">IF($A532="",0,SUMIFS(보유분석!$AA$2:$AA$801,보유분석!$AB$2:$AB$801,ROW(),보유분석!$AC$2:$AC$801,1))</f>
        <v>0</v>
      </c>
      <c r="AP532" s="43" t="str">
        <f aca="false">IF($A532="","",TRIM(IF(R532=1,"FRN ","")&amp;IF(IFERROR(VLOOKUP(M532,설정!$A$15:$D$47,4,0),0)&gt;=10,IF(IFERROR(VLOOKUP(M532,설정!$A$15:$D$47,4,0),0)&lt;99,"BBB0미만 ",""),"")&amp;IF(OR(M532="",M532="NR"),"등급미입력 ","")&amp;IF(C532&lt;&gt;"USD","비USD ","")))</f>
        <v/>
      </c>
      <c r="AQ532" s="90" t="n">
        <f aca="false">IF(AND(Y532=1,AL532="Cheap"),IF(AND(ISERROR(SEARCH("FRN",AP532)),ISERROR(SEARCH("BBB0미만",AP532))),AK532+ROW()/1000000000,-999),-999)</f>
        <v>-999</v>
      </c>
      <c r="AR532" s="92" t="str">
        <f aca="false">IF(AND(ISNUMBER(D532),ISNUMBER(K532)),D532+AN532*MAX(K532-1,0)/100,"")</f>
        <v/>
      </c>
      <c r="AS532" s="93" t="str">
        <f aca="false">IF(AND(ISNUMBER(E532),ISNUMBER(K532)),IF(K532&gt;0,(E532+AN532*MAX(K532-1,0))/K532,""),"")</f>
        <v/>
      </c>
      <c r="AT532" s="90" t="n">
        <f aca="false">IFERROR(IF(AND(Y532=1,ROW()&lt;&gt;스왑분석!$C$12+1,ABS(K532-INDEX($K$2:$K$601,스왑분석!$C$12))&lt;=스왑분석!$C$5,ISERROR(SEARCH("FRN",AP532)),ISERROR(SEARCH("BBB0미만",AP532))),IF(AND(OR(스왑분석!$C$6="N",L532=INDEX($L$2:$L$601,스왑분석!$C$12)),OR(스왑분석!$C$7="N",N532=INDEX($N$2:$N$601,스왑분석!$C$12)),OR(스왑분석!$C$8="N",AO532=0),E532-INDEX($E$2:$E$601,스왑분석!$C$12)&gt;=스왑분석!$C$9),E532-INDEX($E$2:$E$601,스왑분석!$C$12)+ROW()/1000000000,-999),-999),-999)</f>
        <v>-999</v>
      </c>
      <c r="AU532" s="90" t="n">
        <f aca="false">IF(AND(Y532=1,AO532&gt;0,AL532="Rich"),-AK532+ROW()/1000000000,-999)</f>
        <v>-999</v>
      </c>
    </row>
    <row r="533" customFormat="false" ht="15" hidden="false" customHeight="false" outlineLevel="0" collapsed="false">
      <c r="A533" s="83" t="n">
        <f aca="false">IFERROR(IF(INDEX(원자료_시장!$A$1:$BZ$1000,설정!$L$6+ROW()-1,설정!$L$24)&amp;""="0","",INDEX(원자료_시장!$A$1:$BZ$1000,설정!$L$6+ROW()-1,설정!$L$24)),"")</f>
        <v>0</v>
      </c>
      <c r="B533" s="83" t="n">
        <f aca="false">IFERROR(IF(INDEX(원자료_시장!$A$1:$BZ$1000,설정!$L$6+ROW()-1,설정!$L$37)&amp;""="0","",INDEX(원자료_시장!$A$1:$BZ$1000,설정!$L$6+ROW()-1,설정!$L$37)),"")</f>
        <v>0</v>
      </c>
      <c r="C533" s="83" t="n">
        <f aca="false">IFERROR(IF(INDEX(원자료_시장!$A$1:$BZ$1000,설정!$L$6+ROW()-1,설정!$L$25)&amp;""="0","",INDEX(원자료_시장!$A$1:$BZ$1000,설정!$L$6+ROW()-1,설정!$L$25)),"")</f>
        <v>0</v>
      </c>
      <c r="D533" s="85" t="str">
        <f aca="false">IFERROR(IF(ISNUMBER(INDEX(원자료_시장!$A$1:$BZ$1000,설정!$L$6+ROW()-1,설정!$L$26)),INDEX(원자료_시장!$A$1:$BZ$1000,설정!$L$6+ROW()-1,설정!$L$26),""),"")</f>
        <v/>
      </c>
      <c r="E533" s="97" t="str">
        <f aca="false">IFERROR(IF(ISNUMBER(INDEX(원자료_시장!$A$1:$BZ$1000,설정!$L$6+ROW()-1,설정!$L$27)),INDEX(원자료_시장!$A$1:$BZ$1000,설정!$L$6+ROW()-1,설정!$L$27),""),"")</f>
        <v/>
      </c>
      <c r="F533" s="97" t="str">
        <f aca="false">IFERROR(IF(ISNUMBER(INDEX(원자료_시장!$A$1:$BZ$1000,설정!$L$6+ROW()-1,설정!$L$28)),INDEX(원자료_시장!$A$1:$BZ$1000,설정!$L$6+ROW()-1,설정!$L$28),""),"")</f>
        <v/>
      </c>
      <c r="G533" s="97" t="str">
        <f aca="false">IFERROR(IF(ISNUMBER(INDEX(원자료_시장!$A$1:$BZ$1000,설정!$L$6+ROW()-1,설정!$L$29)),INDEX(원자료_시장!$A$1:$BZ$1000,설정!$L$6+ROW()-1,설정!$L$29),""),"")</f>
        <v/>
      </c>
      <c r="H533" s="97" t="str">
        <f aca="false">IFERROR(IF(ISNUMBER(INDEX(원자료_시장!$A$1:$BZ$1000,설정!$L$6+ROW()-1,설정!$L$30)),INDEX(원자료_시장!$A$1:$BZ$1000,설정!$L$6+ROW()-1,설정!$L$30),""),"")</f>
        <v/>
      </c>
      <c r="I533" s="97" t="str">
        <f aca="false">IFERROR(IF(ISNUMBER(INDEX(원자료_시장!$A$1:$BZ$1000,설정!$L$6+ROW()-1,설정!$L$31)),INDEX(원자료_시장!$A$1:$BZ$1000,설정!$L$6+ROW()-1,설정!$L$31),""),"")</f>
        <v/>
      </c>
      <c r="J533" s="97" t="str">
        <f aca="false">IFERROR(IF(ISNUMBER(INDEX(원자료_시장!$A$1:$BZ$1000,설정!$L$6+ROW()-1,설정!$L$32)),INDEX(원자료_시장!$A$1:$BZ$1000,설정!$L$6+ROW()-1,설정!$L$32),""),"")</f>
        <v/>
      </c>
      <c r="K533" s="85" t="str">
        <f aca="false">IFERROR(IF(ISNUMBER(INDEX(원자료_시장!$A$1:$BZ$1000,설정!$L$6+ROW()-1,설정!$L$33)),INDEX(원자료_시장!$A$1:$BZ$1000,설정!$L$6+ROW()-1,설정!$L$33),""),"")</f>
        <v/>
      </c>
      <c r="L533" s="83" t="n">
        <f aca="false">IFERROR(IF(INDEX(원자료_시장!$A$1:$BZ$1000,설정!$L$6+ROW()-1,설정!$L$34)&amp;""="0","",INDEX(원자료_시장!$A$1:$BZ$1000,설정!$L$6+ROW()-1,설정!$L$34)),"")</f>
        <v>0</v>
      </c>
      <c r="M533" s="83" t="n">
        <f aca="false">IFERROR(IF(INDEX(원자료_시장!$A$1:$BZ$1000,설정!$L$6+ROW()-1,설정!$L$35)&amp;""="0","",INDEX(원자료_시장!$A$1:$BZ$1000,설정!$L$6+ROW()-1,설정!$L$35)),"")</f>
        <v>0</v>
      </c>
      <c r="N533" s="83" t="n">
        <f aca="false">IFERROR(IF(INDEX(원자료_시장!$A$1:$BZ$1000,설정!$L$6+ROW()-1,설정!$L$36)&amp;""="0","",INDEX(원자료_시장!$A$1:$BZ$1000,설정!$L$6+ROW()-1,설정!$L$36)),"")</f>
        <v>0</v>
      </c>
      <c r="O533" s="43" t="str">
        <f aca="false">IF($A533="","",UPPER(LEFT($A533,FIND(" ",$A533&amp;" ")-1)))</f>
        <v/>
      </c>
      <c r="P533" s="43" t="str">
        <f aca="false">IF($A533="","",TRIM(RIGHT(SUBSTITUTE(TRIM($A533)," ",REPT(" ",30)),30)))</f>
        <v/>
      </c>
      <c r="Q533" s="98" t="str">
        <f aca="false">IF($A533="","",IFERROR(DATE(IF(LEN(P533)=8,2000+VALUE(RIGHT(P533,2)),VALUE(RIGHT(P533,4))),VALUE(LEFT(P533,2)),VALUE(MID(P533,4,2))),""))</f>
        <v/>
      </c>
      <c r="R533" s="89" t="n">
        <f aca="false">IF($A533="",0,IF(ISNUMBER(SEARCH("Float",$A533)),1,0))</f>
        <v>0</v>
      </c>
      <c r="S533" s="43" t="str">
        <f aca="false">IF($A533="","",TRIM(MID($A533,LEN(O533)+2,LEN($A533)-LEN(O533)-LEN(P533)-1)))</f>
        <v/>
      </c>
      <c r="T533" s="92" t="str">
        <f aca="false">IF(OR($A533="",R533=1),"",IFERROR(IF(ISNUMBER(FIND("/",S533)),IF(ISNUMBER(FIND(" ",S533)),VALUE(LEFT(S533,FIND(" ",S533)-1))+VALUE(MID(S533,FIND(" ",S533)+1,FIND("/",S533)-FIND(" ",S533)-1))/VALUE(MID(S533,FIND("/",S533)+1,9)),VALUE(LEFT(S533,FIND("/",S533)-1))/VALUE(MID(S533,FIND("/",S533)+1,9))),VALUE(S533)),""))</f>
        <v/>
      </c>
      <c r="U533" s="43" t="str">
        <f aca="false">IF(OR($A533="",NOT(ISNUMBER(Q533))),"",TEXT(Q533,"yyyymmdd")&amp;"|"&amp;IF(R533=1,"F",TEXT(T533,"0.000")))</f>
        <v/>
      </c>
      <c r="V533" s="43" t="str">
        <f aca="false">IF(U533="","",O533&amp;"|"&amp;U533)</f>
        <v/>
      </c>
      <c r="W533" s="43" t="str">
        <f aca="false">IF($A533="","",IFERROR(IF(VLOOKUP(O533,매핑!$A$4:$E$92,3,0)="","미분류",VLOOKUP(O533,매핑!$A$4:$E$92,3,0)),"미분류"))</f>
        <v/>
      </c>
      <c r="X533" s="89" t="n">
        <f aca="false">IF($A533="",0,IF(O533="T",1,0))</f>
        <v>0</v>
      </c>
      <c r="Y533" s="89" t="n">
        <f aca="false">IF($A533="",0,IF(AND(C533="USD",X533=0,ISNUMBER(E533),ISNUMBER(K533)),IF(K533&gt;=설정!$C$8,1,0),0))</f>
        <v>0</v>
      </c>
      <c r="Z533" s="43" t="str">
        <f aca="false">IF($A533="","",N533&amp;"|"&amp;L533)</f>
        <v/>
      </c>
      <c r="AA533" s="92" t="n">
        <f aca="false">IF(Y533=1,LN(K533),0)</f>
        <v>0</v>
      </c>
      <c r="AB533" s="93" t="n">
        <f aca="false">IF(Y533=1,E533,0)</f>
        <v>0</v>
      </c>
      <c r="AC533" s="89" t="n">
        <f aca="false">IF(Y533=1,COUNTIFS($Z$2:$Z$601,Z533,$Y$2:$Y$601,1),0)</f>
        <v>0</v>
      </c>
      <c r="AD533" s="89" t="n">
        <f aca="false">IF(Y533=1,COUNTIFS($N$2:$N$601,N533,$Y$2:$Y$601,1),0)</f>
        <v>0</v>
      </c>
      <c r="AE533" s="43" t="str">
        <f aca="false">IF(Y533&lt;&gt;1,"",IF(AND(AC533&gt;=설정!$C$7,ISNUMBER(MATCH(Z533,피어커브!$A:$A,0))),Z533,IF(AND(AD533&gt;=설정!$C$7,ISNUMBER(MATCH(N533&amp;"|전체",피어커브!$A:$A,0))),N533&amp;"|전체","전체|전체")))</f>
        <v/>
      </c>
      <c r="AF533" s="93" t="str">
        <f aca="false">IF(AE533="","",INDEX(피어커브!$K:$K,MATCH(AE533,피어커브!$A:$A,0)))</f>
        <v/>
      </c>
      <c r="AG533" s="93" t="str">
        <f aca="false">IF(AE533="","",INDEX(피어커브!$J:$J,MATCH(AE533,피어커브!$A:$A,0)))</f>
        <v/>
      </c>
      <c r="AH533" s="93" t="str">
        <f aca="false">IF(AE533="","",INDEX(피어커브!$L:$L,MATCH(AE533,피어커브!$A:$A,0)))</f>
        <v/>
      </c>
      <c r="AI533" s="93" t="str">
        <f aca="false">IF(AE533="","",AF533+AG533*AA533)</f>
        <v/>
      </c>
      <c r="AJ533" s="96" t="str">
        <f aca="false">IF(AE533="","",E533-AI533)</f>
        <v/>
      </c>
      <c r="AK533" s="95" t="str">
        <f aca="false">IF(AE533="","",IF(ISNUMBER(AH533),IF(AH533&gt;0,AJ533/AH533,""),""))</f>
        <v/>
      </c>
      <c r="AL533" s="43" t="str">
        <f aca="false">IF(AK533="","-",IF(AK533&gt;=설정!$C$6,"Cheap",IF(AK533&lt;=-설정!$C$6,"Rich","Fair")))</f>
        <v>-</v>
      </c>
      <c r="AM533" s="96" t="str">
        <f aca="false">IF(AE533="","",AJ533-AVERAGEIFS($AJ$2:$AJ$601,$B$2:$B$601,B533,$Y$2:$Y$601,1))</f>
        <v/>
      </c>
      <c r="AN533" s="93" t="n">
        <f aca="false">IF(AE533="",0,IF(K533&gt;1+설정!$C$8,AG533*(AA533-LN(K533-1)),0))</f>
        <v>0</v>
      </c>
      <c r="AO533" s="99" t="n">
        <f aca="false">IF($A533="",0,SUMIFS(보유분석!$AA$2:$AA$801,보유분석!$AB$2:$AB$801,ROW(),보유분석!$AC$2:$AC$801,1))</f>
        <v>0</v>
      </c>
      <c r="AP533" s="43" t="str">
        <f aca="false">IF($A533="","",TRIM(IF(R533=1,"FRN ","")&amp;IF(IFERROR(VLOOKUP(M533,설정!$A$15:$D$47,4,0),0)&gt;=10,IF(IFERROR(VLOOKUP(M533,설정!$A$15:$D$47,4,0),0)&lt;99,"BBB0미만 ",""),"")&amp;IF(OR(M533="",M533="NR"),"등급미입력 ","")&amp;IF(C533&lt;&gt;"USD","비USD ","")))</f>
        <v/>
      </c>
      <c r="AQ533" s="90" t="n">
        <f aca="false">IF(AND(Y533=1,AL533="Cheap"),IF(AND(ISERROR(SEARCH("FRN",AP533)),ISERROR(SEARCH("BBB0미만",AP533))),AK533+ROW()/1000000000,-999),-999)</f>
        <v>-999</v>
      </c>
      <c r="AR533" s="92" t="str">
        <f aca="false">IF(AND(ISNUMBER(D533),ISNUMBER(K533)),D533+AN533*MAX(K533-1,0)/100,"")</f>
        <v/>
      </c>
      <c r="AS533" s="93" t="str">
        <f aca="false">IF(AND(ISNUMBER(E533),ISNUMBER(K533)),IF(K533&gt;0,(E533+AN533*MAX(K533-1,0))/K533,""),"")</f>
        <v/>
      </c>
      <c r="AT533" s="90" t="n">
        <f aca="false">IFERROR(IF(AND(Y533=1,ROW()&lt;&gt;스왑분석!$C$12+1,ABS(K533-INDEX($K$2:$K$601,스왑분석!$C$12))&lt;=스왑분석!$C$5,ISERROR(SEARCH("FRN",AP533)),ISERROR(SEARCH("BBB0미만",AP533))),IF(AND(OR(스왑분석!$C$6="N",L533=INDEX($L$2:$L$601,스왑분석!$C$12)),OR(스왑분석!$C$7="N",N533=INDEX($N$2:$N$601,스왑분석!$C$12)),OR(스왑분석!$C$8="N",AO533=0),E533-INDEX($E$2:$E$601,스왑분석!$C$12)&gt;=스왑분석!$C$9),E533-INDEX($E$2:$E$601,스왑분석!$C$12)+ROW()/1000000000,-999),-999),-999)</f>
        <v>-999</v>
      </c>
      <c r="AU533" s="90" t="n">
        <f aca="false">IF(AND(Y533=1,AO533&gt;0,AL533="Rich"),-AK533+ROW()/1000000000,-999)</f>
        <v>-999</v>
      </c>
    </row>
    <row r="534" customFormat="false" ht="15" hidden="false" customHeight="false" outlineLevel="0" collapsed="false">
      <c r="A534" s="83" t="n">
        <f aca="false">IFERROR(IF(INDEX(원자료_시장!$A$1:$BZ$1000,설정!$L$6+ROW()-1,설정!$L$24)&amp;""="0","",INDEX(원자료_시장!$A$1:$BZ$1000,설정!$L$6+ROW()-1,설정!$L$24)),"")</f>
        <v>0</v>
      </c>
      <c r="B534" s="83" t="n">
        <f aca="false">IFERROR(IF(INDEX(원자료_시장!$A$1:$BZ$1000,설정!$L$6+ROW()-1,설정!$L$37)&amp;""="0","",INDEX(원자료_시장!$A$1:$BZ$1000,설정!$L$6+ROW()-1,설정!$L$37)),"")</f>
        <v>0</v>
      </c>
      <c r="C534" s="83" t="n">
        <f aca="false">IFERROR(IF(INDEX(원자료_시장!$A$1:$BZ$1000,설정!$L$6+ROW()-1,설정!$L$25)&amp;""="0","",INDEX(원자료_시장!$A$1:$BZ$1000,설정!$L$6+ROW()-1,설정!$L$25)),"")</f>
        <v>0</v>
      </c>
      <c r="D534" s="85" t="str">
        <f aca="false">IFERROR(IF(ISNUMBER(INDEX(원자료_시장!$A$1:$BZ$1000,설정!$L$6+ROW()-1,설정!$L$26)),INDEX(원자료_시장!$A$1:$BZ$1000,설정!$L$6+ROW()-1,설정!$L$26),""),"")</f>
        <v/>
      </c>
      <c r="E534" s="97" t="str">
        <f aca="false">IFERROR(IF(ISNUMBER(INDEX(원자료_시장!$A$1:$BZ$1000,설정!$L$6+ROW()-1,설정!$L$27)),INDEX(원자료_시장!$A$1:$BZ$1000,설정!$L$6+ROW()-1,설정!$L$27),""),"")</f>
        <v/>
      </c>
      <c r="F534" s="97" t="str">
        <f aca="false">IFERROR(IF(ISNUMBER(INDEX(원자료_시장!$A$1:$BZ$1000,설정!$L$6+ROW()-1,설정!$L$28)),INDEX(원자료_시장!$A$1:$BZ$1000,설정!$L$6+ROW()-1,설정!$L$28),""),"")</f>
        <v/>
      </c>
      <c r="G534" s="97" t="str">
        <f aca="false">IFERROR(IF(ISNUMBER(INDEX(원자료_시장!$A$1:$BZ$1000,설정!$L$6+ROW()-1,설정!$L$29)),INDEX(원자료_시장!$A$1:$BZ$1000,설정!$L$6+ROW()-1,설정!$L$29),""),"")</f>
        <v/>
      </c>
      <c r="H534" s="97" t="str">
        <f aca="false">IFERROR(IF(ISNUMBER(INDEX(원자료_시장!$A$1:$BZ$1000,설정!$L$6+ROW()-1,설정!$L$30)),INDEX(원자료_시장!$A$1:$BZ$1000,설정!$L$6+ROW()-1,설정!$L$30),""),"")</f>
        <v/>
      </c>
      <c r="I534" s="97" t="str">
        <f aca="false">IFERROR(IF(ISNUMBER(INDEX(원자료_시장!$A$1:$BZ$1000,설정!$L$6+ROW()-1,설정!$L$31)),INDEX(원자료_시장!$A$1:$BZ$1000,설정!$L$6+ROW()-1,설정!$L$31),""),"")</f>
        <v/>
      </c>
      <c r="J534" s="97" t="str">
        <f aca="false">IFERROR(IF(ISNUMBER(INDEX(원자료_시장!$A$1:$BZ$1000,설정!$L$6+ROW()-1,설정!$L$32)),INDEX(원자료_시장!$A$1:$BZ$1000,설정!$L$6+ROW()-1,설정!$L$32),""),"")</f>
        <v/>
      </c>
      <c r="K534" s="85" t="str">
        <f aca="false">IFERROR(IF(ISNUMBER(INDEX(원자료_시장!$A$1:$BZ$1000,설정!$L$6+ROW()-1,설정!$L$33)),INDEX(원자료_시장!$A$1:$BZ$1000,설정!$L$6+ROW()-1,설정!$L$33),""),"")</f>
        <v/>
      </c>
      <c r="L534" s="83" t="n">
        <f aca="false">IFERROR(IF(INDEX(원자료_시장!$A$1:$BZ$1000,설정!$L$6+ROW()-1,설정!$L$34)&amp;""="0","",INDEX(원자료_시장!$A$1:$BZ$1000,설정!$L$6+ROW()-1,설정!$L$34)),"")</f>
        <v>0</v>
      </c>
      <c r="M534" s="83" t="n">
        <f aca="false">IFERROR(IF(INDEX(원자료_시장!$A$1:$BZ$1000,설정!$L$6+ROW()-1,설정!$L$35)&amp;""="0","",INDEX(원자료_시장!$A$1:$BZ$1000,설정!$L$6+ROW()-1,설정!$L$35)),"")</f>
        <v>0</v>
      </c>
      <c r="N534" s="83" t="n">
        <f aca="false">IFERROR(IF(INDEX(원자료_시장!$A$1:$BZ$1000,설정!$L$6+ROW()-1,설정!$L$36)&amp;""="0","",INDEX(원자료_시장!$A$1:$BZ$1000,설정!$L$6+ROW()-1,설정!$L$36)),"")</f>
        <v>0</v>
      </c>
      <c r="O534" s="43" t="str">
        <f aca="false">IF($A534="","",UPPER(LEFT($A534,FIND(" ",$A534&amp;" ")-1)))</f>
        <v/>
      </c>
      <c r="P534" s="43" t="str">
        <f aca="false">IF($A534="","",TRIM(RIGHT(SUBSTITUTE(TRIM($A534)," ",REPT(" ",30)),30)))</f>
        <v/>
      </c>
      <c r="Q534" s="98" t="str">
        <f aca="false">IF($A534="","",IFERROR(DATE(IF(LEN(P534)=8,2000+VALUE(RIGHT(P534,2)),VALUE(RIGHT(P534,4))),VALUE(LEFT(P534,2)),VALUE(MID(P534,4,2))),""))</f>
        <v/>
      </c>
      <c r="R534" s="89" t="n">
        <f aca="false">IF($A534="",0,IF(ISNUMBER(SEARCH("Float",$A534)),1,0))</f>
        <v>0</v>
      </c>
      <c r="S534" s="43" t="str">
        <f aca="false">IF($A534="","",TRIM(MID($A534,LEN(O534)+2,LEN($A534)-LEN(O534)-LEN(P534)-1)))</f>
        <v/>
      </c>
      <c r="T534" s="92" t="str">
        <f aca="false">IF(OR($A534="",R534=1),"",IFERROR(IF(ISNUMBER(FIND("/",S534)),IF(ISNUMBER(FIND(" ",S534)),VALUE(LEFT(S534,FIND(" ",S534)-1))+VALUE(MID(S534,FIND(" ",S534)+1,FIND("/",S534)-FIND(" ",S534)-1))/VALUE(MID(S534,FIND("/",S534)+1,9)),VALUE(LEFT(S534,FIND("/",S534)-1))/VALUE(MID(S534,FIND("/",S534)+1,9))),VALUE(S534)),""))</f>
        <v/>
      </c>
      <c r="U534" s="43" t="str">
        <f aca="false">IF(OR($A534="",NOT(ISNUMBER(Q534))),"",TEXT(Q534,"yyyymmdd")&amp;"|"&amp;IF(R534=1,"F",TEXT(T534,"0.000")))</f>
        <v/>
      </c>
      <c r="V534" s="43" t="str">
        <f aca="false">IF(U534="","",O534&amp;"|"&amp;U534)</f>
        <v/>
      </c>
      <c r="W534" s="43" t="str">
        <f aca="false">IF($A534="","",IFERROR(IF(VLOOKUP(O534,매핑!$A$4:$E$92,3,0)="","미분류",VLOOKUP(O534,매핑!$A$4:$E$92,3,0)),"미분류"))</f>
        <v/>
      </c>
      <c r="X534" s="89" t="n">
        <f aca="false">IF($A534="",0,IF(O534="T",1,0))</f>
        <v>0</v>
      </c>
      <c r="Y534" s="89" t="n">
        <f aca="false">IF($A534="",0,IF(AND(C534="USD",X534=0,ISNUMBER(E534),ISNUMBER(K534)),IF(K534&gt;=설정!$C$8,1,0),0))</f>
        <v>0</v>
      </c>
      <c r="Z534" s="43" t="str">
        <f aca="false">IF($A534="","",N534&amp;"|"&amp;L534)</f>
        <v/>
      </c>
      <c r="AA534" s="92" t="n">
        <f aca="false">IF(Y534=1,LN(K534),0)</f>
        <v>0</v>
      </c>
      <c r="AB534" s="93" t="n">
        <f aca="false">IF(Y534=1,E534,0)</f>
        <v>0</v>
      </c>
      <c r="AC534" s="89" t="n">
        <f aca="false">IF(Y534=1,COUNTIFS($Z$2:$Z$601,Z534,$Y$2:$Y$601,1),0)</f>
        <v>0</v>
      </c>
      <c r="AD534" s="89" t="n">
        <f aca="false">IF(Y534=1,COUNTIFS($N$2:$N$601,N534,$Y$2:$Y$601,1),0)</f>
        <v>0</v>
      </c>
      <c r="AE534" s="43" t="str">
        <f aca="false">IF(Y534&lt;&gt;1,"",IF(AND(AC534&gt;=설정!$C$7,ISNUMBER(MATCH(Z534,피어커브!$A:$A,0))),Z534,IF(AND(AD534&gt;=설정!$C$7,ISNUMBER(MATCH(N534&amp;"|전체",피어커브!$A:$A,0))),N534&amp;"|전체","전체|전체")))</f>
        <v/>
      </c>
      <c r="AF534" s="93" t="str">
        <f aca="false">IF(AE534="","",INDEX(피어커브!$K:$K,MATCH(AE534,피어커브!$A:$A,0)))</f>
        <v/>
      </c>
      <c r="AG534" s="93" t="str">
        <f aca="false">IF(AE534="","",INDEX(피어커브!$J:$J,MATCH(AE534,피어커브!$A:$A,0)))</f>
        <v/>
      </c>
      <c r="AH534" s="93" t="str">
        <f aca="false">IF(AE534="","",INDEX(피어커브!$L:$L,MATCH(AE534,피어커브!$A:$A,0)))</f>
        <v/>
      </c>
      <c r="AI534" s="93" t="str">
        <f aca="false">IF(AE534="","",AF534+AG534*AA534)</f>
        <v/>
      </c>
      <c r="AJ534" s="96" t="str">
        <f aca="false">IF(AE534="","",E534-AI534)</f>
        <v/>
      </c>
      <c r="AK534" s="95" t="str">
        <f aca="false">IF(AE534="","",IF(ISNUMBER(AH534),IF(AH534&gt;0,AJ534/AH534,""),""))</f>
        <v/>
      </c>
      <c r="AL534" s="43" t="str">
        <f aca="false">IF(AK534="","-",IF(AK534&gt;=설정!$C$6,"Cheap",IF(AK534&lt;=-설정!$C$6,"Rich","Fair")))</f>
        <v>-</v>
      </c>
      <c r="AM534" s="96" t="str">
        <f aca="false">IF(AE534="","",AJ534-AVERAGEIFS($AJ$2:$AJ$601,$B$2:$B$601,B534,$Y$2:$Y$601,1))</f>
        <v/>
      </c>
      <c r="AN534" s="93" t="n">
        <f aca="false">IF(AE534="",0,IF(K534&gt;1+설정!$C$8,AG534*(AA534-LN(K534-1)),0))</f>
        <v>0</v>
      </c>
      <c r="AO534" s="99" t="n">
        <f aca="false">IF($A534="",0,SUMIFS(보유분석!$AA$2:$AA$801,보유분석!$AB$2:$AB$801,ROW(),보유분석!$AC$2:$AC$801,1))</f>
        <v>0</v>
      </c>
      <c r="AP534" s="43" t="str">
        <f aca="false">IF($A534="","",TRIM(IF(R534=1,"FRN ","")&amp;IF(IFERROR(VLOOKUP(M534,설정!$A$15:$D$47,4,0),0)&gt;=10,IF(IFERROR(VLOOKUP(M534,설정!$A$15:$D$47,4,0),0)&lt;99,"BBB0미만 ",""),"")&amp;IF(OR(M534="",M534="NR"),"등급미입력 ","")&amp;IF(C534&lt;&gt;"USD","비USD ","")))</f>
        <v/>
      </c>
      <c r="AQ534" s="90" t="n">
        <f aca="false">IF(AND(Y534=1,AL534="Cheap"),IF(AND(ISERROR(SEARCH("FRN",AP534)),ISERROR(SEARCH("BBB0미만",AP534))),AK534+ROW()/1000000000,-999),-999)</f>
        <v>-999</v>
      </c>
      <c r="AR534" s="92" t="str">
        <f aca="false">IF(AND(ISNUMBER(D534),ISNUMBER(K534)),D534+AN534*MAX(K534-1,0)/100,"")</f>
        <v/>
      </c>
      <c r="AS534" s="93" t="str">
        <f aca="false">IF(AND(ISNUMBER(E534),ISNUMBER(K534)),IF(K534&gt;0,(E534+AN534*MAX(K534-1,0))/K534,""),"")</f>
        <v/>
      </c>
      <c r="AT534" s="90" t="n">
        <f aca="false">IFERROR(IF(AND(Y534=1,ROW()&lt;&gt;스왑분석!$C$12+1,ABS(K534-INDEX($K$2:$K$601,스왑분석!$C$12))&lt;=스왑분석!$C$5,ISERROR(SEARCH("FRN",AP534)),ISERROR(SEARCH("BBB0미만",AP534))),IF(AND(OR(스왑분석!$C$6="N",L534=INDEX($L$2:$L$601,스왑분석!$C$12)),OR(스왑분석!$C$7="N",N534=INDEX($N$2:$N$601,스왑분석!$C$12)),OR(스왑분석!$C$8="N",AO534=0),E534-INDEX($E$2:$E$601,스왑분석!$C$12)&gt;=스왑분석!$C$9),E534-INDEX($E$2:$E$601,스왑분석!$C$12)+ROW()/1000000000,-999),-999),-999)</f>
        <v>-999</v>
      </c>
      <c r="AU534" s="90" t="n">
        <f aca="false">IF(AND(Y534=1,AO534&gt;0,AL534="Rich"),-AK534+ROW()/1000000000,-999)</f>
        <v>-999</v>
      </c>
    </row>
    <row r="535" customFormat="false" ht="15" hidden="false" customHeight="false" outlineLevel="0" collapsed="false">
      <c r="A535" s="83" t="n">
        <f aca="false">IFERROR(IF(INDEX(원자료_시장!$A$1:$BZ$1000,설정!$L$6+ROW()-1,설정!$L$24)&amp;""="0","",INDEX(원자료_시장!$A$1:$BZ$1000,설정!$L$6+ROW()-1,설정!$L$24)),"")</f>
        <v>0</v>
      </c>
      <c r="B535" s="83" t="n">
        <f aca="false">IFERROR(IF(INDEX(원자료_시장!$A$1:$BZ$1000,설정!$L$6+ROW()-1,설정!$L$37)&amp;""="0","",INDEX(원자료_시장!$A$1:$BZ$1000,설정!$L$6+ROW()-1,설정!$L$37)),"")</f>
        <v>0</v>
      </c>
      <c r="C535" s="83" t="n">
        <f aca="false">IFERROR(IF(INDEX(원자료_시장!$A$1:$BZ$1000,설정!$L$6+ROW()-1,설정!$L$25)&amp;""="0","",INDEX(원자료_시장!$A$1:$BZ$1000,설정!$L$6+ROW()-1,설정!$L$25)),"")</f>
        <v>0</v>
      </c>
      <c r="D535" s="85" t="str">
        <f aca="false">IFERROR(IF(ISNUMBER(INDEX(원자료_시장!$A$1:$BZ$1000,설정!$L$6+ROW()-1,설정!$L$26)),INDEX(원자료_시장!$A$1:$BZ$1000,설정!$L$6+ROW()-1,설정!$L$26),""),"")</f>
        <v/>
      </c>
      <c r="E535" s="97" t="str">
        <f aca="false">IFERROR(IF(ISNUMBER(INDEX(원자료_시장!$A$1:$BZ$1000,설정!$L$6+ROW()-1,설정!$L$27)),INDEX(원자료_시장!$A$1:$BZ$1000,설정!$L$6+ROW()-1,설정!$L$27),""),"")</f>
        <v/>
      </c>
      <c r="F535" s="97" t="str">
        <f aca="false">IFERROR(IF(ISNUMBER(INDEX(원자료_시장!$A$1:$BZ$1000,설정!$L$6+ROW()-1,설정!$L$28)),INDEX(원자료_시장!$A$1:$BZ$1000,설정!$L$6+ROW()-1,설정!$L$28),""),"")</f>
        <v/>
      </c>
      <c r="G535" s="97" t="str">
        <f aca="false">IFERROR(IF(ISNUMBER(INDEX(원자료_시장!$A$1:$BZ$1000,설정!$L$6+ROW()-1,설정!$L$29)),INDEX(원자료_시장!$A$1:$BZ$1000,설정!$L$6+ROW()-1,설정!$L$29),""),"")</f>
        <v/>
      </c>
      <c r="H535" s="97" t="str">
        <f aca="false">IFERROR(IF(ISNUMBER(INDEX(원자료_시장!$A$1:$BZ$1000,설정!$L$6+ROW()-1,설정!$L$30)),INDEX(원자료_시장!$A$1:$BZ$1000,설정!$L$6+ROW()-1,설정!$L$30),""),"")</f>
        <v/>
      </c>
      <c r="I535" s="97" t="str">
        <f aca="false">IFERROR(IF(ISNUMBER(INDEX(원자료_시장!$A$1:$BZ$1000,설정!$L$6+ROW()-1,설정!$L$31)),INDEX(원자료_시장!$A$1:$BZ$1000,설정!$L$6+ROW()-1,설정!$L$31),""),"")</f>
        <v/>
      </c>
      <c r="J535" s="97" t="str">
        <f aca="false">IFERROR(IF(ISNUMBER(INDEX(원자료_시장!$A$1:$BZ$1000,설정!$L$6+ROW()-1,설정!$L$32)),INDEX(원자료_시장!$A$1:$BZ$1000,설정!$L$6+ROW()-1,설정!$L$32),""),"")</f>
        <v/>
      </c>
      <c r="K535" s="85" t="str">
        <f aca="false">IFERROR(IF(ISNUMBER(INDEX(원자료_시장!$A$1:$BZ$1000,설정!$L$6+ROW()-1,설정!$L$33)),INDEX(원자료_시장!$A$1:$BZ$1000,설정!$L$6+ROW()-1,설정!$L$33),""),"")</f>
        <v/>
      </c>
      <c r="L535" s="83" t="n">
        <f aca="false">IFERROR(IF(INDEX(원자료_시장!$A$1:$BZ$1000,설정!$L$6+ROW()-1,설정!$L$34)&amp;""="0","",INDEX(원자료_시장!$A$1:$BZ$1000,설정!$L$6+ROW()-1,설정!$L$34)),"")</f>
        <v>0</v>
      </c>
      <c r="M535" s="83" t="n">
        <f aca="false">IFERROR(IF(INDEX(원자료_시장!$A$1:$BZ$1000,설정!$L$6+ROW()-1,설정!$L$35)&amp;""="0","",INDEX(원자료_시장!$A$1:$BZ$1000,설정!$L$6+ROW()-1,설정!$L$35)),"")</f>
        <v>0</v>
      </c>
      <c r="N535" s="83" t="n">
        <f aca="false">IFERROR(IF(INDEX(원자료_시장!$A$1:$BZ$1000,설정!$L$6+ROW()-1,설정!$L$36)&amp;""="0","",INDEX(원자료_시장!$A$1:$BZ$1000,설정!$L$6+ROW()-1,설정!$L$36)),"")</f>
        <v>0</v>
      </c>
      <c r="O535" s="43" t="str">
        <f aca="false">IF($A535="","",UPPER(LEFT($A535,FIND(" ",$A535&amp;" ")-1)))</f>
        <v/>
      </c>
      <c r="P535" s="43" t="str">
        <f aca="false">IF($A535="","",TRIM(RIGHT(SUBSTITUTE(TRIM($A535)," ",REPT(" ",30)),30)))</f>
        <v/>
      </c>
      <c r="Q535" s="98" t="str">
        <f aca="false">IF($A535="","",IFERROR(DATE(IF(LEN(P535)=8,2000+VALUE(RIGHT(P535,2)),VALUE(RIGHT(P535,4))),VALUE(LEFT(P535,2)),VALUE(MID(P535,4,2))),""))</f>
        <v/>
      </c>
      <c r="R535" s="89" t="n">
        <f aca="false">IF($A535="",0,IF(ISNUMBER(SEARCH("Float",$A535)),1,0))</f>
        <v>0</v>
      </c>
      <c r="S535" s="43" t="str">
        <f aca="false">IF($A535="","",TRIM(MID($A535,LEN(O535)+2,LEN($A535)-LEN(O535)-LEN(P535)-1)))</f>
        <v/>
      </c>
      <c r="T535" s="92" t="str">
        <f aca="false">IF(OR($A535="",R535=1),"",IFERROR(IF(ISNUMBER(FIND("/",S535)),IF(ISNUMBER(FIND(" ",S535)),VALUE(LEFT(S535,FIND(" ",S535)-1))+VALUE(MID(S535,FIND(" ",S535)+1,FIND("/",S535)-FIND(" ",S535)-1))/VALUE(MID(S535,FIND("/",S535)+1,9)),VALUE(LEFT(S535,FIND("/",S535)-1))/VALUE(MID(S535,FIND("/",S535)+1,9))),VALUE(S535)),""))</f>
        <v/>
      </c>
      <c r="U535" s="43" t="str">
        <f aca="false">IF(OR($A535="",NOT(ISNUMBER(Q535))),"",TEXT(Q535,"yyyymmdd")&amp;"|"&amp;IF(R535=1,"F",TEXT(T535,"0.000")))</f>
        <v/>
      </c>
      <c r="V535" s="43" t="str">
        <f aca="false">IF(U535="","",O535&amp;"|"&amp;U535)</f>
        <v/>
      </c>
      <c r="W535" s="43" t="str">
        <f aca="false">IF($A535="","",IFERROR(IF(VLOOKUP(O535,매핑!$A$4:$E$92,3,0)="","미분류",VLOOKUP(O535,매핑!$A$4:$E$92,3,0)),"미분류"))</f>
        <v/>
      </c>
      <c r="X535" s="89" t="n">
        <f aca="false">IF($A535="",0,IF(O535="T",1,0))</f>
        <v>0</v>
      </c>
      <c r="Y535" s="89" t="n">
        <f aca="false">IF($A535="",0,IF(AND(C535="USD",X535=0,ISNUMBER(E535),ISNUMBER(K535)),IF(K535&gt;=설정!$C$8,1,0),0))</f>
        <v>0</v>
      </c>
      <c r="Z535" s="43" t="str">
        <f aca="false">IF($A535="","",N535&amp;"|"&amp;L535)</f>
        <v/>
      </c>
      <c r="AA535" s="92" t="n">
        <f aca="false">IF(Y535=1,LN(K535),0)</f>
        <v>0</v>
      </c>
      <c r="AB535" s="93" t="n">
        <f aca="false">IF(Y535=1,E535,0)</f>
        <v>0</v>
      </c>
      <c r="AC535" s="89" t="n">
        <f aca="false">IF(Y535=1,COUNTIFS($Z$2:$Z$601,Z535,$Y$2:$Y$601,1),0)</f>
        <v>0</v>
      </c>
      <c r="AD535" s="89" t="n">
        <f aca="false">IF(Y535=1,COUNTIFS($N$2:$N$601,N535,$Y$2:$Y$601,1),0)</f>
        <v>0</v>
      </c>
      <c r="AE535" s="43" t="str">
        <f aca="false">IF(Y535&lt;&gt;1,"",IF(AND(AC535&gt;=설정!$C$7,ISNUMBER(MATCH(Z535,피어커브!$A:$A,0))),Z535,IF(AND(AD535&gt;=설정!$C$7,ISNUMBER(MATCH(N535&amp;"|전체",피어커브!$A:$A,0))),N535&amp;"|전체","전체|전체")))</f>
        <v/>
      </c>
      <c r="AF535" s="93" t="str">
        <f aca="false">IF(AE535="","",INDEX(피어커브!$K:$K,MATCH(AE535,피어커브!$A:$A,0)))</f>
        <v/>
      </c>
      <c r="AG535" s="93" t="str">
        <f aca="false">IF(AE535="","",INDEX(피어커브!$J:$J,MATCH(AE535,피어커브!$A:$A,0)))</f>
        <v/>
      </c>
      <c r="AH535" s="93" t="str">
        <f aca="false">IF(AE535="","",INDEX(피어커브!$L:$L,MATCH(AE535,피어커브!$A:$A,0)))</f>
        <v/>
      </c>
      <c r="AI535" s="93" t="str">
        <f aca="false">IF(AE535="","",AF535+AG535*AA535)</f>
        <v/>
      </c>
      <c r="AJ535" s="96" t="str">
        <f aca="false">IF(AE535="","",E535-AI535)</f>
        <v/>
      </c>
      <c r="AK535" s="95" t="str">
        <f aca="false">IF(AE535="","",IF(ISNUMBER(AH535),IF(AH535&gt;0,AJ535/AH535,""),""))</f>
        <v/>
      </c>
      <c r="AL535" s="43" t="str">
        <f aca="false">IF(AK535="","-",IF(AK535&gt;=설정!$C$6,"Cheap",IF(AK535&lt;=-설정!$C$6,"Rich","Fair")))</f>
        <v>-</v>
      </c>
      <c r="AM535" s="96" t="str">
        <f aca="false">IF(AE535="","",AJ535-AVERAGEIFS($AJ$2:$AJ$601,$B$2:$B$601,B535,$Y$2:$Y$601,1))</f>
        <v/>
      </c>
      <c r="AN535" s="93" t="n">
        <f aca="false">IF(AE535="",0,IF(K535&gt;1+설정!$C$8,AG535*(AA535-LN(K535-1)),0))</f>
        <v>0</v>
      </c>
      <c r="AO535" s="99" t="n">
        <f aca="false">IF($A535="",0,SUMIFS(보유분석!$AA$2:$AA$801,보유분석!$AB$2:$AB$801,ROW(),보유분석!$AC$2:$AC$801,1))</f>
        <v>0</v>
      </c>
      <c r="AP535" s="43" t="str">
        <f aca="false">IF($A535="","",TRIM(IF(R535=1,"FRN ","")&amp;IF(IFERROR(VLOOKUP(M535,설정!$A$15:$D$47,4,0),0)&gt;=10,IF(IFERROR(VLOOKUP(M535,설정!$A$15:$D$47,4,0),0)&lt;99,"BBB0미만 ",""),"")&amp;IF(OR(M535="",M535="NR"),"등급미입력 ","")&amp;IF(C535&lt;&gt;"USD","비USD ","")))</f>
        <v/>
      </c>
      <c r="AQ535" s="90" t="n">
        <f aca="false">IF(AND(Y535=1,AL535="Cheap"),IF(AND(ISERROR(SEARCH("FRN",AP535)),ISERROR(SEARCH("BBB0미만",AP535))),AK535+ROW()/1000000000,-999),-999)</f>
        <v>-999</v>
      </c>
      <c r="AR535" s="92" t="str">
        <f aca="false">IF(AND(ISNUMBER(D535),ISNUMBER(K535)),D535+AN535*MAX(K535-1,0)/100,"")</f>
        <v/>
      </c>
      <c r="AS535" s="93" t="str">
        <f aca="false">IF(AND(ISNUMBER(E535),ISNUMBER(K535)),IF(K535&gt;0,(E535+AN535*MAX(K535-1,0))/K535,""),"")</f>
        <v/>
      </c>
      <c r="AT535" s="90" t="n">
        <f aca="false">IFERROR(IF(AND(Y535=1,ROW()&lt;&gt;스왑분석!$C$12+1,ABS(K535-INDEX($K$2:$K$601,스왑분석!$C$12))&lt;=스왑분석!$C$5,ISERROR(SEARCH("FRN",AP535)),ISERROR(SEARCH("BBB0미만",AP535))),IF(AND(OR(스왑분석!$C$6="N",L535=INDEX($L$2:$L$601,스왑분석!$C$12)),OR(스왑분석!$C$7="N",N535=INDEX($N$2:$N$601,스왑분석!$C$12)),OR(스왑분석!$C$8="N",AO535=0),E535-INDEX($E$2:$E$601,스왑분석!$C$12)&gt;=스왑분석!$C$9),E535-INDEX($E$2:$E$601,스왑분석!$C$12)+ROW()/1000000000,-999),-999),-999)</f>
        <v>-999</v>
      </c>
      <c r="AU535" s="90" t="n">
        <f aca="false">IF(AND(Y535=1,AO535&gt;0,AL535="Rich"),-AK535+ROW()/1000000000,-999)</f>
        <v>-999</v>
      </c>
    </row>
    <row r="536" customFormat="false" ht="15" hidden="false" customHeight="false" outlineLevel="0" collapsed="false">
      <c r="A536" s="83" t="n">
        <f aca="false">IFERROR(IF(INDEX(원자료_시장!$A$1:$BZ$1000,설정!$L$6+ROW()-1,설정!$L$24)&amp;""="0","",INDEX(원자료_시장!$A$1:$BZ$1000,설정!$L$6+ROW()-1,설정!$L$24)),"")</f>
        <v>0</v>
      </c>
      <c r="B536" s="83" t="n">
        <f aca="false">IFERROR(IF(INDEX(원자료_시장!$A$1:$BZ$1000,설정!$L$6+ROW()-1,설정!$L$37)&amp;""="0","",INDEX(원자료_시장!$A$1:$BZ$1000,설정!$L$6+ROW()-1,설정!$L$37)),"")</f>
        <v>0</v>
      </c>
      <c r="C536" s="83" t="n">
        <f aca="false">IFERROR(IF(INDEX(원자료_시장!$A$1:$BZ$1000,설정!$L$6+ROW()-1,설정!$L$25)&amp;""="0","",INDEX(원자료_시장!$A$1:$BZ$1000,설정!$L$6+ROW()-1,설정!$L$25)),"")</f>
        <v>0</v>
      </c>
      <c r="D536" s="85" t="str">
        <f aca="false">IFERROR(IF(ISNUMBER(INDEX(원자료_시장!$A$1:$BZ$1000,설정!$L$6+ROW()-1,설정!$L$26)),INDEX(원자료_시장!$A$1:$BZ$1000,설정!$L$6+ROW()-1,설정!$L$26),""),"")</f>
        <v/>
      </c>
      <c r="E536" s="97" t="str">
        <f aca="false">IFERROR(IF(ISNUMBER(INDEX(원자료_시장!$A$1:$BZ$1000,설정!$L$6+ROW()-1,설정!$L$27)),INDEX(원자료_시장!$A$1:$BZ$1000,설정!$L$6+ROW()-1,설정!$L$27),""),"")</f>
        <v/>
      </c>
      <c r="F536" s="97" t="str">
        <f aca="false">IFERROR(IF(ISNUMBER(INDEX(원자료_시장!$A$1:$BZ$1000,설정!$L$6+ROW()-1,설정!$L$28)),INDEX(원자료_시장!$A$1:$BZ$1000,설정!$L$6+ROW()-1,설정!$L$28),""),"")</f>
        <v/>
      </c>
      <c r="G536" s="97" t="str">
        <f aca="false">IFERROR(IF(ISNUMBER(INDEX(원자료_시장!$A$1:$BZ$1000,설정!$L$6+ROW()-1,설정!$L$29)),INDEX(원자료_시장!$A$1:$BZ$1000,설정!$L$6+ROW()-1,설정!$L$29),""),"")</f>
        <v/>
      </c>
      <c r="H536" s="97" t="str">
        <f aca="false">IFERROR(IF(ISNUMBER(INDEX(원자료_시장!$A$1:$BZ$1000,설정!$L$6+ROW()-1,설정!$L$30)),INDEX(원자료_시장!$A$1:$BZ$1000,설정!$L$6+ROW()-1,설정!$L$30),""),"")</f>
        <v/>
      </c>
      <c r="I536" s="97" t="str">
        <f aca="false">IFERROR(IF(ISNUMBER(INDEX(원자료_시장!$A$1:$BZ$1000,설정!$L$6+ROW()-1,설정!$L$31)),INDEX(원자료_시장!$A$1:$BZ$1000,설정!$L$6+ROW()-1,설정!$L$31),""),"")</f>
        <v/>
      </c>
      <c r="J536" s="97" t="str">
        <f aca="false">IFERROR(IF(ISNUMBER(INDEX(원자료_시장!$A$1:$BZ$1000,설정!$L$6+ROW()-1,설정!$L$32)),INDEX(원자료_시장!$A$1:$BZ$1000,설정!$L$6+ROW()-1,설정!$L$32),""),"")</f>
        <v/>
      </c>
      <c r="K536" s="85" t="str">
        <f aca="false">IFERROR(IF(ISNUMBER(INDEX(원자료_시장!$A$1:$BZ$1000,설정!$L$6+ROW()-1,설정!$L$33)),INDEX(원자료_시장!$A$1:$BZ$1000,설정!$L$6+ROW()-1,설정!$L$33),""),"")</f>
        <v/>
      </c>
      <c r="L536" s="83" t="n">
        <f aca="false">IFERROR(IF(INDEX(원자료_시장!$A$1:$BZ$1000,설정!$L$6+ROW()-1,설정!$L$34)&amp;""="0","",INDEX(원자료_시장!$A$1:$BZ$1000,설정!$L$6+ROW()-1,설정!$L$34)),"")</f>
        <v>0</v>
      </c>
      <c r="M536" s="83" t="n">
        <f aca="false">IFERROR(IF(INDEX(원자료_시장!$A$1:$BZ$1000,설정!$L$6+ROW()-1,설정!$L$35)&amp;""="0","",INDEX(원자료_시장!$A$1:$BZ$1000,설정!$L$6+ROW()-1,설정!$L$35)),"")</f>
        <v>0</v>
      </c>
      <c r="N536" s="83" t="n">
        <f aca="false">IFERROR(IF(INDEX(원자료_시장!$A$1:$BZ$1000,설정!$L$6+ROW()-1,설정!$L$36)&amp;""="0","",INDEX(원자료_시장!$A$1:$BZ$1000,설정!$L$6+ROW()-1,설정!$L$36)),"")</f>
        <v>0</v>
      </c>
      <c r="O536" s="43" t="str">
        <f aca="false">IF($A536="","",UPPER(LEFT($A536,FIND(" ",$A536&amp;" ")-1)))</f>
        <v/>
      </c>
      <c r="P536" s="43" t="str">
        <f aca="false">IF($A536="","",TRIM(RIGHT(SUBSTITUTE(TRIM($A536)," ",REPT(" ",30)),30)))</f>
        <v/>
      </c>
      <c r="Q536" s="98" t="str">
        <f aca="false">IF($A536="","",IFERROR(DATE(IF(LEN(P536)=8,2000+VALUE(RIGHT(P536,2)),VALUE(RIGHT(P536,4))),VALUE(LEFT(P536,2)),VALUE(MID(P536,4,2))),""))</f>
        <v/>
      </c>
      <c r="R536" s="89" t="n">
        <f aca="false">IF($A536="",0,IF(ISNUMBER(SEARCH("Float",$A536)),1,0))</f>
        <v>0</v>
      </c>
      <c r="S536" s="43" t="str">
        <f aca="false">IF($A536="","",TRIM(MID($A536,LEN(O536)+2,LEN($A536)-LEN(O536)-LEN(P536)-1)))</f>
        <v/>
      </c>
      <c r="T536" s="92" t="str">
        <f aca="false">IF(OR($A536="",R536=1),"",IFERROR(IF(ISNUMBER(FIND("/",S536)),IF(ISNUMBER(FIND(" ",S536)),VALUE(LEFT(S536,FIND(" ",S536)-1))+VALUE(MID(S536,FIND(" ",S536)+1,FIND("/",S536)-FIND(" ",S536)-1))/VALUE(MID(S536,FIND("/",S536)+1,9)),VALUE(LEFT(S536,FIND("/",S536)-1))/VALUE(MID(S536,FIND("/",S536)+1,9))),VALUE(S536)),""))</f>
        <v/>
      </c>
      <c r="U536" s="43" t="str">
        <f aca="false">IF(OR($A536="",NOT(ISNUMBER(Q536))),"",TEXT(Q536,"yyyymmdd")&amp;"|"&amp;IF(R536=1,"F",TEXT(T536,"0.000")))</f>
        <v/>
      </c>
      <c r="V536" s="43" t="str">
        <f aca="false">IF(U536="","",O536&amp;"|"&amp;U536)</f>
        <v/>
      </c>
      <c r="W536" s="43" t="str">
        <f aca="false">IF($A536="","",IFERROR(IF(VLOOKUP(O536,매핑!$A$4:$E$92,3,0)="","미분류",VLOOKUP(O536,매핑!$A$4:$E$92,3,0)),"미분류"))</f>
        <v/>
      </c>
      <c r="X536" s="89" t="n">
        <f aca="false">IF($A536="",0,IF(O536="T",1,0))</f>
        <v>0</v>
      </c>
      <c r="Y536" s="89" t="n">
        <f aca="false">IF($A536="",0,IF(AND(C536="USD",X536=0,ISNUMBER(E536),ISNUMBER(K536)),IF(K536&gt;=설정!$C$8,1,0),0))</f>
        <v>0</v>
      </c>
      <c r="Z536" s="43" t="str">
        <f aca="false">IF($A536="","",N536&amp;"|"&amp;L536)</f>
        <v/>
      </c>
      <c r="AA536" s="92" t="n">
        <f aca="false">IF(Y536=1,LN(K536),0)</f>
        <v>0</v>
      </c>
      <c r="AB536" s="93" t="n">
        <f aca="false">IF(Y536=1,E536,0)</f>
        <v>0</v>
      </c>
      <c r="AC536" s="89" t="n">
        <f aca="false">IF(Y536=1,COUNTIFS($Z$2:$Z$601,Z536,$Y$2:$Y$601,1),0)</f>
        <v>0</v>
      </c>
      <c r="AD536" s="89" t="n">
        <f aca="false">IF(Y536=1,COUNTIFS($N$2:$N$601,N536,$Y$2:$Y$601,1),0)</f>
        <v>0</v>
      </c>
      <c r="AE536" s="43" t="str">
        <f aca="false">IF(Y536&lt;&gt;1,"",IF(AND(AC536&gt;=설정!$C$7,ISNUMBER(MATCH(Z536,피어커브!$A:$A,0))),Z536,IF(AND(AD536&gt;=설정!$C$7,ISNUMBER(MATCH(N536&amp;"|전체",피어커브!$A:$A,0))),N536&amp;"|전체","전체|전체")))</f>
        <v/>
      </c>
      <c r="AF536" s="93" t="str">
        <f aca="false">IF(AE536="","",INDEX(피어커브!$K:$K,MATCH(AE536,피어커브!$A:$A,0)))</f>
        <v/>
      </c>
      <c r="AG536" s="93" t="str">
        <f aca="false">IF(AE536="","",INDEX(피어커브!$J:$J,MATCH(AE536,피어커브!$A:$A,0)))</f>
        <v/>
      </c>
      <c r="AH536" s="93" t="str">
        <f aca="false">IF(AE536="","",INDEX(피어커브!$L:$L,MATCH(AE536,피어커브!$A:$A,0)))</f>
        <v/>
      </c>
      <c r="AI536" s="93" t="str">
        <f aca="false">IF(AE536="","",AF536+AG536*AA536)</f>
        <v/>
      </c>
      <c r="AJ536" s="96" t="str">
        <f aca="false">IF(AE536="","",E536-AI536)</f>
        <v/>
      </c>
      <c r="AK536" s="95" t="str">
        <f aca="false">IF(AE536="","",IF(ISNUMBER(AH536),IF(AH536&gt;0,AJ536/AH536,""),""))</f>
        <v/>
      </c>
      <c r="AL536" s="43" t="str">
        <f aca="false">IF(AK536="","-",IF(AK536&gt;=설정!$C$6,"Cheap",IF(AK536&lt;=-설정!$C$6,"Rich","Fair")))</f>
        <v>-</v>
      </c>
      <c r="AM536" s="96" t="str">
        <f aca="false">IF(AE536="","",AJ536-AVERAGEIFS($AJ$2:$AJ$601,$B$2:$B$601,B536,$Y$2:$Y$601,1))</f>
        <v/>
      </c>
      <c r="AN536" s="93" t="n">
        <f aca="false">IF(AE536="",0,IF(K536&gt;1+설정!$C$8,AG536*(AA536-LN(K536-1)),0))</f>
        <v>0</v>
      </c>
      <c r="AO536" s="99" t="n">
        <f aca="false">IF($A536="",0,SUMIFS(보유분석!$AA$2:$AA$801,보유분석!$AB$2:$AB$801,ROW(),보유분석!$AC$2:$AC$801,1))</f>
        <v>0</v>
      </c>
      <c r="AP536" s="43" t="str">
        <f aca="false">IF($A536="","",TRIM(IF(R536=1,"FRN ","")&amp;IF(IFERROR(VLOOKUP(M536,설정!$A$15:$D$47,4,0),0)&gt;=10,IF(IFERROR(VLOOKUP(M536,설정!$A$15:$D$47,4,0),0)&lt;99,"BBB0미만 ",""),"")&amp;IF(OR(M536="",M536="NR"),"등급미입력 ","")&amp;IF(C536&lt;&gt;"USD","비USD ","")))</f>
        <v/>
      </c>
      <c r="AQ536" s="90" t="n">
        <f aca="false">IF(AND(Y536=1,AL536="Cheap"),IF(AND(ISERROR(SEARCH("FRN",AP536)),ISERROR(SEARCH("BBB0미만",AP536))),AK536+ROW()/1000000000,-999),-999)</f>
        <v>-999</v>
      </c>
      <c r="AR536" s="92" t="str">
        <f aca="false">IF(AND(ISNUMBER(D536),ISNUMBER(K536)),D536+AN536*MAX(K536-1,0)/100,"")</f>
        <v/>
      </c>
      <c r="AS536" s="93" t="str">
        <f aca="false">IF(AND(ISNUMBER(E536),ISNUMBER(K536)),IF(K536&gt;0,(E536+AN536*MAX(K536-1,0))/K536,""),"")</f>
        <v/>
      </c>
      <c r="AT536" s="90" t="n">
        <f aca="false">IFERROR(IF(AND(Y536=1,ROW()&lt;&gt;스왑분석!$C$12+1,ABS(K536-INDEX($K$2:$K$601,스왑분석!$C$12))&lt;=스왑분석!$C$5,ISERROR(SEARCH("FRN",AP536)),ISERROR(SEARCH("BBB0미만",AP536))),IF(AND(OR(스왑분석!$C$6="N",L536=INDEX($L$2:$L$601,스왑분석!$C$12)),OR(스왑분석!$C$7="N",N536=INDEX($N$2:$N$601,스왑분석!$C$12)),OR(스왑분석!$C$8="N",AO536=0),E536-INDEX($E$2:$E$601,스왑분석!$C$12)&gt;=스왑분석!$C$9),E536-INDEX($E$2:$E$601,스왑분석!$C$12)+ROW()/1000000000,-999),-999),-999)</f>
        <v>-999</v>
      </c>
      <c r="AU536" s="90" t="n">
        <f aca="false">IF(AND(Y536=1,AO536&gt;0,AL536="Rich"),-AK536+ROW()/1000000000,-999)</f>
        <v>-999</v>
      </c>
    </row>
    <row r="537" customFormat="false" ht="15" hidden="false" customHeight="false" outlineLevel="0" collapsed="false">
      <c r="A537" s="83" t="n">
        <f aca="false">IFERROR(IF(INDEX(원자료_시장!$A$1:$BZ$1000,설정!$L$6+ROW()-1,설정!$L$24)&amp;""="0","",INDEX(원자료_시장!$A$1:$BZ$1000,설정!$L$6+ROW()-1,설정!$L$24)),"")</f>
        <v>0</v>
      </c>
      <c r="B537" s="83" t="n">
        <f aca="false">IFERROR(IF(INDEX(원자료_시장!$A$1:$BZ$1000,설정!$L$6+ROW()-1,설정!$L$37)&amp;""="0","",INDEX(원자료_시장!$A$1:$BZ$1000,설정!$L$6+ROW()-1,설정!$L$37)),"")</f>
        <v>0</v>
      </c>
      <c r="C537" s="83" t="n">
        <f aca="false">IFERROR(IF(INDEX(원자료_시장!$A$1:$BZ$1000,설정!$L$6+ROW()-1,설정!$L$25)&amp;""="0","",INDEX(원자료_시장!$A$1:$BZ$1000,설정!$L$6+ROW()-1,설정!$L$25)),"")</f>
        <v>0</v>
      </c>
      <c r="D537" s="85" t="str">
        <f aca="false">IFERROR(IF(ISNUMBER(INDEX(원자료_시장!$A$1:$BZ$1000,설정!$L$6+ROW()-1,설정!$L$26)),INDEX(원자료_시장!$A$1:$BZ$1000,설정!$L$6+ROW()-1,설정!$L$26),""),"")</f>
        <v/>
      </c>
      <c r="E537" s="97" t="str">
        <f aca="false">IFERROR(IF(ISNUMBER(INDEX(원자료_시장!$A$1:$BZ$1000,설정!$L$6+ROW()-1,설정!$L$27)),INDEX(원자료_시장!$A$1:$BZ$1000,설정!$L$6+ROW()-1,설정!$L$27),""),"")</f>
        <v/>
      </c>
      <c r="F537" s="97" t="str">
        <f aca="false">IFERROR(IF(ISNUMBER(INDEX(원자료_시장!$A$1:$BZ$1000,설정!$L$6+ROW()-1,설정!$L$28)),INDEX(원자료_시장!$A$1:$BZ$1000,설정!$L$6+ROW()-1,설정!$L$28),""),"")</f>
        <v/>
      </c>
      <c r="G537" s="97" t="str">
        <f aca="false">IFERROR(IF(ISNUMBER(INDEX(원자료_시장!$A$1:$BZ$1000,설정!$L$6+ROW()-1,설정!$L$29)),INDEX(원자료_시장!$A$1:$BZ$1000,설정!$L$6+ROW()-1,설정!$L$29),""),"")</f>
        <v/>
      </c>
      <c r="H537" s="97" t="str">
        <f aca="false">IFERROR(IF(ISNUMBER(INDEX(원자료_시장!$A$1:$BZ$1000,설정!$L$6+ROW()-1,설정!$L$30)),INDEX(원자료_시장!$A$1:$BZ$1000,설정!$L$6+ROW()-1,설정!$L$30),""),"")</f>
        <v/>
      </c>
      <c r="I537" s="97" t="str">
        <f aca="false">IFERROR(IF(ISNUMBER(INDEX(원자료_시장!$A$1:$BZ$1000,설정!$L$6+ROW()-1,설정!$L$31)),INDEX(원자료_시장!$A$1:$BZ$1000,설정!$L$6+ROW()-1,설정!$L$31),""),"")</f>
        <v/>
      </c>
      <c r="J537" s="97" t="str">
        <f aca="false">IFERROR(IF(ISNUMBER(INDEX(원자료_시장!$A$1:$BZ$1000,설정!$L$6+ROW()-1,설정!$L$32)),INDEX(원자료_시장!$A$1:$BZ$1000,설정!$L$6+ROW()-1,설정!$L$32),""),"")</f>
        <v/>
      </c>
      <c r="K537" s="85" t="str">
        <f aca="false">IFERROR(IF(ISNUMBER(INDEX(원자료_시장!$A$1:$BZ$1000,설정!$L$6+ROW()-1,설정!$L$33)),INDEX(원자료_시장!$A$1:$BZ$1000,설정!$L$6+ROW()-1,설정!$L$33),""),"")</f>
        <v/>
      </c>
      <c r="L537" s="83" t="n">
        <f aca="false">IFERROR(IF(INDEX(원자료_시장!$A$1:$BZ$1000,설정!$L$6+ROW()-1,설정!$L$34)&amp;""="0","",INDEX(원자료_시장!$A$1:$BZ$1000,설정!$L$6+ROW()-1,설정!$L$34)),"")</f>
        <v>0</v>
      </c>
      <c r="M537" s="83" t="n">
        <f aca="false">IFERROR(IF(INDEX(원자료_시장!$A$1:$BZ$1000,설정!$L$6+ROW()-1,설정!$L$35)&amp;""="0","",INDEX(원자료_시장!$A$1:$BZ$1000,설정!$L$6+ROW()-1,설정!$L$35)),"")</f>
        <v>0</v>
      </c>
      <c r="N537" s="83" t="n">
        <f aca="false">IFERROR(IF(INDEX(원자료_시장!$A$1:$BZ$1000,설정!$L$6+ROW()-1,설정!$L$36)&amp;""="0","",INDEX(원자료_시장!$A$1:$BZ$1000,설정!$L$6+ROW()-1,설정!$L$36)),"")</f>
        <v>0</v>
      </c>
      <c r="O537" s="43" t="str">
        <f aca="false">IF($A537="","",UPPER(LEFT($A537,FIND(" ",$A537&amp;" ")-1)))</f>
        <v/>
      </c>
      <c r="P537" s="43" t="str">
        <f aca="false">IF($A537="","",TRIM(RIGHT(SUBSTITUTE(TRIM($A537)," ",REPT(" ",30)),30)))</f>
        <v/>
      </c>
      <c r="Q537" s="98" t="str">
        <f aca="false">IF($A537="","",IFERROR(DATE(IF(LEN(P537)=8,2000+VALUE(RIGHT(P537,2)),VALUE(RIGHT(P537,4))),VALUE(LEFT(P537,2)),VALUE(MID(P537,4,2))),""))</f>
        <v/>
      </c>
      <c r="R537" s="89" t="n">
        <f aca="false">IF($A537="",0,IF(ISNUMBER(SEARCH("Float",$A537)),1,0))</f>
        <v>0</v>
      </c>
      <c r="S537" s="43" t="str">
        <f aca="false">IF($A537="","",TRIM(MID($A537,LEN(O537)+2,LEN($A537)-LEN(O537)-LEN(P537)-1)))</f>
        <v/>
      </c>
      <c r="T537" s="92" t="str">
        <f aca="false">IF(OR($A537="",R537=1),"",IFERROR(IF(ISNUMBER(FIND("/",S537)),IF(ISNUMBER(FIND(" ",S537)),VALUE(LEFT(S537,FIND(" ",S537)-1))+VALUE(MID(S537,FIND(" ",S537)+1,FIND("/",S537)-FIND(" ",S537)-1))/VALUE(MID(S537,FIND("/",S537)+1,9)),VALUE(LEFT(S537,FIND("/",S537)-1))/VALUE(MID(S537,FIND("/",S537)+1,9))),VALUE(S537)),""))</f>
        <v/>
      </c>
      <c r="U537" s="43" t="str">
        <f aca="false">IF(OR($A537="",NOT(ISNUMBER(Q537))),"",TEXT(Q537,"yyyymmdd")&amp;"|"&amp;IF(R537=1,"F",TEXT(T537,"0.000")))</f>
        <v/>
      </c>
      <c r="V537" s="43" t="str">
        <f aca="false">IF(U537="","",O537&amp;"|"&amp;U537)</f>
        <v/>
      </c>
      <c r="W537" s="43" t="str">
        <f aca="false">IF($A537="","",IFERROR(IF(VLOOKUP(O537,매핑!$A$4:$E$92,3,0)="","미분류",VLOOKUP(O537,매핑!$A$4:$E$92,3,0)),"미분류"))</f>
        <v/>
      </c>
      <c r="X537" s="89" t="n">
        <f aca="false">IF($A537="",0,IF(O537="T",1,0))</f>
        <v>0</v>
      </c>
      <c r="Y537" s="89" t="n">
        <f aca="false">IF($A537="",0,IF(AND(C537="USD",X537=0,ISNUMBER(E537),ISNUMBER(K537)),IF(K537&gt;=설정!$C$8,1,0),0))</f>
        <v>0</v>
      </c>
      <c r="Z537" s="43" t="str">
        <f aca="false">IF($A537="","",N537&amp;"|"&amp;L537)</f>
        <v/>
      </c>
      <c r="AA537" s="92" t="n">
        <f aca="false">IF(Y537=1,LN(K537),0)</f>
        <v>0</v>
      </c>
      <c r="AB537" s="93" t="n">
        <f aca="false">IF(Y537=1,E537,0)</f>
        <v>0</v>
      </c>
      <c r="AC537" s="89" t="n">
        <f aca="false">IF(Y537=1,COUNTIFS($Z$2:$Z$601,Z537,$Y$2:$Y$601,1),0)</f>
        <v>0</v>
      </c>
      <c r="AD537" s="89" t="n">
        <f aca="false">IF(Y537=1,COUNTIFS($N$2:$N$601,N537,$Y$2:$Y$601,1),0)</f>
        <v>0</v>
      </c>
      <c r="AE537" s="43" t="str">
        <f aca="false">IF(Y537&lt;&gt;1,"",IF(AND(AC537&gt;=설정!$C$7,ISNUMBER(MATCH(Z537,피어커브!$A:$A,0))),Z537,IF(AND(AD537&gt;=설정!$C$7,ISNUMBER(MATCH(N537&amp;"|전체",피어커브!$A:$A,0))),N537&amp;"|전체","전체|전체")))</f>
        <v/>
      </c>
      <c r="AF537" s="93" t="str">
        <f aca="false">IF(AE537="","",INDEX(피어커브!$K:$K,MATCH(AE537,피어커브!$A:$A,0)))</f>
        <v/>
      </c>
      <c r="AG537" s="93" t="str">
        <f aca="false">IF(AE537="","",INDEX(피어커브!$J:$J,MATCH(AE537,피어커브!$A:$A,0)))</f>
        <v/>
      </c>
      <c r="AH537" s="93" t="str">
        <f aca="false">IF(AE537="","",INDEX(피어커브!$L:$L,MATCH(AE537,피어커브!$A:$A,0)))</f>
        <v/>
      </c>
      <c r="AI537" s="93" t="str">
        <f aca="false">IF(AE537="","",AF537+AG537*AA537)</f>
        <v/>
      </c>
      <c r="AJ537" s="96" t="str">
        <f aca="false">IF(AE537="","",E537-AI537)</f>
        <v/>
      </c>
      <c r="AK537" s="95" t="str">
        <f aca="false">IF(AE537="","",IF(ISNUMBER(AH537),IF(AH537&gt;0,AJ537/AH537,""),""))</f>
        <v/>
      </c>
      <c r="AL537" s="43" t="str">
        <f aca="false">IF(AK537="","-",IF(AK537&gt;=설정!$C$6,"Cheap",IF(AK537&lt;=-설정!$C$6,"Rich","Fair")))</f>
        <v>-</v>
      </c>
      <c r="AM537" s="96" t="str">
        <f aca="false">IF(AE537="","",AJ537-AVERAGEIFS($AJ$2:$AJ$601,$B$2:$B$601,B537,$Y$2:$Y$601,1))</f>
        <v/>
      </c>
      <c r="AN537" s="93" t="n">
        <f aca="false">IF(AE537="",0,IF(K537&gt;1+설정!$C$8,AG537*(AA537-LN(K537-1)),0))</f>
        <v>0</v>
      </c>
      <c r="AO537" s="99" t="n">
        <f aca="false">IF($A537="",0,SUMIFS(보유분석!$AA$2:$AA$801,보유분석!$AB$2:$AB$801,ROW(),보유분석!$AC$2:$AC$801,1))</f>
        <v>0</v>
      </c>
      <c r="AP537" s="43" t="str">
        <f aca="false">IF($A537="","",TRIM(IF(R537=1,"FRN ","")&amp;IF(IFERROR(VLOOKUP(M537,설정!$A$15:$D$47,4,0),0)&gt;=10,IF(IFERROR(VLOOKUP(M537,설정!$A$15:$D$47,4,0),0)&lt;99,"BBB0미만 ",""),"")&amp;IF(OR(M537="",M537="NR"),"등급미입력 ","")&amp;IF(C537&lt;&gt;"USD","비USD ","")))</f>
        <v/>
      </c>
      <c r="AQ537" s="90" t="n">
        <f aca="false">IF(AND(Y537=1,AL537="Cheap"),IF(AND(ISERROR(SEARCH("FRN",AP537)),ISERROR(SEARCH("BBB0미만",AP537))),AK537+ROW()/1000000000,-999),-999)</f>
        <v>-999</v>
      </c>
      <c r="AR537" s="92" t="str">
        <f aca="false">IF(AND(ISNUMBER(D537),ISNUMBER(K537)),D537+AN537*MAX(K537-1,0)/100,"")</f>
        <v/>
      </c>
      <c r="AS537" s="93" t="str">
        <f aca="false">IF(AND(ISNUMBER(E537),ISNUMBER(K537)),IF(K537&gt;0,(E537+AN537*MAX(K537-1,0))/K537,""),"")</f>
        <v/>
      </c>
      <c r="AT537" s="90" t="n">
        <f aca="false">IFERROR(IF(AND(Y537=1,ROW()&lt;&gt;스왑분석!$C$12+1,ABS(K537-INDEX($K$2:$K$601,스왑분석!$C$12))&lt;=스왑분석!$C$5,ISERROR(SEARCH("FRN",AP537)),ISERROR(SEARCH("BBB0미만",AP537))),IF(AND(OR(스왑분석!$C$6="N",L537=INDEX($L$2:$L$601,스왑분석!$C$12)),OR(스왑분석!$C$7="N",N537=INDEX($N$2:$N$601,스왑분석!$C$12)),OR(스왑분석!$C$8="N",AO537=0),E537-INDEX($E$2:$E$601,스왑분석!$C$12)&gt;=스왑분석!$C$9),E537-INDEX($E$2:$E$601,스왑분석!$C$12)+ROW()/1000000000,-999),-999),-999)</f>
        <v>-999</v>
      </c>
      <c r="AU537" s="90" t="n">
        <f aca="false">IF(AND(Y537=1,AO537&gt;0,AL537="Rich"),-AK537+ROW()/1000000000,-999)</f>
        <v>-999</v>
      </c>
    </row>
    <row r="538" customFormat="false" ht="15" hidden="false" customHeight="false" outlineLevel="0" collapsed="false">
      <c r="A538" s="83" t="n">
        <f aca="false">IFERROR(IF(INDEX(원자료_시장!$A$1:$BZ$1000,설정!$L$6+ROW()-1,설정!$L$24)&amp;""="0","",INDEX(원자료_시장!$A$1:$BZ$1000,설정!$L$6+ROW()-1,설정!$L$24)),"")</f>
        <v>0</v>
      </c>
      <c r="B538" s="83" t="n">
        <f aca="false">IFERROR(IF(INDEX(원자료_시장!$A$1:$BZ$1000,설정!$L$6+ROW()-1,설정!$L$37)&amp;""="0","",INDEX(원자료_시장!$A$1:$BZ$1000,설정!$L$6+ROW()-1,설정!$L$37)),"")</f>
        <v>0</v>
      </c>
      <c r="C538" s="83" t="n">
        <f aca="false">IFERROR(IF(INDEX(원자료_시장!$A$1:$BZ$1000,설정!$L$6+ROW()-1,설정!$L$25)&amp;""="0","",INDEX(원자료_시장!$A$1:$BZ$1000,설정!$L$6+ROW()-1,설정!$L$25)),"")</f>
        <v>0</v>
      </c>
      <c r="D538" s="85" t="str">
        <f aca="false">IFERROR(IF(ISNUMBER(INDEX(원자료_시장!$A$1:$BZ$1000,설정!$L$6+ROW()-1,설정!$L$26)),INDEX(원자료_시장!$A$1:$BZ$1000,설정!$L$6+ROW()-1,설정!$L$26),""),"")</f>
        <v/>
      </c>
      <c r="E538" s="97" t="str">
        <f aca="false">IFERROR(IF(ISNUMBER(INDEX(원자료_시장!$A$1:$BZ$1000,설정!$L$6+ROW()-1,설정!$L$27)),INDEX(원자료_시장!$A$1:$BZ$1000,설정!$L$6+ROW()-1,설정!$L$27),""),"")</f>
        <v/>
      </c>
      <c r="F538" s="97" t="str">
        <f aca="false">IFERROR(IF(ISNUMBER(INDEX(원자료_시장!$A$1:$BZ$1000,설정!$L$6+ROW()-1,설정!$L$28)),INDEX(원자료_시장!$A$1:$BZ$1000,설정!$L$6+ROW()-1,설정!$L$28),""),"")</f>
        <v/>
      </c>
      <c r="G538" s="97" t="str">
        <f aca="false">IFERROR(IF(ISNUMBER(INDEX(원자료_시장!$A$1:$BZ$1000,설정!$L$6+ROW()-1,설정!$L$29)),INDEX(원자료_시장!$A$1:$BZ$1000,설정!$L$6+ROW()-1,설정!$L$29),""),"")</f>
        <v/>
      </c>
      <c r="H538" s="97" t="str">
        <f aca="false">IFERROR(IF(ISNUMBER(INDEX(원자료_시장!$A$1:$BZ$1000,설정!$L$6+ROW()-1,설정!$L$30)),INDEX(원자료_시장!$A$1:$BZ$1000,설정!$L$6+ROW()-1,설정!$L$30),""),"")</f>
        <v/>
      </c>
      <c r="I538" s="97" t="str">
        <f aca="false">IFERROR(IF(ISNUMBER(INDEX(원자료_시장!$A$1:$BZ$1000,설정!$L$6+ROW()-1,설정!$L$31)),INDEX(원자료_시장!$A$1:$BZ$1000,설정!$L$6+ROW()-1,설정!$L$31),""),"")</f>
        <v/>
      </c>
      <c r="J538" s="97" t="str">
        <f aca="false">IFERROR(IF(ISNUMBER(INDEX(원자료_시장!$A$1:$BZ$1000,설정!$L$6+ROW()-1,설정!$L$32)),INDEX(원자료_시장!$A$1:$BZ$1000,설정!$L$6+ROW()-1,설정!$L$32),""),"")</f>
        <v/>
      </c>
      <c r="K538" s="85" t="str">
        <f aca="false">IFERROR(IF(ISNUMBER(INDEX(원자료_시장!$A$1:$BZ$1000,설정!$L$6+ROW()-1,설정!$L$33)),INDEX(원자료_시장!$A$1:$BZ$1000,설정!$L$6+ROW()-1,설정!$L$33),""),"")</f>
        <v/>
      </c>
      <c r="L538" s="83" t="n">
        <f aca="false">IFERROR(IF(INDEX(원자료_시장!$A$1:$BZ$1000,설정!$L$6+ROW()-1,설정!$L$34)&amp;""="0","",INDEX(원자료_시장!$A$1:$BZ$1000,설정!$L$6+ROW()-1,설정!$L$34)),"")</f>
        <v>0</v>
      </c>
      <c r="M538" s="83" t="n">
        <f aca="false">IFERROR(IF(INDEX(원자료_시장!$A$1:$BZ$1000,설정!$L$6+ROW()-1,설정!$L$35)&amp;""="0","",INDEX(원자료_시장!$A$1:$BZ$1000,설정!$L$6+ROW()-1,설정!$L$35)),"")</f>
        <v>0</v>
      </c>
      <c r="N538" s="83" t="n">
        <f aca="false">IFERROR(IF(INDEX(원자료_시장!$A$1:$BZ$1000,설정!$L$6+ROW()-1,설정!$L$36)&amp;""="0","",INDEX(원자료_시장!$A$1:$BZ$1000,설정!$L$6+ROW()-1,설정!$L$36)),"")</f>
        <v>0</v>
      </c>
      <c r="O538" s="43" t="str">
        <f aca="false">IF($A538="","",UPPER(LEFT($A538,FIND(" ",$A538&amp;" ")-1)))</f>
        <v/>
      </c>
      <c r="P538" s="43" t="str">
        <f aca="false">IF($A538="","",TRIM(RIGHT(SUBSTITUTE(TRIM($A538)," ",REPT(" ",30)),30)))</f>
        <v/>
      </c>
      <c r="Q538" s="98" t="str">
        <f aca="false">IF($A538="","",IFERROR(DATE(IF(LEN(P538)=8,2000+VALUE(RIGHT(P538,2)),VALUE(RIGHT(P538,4))),VALUE(LEFT(P538,2)),VALUE(MID(P538,4,2))),""))</f>
        <v/>
      </c>
      <c r="R538" s="89" t="n">
        <f aca="false">IF($A538="",0,IF(ISNUMBER(SEARCH("Float",$A538)),1,0))</f>
        <v>0</v>
      </c>
      <c r="S538" s="43" t="str">
        <f aca="false">IF($A538="","",TRIM(MID($A538,LEN(O538)+2,LEN($A538)-LEN(O538)-LEN(P538)-1)))</f>
        <v/>
      </c>
      <c r="T538" s="92" t="str">
        <f aca="false">IF(OR($A538="",R538=1),"",IFERROR(IF(ISNUMBER(FIND("/",S538)),IF(ISNUMBER(FIND(" ",S538)),VALUE(LEFT(S538,FIND(" ",S538)-1))+VALUE(MID(S538,FIND(" ",S538)+1,FIND("/",S538)-FIND(" ",S538)-1))/VALUE(MID(S538,FIND("/",S538)+1,9)),VALUE(LEFT(S538,FIND("/",S538)-1))/VALUE(MID(S538,FIND("/",S538)+1,9))),VALUE(S538)),""))</f>
        <v/>
      </c>
      <c r="U538" s="43" t="str">
        <f aca="false">IF(OR($A538="",NOT(ISNUMBER(Q538))),"",TEXT(Q538,"yyyymmdd")&amp;"|"&amp;IF(R538=1,"F",TEXT(T538,"0.000")))</f>
        <v/>
      </c>
      <c r="V538" s="43" t="str">
        <f aca="false">IF(U538="","",O538&amp;"|"&amp;U538)</f>
        <v/>
      </c>
      <c r="W538" s="43" t="str">
        <f aca="false">IF($A538="","",IFERROR(IF(VLOOKUP(O538,매핑!$A$4:$E$92,3,0)="","미분류",VLOOKUP(O538,매핑!$A$4:$E$92,3,0)),"미분류"))</f>
        <v/>
      </c>
      <c r="X538" s="89" t="n">
        <f aca="false">IF($A538="",0,IF(O538="T",1,0))</f>
        <v>0</v>
      </c>
      <c r="Y538" s="89" t="n">
        <f aca="false">IF($A538="",0,IF(AND(C538="USD",X538=0,ISNUMBER(E538),ISNUMBER(K538)),IF(K538&gt;=설정!$C$8,1,0),0))</f>
        <v>0</v>
      </c>
      <c r="Z538" s="43" t="str">
        <f aca="false">IF($A538="","",N538&amp;"|"&amp;L538)</f>
        <v/>
      </c>
      <c r="AA538" s="92" t="n">
        <f aca="false">IF(Y538=1,LN(K538),0)</f>
        <v>0</v>
      </c>
      <c r="AB538" s="93" t="n">
        <f aca="false">IF(Y538=1,E538,0)</f>
        <v>0</v>
      </c>
      <c r="AC538" s="89" t="n">
        <f aca="false">IF(Y538=1,COUNTIFS($Z$2:$Z$601,Z538,$Y$2:$Y$601,1),0)</f>
        <v>0</v>
      </c>
      <c r="AD538" s="89" t="n">
        <f aca="false">IF(Y538=1,COUNTIFS($N$2:$N$601,N538,$Y$2:$Y$601,1),0)</f>
        <v>0</v>
      </c>
      <c r="AE538" s="43" t="str">
        <f aca="false">IF(Y538&lt;&gt;1,"",IF(AND(AC538&gt;=설정!$C$7,ISNUMBER(MATCH(Z538,피어커브!$A:$A,0))),Z538,IF(AND(AD538&gt;=설정!$C$7,ISNUMBER(MATCH(N538&amp;"|전체",피어커브!$A:$A,0))),N538&amp;"|전체","전체|전체")))</f>
        <v/>
      </c>
      <c r="AF538" s="93" t="str">
        <f aca="false">IF(AE538="","",INDEX(피어커브!$K:$K,MATCH(AE538,피어커브!$A:$A,0)))</f>
        <v/>
      </c>
      <c r="AG538" s="93" t="str">
        <f aca="false">IF(AE538="","",INDEX(피어커브!$J:$J,MATCH(AE538,피어커브!$A:$A,0)))</f>
        <v/>
      </c>
      <c r="AH538" s="93" t="str">
        <f aca="false">IF(AE538="","",INDEX(피어커브!$L:$L,MATCH(AE538,피어커브!$A:$A,0)))</f>
        <v/>
      </c>
      <c r="AI538" s="93" t="str">
        <f aca="false">IF(AE538="","",AF538+AG538*AA538)</f>
        <v/>
      </c>
      <c r="AJ538" s="96" t="str">
        <f aca="false">IF(AE538="","",E538-AI538)</f>
        <v/>
      </c>
      <c r="AK538" s="95" t="str">
        <f aca="false">IF(AE538="","",IF(ISNUMBER(AH538),IF(AH538&gt;0,AJ538/AH538,""),""))</f>
        <v/>
      </c>
      <c r="AL538" s="43" t="str">
        <f aca="false">IF(AK538="","-",IF(AK538&gt;=설정!$C$6,"Cheap",IF(AK538&lt;=-설정!$C$6,"Rich","Fair")))</f>
        <v>-</v>
      </c>
      <c r="AM538" s="96" t="str">
        <f aca="false">IF(AE538="","",AJ538-AVERAGEIFS($AJ$2:$AJ$601,$B$2:$B$601,B538,$Y$2:$Y$601,1))</f>
        <v/>
      </c>
      <c r="AN538" s="93" t="n">
        <f aca="false">IF(AE538="",0,IF(K538&gt;1+설정!$C$8,AG538*(AA538-LN(K538-1)),0))</f>
        <v>0</v>
      </c>
      <c r="AO538" s="99" t="n">
        <f aca="false">IF($A538="",0,SUMIFS(보유분석!$AA$2:$AA$801,보유분석!$AB$2:$AB$801,ROW(),보유분석!$AC$2:$AC$801,1))</f>
        <v>0</v>
      </c>
      <c r="AP538" s="43" t="str">
        <f aca="false">IF($A538="","",TRIM(IF(R538=1,"FRN ","")&amp;IF(IFERROR(VLOOKUP(M538,설정!$A$15:$D$47,4,0),0)&gt;=10,IF(IFERROR(VLOOKUP(M538,설정!$A$15:$D$47,4,0),0)&lt;99,"BBB0미만 ",""),"")&amp;IF(OR(M538="",M538="NR"),"등급미입력 ","")&amp;IF(C538&lt;&gt;"USD","비USD ","")))</f>
        <v/>
      </c>
      <c r="AQ538" s="90" t="n">
        <f aca="false">IF(AND(Y538=1,AL538="Cheap"),IF(AND(ISERROR(SEARCH("FRN",AP538)),ISERROR(SEARCH("BBB0미만",AP538))),AK538+ROW()/1000000000,-999),-999)</f>
        <v>-999</v>
      </c>
      <c r="AR538" s="92" t="str">
        <f aca="false">IF(AND(ISNUMBER(D538),ISNUMBER(K538)),D538+AN538*MAX(K538-1,0)/100,"")</f>
        <v/>
      </c>
      <c r="AS538" s="93" t="str">
        <f aca="false">IF(AND(ISNUMBER(E538),ISNUMBER(K538)),IF(K538&gt;0,(E538+AN538*MAX(K538-1,0))/K538,""),"")</f>
        <v/>
      </c>
      <c r="AT538" s="90" t="n">
        <f aca="false">IFERROR(IF(AND(Y538=1,ROW()&lt;&gt;스왑분석!$C$12+1,ABS(K538-INDEX($K$2:$K$601,스왑분석!$C$12))&lt;=스왑분석!$C$5,ISERROR(SEARCH("FRN",AP538)),ISERROR(SEARCH("BBB0미만",AP538))),IF(AND(OR(스왑분석!$C$6="N",L538=INDEX($L$2:$L$601,스왑분석!$C$12)),OR(스왑분석!$C$7="N",N538=INDEX($N$2:$N$601,스왑분석!$C$12)),OR(스왑분석!$C$8="N",AO538=0),E538-INDEX($E$2:$E$601,스왑분석!$C$12)&gt;=스왑분석!$C$9),E538-INDEX($E$2:$E$601,스왑분석!$C$12)+ROW()/1000000000,-999),-999),-999)</f>
        <v>-999</v>
      </c>
      <c r="AU538" s="90" t="n">
        <f aca="false">IF(AND(Y538=1,AO538&gt;0,AL538="Rich"),-AK538+ROW()/1000000000,-999)</f>
        <v>-999</v>
      </c>
    </row>
    <row r="539" customFormat="false" ht="15" hidden="false" customHeight="false" outlineLevel="0" collapsed="false">
      <c r="A539" s="83" t="n">
        <f aca="false">IFERROR(IF(INDEX(원자료_시장!$A$1:$BZ$1000,설정!$L$6+ROW()-1,설정!$L$24)&amp;""="0","",INDEX(원자료_시장!$A$1:$BZ$1000,설정!$L$6+ROW()-1,설정!$L$24)),"")</f>
        <v>0</v>
      </c>
      <c r="B539" s="83" t="n">
        <f aca="false">IFERROR(IF(INDEX(원자료_시장!$A$1:$BZ$1000,설정!$L$6+ROW()-1,설정!$L$37)&amp;""="0","",INDEX(원자료_시장!$A$1:$BZ$1000,설정!$L$6+ROW()-1,설정!$L$37)),"")</f>
        <v>0</v>
      </c>
      <c r="C539" s="83" t="n">
        <f aca="false">IFERROR(IF(INDEX(원자료_시장!$A$1:$BZ$1000,설정!$L$6+ROW()-1,설정!$L$25)&amp;""="0","",INDEX(원자료_시장!$A$1:$BZ$1000,설정!$L$6+ROW()-1,설정!$L$25)),"")</f>
        <v>0</v>
      </c>
      <c r="D539" s="85" t="str">
        <f aca="false">IFERROR(IF(ISNUMBER(INDEX(원자료_시장!$A$1:$BZ$1000,설정!$L$6+ROW()-1,설정!$L$26)),INDEX(원자료_시장!$A$1:$BZ$1000,설정!$L$6+ROW()-1,설정!$L$26),""),"")</f>
        <v/>
      </c>
      <c r="E539" s="97" t="str">
        <f aca="false">IFERROR(IF(ISNUMBER(INDEX(원자료_시장!$A$1:$BZ$1000,설정!$L$6+ROW()-1,설정!$L$27)),INDEX(원자료_시장!$A$1:$BZ$1000,설정!$L$6+ROW()-1,설정!$L$27),""),"")</f>
        <v/>
      </c>
      <c r="F539" s="97" t="str">
        <f aca="false">IFERROR(IF(ISNUMBER(INDEX(원자료_시장!$A$1:$BZ$1000,설정!$L$6+ROW()-1,설정!$L$28)),INDEX(원자료_시장!$A$1:$BZ$1000,설정!$L$6+ROW()-1,설정!$L$28),""),"")</f>
        <v/>
      </c>
      <c r="G539" s="97" t="str">
        <f aca="false">IFERROR(IF(ISNUMBER(INDEX(원자료_시장!$A$1:$BZ$1000,설정!$L$6+ROW()-1,설정!$L$29)),INDEX(원자료_시장!$A$1:$BZ$1000,설정!$L$6+ROW()-1,설정!$L$29),""),"")</f>
        <v/>
      </c>
      <c r="H539" s="97" t="str">
        <f aca="false">IFERROR(IF(ISNUMBER(INDEX(원자료_시장!$A$1:$BZ$1000,설정!$L$6+ROW()-1,설정!$L$30)),INDEX(원자료_시장!$A$1:$BZ$1000,설정!$L$6+ROW()-1,설정!$L$30),""),"")</f>
        <v/>
      </c>
      <c r="I539" s="97" t="str">
        <f aca="false">IFERROR(IF(ISNUMBER(INDEX(원자료_시장!$A$1:$BZ$1000,설정!$L$6+ROW()-1,설정!$L$31)),INDEX(원자료_시장!$A$1:$BZ$1000,설정!$L$6+ROW()-1,설정!$L$31),""),"")</f>
        <v/>
      </c>
      <c r="J539" s="97" t="str">
        <f aca="false">IFERROR(IF(ISNUMBER(INDEX(원자료_시장!$A$1:$BZ$1000,설정!$L$6+ROW()-1,설정!$L$32)),INDEX(원자료_시장!$A$1:$BZ$1000,설정!$L$6+ROW()-1,설정!$L$32),""),"")</f>
        <v/>
      </c>
      <c r="K539" s="85" t="str">
        <f aca="false">IFERROR(IF(ISNUMBER(INDEX(원자료_시장!$A$1:$BZ$1000,설정!$L$6+ROW()-1,설정!$L$33)),INDEX(원자료_시장!$A$1:$BZ$1000,설정!$L$6+ROW()-1,설정!$L$33),""),"")</f>
        <v/>
      </c>
      <c r="L539" s="83" t="n">
        <f aca="false">IFERROR(IF(INDEX(원자료_시장!$A$1:$BZ$1000,설정!$L$6+ROW()-1,설정!$L$34)&amp;""="0","",INDEX(원자료_시장!$A$1:$BZ$1000,설정!$L$6+ROW()-1,설정!$L$34)),"")</f>
        <v>0</v>
      </c>
      <c r="M539" s="83" t="n">
        <f aca="false">IFERROR(IF(INDEX(원자료_시장!$A$1:$BZ$1000,설정!$L$6+ROW()-1,설정!$L$35)&amp;""="0","",INDEX(원자료_시장!$A$1:$BZ$1000,설정!$L$6+ROW()-1,설정!$L$35)),"")</f>
        <v>0</v>
      </c>
      <c r="N539" s="83" t="n">
        <f aca="false">IFERROR(IF(INDEX(원자료_시장!$A$1:$BZ$1000,설정!$L$6+ROW()-1,설정!$L$36)&amp;""="0","",INDEX(원자료_시장!$A$1:$BZ$1000,설정!$L$6+ROW()-1,설정!$L$36)),"")</f>
        <v>0</v>
      </c>
      <c r="O539" s="43" t="str">
        <f aca="false">IF($A539="","",UPPER(LEFT($A539,FIND(" ",$A539&amp;" ")-1)))</f>
        <v/>
      </c>
      <c r="P539" s="43" t="str">
        <f aca="false">IF($A539="","",TRIM(RIGHT(SUBSTITUTE(TRIM($A539)," ",REPT(" ",30)),30)))</f>
        <v/>
      </c>
      <c r="Q539" s="98" t="str">
        <f aca="false">IF($A539="","",IFERROR(DATE(IF(LEN(P539)=8,2000+VALUE(RIGHT(P539,2)),VALUE(RIGHT(P539,4))),VALUE(LEFT(P539,2)),VALUE(MID(P539,4,2))),""))</f>
        <v/>
      </c>
      <c r="R539" s="89" t="n">
        <f aca="false">IF($A539="",0,IF(ISNUMBER(SEARCH("Float",$A539)),1,0))</f>
        <v>0</v>
      </c>
      <c r="S539" s="43" t="str">
        <f aca="false">IF($A539="","",TRIM(MID($A539,LEN(O539)+2,LEN($A539)-LEN(O539)-LEN(P539)-1)))</f>
        <v/>
      </c>
      <c r="T539" s="92" t="str">
        <f aca="false">IF(OR($A539="",R539=1),"",IFERROR(IF(ISNUMBER(FIND("/",S539)),IF(ISNUMBER(FIND(" ",S539)),VALUE(LEFT(S539,FIND(" ",S539)-1))+VALUE(MID(S539,FIND(" ",S539)+1,FIND("/",S539)-FIND(" ",S539)-1))/VALUE(MID(S539,FIND("/",S539)+1,9)),VALUE(LEFT(S539,FIND("/",S539)-1))/VALUE(MID(S539,FIND("/",S539)+1,9))),VALUE(S539)),""))</f>
        <v/>
      </c>
      <c r="U539" s="43" t="str">
        <f aca="false">IF(OR($A539="",NOT(ISNUMBER(Q539))),"",TEXT(Q539,"yyyymmdd")&amp;"|"&amp;IF(R539=1,"F",TEXT(T539,"0.000")))</f>
        <v/>
      </c>
      <c r="V539" s="43" t="str">
        <f aca="false">IF(U539="","",O539&amp;"|"&amp;U539)</f>
        <v/>
      </c>
      <c r="W539" s="43" t="str">
        <f aca="false">IF($A539="","",IFERROR(IF(VLOOKUP(O539,매핑!$A$4:$E$92,3,0)="","미분류",VLOOKUP(O539,매핑!$A$4:$E$92,3,0)),"미분류"))</f>
        <v/>
      </c>
      <c r="X539" s="89" t="n">
        <f aca="false">IF($A539="",0,IF(O539="T",1,0))</f>
        <v>0</v>
      </c>
      <c r="Y539" s="89" t="n">
        <f aca="false">IF($A539="",0,IF(AND(C539="USD",X539=0,ISNUMBER(E539),ISNUMBER(K539)),IF(K539&gt;=설정!$C$8,1,0),0))</f>
        <v>0</v>
      </c>
      <c r="Z539" s="43" t="str">
        <f aca="false">IF($A539="","",N539&amp;"|"&amp;L539)</f>
        <v/>
      </c>
      <c r="AA539" s="92" t="n">
        <f aca="false">IF(Y539=1,LN(K539),0)</f>
        <v>0</v>
      </c>
      <c r="AB539" s="93" t="n">
        <f aca="false">IF(Y539=1,E539,0)</f>
        <v>0</v>
      </c>
      <c r="AC539" s="89" t="n">
        <f aca="false">IF(Y539=1,COUNTIFS($Z$2:$Z$601,Z539,$Y$2:$Y$601,1),0)</f>
        <v>0</v>
      </c>
      <c r="AD539" s="89" t="n">
        <f aca="false">IF(Y539=1,COUNTIFS($N$2:$N$601,N539,$Y$2:$Y$601,1),0)</f>
        <v>0</v>
      </c>
      <c r="AE539" s="43" t="str">
        <f aca="false">IF(Y539&lt;&gt;1,"",IF(AND(AC539&gt;=설정!$C$7,ISNUMBER(MATCH(Z539,피어커브!$A:$A,0))),Z539,IF(AND(AD539&gt;=설정!$C$7,ISNUMBER(MATCH(N539&amp;"|전체",피어커브!$A:$A,0))),N539&amp;"|전체","전체|전체")))</f>
        <v/>
      </c>
      <c r="AF539" s="93" t="str">
        <f aca="false">IF(AE539="","",INDEX(피어커브!$K:$K,MATCH(AE539,피어커브!$A:$A,0)))</f>
        <v/>
      </c>
      <c r="AG539" s="93" t="str">
        <f aca="false">IF(AE539="","",INDEX(피어커브!$J:$J,MATCH(AE539,피어커브!$A:$A,0)))</f>
        <v/>
      </c>
      <c r="AH539" s="93" t="str">
        <f aca="false">IF(AE539="","",INDEX(피어커브!$L:$L,MATCH(AE539,피어커브!$A:$A,0)))</f>
        <v/>
      </c>
      <c r="AI539" s="93" t="str">
        <f aca="false">IF(AE539="","",AF539+AG539*AA539)</f>
        <v/>
      </c>
      <c r="AJ539" s="96" t="str">
        <f aca="false">IF(AE539="","",E539-AI539)</f>
        <v/>
      </c>
      <c r="AK539" s="95" t="str">
        <f aca="false">IF(AE539="","",IF(ISNUMBER(AH539),IF(AH539&gt;0,AJ539/AH539,""),""))</f>
        <v/>
      </c>
      <c r="AL539" s="43" t="str">
        <f aca="false">IF(AK539="","-",IF(AK539&gt;=설정!$C$6,"Cheap",IF(AK539&lt;=-설정!$C$6,"Rich","Fair")))</f>
        <v>-</v>
      </c>
      <c r="AM539" s="96" t="str">
        <f aca="false">IF(AE539="","",AJ539-AVERAGEIFS($AJ$2:$AJ$601,$B$2:$B$601,B539,$Y$2:$Y$601,1))</f>
        <v/>
      </c>
      <c r="AN539" s="93" t="n">
        <f aca="false">IF(AE539="",0,IF(K539&gt;1+설정!$C$8,AG539*(AA539-LN(K539-1)),0))</f>
        <v>0</v>
      </c>
      <c r="AO539" s="99" t="n">
        <f aca="false">IF($A539="",0,SUMIFS(보유분석!$AA$2:$AA$801,보유분석!$AB$2:$AB$801,ROW(),보유분석!$AC$2:$AC$801,1))</f>
        <v>0</v>
      </c>
      <c r="AP539" s="43" t="str">
        <f aca="false">IF($A539="","",TRIM(IF(R539=1,"FRN ","")&amp;IF(IFERROR(VLOOKUP(M539,설정!$A$15:$D$47,4,0),0)&gt;=10,IF(IFERROR(VLOOKUP(M539,설정!$A$15:$D$47,4,0),0)&lt;99,"BBB0미만 ",""),"")&amp;IF(OR(M539="",M539="NR"),"등급미입력 ","")&amp;IF(C539&lt;&gt;"USD","비USD ","")))</f>
        <v/>
      </c>
      <c r="AQ539" s="90" t="n">
        <f aca="false">IF(AND(Y539=1,AL539="Cheap"),IF(AND(ISERROR(SEARCH("FRN",AP539)),ISERROR(SEARCH("BBB0미만",AP539))),AK539+ROW()/1000000000,-999),-999)</f>
        <v>-999</v>
      </c>
      <c r="AR539" s="92" t="str">
        <f aca="false">IF(AND(ISNUMBER(D539),ISNUMBER(K539)),D539+AN539*MAX(K539-1,0)/100,"")</f>
        <v/>
      </c>
      <c r="AS539" s="93" t="str">
        <f aca="false">IF(AND(ISNUMBER(E539),ISNUMBER(K539)),IF(K539&gt;0,(E539+AN539*MAX(K539-1,0))/K539,""),"")</f>
        <v/>
      </c>
      <c r="AT539" s="90" t="n">
        <f aca="false">IFERROR(IF(AND(Y539=1,ROW()&lt;&gt;스왑분석!$C$12+1,ABS(K539-INDEX($K$2:$K$601,스왑분석!$C$12))&lt;=스왑분석!$C$5,ISERROR(SEARCH("FRN",AP539)),ISERROR(SEARCH("BBB0미만",AP539))),IF(AND(OR(스왑분석!$C$6="N",L539=INDEX($L$2:$L$601,스왑분석!$C$12)),OR(스왑분석!$C$7="N",N539=INDEX($N$2:$N$601,스왑분석!$C$12)),OR(스왑분석!$C$8="N",AO539=0),E539-INDEX($E$2:$E$601,스왑분석!$C$12)&gt;=스왑분석!$C$9),E539-INDEX($E$2:$E$601,스왑분석!$C$12)+ROW()/1000000000,-999),-999),-999)</f>
        <v>-999</v>
      </c>
      <c r="AU539" s="90" t="n">
        <f aca="false">IF(AND(Y539=1,AO539&gt;0,AL539="Rich"),-AK539+ROW()/1000000000,-999)</f>
        <v>-999</v>
      </c>
    </row>
    <row r="540" customFormat="false" ht="15" hidden="false" customHeight="false" outlineLevel="0" collapsed="false">
      <c r="A540" s="83" t="n">
        <f aca="false">IFERROR(IF(INDEX(원자료_시장!$A$1:$BZ$1000,설정!$L$6+ROW()-1,설정!$L$24)&amp;""="0","",INDEX(원자료_시장!$A$1:$BZ$1000,설정!$L$6+ROW()-1,설정!$L$24)),"")</f>
        <v>0</v>
      </c>
      <c r="B540" s="83" t="n">
        <f aca="false">IFERROR(IF(INDEX(원자료_시장!$A$1:$BZ$1000,설정!$L$6+ROW()-1,설정!$L$37)&amp;""="0","",INDEX(원자료_시장!$A$1:$BZ$1000,설정!$L$6+ROW()-1,설정!$L$37)),"")</f>
        <v>0</v>
      </c>
      <c r="C540" s="83" t="n">
        <f aca="false">IFERROR(IF(INDEX(원자료_시장!$A$1:$BZ$1000,설정!$L$6+ROW()-1,설정!$L$25)&amp;""="0","",INDEX(원자료_시장!$A$1:$BZ$1000,설정!$L$6+ROW()-1,설정!$L$25)),"")</f>
        <v>0</v>
      </c>
      <c r="D540" s="85" t="str">
        <f aca="false">IFERROR(IF(ISNUMBER(INDEX(원자료_시장!$A$1:$BZ$1000,설정!$L$6+ROW()-1,설정!$L$26)),INDEX(원자료_시장!$A$1:$BZ$1000,설정!$L$6+ROW()-1,설정!$L$26),""),"")</f>
        <v/>
      </c>
      <c r="E540" s="97" t="str">
        <f aca="false">IFERROR(IF(ISNUMBER(INDEX(원자료_시장!$A$1:$BZ$1000,설정!$L$6+ROW()-1,설정!$L$27)),INDEX(원자료_시장!$A$1:$BZ$1000,설정!$L$6+ROW()-1,설정!$L$27),""),"")</f>
        <v/>
      </c>
      <c r="F540" s="97" t="str">
        <f aca="false">IFERROR(IF(ISNUMBER(INDEX(원자료_시장!$A$1:$BZ$1000,설정!$L$6+ROW()-1,설정!$L$28)),INDEX(원자료_시장!$A$1:$BZ$1000,설정!$L$6+ROW()-1,설정!$L$28),""),"")</f>
        <v/>
      </c>
      <c r="G540" s="97" t="str">
        <f aca="false">IFERROR(IF(ISNUMBER(INDEX(원자료_시장!$A$1:$BZ$1000,설정!$L$6+ROW()-1,설정!$L$29)),INDEX(원자료_시장!$A$1:$BZ$1000,설정!$L$6+ROW()-1,설정!$L$29),""),"")</f>
        <v/>
      </c>
      <c r="H540" s="97" t="str">
        <f aca="false">IFERROR(IF(ISNUMBER(INDEX(원자료_시장!$A$1:$BZ$1000,설정!$L$6+ROW()-1,설정!$L$30)),INDEX(원자료_시장!$A$1:$BZ$1000,설정!$L$6+ROW()-1,설정!$L$30),""),"")</f>
        <v/>
      </c>
      <c r="I540" s="97" t="str">
        <f aca="false">IFERROR(IF(ISNUMBER(INDEX(원자료_시장!$A$1:$BZ$1000,설정!$L$6+ROW()-1,설정!$L$31)),INDEX(원자료_시장!$A$1:$BZ$1000,설정!$L$6+ROW()-1,설정!$L$31),""),"")</f>
        <v/>
      </c>
      <c r="J540" s="97" t="str">
        <f aca="false">IFERROR(IF(ISNUMBER(INDEX(원자료_시장!$A$1:$BZ$1000,설정!$L$6+ROW()-1,설정!$L$32)),INDEX(원자료_시장!$A$1:$BZ$1000,설정!$L$6+ROW()-1,설정!$L$32),""),"")</f>
        <v/>
      </c>
      <c r="K540" s="85" t="str">
        <f aca="false">IFERROR(IF(ISNUMBER(INDEX(원자료_시장!$A$1:$BZ$1000,설정!$L$6+ROW()-1,설정!$L$33)),INDEX(원자료_시장!$A$1:$BZ$1000,설정!$L$6+ROW()-1,설정!$L$33),""),"")</f>
        <v/>
      </c>
      <c r="L540" s="83" t="n">
        <f aca="false">IFERROR(IF(INDEX(원자료_시장!$A$1:$BZ$1000,설정!$L$6+ROW()-1,설정!$L$34)&amp;""="0","",INDEX(원자료_시장!$A$1:$BZ$1000,설정!$L$6+ROW()-1,설정!$L$34)),"")</f>
        <v>0</v>
      </c>
      <c r="M540" s="83" t="n">
        <f aca="false">IFERROR(IF(INDEX(원자료_시장!$A$1:$BZ$1000,설정!$L$6+ROW()-1,설정!$L$35)&amp;""="0","",INDEX(원자료_시장!$A$1:$BZ$1000,설정!$L$6+ROW()-1,설정!$L$35)),"")</f>
        <v>0</v>
      </c>
      <c r="N540" s="83" t="n">
        <f aca="false">IFERROR(IF(INDEX(원자료_시장!$A$1:$BZ$1000,설정!$L$6+ROW()-1,설정!$L$36)&amp;""="0","",INDEX(원자료_시장!$A$1:$BZ$1000,설정!$L$6+ROW()-1,설정!$L$36)),"")</f>
        <v>0</v>
      </c>
      <c r="O540" s="43" t="str">
        <f aca="false">IF($A540="","",UPPER(LEFT($A540,FIND(" ",$A540&amp;" ")-1)))</f>
        <v/>
      </c>
      <c r="P540" s="43" t="str">
        <f aca="false">IF($A540="","",TRIM(RIGHT(SUBSTITUTE(TRIM($A540)," ",REPT(" ",30)),30)))</f>
        <v/>
      </c>
      <c r="Q540" s="98" t="str">
        <f aca="false">IF($A540="","",IFERROR(DATE(IF(LEN(P540)=8,2000+VALUE(RIGHT(P540,2)),VALUE(RIGHT(P540,4))),VALUE(LEFT(P540,2)),VALUE(MID(P540,4,2))),""))</f>
        <v/>
      </c>
      <c r="R540" s="89" t="n">
        <f aca="false">IF($A540="",0,IF(ISNUMBER(SEARCH("Float",$A540)),1,0))</f>
        <v>0</v>
      </c>
      <c r="S540" s="43" t="str">
        <f aca="false">IF($A540="","",TRIM(MID($A540,LEN(O540)+2,LEN($A540)-LEN(O540)-LEN(P540)-1)))</f>
        <v/>
      </c>
      <c r="T540" s="92" t="str">
        <f aca="false">IF(OR($A540="",R540=1),"",IFERROR(IF(ISNUMBER(FIND("/",S540)),IF(ISNUMBER(FIND(" ",S540)),VALUE(LEFT(S540,FIND(" ",S540)-1))+VALUE(MID(S540,FIND(" ",S540)+1,FIND("/",S540)-FIND(" ",S540)-1))/VALUE(MID(S540,FIND("/",S540)+1,9)),VALUE(LEFT(S540,FIND("/",S540)-1))/VALUE(MID(S540,FIND("/",S540)+1,9))),VALUE(S540)),""))</f>
        <v/>
      </c>
      <c r="U540" s="43" t="str">
        <f aca="false">IF(OR($A540="",NOT(ISNUMBER(Q540))),"",TEXT(Q540,"yyyymmdd")&amp;"|"&amp;IF(R540=1,"F",TEXT(T540,"0.000")))</f>
        <v/>
      </c>
      <c r="V540" s="43" t="str">
        <f aca="false">IF(U540="","",O540&amp;"|"&amp;U540)</f>
        <v/>
      </c>
      <c r="W540" s="43" t="str">
        <f aca="false">IF($A540="","",IFERROR(IF(VLOOKUP(O540,매핑!$A$4:$E$92,3,0)="","미분류",VLOOKUP(O540,매핑!$A$4:$E$92,3,0)),"미분류"))</f>
        <v/>
      </c>
      <c r="X540" s="89" t="n">
        <f aca="false">IF($A540="",0,IF(O540="T",1,0))</f>
        <v>0</v>
      </c>
      <c r="Y540" s="89" t="n">
        <f aca="false">IF($A540="",0,IF(AND(C540="USD",X540=0,ISNUMBER(E540),ISNUMBER(K540)),IF(K540&gt;=설정!$C$8,1,0),0))</f>
        <v>0</v>
      </c>
      <c r="Z540" s="43" t="str">
        <f aca="false">IF($A540="","",N540&amp;"|"&amp;L540)</f>
        <v/>
      </c>
      <c r="AA540" s="92" t="n">
        <f aca="false">IF(Y540=1,LN(K540),0)</f>
        <v>0</v>
      </c>
      <c r="AB540" s="93" t="n">
        <f aca="false">IF(Y540=1,E540,0)</f>
        <v>0</v>
      </c>
      <c r="AC540" s="89" t="n">
        <f aca="false">IF(Y540=1,COUNTIFS($Z$2:$Z$601,Z540,$Y$2:$Y$601,1),0)</f>
        <v>0</v>
      </c>
      <c r="AD540" s="89" t="n">
        <f aca="false">IF(Y540=1,COUNTIFS($N$2:$N$601,N540,$Y$2:$Y$601,1),0)</f>
        <v>0</v>
      </c>
      <c r="AE540" s="43" t="str">
        <f aca="false">IF(Y540&lt;&gt;1,"",IF(AND(AC540&gt;=설정!$C$7,ISNUMBER(MATCH(Z540,피어커브!$A:$A,0))),Z540,IF(AND(AD540&gt;=설정!$C$7,ISNUMBER(MATCH(N540&amp;"|전체",피어커브!$A:$A,0))),N540&amp;"|전체","전체|전체")))</f>
        <v/>
      </c>
      <c r="AF540" s="93" t="str">
        <f aca="false">IF(AE540="","",INDEX(피어커브!$K:$K,MATCH(AE540,피어커브!$A:$A,0)))</f>
        <v/>
      </c>
      <c r="AG540" s="93" t="str">
        <f aca="false">IF(AE540="","",INDEX(피어커브!$J:$J,MATCH(AE540,피어커브!$A:$A,0)))</f>
        <v/>
      </c>
      <c r="AH540" s="93" t="str">
        <f aca="false">IF(AE540="","",INDEX(피어커브!$L:$L,MATCH(AE540,피어커브!$A:$A,0)))</f>
        <v/>
      </c>
      <c r="AI540" s="93" t="str">
        <f aca="false">IF(AE540="","",AF540+AG540*AA540)</f>
        <v/>
      </c>
      <c r="AJ540" s="96" t="str">
        <f aca="false">IF(AE540="","",E540-AI540)</f>
        <v/>
      </c>
      <c r="AK540" s="95" t="str">
        <f aca="false">IF(AE540="","",IF(ISNUMBER(AH540),IF(AH540&gt;0,AJ540/AH540,""),""))</f>
        <v/>
      </c>
      <c r="AL540" s="43" t="str">
        <f aca="false">IF(AK540="","-",IF(AK540&gt;=설정!$C$6,"Cheap",IF(AK540&lt;=-설정!$C$6,"Rich","Fair")))</f>
        <v>-</v>
      </c>
      <c r="AM540" s="96" t="str">
        <f aca="false">IF(AE540="","",AJ540-AVERAGEIFS($AJ$2:$AJ$601,$B$2:$B$601,B540,$Y$2:$Y$601,1))</f>
        <v/>
      </c>
      <c r="AN540" s="93" t="n">
        <f aca="false">IF(AE540="",0,IF(K540&gt;1+설정!$C$8,AG540*(AA540-LN(K540-1)),0))</f>
        <v>0</v>
      </c>
      <c r="AO540" s="99" t="n">
        <f aca="false">IF($A540="",0,SUMIFS(보유분석!$AA$2:$AA$801,보유분석!$AB$2:$AB$801,ROW(),보유분석!$AC$2:$AC$801,1))</f>
        <v>0</v>
      </c>
      <c r="AP540" s="43" t="str">
        <f aca="false">IF($A540="","",TRIM(IF(R540=1,"FRN ","")&amp;IF(IFERROR(VLOOKUP(M540,설정!$A$15:$D$47,4,0),0)&gt;=10,IF(IFERROR(VLOOKUP(M540,설정!$A$15:$D$47,4,0),0)&lt;99,"BBB0미만 ",""),"")&amp;IF(OR(M540="",M540="NR"),"등급미입력 ","")&amp;IF(C540&lt;&gt;"USD","비USD ","")))</f>
        <v/>
      </c>
      <c r="AQ540" s="90" t="n">
        <f aca="false">IF(AND(Y540=1,AL540="Cheap"),IF(AND(ISERROR(SEARCH("FRN",AP540)),ISERROR(SEARCH("BBB0미만",AP540))),AK540+ROW()/1000000000,-999),-999)</f>
        <v>-999</v>
      </c>
      <c r="AR540" s="92" t="str">
        <f aca="false">IF(AND(ISNUMBER(D540),ISNUMBER(K540)),D540+AN540*MAX(K540-1,0)/100,"")</f>
        <v/>
      </c>
      <c r="AS540" s="93" t="str">
        <f aca="false">IF(AND(ISNUMBER(E540),ISNUMBER(K540)),IF(K540&gt;0,(E540+AN540*MAX(K540-1,0))/K540,""),"")</f>
        <v/>
      </c>
      <c r="AT540" s="90" t="n">
        <f aca="false">IFERROR(IF(AND(Y540=1,ROW()&lt;&gt;스왑분석!$C$12+1,ABS(K540-INDEX($K$2:$K$601,스왑분석!$C$12))&lt;=스왑분석!$C$5,ISERROR(SEARCH("FRN",AP540)),ISERROR(SEARCH("BBB0미만",AP540))),IF(AND(OR(스왑분석!$C$6="N",L540=INDEX($L$2:$L$601,스왑분석!$C$12)),OR(스왑분석!$C$7="N",N540=INDEX($N$2:$N$601,스왑분석!$C$12)),OR(스왑분석!$C$8="N",AO540=0),E540-INDEX($E$2:$E$601,스왑분석!$C$12)&gt;=스왑분석!$C$9),E540-INDEX($E$2:$E$601,스왑분석!$C$12)+ROW()/1000000000,-999),-999),-999)</f>
        <v>-999</v>
      </c>
      <c r="AU540" s="90" t="n">
        <f aca="false">IF(AND(Y540=1,AO540&gt;0,AL540="Rich"),-AK540+ROW()/1000000000,-999)</f>
        <v>-999</v>
      </c>
    </row>
    <row r="541" customFormat="false" ht="15" hidden="false" customHeight="false" outlineLevel="0" collapsed="false">
      <c r="A541" s="83" t="n">
        <f aca="false">IFERROR(IF(INDEX(원자료_시장!$A$1:$BZ$1000,설정!$L$6+ROW()-1,설정!$L$24)&amp;""="0","",INDEX(원자료_시장!$A$1:$BZ$1000,설정!$L$6+ROW()-1,설정!$L$24)),"")</f>
        <v>0</v>
      </c>
      <c r="B541" s="83" t="n">
        <f aca="false">IFERROR(IF(INDEX(원자료_시장!$A$1:$BZ$1000,설정!$L$6+ROW()-1,설정!$L$37)&amp;""="0","",INDEX(원자료_시장!$A$1:$BZ$1000,설정!$L$6+ROW()-1,설정!$L$37)),"")</f>
        <v>0</v>
      </c>
      <c r="C541" s="83" t="n">
        <f aca="false">IFERROR(IF(INDEX(원자료_시장!$A$1:$BZ$1000,설정!$L$6+ROW()-1,설정!$L$25)&amp;""="0","",INDEX(원자료_시장!$A$1:$BZ$1000,설정!$L$6+ROW()-1,설정!$L$25)),"")</f>
        <v>0</v>
      </c>
      <c r="D541" s="85" t="str">
        <f aca="false">IFERROR(IF(ISNUMBER(INDEX(원자료_시장!$A$1:$BZ$1000,설정!$L$6+ROW()-1,설정!$L$26)),INDEX(원자료_시장!$A$1:$BZ$1000,설정!$L$6+ROW()-1,설정!$L$26),""),"")</f>
        <v/>
      </c>
      <c r="E541" s="97" t="str">
        <f aca="false">IFERROR(IF(ISNUMBER(INDEX(원자료_시장!$A$1:$BZ$1000,설정!$L$6+ROW()-1,설정!$L$27)),INDEX(원자료_시장!$A$1:$BZ$1000,설정!$L$6+ROW()-1,설정!$L$27),""),"")</f>
        <v/>
      </c>
      <c r="F541" s="97" t="str">
        <f aca="false">IFERROR(IF(ISNUMBER(INDEX(원자료_시장!$A$1:$BZ$1000,설정!$L$6+ROW()-1,설정!$L$28)),INDEX(원자료_시장!$A$1:$BZ$1000,설정!$L$6+ROW()-1,설정!$L$28),""),"")</f>
        <v/>
      </c>
      <c r="G541" s="97" t="str">
        <f aca="false">IFERROR(IF(ISNUMBER(INDEX(원자료_시장!$A$1:$BZ$1000,설정!$L$6+ROW()-1,설정!$L$29)),INDEX(원자료_시장!$A$1:$BZ$1000,설정!$L$6+ROW()-1,설정!$L$29),""),"")</f>
        <v/>
      </c>
      <c r="H541" s="97" t="str">
        <f aca="false">IFERROR(IF(ISNUMBER(INDEX(원자료_시장!$A$1:$BZ$1000,설정!$L$6+ROW()-1,설정!$L$30)),INDEX(원자료_시장!$A$1:$BZ$1000,설정!$L$6+ROW()-1,설정!$L$30),""),"")</f>
        <v/>
      </c>
      <c r="I541" s="97" t="str">
        <f aca="false">IFERROR(IF(ISNUMBER(INDEX(원자료_시장!$A$1:$BZ$1000,설정!$L$6+ROW()-1,설정!$L$31)),INDEX(원자료_시장!$A$1:$BZ$1000,설정!$L$6+ROW()-1,설정!$L$31),""),"")</f>
        <v/>
      </c>
      <c r="J541" s="97" t="str">
        <f aca="false">IFERROR(IF(ISNUMBER(INDEX(원자료_시장!$A$1:$BZ$1000,설정!$L$6+ROW()-1,설정!$L$32)),INDEX(원자료_시장!$A$1:$BZ$1000,설정!$L$6+ROW()-1,설정!$L$32),""),"")</f>
        <v/>
      </c>
      <c r="K541" s="85" t="str">
        <f aca="false">IFERROR(IF(ISNUMBER(INDEX(원자료_시장!$A$1:$BZ$1000,설정!$L$6+ROW()-1,설정!$L$33)),INDEX(원자료_시장!$A$1:$BZ$1000,설정!$L$6+ROW()-1,설정!$L$33),""),"")</f>
        <v/>
      </c>
      <c r="L541" s="83" t="n">
        <f aca="false">IFERROR(IF(INDEX(원자료_시장!$A$1:$BZ$1000,설정!$L$6+ROW()-1,설정!$L$34)&amp;""="0","",INDEX(원자료_시장!$A$1:$BZ$1000,설정!$L$6+ROW()-1,설정!$L$34)),"")</f>
        <v>0</v>
      </c>
      <c r="M541" s="83" t="n">
        <f aca="false">IFERROR(IF(INDEX(원자료_시장!$A$1:$BZ$1000,설정!$L$6+ROW()-1,설정!$L$35)&amp;""="0","",INDEX(원자료_시장!$A$1:$BZ$1000,설정!$L$6+ROW()-1,설정!$L$35)),"")</f>
        <v>0</v>
      </c>
      <c r="N541" s="83" t="n">
        <f aca="false">IFERROR(IF(INDEX(원자료_시장!$A$1:$BZ$1000,설정!$L$6+ROW()-1,설정!$L$36)&amp;""="0","",INDEX(원자료_시장!$A$1:$BZ$1000,설정!$L$6+ROW()-1,설정!$L$36)),"")</f>
        <v>0</v>
      </c>
      <c r="O541" s="43" t="str">
        <f aca="false">IF($A541="","",UPPER(LEFT($A541,FIND(" ",$A541&amp;" ")-1)))</f>
        <v/>
      </c>
      <c r="P541" s="43" t="str">
        <f aca="false">IF($A541="","",TRIM(RIGHT(SUBSTITUTE(TRIM($A541)," ",REPT(" ",30)),30)))</f>
        <v/>
      </c>
      <c r="Q541" s="98" t="str">
        <f aca="false">IF($A541="","",IFERROR(DATE(IF(LEN(P541)=8,2000+VALUE(RIGHT(P541,2)),VALUE(RIGHT(P541,4))),VALUE(LEFT(P541,2)),VALUE(MID(P541,4,2))),""))</f>
        <v/>
      </c>
      <c r="R541" s="89" t="n">
        <f aca="false">IF($A541="",0,IF(ISNUMBER(SEARCH("Float",$A541)),1,0))</f>
        <v>0</v>
      </c>
      <c r="S541" s="43" t="str">
        <f aca="false">IF($A541="","",TRIM(MID($A541,LEN(O541)+2,LEN($A541)-LEN(O541)-LEN(P541)-1)))</f>
        <v/>
      </c>
      <c r="T541" s="92" t="str">
        <f aca="false">IF(OR($A541="",R541=1),"",IFERROR(IF(ISNUMBER(FIND("/",S541)),IF(ISNUMBER(FIND(" ",S541)),VALUE(LEFT(S541,FIND(" ",S541)-1))+VALUE(MID(S541,FIND(" ",S541)+1,FIND("/",S541)-FIND(" ",S541)-1))/VALUE(MID(S541,FIND("/",S541)+1,9)),VALUE(LEFT(S541,FIND("/",S541)-1))/VALUE(MID(S541,FIND("/",S541)+1,9))),VALUE(S541)),""))</f>
        <v/>
      </c>
      <c r="U541" s="43" t="str">
        <f aca="false">IF(OR($A541="",NOT(ISNUMBER(Q541))),"",TEXT(Q541,"yyyymmdd")&amp;"|"&amp;IF(R541=1,"F",TEXT(T541,"0.000")))</f>
        <v/>
      </c>
      <c r="V541" s="43" t="str">
        <f aca="false">IF(U541="","",O541&amp;"|"&amp;U541)</f>
        <v/>
      </c>
      <c r="W541" s="43" t="str">
        <f aca="false">IF($A541="","",IFERROR(IF(VLOOKUP(O541,매핑!$A$4:$E$92,3,0)="","미분류",VLOOKUP(O541,매핑!$A$4:$E$92,3,0)),"미분류"))</f>
        <v/>
      </c>
      <c r="X541" s="89" t="n">
        <f aca="false">IF($A541="",0,IF(O541="T",1,0))</f>
        <v>0</v>
      </c>
      <c r="Y541" s="89" t="n">
        <f aca="false">IF($A541="",0,IF(AND(C541="USD",X541=0,ISNUMBER(E541),ISNUMBER(K541)),IF(K541&gt;=설정!$C$8,1,0),0))</f>
        <v>0</v>
      </c>
      <c r="Z541" s="43" t="str">
        <f aca="false">IF($A541="","",N541&amp;"|"&amp;L541)</f>
        <v/>
      </c>
      <c r="AA541" s="92" t="n">
        <f aca="false">IF(Y541=1,LN(K541),0)</f>
        <v>0</v>
      </c>
      <c r="AB541" s="93" t="n">
        <f aca="false">IF(Y541=1,E541,0)</f>
        <v>0</v>
      </c>
      <c r="AC541" s="89" t="n">
        <f aca="false">IF(Y541=1,COUNTIFS($Z$2:$Z$601,Z541,$Y$2:$Y$601,1),0)</f>
        <v>0</v>
      </c>
      <c r="AD541" s="89" t="n">
        <f aca="false">IF(Y541=1,COUNTIFS($N$2:$N$601,N541,$Y$2:$Y$601,1),0)</f>
        <v>0</v>
      </c>
      <c r="AE541" s="43" t="str">
        <f aca="false">IF(Y541&lt;&gt;1,"",IF(AND(AC541&gt;=설정!$C$7,ISNUMBER(MATCH(Z541,피어커브!$A:$A,0))),Z541,IF(AND(AD541&gt;=설정!$C$7,ISNUMBER(MATCH(N541&amp;"|전체",피어커브!$A:$A,0))),N541&amp;"|전체","전체|전체")))</f>
        <v/>
      </c>
      <c r="AF541" s="93" t="str">
        <f aca="false">IF(AE541="","",INDEX(피어커브!$K:$K,MATCH(AE541,피어커브!$A:$A,0)))</f>
        <v/>
      </c>
      <c r="AG541" s="93" t="str">
        <f aca="false">IF(AE541="","",INDEX(피어커브!$J:$J,MATCH(AE541,피어커브!$A:$A,0)))</f>
        <v/>
      </c>
      <c r="AH541" s="93" t="str">
        <f aca="false">IF(AE541="","",INDEX(피어커브!$L:$L,MATCH(AE541,피어커브!$A:$A,0)))</f>
        <v/>
      </c>
      <c r="AI541" s="93" t="str">
        <f aca="false">IF(AE541="","",AF541+AG541*AA541)</f>
        <v/>
      </c>
      <c r="AJ541" s="96" t="str">
        <f aca="false">IF(AE541="","",E541-AI541)</f>
        <v/>
      </c>
      <c r="AK541" s="95" t="str">
        <f aca="false">IF(AE541="","",IF(ISNUMBER(AH541),IF(AH541&gt;0,AJ541/AH541,""),""))</f>
        <v/>
      </c>
      <c r="AL541" s="43" t="str">
        <f aca="false">IF(AK541="","-",IF(AK541&gt;=설정!$C$6,"Cheap",IF(AK541&lt;=-설정!$C$6,"Rich","Fair")))</f>
        <v>-</v>
      </c>
      <c r="AM541" s="96" t="str">
        <f aca="false">IF(AE541="","",AJ541-AVERAGEIFS($AJ$2:$AJ$601,$B$2:$B$601,B541,$Y$2:$Y$601,1))</f>
        <v/>
      </c>
      <c r="AN541" s="93" t="n">
        <f aca="false">IF(AE541="",0,IF(K541&gt;1+설정!$C$8,AG541*(AA541-LN(K541-1)),0))</f>
        <v>0</v>
      </c>
      <c r="AO541" s="99" t="n">
        <f aca="false">IF($A541="",0,SUMIFS(보유분석!$AA$2:$AA$801,보유분석!$AB$2:$AB$801,ROW(),보유분석!$AC$2:$AC$801,1))</f>
        <v>0</v>
      </c>
      <c r="AP541" s="43" t="str">
        <f aca="false">IF($A541="","",TRIM(IF(R541=1,"FRN ","")&amp;IF(IFERROR(VLOOKUP(M541,설정!$A$15:$D$47,4,0),0)&gt;=10,IF(IFERROR(VLOOKUP(M541,설정!$A$15:$D$47,4,0),0)&lt;99,"BBB0미만 ",""),"")&amp;IF(OR(M541="",M541="NR"),"등급미입력 ","")&amp;IF(C541&lt;&gt;"USD","비USD ","")))</f>
        <v/>
      </c>
      <c r="AQ541" s="90" t="n">
        <f aca="false">IF(AND(Y541=1,AL541="Cheap"),IF(AND(ISERROR(SEARCH("FRN",AP541)),ISERROR(SEARCH("BBB0미만",AP541))),AK541+ROW()/1000000000,-999),-999)</f>
        <v>-999</v>
      </c>
      <c r="AR541" s="92" t="str">
        <f aca="false">IF(AND(ISNUMBER(D541),ISNUMBER(K541)),D541+AN541*MAX(K541-1,0)/100,"")</f>
        <v/>
      </c>
      <c r="AS541" s="93" t="str">
        <f aca="false">IF(AND(ISNUMBER(E541),ISNUMBER(K541)),IF(K541&gt;0,(E541+AN541*MAX(K541-1,0))/K541,""),"")</f>
        <v/>
      </c>
      <c r="AT541" s="90" t="n">
        <f aca="false">IFERROR(IF(AND(Y541=1,ROW()&lt;&gt;스왑분석!$C$12+1,ABS(K541-INDEX($K$2:$K$601,스왑분석!$C$12))&lt;=스왑분석!$C$5,ISERROR(SEARCH("FRN",AP541)),ISERROR(SEARCH("BBB0미만",AP541))),IF(AND(OR(스왑분석!$C$6="N",L541=INDEX($L$2:$L$601,스왑분석!$C$12)),OR(스왑분석!$C$7="N",N541=INDEX($N$2:$N$601,스왑분석!$C$12)),OR(스왑분석!$C$8="N",AO541=0),E541-INDEX($E$2:$E$601,스왑분석!$C$12)&gt;=스왑분석!$C$9),E541-INDEX($E$2:$E$601,스왑분석!$C$12)+ROW()/1000000000,-999),-999),-999)</f>
        <v>-999</v>
      </c>
      <c r="AU541" s="90" t="n">
        <f aca="false">IF(AND(Y541=1,AO541&gt;0,AL541="Rich"),-AK541+ROW()/1000000000,-999)</f>
        <v>-999</v>
      </c>
    </row>
    <row r="542" customFormat="false" ht="15" hidden="false" customHeight="false" outlineLevel="0" collapsed="false">
      <c r="A542" s="83" t="n">
        <f aca="false">IFERROR(IF(INDEX(원자료_시장!$A$1:$BZ$1000,설정!$L$6+ROW()-1,설정!$L$24)&amp;""="0","",INDEX(원자료_시장!$A$1:$BZ$1000,설정!$L$6+ROW()-1,설정!$L$24)),"")</f>
        <v>0</v>
      </c>
      <c r="B542" s="83" t="n">
        <f aca="false">IFERROR(IF(INDEX(원자료_시장!$A$1:$BZ$1000,설정!$L$6+ROW()-1,설정!$L$37)&amp;""="0","",INDEX(원자료_시장!$A$1:$BZ$1000,설정!$L$6+ROW()-1,설정!$L$37)),"")</f>
        <v>0</v>
      </c>
      <c r="C542" s="83" t="n">
        <f aca="false">IFERROR(IF(INDEX(원자료_시장!$A$1:$BZ$1000,설정!$L$6+ROW()-1,설정!$L$25)&amp;""="0","",INDEX(원자료_시장!$A$1:$BZ$1000,설정!$L$6+ROW()-1,설정!$L$25)),"")</f>
        <v>0</v>
      </c>
      <c r="D542" s="85" t="str">
        <f aca="false">IFERROR(IF(ISNUMBER(INDEX(원자료_시장!$A$1:$BZ$1000,설정!$L$6+ROW()-1,설정!$L$26)),INDEX(원자료_시장!$A$1:$BZ$1000,설정!$L$6+ROW()-1,설정!$L$26),""),"")</f>
        <v/>
      </c>
      <c r="E542" s="97" t="str">
        <f aca="false">IFERROR(IF(ISNUMBER(INDEX(원자료_시장!$A$1:$BZ$1000,설정!$L$6+ROW()-1,설정!$L$27)),INDEX(원자료_시장!$A$1:$BZ$1000,설정!$L$6+ROW()-1,설정!$L$27),""),"")</f>
        <v/>
      </c>
      <c r="F542" s="97" t="str">
        <f aca="false">IFERROR(IF(ISNUMBER(INDEX(원자료_시장!$A$1:$BZ$1000,설정!$L$6+ROW()-1,설정!$L$28)),INDEX(원자료_시장!$A$1:$BZ$1000,설정!$L$6+ROW()-1,설정!$L$28),""),"")</f>
        <v/>
      </c>
      <c r="G542" s="97" t="str">
        <f aca="false">IFERROR(IF(ISNUMBER(INDEX(원자료_시장!$A$1:$BZ$1000,설정!$L$6+ROW()-1,설정!$L$29)),INDEX(원자료_시장!$A$1:$BZ$1000,설정!$L$6+ROW()-1,설정!$L$29),""),"")</f>
        <v/>
      </c>
      <c r="H542" s="97" t="str">
        <f aca="false">IFERROR(IF(ISNUMBER(INDEX(원자료_시장!$A$1:$BZ$1000,설정!$L$6+ROW()-1,설정!$L$30)),INDEX(원자료_시장!$A$1:$BZ$1000,설정!$L$6+ROW()-1,설정!$L$30),""),"")</f>
        <v/>
      </c>
      <c r="I542" s="97" t="str">
        <f aca="false">IFERROR(IF(ISNUMBER(INDEX(원자료_시장!$A$1:$BZ$1000,설정!$L$6+ROW()-1,설정!$L$31)),INDEX(원자료_시장!$A$1:$BZ$1000,설정!$L$6+ROW()-1,설정!$L$31),""),"")</f>
        <v/>
      </c>
      <c r="J542" s="97" t="str">
        <f aca="false">IFERROR(IF(ISNUMBER(INDEX(원자료_시장!$A$1:$BZ$1000,설정!$L$6+ROW()-1,설정!$L$32)),INDEX(원자료_시장!$A$1:$BZ$1000,설정!$L$6+ROW()-1,설정!$L$32),""),"")</f>
        <v/>
      </c>
      <c r="K542" s="85" t="str">
        <f aca="false">IFERROR(IF(ISNUMBER(INDEX(원자료_시장!$A$1:$BZ$1000,설정!$L$6+ROW()-1,설정!$L$33)),INDEX(원자료_시장!$A$1:$BZ$1000,설정!$L$6+ROW()-1,설정!$L$33),""),"")</f>
        <v/>
      </c>
      <c r="L542" s="83" t="n">
        <f aca="false">IFERROR(IF(INDEX(원자료_시장!$A$1:$BZ$1000,설정!$L$6+ROW()-1,설정!$L$34)&amp;""="0","",INDEX(원자료_시장!$A$1:$BZ$1000,설정!$L$6+ROW()-1,설정!$L$34)),"")</f>
        <v>0</v>
      </c>
      <c r="M542" s="83" t="n">
        <f aca="false">IFERROR(IF(INDEX(원자료_시장!$A$1:$BZ$1000,설정!$L$6+ROW()-1,설정!$L$35)&amp;""="0","",INDEX(원자료_시장!$A$1:$BZ$1000,설정!$L$6+ROW()-1,설정!$L$35)),"")</f>
        <v>0</v>
      </c>
      <c r="N542" s="83" t="n">
        <f aca="false">IFERROR(IF(INDEX(원자료_시장!$A$1:$BZ$1000,설정!$L$6+ROW()-1,설정!$L$36)&amp;""="0","",INDEX(원자료_시장!$A$1:$BZ$1000,설정!$L$6+ROW()-1,설정!$L$36)),"")</f>
        <v>0</v>
      </c>
      <c r="O542" s="43" t="str">
        <f aca="false">IF($A542="","",UPPER(LEFT($A542,FIND(" ",$A542&amp;" ")-1)))</f>
        <v/>
      </c>
      <c r="P542" s="43" t="str">
        <f aca="false">IF($A542="","",TRIM(RIGHT(SUBSTITUTE(TRIM($A542)," ",REPT(" ",30)),30)))</f>
        <v/>
      </c>
      <c r="Q542" s="98" t="str">
        <f aca="false">IF($A542="","",IFERROR(DATE(IF(LEN(P542)=8,2000+VALUE(RIGHT(P542,2)),VALUE(RIGHT(P542,4))),VALUE(LEFT(P542,2)),VALUE(MID(P542,4,2))),""))</f>
        <v/>
      </c>
      <c r="R542" s="89" t="n">
        <f aca="false">IF($A542="",0,IF(ISNUMBER(SEARCH("Float",$A542)),1,0))</f>
        <v>0</v>
      </c>
      <c r="S542" s="43" t="str">
        <f aca="false">IF($A542="","",TRIM(MID($A542,LEN(O542)+2,LEN($A542)-LEN(O542)-LEN(P542)-1)))</f>
        <v/>
      </c>
      <c r="T542" s="92" t="str">
        <f aca="false">IF(OR($A542="",R542=1),"",IFERROR(IF(ISNUMBER(FIND("/",S542)),IF(ISNUMBER(FIND(" ",S542)),VALUE(LEFT(S542,FIND(" ",S542)-1))+VALUE(MID(S542,FIND(" ",S542)+1,FIND("/",S542)-FIND(" ",S542)-1))/VALUE(MID(S542,FIND("/",S542)+1,9)),VALUE(LEFT(S542,FIND("/",S542)-1))/VALUE(MID(S542,FIND("/",S542)+1,9))),VALUE(S542)),""))</f>
        <v/>
      </c>
      <c r="U542" s="43" t="str">
        <f aca="false">IF(OR($A542="",NOT(ISNUMBER(Q542))),"",TEXT(Q542,"yyyymmdd")&amp;"|"&amp;IF(R542=1,"F",TEXT(T542,"0.000")))</f>
        <v/>
      </c>
      <c r="V542" s="43" t="str">
        <f aca="false">IF(U542="","",O542&amp;"|"&amp;U542)</f>
        <v/>
      </c>
      <c r="W542" s="43" t="str">
        <f aca="false">IF($A542="","",IFERROR(IF(VLOOKUP(O542,매핑!$A$4:$E$92,3,0)="","미분류",VLOOKUP(O542,매핑!$A$4:$E$92,3,0)),"미분류"))</f>
        <v/>
      </c>
      <c r="X542" s="89" t="n">
        <f aca="false">IF($A542="",0,IF(O542="T",1,0))</f>
        <v>0</v>
      </c>
      <c r="Y542" s="89" t="n">
        <f aca="false">IF($A542="",0,IF(AND(C542="USD",X542=0,ISNUMBER(E542),ISNUMBER(K542)),IF(K542&gt;=설정!$C$8,1,0),0))</f>
        <v>0</v>
      </c>
      <c r="Z542" s="43" t="str">
        <f aca="false">IF($A542="","",N542&amp;"|"&amp;L542)</f>
        <v/>
      </c>
      <c r="AA542" s="92" t="n">
        <f aca="false">IF(Y542=1,LN(K542),0)</f>
        <v>0</v>
      </c>
      <c r="AB542" s="93" t="n">
        <f aca="false">IF(Y542=1,E542,0)</f>
        <v>0</v>
      </c>
      <c r="AC542" s="89" t="n">
        <f aca="false">IF(Y542=1,COUNTIFS($Z$2:$Z$601,Z542,$Y$2:$Y$601,1),0)</f>
        <v>0</v>
      </c>
      <c r="AD542" s="89" t="n">
        <f aca="false">IF(Y542=1,COUNTIFS($N$2:$N$601,N542,$Y$2:$Y$601,1),0)</f>
        <v>0</v>
      </c>
      <c r="AE542" s="43" t="str">
        <f aca="false">IF(Y542&lt;&gt;1,"",IF(AND(AC542&gt;=설정!$C$7,ISNUMBER(MATCH(Z542,피어커브!$A:$A,0))),Z542,IF(AND(AD542&gt;=설정!$C$7,ISNUMBER(MATCH(N542&amp;"|전체",피어커브!$A:$A,0))),N542&amp;"|전체","전체|전체")))</f>
        <v/>
      </c>
      <c r="AF542" s="93" t="str">
        <f aca="false">IF(AE542="","",INDEX(피어커브!$K:$K,MATCH(AE542,피어커브!$A:$A,0)))</f>
        <v/>
      </c>
      <c r="AG542" s="93" t="str">
        <f aca="false">IF(AE542="","",INDEX(피어커브!$J:$J,MATCH(AE542,피어커브!$A:$A,0)))</f>
        <v/>
      </c>
      <c r="AH542" s="93" t="str">
        <f aca="false">IF(AE542="","",INDEX(피어커브!$L:$L,MATCH(AE542,피어커브!$A:$A,0)))</f>
        <v/>
      </c>
      <c r="AI542" s="93" t="str">
        <f aca="false">IF(AE542="","",AF542+AG542*AA542)</f>
        <v/>
      </c>
      <c r="AJ542" s="96" t="str">
        <f aca="false">IF(AE542="","",E542-AI542)</f>
        <v/>
      </c>
      <c r="AK542" s="95" t="str">
        <f aca="false">IF(AE542="","",IF(ISNUMBER(AH542),IF(AH542&gt;0,AJ542/AH542,""),""))</f>
        <v/>
      </c>
      <c r="AL542" s="43" t="str">
        <f aca="false">IF(AK542="","-",IF(AK542&gt;=설정!$C$6,"Cheap",IF(AK542&lt;=-설정!$C$6,"Rich","Fair")))</f>
        <v>-</v>
      </c>
      <c r="AM542" s="96" t="str">
        <f aca="false">IF(AE542="","",AJ542-AVERAGEIFS($AJ$2:$AJ$601,$B$2:$B$601,B542,$Y$2:$Y$601,1))</f>
        <v/>
      </c>
      <c r="AN542" s="93" t="n">
        <f aca="false">IF(AE542="",0,IF(K542&gt;1+설정!$C$8,AG542*(AA542-LN(K542-1)),0))</f>
        <v>0</v>
      </c>
      <c r="AO542" s="99" t="n">
        <f aca="false">IF($A542="",0,SUMIFS(보유분석!$AA$2:$AA$801,보유분석!$AB$2:$AB$801,ROW(),보유분석!$AC$2:$AC$801,1))</f>
        <v>0</v>
      </c>
      <c r="AP542" s="43" t="str">
        <f aca="false">IF($A542="","",TRIM(IF(R542=1,"FRN ","")&amp;IF(IFERROR(VLOOKUP(M542,설정!$A$15:$D$47,4,0),0)&gt;=10,IF(IFERROR(VLOOKUP(M542,설정!$A$15:$D$47,4,0),0)&lt;99,"BBB0미만 ",""),"")&amp;IF(OR(M542="",M542="NR"),"등급미입력 ","")&amp;IF(C542&lt;&gt;"USD","비USD ","")))</f>
        <v/>
      </c>
      <c r="AQ542" s="90" t="n">
        <f aca="false">IF(AND(Y542=1,AL542="Cheap"),IF(AND(ISERROR(SEARCH("FRN",AP542)),ISERROR(SEARCH("BBB0미만",AP542))),AK542+ROW()/1000000000,-999),-999)</f>
        <v>-999</v>
      </c>
      <c r="AR542" s="92" t="str">
        <f aca="false">IF(AND(ISNUMBER(D542),ISNUMBER(K542)),D542+AN542*MAX(K542-1,0)/100,"")</f>
        <v/>
      </c>
      <c r="AS542" s="93" t="str">
        <f aca="false">IF(AND(ISNUMBER(E542),ISNUMBER(K542)),IF(K542&gt;0,(E542+AN542*MAX(K542-1,0))/K542,""),"")</f>
        <v/>
      </c>
      <c r="AT542" s="90" t="n">
        <f aca="false">IFERROR(IF(AND(Y542=1,ROW()&lt;&gt;스왑분석!$C$12+1,ABS(K542-INDEX($K$2:$K$601,스왑분석!$C$12))&lt;=스왑분석!$C$5,ISERROR(SEARCH("FRN",AP542)),ISERROR(SEARCH("BBB0미만",AP542))),IF(AND(OR(스왑분석!$C$6="N",L542=INDEX($L$2:$L$601,스왑분석!$C$12)),OR(스왑분석!$C$7="N",N542=INDEX($N$2:$N$601,스왑분석!$C$12)),OR(스왑분석!$C$8="N",AO542=0),E542-INDEX($E$2:$E$601,스왑분석!$C$12)&gt;=스왑분석!$C$9),E542-INDEX($E$2:$E$601,스왑분석!$C$12)+ROW()/1000000000,-999),-999),-999)</f>
        <v>-999</v>
      </c>
      <c r="AU542" s="90" t="n">
        <f aca="false">IF(AND(Y542=1,AO542&gt;0,AL542="Rich"),-AK542+ROW()/1000000000,-999)</f>
        <v>-999</v>
      </c>
    </row>
    <row r="543" customFormat="false" ht="15" hidden="false" customHeight="false" outlineLevel="0" collapsed="false">
      <c r="A543" s="83" t="n">
        <f aca="false">IFERROR(IF(INDEX(원자료_시장!$A$1:$BZ$1000,설정!$L$6+ROW()-1,설정!$L$24)&amp;""="0","",INDEX(원자료_시장!$A$1:$BZ$1000,설정!$L$6+ROW()-1,설정!$L$24)),"")</f>
        <v>0</v>
      </c>
      <c r="B543" s="83" t="n">
        <f aca="false">IFERROR(IF(INDEX(원자료_시장!$A$1:$BZ$1000,설정!$L$6+ROW()-1,설정!$L$37)&amp;""="0","",INDEX(원자료_시장!$A$1:$BZ$1000,설정!$L$6+ROW()-1,설정!$L$37)),"")</f>
        <v>0</v>
      </c>
      <c r="C543" s="83" t="n">
        <f aca="false">IFERROR(IF(INDEX(원자료_시장!$A$1:$BZ$1000,설정!$L$6+ROW()-1,설정!$L$25)&amp;""="0","",INDEX(원자료_시장!$A$1:$BZ$1000,설정!$L$6+ROW()-1,설정!$L$25)),"")</f>
        <v>0</v>
      </c>
      <c r="D543" s="85" t="str">
        <f aca="false">IFERROR(IF(ISNUMBER(INDEX(원자료_시장!$A$1:$BZ$1000,설정!$L$6+ROW()-1,설정!$L$26)),INDEX(원자료_시장!$A$1:$BZ$1000,설정!$L$6+ROW()-1,설정!$L$26),""),"")</f>
        <v/>
      </c>
      <c r="E543" s="97" t="str">
        <f aca="false">IFERROR(IF(ISNUMBER(INDEX(원자료_시장!$A$1:$BZ$1000,설정!$L$6+ROW()-1,설정!$L$27)),INDEX(원자료_시장!$A$1:$BZ$1000,설정!$L$6+ROW()-1,설정!$L$27),""),"")</f>
        <v/>
      </c>
      <c r="F543" s="97" t="str">
        <f aca="false">IFERROR(IF(ISNUMBER(INDEX(원자료_시장!$A$1:$BZ$1000,설정!$L$6+ROW()-1,설정!$L$28)),INDEX(원자료_시장!$A$1:$BZ$1000,설정!$L$6+ROW()-1,설정!$L$28),""),"")</f>
        <v/>
      </c>
      <c r="G543" s="97" t="str">
        <f aca="false">IFERROR(IF(ISNUMBER(INDEX(원자료_시장!$A$1:$BZ$1000,설정!$L$6+ROW()-1,설정!$L$29)),INDEX(원자료_시장!$A$1:$BZ$1000,설정!$L$6+ROW()-1,설정!$L$29),""),"")</f>
        <v/>
      </c>
      <c r="H543" s="97" t="str">
        <f aca="false">IFERROR(IF(ISNUMBER(INDEX(원자료_시장!$A$1:$BZ$1000,설정!$L$6+ROW()-1,설정!$L$30)),INDEX(원자료_시장!$A$1:$BZ$1000,설정!$L$6+ROW()-1,설정!$L$30),""),"")</f>
        <v/>
      </c>
      <c r="I543" s="97" t="str">
        <f aca="false">IFERROR(IF(ISNUMBER(INDEX(원자료_시장!$A$1:$BZ$1000,설정!$L$6+ROW()-1,설정!$L$31)),INDEX(원자료_시장!$A$1:$BZ$1000,설정!$L$6+ROW()-1,설정!$L$31),""),"")</f>
        <v/>
      </c>
      <c r="J543" s="97" t="str">
        <f aca="false">IFERROR(IF(ISNUMBER(INDEX(원자료_시장!$A$1:$BZ$1000,설정!$L$6+ROW()-1,설정!$L$32)),INDEX(원자료_시장!$A$1:$BZ$1000,설정!$L$6+ROW()-1,설정!$L$32),""),"")</f>
        <v/>
      </c>
      <c r="K543" s="85" t="str">
        <f aca="false">IFERROR(IF(ISNUMBER(INDEX(원자료_시장!$A$1:$BZ$1000,설정!$L$6+ROW()-1,설정!$L$33)),INDEX(원자료_시장!$A$1:$BZ$1000,설정!$L$6+ROW()-1,설정!$L$33),""),"")</f>
        <v/>
      </c>
      <c r="L543" s="83" t="n">
        <f aca="false">IFERROR(IF(INDEX(원자료_시장!$A$1:$BZ$1000,설정!$L$6+ROW()-1,설정!$L$34)&amp;""="0","",INDEX(원자료_시장!$A$1:$BZ$1000,설정!$L$6+ROW()-1,설정!$L$34)),"")</f>
        <v>0</v>
      </c>
      <c r="M543" s="83" t="n">
        <f aca="false">IFERROR(IF(INDEX(원자료_시장!$A$1:$BZ$1000,설정!$L$6+ROW()-1,설정!$L$35)&amp;""="0","",INDEX(원자료_시장!$A$1:$BZ$1000,설정!$L$6+ROW()-1,설정!$L$35)),"")</f>
        <v>0</v>
      </c>
      <c r="N543" s="83" t="n">
        <f aca="false">IFERROR(IF(INDEX(원자료_시장!$A$1:$BZ$1000,설정!$L$6+ROW()-1,설정!$L$36)&amp;""="0","",INDEX(원자료_시장!$A$1:$BZ$1000,설정!$L$6+ROW()-1,설정!$L$36)),"")</f>
        <v>0</v>
      </c>
      <c r="O543" s="43" t="str">
        <f aca="false">IF($A543="","",UPPER(LEFT($A543,FIND(" ",$A543&amp;" ")-1)))</f>
        <v/>
      </c>
      <c r="P543" s="43" t="str">
        <f aca="false">IF($A543="","",TRIM(RIGHT(SUBSTITUTE(TRIM($A543)," ",REPT(" ",30)),30)))</f>
        <v/>
      </c>
      <c r="Q543" s="98" t="str">
        <f aca="false">IF($A543="","",IFERROR(DATE(IF(LEN(P543)=8,2000+VALUE(RIGHT(P543,2)),VALUE(RIGHT(P543,4))),VALUE(LEFT(P543,2)),VALUE(MID(P543,4,2))),""))</f>
        <v/>
      </c>
      <c r="R543" s="89" t="n">
        <f aca="false">IF($A543="",0,IF(ISNUMBER(SEARCH("Float",$A543)),1,0))</f>
        <v>0</v>
      </c>
      <c r="S543" s="43" t="str">
        <f aca="false">IF($A543="","",TRIM(MID($A543,LEN(O543)+2,LEN($A543)-LEN(O543)-LEN(P543)-1)))</f>
        <v/>
      </c>
      <c r="T543" s="92" t="str">
        <f aca="false">IF(OR($A543="",R543=1),"",IFERROR(IF(ISNUMBER(FIND("/",S543)),IF(ISNUMBER(FIND(" ",S543)),VALUE(LEFT(S543,FIND(" ",S543)-1))+VALUE(MID(S543,FIND(" ",S543)+1,FIND("/",S543)-FIND(" ",S543)-1))/VALUE(MID(S543,FIND("/",S543)+1,9)),VALUE(LEFT(S543,FIND("/",S543)-1))/VALUE(MID(S543,FIND("/",S543)+1,9))),VALUE(S543)),""))</f>
        <v/>
      </c>
      <c r="U543" s="43" t="str">
        <f aca="false">IF(OR($A543="",NOT(ISNUMBER(Q543))),"",TEXT(Q543,"yyyymmdd")&amp;"|"&amp;IF(R543=1,"F",TEXT(T543,"0.000")))</f>
        <v/>
      </c>
      <c r="V543" s="43" t="str">
        <f aca="false">IF(U543="","",O543&amp;"|"&amp;U543)</f>
        <v/>
      </c>
      <c r="W543" s="43" t="str">
        <f aca="false">IF($A543="","",IFERROR(IF(VLOOKUP(O543,매핑!$A$4:$E$92,3,0)="","미분류",VLOOKUP(O543,매핑!$A$4:$E$92,3,0)),"미분류"))</f>
        <v/>
      </c>
      <c r="X543" s="89" t="n">
        <f aca="false">IF($A543="",0,IF(O543="T",1,0))</f>
        <v>0</v>
      </c>
      <c r="Y543" s="89" t="n">
        <f aca="false">IF($A543="",0,IF(AND(C543="USD",X543=0,ISNUMBER(E543),ISNUMBER(K543)),IF(K543&gt;=설정!$C$8,1,0),0))</f>
        <v>0</v>
      </c>
      <c r="Z543" s="43" t="str">
        <f aca="false">IF($A543="","",N543&amp;"|"&amp;L543)</f>
        <v/>
      </c>
      <c r="AA543" s="92" t="n">
        <f aca="false">IF(Y543=1,LN(K543),0)</f>
        <v>0</v>
      </c>
      <c r="AB543" s="93" t="n">
        <f aca="false">IF(Y543=1,E543,0)</f>
        <v>0</v>
      </c>
      <c r="AC543" s="89" t="n">
        <f aca="false">IF(Y543=1,COUNTIFS($Z$2:$Z$601,Z543,$Y$2:$Y$601,1),0)</f>
        <v>0</v>
      </c>
      <c r="AD543" s="89" t="n">
        <f aca="false">IF(Y543=1,COUNTIFS($N$2:$N$601,N543,$Y$2:$Y$601,1),0)</f>
        <v>0</v>
      </c>
      <c r="AE543" s="43" t="str">
        <f aca="false">IF(Y543&lt;&gt;1,"",IF(AND(AC543&gt;=설정!$C$7,ISNUMBER(MATCH(Z543,피어커브!$A:$A,0))),Z543,IF(AND(AD543&gt;=설정!$C$7,ISNUMBER(MATCH(N543&amp;"|전체",피어커브!$A:$A,0))),N543&amp;"|전체","전체|전체")))</f>
        <v/>
      </c>
      <c r="AF543" s="93" t="str">
        <f aca="false">IF(AE543="","",INDEX(피어커브!$K:$K,MATCH(AE543,피어커브!$A:$A,0)))</f>
        <v/>
      </c>
      <c r="AG543" s="93" t="str">
        <f aca="false">IF(AE543="","",INDEX(피어커브!$J:$J,MATCH(AE543,피어커브!$A:$A,0)))</f>
        <v/>
      </c>
      <c r="AH543" s="93" t="str">
        <f aca="false">IF(AE543="","",INDEX(피어커브!$L:$L,MATCH(AE543,피어커브!$A:$A,0)))</f>
        <v/>
      </c>
      <c r="AI543" s="93" t="str">
        <f aca="false">IF(AE543="","",AF543+AG543*AA543)</f>
        <v/>
      </c>
      <c r="AJ543" s="96" t="str">
        <f aca="false">IF(AE543="","",E543-AI543)</f>
        <v/>
      </c>
      <c r="AK543" s="95" t="str">
        <f aca="false">IF(AE543="","",IF(ISNUMBER(AH543),IF(AH543&gt;0,AJ543/AH543,""),""))</f>
        <v/>
      </c>
      <c r="AL543" s="43" t="str">
        <f aca="false">IF(AK543="","-",IF(AK543&gt;=설정!$C$6,"Cheap",IF(AK543&lt;=-설정!$C$6,"Rich","Fair")))</f>
        <v>-</v>
      </c>
      <c r="AM543" s="96" t="str">
        <f aca="false">IF(AE543="","",AJ543-AVERAGEIFS($AJ$2:$AJ$601,$B$2:$B$601,B543,$Y$2:$Y$601,1))</f>
        <v/>
      </c>
      <c r="AN543" s="93" t="n">
        <f aca="false">IF(AE543="",0,IF(K543&gt;1+설정!$C$8,AG543*(AA543-LN(K543-1)),0))</f>
        <v>0</v>
      </c>
      <c r="AO543" s="99" t="n">
        <f aca="false">IF($A543="",0,SUMIFS(보유분석!$AA$2:$AA$801,보유분석!$AB$2:$AB$801,ROW(),보유분석!$AC$2:$AC$801,1))</f>
        <v>0</v>
      </c>
      <c r="AP543" s="43" t="str">
        <f aca="false">IF($A543="","",TRIM(IF(R543=1,"FRN ","")&amp;IF(IFERROR(VLOOKUP(M543,설정!$A$15:$D$47,4,0),0)&gt;=10,IF(IFERROR(VLOOKUP(M543,설정!$A$15:$D$47,4,0),0)&lt;99,"BBB0미만 ",""),"")&amp;IF(OR(M543="",M543="NR"),"등급미입력 ","")&amp;IF(C543&lt;&gt;"USD","비USD ","")))</f>
        <v/>
      </c>
      <c r="AQ543" s="90" t="n">
        <f aca="false">IF(AND(Y543=1,AL543="Cheap"),IF(AND(ISERROR(SEARCH("FRN",AP543)),ISERROR(SEARCH("BBB0미만",AP543))),AK543+ROW()/1000000000,-999),-999)</f>
        <v>-999</v>
      </c>
      <c r="AR543" s="92" t="str">
        <f aca="false">IF(AND(ISNUMBER(D543),ISNUMBER(K543)),D543+AN543*MAX(K543-1,0)/100,"")</f>
        <v/>
      </c>
      <c r="AS543" s="93" t="str">
        <f aca="false">IF(AND(ISNUMBER(E543),ISNUMBER(K543)),IF(K543&gt;0,(E543+AN543*MAX(K543-1,0))/K543,""),"")</f>
        <v/>
      </c>
      <c r="AT543" s="90" t="n">
        <f aca="false">IFERROR(IF(AND(Y543=1,ROW()&lt;&gt;스왑분석!$C$12+1,ABS(K543-INDEX($K$2:$K$601,스왑분석!$C$12))&lt;=스왑분석!$C$5,ISERROR(SEARCH("FRN",AP543)),ISERROR(SEARCH("BBB0미만",AP543))),IF(AND(OR(스왑분석!$C$6="N",L543=INDEX($L$2:$L$601,스왑분석!$C$12)),OR(스왑분석!$C$7="N",N543=INDEX($N$2:$N$601,스왑분석!$C$12)),OR(스왑분석!$C$8="N",AO543=0),E543-INDEX($E$2:$E$601,스왑분석!$C$12)&gt;=스왑분석!$C$9),E543-INDEX($E$2:$E$601,스왑분석!$C$12)+ROW()/1000000000,-999),-999),-999)</f>
        <v>-999</v>
      </c>
      <c r="AU543" s="90" t="n">
        <f aca="false">IF(AND(Y543=1,AO543&gt;0,AL543="Rich"),-AK543+ROW()/1000000000,-999)</f>
        <v>-999</v>
      </c>
    </row>
    <row r="544" customFormat="false" ht="15" hidden="false" customHeight="false" outlineLevel="0" collapsed="false">
      <c r="A544" s="83" t="n">
        <f aca="false">IFERROR(IF(INDEX(원자료_시장!$A$1:$BZ$1000,설정!$L$6+ROW()-1,설정!$L$24)&amp;""="0","",INDEX(원자료_시장!$A$1:$BZ$1000,설정!$L$6+ROW()-1,설정!$L$24)),"")</f>
        <v>0</v>
      </c>
      <c r="B544" s="83" t="n">
        <f aca="false">IFERROR(IF(INDEX(원자료_시장!$A$1:$BZ$1000,설정!$L$6+ROW()-1,설정!$L$37)&amp;""="0","",INDEX(원자료_시장!$A$1:$BZ$1000,설정!$L$6+ROW()-1,설정!$L$37)),"")</f>
        <v>0</v>
      </c>
      <c r="C544" s="83" t="n">
        <f aca="false">IFERROR(IF(INDEX(원자료_시장!$A$1:$BZ$1000,설정!$L$6+ROW()-1,설정!$L$25)&amp;""="0","",INDEX(원자료_시장!$A$1:$BZ$1000,설정!$L$6+ROW()-1,설정!$L$25)),"")</f>
        <v>0</v>
      </c>
      <c r="D544" s="85" t="str">
        <f aca="false">IFERROR(IF(ISNUMBER(INDEX(원자료_시장!$A$1:$BZ$1000,설정!$L$6+ROW()-1,설정!$L$26)),INDEX(원자료_시장!$A$1:$BZ$1000,설정!$L$6+ROW()-1,설정!$L$26),""),"")</f>
        <v/>
      </c>
      <c r="E544" s="97" t="str">
        <f aca="false">IFERROR(IF(ISNUMBER(INDEX(원자료_시장!$A$1:$BZ$1000,설정!$L$6+ROW()-1,설정!$L$27)),INDEX(원자료_시장!$A$1:$BZ$1000,설정!$L$6+ROW()-1,설정!$L$27),""),"")</f>
        <v/>
      </c>
      <c r="F544" s="97" t="str">
        <f aca="false">IFERROR(IF(ISNUMBER(INDEX(원자료_시장!$A$1:$BZ$1000,설정!$L$6+ROW()-1,설정!$L$28)),INDEX(원자료_시장!$A$1:$BZ$1000,설정!$L$6+ROW()-1,설정!$L$28),""),"")</f>
        <v/>
      </c>
      <c r="G544" s="97" t="str">
        <f aca="false">IFERROR(IF(ISNUMBER(INDEX(원자료_시장!$A$1:$BZ$1000,설정!$L$6+ROW()-1,설정!$L$29)),INDEX(원자료_시장!$A$1:$BZ$1000,설정!$L$6+ROW()-1,설정!$L$29),""),"")</f>
        <v/>
      </c>
      <c r="H544" s="97" t="str">
        <f aca="false">IFERROR(IF(ISNUMBER(INDEX(원자료_시장!$A$1:$BZ$1000,설정!$L$6+ROW()-1,설정!$L$30)),INDEX(원자료_시장!$A$1:$BZ$1000,설정!$L$6+ROW()-1,설정!$L$30),""),"")</f>
        <v/>
      </c>
      <c r="I544" s="97" t="str">
        <f aca="false">IFERROR(IF(ISNUMBER(INDEX(원자료_시장!$A$1:$BZ$1000,설정!$L$6+ROW()-1,설정!$L$31)),INDEX(원자료_시장!$A$1:$BZ$1000,설정!$L$6+ROW()-1,설정!$L$31),""),"")</f>
        <v/>
      </c>
      <c r="J544" s="97" t="str">
        <f aca="false">IFERROR(IF(ISNUMBER(INDEX(원자료_시장!$A$1:$BZ$1000,설정!$L$6+ROW()-1,설정!$L$32)),INDEX(원자료_시장!$A$1:$BZ$1000,설정!$L$6+ROW()-1,설정!$L$32),""),"")</f>
        <v/>
      </c>
      <c r="K544" s="85" t="str">
        <f aca="false">IFERROR(IF(ISNUMBER(INDEX(원자료_시장!$A$1:$BZ$1000,설정!$L$6+ROW()-1,설정!$L$33)),INDEX(원자료_시장!$A$1:$BZ$1000,설정!$L$6+ROW()-1,설정!$L$33),""),"")</f>
        <v/>
      </c>
      <c r="L544" s="83" t="n">
        <f aca="false">IFERROR(IF(INDEX(원자료_시장!$A$1:$BZ$1000,설정!$L$6+ROW()-1,설정!$L$34)&amp;""="0","",INDEX(원자료_시장!$A$1:$BZ$1000,설정!$L$6+ROW()-1,설정!$L$34)),"")</f>
        <v>0</v>
      </c>
      <c r="M544" s="83" t="n">
        <f aca="false">IFERROR(IF(INDEX(원자료_시장!$A$1:$BZ$1000,설정!$L$6+ROW()-1,설정!$L$35)&amp;""="0","",INDEX(원자료_시장!$A$1:$BZ$1000,설정!$L$6+ROW()-1,설정!$L$35)),"")</f>
        <v>0</v>
      </c>
      <c r="N544" s="83" t="n">
        <f aca="false">IFERROR(IF(INDEX(원자료_시장!$A$1:$BZ$1000,설정!$L$6+ROW()-1,설정!$L$36)&amp;""="0","",INDEX(원자료_시장!$A$1:$BZ$1000,설정!$L$6+ROW()-1,설정!$L$36)),"")</f>
        <v>0</v>
      </c>
      <c r="O544" s="43" t="str">
        <f aca="false">IF($A544="","",UPPER(LEFT($A544,FIND(" ",$A544&amp;" ")-1)))</f>
        <v/>
      </c>
      <c r="P544" s="43" t="str">
        <f aca="false">IF($A544="","",TRIM(RIGHT(SUBSTITUTE(TRIM($A544)," ",REPT(" ",30)),30)))</f>
        <v/>
      </c>
      <c r="Q544" s="98" t="str">
        <f aca="false">IF($A544="","",IFERROR(DATE(IF(LEN(P544)=8,2000+VALUE(RIGHT(P544,2)),VALUE(RIGHT(P544,4))),VALUE(LEFT(P544,2)),VALUE(MID(P544,4,2))),""))</f>
        <v/>
      </c>
      <c r="R544" s="89" t="n">
        <f aca="false">IF($A544="",0,IF(ISNUMBER(SEARCH("Float",$A544)),1,0))</f>
        <v>0</v>
      </c>
      <c r="S544" s="43" t="str">
        <f aca="false">IF($A544="","",TRIM(MID($A544,LEN(O544)+2,LEN($A544)-LEN(O544)-LEN(P544)-1)))</f>
        <v/>
      </c>
      <c r="T544" s="92" t="str">
        <f aca="false">IF(OR($A544="",R544=1),"",IFERROR(IF(ISNUMBER(FIND("/",S544)),IF(ISNUMBER(FIND(" ",S544)),VALUE(LEFT(S544,FIND(" ",S544)-1))+VALUE(MID(S544,FIND(" ",S544)+1,FIND("/",S544)-FIND(" ",S544)-1))/VALUE(MID(S544,FIND("/",S544)+1,9)),VALUE(LEFT(S544,FIND("/",S544)-1))/VALUE(MID(S544,FIND("/",S544)+1,9))),VALUE(S544)),""))</f>
        <v/>
      </c>
      <c r="U544" s="43" t="str">
        <f aca="false">IF(OR($A544="",NOT(ISNUMBER(Q544))),"",TEXT(Q544,"yyyymmdd")&amp;"|"&amp;IF(R544=1,"F",TEXT(T544,"0.000")))</f>
        <v/>
      </c>
      <c r="V544" s="43" t="str">
        <f aca="false">IF(U544="","",O544&amp;"|"&amp;U544)</f>
        <v/>
      </c>
      <c r="W544" s="43" t="str">
        <f aca="false">IF($A544="","",IFERROR(IF(VLOOKUP(O544,매핑!$A$4:$E$92,3,0)="","미분류",VLOOKUP(O544,매핑!$A$4:$E$92,3,0)),"미분류"))</f>
        <v/>
      </c>
      <c r="X544" s="89" t="n">
        <f aca="false">IF($A544="",0,IF(O544="T",1,0))</f>
        <v>0</v>
      </c>
      <c r="Y544" s="89" t="n">
        <f aca="false">IF($A544="",0,IF(AND(C544="USD",X544=0,ISNUMBER(E544),ISNUMBER(K544)),IF(K544&gt;=설정!$C$8,1,0),0))</f>
        <v>0</v>
      </c>
      <c r="Z544" s="43" t="str">
        <f aca="false">IF($A544="","",N544&amp;"|"&amp;L544)</f>
        <v/>
      </c>
      <c r="AA544" s="92" t="n">
        <f aca="false">IF(Y544=1,LN(K544),0)</f>
        <v>0</v>
      </c>
      <c r="AB544" s="93" t="n">
        <f aca="false">IF(Y544=1,E544,0)</f>
        <v>0</v>
      </c>
      <c r="AC544" s="89" t="n">
        <f aca="false">IF(Y544=1,COUNTIFS($Z$2:$Z$601,Z544,$Y$2:$Y$601,1),0)</f>
        <v>0</v>
      </c>
      <c r="AD544" s="89" t="n">
        <f aca="false">IF(Y544=1,COUNTIFS($N$2:$N$601,N544,$Y$2:$Y$601,1),0)</f>
        <v>0</v>
      </c>
      <c r="AE544" s="43" t="str">
        <f aca="false">IF(Y544&lt;&gt;1,"",IF(AND(AC544&gt;=설정!$C$7,ISNUMBER(MATCH(Z544,피어커브!$A:$A,0))),Z544,IF(AND(AD544&gt;=설정!$C$7,ISNUMBER(MATCH(N544&amp;"|전체",피어커브!$A:$A,0))),N544&amp;"|전체","전체|전체")))</f>
        <v/>
      </c>
      <c r="AF544" s="93" t="str">
        <f aca="false">IF(AE544="","",INDEX(피어커브!$K:$K,MATCH(AE544,피어커브!$A:$A,0)))</f>
        <v/>
      </c>
      <c r="AG544" s="93" t="str">
        <f aca="false">IF(AE544="","",INDEX(피어커브!$J:$J,MATCH(AE544,피어커브!$A:$A,0)))</f>
        <v/>
      </c>
      <c r="AH544" s="93" t="str">
        <f aca="false">IF(AE544="","",INDEX(피어커브!$L:$L,MATCH(AE544,피어커브!$A:$A,0)))</f>
        <v/>
      </c>
      <c r="AI544" s="93" t="str">
        <f aca="false">IF(AE544="","",AF544+AG544*AA544)</f>
        <v/>
      </c>
      <c r="AJ544" s="96" t="str">
        <f aca="false">IF(AE544="","",E544-AI544)</f>
        <v/>
      </c>
      <c r="AK544" s="95" t="str">
        <f aca="false">IF(AE544="","",IF(ISNUMBER(AH544),IF(AH544&gt;0,AJ544/AH544,""),""))</f>
        <v/>
      </c>
      <c r="AL544" s="43" t="str">
        <f aca="false">IF(AK544="","-",IF(AK544&gt;=설정!$C$6,"Cheap",IF(AK544&lt;=-설정!$C$6,"Rich","Fair")))</f>
        <v>-</v>
      </c>
      <c r="AM544" s="96" t="str">
        <f aca="false">IF(AE544="","",AJ544-AVERAGEIFS($AJ$2:$AJ$601,$B$2:$B$601,B544,$Y$2:$Y$601,1))</f>
        <v/>
      </c>
      <c r="AN544" s="93" t="n">
        <f aca="false">IF(AE544="",0,IF(K544&gt;1+설정!$C$8,AG544*(AA544-LN(K544-1)),0))</f>
        <v>0</v>
      </c>
      <c r="AO544" s="99" t="n">
        <f aca="false">IF($A544="",0,SUMIFS(보유분석!$AA$2:$AA$801,보유분석!$AB$2:$AB$801,ROW(),보유분석!$AC$2:$AC$801,1))</f>
        <v>0</v>
      </c>
      <c r="AP544" s="43" t="str">
        <f aca="false">IF($A544="","",TRIM(IF(R544=1,"FRN ","")&amp;IF(IFERROR(VLOOKUP(M544,설정!$A$15:$D$47,4,0),0)&gt;=10,IF(IFERROR(VLOOKUP(M544,설정!$A$15:$D$47,4,0),0)&lt;99,"BBB0미만 ",""),"")&amp;IF(OR(M544="",M544="NR"),"등급미입력 ","")&amp;IF(C544&lt;&gt;"USD","비USD ","")))</f>
        <v/>
      </c>
      <c r="AQ544" s="90" t="n">
        <f aca="false">IF(AND(Y544=1,AL544="Cheap"),IF(AND(ISERROR(SEARCH("FRN",AP544)),ISERROR(SEARCH("BBB0미만",AP544))),AK544+ROW()/1000000000,-999),-999)</f>
        <v>-999</v>
      </c>
      <c r="AR544" s="92" t="str">
        <f aca="false">IF(AND(ISNUMBER(D544),ISNUMBER(K544)),D544+AN544*MAX(K544-1,0)/100,"")</f>
        <v/>
      </c>
      <c r="AS544" s="93" t="str">
        <f aca="false">IF(AND(ISNUMBER(E544),ISNUMBER(K544)),IF(K544&gt;0,(E544+AN544*MAX(K544-1,0))/K544,""),"")</f>
        <v/>
      </c>
      <c r="AT544" s="90" t="n">
        <f aca="false">IFERROR(IF(AND(Y544=1,ROW()&lt;&gt;스왑분석!$C$12+1,ABS(K544-INDEX($K$2:$K$601,스왑분석!$C$12))&lt;=스왑분석!$C$5,ISERROR(SEARCH("FRN",AP544)),ISERROR(SEARCH("BBB0미만",AP544))),IF(AND(OR(스왑분석!$C$6="N",L544=INDEX($L$2:$L$601,스왑분석!$C$12)),OR(스왑분석!$C$7="N",N544=INDEX($N$2:$N$601,스왑분석!$C$12)),OR(스왑분석!$C$8="N",AO544=0),E544-INDEX($E$2:$E$601,스왑분석!$C$12)&gt;=스왑분석!$C$9),E544-INDEX($E$2:$E$601,스왑분석!$C$12)+ROW()/1000000000,-999),-999),-999)</f>
        <v>-999</v>
      </c>
      <c r="AU544" s="90" t="n">
        <f aca="false">IF(AND(Y544=1,AO544&gt;0,AL544="Rich"),-AK544+ROW()/1000000000,-999)</f>
        <v>-999</v>
      </c>
    </row>
    <row r="545" customFormat="false" ht="15" hidden="false" customHeight="false" outlineLevel="0" collapsed="false">
      <c r="A545" s="83" t="n">
        <f aca="false">IFERROR(IF(INDEX(원자료_시장!$A$1:$BZ$1000,설정!$L$6+ROW()-1,설정!$L$24)&amp;""="0","",INDEX(원자료_시장!$A$1:$BZ$1000,설정!$L$6+ROW()-1,설정!$L$24)),"")</f>
        <v>0</v>
      </c>
      <c r="B545" s="83" t="n">
        <f aca="false">IFERROR(IF(INDEX(원자료_시장!$A$1:$BZ$1000,설정!$L$6+ROW()-1,설정!$L$37)&amp;""="0","",INDEX(원자료_시장!$A$1:$BZ$1000,설정!$L$6+ROW()-1,설정!$L$37)),"")</f>
        <v>0</v>
      </c>
      <c r="C545" s="83" t="n">
        <f aca="false">IFERROR(IF(INDEX(원자료_시장!$A$1:$BZ$1000,설정!$L$6+ROW()-1,설정!$L$25)&amp;""="0","",INDEX(원자료_시장!$A$1:$BZ$1000,설정!$L$6+ROW()-1,설정!$L$25)),"")</f>
        <v>0</v>
      </c>
      <c r="D545" s="85" t="str">
        <f aca="false">IFERROR(IF(ISNUMBER(INDEX(원자료_시장!$A$1:$BZ$1000,설정!$L$6+ROW()-1,설정!$L$26)),INDEX(원자료_시장!$A$1:$BZ$1000,설정!$L$6+ROW()-1,설정!$L$26),""),"")</f>
        <v/>
      </c>
      <c r="E545" s="97" t="str">
        <f aca="false">IFERROR(IF(ISNUMBER(INDEX(원자료_시장!$A$1:$BZ$1000,설정!$L$6+ROW()-1,설정!$L$27)),INDEX(원자료_시장!$A$1:$BZ$1000,설정!$L$6+ROW()-1,설정!$L$27),""),"")</f>
        <v/>
      </c>
      <c r="F545" s="97" t="str">
        <f aca="false">IFERROR(IF(ISNUMBER(INDEX(원자료_시장!$A$1:$BZ$1000,설정!$L$6+ROW()-1,설정!$L$28)),INDEX(원자료_시장!$A$1:$BZ$1000,설정!$L$6+ROW()-1,설정!$L$28),""),"")</f>
        <v/>
      </c>
      <c r="G545" s="97" t="str">
        <f aca="false">IFERROR(IF(ISNUMBER(INDEX(원자료_시장!$A$1:$BZ$1000,설정!$L$6+ROW()-1,설정!$L$29)),INDEX(원자료_시장!$A$1:$BZ$1000,설정!$L$6+ROW()-1,설정!$L$29),""),"")</f>
        <v/>
      </c>
      <c r="H545" s="97" t="str">
        <f aca="false">IFERROR(IF(ISNUMBER(INDEX(원자료_시장!$A$1:$BZ$1000,설정!$L$6+ROW()-1,설정!$L$30)),INDEX(원자료_시장!$A$1:$BZ$1000,설정!$L$6+ROW()-1,설정!$L$30),""),"")</f>
        <v/>
      </c>
      <c r="I545" s="97" t="str">
        <f aca="false">IFERROR(IF(ISNUMBER(INDEX(원자료_시장!$A$1:$BZ$1000,설정!$L$6+ROW()-1,설정!$L$31)),INDEX(원자료_시장!$A$1:$BZ$1000,설정!$L$6+ROW()-1,설정!$L$31),""),"")</f>
        <v/>
      </c>
      <c r="J545" s="97" t="str">
        <f aca="false">IFERROR(IF(ISNUMBER(INDEX(원자료_시장!$A$1:$BZ$1000,설정!$L$6+ROW()-1,설정!$L$32)),INDEX(원자료_시장!$A$1:$BZ$1000,설정!$L$6+ROW()-1,설정!$L$32),""),"")</f>
        <v/>
      </c>
      <c r="K545" s="85" t="str">
        <f aca="false">IFERROR(IF(ISNUMBER(INDEX(원자료_시장!$A$1:$BZ$1000,설정!$L$6+ROW()-1,설정!$L$33)),INDEX(원자료_시장!$A$1:$BZ$1000,설정!$L$6+ROW()-1,설정!$L$33),""),"")</f>
        <v/>
      </c>
      <c r="L545" s="83" t="n">
        <f aca="false">IFERROR(IF(INDEX(원자료_시장!$A$1:$BZ$1000,설정!$L$6+ROW()-1,설정!$L$34)&amp;""="0","",INDEX(원자료_시장!$A$1:$BZ$1000,설정!$L$6+ROW()-1,설정!$L$34)),"")</f>
        <v>0</v>
      </c>
      <c r="M545" s="83" t="n">
        <f aca="false">IFERROR(IF(INDEX(원자료_시장!$A$1:$BZ$1000,설정!$L$6+ROW()-1,설정!$L$35)&amp;""="0","",INDEX(원자료_시장!$A$1:$BZ$1000,설정!$L$6+ROW()-1,설정!$L$35)),"")</f>
        <v>0</v>
      </c>
      <c r="N545" s="83" t="n">
        <f aca="false">IFERROR(IF(INDEX(원자료_시장!$A$1:$BZ$1000,설정!$L$6+ROW()-1,설정!$L$36)&amp;""="0","",INDEX(원자료_시장!$A$1:$BZ$1000,설정!$L$6+ROW()-1,설정!$L$36)),"")</f>
        <v>0</v>
      </c>
      <c r="O545" s="43" t="str">
        <f aca="false">IF($A545="","",UPPER(LEFT($A545,FIND(" ",$A545&amp;" ")-1)))</f>
        <v/>
      </c>
      <c r="P545" s="43" t="str">
        <f aca="false">IF($A545="","",TRIM(RIGHT(SUBSTITUTE(TRIM($A545)," ",REPT(" ",30)),30)))</f>
        <v/>
      </c>
      <c r="Q545" s="98" t="str">
        <f aca="false">IF($A545="","",IFERROR(DATE(IF(LEN(P545)=8,2000+VALUE(RIGHT(P545,2)),VALUE(RIGHT(P545,4))),VALUE(LEFT(P545,2)),VALUE(MID(P545,4,2))),""))</f>
        <v/>
      </c>
      <c r="R545" s="89" t="n">
        <f aca="false">IF($A545="",0,IF(ISNUMBER(SEARCH("Float",$A545)),1,0))</f>
        <v>0</v>
      </c>
      <c r="S545" s="43" t="str">
        <f aca="false">IF($A545="","",TRIM(MID($A545,LEN(O545)+2,LEN($A545)-LEN(O545)-LEN(P545)-1)))</f>
        <v/>
      </c>
      <c r="T545" s="92" t="str">
        <f aca="false">IF(OR($A545="",R545=1),"",IFERROR(IF(ISNUMBER(FIND("/",S545)),IF(ISNUMBER(FIND(" ",S545)),VALUE(LEFT(S545,FIND(" ",S545)-1))+VALUE(MID(S545,FIND(" ",S545)+1,FIND("/",S545)-FIND(" ",S545)-1))/VALUE(MID(S545,FIND("/",S545)+1,9)),VALUE(LEFT(S545,FIND("/",S545)-1))/VALUE(MID(S545,FIND("/",S545)+1,9))),VALUE(S545)),""))</f>
        <v/>
      </c>
      <c r="U545" s="43" t="str">
        <f aca="false">IF(OR($A545="",NOT(ISNUMBER(Q545))),"",TEXT(Q545,"yyyymmdd")&amp;"|"&amp;IF(R545=1,"F",TEXT(T545,"0.000")))</f>
        <v/>
      </c>
      <c r="V545" s="43" t="str">
        <f aca="false">IF(U545="","",O545&amp;"|"&amp;U545)</f>
        <v/>
      </c>
      <c r="W545" s="43" t="str">
        <f aca="false">IF($A545="","",IFERROR(IF(VLOOKUP(O545,매핑!$A$4:$E$92,3,0)="","미분류",VLOOKUP(O545,매핑!$A$4:$E$92,3,0)),"미분류"))</f>
        <v/>
      </c>
      <c r="X545" s="89" t="n">
        <f aca="false">IF($A545="",0,IF(O545="T",1,0))</f>
        <v>0</v>
      </c>
      <c r="Y545" s="89" t="n">
        <f aca="false">IF($A545="",0,IF(AND(C545="USD",X545=0,ISNUMBER(E545),ISNUMBER(K545)),IF(K545&gt;=설정!$C$8,1,0),0))</f>
        <v>0</v>
      </c>
      <c r="Z545" s="43" t="str">
        <f aca="false">IF($A545="","",N545&amp;"|"&amp;L545)</f>
        <v/>
      </c>
      <c r="AA545" s="92" t="n">
        <f aca="false">IF(Y545=1,LN(K545),0)</f>
        <v>0</v>
      </c>
      <c r="AB545" s="93" t="n">
        <f aca="false">IF(Y545=1,E545,0)</f>
        <v>0</v>
      </c>
      <c r="AC545" s="89" t="n">
        <f aca="false">IF(Y545=1,COUNTIFS($Z$2:$Z$601,Z545,$Y$2:$Y$601,1),0)</f>
        <v>0</v>
      </c>
      <c r="AD545" s="89" t="n">
        <f aca="false">IF(Y545=1,COUNTIFS($N$2:$N$601,N545,$Y$2:$Y$601,1),0)</f>
        <v>0</v>
      </c>
      <c r="AE545" s="43" t="str">
        <f aca="false">IF(Y545&lt;&gt;1,"",IF(AND(AC545&gt;=설정!$C$7,ISNUMBER(MATCH(Z545,피어커브!$A:$A,0))),Z545,IF(AND(AD545&gt;=설정!$C$7,ISNUMBER(MATCH(N545&amp;"|전체",피어커브!$A:$A,0))),N545&amp;"|전체","전체|전체")))</f>
        <v/>
      </c>
      <c r="AF545" s="93" t="str">
        <f aca="false">IF(AE545="","",INDEX(피어커브!$K:$K,MATCH(AE545,피어커브!$A:$A,0)))</f>
        <v/>
      </c>
      <c r="AG545" s="93" t="str">
        <f aca="false">IF(AE545="","",INDEX(피어커브!$J:$J,MATCH(AE545,피어커브!$A:$A,0)))</f>
        <v/>
      </c>
      <c r="AH545" s="93" t="str">
        <f aca="false">IF(AE545="","",INDEX(피어커브!$L:$L,MATCH(AE545,피어커브!$A:$A,0)))</f>
        <v/>
      </c>
      <c r="AI545" s="93" t="str">
        <f aca="false">IF(AE545="","",AF545+AG545*AA545)</f>
        <v/>
      </c>
      <c r="AJ545" s="96" t="str">
        <f aca="false">IF(AE545="","",E545-AI545)</f>
        <v/>
      </c>
      <c r="AK545" s="95" t="str">
        <f aca="false">IF(AE545="","",IF(ISNUMBER(AH545),IF(AH545&gt;0,AJ545/AH545,""),""))</f>
        <v/>
      </c>
      <c r="AL545" s="43" t="str">
        <f aca="false">IF(AK545="","-",IF(AK545&gt;=설정!$C$6,"Cheap",IF(AK545&lt;=-설정!$C$6,"Rich","Fair")))</f>
        <v>-</v>
      </c>
      <c r="AM545" s="96" t="str">
        <f aca="false">IF(AE545="","",AJ545-AVERAGEIFS($AJ$2:$AJ$601,$B$2:$B$601,B545,$Y$2:$Y$601,1))</f>
        <v/>
      </c>
      <c r="AN545" s="93" t="n">
        <f aca="false">IF(AE545="",0,IF(K545&gt;1+설정!$C$8,AG545*(AA545-LN(K545-1)),0))</f>
        <v>0</v>
      </c>
      <c r="AO545" s="99" t="n">
        <f aca="false">IF($A545="",0,SUMIFS(보유분석!$AA$2:$AA$801,보유분석!$AB$2:$AB$801,ROW(),보유분석!$AC$2:$AC$801,1))</f>
        <v>0</v>
      </c>
      <c r="AP545" s="43" t="str">
        <f aca="false">IF($A545="","",TRIM(IF(R545=1,"FRN ","")&amp;IF(IFERROR(VLOOKUP(M545,설정!$A$15:$D$47,4,0),0)&gt;=10,IF(IFERROR(VLOOKUP(M545,설정!$A$15:$D$47,4,0),0)&lt;99,"BBB0미만 ",""),"")&amp;IF(OR(M545="",M545="NR"),"등급미입력 ","")&amp;IF(C545&lt;&gt;"USD","비USD ","")))</f>
        <v/>
      </c>
      <c r="AQ545" s="90" t="n">
        <f aca="false">IF(AND(Y545=1,AL545="Cheap"),IF(AND(ISERROR(SEARCH("FRN",AP545)),ISERROR(SEARCH("BBB0미만",AP545))),AK545+ROW()/1000000000,-999),-999)</f>
        <v>-999</v>
      </c>
      <c r="AR545" s="92" t="str">
        <f aca="false">IF(AND(ISNUMBER(D545),ISNUMBER(K545)),D545+AN545*MAX(K545-1,0)/100,"")</f>
        <v/>
      </c>
      <c r="AS545" s="93" t="str">
        <f aca="false">IF(AND(ISNUMBER(E545),ISNUMBER(K545)),IF(K545&gt;0,(E545+AN545*MAX(K545-1,0))/K545,""),"")</f>
        <v/>
      </c>
      <c r="AT545" s="90" t="n">
        <f aca="false">IFERROR(IF(AND(Y545=1,ROW()&lt;&gt;스왑분석!$C$12+1,ABS(K545-INDEX($K$2:$K$601,스왑분석!$C$12))&lt;=스왑분석!$C$5,ISERROR(SEARCH("FRN",AP545)),ISERROR(SEARCH("BBB0미만",AP545))),IF(AND(OR(스왑분석!$C$6="N",L545=INDEX($L$2:$L$601,스왑분석!$C$12)),OR(스왑분석!$C$7="N",N545=INDEX($N$2:$N$601,스왑분석!$C$12)),OR(스왑분석!$C$8="N",AO545=0),E545-INDEX($E$2:$E$601,스왑분석!$C$12)&gt;=스왑분석!$C$9),E545-INDEX($E$2:$E$601,스왑분석!$C$12)+ROW()/1000000000,-999),-999),-999)</f>
        <v>-999</v>
      </c>
      <c r="AU545" s="90" t="n">
        <f aca="false">IF(AND(Y545=1,AO545&gt;0,AL545="Rich"),-AK545+ROW()/1000000000,-999)</f>
        <v>-999</v>
      </c>
    </row>
    <row r="546" customFormat="false" ht="15" hidden="false" customHeight="false" outlineLevel="0" collapsed="false">
      <c r="A546" s="83" t="n">
        <f aca="false">IFERROR(IF(INDEX(원자료_시장!$A$1:$BZ$1000,설정!$L$6+ROW()-1,설정!$L$24)&amp;""="0","",INDEX(원자료_시장!$A$1:$BZ$1000,설정!$L$6+ROW()-1,설정!$L$24)),"")</f>
        <v>0</v>
      </c>
      <c r="B546" s="83" t="n">
        <f aca="false">IFERROR(IF(INDEX(원자료_시장!$A$1:$BZ$1000,설정!$L$6+ROW()-1,설정!$L$37)&amp;""="0","",INDEX(원자료_시장!$A$1:$BZ$1000,설정!$L$6+ROW()-1,설정!$L$37)),"")</f>
        <v>0</v>
      </c>
      <c r="C546" s="83" t="n">
        <f aca="false">IFERROR(IF(INDEX(원자료_시장!$A$1:$BZ$1000,설정!$L$6+ROW()-1,설정!$L$25)&amp;""="0","",INDEX(원자료_시장!$A$1:$BZ$1000,설정!$L$6+ROW()-1,설정!$L$25)),"")</f>
        <v>0</v>
      </c>
      <c r="D546" s="85" t="str">
        <f aca="false">IFERROR(IF(ISNUMBER(INDEX(원자료_시장!$A$1:$BZ$1000,설정!$L$6+ROW()-1,설정!$L$26)),INDEX(원자료_시장!$A$1:$BZ$1000,설정!$L$6+ROW()-1,설정!$L$26),""),"")</f>
        <v/>
      </c>
      <c r="E546" s="97" t="str">
        <f aca="false">IFERROR(IF(ISNUMBER(INDEX(원자료_시장!$A$1:$BZ$1000,설정!$L$6+ROW()-1,설정!$L$27)),INDEX(원자료_시장!$A$1:$BZ$1000,설정!$L$6+ROW()-1,설정!$L$27),""),"")</f>
        <v/>
      </c>
      <c r="F546" s="97" t="str">
        <f aca="false">IFERROR(IF(ISNUMBER(INDEX(원자료_시장!$A$1:$BZ$1000,설정!$L$6+ROW()-1,설정!$L$28)),INDEX(원자료_시장!$A$1:$BZ$1000,설정!$L$6+ROW()-1,설정!$L$28),""),"")</f>
        <v/>
      </c>
      <c r="G546" s="97" t="str">
        <f aca="false">IFERROR(IF(ISNUMBER(INDEX(원자료_시장!$A$1:$BZ$1000,설정!$L$6+ROW()-1,설정!$L$29)),INDEX(원자료_시장!$A$1:$BZ$1000,설정!$L$6+ROW()-1,설정!$L$29),""),"")</f>
        <v/>
      </c>
      <c r="H546" s="97" t="str">
        <f aca="false">IFERROR(IF(ISNUMBER(INDEX(원자료_시장!$A$1:$BZ$1000,설정!$L$6+ROW()-1,설정!$L$30)),INDEX(원자료_시장!$A$1:$BZ$1000,설정!$L$6+ROW()-1,설정!$L$30),""),"")</f>
        <v/>
      </c>
      <c r="I546" s="97" t="str">
        <f aca="false">IFERROR(IF(ISNUMBER(INDEX(원자료_시장!$A$1:$BZ$1000,설정!$L$6+ROW()-1,설정!$L$31)),INDEX(원자료_시장!$A$1:$BZ$1000,설정!$L$6+ROW()-1,설정!$L$31),""),"")</f>
        <v/>
      </c>
      <c r="J546" s="97" t="str">
        <f aca="false">IFERROR(IF(ISNUMBER(INDEX(원자료_시장!$A$1:$BZ$1000,설정!$L$6+ROW()-1,설정!$L$32)),INDEX(원자료_시장!$A$1:$BZ$1000,설정!$L$6+ROW()-1,설정!$L$32),""),"")</f>
        <v/>
      </c>
      <c r="K546" s="85" t="str">
        <f aca="false">IFERROR(IF(ISNUMBER(INDEX(원자료_시장!$A$1:$BZ$1000,설정!$L$6+ROW()-1,설정!$L$33)),INDEX(원자료_시장!$A$1:$BZ$1000,설정!$L$6+ROW()-1,설정!$L$33),""),"")</f>
        <v/>
      </c>
      <c r="L546" s="83" t="n">
        <f aca="false">IFERROR(IF(INDEX(원자료_시장!$A$1:$BZ$1000,설정!$L$6+ROW()-1,설정!$L$34)&amp;""="0","",INDEX(원자료_시장!$A$1:$BZ$1000,설정!$L$6+ROW()-1,설정!$L$34)),"")</f>
        <v>0</v>
      </c>
      <c r="M546" s="83" t="n">
        <f aca="false">IFERROR(IF(INDEX(원자료_시장!$A$1:$BZ$1000,설정!$L$6+ROW()-1,설정!$L$35)&amp;""="0","",INDEX(원자료_시장!$A$1:$BZ$1000,설정!$L$6+ROW()-1,설정!$L$35)),"")</f>
        <v>0</v>
      </c>
      <c r="N546" s="83" t="n">
        <f aca="false">IFERROR(IF(INDEX(원자료_시장!$A$1:$BZ$1000,설정!$L$6+ROW()-1,설정!$L$36)&amp;""="0","",INDEX(원자료_시장!$A$1:$BZ$1000,설정!$L$6+ROW()-1,설정!$L$36)),"")</f>
        <v>0</v>
      </c>
      <c r="O546" s="43" t="str">
        <f aca="false">IF($A546="","",UPPER(LEFT($A546,FIND(" ",$A546&amp;" ")-1)))</f>
        <v/>
      </c>
      <c r="P546" s="43" t="str">
        <f aca="false">IF($A546="","",TRIM(RIGHT(SUBSTITUTE(TRIM($A546)," ",REPT(" ",30)),30)))</f>
        <v/>
      </c>
      <c r="Q546" s="98" t="str">
        <f aca="false">IF($A546="","",IFERROR(DATE(IF(LEN(P546)=8,2000+VALUE(RIGHT(P546,2)),VALUE(RIGHT(P546,4))),VALUE(LEFT(P546,2)),VALUE(MID(P546,4,2))),""))</f>
        <v/>
      </c>
      <c r="R546" s="89" t="n">
        <f aca="false">IF($A546="",0,IF(ISNUMBER(SEARCH("Float",$A546)),1,0))</f>
        <v>0</v>
      </c>
      <c r="S546" s="43" t="str">
        <f aca="false">IF($A546="","",TRIM(MID($A546,LEN(O546)+2,LEN($A546)-LEN(O546)-LEN(P546)-1)))</f>
        <v/>
      </c>
      <c r="T546" s="92" t="str">
        <f aca="false">IF(OR($A546="",R546=1),"",IFERROR(IF(ISNUMBER(FIND("/",S546)),IF(ISNUMBER(FIND(" ",S546)),VALUE(LEFT(S546,FIND(" ",S546)-1))+VALUE(MID(S546,FIND(" ",S546)+1,FIND("/",S546)-FIND(" ",S546)-1))/VALUE(MID(S546,FIND("/",S546)+1,9)),VALUE(LEFT(S546,FIND("/",S546)-1))/VALUE(MID(S546,FIND("/",S546)+1,9))),VALUE(S546)),""))</f>
        <v/>
      </c>
      <c r="U546" s="43" t="str">
        <f aca="false">IF(OR($A546="",NOT(ISNUMBER(Q546))),"",TEXT(Q546,"yyyymmdd")&amp;"|"&amp;IF(R546=1,"F",TEXT(T546,"0.000")))</f>
        <v/>
      </c>
      <c r="V546" s="43" t="str">
        <f aca="false">IF(U546="","",O546&amp;"|"&amp;U546)</f>
        <v/>
      </c>
      <c r="W546" s="43" t="str">
        <f aca="false">IF($A546="","",IFERROR(IF(VLOOKUP(O546,매핑!$A$4:$E$92,3,0)="","미분류",VLOOKUP(O546,매핑!$A$4:$E$92,3,0)),"미분류"))</f>
        <v/>
      </c>
      <c r="X546" s="89" t="n">
        <f aca="false">IF($A546="",0,IF(O546="T",1,0))</f>
        <v>0</v>
      </c>
      <c r="Y546" s="89" t="n">
        <f aca="false">IF($A546="",0,IF(AND(C546="USD",X546=0,ISNUMBER(E546),ISNUMBER(K546)),IF(K546&gt;=설정!$C$8,1,0),0))</f>
        <v>0</v>
      </c>
      <c r="Z546" s="43" t="str">
        <f aca="false">IF($A546="","",N546&amp;"|"&amp;L546)</f>
        <v/>
      </c>
      <c r="AA546" s="92" t="n">
        <f aca="false">IF(Y546=1,LN(K546),0)</f>
        <v>0</v>
      </c>
      <c r="AB546" s="93" t="n">
        <f aca="false">IF(Y546=1,E546,0)</f>
        <v>0</v>
      </c>
      <c r="AC546" s="89" t="n">
        <f aca="false">IF(Y546=1,COUNTIFS($Z$2:$Z$601,Z546,$Y$2:$Y$601,1),0)</f>
        <v>0</v>
      </c>
      <c r="AD546" s="89" t="n">
        <f aca="false">IF(Y546=1,COUNTIFS($N$2:$N$601,N546,$Y$2:$Y$601,1),0)</f>
        <v>0</v>
      </c>
      <c r="AE546" s="43" t="str">
        <f aca="false">IF(Y546&lt;&gt;1,"",IF(AND(AC546&gt;=설정!$C$7,ISNUMBER(MATCH(Z546,피어커브!$A:$A,0))),Z546,IF(AND(AD546&gt;=설정!$C$7,ISNUMBER(MATCH(N546&amp;"|전체",피어커브!$A:$A,0))),N546&amp;"|전체","전체|전체")))</f>
        <v/>
      </c>
      <c r="AF546" s="93" t="str">
        <f aca="false">IF(AE546="","",INDEX(피어커브!$K:$K,MATCH(AE546,피어커브!$A:$A,0)))</f>
        <v/>
      </c>
      <c r="AG546" s="93" t="str">
        <f aca="false">IF(AE546="","",INDEX(피어커브!$J:$J,MATCH(AE546,피어커브!$A:$A,0)))</f>
        <v/>
      </c>
      <c r="AH546" s="93" t="str">
        <f aca="false">IF(AE546="","",INDEX(피어커브!$L:$L,MATCH(AE546,피어커브!$A:$A,0)))</f>
        <v/>
      </c>
      <c r="AI546" s="93" t="str">
        <f aca="false">IF(AE546="","",AF546+AG546*AA546)</f>
        <v/>
      </c>
      <c r="AJ546" s="96" t="str">
        <f aca="false">IF(AE546="","",E546-AI546)</f>
        <v/>
      </c>
      <c r="AK546" s="95" t="str">
        <f aca="false">IF(AE546="","",IF(ISNUMBER(AH546),IF(AH546&gt;0,AJ546/AH546,""),""))</f>
        <v/>
      </c>
      <c r="AL546" s="43" t="str">
        <f aca="false">IF(AK546="","-",IF(AK546&gt;=설정!$C$6,"Cheap",IF(AK546&lt;=-설정!$C$6,"Rich","Fair")))</f>
        <v>-</v>
      </c>
      <c r="AM546" s="96" t="str">
        <f aca="false">IF(AE546="","",AJ546-AVERAGEIFS($AJ$2:$AJ$601,$B$2:$B$601,B546,$Y$2:$Y$601,1))</f>
        <v/>
      </c>
      <c r="AN546" s="93" t="n">
        <f aca="false">IF(AE546="",0,IF(K546&gt;1+설정!$C$8,AG546*(AA546-LN(K546-1)),0))</f>
        <v>0</v>
      </c>
      <c r="AO546" s="99" t="n">
        <f aca="false">IF($A546="",0,SUMIFS(보유분석!$AA$2:$AA$801,보유분석!$AB$2:$AB$801,ROW(),보유분석!$AC$2:$AC$801,1))</f>
        <v>0</v>
      </c>
      <c r="AP546" s="43" t="str">
        <f aca="false">IF($A546="","",TRIM(IF(R546=1,"FRN ","")&amp;IF(IFERROR(VLOOKUP(M546,설정!$A$15:$D$47,4,0),0)&gt;=10,IF(IFERROR(VLOOKUP(M546,설정!$A$15:$D$47,4,0),0)&lt;99,"BBB0미만 ",""),"")&amp;IF(OR(M546="",M546="NR"),"등급미입력 ","")&amp;IF(C546&lt;&gt;"USD","비USD ","")))</f>
        <v/>
      </c>
      <c r="AQ546" s="90" t="n">
        <f aca="false">IF(AND(Y546=1,AL546="Cheap"),IF(AND(ISERROR(SEARCH("FRN",AP546)),ISERROR(SEARCH("BBB0미만",AP546))),AK546+ROW()/1000000000,-999),-999)</f>
        <v>-999</v>
      </c>
      <c r="AR546" s="92" t="str">
        <f aca="false">IF(AND(ISNUMBER(D546),ISNUMBER(K546)),D546+AN546*MAX(K546-1,0)/100,"")</f>
        <v/>
      </c>
      <c r="AS546" s="93" t="str">
        <f aca="false">IF(AND(ISNUMBER(E546),ISNUMBER(K546)),IF(K546&gt;0,(E546+AN546*MAX(K546-1,0))/K546,""),"")</f>
        <v/>
      </c>
      <c r="AT546" s="90" t="n">
        <f aca="false">IFERROR(IF(AND(Y546=1,ROW()&lt;&gt;스왑분석!$C$12+1,ABS(K546-INDEX($K$2:$K$601,스왑분석!$C$12))&lt;=스왑분석!$C$5,ISERROR(SEARCH("FRN",AP546)),ISERROR(SEARCH("BBB0미만",AP546))),IF(AND(OR(스왑분석!$C$6="N",L546=INDEX($L$2:$L$601,스왑분석!$C$12)),OR(스왑분석!$C$7="N",N546=INDEX($N$2:$N$601,스왑분석!$C$12)),OR(스왑분석!$C$8="N",AO546=0),E546-INDEX($E$2:$E$601,스왑분석!$C$12)&gt;=스왑분석!$C$9),E546-INDEX($E$2:$E$601,스왑분석!$C$12)+ROW()/1000000000,-999),-999),-999)</f>
        <v>-999</v>
      </c>
      <c r="AU546" s="90" t="n">
        <f aca="false">IF(AND(Y546=1,AO546&gt;0,AL546="Rich"),-AK546+ROW()/1000000000,-999)</f>
        <v>-999</v>
      </c>
    </row>
    <row r="547" customFormat="false" ht="15" hidden="false" customHeight="false" outlineLevel="0" collapsed="false">
      <c r="A547" s="83" t="n">
        <f aca="false">IFERROR(IF(INDEX(원자료_시장!$A$1:$BZ$1000,설정!$L$6+ROW()-1,설정!$L$24)&amp;""="0","",INDEX(원자료_시장!$A$1:$BZ$1000,설정!$L$6+ROW()-1,설정!$L$24)),"")</f>
        <v>0</v>
      </c>
      <c r="B547" s="83" t="n">
        <f aca="false">IFERROR(IF(INDEX(원자료_시장!$A$1:$BZ$1000,설정!$L$6+ROW()-1,설정!$L$37)&amp;""="0","",INDEX(원자료_시장!$A$1:$BZ$1000,설정!$L$6+ROW()-1,설정!$L$37)),"")</f>
        <v>0</v>
      </c>
      <c r="C547" s="83" t="n">
        <f aca="false">IFERROR(IF(INDEX(원자료_시장!$A$1:$BZ$1000,설정!$L$6+ROW()-1,설정!$L$25)&amp;""="0","",INDEX(원자료_시장!$A$1:$BZ$1000,설정!$L$6+ROW()-1,설정!$L$25)),"")</f>
        <v>0</v>
      </c>
      <c r="D547" s="85" t="str">
        <f aca="false">IFERROR(IF(ISNUMBER(INDEX(원자료_시장!$A$1:$BZ$1000,설정!$L$6+ROW()-1,설정!$L$26)),INDEX(원자료_시장!$A$1:$BZ$1000,설정!$L$6+ROW()-1,설정!$L$26),""),"")</f>
        <v/>
      </c>
      <c r="E547" s="97" t="str">
        <f aca="false">IFERROR(IF(ISNUMBER(INDEX(원자료_시장!$A$1:$BZ$1000,설정!$L$6+ROW()-1,설정!$L$27)),INDEX(원자료_시장!$A$1:$BZ$1000,설정!$L$6+ROW()-1,설정!$L$27),""),"")</f>
        <v/>
      </c>
      <c r="F547" s="97" t="str">
        <f aca="false">IFERROR(IF(ISNUMBER(INDEX(원자료_시장!$A$1:$BZ$1000,설정!$L$6+ROW()-1,설정!$L$28)),INDEX(원자료_시장!$A$1:$BZ$1000,설정!$L$6+ROW()-1,설정!$L$28),""),"")</f>
        <v/>
      </c>
      <c r="G547" s="97" t="str">
        <f aca="false">IFERROR(IF(ISNUMBER(INDEX(원자료_시장!$A$1:$BZ$1000,설정!$L$6+ROW()-1,설정!$L$29)),INDEX(원자료_시장!$A$1:$BZ$1000,설정!$L$6+ROW()-1,설정!$L$29),""),"")</f>
        <v/>
      </c>
      <c r="H547" s="97" t="str">
        <f aca="false">IFERROR(IF(ISNUMBER(INDEX(원자료_시장!$A$1:$BZ$1000,설정!$L$6+ROW()-1,설정!$L$30)),INDEX(원자료_시장!$A$1:$BZ$1000,설정!$L$6+ROW()-1,설정!$L$30),""),"")</f>
        <v/>
      </c>
      <c r="I547" s="97" t="str">
        <f aca="false">IFERROR(IF(ISNUMBER(INDEX(원자료_시장!$A$1:$BZ$1000,설정!$L$6+ROW()-1,설정!$L$31)),INDEX(원자료_시장!$A$1:$BZ$1000,설정!$L$6+ROW()-1,설정!$L$31),""),"")</f>
        <v/>
      </c>
      <c r="J547" s="97" t="str">
        <f aca="false">IFERROR(IF(ISNUMBER(INDEX(원자료_시장!$A$1:$BZ$1000,설정!$L$6+ROW()-1,설정!$L$32)),INDEX(원자료_시장!$A$1:$BZ$1000,설정!$L$6+ROW()-1,설정!$L$32),""),"")</f>
        <v/>
      </c>
      <c r="K547" s="85" t="str">
        <f aca="false">IFERROR(IF(ISNUMBER(INDEX(원자료_시장!$A$1:$BZ$1000,설정!$L$6+ROW()-1,설정!$L$33)),INDEX(원자료_시장!$A$1:$BZ$1000,설정!$L$6+ROW()-1,설정!$L$33),""),"")</f>
        <v/>
      </c>
      <c r="L547" s="83" t="n">
        <f aca="false">IFERROR(IF(INDEX(원자료_시장!$A$1:$BZ$1000,설정!$L$6+ROW()-1,설정!$L$34)&amp;""="0","",INDEX(원자료_시장!$A$1:$BZ$1000,설정!$L$6+ROW()-1,설정!$L$34)),"")</f>
        <v>0</v>
      </c>
      <c r="M547" s="83" t="n">
        <f aca="false">IFERROR(IF(INDEX(원자료_시장!$A$1:$BZ$1000,설정!$L$6+ROW()-1,설정!$L$35)&amp;""="0","",INDEX(원자료_시장!$A$1:$BZ$1000,설정!$L$6+ROW()-1,설정!$L$35)),"")</f>
        <v>0</v>
      </c>
      <c r="N547" s="83" t="n">
        <f aca="false">IFERROR(IF(INDEX(원자료_시장!$A$1:$BZ$1000,설정!$L$6+ROW()-1,설정!$L$36)&amp;""="0","",INDEX(원자료_시장!$A$1:$BZ$1000,설정!$L$6+ROW()-1,설정!$L$36)),"")</f>
        <v>0</v>
      </c>
      <c r="O547" s="43" t="str">
        <f aca="false">IF($A547="","",UPPER(LEFT($A547,FIND(" ",$A547&amp;" ")-1)))</f>
        <v/>
      </c>
      <c r="P547" s="43" t="str">
        <f aca="false">IF($A547="","",TRIM(RIGHT(SUBSTITUTE(TRIM($A547)," ",REPT(" ",30)),30)))</f>
        <v/>
      </c>
      <c r="Q547" s="98" t="str">
        <f aca="false">IF($A547="","",IFERROR(DATE(IF(LEN(P547)=8,2000+VALUE(RIGHT(P547,2)),VALUE(RIGHT(P547,4))),VALUE(LEFT(P547,2)),VALUE(MID(P547,4,2))),""))</f>
        <v/>
      </c>
      <c r="R547" s="89" t="n">
        <f aca="false">IF($A547="",0,IF(ISNUMBER(SEARCH("Float",$A547)),1,0))</f>
        <v>0</v>
      </c>
      <c r="S547" s="43" t="str">
        <f aca="false">IF($A547="","",TRIM(MID($A547,LEN(O547)+2,LEN($A547)-LEN(O547)-LEN(P547)-1)))</f>
        <v/>
      </c>
      <c r="T547" s="92" t="str">
        <f aca="false">IF(OR($A547="",R547=1),"",IFERROR(IF(ISNUMBER(FIND("/",S547)),IF(ISNUMBER(FIND(" ",S547)),VALUE(LEFT(S547,FIND(" ",S547)-1))+VALUE(MID(S547,FIND(" ",S547)+1,FIND("/",S547)-FIND(" ",S547)-1))/VALUE(MID(S547,FIND("/",S547)+1,9)),VALUE(LEFT(S547,FIND("/",S547)-1))/VALUE(MID(S547,FIND("/",S547)+1,9))),VALUE(S547)),""))</f>
        <v/>
      </c>
      <c r="U547" s="43" t="str">
        <f aca="false">IF(OR($A547="",NOT(ISNUMBER(Q547))),"",TEXT(Q547,"yyyymmdd")&amp;"|"&amp;IF(R547=1,"F",TEXT(T547,"0.000")))</f>
        <v/>
      </c>
      <c r="V547" s="43" t="str">
        <f aca="false">IF(U547="","",O547&amp;"|"&amp;U547)</f>
        <v/>
      </c>
      <c r="W547" s="43" t="str">
        <f aca="false">IF($A547="","",IFERROR(IF(VLOOKUP(O547,매핑!$A$4:$E$92,3,0)="","미분류",VLOOKUP(O547,매핑!$A$4:$E$92,3,0)),"미분류"))</f>
        <v/>
      </c>
      <c r="X547" s="89" t="n">
        <f aca="false">IF($A547="",0,IF(O547="T",1,0))</f>
        <v>0</v>
      </c>
      <c r="Y547" s="89" t="n">
        <f aca="false">IF($A547="",0,IF(AND(C547="USD",X547=0,ISNUMBER(E547),ISNUMBER(K547)),IF(K547&gt;=설정!$C$8,1,0),0))</f>
        <v>0</v>
      </c>
      <c r="Z547" s="43" t="str">
        <f aca="false">IF($A547="","",N547&amp;"|"&amp;L547)</f>
        <v/>
      </c>
      <c r="AA547" s="92" t="n">
        <f aca="false">IF(Y547=1,LN(K547),0)</f>
        <v>0</v>
      </c>
      <c r="AB547" s="93" t="n">
        <f aca="false">IF(Y547=1,E547,0)</f>
        <v>0</v>
      </c>
      <c r="AC547" s="89" t="n">
        <f aca="false">IF(Y547=1,COUNTIFS($Z$2:$Z$601,Z547,$Y$2:$Y$601,1),0)</f>
        <v>0</v>
      </c>
      <c r="AD547" s="89" t="n">
        <f aca="false">IF(Y547=1,COUNTIFS($N$2:$N$601,N547,$Y$2:$Y$601,1),0)</f>
        <v>0</v>
      </c>
      <c r="AE547" s="43" t="str">
        <f aca="false">IF(Y547&lt;&gt;1,"",IF(AND(AC547&gt;=설정!$C$7,ISNUMBER(MATCH(Z547,피어커브!$A:$A,0))),Z547,IF(AND(AD547&gt;=설정!$C$7,ISNUMBER(MATCH(N547&amp;"|전체",피어커브!$A:$A,0))),N547&amp;"|전체","전체|전체")))</f>
        <v/>
      </c>
      <c r="AF547" s="93" t="str">
        <f aca="false">IF(AE547="","",INDEX(피어커브!$K:$K,MATCH(AE547,피어커브!$A:$A,0)))</f>
        <v/>
      </c>
      <c r="AG547" s="93" t="str">
        <f aca="false">IF(AE547="","",INDEX(피어커브!$J:$J,MATCH(AE547,피어커브!$A:$A,0)))</f>
        <v/>
      </c>
      <c r="AH547" s="93" t="str">
        <f aca="false">IF(AE547="","",INDEX(피어커브!$L:$L,MATCH(AE547,피어커브!$A:$A,0)))</f>
        <v/>
      </c>
      <c r="AI547" s="93" t="str">
        <f aca="false">IF(AE547="","",AF547+AG547*AA547)</f>
        <v/>
      </c>
      <c r="AJ547" s="96" t="str">
        <f aca="false">IF(AE547="","",E547-AI547)</f>
        <v/>
      </c>
      <c r="AK547" s="95" t="str">
        <f aca="false">IF(AE547="","",IF(ISNUMBER(AH547),IF(AH547&gt;0,AJ547/AH547,""),""))</f>
        <v/>
      </c>
      <c r="AL547" s="43" t="str">
        <f aca="false">IF(AK547="","-",IF(AK547&gt;=설정!$C$6,"Cheap",IF(AK547&lt;=-설정!$C$6,"Rich","Fair")))</f>
        <v>-</v>
      </c>
      <c r="AM547" s="96" t="str">
        <f aca="false">IF(AE547="","",AJ547-AVERAGEIFS($AJ$2:$AJ$601,$B$2:$B$601,B547,$Y$2:$Y$601,1))</f>
        <v/>
      </c>
      <c r="AN547" s="93" t="n">
        <f aca="false">IF(AE547="",0,IF(K547&gt;1+설정!$C$8,AG547*(AA547-LN(K547-1)),0))</f>
        <v>0</v>
      </c>
      <c r="AO547" s="99" t="n">
        <f aca="false">IF($A547="",0,SUMIFS(보유분석!$AA$2:$AA$801,보유분석!$AB$2:$AB$801,ROW(),보유분석!$AC$2:$AC$801,1))</f>
        <v>0</v>
      </c>
      <c r="AP547" s="43" t="str">
        <f aca="false">IF($A547="","",TRIM(IF(R547=1,"FRN ","")&amp;IF(IFERROR(VLOOKUP(M547,설정!$A$15:$D$47,4,0),0)&gt;=10,IF(IFERROR(VLOOKUP(M547,설정!$A$15:$D$47,4,0),0)&lt;99,"BBB0미만 ",""),"")&amp;IF(OR(M547="",M547="NR"),"등급미입력 ","")&amp;IF(C547&lt;&gt;"USD","비USD ","")))</f>
        <v/>
      </c>
      <c r="AQ547" s="90" t="n">
        <f aca="false">IF(AND(Y547=1,AL547="Cheap"),IF(AND(ISERROR(SEARCH("FRN",AP547)),ISERROR(SEARCH("BBB0미만",AP547))),AK547+ROW()/1000000000,-999),-999)</f>
        <v>-999</v>
      </c>
      <c r="AR547" s="92" t="str">
        <f aca="false">IF(AND(ISNUMBER(D547),ISNUMBER(K547)),D547+AN547*MAX(K547-1,0)/100,"")</f>
        <v/>
      </c>
      <c r="AS547" s="93" t="str">
        <f aca="false">IF(AND(ISNUMBER(E547),ISNUMBER(K547)),IF(K547&gt;0,(E547+AN547*MAX(K547-1,0))/K547,""),"")</f>
        <v/>
      </c>
      <c r="AT547" s="90" t="n">
        <f aca="false">IFERROR(IF(AND(Y547=1,ROW()&lt;&gt;스왑분석!$C$12+1,ABS(K547-INDEX($K$2:$K$601,스왑분석!$C$12))&lt;=스왑분석!$C$5,ISERROR(SEARCH("FRN",AP547)),ISERROR(SEARCH("BBB0미만",AP547))),IF(AND(OR(스왑분석!$C$6="N",L547=INDEX($L$2:$L$601,스왑분석!$C$12)),OR(스왑분석!$C$7="N",N547=INDEX($N$2:$N$601,스왑분석!$C$12)),OR(스왑분석!$C$8="N",AO547=0),E547-INDEX($E$2:$E$601,스왑분석!$C$12)&gt;=스왑분석!$C$9),E547-INDEX($E$2:$E$601,스왑분석!$C$12)+ROW()/1000000000,-999),-999),-999)</f>
        <v>-999</v>
      </c>
      <c r="AU547" s="90" t="n">
        <f aca="false">IF(AND(Y547=1,AO547&gt;0,AL547="Rich"),-AK547+ROW()/1000000000,-999)</f>
        <v>-999</v>
      </c>
    </row>
    <row r="548" customFormat="false" ht="15" hidden="false" customHeight="false" outlineLevel="0" collapsed="false">
      <c r="A548" s="83" t="n">
        <f aca="false">IFERROR(IF(INDEX(원자료_시장!$A$1:$BZ$1000,설정!$L$6+ROW()-1,설정!$L$24)&amp;""="0","",INDEX(원자료_시장!$A$1:$BZ$1000,설정!$L$6+ROW()-1,설정!$L$24)),"")</f>
        <v>0</v>
      </c>
      <c r="B548" s="83" t="n">
        <f aca="false">IFERROR(IF(INDEX(원자료_시장!$A$1:$BZ$1000,설정!$L$6+ROW()-1,설정!$L$37)&amp;""="0","",INDEX(원자료_시장!$A$1:$BZ$1000,설정!$L$6+ROW()-1,설정!$L$37)),"")</f>
        <v>0</v>
      </c>
      <c r="C548" s="83" t="n">
        <f aca="false">IFERROR(IF(INDEX(원자료_시장!$A$1:$BZ$1000,설정!$L$6+ROW()-1,설정!$L$25)&amp;""="0","",INDEX(원자료_시장!$A$1:$BZ$1000,설정!$L$6+ROW()-1,설정!$L$25)),"")</f>
        <v>0</v>
      </c>
      <c r="D548" s="85" t="str">
        <f aca="false">IFERROR(IF(ISNUMBER(INDEX(원자료_시장!$A$1:$BZ$1000,설정!$L$6+ROW()-1,설정!$L$26)),INDEX(원자료_시장!$A$1:$BZ$1000,설정!$L$6+ROW()-1,설정!$L$26),""),"")</f>
        <v/>
      </c>
      <c r="E548" s="97" t="str">
        <f aca="false">IFERROR(IF(ISNUMBER(INDEX(원자료_시장!$A$1:$BZ$1000,설정!$L$6+ROW()-1,설정!$L$27)),INDEX(원자료_시장!$A$1:$BZ$1000,설정!$L$6+ROW()-1,설정!$L$27),""),"")</f>
        <v/>
      </c>
      <c r="F548" s="97" t="str">
        <f aca="false">IFERROR(IF(ISNUMBER(INDEX(원자료_시장!$A$1:$BZ$1000,설정!$L$6+ROW()-1,설정!$L$28)),INDEX(원자료_시장!$A$1:$BZ$1000,설정!$L$6+ROW()-1,설정!$L$28),""),"")</f>
        <v/>
      </c>
      <c r="G548" s="97" t="str">
        <f aca="false">IFERROR(IF(ISNUMBER(INDEX(원자료_시장!$A$1:$BZ$1000,설정!$L$6+ROW()-1,설정!$L$29)),INDEX(원자료_시장!$A$1:$BZ$1000,설정!$L$6+ROW()-1,설정!$L$29),""),"")</f>
        <v/>
      </c>
      <c r="H548" s="97" t="str">
        <f aca="false">IFERROR(IF(ISNUMBER(INDEX(원자료_시장!$A$1:$BZ$1000,설정!$L$6+ROW()-1,설정!$L$30)),INDEX(원자료_시장!$A$1:$BZ$1000,설정!$L$6+ROW()-1,설정!$L$30),""),"")</f>
        <v/>
      </c>
      <c r="I548" s="97" t="str">
        <f aca="false">IFERROR(IF(ISNUMBER(INDEX(원자료_시장!$A$1:$BZ$1000,설정!$L$6+ROW()-1,설정!$L$31)),INDEX(원자료_시장!$A$1:$BZ$1000,설정!$L$6+ROW()-1,설정!$L$31),""),"")</f>
        <v/>
      </c>
      <c r="J548" s="97" t="str">
        <f aca="false">IFERROR(IF(ISNUMBER(INDEX(원자료_시장!$A$1:$BZ$1000,설정!$L$6+ROW()-1,설정!$L$32)),INDEX(원자료_시장!$A$1:$BZ$1000,설정!$L$6+ROW()-1,설정!$L$32),""),"")</f>
        <v/>
      </c>
      <c r="K548" s="85" t="str">
        <f aca="false">IFERROR(IF(ISNUMBER(INDEX(원자료_시장!$A$1:$BZ$1000,설정!$L$6+ROW()-1,설정!$L$33)),INDEX(원자료_시장!$A$1:$BZ$1000,설정!$L$6+ROW()-1,설정!$L$33),""),"")</f>
        <v/>
      </c>
      <c r="L548" s="83" t="n">
        <f aca="false">IFERROR(IF(INDEX(원자료_시장!$A$1:$BZ$1000,설정!$L$6+ROW()-1,설정!$L$34)&amp;""="0","",INDEX(원자료_시장!$A$1:$BZ$1000,설정!$L$6+ROW()-1,설정!$L$34)),"")</f>
        <v>0</v>
      </c>
      <c r="M548" s="83" t="n">
        <f aca="false">IFERROR(IF(INDEX(원자료_시장!$A$1:$BZ$1000,설정!$L$6+ROW()-1,설정!$L$35)&amp;""="0","",INDEX(원자료_시장!$A$1:$BZ$1000,설정!$L$6+ROW()-1,설정!$L$35)),"")</f>
        <v>0</v>
      </c>
      <c r="N548" s="83" t="n">
        <f aca="false">IFERROR(IF(INDEX(원자료_시장!$A$1:$BZ$1000,설정!$L$6+ROW()-1,설정!$L$36)&amp;""="0","",INDEX(원자료_시장!$A$1:$BZ$1000,설정!$L$6+ROW()-1,설정!$L$36)),"")</f>
        <v>0</v>
      </c>
      <c r="O548" s="43" t="str">
        <f aca="false">IF($A548="","",UPPER(LEFT($A548,FIND(" ",$A548&amp;" ")-1)))</f>
        <v/>
      </c>
      <c r="P548" s="43" t="str">
        <f aca="false">IF($A548="","",TRIM(RIGHT(SUBSTITUTE(TRIM($A548)," ",REPT(" ",30)),30)))</f>
        <v/>
      </c>
      <c r="Q548" s="98" t="str">
        <f aca="false">IF($A548="","",IFERROR(DATE(IF(LEN(P548)=8,2000+VALUE(RIGHT(P548,2)),VALUE(RIGHT(P548,4))),VALUE(LEFT(P548,2)),VALUE(MID(P548,4,2))),""))</f>
        <v/>
      </c>
      <c r="R548" s="89" t="n">
        <f aca="false">IF($A548="",0,IF(ISNUMBER(SEARCH("Float",$A548)),1,0))</f>
        <v>0</v>
      </c>
      <c r="S548" s="43" t="str">
        <f aca="false">IF($A548="","",TRIM(MID($A548,LEN(O548)+2,LEN($A548)-LEN(O548)-LEN(P548)-1)))</f>
        <v/>
      </c>
      <c r="T548" s="92" t="str">
        <f aca="false">IF(OR($A548="",R548=1),"",IFERROR(IF(ISNUMBER(FIND("/",S548)),IF(ISNUMBER(FIND(" ",S548)),VALUE(LEFT(S548,FIND(" ",S548)-1))+VALUE(MID(S548,FIND(" ",S548)+1,FIND("/",S548)-FIND(" ",S548)-1))/VALUE(MID(S548,FIND("/",S548)+1,9)),VALUE(LEFT(S548,FIND("/",S548)-1))/VALUE(MID(S548,FIND("/",S548)+1,9))),VALUE(S548)),""))</f>
        <v/>
      </c>
      <c r="U548" s="43" t="str">
        <f aca="false">IF(OR($A548="",NOT(ISNUMBER(Q548))),"",TEXT(Q548,"yyyymmdd")&amp;"|"&amp;IF(R548=1,"F",TEXT(T548,"0.000")))</f>
        <v/>
      </c>
      <c r="V548" s="43" t="str">
        <f aca="false">IF(U548="","",O548&amp;"|"&amp;U548)</f>
        <v/>
      </c>
      <c r="W548" s="43" t="str">
        <f aca="false">IF($A548="","",IFERROR(IF(VLOOKUP(O548,매핑!$A$4:$E$92,3,0)="","미분류",VLOOKUP(O548,매핑!$A$4:$E$92,3,0)),"미분류"))</f>
        <v/>
      </c>
      <c r="X548" s="89" t="n">
        <f aca="false">IF($A548="",0,IF(O548="T",1,0))</f>
        <v>0</v>
      </c>
      <c r="Y548" s="89" t="n">
        <f aca="false">IF($A548="",0,IF(AND(C548="USD",X548=0,ISNUMBER(E548),ISNUMBER(K548)),IF(K548&gt;=설정!$C$8,1,0),0))</f>
        <v>0</v>
      </c>
      <c r="Z548" s="43" t="str">
        <f aca="false">IF($A548="","",N548&amp;"|"&amp;L548)</f>
        <v/>
      </c>
      <c r="AA548" s="92" t="n">
        <f aca="false">IF(Y548=1,LN(K548),0)</f>
        <v>0</v>
      </c>
      <c r="AB548" s="93" t="n">
        <f aca="false">IF(Y548=1,E548,0)</f>
        <v>0</v>
      </c>
      <c r="AC548" s="89" t="n">
        <f aca="false">IF(Y548=1,COUNTIFS($Z$2:$Z$601,Z548,$Y$2:$Y$601,1),0)</f>
        <v>0</v>
      </c>
      <c r="AD548" s="89" t="n">
        <f aca="false">IF(Y548=1,COUNTIFS($N$2:$N$601,N548,$Y$2:$Y$601,1),0)</f>
        <v>0</v>
      </c>
      <c r="AE548" s="43" t="str">
        <f aca="false">IF(Y548&lt;&gt;1,"",IF(AND(AC548&gt;=설정!$C$7,ISNUMBER(MATCH(Z548,피어커브!$A:$A,0))),Z548,IF(AND(AD548&gt;=설정!$C$7,ISNUMBER(MATCH(N548&amp;"|전체",피어커브!$A:$A,0))),N548&amp;"|전체","전체|전체")))</f>
        <v/>
      </c>
      <c r="AF548" s="93" t="str">
        <f aca="false">IF(AE548="","",INDEX(피어커브!$K:$K,MATCH(AE548,피어커브!$A:$A,0)))</f>
        <v/>
      </c>
      <c r="AG548" s="93" t="str">
        <f aca="false">IF(AE548="","",INDEX(피어커브!$J:$J,MATCH(AE548,피어커브!$A:$A,0)))</f>
        <v/>
      </c>
      <c r="AH548" s="93" t="str">
        <f aca="false">IF(AE548="","",INDEX(피어커브!$L:$L,MATCH(AE548,피어커브!$A:$A,0)))</f>
        <v/>
      </c>
      <c r="AI548" s="93" t="str">
        <f aca="false">IF(AE548="","",AF548+AG548*AA548)</f>
        <v/>
      </c>
      <c r="AJ548" s="96" t="str">
        <f aca="false">IF(AE548="","",E548-AI548)</f>
        <v/>
      </c>
      <c r="AK548" s="95" t="str">
        <f aca="false">IF(AE548="","",IF(ISNUMBER(AH548),IF(AH548&gt;0,AJ548/AH548,""),""))</f>
        <v/>
      </c>
      <c r="AL548" s="43" t="str">
        <f aca="false">IF(AK548="","-",IF(AK548&gt;=설정!$C$6,"Cheap",IF(AK548&lt;=-설정!$C$6,"Rich","Fair")))</f>
        <v>-</v>
      </c>
      <c r="AM548" s="96" t="str">
        <f aca="false">IF(AE548="","",AJ548-AVERAGEIFS($AJ$2:$AJ$601,$B$2:$B$601,B548,$Y$2:$Y$601,1))</f>
        <v/>
      </c>
      <c r="AN548" s="93" t="n">
        <f aca="false">IF(AE548="",0,IF(K548&gt;1+설정!$C$8,AG548*(AA548-LN(K548-1)),0))</f>
        <v>0</v>
      </c>
      <c r="AO548" s="99" t="n">
        <f aca="false">IF($A548="",0,SUMIFS(보유분석!$AA$2:$AA$801,보유분석!$AB$2:$AB$801,ROW(),보유분석!$AC$2:$AC$801,1))</f>
        <v>0</v>
      </c>
      <c r="AP548" s="43" t="str">
        <f aca="false">IF($A548="","",TRIM(IF(R548=1,"FRN ","")&amp;IF(IFERROR(VLOOKUP(M548,설정!$A$15:$D$47,4,0),0)&gt;=10,IF(IFERROR(VLOOKUP(M548,설정!$A$15:$D$47,4,0),0)&lt;99,"BBB0미만 ",""),"")&amp;IF(OR(M548="",M548="NR"),"등급미입력 ","")&amp;IF(C548&lt;&gt;"USD","비USD ","")))</f>
        <v/>
      </c>
      <c r="AQ548" s="90" t="n">
        <f aca="false">IF(AND(Y548=1,AL548="Cheap"),IF(AND(ISERROR(SEARCH("FRN",AP548)),ISERROR(SEARCH("BBB0미만",AP548))),AK548+ROW()/1000000000,-999),-999)</f>
        <v>-999</v>
      </c>
      <c r="AR548" s="92" t="str">
        <f aca="false">IF(AND(ISNUMBER(D548),ISNUMBER(K548)),D548+AN548*MAX(K548-1,0)/100,"")</f>
        <v/>
      </c>
      <c r="AS548" s="93" t="str">
        <f aca="false">IF(AND(ISNUMBER(E548),ISNUMBER(K548)),IF(K548&gt;0,(E548+AN548*MAX(K548-1,0))/K548,""),"")</f>
        <v/>
      </c>
      <c r="AT548" s="90" t="n">
        <f aca="false">IFERROR(IF(AND(Y548=1,ROW()&lt;&gt;스왑분석!$C$12+1,ABS(K548-INDEX($K$2:$K$601,스왑분석!$C$12))&lt;=스왑분석!$C$5,ISERROR(SEARCH("FRN",AP548)),ISERROR(SEARCH("BBB0미만",AP548))),IF(AND(OR(스왑분석!$C$6="N",L548=INDEX($L$2:$L$601,스왑분석!$C$12)),OR(스왑분석!$C$7="N",N548=INDEX($N$2:$N$601,스왑분석!$C$12)),OR(스왑분석!$C$8="N",AO548=0),E548-INDEX($E$2:$E$601,스왑분석!$C$12)&gt;=스왑분석!$C$9),E548-INDEX($E$2:$E$601,스왑분석!$C$12)+ROW()/1000000000,-999),-999),-999)</f>
        <v>-999</v>
      </c>
      <c r="AU548" s="90" t="n">
        <f aca="false">IF(AND(Y548=1,AO548&gt;0,AL548="Rich"),-AK548+ROW()/1000000000,-999)</f>
        <v>-999</v>
      </c>
    </row>
    <row r="549" customFormat="false" ht="15" hidden="false" customHeight="false" outlineLevel="0" collapsed="false">
      <c r="A549" s="83" t="n">
        <f aca="false">IFERROR(IF(INDEX(원자료_시장!$A$1:$BZ$1000,설정!$L$6+ROW()-1,설정!$L$24)&amp;""="0","",INDEX(원자료_시장!$A$1:$BZ$1000,설정!$L$6+ROW()-1,설정!$L$24)),"")</f>
        <v>0</v>
      </c>
      <c r="B549" s="83" t="n">
        <f aca="false">IFERROR(IF(INDEX(원자료_시장!$A$1:$BZ$1000,설정!$L$6+ROW()-1,설정!$L$37)&amp;""="0","",INDEX(원자료_시장!$A$1:$BZ$1000,설정!$L$6+ROW()-1,설정!$L$37)),"")</f>
        <v>0</v>
      </c>
      <c r="C549" s="83" t="n">
        <f aca="false">IFERROR(IF(INDEX(원자료_시장!$A$1:$BZ$1000,설정!$L$6+ROW()-1,설정!$L$25)&amp;""="0","",INDEX(원자료_시장!$A$1:$BZ$1000,설정!$L$6+ROW()-1,설정!$L$25)),"")</f>
        <v>0</v>
      </c>
      <c r="D549" s="85" t="str">
        <f aca="false">IFERROR(IF(ISNUMBER(INDEX(원자료_시장!$A$1:$BZ$1000,설정!$L$6+ROW()-1,설정!$L$26)),INDEX(원자료_시장!$A$1:$BZ$1000,설정!$L$6+ROW()-1,설정!$L$26),""),"")</f>
        <v/>
      </c>
      <c r="E549" s="97" t="str">
        <f aca="false">IFERROR(IF(ISNUMBER(INDEX(원자료_시장!$A$1:$BZ$1000,설정!$L$6+ROW()-1,설정!$L$27)),INDEX(원자료_시장!$A$1:$BZ$1000,설정!$L$6+ROW()-1,설정!$L$27),""),"")</f>
        <v/>
      </c>
      <c r="F549" s="97" t="str">
        <f aca="false">IFERROR(IF(ISNUMBER(INDEX(원자료_시장!$A$1:$BZ$1000,설정!$L$6+ROW()-1,설정!$L$28)),INDEX(원자료_시장!$A$1:$BZ$1000,설정!$L$6+ROW()-1,설정!$L$28),""),"")</f>
        <v/>
      </c>
      <c r="G549" s="97" t="str">
        <f aca="false">IFERROR(IF(ISNUMBER(INDEX(원자료_시장!$A$1:$BZ$1000,설정!$L$6+ROW()-1,설정!$L$29)),INDEX(원자료_시장!$A$1:$BZ$1000,설정!$L$6+ROW()-1,설정!$L$29),""),"")</f>
        <v/>
      </c>
      <c r="H549" s="97" t="str">
        <f aca="false">IFERROR(IF(ISNUMBER(INDEX(원자료_시장!$A$1:$BZ$1000,설정!$L$6+ROW()-1,설정!$L$30)),INDEX(원자료_시장!$A$1:$BZ$1000,설정!$L$6+ROW()-1,설정!$L$30),""),"")</f>
        <v/>
      </c>
      <c r="I549" s="97" t="str">
        <f aca="false">IFERROR(IF(ISNUMBER(INDEX(원자료_시장!$A$1:$BZ$1000,설정!$L$6+ROW()-1,설정!$L$31)),INDEX(원자료_시장!$A$1:$BZ$1000,설정!$L$6+ROW()-1,설정!$L$31),""),"")</f>
        <v/>
      </c>
      <c r="J549" s="97" t="str">
        <f aca="false">IFERROR(IF(ISNUMBER(INDEX(원자료_시장!$A$1:$BZ$1000,설정!$L$6+ROW()-1,설정!$L$32)),INDEX(원자료_시장!$A$1:$BZ$1000,설정!$L$6+ROW()-1,설정!$L$32),""),"")</f>
        <v/>
      </c>
      <c r="K549" s="85" t="str">
        <f aca="false">IFERROR(IF(ISNUMBER(INDEX(원자료_시장!$A$1:$BZ$1000,설정!$L$6+ROW()-1,설정!$L$33)),INDEX(원자료_시장!$A$1:$BZ$1000,설정!$L$6+ROW()-1,설정!$L$33),""),"")</f>
        <v/>
      </c>
      <c r="L549" s="83" t="n">
        <f aca="false">IFERROR(IF(INDEX(원자료_시장!$A$1:$BZ$1000,설정!$L$6+ROW()-1,설정!$L$34)&amp;""="0","",INDEX(원자료_시장!$A$1:$BZ$1000,설정!$L$6+ROW()-1,설정!$L$34)),"")</f>
        <v>0</v>
      </c>
      <c r="M549" s="83" t="n">
        <f aca="false">IFERROR(IF(INDEX(원자료_시장!$A$1:$BZ$1000,설정!$L$6+ROW()-1,설정!$L$35)&amp;""="0","",INDEX(원자료_시장!$A$1:$BZ$1000,설정!$L$6+ROW()-1,설정!$L$35)),"")</f>
        <v>0</v>
      </c>
      <c r="N549" s="83" t="n">
        <f aca="false">IFERROR(IF(INDEX(원자료_시장!$A$1:$BZ$1000,설정!$L$6+ROW()-1,설정!$L$36)&amp;""="0","",INDEX(원자료_시장!$A$1:$BZ$1000,설정!$L$6+ROW()-1,설정!$L$36)),"")</f>
        <v>0</v>
      </c>
      <c r="O549" s="43" t="str">
        <f aca="false">IF($A549="","",UPPER(LEFT($A549,FIND(" ",$A549&amp;" ")-1)))</f>
        <v/>
      </c>
      <c r="P549" s="43" t="str">
        <f aca="false">IF($A549="","",TRIM(RIGHT(SUBSTITUTE(TRIM($A549)," ",REPT(" ",30)),30)))</f>
        <v/>
      </c>
      <c r="Q549" s="98" t="str">
        <f aca="false">IF($A549="","",IFERROR(DATE(IF(LEN(P549)=8,2000+VALUE(RIGHT(P549,2)),VALUE(RIGHT(P549,4))),VALUE(LEFT(P549,2)),VALUE(MID(P549,4,2))),""))</f>
        <v/>
      </c>
      <c r="R549" s="89" t="n">
        <f aca="false">IF($A549="",0,IF(ISNUMBER(SEARCH("Float",$A549)),1,0))</f>
        <v>0</v>
      </c>
      <c r="S549" s="43" t="str">
        <f aca="false">IF($A549="","",TRIM(MID($A549,LEN(O549)+2,LEN($A549)-LEN(O549)-LEN(P549)-1)))</f>
        <v/>
      </c>
      <c r="T549" s="92" t="str">
        <f aca="false">IF(OR($A549="",R549=1),"",IFERROR(IF(ISNUMBER(FIND("/",S549)),IF(ISNUMBER(FIND(" ",S549)),VALUE(LEFT(S549,FIND(" ",S549)-1))+VALUE(MID(S549,FIND(" ",S549)+1,FIND("/",S549)-FIND(" ",S549)-1))/VALUE(MID(S549,FIND("/",S549)+1,9)),VALUE(LEFT(S549,FIND("/",S549)-1))/VALUE(MID(S549,FIND("/",S549)+1,9))),VALUE(S549)),""))</f>
        <v/>
      </c>
      <c r="U549" s="43" t="str">
        <f aca="false">IF(OR($A549="",NOT(ISNUMBER(Q549))),"",TEXT(Q549,"yyyymmdd")&amp;"|"&amp;IF(R549=1,"F",TEXT(T549,"0.000")))</f>
        <v/>
      </c>
      <c r="V549" s="43" t="str">
        <f aca="false">IF(U549="","",O549&amp;"|"&amp;U549)</f>
        <v/>
      </c>
      <c r="W549" s="43" t="str">
        <f aca="false">IF($A549="","",IFERROR(IF(VLOOKUP(O549,매핑!$A$4:$E$92,3,0)="","미분류",VLOOKUP(O549,매핑!$A$4:$E$92,3,0)),"미분류"))</f>
        <v/>
      </c>
      <c r="X549" s="89" t="n">
        <f aca="false">IF($A549="",0,IF(O549="T",1,0))</f>
        <v>0</v>
      </c>
      <c r="Y549" s="89" t="n">
        <f aca="false">IF($A549="",0,IF(AND(C549="USD",X549=0,ISNUMBER(E549),ISNUMBER(K549)),IF(K549&gt;=설정!$C$8,1,0),0))</f>
        <v>0</v>
      </c>
      <c r="Z549" s="43" t="str">
        <f aca="false">IF($A549="","",N549&amp;"|"&amp;L549)</f>
        <v/>
      </c>
      <c r="AA549" s="92" t="n">
        <f aca="false">IF(Y549=1,LN(K549),0)</f>
        <v>0</v>
      </c>
      <c r="AB549" s="93" t="n">
        <f aca="false">IF(Y549=1,E549,0)</f>
        <v>0</v>
      </c>
      <c r="AC549" s="89" t="n">
        <f aca="false">IF(Y549=1,COUNTIFS($Z$2:$Z$601,Z549,$Y$2:$Y$601,1),0)</f>
        <v>0</v>
      </c>
      <c r="AD549" s="89" t="n">
        <f aca="false">IF(Y549=1,COUNTIFS($N$2:$N$601,N549,$Y$2:$Y$601,1),0)</f>
        <v>0</v>
      </c>
      <c r="AE549" s="43" t="str">
        <f aca="false">IF(Y549&lt;&gt;1,"",IF(AND(AC549&gt;=설정!$C$7,ISNUMBER(MATCH(Z549,피어커브!$A:$A,0))),Z549,IF(AND(AD549&gt;=설정!$C$7,ISNUMBER(MATCH(N549&amp;"|전체",피어커브!$A:$A,0))),N549&amp;"|전체","전체|전체")))</f>
        <v/>
      </c>
      <c r="AF549" s="93" t="str">
        <f aca="false">IF(AE549="","",INDEX(피어커브!$K:$K,MATCH(AE549,피어커브!$A:$A,0)))</f>
        <v/>
      </c>
      <c r="AG549" s="93" t="str">
        <f aca="false">IF(AE549="","",INDEX(피어커브!$J:$J,MATCH(AE549,피어커브!$A:$A,0)))</f>
        <v/>
      </c>
      <c r="AH549" s="93" t="str">
        <f aca="false">IF(AE549="","",INDEX(피어커브!$L:$L,MATCH(AE549,피어커브!$A:$A,0)))</f>
        <v/>
      </c>
      <c r="AI549" s="93" t="str">
        <f aca="false">IF(AE549="","",AF549+AG549*AA549)</f>
        <v/>
      </c>
      <c r="AJ549" s="96" t="str">
        <f aca="false">IF(AE549="","",E549-AI549)</f>
        <v/>
      </c>
      <c r="AK549" s="95" t="str">
        <f aca="false">IF(AE549="","",IF(ISNUMBER(AH549),IF(AH549&gt;0,AJ549/AH549,""),""))</f>
        <v/>
      </c>
      <c r="AL549" s="43" t="str">
        <f aca="false">IF(AK549="","-",IF(AK549&gt;=설정!$C$6,"Cheap",IF(AK549&lt;=-설정!$C$6,"Rich","Fair")))</f>
        <v>-</v>
      </c>
      <c r="AM549" s="96" t="str">
        <f aca="false">IF(AE549="","",AJ549-AVERAGEIFS($AJ$2:$AJ$601,$B$2:$B$601,B549,$Y$2:$Y$601,1))</f>
        <v/>
      </c>
      <c r="AN549" s="93" t="n">
        <f aca="false">IF(AE549="",0,IF(K549&gt;1+설정!$C$8,AG549*(AA549-LN(K549-1)),0))</f>
        <v>0</v>
      </c>
      <c r="AO549" s="99" t="n">
        <f aca="false">IF($A549="",0,SUMIFS(보유분석!$AA$2:$AA$801,보유분석!$AB$2:$AB$801,ROW(),보유분석!$AC$2:$AC$801,1))</f>
        <v>0</v>
      </c>
      <c r="AP549" s="43" t="str">
        <f aca="false">IF($A549="","",TRIM(IF(R549=1,"FRN ","")&amp;IF(IFERROR(VLOOKUP(M549,설정!$A$15:$D$47,4,0),0)&gt;=10,IF(IFERROR(VLOOKUP(M549,설정!$A$15:$D$47,4,0),0)&lt;99,"BBB0미만 ",""),"")&amp;IF(OR(M549="",M549="NR"),"등급미입력 ","")&amp;IF(C549&lt;&gt;"USD","비USD ","")))</f>
        <v/>
      </c>
      <c r="AQ549" s="90" t="n">
        <f aca="false">IF(AND(Y549=1,AL549="Cheap"),IF(AND(ISERROR(SEARCH("FRN",AP549)),ISERROR(SEARCH("BBB0미만",AP549))),AK549+ROW()/1000000000,-999),-999)</f>
        <v>-999</v>
      </c>
      <c r="AR549" s="92" t="str">
        <f aca="false">IF(AND(ISNUMBER(D549),ISNUMBER(K549)),D549+AN549*MAX(K549-1,0)/100,"")</f>
        <v/>
      </c>
      <c r="AS549" s="93" t="str">
        <f aca="false">IF(AND(ISNUMBER(E549),ISNUMBER(K549)),IF(K549&gt;0,(E549+AN549*MAX(K549-1,0))/K549,""),"")</f>
        <v/>
      </c>
      <c r="AT549" s="90" t="n">
        <f aca="false">IFERROR(IF(AND(Y549=1,ROW()&lt;&gt;스왑분석!$C$12+1,ABS(K549-INDEX($K$2:$K$601,스왑분석!$C$12))&lt;=스왑분석!$C$5,ISERROR(SEARCH("FRN",AP549)),ISERROR(SEARCH("BBB0미만",AP549))),IF(AND(OR(스왑분석!$C$6="N",L549=INDEX($L$2:$L$601,스왑분석!$C$12)),OR(스왑분석!$C$7="N",N549=INDEX($N$2:$N$601,스왑분석!$C$12)),OR(스왑분석!$C$8="N",AO549=0),E549-INDEX($E$2:$E$601,스왑분석!$C$12)&gt;=스왑분석!$C$9),E549-INDEX($E$2:$E$601,스왑분석!$C$12)+ROW()/1000000000,-999),-999),-999)</f>
        <v>-999</v>
      </c>
      <c r="AU549" s="90" t="n">
        <f aca="false">IF(AND(Y549=1,AO549&gt;0,AL549="Rich"),-AK549+ROW()/1000000000,-999)</f>
        <v>-999</v>
      </c>
    </row>
    <row r="550" customFormat="false" ht="15" hidden="false" customHeight="false" outlineLevel="0" collapsed="false">
      <c r="A550" s="83" t="n">
        <f aca="false">IFERROR(IF(INDEX(원자료_시장!$A$1:$BZ$1000,설정!$L$6+ROW()-1,설정!$L$24)&amp;""="0","",INDEX(원자료_시장!$A$1:$BZ$1000,설정!$L$6+ROW()-1,설정!$L$24)),"")</f>
        <v>0</v>
      </c>
      <c r="B550" s="83" t="n">
        <f aca="false">IFERROR(IF(INDEX(원자료_시장!$A$1:$BZ$1000,설정!$L$6+ROW()-1,설정!$L$37)&amp;""="0","",INDEX(원자료_시장!$A$1:$BZ$1000,설정!$L$6+ROW()-1,설정!$L$37)),"")</f>
        <v>0</v>
      </c>
      <c r="C550" s="83" t="n">
        <f aca="false">IFERROR(IF(INDEX(원자료_시장!$A$1:$BZ$1000,설정!$L$6+ROW()-1,설정!$L$25)&amp;""="0","",INDEX(원자료_시장!$A$1:$BZ$1000,설정!$L$6+ROW()-1,설정!$L$25)),"")</f>
        <v>0</v>
      </c>
      <c r="D550" s="85" t="str">
        <f aca="false">IFERROR(IF(ISNUMBER(INDEX(원자료_시장!$A$1:$BZ$1000,설정!$L$6+ROW()-1,설정!$L$26)),INDEX(원자료_시장!$A$1:$BZ$1000,설정!$L$6+ROW()-1,설정!$L$26),""),"")</f>
        <v/>
      </c>
      <c r="E550" s="97" t="str">
        <f aca="false">IFERROR(IF(ISNUMBER(INDEX(원자료_시장!$A$1:$BZ$1000,설정!$L$6+ROW()-1,설정!$L$27)),INDEX(원자료_시장!$A$1:$BZ$1000,설정!$L$6+ROW()-1,설정!$L$27),""),"")</f>
        <v/>
      </c>
      <c r="F550" s="97" t="str">
        <f aca="false">IFERROR(IF(ISNUMBER(INDEX(원자료_시장!$A$1:$BZ$1000,설정!$L$6+ROW()-1,설정!$L$28)),INDEX(원자료_시장!$A$1:$BZ$1000,설정!$L$6+ROW()-1,설정!$L$28),""),"")</f>
        <v/>
      </c>
      <c r="G550" s="97" t="str">
        <f aca="false">IFERROR(IF(ISNUMBER(INDEX(원자료_시장!$A$1:$BZ$1000,설정!$L$6+ROW()-1,설정!$L$29)),INDEX(원자료_시장!$A$1:$BZ$1000,설정!$L$6+ROW()-1,설정!$L$29),""),"")</f>
        <v/>
      </c>
      <c r="H550" s="97" t="str">
        <f aca="false">IFERROR(IF(ISNUMBER(INDEX(원자료_시장!$A$1:$BZ$1000,설정!$L$6+ROW()-1,설정!$L$30)),INDEX(원자료_시장!$A$1:$BZ$1000,설정!$L$6+ROW()-1,설정!$L$30),""),"")</f>
        <v/>
      </c>
      <c r="I550" s="97" t="str">
        <f aca="false">IFERROR(IF(ISNUMBER(INDEX(원자료_시장!$A$1:$BZ$1000,설정!$L$6+ROW()-1,설정!$L$31)),INDEX(원자료_시장!$A$1:$BZ$1000,설정!$L$6+ROW()-1,설정!$L$31),""),"")</f>
        <v/>
      </c>
      <c r="J550" s="97" t="str">
        <f aca="false">IFERROR(IF(ISNUMBER(INDEX(원자료_시장!$A$1:$BZ$1000,설정!$L$6+ROW()-1,설정!$L$32)),INDEX(원자료_시장!$A$1:$BZ$1000,설정!$L$6+ROW()-1,설정!$L$32),""),"")</f>
        <v/>
      </c>
      <c r="K550" s="85" t="str">
        <f aca="false">IFERROR(IF(ISNUMBER(INDEX(원자료_시장!$A$1:$BZ$1000,설정!$L$6+ROW()-1,설정!$L$33)),INDEX(원자료_시장!$A$1:$BZ$1000,설정!$L$6+ROW()-1,설정!$L$33),""),"")</f>
        <v/>
      </c>
      <c r="L550" s="83" t="n">
        <f aca="false">IFERROR(IF(INDEX(원자료_시장!$A$1:$BZ$1000,설정!$L$6+ROW()-1,설정!$L$34)&amp;""="0","",INDEX(원자료_시장!$A$1:$BZ$1000,설정!$L$6+ROW()-1,설정!$L$34)),"")</f>
        <v>0</v>
      </c>
      <c r="M550" s="83" t="n">
        <f aca="false">IFERROR(IF(INDEX(원자료_시장!$A$1:$BZ$1000,설정!$L$6+ROW()-1,설정!$L$35)&amp;""="0","",INDEX(원자료_시장!$A$1:$BZ$1000,설정!$L$6+ROW()-1,설정!$L$35)),"")</f>
        <v>0</v>
      </c>
      <c r="N550" s="83" t="n">
        <f aca="false">IFERROR(IF(INDEX(원자료_시장!$A$1:$BZ$1000,설정!$L$6+ROW()-1,설정!$L$36)&amp;""="0","",INDEX(원자료_시장!$A$1:$BZ$1000,설정!$L$6+ROW()-1,설정!$L$36)),"")</f>
        <v>0</v>
      </c>
      <c r="O550" s="43" t="str">
        <f aca="false">IF($A550="","",UPPER(LEFT($A550,FIND(" ",$A550&amp;" ")-1)))</f>
        <v/>
      </c>
      <c r="P550" s="43" t="str">
        <f aca="false">IF($A550="","",TRIM(RIGHT(SUBSTITUTE(TRIM($A550)," ",REPT(" ",30)),30)))</f>
        <v/>
      </c>
      <c r="Q550" s="98" t="str">
        <f aca="false">IF($A550="","",IFERROR(DATE(IF(LEN(P550)=8,2000+VALUE(RIGHT(P550,2)),VALUE(RIGHT(P550,4))),VALUE(LEFT(P550,2)),VALUE(MID(P550,4,2))),""))</f>
        <v/>
      </c>
      <c r="R550" s="89" t="n">
        <f aca="false">IF($A550="",0,IF(ISNUMBER(SEARCH("Float",$A550)),1,0))</f>
        <v>0</v>
      </c>
      <c r="S550" s="43" t="str">
        <f aca="false">IF($A550="","",TRIM(MID($A550,LEN(O550)+2,LEN($A550)-LEN(O550)-LEN(P550)-1)))</f>
        <v/>
      </c>
      <c r="T550" s="92" t="str">
        <f aca="false">IF(OR($A550="",R550=1),"",IFERROR(IF(ISNUMBER(FIND("/",S550)),IF(ISNUMBER(FIND(" ",S550)),VALUE(LEFT(S550,FIND(" ",S550)-1))+VALUE(MID(S550,FIND(" ",S550)+1,FIND("/",S550)-FIND(" ",S550)-1))/VALUE(MID(S550,FIND("/",S550)+1,9)),VALUE(LEFT(S550,FIND("/",S550)-1))/VALUE(MID(S550,FIND("/",S550)+1,9))),VALUE(S550)),""))</f>
        <v/>
      </c>
      <c r="U550" s="43" t="str">
        <f aca="false">IF(OR($A550="",NOT(ISNUMBER(Q550))),"",TEXT(Q550,"yyyymmdd")&amp;"|"&amp;IF(R550=1,"F",TEXT(T550,"0.000")))</f>
        <v/>
      </c>
      <c r="V550" s="43" t="str">
        <f aca="false">IF(U550="","",O550&amp;"|"&amp;U550)</f>
        <v/>
      </c>
      <c r="W550" s="43" t="str">
        <f aca="false">IF($A550="","",IFERROR(IF(VLOOKUP(O550,매핑!$A$4:$E$92,3,0)="","미분류",VLOOKUP(O550,매핑!$A$4:$E$92,3,0)),"미분류"))</f>
        <v/>
      </c>
      <c r="X550" s="89" t="n">
        <f aca="false">IF($A550="",0,IF(O550="T",1,0))</f>
        <v>0</v>
      </c>
      <c r="Y550" s="89" t="n">
        <f aca="false">IF($A550="",0,IF(AND(C550="USD",X550=0,ISNUMBER(E550),ISNUMBER(K550)),IF(K550&gt;=설정!$C$8,1,0),0))</f>
        <v>0</v>
      </c>
      <c r="Z550" s="43" t="str">
        <f aca="false">IF($A550="","",N550&amp;"|"&amp;L550)</f>
        <v/>
      </c>
      <c r="AA550" s="92" t="n">
        <f aca="false">IF(Y550=1,LN(K550),0)</f>
        <v>0</v>
      </c>
      <c r="AB550" s="93" t="n">
        <f aca="false">IF(Y550=1,E550,0)</f>
        <v>0</v>
      </c>
      <c r="AC550" s="89" t="n">
        <f aca="false">IF(Y550=1,COUNTIFS($Z$2:$Z$601,Z550,$Y$2:$Y$601,1),0)</f>
        <v>0</v>
      </c>
      <c r="AD550" s="89" t="n">
        <f aca="false">IF(Y550=1,COUNTIFS($N$2:$N$601,N550,$Y$2:$Y$601,1),0)</f>
        <v>0</v>
      </c>
      <c r="AE550" s="43" t="str">
        <f aca="false">IF(Y550&lt;&gt;1,"",IF(AND(AC550&gt;=설정!$C$7,ISNUMBER(MATCH(Z550,피어커브!$A:$A,0))),Z550,IF(AND(AD550&gt;=설정!$C$7,ISNUMBER(MATCH(N550&amp;"|전체",피어커브!$A:$A,0))),N550&amp;"|전체","전체|전체")))</f>
        <v/>
      </c>
      <c r="AF550" s="93" t="str">
        <f aca="false">IF(AE550="","",INDEX(피어커브!$K:$K,MATCH(AE550,피어커브!$A:$A,0)))</f>
        <v/>
      </c>
      <c r="AG550" s="93" t="str">
        <f aca="false">IF(AE550="","",INDEX(피어커브!$J:$J,MATCH(AE550,피어커브!$A:$A,0)))</f>
        <v/>
      </c>
      <c r="AH550" s="93" t="str">
        <f aca="false">IF(AE550="","",INDEX(피어커브!$L:$L,MATCH(AE550,피어커브!$A:$A,0)))</f>
        <v/>
      </c>
      <c r="AI550" s="93" t="str">
        <f aca="false">IF(AE550="","",AF550+AG550*AA550)</f>
        <v/>
      </c>
      <c r="AJ550" s="96" t="str">
        <f aca="false">IF(AE550="","",E550-AI550)</f>
        <v/>
      </c>
      <c r="AK550" s="95" t="str">
        <f aca="false">IF(AE550="","",IF(ISNUMBER(AH550),IF(AH550&gt;0,AJ550/AH550,""),""))</f>
        <v/>
      </c>
      <c r="AL550" s="43" t="str">
        <f aca="false">IF(AK550="","-",IF(AK550&gt;=설정!$C$6,"Cheap",IF(AK550&lt;=-설정!$C$6,"Rich","Fair")))</f>
        <v>-</v>
      </c>
      <c r="AM550" s="96" t="str">
        <f aca="false">IF(AE550="","",AJ550-AVERAGEIFS($AJ$2:$AJ$601,$B$2:$B$601,B550,$Y$2:$Y$601,1))</f>
        <v/>
      </c>
      <c r="AN550" s="93" t="n">
        <f aca="false">IF(AE550="",0,IF(K550&gt;1+설정!$C$8,AG550*(AA550-LN(K550-1)),0))</f>
        <v>0</v>
      </c>
      <c r="AO550" s="99" t="n">
        <f aca="false">IF($A550="",0,SUMIFS(보유분석!$AA$2:$AA$801,보유분석!$AB$2:$AB$801,ROW(),보유분석!$AC$2:$AC$801,1))</f>
        <v>0</v>
      </c>
      <c r="AP550" s="43" t="str">
        <f aca="false">IF($A550="","",TRIM(IF(R550=1,"FRN ","")&amp;IF(IFERROR(VLOOKUP(M550,설정!$A$15:$D$47,4,0),0)&gt;=10,IF(IFERROR(VLOOKUP(M550,설정!$A$15:$D$47,4,0),0)&lt;99,"BBB0미만 ",""),"")&amp;IF(OR(M550="",M550="NR"),"등급미입력 ","")&amp;IF(C550&lt;&gt;"USD","비USD ","")))</f>
        <v/>
      </c>
      <c r="AQ550" s="90" t="n">
        <f aca="false">IF(AND(Y550=1,AL550="Cheap"),IF(AND(ISERROR(SEARCH("FRN",AP550)),ISERROR(SEARCH("BBB0미만",AP550))),AK550+ROW()/1000000000,-999),-999)</f>
        <v>-999</v>
      </c>
      <c r="AR550" s="92" t="str">
        <f aca="false">IF(AND(ISNUMBER(D550),ISNUMBER(K550)),D550+AN550*MAX(K550-1,0)/100,"")</f>
        <v/>
      </c>
      <c r="AS550" s="93" t="str">
        <f aca="false">IF(AND(ISNUMBER(E550),ISNUMBER(K550)),IF(K550&gt;0,(E550+AN550*MAX(K550-1,0))/K550,""),"")</f>
        <v/>
      </c>
      <c r="AT550" s="90" t="n">
        <f aca="false">IFERROR(IF(AND(Y550=1,ROW()&lt;&gt;스왑분석!$C$12+1,ABS(K550-INDEX($K$2:$K$601,스왑분석!$C$12))&lt;=스왑분석!$C$5,ISERROR(SEARCH("FRN",AP550)),ISERROR(SEARCH("BBB0미만",AP550))),IF(AND(OR(스왑분석!$C$6="N",L550=INDEX($L$2:$L$601,스왑분석!$C$12)),OR(스왑분석!$C$7="N",N550=INDEX($N$2:$N$601,스왑분석!$C$12)),OR(스왑분석!$C$8="N",AO550=0),E550-INDEX($E$2:$E$601,스왑분석!$C$12)&gt;=스왑분석!$C$9),E550-INDEX($E$2:$E$601,스왑분석!$C$12)+ROW()/1000000000,-999),-999),-999)</f>
        <v>-999</v>
      </c>
      <c r="AU550" s="90" t="n">
        <f aca="false">IF(AND(Y550=1,AO550&gt;0,AL550="Rich"),-AK550+ROW()/1000000000,-999)</f>
        <v>-999</v>
      </c>
    </row>
    <row r="551" customFormat="false" ht="15" hidden="false" customHeight="false" outlineLevel="0" collapsed="false">
      <c r="A551" s="83" t="n">
        <f aca="false">IFERROR(IF(INDEX(원자료_시장!$A$1:$BZ$1000,설정!$L$6+ROW()-1,설정!$L$24)&amp;""="0","",INDEX(원자료_시장!$A$1:$BZ$1000,설정!$L$6+ROW()-1,설정!$L$24)),"")</f>
        <v>0</v>
      </c>
      <c r="B551" s="83" t="n">
        <f aca="false">IFERROR(IF(INDEX(원자료_시장!$A$1:$BZ$1000,설정!$L$6+ROW()-1,설정!$L$37)&amp;""="0","",INDEX(원자료_시장!$A$1:$BZ$1000,설정!$L$6+ROW()-1,설정!$L$37)),"")</f>
        <v>0</v>
      </c>
      <c r="C551" s="83" t="n">
        <f aca="false">IFERROR(IF(INDEX(원자료_시장!$A$1:$BZ$1000,설정!$L$6+ROW()-1,설정!$L$25)&amp;""="0","",INDEX(원자료_시장!$A$1:$BZ$1000,설정!$L$6+ROW()-1,설정!$L$25)),"")</f>
        <v>0</v>
      </c>
      <c r="D551" s="85" t="str">
        <f aca="false">IFERROR(IF(ISNUMBER(INDEX(원자료_시장!$A$1:$BZ$1000,설정!$L$6+ROW()-1,설정!$L$26)),INDEX(원자료_시장!$A$1:$BZ$1000,설정!$L$6+ROW()-1,설정!$L$26),""),"")</f>
        <v/>
      </c>
      <c r="E551" s="97" t="str">
        <f aca="false">IFERROR(IF(ISNUMBER(INDEX(원자료_시장!$A$1:$BZ$1000,설정!$L$6+ROW()-1,설정!$L$27)),INDEX(원자료_시장!$A$1:$BZ$1000,설정!$L$6+ROW()-1,설정!$L$27),""),"")</f>
        <v/>
      </c>
      <c r="F551" s="97" t="str">
        <f aca="false">IFERROR(IF(ISNUMBER(INDEX(원자료_시장!$A$1:$BZ$1000,설정!$L$6+ROW()-1,설정!$L$28)),INDEX(원자료_시장!$A$1:$BZ$1000,설정!$L$6+ROW()-1,설정!$L$28),""),"")</f>
        <v/>
      </c>
      <c r="G551" s="97" t="str">
        <f aca="false">IFERROR(IF(ISNUMBER(INDEX(원자료_시장!$A$1:$BZ$1000,설정!$L$6+ROW()-1,설정!$L$29)),INDEX(원자료_시장!$A$1:$BZ$1000,설정!$L$6+ROW()-1,설정!$L$29),""),"")</f>
        <v/>
      </c>
      <c r="H551" s="97" t="str">
        <f aca="false">IFERROR(IF(ISNUMBER(INDEX(원자료_시장!$A$1:$BZ$1000,설정!$L$6+ROW()-1,설정!$L$30)),INDEX(원자료_시장!$A$1:$BZ$1000,설정!$L$6+ROW()-1,설정!$L$30),""),"")</f>
        <v/>
      </c>
      <c r="I551" s="97" t="str">
        <f aca="false">IFERROR(IF(ISNUMBER(INDEX(원자료_시장!$A$1:$BZ$1000,설정!$L$6+ROW()-1,설정!$L$31)),INDEX(원자료_시장!$A$1:$BZ$1000,설정!$L$6+ROW()-1,설정!$L$31),""),"")</f>
        <v/>
      </c>
      <c r="J551" s="97" t="str">
        <f aca="false">IFERROR(IF(ISNUMBER(INDEX(원자료_시장!$A$1:$BZ$1000,설정!$L$6+ROW()-1,설정!$L$32)),INDEX(원자료_시장!$A$1:$BZ$1000,설정!$L$6+ROW()-1,설정!$L$32),""),"")</f>
        <v/>
      </c>
      <c r="K551" s="85" t="str">
        <f aca="false">IFERROR(IF(ISNUMBER(INDEX(원자료_시장!$A$1:$BZ$1000,설정!$L$6+ROW()-1,설정!$L$33)),INDEX(원자료_시장!$A$1:$BZ$1000,설정!$L$6+ROW()-1,설정!$L$33),""),"")</f>
        <v/>
      </c>
      <c r="L551" s="83" t="n">
        <f aca="false">IFERROR(IF(INDEX(원자료_시장!$A$1:$BZ$1000,설정!$L$6+ROW()-1,설정!$L$34)&amp;""="0","",INDEX(원자료_시장!$A$1:$BZ$1000,설정!$L$6+ROW()-1,설정!$L$34)),"")</f>
        <v>0</v>
      </c>
      <c r="M551" s="83" t="n">
        <f aca="false">IFERROR(IF(INDEX(원자료_시장!$A$1:$BZ$1000,설정!$L$6+ROW()-1,설정!$L$35)&amp;""="0","",INDEX(원자료_시장!$A$1:$BZ$1000,설정!$L$6+ROW()-1,설정!$L$35)),"")</f>
        <v>0</v>
      </c>
      <c r="N551" s="83" t="n">
        <f aca="false">IFERROR(IF(INDEX(원자료_시장!$A$1:$BZ$1000,설정!$L$6+ROW()-1,설정!$L$36)&amp;""="0","",INDEX(원자료_시장!$A$1:$BZ$1000,설정!$L$6+ROW()-1,설정!$L$36)),"")</f>
        <v>0</v>
      </c>
      <c r="O551" s="43" t="str">
        <f aca="false">IF($A551="","",UPPER(LEFT($A551,FIND(" ",$A551&amp;" ")-1)))</f>
        <v/>
      </c>
      <c r="P551" s="43" t="str">
        <f aca="false">IF($A551="","",TRIM(RIGHT(SUBSTITUTE(TRIM($A551)," ",REPT(" ",30)),30)))</f>
        <v/>
      </c>
      <c r="Q551" s="98" t="str">
        <f aca="false">IF($A551="","",IFERROR(DATE(IF(LEN(P551)=8,2000+VALUE(RIGHT(P551,2)),VALUE(RIGHT(P551,4))),VALUE(LEFT(P551,2)),VALUE(MID(P551,4,2))),""))</f>
        <v/>
      </c>
      <c r="R551" s="89" t="n">
        <f aca="false">IF($A551="",0,IF(ISNUMBER(SEARCH("Float",$A551)),1,0))</f>
        <v>0</v>
      </c>
      <c r="S551" s="43" t="str">
        <f aca="false">IF($A551="","",TRIM(MID($A551,LEN(O551)+2,LEN($A551)-LEN(O551)-LEN(P551)-1)))</f>
        <v/>
      </c>
      <c r="T551" s="92" t="str">
        <f aca="false">IF(OR($A551="",R551=1),"",IFERROR(IF(ISNUMBER(FIND("/",S551)),IF(ISNUMBER(FIND(" ",S551)),VALUE(LEFT(S551,FIND(" ",S551)-1))+VALUE(MID(S551,FIND(" ",S551)+1,FIND("/",S551)-FIND(" ",S551)-1))/VALUE(MID(S551,FIND("/",S551)+1,9)),VALUE(LEFT(S551,FIND("/",S551)-1))/VALUE(MID(S551,FIND("/",S551)+1,9))),VALUE(S551)),""))</f>
        <v/>
      </c>
      <c r="U551" s="43" t="str">
        <f aca="false">IF(OR($A551="",NOT(ISNUMBER(Q551))),"",TEXT(Q551,"yyyymmdd")&amp;"|"&amp;IF(R551=1,"F",TEXT(T551,"0.000")))</f>
        <v/>
      </c>
      <c r="V551" s="43" t="str">
        <f aca="false">IF(U551="","",O551&amp;"|"&amp;U551)</f>
        <v/>
      </c>
      <c r="W551" s="43" t="str">
        <f aca="false">IF($A551="","",IFERROR(IF(VLOOKUP(O551,매핑!$A$4:$E$92,3,0)="","미분류",VLOOKUP(O551,매핑!$A$4:$E$92,3,0)),"미분류"))</f>
        <v/>
      </c>
      <c r="X551" s="89" t="n">
        <f aca="false">IF($A551="",0,IF(O551="T",1,0))</f>
        <v>0</v>
      </c>
      <c r="Y551" s="89" t="n">
        <f aca="false">IF($A551="",0,IF(AND(C551="USD",X551=0,ISNUMBER(E551),ISNUMBER(K551)),IF(K551&gt;=설정!$C$8,1,0),0))</f>
        <v>0</v>
      </c>
      <c r="Z551" s="43" t="str">
        <f aca="false">IF($A551="","",N551&amp;"|"&amp;L551)</f>
        <v/>
      </c>
      <c r="AA551" s="92" t="n">
        <f aca="false">IF(Y551=1,LN(K551),0)</f>
        <v>0</v>
      </c>
      <c r="AB551" s="93" t="n">
        <f aca="false">IF(Y551=1,E551,0)</f>
        <v>0</v>
      </c>
      <c r="AC551" s="89" t="n">
        <f aca="false">IF(Y551=1,COUNTIFS($Z$2:$Z$601,Z551,$Y$2:$Y$601,1),0)</f>
        <v>0</v>
      </c>
      <c r="AD551" s="89" t="n">
        <f aca="false">IF(Y551=1,COUNTIFS($N$2:$N$601,N551,$Y$2:$Y$601,1),0)</f>
        <v>0</v>
      </c>
      <c r="AE551" s="43" t="str">
        <f aca="false">IF(Y551&lt;&gt;1,"",IF(AND(AC551&gt;=설정!$C$7,ISNUMBER(MATCH(Z551,피어커브!$A:$A,0))),Z551,IF(AND(AD551&gt;=설정!$C$7,ISNUMBER(MATCH(N551&amp;"|전체",피어커브!$A:$A,0))),N551&amp;"|전체","전체|전체")))</f>
        <v/>
      </c>
      <c r="AF551" s="93" t="str">
        <f aca="false">IF(AE551="","",INDEX(피어커브!$K:$K,MATCH(AE551,피어커브!$A:$A,0)))</f>
        <v/>
      </c>
      <c r="AG551" s="93" t="str">
        <f aca="false">IF(AE551="","",INDEX(피어커브!$J:$J,MATCH(AE551,피어커브!$A:$A,0)))</f>
        <v/>
      </c>
      <c r="AH551" s="93" t="str">
        <f aca="false">IF(AE551="","",INDEX(피어커브!$L:$L,MATCH(AE551,피어커브!$A:$A,0)))</f>
        <v/>
      </c>
      <c r="AI551" s="93" t="str">
        <f aca="false">IF(AE551="","",AF551+AG551*AA551)</f>
        <v/>
      </c>
      <c r="AJ551" s="96" t="str">
        <f aca="false">IF(AE551="","",E551-AI551)</f>
        <v/>
      </c>
      <c r="AK551" s="95" t="str">
        <f aca="false">IF(AE551="","",IF(ISNUMBER(AH551),IF(AH551&gt;0,AJ551/AH551,""),""))</f>
        <v/>
      </c>
      <c r="AL551" s="43" t="str">
        <f aca="false">IF(AK551="","-",IF(AK551&gt;=설정!$C$6,"Cheap",IF(AK551&lt;=-설정!$C$6,"Rich","Fair")))</f>
        <v>-</v>
      </c>
      <c r="AM551" s="96" t="str">
        <f aca="false">IF(AE551="","",AJ551-AVERAGEIFS($AJ$2:$AJ$601,$B$2:$B$601,B551,$Y$2:$Y$601,1))</f>
        <v/>
      </c>
      <c r="AN551" s="93" t="n">
        <f aca="false">IF(AE551="",0,IF(K551&gt;1+설정!$C$8,AG551*(AA551-LN(K551-1)),0))</f>
        <v>0</v>
      </c>
      <c r="AO551" s="99" t="n">
        <f aca="false">IF($A551="",0,SUMIFS(보유분석!$AA$2:$AA$801,보유분석!$AB$2:$AB$801,ROW(),보유분석!$AC$2:$AC$801,1))</f>
        <v>0</v>
      </c>
      <c r="AP551" s="43" t="str">
        <f aca="false">IF($A551="","",TRIM(IF(R551=1,"FRN ","")&amp;IF(IFERROR(VLOOKUP(M551,설정!$A$15:$D$47,4,0),0)&gt;=10,IF(IFERROR(VLOOKUP(M551,설정!$A$15:$D$47,4,0),0)&lt;99,"BBB0미만 ",""),"")&amp;IF(OR(M551="",M551="NR"),"등급미입력 ","")&amp;IF(C551&lt;&gt;"USD","비USD ","")))</f>
        <v/>
      </c>
      <c r="AQ551" s="90" t="n">
        <f aca="false">IF(AND(Y551=1,AL551="Cheap"),IF(AND(ISERROR(SEARCH("FRN",AP551)),ISERROR(SEARCH("BBB0미만",AP551))),AK551+ROW()/1000000000,-999),-999)</f>
        <v>-999</v>
      </c>
      <c r="AR551" s="92" t="str">
        <f aca="false">IF(AND(ISNUMBER(D551),ISNUMBER(K551)),D551+AN551*MAX(K551-1,0)/100,"")</f>
        <v/>
      </c>
      <c r="AS551" s="93" t="str">
        <f aca="false">IF(AND(ISNUMBER(E551),ISNUMBER(K551)),IF(K551&gt;0,(E551+AN551*MAX(K551-1,0))/K551,""),"")</f>
        <v/>
      </c>
      <c r="AT551" s="90" t="n">
        <f aca="false">IFERROR(IF(AND(Y551=1,ROW()&lt;&gt;스왑분석!$C$12+1,ABS(K551-INDEX($K$2:$K$601,스왑분석!$C$12))&lt;=스왑분석!$C$5,ISERROR(SEARCH("FRN",AP551)),ISERROR(SEARCH("BBB0미만",AP551))),IF(AND(OR(스왑분석!$C$6="N",L551=INDEX($L$2:$L$601,스왑분석!$C$12)),OR(스왑분석!$C$7="N",N551=INDEX($N$2:$N$601,스왑분석!$C$12)),OR(스왑분석!$C$8="N",AO551=0),E551-INDEX($E$2:$E$601,스왑분석!$C$12)&gt;=스왑분석!$C$9),E551-INDEX($E$2:$E$601,스왑분석!$C$12)+ROW()/1000000000,-999),-999),-999)</f>
        <v>-999</v>
      </c>
      <c r="AU551" s="90" t="n">
        <f aca="false">IF(AND(Y551=1,AO551&gt;0,AL551="Rich"),-AK551+ROW()/1000000000,-999)</f>
        <v>-999</v>
      </c>
    </row>
    <row r="552" customFormat="false" ht="15" hidden="false" customHeight="false" outlineLevel="0" collapsed="false">
      <c r="A552" s="83" t="n">
        <f aca="false">IFERROR(IF(INDEX(원자료_시장!$A$1:$BZ$1000,설정!$L$6+ROW()-1,설정!$L$24)&amp;""="0","",INDEX(원자료_시장!$A$1:$BZ$1000,설정!$L$6+ROW()-1,설정!$L$24)),"")</f>
        <v>0</v>
      </c>
      <c r="B552" s="83" t="n">
        <f aca="false">IFERROR(IF(INDEX(원자료_시장!$A$1:$BZ$1000,설정!$L$6+ROW()-1,설정!$L$37)&amp;""="0","",INDEX(원자료_시장!$A$1:$BZ$1000,설정!$L$6+ROW()-1,설정!$L$37)),"")</f>
        <v>0</v>
      </c>
      <c r="C552" s="83" t="n">
        <f aca="false">IFERROR(IF(INDEX(원자료_시장!$A$1:$BZ$1000,설정!$L$6+ROW()-1,설정!$L$25)&amp;""="0","",INDEX(원자료_시장!$A$1:$BZ$1000,설정!$L$6+ROW()-1,설정!$L$25)),"")</f>
        <v>0</v>
      </c>
      <c r="D552" s="85" t="str">
        <f aca="false">IFERROR(IF(ISNUMBER(INDEX(원자료_시장!$A$1:$BZ$1000,설정!$L$6+ROW()-1,설정!$L$26)),INDEX(원자료_시장!$A$1:$BZ$1000,설정!$L$6+ROW()-1,설정!$L$26),""),"")</f>
        <v/>
      </c>
      <c r="E552" s="97" t="str">
        <f aca="false">IFERROR(IF(ISNUMBER(INDEX(원자료_시장!$A$1:$BZ$1000,설정!$L$6+ROW()-1,설정!$L$27)),INDEX(원자료_시장!$A$1:$BZ$1000,설정!$L$6+ROW()-1,설정!$L$27),""),"")</f>
        <v/>
      </c>
      <c r="F552" s="97" t="str">
        <f aca="false">IFERROR(IF(ISNUMBER(INDEX(원자료_시장!$A$1:$BZ$1000,설정!$L$6+ROW()-1,설정!$L$28)),INDEX(원자료_시장!$A$1:$BZ$1000,설정!$L$6+ROW()-1,설정!$L$28),""),"")</f>
        <v/>
      </c>
      <c r="G552" s="97" t="str">
        <f aca="false">IFERROR(IF(ISNUMBER(INDEX(원자료_시장!$A$1:$BZ$1000,설정!$L$6+ROW()-1,설정!$L$29)),INDEX(원자료_시장!$A$1:$BZ$1000,설정!$L$6+ROW()-1,설정!$L$29),""),"")</f>
        <v/>
      </c>
      <c r="H552" s="97" t="str">
        <f aca="false">IFERROR(IF(ISNUMBER(INDEX(원자료_시장!$A$1:$BZ$1000,설정!$L$6+ROW()-1,설정!$L$30)),INDEX(원자료_시장!$A$1:$BZ$1000,설정!$L$6+ROW()-1,설정!$L$30),""),"")</f>
        <v/>
      </c>
      <c r="I552" s="97" t="str">
        <f aca="false">IFERROR(IF(ISNUMBER(INDEX(원자료_시장!$A$1:$BZ$1000,설정!$L$6+ROW()-1,설정!$L$31)),INDEX(원자료_시장!$A$1:$BZ$1000,설정!$L$6+ROW()-1,설정!$L$31),""),"")</f>
        <v/>
      </c>
      <c r="J552" s="97" t="str">
        <f aca="false">IFERROR(IF(ISNUMBER(INDEX(원자료_시장!$A$1:$BZ$1000,설정!$L$6+ROW()-1,설정!$L$32)),INDEX(원자료_시장!$A$1:$BZ$1000,설정!$L$6+ROW()-1,설정!$L$32),""),"")</f>
        <v/>
      </c>
      <c r="K552" s="85" t="str">
        <f aca="false">IFERROR(IF(ISNUMBER(INDEX(원자료_시장!$A$1:$BZ$1000,설정!$L$6+ROW()-1,설정!$L$33)),INDEX(원자료_시장!$A$1:$BZ$1000,설정!$L$6+ROW()-1,설정!$L$33),""),"")</f>
        <v/>
      </c>
      <c r="L552" s="83" t="n">
        <f aca="false">IFERROR(IF(INDEX(원자료_시장!$A$1:$BZ$1000,설정!$L$6+ROW()-1,설정!$L$34)&amp;""="0","",INDEX(원자료_시장!$A$1:$BZ$1000,설정!$L$6+ROW()-1,설정!$L$34)),"")</f>
        <v>0</v>
      </c>
      <c r="M552" s="83" t="n">
        <f aca="false">IFERROR(IF(INDEX(원자료_시장!$A$1:$BZ$1000,설정!$L$6+ROW()-1,설정!$L$35)&amp;""="0","",INDEX(원자료_시장!$A$1:$BZ$1000,설정!$L$6+ROW()-1,설정!$L$35)),"")</f>
        <v>0</v>
      </c>
      <c r="N552" s="83" t="n">
        <f aca="false">IFERROR(IF(INDEX(원자료_시장!$A$1:$BZ$1000,설정!$L$6+ROW()-1,설정!$L$36)&amp;""="0","",INDEX(원자료_시장!$A$1:$BZ$1000,설정!$L$6+ROW()-1,설정!$L$36)),"")</f>
        <v>0</v>
      </c>
      <c r="O552" s="43" t="str">
        <f aca="false">IF($A552="","",UPPER(LEFT($A552,FIND(" ",$A552&amp;" ")-1)))</f>
        <v/>
      </c>
      <c r="P552" s="43" t="str">
        <f aca="false">IF($A552="","",TRIM(RIGHT(SUBSTITUTE(TRIM($A552)," ",REPT(" ",30)),30)))</f>
        <v/>
      </c>
      <c r="Q552" s="98" t="str">
        <f aca="false">IF($A552="","",IFERROR(DATE(IF(LEN(P552)=8,2000+VALUE(RIGHT(P552,2)),VALUE(RIGHT(P552,4))),VALUE(LEFT(P552,2)),VALUE(MID(P552,4,2))),""))</f>
        <v/>
      </c>
      <c r="R552" s="89" t="n">
        <f aca="false">IF($A552="",0,IF(ISNUMBER(SEARCH("Float",$A552)),1,0))</f>
        <v>0</v>
      </c>
      <c r="S552" s="43" t="str">
        <f aca="false">IF($A552="","",TRIM(MID($A552,LEN(O552)+2,LEN($A552)-LEN(O552)-LEN(P552)-1)))</f>
        <v/>
      </c>
      <c r="T552" s="92" t="str">
        <f aca="false">IF(OR($A552="",R552=1),"",IFERROR(IF(ISNUMBER(FIND("/",S552)),IF(ISNUMBER(FIND(" ",S552)),VALUE(LEFT(S552,FIND(" ",S552)-1))+VALUE(MID(S552,FIND(" ",S552)+1,FIND("/",S552)-FIND(" ",S552)-1))/VALUE(MID(S552,FIND("/",S552)+1,9)),VALUE(LEFT(S552,FIND("/",S552)-1))/VALUE(MID(S552,FIND("/",S552)+1,9))),VALUE(S552)),""))</f>
        <v/>
      </c>
      <c r="U552" s="43" t="str">
        <f aca="false">IF(OR($A552="",NOT(ISNUMBER(Q552))),"",TEXT(Q552,"yyyymmdd")&amp;"|"&amp;IF(R552=1,"F",TEXT(T552,"0.000")))</f>
        <v/>
      </c>
      <c r="V552" s="43" t="str">
        <f aca="false">IF(U552="","",O552&amp;"|"&amp;U552)</f>
        <v/>
      </c>
      <c r="W552" s="43" t="str">
        <f aca="false">IF($A552="","",IFERROR(IF(VLOOKUP(O552,매핑!$A$4:$E$92,3,0)="","미분류",VLOOKUP(O552,매핑!$A$4:$E$92,3,0)),"미분류"))</f>
        <v/>
      </c>
      <c r="X552" s="89" t="n">
        <f aca="false">IF($A552="",0,IF(O552="T",1,0))</f>
        <v>0</v>
      </c>
      <c r="Y552" s="89" t="n">
        <f aca="false">IF($A552="",0,IF(AND(C552="USD",X552=0,ISNUMBER(E552),ISNUMBER(K552)),IF(K552&gt;=설정!$C$8,1,0),0))</f>
        <v>0</v>
      </c>
      <c r="Z552" s="43" t="str">
        <f aca="false">IF($A552="","",N552&amp;"|"&amp;L552)</f>
        <v/>
      </c>
      <c r="AA552" s="92" t="n">
        <f aca="false">IF(Y552=1,LN(K552),0)</f>
        <v>0</v>
      </c>
      <c r="AB552" s="93" t="n">
        <f aca="false">IF(Y552=1,E552,0)</f>
        <v>0</v>
      </c>
      <c r="AC552" s="89" t="n">
        <f aca="false">IF(Y552=1,COUNTIFS($Z$2:$Z$601,Z552,$Y$2:$Y$601,1),0)</f>
        <v>0</v>
      </c>
      <c r="AD552" s="89" t="n">
        <f aca="false">IF(Y552=1,COUNTIFS($N$2:$N$601,N552,$Y$2:$Y$601,1),0)</f>
        <v>0</v>
      </c>
      <c r="AE552" s="43" t="str">
        <f aca="false">IF(Y552&lt;&gt;1,"",IF(AND(AC552&gt;=설정!$C$7,ISNUMBER(MATCH(Z552,피어커브!$A:$A,0))),Z552,IF(AND(AD552&gt;=설정!$C$7,ISNUMBER(MATCH(N552&amp;"|전체",피어커브!$A:$A,0))),N552&amp;"|전체","전체|전체")))</f>
        <v/>
      </c>
      <c r="AF552" s="93" t="str">
        <f aca="false">IF(AE552="","",INDEX(피어커브!$K:$K,MATCH(AE552,피어커브!$A:$A,0)))</f>
        <v/>
      </c>
      <c r="AG552" s="93" t="str">
        <f aca="false">IF(AE552="","",INDEX(피어커브!$J:$J,MATCH(AE552,피어커브!$A:$A,0)))</f>
        <v/>
      </c>
      <c r="AH552" s="93" t="str">
        <f aca="false">IF(AE552="","",INDEX(피어커브!$L:$L,MATCH(AE552,피어커브!$A:$A,0)))</f>
        <v/>
      </c>
      <c r="AI552" s="93" t="str">
        <f aca="false">IF(AE552="","",AF552+AG552*AA552)</f>
        <v/>
      </c>
      <c r="AJ552" s="96" t="str">
        <f aca="false">IF(AE552="","",E552-AI552)</f>
        <v/>
      </c>
      <c r="AK552" s="95" t="str">
        <f aca="false">IF(AE552="","",IF(ISNUMBER(AH552),IF(AH552&gt;0,AJ552/AH552,""),""))</f>
        <v/>
      </c>
      <c r="AL552" s="43" t="str">
        <f aca="false">IF(AK552="","-",IF(AK552&gt;=설정!$C$6,"Cheap",IF(AK552&lt;=-설정!$C$6,"Rich","Fair")))</f>
        <v>-</v>
      </c>
      <c r="AM552" s="96" t="str">
        <f aca="false">IF(AE552="","",AJ552-AVERAGEIFS($AJ$2:$AJ$601,$B$2:$B$601,B552,$Y$2:$Y$601,1))</f>
        <v/>
      </c>
      <c r="AN552" s="93" t="n">
        <f aca="false">IF(AE552="",0,IF(K552&gt;1+설정!$C$8,AG552*(AA552-LN(K552-1)),0))</f>
        <v>0</v>
      </c>
      <c r="AO552" s="99" t="n">
        <f aca="false">IF($A552="",0,SUMIFS(보유분석!$AA$2:$AA$801,보유분석!$AB$2:$AB$801,ROW(),보유분석!$AC$2:$AC$801,1))</f>
        <v>0</v>
      </c>
      <c r="AP552" s="43" t="str">
        <f aca="false">IF($A552="","",TRIM(IF(R552=1,"FRN ","")&amp;IF(IFERROR(VLOOKUP(M552,설정!$A$15:$D$47,4,0),0)&gt;=10,IF(IFERROR(VLOOKUP(M552,설정!$A$15:$D$47,4,0),0)&lt;99,"BBB0미만 ",""),"")&amp;IF(OR(M552="",M552="NR"),"등급미입력 ","")&amp;IF(C552&lt;&gt;"USD","비USD ","")))</f>
        <v/>
      </c>
      <c r="AQ552" s="90" t="n">
        <f aca="false">IF(AND(Y552=1,AL552="Cheap"),IF(AND(ISERROR(SEARCH("FRN",AP552)),ISERROR(SEARCH("BBB0미만",AP552))),AK552+ROW()/1000000000,-999),-999)</f>
        <v>-999</v>
      </c>
      <c r="AR552" s="92" t="str">
        <f aca="false">IF(AND(ISNUMBER(D552),ISNUMBER(K552)),D552+AN552*MAX(K552-1,0)/100,"")</f>
        <v/>
      </c>
      <c r="AS552" s="93" t="str">
        <f aca="false">IF(AND(ISNUMBER(E552),ISNUMBER(K552)),IF(K552&gt;0,(E552+AN552*MAX(K552-1,0))/K552,""),"")</f>
        <v/>
      </c>
      <c r="AT552" s="90" t="n">
        <f aca="false">IFERROR(IF(AND(Y552=1,ROW()&lt;&gt;스왑분석!$C$12+1,ABS(K552-INDEX($K$2:$K$601,스왑분석!$C$12))&lt;=스왑분석!$C$5,ISERROR(SEARCH("FRN",AP552)),ISERROR(SEARCH("BBB0미만",AP552))),IF(AND(OR(스왑분석!$C$6="N",L552=INDEX($L$2:$L$601,스왑분석!$C$12)),OR(스왑분석!$C$7="N",N552=INDEX($N$2:$N$601,스왑분석!$C$12)),OR(스왑분석!$C$8="N",AO552=0),E552-INDEX($E$2:$E$601,스왑분석!$C$12)&gt;=스왑분석!$C$9),E552-INDEX($E$2:$E$601,스왑분석!$C$12)+ROW()/1000000000,-999),-999),-999)</f>
        <v>-999</v>
      </c>
      <c r="AU552" s="90" t="n">
        <f aca="false">IF(AND(Y552=1,AO552&gt;0,AL552="Rich"),-AK552+ROW()/1000000000,-999)</f>
        <v>-999</v>
      </c>
    </row>
    <row r="553" customFormat="false" ht="15" hidden="false" customHeight="false" outlineLevel="0" collapsed="false">
      <c r="A553" s="83" t="n">
        <f aca="false">IFERROR(IF(INDEX(원자료_시장!$A$1:$BZ$1000,설정!$L$6+ROW()-1,설정!$L$24)&amp;""="0","",INDEX(원자료_시장!$A$1:$BZ$1000,설정!$L$6+ROW()-1,설정!$L$24)),"")</f>
        <v>0</v>
      </c>
      <c r="B553" s="83" t="n">
        <f aca="false">IFERROR(IF(INDEX(원자료_시장!$A$1:$BZ$1000,설정!$L$6+ROW()-1,설정!$L$37)&amp;""="0","",INDEX(원자료_시장!$A$1:$BZ$1000,설정!$L$6+ROW()-1,설정!$L$37)),"")</f>
        <v>0</v>
      </c>
      <c r="C553" s="83" t="n">
        <f aca="false">IFERROR(IF(INDEX(원자료_시장!$A$1:$BZ$1000,설정!$L$6+ROW()-1,설정!$L$25)&amp;""="0","",INDEX(원자료_시장!$A$1:$BZ$1000,설정!$L$6+ROW()-1,설정!$L$25)),"")</f>
        <v>0</v>
      </c>
      <c r="D553" s="85" t="str">
        <f aca="false">IFERROR(IF(ISNUMBER(INDEX(원자료_시장!$A$1:$BZ$1000,설정!$L$6+ROW()-1,설정!$L$26)),INDEX(원자료_시장!$A$1:$BZ$1000,설정!$L$6+ROW()-1,설정!$L$26),""),"")</f>
        <v/>
      </c>
      <c r="E553" s="97" t="str">
        <f aca="false">IFERROR(IF(ISNUMBER(INDEX(원자료_시장!$A$1:$BZ$1000,설정!$L$6+ROW()-1,설정!$L$27)),INDEX(원자료_시장!$A$1:$BZ$1000,설정!$L$6+ROW()-1,설정!$L$27),""),"")</f>
        <v/>
      </c>
      <c r="F553" s="97" t="str">
        <f aca="false">IFERROR(IF(ISNUMBER(INDEX(원자료_시장!$A$1:$BZ$1000,설정!$L$6+ROW()-1,설정!$L$28)),INDEX(원자료_시장!$A$1:$BZ$1000,설정!$L$6+ROW()-1,설정!$L$28),""),"")</f>
        <v/>
      </c>
      <c r="G553" s="97" t="str">
        <f aca="false">IFERROR(IF(ISNUMBER(INDEX(원자료_시장!$A$1:$BZ$1000,설정!$L$6+ROW()-1,설정!$L$29)),INDEX(원자료_시장!$A$1:$BZ$1000,설정!$L$6+ROW()-1,설정!$L$29),""),"")</f>
        <v/>
      </c>
      <c r="H553" s="97" t="str">
        <f aca="false">IFERROR(IF(ISNUMBER(INDEX(원자료_시장!$A$1:$BZ$1000,설정!$L$6+ROW()-1,설정!$L$30)),INDEX(원자료_시장!$A$1:$BZ$1000,설정!$L$6+ROW()-1,설정!$L$30),""),"")</f>
        <v/>
      </c>
      <c r="I553" s="97" t="str">
        <f aca="false">IFERROR(IF(ISNUMBER(INDEX(원자료_시장!$A$1:$BZ$1000,설정!$L$6+ROW()-1,설정!$L$31)),INDEX(원자료_시장!$A$1:$BZ$1000,설정!$L$6+ROW()-1,설정!$L$31),""),"")</f>
        <v/>
      </c>
      <c r="J553" s="97" t="str">
        <f aca="false">IFERROR(IF(ISNUMBER(INDEX(원자료_시장!$A$1:$BZ$1000,설정!$L$6+ROW()-1,설정!$L$32)),INDEX(원자료_시장!$A$1:$BZ$1000,설정!$L$6+ROW()-1,설정!$L$32),""),"")</f>
        <v/>
      </c>
      <c r="K553" s="85" t="str">
        <f aca="false">IFERROR(IF(ISNUMBER(INDEX(원자료_시장!$A$1:$BZ$1000,설정!$L$6+ROW()-1,설정!$L$33)),INDEX(원자료_시장!$A$1:$BZ$1000,설정!$L$6+ROW()-1,설정!$L$33),""),"")</f>
        <v/>
      </c>
      <c r="L553" s="83" t="n">
        <f aca="false">IFERROR(IF(INDEX(원자료_시장!$A$1:$BZ$1000,설정!$L$6+ROW()-1,설정!$L$34)&amp;""="0","",INDEX(원자료_시장!$A$1:$BZ$1000,설정!$L$6+ROW()-1,설정!$L$34)),"")</f>
        <v>0</v>
      </c>
      <c r="M553" s="83" t="n">
        <f aca="false">IFERROR(IF(INDEX(원자료_시장!$A$1:$BZ$1000,설정!$L$6+ROW()-1,설정!$L$35)&amp;""="0","",INDEX(원자료_시장!$A$1:$BZ$1000,설정!$L$6+ROW()-1,설정!$L$35)),"")</f>
        <v>0</v>
      </c>
      <c r="N553" s="83" t="n">
        <f aca="false">IFERROR(IF(INDEX(원자료_시장!$A$1:$BZ$1000,설정!$L$6+ROW()-1,설정!$L$36)&amp;""="0","",INDEX(원자료_시장!$A$1:$BZ$1000,설정!$L$6+ROW()-1,설정!$L$36)),"")</f>
        <v>0</v>
      </c>
      <c r="O553" s="43" t="str">
        <f aca="false">IF($A553="","",UPPER(LEFT($A553,FIND(" ",$A553&amp;" ")-1)))</f>
        <v/>
      </c>
      <c r="P553" s="43" t="str">
        <f aca="false">IF($A553="","",TRIM(RIGHT(SUBSTITUTE(TRIM($A553)," ",REPT(" ",30)),30)))</f>
        <v/>
      </c>
      <c r="Q553" s="98" t="str">
        <f aca="false">IF($A553="","",IFERROR(DATE(IF(LEN(P553)=8,2000+VALUE(RIGHT(P553,2)),VALUE(RIGHT(P553,4))),VALUE(LEFT(P553,2)),VALUE(MID(P553,4,2))),""))</f>
        <v/>
      </c>
      <c r="R553" s="89" t="n">
        <f aca="false">IF($A553="",0,IF(ISNUMBER(SEARCH("Float",$A553)),1,0))</f>
        <v>0</v>
      </c>
      <c r="S553" s="43" t="str">
        <f aca="false">IF($A553="","",TRIM(MID($A553,LEN(O553)+2,LEN($A553)-LEN(O553)-LEN(P553)-1)))</f>
        <v/>
      </c>
      <c r="T553" s="92" t="str">
        <f aca="false">IF(OR($A553="",R553=1),"",IFERROR(IF(ISNUMBER(FIND("/",S553)),IF(ISNUMBER(FIND(" ",S553)),VALUE(LEFT(S553,FIND(" ",S553)-1))+VALUE(MID(S553,FIND(" ",S553)+1,FIND("/",S553)-FIND(" ",S553)-1))/VALUE(MID(S553,FIND("/",S553)+1,9)),VALUE(LEFT(S553,FIND("/",S553)-1))/VALUE(MID(S553,FIND("/",S553)+1,9))),VALUE(S553)),""))</f>
        <v/>
      </c>
      <c r="U553" s="43" t="str">
        <f aca="false">IF(OR($A553="",NOT(ISNUMBER(Q553))),"",TEXT(Q553,"yyyymmdd")&amp;"|"&amp;IF(R553=1,"F",TEXT(T553,"0.000")))</f>
        <v/>
      </c>
      <c r="V553" s="43" t="str">
        <f aca="false">IF(U553="","",O553&amp;"|"&amp;U553)</f>
        <v/>
      </c>
      <c r="W553" s="43" t="str">
        <f aca="false">IF($A553="","",IFERROR(IF(VLOOKUP(O553,매핑!$A$4:$E$92,3,0)="","미분류",VLOOKUP(O553,매핑!$A$4:$E$92,3,0)),"미분류"))</f>
        <v/>
      </c>
      <c r="X553" s="89" t="n">
        <f aca="false">IF($A553="",0,IF(O553="T",1,0))</f>
        <v>0</v>
      </c>
      <c r="Y553" s="89" t="n">
        <f aca="false">IF($A553="",0,IF(AND(C553="USD",X553=0,ISNUMBER(E553),ISNUMBER(K553)),IF(K553&gt;=설정!$C$8,1,0),0))</f>
        <v>0</v>
      </c>
      <c r="Z553" s="43" t="str">
        <f aca="false">IF($A553="","",N553&amp;"|"&amp;L553)</f>
        <v/>
      </c>
      <c r="AA553" s="92" t="n">
        <f aca="false">IF(Y553=1,LN(K553),0)</f>
        <v>0</v>
      </c>
      <c r="AB553" s="93" t="n">
        <f aca="false">IF(Y553=1,E553,0)</f>
        <v>0</v>
      </c>
      <c r="AC553" s="89" t="n">
        <f aca="false">IF(Y553=1,COUNTIFS($Z$2:$Z$601,Z553,$Y$2:$Y$601,1),0)</f>
        <v>0</v>
      </c>
      <c r="AD553" s="89" t="n">
        <f aca="false">IF(Y553=1,COUNTIFS($N$2:$N$601,N553,$Y$2:$Y$601,1),0)</f>
        <v>0</v>
      </c>
      <c r="AE553" s="43" t="str">
        <f aca="false">IF(Y553&lt;&gt;1,"",IF(AND(AC553&gt;=설정!$C$7,ISNUMBER(MATCH(Z553,피어커브!$A:$A,0))),Z553,IF(AND(AD553&gt;=설정!$C$7,ISNUMBER(MATCH(N553&amp;"|전체",피어커브!$A:$A,0))),N553&amp;"|전체","전체|전체")))</f>
        <v/>
      </c>
      <c r="AF553" s="93" t="str">
        <f aca="false">IF(AE553="","",INDEX(피어커브!$K:$K,MATCH(AE553,피어커브!$A:$A,0)))</f>
        <v/>
      </c>
      <c r="AG553" s="93" t="str">
        <f aca="false">IF(AE553="","",INDEX(피어커브!$J:$J,MATCH(AE553,피어커브!$A:$A,0)))</f>
        <v/>
      </c>
      <c r="AH553" s="93" t="str">
        <f aca="false">IF(AE553="","",INDEX(피어커브!$L:$L,MATCH(AE553,피어커브!$A:$A,0)))</f>
        <v/>
      </c>
      <c r="AI553" s="93" t="str">
        <f aca="false">IF(AE553="","",AF553+AG553*AA553)</f>
        <v/>
      </c>
      <c r="AJ553" s="96" t="str">
        <f aca="false">IF(AE553="","",E553-AI553)</f>
        <v/>
      </c>
      <c r="AK553" s="95" t="str">
        <f aca="false">IF(AE553="","",IF(ISNUMBER(AH553),IF(AH553&gt;0,AJ553/AH553,""),""))</f>
        <v/>
      </c>
      <c r="AL553" s="43" t="str">
        <f aca="false">IF(AK553="","-",IF(AK553&gt;=설정!$C$6,"Cheap",IF(AK553&lt;=-설정!$C$6,"Rich","Fair")))</f>
        <v>-</v>
      </c>
      <c r="AM553" s="96" t="str">
        <f aca="false">IF(AE553="","",AJ553-AVERAGEIFS($AJ$2:$AJ$601,$B$2:$B$601,B553,$Y$2:$Y$601,1))</f>
        <v/>
      </c>
      <c r="AN553" s="93" t="n">
        <f aca="false">IF(AE553="",0,IF(K553&gt;1+설정!$C$8,AG553*(AA553-LN(K553-1)),0))</f>
        <v>0</v>
      </c>
      <c r="AO553" s="99" t="n">
        <f aca="false">IF($A553="",0,SUMIFS(보유분석!$AA$2:$AA$801,보유분석!$AB$2:$AB$801,ROW(),보유분석!$AC$2:$AC$801,1))</f>
        <v>0</v>
      </c>
      <c r="AP553" s="43" t="str">
        <f aca="false">IF($A553="","",TRIM(IF(R553=1,"FRN ","")&amp;IF(IFERROR(VLOOKUP(M553,설정!$A$15:$D$47,4,0),0)&gt;=10,IF(IFERROR(VLOOKUP(M553,설정!$A$15:$D$47,4,0),0)&lt;99,"BBB0미만 ",""),"")&amp;IF(OR(M553="",M553="NR"),"등급미입력 ","")&amp;IF(C553&lt;&gt;"USD","비USD ","")))</f>
        <v/>
      </c>
      <c r="AQ553" s="90" t="n">
        <f aca="false">IF(AND(Y553=1,AL553="Cheap"),IF(AND(ISERROR(SEARCH("FRN",AP553)),ISERROR(SEARCH("BBB0미만",AP553))),AK553+ROW()/1000000000,-999),-999)</f>
        <v>-999</v>
      </c>
      <c r="AR553" s="92" t="str">
        <f aca="false">IF(AND(ISNUMBER(D553),ISNUMBER(K553)),D553+AN553*MAX(K553-1,0)/100,"")</f>
        <v/>
      </c>
      <c r="AS553" s="93" t="str">
        <f aca="false">IF(AND(ISNUMBER(E553),ISNUMBER(K553)),IF(K553&gt;0,(E553+AN553*MAX(K553-1,0))/K553,""),"")</f>
        <v/>
      </c>
      <c r="AT553" s="90" t="n">
        <f aca="false">IFERROR(IF(AND(Y553=1,ROW()&lt;&gt;스왑분석!$C$12+1,ABS(K553-INDEX($K$2:$K$601,스왑분석!$C$12))&lt;=스왑분석!$C$5,ISERROR(SEARCH("FRN",AP553)),ISERROR(SEARCH("BBB0미만",AP553))),IF(AND(OR(스왑분석!$C$6="N",L553=INDEX($L$2:$L$601,스왑분석!$C$12)),OR(스왑분석!$C$7="N",N553=INDEX($N$2:$N$601,스왑분석!$C$12)),OR(스왑분석!$C$8="N",AO553=0),E553-INDEX($E$2:$E$601,스왑분석!$C$12)&gt;=스왑분석!$C$9),E553-INDEX($E$2:$E$601,스왑분석!$C$12)+ROW()/1000000000,-999),-999),-999)</f>
        <v>-999</v>
      </c>
      <c r="AU553" s="90" t="n">
        <f aca="false">IF(AND(Y553=1,AO553&gt;0,AL553="Rich"),-AK553+ROW()/1000000000,-999)</f>
        <v>-999</v>
      </c>
    </row>
    <row r="554" customFormat="false" ht="15" hidden="false" customHeight="false" outlineLevel="0" collapsed="false">
      <c r="A554" s="83" t="n">
        <f aca="false">IFERROR(IF(INDEX(원자료_시장!$A$1:$BZ$1000,설정!$L$6+ROW()-1,설정!$L$24)&amp;""="0","",INDEX(원자료_시장!$A$1:$BZ$1000,설정!$L$6+ROW()-1,설정!$L$24)),"")</f>
        <v>0</v>
      </c>
      <c r="B554" s="83" t="n">
        <f aca="false">IFERROR(IF(INDEX(원자료_시장!$A$1:$BZ$1000,설정!$L$6+ROW()-1,설정!$L$37)&amp;""="0","",INDEX(원자료_시장!$A$1:$BZ$1000,설정!$L$6+ROW()-1,설정!$L$37)),"")</f>
        <v>0</v>
      </c>
      <c r="C554" s="83" t="n">
        <f aca="false">IFERROR(IF(INDEX(원자료_시장!$A$1:$BZ$1000,설정!$L$6+ROW()-1,설정!$L$25)&amp;""="0","",INDEX(원자료_시장!$A$1:$BZ$1000,설정!$L$6+ROW()-1,설정!$L$25)),"")</f>
        <v>0</v>
      </c>
      <c r="D554" s="85" t="str">
        <f aca="false">IFERROR(IF(ISNUMBER(INDEX(원자료_시장!$A$1:$BZ$1000,설정!$L$6+ROW()-1,설정!$L$26)),INDEX(원자료_시장!$A$1:$BZ$1000,설정!$L$6+ROW()-1,설정!$L$26),""),"")</f>
        <v/>
      </c>
      <c r="E554" s="97" t="str">
        <f aca="false">IFERROR(IF(ISNUMBER(INDEX(원자료_시장!$A$1:$BZ$1000,설정!$L$6+ROW()-1,설정!$L$27)),INDEX(원자료_시장!$A$1:$BZ$1000,설정!$L$6+ROW()-1,설정!$L$27),""),"")</f>
        <v/>
      </c>
      <c r="F554" s="97" t="str">
        <f aca="false">IFERROR(IF(ISNUMBER(INDEX(원자료_시장!$A$1:$BZ$1000,설정!$L$6+ROW()-1,설정!$L$28)),INDEX(원자료_시장!$A$1:$BZ$1000,설정!$L$6+ROW()-1,설정!$L$28),""),"")</f>
        <v/>
      </c>
      <c r="G554" s="97" t="str">
        <f aca="false">IFERROR(IF(ISNUMBER(INDEX(원자료_시장!$A$1:$BZ$1000,설정!$L$6+ROW()-1,설정!$L$29)),INDEX(원자료_시장!$A$1:$BZ$1000,설정!$L$6+ROW()-1,설정!$L$29),""),"")</f>
        <v/>
      </c>
      <c r="H554" s="97" t="str">
        <f aca="false">IFERROR(IF(ISNUMBER(INDEX(원자료_시장!$A$1:$BZ$1000,설정!$L$6+ROW()-1,설정!$L$30)),INDEX(원자료_시장!$A$1:$BZ$1000,설정!$L$6+ROW()-1,설정!$L$30),""),"")</f>
        <v/>
      </c>
      <c r="I554" s="97" t="str">
        <f aca="false">IFERROR(IF(ISNUMBER(INDEX(원자료_시장!$A$1:$BZ$1000,설정!$L$6+ROW()-1,설정!$L$31)),INDEX(원자료_시장!$A$1:$BZ$1000,설정!$L$6+ROW()-1,설정!$L$31),""),"")</f>
        <v/>
      </c>
      <c r="J554" s="97" t="str">
        <f aca="false">IFERROR(IF(ISNUMBER(INDEX(원자료_시장!$A$1:$BZ$1000,설정!$L$6+ROW()-1,설정!$L$32)),INDEX(원자료_시장!$A$1:$BZ$1000,설정!$L$6+ROW()-1,설정!$L$32),""),"")</f>
        <v/>
      </c>
      <c r="K554" s="85" t="str">
        <f aca="false">IFERROR(IF(ISNUMBER(INDEX(원자료_시장!$A$1:$BZ$1000,설정!$L$6+ROW()-1,설정!$L$33)),INDEX(원자료_시장!$A$1:$BZ$1000,설정!$L$6+ROW()-1,설정!$L$33),""),"")</f>
        <v/>
      </c>
      <c r="L554" s="83" t="n">
        <f aca="false">IFERROR(IF(INDEX(원자료_시장!$A$1:$BZ$1000,설정!$L$6+ROW()-1,설정!$L$34)&amp;""="0","",INDEX(원자료_시장!$A$1:$BZ$1000,설정!$L$6+ROW()-1,설정!$L$34)),"")</f>
        <v>0</v>
      </c>
      <c r="M554" s="83" t="n">
        <f aca="false">IFERROR(IF(INDEX(원자료_시장!$A$1:$BZ$1000,설정!$L$6+ROW()-1,설정!$L$35)&amp;""="0","",INDEX(원자료_시장!$A$1:$BZ$1000,설정!$L$6+ROW()-1,설정!$L$35)),"")</f>
        <v>0</v>
      </c>
      <c r="N554" s="83" t="n">
        <f aca="false">IFERROR(IF(INDEX(원자료_시장!$A$1:$BZ$1000,설정!$L$6+ROW()-1,설정!$L$36)&amp;""="0","",INDEX(원자료_시장!$A$1:$BZ$1000,설정!$L$6+ROW()-1,설정!$L$36)),"")</f>
        <v>0</v>
      </c>
      <c r="O554" s="43" t="str">
        <f aca="false">IF($A554="","",UPPER(LEFT($A554,FIND(" ",$A554&amp;" ")-1)))</f>
        <v/>
      </c>
      <c r="P554" s="43" t="str">
        <f aca="false">IF($A554="","",TRIM(RIGHT(SUBSTITUTE(TRIM($A554)," ",REPT(" ",30)),30)))</f>
        <v/>
      </c>
      <c r="Q554" s="98" t="str">
        <f aca="false">IF($A554="","",IFERROR(DATE(IF(LEN(P554)=8,2000+VALUE(RIGHT(P554,2)),VALUE(RIGHT(P554,4))),VALUE(LEFT(P554,2)),VALUE(MID(P554,4,2))),""))</f>
        <v/>
      </c>
      <c r="R554" s="89" t="n">
        <f aca="false">IF($A554="",0,IF(ISNUMBER(SEARCH("Float",$A554)),1,0))</f>
        <v>0</v>
      </c>
      <c r="S554" s="43" t="str">
        <f aca="false">IF($A554="","",TRIM(MID($A554,LEN(O554)+2,LEN($A554)-LEN(O554)-LEN(P554)-1)))</f>
        <v/>
      </c>
      <c r="T554" s="92" t="str">
        <f aca="false">IF(OR($A554="",R554=1),"",IFERROR(IF(ISNUMBER(FIND("/",S554)),IF(ISNUMBER(FIND(" ",S554)),VALUE(LEFT(S554,FIND(" ",S554)-1))+VALUE(MID(S554,FIND(" ",S554)+1,FIND("/",S554)-FIND(" ",S554)-1))/VALUE(MID(S554,FIND("/",S554)+1,9)),VALUE(LEFT(S554,FIND("/",S554)-1))/VALUE(MID(S554,FIND("/",S554)+1,9))),VALUE(S554)),""))</f>
        <v/>
      </c>
      <c r="U554" s="43" t="str">
        <f aca="false">IF(OR($A554="",NOT(ISNUMBER(Q554))),"",TEXT(Q554,"yyyymmdd")&amp;"|"&amp;IF(R554=1,"F",TEXT(T554,"0.000")))</f>
        <v/>
      </c>
      <c r="V554" s="43" t="str">
        <f aca="false">IF(U554="","",O554&amp;"|"&amp;U554)</f>
        <v/>
      </c>
      <c r="W554" s="43" t="str">
        <f aca="false">IF($A554="","",IFERROR(IF(VLOOKUP(O554,매핑!$A$4:$E$92,3,0)="","미분류",VLOOKUP(O554,매핑!$A$4:$E$92,3,0)),"미분류"))</f>
        <v/>
      </c>
      <c r="X554" s="89" t="n">
        <f aca="false">IF($A554="",0,IF(O554="T",1,0))</f>
        <v>0</v>
      </c>
      <c r="Y554" s="89" t="n">
        <f aca="false">IF($A554="",0,IF(AND(C554="USD",X554=0,ISNUMBER(E554),ISNUMBER(K554)),IF(K554&gt;=설정!$C$8,1,0),0))</f>
        <v>0</v>
      </c>
      <c r="Z554" s="43" t="str">
        <f aca="false">IF($A554="","",N554&amp;"|"&amp;L554)</f>
        <v/>
      </c>
      <c r="AA554" s="92" t="n">
        <f aca="false">IF(Y554=1,LN(K554),0)</f>
        <v>0</v>
      </c>
      <c r="AB554" s="93" t="n">
        <f aca="false">IF(Y554=1,E554,0)</f>
        <v>0</v>
      </c>
      <c r="AC554" s="89" t="n">
        <f aca="false">IF(Y554=1,COUNTIFS($Z$2:$Z$601,Z554,$Y$2:$Y$601,1),0)</f>
        <v>0</v>
      </c>
      <c r="AD554" s="89" t="n">
        <f aca="false">IF(Y554=1,COUNTIFS($N$2:$N$601,N554,$Y$2:$Y$601,1),0)</f>
        <v>0</v>
      </c>
      <c r="AE554" s="43" t="str">
        <f aca="false">IF(Y554&lt;&gt;1,"",IF(AND(AC554&gt;=설정!$C$7,ISNUMBER(MATCH(Z554,피어커브!$A:$A,0))),Z554,IF(AND(AD554&gt;=설정!$C$7,ISNUMBER(MATCH(N554&amp;"|전체",피어커브!$A:$A,0))),N554&amp;"|전체","전체|전체")))</f>
        <v/>
      </c>
      <c r="AF554" s="93" t="str">
        <f aca="false">IF(AE554="","",INDEX(피어커브!$K:$K,MATCH(AE554,피어커브!$A:$A,0)))</f>
        <v/>
      </c>
      <c r="AG554" s="93" t="str">
        <f aca="false">IF(AE554="","",INDEX(피어커브!$J:$J,MATCH(AE554,피어커브!$A:$A,0)))</f>
        <v/>
      </c>
      <c r="AH554" s="93" t="str">
        <f aca="false">IF(AE554="","",INDEX(피어커브!$L:$L,MATCH(AE554,피어커브!$A:$A,0)))</f>
        <v/>
      </c>
      <c r="AI554" s="93" t="str">
        <f aca="false">IF(AE554="","",AF554+AG554*AA554)</f>
        <v/>
      </c>
      <c r="AJ554" s="96" t="str">
        <f aca="false">IF(AE554="","",E554-AI554)</f>
        <v/>
      </c>
      <c r="AK554" s="95" t="str">
        <f aca="false">IF(AE554="","",IF(ISNUMBER(AH554),IF(AH554&gt;0,AJ554/AH554,""),""))</f>
        <v/>
      </c>
      <c r="AL554" s="43" t="str">
        <f aca="false">IF(AK554="","-",IF(AK554&gt;=설정!$C$6,"Cheap",IF(AK554&lt;=-설정!$C$6,"Rich","Fair")))</f>
        <v>-</v>
      </c>
      <c r="AM554" s="96" t="str">
        <f aca="false">IF(AE554="","",AJ554-AVERAGEIFS($AJ$2:$AJ$601,$B$2:$B$601,B554,$Y$2:$Y$601,1))</f>
        <v/>
      </c>
      <c r="AN554" s="93" t="n">
        <f aca="false">IF(AE554="",0,IF(K554&gt;1+설정!$C$8,AG554*(AA554-LN(K554-1)),0))</f>
        <v>0</v>
      </c>
      <c r="AO554" s="99" t="n">
        <f aca="false">IF($A554="",0,SUMIFS(보유분석!$AA$2:$AA$801,보유분석!$AB$2:$AB$801,ROW(),보유분석!$AC$2:$AC$801,1))</f>
        <v>0</v>
      </c>
      <c r="AP554" s="43" t="str">
        <f aca="false">IF($A554="","",TRIM(IF(R554=1,"FRN ","")&amp;IF(IFERROR(VLOOKUP(M554,설정!$A$15:$D$47,4,0),0)&gt;=10,IF(IFERROR(VLOOKUP(M554,설정!$A$15:$D$47,4,0),0)&lt;99,"BBB0미만 ",""),"")&amp;IF(OR(M554="",M554="NR"),"등급미입력 ","")&amp;IF(C554&lt;&gt;"USD","비USD ","")))</f>
        <v/>
      </c>
      <c r="AQ554" s="90" t="n">
        <f aca="false">IF(AND(Y554=1,AL554="Cheap"),IF(AND(ISERROR(SEARCH("FRN",AP554)),ISERROR(SEARCH("BBB0미만",AP554))),AK554+ROW()/1000000000,-999),-999)</f>
        <v>-999</v>
      </c>
      <c r="AR554" s="92" t="str">
        <f aca="false">IF(AND(ISNUMBER(D554),ISNUMBER(K554)),D554+AN554*MAX(K554-1,0)/100,"")</f>
        <v/>
      </c>
      <c r="AS554" s="93" t="str">
        <f aca="false">IF(AND(ISNUMBER(E554),ISNUMBER(K554)),IF(K554&gt;0,(E554+AN554*MAX(K554-1,0))/K554,""),"")</f>
        <v/>
      </c>
      <c r="AT554" s="90" t="n">
        <f aca="false">IFERROR(IF(AND(Y554=1,ROW()&lt;&gt;스왑분석!$C$12+1,ABS(K554-INDEX($K$2:$K$601,스왑분석!$C$12))&lt;=스왑분석!$C$5,ISERROR(SEARCH("FRN",AP554)),ISERROR(SEARCH("BBB0미만",AP554))),IF(AND(OR(스왑분석!$C$6="N",L554=INDEX($L$2:$L$601,스왑분석!$C$12)),OR(스왑분석!$C$7="N",N554=INDEX($N$2:$N$601,스왑분석!$C$12)),OR(스왑분석!$C$8="N",AO554=0),E554-INDEX($E$2:$E$601,스왑분석!$C$12)&gt;=스왑분석!$C$9),E554-INDEX($E$2:$E$601,스왑분석!$C$12)+ROW()/1000000000,-999),-999),-999)</f>
        <v>-999</v>
      </c>
      <c r="AU554" s="90" t="n">
        <f aca="false">IF(AND(Y554=1,AO554&gt;0,AL554="Rich"),-AK554+ROW()/1000000000,-999)</f>
        <v>-999</v>
      </c>
    </row>
    <row r="555" customFormat="false" ht="15" hidden="false" customHeight="false" outlineLevel="0" collapsed="false">
      <c r="A555" s="83" t="n">
        <f aca="false">IFERROR(IF(INDEX(원자료_시장!$A$1:$BZ$1000,설정!$L$6+ROW()-1,설정!$L$24)&amp;""="0","",INDEX(원자료_시장!$A$1:$BZ$1000,설정!$L$6+ROW()-1,설정!$L$24)),"")</f>
        <v>0</v>
      </c>
      <c r="B555" s="83" t="n">
        <f aca="false">IFERROR(IF(INDEX(원자료_시장!$A$1:$BZ$1000,설정!$L$6+ROW()-1,설정!$L$37)&amp;""="0","",INDEX(원자료_시장!$A$1:$BZ$1000,설정!$L$6+ROW()-1,설정!$L$37)),"")</f>
        <v>0</v>
      </c>
      <c r="C555" s="83" t="n">
        <f aca="false">IFERROR(IF(INDEX(원자료_시장!$A$1:$BZ$1000,설정!$L$6+ROW()-1,설정!$L$25)&amp;""="0","",INDEX(원자료_시장!$A$1:$BZ$1000,설정!$L$6+ROW()-1,설정!$L$25)),"")</f>
        <v>0</v>
      </c>
      <c r="D555" s="85" t="str">
        <f aca="false">IFERROR(IF(ISNUMBER(INDEX(원자료_시장!$A$1:$BZ$1000,설정!$L$6+ROW()-1,설정!$L$26)),INDEX(원자료_시장!$A$1:$BZ$1000,설정!$L$6+ROW()-1,설정!$L$26),""),"")</f>
        <v/>
      </c>
      <c r="E555" s="97" t="str">
        <f aca="false">IFERROR(IF(ISNUMBER(INDEX(원자료_시장!$A$1:$BZ$1000,설정!$L$6+ROW()-1,설정!$L$27)),INDEX(원자료_시장!$A$1:$BZ$1000,설정!$L$6+ROW()-1,설정!$L$27),""),"")</f>
        <v/>
      </c>
      <c r="F555" s="97" t="str">
        <f aca="false">IFERROR(IF(ISNUMBER(INDEX(원자료_시장!$A$1:$BZ$1000,설정!$L$6+ROW()-1,설정!$L$28)),INDEX(원자료_시장!$A$1:$BZ$1000,설정!$L$6+ROW()-1,설정!$L$28),""),"")</f>
        <v/>
      </c>
      <c r="G555" s="97" t="str">
        <f aca="false">IFERROR(IF(ISNUMBER(INDEX(원자료_시장!$A$1:$BZ$1000,설정!$L$6+ROW()-1,설정!$L$29)),INDEX(원자료_시장!$A$1:$BZ$1000,설정!$L$6+ROW()-1,설정!$L$29),""),"")</f>
        <v/>
      </c>
      <c r="H555" s="97" t="str">
        <f aca="false">IFERROR(IF(ISNUMBER(INDEX(원자료_시장!$A$1:$BZ$1000,설정!$L$6+ROW()-1,설정!$L$30)),INDEX(원자료_시장!$A$1:$BZ$1000,설정!$L$6+ROW()-1,설정!$L$30),""),"")</f>
        <v/>
      </c>
      <c r="I555" s="97" t="str">
        <f aca="false">IFERROR(IF(ISNUMBER(INDEX(원자료_시장!$A$1:$BZ$1000,설정!$L$6+ROW()-1,설정!$L$31)),INDEX(원자료_시장!$A$1:$BZ$1000,설정!$L$6+ROW()-1,설정!$L$31),""),"")</f>
        <v/>
      </c>
      <c r="J555" s="97" t="str">
        <f aca="false">IFERROR(IF(ISNUMBER(INDEX(원자료_시장!$A$1:$BZ$1000,설정!$L$6+ROW()-1,설정!$L$32)),INDEX(원자료_시장!$A$1:$BZ$1000,설정!$L$6+ROW()-1,설정!$L$32),""),"")</f>
        <v/>
      </c>
      <c r="K555" s="85" t="str">
        <f aca="false">IFERROR(IF(ISNUMBER(INDEX(원자료_시장!$A$1:$BZ$1000,설정!$L$6+ROW()-1,설정!$L$33)),INDEX(원자료_시장!$A$1:$BZ$1000,설정!$L$6+ROW()-1,설정!$L$33),""),"")</f>
        <v/>
      </c>
      <c r="L555" s="83" t="n">
        <f aca="false">IFERROR(IF(INDEX(원자료_시장!$A$1:$BZ$1000,설정!$L$6+ROW()-1,설정!$L$34)&amp;""="0","",INDEX(원자료_시장!$A$1:$BZ$1000,설정!$L$6+ROW()-1,설정!$L$34)),"")</f>
        <v>0</v>
      </c>
      <c r="M555" s="83" t="n">
        <f aca="false">IFERROR(IF(INDEX(원자료_시장!$A$1:$BZ$1000,설정!$L$6+ROW()-1,설정!$L$35)&amp;""="0","",INDEX(원자료_시장!$A$1:$BZ$1000,설정!$L$6+ROW()-1,설정!$L$35)),"")</f>
        <v>0</v>
      </c>
      <c r="N555" s="83" t="n">
        <f aca="false">IFERROR(IF(INDEX(원자료_시장!$A$1:$BZ$1000,설정!$L$6+ROW()-1,설정!$L$36)&amp;""="0","",INDEX(원자료_시장!$A$1:$BZ$1000,설정!$L$6+ROW()-1,설정!$L$36)),"")</f>
        <v>0</v>
      </c>
      <c r="O555" s="43" t="str">
        <f aca="false">IF($A555="","",UPPER(LEFT($A555,FIND(" ",$A555&amp;" ")-1)))</f>
        <v/>
      </c>
      <c r="P555" s="43" t="str">
        <f aca="false">IF($A555="","",TRIM(RIGHT(SUBSTITUTE(TRIM($A555)," ",REPT(" ",30)),30)))</f>
        <v/>
      </c>
      <c r="Q555" s="98" t="str">
        <f aca="false">IF($A555="","",IFERROR(DATE(IF(LEN(P555)=8,2000+VALUE(RIGHT(P555,2)),VALUE(RIGHT(P555,4))),VALUE(LEFT(P555,2)),VALUE(MID(P555,4,2))),""))</f>
        <v/>
      </c>
      <c r="R555" s="89" t="n">
        <f aca="false">IF($A555="",0,IF(ISNUMBER(SEARCH("Float",$A555)),1,0))</f>
        <v>0</v>
      </c>
      <c r="S555" s="43" t="str">
        <f aca="false">IF($A555="","",TRIM(MID($A555,LEN(O555)+2,LEN($A555)-LEN(O555)-LEN(P555)-1)))</f>
        <v/>
      </c>
      <c r="T555" s="92" t="str">
        <f aca="false">IF(OR($A555="",R555=1),"",IFERROR(IF(ISNUMBER(FIND("/",S555)),IF(ISNUMBER(FIND(" ",S555)),VALUE(LEFT(S555,FIND(" ",S555)-1))+VALUE(MID(S555,FIND(" ",S555)+1,FIND("/",S555)-FIND(" ",S555)-1))/VALUE(MID(S555,FIND("/",S555)+1,9)),VALUE(LEFT(S555,FIND("/",S555)-1))/VALUE(MID(S555,FIND("/",S555)+1,9))),VALUE(S555)),""))</f>
        <v/>
      </c>
      <c r="U555" s="43" t="str">
        <f aca="false">IF(OR($A555="",NOT(ISNUMBER(Q555))),"",TEXT(Q555,"yyyymmdd")&amp;"|"&amp;IF(R555=1,"F",TEXT(T555,"0.000")))</f>
        <v/>
      </c>
      <c r="V555" s="43" t="str">
        <f aca="false">IF(U555="","",O555&amp;"|"&amp;U555)</f>
        <v/>
      </c>
      <c r="W555" s="43" t="str">
        <f aca="false">IF($A555="","",IFERROR(IF(VLOOKUP(O555,매핑!$A$4:$E$92,3,0)="","미분류",VLOOKUP(O555,매핑!$A$4:$E$92,3,0)),"미분류"))</f>
        <v/>
      </c>
      <c r="X555" s="89" t="n">
        <f aca="false">IF($A555="",0,IF(O555="T",1,0))</f>
        <v>0</v>
      </c>
      <c r="Y555" s="89" t="n">
        <f aca="false">IF($A555="",0,IF(AND(C555="USD",X555=0,ISNUMBER(E555),ISNUMBER(K555)),IF(K555&gt;=설정!$C$8,1,0),0))</f>
        <v>0</v>
      </c>
      <c r="Z555" s="43" t="str">
        <f aca="false">IF($A555="","",N555&amp;"|"&amp;L555)</f>
        <v/>
      </c>
      <c r="AA555" s="92" t="n">
        <f aca="false">IF(Y555=1,LN(K555),0)</f>
        <v>0</v>
      </c>
      <c r="AB555" s="93" t="n">
        <f aca="false">IF(Y555=1,E555,0)</f>
        <v>0</v>
      </c>
      <c r="AC555" s="89" t="n">
        <f aca="false">IF(Y555=1,COUNTIFS($Z$2:$Z$601,Z555,$Y$2:$Y$601,1),0)</f>
        <v>0</v>
      </c>
      <c r="AD555" s="89" t="n">
        <f aca="false">IF(Y555=1,COUNTIFS($N$2:$N$601,N555,$Y$2:$Y$601,1),0)</f>
        <v>0</v>
      </c>
      <c r="AE555" s="43" t="str">
        <f aca="false">IF(Y555&lt;&gt;1,"",IF(AND(AC555&gt;=설정!$C$7,ISNUMBER(MATCH(Z555,피어커브!$A:$A,0))),Z555,IF(AND(AD555&gt;=설정!$C$7,ISNUMBER(MATCH(N555&amp;"|전체",피어커브!$A:$A,0))),N555&amp;"|전체","전체|전체")))</f>
        <v/>
      </c>
      <c r="AF555" s="93" t="str">
        <f aca="false">IF(AE555="","",INDEX(피어커브!$K:$K,MATCH(AE555,피어커브!$A:$A,0)))</f>
        <v/>
      </c>
      <c r="AG555" s="93" t="str">
        <f aca="false">IF(AE555="","",INDEX(피어커브!$J:$J,MATCH(AE555,피어커브!$A:$A,0)))</f>
        <v/>
      </c>
      <c r="AH555" s="93" t="str">
        <f aca="false">IF(AE555="","",INDEX(피어커브!$L:$L,MATCH(AE555,피어커브!$A:$A,0)))</f>
        <v/>
      </c>
      <c r="AI555" s="93" t="str">
        <f aca="false">IF(AE555="","",AF555+AG555*AA555)</f>
        <v/>
      </c>
      <c r="AJ555" s="96" t="str">
        <f aca="false">IF(AE555="","",E555-AI555)</f>
        <v/>
      </c>
      <c r="AK555" s="95" t="str">
        <f aca="false">IF(AE555="","",IF(ISNUMBER(AH555),IF(AH555&gt;0,AJ555/AH555,""),""))</f>
        <v/>
      </c>
      <c r="AL555" s="43" t="str">
        <f aca="false">IF(AK555="","-",IF(AK555&gt;=설정!$C$6,"Cheap",IF(AK555&lt;=-설정!$C$6,"Rich","Fair")))</f>
        <v>-</v>
      </c>
      <c r="AM555" s="96" t="str">
        <f aca="false">IF(AE555="","",AJ555-AVERAGEIFS($AJ$2:$AJ$601,$B$2:$B$601,B555,$Y$2:$Y$601,1))</f>
        <v/>
      </c>
      <c r="AN555" s="93" t="n">
        <f aca="false">IF(AE555="",0,IF(K555&gt;1+설정!$C$8,AG555*(AA555-LN(K555-1)),0))</f>
        <v>0</v>
      </c>
      <c r="AO555" s="99" t="n">
        <f aca="false">IF($A555="",0,SUMIFS(보유분석!$AA$2:$AA$801,보유분석!$AB$2:$AB$801,ROW(),보유분석!$AC$2:$AC$801,1))</f>
        <v>0</v>
      </c>
      <c r="AP555" s="43" t="str">
        <f aca="false">IF($A555="","",TRIM(IF(R555=1,"FRN ","")&amp;IF(IFERROR(VLOOKUP(M555,설정!$A$15:$D$47,4,0),0)&gt;=10,IF(IFERROR(VLOOKUP(M555,설정!$A$15:$D$47,4,0),0)&lt;99,"BBB0미만 ",""),"")&amp;IF(OR(M555="",M555="NR"),"등급미입력 ","")&amp;IF(C555&lt;&gt;"USD","비USD ","")))</f>
        <v/>
      </c>
      <c r="AQ555" s="90" t="n">
        <f aca="false">IF(AND(Y555=1,AL555="Cheap"),IF(AND(ISERROR(SEARCH("FRN",AP555)),ISERROR(SEARCH("BBB0미만",AP555))),AK555+ROW()/1000000000,-999),-999)</f>
        <v>-999</v>
      </c>
      <c r="AR555" s="92" t="str">
        <f aca="false">IF(AND(ISNUMBER(D555),ISNUMBER(K555)),D555+AN555*MAX(K555-1,0)/100,"")</f>
        <v/>
      </c>
      <c r="AS555" s="93" t="str">
        <f aca="false">IF(AND(ISNUMBER(E555),ISNUMBER(K555)),IF(K555&gt;0,(E555+AN555*MAX(K555-1,0))/K555,""),"")</f>
        <v/>
      </c>
      <c r="AT555" s="90" t="n">
        <f aca="false">IFERROR(IF(AND(Y555=1,ROW()&lt;&gt;스왑분석!$C$12+1,ABS(K555-INDEX($K$2:$K$601,스왑분석!$C$12))&lt;=스왑분석!$C$5,ISERROR(SEARCH("FRN",AP555)),ISERROR(SEARCH("BBB0미만",AP555))),IF(AND(OR(스왑분석!$C$6="N",L555=INDEX($L$2:$L$601,스왑분석!$C$12)),OR(스왑분석!$C$7="N",N555=INDEX($N$2:$N$601,스왑분석!$C$12)),OR(스왑분석!$C$8="N",AO555=0),E555-INDEX($E$2:$E$601,스왑분석!$C$12)&gt;=스왑분석!$C$9),E555-INDEX($E$2:$E$601,스왑분석!$C$12)+ROW()/1000000000,-999),-999),-999)</f>
        <v>-999</v>
      </c>
      <c r="AU555" s="90" t="n">
        <f aca="false">IF(AND(Y555=1,AO555&gt;0,AL555="Rich"),-AK555+ROW()/1000000000,-999)</f>
        <v>-999</v>
      </c>
    </row>
    <row r="556" customFormat="false" ht="15" hidden="false" customHeight="false" outlineLevel="0" collapsed="false">
      <c r="A556" s="83" t="n">
        <f aca="false">IFERROR(IF(INDEX(원자료_시장!$A$1:$BZ$1000,설정!$L$6+ROW()-1,설정!$L$24)&amp;""="0","",INDEX(원자료_시장!$A$1:$BZ$1000,설정!$L$6+ROW()-1,설정!$L$24)),"")</f>
        <v>0</v>
      </c>
      <c r="B556" s="83" t="n">
        <f aca="false">IFERROR(IF(INDEX(원자료_시장!$A$1:$BZ$1000,설정!$L$6+ROW()-1,설정!$L$37)&amp;""="0","",INDEX(원자료_시장!$A$1:$BZ$1000,설정!$L$6+ROW()-1,설정!$L$37)),"")</f>
        <v>0</v>
      </c>
      <c r="C556" s="83" t="n">
        <f aca="false">IFERROR(IF(INDEX(원자료_시장!$A$1:$BZ$1000,설정!$L$6+ROW()-1,설정!$L$25)&amp;""="0","",INDEX(원자료_시장!$A$1:$BZ$1000,설정!$L$6+ROW()-1,설정!$L$25)),"")</f>
        <v>0</v>
      </c>
      <c r="D556" s="85" t="str">
        <f aca="false">IFERROR(IF(ISNUMBER(INDEX(원자료_시장!$A$1:$BZ$1000,설정!$L$6+ROW()-1,설정!$L$26)),INDEX(원자료_시장!$A$1:$BZ$1000,설정!$L$6+ROW()-1,설정!$L$26),""),"")</f>
        <v/>
      </c>
      <c r="E556" s="97" t="str">
        <f aca="false">IFERROR(IF(ISNUMBER(INDEX(원자료_시장!$A$1:$BZ$1000,설정!$L$6+ROW()-1,설정!$L$27)),INDEX(원자료_시장!$A$1:$BZ$1000,설정!$L$6+ROW()-1,설정!$L$27),""),"")</f>
        <v/>
      </c>
      <c r="F556" s="97" t="str">
        <f aca="false">IFERROR(IF(ISNUMBER(INDEX(원자료_시장!$A$1:$BZ$1000,설정!$L$6+ROW()-1,설정!$L$28)),INDEX(원자료_시장!$A$1:$BZ$1000,설정!$L$6+ROW()-1,설정!$L$28),""),"")</f>
        <v/>
      </c>
      <c r="G556" s="97" t="str">
        <f aca="false">IFERROR(IF(ISNUMBER(INDEX(원자료_시장!$A$1:$BZ$1000,설정!$L$6+ROW()-1,설정!$L$29)),INDEX(원자료_시장!$A$1:$BZ$1000,설정!$L$6+ROW()-1,설정!$L$29),""),"")</f>
        <v/>
      </c>
      <c r="H556" s="97" t="str">
        <f aca="false">IFERROR(IF(ISNUMBER(INDEX(원자료_시장!$A$1:$BZ$1000,설정!$L$6+ROW()-1,설정!$L$30)),INDEX(원자료_시장!$A$1:$BZ$1000,설정!$L$6+ROW()-1,설정!$L$30),""),"")</f>
        <v/>
      </c>
      <c r="I556" s="97" t="str">
        <f aca="false">IFERROR(IF(ISNUMBER(INDEX(원자료_시장!$A$1:$BZ$1000,설정!$L$6+ROW()-1,설정!$L$31)),INDEX(원자료_시장!$A$1:$BZ$1000,설정!$L$6+ROW()-1,설정!$L$31),""),"")</f>
        <v/>
      </c>
      <c r="J556" s="97" t="str">
        <f aca="false">IFERROR(IF(ISNUMBER(INDEX(원자료_시장!$A$1:$BZ$1000,설정!$L$6+ROW()-1,설정!$L$32)),INDEX(원자료_시장!$A$1:$BZ$1000,설정!$L$6+ROW()-1,설정!$L$32),""),"")</f>
        <v/>
      </c>
      <c r="K556" s="85" t="str">
        <f aca="false">IFERROR(IF(ISNUMBER(INDEX(원자료_시장!$A$1:$BZ$1000,설정!$L$6+ROW()-1,설정!$L$33)),INDEX(원자료_시장!$A$1:$BZ$1000,설정!$L$6+ROW()-1,설정!$L$33),""),"")</f>
        <v/>
      </c>
      <c r="L556" s="83" t="n">
        <f aca="false">IFERROR(IF(INDEX(원자료_시장!$A$1:$BZ$1000,설정!$L$6+ROW()-1,설정!$L$34)&amp;""="0","",INDEX(원자료_시장!$A$1:$BZ$1000,설정!$L$6+ROW()-1,설정!$L$34)),"")</f>
        <v>0</v>
      </c>
      <c r="M556" s="83" t="n">
        <f aca="false">IFERROR(IF(INDEX(원자료_시장!$A$1:$BZ$1000,설정!$L$6+ROW()-1,설정!$L$35)&amp;""="0","",INDEX(원자료_시장!$A$1:$BZ$1000,설정!$L$6+ROW()-1,설정!$L$35)),"")</f>
        <v>0</v>
      </c>
      <c r="N556" s="83" t="n">
        <f aca="false">IFERROR(IF(INDEX(원자료_시장!$A$1:$BZ$1000,설정!$L$6+ROW()-1,설정!$L$36)&amp;""="0","",INDEX(원자료_시장!$A$1:$BZ$1000,설정!$L$6+ROW()-1,설정!$L$36)),"")</f>
        <v>0</v>
      </c>
      <c r="O556" s="43" t="str">
        <f aca="false">IF($A556="","",UPPER(LEFT($A556,FIND(" ",$A556&amp;" ")-1)))</f>
        <v/>
      </c>
      <c r="P556" s="43" t="str">
        <f aca="false">IF($A556="","",TRIM(RIGHT(SUBSTITUTE(TRIM($A556)," ",REPT(" ",30)),30)))</f>
        <v/>
      </c>
      <c r="Q556" s="98" t="str">
        <f aca="false">IF($A556="","",IFERROR(DATE(IF(LEN(P556)=8,2000+VALUE(RIGHT(P556,2)),VALUE(RIGHT(P556,4))),VALUE(LEFT(P556,2)),VALUE(MID(P556,4,2))),""))</f>
        <v/>
      </c>
      <c r="R556" s="89" t="n">
        <f aca="false">IF($A556="",0,IF(ISNUMBER(SEARCH("Float",$A556)),1,0))</f>
        <v>0</v>
      </c>
      <c r="S556" s="43" t="str">
        <f aca="false">IF($A556="","",TRIM(MID($A556,LEN(O556)+2,LEN($A556)-LEN(O556)-LEN(P556)-1)))</f>
        <v/>
      </c>
      <c r="T556" s="92" t="str">
        <f aca="false">IF(OR($A556="",R556=1),"",IFERROR(IF(ISNUMBER(FIND("/",S556)),IF(ISNUMBER(FIND(" ",S556)),VALUE(LEFT(S556,FIND(" ",S556)-1))+VALUE(MID(S556,FIND(" ",S556)+1,FIND("/",S556)-FIND(" ",S556)-1))/VALUE(MID(S556,FIND("/",S556)+1,9)),VALUE(LEFT(S556,FIND("/",S556)-1))/VALUE(MID(S556,FIND("/",S556)+1,9))),VALUE(S556)),""))</f>
        <v/>
      </c>
      <c r="U556" s="43" t="str">
        <f aca="false">IF(OR($A556="",NOT(ISNUMBER(Q556))),"",TEXT(Q556,"yyyymmdd")&amp;"|"&amp;IF(R556=1,"F",TEXT(T556,"0.000")))</f>
        <v/>
      </c>
      <c r="V556" s="43" t="str">
        <f aca="false">IF(U556="","",O556&amp;"|"&amp;U556)</f>
        <v/>
      </c>
      <c r="W556" s="43" t="str">
        <f aca="false">IF($A556="","",IFERROR(IF(VLOOKUP(O556,매핑!$A$4:$E$92,3,0)="","미분류",VLOOKUP(O556,매핑!$A$4:$E$92,3,0)),"미분류"))</f>
        <v/>
      </c>
      <c r="X556" s="89" t="n">
        <f aca="false">IF($A556="",0,IF(O556="T",1,0))</f>
        <v>0</v>
      </c>
      <c r="Y556" s="89" t="n">
        <f aca="false">IF($A556="",0,IF(AND(C556="USD",X556=0,ISNUMBER(E556),ISNUMBER(K556)),IF(K556&gt;=설정!$C$8,1,0),0))</f>
        <v>0</v>
      </c>
      <c r="Z556" s="43" t="str">
        <f aca="false">IF($A556="","",N556&amp;"|"&amp;L556)</f>
        <v/>
      </c>
      <c r="AA556" s="92" t="n">
        <f aca="false">IF(Y556=1,LN(K556),0)</f>
        <v>0</v>
      </c>
      <c r="AB556" s="93" t="n">
        <f aca="false">IF(Y556=1,E556,0)</f>
        <v>0</v>
      </c>
      <c r="AC556" s="89" t="n">
        <f aca="false">IF(Y556=1,COUNTIFS($Z$2:$Z$601,Z556,$Y$2:$Y$601,1),0)</f>
        <v>0</v>
      </c>
      <c r="AD556" s="89" t="n">
        <f aca="false">IF(Y556=1,COUNTIFS($N$2:$N$601,N556,$Y$2:$Y$601,1),0)</f>
        <v>0</v>
      </c>
      <c r="AE556" s="43" t="str">
        <f aca="false">IF(Y556&lt;&gt;1,"",IF(AND(AC556&gt;=설정!$C$7,ISNUMBER(MATCH(Z556,피어커브!$A:$A,0))),Z556,IF(AND(AD556&gt;=설정!$C$7,ISNUMBER(MATCH(N556&amp;"|전체",피어커브!$A:$A,0))),N556&amp;"|전체","전체|전체")))</f>
        <v/>
      </c>
      <c r="AF556" s="93" t="str">
        <f aca="false">IF(AE556="","",INDEX(피어커브!$K:$K,MATCH(AE556,피어커브!$A:$A,0)))</f>
        <v/>
      </c>
      <c r="AG556" s="93" t="str">
        <f aca="false">IF(AE556="","",INDEX(피어커브!$J:$J,MATCH(AE556,피어커브!$A:$A,0)))</f>
        <v/>
      </c>
      <c r="AH556" s="93" t="str">
        <f aca="false">IF(AE556="","",INDEX(피어커브!$L:$L,MATCH(AE556,피어커브!$A:$A,0)))</f>
        <v/>
      </c>
      <c r="AI556" s="93" t="str">
        <f aca="false">IF(AE556="","",AF556+AG556*AA556)</f>
        <v/>
      </c>
      <c r="AJ556" s="96" t="str">
        <f aca="false">IF(AE556="","",E556-AI556)</f>
        <v/>
      </c>
      <c r="AK556" s="95" t="str">
        <f aca="false">IF(AE556="","",IF(ISNUMBER(AH556),IF(AH556&gt;0,AJ556/AH556,""),""))</f>
        <v/>
      </c>
      <c r="AL556" s="43" t="str">
        <f aca="false">IF(AK556="","-",IF(AK556&gt;=설정!$C$6,"Cheap",IF(AK556&lt;=-설정!$C$6,"Rich","Fair")))</f>
        <v>-</v>
      </c>
      <c r="AM556" s="96" t="str">
        <f aca="false">IF(AE556="","",AJ556-AVERAGEIFS($AJ$2:$AJ$601,$B$2:$B$601,B556,$Y$2:$Y$601,1))</f>
        <v/>
      </c>
      <c r="AN556" s="93" t="n">
        <f aca="false">IF(AE556="",0,IF(K556&gt;1+설정!$C$8,AG556*(AA556-LN(K556-1)),0))</f>
        <v>0</v>
      </c>
      <c r="AO556" s="99" t="n">
        <f aca="false">IF($A556="",0,SUMIFS(보유분석!$AA$2:$AA$801,보유분석!$AB$2:$AB$801,ROW(),보유분석!$AC$2:$AC$801,1))</f>
        <v>0</v>
      </c>
      <c r="AP556" s="43" t="str">
        <f aca="false">IF($A556="","",TRIM(IF(R556=1,"FRN ","")&amp;IF(IFERROR(VLOOKUP(M556,설정!$A$15:$D$47,4,0),0)&gt;=10,IF(IFERROR(VLOOKUP(M556,설정!$A$15:$D$47,4,0),0)&lt;99,"BBB0미만 ",""),"")&amp;IF(OR(M556="",M556="NR"),"등급미입력 ","")&amp;IF(C556&lt;&gt;"USD","비USD ","")))</f>
        <v/>
      </c>
      <c r="AQ556" s="90" t="n">
        <f aca="false">IF(AND(Y556=1,AL556="Cheap"),IF(AND(ISERROR(SEARCH("FRN",AP556)),ISERROR(SEARCH("BBB0미만",AP556))),AK556+ROW()/1000000000,-999),-999)</f>
        <v>-999</v>
      </c>
      <c r="AR556" s="92" t="str">
        <f aca="false">IF(AND(ISNUMBER(D556),ISNUMBER(K556)),D556+AN556*MAX(K556-1,0)/100,"")</f>
        <v/>
      </c>
      <c r="AS556" s="93" t="str">
        <f aca="false">IF(AND(ISNUMBER(E556),ISNUMBER(K556)),IF(K556&gt;0,(E556+AN556*MAX(K556-1,0))/K556,""),"")</f>
        <v/>
      </c>
      <c r="AT556" s="90" t="n">
        <f aca="false">IFERROR(IF(AND(Y556=1,ROW()&lt;&gt;스왑분석!$C$12+1,ABS(K556-INDEX($K$2:$K$601,스왑분석!$C$12))&lt;=스왑분석!$C$5,ISERROR(SEARCH("FRN",AP556)),ISERROR(SEARCH("BBB0미만",AP556))),IF(AND(OR(스왑분석!$C$6="N",L556=INDEX($L$2:$L$601,스왑분석!$C$12)),OR(스왑분석!$C$7="N",N556=INDEX($N$2:$N$601,스왑분석!$C$12)),OR(스왑분석!$C$8="N",AO556=0),E556-INDEX($E$2:$E$601,스왑분석!$C$12)&gt;=스왑분석!$C$9),E556-INDEX($E$2:$E$601,스왑분석!$C$12)+ROW()/1000000000,-999),-999),-999)</f>
        <v>-999</v>
      </c>
      <c r="AU556" s="90" t="n">
        <f aca="false">IF(AND(Y556=1,AO556&gt;0,AL556="Rich"),-AK556+ROW()/1000000000,-999)</f>
        <v>-999</v>
      </c>
    </row>
    <row r="557" customFormat="false" ht="15" hidden="false" customHeight="false" outlineLevel="0" collapsed="false">
      <c r="A557" s="83" t="n">
        <f aca="false">IFERROR(IF(INDEX(원자료_시장!$A$1:$BZ$1000,설정!$L$6+ROW()-1,설정!$L$24)&amp;""="0","",INDEX(원자료_시장!$A$1:$BZ$1000,설정!$L$6+ROW()-1,설정!$L$24)),"")</f>
        <v>0</v>
      </c>
      <c r="B557" s="83" t="n">
        <f aca="false">IFERROR(IF(INDEX(원자료_시장!$A$1:$BZ$1000,설정!$L$6+ROW()-1,설정!$L$37)&amp;""="0","",INDEX(원자료_시장!$A$1:$BZ$1000,설정!$L$6+ROW()-1,설정!$L$37)),"")</f>
        <v>0</v>
      </c>
      <c r="C557" s="83" t="n">
        <f aca="false">IFERROR(IF(INDEX(원자료_시장!$A$1:$BZ$1000,설정!$L$6+ROW()-1,설정!$L$25)&amp;""="0","",INDEX(원자료_시장!$A$1:$BZ$1000,설정!$L$6+ROW()-1,설정!$L$25)),"")</f>
        <v>0</v>
      </c>
      <c r="D557" s="85" t="str">
        <f aca="false">IFERROR(IF(ISNUMBER(INDEX(원자료_시장!$A$1:$BZ$1000,설정!$L$6+ROW()-1,설정!$L$26)),INDEX(원자료_시장!$A$1:$BZ$1000,설정!$L$6+ROW()-1,설정!$L$26),""),"")</f>
        <v/>
      </c>
      <c r="E557" s="97" t="str">
        <f aca="false">IFERROR(IF(ISNUMBER(INDEX(원자료_시장!$A$1:$BZ$1000,설정!$L$6+ROW()-1,설정!$L$27)),INDEX(원자료_시장!$A$1:$BZ$1000,설정!$L$6+ROW()-1,설정!$L$27),""),"")</f>
        <v/>
      </c>
      <c r="F557" s="97" t="str">
        <f aca="false">IFERROR(IF(ISNUMBER(INDEX(원자료_시장!$A$1:$BZ$1000,설정!$L$6+ROW()-1,설정!$L$28)),INDEX(원자료_시장!$A$1:$BZ$1000,설정!$L$6+ROW()-1,설정!$L$28),""),"")</f>
        <v/>
      </c>
      <c r="G557" s="97" t="str">
        <f aca="false">IFERROR(IF(ISNUMBER(INDEX(원자료_시장!$A$1:$BZ$1000,설정!$L$6+ROW()-1,설정!$L$29)),INDEX(원자료_시장!$A$1:$BZ$1000,설정!$L$6+ROW()-1,설정!$L$29),""),"")</f>
        <v/>
      </c>
      <c r="H557" s="97" t="str">
        <f aca="false">IFERROR(IF(ISNUMBER(INDEX(원자료_시장!$A$1:$BZ$1000,설정!$L$6+ROW()-1,설정!$L$30)),INDEX(원자료_시장!$A$1:$BZ$1000,설정!$L$6+ROW()-1,설정!$L$30),""),"")</f>
        <v/>
      </c>
      <c r="I557" s="97" t="str">
        <f aca="false">IFERROR(IF(ISNUMBER(INDEX(원자료_시장!$A$1:$BZ$1000,설정!$L$6+ROW()-1,설정!$L$31)),INDEX(원자료_시장!$A$1:$BZ$1000,설정!$L$6+ROW()-1,설정!$L$31),""),"")</f>
        <v/>
      </c>
      <c r="J557" s="97" t="str">
        <f aca="false">IFERROR(IF(ISNUMBER(INDEX(원자료_시장!$A$1:$BZ$1000,설정!$L$6+ROW()-1,설정!$L$32)),INDEX(원자료_시장!$A$1:$BZ$1000,설정!$L$6+ROW()-1,설정!$L$32),""),"")</f>
        <v/>
      </c>
      <c r="K557" s="85" t="str">
        <f aca="false">IFERROR(IF(ISNUMBER(INDEX(원자료_시장!$A$1:$BZ$1000,설정!$L$6+ROW()-1,설정!$L$33)),INDEX(원자료_시장!$A$1:$BZ$1000,설정!$L$6+ROW()-1,설정!$L$33),""),"")</f>
        <v/>
      </c>
      <c r="L557" s="83" t="n">
        <f aca="false">IFERROR(IF(INDEX(원자료_시장!$A$1:$BZ$1000,설정!$L$6+ROW()-1,설정!$L$34)&amp;""="0","",INDEX(원자료_시장!$A$1:$BZ$1000,설정!$L$6+ROW()-1,설정!$L$34)),"")</f>
        <v>0</v>
      </c>
      <c r="M557" s="83" t="n">
        <f aca="false">IFERROR(IF(INDEX(원자료_시장!$A$1:$BZ$1000,설정!$L$6+ROW()-1,설정!$L$35)&amp;""="0","",INDEX(원자료_시장!$A$1:$BZ$1000,설정!$L$6+ROW()-1,설정!$L$35)),"")</f>
        <v>0</v>
      </c>
      <c r="N557" s="83" t="n">
        <f aca="false">IFERROR(IF(INDEX(원자료_시장!$A$1:$BZ$1000,설정!$L$6+ROW()-1,설정!$L$36)&amp;""="0","",INDEX(원자료_시장!$A$1:$BZ$1000,설정!$L$6+ROW()-1,설정!$L$36)),"")</f>
        <v>0</v>
      </c>
      <c r="O557" s="43" t="str">
        <f aca="false">IF($A557="","",UPPER(LEFT($A557,FIND(" ",$A557&amp;" ")-1)))</f>
        <v/>
      </c>
      <c r="P557" s="43" t="str">
        <f aca="false">IF($A557="","",TRIM(RIGHT(SUBSTITUTE(TRIM($A557)," ",REPT(" ",30)),30)))</f>
        <v/>
      </c>
      <c r="Q557" s="98" t="str">
        <f aca="false">IF($A557="","",IFERROR(DATE(IF(LEN(P557)=8,2000+VALUE(RIGHT(P557,2)),VALUE(RIGHT(P557,4))),VALUE(LEFT(P557,2)),VALUE(MID(P557,4,2))),""))</f>
        <v/>
      </c>
      <c r="R557" s="89" t="n">
        <f aca="false">IF($A557="",0,IF(ISNUMBER(SEARCH("Float",$A557)),1,0))</f>
        <v>0</v>
      </c>
      <c r="S557" s="43" t="str">
        <f aca="false">IF($A557="","",TRIM(MID($A557,LEN(O557)+2,LEN($A557)-LEN(O557)-LEN(P557)-1)))</f>
        <v/>
      </c>
      <c r="T557" s="92" t="str">
        <f aca="false">IF(OR($A557="",R557=1),"",IFERROR(IF(ISNUMBER(FIND("/",S557)),IF(ISNUMBER(FIND(" ",S557)),VALUE(LEFT(S557,FIND(" ",S557)-1))+VALUE(MID(S557,FIND(" ",S557)+1,FIND("/",S557)-FIND(" ",S557)-1))/VALUE(MID(S557,FIND("/",S557)+1,9)),VALUE(LEFT(S557,FIND("/",S557)-1))/VALUE(MID(S557,FIND("/",S557)+1,9))),VALUE(S557)),""))</f>
        <v/>
      </c>
      <c r="U557" s="43" t="str">
        <f aca="false">IF(OR($A557="",NOT(ISNUMBER(Q557))),"",TEXT(Q557,"yyyymmdd")&amp;"|"&amp;IF(R557=1,"F",TEXT(T557,"0.000")))</f>
        <v/>
      </c>
      <c r="V557" s="43" t="str">
        <f aca="false">IF(U557="","",O557&amp;"|"&amp;U557)</f>
        <v/>
      </c>
      <c r="W557" s="43" t="str">
        <f aca="false">IF($A557="","",IFERROR(IF(VLOOKUP(O557,매핑!$A$4:$E$92,3,0)="","미분류",VLOOKUP(O557,매핑!$A$4:$E$92,3,0)),"미분류"))</f>
        <v/>
      </c>
      <c r="X557" s="89" t="n">
        <f aca="false">IF($A557="",0,IF(O557="T",1,0))</f>
        <v>0</v>
      </c>
      <c r="Y557" s="89" t="n">
        <f aca="false">IF($A557="",0,IF(AND(C557="USD",X557=0,ISNUMBER(E557),ISNUMBER(K557)),IF(K557&gt;=설정!$C$8,1,0),0))</f>
        <v>0</v>
      </c>
      <c r="Z557" s="43" t="str">
        <f aca="false">IF($A557="","",N557&amp;"|"&amp;L557)</f>
        <v/>
      </c>
      <c r="AA557" s="92" t="n">
        <f aca="false">IF(Y557=1,LN(K557),0)</f>
        <v>0</v>
      </c>
      <c r="AB557" s="93" t="n">
        <f aca="false">IF(Y557=1,E557,0)</f>
        <v>0</v>
      </c>
      <c r="AC557" s="89" t="n">
        <f aca="false">IF(Y557=1,COUNTIFS($Z$2:$Z$601,Z557,$Y$2:$Y$601,1),0)</f>
        <v>0</v>
      </c>
      <c r="AD557" s="89" t="n">
        <f aca="false">IF(Y557=1,COUNTIFS($N$2:$N$601,N557,$Y$2:$Y$601,1),0)</f>
        <v>0</v>
      </c>
      <c r="AE557" s="43" t="str">
        <f aca="false">IF(Y557&lt;&gt;1,"",IF(AND(AC557&gt;=설정!$C$7,ISNUMBER(MATCH(Z557,피어커브!$A:$A,0))),Z557,IF(AND(AD557&gt;=설정!$C$7,ISNUMBER(MATCH(N557&amp;"|전체",피어커브!$A:$A,0))),N557&amp;"|전체","전체|전체")))</f>
        <v/>
      </c>
      <c r="AF557" s="93" t="str">
        <f aca="false">IF(AE557="","",INDEX(피어커브!$K:$K,MATCH(AE557,피어커브!$A:$A,0)))</f>
        <v/>
      </c>
      <c r="AG557" s="93" t="str">
        <f aca="false">IF(AE557="","",INDEX(피어커브!$J:$J,MATCH(AE557,피어커브!$A:$A,0)))</f>
        <v/>
      </c>
      <c r="AH557" s="93" t="str">
        <f aca="false">IF(AE557="","",INDEX(피어커브!$L:$L,MATCH(AE557,피어커브!$A:$A,0)))</f>
        <v/>
      </c>
      <c r="AI557" s="93" t="str">
        <f aca="false">IF(AE557="","",AF557+AG557*AA557)</f>
        <v/>
      </c>
      <c r="AJ557" s="96" t="str">
        <f aca="false">IF(AE557="","",E557-AI557)</f>
        <v/>
      </c>
      <c r="AK557" s="95" t="str">
        <f aca="false">IF(AE557="","",IF(ISNUMBER(AH557),IF(AH557&gt;0,AJ557/AH557,""),""))</f>
        <v/>
      </c>
      <c r="AL557" s="43" t="str">
        <f aca="false">IF(AK557="","-",IF(AK557&gt;=설정!$C$6,"Cheap",IF(AK557&lt;=-설정!$C$6,"Rich","Fair")))</f>
        <v>-</v>
      </c>
      <c r="AM557" s="96" t="str">
        <f aca="false">IF(AE557="","",AJ557-AVERAGEIFS($AJ$2:$AJ$601,$B$2:$B$601,B557,$Y$2:$Y$601,1))</f>
        <v/>
      </c>
      <c r="AN557" s="93" t="n">
        <f aca="false">IF(AE557="",0,IF(K557&gt;1+설정!$C$8,AG557*(AA557-LN(K557-1)),0))</f>
        <v>0</v>
      </c>
      <c r="AO557" s="99" t="n">
        <f aca="false">IF($A557="",0,SUMIFS(보유분석!$AA$2:$AA$801,보유분석!$AB$2:$AB$801,ROW(),보유분석!$AC$2:$AC$801,1))</f>
        <v>0</v>
      </c>
      <c r="AP557" s="43" t="str">
        <f aca="false">IF($A557="","",TRIM(IF(R557=1,"FRN ","")&amp;IF(IFERROR(VLOOKUP(M557,설정!$A$15:$D$47,4,0),0)&gt;=10,IF(IFERROR(VLOOKUP(M557,설정!$A$15:$D$47,4,0),0)&lt;99,"BBB0미만 ",""),"")&amp;IF(OR(M557="",M557="NR"),"등급미입력 ","")&amp;IF(C557&lt;&gt;"USD","비USD ","")))</f>
        <v/>
      </c>
      <c r="AQ557" s="90" t="n">
        <f aca="false">IF(AND(Y557=1,AL557="Cheap"),IF(AND(ISERROR(SEARCH("FRN",AP557)),ISERROR(SEARCH("BBB0미만",AP557))),AK557+ROW()/1000000000,-999),-999)</f>
        <v>-999</v>
      </c>
      <c r="AR557" s="92" t="str">
        <f aca="false">IF(AND(ISNUMBER(D557),ISNUMBER(K557)),D557+AN557*MAX(K557-1,0)/100,"")</f>
        <v/>
      </c>
      <c r="AS557" s="93" t="str">
        <f aca="false">IF(AND(ISNUMBER(E557),ISNUMBER(K557)),IF(K557&gt;0,(E557+AN557*MAX(K557-1,0))/K557,""),"")</f>
        <v/>
      </c>
      <c r="AT557" s="90" t="n">
        <f aca="false">IFERROR(IF(AND(Y557=1,ROW()&lt;&gt;스왑분석!$C$12+1,ABS(K557-INDEX($K$2:$K$601,스왑분석!$C$12))&lt;=스왑분석!$C$5,ISERROR(SEARCH("FRN",AP557)),ISERROR(SEARCH("BBB0미만",AP557))),IF(AND(OR(스왑분석!$C$6="N",L557=INDEX($L$2:$L$601,스왑분석!$C$12)),OR(스왑분석!$C$7="N",N557=INDEX($N$2:$N$601,스왑분석!$C$12)),OR(스왑분석!$C$8="N",AO557=0),E557-INDEX($E$2:$E$601,스왑분석!$C$12)&gt;=스왑분석!$C$9),E557-INDEX($E$2:$E$601,스왑분석!$C$12)+ROW()/1000000000,-999),-999),-999)</f>
        <v>-999</v>
      </c>
      <c r="AU557" s="90" t="n">
        <f aca="false">IF(AND(Y557=1,AO557&gt;0,AL557="Rich"),-AK557+ROW()/1000000000,-999)</f>
        <v>-999</v>
      </c>
    </row>
    <row r="558" customFormat="false" ht="15" hidden="false" customHeight="false" outlineLevel="0" collapsed="false">
      <c r="A558" s="83" t="n">
        <f aca="false">IFERROR(IF(INDEX(원자료_시장!$A$1:$BZ$1000,설정!$L$6+ROW()-1,설정!$L$24)&amp;""="0","",INDEX(원자료_시장!$A$1:$BZ$1000,설정!$L$6+ROW()-1,설정!$L$24)),"")</f>
        <v>0</v>
      </c>
      <c r="B558" s="83" t="n">
        <f aca="false">IFERROR(IF(INDEX(원자료_시장!$A$1:$BZ$1000,설정!$L$6+ROW()-1,설정!$L$37)&amp;""="0","",INDEX(원자료_시장!$A$1:$BZ$1000,설정!$L$6+ROW()-1,설정!$L$37)),"")</f>
        <v>0</v>
      </c>
      <c r="C558" s="83" t="n">
        <f aca="false">IFERROR(IF(INDEX(원자료_시장!$A$1:$BZ$1000,설정!$L$6+ROW()-1,설정!$L$25)&amp;""="0","",INDEX(원자료_시장!$A$1:$BZ$1000,설정!$L$6+ROW()-1,설정!$L$25)),"")</f>
        <v>0</v>
      </c>
      <c r="D558" s="85" t="str">
        <f aca="false">IFERROR(IF(ISNUMBER(INDEX(원자료_시장!$A$1:$BZ$1000,설정!$L$6+ROW()-1,설정!$L$26)),INDEX(원자료_시장!$A$1:$BZ$1000,설정!$L$6+ROW()-1,설정!$L$26),""),"")</f>
        <v/>
      </c>
      <c r="E558" s="97" t="str">
        <f aca="false">IFERROR(IF(ISNUMBER(INDEX(원자료_시장!$A$1:$BZ$1000,설정!$L$6+ROW()-1,설정!$L$27)),INDEX(원자료_시장!$A$1:$BZ$1000,설정!$L$6+ROW()-1,설정!$L$27),""),"")</f>
        <v/>
      </c>
      <c r="F558" s="97" t="str">
        <f aca="false">IFERROR(IF(ISNUMBER(INDEX(원자료_시장!$A$1:$BZ$1000,설정!$L$6+ROW()-1,설정!$L$28)),INDEX(원자료_시장!$A$1:$BZ$1000,설정!$L$6+ROW()-1,설정!$L$28),""),"")</f>
        <v/>
      </c>
      <c r="G558" s="97" t="str">
        <f aca="false">IFERROR(IF(ISNUMBER(INDEX(원자료_시장!$A$1:$BZ$1000,설정!$L$6+ROW()-1,설정!$L$29)),INDEX(원자료_시장!$A$1:$BZ$1000,설정!$L$6+ROW()-1,설정!$L$29),""),"")</f>
        <v/>
      </c>
      <c r="H558" s="97" t="str">
        <f aca="false">IFERROR(IF(ISNUMBER(INDEX(원자료_시장!$A$1:$BZ$1000,설정!$L$6+ROW()-1,설정!$L$30)),INDEX(원자료_시장!$A$1:$BZ$1000,설정!$L$6+ROW()-1,설정!$L$30),""),"")</f>
        <v/>
      </c>
      <c r="I558" s="97" t="str">
        <f aca="false">IFERROR(IF(ISNUMBER(INDEX(원자료_시장!$A$1:$BZ$1000,설정!$L$6+ROW()-1,설정!$L$31)),INDEX(원자료_시장!$A$1:$BZ$1000,설정!$L$6+ROW()-1,설정!$L$31),""),"")</f>
        <v/>
      </c>
      <c r="J558" s="97" t="str">
        <f aca="false">IFERROR(IF(ISNUMBER(INDEX(원자료_시장!$A$1:$BZ$1000,설정!$L$6+ROW()-1,설정!$L$32)),INDEX(원자료_시장!$A$1:$BZ$1000,설정!$L$6+ROW()-1,설정!$L$32),""),"")</f>
        <v/>
      </c>
      <c r="K558" s="85" t="str">
        <f aca="false">IFERROR(IF(ISNUMBER(INDEX(원자료_시장!$A$1:$BZ$1000,설정!$L$6+ROW()-1,설정!$L$33)),INDEX(원자료_시장!$A$1:$BZ$1000,설정!$L$6+ROW()-1,설정!$L$33),""),"")</f>
        <v/>
      </c>
      <c r="L558" s="83" t="n">
        <f aca="false">IFERROR(IF(INDEX(원자료_시장!$A$1:$BZ$1000,설정!$L$6+ROW()-1,설정!$L$34)&amp;""="0","",INDEX(원자료_시장!$A$1:$BZ$1000,설정!$L$6+ROW()-1,설정!$L$34)),"")</f>
        <v>0</v>
      </c>
      <c r="M558" s="83" t="n">
        <f aca="false">IFERROR(IF(INDEX(원자료_시장!$A$1:$BZ$1000,설정!$L$6+ROW()-1,설정!$L$35)&amp;""="0","",INDEX(원자료_시장!$A$1:$BZ$1000,설정!$L$6+ROW()-1,설정!$L$35)),"")</f>
        <v>0</v>
      </c>
      <c r="N558" s="83" t="n">
        <f aca="false">IFERROR(IF(INDEX(원자료_시장!$A$1:$BZ$1000,설정!$L$6+ROW()-1,설정!$L$36)&amp;""="0","",INDEX(원자료_시장!$A$1:$BZ$1000,설정!$L$6+ROW()-1,설정!$L$36)),"")</f>
        <v>0</v>
      </c>
      <c r="O558" s="43" t="str">
        <f aca="false">IF($A558="","",UPPER(LEFT($A558,FIND(" ",$A558&amp;" ")-1)))</f>
        <v/>
      </c>
      <c r="P558" s="43" t="str">
        <f aca="false">IF($A558="","",TRIM(RIGHT(SUBSTITUTE(TRIM($A558)," ",REPT(" ",30)),30)))</f>
        <v/>
      </c>
      <c r="Q558" s="98" t="str">
        <f aca="false">IF($A558="","",IFERROR(DATE(IF(LEN(P558)=8,2000+VALUE(RIGHT(P558,2)),VALUE(RIGHT(P558,4))),VALUE(LEFT(P558,2)),VALUE(MID(P558,4,2))),""))</f>
        <v/>
      </c>
      <c r="R558" s="89" t="n">
        <f aca="false">IF($A558="",0,IF(ISNUMBER(SEARCH("Float",$A558)),1,0))</f>
        <v>0</v>
      </c>
      <c r="S558" s="43" t="str">
        <f aca="false">IF($A558="","",TRIM(MID($A558,LEN(O558)+2,LEN($A558)-LEN(O558)-LEN(P558)-1)))</f>
        <v/>
      </c>
      <c r="T558" s="92" t="str">
        <f aca="false">IF(OR($A558="",R558=1),"",IFERROR(IF(ISNUMBER(FIND("/",S558)),IF(ISNUMBER(FIND(" ",S558)),VALUE(LEFT(S558,FIND(" ",S558)-1))+VALUE(MID(S558,FIND(" ",S558)+1,FIND("/",S558)-FIND(" ",S558)-1))/VALUE(MID(S558,FIND("/",S558)+1,9)),VALUE(LEFT(S558,FIND("/",S558)-1))/VALUE(MID(S558,FIND("/",S558)+1,9))),VALUE(S558)),""))</f>
        <v/>
      </c>
      <c r="U558" s="43" t="str">
        <f aca="false">IF(OR($A558="",NOT(ISNUMBER(Q558))),"",TEXT(Q558,"yyyymmdd")&amp;"|"&amp;IF(R558=1,"F",TEXT(T558,"0.000")))</f>
        <v/>
      </c>
      <c r="V558" s="43" t="str">
        <f aca="false">IF(U558="","",O558&amp;"|"&amp;U558)</f>
        <v/>
      </c>
      <c r="W558" s="43" t="str">
        <f aca="false">IF($A558="","",IFERROR(IF(VLOOKUP(O558,매핑!$A$4:$E$92,3,0)="","미분류",VLOOKUP(O558,매핑!$A$4:$E$92,3,0)),"미분류"))</f>
        <v/>
      </c>
      <c r="X558" s="89" t="n">
        <f aca="false">IF($A558="",0,IF(O558="T",1,0))</f>
        <v>0</v>
      </c>
      <c r="Y558" s="89" t="n">
        <f aca="false">IF($A558="",0,IF(AND(C558="USD",X558=0,ISNUMBER(E558),ISNUMBER(K558)),IF(K558&gt;=설정!$C$8,1,0),0))</f>
        <v>0</v>
      </c>
      <c r="Z558" s="43" t="str">
        <f aca="false">IF($A558="","",N558&amp;"|"&amp;L558)</f>
        <v/>
      </c>
      <c r="AA558" s="92" t="n">
        <f aca="false">IF(Y558=1,LN(K558),0)</f>
        <v>0</v>
      </c>
      <c r="AB558" s="93" t="n">
        <f aca="false">IF(Y558=1,E558,0)</f>
        <v>0</v>
      </c>
      <c r="AC558" s="89" t="n">
        <f aca="false">IF(Y558=1,COUNTIFS($Z$2:$Z$601,Z558,$Y$2:$Y$601,1),0)</f>
        <v>0</v>
      </c>
      <c r="AD558" s="89" t="n">
        <f aca="false">IF(Y558=1,COUNTIFS($N$2:$N$601,N558,$Y$2:$Y$601,1),0)</f>
        <v>0</v>
      </c>
      <c r="AE558" s="43" t="str">
        <f aca="false">IF(Y558&lt;&gt;1,"",IF(AND(AC558&gt;=설정!$C$7,ISNUMBER(MATCH(Z558,피어커브!$A:$A,0))),Z558,IF(AND(AD558&gt;=설정!$C$7,ISNUMBER(MATCH(N558&amp;"|전체",피어커브!$A:$A,0))),N558&amp;"|전체","전체|전체")))</f>
        <v/>
      </c>
      <c r="AF558" s="93" t="str">
        <f aca="false">IF(AE558="","",INDEX(피어커브!$K:$K,MATCH(AE558,피어커브!$A:$A,0)))</f>
        <v/>
      </c>
      <c r="AG558" s="93" t="str">
        <f aca="false">IF(AE558="","",INDEX(피어커브!$J:$J,MATCH(AE558,피어커브!$A:$A,0)))</f>
        <v/>
      </c>
      <c r="AH558" s="93" t="str">
        <f aca="false">IF(AE558="","",INDEX(피어커브!$L:$L,MATCH(AE558,피어커브!$A:$A,0)))</f>
        <v/>
      </c>
      <c r="AI558" s="93" t="str">
        <f aca="false">IF(AE558="","",AF558+AG558*AA558)</f>
        <v/>
      </c>
      <c r="AJ558" s="96" t="str">
        <f aca="false">IF(AE558="","",E558-AI558)</f>
        <v/>
      </c>
      <c r="AK558" s="95" t="str">
        <f aca="false">IF(AE558="","",IF(ISNUMBER(AH558),IF(AH558&gt;0,AJ558/AH558,""),""))</f>
        <v/>
      </c>
      <c r="AL558" s="43" t="str">
        <f aca="false">IF(AK558="","-",IF(AK558&gt;=설정!$C$6,"Cheap",IF(AK558&lt;=-설정!$C$6,"Rich","Fair")))</f>
        <v>-</v>
      </c>
      <c r="AM558" s="96" t="str">
        <f aca="false">IF(AE558="","",AJ558-AVERAGEIFS($AJ$2:$AJ$601,$B$2:$B$601,B558,$Y$2:$Y$601,1))</f>
        <v/>
      </c>
      <c r="AN558" s="93" t="n">
        <f aca="false">IF(AE558="",0,IF(K558&gt;1+설정!$C$8,AG558*(AA558-LN(K558-1)),0))</f>
        <v>0</v>
      </c>
      <c r="AO558" s="99" t="n">
        <f aca="false">IF($A558="",0,SUMIFS(보유분석!$AA$2:$AA$801,보유분석!$AB$2:$AB$801,ROW(),보유분석!$AC$2:$AC$801,1))</f>
        <v>0</v>
      </c>
      <c r="AP558" s="43" t="str">
        <f aca="false">IF($A558="","",TRIM(IF(R558=1,"FRN ","")&amp;IF(IFERROR(VLOOKUP(M558,설정!$A$15:$D$47,4,0),0)&gt;=10,IF(IFERROR(VLOOKUP(M558,설정!$A$15:$D$47,4,0),0)&lt;99,"BBB0미만 ",""),"")&amp;IF(OR(M558="",M558="NR"),"등급미입력 ","")&amp;IF(C558&lt;&gt;"USD","비USD ","")))</f>
        <v/>
      </c>
      <c r="AQ558" s="90" t="n">
        <f aca="false">IF(AND(Y558=1,AL558="Cheap"),IF(AND(ISERROR(SEARCH("FRN",AP558)),ISERROR(SEARCH("BBB0미만",AP558))),AK558+ROW()/1000000000,-999),-999)</f>
        <v>-999</v>
      </c>
      <c r="AR558" s="92" t="str">
        <f aca="false">IF(AND(ISNUMBER(D558),ISNUMBER(K558)),D558+AN558*MAX(K558-1,0)/100,"")</f>
        <v/>
      </c>
      <c r="AS558" s="93" t="str">
        <f aca="false">IF(AND(ISNUMBER(E558),ISNUMBER(K558)),IF(K558&gt;0,(E558+AN558*MAX(K558-1,0))/K558,""),"")</f>
        <v/>
      </c>
      <c r="AT558" s="90" t="n">
        <f aca="false">IFERROR(IF(AND(Y558=1,ROW()&lt;&gt;스왑분석!$C$12+1,ABS(K558-INDEX($K$2:$K$601,스왑분석!$C$12))&lt;=스왑분석!$C$5,ISERROR(SEARCH("FRN",AP558)),ISERROR(SEARCH("BBB0미만",AP558))),IF(AND(OR(스왑분석!$C$6="N",L558=INDEX($L$2:$L$601,스왑분석!$C$12)),OR(스왑분석!$C$7="N",N558=INDEX($N$2:$N$601,스왑분석!$C$12)),OR(스왑분석!$C$8="N",AO558=0),E558-INDEX($E$2:$E$601,스왑분석!$C$12)&gt;=스왑분석!$C$9),E558-INDEX($E$2:$E$601,스왑분석!$C$12)+ROW()/1000000000,-999),-999),-999)</f>
        <v>-999</v>
      </c>
      <c r="AU558" s="90" t="n">
        <f aca="false">IF(AND(Y558=1,AO558&gt;0,AL558="Rich"),-AK558+ROW()/1000000000,-999)</f>
        <v>-999</v>
      </c>
    </row>
    <row r="559" customFormat="false" ht="15" hidden="false" customHeight="false" outlineLevel="0" collapsed="false">
      <c r="A559" s="83" t="n">
        <f aca="false">IFERROR(IF(INDEX(원자료_시장!$A$1:$BZ$1000,설정!$L$6+ROW()-1,설정!$L$24)&amp;""="0","",INDEX(원자료_시장!$A$1:$BZ$1000,설정!$L$6+ROW()-1,설정!$L$24)),"")</f>
        <v>0</v>
      </c>
      <c r="B559" s="83" t="n">
        <f aca="false">IFERROR(IF(INDEX(원자료_시장!$A$1:$BZ$1000,설정!$L$6+ROW()-1,설정!$L$37)&amp;""="0","",INDEX(원자료_시장!$A$1:$BZ$1000,설정!$L$6+ROW()-1,설정!$L$37)),"")</f>
        <v>0</v>
      </c>
      <c r="C559" s="83" t="n">
        <f aca="false">IFERROR(IF(INDEX(원자료_시장!$A$1:$BZ$1000,설정!$L$6+ROW()-1,설정!$L$25)&amp;""="0","",INDEX(원자료_시장!$A$1:$BZ$1000,설정!$L$6+ROW()-1,설정!$L$25)),"")</f>
        <v>0</v>
      </c>
      <c r="D559" s="85" t="str">
        <f aca="false">IFERROR(IF(ISNUMBER(INDEX(원자료_시장!$A$1:$BZ$1000,설정!$L$6+ROW()-1,설정!$L$26)),INDEX(원자료_시장!$A$1:$BZ$1000,설정!$L$6+ROW()-1,설정!$L$26),""),"")</f>
        <v/>
      </c>
      <c r="E559" s="97" t="str">
        <f aca="false">IFERROR(IF(ISNUMBER(INDEX(원자료_시장!$A$1:$BZ$1000,설정!$L$6+ROW()-1,설정!$L$27)),INDEX(원자료_시장!$A$1:$BZ$1000,설정!$L$6+ROW()-1,설정!$L$27),""),"")</f>
        <v/>
      </c>
      <c r="F559" s="97" t="str">
        <f aca="false">IFERROR(IF(ISNUMBER(INDEX(원자료_시장!$A$1:$BZ$1000,설정!$L$6+ROW()-1,설정!$L$28)),INDEX(원자료_시장!$A$1:$BZ$1000,설정!$L$6+ROW()-1,설정!$L$28),""),"")</f>
        <v/>
      </c>
      <c r="G559" s="97" t="str">
        <f aca="false">IFERROR(IF(ISNUMBER(INDEX(원자료_시장!$A$1:$BZ$1000,설정!$L$6+ROW()-1,설정!$L$29)),INDEX(원자료_시장!$A$1:$BZ$1000,설정!$L$6+ROW()-1,설정!$L$29),""),"")</f>
        <v/>
      </c>
      <c r="H559" s="97" t="str">
        <f aca="false">IFERROR(IF(ISNUMBER(INDEX(원자료_시장!$A$1:$BZ$1000,설정!$L$6+ROW()-1,설정!$L$30)),INDEX(원자료_시장!$A$1:$BZ$1000,설정!$L$6+ROW()-1,설정!$L$30),""),"")</f>
        <v/>
      </c>
      <c r="I559" s="97" t="str">
        <f aca="false">IFERROR(IF(ISNUMBER(INDEX(원자료_시장!$A$1:$BZ$1000,설정!$L$6+ROW()-1,설정!$L$31)),INDEX(원자료_시장!$A$1:$BZ$1000,설정!$L$6+ROW()-1,설정!$L$31),""),"")</f>
        <v/>
      </c>
      <c r="J559" s="97" t="str">
        <f aca="false">IFERROR(IF(ISNUMBER(INDEX(원자료_시장!$A$1:$BZ$1000,설정!$L$6+ROW()-1,설정!$L$32)),INDEX(원자료_시장!$A$1:$BZ$1000,설정!$L$6+ROW()-1,설정!$L$32),""),"")</f>
        <v/>
      </c>
      <c r="K559" s="85" t="str">
        <f aca="false">IFERROR(IF(ISNUMBER(INDEX(원자료_시장!$A$1:$BZ$1000,설정!$L$6+ROW()-1,설정!$L$33)),INDEX(원자료_시장!$A$1:$BZ$1000,설정!$L$6+ROW()-1,설정!$L$33),""),"")</f>
        <v/>
      </c>
      <c r="L559" s="83" t="n">
        <f aca="false">IFERROR(IF(INDEX(원자료_시장!$A$1:$BZ$1000,설정!$L$6+ROW()-1,설정!$L$34)&amp;""="0","",INDEX(원자료_시장!$A$1:$BZ$1000,설정!$L$6+ROW()-1,설정!$L$34)),"")</f>
        <v>0</v>
      </c>
      <c r="M559" s="83" t="n">
        <f aca="false">IFERROR(IF(INDEX(원자료_시장!$A$1:$BZ$1000,설정!$L$6+ROW()-1,설정!$L$35)&amp;""="0","",INDEX(원자료_시장!$A$1:$BZ$1000,설정!$L$6+ROW()-1,설정!$L$35)),"")</f>
        <v>0</v>
      </c>
      <c r="N559" s="83" t="n">
        <f aca="false">IFERROR(IF(INDEX(원자료_시장!$A$1:$BZ$1000,설정!$L$6+ROW()-1,설정!$L$36)&amp;""="0","",INDEX(원자료_시장!$A$1:$BZ$1000,설정!$L$6+ROW()-1,설정!$L$36)),"")</f>
        <v>0</v>
      </c>
      <c r="O559" s="43" t="str">
        <f aca="false">IF($A559="","",UPPER(LEFT($A559,FIND(" ",$A559&amp;" ")-1)))</f>
        <v/>
      </c>
      <c r="P559" s="43" t="str">
        <f aca="false">IF($A559="","",TRIM(RIGHT(SUBSTITUTE(TRIM($A559)," ",REPT(" ",30)),30)))</f>
        <v/>
      </c>
      <c r="Q559" s="98" t="str">
        <f aca="false">IF($A559="","",IFERROR(DATE(IF(LEN(P559)=8,2000+VALUE(RIGHT(P559,2)),VALUE(RIGHT(P559,4))),VALUE(LEFT(P559,2)),VALUE(MID(P559,4,2))),""))</f>
        <v/>
      </c>
      <c r="R559" s="89" t="n">
        <f aca="false">IF($A559="",0,IF(ISNUMBER(SEARCH("Float",$A559)),1,0))</f>
        <v>0</v>
      </c>
      <c r="S559" s="43" t="str">
        <f aca="false">IF($A559="","",TRIM(MID($A559,LEN(O559)+2,LEN($A559)-LEN(O559)-LEN(P559)-1)))</f>
        <v/>
      </c>
      <c r="T559" s="92" t="str">
        <f aca="false">IF(OR($A559="",R559=1),"",IFERROR(IF(ISNUMBER(FIND("/",S559)),IF(ISNUMBER(FIND(" ",S559)),VALUE(LEFT(S559,FIND(" ",S559)-1))+VALUE(MID(S559,FIND(" ",S559)+1,FIND("/",S559)-FIND(" ",S559)-1))/VALUE(MID(S559,FIND("/",S559)+1,9)),VALUE(LEFT(S559,FIND("/",S559)-1))/VALUE(MID(S559,FIND("/",S559)+1,9))),VALUE(S559)),""))</f>
        <v/>
      </c>
      <c r="U559" s="43" t="str">
        <f aca="false">IF(OR($A559="",NOT(ISNUMBER(Q559))),"",TEXT(Q559,"yyyymmdd")&amp;"|"&amp;IF(R559=1,"F",TEXT(T559,"0.000")))</f>
        <v/>
      </c>
      <c r="V559" s="43" t="str">
        <f aca="false">IF(U559="","",O559&amp;"|"&amp;U559)</f>
        <v/>
      </c>
      <c r="W559" s="43" t="str">
        <f aca="false">IF($A559="","",IFERROR(IF(VLOOKUP(O559,매핑!$A$4:$E$92,3,0)="","미분류",VLOOKUP(O559,매핑!$A$4:$E$92,3,0)),"미분류"))</f>
        <v/>
      </c>
      <c r="X559" s="89" t="n">
        <f aca="false">IF($A559="",0,IF(O559="T",1,0))</f>
        <v>0</v>
      </c>
      <c r="Y559" s="89" t="n">
        <f aca="false">IF($A559="",0,IF(AND(C559="USD",X559=0,ISNUMBER(E559),ISNUMBER(K559)),IF(K559&gt;=설정!$C$8,1,0),0))</f>
        <v>0</v>
      </c>
      <c r="Z559" s="43" t="str">
        <f aca="false">IF($A559="","",N559&amp;"|"&amp;L559)</f>
        <v/>
      </c>
      <c r="AA559" s="92" t="n">
        <f aca="false">IF(Y559=1,LN(K559),0)</f>
        <v>0</v>
      </c>
      <c r="AB559" s="93" t="n">
        <f aca="false">IF(Y559=1,E559,0)</f>
        <v>0</v>
      </c>
      <c r="AC559" s="89" t="n">
        <f aca="false">IF(Y559=1,COUNTIFS($Z$2:$Z$601,Z559,$Y$2:$Y$601,1),0)</f>
        <v>0</v>
      </c>
      <c r="AD559" s="89" t="n">
        <f aca="false">IF(Y559=1,COUNTIFS($N$2:$N$601,N559,$Y$2:$Y$601,1),0)</f>
        <v>0</v>
      </c>
      <c r="AE559" s="43" t="str">
        <f aca="false">IF(Y559&lt;&gt;1,"",IF(AND(AC559&gt;=설정!$C$7,ISNUMBER(MATCH(Z559,피어커브!$A:$A,0))),Z559,IF(AND(AD559&gt;=설정!$C$7,ISNUMBER(MATCH(N559&amp;"|전체",피어커브!$A:$A,0))),N559&amp;"|전체","전체|전체")))</f>
        <v/>
      </c>
      <c r="AF559" s="93" t="str">
        <f aca="false">IF(AE559="","",INDEX(피어커브!$K:$K,MATCH(AE559,피어커브!$A:$A,0)))</f>
        <v/>
      </c>
      <c r="AG559" s="93" t="str">
        <f aca="false">IF(AE559="","",INDEX(피어커브!$J:$J,MATCH(AE559,피어커브!$A:$A,0)))</f>
        <v/>
      </c>
      <c r="AH559" s="93" t="str">
        <f aca="false">IF(AE559="","",INDEX(피어커브!$L:$L,MATCH(AE559,피어커브!$A:$A,0)))</f>
        <v/>
      </c>
      <c r="AI559" s="93" t="str">
        <f aca="false">IF(AE559="","",AF559+AG559*AA559)</f>
        <v/>
      </c>
      <c r="AJ559" s="96" t="str">
        <f aca="false">IF(AE559="","",E559-AI559)</f>
        <v/>
      </c>
      <c r="AK559" s="95" t="str">
        <f aca="false">IF(AE559="","",IF(ISNUMBER(AH559),IF(AH559&gt;0,AJ559/AH559,""),""))</f>
        <v/>
      </c>
      <c r="AL559" s="43" t="str">
        <f aca="false">IF(AK559="","-",IF(AK559&gt;=설정!$C$6,"Cheap",IF(AK559&lt;=-설정!$C$6,"Rich","Fair")))</f>
        <v>-</v>
      </c>
      <c r="AM559" s="96" t="str">
        <f aca="false">IF(AE559="","",AJ559-AVERAGEIFS($AJ$2:$AJ$601,$B$2:$B$601,B559,$Y$2:$Y$601,1))</f>
        <v/>
      </c>
      <c r="AN559" s="93" t="n">
        <f aca="false">IF(AE559="",0,IF(K559&gt;1+설정!$C$8,AG559*(AA559-LN(K559-1)),0))</f>
        <v>0</v>
      </c>
      <c r="AO559" s="99" t="n">
        <f aca="false">IF($A559="",0,SUMIFS(보유분석!$AA$2:$AA$801,보유분석!$AB$2:$AB$801,ROW(),보유분석!$AC$2:$AC$801,1))</f>
        <v>0</v>
      </c>
      <c r="AP559" s="43" t="str">
        <f aca="false">IF($A559="","",TRIM(IF(R559=1,"FRN ","")&amp;IF(IFERROR(VLOOKUP(M559,설정!$A$15:$D$47,4,0),0)&gt;=10,IF(IFERROR(VLOOKUP(M559,설정!$A$15:$D$47,4,0),0)&lt;99,"BBB0미만 ",""),"")&amp;IF(OR(M559="",M559="NR"),"등급미입력 ","")&amp;IF(C559&lt;&gt;"USD","비USD ","")))</f>
        <v/>
      </c>
      <c r="AQ559" s="90" t="n">
        <f aca="false">IF(AND(Y559=1,AL559="Cheap"),IF(AND(ISERROR(SEARCH("FRN",AP559)),ISERROR(SEARCH("BBB0미만",AP559))),AK559+ROW()/1000000000,-999),-999)</f>
        <v>-999</v>
      </c>
      <c r="AR559" s="92" t="str">
        <f aca="false">IF(AND(ISNUMBER(D559),ISNUMBER(K559)),D559+AN559*MAX(K559-1,0)/100,"")</f>
        <v/>
      </c>
      <c r="AS559" s="93" t="str">
        <f aca="false">IF(AND(ISNUMBER(E559),ISNUMBER(K559)),IF(K559&gt;0,(E559+AN559*MAX(K559-1,0))/K559,""),"")</f>
        <v/>
      </c>
      <c r="AT559" s="90" t="n">
        <f aca="false">IFERROR(IF(AND(Y559=1,ROW()&lt;&gt;스왑분석!$C$12+1,ABS(K559-INDEX($K$2:$K$601,스왑분석!$C$12))&lt;=스왑분석!$C$5,ISERROR(SEARCH("FRN",AP559)),ISERROR(SEARCH("BBB0미만",AP559))),IF(AND(OR(스왑분석!$C$6="N",L559=INDEX($L$2:$L$601,스왑분석!$C$12)),OR(스왑분석!$C$7="N",N559=INDEX($N$2:$N$601,스왑분석!$C$12)),OR(스왑분석!$C$8="N",AO559=0),E559-INDEX($E$2:$E$601,스왑분석!$C$12)&gt;=스왑분석!$C$9),E559-INDEX($E$2:$E$601,스왑분석!$C$12)+ROW()/1000000000,-999),-999),-999)</f>
        <v>-999</v>
      </c>
      <c r="AU559" s="90" t="n">
        <f aca="false">IF(AND(Y559=1,AO559&gt;0,AL559="Rich"),-AK559+ROW()/1000000000,-999)</f>
        <v>-999</v>
      </c>
    </row>
    <row r="560" customFormat="false" ht="15" hidden="false" customHeight="false" outlineLevel="0" collapsed="false">
      <c r="A560" s="83" t="n">
        <f aca="false">IFERROR(IF(INDEX(원자료_시장!$A$1:$BZ$1000,설정!$L$6+ROW()-1,설정!$L$24)&amp;""="0","",INDEX(원자료_시장!$A$1:$BZ$1000,설정!$L$6+ROW()-1,설정!$L$24)),"")</f>
        <v>0</v>
      </c>
      <c r="B560" s="83" t="n">
        <f aca="false">IFERROR(IF(INDEX(원자료_시장!$A$1:$BZ$1000,설정!$L$6+ROW()-1,설정!$L$37)&amp;""="0","",INDEX(원자료_시장!$A$1:$BZ$1000,설정!$L$6+ROW()-1,설정!$L$37)),"")</f>
        <v>0</v>
      </c>
      <c r="C560" s="83" t="n">
        <f aca="false">IFERROR(IF(INDEX(원자료_시장!$A$1:$BZ$1000,설정!$L$6+ROW()-1,설정!$L$25)&amp;""="0","",INDEX(원자료_시장!$A$1:$BZ$1000,설정!$L$6+ROW()-1,설정!$L$25)),"")</f>
        <v>0</v>
      </c>
      <c r="D560" s="85" t="str">
        <f aca="false">IFERROR(IF(ISNUMBER(INDEX(원자료_시장!$A$1:$BZ$1000,설정!$L$6+ROW()-1,설정!$L$26)),INDEX(원자료_시장!$A$1:$BZ$1000,설정!$L$6+ROW()-1,설정!$L$26),""),"")</f>
        <v/>
      </c>
      <c r="E560" s="97" t="str">
        <f aca="false">IFERROR(IF(ISNUMBER(INDEX(원자료_시장!$A$1:$BZ$1000,설정!$L$6+ROW()-1,설정!$L$27)),INDEX(원자료_시장!$A$1:$BZ$1000,설정!$L$6+ROW()-1,설정!$L$27),""),"")</f>
        <v/>
      </c>
      <c r="F560" s="97" t="str">
        <f aca="false">IFERROR(IF(ISNUMBER(INDEX(원자료_시장!$A$1:$BZ$1000,설정!$L$6+ROW()-1,설정!$L$28)),INDEX(원자료_시장!$A$1:$BZ$1000,설정!$L$6+ROW()-1,설정!$L$28),""),"")</f>
        <v/>
      </c>
      <c r="G560" s="97" t="str">
        <f aca="false">IFERROR(IF(ISNUMBER(INDEX(원자료_시장!$A$1:$BZ$1000,설정!$L$6+ROW()-1,설정!$L$29)),INDEX(원자료_시장!$A$1:$BZ$1000,설정!$L$6+ROW()-1,설정!$L$29),""),"")</f>
        <v/>
      </c>
      <c r="H560" s="97" t="str">
        <f aca="false">IFERROR(IF(ISNUMBER(INDEX(원자료_시장!$A$1:$BZ$1000,설정!$L$6+ROW()-1,설정!$L$30)),INDEX(원자료_시장!$A$1:$BZ$1000,설정!$L$6+ROW()-1,설정!$L$30),""),"")</f>
        <v/>
      </c>
      <c r="I560" s="97" t="str">
        <f aca="false">IFERROR(IF(ISNUMBER(INDEX(원자료_시장!$A$1:$BZ$1000,설정!$L$6+ROW()-1,설정!$L$31)),INDEX(원자료_시장!$A$1:$BZ$1000,설정!$L$6+ROW()-1,설정!$L$31),""),"")</f>
        <v/>
      </c>
      <c r="J560" s="97" t="str">
        <f aca="false">IFERROR(IF(ISNUMBER(INDEX(원자료_시장!$A$1:$BZ$1000,설정!$L$6+ROW()-1,설정!$L$32)),INDEX(원자료_시장!$A$1:$BZ$1000,설정!$L$6+ROW()-1,설정!$L$32),""),"")</f>
        <v/>
      </c>
      <c r="K560" s="85" t="str">
        <f aca="false">IFERROR(IF(ISNUMBER(INDEX(원자료_시장!$A$1:$BZ$1000,설정!$L$6+ROW()-1,설정!$L$33)),INDEX(원자료_시장!$A$1:$BZ$1000,설정!$L$6+ROW()-1,설정!$L$33),""),"")</f>
        <v/>
      </c>
      <c r="L560" s="83" t="n">
        <f aca="false">IFERROR(IF(INDEX(원자료_시장!$A$1:$BZ$1000,설정!$L$6+ROW()-1,설정!$L$34)&amp;""="0","",INDEX(원자료_시장!$A$1:$BZ$1000,설정!$L$6+ROW()-1,설정!$L$34)),"")</f>
        <v>0</v>
      </c>
      <c r="M560" s="83" t="n">
        <f aca="false">IFERROR(IF(INDEX(원자료_시장!$A$1:$BZ$1000,설정!$L$6+ROW()-1,설정!$L$35)&amp;""="0","",INDEX(원자료_시장!$A$1:$BZ$1000,설정!$L$6+ROW()-1,설정!$L$35)),"")</f>
        <v>0</v>
      </c>
      <c r="N560" s="83" t="n">
        <f aca="false">IFERROR(IF(INDEX(원자료_시장!$A$1:$BZ$1000,설정!$L$6+ROW()-1,설정!$L$36)&amp;""="0","",INDEX(원자료_시장!$A$1:$BZ$1000,설정!$L$6+ROW()-1,설정!$L$36)),"")</f>
        <v>0</v>
      </c>
      <c r="O560" s="43" t="str">
        <f aca="false">IF($A560="","",UPPER(LEFT($A560,FIND(" ",$A560&amp;" ")-1)))</f>
        <v/>
      </c>
      <c r="P560" s="43" t="str">
        <f aca="false">IF($A560="","",TRIM(RIGHT(SUBSTITUTE(TRIM($A560)," ",REPT(" ",30)),30)))</f>
        <v/>
      </c>
      <c r="Q560" s="98" t="str">
        <f aca="false">IF($A560="","",IFERROR(DATE(IF(LEN(P560)=8,2000+VALUE(RIGHT(P560,2)),VALUE(RIGHT(P560,4))),VALUE(LEFT(P560,2)),VALUE(MID(P560,4,2))),""))</f>
        <v/>
      </c>
      <c r="R560" s="89" t="n">
        <f aca="false">IF($A560="",0,IF(ISNUMBER(SEARCH("Float",$A560)),1,0))</f>
        <v>0</v>
      </c>
      <c r="S560" s="43" t="str">
        <f aca="false">IF($A560="","",TRIM(MID($A560,LEN(O560)+2,LEN($A560)-LEN(O560)-LEN(P560)-1)))</f>
        <v/>
      </c>
      <c r="T560" s="92" t="str">
        <f aca="false">IF(OR($A560="",R560=1),"",IFERROR(IF(ISNUMBER(FIND("/",S560)),IF(ISNUMBER(FIND(" ",S560)),VALUE(LEFT(S560,FIND(" ",S560)-1))+VALUE(MID(S560,FIND(" ",S560)+1,FIND("/",S560)-FIND(" ",S560)-1))/VALUE(MID(S560,FIND("/",S560)+1,9)),VALUE(LEFT(S560,FIND("/",S560)-1))/VALUE(MID(S560,FIND("/",S560)+1,9))),VALUE(S560)),""))</f>
        <v/>
      </c>
      <c r="U560" s="43" t="str">
        <f aca="false">IF(OR($A560="",NOT(ISNUMBER(Q560))),"",TEXT(Q560,"yyyymmdd")&amp;"|"&amp;IF(R560=1,"F",TEXT(T560,"0.000")))</f>
        <v/>
      </c>
      <c r="V560" s="43" t="str">
        <f aca="false">IF(U560="","",O560&amp;"|"&amp;U560)</f>
        <v/>
      </c>
      <c r="W560" s="43" t="str">
        <f aca="false">IF($A560="","",IFERROR(IF(VLOOKUP(O560,매핑!$A$4:$E$92,3,0)="","미분류",VLOOKUP(O560,매핑!$A$4:$E$92,3,0)),"미분류"))</f>
        <v/>
      </c>
      <c r="X560" s="89" t="n">
        <f aca="false">IF($A560="",0,IF(O560="T",1,0))</f>
        <v>0</v>
      </c>
      <c r="Y560" s="89" t="n">
        <f aca="false">IF($A560="",0,IF(AND(C560="USD",X560=0,ISNUMBER(E560),ISNUMBER(K560)),IF(K560&gt;=설정!$C$8,1,0),0))</f>
        <v>0</v>
      </c>
      <c r="Z560" s="43" t="str">
        <f aca="false">IF($A560="","",N560&amp;"|"&amp;L560)</f>
        <v/>
      </c>
      <c r="AA560" s="92" t="n">
        <f aca="false">IF(Y560=1,LN(K560),0)</f>
        <v>0</v>
      </c>
      <c r="AB560" s="93" t="n">
        <f aca="false">IF(Y560=1,E560,0)</f>
        <v>0</v>
      </c>
      <c r="AC560" s="89" t="n">
        <f aca="false">IF(Y560=1,COUNTIFS($Z$2:$Z$601,Z560,$Y$2:$Y$601,1),0)</f>
        <v>0</v>
      </c>
      <c r="AD560" s="89" t="n">
        <f aca="false">IF(Y560=1,COUNTIFS($N$2:$N$601,N560,$Y$2:$Y$601,1),0)</f>
        <v>0</v>
      </c>
      <c r="AE560" s="43" t="str">
        <f aca="false">IF(Y560&lt;&gt;1,"",IF(AND(AC560&gt;=설정!$C$7,ISNUMBER(MATCH(Z560,피어커브!$A:$A,0))),Z560,IF(AND(AD560&gt;=설정!$C$7,ISNUMBER(MATCH(N560&amp;"|전체",피어커브!$A:$A,0))),N560&amp;"|전체","전체|전체")))</f>
        <v/>
      </c>
      <c r="AF560" s="93" t="str">
        <f aca="false">IF(AE560="","",INDEX(피어커브!$K:$K,MATCH(AE560,피어커브!$A:$A,0)))</f>
        <v/>
      </c>
      <c r="AG560" s="93" t="str">
        <f aca="false">IF(AE560="","",INDEX(피어커브!$J:$J,MATCH(AE560,피어커브!$A:$A,0)))</f>
        <v/>
      </c>
      <c r="AH560" s="93" t="str">
        <f aca="false">IF(AE560="","",INDEX(피어커브!$L:$L,MATCH(AE560,피어커브!$A:$A,0)))</f>
        <v/>
      </c>
      <c r="AI560" s="93" t="str">
        <f aca="false">IF(AE560="","",AF560+AG560*AA560)</f>
        <v/>
      </c>
      <c r="AJ560" s="96" t="str">
        <f aca="false">IF(AE560="","",E560-AI560)</f>
        <v/>
      </c>
      <c r="AK560" s="95" t="str">
        <f aca="false">IF(AE560="","",IF(ISNUMBER(AH560),IF(AH560&gt;0,AJ560/AH560,""),""))</f>
        <v/>
      </c>
      <c r="AL560" s="43" t="str">
        <f aca="false">IF(AK560="","-",IF(AK560&gt;=설정!$C$6,"Cheap",IF(AK560&lt;=-설정!$C$6,"Rich","Fair")))</f>
        <v>-</v>
      </c>
      <c r="AM560" s="96" t="str">
        <f aca="false">IF(AE560="","",AJ560-AVERAGEIFS($AJ$2:$AJ$601,$B$2:$B$601,B560,$Y$2:$Y$601,1))</f>
        <v/>
      </c>
      <c r="AN560" s="93" t="n">
        <f aca="false">IF(AE560="",0,IF(K560&gt;1+설정!$C$8,AG560*(AA560-LN(K560-1)),0))</f>
        <v>0</v>
      </c>
      <c r="AO560" s="99" t="n">
        <f aca="false">IF($A560="",0,SUMIFS(보유분석!$AA$2:$AA$801,보유분석!$AB$2:$AB$801,ROW(),보유분석!$AC$2:$AC$801,1))</f>
        <v>0</v>
      </c>
      <c r="AP560" s="43" t="str">
        <f aca="false">IF($A560="","",TRIM(IF(R560=1,"FRN ","")&amp;IF(IFERROR(VLOOKUP(M560,설정!$A$15:$D$47,4,0),0)&gt;=10,IF(IFERROR(VLOOKUP(M560,설정!$A$15:$D$47,4,0),0)&lt;99,"BBB0미만 ",""),"")&amp;IF(OR(M560="",M560="NR"),"등급미입력 ","")&amp;IF(C560&lt;&gt;"USD","비USD ","")))</f>
        <v/>
      </c>
      <c r="AQ560" s="90" t="n">
        <f aca="false">IF(AND(Y560=1,AL560="Cheap"),IF(AND(ISERROR(SEARCH("FRN",AP560)),ISERROR(SEARCH("BBB0미만",AP560))),AK560+ROW()/1000000000,-999),-999)</f>
        <v>-999</v>
      </c>
      <c r="AR560" s="92" t="str">
        <f aca="false">IF(AND(ISNUMBER(D560),ISNUMBER(K560)),D560+AN560*MAX(K560-1,0)/100,"")</f>
        <v/>
      </c>
      <c r="AS560" s="93" t="str">
        <f aca="false">IF(AND(ISNUMBER(E560),ISNUMBER(K560)),IF(K560&gt;0,(E560+AN560*MAX(K560-1,0))/K560,""),"")</f>
        <v/>
      </c>
      <c r="AT560" s="90" t="n">
        <f aca="false">IFERROR(IF(AND(Y560=1,ROW()&lt;&gt;스왑분석!$C$12+1,ABS(K560-INDEX($K$2:$K$601,스왑분석!$C$12))&lt;=스왑분석!$C$5,ISERROR(SEARCH("FRN",AP560)),ISERROR(SEARCH("BBB0미만",AP560))),IF(AND(OR(스왑분석!$C$6="N",L560=INDEX($L$2:$L$601,스왑분석!$C$12)),OR(스왑분석!$C$7="N",N560=INDEX($N$2:$N$601,스왑분석!$C$12)),OR(스왑분석!$C$8="N",AO560=0),E560-INDEX($E$2:$E$601,스왑분석!$C$12)&gt;=스왑분석!$C$9),E560-INDEX($E$2:$E$601,스왑분석!$C$12)+ROW()/1000000000,-999),-999),-999)</f>
        <v>-999</v>
      </c>
      <c r="AU560" s="90" t="n">
        <f aca="false">IF(AND(Y560=1,AO560&gt;0,AL560="Rich"),-AK560+ROW()/1000000000,-999)</f>
        <v>-999</v>
      </c>
    </row>
    <row r="561" customFormat="false" ht="15" hidden="false" customHeight="false" outlineLevel="0" collapsed="false">
      <c r="A561" s="83" t="n">
        <f aca="false">IFERROR(IF(INDEX(원자료_시장!$A$1:$BZ$1000,설정!$L$6+ROW()-1,설정!$L$24)&amp;""="0","",INDEX(원자료_시장!$A$1:$BZ$1000,설정!$L$6+ROW()-1,설정!$L$24)),"")</f>
        <v>0</v>
      </c>
      <c r="B561" s="83" t="n">
        <f aca="false">IFERROR(IF(INDEX(원자료_시장!$A$1:$BZ$1000,설정!$L$6+ROW()-1,설정!$L$37)&amp;""="0","",INDEX(원자료_시장!$A$1:$BZ$1000,설정!$L$6+ROW()-1,설정!$L$37)),"")</f>
        <v>0</v>
      </c>
      <c r="C561" s="83" t="n">
        <f aca="false">IFERROR(IF(INDEX(원자료_시장!$A$1:$BZ$1000,설정!$L$6+ROW()-1,설정!$L$25)&amp;""="0","",INDEX(원자료_시장!$A$1:$BZ$1000,설정!$L$6+ROW()-1,설정!$L$25)),"")</f>
        <v>0</v>
      </c>
      <c r="D561" s="85" t="str">
        <f aca="false">IFERROR(IF(ISNUMBER(INDEX(원자료_시장!$A$1:$BZ$1000,설정!$L$6+ROW()-1,설정!$L$26)),INDEX(원자료_시장!$A$1:$BZ$1000,설정!$L$6+ROW()-1,설정!$L$26),""),"")</f>
        <v/>
      </c>
      <c r="E561" s="97" t="str">
        <f aca="false">IFERROR(IF(ISNUMBER(INDEX(원자료_시장!$A$1:$BZ$1000,설정!$L$6+ROW()-1,설정!$L$27)),INDEX(원자료_시장!$A$1:$BZ$1000,설정!$L$6+ROW()-1,설정!$L$27),""),"")</f>
        <v/>
      </c>
      <c r="F561" s="97" t="str">
        <f aca="false">IFERROR(IF(ISNUMBER(INDEX(원자료_시장!$A$1:$BZ$1000,설정!$L$6+ROW()-1,설정!$L$28)),INDEX(원자료_시장!$A$1:$BZ$1000,설정!$L$6+ROW()-1,설정!$L$28),""),"")</f>
        <v/>
      </c>
      <c r="G561" s="97" t="str">
        <f aca="false">IFERROR(IF(ISNUMBER(INDEX(원자료_시장!$A$1:$BZ$1000,설정!$L$6+ROW()-1,설정!$L$29)),INDEX(원자료_시장!$A$1:$BZ$1000,설정!$L$6+ROW()-1,설정!$L$29),""),"")</f>
        <v/>
      </c>
      <c r="H561" s="97" t="str">
        <f aca="false">IFERROR(IF(ISNUMBER(INDEX(원자료_시장!$A$1:$BZ$1000,설정!$L$6+ROW()-1,설정!$L$30)),INDEX(원자료_시장!$A$1:$BZ$1000,설정!$L$6+ROW()-1,설정!$L$30),""),"")</f>
        <v/>
      </c>
      <c r="I561" s="97" t="str">
        <f aca="false">IFERROR(IF(ISNUMBER(INDEX(원자료_시장!$A$1:$BZ$1000,설정!$L$6+ROW()-1,설정!$L$31)),INDEX(원자료_시장!$A$1:$BZ$1000,설정!$L$6+ROW()-1,설정!$L$31),""),"")</f>
        <v/>
      </c>
      <c r="J561" s="97" t="str">
        <f aca="false">IFERROR(IF(ISNUMBER(INDEX(원자료_시장!$A$1:$BZ$1000,설정!$L$6+ROW()-1,설정!$L$32)),INDEX(원자료_시장!$A$1:$BZ$1000,설정!$L$6+ROW()-1,설정!$L$32),""),"")</f>
        <v/>
      </c>
      <c r="K561" s="85" t="str">
        <f aca="false">IFERROR(IF(ISNUMBER(INDEX(원자료_시장!$A$1:$BZ$1000,설정!$L$6+ROW()-1,설정!$L$33)),INDEX(원자료_시장!$A$1:$BZ$1000,설정!$L$6+ROW()-1,설정!$L$33),""),"")</f>
        <v/>
      </c>
      <c r="L561" s="83" t="n">
        <f aca="false">IFERROR(IF(INDEX(원자료_시장!$A$1:$BZ$1000,설정!$L$6+ROW()-1,설정!$L$34)&amp;""="0","",INDEX(원자료_시장!$A$1:$BZ$1000,설정!$L$6+ROW()-1,설정!$L$34)),"")</f>
        <v>0</v>
      </c>
      <c r="M561" s="83" t="n">
        <f aca="false">IFERROR(IF(INDEX(원자료_시장!$A$1:$BZ$1000,설정!$L$6+ROW()-1,설정!$L$35)&amp;""="0","",INDEX(원자료_시장!$A$1:$BZ$1000,설정!$L$6+ROW()-1,설정!$L$35)),"")</f>
        <v>0</v>
      </c>
      <c r="N561" s="83" t="n">
        <f aca="false">IFERROR(IF(INDEX(원자료_시장!$A$1:$BZ$1000,설정!$L$6+ROW()-1,설정!$L$36)&amp;""="0","",INDEX(원자료_시장!$A$1:$BZ$1000,설정!$L$6+ROW()-1,설정!$L$36)),"")</f>
        <v>0</v>
      </c>
      <c r="O561" s="43" t="str">
        <f aca="false">IF($A561="","",UPPER(LEFT($A561,FIND(" ",$A561&amp;" ")-1)))</f>
        <v/>
      </c>
      <c r="P561" s="43" t="str">
        <f aca="false">IF($A561="","",TRIM(RIGHT(SUBSTITUTE(TRIM($A561)," ",REPT(" ",30)),30)))</f>
        <v/>
      </c>
      <c r="Q561" s="98" t="str">
        <f aca="false">IF($A561="","",IFERROR(DATE(IF(LEN(P561)=8,2000+VALUE(RIGHT(P561,2)),VALUE(RIGHT(P561,4))),VALUE(LEFT(P561,2)),VALUE(MID(P561,4,2))),""))</f>
        <v/>
      </c>
      <c r="R561" s="89" t="n">
        <f aca="false">IF($A561="",0,IF(ISNUMBER(SEARCH("Float",$A561)),1,0))</f>
        <v>0</v>
      </c>
      <c r="S561" s="43" t="str">
        <f aca="false">IF($A561="","",TRIM(MID($A561,LEN(O561)+2,LEN($A561)-LEN(O561)-LEN(P561)-1)))</f>
        <v/>
      </c>
      <c r="T561" s="92" t="str">
        <f aca="false">IF(OR($A561="",R561=1),"",IFERROR(IF(ISNUMBER(FIND("/",S561)),IF(ISNUMBER(FIND(" ",S561)),VALUE(LEFT(S561,FIND(" ",S561)-1))+VALUE(MID(S561,FIND(" ",S561)+1,FIND("/",S561)-FIND(" ",S561)-1))/VALUE(MID(S561,FIND("/",S561)+1,9)),VALUE(LEFT(S561,FIND("/",S561)-1))/VALUE(MID(S561,FIND("/",S561)+1,9))),VALUE(S561)),""))</f>
        <v/>
      </c>
      <c r="U561" s="43" t="str">
        <f aca="false">IF(OR($A561="",NOT(ISNUMBER(Q561))),"",TEXT(Q561,"yyyymmdd")&amp;"|"&amp;IF(R561=1,"F",TEXT(T561,"0.000")))</f>
        <v/>
      </c>
      <c r="V561" s="43" t="str">
        <f aca="false">IF(U561="","",O561&amp;"|"&amp;U561)</f>
        <v/>
      </c>
      <c r="W561" s="43" t="str">
        <f aca="false">IF($A561="","",IFERROR(IF(VLOOKUP(O561,매핑!$A$4:$E$92,3,0)="","미분류",VLOOKUP(O561,매핑!$A$4:$E$92,3,0)),"미분류"))</f>
        <v/>
      </c>
      <c r="X561" s="89" t="n">
        <f aca="false">IF($A561="",0,IF(O561="T",1,0))</f>
        <v>0</v>
      </c>
      <c r="Y561" s="89" t="n">
        <f aca="false">IF($A561="",0,IF(AND(C561="USD",X561=0,ISNUMBER(E561),ISNUMBER(K561)),IF(K561&gt;=설정!$C$8,1,0),0))</f>
        <v>0</v>
      </c>
      <c r="Z561" s="43" t="str">
        <f aca="false">IF($A561="","",N561&amp;"|"&amp;L561)</f>
        <v/>
      </c>
      <c r="AA561" s="92" t="n">
        <f aca="false">IF(Y561=1,LN(K561),0)</f>
        <v>0</v>
      </c>
      <c r="AB561" s="93" t="n">
        <f aca="false">IF(Y561=1,E561,0)</f>
        <v>0</v>
      </c>
      <c r="AC561" s="89" t="n">
        <f aca="false">IF(Y561=1,COUNTIFS($Z$2:$Z$601,Z561,$Y$2:$Y$601,1),0)</f>
        <v>0</v>
      </c>
      <c r="AD561" s="89" t="n">
        <f aca="false">IF(Y561=1,COUNTIFS($N$2:$N$601,N561,$Y$2:$Y$601,1),0)</f>
        <v>0</v>
      </c>
      <c r="AE561" s="43" t="str">
        <f aca="false">IF(Y561&lt;&gt;1,"",IF(AND(AC561&gt;=설정!$C$7,ISNUMBER(MATCH(Z561,피어커브!$A:$A,0))),Z561,IF(AND(AD561&gt;=설정!$C$7,ISNUMBER(MATCH(N561&amp;"|전체",피어커브!$A:$A,0))),N561&amp;"|전체","전체|전체")))</f>
        <v/>
      </c>
      <c r="AF561" s="93" t="str">
        <f aca="false">IF(AE561="","",INDEX(피어커브!$K:$K,MATCH(AE561,피어커브!$A:$A,0)))</f>
        <v/>
      </c>
      <c r="AG561" s="93" t="str">
        <f aca="false">IF(AE561="","",INDEX(피어커브!$J:$J,MATCH(AE561,피어커브!$A:$A,0)))</f>
        <v/>
      </c>
      <c r="AH561" s="93" t="str">
        <f aca="false">IF(AE561="","",INDEX(피어커브!$L:$L,MATCH(AE561,피어커브!$A:$A,0)))</f>
        <v/>
      </c>
      <c r="AI561" s="93" t="str">
        <f aca="false">IF(AE561="","",AF561+AG561*AA561)</f>
        <v/>
      </c>
      <c r="AJ561" s="96" t="str">
        <f aca="false">IF(AE561="","",E561-AI561)</f>
        <v/>
      </c>
      <c r="AK561" s="95" t="str">
        <f aca="false">IF(AE561="","",IF(ISNUMBER(AH561),IF(AH561&gt;0,AJ561/AH561,""),""))</f>
        <v/>
      </c>
      <c r="AL561" s="43" t="str">
        <f aca="false">IF(AK561="","-",IF(AK561&gt;=설정!$C$6,"Cheap",IF(AK561&lt;=-설정!$C$6,"Rich","Fair")))</f>
        <v>-</v>
      </c>
      <c r="AM561" s="96" t="str">
        <f aca="false">IF(AE561="","",AJ561-AVERAGEIFS($AJ$2:$AJ$601,$B$2:$B$601,B561,$Y$2:$Y$601,1))</f>
        <v/>
      </c>
      <c r="AN561" s="93" t="n">
        <f aca="false">IF(AE561="",0,IF(K561&gt;1+설정!$C$8,AG561*(AA561-LN(K561-1)),0))</f>
        <v>0</v>
      </c>
      <c r="AO561" s="99" t="n">
        <f aca="false">IF($A561="",0,SUMIFS(보유분석!$AA$2:$AA$801,보유분석!$AB$2:$AB$801,ROW(),보유분석!$AC$2:$AC$801,1))</f>
        <v>0</v>
      </c>
      <c r="AP561" s="43" t="str">
        <f aca="false">IF($A561="","",TRIM(IF(R561=1,"FRN ","")&amp;IF(IFERROR(VLOOKUP(M561,설정!$A$15:$D$47,4,0),0)&gt;=10,IF(IFERROR(VLOOKUP(M561,설정!$A$15:$D$47,4,0),0)&lt;99,"BBB0미만 ",""),"")&amp;IF(OR(M561="",M561="NR"),"등급미입력 ","")&amp;IF(C561&lt;&gt;"USD","비USD ","")))</f>
        <v/>
      </c>
      <c r="AQ561" s="90" t="n">
        <f aca="false">IF(AND(Y561=1,AL561="Cheap"),IF(AND(ISERROR(SEARCH("FRN",AP561)),ISERROR(SEARCH("BBB0미만",AP561))),AK561+ROW()/1000000000,-999),-999)</f>
        <v>-999</v>
      </c>
      <c r="AR561" s="92" t="str">
        <f aca="false">IF(AND(ISNUMBER(D561),ISNUMBER(K561)),D561+AN561*MAX(K561-1,0)/100,"")</f>
        <v/>
      </c>
      <c r="AS561" s="93" t="str">
        <f aca="false">IF(AND(ISNUMBER(E561),ISNUMBER(K561)),IF(K561&gt;0,(E561+AN561*MAX(K561-1,0))/K561,""),"")</f>
        <v/>
      </c>
      <c r="AT561" s="90" t="n">
        <f aca="false">IFERROR(IF(AND(Y561=1,ROW()&lt;&gt;스왑분석!$C$12+1,ABS(K561-INDEX($K$2:$K$601,스왑분석!$C$12))&lt;=스왑분석!$C$5,ISERROR(SEARCH("FRN",AP561)),ISERROR(SEARCH("BBB0미만",AP561))),IF(AND(OR(스왑분석!$C$6="N",L561=INDEX($L$2:$L$601,스왑분석!$C$12)),OR(스왑분석!$C$7="N",N561=INDEX($N$2:$N$601,스왑분석!$C$12)),OR(스왑분석!$C$8="N",AO561=0),E561-INDEX($E$2:$E$601,스왑분석!$C$12)&gt;=스왑분석!$C$9),E561-INDEX($E$2:$E$601,스왑분석!$C$12)+ROW()/1000000000,-999),-999),-999)</f>
        <v>-999</v>
      </c>
      <c r="AU561" s="90" t="n">
        <f aca="false">IF(AND(Y561=1,AO561&gt;0,AL561="Rich"),-AK561+ROW()/1000000000,-999)</f>
        <v>-999</v>
      </c>
    </row>
    <row r="562" customFormat="false" ht="15" hidden="false" customHeight="false" outlineLevel="0" collapsed="false">
      <c r="A562" s="83" t="n">
        <f aca="false">IFERROR(IF(INDEX(원자료_시장!$A$1:$BZ$1000,설정!$L$6+ROW()-1,설정!$L$24)&amp;""="0","",INDEX(원자료_시장!$A$1:$BZ$1000,설정!$L$6+ROW()-1,설정!$L$24)),"")</f>
        <v>0</v>
      </c>
      <c r="B562" s="83" t="n">
        <f aca="false">IFERROR(IF(INDEX(원자료_시장!$A$1:$BZ$1000,설정!$L$6+ROW()-1,설정!$L$37)&amp;""="0","",INDEX(원자료_시장!$A$1:$BZ$1000,설정!$L$6+ROW()-1,설정!$L$37)),"")</f>
        <v>0</v>
      </c>
      <c r="C562" s="83" t="n">
        <f aca="false">IFERROR(IF(INDEX(원자료_시장!$A$1:$BZ$1000,설정!$L$6+ROW()-1,설정!$L$25)&amp;""="0","",INDEX(원자료_시장!$A$1:$BZ$1000,설정!$L$6+ROW()-1,설정!$L$25)),"")</f>
        <v>0</v>
      </c>
      <c r="D562" s="85" t="str">
        <f aca="false">IFERROR(IF(ISNUMBER(INDEX(원자료_시장!$A$1:$BZ$1000,설정!$L$6+ROW()-1,설정!$L$26)),INDEX(원자료_시장!$A$1:$BZ$1000,설정!$L$6+ROW()-1,설정!$L$26),""),"")</f>
        <v/>
      </c>
      <c r="E562" s="97" t="str">
        <f aca="false">IFERROR(IF(ISNUMBER(INDEX(원자료_시장!$A$1:$BZ$1000,설정!$L$6+ROW()-1,설정!$L$27)),INDEX(원자료_시장!$A$1:$BZ$1000,설정!$L$6+ROW()-1,설정!$L$27),""),"")</f>
        <v/>
      </c>
      <c r="F562" s="97" t="str">
        <f aca="false">IFERROR(IF(ISNUMBER(INDEX(원자료_시장!$A$1:$BZ$1000,설정!$L$6+ROW()-1,설정!$L$28)),INDEX(원자료_시장!$A$1:$BZ$1000,설정!$L$6+ROW()-1,설정!$L$28),""),"")</f>
        <v/>
      </c>
      <c r="G562" s="97" t="str">
        <f aca="false">IFERROR(IF(ISNUMBER(INDEX(원자료_시장!$A$1:$BZ$1000,설정!$L$6+ROW()-1,설정!$L$29)),INDEX(원자료_시장!$A$1:$BZ$1000,설정!$L$6+ROW()-1,설정!$L$29),""),"")</f>
        <v/>
      </c>
      <c r="H562" s="97" t="str">
        <f aca="false">IFERROR(IF(ISNUMBER(INDEX(원자료_시장!$A$1:$BZ$1000,설정!$L$6+ROW()-1,설정!$L$30)),INDEX(원자료_시장!$A$1:$BZ$1000,설정!$L$6+ROW()-1,설정!$L$30),""),"")</f>
        <v/>
      </c>
      <c r="I562" s="97" t="str">
        <f aca="false">IFERROR(IF(ISNUMBER(INDEX(원자료_시장!$A$1:$BZ$1000,설정!$L$6+ROW()-1,설정!$L$31)),INDEX(원자료_시장!$A$1:$BZ$1000,설정!$L$6+ROW()-1,설정!$L$31),""),"")</f>
        <v/>
      </c>
      <c r="J562" s="97" t="str">
        <f aca="false">IFERROR(IF(ISNUMBER(INDEX(원자료_시장!$A$1:$BZ$1000,설정!$L$6+ROW()-1,설정!$L$32)),INDEX(원자료_시장!$A$1:$BZ$1000,설정!$L$6+ROW()-1,설정!$L$32),""),"")</f>
        <v/>
      </c>
      <c r="K562" s="85" t="str">
        <f aca="false">IFERROR(IF(ISNUMBER(INDEX(원자료_시장!$A$1:$BZ$1000,설정!$L$6+ROW()-1,설정!$L$33)),INDEX(원자료_시장!$A$1:$BZ$1000,설정!$L$6+ROW()-1,설정!$L$33),""),"")</f>
        <v/>
      </c>
      <c r="L562" s="83" t="n">
        <f aca="false">IFERROR(IF(INDEX(원자료_시장!$A$1:$BZ$1000,설정!$L$6+ROW()-1,설정!$L$34)&amp;""="0","",INDEX(원자료_시장!$A$1:$BZ$1000,설정!$L$6+ROW()-1,설정!$L$34)),"")</f>
        <v>0</v>
      </c>
      <c r="M562" s="83" t="n">
        <f aca="false">IFERROR(IF(INDEX(원자료_시장!$A$1:$BZ$1000,설정!$L$6+ROW()-1,설정!$L$35)&amp;""="0","",INDEX(원자료_시장!$A$1:$BZ$1000,설정!$L$6+ROW()-1,설정!$L$35)),"")</f>
        <v>0</v>
      </c>
      <c r="N562" s="83" t="n">
        <f aca="false">IFERROR(IF(INDEX(원자료_시장!$A$1:$BZ$1000,설정!$L$6+ROW()-1,설정!$L$36)&amp;""="0","",INDEX(원자료_시장!$A$1:$BZ$1000,설정!$L$6+ROW()-1,설정!$L$36)),"")</f>
        <v>0</v>
      </c>
      <c r="O562" s="43" t="str">
        <f aca="false">IF($A562="","",UPPER(LEFT($A562,FIND(" ",$A562&amp;" ")-1)))</f>
        <v/>
      </c>
      <c r="P562" s="43" t="str">
        <f aca="false">IF($A562="","",TRIM(RIGHT(SUBSTITUTE(TRIM($A562)," ",REPT(" ",30)),30)))</f>
        <v/>
      </c>
      <c r="Q562" s="98" t="str">
        <f aca="false">IF($A562="","",IFERROR(DATE(IF(LEN(P562)=8,2000+VALUE(RIGHT(P562,2)),VALUE(RIGHT(P562,4))),VALUE(LEFT(P562,2)),VALUE(MID(P562,4,2))),""))</f>
        <v/>
      </c>
      <c r="R562" s="89" t="n">
        <f aca="false">IF($A562="",0,IF(ISNUMBER(SEARCH("Float",$A562)),1,0))</f>
        <v>0</v>
      </c>
      <c r="S562" s="43" t="str">
        <f aca="false">IF($A562="","",TRIM(MID($A562,LEN(O562)+2,LEN($A562)-LEN(O562)-LEN(P562)-1)))</f>
        <v/>
      </c>
      <c r="T562" s="92" t="str">
        <f aca="false">IF(OR($A562="",R562=1),"",IFERROR(IF(ISNUMBER(FIND("/",S562)),IF(ISNUMBER(FIND(" ",S562)),VALUE(LEFT(S562,FIND(" ",S562)-1))+VALUE(MID(S562,FIND(" ",S562)+1,FIND("/",S562)-FIND(" ",S562)-1))/VALUE(MID(S562,FIND("/",S562)+1,9)),VALUE(LEFT(S562,FIND("/",S562)-1))/VALUE(MID(S562,FIND("/",S562)+1,9))),VALUE(S562)),""))</f>
        <v/>
      </c>
      <c r="U562" s="43" t="str">
        <f aca="false">IF(OR($A562="",NOT(ISNUMBER(Q562))),"",TEXT(Q562,"yyyymmdd")&amp;"|"&amp;IF(R562=1,"F",TEXT(T562,"0.000")))</f>
        <v/>
      </c>
      <c r="V562" s="43" t="str">
        <f aca="false">IF(U562="","",O562&amp;"|"&amp;U562)</f>
        <v/>
      </c>
      <c r="W562" s="43" t="str">
        <f aca="false">IF($A562="","",IFERROR(IF(VLOOKUP(O562,매핑!$A$4:$E$92,3,0)="","미분류",VLOOKUP(O562,매핑!$A$4:$E$92,3,0)),"미분류"))</f>
        <v/>
      </c>
      <c r="X562" s="89" t="n">
        <f aca="false">IF($A562="",0,IF(O562="T",1,0))</f>
        <v>0</v>
      </c>
      <c r="Y562" s="89" t="n">
        <f aca="false">IF($A562="",0,IF(AND(C562="USD",X562=0,ISNUMBER(E562),ISNUMBER(K562)),IF(K562&gt;=설정!$C$8,1,0),0))</f>
        <v>0</v>
      </c>
      <c r="Z562" s="43" t="str">
        <f aca="false">IF($A562="","",N562&amp;"|"&amp;L562)</f>
        <v/>
      </c>
      <c r="AA562" s="92" t="n">
        <f aca="false">IF(Y562=1,LN(K562),0)</f>
        <v>0</v>
      </c>
      <c r="AB562" s="93" t="n">
        <f aca="false">IF(Y562=1,E562,0)</f>
        <v>0</v>
      </c>
      <c r="AC562" s="89" t="n">
        <f aca="false">IF(Y562=1,COUNTIFS($Z$2:$Z$601,Z562,$Y$2:$Y$601,1),0)</f>
        <v>0</v>
      </c>
      <c r="AD562" s="89" t="n">
        <f aca="false">IF(Y562=1,COUNTIFS($N$2:$N$601,N562,$Y$2:$Y$601,1),0)</f>
        <v>0</v>
      </c>
      <c r="AE562" s="43" t="str">
        <f aca="false">IF(Y562&lt;&gt;1,"",IF(AND(AC562&gt;=설정!$C$7,ISNUMBER(MATCH(Z562,피어커브!$A:$A,0))),Z562,IF(AND(AD562&gt;=설정!$C$7,ISNUMBER(MATCH(N562&amp;"|전체",피어커브!$A:$A,0))),N562&amp;"|전체","전체|전체")))</f>
        <v/>
      </c>
      <c r="AF562" s="93" t="str">
        <f aca="false">IF(AE562="","",INDEX(피어커브!$K:$K,MATCH(AE562,피어커브!$A:$A,0)))</f>
        <v/>
      </c>
      <c r="AG562" s="93" t="str">
        <f aca="false">IF(AE562="","",INDEX(피어커브!$J:$J,MATCH(AE562,피어커브!$A:$A,0)))</f>
        <v/>
      </c>
      <c r="AH562" s="93" t="str">
        <f aca="false">IF(AE562="","",INDEX(피어커브!$L:$L,MATCH(AE562,피어커브!$A:$A,0)))</f>
        <v/>
      </c>
      <c r="AI562" s="93" t="str">
        <f aca="false">IF(AE562="","",AF562+AG562*AA562)</f>
        <v/>
      </c>
      <c r="AJ562" s="96" t="str">
        <f aca="false">IF(AE562="","",E562-AI562)</f>
        <v/>
      </c>
      <c r="AK562" s="95" t="str">
        <f aca="false">IF(AE562="","",IF(ISNUMBER(AH562),IF(AH562&gt;0,AJ562/AH562,""),""))</f>
        <v/>
      </c>
      <c r="AL562" s="43" t="str">
        <f aca="false">IF(AK562="","-",IF(AK562&gt;=설정!$C$6,"Cheap",IF(AK562&lt;=-설정!$C$6,"Rich","Fair")))</f>
        <v>-</v>
      </c>
      <c r="AM562" s="96" t="str">
        <f aca="false">IF(AE562="","",AJ562-AVERAGEIFS($AJ$2:$AJ$601,$B$2:$B$601,B562,$Y$2:$Y$601,1))</f>
        <v/>
      </c>
      <c r="AN562" s="93" t="n">
        <f aca="false">IF(AE562="",0,IF(K562&gt;1+설정!$C$8,AG562*(AA562-LN(K562-1)),0))</f>
        <v>0</v>
      </c>
      <c r="AO562" s="99" t="n">
        <f aca="false">IF($A562="",0,SUMIFS(보유분석!$AA$2:$AA$801,보유분석!$AB$2:$AB$801,ROW(),보유분석!$AC$2:$AC$801,1))</f>
        <v>0</v>
      </c>
      <c r="AP562" s="43" t="str">
        <f aca="false">IF($A562="","",TRIM(IF(R562=1,"FRN ","")&amp;IF(IFERROR(VLOOKUP(M562,설정!$A$15:$D$47,4,0),0)&gt;=10,IF(IFERROR(VLOOKUP(M562,설정!$A$15:$D$47,4,0),0)&lt;99,"BBB0미만 ",""),"")&amp;IF(OR(M562="",M562="NR"),"등급미입력 ","")&amp;IF(C562&lt;&gt;"USD","비USD ","")))</f>
        <v/>
      </c>
      <c r="AQ562" s="90" t="n">
        <f aca="false">IF(AND(Y562=1,AL562="Cheap"),IF(AND(ISERROR(SEARCH("FRN",AP562)),ISERROR(SEARCH("BBB0미만",AP562))),AK562+ROW()/1000000000,-999),-999)</f>
        <v>-999</v>
      </c>
      <c r="AR562" s="92" t="str">
        <f aca="false">IF(AND(ISNUMBER(D562),ISNUMBER(K562)),D562+AN562*MAX(K562-1,0)/100,"")</f>
        <v/>
      </c>
      <c r="AS562" s="93" t="str">
        <f aca="false">IF(AND(ISNUMBER(E562),ISNUMBER(K562)),IF(K562&gt;0,(E562+AN562*MAX(K562-1,0))/K562,""),"")</f>
        <v/>
      </c>
      <c r="AT562" s="90" t="n">
        <f aca="false">IFERROR(IF(AND(Y562=1,ROW()&lt;&gt;스왑분석!$C$12+1,ABS(K562-INDEX($K$2:$K$601,스왑분석!$C$12))&lt;=스왑분석!$C$5,ISERROR(SEARCH("FRN",AP562)),ISERROR(SEARCH("BBB0미만",AP562))),IF(AND(OR(스왑분석!$C$6="N",L562=INDEX($L$2:$L$601,스왑분석!$C$12)),OR(스왑분석!$C$7="N",N562=INDEX($N$2:$N$601,스왑분석!$C$12)),OR(스왑분석!$C$8="N",AO562=0),E562-INDEX($E$2:$E$601,스왑분석!$C$12)&gt;=스왑분석!$C$9),E562-INDEX($E$2:$E$601,스왑분석!$C$12)+ROW()/1000000000,-999),-999),-999)</f>
        <v>-999</v>
      </c>
      <c r="AU562" s="90" t="n">
        <f aca="false">IF(AND(Y562=1,AO562&gt;0,AL562="Rich"),-AK562+ROW()/1000000000,-999)</f>
        <v>-999</v>
      </c>
    </row>
    <row r="563" customFormat="false" ht="15" hidden="false" customHeight="false" outlineLevel="0" collapsed="false">
      <c r="A563" s="83" t="n">
        <f aca="false">IFERROR(IF(INDEX(원자료_시장!$A$1:$BZ$1000,설정!$L$6+ROW()-1,설정!$L$24)&amp;""="0","",INDEX(원자료_시장!$A$1:$BZ$1000,설정!$L$6+ROW()-1,설정!$L$24)),"")</f>
        <v>0</v>
      </c>
      <c r="B563" s="83" t="n">
        <f aca="false">IFERROR(IF(INDEX(원자료_시장!$A$1:$BZ$1000,설정!$L$6+ROW()-1,설정!$L$37)&amp;""="0","",INDEX(원자료_시장!$A$1:$BZ$1000,설정!$L$6+ROW()-1,설정!$L$37)),"")</f>
        <v>0</v>
      </c>
      <c r="C563" s="83" t="n">
        <f aca="false">IFERROR(IF(INDEX(원자료_시장!$A$1:$BZ$1000,설정!$L$6+ROW()-1,설정!$L$25)&amp;""="0","",INDEX(원자료_시장!$A$1:$BZ$1000,설정!$L$6+ROW()-1,설정!$L$25)),"")</f>
        <v>0</v>
      </c>
      <c r="D563" s="85" t="str">
        <f aca="false">IFERROR(IF(ISNUMBER(INDEX(원자료_시장!$A$1:$BZ$1000,설정!$L$6+ROW()-1,설정!$L$26)),INDEX(원자료_시장!$A$1:$BZ$1000,설정!$L$6+ROW()-1,설정!$L$26),""),"")</f>
        <v/>
      </c>
      <c r="E563" s="97" t="str">
        <f aca="false">IFERROR(IF(ISNUMBER(INDEX(원자료_시장!$A$1:$BZ$1000,설정!$L$6+ROW()-1,설정!$L$27)),INDEX(원자료_시장!$A$1:$BZ$1000,설정!$L$6+ROW()-1,설정!$L$27),""),"")</f>
        <v/>
      </c>
      <c r="F563" s="97" t="str">
        <f aca="false">IFERROR(IF(ISNUMBER(INDEX(원자료_시장!$A$1:$BZ$1000,설정!$L$6+ROW()-1,설정!$L$28)),INDEX(원자료_시장!$A$1:$BZ$1000,설정!$L$6+ROW()-1,설정!$L$28),""),"")</f>
        <v/>
      </c>
      <c r="G563" s="97" t="str">
        <f aca="false">IFERROR(IF(ISNUMBER(INDEX(원자료_시장!$A$1:$BZ$1000,설정!$L$6+ROW()-1,설정!$L$29)),INDEX(원자료_시장!$A$1:$BZ$1000,설정!$L$6+ROW()-1,설정!$L$29),""),"")</f>
        <v/>
      </c>
      <c r="H563" s="97" t="str">
        <f aca="false">IFERROR(IF(ISNUMBER(INDEX(원자료_시장!$A$1:$BZ$1000,설정!$L$6+ROW()-1,설정!$L$30)),INDEX(원자료_시장!$A$1:$BZ$1000,설정!$L$6+ROW()-1,설정!$L$30),""),"")</f>
        <v/>
      </c>
      <c r="I563" s="97" t="str">
        <f aca="false">IFERROR(IF(ISNUMBER(INDEX(원자료_시장!$A$1:$BZ$1000,설정!$L$6+ROW()-1,설정!$L$31)),INDEX(원자료_시장!$A$1:$BZ$1000,설정!$L$6+ROW()-1,설정!$L$31),""),"")</f>
        <v/>
      </c>
      <c r="J563" s="97" t="str">
        <f aca="false">IFERROR(IF(ISNUMBER(INDEX(원자료_시장!$A$1:$BZ$1000,설정!$L$6+ROW()-1,설정!$L$32)),INDEX(원자료_시장!$A$1:$BZ$1000,설정!$L$6+ROW()-1,설정!$L$32),""),"")</f>
        <v/>
      </c>
      <c r="K563" s="85" t="str">
        <f aca="false">IFERROR(IF(ISNUMBER(INDEX(원자료_시장!$A$1:$BZ$1000,설정!$L$6+ROW()-1,설정!$L$33)),INDEX(원자료_시장!$A$1:$BZ$1000,설정!$L$6+ROW()-1,설정!$L$33),""),"")</f>
        <v/>
      </c>
      <c r="L563" s="83" t="n">
        <f aca="false">IFERROR(IF(INDEX(원자료_시장!$A$1:$BZ$1000,설정!$L$6+ROW()-1,설정!$L$34)&amp;""="0","",INDEX(원자료_시장!$A$1:$BZ$1000,설정!$L$6+ROW()-1,설정!$L$34)),"")</f>
        <v>0</v>
      </c>
      <c r="M563" s="83" t="n">
        <f aca="false">IFERROR(IF(INDEX(원자료_시장!$A$1:$BZ$1000,설정!$L$6+ROW()-1,설정!$L$35)&amp;""="0","",INDEX(원자료_시장!$A$1:$BZ$1000,설정!$L$6+ROW()-1,설정!$L$35)),"")</f>
        <v>0</v>
      </c>
      <c r="N563" s="83" t="n">
        <f aca="false">IFERROR(IF(INDEX(원자료_시장!$A$1:$BZ$1000,설정!$L$6+ROW()-1,설정!$L$36)&amp;""="0","",INDEX(원자료_시장!$A$1:$BZ$1000,설정!$L$6+ROW()-1,설정!$L$36)),"")</f>
        <v>0</v>
      </c>
      <c r="O563" s="43" t="str">
        <f aca="false">IF($A563="","",UPPER(LEFT($A563,FIND(" ",$A563&amp;" ")-1)))</f>
        <v/>
      </c>
      <c r="P563" s="43" t="str">
        <f aca="false">IF($A563="","",TRIM(RIGHT(SUBSTITUTE(TRIM($A563)," ",REPT(" ",30)),30)))</f>
        <v/>
      </c>
      <c r="Q563" s="98" t="str">
        <f aca="false">IF($A563="","",IFERROR(DATE(IF(LEN(P563)=8,2000+VALUE(RIGHT(P563,2)),VALUE(RIGHT(P563,4))),VALUE(LEFT(P563,2)),VALUE(MID(P563,4,2))),""))</f>
        <v/>
      </c>
      <c r="R563" s="89" t="n">
        <f aca="false">IF($A563="",0,IF(ISNUMBER(SEARCH("Float",$A563)),1,0))</f>
        <v>0</v>
      </c>
      <c r="S563" s="43" t="str">
        <f aca="false">IF($A563="","",TRIM(MID($A563,LEN(O563)+2,LEN($A563)-LEN(O563)-LEN(P563)-1)))</f>
        <v/>
      </c>
      <c r="T563" s="92" t="str">
        <f aca="false">IF(OR($A563="",R563=1),"",IFERROR(IF(ISNUMBER(FIND("/",S563)),IF(ISNUMBER(FIND(" ",S563)),VALUE(LEFT(S563,FIND(" ",S563)-1))+VALUE(MID(S563,FIND(" ",S563)+1,FIND("/",S563)-FIND(" ",S563)-1))/VALUE(MID(S563,FIND("/",S563)+1,9)),VALUE(LEFT(S563,FIND("/",S563)-1))/VALUE(MID(S563,FIND("/",S563)+1,9))),VALUE(S563)),""))</f>
        <v/>
      </c>
      <c r="U563" s="43" t="str">
        <f aca="false">IF(OR($A563="",NOT(ISNUMBER(Q563))),"",TEXT(Q563,"yyyymmdd")&amp;"|"&amp;IF(R563=1,"F",TEXT(T563,"0.000")))</f>
        <v/>
      </c>
      <c r="V563" s="43" t="str">
        <f aca="false">IF(U563="","",O563&amp;"|"&amp;U563)</f>
        <v/>
      </c>
      <c r="W563" s="43" t="str">
        <f aca="false">IF($A563="","",IFERROR(IF(VLOOKUP(O563,매핑!$A$4:$E$92,3,0)="","미분류",VLOOKUP(O563,매핑!$A$4:$E$92,3,0)),"미분류"))</f>
        <v/>
      </c>
      <c r="X563" s="89" t="n">
        <f aca="false">IF($A563="",0,IF(O563="T",1,0))</f>
        <v>0</v>
      </c>
      <c r="Y563" s="89" t="n">
        <f aca="false">IF($A563="",0,IF(AND(C563="USD",X563=0,ISNUMBER(E563),ISNUMBER(K563)),IF(K563&gt;=설정!$C$8,1,0),0))</f>
        <v>0</v>
      </c>
      <c r="Z563" s="43" t="str">
        <f aca="false">IF($A563="","",N563&amp;"|"&amp;L563)</f>
        <v/>
      </c>
      <c r="AA563" s="92" t="n">
        <f aca="false">IF(Y563=1,LN(K563),0)</f>
        <v>0</v>
      </c>
      <c r="AB563" s="93" t="n">
        <f aca="false">IF(Y563=1,E563,0)</f>
        <v>0</v>
      </c>
      <c r="AC563" s="89" t="n">
        <f aca="false">IF(Y563=1,COUNTIFS($Z$2:$Z$601,Z563,$Y$2:$Y$601,1),0)</f>
        <v>0</v>
      </c>
      <c r="AD563" s="89" t="n">
        <f aca="false">IF(Y563=1,COUNTIFS($N$2:$N$601,N563,$Y$2:$Y$601,1),0)</f>
        <v>0</v>
      </c>
      <c r="AE563" s="43" t="str">
        <f aca="false">IF(Y563&lt;&gt;1,"",IF(AND(AC563&gt;=설정!$C$7,ISNUMBER(MATCH(Z563,피어커브!$A:$A,0))),Z563,IF(AND(AD563&gt;=설정!$C$7,ISNUMBER(MATCH(N563&amp;"|전체",피어커브!$A:$A,0))),N563&amp;"|전체","전체|전체")))</f>
        <v/>
      </c>
      <c r="AF563" s="93" t="str">
        <f aca="false">IF(AE563="","",INDEX(피어커브!$K:$K,MATCH(AE563,피어커브!$A:$A,0)))</f>
        <v/>
      </c>
      <c r="AG563" s="93" t="str">
        <f aca="false">IF(AE563="","",INDEX(피어커브!$J:$J,MATCH(AE563,피어커브!$A:$A,0)))</f>
        <v/>
      </c>
      <c r="AH563" s="93" t="str">
        <f aca="false">IF(AE563="","",INDEX(피어커브!$L:$L,MATCH(AE563,피어커브!$A:$A,0)))</f>
        <v/>
      </c>
      <c r="AI563" s="93" t="str">
        <f aca="false">IF(AE563="","",AF563+AG563*AA563)</f>
        <v/>
      </c>
      <c r="AJ563" s="96" t="str">
        <f aca="false">IF(AE563="","",E563-AI563)</f>
        <v/>
      </c>
      <c r="AK563" s="95" t="str">
        <f aca="false">IF(AE563="","",IF(ISNUMBER(AH563),IF(AH563&gt;0,AJ563/AH563,""),""))</f>
        <v/>
      </c>
      <c r="AL563" s="43" t="str">
        <f aca="false">IF(AK563="","-",IF(AK563&gt;=설정!$C$6,"Cheap",IF(AK563&lt;=-설정!$C$6,"Rich","Fair")))</f>
        <v>-</v>
      </c>
      <c r="AM563" s="96" t="str">
        <f aca="false">IF(AE563="","",AJ563-AVERAGEIFS($AJ$2:$AJ$601,$B$2:$B$601,B563,$Y$2:$Y$601,1))</f>
        <v/>
      </c>
      <c r="AN563" s="93" t="n">
        <f aca="false">IF(AE563="",0,IF(K563&gt;1+설정!$C$8,AG563*(AA563-LN(K563-1)),0))</f>
        <v>0</v>
      </c>
      <c r="AO563" s="99" t="n">
        <f aca="false">IF($A563="",0,SUMIFS(보유분석!$AA$2:$AA$801,보유분석!$AB$2:$AB$801,ROW(),보유분석!$AC$2:$AC$801,1))</f>
        <v>0</v>
      </c>
      <c r="AP563" s="43" t="str">
        <f aca="false">IF($A563="","",TRIM(IF(R563=1,"FRN ","")&amp;IF(IFERROR(VLOOKUP(M563,설정!$A$15:$D$47,4,0),0)&gt;=10,IF(IFERROR(VLOOKUP(M563,설정!$A$15:$D$47,4,0),0)&lt;99,"BBB0미만 ",""),"")&amp;IF(OR(M563="",M563="NR"),"등급미입력 ","")&amp;IF(C563&lt;&gt;"USD","비USD ","")))</f>
        <v/>
      </c>
      <c r="AQ563" s="90" t="n">
        <f aca="false">IF(AND(Y563=1,AL563="Cheap"),IF(AND(ISERROR(SEARCH("FRN",AP563)),ISERROR(SEARCH("BBB0미만",AP563))),AK563+ROW()/1000000000,-999),-999)</f>
        <v>-999</v>
      </c>
      <c r="AR563" s="92" t="str">
        <f aca="false">IF(AND(ISNUMBER(D563),ISNUMBER(K563)),D563+AN563*MAX(K563-1,0)/100,"")</f>
        <v/>
      </c>
      <c r="AS563" s="93" t="str">
        <f aca="false">IF(AND(ISNUMBER(E563),ISNUMBER(K563)),IF(K563&gt;0,(E563+AN563*MAX(K563-1,0))/K563,""),"")</f>
        <v/>
      </c>
      <c r="AT563" s="90" t="n">
        <f aca="false">IFERROR(IF(AND(Y563=1,ROW()&lt;&gt;스왑분석!$C$12+1,ABS(K563-INDEX($K$2:$K$601,스왑분석!$C$12))&lt;=스왑분석!$C$5,ISERROR(SEARCH("FRN",AP563)),ISERROR(SEARCH("BBB0미만",AP563))),IF(AND(OR(스왑분석!$C$6="N",L563=INDEX($L$2:$L$601,스왑분석!$C$12)),OR(스왑분석!$C$7="N",N563=INDEX($N$2:$N$601,스왑분석!$C$12)),OR(스왑분석!$C$8="N",AO563=0),E563-INDEX($E$2:$E$601,스왑분석!$C$12)&gt;=스왑분석!$C$9),E563-INDEX($E$2:$E$601,스왑분석!$C$12)+ROW()/1000000000,-999),-999),-999)</f>
        <v>-999</v>
      </c>
      <c r="AU563" s="90" t="n">
        <f aca="false">IF(AND(Y563=1,AO563&gt;0,AL563="Rich"),-AK563+ROW()/1000000000,-999)</f>
        <v>-999</v>
      </c>
    </row>
    <row r="564" customFormat="false" ht="15" hidden="false" customHeight="false" outlineLevel="0" collapsed="false">
      <c r="A564" s="83" t="n">
        <f aca="false">IFERROR(IF(INDEX(원자료_시장!$A$1:$BZ$1000,설정!$L$6+ROW()-1,설정!$L$24)&amp;""="0","",INDEX(원자료_시장!$A$1:$BZ$1000,설정!$L$6+ROW()-1,설정!$L$24)),"")</f>
        <v>0</v>
      </c>
      <c r="B564" s="83" t="n">
        <f aca="false">IFERROR(IF(INDEX(원자료_시장!$A$1:$BZ$1000,설정!$L$6+ROW()-1,설정!$L$37)&amp;""="0","",INDEX(원자료_시장!$A$1:$BZ$1000,설정!$L$6+ROW()-1,설정!$L$37)),"")</f>
        <v>0</v>
      </c>
      <c r="C564" s="83" t="n">
        <f aca="false">IFERROR(IF(INDEX(원자료_시장!$A$1:$BZ$1000,설정!$L$6+ROW()-1,설정!$L$25)&amp;""="0","",INDEX(원자료_시장!$A$1:$BZ$1000,설정!$L$6+ROW()-1,설정!$L$25)),"")</f>
        <v>0</v>
      </c>
      <c r="D564" s="85" t="str">
        <f aca="false">IFERROR(IF(ISNUMBER(INDEX(원자료_시장!$A$1:$BZ$1000,설정!$L$6+ROW()-1,설정!$L$26)),INDEX(원자료_시장!$A$1:$BZ$1000,설정!$L$6+ROW()-1,설정!$L$26),""),"")</f>
        <v/>
      </c>
      <c r="E564" s="97" t="str">
        <f aca="false">IFERROR(IF(ISNUMBER(INDEX(원자료_시장!$A$1:$BZ$1000,설정!$L$6+ROW()-1,설정!$L$27)),INDEX(원자료_시장!$A$1:$BZ$1000,설정!$L$6+ROW()-1,설정!$L$27),""),"")</f>
        <v/>
      </c>
      <c r="F564" s="97" t="str">
        <f aca="false">IFERROR(IF(ISNUMBER(INDEX(원자료_시장!$A$1:$BZ$1000,설정!$L$6+ROW()-1,설정!$L$28)),INDEX(원자료_시장!$A$1:$BZ$1000,설정!$L$6+ROW()-1,설정!$L$28),""),"")</f>
        <v/>
      </c>
      <c r="G564" s="97" t="str">
        <f aca="false">IFERROR(IF(ISNUMBER(INDEX(원자료_시장!$A$1:$BZ$1000,설정!$L$6+ROW()-1,설정!$L$29)),INDEX(원자료_시장!$A$1:$BZ$1000,설정!$L$6+ROW()-1,설정!$L$29),""),"")</f>
        <v/>
      </c>
      <c r="H564" s="97" t="str">
        <f aca="false">IFERROR(IF(ISNUMBER(INDEX(원자료_시장!$A$1:$BZ$1000,설정!$L$6+ROW()-1,설정!$L$30)),INDEX(원자료_시장!$A$1:$BZ$1000,설정!$L$6+ROW()-1,설정!$L$30),""),"")</f>
        <v/>
      </c>
      <c r="I564" s="97" t="str">
        <f aca="false">IFERROR(IF(ISNUMBER(INDEX(원자료_시장!$A$1:$BZ$1000,설정!$L$6+ROW()-1,설정!$L$31)),INDEX(원자료_시장!$A$1:$BZ$1000,설정!$L$6+ROW()-1,설정!$L$31),""),"")</f>
        <v/>
      </c>
      <c r="J564" s="97" t="str">
        <f aca="false">IFERROR(IF(ISNUMBER(INDEX(원자료_시장!$A$1:$BZ$1000,설정!$L$6+ROW()-1,설정!$L$32)),INDEX(원자료_시장!$A$1:$BZ$1000,설정!$L$6+ROW()-1,설정!$L$32),""),"")</f>
        <v/>
      </c>
      <c r="K564" s="85" t="str">
        <f aca="false">IFERROR(IF(ISNUMBER(INDEX(원자료_시장!$A$1:$BZ$1000,설정!$L$6+ROW()-1,설정!$L$33)),INDEX(원자료_시장!$A$1:$BZ$1000,설정!$L$6+ROW()-1,설정!$L$33),""),"")</f>
        <v/>
      </c>
      <c r="L564" s="83" t="n">
        <f aca="false">IFERROR(IF(INDEX(원자료_시장!$A$1:$BZ$1000,설정!$L$6+ROW()-1,설정!$L$34)&amp;""="0","",INDEX(원자료_시장!$A$1:$BZ$1000,설정!$L$6+ROW()-1,설정!$L$34)),"")</f>
        <v>0</v>
      </c>
      <c r="M564" s="83" t="n">
        <f aca="false">IFERROR(IF(INDEX(원자료_시장!$A$1:$BZ$1000,설정!$L$6+ROW()-1,설정!$L$35)&amp;""="0","",INDEX(원자료_시장!$A$1:$BZ$1000,설정!$L$6+ROW()-1,설정!$L$35)),"")</f>
        <v>0</v>
      </c>
      <c r="N564" s="83" t="n">
        <f aca="false">IFERROR(IF(INDEX(원자료_시장!$A$1:$BZ$1000,설정!$L$6+ROW()-1,설정!$L$36)&amp;""="0","",INDEX(원자료_시장!$A$1:$BZ$1000,설정!$L$6+ROW()-1,설정!$L$36)),"")</f>
        <v>0</v>
      </c>
      <c r="O564" s="43" t="str">
        <f aca="false">IF($A564="","",UPPER(LEFT($A564,FIND(" ",$A564&amp;" ")-1)))</f>
        <v/>
      </c>
      <c r="P564" s="43" t="str">
        <f aca="false">IF($A564="","",TRIM(RIGHT(SUBSTITUTE(TRIM($A564)," ",REPT(" ",30)),30)))</f>
        <v/>
      </c>
      <c r="Q564" s="98" t="str">
        <f aca="false">IF($A564="","",IFERROR(DATE(IF(LEN(P564)=8,2000+VALUE(RIGHT(P564,2)),VALUE(RIGHT(P564,4))),VALUE(LEFT(P564,2)),VALUE(MID(P564,4,2))),""))</f>
        <v/>
      </c>
      <c r="R564" s="89" t="n">
        <f aca="false">IF($A564="",0,IF(ISNUMBER(SEARCH("Float",$A564)),1,0))</f>
        <v>0</v>
      </c>
      <c r="S564" s="43" t="str">
        <f aca="false">IF($A564="","",TRIM(MID($A564,LEN(O564)+2,LEN($A564)-LEN(O564)-LEN(P564)-1)))</f>
        <v/>
      </c>
      <c r="T564" s="92" t="str">
        <f aca="false">IF(OR($A564="",R564=1),"",IFERROR(IF(ISNUMBER(FIND("/",S564)),IF(ISNUMBER(FIND(" ",S564)),VALUE(LEFT(S564,FIND(" ",S564)-1))+VALUE(MID(S564,FIND(" ",S564)+1,FIND("/",S564)-FIND(" ",S564)-1))/VALUE(MID(S564,FIND("/",S564)+1,9)),VALUE(LEFT(S564,FIND("/",S564)-1))/VALUE(MID(S564,FIND("/",S564)+1,9))),VALUE(S564)),""))</f>
        <v/>
      </c>
      <c r="U564" s="43" t="str">
        <f aca="false">IF(OR($A564="",NOT(ISNUMBER(Q564))),"",TEXT(Q564,"yyyymmdd")&amp;"|"&amp;IF(R564=1,"F",TEXT(T564,"0.000")))</f>
        <v/>
      </c>
      <c r="V564" s="43" t="str">
        <f aca="false">IF(U564="","",O564&amp;"|"&amp;U564)</f>
        <v/>
      </c>
      <c r="W564" s="43" t="str">
        <f aca="false">IF($A564="","",IFERROR(IF(VLOOKUP(O564,매핑!$A$4:$E$92,3,0)="","미분류",VLOOKUP(O564,매핑!$A$4:$E$92,3,0)),"미분류"))</f>
        <v/>
      </c>
      <c r="X564" s="89" t="n">
        <f aca="false">IF($A564="",0,IF(O564="T",1,0))</f>
        <v>0</v>
      </c>
      <c r="Y564" s="89" t="n">
        <f aca="false">IF($A564="",0,IF(AND(C564="USD",X564=0,ISNUMBER(E564),ISNUMBER(K564)),IF(K564&gt;=설정!$C$8,1,0),0))</f>
        <v>0</v>
      </c>
      <c r="Z564" s="43" t="str">
        <f aca="false">IF($A564="","",N564&amp;"|"&amp;L564)</f>
        <v/>
      </c>
      <c r="AA564" s="92" t="n">
        <f aca="false">IF(Y564=1,LN(K564),0)</f>
        <v>0</v>
      </c>
      <c r="AB564" s="93" t="n">
        <f aca="false">IF(Y564=1,E564,0)</f>
        <v>0</v>
      </c>
      <c r="AC564" s="89" t="n">
        <f aca="false">IF(Y564=1,COUNTIFS($Z$2:$Z$601,Z564,$Y$2:$Y$601,1),0)</f>
        <v>0</v>
      </c>
      <c r="AD564" s="89" t="n">
        <f aca="false">IF(Y564=1,COUNTIFS($N$2:$N$601,N564,$Y$2:$Y$601,1),0)</f>
        <v>0</v>
      </c>
      <c r="AE564" s="43" t="str">
        <f aca="false">IF(Y564&lt;&gt;1,"",IF(AND(AC564&gt;=설정!$C$7,ISNUMBER(MATCH(Z564,피어커브!$A:$A,0))),Z564,IF(AND(AD564&gt;=설정!$C$7,ISNUMBER(MATCH(N564&amp;"|전체",피어커브!$A:$A,0))),N564&amp;"|전체","전체|전체")))</f>
        <v/>
      </c>
      <c r="AF564" s="93" t="str">
        <f aca="false">IF(AE564="","",INDEX(피어커브!$K:$K,MATCH(AE564,피어커브!$A:$A,0)))</f>
        <v/>
      </c>
      <c r="AG564" s="93" t="str">
        <f aca="false">IF(AE564="","",INDEX(피어커브!$J:$J,MATCH(AE564,피어커브!$A:$A,0)))</f>
        <v/>
      </c>
      <c r="AH564" s="93" t="str">
        <f aca="false">IF(AE564="","",INDEX(피어커브!$L:$L,MATCH(AE564,피어커브!$A:$A,0)))</f>
        <v/>
      </c>
      <c r="AI564" s="93" t="str">
        <f aca="false">IF(AE564="","",AF564+AG564*AA564)</f>
        <v/>
      </c>
      <c r="AJ564" s="96" t="str">
        <f aca="false">IF(AE564="","",E564-AI564)</f>
        <v/>
      </c>
      <c r="AK564" s="95" t="str">
        <f aca="false">IF(AE564="","",IF(ISNUMBER(AH564),IF(AH564&gt;0,AJ564/AH564,""),""))</f>
        <v/>
      </c>
      <c r="AL564" s="43" t="str">
        <f aca="false">IF(AK564="","-",IF(AK564&gt;=설정!$C$6,"Cheap",IF(AK564&lt;=-설정!$C$6,"Rich","Fair")))</f>
        <v>-</v>
      </c>
      <c r="AM564" s="96" t="str">
        <f aca="false">IF(AE564="","",AJ564-AVERAGEIFS($AJ$2:$AJ$601,$B$2:$B$601,B564,$Y$2:$Y$601,1))</f>
        <v/>
      </c>
      <c r="AN564" s="93" t="n">
        <f aca="false">IF(AE564="",0,IF(K564&gt;1+설정!$C$8,AG564*(AA564-LN(K564-1)),0))</f>
        <v>0</v>
      </c>
      <c r="AO564" s="99" t="n">
        <f aca="false">IF($A564="",0,SUMIFS(보유분석!$AA$2:$AA$801,보유분석!$AB$2:$AB$801,ROW(),보유분석!$AC$2:$AC$801,1))</f>
        <v>0</v>
      </c>
      <c r="AP564" s="43" t="str">
        <f aca="false">IF($A564="","",TRIM(IF(R564=1,"FRN ","")&amp;IF(IFERROR(VLOOKUP(M564,설정!$A$15:$D$47,4,0),0)&gt;=10,IF(IFERROR(VLOOKUP(M564,설정!$A$15:$D$47,4,0),0)&lt;99,"BBB0미만 ",""),"")&amp;IF(OR(M564="",M564="NR"),"등급미입력 ","")&amp;IF(C564&lt;&gt;"USD","비USD ","")))</f>
        <v/>
      </c>
      <c r="AQ564" s="90" t="n">
        <f aca="false">IF(AND(Y564=1,AL564="Cheap"),IF(AND(ISERROR(SEARCH("FRN",AP564)),ISERROR(SEARCH("BBB0미만",AP564))),AK564+ROW()/1000000000,-999),-999)</f>
        <v>-999</v>
      </c>
      <c r="AR564" s="92" t="str">
        <f aca="false">IF(AND(ISNUMBER(D564),ISNUMBER(K564)),D564+AN564*MAX(K564-1,0)/100,"")</f>
        <v/>
      </c>
      <c r="AS564" s="93" t="str">
        <f aca="false">IF(AND(ISNUMBER(E564),ISNUMBER(K564)),IF(K564&gt;0,(E564+AN564*MAX(K564-1,0))/K564,""),"")</f>
        <v/>
      </c>
      <c r="AT564" s="90" t="n">
        <f aca="false">IFERROR(IF(AND(Y564=1,ROW()&lt;&gt;스왑분석!$C$12+1,ABS(K564-INDEX($K$2:$K$601,스왑분석!$C$12))&lt;=스왑분석!$C$5,ISERROR(SEARCH("FRN",AP564)),ISERROR(SEARCH("BBB0미만",AP564))),IF(AND(OR(스왑분석!$C$6="N",L564=INDEX($L$2:$L$601,스왑분석!$C$12)),OR(스왑분석!$C$7="N",N564=INDEX($N$2:$N$601,스왑분석!$C$12)),OR(스왑분석!$C$8="N",AO564=0),E564-INDEX($E$2:$E$601,스왑분석!$C$12)&gt;=스왑분석!$C$9),E564-INDEX($E$2:$E$601,스왑분석!$C$12)+ROW()/1000000000,-999),-999),-999)</f>
        <v>-999</v>
      </c>
      <c r="AU564" s="90" t="n">
        <f aca="false">IF(AND(Y564=1,AO564&gt;0,AL564="Rich"),-AK564+ROW()/1000000000,-999)</f>
        <v>-999</v>
      </c>
    </row>
    <row r="565" customFormat="false" ht="15" hidden="false" customHeight="false" outlineLevel="0" collapsed="false">
      <c r="A565" s="83" t="n">
        <f aca="false">IFERROR(IF(INDEX(원자료_시장!$A$1:$BZ$1000,설정!$L$6+ROW()-1,설정!$L$24)&amp;""="0","",INDEX(원자료_시장!$A$1:$BZ$1000,설정!$L$6+ROW()-1,설정!$L$24)),"")</f>
        <v>0</v>
      </c>
      <c r="B565" s="83" t="n">
        <f aca="false">IFERROR(IF(INDEX(원자료_시장!$A$1:$BZ$1000,설정!$L$6+ROW()-1,설정!$L$37)&amp;""="0","",INDEX(원자료_시장!$A$1:$BZ$1000,설정!$L$6+ROW()-1,설정!$L$37)),"")</f>
        <v>0</v>
      </c>
      <c r="C565" s="83" t="n">
        <f aca="false">IFERROR(IF(INDEX(원자료_시장!$A$1:$BZ$1000,설정!$L$6+ROW()-1,설정!$L$25)&amp;""="0","",INDEX(원자료_시장!$A$1:$BZ$1000,설정!$L$6+ROW()-1,설정!$L$25)),"")</f>
        <v>0</v>
      </c>
      <c r="D565" s="85" t="str">
        <f aca="false">IFERROR(IF(ISNUMBER(INDEX(원자료_시장!$A$1:$BZ$1000,설정!$L$6+ROW()-1,설정!$L$26)),INDEX(원자료_시장!$A$1:$BZ$1000,설정!$L$6+ROW()-1,설정!$L$26),""),"")</f>
        <v/>
      </c>
      <c r="E565" s="97" t="str">
        <f aca="false">IFERROR(IF(ISNUMBER(INDEX(원자료_시장!$A$1:$BZ$1000,설정!$L$6+ROW()-1,설정!$L$27)),INDEX(원자료_시장!$A$1:$BZ$1000,설정!$L$6+ROW()-1,설정!$L$27),""),"")</f>
        <v/>
      </c>
      <c r="F565" s="97" t="str">
        <f aca="false">IFERROR(IF(ISNUMBER(INDEX(원자료_시장!$A$1:$BZ$1000,설정!$L$6+ROW()-1,설정!$L$28)),INDEX(원자료_시장!$A$1:$BZ$1000,설정!$L$6+ROW()-1,설정!$L$28),""),"")</f>
        <v/>
      </c>
      <c r="G565" s="97" t="str">
        <f aca="false">IFERROR(IF(ISNUMBER(INDEX(원자료_시장!$A$1:$BZ$1000,설정!$L$6+ROW()-1,설정!$L$29)),INDEX(원자료_시장!$A$1:$BZ$1000,설정!$L$6+ROW()-1,설정!$L$29),""),"")</f>
        <v/>
      </c>
      <c r="H565" s="97" t="str">
        <f aca="false">IFERROR(IF(ISNUMBER(INDEX(원자료_시장!$A$1:$BZ$1000,설정!$L$6+ROW()-1,설정!$L$30)),INDEX(원자료_시장!$A$1:$BZ$1000,설정!$L$6+ROW()-1,설정!$L$30),""),"")</f>
        <v/>
      </c>
      <c r="I565" s="97" t="str">
        <f aca="false">IFERROR(IF(ISNUMBER(INDEX(원자료_시장!$A$1:$BZ$1000,설정!$L$6+ROW()-1,설정!$L$31)),INDEX(원자료_시장!$A$1:$BZ$1000,설정!$L$6+ROW()-1,설정!$L$31),""),"")</f>
        <v/>
      </c>
      <c r="J565" s="97" t="str">
        <f aca="false">IFERROR(IF(ISNUMBER(INDEX(원자료_시장!$A$1:$BZ$1000,설정!$L$6+ROW()-1,설정!$L$32)),INDEX(원자료_시장!$A$1:$BZ$1000,설정!$L$6+ROW()-1,설정!$L$32),""),"")</f>
        <v/>
      </c>
      <c r="K565" s="85" t="str">
        <f aca="false">IFERROR(IF(ISNUMBER(INDEX(원자료_시장!$A$1:$BZ$1000,설정!$L$6+ROW()-1,설정!$L$33)),INDEX(원자료_시장!$A$1:$BZ$1000,설정!$L$6+ROW()-1,설정!$L$33),""),"")</f>
        <v/>
      </c>
      <c r="L565" s="83" t="n">
        <f aca="false">IFERROR(IF(INDEX(원자료_시장!$A$1:$BZ$1000,설정!$L$6+ROW()-1,설정!$L$34)&amp;""="0","",INDEX(원자료_시장!$A$1:$BZ$1000,설정!$L$6+ROW()-1,설정!$L$34)),"")</f>
        <v>0</v>
      </c>
      <c r="M565" s="83" t="n">
        <f aca="false">IFERROR(IF(INDEX(원자료_시장!$A$1:$BZ$1000,설정!$L$6+ROW()-1,설정!$L$35)&amp;""="0","",INDEX(원자료_시장!$A$1:$BZ$1000,설정!$L$6+ROW()-1,설정!$L$35)),"")</f>
        <v>0</v>
      </c>
      <c r="N565" s="83" t="n">
        <f aca="false">IFERROR(IF(INDEX(원자료_시장!$A$1:$BZ$1000,설정!$L$6+ROW()-1,설정!$L$36)&amp;""="0","",INDEX(원자료_시장!$A$1:$BZ$1000,설정!$L$6+ROW()-1,설정!$L$36)),"")</f>
        <v>0</v>
      </c>
      <c r="O565" s="43" t="str">
        <f aca="false">IF($A565="","",UPPER(LEFT($A565,FIND(" ",$A565&amp;" ")-1)))</f>
        <v/>
      </c>
      <c r="P565" s="43" t="str">
        <f aca="false">IF($A565="","",TRIM(RIGHT(SUBSTITUTE(TRIM($A565)," ",REPT(" ",30)),30)))</f>
        <v/>
      </c>
      <c r="Q565" s="98" t="str">
        <f aca="false">IF($A565="","",IFERROR(DATE(IF(LEN(P565)=8,2000+VALUE(RIGHT(P565,2)),VALUE(RIGHT(P565,4))),VALUE(LEFT(P565,2)),VALUE(MID(P565,4,2))),""))</f>
        <v/>
      </c>
      <c r="R565" s="89" t="n">
        <f aca="false">IF($A565="",0,IF(ISNUMBER(SEARCH("Float",$A565)),1,0))</f>
        <v>0</v>
      </c>
      <c r="S565" s="43" t="str">
        <f aca="false">IF($A565="","",TRIM(MID($A565,LEN(O565)+2,LEN($A565)-LEN(O565)-LEN(P565)-1)))</f>
        <v/>
      </c>
      <c r="T565" s="92" t="str">
        <f aca="false">IF(OR($A565="",R565=1),"",IFERROR(IF(ISNUMBER(FIND("/",S565)),IF(ISNUMBER(FIND(" ",S565)),VALUE(LEFT(S565,FIND(" ",S565)-1))+VALUE(MID(S565,FIND(" ",S565)+1,FIND("/",S565)-FIND(" ",S565)-1))/VALUE(MID(S565,FIND("/",S565)+1,9)),VALUE(LEFT(S565,FIND("/",S565)-1))/VALUE(MID(S565,FIND("/",S565)+1,9))),VALUE(S565)),""))</f>
        <v/>
      </c>
      <c r="U565" s="43" t="str">
        <f aca="false">IF(OR($A565="",NOT(ISNUMBER(Q565))),"",TEXT(Q565,"yyyymmdd")&amp;"|"&amp;IF(R565=1,"F",TEXT(T565,"0.000")))</f>
        <v/>
      </c>
      <c r="V565" s="43" t="str">
        <f aca="false">IF(U565="","",O565&amp;"|"&amp;U565)</f>
        <v/>
      </c>
      <c r="W565" s="43" t="str">
        <f aca="false">IF($A565="","",IFERROR(IF(VLOOKUP(O565,매핑!$A$4:$E$92,3,0)="","미분류",VLOOKUP(O565,매핑!$A$4:$E$92,3,0)),"미분류"))</f>
        <v/>
      </c>
      <c r="X565" s="89" t="n">
        <f aca="false">IF($A565="",0,IF(O565="T",1,0))</f>
        <v>0</v>
      </c>
      <c r="Y565" s="89" t="n">
        <f aca="false">IF($A565="",0,IF(AND(C565="USD",X565=0,ISNUMBER(E565),ISNUMBER(K565)),IF(K565&gt;=설정!$C$8,1,0),0))</f>
        <v>0</v>
      </c>
      <c r="Z565" s="43" t="str">
        <f aca="false">IF($A565="","",N565&amp;"|"&amp;L565)</f>
        <v/>
      </c>
      <c r="AA565" s="92" t="n">
        <f aca="false">IF(Y565=1,LN(K565),0)</f>
        <v>0</v>
      </c>
      <c r="AB565" s="93" t="n">
        <f aca="false">IF(Y565=1,E565,0)</f>
        <v>0</v>
      </c>
      <c r="AC565" s="89" t="n">
        <f aca="false">IF(Y565=1,COUNTIFS($Z$2:$Z$601,Z565,$Y$2:$Y$601,1),0)</f>
        <v>0</v>
      </c>
      <c r="AD565" s="89" t="n">
        <f aca="false">IF(Y565=1,COUNTIFS($N$2:$N$601,N565,$Y$2:$Y$601,1),0)</f>
        <v>0</v>
      </c>
      <c r="AE565" s="43" t="str">
        <f aca="false">IF(Y565&lt;&gt;1,"",IF(AND(AC565&gt;=설정!$C$7,ISNUMBER(MATCH(Z565,피어커브!$A:$A,0))),Z565,IF(AND(AD565&gt;=설정!$C$7,ISNUMBER(MATCH(N565&amp;"|전체",피어커브!$A:$A,0))),N565&amp;"|전체","전체|전체")))</f>
        <v/>
      </c>
      <c r="AF565" s="93" t="str">
        <f aca="false">IF(AE565="","",INDEX(피어커브!$K:$K,MATCH(AE565,피어커브!$A:$A,0)))</f>
        <v/>
      </c>
      <c r="AG565" s="93" t="str">
        <f aca="false">IF(AE565="","",INDEX(피어커브!$J:$J,MATCH(AE565,피어커브!$A:$A,0)))</f>
        <v/>
      </c>
      <c r="AH565" s="93" t="str">
        <f aca="false">IF(AE565="","",INDEX(피어커브!$L:$L,MATCH(AE565,피어커브!$A:$A,0)))</f>
        <v/>
      </c>
      <c r="AI565" s="93" t="str">
        <f aca="false">IF(AE565="","",AF565+AG565*AA565)</f>
        <v/>
      </c>
      <c r="AJ565" s="96" t="str">
        <f aca="false">IF(AE565="","",E565-AI565)</f>
        <v/>
      </c>
      <c r="AK565" s="95" t="str">
        <f aca="false">IF(AE565="","",IF(ISNUMBER(AH565),IF(AH565&gt;0,AJ565/AH565,""),""))</f>
        <v/>
      </c>
      <c r="AL565" s="43" t="str">
        <f aca="false">IF(AK565="","-",IF(AK565&gt;=설정!$C$6,"Cheap",IF(AK565&lt;=-설정!$C$6,"Rich","Fair")))</f>
        <v>-</v>
      </c>
      <c r="AM565" s="96" t="str">
        <f aca="false">IF(AE565="","",AJ565-AVERAGEIFS($AJ$2:$AJ$601,$B$2:$B$601,B565,$Y$2:$Y$601,1))</f>
        <v/>
      </c>
      <c r="AN565" s="93" t="n">
        <f aca="false">IF(AE565="",0,IF(K565&gt;1+설정!$C$8,AG565*(AA565-LN(K565-1)),0))</f>
        <v>0</v>
      </c>
      <c r="AO565" s="99" t="n">
        <f aca="false">IF($A565="",0,SUMIFS(보유분석!$AA$2:$AA$801,보유분석!$AB$2:$AB$801,ROW(),보유분석!$AC$2:$AC$801,1))</f>
        <v>0</v>
      </c>
      <c r="AP565" s="43" t="str">
        <f aca="false">IF($A565="","",TRIM(IF(R565=1,"FRN ","")&amp;IF(IFERROR(VLOOKUP(M565,설정!$A$15:$D$47,4,0),0)&gt;=10,IF(IFERROR(VLOOKUP(M565,설정!$A$15:$D$47,4,0),0)&lt;99,"BBB0미만 ",""),"")&amp;IF(OR(M565="",M565="NR"),"등급미입력 ","")&amp;IF(C565&lt;&gt;"USD","비USD ","")))</f>
        <v/>
      </c>
      <c r="AQ565" s="90" t="n">
        <f aca="false">IF(AND(Y565=1,AL565="Cheap"),IF(AND(ISERROR(SEARCH("FRN",AP565)),ISERROR(SEARCH("BBB0미만",AP565))),AK565+ROW()/1000000000,-999),-999)</f>
        <v>-999</v>
      </c>
      <c r="AR565" s="92" t="str">
        <f aca="false">IF(AND(ISNUMBER(D565),ISNUMBER(K565)),D565+AN565*MAX(K565-1,0)/100,"")</f>
        <v/>
      </c>
      <c r="AS565" s="93" t="str">
        <f aca="false">IF(AND(ISNUMBER(E565),ISNUMBER(K565)),IF(K565&gt;0,(E565+AN565*MAX(K565-1,0))/K565,""),"")</f>
        <v/>
      </c>
      <c r="AT565" s="90" t="n">
        <f aca="false">IFERROR(IF(AND(Y565=1,ROW()&lt;&gt;스왑분석!$C$12+1,ABS(K565-INDEX($K$2:$K$601,스왑분석!$C$12))&lt;=스왑분석!$C$5,ISERROR(SEARCH("FRN",AP565)),ISERROR(SEARCH("BBB0미만",AP565))),IF(AND(OR(스왑분석!$C$6="N",L565=INDEX($L$2:$L$601,스왑분석!$C$12)),OR(스왑분석!$C$7="N",N565=INDEX($N$2:$N$601,스왑분석!$C$12)),OR(스왑분석!$C$8="N",AO565=0),E565-INDEX($E$2:$E$601,스왑분석!$C$12)&gt;=스왑분석!$C$9),E565-INDEX($E$2:$E$601,스왑분석!$C$12)+ROW()/1000000000,-999),-999),-999)</f>
        <v>-999</v>
      </c>
      <c r="AU565" s="90" t="n">
        <f aca="false">IF(AND(Y565=1,AO565&gt;0,AL565="Rich"),-AK565+ROW()/1000000000,-999)</f>
        <v>-999</v>
      </c>
    </row>
    <row r="566" customFormat="false" ht="15" hidden="false" customHeight="false" outlineLevel="0" collapsed="false">
      <c r="A566" s="83" t="n">
        <f aca="false">IFERROR(IF(INDEX(원자료_시장!$A$1:$BZ$1000,설정!$L$6+ROW()-1,설정!$L$24)&amp;""="0","",INDEX(원자료_시장!$A$1:$BZ$1000,설정!$L$6+ROW()-1,설정!$L$24)),"")</f>
        <v>0</v>
      </c>
      <c r="B566" s="83" t="n">
        <f aca="false">IFERROR(IF(INDEX(원자료_시장!$A$1:$BZ$1000,설정!$L$6+ROW()-1,설정!$L$37)&amp;""="0","",INDEX(원자료_시장!$A$1:$BZ$1000,설정!$L$6+ROW()-1,설정!$L$37)),"")</f>
        <v>0</v>
      </c>
      <c r="C566" s="83" t="n">
        <f aca="false">IFERROR(IF(INDEX(원자료_시장!$A$1:$BZ$1000,설정!$L$6+ROW()-1,설정!$L$25)&amp;""="0","",INDEX(원자료_시장!$A$1:$BZ$1000,설정!$L$6+ROW()-1,설정!$L$25)),"")</f>
        <v>0</v>
      </c>
      <c r="D566" s="85" t="str">
        <f aca="false">IFERROR(IF(ISNUMBER(INDEX(원자료_시장!$A$1:$BZ$1000,설정!$L$6+ROW()-1,설정!$L$26)),INDEX(원자료_시장!$A$1:$BZ$1000,설정!$L$6+ROW()-1,설정!$L$26),""),"")</f>
        <v/>
      </c>
      <c r="E566" s="97" t="str">
        <f aca="false">IFERROR(IF(ISNUMBER(INDEX(원자료_시장!$A$1:$BZ$1000,설정!$L$6+ROW()-1,설정!$L$27)),INDEX(원자료_시장!$A$1:$BZ$1000,설정!$L$6+ROW()-1,설정!$L$27),""),"")</f>
        <v/>
      </c>
      <c r="F566" s="97" t="str">
        <f aca="false">IFERROR(IF(ISNUMBER(INDEX(원자료_시장!$A$1:$BZ$1000,설정!$L$6+ROW()-1,설정!$L$28)),INDEX(원자료_시장!$A$1:$BZ$1000,설정!$L$6+ROW()-1,설정!$L$28),""),"")</f>
        <v/>
      </c>
      <c r="G566" s="97" t="str">
        <f aca="false">IFERROR(IF(ISNUMBER(INDEX(원자료_시장!$A$1:$BZ$1000,설정!$L$6+ROW()-1,설정!$L$29)),INDEX(원자료_시장!$A$1:$BZ$1000,설정!$L$6+ROW()-1,설정!$L$29),""),"")</f>
        <v/>
      </c>
      <c r="H566" s="97" t="str">
        <f aca="false">IFERROR(IF(ISNUMBER(INDEX(원자료_시장!$A$1:$BZ$1000,설정!$L$6+ROW()-1,설정!$L$30)),INDEX(원자료_시장!$A$1:$BZ$1000,설정!$L$6+ROW()-1,설정!$L$30),""),"")</f>
        <v/>
      </c>
      <c r="I566" s="97" t="str">
        <f aca="false">IFERROR(IF(ISNUMBER(INDEX(원자료_시장!$A$1:$BZ$1000,설정!$L$6+ROW()-1,설정!$L$31)),INDEX(원자료_시장!$A$1:$BZ$1000,설정!$L$6+ROW()-1,설정!$L$31),""),"")</f>
        <v/>
      </c>
      <c r="J566" s="97" t="str">
        <f aca="false">IFERROR(IF(ISNUMBER(INDEX(원자료_시장!$A$1:$BZ$1000,설정!$L$6+ROW()-1,설정!$L$32)),INDEX(원자료_시장!$A$1:$BZ$1000,설정!$L$6+ROW()-1,설정!$L$32),""),"")</f>
        <v/>
      </c>
      <c r="K566" s="85" t="str">
        <f aca="false">IFERROR(IF(ISNUMBER(INDEX(원자료_시장!$A$1:$BZ$1000,설정!$L$6+ROW()-1,설정!$L$33)),INDEX(원자료_시장!$A$1:$BZ$1000,설정!$L$6+ROW()-1,설정!$L$33),""),"")</f>
        <v/>
      </c>
      <c r="L566" s="83" t="n">
        <f aca="false">IFERROR(IF(INDEX(원자료_시장!$A$1:$BZ$1000,설정!$L$6+ROW()-1,설정!$L$34)&amp;""="0","",INDEX(원자료_시장!$A$1:$BZ$1000,설정!$L$6+ROW()-1,설정!$L$34)),"")</f>
        <v>0</v>
      </c>
      <c r="M566" s="83" t="n">
        <f aca="false">IFERROR(IF(INDEX(원자료_시장!$A$1:$BZ$1000,설정!$L$6+ROW()-1,설정!$L$35)&amp;""="0","",INDEX(원자료_시장!$A$1:$BZ$1000,설정!$L$6+ROW()-1,설정!$L$35)),"")</f>
        <v>0</v>
      </c>
      <c r="N566" s="83" t="n">
        <f aca="false">IFERROR(IF(INDEX(원자료_시장!$A$1:$BZ$1000,설정!$L$6+ROW()-1,설정!$L$36)&amp;""="0","",INDEX(원자료_시장!$A$1:$BZ$1000,설정!$L$6+ROW()-1,설정!$L$36)),"")</f>
        <v>0</v>
      </c>
      <c r="O566" s="43" t="str">
        <f aca="false">IF($A566="","",UPPER(LEFT($A566,FIND(" ",$A566&amp;" ")-1)))</f>
        <v/>
      </c>
      <c r="P566" s="43" t="str">
        <f aca="false">IF($A566="","",TRIM(RIGHT(SUBSTITUTE(TRIM($A566)," ",REPT(" ",30)),30)))</f>
        <v/>
      </c>
      <c r="Q566" s="98" t="str">
        <f aca="false">IF($A566="","",IFERROR(DATE(IF(LEN(P566)=8,2000+VALUE(RIGHT(P566,2)),VALUE(RIGHT(P566,4))),VALUE(LEFT(P566,2)),VALUE(MID(P566,4,2))),""))</f>
        <v/>
      </c>
      <c r="R566" s="89" t="n">
        <f aca="false">IF($A566="",0,IF(ISNUMBER(SEARCH("Float",$A566)),1,0))</f>
        <v>0</v>
      </c>
      <c r="S566" s="43" t="str">
        <f aca="false">IF($A566="","",TRIM(MID($A566,LEN(O566)+2,LEN($A566)-LEN(O566)-LEN(P566)-1)))</f>
        <v/>
      </c>
      <c r="T566" s="92" t="str">
        <f aca="false">IF(OR($A566="",R566=1),"",IFERROR(IF(ISNUMBER(FIND("/",S566)),IF(ISNUMBER(FIND(" ",S566)),VALUE(LEFT(S566,FIND(" ",S566)-1))+VALUE(MID(S566,FIND(" ",S566)+1,FIND("/",S566)-FIND(" ",S566)-1))/VALUE(MID(S566,FIND("/",S566)+1,9)),VALUE(LEFT(S566,FIND("/",S566)-1))/VALUE(MID(S566,FIND("/",S566)+1,9))),VALUE(S566)),""))</f>
        <v/>
      </c>
      <c r="U566" s="43" t="str">
        <f aca="false">IF(OR($A566="",NOT(ISNUMBER(Q566))),"",TEXT(Q566,"yyyymmdd")&amp;"|"&amp;IF(R566=1,"F",TEXT(T566,"0.000")))</f>
        <v/>
      </c>
      <c r="V566" s="43" t="str">
        <f aca="false">IF(U566="","",O566&amp;"|"&amp;U566)</f>
        <v/>
      </c>
      <c r="W566" s="43" t="str">
        <f aca="false">IF($A566="","",IFERROR(IF(VLOOKUP(O566,매핑!$A$4:$E$92,3,0)="","미분류",VLOOKUP(O566,매핑!$A$4:$E$92,3,0)),"미분류"))</f>
        <v/>
      </c>
      <c r="X566" s="89" t="n">
        <f aca="false">IF($A566="",0,IF(O566="T",1,0))</f>
        <v>0</v>
      </c>
      <c r="Y566" s="89" t="n">
        <f aca="false">IF($A566="",0,IF(AND(C566="USD",X566=0,ISNUMBER(E566),ISNUMBER(K566)),IF(K566&gt;=설정!$C$8,1,0),0))</f>
        <v>0</v>
      </c>
      <c r="Z566" s="43" t="str">
        <f aca="false">IF($A566="","",N566&amp;"|"&amp;L566)</f>
        <v/>
      </c>
      <c r="AA566" s="92" t="n">
        <f aca="false">IF(Y566=1,LN(K566),0)</f>
        <v>0</v>
      </c>
      <c r="AB566" s="93" t="n">
        <f aca="false">IF(Y566=1,E566,0)</f>
        <v>0</v>
      </c>
      <c r="AC566" s="89" t="n">
        <f aca="false">IF(Y566=1,COUNTIFS($Z$2:$Z$601,Z566,$Y$2:$Y$601,1),0)</f>
        <v>0</v>
      </c>
      <c r="AD566" s="89" t="n">
        <f aca="false">IF(Y566=1,COUNTIFS($N$2:$N$601,N566,$Y$2:$Y$601,1),0)</f>
        <v>0</v>
      </c>
      <c r="AE566" s="43" t="str">
        <f aca="false">IF(Y566&lt;&gt;1,"",IF(AND(AC566&gt;=설정!$C$7,ISNUMBER(MATCH(Z566,피어커브!$A:$A,0))),Z566,IF(AND(AD566&gt;=설정!$C$7,ISNUMBER(MATCH(N566&amp;"|전체",피어커브!$A:$A,0))),N566&amp;"|전체","전체|전체")))</f>
        <v/>
      </c>
      <c r="AF566" s="93" t="str">
        <f aca="false">IF(AE566="","",INDEX(피어커브!$K:$K,MATCH(AE566,피어커브!$A:$A,0)))</f>
        <v/>
      </c>
      <c r="AG566" s="93" t="str">
        <f aca="false">IF(AE566="","",INDEX(피어커브!$J:$J,MATCH(AE566,피어커브!$A:$A,0)))</f>
        <v/>
      </c>
      <c r="AH566" s="93" t="str">
        <f aca="false">IF(AE566="","",INDEX(피어커브!$L:$L,MATCH(AE566,피어커브!$A:$A,0)))</f>
        <v/>
      </c>
      <c r="AI566" s="93" t="str">
        <f aca="false">IF(AE566="","",AF566+AG566*AA566)</f>
        <v/>
      </c>
      <c r="AJ566" s="96" t="str">
        <f aca="false">IF(AE566="","",E566-AI566)</f>
        <v/>
      </c>
      <c r="AK566" s="95" t="str">
        <f aca="false">IF(AE566="","",IF(ISNUMBER(AH566),IF(AH566&gt;0,AJ566/AH566,""),""))</f>
        <v/>
      </c>
      <c r="AL566" s="43" t="str">
        <f aca="false">IF(AK566="","-",IF(AK566&gt;=설정!$C$6,"Cheap",IF(AK566&lt;=-설정!$C$6,"Rich","Fair")))</f>
        <v>-</v>
      </c>
      <c r="AM566" s="96" t="str">
        <f aca="false">IF(AE566="","",AJ566-AVERAGEIFS($AJ$2:$AJ$601,$B$2:$B$601,B566,$Y$2:$Y$601,1))</f>
        <v/>
      </c>
      <c r="AN566" s="93" t="n">
        <f aca="false">IF(AE566="",0,IF(K566&gt;1+설정!$C$8,AG566*(AA566-LN(K566-1)),0))</f>
        <v>0</v>
      </c>
      <c r="AO566" s="99" t="n">
        <f aca="false">IF($A566="",0,SUMIFS(보유분석!$AA$2:$AA$801,보유분석!$AB$2:$AB$801,ROW(),보유분석!$AC$2:$AC$801,1))</f>
        <v>0</v>
      </c>
      <c r="AP566" s="43" t="str">
        <f aca="false">IF($A566="","",TRIM(IF(R566=1,"FRN ","")&amp;IF(IFERROR(VLOOKUP(M566,설정!$A$15:$D$47,4,0),0)&gt;=10,IF(IFERROR(VLOOKUP(M566,설정!$A$15:$D$47,4,0),0)&lt;99,"BBB0미만 ",""),"")&amp;IF(OR(M566="",M566="NR"),"등급미입력 ","")&amp;IF(C566&lt;&gt;"USD","비USD ","")))</f>
        <v/>
      </c>
      <c r="AQ566" s="90" t="n">
        <f aca="false">IF(AND(Y566=1,AL566="Cheap"),IF(AND(ISERROR(SEARCH("FRN",AP566)),ISERROR(SEARCH("BBB0미만",AP566))),AK566+ROW()/1000000000,-999),-999)</f>
        <v>-999</v>
      </c>
      <c r="AR566" s="92" t="str">
        <f aca="false">IF(AND(ISNUMBER(D566),ISNUMBER(K566)),D566+AN566*MAX(K566-1,0)/100,"")</f>
        <v/>
      </c>
      <c r="AS566" s="93" t="str">
        <f aca="false">IF(AND(ISNUMBER(E566),ISNUMBER(K566)),IF(K566&gt;0,(E566+AN566*MAX(K566-1,0))/K566,""),"")</f>
        <v/>
      </c>
      <c r="AT566" s="90" t="n">
        <f aca="false">IFERROR(IF(AND(Y566=1,ROW()&lt;&gt;스왑분석!$C$12+1,ABS(K566-INDEX($K$2:$K$601,스왑분석!$C$12))&lt;=스왑분석!$C$5,ISERROR(SEARCH("FRN",AP566)),ISERROR(SEARCH("BBB0미만",AP566))),IF(AND(OR(스왑분석!$C$6="N",L566=INDEX($L$2:$L$601,스왑분석!$C$12)),OR(스왑분석!$C$7="N",N566=INDEX($N$2:$N$601,스왑분석!$C$12)),OR(스왑분석!$C$8="N",AO566=0),E566-INDEX($E$2:$E$601,스왑분석!$C$12)&gt;=스왑분석!$C$9),E566-INDEX($E$2:$E$601,스왑분석!$C$12)+ROW()/1000000000,-999),-999),-999)</f>
        <v>-999</v>
      </c>
      <c r="AU566" s="90" t="n">
        <f aca="false">IF(AND(Y566=1,AO566&gt;0,AL566="Rich"),-AK566+ROW()/1000000000,-999)</f>
        <v>-999</v>
      </c>
    </row>
    <row r="567" customFormat="false" ht="15" hidden="false" customHeight="false" outlineLevel="0" collapsed="false">
      <c r="A567" s="83" t="n">
        <f aca="false">IFERROR(IF(INDEX(원자료_시장!$A$1:$BZ$1000,설정!$L$6+ROW()-1,설정!$L$24)&amp;""="0","",INDEX(원자료_시장!$A$1:$BZ$1000,설정!$L$6+ROW()-1,설정!$L$24)),"")</f>
        <v>0</v>
      </c>
      <c r="B567" s="83" t="n">
        <f aca="false">IFERROR(IF(INDEX(원자료_시장!$A$1:$BZ$1000,설정!$L$6+ROW()-1,설정!$L$37)&amp;""="0","",INDEX(원자료_시장!$A$1:$BZ$1000,설정!$L$6+ROW()-1,설정!$L$37)),"")</f>
        <v>0</v>
      </c>
      <c r="C567" s="83" t="n">
        <f aca="false">IFERROR(IF(INDEX(원자료_시장!$A$1:$BZ$1000,설정!$L$6+ROW()-1,설정!$L$25)&amp;""="0","",INDEX(원자료_시장!$A$1:$BZ$1000,설정!$L$6+ROW()-1,설정!$L$25)),"")</f>
        <v>0</v>
      </c>
      <c r="D567" s="85" t="str">
        <f aca="false">IFERROR(IF(ISNUMBER(INDEX(원자료_시장!$A$1:$BZ$1000,설정!$L$6+ROW()-1,설정!$L$26)),INDEX(원자료_시장!$A$1:$BZ$1000,설정!$L$6+ROW()-1,설정!$L$26),""),"")</f>
        <v/>
      </c>
      <c r="E567" s="97" t="str">
        <f aca="false">IFERROR(IF(ISNUMBER(INDEX(원자료_시장!$A$1:$BZ$1000,설정!$L$6+ROW()-1,설정!$L$27)),INDEX(원자료_시장!$A$1:$BZ$1000,설정!$L$6+ROW()-1,설정!$L$27),""),"")</f>
        <v/>
      </c>
      <c r="F567" s="97" t="str">
        <f aca="false">IFERROR(IF(ISNUMBER(INDEX(원자료_시장!$A$1:$BZ$1000,설정!$L$6+ROW()-1,설정!$L$28)),INDEX(원자료_시장!$A$1:$BZ$1000,설정!$L$6+ROW()-1,설정!$L$28),""),"")</f>
        <v/>
      </c>
      <c r="G567" s="97" t="str">
        <f aca="false">IFERROR(IF(ISNUMBER(INDEX(원자료_시장!$A$1:$BZ$1000,설정!$L$6+ROW()-1,설정!$L$29)),INDEX(원자료_시장!$A$1:$BZ$1000,설정!$L$6+ROW()-1,설정!$L$29),""),"")</f>
        <v/>
      </c>
      <c r="H567" s="97" t="str">
        <f aca="false">IFERROR(IF(ISNUMBER(INDEX(원자료_시장!$A$1:$BZ$1000,설정!$L$6+ROW()-1,설정!$L$30)),INDEX(원자료_시장!$A$1:$BZ$1000,설정!$L$6+ROW()-1,설정!$L$30),""),"")</f>
        <v/>
      </c>
      <c r="I567" s="97" t="str">
        <f aca="false">IFERROR(IF(ISNUMBER(INDEX(원자료_시장!$A$1:$BZ$1000,설정!$L$6+ROW()-1,설정!$L$31)),INDEX(원자료_시장!$A$1:$BZ$1000,설정!$L$6+ROW()-1,설정!$L$31),""),"")</f>
        <v/>
      </c>
      <c r="J567" s="97" t="str">
        <f aca="false">IFERROR(IF(ISNUMBER(INDEX(원자료_시장!$A$1:$BZ$1000,설정!$L$6+ROW()-1,설정!$L$32)),INDEX(원자료_시장!$A$1:$BZ$1000,설정!$L$6+ROW()-1,설정!$L$32),""),"")</f>
        <v/>
      </c>
      <c r="K567" s="85" t="str">
        <f aca="false">IFERROR(IF(ISNUMBER(INDEX(원자료_시장!$A$1:$BZ$1000,설정!$L$6+ROW()-1,설정!$L$33)),INDEX(원자료_시장!$A$1:$BZ$1000,설정!$L$6+ROW()-1,설정!$L$33),""),"")</f>
        <v/>
      </c>
      <c r="L567" s="83" t="n">
        <f aca="false">IFERROR(IF(INDEX(원자료_시장!$A$1:$BZ$1000,설정!$L$6+ROW()-1,설정!$L$34)&amp;""="0","",INDEX(원자료_시장!$A$1:$BZ$1000,설정!$L$6+ROW()-1,설정!$L$34)),"")</f>
        <v>0</v>
      </c>
      <c r="M567" s="83" t="n">
        <f aca="false">IFERROR(IF(INDEX(원자료_시장!$A$1:$BZ$1000,설정!$L$6+ROW()-1,설정!$L$35)&amp;""="0","",INDEX(원자료_시장!$A$1:$BZ$1000,설정!$L$6+ROW()-1,설정!$L$35)),"")</f>
        <v>0</v>
      </c>
      <c r="N567" s="83" t="n">
        <f aca="false">IFERROR(IF(INDEX(원자료_시장!$A$1:$BZ$1000,설정!$L$6+ROW()-1,설정!$L$36)&amp;""="0","",INDEX(원자료_시장!$A$1:$BZ$1000,설정!$L$6+ROW()-1,설정!$L$36)),"")</f>
        <v>0</v>
      </c>
      <c r="O567" s="43" t="str">
        <f aca="false">IF($A567="","",UPPER(LEFT($A567,FIND(" ",$A567&amp;" ")-1)))</f>
        <v/>
      </c>
      <c r="P567" s="43" t="str">
        <f aca="false">IF($A567="","",TRIM(RIGHT(SUBSTITUTE(TRIM($A567)," ",REPT(" ",30)),30)))</f>
        <v/>
      </c>
      <c r="Q567" s="98" t="str">
        <f aca="false">IF($A567="","",IFERROR(DATE(IF(LEN(P567)=8,2000+VALUE(RIGHT(P567,2)),VALUE(RIGHT(P567,4))),VALUE(LEFT(P567,2)),VALUE(MID(P567,4,2))),""))</f>
        <v/>
      </c>
      <c r="R567" s="89" t="n">
        <f aca="false">IF($A567="",0,IF(ISNUMBER(SEARCH("Float",$A567)),1,0))</f>
        <v>0</v>
      </c>
      <c r="S567" s="43" t="str">
        <f aca="false">IF($A567="","",TRIM(MID($A567,LEN(O567)+2,LEN($A567)-LEN(O567)-LEN(P567)-1)))</f>
        <v/>
      </c>
      <c r="T567" s="92" t="str">
        <f aca="false">IF(OR($A567="",R567=1),"",IFERROR(IF(ISNUMBER(FIND("/",S567)),IF(ISNUMBER(FIND(" ",S567)),VALUE(LEFT(S567,FIND(" ",S567)-1))+VALUE(MID(S567,FIND(" ",S567)+1,FIND("/",S567)-FIND(" ",S567)-1))/VALUE(MID(S567,FIND("/",S567)+1,9)),VALUE(LEFT(S567,FIND("/",S567)-1))/VALUE(MID(S567,FIND("/",S567)+1,9))),VALUE(S567)),""))</f>
        <v/>
      </c>
      <c r="U567" s="43" t="str">
        <f aca="false">IF(OR($A567="",NOT(ISNUMBER(Q567))),"",TEXT(Q567,"yyyymmdd")&amp;"|"&amp;IF(R567=1,"F",TEXT(T567,"0.000")))</f>
        <v/>
      </c>
      <c r="V567" s="43" t="str">
        <f aca="false">IF(U567="","",O567&amp;"|"&amp;U567)</f>
        <v/>
      </c>
      <c r="W567" s="43" t="str">
        <f aca="false">IF($A567="","",IFERROR(IF(VLOOKUP(O567,매핑!$A$4:$E$92,3,0)="","미분류",VLOOKUP(O567,매핑!$A$4:$E$92,3,0)),"미분류"))</f>
        <v/>
      </c>
      <c r="X567" s="89" t="n">
        <f aca="false">IF($A567="",0,IF(O567="T",1,0))</f>
        <v>0</v>
      </c>
      <c r="Y567" s="89" t="n">
        <f aca="false">IF($A567="",0,IF(AND(C567="USD",X567=0,ISNUMBER(E567),ISNUMBER(K567)),IF(K567&gt;=설정!$C$8,1,0),0))</f>
        <v>0</v>
      </c>
      <c r="Z567" s="43" t="str">
        <f aca="false">IF($A567="","",N567&amp;"|"&amp;L567)</f>
        <v/>
      </c>
      <c r="AA567" s="92" t="n">
        <f aca="false">IF(Y567=1,LN(K567),0)</f>
        <v>0</v>
      </c>
      <c r="AB567" s="93" t="n">
        <f aca="false">IF(Y567=1,E567,0)</f>
        <v>0</v>
      </c>
      <c r="AC567" s="89" t="n">
        <f aca="false">IF(Y567=1,COUNTIFS($Z$2:$Z$601,Z567,$Y$2:$Y$601,1),0)</f>
        <v>0</v>
      </c>
      <c r="AD567" s="89" t="n">
        <f aca="false">IF(Y567=1,COUNTIFS($N$2:$N$601,N567,$Y$2:$Y$601,1),0)</f>
        <v>0</v>
      </c>
      <c r="AE567" s="43" t="str">
        <f aca="false">IF(Y567&lt;&gt;1,"",IF(AND(AC567&gt;=설정!$C$7,ISNUMBER(MATCH(Z567,피어커브!$A:$A,0))),Z567,IF(AND(AD567&gt;=설정!$C$7,ISNUMBER(MATCH(N567&amp;"|전체",피어커브!$A:$A,0))),N567&amp;"|전체","전체|전체")))</f>
        <v/>
      </c>
      <c r="AF567" s="93" t="str">
        <f aca="false">IF(AE567="","",INDEX(피어커브!$K:$K,MATCH(AE567,피어커브!$A:$A,0)))</f>
        <v/>
      </c>
      <c r="AG567" s="93" t="str">
        <f aca="false">IF(AE567="","",INDEX(피어커브!$J:$J,MATCH(AE567,피어커브!$A:$A,0)))</f>
        <v/>
      </c>
      <c r="AH567" s="93" t="str">
        <f aca="false">IF(AE567="","",INDEX(피어커브!$L:$L,MATCH(AE567,피어커브!$A:$A,0)))</f>
        <v/>
      </c>
      <c r="AI567" s="93" t="str">
        <f aca="false">IF(AE567="","",AF567+AG567*AA567)</f>
        <v/>
      </c>
      <c r="AJ567" s="96" t="str">
        <f aca="false">IF(AE567="","",E567-AI567)</f>
        <v/>
      </c>
      <c r="AK567" s="95" t="str">
        <f aca="false">IF(AE567="","",IF(ISNUMBER(AH567),IF(AH567&gt;0,AJ567/AH567,""),""))</f>
        <v/>
      </c>
      <c r="AL567" s="43" t="str">
        <f aca="false">IF(AK567="","-",IF(AK567&gt;=설정!$C$6,"Cheap",IF(AK567&lt;=-설정!$C$6,"Rich","Fair")))</f>
        <v>-</v>
      </c>
      <c r="AM567" s="96" t="str">
        <f aca="false">IF(AE567="","",AJ567-AVERAGEIFS($AJ$2:$AJ$601,$B$2:$B$601,B567,$Y$2:$Y$601,1))</f>
        <v/>
      </c>
      <c r="AN567" s="93" t="n">
        <f aca="false">IF(AE567="",0,IF(K567&gt;1+설정!$C$8,AG567*(AA567-LN(K567-1)),0))</f>
        <v>0</v>
      </c>
      <c r="AO567" s="99" t="n">
        <f aca="false">IF($A567="",0,SUMIFS(보유분석!$AA$2:$AA$801,보유분석!$AB$2:$AB$801,ROW(),보유분석!$AC$2:$AC$801,1))</f>
        <v>0</v>
      </c>
      <c r="AP567" s="43" t="str">
        <f aca="false">IF($A567="","",TRIM(IF(R567=1,"FRN ","")&amp;IF(IFERROR(VLOOKUP(M567,설정!$A$15:$D$47,4,0),0)&gt;=10,IF(IFERROR(VLOOKUP(M567,설정!$A$15:$D$47,4,0),0)&lt;99,"BBB0미만 ",""),"")&amp;IF(OR(M567="",M567="NR"),"등급미입력 ","")&amp;IF(C567&lt;&gt;"USD","비USD ","")))</f>
        <v/>
      </c>
      <c r="AQ567" s="90" t="n">
        <f aca="false">IF(AND(Y567=1,AL567="Cheap"),IF(AND(ISERROR(SEARCH("FRN",AP567)),ISERROR(SEARCH("BBB0미만",AP567))),AK567+ROW()/1000000000,-999),-999)</f>
        <v>-999</v>
      </c>
      <c r="AR567" s="92" t="str">
        <f aca="false">IF(AND(ISNUMBER(D567),ISNUMBER(K567)),D567+AN567*MAX(K567-1,0)/100,"")</f>
        <v/>
      </c>
      <c r="AS567" s="93" t="str">
        <f aca="false">IF(AND(ISNUMBER(E567),ISNUMBER(K567)),IF(K567&gt;0,(E567+AN567*MAX(K567-1,0))/K567,""),"")</f>
        <v/>
      </c>
      <c r="AT567" s="90" t="n">
        <f aca="false">IFERROR(IF(AND(Y567=1,ROW()&lt;&gt;스왑분석!$C$12+1,ABS(K567-INDEX($K$2:$K$601,스왑분석!$C$12))&lt;=스왑분석!$C$5,ISERROR(SEARCH("FRN",AP567)),ISERROR(SEARCH("BBB0미만",AP567))),IF(AND(OR(스왑분석!$C$6="N",L567=INDEX($L$2:$L$601,스왑분석!$C$12)),OR(스왑분석!$C$7="N",N567=INDEX($N$2:$N$601,스왑분석!$C$12)),OR(스왑분석!$C$8="N",AO567=0),E567-INDEX($E$2:$E$601,스왑분석!$C$12)&gt;=스왑분석!$C$9),E567-INDEX($E$2:$E$601,스왑분석!$C$12)+ROW()/1000000000,-999),-999),-999)</f>
        <v>-999</v>
      </c>
      <c r="AU567" s="90" t="n">
        <f aca="false">IF(AND(Y567=1,AO567&gt;0,AL567="Rich"),-AK567+ROW()/1000000000,-999)</f>
        <v>-999</v>
      </c>
    </row>
    <row r="568" customFormat="false" ht="15" hidden="false" customHeight="false" outlineLevel="0" collapsed="false">
      <c r="A568" s="83" t="n">
        <f aca="false">IFERROR(IF(INDEX(원자료_시장!$A$1:$BZ$1000,설정!$L$6+ROW()-1,설정!$L$24)&amp;""="0","",INDEX(원자료_시장!$A$1:$BZ$1000,설정!$L$6+ROW()-1,설정!$L$24)),"")</f>
        <v>0</v>
      </c>
      <c r="B568" s="83" t="n">
        <f aca="false">IFERROR(IF(INDEX(원자료_시장!$A$1:$BZ$1000,설정!$L$6+ROW()-1,설정!$L$37)&amp;""="0","",INDEX(원자료_시장!$A$1:$BZ$1000,설정!$L$6+ROW()-1,설정!$L$37)),"")</f>
        <v>0</v>
      </c>
      <c r="C568" s="83" t="n">
        <f aca="false">IFERROR(IF(INDEX(원자료_시장!$A$1:$BZ$1000,설정!$L$6+ROW()-1,설정!$L$25)&amp;""="0","",INDEX(원자료_시장!$A$1:$BZ$1000,설정!$L$6+ROW()-1,설정!$L$25)),"")</f>
        <v>0</v>
      </c>
      <c r="D568" s="85" t="str">
        <f aca="false">IFERROR(IF(ISNUMBER(INDEX(원자료_시장!$A$1:$BZ$1000,설정!$L$6+ROW()-1,설정!$L$26)),INDEX(원자료_시장!$A$1:$BZ$1000,설정!$L$6+ROW()-1,설정!$L$26),""),"")</f>
        <v/>
      </c>
      <c r="E568" s="97" t="str">
        <f aca="false">IFERROR(IF(ISNUMBER(INDEX(원자료_시장!$A$1:$BZ$1000,설정!$L$6+ROW()-1,설정!$L$27)),INDEX(원자료_시장!$A$1:$BZ$1000,설정!$L$6+ROW()-1,설정!$L$27),""),"")</f>
        <v/>
      </c>
      <c r="F568" s="97" t="str">
        <f aca="false">IFERROR(IF(ISNUMBER(INDEX(원자료_시장!$A$1:$BZ$1000,설정!$L$6+ROW()-1,설정!$L$28)),INDEX(원자료_시장!$A$1:$BZ$1000,설정!$L$6+ROW()-1,설정!$L$28),""),"")</f>
        <v/>
      </c>
      <c r="G568" s="97" t="str">
        <f aca="false">IFERROR(IF(ISNUMBER(INDEX(원자료_시장!$A$1:$BZ$1000,설정!$L$6+ROW()-1,설정!$L$29)),INDEX(원자료_시장!$A$1:$BZ$1000,설정!$L$6+ROW()-1,설정!$L$29),""),"")</f>
        <v/>
      </c>
      <c r="H568" s="97" t="str">
        <f aca="false">IFERROR(IF(ISNUMBER(INDEX(원자료_시장!$A$1:$BZ$1000,설정!$L$6+ROW()-1,설정!$L$30)),INDEX(원자료_시장!$A$1:$BZ$1000,설정!$L$6+ROW()-1,설정!$L$30),""),"")</f>
        <v/>
      </c>
      <c r="I568" s="97" t="str">
        <f aca="false">IFERROR(IF(ISNUMBER(INDEX(원자료_시장!$A$1:$BZ$1000,설정!$L$6+ROW()-1,설정!$L$31)),INDEX(원자료_시장!$A$1:$BZ$1000,설정!$L$6+ROW()-1,설정!$L$31),""),"")</f>
        <v/>
      </c>
      <c r="J568" s="97" t="str">
        <f aca="false">IFERROR(IF(ISNUMBER(INDEX(원자료_시장!$A$1:$BZ$1000,설정!$L$6+ROW()-1,설정!$L$32)),INDEX(원자료_시장!$A$1:$BZ$1000,설정!$L$6+ROW()-1,설정!$L$32),""),"")</f>
        <v/>
      </c>
      <c r="K568" s="85" t="str">
        <f aca="false">IFERROR(IF(ISNUMBER(INDEX(원자료_시장!$A$1:$BZ$1000,설정!$L$6+ROW()-1,설정!$L$33)),INDEX(원자료_시장!$A$1:$BZ$1000,설정!$L$6+ROW()-1,설정!$L$33),""),"")</f>
        <v/>
      </c>
      <c r="L568" s="83" t="n">
        <f aca="false">IFERROR(IF(INDEX(원자료_시장!$A$1:$BZ$1000,설정!$L$6+ROW()-1,설정!$L$34)&amp;""="0","",INDEX(원자료_시장!$A$1:$BZ$1000,설정!$L$6+ROW()-1,설정!$L$34)),"")</f>
        <v>0</v>
      </c>
      <c r="M568" s="83" t="n">
        <f aca="false">IFERROR(IF(INDEX(원자료_시장!$A$1:$BZ$1000,설정!$L$6+ROW()-1,설정!$L$35)&amp;""="0","",INDEX(원자료_시장!$A$1:$BZ$1000,설정!$L$6+ROW()-1,설정!$L$35)),"")</f>
        <v>0</v>
      </c>
      <c r="N568" s="83" t="n">
        <f aca="false">IFERROR(IF(INDEX(원자료_시장!$A$1:$BZ$1000,설정!$L$6+ROW()-1,설정!$L$36)&amp;""="0","",INDEX(원자료_시장!$A$1:$BZ$1000,설정!$L$6+ROW()-1,설정!$L$36)),"")</f>
        <v>0</v>
      </c>
      <c r="O568" s="43" t="str">
        <f aca="false">IF($A568="","",UPPER(LEFT($A568,FIND(" ",$A568&amp;" ")-1)))</f>
        <v/>
      </c>
      <c r="P568" s="43" t="str">
        <f aca="false">IF($A568="","",TRIM(RIGHT(SUBSTITUTE(TRIM($A568)," ",REPT(" ",30)),30)))</f>
        <v/>
      </c>
      <c r="Q568" s="98" t="str">
        <f aca="false">IF($A568="","",IFERROR(DATE(IF(LEN(P568)=8,2000+VALUE(RIGHT(P568,2)),VALUE(RIGHT(P568,4))),VALUE(LEFT(P568,2)),VALUE(MID(P568,4,2))),""))</f>
        <v/>
      </c>
      <c r="R568" s="89" t="n">
        <f aca="false">IF($A568="",0,IF(ISNUMBER(SEARCH("Float",$A568)),1,0))</f>
        <v>0</v>
      </c>
      <c r="S568" s="43" t="str">
        <f aca="false">IF($A568="","",TRIM(MID($A568,LEN(O568)+2,LEN($A568)-LEN(O568)-LEN(P568)-1)))</f>
        <v/>
      </c>
      <c r="T568" s="92" t="str">
        <f aca="false">IF(OR($A568="",R568=1),"",IFERROR(IF(ISNUMBER(FIND("/",S568)),IF(ISNUMBER(FIND(" ",S568)),VALUE(LEFT(S568,FIND(" ",S568)-1))+VALUE(MID(S568,FIND(" ",S568)+1,FIND("/",S568)-FIND(" ",S568)-1))/VALUE(MID(S568,FIND("/",S568)+1,9)),VALUE(LEFT(S568,FIND("/",S568)-1))/VALUE(MID(S568,FIND("/",S568)+1,9))),VALUE(S568)),""))</f>
        <v/>
      </c>
      <c r="U568" s="43" t="str">
        <f aca="false">IF(OR($A568="",NOT(ISNUMBER(Q568))),"",TEXT(Q568,"yyyymmdd")&amp;"|"&amp;IF(R568=1,"F",TEXT(T568,"0.000")))</f>
        <v/>
      </c>
      <c r="V568" s="43" t="str">
        <f aca="false">IF(U568="","",O568&amp;"|"&amp;U568)</f>
        <v/>
      </c>
      <c r="W568" s="43" t="str">
        <f aca="false">IF($A568="","",IFERROR(IF(VLOOKUP(O568,매핑!$A$4:$E$92,3,0)="","미분류",VLOOKUP(O568,매핑!$A$4:$E$92,3,0)),"미분류"))</f>
        <v/>
      </c>
      <c r="X568" s="89" t="n">
        <f aca="false">IF($A568="",0,IF(O568="T",1,0))</f>
        <v>0</v>
      </c>
      <c r="Y568" s="89" t="n">
        <f aca="false">IF($A568="",0,IF(AND(C568="USD",X568=0,ISNUMBER(E568),ISNUMBER(K568)),IF(K568&gt;=설정!$C$8,1,0),0))</f>
        <v>0</v>
      </c>
      <c r="Z568" s="43" t="str">
        <f aca="false">IF($A568="","",N568&amp;"|"&amp;L568)</f>
        <v/>
      </c>
      <c r="AA568" s="92" t="n">
        <f aca="false">IF(Y568=1,LN(K568),0)</f>
        <v>0</v>
      </c>
      <c r="AB568" s="93" t="n">
        <f aca="false">IF(Y568=1,E568,0)</f>
        <v>0</v>
      </c>
      <c r="AC568" s="89" t="n">
        <f aca="false">IF(Y568=1,COUNTIFS($Z$2:$Z$601,Z568,$Y$2:$Y$601,1),0)</f>
        <v>0</v>
      </c>
      <c r="AD568" s="89" t="n">
        <f aca="false">IF(Y568=1,COUNTIFS($N$2:$N$601,N568,$Y$2:$Y$601,1),0)</f>
        <v>0</v>
      </c>
      <c r="AE568" s="43" t="str">
        <f aca="false">IF(Y568&lt;&gt;1,"",IF(AND(AC568&gt;=설정!$C$7,ISNUMBER(MATCH(Z568,피어커브!$A:$A,0))),Z568,IF(AND(AD568&gt;=설정!$C$7,ISNUMBER(MATCH(N568&amp;"|전체",피어커브!$A:$A,0))),N568&amp;"|전체","전체|전체")))</f>
        <v/>
      </c>
      <c r="AF568" s="93" t="str">
        <f aca="false">IF(AE568="","",INDEX(피어커브!$K:$K,MATCH(AE568,피어커브!$A:$A,0)))</f>
        <v/>
      </c>
      <c r="AG568" s="93" t="str">
        <f aca="false">IF(AE568="","",INDEX(피어커브!$J:$J,MATCH(AE568,피어커브!$A:$A,0)))</f>
        <v/>
      </c>
      <c r="AH568" s="93" t="str">
        <f aca="false">IF(AE568="","",INDEX(피어커브!$L:$L,MATCH(AE568,피어커브!$A:$A,0)))</f>
        <v/>
      </c>
      <c r="AI568" s="93" t="str">
        <f aca="false">IF(AE568="","",AF568+AG568*AA568)</f>
        <v/>
      </c>
      <c r="AJ568" s="96" t="str">
        <f aca="false">IF(AE568="","",E568-AI568)</f>
        <v/>
      </c>
      <c r="AK568" s="95" t="str">
        <f aca="false">IF(AE568="","",IF(ISNUMBER(AH568),IF(AH568&gt;0,AJ568/AH568,""),""))</f>
        <v/>
      </c>
      <c r="AL568" s="43" t="str">
        <f aca="false">IF(AK568="","-",IF(AK568&gt;=설정!$C$6,"Cheap",IF(AK568&lt;=-설정!$C$6,"Rich","Fair")))</f>
        <v>-</v>
      </c>
      <c r="AM568" s="96" t="str">
        <f aca="false">IF(AE568="","",AJ568-AVERAGEIFS($AJ$2:$AJ$601,$B$2:$B$601,B568,$Y$2:$Y$601,1))</f>
        <v/>
      </c>
      <c r="AN568" s="93" t="n">
        <f aca="false">IF(AE568="",0,IF(K568&gt;1+설정!$C$8,AG568*(AA568-LN(K568-1)),0))</f>
        <v>0</v>
      </c>
      <c r="AO568" s="99" t="n">
        <f aca="false">IF($A568="",0,SUMIFS(보유분석!$AA$2:$AA$801,보유분석!$AB$2:$AB$801,ROW(),보유분석!$AC$2:$AC$801,1))</f>
        <v>0</v>
      </c>
      <c r="AP568" s="43" t="str">
        <f aca="false">IF($A568="","",TRIM(IF(R568=1,"FRN ","")&amp;IF(IFERROR(VLOOKUP(M568,설정!$A$15:$D$47,4,0),0)&gt;=10,IF(IFERROR(VLOOKUP(M568,설정!$A$15:$D$47,4,0),0)&lt;99,"BBB0미만 ",""),"")&amp;IF(OR(M568="",M568="NR"),"등급미입력 ","")&amp;IF(C568&lt;&gt;"USD","비USD ","")))</f>
        <v/>
      </c>
      <c r="AQ568" s="90" t="n">
        <f aca="false">IF(AND(Y568=1,AL568="Cheap"),IF(AND(ISERROR(SEARCH("FRN",AP568)),ISERROR(SEARCH("BBB0미만",AP568))),AK568+ROW()/1000000000,-999),-999)</f>
        <v>-999</v>
      </c>
      <c r="AR568" s="92" t="str">
        <f aca="false">IF(AND(ISNUMBER(D568),ISNUMBER(K568)),D568+AN568*MAX(K568-1,0)/100,"")</f>
        <v/>
      </c>
      <c r="AS568" s="93" t="str">
        <f aca="false">IF(AND(ISNUMBER(E568),ISNUMBER(K568)),IF(K568&gt;0,(E568+AN568*MAX(K568-1,0))/K568,""),"")</f>
        <v/>
      </c>
      <c r="AT568" s="90" t="n">
        <f aca="false">IFERROR(IF(AND(Y568=1,ROW()&lt;&gt;스왑분석!$C$12+1,ABS(K568-INDEX($K$2:$K$601,스왑분석!$C$12))&lt;=스왑분석!$C$5,ISERROR(SEARCH("FRN",AP568)),ISERROR(SEARCH("BBB0미만",AP568))),IF(AND(OR(스왑분석!$C$6="N",L568=INDEX($L$2:$L$601,스왑분석!$C$12)),OR(스왑분석!$C$7="N",N568=INDEX($N$2:$N$601,스왑분석!$C$12)),OR(스왑분석!$C$8="N",AO568=0),E568-INDEX($E$2:$E$601,스왑분석!$C$12)&gt;=스왑분석!$C$9),E568-INDEX($E$2:$E$601,스왑분석!$C$12)+ROW()/1000000000,-999),-999),-999)</f>
        <v>-999</v>
      </c>
      <c r="AU568" s="90" t="n">
        <f aca="false">IF(AND(Y568=1,AO568&gt;0,AL568="Rich"),-AK568+ROW()/1000000000,-999)</f>
        <v>-999</v>
      </c>
    </row>
    <row r="569" customFormat="false" ht="15" hidden="false" customHeight="false" outlineLevel="0" collapsed="false">
      <c r="A569" s="83" t="n">
        <f aca="false">IFERROR(IF(INDEX(원자료_시장!$A$1:$BZ$1000,설정!$L$6+ROW()-1,설정!$L$24)&amp;""="0","",INDEX(원자료_시장!$A$1:$BZ$1000,설정!$L$6+ROW()-1,설정!$L$24)),"")</f>
        <v>0</v>
      </c>
      <c r="B569" s="83" t="n">
        <f aca="false">IFERROR(IF(INDEX(원자료_시장!$A$1:$BZ$1000,설정!$L$6+ROW()-1,설정!$L$37)&amp;""="0","",INDEX(원자료_시장!$A$1:$BZ$1000,설정!$L$6+ROW()-1,설정!$L$37)),"")</f>
        <v>0</v>
      </c>
      <c r="C569" s="83" t="n">
        <f aca="false">IFERROR(IF(INDEX(원자료_시장!$A$1:$BZ$1000,설정!$L$6+ROW()-1,설정!$L$25)&amp;""="0","",INDEX(원자료_시장!$A$1:$BZ$1000,설정!$L$6+ROW()-1,설정!$L$25)),"")</f>
        <v>0</v>
      </c>
      <c r="D569" s="85" t="str">
        <f aca="false">IFERROR(IF(ISNUMBER(INDEX(원자료_시장!$A$1:$BZ$1000,설정!$L$6+ROW()-1,설정!$L$26)),INDEX(원자료_시장!$A$1:$BZ$1000,설정!$L$6+ROW()-1,설정!$L$26),""),"")</f>
        <v/>
      </c>
      <c r="E569" s="97" t="str">
        <f aca="false">IFERROR(IF(ISNUMBER(INDEX(원자료_시장!$A$1:$BZ$1000,설정!$L$6+ROW()-1,설정!$L$27)),INDEX(원자료_시장!$A$1:$BZ$1000,설정!$L$6+ROW()-1,설정!$L$27),""),"")</f>
        <v/>
      </c>
      <c r="F569" s="97" t="str">
        <f aca="false">IFERROR(IF(ISNUMBER(INDEX(원자료_시장!$A$1:$BZ$1000,설정!$L$6+ROW()-1,설정!$L$28)),INDEX(원자료_시장!$A$1:$BZ$1000,설정!$L$6+ROW()-1,설정!$L$28),""),"")</f>
        <v/>
      </c>
      <c r="G569" s="97" t="str">
        <f aca="false">IFERROR(IF(ISNUMBER(INDEX(원자료_시장!$A$1:$BZ$1000,설정!$L$6+ROW()-1,설정!$L$29)),INDEX(원자료_시장!$A$1:$BZ$1000,설정!$L$6+ROW()-1,설정!$L$29),""),"")</f>
        <v/>
      </c>
      <c r="H569" s="97" t="str">
        <f aca="false">IFERROR(IF(ISNUMBER(INDEX(원자료_시장!$A$1:$BZ$1000,설정!$L$6+ROW()-1,설정!$L$30)),INDEX(원자료_시장!$A$1:$BZ$1000,설정!$L$6+ROW()-1,설정!$L$30),""),"")</f>
        <v/>
      </c>
      <c r="I569" s="97" t="str">
        <f aca="false">IFERROR(IF(ISNUMBER(INDEX(원자료_시장!$A$1:$BZ$1000,설정!$L$6+ROW()-1,설정!$L$31)),INDEX(원자료_시장!$A$1:$BZ$1000,설정!$L$6+ROW()-1,설정!$L$31),""),"")</f>
        <v/>
      </c>
      <c r="J569" s="97" t="str">
        <f aca="false">IFERROR(IF(ISNUMBER(INDEX(원자료_시장!$A$1:$BZ$1000,설정!$L$6+ROW()-1,설정!$L$32)),INDEX(원자료_시장!$A$1:$BZ$1000,설정!$L$6+ROW()-1,설정!$L$32),""),"")</f>
        <v/>
      </c>
      <c r="K569" s="85" t="str">
        <f aca="false">IFERROR(IF(ISNUMBER(INDEX(원자료_시장!$A$1:$BZ$1000,설정!$L$6+ROW()-1,설정!$L$33)),INDEX(원자료_시장!$A$1:$BZ$1000,설정!$L$6+ROW()-1,설정!$L$33),""),"")</f>
        <v/>
      </c>
      <c r="L569" s="83" t="n">
        <f aca="false">IFERROR(IF(INDEX(원자료_시장!$A$1:$BZ$1000,설정!$L$6+ROW()-1,설정!$L$34)&amp;""="0","",INDEX(원자료_시장!$A$1:$BZ$1000,설정!$L$6+ROW()-1,설정!$L$34)),"")</f>
        <v>0</v>
      </c>
      <c r="M569" s="83" t="n">
        <f aca="false">IFERROR(IF(INDEX(원자료_시장!$A$1:$BZ$1000,설정!$L$6+ROW()-1,설정!$L$35)&amp;""="0","",INDEX(원자료_시장!$A$1:$BZ$1000,설정!$L$6+ROW()-1,설정!$L$35)),"")</f>
        <v>0</v>
      </c>
      <c r="N569" s="83" t="n">
        <f aca="false">IFERROR(IF(INDEX(원자료_시장!$A$1:$BZ$1000,설정!$L$6+ROW()-1,설정!$L$36)&amp;""="0","",INDEX(원자료_시장!$A$1:$BZ$1000,설정!$L$6+ROW()-1,설정!$L$36)),"")</f>
        <v>0</v>
      </c>
      <c r="O569" s="43" t="str">
        <f aca="false">IF($A569="","",UPPER(LEFT($A569,FIND(" ",$A569&amp;" ")-1)))</f>
        <v/>
      </c>
      <c r="P569" s="43" t="str">
        <f aca="false">IF($A569="","",TRIM(RIGHT(SUBSTITUTE(TRIM($A569)," ",REPT(" ",30)),30)))</f>
        <v/>
      </c>
      <c r="Q569" s="98" t="str">
        <f aca="false">IF($A569="","",IFERROR(DATE(IF(LEN(P569)=8,2000+VALUE(RIGHT(P569,2)),VALUE(RIGHT(P569,4))),VALUE(LEFT(P569,2)),VALUE(MID(P569,4,2))),""))</f>
        <v/>
      </c>
      <c r="R569" s="89" t="n">
        <f aca="false">IF($A569="",0,IF(ISNUMBER(SEARCH("Float",$A569)),1,0))</f>
        <v>0</v>
      </c>
      <c r="S569" s="43" t="str">
        <f aca="false">IF($A569="","",TRIM(MID($A569,LEN(O569)+2,LEN($A569)-LEN(O569)-LEN(P569)-1)))</f>
        <v/>
      </c>
      <c r="T569" s="92" t="str">
        <f aca="false">IF(OR($A569="",R569=1),"",IFERROR(IF(ISNUMBER(FIND("/",S569)),IF(ISNUMBER(FIND(" ",S569)),VALUE(LEFT(S569,FIND(" ",S569)-1))+VALUE(MID(S569,FIND(" ",S569)+1,FIND("/",S569)-FIND(" ",S569)-1))/VALUE(MID(S569,FIND("/",S569)+1,9)),VALUE(LEFT(S569,FIND("/",S569)-1))/VALUE(MID(S569,FIND("/",S569)+1,9))),VALUE(S569)),""))</f>
        <v/>
      </c>
      <c r="U569" s="43" t="str">
        <f aca="false">IF(OR($A569="",NOT(ISNUMBER(Q569))),"",TEXT(Q569,"yyyymmdd")&amp;"|"&amp;IF(R569=1,"F",TEXT(T569,"0.000")))</f>
        <v/>
      </c>
      <c r="V569" s="43" t="str">
        <f aca="false">IF(U569="","",O569&amp;"|"&amp;U569)</f>
        <v/>
      </c>
      <c r="W569" s="43" t="str">
        <f aca="false">IF($A569="","",IFERROR(IF(VLOOKUP(O569,매핑!$A$4:$E$92,3,0)="","미분류",VLOOKUP(O569,매핑!$A$4:$E$92,3,0)),"미분류"))</f>
        <v/>
      </c>
      <c r="X569" s="89" t="n">
        <f aca="false">IF($A569="",0,IF(O569="T",1,0))</f>
        <v>0</v>
      </c>
      <c r="Y569" s="89" t="n">
        <f aca="false">IF($A569="",0,IF(AND(C569="USD",X569=0,ISNUMBER(E569),ISNUMBER(K569)),IF(K569&gt;=설정!$C$8,1,0),0))</f>
        <v>0</v>
      </c>
      <c r="Z569" s="43" t="str">
        <f aca="false">IF($A569="","",N569&amp;"|"&amp;L569)</f>
        <v/>
      </c>
      <c r="AA569" s="92" t="n">
        <f aca="false">IF(Y569=1,LN(K569),0)</f>
        <v>0</v>
      </c>
      <c r="AB569" s="93" t="n">
        <f aca="false">IF(Y569=1,E569,0)</f>
        <v>0</v>
      </c>
      <c r="AC569" s="89" t="n">
        <f aca="false">IF(Y569=1,COUNTIFS($Z$2:$Z$601,Z569,$Y$2:$Y$601,1),0)</f>
        <v>0</v>
      </c>
      <c r="AD569" s="89" t="n">
        <f aca="false">IF(Y569=1,COUNTIFS($N$2:$N$601,N569,$Y$2:$Y$601,1),0)</f>
        <v>0</v>
      </c>
      <c r="AE569" s="43" t="str">
        <f aca="false">IF(Y569&lt;&gt;1,"",IF(AND(AC569&gt;=설정!$C$7,ISNUMBER(MATCH(Z569,피어커브!$A:$A,0))),Z569,IF(AND(AD569&gt;=설정!$C$7,ISNUMBER(MATCH(N569&amp;"|전체",피어커브!$A:$A,0))),N569&amp;"|전체","전체|전체")))</f>
        <v/>
      </c>
      <c r="AF569" s="93" t="str">
        <f aca="false">IF(AE569="","",INDEX(피어커브!$K:$K,MATCH(AE569,피어커브!$A:$A,0)))</f>
        <v/>
      </c>
      <c r="AG569" s="93" t="str">
        <f aca="false">IF(AE569="","",INDEX(피어커브!$J:$J,MATCH(AE569,피어커브!$A:$A,0)))</f>
        <v/>
      </c>
      <c r="AH569" s="93" t="str">
        <f aca="false">IF(AE569="","",INDEX(피어커브!$L:$L,MATCH(AE569,피어커브!$A:$A,0)))</f>
        <v/>
      </c>
      <c r="AI569" s="93" t="str">
        <f aca="false">IF(AE569="","",AF569+AG569*AA569)</f>
        <v/>
      </c>
      <c r="AJ569" s="96" t="str">
        <f aca="false">IF(AE569="","",E569-AI569)</f>
        <v/>
      </c>
      <c r="AK569" s="95" t="str">
        <f aca="false">IF(AE569="","",IF(ISNUMBER(AH569),IF(AH569&gt;0,AJ569/AH569,""),""))</f>
        <v/>
      </c>
      <c r="AL569" s="43" t="str">
        <f aca="false">IF(AK569="","-",IF(AK569&gt;=설정!$C$6,"Cheap",IF(AK569&lt;=-설정!$C$6,"Rich","Fair")))</f>
        <v>-</v>
      </c>
      <c r="AM569" s="96" t="str">
        <f aca="false">IF(AE569="","",AJ569-AVERAGEIFS($AJ$2:$AJ$601,$B$2:$B$601,B569,$Y$2:$Y$601,1))</f>
        <v/>
      </c>
      <c r="AN569" s="93" t="n">
        <f aca="false">IF(AE569="",0,IF(K569&gt;1+설정!$C$8,AG569*(AA569-LN(K569-1)),0))</f>
        <v>0</v>
      </c>
      <c r="AO569" s="99" t="n">
        <f aca="false">IF($A569="",0,SUMIFS(보유분석!$AA$2:$AA$801,보유분석!$AB$2:$AB$801,ROW(),보유분석!$AC$2:$AC$801,1))</f>
        <v>0</v>
      </c>
      <c r="AP569" s="43" t="str">
        <f aca="false">IF($A569="","",TRIM(IF(R569=1,"FRN ","")&amp;IF(IFERROR(VLOOKUP(M569,설정!$A$15:$D$47,4,0),0)&gt;=10,IF(IFERROR(VLOOKUP(M569,설정!$A$15:$D$47,4,0),0)&lt;99,"BBB0미만 ",""),"")&amp;IF(OR(M569="",M569="NR"),"등급미입력 ","")&amp;IF(C569&lt;&gt;"USD","비USD ","")))</f>
        <v/>
      </c>
      <c r="AQ569" s="90" t="n">
        <f aca="false">IF(AND(Y569=1,AL569="Cheap"),IF(AND(ISERROR(SEARCH("FRN",AP569)),ISERROR(SEARCH("BBB0미만",AP569))),AK569+ROW()/1000000000,-999),-999)</f>
        <v>-999</v>
      </c>
      <c r="AR569" s="92" t="str">
        <f aca="false">IF(AND(ISNUMBER(D569),ISNUMBER(K569)),D569+AN569*MAX(K569-1,0)/100,"")</f>
        <v/>
      </c>
      <c r="AS569" s="93" t="str">
        <f aca="false">IF(AND(ISNUMBER(E569),ISNUMBER(K569)),IF(K569&gt;0,(E569+AN569*MAX(K569-1,0))/K569,""),"")</f>
        <v/>
      </c>
      <c r="AT569" s="90" t="n">
        <f aca="false">IFERROR(IF(AND(Y569=1,ROW()&lt;&gt;스왑분석!$C$12+1,ABS(K569-INDEX($K$2:$K$601,스왑분석!$C$12))&lt;=스왑분석!$C$5,ISERROR(SEARCH("FRN",AP569)),ISERROR(SEARCH("BBB0미만",AP569))),IF(AND(OR(스왑분석!$C$6="N",L569=INDEX($L$2:$L$601,스왑분석!$C$12)),OR(스왑분석!$C$7="N",N569=INDEX($N$2:$N$601,스왑분석!$C$12)),OR(스왑분석!$C$8="N",AO569=0),E569-INDEX($E$2:$E$601,스왑분석!$C$12)&gt;=스왑분석!$C$9),E569-INDEX($E$2:$E$601,스왑분석!$C$12)+ROW()/1000000000,-999),-999),-999)</f>
        <v>-999</v>
      </c>
      <c r="AU569" s="90" t="n">
        <f aca="false">IF(AND(Y569=1,AO569&gt;0,AL569="Rich"),-AK569+ROW()/1000000000,-999)</f>
        <v>-999</v>
      </c>
    </row>
    <row r="570" customFormat="false" ht="15" hidden="false" customHeight="false" outlineLevel="0" collapsed="false">
      <c r="A570" s="83" t="n">
        <f aca="false">IFERROR(IF(INDEX(원자료_시장!$A$1:$BZ$1000,설정!$L$6+ROW()-1,설정!$L$24)&amp;""="0","",INDEX(원자료_시장!$A$1:$BZ$1000,설정!$L$6+ROW()-1,설정!$L$24)),"")</f>
        <v>0</v>
      </c>
      <c r="B570" s="83" t="n">
        <f aca="false">IFERROR(IF(INDEX(원자료_시장!$A$1:$BZ$1000,설정!$L$6+ROW()-1,설정!$L$37)&amp;""="0","",INDEX(원자료_시장!$A$1:$BZ$1000,설정!$L$6+ROW()-1,설정!$L$37)),"")</f>
        <v>0</v>
      </c>
      <c r="C570" s="83" t="n">
        <f aca="false">IFERROR(IF(INDEX(원자료_시장!$A$1:$BZ$1000,설정!$L$6+ROW()-1,설정!$L$25)&amp;""="0","",INDEX(원자료_시장!$A$1:$BZ$1000,설정!$L$6+ROW()-1,설정!$L$25)),"")</f>
        <v>0</v>
      </c>
      <c r="D570" s="85" t="str">
        <f aca="false">IFERROR(IF(ISNUMBER(INDEX(원자료_시장!$A$1:$BZ$1000,설정!$L$6+ROW()-1,설정!$L$26)),INDEX(원자료_시장!$A$1:$BZ$1000,설정!$L$6+ROW()-1,설정!$L$26),""),"")</f>
        <v/>
      </c>
      <c r="E570" s="97" t="str">
        <f aca="false">IFERROR(IF(ISNUMBER(INDEX(원자료_시장!$A$1:$BZ$1000,설정!$L$6+ROW()-1,설정!$L$27)),INDEX(원자료_시장!$A$1:$BZ$1000,설정!$L$6+ROW()-1,설정!$L$27),""),"")</f>
        <v/>
      </c>
      <c r="F570" s="97" t="str">
        <f aca="false">IFERROR(IF(ISNUMBER(INDEX(원자료_시장!$A$1:$BZ$1000,설정!$L$6+ROW()-1,설정!$L$28)),INDEX(원자료_시장!$A$1:$BZ$1000,설정!$L$6+ROW()-1,설정!$L$28),""),"")</f>
        <v/>
      </c>
      <c r="G570" s="97" t="str">
        <f aca="false">IFERROR(IF(ISNUMBER(INDEX(원자료_시장!$A$1:$BZ$1000,설정!$L$6+ROW()-1,설정!$L$29)),INDEX(원자료_시장!$A$1:$BZ$1000,설정!$L$6+ROW()-1,설정!$L$29),""),"")</f>
        <v/>
      </c>
      <c r="H570" s="97" t="str">
        <f aca="false">IFERROR(IF(ISNUMBER(INDEX(원자료_시장!$A$1:$BZ$1000,설정!$L$6+ROW()-1,설정!$L$30)),INDEX(원자료_시장!$A$1:$BZ$1000,설정!$L$6+ROW()-1,설정!$L$30),""),"")</f>
        <v/>
      </c>
      <c r="I570" s="97" t="str">
        <f aca="false">IFERROR(IF(ISNUMBER(INDEX(원자료_시장!$A$1:$BZ$1000,설정!$L$6+ROW()-1,설정!$L$31)),INDEX(원자료_시장!$A$1:$BZ$1000,설정!$L$6+ROW()-1,설정!$L$31),""),"")</f>
        <v/>
      </c>
      <c r="J570" s="97" t="str">
        <f aca="false">IFERROR(IF(ISNUMBER(INDEX(원자료_시장!$A$1:$BZ$1000,설정!$L$6+ROW()-1,설정!$L$32)),INDEX(원자료_시장!$A$1:$BZ$1000,설정!$L$6+ROW()-1,설정!$L$32),""),"")</f>
        <v/>
      </c>
      <c r="K570" s="85" t="str">
        <f aca="false">IFERROR(IF(ISNUMBER(INDEX(원자료_시장!$A$1:$BZ$1000,설정!$L$6+ROW()-1,설정!$L$33)),INDEX(원자료_시장!$A$1:$BZ$1000,설정!$L$6+ROW()-1,설정!$L$33),""),"")</f>
        <v/>
      </c>
      <c r="L570" s="83" t="n">
        <f aca="false">IFERROR(IF(INDEX(원자료_시장!$A$1:$BZ$1000,설정!$L$6+ROW()-1,설정!$L$34)&amp;""="0","",INDEX(원자료_시장!$A$1:$BZ$1000,설정!$L$6+ROW()-1,설정!$L$34)),"")</f>
        <v>0</v>
      </c>
      <c r="M570" s="83" t="n">
        <f aca="false">IFERROR(IF(INDEX(원자료_시장!$A$1:$BZ$1000,설정!$L$6+ROW()-1,설정!$L$35)&amp;""="0","",INDEX(원자료_시장!$A$1:$BZ$1000,설정!$L$6+ROW()-1,설정!$L$35)),"")</f>
        <v>0</v>
      </c>
      <c r="N570" s="83" t="n">
        <f aca="false">IFERROR(IF(INDEX(원자료_시장!$A$1:$BZ$1000,설정!$L$6+ROW()-1,설정!$L$36)&amp;""="0","",INDEX(원자료_시장!$A$1:$BZ$1000,설정!$L$6+ROW()-1,설정!$L$36)),"")</f>
        <v>0</v>
      </c>
      <c r="O570" s="43" t="str">
        <f aca="false">IF($A570="","",UPPER(LEFT($A570,FIND(" ",$A570&amp;" ")-1)))</f>
        <v/>
      </c>
      <c r="P570" s="43" t="str">
        <f aca="false">IF($A570="","",TRIM(RIGHT(SUBSTITUTE(TRIM($A570)," ",REPT(" ",30)),30)))</f>
        <v/>
      </c>
      <c r="Q570" s="98" t="str">
        <f aca="false">IF($A570="","",IFERROR(DATE(IF(LEN(P570)=8,2000+VALUE(RIGHT(P570,2)),VALUE(RIGHT(P570,4))),VALUE(LEFT(P570,2)),VALUE(MID(P570,4,2))),""))</f>
        <v/>
      </c>
      <c r="R570" s="89" t="n">
        <f aca="false">IF($A570="",0,IF(ISNUMBER(SEARCH("Float",$A570)),1,0))</f>
        <v>0</v>
      </c>
      <c r="S570" s="43" t="str">
        <f aca="false">IF($A570="","",TRIM(MID($A570,LEN(O570)+2,LEN($A570)-LEN(O570)-LEN(P570)-1)))</f>
        <v/>
      </c>
      <c r="T570" s="92" t="str">
        <f aca="false">IF(OR($A570="",R570=1),"",IFERROR(IF(ISNUMBER(FIND("/",S570)),IF(ISNUMBER(FIND(" ",S570)),VALUE(LEFT(S570,FIND(" ",S570)-1))+VALUE(MID(S570,FIND(" ",S570)+1,FIND("/",S570)-FIND(" ",S570)-1))/VALUE(MID(S570,FIND("/",S570)+1,9)),VALUE(LEFT(S570,FIND("/",S570)-1))/VALUE(MID(S570,FIND("/",S570)+1,9))),VALUE(S570)),""))</f>
        <v/>
      </c>
      <c r="U570" s="43" t="str">
        <f aca="false">IF(OR($A570="",NOT(ISNUMBER(Q570))),"",TEXT(Q570,"yyyymmdd")&amp;"|"&amp;IF(R570=1,"F",TEXT(T570,"0.000")))</f>
        <v/>
      </c>
      <c r="V570" s="43" t="str">
        <f aca="false">IF(U570="","",O570&amp;"|"&amp;U570)</f>
        <v/>
      </c>
      <c r="W570" s="43" t="str">
        <f aca="false">IF($A570="","",IFERROR(IF(VLOOKUP(O570,매핑!$A$4:$E$92,3,0)="","미분류",VLOOKUP(O570,매핑!$A$4:$E$92,3,0)),"미분류"))</f>
        <v/>
      </c>
      <c r="X570" s="89" t="n">
        <f aca="false">IF($A570="",0,IF(O570="T",1,0))</f>
        <v>0</v>
      </c>
      <c r="Y570" s="89" t="n">
        <f aca="false">IF($A570="",0,IF(AND(C570="USD",X570=0,ISNUMBER(E570),ISNUMBER(K570)),IF(K570&gt;=설정!$C$8,1,0),0))</f>
        <v>0</v>
      </c>
      <c r="Z570" s="43" t="str">
        <f aca="false">IF($A570="","",N570&amp;"|"&amp;L570)</f>
        <v/>
      </c>
      <c r="AA570" s="92" t="n">
        <f aca="false">IF(Y570=1,LN(K570),0)</f>
        <v>0</v>
      </c>
      <c r="AB570" s="93" t="n">
        <f aca="false">IF(Y570=1,E570,0)</f>
        <v>0</v>
      </c>
      <c r="AC570" s="89" t="n">
        <f aca="false">IF(Y570=1,COUNTIFS($Z$2:$Z$601,Z570,$Y$2:$Y$601,1),0)</f>
        <v>0</v>
      </c>
      <c r="AD570" s="89" t="n">
        <f aca="false">IF(Y570=1,COUNTIFS($N$2:$N$601,N570,$Y$2:$Y$601,1),0)</f>
        <v>0</v>
      </c>
      <c r="AE570" s="43" t="str">
        <f aca="false">IF(Y570&lt;&gt;1,"",IF(AND(AC570&gt;=설정!$C$7,ISNUMBER(MATCH(Z570,피어커브!$A:$A,0))),Z570,IF(AND(AD570&gt;=설정!$C$7,ISNUMBER(MATCH(N570&amp;"|전체",피어커브!$A:$A,0))),N570&amp;"|전체","전체|전체")))</f>
        <v/>
      </c>
      <c r="AF570" s="93" t="str">
        <f aca="false">IF(AE570="","",INDEX(피어커브!$K:$K,MATCH(AE570,피어커브!$A:$A,0)))</f>
        <v/>
      </c>
      <c r="AG570" s="93" t="str">
        <f aca="false">IF(AE570="","",INDEX(피어커브!$J:$J,MATCH(AE570,피어커브!$A:$A,0)))</f>
        <v/>
      </c>
      <c r="AH570" s="93" t="str">
        <f aca="false">IF(AE570="","",INDEX(피어커브!$L:$L,MATCH(AE570,피어커브!$A:$A,0)))</f>
        <v/>
      </c>
      <c r="AI570" s="93" t="str">
        <f aca="false">IF(AE570="","",AF570+AG570*AA570)</f>
        <v/>
      </c>
      <c r="AJ570" s="96" t="str">
        <f aca="false">IF(AE570="","",E570-AI570)</f>
        <v/>
      </c>
      <c r="AK570" s="95" t="str">
        <f aca="false">IF(AE570="","",IF(ISNUMBER(AH570),IF(AH570&gt;0,AJ570/AH570,""),""))</f>
        <v/>
      </c>
      <c r="AL570" s="43" t="str">
        <f aca="false">IF(AK570="","-",IF(AK570&gt;=설정!$C$6,"Cheap",IF(AK570&lt;=-설정!$C$6,"Rich","Fair")))</f>
        <v>-</v>
      </c>
      <c r="AM570" s="96" t="str">
        <f aca="false">IF(AE570="","",AJ570-AVERAGEIFS($AJ$2:$AJ$601,$B$2:$B$601,B570,$Y$2:$Y$601,1))</f>
        <v/>
      </c>
      <c r="AN570" s="93" t="n">
        <f aca="false">IF(AE570="",0,IF(K570&gt;1+설정!$C$8,AG570*(AA570-LN(K570-1)),0))</f>
        <v>0</v>
      </c>
      <c r="AO570" s="99" t="n">
        <f aca="false">IF($A570="",0,SUMIFS(보유분석!$AA$2:$AA$801,보유분석!$AB$2:$AB$801,ROW(),보유분석!$AC$2:$AC$801,1))</f>
        <v>0</v>
      </c>
      <c r="AP570" s="43" t="str">
        <f aca="false">IF($A570="","",TRIM(IF(R570=1,"FRN ","")&amp;IF(IFERROR(VLOOKUP(M570,설정!$A$15:$D$47,4,0),0)&gt;=10,IF(IFERROR(VLOOKUP(M570,설정!$A$15:$D$47,4,0),0)&lt;99,"BBB0미만 ",""),"")&amp;IF(OR(M570="",M570="NR"),"등급미입력 ","")&amp;IF(C570&lt;&gt;"USD","비USD ","")))</f>
        <v/>
      </c>
      <c r="AQ570" s="90" t="n">
        <f aca="false">IF(AND(Y570=1,AL570="Cheap"),IF(AND(ISERROR(SEARCH("FRN",AP570)),ISERROR(SEARCH("BBB0미만",AP570))),AK570+ROW()/1000000000,-999),-999)</f>
        <v>-999</v>
      </c>
      <c r="AR570" s="92" t="str">
        <f aca="false">IF(AND(ISNUMBER(D570),ISNUMBER(K570)),D570+AN570*MAX(K570-1,0)/100,"")</f>
        <v/>
      </c>
      <c r="AS570" s="93" t="str">
        <f aca="false">IF(AND(ISNUMBER(E570),ISNUMBER(K570)),IF(K570&gt;0,(E570+AN570*MAX(K570-1,0))/K570,""),"")</f>
        <v/>
      </c>
      <c r="AT570" s="90" t="n">
        <f aca="false">IFERROR(IF(AND(Y570=1,ROW()&lt;&gt;스왑분석!$C$12+1,ABS(K570-INDEX($K$2:$K$601,스왑분석!$C$12))&lt;=스왑분석!$C$5,ISERROR(SEARCH("FRN",AP570)),ISERROR(SEARCH("BBB0미만",AP570))),IF(AND(OR(스왑분석!$C$6="N",L570=INDEX($L$2:$L$601,스왑분석!$C$12)),OR(스왑분석!$C$7="N",N570=INDEX($N$2:$N$601,스왑분석!$C$12)),OR(스왑분석!$C$8="N",AO570=0),E570-INDEX($E$2:$E$601,스왑분석!$C$12)&gt;=스왑분석!$C$9),E570-INDEX($E$2:$E$601,스왑분석!$C$12)+ROW()/1000000000,-999),-999),-999)</f>
        <v>-999</v>
      </c>
      <c r="AU570" s="90" t="n">
        <f aca="false">IF(AND(Y570=1,AO570&gt;0,AL570="Rich"),-AK570+ROW()/1000000000,-999)</f>
        <v>-999</v>
      </c>
    </row>
    <row r="571" customFormat="false" ht="15" hidden="false" customHeight="false" outlineLevel="0" collapsed="false">
      <c r="A571" s="83" t="n">
        <f aca="false">IFERROR(IF(INDEX(원자료_시장!$A$1:$BZ$1000,설정!$L$6+ROW()-1,설정!$L$24)&amp;""="0","",INDEX(원자료_시장!$A$1:$BZ$1000,설정!$L$6+ROW()-1,설정!$L$24)),"")</f>
        <v>0</v>
      </c>
      <c r="B571" s="83" t="n">
        <f aca="false">IFERROR(IF(INDEX(원자료_시장!$A$1:$BZ$1000,설정!$L$6+ROW()-1,설정!$L$37)&amp;""="0","",INDEX(원자료_시장!$A$1:$BZ$1000,설정!$L$6+ROW()-1,설정!$L$37)),"")</f>
        <v>0</v>
      </c>
      <c r="C571" s="83" t="n">
        <f aca="false">IFERROR(IF(INDEX(원자료_시장!$A$1:$BZ$1000,설정!$L$6+ROW()-1,설정!$L$25)&amp;""="0","",INDEX(원자료_시장!$A$1:$BZ$1000,설정!$L$6+ROW()-1,설정!$L$25)),"")</f>
        <v>0</v>
      </c>
      <c r="D571" s="85" t="str">
        <f aca="false">IFERROR(IF(ISNUMBER(INDEX(원자료_시장!$A$1:$BZ$1000,설정!$L$6+ROW()-1,설정!$L$26)),INDEX(원자료_시장!$A$1:$BZ$1000,설정!$L$6+ROW()-1,설정!$L$26),""),"")</f>
        <v/>
      </c>
      <c r="E571" s="97" t="str">
        <f aca="false">IFERROR(IF(ISNUMBER(INDEX(원자료_시장!$A$1:$BZ$1000,설정!$L$6+ROW()-1,설정!$L$27)),INDEX(원자료_시장!$A$1:$BZ$1000,설정!$L$6+ROW()-1,설정!$L$27),""),"")</f>
        <v/>
      </c>
      <c r="F571" s="97" t="str">
        <f aca="false">IFERROR(IF(ISNUMBER(INDEX(원자료_시장!$A$1:$BZ$1000,설정!$L$6+ROW()-1,설정!$L$28)),INDEX(원자료_시장!$A$1:$BZ$1000,설정!$L$6+ROW()-1,설정!$L$28),""),"")</f>
        <v/>
      </c>
      <c r="G571" s="97" t="str">
        <f aca="false">IFERROR(IF(ISNUMBER(INDEX(원자료_시장!$A$1:$BZ$1000,설정!$L$6+ROW()-1,설정!$L$29)),INDEX(원자료_시장!$A$1:$BZ$1000,설정!$L$6+ROW()-1,설정!$L$29),""),"")</f>
        <v/>
      </c>
      <c r="H571" s="97" t="str">
        <f aca="false">IFERROR(IF(ISNUMBER(INDEX(원자료_시장!$A$1:$BZ$1000,설정!$L$6+ROW()-1,설정!$L$30)),INDEX(원자료_시장!$A$1:$BZ$1000,설정!$L$6+ROW()-1,설정!$L$30),""),"")</f>
        <v/>
      </c>
      <c r="I571" s="97" t="str">
        <f aca="false">IFERROR(IF(ISNUMBER(INDEX(원자료_시장!$A$1:$BZ$1000,설정!$L$6+ROW()-1,설정!$L$31)),INDEX(원자료_시장!$A$1:$BZ$1000,설정!$L$6+ROW()-1,설정!$L$31),""),"")</f>
        <v/>
      </c>
      <c r="J571" s="97" t="str">
        <f aca="false">IFERROR(IF(ISNUMBER(INDEX(원자료_시장!$A$1:$BZ$1000,설정!$L$6+ROW()-1,설정!$L$32)),INDEX(원자료_시장!$A$1:$BZ$1000,설정!$L$6+ROW()-1,설정!$L$32),""),"")</f>
        <v/>
      </c>
      <c r="K571" s="85" t="str">
        <f aca="false">IFERROR(IF(ISNUMBER(INDEX(원자료_시장!$A$1:$BZ$1000,설정!$L$6+ROW()-1,설정!$L$33)),INDEX(원자료_시장!$A$1:$BZ$1000,설정!$L$6+ROW()-1,설정!$L$33),""),"")</f>
        <v/>
      </c>
      <c r="L571" s="83" t="n">
        <f aca="false">IFERROR(IF(INDEX(원자료_시장!$A$1:$BZ$1000,설정!$L$6+ROW()-1,설정!$L$34)&amp;""="0","",INDEX(원자료_시장!$A$1:$BZ$1000,설정!$L$6+ROW()-1,설정!$L$34)),"")</f>
        <v>0</v>
      </c>
      <c r="M571" s="83" t="n">
        <f aca="false">IFERROR(IF(INDEX(원자료_시장!$A$1:$BZ$1000,설정!$L$6+ROW()-1,설정!$L$35)&amp;""="0","",INDEX(원자료_시장!$A$1:$BZ$1000,설정!$L$6+ROW()-1,설정!$L$35)),"")</f>
        <v>0</v>
      </c>
      <c r="N571" s="83" t="n">
        <f aca="false">IFERROR(IF(INDEX(원자료_시장!$A$1:$BZ$1000,설정!$L$6+ROW()-1,설정!$L$36)&amp;""="0","",INDEX(원자료_시장!$A$1:$BZ$1000,설정!$L$6+ROW()-1,설정!$L$36)),"")</f>
        <v>0</v>
      </c>
      <c r="O571" s="43" t="str">
        <f aca="false">IF($A571="","",UPPER(LEFT($A571,FIND(" ",$A571&amp;" ")-1)))</f>
        <v/>
      </c>
      <c r="P571" s="43" t="str">
        <f aca="false">IF($A571="","",TRIM(RIGHT(SUBSTITUTE(TRIM($A571)," ",REPT(" ",30)),30)))</f>
        <v/>
      </c>
      <c r="Q571" s="98" t="str">
        <f aca="false">IF($A571="","",IFERROR(DATE(IF(LEN(P571)=8,2000+VALUE(RIGHT(P571,2)),VALUE(RIGHT(P571,4))),VALUE(LEFT(P571,2)),VALUE(MID(P571,4,2))),""))</f>
        <v/>
      </c>
      <c r="R571" s="89" t="n">
        <f aca="false">IF($A571="",0,IF(ISNUMBER(SEARCH("Float",$A571)),1,0))</f>
        <v>0</v>
      </c>
      <c r="S571" s="43" t="str">
        <f aca="false">IF($A571="","",TRIM(MID($A571,LEN(O571)+2,LEN($A571)-LEN(O571)-LEN(P571)-1)))</f>
        <v/>
      </c>
      <c r="T571" s="92" t="str">
        <f aca="false">IF(OR($A571="",R571=1),"",IFERROR(IF(ISNUMBER(FIND("/",S571)),IF(ISNUMBER(FIND(" ",S571)),VALUE(LEFT(S571,FIND(" ",S571)-1))+VALUE(MID(S571,FIND(" ",S571)+1,FIND("/",S571)-FIND(" ",S571)-1))/VALUE(MID(S571,FIND("/",S571)+1,9)),VALUE(LEFT(S571,FIND("/",S571)-1))/VALUE(MID(S571,FIND("/",S571)+1,9))),VALUE(S571)),""))</f>
        <v/>
      </c>
      <c r="U571" s="43" t="str">
        <f aca="false">IF(OR($A571="",NOT(ISNUMBER(Q571))),"",TEXT(Q571,"yyyymmdd")&amp;"|"&amp;IF(R571=1,"F",TEXT(T571,"0.000")))</f>
        <v/>
      </c>
      <c r="V571" s="43" t="str">
        <f aca="false">IF(U571="","",O571&amp;"|"&amp;U571)</f>
        <v/>
      </c>
      <c r="W571" s="43" t="str">
        <f aca="false">IF($A571="","",IFERROR(IF(VLOOKUP(O571,매핑!$A$4:$E$92,3,0)="","미분류",VLOOKUP(O571,매핑!$A$4:$E$92,3,0)),"미분류"))</f>
        <v/>
      </c>
      <c r="X571" s="89" t="n">
        <f aca="false">IF($A571="",0,IF(O571="T",1,0))</f>
        <v>0</v>
      </c>
      <c r="Y571" s="89" t="n">
        <f aca="false">IF($A571="",0,IF(AND(C571="USD",X571=0,ISNUMBER(E571),ISNUMBER(K571)),IF(K571&gt;=설정!$C$8,1,0),0))</f>
        <v>0</v>
      </c>
      <c r="Z571" s="43" t="str">
        <f aca="false">IF($A571="","",N571&amp;"|"&amp;L571)</f>
        <v/>
      </c>
      <c r="AA571" s="92" t="n">
        <f aca="false">IF(Y571=1,LN(K571),0)</f>
        <v>0</v>
      </c>
      <c r="AB571" s="93" t="n">
        <f aca="false">IF(Y571=1,E571,0)</f>
        <v>0</v>
      </c>
      <c r="AC571" s="89" t="n">
        <f aca="false">IF(Y571=1,COUNTIFS($Z$2:$Z$601,Z571,$Y$2:$Y$601,1),0)</f>
        <v>0</v>
      </c>
      <c r="AD571" s="89" t="n">
        <f aca="false">IF(Y571=1,COUNTIFS($N$2:$N$601,N571,$Y$2:$Y$601,1),0)</f>
        <v>0</v>
      </c>
      <c r="AE571" s="43" t="str">
        <f aca="false">IF(Y571&lt;&gt;1,"",IF(AND(AC571&gt;=설정!$C$7,ISNUMBER(MATCH(Z571,피어커브!$A:$A,0))),Z571,IF(AND(AD571&gt;=설정!$C$7,ISNUMBER(MATCH(N571&amp;"|전체",피어커브!$A:$A,0))),N571&amp;"|전체","전체|전체")))</f>
        <v/>
      </c>
      <c r="AF571" s="93" t="str">
        <f aca="false">IF(AE571="","",INDEX(피어커브!$K:$K,MATCH(AE571,피어커브!$A:$A,0)))</f>
        <v/>
      </c>
      <c r="AG571" s="93" t="str">
        <f aca="false">IF(AE571="","",INDEX(피어커브!$J:$J,MATCH(AE571,피어커브!$A:$A,0)))</f>
        <v/>
      </c>
      <c r="AH571" s="93" t="str">
        <f aca="false">IF(AE571="","",INDEX(피어커브!$L:$L,MATCH(AE571,피어커브!$A:$A,0)))</f>
        <v/>
      </c>
      <c r="AI571" s="93" t="str">
        <f aca="false">IF(AE571="","",AF571+AG571*AA571)</f>
        <v/>
      </c>
      <c r="AJ571" s="96" t="str">
        <f aca="false">IF(AE571="","",E571-AI571)</f>
        <v/>
      </c>
      <c r="AK571" s="95" t="str">
        <f aca="false">IF(AE571="","",IF(ISNUMBER(AH571),IF(AH571&gt;0,AJ571/AH571,""),""))</f>
        <v/>
      </c>
      <c r="AL571" s="43" t="str">
        <f aca="false">IF(AK571="","-",IF(AK571&gt;=설정!$C$6,"Cheap",IF(AK571&lt;=-설정!$C$6,"Rich","Fair")))</f>
        <v>-</v>
      </c>
      <c r="AM571" s="96" t="str">
        <f aca="false">IF(AE571="","",AJ571-AVERAGEIFS($AJ$2:$AJ$601,$B$2:$B$601,B571,$Y$2:$Y$601,1))</f>
        <v/>
      </c>
      <c r="AN571" s="93" t="n">
        <f aca="false">IF(AE571="",0,IF(K571&gt;1+설정!$C$8,AG571*(AA571-LN(K571-1)),0))</f>
        <v>0</v>
      </c>
      <c r="AO571" s="99" t="n">
        <f aca="false">IF($A571="",0,SUMIFS(보유분석!$AA$2:$AA$801,보유분석!$AB$2:$AB$801,ROW(),보유분석!$AC$2:$AC$801,1))</f>
        <v>0</v>
      </c>
      <c r="AP571" s="43" t="str">
        <f aca="false">IF($A571="","",TRIM(IF(R571=1,"FRN ","")&amp;IF(IFERROR(VLOOKUP(M571,설정!$A$15:$D$47,4,0),0)&gt;=10,IF(IFERROR(VLOOKUP(M571,설정!$A$15:$D$47,4,0),0)&lt;99,"BBB0미만 ",""),"")&amp;IF(OR(M571="",M571="NR"),"등급미입력 ","")&amp;IF(C571&lt;&gt;"USD","비USD ","")))</f>
        <v/>
      </c>
      <c r="AQ571" s="90" t="n">
        <f aca="false">IF(AND(Y571=1,AL571="Cheap"),IF(AND(ISERROR(SEARCH("FRN",AP571)),ISERROR(SEARCH("BBB0미만",AP571))),AK571+ROW()/1000000000,-999),-999)</f>
        <v>-999</v>
      </c>
      <c r="AR571" s="92" t="str">
        <f aca="false">IF(AND(ISNUMBER(D571),ISNUMBER(K571)),D571+AN571*MAX(K571-1,0)/100,"")</f>
        <v/>
      </c>
      <c r="AS571" s="93" t="str">
        <f aca="false">IF(AND(ISNUMBER(E571),ISNUMBER(K571)),IF(K571&gt;0,(E571+AN571*MAX(K571-1,0))/K571,""),"")</f>
        <v/>
      </c>
      <c r="AT571" s="90" t="n">
        <f aca="false">IFERROR(IF(AND(Y571=1,ROW()&lt;&gt;스왑분석!$C$12+1,ABS(K571-INDEX($K$2:$K$601,스왑분석!$C$12))&lt;=스왑분석!$C$5,ISERROR(SEARCH("FRN",AP571)),ISERROR(SEARCH("BBB0미만",AP571))),IF(AND(OR(스왑분석!$C$6="N",L571=INDEX($L$2:$L$601,스왑분석!$C$12)),OR(스왑분석!$C$7="N",N571=INDEX($N$2:$N$601,스왑분석!$C$12)),OR(스왑분석!$C$8="N",AO571=0),E571-INDEX($E$2:$E$601,스왑분석!$C$12)&gt;=스왑분석!$C$9),E571-INDEX($E$2:$E$601,스왑분석!$C$12)+ROW()/1000000000,-999),-999),-999)</f>
        <v>-999</v>
      </c>
      <c r="AU571" s="90" t="n">
        <f aca="false">IF(AND(Y571=1,AO571&gt;0,AL571="Rich"),-AK571+ROW()/1000000000,-999)</f>
        <v>-999</v>
      </c>
    </row>
    <row r="572" customFormat="false" ht="15" hidden="false" customHeight="false" outlineLevel="0" collapsed="false">
      <c r="A572" s="83" t="n">
        <f aca="false">IFERROR(IF(INDEX(원자료_시장!$A$1:$BZ$1000,설정!$L$6+ROW()-1,설정!$L$24)&amp;""="0","",INDEX(원자료_시장!$A$1:$BZ$1000,설정!$L$6+ROW()-1,설정!$L$24)),"")</f>
        <v>0</v>
      </c>
      <c r="B572" s="83" t="n">
        <f aca="false">IFERROR(IF(INDEX(원자료_시장!$A$1:$BZ$1000,설정!$L$6+ROW()-1,설정!$L$37)&amp;""="0","",INDEX(원자료_시장!$A$1:$BZ$1000,설정!$L$6+ROW()-1,설정!$L$37)),"")</f>
        <v>0</v>
      </c>
      <c r="C572" s="83" t="n">
        <f aca="false">IFERROR(IF(INDEX(원자료_시장!$A$1:$BZ$1000,설정!$L$6+ROW()-1,설정!$L$25)&amp;""="0","",INDEX(원자료_시장!$A$1:$BZ$1000,설정!$L$6+ROW()-1,설정!$L$25)),"")</f>
        <v>0</v>
      </c>
      <c r="D572" s="85" t="str">
        <f aca="false">IFERROR(IF(ISNUMBER(INDEX(원자료_시장!$A$1:$BZ$1000,설정!$L$6+ROW()-1,설정!$L$26)),INDEX(원자료_시장!$A$1:$BZ$1000,설정!$L$6+ROW()-1,설정!$L$26),""),"")</f>
        <v/>
      </c>
      <c r="E572" s="97" t="str">
        <f aca="false">IFERROR(IF(ISNUMBER(INDEX(원자료_시장!$A$1:$BZ$1000,설정!$L$6+ROW()-1,설정!$L$27)),INDEX(원자료_시장!$A$1:$BZ$1000,설정!$L$6+ROW()-1,설정!$L$27),""),"")</f>
        <v/>
      </c>
      <c r="F572" s="97" t="str">
        <f aca="false">IFERROR(IF(ISNUMBER(INDEX(원자료_시장!$A$1:$BZ$1000,설정!$L$6+ROW()-1,설정!$L$28)),INDEX(원자료_시장!$A$1:$BZ$1000,설정!$L$6+ROW()-1,설정!$L$28),""),"")</f>
        <v/>
      </c>
      <c r="G572" s="97" t="str">
        <f aca="false">IFERROR(IF(ISNUMBER(INDEX(원자료_시장!$A$1:$BZ$1000,설정!$L$6+ROW()-1,설정!$L$29)),INDEX(원자료_시장!$A$1:$BZ$1000,설정!$L$6+ROW()-1,설정!$L$29),""),"")</f>
        <v/>
      </c>
      <c r="H572" s="97" t="str">
        <f aca="false">IFERROR(IF(ISNUMBER(INDEX(원자료_시장!$A$1:$BZ$1000,설정!$L$6+ROW()-1,설정!$L$30)),INDEX(원자료_시장!$A$1:$BZ$1000,설정!$L$6+ROW()-1,설정!$L$30),""),"")</f>
        <v/>
      </c>
      <c r="I572" s="97" t="str">
        <f aca="false">IFERROR(IF(ISNUMBER(INDEX(원자료_시장!$A$1:$BZ$1000,설정!$L$6+ROW()-1,설정!$L$31)),INDEX(원자료_시장!$A$1:$BZ$1000,설정!$L$6+ROW()-1,설정!$L$31),""),"")</f>
        <v/>
      </c>
      <c r="J572" s="97" t="str">
        <f aca="false">IFERROR(IF(ISNUMBER(INDEX(원자료_시장!$A$1:$BZ$1000,설정!$L$6+ROW()-1,설정!$L$32)),INDEX(원자료_시장!$A$1:$BZ$1000,설정!$L$6+ROW()-1,설정!$L$32),""),"")</f>
        <v/>
      </c>
      <c r="K572" s="85" t="str">
        <f aca="false">IFERROR(IF(ISNUMBER(INDEX(원자료_시장!$A$1:$BZ$1000,설정!$L$6+ROW()-1,설정!$L$33)),INDEX(원자료_시장!$A$1:$BZ$1000,설정!$L$6+ROW()-1,설정!$L$33),""),"")</f>
        <v/>
      </c>
      <c r="L572" s="83" t="n">
        <f aca="false">IFERROR(IF(INDEX(원자료_시장!$A$1:$BZ$1000,설정!$L$6+ROW()-1,설정!$L$34)&amp;""="0","",INDEX(원자료_시장!$A$1:$BZ$1000,설정!$L$6+ROW()-1,설정!$L$34)),"")</f>
        <v>0</v>
      </c>
      <c r="M572" s="83" t="n">
        <f aca="false">IFERROR(IF(INDEX(원자료_시장!$A$1:$BZ$1000,설정!$L$6+ROW()-1,설정!$L$35)&amp;""="0","",INDEX(원자료_시장!$A$1:$BZ$1000,설정!$L$6+ROW()-1,설정!$L$35)),"")</f>
        <v>0</v>
      </c>
      <c r="N572" s="83" t="n">
        <f aca="false">IFERROR(IF(INDEX(원자료_시장!$A$1:$BZ$1000,설정!$L$6+ROW()-1,설정!$L$36)&amp;""="0","",INDEX(원자료_시장!$A$1:$BZ$1000,설정!$L$6+ROW()-1,설정!$L$36)),"")</f>
        <v>0</v>
      </c>
      <c r="O572" s="43" t="str">
        <f aca="false">IF($A572="","",UPPER(LEFT($A572,FIND(" ",$A572&amp;" ")-1)))</f>
        <v/>
      </c>
      <c r="P572" s="43" t="str">
        <f aca="false">IF($A572="","",TRIM(RIGHT(SUBSTITUTE(TRIM($A572)," ",REPT(" ",30)),30)))</f>
        <v/>
      </c>
      <c r="Q572" s="98" t="str">
        <f aca="false">IF($A572="","",IFERROR(DATE(IF(LEN(P572)=8,2000+VALUE(RIGHT(P572,2)),VALUE(RIGHT(P572,4))),VALUE(LEFT(P572,2)),VALUE(MID(P572,4,2))),""))</f>
        <v/>
      </c>
      <c r="R572" s="89" t="n">
        <f aca="false">IF($A572="",0,IF(ISNUMBER(SEARCH("Float",$A572)),1,0))</f>
        <v>0</v>
      </c>
      <c r="S572" s="43" t="str">
        <f aca="false">IF($A572="","",TRIM(MID($A572,LEN(O572)+2,LEN($A572)-LEN(O572)-LEN(P572)-1)))</f>
        <v/>
      </c>
      <c r="T572" s="92" t="str">
        <f aca="false">IF(OR($A572="",R572=1),"",IFERROR(IF(ISNUMBER(FIND("/",S572)),IF(ISNUMBER(FIND(" ",S572)),VALUE(LEFT(S572,FIND(" ",S572)-1))+VALUE(MID(S572,FIND(" ",S572)+1,FIND("/",S572)-FIND(" ",S572)-1))/VALUE(MID(S572,FIND("/",S572)+1,9)),VALUE(LEFT(S572,FIND("/",S572)-1))/VALUE(MID(S572,FIND("/",S572)+1,9))),VALUE(S572)),""))</f>
        <v/>
      </c>
      <c r="U572" s="43" t="str">
        <f aca="false">IF(OR($A572="",NOT(ISNUMBER(Q572))),"",TEXT(Q572,"yyyymmdd")&amp;"|"&amp;IF(R572=1,"F",TEXT(T572,"0.000")))</f>
        <v/>
      </c>
      <c r="V572" s="43" t="str">
        <f aca="false">IF(U572="","",O572&amp;"|"&amp;U572)</f>
        <v/>
      </c>
      <c r="W572" s="43" t="str">
        <f aca="false">IF($A572="","",IFERROR(IF(VLOOKUP(O572,매핑!$A$4:$E$92,3,0)="","미분류",VLOOKUP(O572,매핑!$A$4:$E$92,3,0)),"미분류"))</f>
        <v/>
      </c>
      <c r="X572" s="89" t="n">
        <f aca="false">IF($A572="",0,IF(O572="T",1,0))</f>
        <v>0</v>
      </c>
      <c r="Y572" s="89" t="n">
        <f aca="false">IF($A572="",0,IF(AND(C572="USD",X572=0,ISNUMBER(E572),ISNUMBER(K572)),IF(K572&gt;=설정!$C$8,1,0),0))</f>
        <v>0</v>
      </c>
      <c r="Z572" s="43" t="str">
        <f aca="false">IF($A572="","",N572&amp;"|"&amp;L572)</f>
        <v/>
      </c>
      <c r="AA572" s="92" t="n">
        <f aca="false">IF(Y572=1,LN(K572),0)</f>
        <v>0</v>
      </c>
      <c r="AB572" s="93" t="n">
        <f aca="false">IF(Y572=1,E572,0)</f>
        <v>0</v>
      </c>
      <c r="AC572" s="89" t="n">
        <f aca="false">IF(Y572=1,COUNTIFS($Z$2:$Z$601,Z572,$Y$2:$Y$601,1),0)</f>
        <v>0</v>
      </c>
      <c r="AD572" s="89" t="n">
        <f aca="false">IF(Y572=1,COUNTIFS($N$2:$N$601,N572,$Y$2:$Y$601,1),0)</f>
        <v>0</v>
      </c>
      <c r="AE572" s="43" t="str">
        <f aca="false">IF(Y572&lt;&gt;1,"",IF(AND(AC572&gt;=설정!$C$7,ISNUMBER(MATCH(Z572,피어커브!$A:$A,0))),Z572,IF(AND(AD572&gt;=설정!$C$7,ISNUMBER(MATCH(N572&amp;"|전체",피어커브!$A:$A,0))),N572&amp;"|전체","전체|전체")))</f>
        <v/>
      </c>
      <c r="AF572" s="93" t="str">
        <f aca="false">IF(AE572="","",INDEX(피어커브!$K:$K,MATCH(AE572,피어커브!$A:$A,0)))</f>
        <v/>
      </c>
      <c r="AG572" s="93" t="str">
        <f aca="false">IF(AE572="","",INDEX(피어커브!$J:$J,MATCH(AE572,피어커브!$A:$A,0)))</f>
        <v/>
      </c>
      <c r="AH572" s="93" t="str">
        <f aca="false">IF(AE572="","",INDEX(피어커브!$L:$L,MATCH(AE572,피어커브!$A:$A,0)))</f>
        <v/>
      </c>
      <c r="AI572" s="93" t="str">
        <f aca="false">IF(AE572="","",AF572+AG572*AA572)</f>
        <v/>
      </c>
      <c r="AJ572" s="96" t="str">
        <f aca="false">IF(AE572="","",E572-AI572)</f>
        <v/>
      </c>
      <c r="AK572" s="95" t="str">
        <f aca="false">IF(AE572="","",IF(ISNUMBER(AH572),IF(AH572&gt;0,AJ572/AH572,""),""))</f>
        <v/>
      </c>
      <c r="AL572" s="43" t="str">
        <f aca="false">IF(AK572="","-",IF(AK572&gt;=설정!$C$6,"Cheap",IF(AK572&lt;=-설정!$C$6,"Rich","Fair")))</f>
        <v>-</v>
      </c>
      <c r="AM572" s="96" t="str">
        <f aca="false">IF(AE572="","",AJ572-AVERAGEIFS($AJ$2:$AJ$601,$B$2:$B$601,B572,$Y$2:$Y$601,1))</f>
        <v/>
      </c>
      <c r="AN572" s="93" t="n">
        <f aca="false">IF(AE572="",0,IF(K572&gt;1+설정!$C$8,AG572*(AA572-LN(K572-1)),0))</f>
        <v>0</v>
      </c>
      <c r="AO572" s="99" t="n">
        <f aca="false">IF($A572="",0,SUMIFS(보유분석!$AA$2:$AA$801,보유분석!$AB$2:$AB$801,ROW(),보유분석!$AC$2:$AC$801,1))</f>
        <v>0</v>
      </c>
      <c r="AP572" s="43" t="str">
        <f aca="false">IF($A572="","",TRIM(IF(R572=1,"FRN ","")&amp;IF(IFERROR(VLOOKUP(M572,설정!$A$15:$D$47,4,0),0)&gt;=10,IF(IFERROR(VLOOKUP(M572,설정!$A$15:$D$47,4,0),0)&lt;99,"BBB0미만 ",""),"")&amp;IF(OR(M572="",M572="NR"),"등급미입력 ","")&amp;IF(C572&lt;&gt;"USD","비USD ","")))</f>
        <v/>
      </c>
      <c r="AQ572" s="90" t="n">
        <f aca="false">IF(AND(Y572=1,AL572="Cheap"),IF(AND(ISERROR(SEARCH("FRN",AP572)),ISERROR(SEARCH("BBB0미만",AP572))),AK572+ROW()/1000000000,-999),-999)</f>
        <v>-999</v>
      </c>
      <c r="AR572" s="92" t="str">
        <f aca="false">IF(AND(ISNUMBER(D572),ISNUMBER(K572)),D572+AN572*MAX(K572-1,0)/100,"")</f>
        <v/>
      </c>
      <c r="AS572" s="93" t="str">
        <f aca="false">IF(AND(ISNUMBER(E572),ISNUMBER(K572)),IF(K572&gt;0,(E572+AN572*MAX(K572-1,0))/K572,""),"")</f>
        <v/>
      </c>
      <c r="AT572" s="90" t="n">
        <f aca="false">IFERROR(IF(AND(Y572=1,ROW()&lt;&gt;스왑분석!$C$12+1,ABS(K572-INDEX($K$2:$K$601,스왑분석!$C$12))&lt;=스왑분석!$C$5,ISERROR(SEARCH("FRN",AP572)),ISERROR(SEARCH("BBB0미만",AP572))),IF(AND(OR(스왑분석!$C$6="N",L572=INDEX($L$2:$L$601,스왑분석!$C$12)),OR(스왑분석!$C$7="N",N572=INDEX($N$2:$N$601,스왑분석!$C$12)),OR(스왑분석!$C$8="N",AO572=0),E572-INDEX($E$2:$E$601,스왑분석!$C$12)&gt;=스왑분석!$C$9),E572-INDEX($E$2:$E$601,스왑분석!$C$12)+ROW()/1000000000,-999),-999),-999)</f>
        <v>-999</v>
      </c>
      <c r="AU572" s="90" t="n">
        <f aca="false">IF(AND(Y572=1,AO572&gt;0,AL572="Rich"),-AK572+ROW()/1000000000,-999)</f>
        <v>-999</v>
      </c>
    </row>
    <row r="573" customFormat="false" ht="15" hidden="false" customHeight="false" outlineLevel="0" collapsed="false">
      <c r="A573" s="83" t="n">
        <f aca="false">IFERROR(IF(INDEX(원자료_시장!$A$1:$BZ$1000,설정!$L$6+ROW()-1,설정!$L$24)&amp;""="0","",INDEX(원자료_시장!$A$1:$BZ$1000,설정!$L$6+ROW()-1,설정!$L$24)),"")</f>
        <v>0</v>
      </c>
      <c r="B573" s="83" t="n">
        <f aca="false">IFERROR(IF(INDEX(원자료_시장!$A$1:$BZ$1000,설정!$L$6+ROW()-1,설정!$L$37)&amp;""="0","",INDEX(원자료_시장!$A$1:$BZ$1000,설정!$L$6+ROW()-1,설정!$L$37)),"")</f>
        <v>0</v>
      </c>
      <c r="C573" s="83" t="n">
        <f aca="false">IFERROR(IF(INDEX(원자료_시장!$A$1:$BZ$1000,설정!$L$6+ROW()-1,설정!$L$25)&amp;""="0","",INDEX(원자료_시장!$A$1:$BZ$1000,설정!$L$6+ROW()-1,설정!$L$25)),"")</f>
        <v>0</v>
      </c>
      <c r="D573" s="85" t="str">
        <f aca="false">IFERROR(IF(ISNUMBER(INDEX(원자료_시장!$A$1:$BZ$1000,설정!$L$6+ROW()-1,설정!$L$26)),INDEX(원자료_시장!$A$1:$BZ$1000,설정!$L$6+ROW()-1,설정!$L$26),""),"")</f>
        <v/>
      </c>
      <c r="E573" s="97" t="str">
        <f aca="false">IFERROR(IF(ISNUMBER(INDEX(원자료_시장!$A$1:$BZ$1000,설정!$L$6+ROW()-1,설정!$L$27)),INDEX(원자료_시장!$A$1:$BZ$1000,설정!$L$6+ROW()-1,설정!$L$27),""),"")</f>
        <v/>
      </c>
      <c r="F573" s="97" t="str">
        <f aca="false">IFERROR(IF(ISNUMBER(INDEX(원자료_시장!$A$1:$BZ$1000,설정!$L$6+ROW()-1,설정!$L$28)),INDEX(원자료_시장!$A$1:$BZ$1000,설정!$L$6+ROW()-1,설정!$L$28),""),"")</f>
        <v/>
      </c>
      <c r="G573" s="97" t="str">
        <f aca="false">IFERROR(IF(ISNUMBER(INDEX(원자료_시장!$A$1:$BZ$1000,설정!$L$6+ROW()-1,설정!$L$29)),INDEX(원자료_시장!$A$1:$BZ$1000,설정!$L$6+ROW()-1,설정!$L$29),""),"")</f>
        <v/>
      </c>
      <c r="H573" s="97" t="str">
        <f aca="false">IFERROR(IF(ISNUMBER(INDEX(원자료_시장!$A$1:$BZ$1000,설정!$L$6+ROW()-1,설정!$L$30)),INDEX(원자료_시장!$A$1:$BZ$1000,설정!$L$6+ROW()-1,설정!$L$30),""),"")</f>
        <v/>
      </c>
      <c r="I573" s="97" t="str">
        <f aca="false">IFERROR(IF(ISNUMBER(INDEX(원자료_시장!$A$1:$BZ$1000,설정!$L$6+ROW()-1,설정!$L$31)),INDEX(원자료_시장!$A$1:$BZ$1000,설정!$L$6+ROW()-1,설정!$L$31),""),"")</f>
        <v/>
      </c>
      <c r="J573" s="97" t="str">
        <f aca="false">IFERROR(IF(ISNUMBER(INDEX(원자료_시장!$A$1:$BZ$1000,설정!$L$6+ROW()-1,설정!$L$32)),INDEX(원자료_시장!$A$1:$BZ$1000,설정!$L$6+ROW()-1,설정!$L$32),""),"")</f>
        <v/>
      </c>
      <c r="K573" s="85" t="str">
        <f aca="false">IFERROR(IF(ISNUMBER(INDEX(원자료_시장!$A$1:$BZ$1000,설정!$L$6+ROW()-1,설정!$L$33)),INDEX(원자료_시장!$A$1:$BZ$1000,설정!$L$6+ROW()-1,설정!$L$33),""),"")</f>
        <v/>
      </c>
      <c r="L573" s="83" t="n">
        <f aca="false">IFERROR(IF(INDEX(원자료_시장!$A$1:$BZ$1000,설정!$L$6+ROW()-1,설정!$L$34)&amp;""="0","",INDEX(원자료_시장!$A$1:$BZ$1000,설정!$L$6+ROW()-1,설정!$L$34)),"")</f>
        <v>0</v>
      </c>
      <c r="M573" s="83" t="n">
        <f aca="false">IFERROR(IF(INDEX(원자료_시장!$A$1:$BZ$1000,설정!$L$6+ROW()-1,설정!$L$35)&amp;""="0","",INDEX(원자료_시장!$A$1:$BZ$1000,설정!$L$6+ROW()-1,설정!$L$35)),"")</f>
        <v>0</v>
      </c>
      <c r="N573" s="83" t="n">
        <f aca="false">IFERROR(IF(INDEX(원자료_시장!$A$1:$BZ$1000,설정!$L$6+ROW()-1,설정!$L$36)&amp;""="0","",INDEX(원자료_시장!$A$1:$BZ$1000,설정!$L$6+ROW()-1,설정!$L$36)),"")</f>
        <v>0</v>
      </c>
      <c r="O573" s="43" t="str">
        <f aca="false">IF($A573="","",UPPER(LEFT($A573,FIND(" ",$A573&amp;" ")-1)))</f>
        <v/>
      </c>
      <c r="P573" s="43" t="str">
        <f aca="false">IF($A573="","",TRIM(RIGHT(SUBSTITUTE(TRIM($A573)," ",REPT(" ",30)),30)))</f>
        <v/>
      </c>
      <c r="Q573" s="98" t="str">
        <f aca="false">IF($A573="","",IFERROR(DATE(IF(LEN(P573)=8,2000+VALUE(RIGHT(P573,2)),VALUE(RIGHT(P573,4))),VALUE(LEFT(P573,2)),VALUE(MID(P573,4,2))),""))</f>
        <v/>
      </c>
      <c r="R573" s="89" t="n">
        <f aca="false">IF($A573="",0,IF(ISNUMBER(SEARCH("Float",$A573)),1,0))</f>
        <v>0</v>
      </c>
      <c r="S573" s="43" t="str">
        <f aca="false">IF($A573="","",TRIM(MID($A573,LEN(O573)+2,LEN($A573)-LEN(O573)-LEN(P573)-1)))</f>
        <v/>
      </c>
      <c r="T573" s="92" t="str">
        <f aca="false">IF(OR($A573="",R573=1),"",IFERROR(IF(ISNUMBER(FIND("/",S573)),IF(ISNUMBER(FIND(" ",S573)),VALUE(LEFT(S573,FIND(" ",S573)-1))+VALUE(MID(S573,FIND(" ",S573)+1,FIND("/",S573)-FIND(" ",S573)-1))/VALUE(MID(S573,FIND("/",S573)+1,9)),VALUE(LEFT(S573,FIND("/",S573)-1))/VALUE(MID(S573,FIND("/",S573)+1,9))),VALUE(S573)),""))</f>
        <v/>
      </c>
      <c r="U573" s="43" t="str">
        <f aca="false">IF(OR($A573="",NOT(ISNUMBER(Q573))),"",TEXT(Q573,"yyyymmdd")&amp;"|"&amp;IF(R573=1,"F",TEXT(T573,"0.000")))</f>
        <v/>
      </c>
      <c r="V573" s="43" t="str">
        <f aca="false">IF(U573="","",O573&amp;"|"&amp;U573)</f>
        <v/>
      </c>
      <c r="W573" s="43" t="str">
        <f aca="false">IF($A573="","",IFERROR(IF(VLOOKUP(O573,매핑!$A$4:$E$92,3,0)="","미분류",VLOOKUP(O573,매핑!$A$4:$E$92,3,0)),"미분류"))</f>
        <v/>
      </c>
      <c r="X573" s="89" t="n">
        <f aca="false">IF($A573="",0,IF(O573="T",1,0))</f>
        <v>0</v>
      </c>
      <c r="Y573" s="89" t="n">
        <f aca="false">IF($A573="",0,IF(AND(C573="USD",X573=0,ISNUMBER(E573),ISNUMBER(K573)),IF(K573&gt;=설정!$C$8,1,0),0))</f>
        <v>0</v>
      </c>
      <c r="Z573" s="43" t="str">
        <f aca="false">IF($A573="","",N573&amp;"|"&amp;L573)</f>
        <v/>
      </c>
      <c r="AA573" s="92" t="n">
        <f aca="false">IF(Y573=1,LN(K573),0)</f>
        <v>0</v>
      </c>
      <c r="AB573" s="93" t="n">
        <f aca="false">IF(Y573=1,E573,0)</f>
        <v>0</v>
      </c>
      <c r="AC573" s="89" t="n">
        <f aca="false">IF(Y573=1,COUNTIFS($Z$2:$Z$601,Z573,$Y$2:$Y$601,1),0)</f>
        <v>0</v>
      </c>
      <c r="AD573" s="89" t="n">
        <f aca="false">IF(Y573=1,COUNTIFS($N$2:$N$601,N573,$Y$2:$Y$601,1),0)</f>
        <v>0</v>
      </c>
      <c r="AE573" s="43" t="str">
        <f aca="false">IF(Y573&lt;&gt;1,"",IF(AND(AC573&gt;=설정!$C$7,ISNUMBER(MATCH(Z573,피어커브!$A:$A,0))),Z573,IF(AND(AD573&gt;=설정!$C$7,ISNUMBER(MATCH(N573&amp;"|전체",피어커브!$A:$A,0))),N573&amp;"|전체","전체|전체")))</f>
        <v/>
      </c>
      <c r="AF573" s="93" t="str">
        <f aca="false">IF(AE573="","",INDEX(피어커브!$K:$K,MATCH(AE573,피어커브!$A:$A,0)))</f>
        <v/>
      </c>
      <c r="AG573" s="93" t="str">
        <f aca="false">IF(AE573="","",INDEX(피어커브!$J:$J,MATCH(AE573,피어커브!$A:$A,0)))</f>
        <v/>
      </c>
      <c r="AH573" s="93" t="str">
        <f aca="false">IF(AE573="","",INDEX(피어커브!$L:$L,MATCH(AE573,피어커브!$A:$A,0)))</f>
        <v/>
      </c>
      <c r="AI573" s="93" t="str">
        <f aca="false">IF(AE573="","",AF573+AG573*AA573)</f>
        <v/>
      </c>
      <c r="AJ573" s="96" t="str">
        <f aca="false">IF(AE573="","",E573-AI573)</f>
        <v/>
      </c>
      <c r="AK573" s="95" t="str">
        <f aca="false">IF(AE573="","",IF(ISNUMBER(AH573),IF(AH573&gt;0,AJ573/AH573,""),""))</f>
        <v/>
      </c>
      <c r="AL573" s="43" t="str">
        <f aca="false">IF(AK573="","-",IF(AK573&gt;=설정!$C$6,"Cheap",IF(AK573&lt;=-설정!$C$6,"Rich","Fair")))</f>
        <v>-</v>
      </c>
      <c r="AM573" s="96" t="str">
        <f aca="false">IF(AE573="","",AJ573-AVERAGEIFS($AJ$2:$AJ$601,$B$2:$B$601,B573,$Y$2:$Y$601,1))</f>
        <v/>
      </c>
      <c r="AN573" s="93" t="n">
        <f aca="false">IF(AE573="",0,IF(K573&gt;1+설정!$C$8,AG573*(AA573-LN(K573-1)),0))</f>
        <v>0</v>
      </c>
      <c r="AO573" s="99" t="n">
        <f aca="false">IF($A573="",0,SUMIFS(보유분석!$AA$2:$AA$801,보유분석!$AB$2:$AB$801,ROW(),보유분석!$AC$2:$AC$801,1))</f>
        <v>0</v>
      </c>
      <c r="AP573" s="43" t="str">
        <f aca="false">IF($A573="","",TRIM(IF(R573=1,"FRN ","")&amp;IF(IFERROR(VLOOKUP(M573,설정!$A$15:$D$47,4,0),0)&gt;=10,IF(IFERROR(VLOOKUP(M573,설정!$A$15:$D$47,4,0),0)&lt;99,"BBB0미만 ",""),"")&amp;IF(OR(M573="",M573="NR"),"등급미입력 ","")&amp;IF(C573&lt;&gt;"USD","비USD ","")))</f>
        <v/>
      </c>
      <c r="AQ573" s="90" t="n">
        <f aca="false">IF(AND(Y573=1,AL573="Cheap"),IF(AND(ISERROR(SEARCH("FRN",AP573)),ISERROR(SEARCH("BBB0미만",AP573))),AK573+ROW()/1000000000,-999),-999)</f>
        <v>-999</v>
      </c>
      <c r="AR573" s="92" t="str">
        <f aca="false">IF(AND(ISNUMBER(D573),ISNUMBER(K573)),D573+AN573*MAX(K573-1,0)/100,"")</f>
        <v/>
      </c>
      <c r="AS573" s="93" t="str">
        <f aca="false">IF(AND(ISNUMBER(E573),ISNUMBER(K573)),IF(K573&gt;0,(E573+AN573*MAX(K573-1,0))/K573,""),"")</f>
        <v/>
      </c>
      <c r="AT573" s="90" t="n">
        <f aca="false">IFERROR(IF(AND(Y573=1,ROW()&lt;&gt;스왑분석!$C$12+1,ABS(K573-INDEX($K$2:$K$601,스왑분석!$C$12))&lt;=스왑분석!$C$5,ISERROR(SEARCH("FRN",AP573)),ISERROR(SEARCH("BBB0미만",AP573))),IF(AND(OR(스왑분석!$C$6="N",L573=INDEX($L$2:$L$601,스왑분석!$C$12)),OR(스왑분석!$C$7="N",N573=INDEX($N$2:$N$601,스왑분석!$C$12)),OR(스왑분석!$C$8="N",AO573=0),E573-INDEX($E$2:$E$601,스왑분석!$C$12)&gt;=스왑분석!$C$9),E573-INDEX($E$2:$E$601,스왑분석!$C$12)+ROW()/1000000000,-999),-999),-999)</f>
        <v>-999</v>
      </c>
      <c r="AU573" s="90" t="n">
        <f aca="false">IF(AND(Y573=1,AO573&gt;0,AL573="Rich"),-AK573+ROW()/1000000000,-999)</f>
        <v>-999</v>
      </c>
    </row>
    <row r="574" customFormat="false" ht="15" hidden="false" customHeight="false" outlineLevel="0" collapsed="false">
      <c r="A574" s="83" t="n">
        <f aca="false">IFERROR(IF(INDEX(원자료_시장!$A$1:$BZ$1000,설정!$L$6+ROW()-1,설정!$L$24)&amp;""="0","",INDEX(원자료_시장!$A$1:$BZ$1000,설정!$L$6+ROW()-1,설정!$L$24)),"")</f>
        <v>0</v>
      </c>
      <c r="B574" s="83" t="n">
        <f aca="false">IFERROR(IF(INDEX(원자료_시장!$A$1:$BZ$1000,설정!$L$6+ROW()-1,설정!$L$37)&amp;""="0","",INDEX(원자료_시장!$A$1:$BZ$1000,설정!$L$6+ROW()-1,설정!$L$37)),"")</f>
        <v>0</v>
      </c>
      <c r="C574" s="83" t="n">
        <f aca="false">IFERROR(IF(INDEX(원자료_시장!$A$1:$BZ$1000,설정!$L$6+ROW()-1,설정!$L$25)&amp;""="0","",INDEX(원자료_시장!$A$1:$BZ$1000,설정!$L$6+ROW()-1,설정!$L$25)),"")</f>
        <v>0</v>
      </c>
      <c r="D574" s="85" t="str">
        <f aca="false">IFERROR(IF(ISNUMBER(INDEX(원자료_시장!$A$1:$BZ$1000,설정!$L$6+ROW()-1,설정!$L$26)),INDEX(원자료_시장!$A$1:$BZ$1000,설정!$L$6+ROW()-1,설정!$L$26),""),"")</f>
        <v/>
      </c>
      <c r="E574" s="97" t="str">
        <f aca="false">IFERROR(IF(ISNUMBER(INDEX(원자료_시장!$A$1:$BZ$1000,설정!$L$6+ROW()-1,설정!$L$27)),INDEX(원자료_시장!$A$1:$BZ$1000,설정!$L$6+ROW()-1,설정!$L$27),""),"")</f>
        <v/>
      </c>
      <c r="F574" s="97" t="str">
        <f aca="false">IFERROR(IF(ISNUMBER(INDEX(원자료_시장!$A$1:$BZ$1000,설정!$L$6+ROW()-1,설정!$L$28)),INDEX(원자료_시장!$A$1:$BZ$1000,설정!$L$6+ROW()-1,설정!$L$28),""),"")</f>
        <v/>
      </c>
      <c r="G574" s="97" t="str">
        <f aca="false">IFERROR(IF(ISNUMBER(INDEX(원자료_시장!$A$1:$BZ$1000,설정!$L$6+ROW()-1,설정!$L$29)),INDEX(원자료_시장!$A$1:$BZ$1000,설정!$L$6+ROW()-1,설정!$L$29),""),"")</f>
        <v/>
      </c>
      <c r="H574" s="97" t="str">
        <f aca="false">IFERROR(IF(ISNUMBER(INDEX(원자료_시장!$A$1:$BZ$1000,설정!$L$6+ROW()-1,설정!$L$30)),INDEX(원자료_시장!$A$1:$BZ$1000,설정!$L$6+ROW()-1,설정!$L$30),""),"")</f>
        <v/>
      </c>
      <c r="I574" s="97" t="str">
        <f aca="false">IFERROR(IF(ISNUMBER(INDEX(원자료_시장!$A$1:$BZ$1000,설정!$L$6+ROW()-1,설정!$L$31)),INDEX(원자료_시장!$A$1:$BZ$1000,설정!$L$6+ROW()-1,설정!$L$31),""),"")</f>
        <v/>
      </c>
      <c r="J574" s="97" t="str">
        <f aca="false">IFERROR(IF(ISNUMBER(INDEX(원자료_시장!$A$1:$BZ$1000,설정!$L$6+ROW()-1,설정!$L$32)),INDEX(원자료_시장!$A$1:$BZ$1000,설정!$L$6+ROW()-1,설정!$L$32),""),"")</f>
        <v/>
      </c>
      <c r="K574" s="85" t="str">
        <f aca="false">IFERROR(IF(ISNUMBER(INDEX(원자료_시장!$A$1:$BZ$1000,설정!$L$6+ROW()-1,설정!$L$33)),INDEX(원자료_시장!$A$1:$BZ$1000,설정!$L$6+ROW()-1,설정!$L$33),""),"")</f>
        <v/>
      </c>
      <c r="L574" s="83" t="n">
        <f aca="false">IFERROR(IF(INDEX(원자료_시장!$A$1:$BZ$1000,설정!$L$6+ROW()-1,설정!$L$34)&amp;""="0","",INDEX(원자료_시장!$A$1:$BZ$1000,설정!$L$6+ROW()-1,설정!$L$34)),"")</f>
        <v>0</v>
      </c>
      <c r="M574" s="83" t="n">
        <f aca="false">IFERROR(IF(INDEX(원자료_시장!$A$1:$BZ$1000,설정!$L$6+ROW()-1,설정!$L$35)&amp;""="0","",INDEX(원자료_시장!$A$1:$BZ$1000,설정!$L$6+ROW()-1,설정!$L$35)),"")</f>
        <v>0</v>
      </c>
      <c r="N574" s="83" t="n">
        <f aca="false">IFERROR(IF(INDEX(원자료_시장!$A$1:$BZ$1000,설정!$L$6+ROW()-1,설정!$L$36)&amp;""="0","",INDEX(원자료_시장!$A$1:$BZ$1000,설정!$L$6+ROW()-1,설정!$L$36)),"")</f>
        <v>0</v>
      </c>
      <c r="O574" s="43" t="str">
        <f aca="false">IF($A574="","",UPPER(LEFT($A574,FIND(" ",$A574&amp;" ")-1)))</f>
        <v/>
      </c>
      <c r="P574" s="43" t="str">
        <f aca="false">IF($A574="","",TRIM(RIGHT(SUBSTITUTE(TRIM($A574)," ",REPT(" ",30)),30)))</f>
        <v/>
      </c>
      <c r="Q574" s="98" t="str">
        <f aca="false">IF($A574="","",IFERROR(DATE(IF(LEN(P574)=8,2000+VALUE(RIGHT(P574,2)),VALUE(RIGHT(P574,4))),VALUE(LEFT(P574,2)),VALUE(MID(P574,4,2))),""))</f>
        <v/>
      </c>
      <c r="R574" s="89" t="n">
        <f aca="false">IF($A574="",0,IF(ISNUMBER(SEARCH("Float",$A574)),1,0))</f>
        <v>0</v>
      </c>
      <c r="S574" s="43" t="str">
        <f aca="false">IF($A574="","",TRIM(MID($A574,LEN(O574)+2,LEN($A574)-LEN(O574)-LEN(P574)-1)))</f>
        <v/>
      </c>
      <c r="T574" s="92" t="str">
        <f aca="false">IF(OR($A574="",R574=1),"",IFERROR(IF(ISNUMBER(FIND("/",S574)),IF(ISNUMBER(FIND(" ",S574)),VALUE(LEFT(S574,FIND(" ",S574)-1))+VALUE(MID(S574,FIND(" ",S574)+1,FIND("/",S574)-FIND(" ",S574)-1))/VALUE(MID(S574,FIND("/",S574)+1,9)),VALUE(LEFT(S574,FIND("/",S574)-1))/VALUE(MID(S574,FIND("/",S574)+1,9))),VALUE(S574)),""))</f>
        <v/>
      </c>
      <c r="U574" s="43" t="str">
        <f aca="false">IF(OR($A574="",NOT(ISNUMBER(Q574))),"",TEXT(Q574,"yyyymmdd")&amp;"|"&amp;IF(R574=1,"F",TEXT(T574,"0.000")))</f>
        <v/>
      </c>
      <c r="V574" s="43" t="str">
        <f aca="false">IF(U574="","",O574&amp;"|"&amp;U574)</f>
        <v/>
      </c>
      <c r="W574" s="43" t="str">
        <f aca="false">IF($A574="","",IFERROR(IF(VLOOKUP(O574,매핑!$A$4:$E$92,3,0)="","미분류",VLOOKUP(O574,매핑!$A$4:$E$92,3,0)),"미분류"))</f>
        <v/>
      </c>
      <c r="X574" s="89" t="n">
        <f aca="false">IF($A574="",0,IF(O574="T",1,0))</f>
        <v>0</v>
      </c>
      <c r="Y574" s="89" t="n">
        <f aca="false">IF($A574="",0,IF(AND(C574="USD",X574=0,ISNUMBER(E574),ISNUMBER(K574)),IF(K574&gt;=설정!$C$8,1,0),0))</f>
        <v>0</v>
      </c>
      <c r="Z574" s="43" t="str">
        <f aca="false">IF($A574="","",N574&amp;"|"&amp;L574)</f>
        <v/>
      </c>
      <c r="AA574" s="92" t="n">
        <f aca="false">IF(Y574=1,LN(K574),0)</f>
        <v>0</v>
      </c>
      <c r="AB574" s="93" t="n">
        <f aca="false">IF(Y574=1,E574,0)</f>
        <v>0</v>
      </c>
      <c r="AC574" s="89" t="n">
        <f aca="false">IF(Y574=1,COUNTIFS($Z$2:$Z$601,Z574,$Y$2:$Y$601,1),0)</f>
        <v>0</v>
      </c>
      <c r="AD574" s="89" t="n">
        <f aca="false">IF(Y574=1,COUNTIFS($N$2:$N$601,N574,$Y$2:$Y$601,1),0)</f>
        <v>0</v>
      </c>
      <c r="AE574" s="43" t="str">
        <f aca="false">IF(Y574&lt;&gt;1,"",IF(AND(AC574&gt;=설정!$C$7,ISNUMBER(MATCH(Z574,피어커브!$A:$A,0))),Z574,IF(AND(AD574&gt;=설정!$C$7,ISNUMBER(MATCH(N574&amp;"|전체",피어커브!$A:$A,0))),N574&amp;"|전체","전체|전체")))</f>
        <v/>
      </c>
      <c r="AF574" s="93" t="str">
        <f aca="false">IF(AE574="","",INDEX(피어커브!$K:$K,MATCH(AE574,피어커브!$A:$A,0)))</f>
        <v/>
      </c>
      <c r="AG574" s="93" t="str">
        <f aca="false">IF(AE574="","",INDEX(피어커브!$J:$J,MATCH(AE574,피어커브!$A:$A,0)))</f>
        <v/>
      </c>
      <c r="AH574" s="93" t="str">
        <f aca="false">IF(AE574="","",INDEX(피어커브!$L:$L,MATCH(AE574,피어커브!$A:$A,0)))</f>
        <v/>
      </c>
      <c r="AI574" s="93" t="str">
        <f aca="false">IF(AE574="","",AF574+AG574*AA574)</f>
        <v/>
      </c>
      <c r="AJ574" s="96" t="str">
        <f aca="false">IF(AE574="","",E574-AI574)</f>
        <v/>
      </c>
      <c r="AK574" s="95" t="str">
        <f aca="false">IF(AE574="","",IF(ISNUMBER(AH574),IF(AH574&gt;0,AJ574/AH574,""),""))</f>
        <v/>
      </c>
      <c r="AL574" s="43" t="str">
        <f aca="false">IF(AK574="","-",IF(AK574&gt;=설정!$C$6,"Cheap",IF(AK574&lt;=-설정!$C$6,"Rich","Fair")))</f>
        <v>-</v>
      </c>
      <c r="AM574" s="96" t="str">
        <f aca="false">IF(AE574="","",AJ574-AVERAGEIFS($AJ$2:$AJ$601,$B$2:$B$601,B574,$Y$2:$Y$601,1))</f>
        <v/>
      </c>
      <c r="AN574" s="93" t="n">
        <f aca="false">IF(AE574="",0,IF(K574&gt;1+설정!$C$8,AG574*(AA574-LN(K574-1)),0))</f>
        <v>0</v>
      </c>
      <c r="AO574" s="99" t="n">
        <f aca="false">IF($A574="",0,SUMIFS(보유분석!$AA$2:$AA$801,보유분석!$AB$2:$AB$801,ROW(),보유분석!$AC$2:$AC$801,1))</f>
        <v>0</v>
      </c>
      <c r="AP574" s="43" t="str">
        <f aca="false">IF($A574="","",TRIM(IF(R574=1,"FRN ","")&amp;IF(IFERROR(VLOOKUP(M574,설정!$A$15:$D$47,4,0),0)&gt;=10,IF(IFERROR(VLOOKUP(M574,설정!$A$15:$D$47,4,0),0)&lt;99,"BBB0미만 ",""),"")&amp;IF(OR(M574="",M574="NR"),"등급미입력 ","")&amp;IF(C574&lt;&gt;"USD","비USD ","")))</f>
        <v/>
      </c>
      <c r="AQ574" s="90" t="n">
        <f aca="false">IF(AND(Y574=1,AL574="Cheap"),IF(AND(ISERROR(SEARCH("FRN",AP574)),ISERROR(SEARCH("BBB0미만",AP574))),AK574+ROW()/1000000000,-999),-999)</f>
        <v>-999</v>
      </c>
      <c r="AR574" s="92" t="str">
        <f aca="false">IF(AND(ISNUMBER(D574),ISNUMBER(K574)),D574+AN574*MAX(K574-1,0)/100,"")</f>
        <v/>
      </c>
      <c r="AS574" s="93" t="str">
        <f aca="false">IF(AND(ISNUMBER(E574),ISNUMBER(K574)),IF(K574&gt;0,(E574+AN574*MAX(K574-1,0))/K574,""),"")</f>
        <v/>
      </c>
      <c r="AT574" s="90" t="n">
        <f aca="false">IFERROR(IF(AND(Y574=1,ROW()&lt;&gt;스왑분석!$C$12+1,ABS(K574-INDEX($K$2:$K$601,스왑분석!$C$12))&lt;=스왑분석!$C$5,ISERROR(SEARCH("FRN",AP574)),ISERROR(SEARCH("BBB0미만",AP574))),IF(AND(OR(스왑분석!$C$6="N",L574=INDEX($L$2:$L$601,스왑분석!$C$12)),OR(스왑분석!$C$7="N",N574=INDEX($N$2:$N$601,스왑분석!$C$12)),OR(스왑분석!$C$8="N",AO574=0),E574-INDEX($E$2:$E$601,스왑분석!$C$12)&gt;=스왑분석!$C$9),E574-INDEX($E$2:$E$601,스왑분석!$C$12)+ROW()/1000000000,-999),-999),-999)</f>
        <v>-999</v>
      </c>
      <c r="AU574" s="90" t="n">
        <f aca="false">IF(AND(Y574=1,AO574&gt;0,AL574="Rich"),-AK574+ROW()/1000000000,-999)</f>
        <v>-999</v>
      </c>
    </row>
    <row r="575" customFormat="false" ht="15" hidden="false" customHeight="false" outlineLevel="0" collapsed="false">
      <c r="A575" s="83" t="n">
        <f aca="false">IFERROR(IF(INDEX(원자료_시장!$A$1:$BZ$1000,설정!$L$6+ROW()-1,설정!$L$24)&amp;""="0","",INDEX(원자료_시장!$A$1:$BZ$1000,설정!$L$6+ROW()-1,설정!$L$24)),"")</f>
        <v>0</v>
      </c>
      <c r="B575" s="83" t="n">
        <f aca="false">IFERROR(IF(INDEX(원자료_시장!$A$1:$BZ$1000,설정!$L$6+ROW()-1,설정!$L$37)&amp;""="0","",INDEX(원자료_시장!$A$1:$BZ$1000,설정!$L$6+ROW()-1,설정!$L$37)),"")</f>
        <v>0</v>
      </c>
      <c r="C575" s="83" t="n">
        <f aca="false">IFERROR(IF(INDEX(원자료_시장!$A$1:$BZ$1000,설정!$L$6+ROW()-1,설정!$L$25)&amp;""="0","",INDEX(원자료_시장!$A$1:$BZ$1000,설정!$L$6+ROW()-1,설정!$L$25)),"")</f>
        <v>0</v>
      </c>
      <c r="D575" s="85" t="str">
        <f aca="false">IFERROR(IF(ISNUMBER(INDEX(원자료_시장!$A$1:$BZ$1000,설정!$L$6+ROW()-1,설정!$L$26)),INDEX(원자료_시장!$A$1:$BZ$1000,설정!$L$6+ROW()-1,설정!$L$26),""),"")</f>
        <v/>
      </c>
      <c r="E575" s="97" t="str">
        <f aca="false">IFERROR(IF(ISNUMBER(INDEX(원자료_시장!$A$1:$BZ$1000,설정!$L$6+ROW()-1,설정!$L$27)),INDEX(원자료_시장!$A$1:$BZ$1000,설정!$L$6+ROW()-1,설정!$L$27),""),"")</f>
        <v/>
      </c>
      <c r="F575" s="97" t="str">
        <f aca="false">IFERROR(IF(ISNUMBER(INDEX(원자료_시장!$A$1:$BZ$1000,설정!$L$6+ROW()-1,설정!$L$28)),INDEX(원자료_시장!$A$1:$BZ$1000,설정!$L$6+ROW()-1,설정!$L$28),""),"")</f>
        <v/>
      </c>
      <c r="G575" s="97" t="str">
        <f aca="false">IFERROR(IF(ISNUMBER(INDEX(원자료_시장!$A$1:$BZ$1000,설정!$L$6+ROW()-1,설정!$L$29)),INDEX(원자료_시장!$A$1:$BZ$1000,설정!$L$6+ROW()-1,설정!$L$29),""),"")</f>
        <v/>
      </c>
      <c r="H575" s="97" t="str">
        <f aca="false">IFERROR(IF(ISNUMBER(INDEX(원자료_시장!$A$1:$BZ$1000,설정!$L$6+ROW()-1,설정!$L$30)),INDEX(원자료_시장!$A$1:$BZ$1000,설정!$L$6+ROW()-1,설정!$L$30),""),"")</f>
        <v/>
      </c>
      <c r="I575" s="97" t="str">
        <f aca="false">IFERROR(IF(ISNUMBER(INDEX(원자료_시장!$A$1:$BZ$1000,설정!$L$6+ROW()-1,설정!$L$31)),INDEX(원자료_시장!$A$1:$BZ$1000,설정!$L$6+ROW()-1,설정!$L$31),""),"")</f>
        <v/>
      </c>
      <c r="J575" s="97" t="str">
        <f aca="false">IFERROR(IF(ISNUMBER(INDEX(원자료_시장!$A$1:$BZ$1000,설정!$L$6+ROW()-1,설정!$L$32)),INDEX(원자료_시장!$A$1:$BZ$1000,설정!$L$6+ROW()-1,설정!$L$32),""),"")</f>
        <v/>
      </c>
      <c r="K575" s="85" t="str">
        <f aca="false">IFERROR(IF(ISNUMBER(INDEX(원자료_시장!$A$1:$BZ$1000,설정!$L$6+ROW()-1,설정!$L$33)),INDEX(원자료_시장!$A$1:$BZ$1000,설정!$L$6+ROW()-1,설정!$L$33),""),"")</f>
        <v/>
      </c>
      <c r="L575" s="83" t="n">
        <f aca="false">IFERROR(IF(INDEX(원자료_시장!$A$1:$BZ$1000,설정!$L$6+ROW()-1,설정!$L$34)&amp;""="0","",INDEX(원자료_시장!$A$1:$BZ$1000,설정!$L$6+ROW()-1,설정!$L$34)),"")</f>
        <v>0</v>
      </c>
      <c r="M575" s="83" t="n">
        <f aca="false">IFERROR(IF(INDEX(원자료_시장!$A$1:$BZ$1000,설정!$L$6+ROW()-1,설정!$L$35)&amp;""="0","",INDEX(원자료_시장!$A$1:$BZ$1000,설정!$L$6+ROW()-1,설정!$L$35)),"")</f>
        <v>0</v>
      </c>
      <c r="N575" s="83" t="n">
        <f aca="false">IFERROR(IF(INDEX(원자료_시장!$A$1:$BZ$1000,설정!$L$6+ROW()-1,설정!$L$36)&amp;""="0","",INDEX(원자료_시장!$A$1:$BZ$1000,설정!$L$6+ROW()-1,설정!$L$36)),"")</f>
        <v>0</v>
      </c>
      <c r="O575" s="43" t="str">
        <f aca="false">IF($A575="","",UPPER(LEFT($A575,FIND(" ",$A575&amp;" ")-1)))</f>
        <v/>
      </c>
      <c r="P575" s="43" t="str">
        <f aca="false">IF($A575="","",TRIM(RIGHT(SUBSTITUTE(TRIM($A575)," ",REPT(" ",30)),30)))</f>
        <v/>
      </c>
      <c r="Q575" s="98" t="str">
        <f aca="false">IF($A575="","",IFERROR(DATE(IF(LEN(P575)=8,2000+VALUE(RIGHT(P575,2)),VALUE(RIGHT(P575,4))),VALUE(LEFT(P575,2)),VALUE(MID(P575,4,2))),""))</f>
        <v/>
      </c>
      <c r="R575" s="89" t="n">
        <f aca="false">IF($A575="",0,IF(ISNUMBER(SEARCH("Float",$A575)),1,0))</f>
        <v>0</v>
      </c>
      <c r="S575" s="43" t="str">
        <f aca="false">IF($A575="","",TRIM(MID($A575,LEN(O575)+2,LEN($A575)-LEN(O575)-LEN(P575)-1)))</f>
        <v/>
      </c>
      <c r="T575" s="92" t="str">
        <f aca="false">IF(OR($A575="",R575=1),"",IFERROR(IF(ISNUMBER(FIND("/",S575)),IF(ISNUMBER(FIND(" ",S575)),VALUE(LEFT(S575,FIND(" ",S575)-1))+VALUE(MID(S575,FIND(" ",S575)+1,FIND("/",S575)-FIND(" ",S575)-1))/VALUE(MID(S575,FIND("/",S575)+1,9)),VALUE(LEFT(S575,FIND("/",S575)-1))/VALUE(MID(S575,FIND("/",S575)+1,9))),VALUE(S575)),""))</f>
        <v/>
      </c>
      <c r="U575" s="43" t="str">
        <f aca="false">IF(OR($A575="",NOT(ISNUMBER(Q575))),"",TEXT(Q575,"yyyymmdd")&amp;"|"&amp;IF(R575=1,"F",TEXT(T575,"0.000")))</f>
        <v/>
      </c>
      <c r="V575" s="43" t="str">
        <f aca="false">IF(U575="","",O575&amp;"|"&amp;U575)</f>
        <v/>
      </c>
      <c r="W575" s="43" t="str">
        <f aca="false">IF($A575="","",IFERROR(IF(VLOOKUP(O575,매핑!$A$4:$E$92,3,0)="","미분류",VLOOKUP(O575,매핑!$A$4:$E$92,3,0)),"미분류"))</f>
        <v/>
      </c>
      <c r="X575" s="89" t="n">
        <f aca="false">IF($A575="",0,IF(O575="T",1,0))</f>
        <v>0</v>
      </c>
      <c r="Y575" s="89" t="n">
        <f aca="false">IF($A575="",0,IF(AND(C575="USD",X575=0,ISNUMBER(E575),ISNUMBER(K575)),IF(K575&gt;=설정!$C$8,1,0),0))</f>
        <v>0</v>
      </c>
      <c r="Z575" s="43" t="str">
        <f aca="false">IF($A575="","",N575&amp;"|"&amp;L575)</f>
        <v/>
      </c>
      <c r="AA575" s="92" t="n">
        <f aca="false">IF(Y575=1,LN(K575),0)</f>
        <v>0</v>
      </c>
      <c r="AB575" s="93" t="n">
        <f aca="false">IF(Y575=1,E575,0)</f>
        <v>0</v>
      </c>
      <c r="AC575" s="89" t="n">
        <f aca="false">IF(Y575=1,COUNTIFS($Z$2:$Z$601,Z575,$Y$2:$Y$601,1),0)</f>
        <v>0</v>
      </c>
      <c r="AD575" s="89" t="n">
        <f aca="false">IF(Y575=1,COUNTIFS($N$2:$N$601,N575,$Y$2:$Y$601,1),0)</f>
        <v>0</v>
      </c>
      <c r="AE575" s="43" t="str">
        <f aca="false">IF(Y575&lt;&gt;1,"",IF(AND(AC575&gt;=설정!$C$7,ISNUMBER(MATCH(Z575,피어커브!$A:$A,0))),Z575,IF(AND(AD575&gt;=설정!$C$7,ISNUMBER(MATCH(N575&amp;"|전체",피어커브!$A:$A,0))),N575&amp;"|전체","전체|전체")))</f>
        <v/>
      </c>
      <c r="AF575" s="93" t="str">
        <f aca="false">IF(AE575="","",INDEX(피어커브!$K:$K,MATCH(AE575,피어커브!$A:$A,0)))</f>
        <v/>
      </c>
      <c r="AG575" s="93" t="str">
        <f aca="false">IF(AE575="","",INDEX(피어커브!$J:$J,MATCH(AE575,피어커브!$A:$A,0)))</f>
        <v/>
      </c>
      <c r="AH575" s="93" t="str">
        <f aca="false">IF(AE575="","",INDEX(피어커브!$L:$L,MATCH(AE575,피어커브!$A:$A,0)))</f>
        <v/>
      </c>
      <c r="AI575" s="93" t="str">
        <f aca="false">IF(AE575="","",AF575+AG575*AA575)</f>
        <v/>
      </c>
      <c r="AJ575" s="96" t="str">
        <f aca="false">IF(AE575="","",E575-AI575)</f>
        <v/>
      </c>
      <c r="AK575" s="95" t="str">
        <f aca="false">IF(AE575="","",IF(ISNUMBER(AH575),IF(AH575&gt;0,AJ575/AH575,""),""))</f>
        <v/>
      </c>
      <c r="AL575" s="43" t="str">
        <f aca="false">IF(AK575="","-",IF(AK575&gt;=설정!$C$6,"Cheap",IF(AK575&lt;=-설정!$C$6,"Rich","Fair")))</f>
        <v>-</v>
      </c>
      <c r="AM575" s="96" t="str">
        <f aca="false">IF(AE575="","",AJ575-AVERAGEIFS($AJ$2:$AJ$601,$B$2:$B$601,B575,$Y$2:$Y$601,1))</f>
        <v/>
      </c>
      <c r="AN575" s="93" t="n">
        <f aca="false">IF(AE575="",0,IF(K575&gt;1+설정!$C$8,AG575*(AA575-LN(K575-1)),0))</f>
        <v>0</v>
      </c>
      <c r="AO575" s="99" t="n">
        <f aca="false">IF($A575="",0,SUMIFS(보유분석!$AA$2:$AA$801,보유분석!$AB$2:$AB$801,ROW(),보유분석!$AC$2:$AC$801,1))</f>
        <v>0</v>
      </c>
      <c r="AP575" s="43" t="str">
        <f aca="false">IF($A575="","",TRIM(IF(R575=1,"FRN ","")&amp;IF(IFERROR(VLOOKUP(M575,설정!$A$15:$D$47,4,0),0)&gt;=10,IF(IFERROR(VLOOKUP(M575,설정!$A$15:$D$47,4,0),0)&lt;99,"BBB0미만 ",""),"")&amp;IF(OR(M575="",M575="NR"),"등급미입력 ","")&amp;IF(C575&lt;&gt;"USD","비USD ","")))</f>
        <v/>
      </c>
      <c r="AQ575" s="90" t="n">
        <f aca="false">IF(AND(Y575=1,AL575="Cheap"),IF(AND(ISERROR(SEARCH("FRN",AP575)),ISERROR(SEARCH("BBB0미만",AP575))),AK575+ROW()/1000000000,-999),-999)</f>
        <v>-999</v>
      </c>
      <c r="AR575" s="92" t="str">
        <f aca="false">IF(AND(ISNUMBER(D575),ISNUMBER(K575)),D575+AN575*MAX(K575-1,0)/100,"")</f>
        <v/>
      </c>
      <c r="AS575" s="93" t="str">
        <f aca="false">IF(AND(ISNUMBER(E575),ISNUMBER(K575)),IF(K575&gt;0,(E575+AN575*MAX(K575-1,0))/K575,""),"")</f>
        <v/>
      </c>
      <c r="AT575" s="90" t="n">
        <f aca="false">IFERROR(IF(AND(Y575=1,ROW()&lt;&gt;스왑분석!$C$12+1,ABS(K575-INDEX($K$2:$K$601,스왑분석!$C$12))&lt;=스왑분석!$C$5,ISERROR(SEARCH("FRN",AP575)),ISERROR(SEARCH("BBB0미만",AP575))),IF(AND(OR(스왑분석!$C$6="N",L575=INDEX($L$2:$L$601,스왑분석!$C$12)),OR(스왑분석!$C$7="N",N575=INDEX($N$2:$N$601,스왑분석!$C$12)),OR(스왑분석!$C$8="N",AO575=0),E575-INDEX($E$2:$E$601,스왑분석!$C$12)&gt;=스왑분석!$C$9),E575-INDEX($E$2:$E$601,스왑분석!$C$12)+ROW()/1000000000,-999),-999),-999)</f>
        <v>-999</v>
      </c>
      <c r="AU575" s="90" t="n">
        <f aca="false">IF(AND(Y575=1,AO575&gt;0,AL575="Rich"),-AK575+ROW()/1000000000,-999)</f>
        <v>-999</v>
      </c>
    </row>
    <row r="576" customFormat="false" ht="15" hidden="false" customHeight="false" outlineLevel="0" collapsed="false">
      <c r="A576" s="83" t="n">
        <f aca="false">IFERROR(IF(INDEX(원자료_시장!$A$1:$BZ$1000,설정!$L$6+ROW()-1,설정!$L$24)&amp;""="0","",INDEX(원자료_시장!$A$1:$BZ$1000,설정!$L$6+ROW()-1,설정!$L$24)),"")</f>
        <v>0</v>
      </c>
      <c r="B576" s="83" t="n">
        <f aca="false">IFERROR(IF(INDEX(원자료_시장!$A$1:$BZ$1000,설정!$L$6+ROW()-1,설정!$L$37)&amp;""="0","",INDEX(원자료_시장!$A$1:$BZ$1000,설정!$L$6+ROW()-1,설정!$L$37)),"")</f>
        <v>0</v>
      </c>
      <c r="C576" s="83" t="n">
        <f aca="false">IFERROR(IF(INDEX(원자료_시장!$A$1:$BZ$1000,설정!$L$6+ROW()-1,설정!$L$25)&amp;""="0","",INDEX(원자료_시장!$A$1:$BZ$1000,설정!$L$6+ROW()-1,설정!$L$25)),"")</f>
        <v>0</v>
      </c>
      <c r="D576" s="85" t="str">
        <f aca="false">IFERROR(IF(ISNUMBER(INDEX(원자료_시장!$A$1:$BZ$1000,설정!$L$6+ROW()-1,설정!$L$26)),INDEX(원자료_시장!$A$1:$BZ$1000,설정!$L$6+ROW()-1,설정!$L$26),""),"")</f>
        <v/>
      </c>
      <c r="E576" s="97" t="str">
        <f aca="false">IFERROR(IF(ISNUMBER(INDEX(원자료_시장!$A$1:$BZ$1000,설정!$L$6+ROW()-1,설정!$L$27)),INDEX(원자료_시장!$A$1:$BZ$1000,설정!$L$6+ROW()-1,설정!$L$27),""),"")</f>
        <v/>
      </c>
      <c r="F576" s="97" t="str">
        <f aca="false">IFERROR(IF(ISNUMBER(INDEX(원자료_시장!$A$1:$BZ$1000,설정!$L$6+ROW()-1,설정!$L$28)),INDEX(원자료_시장!$A$1:$BZ$1000,설정!$L$6+ROW()-1,설정!$L$28),""),"")</f>
        <v/>
      </c>
      <c r="G576" s="97" t="str">
        <f aca="false">IFERROR(IF(ISNUMBER(INDEX(원자료_시장!$A$1:$BZ$1000,설정!$L$6+ROW()-1,설정!$L$29)),INDEX(원자료_시장!$A$1:$BZ$1000,설정!$L$6+ROW()-1,설정!$L$29),""),"")</f>
        <v/>
      </c>
      <c r="H576" s="97" t="str">
        <f aca="false">IFERROR(IF(ISNUMBER(INDEX(원자료_시장!$A$1:$BZ$1000,설정!$L$6+ROW()-1,설정!$L$30)),INDEX(원자료_시장!$A$1:$BZ$1000,설정!$L$6+ROW()-1,설정!$L$30),""),"")</f>
        <v/>
      </c>
      <c r="I576" s="97" t="str">
        <f aca="false">IFERROR(IF(ISNUMBER(INDEX(원자료_시장!$A$1:$BZ$1000,설정!$L$6+ROW()-1,설정!$L$31)),INDEX(원자료_시장!$A$1:$BZ$1000,설정!$L$6+ROW()-1,설정!$L$31),""),"")</f>
        <v/>
      </c>
      <c r="J576" s="97" t="str">
        <f aca="false">IFERROR(IF(ISNUMBER(INDEX(원자료_시장!$A$1:$BZ$1000,설정!$L$6+ROW()-1,설정!$L$32)),INDEX(원자료_시장!$A$1:$BZ$1000,설정!$L$6+ROW()-1,설정!$L$32),""),"")</f>
        <v/>
      </c>
      <c r="K576" s="85" t="str">
        <f aca="false">IFERROR(IF(ISNUMBER(INDEX(원자료_시장!$A$1:$BZ$1000,설정!$L$6+ROW()-1,설정!$L$33)),INDEX(원자료_시장!$A$1:$BZ$1000,설정!$L$6+ROW()-1,설정!$L$33),""),"")</f>
        <v/>
      </c>
      <c r="L576" s="83" t="n">
        <f aca="false">IFERROR(IF(INDEX(원자료_시장!$A$1:$BZ$1000,설정!$L$6+ROW()-1,설정!$L$34)&amp;""="0","",INDEX(원자료_시장!$A$1:$BZ$1000,설정!$L$6+ROW()-1,설정!$L$34)),"")</f>
        <v>0</v>
      </c>
      <c r="M576" s="83" t="n">
        <f aca="false">IFERROR(IF(INDEX(원자료_시장!$A$1:$BZ$1000,설정!$L$6+ROW()-1,설정!$L$35)&amp;""="0","",INDEX(원자료_시장!$A$1:$BZ$1000,설정!$L$6+ROW()-1,설정!$L$35)),"")</f>
        <v>0</v>
      </c>
      <c r="N576" s="83" t="n">
        <f aca="false">IFERROR(IF(INDEX(원자료_시장!$A$1:$BZ$1000,설정!$L$6+ROW()-1,설정!$L$36)&amp;""="0","",INDEX(원자료_시장!$A$1:$BZ$1000,설정!$L$6+ROW()-1,설정!$L$36)),"")</f>
        <v>0</v>
      </c>
      <c r="O576" s="43" t="str">
        <f aca="false">IF($A576="","",UPPER(LEFT($A576,FIND(" ",$A576&amp;" ")-1)))</f>
        <v/>
      </c>
      <c r="P576" s="43" t="str">
        <f aca="false">IF($A576="","",TRIM(RIGHT(SUBSTITUTE(TRIM($A576)," ",REPT(" ",30)),30)))</f>
        <v/>
      </c>
      <c r="Q576" s="98" t="str">
        <f aca="false">IF($A576="","",IFERROR(DATE(IF(LEN(P576)=8,2000+VALUE(RIGHT(P576,2)),VALUE(RIGHT(P576,4))),VALUE(LEFT(P576,2)),VALUE(MID(P576,4,2))),""))</f>
        <v/>
      </c>
      <c r="R576" s="89" t="n">
        <f aca="false">IF($A576="",0,IF(ISNUMBER(SEARCH("Float",$A576)),1,0))</f>
        <v>0</v>
      </c>
      <c r="S576" s="43" t="str">
        <f aca="false">IF($A576="","",TRIM(MID($A576,LEN(O576)+2,LEN($A576)-LEN(O576)-LEN(P576)-1)))</f>
        <v/>
      </c>
      <c r="T576" s="92" t="str">
        <f aca="false">IF(OR($A576="",R576=1),"",IFERROR(IF(ISNUMBER(FIND("/",S576)),IF(ISNUMBER(FIND(" ",S576)),VALUE(LEFT(S576,FIND(" ",S576)-1))+VALUE(MID(S576,FIND(" ",S576)+1,FIND("/",S576)-FIND(" ",S576)-1))/VALUE(MID(S576,FIND("/",S576)+1,9)),VALUE(LEFT(S576,FIND("/",S576)-1))/VALUE(MID(S576,FIND("/",S576)+1,9))),VALUE(S576)),""))</f>
        <v/>
      </c>
      <c r="U576" s="43" t="str">
        <f aca="false">IF(OR($A576="",NOT(ISNUMBER(Q576))),"",TEXT(Q576,"yyyymmdd")&amp;"|"&amp;IF(R576=1,"F",TEXT(T576,"0.000")))</f>
        <v/>
      </c>
      <c r="V576" s="43" t="str">
        <f aca="false">IF(U576="","",O576&amp;"|"&amp;U576)</f>
        <v/>
      </c>
      <c r="W576" s="43" t="str">
        <f aca="false">IF($A576="","",IFERROR(IF(VLOOKUP(O576,매핑!$A$4:$E$92,3,0)="","미분류",VLOOKUP(O576,매핑!$A$4:$E$92,3,0)),"미분류"))</f>
        <v/>
      </c>
      <c r="X576" s="89" t="n">
        <f aca="false">IF($A576="",0,IF(O576="T",1,0))</f>
        <v>0</v>
      </c>
      <c r="Y576" s="89" t="n">
        <f aca="false">IF($A576="",0,IF(AND(C576="USD",X576=0,ISNUMBER(E576),ISNUMBER(K576)),IF(K576&gt;=설정!$C$8,1,0),0))</f>
        <v>0</v>
      </c>
      <c r="Z576" s="43" t="str">
        <f aca="false">IF($A576="","",N576&amp;"|"&amp;L576)</f>
        <v/>
      </c>
      <c r="AA576" s="92" t="n">
        <f aca="false">IF(Y576=1,LN(K576),0)</f>
        <v>0</v>
      </c>
      <c r="AB576" s="93" t="n">
        <f aca="false">IF(Y576=1,E576,0)</f>
        <v>0</v>
      </c>
      <c r="AC576" s="89" t="n">
        <f aca="false">IF(Y576=1,COUNTIFS($Z$2:$Z$601,Z576,$Y$2:$Y$601,1),0)</f>
        <v>0</v>
      </c>
      <c r="AD576" s="89" t="n">
        <f aca="false">IF(Y576=1,COUNTIFS($N$2:$N$601,N576,$Y$2:$Y$601,1),0)</f>
        <v>0</v>
      </c>
      <c r="AE576" s="43" t="str">
        <f aca="false">IF(Y576&lt;&gt;1,"",IF(AND(AC576&gt;=설정!$C$7,ISNUMBER(MATCH(Z576,피어커브!$A:$A,0))),Z576,IF(AND(AD576&gt;=설정!$C$7,ISNUMBER(MATCH(N576&amp;"|전체",피어커브!$A:$A,0))),N576&amp;"|전체","전체|전체")))</f>
        <v/>
      </c>
      <c r="AF576" s="93" t="str">
        <f aca="false">IF(AE576="","",INDEX(피어커브!$K:$K,MATCH(AE576,피어커브!$A:$A,0)))</f>
        <v/>
      </c>
      <c r="AG576" s="93" t="str">
        <f aca="false">IF(AE576="","",INDEX(피어커브!$J:$J,MATCH(AE576,피어커브!$A:$A,0)))</f>
        <v/>
      </c>
      <c r="AH576" s="93" t="str">
        <f aca="false">IF(AE576="","",INDEX(피어커브!$L:$L,MATCH(AE576,피어커브!$A:$A,0)))</f>
        <v/>
      </c>
      <c r="AI576" s="93" t="str">
        <f aca="false">IF(AE576="","",AF576+AG576*AA576)</f>
        <v/>
      </c>
      <c r="AJ576" s="96" t="str">
        <f aca="false">IF(AE576="","",E576-AI576)</f>
        <v/>
      </c>
      <c r="AK576" s="95" t="str">
        <f aca="false">IF(AE576="","",IF(ISNUMBER(AH576),IF(AH576&gt;0,AJ576/AH576,""),""))</f>
        <v/>
      </c>
      <c r="AL576" s="43" t="str">
        <f aca="false">IF(AK576="","-",IF(AK576&gt;=설정!$C$6,"Cheap",IF(AK576&lt;=-설정!$C$6,"Rich","Fair")))</f>
        <v>-</v>
      </c>
      <c r="AM576" s="96" t="str">
        <f aca="false">IF(AE576="","",AJ576-AVERAGEIFS($AJ$2:$AJ$601,$B$2:$B$601,B576,$Y$2:$Y$601,1))</f>
        <v/>
      </c>
      <c r="AN576" s="93" t="n">
        <f aca="false">IF(AE576="",0,IF(K576&gt;1+설정!$C$8,AG576*(AA576-LN(K576-1)),0))</f>
        <v>0</v>
      </c>
      <c r="AO576" s="99" t="n">
        <f aca="false">IF($A576="",0,SUMIFS(보유분석!$AA$2:$AA$801,보유분석!$AB$2:$AB$801,ROW(),보유분석!$AC$2:$AC$801,1))</f>
        <v>0</v>
      </c>
      <c r="AP576" s="43" t="str">
        <f aca="false">IF($A576="","",TRIM(IF(R576=1,"FRN ","")&amp;IF(IFERROR(VLOOKUP(M576,설정!$A$15:$D$47,4,0),0)&gt;=10,IF(IFERROR(VLOOKUP(M576,설정!$A$15:$D$47,4,0),0)&lt;99,"BBB0미만 ",""),"")&amp;IF(OR(M576="",M576="NR"),"등급미입력 ","")&amp;IF(C576&lt;&gt;"USD","비USD ","")))</f>
        <v/>
      </c>
      <c r="AQ576" s="90" t="n">
        <f aca="false">IF(AND(Y576=1,AL576="Cheap"),IF(AND(ISERROR(SEARCH("FRN",AP576)),ISERROR(SEARCH("BBB0미만",AP576))),AK576+ROW()/1000000000,-999),-999)</f>
        <v>-999</v>
      </c>
      <c r="AR576" s="92" t="str">
        <f aca="false">IF(AND(ISNUMBER(D576),ISNUMBER(K576)),D576+AN576*MAX(K576-1,0)/100,"")</f>
        <v/>
      </c>
      <c r="AS576" s="93" t="str">
        <f aca="false">IF(AND(ISNUMBER(E576),ISNUMBER(K576)),IF(K576&gt;0,(E576+AN576*MAX(K576-1,0))/K576,""),"")</f>
        <v/>
      </c>
      <c r="AT576" s="90" t="n">
        <f aca="false">IFERROR(IF(AND(Y576=1,ROW()&lt;&gt;스왑분석!$C$12+1,ABS(K576-INDEX($K$2:$K$601,스왑분석!$C$12))&lt;=스왑분석!$C$5,ISERROR(SEARCH("FRN",AP576)),ISERROR(SEARCH("BBB0미만",AP576))),IF(AND(OR(스왑분석!$C$6="N",L576=INDEX($L$2:$L$601,스왑분석!$C$12)),OR(스왑분석!$C$7="N",N576=INDEX($N$2:$N$601,스왑분석!$C$12)),OR(스왑분석!$C$8="N",AO576=0),E576-INDEX($E$2:$E$601,스왑분석!$C$12)&gt;=스왑분석!$C$9),E576-INDEX($E$2:$E$601,스왑분석!$C$12)+ROW()/1000000000,-999),-999),-999)</f>
        <v>-999</v>
      </c>
      <c r="AU576" s="90" t="n">
        <f aca="false">IF(AND(Y576=1,AO576&gt;0,AL576="Rich"),-AK576+ROW()/1000000000,-999)</f>
        <v>-999</v>
      </c>
    </row>
    <row r="577" customFormat="false" ht="15" hidden="false" customHeight="false" outlineLevel="0" collapsed="false">
      <c r="A577" s="83" t="n">
        <f aca="false">IFERROR(IF(INDEX(원자료_시장!$A$1:$BZ$1000,설정!$L$6+ROW()-1,설정!$L$24)&amp;""="0","",INDEX(원자료_시장!$A$1:$BZ$1000,설정!$L$6+ROW()-1,설정!$L$24)),"")</f>
        <v>0</v>
      </c>
      <c r="B577" s="83" t="n">
        <f aca="false">IFERROR(IF(INDEX(원자료_시장!$A$1:$BZ$1000,설정!$L$6+ROW()-1,설정!$L$37)&amp;""="0","",INDEX(원자료_시장!$A$1:$BZ$1000,설정!$L$6+ROW()-1,설정!$L$37)),"")</f>
        <v>0</v>
      </c>
      <c r="C577" s="83" t="n">
        <f aca="false">IFERROR(IF(INDEX(원자료_시장!$A$1:$BZ$1000,설정!$L$6+ROW()-1,설정!$L$25)&amp;""="0","",INDEX(원자료_시장!$A$1:$BZ$1000,설정!$L$6+ROW()-1,설정!$L$25)),"")</f>
        <v>0</v>
      </c>
      <c r="D577" s="85" t="str">
        <f aca="false">IFERROR(IF(ISNUMBER(INDEX(원자료_시장!$A$1:$BZ$1000,설정!$L$6+ROW()-1,설정!$L$26)),INDEX(원자료_시장!$A$1:$BZ$1000,설정!$L$6+ROW()-1,설정!$L$26),""),"")</f>
        <v/>
      </c>
      <c r="E577" s="97" t="str">
        <f aca="false">IFERROR(IF(ISNUMBER(INDEX(원자료_시장!$A$1:$BZ$1000,설정!$L$6+ROW()-1,설정!$L$27)),INDEX(원자료_시장!$A$1:$BZ$1000,설정!$L$6+ROW()-1,설정!$L$27),""),"")</f>
        <v/>
      </c>
      <c r="F577" s="97" t="str">
        <f aca="false">IFERROR(IF(ISNUMBER(INDEX(원자료_시장!$A$1:$BZ$1000,설정!$L$6+ROW()-1,설정!$L$28)),INDEX(원자료_시장!$A$1:$BZ$1000,설정!$L$6+ROW()-1,설정!$L$28),""),"")</f>
        <v/>
      </c>
      <c r="G577" s="97" t="str">
        <f aca="false">IFERROR(IF(ISNUMBER(INDEX(원자료_시장!$A$1:$BZ$1000,설정!$L$6+ROW()-1,설정!$L$29)),INDEX(원자료_시장!$A$1:$BZ$1000,설정!$L$6+ROW()-1,설정!$L$29),""),"")</f>
        <v/>
      </c>
      <c r="H577" s="97" t="str">
        <f aca="false">IFERROR(IF(ISNUMBER(INDEX(원자료_시장!$A$1:$BZ$1000,설정!$L$6+ROW()-1,설정!$L$30)),INDEX(원자료_시장!$A$1:$BZ$1000,설정!$L$6+ROW()-1,설정!$L$30),""),"")</f>
        <v/>
      </c>
      <c r="I577" s="97" t="str">
        <f aca="false">IFERROR(IF(ISNUMBER(INDEX(원자료_시장!$A$1:$BZ$1000,설정!$L$6+ROW()-1,설정!$L$31)),INDEX(원자료_시장!$A$1:$BZ$1000,설정!$L$6+ROW()-1,설정!$L$31),""),"")</f>
        <v/>
      </c>
      <c r="J577" s="97" t="str">
        <f aca="false">IFERROR(IF(ISNUMBER(INDEX(원자료_시장!$A$1:$BZ$1000,설정!$L$6+ROW()-1,설정!$L$32)),INDEX(원자료_시장!$A$1:$BZ$1000,설정!$L$6+ROW()-1,설정!$L$32),""),"")</f>
        <v/>
      </c>
      <c r="K577" s="85" t="str">
        <f aca="false">IFERROR(IF(ISNUMBER(INDEX(원자료_시장!$A$1:$BZ$1000,설정!$L$6+ROW()-1,설정!$L$33)),INDEX(원자료_시장!$A$1:$BZ$1000,설정!$L$6+ROW()-1,설정!$L$33),""),"")</f>
        <v/>
      </c>
      <c r="L577" s="83" t="n">
        <f aca="false">IFERROR(IF(INDEX(원자료_시장!$A$1:$BZ$1000,설정!$L$6+ROW()-1,설정!$L$34)&amp;""="0","",INDEX(원자료_시장!$A$1:$BZ$1000,설정!$L$6+ROW()-1,설정!$L$34)),"")</f>
        <v>0</v>
      </c>
      <c r="M577" s="83" t="n">
        <f aca="false">IFERROR(IF(INDEX(원자료_시장!$A$1:$BZ$1000,설정!$L$6+ROW()-1,설정!$L$35)&amp;""="0","",INDEX(원자료_시장!$A$1:$BZ$1000,설정!$L$6+ROW()-1,설정!$L$35)),"")</f>
        <v>0</v>
      </c>
      <c r="N577" s="83" t="n">
        <f aca="false">IFERROR(IF(INDEX(원자료_시장!$A$1:$BZ$1000,설정!$L$6+ROW()-1,설정!$L$36)&amp;""="0","",INDEX(원자료_시장!$A$1:$BZ$1000,설정!$L$6+ROW()-1,설정!$L$36)),"")</f>
        <v>0</v>
      </c>
      <c r="O577" s="43" t="str">
        <f aca="false">IF($A577="","",UPPER(LEFT($A577,FIND(" ",$A577&amp;" ")-1)))</f>
        <v/>
      </c>
      <c r="P577" s="43" t="str">
        <f aca="false">IF($A577="","",TRIM(RIGHT(SUBSTITUTE(TRIM($A577)," ",REPT(" ",30)),30)))</f>
        <v/>
      </c>
      <c r="Q577" s="98" t="str">
        <f aca="false">IF($A577="","",IFERROR(DATE(IF(LEN(P577)=8,2000+VALUE(RIGHT(P577,2)),VALUE(RIGHT(P577,4))),VALUE(LEFT(P577,2)),VALUE(MID(P577,4,2))),""))</f>
        <v/>
      </c>
      <c r="R577" s="89" t="n">
        <f aca="false">IF($A577="",0,IF(ISNUMBER(SEARCH("Float",$A577)),1,0))</f>
        <v>0</v>
      </c>
      <c r="S577" s="43" t="str">
        <f aca="false">IF($A577="","",TRIM(MID($A577,LEN(O577)+2,LEN($A577)-LEN(O577)-LEN(P577)-1)))</f>
        <v/>
      </c>
      <c r="T577" s="92" t="str">
        <f aca="false">IF(OR($A577="",R577=1),"",IFERROR(IF(ISNUMBER(FIND("/",S577)),IF(ISNUMBER(FIND(" ",S577)),VALUE(LEFT(S577,FIND(" ",S577)-1))+VALUE(MID(S577,FIND(" ",S577)+1,FIND("/",S577)-FIND(" ",S577)-1))/VALUE(MID(S577,FIND("/",S577)+1,9)),VALUE(LEFT(S577,FIND("/",S577)-1))/VALUE(MID(S577,FIND("/",S577)+1,9))),VALUE(S577)),""))</f>
        <v/>
      </c>
      <c r="U577" s="43" t="str">
        <f aca="false">IF(OR($A577="",NOT(ISNUMBER(Q577))),"",TEXT(Q577,"yyyymmdd")&amp;"|"&amp;IF(R577=1,"F",TEXT(T577,"0.000")))</f>
        <v/>
      </c>
      <c r="V577" s="43" t="str">
        <f aca="false">IF(U577="","",O577&amp;"|"&amp;U577)</f>
        <v/>
      </c>
      <c r="W577" s="43" t="str">
        <f aca="false">IF($A577="","",IFERROR(IF(VLOOKUP(O577,매핑!$A$4:$E$92,3,0)="","미분류",VLOOKUP(O577,매핑!$A$4:$E$92,3,0)),"미분류"))</f>
        <v/>
      </c>
      <c r="X577" s="89" t="n">
        <f aca="false">IF($A577="",0,IF(O577="T",1,0))</f>
        <v>0</v>
      </c>
      <c r="Y577" s="89" t="n">
        <f aca="false">IF($A577="",0,IF(AND(C577="USD",X577=0,ISNUMBER(E577),ISNUMBER(K577)),IF(K577&gt;=설정!$C$8,1,0),0))</f>
        <v>0</v>
      </c>
      <c r="Z577" s="43" t="str">
        <f aca="false">IF($A577="","",N577&amp;"|"&amp;L577)</f>
        <v/>
      </c>
      <c r="AA577" s="92" t="n">
        <f aca="false">IF(Y577=1,LN(K577),0)</f>
        <v>0</v>
      </c>
      <c r="AB577" s="93" t="n">
        <f aca="false">IF(Y577=1,E577,0)</f>
        <v>0</v>
      </c>
      <c r="AC577" s="89" t="n">
        <f aca="false">IF(Y577=1,COUNTIFS($Z$2:$Z$601,Z577,$Y$2:$Y$601,1),0)</f>
        <v>0</v>
      </c>
      <c r="AD577" s="89" t="n">
        <f aca="false">IF(Y577=1,COUNTIFS($N$2:$N$601,N577,$Y$2:$Y$601,1),0)</f>
        <v>0</v>
      </c>
      <c r="AE577" s="43" t="str">
        <f aca="false">IF(Y577&lt;&gt;1,"",IF(AND(AC577&gt;=설정!$C$7,ISNUMBER(MATCH(Z577,피어커브!$A:$A,0))),Z577,IF(AND(AD577&gt;=설정!$C$7,ISNUMBER(MATCH(N577&amp;"|전체",피어커브!$A:$A,0))),N577&amp;"|전체","전체|전체")))</f>
        <v/>
      </c>
      <c r="AF577" s="93" t="str">
        <f aca="false">IF(AE577="","",INDEX(피어커브!$K:$K,MATCH(AE577,피어커브!$A:$A,0)))</f>
        <v/>
      </c>
      <c r="AG577" s="93" t="str">
        <f aca="false">IF(AE577="","",INDEX(피어커브!$J:$J,MATCH(AE577,피어커브!$A:$A,0)))</f>
        <v/>
      </c>
      <c r="AH577" s="93" t="str">
        <f aca="false">IF(AE577="","",INDEX(피어커브!$L:$L,MATCH(AE577,피어커브!$A:$A,0)))</f>
        <v/>
      </c>
      <c r="AI577" s="93" t="str">
        <f aca="false">IF(AE577="","",AF577+AG577*AA577)</f>
        <v/>
      </c>
      <c r="AJ577" s="96" t="str">
        <f aca="false">IF(AE577="","",E577-AI577)</f>
        <v/>
      </c>
      <c r="AK577" s="95" t="str">
        <f aca="false">IF(AE577="","",IF(ISNUMBER(AH577),IF(AH577&gt;0,AJ577/AH577,""),""))</f>
        <v/>
      </c>
      <c r="AL577" s="43" t="str">
        <f aca="false">IF(AK577="","-",IF(AK577&gt;=설정!$C$6,"Cheap",IF(AK577&lt;=-설정!$C$6,"Rich","Fair")))</f>
        <v>-</v>
      </c>
      <c r="AM577" s="96" t="str">
        <f aca="false">IF(AE577="","",AJ577-AVERAGEIFS($AJ$2:$AJ$601,$B$2:$B$601,B577,$Y$2:$Y$601,1))</f>
        <v/>
      </c>
      <c r="AN577" s="93" t="n">
        <f aca="false">IF(AE577="",0,IF(K577&gt;1+설정!$C$8,AG577*(AA577-LN(K577-1)),0))</f>
        <v>0</v>
      </c>
      <c r="AO577" s="99" t="n">
        <f aca="false">IF($A577="",0,SUMIFS(보유분석!$AA$2:$AA$801,보유분석!$AB$2:$AB$801,ROW(),보유분석!$AC$2:$AC$801,1))</f>
        <v>0</v>
      </c>
      <c r="AP577" s="43" t="str">
        <f aca="false">IF($A577="","",TRIM(IF(R577=1,"FRN ","")&amp;IF(IFERROR(VLOOKUP(M577,설정!$A$15:$D$47,4,0),0)&gt;=10,IF(IFERROR(VLOOKUP(M577,설정!$A$15:$D$47,4,0),0)&lt;99,"BBB0미만 ",""),"")&amp;IF(OR(M577="",M577="NR"),"등급미입력 ","")&amp;IF(C577&lt;&gt;"USD","비USD ","")))</f>
        <v/>
      </c>
      <c r="AQ577" s="90" t="n">
        <f aca="false">IF(AND(Y577=1,AL577="Cheap"),IF(AND(ISERROR(SEARCH("FRN",AP577)),ISERROR(SEARCH("BBB0미만",AP577))),AK577+ROW()/1000000000,-999),-999)</f>
        <v>-999</v>
      </c>
      <c r="AR577" s="92" t="str">
        <f aca="false">IF(AND(ISNUMBER(D577),ISNUMBER(K577)),D577+AN577*MAX(K577-1,0)/100,"")</f>
        <v/>
      </c>
      <c r="AS577" s="93" t="str">
        <f aca="false">IF(AND(ISNUMBER(E577),ISNUMBER(K577)),IF(K577&gt;0,(E577+AN577*MAX(K577-1,0))/K577,""),"")</f>
        <v/>
      </c>
      <c r="AT577" s="90" t="n">
        <f aca="false">IFERROR(IF(AND(Y577=1,ROW()&lt;&gt;스왑분석!$C$12+1,ABS(K577-INDEX($K$2:$K$601,스왑분석!$C$12))&lt;=스왑분석!$C$5,ISERROR(SEARCH("FRN",AP577)),ISERROR(SEARCH("BBB0미만",AP577))),IF(AND(OR(스왑분석!$C$6="N",L577=INDEX($L$2:$L$601,스왑분석!$C$12)),OR(스왑분석!$C$7="N",N577=INDEX($N$2:$N$601,스왑분석!$C$12)),OR(스왑분석!$C$8="N",AO577=0),E577-INDEX($E$2:$E$601,스왑분석!$C$12)&gt;=스왑분석!$C$9),E577-INDEX($E$2:$E$601,스왑분석!$C$12)+ROW()/1000000000,-999),-999),-999)</f>
        <v>-999</v>
      </c>
      <c r="AU577" s="90" t="n">
        <f aca="false">IF(AND(Y577=1,AO577&gt;0,AL577="Rich"),-AK577+ROW()/1000000000,-999)</f>
        <v>-999</v>
      </c>
    </row>
    <row r="578" customFormat="false" ht="15" hidden="false" customHeight="false" outlineLevel="0" collapsed="false">
      <c r="A578" s="83" t="n">
        <f aca="false">IFERROR(IF(INDEX(원자료_시장!$A$1:$BZ$1000,설정!$L$6+ROW()-1,설정!$L$24)&amp;""="0","",INDEX(원자료_시장!$A$1:$BZ$1000,설정!$L$6+ROW()-1,설정!$L$24)),"")</f>
        <v>0</v>
      </c>
      <c r="B578" s="83" t="n">
        <f aca="false">IFERROR(IF(INDEX(원자료_시장!$A$1:$BZ$1000,설정!$L$6+ROW()-1,설정!$L$37)&amp;""="0","",INDEX(원자료_시장!$A$1:$BZ$1000,설정!$L$6+ROW()-1,설정!$L$37)),"")</f>
        <v>0</v>
      </c>
      <c r="C578" s="83" t="n">
        <f aca="false">IFERROR(IF(INDEX(원자료_시장!$A$1:$BZ$1000,설정!$L$6+ROW()-1,설정!$L$25)&amp;""="0","",INDEX(원자료_시장!$A$1:$BZ$1000,설정!$L$6+ROW()-1,설정!$L$25)),"")</f>
        <v>0</v>
      </c>
      <c r="D578" s="85" t="str">
        <f aca="false">IFERROR(IF(ISNUMBER(INDEX(원자료_시장!$A$1:$BZ$1000,설정!$L$6+ROW()-1,설정!$L$26)),INDEX(원자료_시장!$A$1:$BZ$1000,설정!$L$6+ROW()-1,설정!$L$26),""),"")</f>
        <v/>
      </c>
      <c r="E578" s="97" t="str">
        <f aca="false">IFERROR(IF(ISNUMBER(INDEX(원자료_시장!$A$1:$BZ$1000,설정!$L$6+ROW()-1,설정!$L$27)),INDEX(원자료_시장!$A$1:$BZ$1000,설정!$L$6+ROW()-1,설정!$L$27),""),"")</f>
        <v/>
      </c>
      <c r="F578" s="97" t="str">
        <f aca="false">IFERROR(IF(ISNUMBER(INDEX(원자료_시장!$A$1:$BZ$1000,설정!$L$6+ROW()-1,설정!$L$28)),INDEX(원자료_시장!$A$1:$BZ$1000,설정!$L$6+ROW()-1,설정!$L$28),""),"")</f>
        <v/>
      </c>
      <c r="G578" s="97" t="str">
        <f aca="false">IFERROR(IF(ISNUMBER(INDEX(원자료_시장!$A$1:$BZ$1000,설정!$L$6+ROW()-1,설정!$L$29)),INDEX(원자료_시장!$A$1:$BZ$1000,설정!$L$6+ROW()-1,설정!$L$29),""),"")</f>
        <v/>
      </c>
      <c r="H578" s="97" t="str">
        <f aca="false">IFERROR(IF(ISNUMBER(INDEX(원자료_시장!$A$1:$BZ$1000,설정!$L$6+ROW()-1,설정!$L$30)),INDEX(원자료_시장!$A$1:$BZ$1000,설정!$L$6+ROW()-1,설정!$L$30),""),"")</f>
        <v/>
      </c>
      <c r="I578" s="97" t="str">
        <f aca="false">IFERROR(IF(ISNUMBER(INDEX(원자료_시장!$A$1:$BZ$1000,설정!$L$6+ROW()-1,설정!$L$31)),INDEX(원자료_시장!$A$1:$BZ$1000,설정!$L$6+ROW()-1,설정!$L$31),""),"")</f>
        <v/>
      </c>
      <c r="J578" s="97" t="str">
        <f aca="false">IFERROR(IF(ISNUMBER(INDEX(원자료_시장!$A$1:$BZ$1000,설정!$L$6+ROW()-1,설정!$L$32)),INDEX(원자료_시장!$A$1:$BZ$1000,설정!$L$6+ROW()-1,설정!$L$32),""),"")</f>
        <v/>
      </c>
      <c r="K578" s="85" t="str">
        <f aca="false">IFERROR(IF(ISNUMBER(INDEX(원자료_시장!$A$1:$BZ$1000,설정!$L$6+ROW()-1,설정!$L$33)),INDEX(원자료_시장!$A$1:$BZ$1000,설정!$L$6+ROW()-1,설정!$L$33),""),"")</f>
        <v/>
      </c>
      <c r="L578" s="83" t="n">
        <f aca="false">IFERROR(IF(INDEX(원자료_시장!$A$1:$BZ$1000,설정!$L$6+ROW()-1,설정!$L$34)&amp;""="0","",INDEX(원자료_시장!$A$1:$BZ$1000,설정!$L$6+ROW()-1,설정!$L$34)),"")</f>
        <v>0</v>
      </c>
      <c r="M578" s="83" t="n">
        <f aca="false">IFERROR(IF(INDEX(원자료_시장!$A$1:$BZ$1000,설정!$L$6+ROW()-1,설정!$L$35)&amp;""="0","",INDEX(원자료_시장!$A$1:$BZ$1000,설정!$L$6+ROW()-1,설정!$L$35)),"")</f>
        <v>0</v>
      </c>
      <c r="N578" s="83" t="n">
        <f aca="false">IFERROR(IF(INDEX(원자료_시장!$A$1:$BZ$1000,설정!$L$6+ROW()-1,설정!$L$36)&amp;""="0","",INDEX(원자료_시장!$A$1:$BZ$1000,설정!$L$6+ROW()-1,설정!$L$36)),"")</f>
        <v>0</v>
      </c>
      <c r="O578" s="43" t="str">
        <f aca="false">IF($A578="","",UPPER(LEFT($A578,FIND(" ",$A578&amp;" ")-1)))</f>
        <v/>
      </c>
      <c r="P578" s="43" t="str">
        <f aca="false">IF($A578="","",TRIM(RIGHT(SUBSTITUTE(TRIM($A578)," ",REPT(" ",30)),30)))</f>
        <v/>
      </c>
      <c r="Q578" s="98" t="str">
        <f aca="false">IF($A578="","",IFERROR(DATE(IF(LEN(P578)=8,2000+VALUE(RIGHT(P578,2)),VALUE(RIGHT(P578,4))),VALUE(LEFT(P578,2)),VALUE(MID(P578,4,2))),""))</f>
        <v/>
      </c>
      <c r="R578" s="89" t="n">
        <f aca="false">IF($A578="",0,IF(ISNUMBER(SEARCH("Float",$A578)),1,0))</f>
        <v>0</v>
      </c>
      <c r="S578" s="43" t="str">
        <f aca="false">IF($A578="","",TRIM(MID($A578,LEN(O578)+2,LEN($A578)-LEN(O578)-LEN(P578)-1)))</f>
        <v/>
      </c>
      <c r="T578" s="92" t="str">
        <f aca="false">IF(OR($A578="",R578=1),"",IFERROR(IF(ISNUMBER(FIND("/",S578)),IF(ISNUMBER(FIND(" ",S578)),VALUE(LEFT(S578,FIND(" ",S578)-1))+VALUE(MID(S578,FIND(" ",S578)+1,FIND("/",S578)-FIND(" ",S578)-1))/VALUE(MID(S578,FIND("/",S578)+1,9)),VALUE(LEFT(S578,FIND("/",S578)-1))/VALUE(MID(S578,FIND("/",S578)+1,9))),VALUE(S578)),""))</f>
        <v/>
      </c>
      <c r="U578" s="43" t="str">
        <f aca="false">IF(OR($A578="",NOT(ISNUMBER(Q578))),"",TEXT(Q578,"yyyymmdd")&amp;"|"&amp;IF(R578=1,"F",TEXT(T578,"0.000")))</f>
        <v/>
      </c>
      <c r="V578" s="43" t="str">
        <f aca="false">IF(U578="","",O578&amp;"|"&amp;U578)</f>
        <v/>
      </c>
      <c r="W578" s="43" t="str">
        <f aca="false">IF($A578="","",IFERROR(IF(VLOOKUP(O578,매핑!$A$4:$E$92,3,0)="","미분류",VLOOKUP(O578,매핑!$A$4:$E$92,3,0)),"미분류"))</f>
        <v/>
      </c>
      <c r="X578" s="89" t="n">
        <f aca="false">IF($A578="",0,IF(O578="T",1,0))</f>
        <v>0</v>
      </c>
      <c r="Y578" s="89" t="n">
        <f aca="false">IF($A578="",0,IF(AND(C578="USD",X578=0,ISNUMBER(E578),ISNUMBER(K578)),IF(K578&gt;=설정!$C$8,1,0),0))</f>
        <v>0</v>
      </c>
      <c r="Z578" s="43" t="str">
        <f aca="false">IF($A578="","",N578&amp;"|"&amp;L578)</f>
        <v/>
      </c>
      <c r="AA578" s="92" t="n">
        <f aca="false">IF(Y578=1,LN(K578),0)</f>
        <v>0</v>
      </c>
      <c r="AB578" s="93" t="n">
        <f aca="false">IF(Y578=1,E578,0)</f>
        <v>0</v>
      </c>
      <c r="AC578" s="89" t="n">
        <f aca="false">IF(Y578=1,COUNTIFS($Z$2:$Z$601,Z578,$Y$2:$Y$601,1),0)</f>
        <v>0</v>
      </c>
      <c r="AD578" s="89" t="n">
        <f aca="false">IF(Y578=1,COUNTIFS($N$2:$N$601,N578,$Y$2:$Y$601,1),0)</f>
        <v>0</v>
      </c>
      <c r="AE578" s="43" t="str">
        <f aca="false">IF(Y578&lt;&gt;1,"",IF(AND(AC578&gt;=설정!$C$7,ISNUMBER(MATCH(Z578,피어커브!$A:$A,0))),Z578,IF(AND(AD578&gt;=설정!$C$7,ISNUMBER(MATCH(N578&amp;"|전체",피어커브!$A:$A,0))),N578&amp;"|전체","전체|전체")))</f>
        <v/>
      </c>
      <c r="AF578" s="93" t="str">
        <f aca="false">IF(AE578="","",INDEX(피어커브!$K:$K,MATCH(AE578,피어커브!$A:$A,0)))</f>
        <v/>
      </c>
      <c r="AG578" s="93" t="str">
        <f aca="false">IF(AE578="","",INDEX(피어커브!$J:$J,MATCH(AE578,피어커브!$A:$A,0)))</f>
        <v/>
      </c>
      <c r="AH578" s="93" t="str">
        <f aca="false">IF(AE578="","",INDEX(피어커브!$L:$L,MATCH(AE578,피어커브!$A:$A,0)))</f>
        <v/>
      </c>
      <c r="AI578" s="93" t="str">
        <f aca="false">IF(AE578="","",AF578+AG578*AA578)</f>
        <v/>
      </c>
      <c r="AJ578" s="96" t="str">
        <f aca="false">IF(AE578="","",E578-AI578)</f>
        <v/>
      </c>
      <c r="AK578" s="95" t="str">
        <f aca="false">IF(AE578="","",IF(ISNUMBER(AH578),IF(AH578&gt;0,AJ578/AH578,""),""))</f>
        <v/>
      </c>
      <c r="AL578" s="43" t="str">
        <f aca="false">IF(AK578="","-",IF(AK578&gt;=설정!$C$6,"Cheap",IF(AK578&lt;=-설정!$C$6,"Rich","Fair")))</f>
        <v>-</v>
      </c>
      <c r="AM578" s="96" t="str">
        <f aca="false">IF(AE578="","",AJ578-AVERAGEIFS($AJ$2:$AJ$601,$B$2:$B$601,B578,$Y$2:$Y$601,1))</f>
        <v/>
      </c>
      <c r="AN578" s="93" t="n">
        <f aca="false">IF(AE578="",0,IF(K578&gt;1+설정!$C$8,AG578*(AA578-LN(K578-1)),0))</f>
        <v>0</v>
      </c>
      <c r="AO578" s="99" t="n">
        <f aca="false">IF($A578="",0,SUMIFS(보유분석!$AA$2:$AA$801,보유분석!$AB$2:$AB$801,ROW(),보유분석!$AC$2:$AC$801,1))</f>
        <v>0</v>
      </c>
      <c r="AP578" s="43" t="str">
        <f aca="false">IF($A578="","",TRIM(IF(R578=1,"FRN ","")&amp;IF(IFERROR(VLOOKUP(M578,설정!$A$15:$D$47,4,0),0)&gt;=10,IF(IFERROR(VLOOKUP(M578,설정!$A$15:$D$47,4,0),0)&lt;99,"BBB0미만 ",""),"")&amp;IF(OR(M578="",M578="NR"),"등급미입력 ","")&amp;IF(C578&lt;&gt;"USD","비USD ","")))</f>
        <v/>
      </c>
      <c r="AQ578" s="90" t="n">
        <f aca="false">IF(AND(Y578=1,AL578="Cheap"),IF(AND(ISERROR(SEARCH("FRN",AP578)),ISERROR(SEARCH("BBB0미만",AP578))),AK578+ROW()/1000000000,-999),-999)</f>
        <v>-999</v>
      </c>
      <c r="AR578" s="92" t="str">
        <f aca="false">IF(AND(ISNUMBER(D578),ISNUMBER(K578)),D578+AN578*MAX(K578-1,0)/100,"")</f>
        <v/>
      </c>
      <c r="AS578" s="93" t="str">
        <f aca="false">IF(AND(ISNUMBER(E578),ISNUMBER(K578)),IF(K578&gt;0,(E578+AN578*MAX(K578-1,0))/K578,""),"")</f>
        <v/>
      </c>
      <c r="AT578" s="90" t="n">
        <f aca="false">IFERROR(IF(AND(Y578=1,ROW()&lt;&gt;스왑분석!$C$12+1,ABS(K578-INDEX($K$2:$K$601,스왑분석!$C$12))&lt;=스왑분석!$C$5,ISERROR(SEARCH("FRN",AP578)),ISERROR(SEARCH("BBB0미만",AP578))),IF(AND(OR(스왑분석!$C$6="N",L578=INDEX($L$2:$L$601,스왑분석!$C$12)),OR(스왑분석!$C$7="N",N578=INDEX($N$2:$N$601,스왑분석!$C$12)),OR(스왑분석!$C$8="N",AO578=0),E578-INDEX($E$2:$E$601,스왑분석!$C$12)&gt;=스왑분석!$C$9),E578-INDEX($E$2:$E$601,스왑분석!$C$12)+ROW()/1000000000,-999),-999),-999)</f>
        <v>-999</v>
      </c>
      <c r="AU578" s="90" t="n">
        <f aca="false">IF(AND(Y578=1,AO578&gt;0,AL578="Rich"),-AK578+ROW()/1000000000,-999)</f>
        <v>-999</v>
      </c>
    </row>
    <row r="579" customFormat="false" ht="15" hidden="false" customHeight="false" outlineLevel="0" collapsed="false">
      <c r="A579" s="83" t="n">
        <f aca="false">IFERROR(IF(INDEX(원자료_시장!$A$1:$BZ$1000,설정!$L$6+ROW()-1,설정!$L$24)&amp;""="0","",INDEX(원자료_시장!$A$1:$BZ$1000,설정!$L$6+ROW()-1,설정!$L$24)),"")</f>
        <v>0</v>
      </c>
      <c r="B579" s="83" t="n">
        <f aca="false">IFERROR(IF(INDEX(원자료_시장!$A$1:$BZ$1000,설정!$L$6+ROW()-1,설정!$L$37)&amp;""="0","",INDEX(원자료_시장!$A$1:$BZ$1000,설정!$L$6+ROW()-1,설정!$L$37)),"")</f>
        <v>0</v>
      </c>
      <c r="C579" s="83" t="n">
        <f aca="false">IFERROR(IF(INDEX(원자료_시장!$A$1:$BZ$1000,설정!$L$6+ROW()-1,설정!$L$25)&amp;""="0","",INDEX(원자료_시장!$A$1:$BZ$1000,설정!$L$6+ROW()-1,설정!$L$25)),"")</f>
        <v>0</v>
      </c>
      <c r="D579" s="85" t="str">
        <f aca="false">IFERROR(IF(ISNUMBER(INDEX(원자료_시장!$A$1:$BZ$1000,설정!$L$6+ROW()-1,설정!$L$26)),INDEX(원자료_시장!$A$1:$BZ$1000,설정!$L$6+ROW()-1,설정!$L$26),""),"")</f>
        <v/>
      </c>
      <c r="E579" s="97" t="str">
        <f aca="false">IFERROR(IF(ISNUMBER(INDEX(원자료_시장!$A$1:$BZ$1000,설정!$L$6+ROW()-1,설정!$L$27)),INDEX(원자료_시장!$A$1:$BZ$1000,설정!$L$6+ROW()-1,설정!$L$27),""),"")</f>
        <v/>
      </c>
      <c r="F579" s="97" t="str">
        <f aca="false">IFERROR(IF(ISNUMBER(INDEX(원자료_시장!$A$1:$BZ$1000,설정!$L$6+ROW()-1,설정!$L$28)),INDEX(원자료_시장!$A$1:$BZ$1000,설정!$L$6+ROW()-1,설정!$L$28),""),"")</f>
        <v/>
      </c>
      <c r="G579" s="97" t="str">
        <f aca="false">IFERROR(IF(ISNUMBER(INDEX(원자료_시장!$A$1:$BZ$1000,설정!$L$6+ROW()-1,설정!$L$29)),INDEX(원자료_시장!$A$1:$BZ$1000,설정!$L$6+ROW()-1,설정!$L$29),""),"")</f>
        <v/>
      </c>
      <c r="H579" s="97" t="str">
        <f aca="false">IFERROR(IF(ISNUMBER(INDEX(원자료_시장!$A$1:$BZ$1000,설정!$L$6+ROW()-1,설정!$L$30)),INDEX(원자료_시장!$A$1:$BZ$1000,설정!$L$6+ROW()-1,설정!$L$30),""),"")</f>
        <v/>
      </c>
      <c r="I579" s="97" t="str">
        <f aca="false">IFERROR(IF(ISNUMBER(INDEX(원자료_시장!$A$1:$BZ$1000,설정!$L$6+ROW()-1,설정!$L$31)),INDEX(원자료_시장!$A$1:$BZ$1000,설정!$L$6+ROW()-1,설정!$L$31),""),"")</f>
        <v/>
      </c>
      <c r="J579" s="97" t="str">
        <f aca="false">IFERROR(IF(ISNUMBER(INDEX(원자료_시장!$A$1:$BZ$1000,설정!$L$6+ROW()-1,설정!$L$32)),INDEX(원자료_시장!$A$1:$BZ$1000,설정!$L$6+ROW()-1,설정!$L$32),""),"")</f>
        <v/>
      </c>
      <c r="K579" s="85" t="str">
        <f aca="false">IFERROR(IF(ISNUMBER(INDEX(원자료_시장!$A$1:$BZ$1000,설정!$L$6+ROW()-1,설정!$L$33)),INDEX(원자료_시장!$A$1:$BZ$1000,설정!$L$6+ROW()-1,설정!$L$33),""),"")</f>
        <v/>
      </c>
      <c r="L579" s="83" t="n">
        <f aca="false">IFERROR(IF(INDEX(원자료_시장!$A$1:$BZ$1000,설정!$L$6+ROW()-1,설정!$L$34)&amp;""="0","",INDEX(원자료_시장!$A$1:$BZ$1000,설정!$L$6+ROW()-1,설정!$L$34)),"")</f>
        <v>0</v>
      </c>
      <c r="M579" s="83" t="n">
        <f aca="false">IFERROR(IF(INDEX(원자료_시장!$A$1:$BZ$1000,설정!$L$6+ROW()-1,설정!$L$35)&amp;""="0","",INDEX(원자료_시장!$A$1:$BZ$1000,설정!$L$6+ROW()-1,설정!$L$35)),"")</f>
        <v>0</v>
      </c>
      <c r="N579" s="83" t="n">
        <f aca="false">IFERROR(IF(INDEX(원자료_시장!$A$1:$BZ$1000,설정!$L$6+ROW()-1,설정!$L$36)&amp;""="0","",INDEX(원자료_시장!$A$1:$BZ$1000,설정!$L$6+ROW()-1,설정!$L$36)),"")</f>
        <v>0</v>
      </c>
      <c r="O579" s="43" t="str">
        <f aca="false">IF($A579="","",UPPER(LEFT($A579,FIND(" ",$A579&amp;" ")-1)))</f>
        <v/>
      </c>
      <c r="P579" s="43" t="str">
        <f aca="false">IF($A579="","",TRIM(RIGHT(SUBSTITUTE(TRIM($A579)," ",REPT(" ",30)),30)))</f>
        <v/>
      </c>
      <c r="Q579" s="98" t="str">
        <f aca="false">IF($A579="","",IFERROR(DATE(IF(LEN(P579)=8,2000+VALUE(RIGHT(P579,2)),VALUE(RIGHT(P579,4))),VALUE(LEFT(P579,2)),VALUE(MID(P579,4,2))),""))</f>
        <v/>
      </c>
      <c r="R579" s="89" t="n">
        <f aca="false">IF($A579="",0,IF(ISNUMBER(SEARCH("Float",$A579)),1,0))</f>
        <v>0</v>
      </c>
      <c r="S579" s="43" t="str">
        <f aca="false">IF($A579="","",TRIM(MID($A579,LEN(O579)+2,LEN($A579)-LEN(O579)-LEN(P579)-1)))</f>
        <v/>
      </c>
      <c r="T579" s="92" t="str">
        <f aca="false">IF(OR($A579="",R579=1),"",IFERROR(IF(ISNUMBER(FIND("/",S579)),IF(ISNUMBER(FIND(" ",S579)),VALUE(LEFT(S579,FIND(" ",S579)-1))+VALUE(MID(S579,FIND(" ",S579)+1,FIND("/",S579)-FIND(" ",S579)-1))/VALUE(MID(S579,FIND("/",S579)+1,9)),VALUE(LEFT(S579,FIND("/",S579)-1))/VALUE(MID(S579,FIND("/",S579)+1,9))),VALUE(S579)),""))</f>
        <v/>
      </c>
      <c r="U579" s="43" t="str">
        <f aca="false">IF(OR($A579="",NOT(ISNUMBER(Q579))),"",TEXT(Q579,"yyyymmdd")&amp;"|"&amp;IF(R579=1,"F",TEXT(T579,"0.000")))</f>
        <v/>
      </c>
      <c r="V579" s="43" t="str">
        <f aca="false">IF(U579="","",O579&amp;"|"&amp;U579)</f>
        <v/>
      </c>
      <c r="W579" s="43" t="str">
        <f aca="false">IF($A579="","",IFERROR(IF(VLOOKUP(O579,매핑!$A$4:$E$92,3,0)="","미분류",VLOOKUP(O579,매핑!$A$4:$E$92,3,0)),"미분류"))</f>
        <v/>
      </c>
      <c r="X579" s="89" t="n">
        <f aca="false">IF($A579="",0,IF(O579="T",1,0))</f>
        <v>0</v>
      </c>
      <c r="Y579" s="89" t="n">
        <f aca="false">IF($A579="",0,IF(AND(C579="USD",X579=0,ISNUMBER(E579),ISNUMBER(K579)),IF(K579&gt;=설정!$C$8,1,0),0))</f>
        <v>0</v>
      </c>
      <c r="Z579" s="43" t="str">
        <f aca="false">IF($A579="","",N579&amp;"|"&amp;L579)</f>
        <v/>
      </c>
      <c r="AA579" s="92" t="n">
        <f aca="false">IF(Y579=1,LN(K579),0)</f>
        <v>0</v>
      </c>
      <c r="AB579" s="93" t="n">
        <f aca="false">IF(Y579=1,E579,0)</f>
        <v>0</v>
      </c>
      <c r="AC579" s="89" t="n">
        <f aca="false">IF(Y579=1,COUNTIFS($Z$2:$Z$601,Z579,$Y$2:$Y$601,1),0)</f>
        <v>0</v>
      </c>
      <c r="AD579" s="89" t="n">
        <f aca="false">IF(Y579=1,COUNTIFS($N$2:$N$601,N579,$Y$2:$Y$601,1),0)</f>
        <v>0</v>
      </c>
      <c r="AE579" s="43" t="str">
        <f aca="false">IF(Y579&lt;&gt;1,"",IF(AND(AC579&gt;=설정!$C$7,ISNUMBER(MATCH(Z579,피어커브!$A:$A,0))),Z579,IF(AND(AD579&gt;=설정!$C$7,ISNUMBER(MATCH(N579&amp;"|전체",피어커브!$A:$A,0))),N579&amp;"|전체","전체|전체")))</f>
        <v/>
      </c>
      <c r="AF579" s="93" t="str">
        <f aca="false">IF(AE579="","",INDEX(피어커브!$K:$K,MATCH(AE579,피어커브!$A:$A,0)))</f>
        <v/>
      </c>
      <c r="AG579" s="93" t="str">
        <f aca="false">IF(AE579="","",INDEX(피어커브!$J:$J,MATCH(AE579,피어커브!$A:$A,0)))</f>
        <v/>
      </c>
      <c r="AH579" s="93" t="str">
        <f aca="false">IF(AE579="","",INDEX(피어커브!$L:$L,MATCH(AE579,피어커브!$A:$A,0)))</f>
        <v/>
      </c>
      <c r="AI579" s="93" t="str">
        <f aca="false">IF(AE579="","",AF579+AG579*AA579)</f>
        <v/>
      </c>
      <c r="AJ579" s="96" t="str">
        <f aca="false">IF(AE579="","",E579-AI579)</f>
        <v/>
      </c>
      <c r="AK579" s="95" t="str">
        <f aca="false">IF(AE579="","",IF(ISNUMBER(AH579),IF(AH579&gt;0,AJ579/AH579,""),""))</f>
        <v/>
      </c>
      <c r="AL579" s="43" t="str">
        <f aca="false">IF(AK579="","-",IF(AK579&gt;=설정!$C$6,"Cheap",IF(AK579&lt;=-설정!$C$6,"Rich","Fair")))</f>
        <v>-</v>
      </c>
      <c r="AM579" s="96" t="str">
        <f aca="false">IF(AE579="","",AJ579-AVERAGEIFS($AJ$2:$AJ$601,$B$2:$B$601,B579,$Y$2:$Y$601,1))</f>
        <v/>
      </c>
      <c r="AN579" s="93" t="n">
        <f aca="false">IF(AE579="",0,IF(K579&gt;1+설정!$C$8,AG579*(AA579-LN(K579-1)),0))</f>
        <v>0</v>
      </c>
      <c r="AO579" s="99" t="n">
        <f aca="false">IF($A579="",0,SUMIFS(보유분석!$AA$2:$AA$801,보유분석!$AB$2:$AB$801,ROW(),보유분석!$AC$2:$AC$801,1))</f>
        <v>0</v>
      </c>
      <c r="AP579" s="43" t="str">
        <f aca="false">IF($A579="","",TRIM(IF(R579=1,"FRN ","")&amp;IF(IFERROR(VLOOKUP(M579,설정!$A$15:$D$47,4,0),0)&gt;=10,IF(IFERROR(VLOOKUP(M579,설정!$A$15:$D$47,4,0),0)&lt;99,"BBB0미만 ",""),"")&amp;IF(OR(M579="",M579="NR"),"등급미입력 ","")&amp;IF(C579&lt;&gt;"USD","비USD ","")))</f>
        <v/>
      </c>
      <c r="AQ579" s="90" t="n">
        <f aca="false">IF(AND(Y579=1,AL579="Cheap"),IF(AND(ISERROR(SEARCH("FRN",AP579)),ISERROR(SEARCH("BBB0미만",AP579))),AK579+ROW()/1000000000,-999),-999)</f>
        <v>-999</v>
      </c>
      <c r="AR579" s="92" t="str">
        <f aca="false">IF(AND(ISNUMBER(D579),ISNUMBER(K579)),D579+AN579*MAX(K579-1,0)/100,"")</f>
        <v/>
      </c>
      <c r="AS579" s="93" t="str">
        <f aca="false">IF(AND(ISNUMBER(E579),ISNUMBER(K579)),IF(K579&gt;0,(E579+AN579*MAX(K579-1,0))/K579,""),"")</f>
        <v/>
      </c>
      <c r="AT579" s="90" t="n">
        <f aca="false">IFERROR(IF(AND(Y579=1,ROW()&lt;&gt;스왑분석!$C$12+1,ABS(K579-INDEX($K$2:$K$601,스왑분석!$C$12))&lt;=스왑분석!$C$5,ISERROR(SEARCH("FRN",AP579)),ISERROR(SEARCH("BBB0미만",AP579))),IF(AND(OR(스왑분석!$C$6="N",L579=INDEX($L$2:$L$601,스왑분석!$C$12)),OR(스왑분석!$C$7="N",N579=INDEX($N$2:$N$601,스왑분석!$C$12)),OR(스왑분석!$C$8="N",AO579=0),E579-INDEX($E$2:$E$601,스왑분석!$C$12)&gt;=스왑분석!$C$9),E579-INDEX($E$2:$E$601,스왑분석!$C$12)+ROW()/1000000000,-999),-999),-999)</f>
        <v>-999</v>
      </c>
      <c r="AU579" s="90" t="n">
        <f aca="false">IF(AND(Y579=1,AO579&gt;0,AL579="Rich"),-AK579+ROW()/1000000000,-999)</f>
        <v>-999</v>
      </c>
    </row>
    <row r="580" customFormat="false" ht="15" hidden="false" customHeight="false" outlineLevel="0" collapsed="false">
      <c r="A580" s="83" t="n">
        <f aca="false">IFERROR(IF(INDEX(원자료_시장!$A$1:$BZ$1000,설정!$L$6+ROW()-1,설정!$L$24)&amp;""="0","",INDEX(원자료_시장!$A$1:$BZ$1000,설정!$L$6+ROW()-1,설정!$L$24)),"")</f>
        <v>0</v>
      </c>
      <c r="B580" s="83" t="n">
        <f aca="false">IFERROR(IF(INDEX(원자료_시장!$A$1:$BZ$1000,설정!$L$6+ROW()-1,설정!$L$37)&amp;""="0","",INDEX(원자료_시장!$A$1:$BZ$1000,설정!$L$6+ROW()-1,설정!$L$37)),"")</f>
        <v>0</v>
      </c>
      <c r="C580" s="83" t="n">
        <f aca="false">IFERROR(IF(INDEX(원자료_시장!$A$1:$BZ$1000,설정!$L$6+ROW()-1,설정!$L$25)&amp;""="0","",INDEX(원자료_시장!$A$1:$BZ$1000,설정!$L$6+ROW()-1,설정!$L$25)),"")</f>
        <v>0</v>
      </c>
      <c r="D580" s="85" t="str">
        <f aca="false">IFERROR(IF(ISNUMBER(INDEX(원자료_시장!$A$1:$BZ$1000,설정!$L$6+ROW()-1,설정!$L$26)),INDEX(원자료_시장!$A$1:$BZ$1000,설정!$L$6+ROW()-1,설정!$L$26),""),"")</f>
        <v/>
      </c>
      <c r="E580" s="97" t="str">
        <f aca="false">IFERROR(IF(ISNUMBER(INDEX(원자료_시장!$A$1:$BZ$1000,설정!$L$6+ROW()-1,설정!$L$27)),INDEX(원자료_시장!$A$1:$BZ$1000,설정!$L$6+ROW()-1,설정!$L$27),""),"")</f>
        <v/>
      </c>
      <c r="F580" s="97" t="str">
        <f aca="false">IFERROR(IF(ISNUMBER(INDEX(원자료_시장!$A$1:$BZ$1000,설정!$L$6+ROW()-1,설정!$L$28)),INDEX(원자료_시장!$A$1:$BZ$1000,설정!$L$6+ROW()-1,설정!$L$28),""),"")</f>
        <v/>
      </c>
      <c r="G580" s="97" t="str">
        <f aca="false">IFERROR(IF(ISNUMBER(INDEX(원자료_시장!$A$1:$BZ$1000,설정!$L$6+ROW()-1,설정!$L$29)),INDEX(원자료_시장!$A$1:$BZ$1000,설정!$L$6+ROW()-1,설정!$L$29),""),"")</f>
        <v/>
      </c>
      <c r="H580" s="97" t="str">
        <f aca="false">IFERROR(IF(ISNUMBER(INDEX(원자료_시장!$A$1:$BZ$1000,설정!$L$6+ROW()-1,설정!$L$30)),INDEX(원자료_시장!$A$1:$BZ$1000,설정!$L$6+ROW()-1,설정!$L$30),""),"")</f>
        <v/>
      </c>
      <c r="I580" s="97" t="str">
        <f aca="false">IFERROR(IF(ISNUMBER(INDEX(원자료_시장!$A$1:$BZ$1000,설정!$L$6+ROW()-1,설정!$L$31)),INDEX(원자료_시장!$A$1:$BZ$1000,설정!$L$6+ROW()-1,설정!$L$31),""),"")</f>
        <v/>
      </c>
      <c r="J580" s="97" t="str">
        <f aca="false">IFERROR(IF(ISNUMBER(INDEX(원자료_시장!$A$1:$BZ$1000,설정!$L$6+ROW()-1,설정!$L$32)),INDEX(원자료_시장!$A$1:$BZ$1000,설정!$L$6+ROW()-1,설정!$L$32),""),"")</f>
        <v/>
      </c>
      <c r="K580" s="85" t="str">
        <f aca="false">IFERROR(IF(ISNUMBER(INDEX(원자료_시장!$A$1:$BZ$1000,설정!$L$6+ROW()-1,설정!$L$33)),INDEX(원자료_시장!$A$1:$BZ$1000,설정!$L$6+ROW()-1,설정!$L$33),""),"")</f>
        <v/>
      </c>
      <c r="L580" s="83" t="n">
        <f aca="false">IFERROR(IF(INDEX(원자료_시장!$A$1:$BZ$1000,설정!$L$6+ROW()-1,설정!$L$34)&amp;""="0","",INDEX(원자료_시장!$A$1:$BZ$1000,설정!$L$6+ROW()-1,설정!$L$34)),"")</f>
        <v>0</v>
      </c>
      <c r="M580" s="83" t="n">
        <f aca="false">IFERROR(IF(INDEX(원자료_시장!$A$1:$BZ$1000,설정!$L$6+ROW()-1,설정!$L$35)&amp;""="0","",INDEX(원자료_시장!$A$1:$BZ$1000,설정!$L$6+ROW()-1,설정!$L$35)),"")</f>
        <v>0</v>
      </c>
      <c r="N580" s="83" t="n">
        <f aca="false">IFERROR(IF(INDEX(원자료_시장!$A$1:$BZ$1000,설정!$L$6+ROW()-1,설정!$L$36)&amp;""="0","",INDEX(원자료_시장!$A$1:$BZ$1000,설정!$L$6+ROW()-1,설정!$L$36)),"")</f>
        <v>0</v>
      </c>
      <c r="O580" s="43" t="str">
        <f aca="false">IF($A580="","",UPPER(LEFT($A580,FIND(" ",$A580&amp;" ")-1)))</f>
        <v/>
      </c>
      <c r="P580" s="43" t="str">
        <f aca="false">IF($A580="","",TRIM(RIGHT(SUBSTITUTE(TRIM($A580)," ",REPT(" ",30)),30)))</f>
        <v/>
      </c>
      <c r="Q580" s="98" t="str">
        <f aca="false">IF($A580="","",IFERROR(DATE(IF(LEN(P580)=8,2000+VALUE(RIGHT(P580,2)),VALUE(RIGHT(P580,4))),VALUE(LEFT(P580,2)),VALUE(MID(P580,4,2))),""))</f>
        <v/>
      </c>
      <c r="R580" s="89" t="n">
        <f aca="false">IF($A580="",0,IF(ISNUMBER(SEARCH("Float",$A580)),1,0))</f>
        <v>0</v>
      </c>
      <c r="S580" s="43" t="str">
        <f aca="false">IF($A580="","",TRIM(MID($A580,LEN(O580)+2,LEN($A580)-LEN(O580)-LEN(P580)-1)))</f>
        <v/>
      </c>
      <c r="T580" s="92" t="str">
        <f aca="false">IF(OR($A580="",R580=1),"",IFERROR(IF(ISNUMBER(FIND("/",S580)),IF(ISNUMBER(FIND(" ",S580)),VALUE(LEFT(S580,FIND(" ",S580)-1))+VALUE(MID(S580,FIND(" ",S580)+1,FIND("/",S580)-FIND(" ",S580)-1))/VALUE(MID(S580,FIND("/",S580)+1,9)),VALUE(LEFT(S580,FIND("/",S580)-1))/VALUE(MID(S580,FIND("/",S580)+1,9))),VALUE(S580)),""))</f>
        <v/>
      </c>
      <c r="U580" s="43" t="str">
        <f aca="false">IF(OR($A580="",NOT(ISNUMBER(Q580))),"",TEXT(Q580,"yyyymmdd")&amp;"|"&amp;IF(R580=1,"F",TEXT(T580,"0.000")))</f>
        <v/>
      </c>
      <c r="V580" s="43" t="str">
        <f aca="false">IF(U580="","",O580&amp;"|"&amp;U580)</f>
        <v/>
      </c>
      <c r="W580" s="43" t="str">
        <f aca="false">IF($A580="","",IFERROR(IF(VLOOKUP(O580,매핑!$A$4:$E$92,3,0)="","미분류",VLOOKUP(O580,매핑!$A$4:$E$92,3,0)),"미분류"))</f>
        <v/>
      </c>
      <c r="X580" s="89" t="n">
        <f aca="false">IF($A580="",0,IF(O580="T",1,0))</f>
        <v>0</v>
      </c>
      <c r="Y580" s="89" t="n">
        <f aca="false">IF($A580="",0,IF(AND(C580="USD",X580=0,ISNUMBER(E580),ISNUMBER(K580)),IF(K580&gt;=설정!$C$8,1,0),0))</f>
        <v>0</v>
      </c>
      <c r="Z580" s="43" t="str">
        <f aca="false">IF($A580="","",N580&amp;"|"&amp;L580)</f>
        <v/>
      </c>
      <c r="AA580" s="92" t="n">
        <f aca="false">IF(Y580=1,LN(K580),0)</f>
        <v>0</v>
      </c>
      <c r="AB580" s="93" t="n">
        <f aca="false">IF(Y580=1,E580,0)</f>
        <v>0</v>
      </c>
      <c r="AC580" s="89" t="n">
        <f aca="false">IF(Y580=1,COUNTIFS($Z$2:$Z$601,Z580,$Y$2:$Y$601,1),0)</f>
        <v>0</v>
      </c>
      <c r="AD580" s="89" t="n">
        <f aca="false">IF(Y580=1,COUNTIFS($N$2:$N$601,N580,$Y$2:$Y$601,1),0)</f>
        <v>0</v>
      </c>
      <c r="AE580" s="43" t="str">
        <f aca="false">IF(Y580&lt;&gt;1,"",IF(AND(AC580&gt;=설정!$C$7,ISNUMBER(MATCH(Z580,피어커브!$A:$A,0))),Z580,IF(AND(AD580&gt;=설정!$C$7,ISNUMBER(MATCH(N580&amp;"|전체",피어커브!$A:$A,0))),N580&amp;"|전체","전체|전체")))</f>
        <v/>
      </c>
      <c r="AF580" s="93" t="str">
        <f aca="false">IF(AE580="","",INDEX(피어커브!$K:$K,MATCH(AE580,피어커브!$A:$A,0)))</f>
        <v/>
      </c>
      <c r="AG580" s="93" t="str">
        <f aca="false">IF(AE580="","",INDEX(피어커브!$J:$J,MATCH(AE580,피어커브!$A:$A,0)))</f>
        <v/>
      </c>
      <c r="AH580" s="93" t="str">
        <f aca="false">IF(AE580="","",INDEX(피어커브!$L:$L,MATCH(AE580,피어커브!$A:$A,0)))</f>
        <v/>
      </c>
      <c r="AI580" s="93" t="str">
        <f aca="false">IF(AE580="","",AF580+AG580*AA580)</f>
        <v/>
      </c>
      <c r="AJ580" s="96" t="str">
        <f aca="false">IF(AE580="","",E580-AI580)</f>
        <v/>
      </c>
      <c r="AK580" s="95" t="str">
        <f aca="false">IF(AE580="","",IF(ISNUMBER(AH580),IF(AH580&gt;0,AJ580/AH580,""),""))</f>
        <v/>
      </c>
      <c r="AL580" s="43" t="str">
        <f aca="false">IF(AK580="","-",IF(AK580&gt;=설정!$C$6,"Cheap",IF(AK580&lt;=-설정!$C$6,"Rich","Fair")))</f>
        <v>-</v>
      </c>
      <c r="AM580" s="96" t="str">
        <f aca="false">IF(AE580="","",AJ580-AVERAGEIFS($AJ$2:$AJ$601,$B$2:$B$601,B580,$Y$2:$Y$601,1))</f>
        <v/>
      </c>
      <c r="AN580" s="93" t="n">
        <f aca="false">IF(AE580="",0,IF(K580&gt;1+설정!$C$8,AG580*(AA580-LN(K580-1)),0))</f>
        <v>0</v>
      </c>
      <c r="AO580" s="99" t="n">
        <f aca="false">IF($A580="",0,SUMIFS(보유분석!$AA$2:$AA$801,보유분석!$AB$2:$AB$801,ROW(),보유분석!$AC$2:$AC$801,1))</f>
        <v>0</v>
      </c>
      <c r="AP580" s="43" t="str">
        <f aca="false">IF($A580="","",TRIM(IF(R580=1,"FRN ","")&amp;IF(IFERROR(VLOOKUP(M580,설정!$A$15:$D$47,4,0),0)&gt;=10,IF(IFERROR(VLOOKUP(M580,설정!$A$15:$D$47,4,0),0)&lt;99,"BBB0미만 ",""),"")&amp;IF(OR(M580="",M580="NR"),"등급미입력 ","")&amp;IF(C580&lt;&gt;"USD","비USD ","")))</f>
        <v/>
      </c>
      <c r="AQ580" s="90" t="n">
        <f aca="false">IF(AND(Y580=1,AL580="Cheap"),IF(AND(ISERROR(SEARCH("FRN",AP580)),ISERROR(SEARCH("BBB0미만",AP580))),AK580+ROW()/1000000000,-999),-999)</f>
        <v>-999</v>
      </c>
      <c r="AR580" s="92" t="str">
        <f aca="false">IF(AND(ISNUMBER(D580),ISNUMBER(K580)),D580+AN580*MAX(K580-1,0)/100,"")</f>
        <v/>
      </c>
      <c r="AS580" s="93" t="str">
        <f aca="false">IF(AND(ISNUMBER(E580),ISNUMBER(K580)),IF(K580&gt;0,(E580+AN580*MAX(K580-1,0))/K580,""),"")</f>
        <v/>
      </c>
      <c r="AT580" s="90" t="n">
        <f aca="false">IFERROR(IF(AND(Y580=1,ROW()&lt;&gt;스왑분석!$C$12+1,ABS(K580-INDEX($K$2:$K$601,스왑분석!$C$12))&lt;=스왑분석!$C$5,ISERROR(SEARCH("FRN",AP580)),ISERROR(SEARCH("BBB0미만",AP580))),IF(AND(OR(스왑분석!$C$6="N",L580=INDEX($L$2:$L$601,스왑분석!$C$12)),OR(스왑분석!$C$7="N",N580=INDEX($N$2:$N$601,스왑분석!$C$12)),OR(스왑분석!$C$8="N",AO580=0),E580-INDEX($E$2:$E$601,스왑분석!$C$12)&gt;=스왑분석!$C$9),E580-INDEX($E$2:$E$601,스왑분석!$C$12)+ROW()/1000000000,-999),-999),-999)</f>
        <v>-999</v>
      </c>
      <c r="AU580" s="90" t="n">
        <f aca="false">IF(AND(Y580=1,AO580&gt;0,AL580="Rich"),-AK580+ROW()/1000000000,-999)</f>
        <v>-999</v>
      </c>
    </row>
    <row r="581" customFormat="false" ht="15" hidden="false" customHeight="false" outlineLevel="0" collapsed="false">
      <c r="A581" s="83" t="n">
        <f aca="false">IFERROR(IF(INDEX(원자료_시장!$A$1:$BZ$1000,설정!$L$6+ROW()-1,설정!$L$24)&amp;""="0","",INDEX(원자료_시장!$A$1:$BZ$1000,설정!$L$6+ROW()-1,설정!$L$24)),"")</f>
        <v>0</v>
      </c>
      <c r="B581" s="83" t="n">
        <f aca="false">IFERROR(IF(INDEX(원자료_시장!$A$1:$BZ$1000,설정!$L$6+ROW()-1,설정!$L$37)&amp;""="0","",INDEX(원자료_시장!$A$1:$BZ$1000,설정!$L$6+ROW()-1,설정!$L$37)),"")</f>
        <v>0</v>
      </c>
      <c r="C581" s="83" t="n">
        <f aca="false">IFERROR(IF(INDEX(원자료_시장!$A$1:$BZ$1000,설정!$L$6+ROW()-1,설정!$L$25)&amp;""="0","",INDEX(원자료_시장!$A$1:$BZ$1000,설정!$L$6+ROW()-1,설정!$L$25)),"")</f>
        <v>0</v>
      </c>
      <c r="D581" s="85" t="str">
        <f aca="false">IFERROR(IF(ISNUMBER(INDEX(원자료_시장!$A$1:$BZ$1000,설정!$L$6+ROW()-1,설정!$L$26)),INDEX(원자료_시장!$A$1:$BZ$1000,설정!$L$6+ROW()-1,설정!$L$26),""),"")</f>
        <v/>
      </c>
      <c r="E581" s="97" t="str">
        <f aca="false">IFERROR(IF(ISNUMBER(INDEX(원자료_시장!$A$1:$BZ$1000,설정!$L$6+ROW()-1,설정!$L$27)),INDEX(원자료_시장!$A$1:$BZ$1000,설정!$L$6+ROW()-1,설정!$L$27),""),"")</f>
        <v/>
      </c>
      <c r="F581" s="97" t="str">
        <f aca="false">IFERROR(IF(ISNUMBER(INDEX(원자료_시장!$A$1:$BZ$1000,설정!$L$6+ROW()-1,설정!$L$28)),INDEX(원자료_시장!$A$1:$BZ$1000,설정!$L$6+ROW()-1,설정!$L$28),""),"")</f>
        <v/>
      </c>
      <c r="G581" s="97" t="str">
        <f aca="false">IFERROR(IF(ISNUMBER(INDEX(원자료_시장!$A$1:$BZ$1000,설정!$L$6+ROW()-1,설정!$L$29)),INDEX(원자료_시장!$A$1:$BZ$1000,설정!$L$6+ROW()-1,설정!$L$29),""),"")</f>
        <v/>
      </c>
      <c r="H581" s="97" t="str">
        <f aca="false">IFERROR(IF(ISNUMBER(INDEX(원자료_시장!$A$1:$BZ$1000,설정!$L$6+ROW()-1,설정!$L$30)),INDEX(원자료_시장!$A$1:$BZ$1000,설정!$L$6+ROW()-1,설정!$L$30),""),"")</f>
        <v/>
      </c>
      <c r="I581" s="97" t="str">
        <f aca="false">IFERROR(IF(ISNUMBER(INDEX(원자료_시장!$A$1:$BZ$1000,설정!$L$6+ROW()-1,설정!$L$31)),INDEX(원자료_시장!$A$1:$BZ$1000,설정!$L$6+ROW()-1,설정!$L$31),""),"")</f>
        <v/>
      </c>
      <c r="J581" s="97" t="str">
        <f aca="false">IFERROR(IF(ISNUMBER(INDEX(원자료_시장!$A$1:$BZ$1000,설정!$L$6+ROW()-1,설정!$L$32)),INDEX(원자료_시장!$A$1:$BZ$1000,설정!$L$6+ROW()-1,설정!$L$32),""),"")</f>
        <v/>
      </c>
      <c r="K581" s="85" t="str">
        <f aca="false">IFERROR(IF(ISNUMBER(INDEX(원자료_시장!$A$1:$BZ$1000,설정!$L$6+ROW()-1,설정!$L$33)),INDEX(원자료_시장!$A$1:$BZ$1000,설정!$L$6+ROW()-1,설정!$L$33),""),"")</f>
        <v/>
      </c>
      <c r="L581" s="83" t="n">
        <f aca="false">IFERROR(IF(INDEX(원자료_시장!$A$1:$BZ$1000,설정!$L$6+ROW()-1,설정!$L$34)&amp;""="0","",INDEX(원자료_시장!$A$1:$BZ$1000,설정!$L$6+ROW()-1,설정!$L$34)),"")</f>
        <v>0</v>
      </c>
      <c r="M581" s="83" t="n">
        <f aca="false">IFERROR(IF(INDEX(원자료_시장!$A$1:$BZ$1000,설정!$L$6+ROW()-1,설정!$L$35)&amp;""="0","",INDEX(원자료_시장!$A$1:$BZ$1000,설정!$L$6+ROW()-1,설정!$L$35)),"")</f>
        <v>0</v>
      </c>
      <c r="N581" s="83" t="n">
        <f aca="false">IFERROR(IF(INDEX(원자료_시장!$A$1:$BZ$1000,설정!$L$6+ROW()-1,설정!$L$36)&amp;""="0","",INDEX(원자료_시장!$A$1:$BZ$1000,설정!$L$6+ROW()-1,설정!$L$36)),"")</f>
        <v>0</v>
      </c>
      <c r="O581" s="43" t="str">
        <f aca="false">IF($A581="","",UPPER(LEFT($A581,FIND(" ",$A581&amp;" ")-1)))</f>
        <v/>
      </c>
      <c r="P581" s="43" t="str">
        <f aca="false">IF($A581="","",TRIM(RIGHT(SUBSTITUTE(TRIM($A581)," ",REPT(" ",30)),30)))</f>
        <v/>
      </c>
      <c r="Q581" s="98" t="str">
        <f aca="false">IF($A581="","",IFERROR(DATE(IF(LEN(P581)=8,2000+VALUE(RIGHT(P581,2)),VALUE(RIGHT(P581,4))),VALUE(LEFT(P581,2)),VALUE(MID(P581,4,2))),""))</f>
        <v/>
      </c>
      <c r="R581" s="89" t="n">
        <f aca="false">IF($A581="",0,IF(ISNUMBER(SEARCH("Float",$A581)),1,0))</f>
        <v>0</v>
      </c>
      <c r="S581" s="43" t="str">
        <f aca="false">IF($A581="","",TRIM(MID($A581,LEN(O581)+2,LEN($A581)-LEN(O581)-LEN(P581)-1)))</f>
        <v/>
      </c>
      <c r="T581" s="92" t="str">
        <f aca="false">IF(OR($A581="",R581=1),"",IFERROR(IF(ISNUMBER(FIND("/",S581)),IF(ISNUMBER(FIND(" ",S581)),VALUE(LEFT(S581,FIND(" ",S581)-1))+VALUE(MID(S581,FIND(" ",S581)+1,FIND("/",S581)-FIND(" ",S581)-1))/VALUE(MID(S581,FIND("/",S581)+1,9)),VALUE(LEFT(S581,FIND("/",S581)-1))/VALUE(MID(S581,FIND("/",S581)+1,9))),VALUE(S581)),""))</f>
        <v/>
      </c>
      <c r="U581" s="43" t="str">
        <f aca="false">IF(OR($A581="",NOT(ISNUMBER(Q581))),"",TEXT(Q581,"yyyymmdd")&amp;"|"&amp;IF(R581=1,"F",TEXT(T581,"0.000")))</f>
        <v/>
      </c>
      <c r="V581" s="43" t="str">
        <f aca="false">IF(U581="","",O581&amp;"|"&amp;U581)</f>
        <v/>
      </c>
      <c r="W581" s="43" t="str">
        <f aca="false">IF($A581="","",IFERROR(IF(VLOOKUP(O581,매핑!$A$4:$E$92,3,0)="","미분류",VLOOKUP(O581,매핑!$A$4:$E$92,3,0)),"미분류"))</f>
        <v/>
      </c>
      <c r="X581" s="89" t="n">
        <f aca="false">IF($A581="",0,IF(O581="T",1,0))</f>
        <v>0</v>
      </c>
      <c r="Y581" s="89" t="n">
        <f aca="false">IF($A581="",0,IF(AND(C581="USD",X581=0,ISNUMBER(E581),ISNUMBER(K581)),IF(K581&gt;=설정!$C$8,1,0),0))</f>
        <v>0</v>
      </c>
      <c r="Z581" s="43" t="str">
        <f aca="false">IF($A581="","",N581&amp;"|"&amp;L581)</f>
        <v/>
      </c>
      <c r="AA581" s="92" t="n">
        <f aca="false">IF(Y581=1,LN(K581),0)</f>
        <v>0</v>
      </c>
      <c r="AB581" s="93" t="n">
        <f aca="false">IF(Y581=1,E581,0)</f>
        <v>0</v>
      </c>
      <c r="AC581" s="89" t="n">
        <f aca="false">IF(Y581=1,COUNTIFS($Z$2:$Z$601,Z581,$Y$2:$Y$601,1),0)</f>
        <v>0</v>
      </c>
      <c r="AD581" s="89" t="n">
        <f aca="false">IF(Y581=1,COUNTIFS($N$2:$N$601,N581,$Y$2:$Y$601,1),0)</f>
        <v>0</v>
      </c>
      <c r="AE581" s="43" t="str">
        <f aca="false">IF(Y581&lt;&gt;1,"",IF(AND(AC581&gt;=설정!$C$7,ISNUMBER(MATCH(Z581,피어커브!$A:$A,0))),Z581,IF(AND(AD581&gt;=설정!$C$7,ISNUMBER(MATCH(N581&amp;"|전체",피어커브!$A:$A,0))),N581&amp;"|전체","전체|전체")))</f>
        <v/>
      </c>
      <c r="AF581" s="93" t="str">
        <f aca="false">IF(AE581="","",INDEX(피어커브!$K:$K,MATCH(AE581,피어커브!$A:$A,0)))</f>
        <v/>
      </c>
      <c r="AG581" s="93" t="str">
        <f aca="false">IF(AE581="","",INDEX(피어커브!$J:$J,MATCH(AE581,피어커브!$A:$A,0)))</f>
        <v/>
      </c>
      <c r="AH581" s="93" t="str">
        <f aca="false">IF(AE581="","",INDEX(피어커브!$L:$L,MATCH(AE581,피어커브!$A:$A,0)))</f>
        <v/>
      </c>
      <c r="AI581" s="93" t="str">
        <f aca="false">IF(AE581="","",AF581+AG581*AA581)</f>
        <v/>
      </c>
      <c r="AJ581" s="96" t="str">
        <f aca="false">IF(AE581="","",E581-AI581)</f>
        <v/>
      </c>
      <c r="AK581" s="95" t="str">
        <f aca="false">IF(AE581="","",IF(ISNUMBER(AH581),IF(AH581&gt;0,AJ581/AH581,""),""))</f>
        <v/>
      </c>
      <c r="AL581" s="43" t="str">
        <f aca="false">IF(AK581="","-",IF(AK581&gt;=설정!$C$6,"Cheap",IF(AK581&lt;=-설정!$C$6,"Rich","Fair")))</f>
        <v>-</v>
      </c>
      <c r="AM581" s="96" t="str">
        <f aca="false">IF(AE581="","",AJ581-AVERAGEIFS($AJ$2:$AJ$601,$B$2:$B$601,B581,$Y$2:$Y$601,1))</f>
        <v/>
      </c>
      <c r="AN581" s="93" t="n">
        <f aca="false">IF(AE581="",0,IF(K581&gt;1+설정!$C$8,AG581*(AA581-LN(K581-1)),0))</f>
        <v>0</v>
      </c>
      <c r="AO581" s="99" t="n">
        <f aca="false">IF($A581="",0,SUMIFS(보유분석!$AA$2:$AA$801,보유분석!$AB$2:$AB$801,ROW(),보유분석!$AC$2:$AC$801,1))</f>
        <v>0</v>
      </c>
      <c r="AP581" s="43" t="str">
        <f aca="false">IF($A581="","",TRIM(IF(R581=1,"FRN ","")&amp;IF(IFERROR(VLOOKUP(M581,설정!$A$15:$D$47,4,0),0)&gt;=10,IF(IFERROR(VLOOKUP(M581,설정!$A$15:$D$47,4,0),0)&lt;99,"BBB0미만 ",""),"")&amp;IF(OR(M581="",M581="NR"),"등급미입력 ","")&amp;IF(C581&lt;&gt;"USD","비USD ","")))</f>
        <v/>
      </c>
      <c r="AQ581" s="90" t="n">
        <f aca="false">IF(AND(Y581=1,AL581="Cheap"),IF(AND(ISERROR(SEARCH("FRN",AP581)),ISERROR(SEARCH("BBB0미만",AP581))),AK581+ROW()/1000000000,-999),-999)</f>
        <v>-999</v>
      </c>
      <c r="AR581" s="92" t="str">
        <f aca="false">IF(AND(ISNUMBER(D581),ISNUMBER(K581)),D581+AN581*MAX(K581-1,0)/100,"")</f>
        <v/>
      </c>
      <c r="AS581" s="93" t="str">
        <f aca="false">IF(AND(ISNUMBER(E581),ISNUMBER(K581)),IF(K581&gt;0,(E581+AN581*MAX(K581-1,0))/K581,""),"")</f>
        <v/>
      </c>
      <c r="AT581" s="90" t="n">
        <f aca="false">IFERROR(IF(AND(Y581=1,ROW()&lt;&gt;스왑분석!$C$12+1,ABS(K581-INDEX($K$2:$K$601,스왑분석!$C$12))&lt;=스왑분석!$C$5,ISERROR(SEARCH("FRN",AP581)),ISERROR(SEARCH("BBB0미만",AP581))),IF(AND(OR(스왑분석!$C$6="N",L581=INDEX($L$2:$L$601,스왑분석!$C$12)),OR(스왑분석!$C$7="N",N581=INDEX($N$2:$N$601,스왑분석!$C$12)),OR(스왑분석!$C$8="N",AO581=0),E581-INDEX($E$2:$E$601,스왑분석!$C$12)&gt;=스왑분석!$C$9),E581-INDEX($E$2:$E$601,스왑분석!$C$12)+ROW()/1000000000,-999),-999),-999)</f>
        <v>-999</v>
      </c>
      <c r="AU581" s="90" t="n">
        <f aca="false">IF(AND(Y581=1,AO581&gt;0,AL581="Rich"),-AK581+ROW()/1000000000,-999)</f>
        <v>-999</v>
      </c>
    </row>
    <row r="582" customFormat="false" ht="15" hidden="false" customHeight="false" outlineLevel="0" collapsed="false">
      <c r="A582" s="83" t="n">
        <f aca="false">IFERROR(IF(INDEX(원자료_시장!$A$1:$BZ$1000,설정!$L$6+ROW()-1,설정!$L$24)&amp;""="0","",INDEX(원자료_시장!$A$1:$BZ$1000,설정!$L$6+ROW()-1,설정!$L$24)),"")</f>
        <v>0</v>
      </c>
      <c r="B582" s="83" t="n">
        <f aca="false">IFERROR(IF(INDEX(원자료_시장!$A$1:$BZ$1000,설정!$L$6+ROW()-1,설정!$L$37)&amp;""="0","",INDEX(원자료_시장!$A$1:$BZ$1000,설정!$L$6+ROW()-1,설정!$L$37)),"")</f>
        <v>0</v>
      </c>
      <c r="C582" s="83" t="n">
        <f aca="false">IFERROR(IF(INDEX(원자료_시장!$A$1:$BZ$1000,설정!$L$6+ROW()-1,설정!$L$25)&amp;""="0","",INDEX(원자료_시장!$A$1:$BZ$1000,설정!$L$6+ROW()-1,설정!$L$25)),"")</f>
        <v>0</v>
      </c>
      <c r="D582" s="85" t="str">
        <f aca="false">IFERROR(IF(ISNUMBER(INDEX(원자료_시장!$A$1:$BZ$1000,설정!$L$6+ROW()-1,설정!$L$26)),INDEX(원자료_시장!$A$1:$BZ$1000,설정!$L$6+ROW()-1,설정!$L$26),""),"")</f>
        <v/>
      </c>
      <c r="E582" s="97" t="str">
        <f aca="false">IFERROR(IF(ISNUMBER(INDEX(원자료_시장!$A$1:$BZ$1000,설정!$L$6+ROW()-1,설정!$L$27)),INDEX(원자료_시장!$A$1:$BZ$1000,설정!$L$6+ROW()-1,설정!$L$27),""),"")</f>
        <v/>
      </c>
      <c r="F582" s="97" t="str">
        <f aca="false">IFERROR(IF(ISNUMBER(INDEX(원자료_시장!$A$1:$BZ$1000,설정!$L$6+ROW()-1,설정!$L$28)),INDEX(원자료_시장!$A$1:$BZ$1000,설정!$L$6+ROW()-1,설정!$L$28),""),"")</f>
        <v/>
      </c>
      <c r="G582" s="97" t="str">
        <f aca="false">IFERROR(IF(ISNUMBER(INDEX(원자료_시장!$A$1:$BZ$1000,설정!$L$6+ROW()-1,설정!$L$29)),INDEX(원자료_시장!$A$1:$BZ$1000,설정!$L$6+ROW()-1,설정!$L$29),""),"")</f>
        <v/>
      </c>
      <c r="H582" s="97" t="str">
        <f aca="false">IFERROR(IF(ISNUMBER(INDEX(원자료_시장!$A$1:$BZ$1000,설정!$L$6+ROW()-1,설정!$L$30)),INDEX(원자료_시장!$A$1:$BZ$1000,설정!$L$6+ROW()-1,설정!$L$30),""),"")</f>
        <v/>
      </c>
      <c r="I582" s="97" t="str">
        <f aca="false">IFERROR(IF(ISNUMBER(INDEX(원자료_시장!$A$1:$BZ$1000,설정!$L$6+ROW()-1,설정!$L$31)),INDEX(원자료_시장!$A$1:$BZ$1000,설정!$L$6+ROW()-1,설정!$L$31),""),"")</f>
        <v/>
      </c>
      <c r="J582" s="97" t="str">
        <f aca="false">IFERROR(IF(ISNUMBER(INDEX(원자료_시장!$A$1:$BZ$1000,설정!$L$6+ROW()-1,설정!$L$32)),INDEX(원자료_시장!$A$1:$BZ$1000,설정!$L$6+ROW()-1,설정!$L$32),""),"")</f>
        <v/>
      </c>
      <c r="K582" s="85" t="str">
        <f aca="false">IFERROR(IF(ISNUMBER(INDEX(원자료_시장!$A$1:$BZ$1000,설정!$L$6+ROW()-1,설정!$L$33)),INDEX(원자료_시장!$A$1:$BZ$1000,설정!$L$6+ROW()-1,설정!$L$33),""),"")</f>
        <v/>
      </c>
      <c r="L582" s="83" t="n">
        <f aca="false">IFERROR(IF(INDEX(원자료_시장!$A$1:$BZ$1000,설정!$L$6+ROW()-1,설정!$L$34)&amp;""="0","",INDEX(원자료_시장!$A$1:$BZ$1000,설정!$L$6+ROW()-1,설정!$L$34)),"")</f>
        <v>0</v>
      </c>
      <c r="M582" s="83" t="n">
        <f aca="false">IFERROR(IF(INDEX(원자료_시장!$A$1:$BZ$1000,설정!$L$6+ROW()-1,설정!$L$35)&amp;""="0","",INDEX(원자료_시장!$A$1:$BZ$1000,설정!$L$6+ROW()-1,설정!$L$35)),"")</f>
        <v>0</v>
      </c>
      <c r="N582" s="83" t="n">
        <f aca="false">IFERROR(IF(INDEX(원자료_시장!$A$1:$BZ$1000,설정!$L$6+ROW()-1,설정!$L$36)&amp;""="0","",INDEX(원자료_시장!$A$1:$BZ$1000,설정!$L$6+ROW()-1,설정!$L$36)),"")</f>
        <v>0</v>
      </c>
      <c r="O582" s="43" t="str">
        <f aca="false">IF($A582="","",UPPER(LEFT($A582,FIND(" ",$A582&amp;" ")-1)))</f>
        <v/>
      </c>
      <c r="P582" s="43" t="str">
        <f aca="false">IF($A582="","",TRIM(RIGHT(SUBSTITUTE(TRIM($A582)," ",REPT(" ",30)),30)))</f>
        <v/>
      </c>
      <c r="Q582" s="98" t="str">
        <f aca="false">IF($A582="","",IFERROR(DATE(IF(LEN(P582)=8,2000+VALUE(RIGHT(P582,2)),VALUE(RIGHT(P582,4))),VALUE(LEFT(P582,2)),VALUE(MID(P582,4,2))),""))</f>
        <v/>
      </c>
      <c r="R582" s="89" t="n">
        <f aca="false">IF($A582="",0,IF(ISNUMBER(SEARCH("Float",$A582)),1,0))</f>
        <v>0</v>
      </c>
      <c r="S582" s="43" t="str">
        <f aca="false">IF($A582="","",TRIM(MID($A582,LEN(O582)+2,LEN($A582)-LEN(O582)-LEN(P582)-1)))</f>
        <v/>
      </c>
      <c r="T582" s="92" t="str">
        <f aca="false">IF(OR($A582="",R582=1),"",IFERROR(IF(ISNUMBER(FIND("/",S582)),IF(ISNUMBER(FIND(" ",S582)),VALUE(LEFT(S582,FIND(" ",S582)-1))+VALUE(MID(S582,FIND(" ",S582)+1,FIND("/",S582)-FIND(" ",S582)-1))/VALUE(MID(S582,FIND("/",S582)+1,9)),VALUE(LEFT(S582,FIND("/",S582)-1))/VALUE(MID(S582,FIND("/",S582)+1,9))),VALUE(S582)),""))</f>
        <v/>
      </c>
      <c r="U582" s="43" t="str">
        <f aca="false">IF(OR($A582="",NOT(ISNUMBER(Q582))),"",TEXT(Q582,"yyyymmdd")&amp;"|"&amp;IF(R582=1,"F",TEXT(T582,"0.000")))</f>
        <v/>
      </c>
      <c r="V582" s="43" t="str">
        <f aca="false">IF(U582="","",O582&amp;"|"&amp;U582)</f>
        <v/>
      </c>
      <c r="W582" s="43" t="str">
        <f aca="false">IF($A582="","",IFERROR(IF(VLOOKUP(O582,매핑!$A$4:$E$92,3,0)="","미분류",VLOOKUP(O582,매핑!$A$4:$E$92,3,0)),"미분류"))</f>
        <v/>
      </c>
      <c r="X582" s="89" t="n">
        <f aca="false">IF($A582="",0,IF(O582="T",1,0))</f>
        <v>0</v>
      </c>
      <c r="Y582" s="89" t="n">
        <f aca="false">IF($A582="",0,IF(AND(C582="USD",X582=0,ISNUMBER(E582),ISNUMBER(K582)),IF(K582&gt;=설정!$C$8,1,0),0))</f>
        <v>0</v>
      </c>
      <c r="Z582" s="43" t="str">
        <f aca="false">IF($A582="","",N582&amp;"|"&amp;L582)</f>
        <v/>
      </c>
      <c r="AA582" s="92" t="n">
        <f aca="false">IF(Y582=1,LN(K582),0)</f>
        <v>0</v>
      </c>
      <c r="AB582" s="93" t="n">
        <f aca="false">IF(Y582=1,E582,0)</f>
        <v>0</v>
      </c>
      <c r="AC582" s="89" t="n">
        <f aca="false">IF(Y582=1,COUNTIFS($Z$2:$Z$601,Z582,$Y$2:$Y$601,1),0)</f>
        <v>0</v>
      </c>
      <c r="AD582" s="89" t="n">
        <f aca="false">IF(Y582=1,COUNTIFS($N$2:$N$601,N582,$Y$2:$Y$601,1),0)</f>
        <v>0</v>
      </c>
      <c r="AE582" s="43" t="str">
        <f aca="false">IF(Y582&lt;&gt;1,"",IF(AND(AC582&gt;=설정!$C$7,ISNUMBER(MATCH(Z582,피어커브!$A:$A,0))),Z582,IF(AND(AD582&gt;=설정!$C$7,ISNUMBER(MATCH(N582&amp;"|전체",피어커브!$A:$A,0))),N582&amp;"|전체","전체|전체")))</f>
        <v/>
      </c>
      <c r="AF582" s="93" t="str">
        <f aca="false">IF(AE582="","",INDEX(피어커브!$K:$K,MATCH(AE582,피어커브!$A:$A,0)))</f>
        <v/>
      </c>
      <c r="AG582" s="93" t="str">
        <f aca="false">IF(AE582="","",INDEX(피어커브!$J:$J,MATCH(AE582,피어커브!$A:$A,0)))</f>
        <v/>
      </c>
      <c r="AH582" s="93" t="str">
        <f aca="false">IF(AE582="","",INDEX(피어커브!$L:$L,MATCH(AE582,피어커브!$A:$A,0)))</f>
        <v/>
      </c>
      <c r="AI582" s="93" t="str">
        <f aca="false">IF(AE582="","",AF582+AG582*AA582)</f>
        <v/>
      </c>
      <c r="AJ582" s="96" t="str">
        <f aca="false">IF(AE582="","",E582-AI582)</f>
        <v/>
      </c>
      <c r="AK582" s="95" t="str">
        <f aca="false">IF(AE582="","",IF(ISNUMBER(AH582),IF(AH582&gt;0,AJ582/AH582,""),""))</f>
        <v/>
      </c>
      <c r="AL582" s="43" t="str">
        <f aca="false">IF(AK582="","-",IF(AK582&gt;=설정!$C$6,"Cheap",IF(AK582&lt;=-설정!$C$6,"Rich","Fair")))</f>
        <v>-</v>
      </c>
      <c r="AM582" s="96" t="str">
        <f aca="false">IF(AE582="","",AJ582-AVERAGEIFS($AJ$2:$AJ$601,$B$2:$B$601,B582,$Y$2:$Y$601,1))</f>
        <v/>
      </c>
      <c r="AN582" s="93" t="n">
        <f aca="false">IF(AE582="",0,IF(K582&gt;1+설정!$C$8,AG582*(AA582-LN(K582-1)),0))</f>
        <v>0</v>
      </c>
      <c r="AO582" s="99" t="n">
        <f aca="false">IF($A582="",0,SUMIFS(보유분석!$AA$2:$AA$801,보유분석!$AB$2:$AB$801,ROW(),보유분석!$AC$2:$AC$801,1))</f>
        <v>0</v>
      </c>
      <c r="AP582" s="43" t="str">
        <f aca="false">IF($A582="","",TRIM(IF(R582=1,"FRN ","")&amp;IF(IFERROR(VLOOKUP(M582,설정!$A$15:$D$47,4,0),0)&gt;=10,IF(IFERROR(VLOOKUP(M582,설정!$A$15:$D$47,4,0),0)&lt;99,"BBB0미만 ",""),"")&amp;IF(OR(M582="",M582="NR"),"등급미입력 ","")&amp;IF(C582&lt;&gt;"USD","비USD ","")))</f>
        <v/>
      </c>
      <c r="AQ582" s="90" t="n">
        <f aca="false">IF(AND(Y582=1,AL582="Cheap"),IF(AND(ISERROR(SEARCH("FRN",AP582)),ISERROR(SEARCH("BBB0미만",AP582))),AK582+ROW()/1000000000,-999),-999)</f>
        <v>-999</v>
      </c>
      <c r="AR582" s="92" t="str">
        <f aca="false">IF(AND(ISNUMBER(D582),ISNUMBER(K582)),D582+AN582*MAX(K582-1,0)/100,"")</f>
        <v/>
      </c>
      <c r="AS582" s="93" t="str">
        <f aca="false">IF(AND(ISNUMBER(E582),ISNUMBER(K582)),IF(K582&gt;0,(E582+AN582*MAX(K582-1,0))/K582,""),"")</f>
        <v/>
      </c>
      <c r="AT582" s="90" t="n">
        <f aca="false">IFERROR(IF(AND(Y582=1,ROW()&lt;&gt;스왑분석!$C$12+1,ABS(K582-INDEX($K$2:$K$601,스왑분석!$C$12))&lt;=스왑분석!$C$5,ISERROR(SEARCH("FRN",AP582)),ISERROR(SEARCH("BBB0미만",AP582))),IF(AND(OR(스왑분석!$C$6="N",L582=INDEX($L$2:$L$601,스왑분석!$C$12)),OR(스왑분석!$C$7="N",N582=INDEX($N$2:$N$601,스왑분석!$C$12)),OR(스왑분석!$C$8="N",AO582=0),E582-INDEX($E$2:$E$601,스왑분석!$C$12)&gt;=스왑분석!$C$9),E582-INDEX($E$2:$E$601,스왑분석!$C$12)+ROW()/1000000000,-999),-999),-999)</f>
        <v>-999</v>
      </c>
      <c r="AU582" s="90" t="n">
        <f aca="false">IF(AND(Y582=1,AO582&gt;0,AL582="Rich"),-AK582+ROW()/1000000000,-999)</f>
        <v>-999</v>
      </c>
    </row>
    <row r="583" customFormat="false" ht="15" hidden="false" customHeight="false" outlineLevel="0" collapsed="false">
      <c r="A583" s="83" t="n">
        <f aca="false">IFERROR(IF(INDEX(원자료_시장!$A$1:$BZ$1000,설정!$L$6+ROW()-1,설정!$L$24)&amp;""="0","",INDEX(원자료_시장!$A$1:$BZ$1000,설정!$L$6+ROW()-1,설정!$L$24)),"")</f>
        <v>0</v>
      </c>
      <c r="B583" s="83" t="n">
        <f aca="false">IFERROR(IF(INDEX(원자료_시장!$A$1:$BZ$1000,설정!$L$6+ROW()-1,설정!$L$37)&amp;""="0","",INDEX(원자료_시장!$A$1:$BZ$1000,설정!$L$6+ROW()-1,설정!$L$37)),"")</f>
        <v>0</v>
      </c>
      <c r="C583" s="83" t="n">
        <f aca="false">IFERROR(IF(INDEX(원자료_시장!$A$1:$BZ$1000,설정!$L$6+ROW()-1,설정!$L$25)&amp;""="0","",INDEX(원자료_시장!$A$1:$BZ$1000,설정!$L$6+ROW()-1,설정!$L$25)),"")</f>
        <v>0</v>
      </c>
      <c r="D583" s="85" t="str">
        <f aca="false">IFERROR(IF(ISNUMBER(INDEX(원자료_시장!$A$1:$BZ$1000,설정!$L$6+ROW()-1,설정!$L$26)),INDEX(원자료_시장!$A$1:$BZ$1000,설정!$L$6+ROW()-1,설정!$L$26),""),"")</f>
        <v/>
      </c>
      <c r="E583" s="97" t="str">
        <f aca="false">IFERROR(IF(ISNUMBER(INDEX(원자료_시장!$A$1:$BZ$1000,설정!$L$6+ROW()-1,설정!$L$27)),INDEX(원자료_시장!$A$1:$BZ$1000,설정!$L$6+ROW()-1,설정!$L$27),""),"")</f>
        <v/>
      </c>
      <c r="F583" s="97" t="str">
        <f aca="false">IFERROR(IF(ISNUMBER(INDEX(원자료_시장!$A$1:$BZ$1000,설정!$L$6+ROW()-1,설정!$L$28)),INDEX(원자료_시장!$A$1:$BZ$1000,설정!$L$6+ROW()-1,설정!$L$28),""),"")</f>
        <v/>
      </c>
      <c r="G583" s="97" t="str">
        <f aca="false">IFERROR(IF(ISNUMBER(INDEX(원자료_시장!$A$1:$BZ$1000,설정!$L$6+ROW()-1,설정!$L$29)),INDEX(원자료_시장!$A$1:$BZ$1000,설정!$L$6+ROW()-1,설정!$L$29),""),"")</f>
        <v/>
      </c>
      <c r="H583" s="97" t="str">
        <f aca="false">IFERROR(IF(ISNUMBER(INDEX(원자료_시장!$A$1:$BZ$1000,설정!$L$6+ROW()-1,설정!$L$30)),INDEX(원자료_시장!$A$1:$BZ$1000,설정!$L$6+ROW()-1,설정!$L$30),""),"")</f>
        <v/>
      </c>
      <c r="I583" s="97" t="str">
        <f aca="false">IFERROR(IF(ISNUMBER(INDEX(원자료_시장!$A$1:$BZ$1000,설정!$L$6+ROW()-1,설정!$L$31)),INDEX(원자료_시장!$A$1:$BZ$1000,설정!$L$6+ROW()-1,설정!$L$31),""),"")</f>
        <v/>
      </c>
      <c r="J583" s="97" t="str">
        <f aca="false">IFERROR(IF(ISNUMBER(INDEX(원자료_시장!$A$1:$BZ$1000,설정!$L$6+ROW()-1,설정!$L$32)),INDEX(원자료_시장!$A$1:$BZ$1000,설정!$L$6+ROW()-1,설정!$L$32),""),"")</f>
        <v/>
      </c>
      <c r="K583" s="85" t="str">
        <f aca="false">IFERROR(IF(ISNUMBER(INDEX(원자료_시장!$A$1:$BZ$1000,설정!$L$6+ROW()-1,설정!$L$33)),INDEX(원자료_시장!$A$1:$BZ$1000,설정!$L$6+ROW()-1,설정!$L$33),""),"")</f>
        <v/>
      </c>
      <c r="L583" s="83" t="n">
        <f aca="false">IFERROR(IF(INDEX(원자료_시장!$A$1:$BZ$1000,설정!$L$6+ROW()-1,설정!$L$34)&amp;""="0","",INDEX(원자료_시장!$A$1:$BZ$1000,설정!$L$6+ROW()-1,설정!$L$34)),"")</f>
        <v>0</v>
      </c>
      <c r="M583" s="83" t="n">
        <f aca="false">IFERROR(IF(INDEX(원자료_시장!$A$1:$BZ$1000,설정!$L$6+ROW()-1,설정!$L$35)&amp;""="0","",INDEX(원자료_시장!$A$1:$BZ$1000,설정!$L$6+ROW()-1,설정!$L$35)),"")</f>
        <v>0</v>
      </c>
      <c r="N583" s="83" t="n">
        <f aca="false">IFERROR(IF(INDEX(원자료_시장!$A$1:$BZ$1000,설정!$L$6+ROW()-1,설정!$L$36)&amp;""="0","",INDEX(원자료_시장!$A$1:$BZ$1000,설정!$L$6+ROW()-1,설정!$L$36)),"")</f>
        <v>0</v>
      </c>
      <c r="O583" s="43" t="str">
        <f aca="false">IF($A583="","",UPPER(LEFT($A583,FIND(" ",$A583&amp;" ")-1)))</f>
        <v/>
      </c>
      <c r="P583" s="43" t="str">
        <f aca="false">IF($A583="","",TRIM(RIGHT(SUBSTITUTE(TRIM($A583)," ",REPT(" ",30)),30)))</f>
        <v/>
      </c>
      <c r="Q583" s="98" t="str">
        <f aca="false">IF($A583="","",IFERROR(DATE(IF(LEN(P583)=8,2000+VALUE(RIGHT(P583,2)),VALUE(RIGHT(P583,4))),VALUE(LEFT(P583,2)),VALUE(MID(P583,4,2))),""))</f>
        <v/>
      </c>
      <c r="R583" s="89" t="n">
        <f aca="false">IF($A583="",0,IF(ISNUMBER(SEARCH("Float",$A583)),1,0))</f>
        <v>0</v>
      </c>
      <c r="S583" s="43" t="str">
        <f aca="false">IF($A583="","",TRIM(MID($A583,LEN(O583)+2,LEN($A583)-LEN(O583)-LEN(P583)-1)))</f>
        <v/>
      </c>
      <c r="T583" s="92" t="str">
        <f aca="false">IF(OR($A583="",R583=1),"",IFERROR(IF(ISNUMBER(FIND("/",S583)),IF(ISNUMBER(FIND(" ",S583)),VALUE(LEFT(S583,FIND(" ",S583)-1))+VALUE(MID(S583,FIND(" ",S583)+1,FIND("/",S583)-FIND(" ",S583)-1))/VALUE(MID(S583,FIND("/",S583)+1,9)),VALUE(LEFT(S583,FIND("/",S583)-1))/VALUE(MID(S583,FIND("/",S583)+1,9))),VALUE(S583)),""))</f>
        <v/>
      </c>
      <c r="U583" s="43" t="str">
        <f aca="false">IF(OR($A583="",NOT(ISNUMBER(Q583))),"",TEXT(Q583,"yyyymmdd")&amp;"|"&amp;IF(R583=1,"F",TEXT(T583,"0.000")))</f>
        <v/>
      </c>
      <c r="V583" s="43" t="str">
        <f aca="false">IF(U583="","",O583&amp;"|"&amp;U583)</f>
        <v/>
      </c>
      <c r="W583" s="43" t="str">
        <f aca="false">IF($A583="","",IFERROR(IF(VLOOKUP(O583,매핑!$A$4:$E$92,3,0)="","미분류",VLOOKUP(O583,매핑!$A$4:$E$92,3,0)),"미분류"))</f>
        <v/>
      </c>
      <c r="X583" s="89" t="n">
        <f aca="false">IF($A583="",0,IF(O583="T",1,0))</f>
        <v>0</v>
      </c>
      <c r="Y583" s="89" t="n">
        <f aca="false">IF($A583="",0,IF(AND(C583="USD",X583=0,ISNUMBER(E583),ISNUMBER(K583)),IF(K583&gt;=설정!$C$8,1,0),0))</f>
        <v>0</v>
      </c>
      <c r="Z583" s="43" t="str">
        <f aca="false">IF($A583="","",N583&amp;"|"&amp;L583)</f>
        <v/>
      </c>
      <c r="AA583" s="92" t="n">
        <f aca="false">IF(Y583=1,LN(K583),0)</f>
        <v>0</v>
      </c>
      <c r="AB583" s="93" t="n">
        <f aca="false">IF(Y583=1,E583,0)</f>
        <v>0</v>
      </c>
      <c r="AC583" s="89" t="n">
        <f aca="false">IF(Y583=1,COUNTIFS($Z$2:$Z$601,Z583,$Y$2:$Y$601,1),0)</f>
        <v>0</v>
      </c>
      <c r="AD583" s="89" t="n">
        <f aca="false">IF(Y583=1,COUNTIFS($N$2:$N$601,N583,$Y$2:$Y$601,1),0)</f>
        <v>0</v>
      </c>
      <c r="AE583" s="43" t="str">
        <f aca="false">IF(Y583&lt;&gt;1,"",IF(AND(AC583&gt;=설정!$C$7,ISNUMBER(MATCH(Z583,피어커브!$A:$A,0))),Z583,IF(AND(AD583&gt;=설정!$C$7,ISNUMBER(MATCH(N583&amp;"|전체",피어커브!$A:$A,0))),N583&amp;"|전체","전체|전체")))</f>
        <v/>
      </c>
      <c r="AF583" s="93" t="str">
        <f aca="false">IF(AE583="","",INDEX(피어커브!$K:$K,MATCH(AE583,피어커브!$A:$A,0)))</f>
        <v/>
      </c>
      <c r="AG583" s="93" t="str">
        <f aca="false">IF(AE583="","",INDEX(피어커브!$J:$J,MATCH(AE583,피어커브!$A:$A,0)))</f>
        <v/>
      </c>
      <c r="AH583" s="93" t="str">
        <f aca="false">IF(AE583="","",INDEX(피어커브!$L:$L,MATCH(AE583,피어커브!$A:$A,0)))</f>
        <v/>
      </c>
      <c r="AI583" s="93" t="str">
        <f aca="false">IF(AE583="","",AF583+AG583*AA583)</f>
        <v/>
      </c>
      <c r="AJ583" s="96" t="str">
        <f aca="false">IF(AE583="","",E583-AI583)</f>
        <v/>
      </c>
      <c r="AK583" s="95" t="str">
        <f aca="false">IF(AE583="","",IF(ISNUMBER(AH583),IF(AH583&gt;0,AJ583/AH583,""),""))</f>
        <v/>
      </c>
      <c r="AL583" s="43" t="str">
        <f aca="false">IF(AK583="","-",IF(AK583&gt;=설정!$C$6,"Cheap",IF(AK583&lt;=-설정!$C$6,"Rich","Fair")))</f>
        <v>-</v>
      </c>
      <c r="AM583" s="96" t="str">
        <f aca="false">IF(AE583="","",AJ583-AVERAGEIFS($AJ$2:$AJ$601,$B$2:$B$601,B583,$Y$2:$Y$601,1))</f>
        <v/>
      </c>
      <c r="AN583" s="93" t="n">
        <f aca="false">IF(AE583="",0,IF(K583&gt;1+설정!$C$8,AG583*(AA583-LN(K583-1)),0))</f>
        <v>0</v>
      </c>
      <c r="AO583" s="99" t="n">
        <f aca="false">IF($A583="",0,SUMIFS(보유분석!$AA$2:$AA$801,보유분석!$AB$2:$AB$801,ROW(),보유분석!$AC$2:$AC$801,1))</f>
        <v>0</v>
      </c>
      <c r="AP583" s="43" t="str">
        <f aca="false">IF($A583="","",TRIM(IF(R583=1,"FRN ","")&amp;IF(IFERROR(VLOOKUP(M583,설정!$A$15:$D$47,4,0),0)&gt;=10,IF(IFERROR(VLOOKUP(M583,설정!$A$15:$D$47,4,0),0)&lt;99,"BBB0미만 ",""),"")&amp;IF(OR(M583="",M583="NR"),"등급미입력 ","")&amp;IF(C583&lt;&gt;"USD","비USD ","")))</f>
        <v/>
      </c>
      <c r="AQ583" s="90" t="n">
        <f aca="false">IF(AND(Y583=1,AL583="Cheap"),IF(AND(ISERROR(SEARCH("FRN",AP583)),ISERROR(SEARCH("BBB0미만",AP583))),AK583+ROW()/1000000000,-999),-999)</f>
        <v>-999</v>
      </c>
      <c r="AR583" s="92" t="str">
        <f aca="false">IF(AND(ISNUMBER(D583),ISNUMBER(K583)),D583+AN583*MAX(K583-1,0)/100,"")</f>
        <v/>
      </c>
      <c r="AS583" s="93" t="str">
        <f aca="false">IF(AND(ISNUMBER(E583),ISNUMBER(K583)),IF(K583&gt;0,(E583+AN583*MAX(K583-1,0))/K583,""),"")</f>
        <v/>
      </c>
      <c r="AT583" s="90" t="n">
        <f aca="false">IFERROR(IF(AND(Y583=1,ROW()&lt;&gt;스왑분석!$C$12+1,ABS(K583-INDEX($K$2:$K$601,스왑분석!$C$12))&lt;=스왑분석!$C$5,ISERROR(SEARCH("FRN",AP583)),ISERROR(SEARCH("BBB0미만",AP583))),IF(AND(OR(스왑분석!$C$6="N",L583=INDEX($L$2:$L$601,스왑분석!$C$12)),OR(스왑분석!$C$7="N",N583=INDEX($N$2:$N$601,스왑분석!$C$12)),OR(스왑분석!$C$8="N",AO583=0),E583-INDEX($E$2:$E$601,스왑분석!$C$12)&gt;=스왑분석!$C$9),E583-INDEX($E$2:$E$601,스왑분석!$C$12)+ROW()/1000000000,-999),-999),-999)</f>
        <v>-999</v>
      </c>
      <c r="AU583" s="90" t="n">
        <f aca="false">IF(AND(Y583=1,AO583&gt;0,AL583="Rich"),-AK583+ROW()/1000000000,-999)</f>
        <v>-999</v>
      </c>
    </row>
    <row r="584" customFormat="false" ht="15" hidden="false" customHeight="false" outlineLevel="0" collapsed="false">
      <c r="A584" s="83" t="n">
        <f aca="false">IFERROR(IF(INDEX(원자료_시장!$A$1:$BZ$1000,설정!$L$6+ROW()-1,설정!$L$24)&amp;""="0","",INDEX(원자료_시장!$A$1:$BZ$1000,설정!$L$6+ROW()-1,설정!$L$24)),"")</f>
        <v>0</v>
      </c>
      <c r="B584" s="83" t="n">
        <f aca="false">IFERROR(IF(INDEX(원자료_시장!$A$1:$BZ$1000,설정!$L$6+ROW()-1,설정!$L$37)&amp;""="0","",INDEX(원자료_시장!$A$1:$BZ$1000,설정!$L$6+ROW()-1,설정!$L$37)),"")</f>
        <v>0</v>
      </c>
      <c r="C584" s="83" t="n">
        <f aca="false">IFERROR(IF(INDEX(원자료_시장!$A$1:$BZ$1000,설정!$L$6+ROW()-1,설정!$L$25)&amp;""="0","",INDEX(원자료_시장!$A$1:$BZ$1000,설정!$L$6+ROW()-1,설정!$L$25)),"")</f>
        <v>0</v>
      </c>
      <c r="D584" s="85" t="str">
        <f aca="false">IFERROR(IF(ISNUMBER(INDEX(원자료_시장!$A$1:$BZ$1000,설정!$L$6+ROW()-1,설정!$L$26)),INDEX(원자료_시장!$A$1:$BZ$1000,설정!$L$6+ROW()-1,설정!$L$26),""),"")</f>
        <v/>
      </c>
      <c r="E584" s="97" t="str">
        <f aca="false">IFERROR(IF(ISNUMBER(INDEX(원자료_시장!$A$1:$BZ$1000,설정!$L$6+ROW()-1,설정!$L$27)),INDEX(원자료_시장!$A$1:$BZ$1000,설정!$L$6+ROW()-1,설정!$L$27),""),"")</f>
        <v/>
      </c>
      <c r="F584" s="97" t="str">
        <f aca="false">IFERROR(IF(ISNUMBER(INDEX(원자료_시장!$A$1:$BZ$1000,설정!$L$6+ROW()-1,설정!$L$28)),INDEX(원자료_시장!$A$1:$BZ$1000,설정!$L$6+ROW()-1,설정!$L$28),""),"")</f>
        <v/>
      </c>
      <c r="G584" s="97" t="str">
        <f aca="false">IFERROR(IF(ISNUMBER(INDEX(원자료_시장!$A$1:$BZ$1000,설정!$L$6+ROW()-1,설정!$L$29)),INDEX(원자료_시장!$A$1:$BZ$1000,설정!$L$6+ROW()-1,설정!$L$29),""),"")</f>
        <v/>
      </c>
      <c r="H584" s="97" t="str">
        <f aca="false">IFERROR(IF(ISNUMBER(INDEX(원자료_시장!$A$1:$BZ$1000,설정!$L$6+ROW()-1,설정!$L$30)),INDEX(원자료_시장!$A$1:$BZ$1000,설정!$L$6+ROW()-1,설정!$L$30),""),"")</f>
        <v/>
      </c>
      <c r="I584" s="97" t="str">
        <f aca="false">IFERROR(IF(ISNUMBER(INDEX(원자료_시장!$A$1:$BZ$1000,설정!$L$6+ROW()-1,설정!$L$31)),INDEX(원자료_시장!$A$1:$BZ$1000,설정!$L$6+ROW()-1,설정!$L$31),""),"")</f>
        <v/>
      </c>
      <c r="J584" s="97" t="str">
        <f aca="false">IFERROR(IF(ISNUMBER(INDEX(원자료_시장!$A$1:$BZ$1000,설정!$L$6+ROW()-1,설정!$L$32)),INDEX(원자료_시장!$A$1:$BZ$1000,설정!$L$6+ROW()-1,설정!$L$32),""),"")</f>
        <v/>
      </c>
      <c r="K584" s="85" t="str">
        <f aca="false">IFERROR(IF(ISNUMBER(INDEX(원자료_시장!$A$1:$BZ$1000,설정!$L$6+ROW()-1,설정!$L$33)),INDEX(원자료_시장!$A$1:$BZ$1000,설정!$L$6+ROW()-1,설정!$L$33),""),"")</f>
        <v/>
      </c>
      <c r="L584" s="83" t="n">
        <f aca="false">IFERROR(IF(INDEX(원자료_시장!$A$1:$BZ$1000,설정!$L$6+ROW()-1,설정!$L$34)&amp;""="0","",INDEX(원자료_시장!$A$1:$BZ$1000,설정!$L$6+ROW()-1,설정!$L$34)),"")</f>
        <v>0</v>
      </c>
      <c r="M584" s="83" t="n">
        <f aca="false">IFERROR(IF(INDEX(원자료_시장!$A$1:$BZ$1000,설정!$L$6+ROW()-1,설정!$L$35)&amp;""="0","",INDEX(원자료_시장!$A$1:$BZ$1000,설정!$L$6+ROW()-1,설정!$L$35)),"")</f>
        <v>0</v>
      </c>
      <c r="N584" s="83" t="n">
        <f aca="false">IFERROR(IF(INDEX(원자료_시장!$A$1:$BZ$1000,설정!$L$6+ROW()-1,설정!$L$36)&amp;""="0","",INDEX(원자료_시장!$A$1:$BZ$1000,설정!$L$6+ROW()-1,설정!$L$36)),"")</f>
        <v>0</v>
      </c>
      <c r="O584" s="43" t="str">
        <f aca="false">IF($A584="","",UPPER(LEFT($A584,FIND(" ",$A584&amp;" ")-1)))</f>
        <v/>
      </c>
      <c r="P584" s="43" t="str">
        <f aca="false">IF($A584="","",TRIM(RIGHT(SUBSTITUTE(TRIM($A584)," ",REPT(" ",30)),30)))</f>
        <v/>
      </c>
      <c r="Q584" s="98" t="str">
        <f aca="false">IF($A584="","",IFERROR(DATE(IF(LEN(P584)=8,2000+VALUE(RIGHT(P584,2)),VALUE(RIGHT(P584,4))),VALUE(LEFT(P584,2)),VALUE(MID(P584,4,2))),""))</f>
        <v/>
      </c>
      <c r="R584" s="89" t="n">
        <f aca="false">IF($A584="",0,IF(ISNUMBER(SEARCH("Float",$A584)),1,0))</f>
        <v>0</v>
      </c>
      <c r="S584" s="43" t="str">
        <f aca="false">IF($A584="","",TRIM(MID($A584,LEN(O584)+2,LEN($A584)-LEN(O584)-LEN(P584)-1)))</f>
        <v/>
      </c>
      <c r="T584" s="92" t="str">
        <f aca="false">IF(OR($A584="",R584=1),"",IFERROR(IF(ISNUMBER(FIND("/",S584)),IF(ISNUMBER(FIND(" ",S584)),VALUE(LEFT(S584,FIND(" ",S584)-1))+VALUE(MID(S584,FIND(" ",S584)+1,FIND("/",S584)-FIND(" ",S584)-1))/VALUE(MID(S584,FIND("/",S584)+1,9)),VALUE(LEFT(S584,FIND("/",S584)-1))/VALUE(MID(S584,FIND("/",S584)+1,9))),VALUE(S584)),""))</f>
        <v/>
      </c>
      <c r="U584" s="43" t="str">
        <f aca="false">IF(OR($A584="",NOT(ISNUMBER(Q584))),"",TEXT(Q584,"yyyymmdd")&amp;"|"&amp;IF(R584=1,"F",TEXT(T584,"0.000")))</f>
        <v/>
      </c>
      <c r="V584" s="43" t="str">
        <f aca="false">IF(U584="","",O584&amp;"|"&amp;U584)</f>
        <v/>
      </c>
      <c r="W584" s="43" t="str">
        <f aca="false">IF($A584="","",IFERROR(IF(VLOOKUP(O584,매핑!$A$4:$E$92,3,0)="","미분류",VLOOKUP(O584,매핑!$A$4:$E$92,3,0)),"미분류"))</f>
        <v/>
      </c>
      <c r="X584" s="89" t="n">
        <f aca="false">IF($A584="",0,IF(O584="T",1,0))</f>
        <v>0</v>
      </c>
      <c r="Y584" s="89" t="n">
        <f aca="false">IF($A584="",0,IF(AND(C584="USD",X584=0,ISNUMBER(E584),ISNUMBER(K584)),IF(K584&gt;=설정!$C$8,1,0),0))</f>
        <v>0</v>
      </c>
      <c r="Z584" s="43" t="str">
        <f aca="false">IF($A584="","",N584&amp;"|"&amp;L584)</f>
        <v/>
      </c>
      <c r="AA584" s="92" t="n">
        <f aca="false">IF(Y584=1,LN(K584),0)</f>
        <v>0</v>
      </c>
      <c r="AB584" s="93" t="n">
        <f aca="false">IF(Y584=1,E584,0)</f>
        <v>0</v>
      </c>
      <c r="AC584" s="89" t="n">
        <f aca="false">IF(Y584=1,COUNTIFS($Z$2:$Z$601,Z584,$Y$2:$Y$601,1),0)</f>
        <v>0</v>
      </c>
      <c r="AD584" s="89" t="n">
        <f aca="false">IF(Y584=1,COUNTIFS($N$2:$N$601,N584,$Y$2:$Y$601,1),0)</f>
        <v>0</v>
      </c>
      <c r="AE584" s="43" t="str">
        <f aca="false">IF(Y584&lt;&gt;1,"",IF(AND(AC584&gt;=설정!$C$7,ISNUMBER(MATCH(Z584,피어커브!$A:$A,0))),Z584,IF(AND(AD584&gt;=설정!$C$7,ISNUMBER(MATCH(N584&amp;"|전체",피어커브!$A:$A,0))),N584&amp;"|전체","전체|전체")))</f>
        <v/>
      </c>
      <c r="AF584" s="93" t="str">
        <f aca="false">IF(AE584="","",INDEX(피어커브!$K:$K,MATCH(AE584,피어커브!$A:$A,0)))</f>
        <v/>
      </c>
      <c r="AG584" s="93" t="str">
        <f aca="false">IF(AE584="","",INDEX(피어커브!$J:$J,MATCH(AE584,피어커브!$A:$A,0)))</f>
        <v/>
      </c>
      <c r="AH584" s="93" t="str">
        <f aca="false">IF(AE584="","",INDEX(피어커브!$L:$L,MATCH(AE584,피어커브!$A:$A,0)))</f>
        <v/>
      </c>
      <c r="AI584" s="93" t="str">
        <f aca="false">IF(AE584="","",AF584+AG584*AA584)</f>
        <v/>
      </c>
      <c r="AJ584" s="96" t="str">
        <f aca="false">IF(AE584="","",E584-AI584)</f>
        <v/>
      </c>
      <c r="AK584" s="95" t="str">
        <f aca="false">IF(AE584="","",IF(ISNUMBER(AH584),IF(AH584&gt;0,AJ584/AH584,""),""))</f>
        <v/>
      </c>
      <c r="AL584" s="43" t="str">
        <f aca="false">IF(AK584="","-",IF(AK584&gt;=설정!$C$6,"Cheap",IF(AK584&lt;=-설정!$C$6,"Rich","Fair")))</f>
        <v>-</v>
      </c>
      <c r="AM584" s="96" t="str">
        <f aca="false">IF(AE584="","",AJ584-AVERAGEIFS($AJ$2:$AJ$601,$B$2:$B$601,B584,$Y$2:$Y$601,1))</f>
        <v/>
      </c>
      <c r="AN584" s="93" t="n">
        <f aca="false">IF(AE584="",0,IF(K584&gt;1+설정!$C$8,AG584*(AA584-LN(K584-1)),0))</f>
        <v>0</v>
      </c>
      <c r="AO584" s="99" t="n">
        <f aca="false">IF($A584="",0,SUMIFS(보유분석!$AA$2:$AA$801,보유분석!$AB$2:$AB$801,ROW(),보유분석!$AC$2:$AC$801,1))</f>
        <v>0</v>
      </c>
      <c r="AP584" s="43" t="str">
        <f aca="false">IF($A584="","",TRIM(IF(R584=1,"FRN ","")&amp;IF(IFERROR(VLOOKUP(M584,설정!$A$15:$D$47,4,0),0)&gt;=10,IF(IFERROR(VLOOKUP(M584,설정!$A$15:$D$47,4,0),0)&lt;99,"BBB0미만 ",""),"")&amp;IF(OR(M584="",M584="NR"),"등급미입력 ","")&amp;IF(C584&lt;&gt;"USD","비USD ","")))</f>
        <v/>
      </c>
      <c r="AQ584" s="90" t="n">
        <f aca="false">IF(AND(Y584=1,AL584="Cheap"),IF(AND(ISERROR(SEARCH("FRN",AP584)),ISERROR(SEARCH("BBB0미만",AP584))),AK584+ROW()/1000000000,-999),-999)</f>
        <v>-999</v>
      </c>
      <c r="AR584" s="92" t="str">
        <f aca="false">IF(AND(ISNUMBER(D584),ISNUMBER(K584)),D584+AN584*MAX(K584-1,0)/100,"")</f>
        <v/>
      </c>
      <c r="AS584" s="93" t="str">
        <f aca="false">IF(AND(ISNUMBER(E584),ISNUMBER(K584)),IF(K584&gt;0,(E584+AN584*MAX(K584-1,0))/K584,""),"")</f>
        <v/>
      </c>
      <c r="AT584" s="90" t="n">
        <f aca="false">IFERROR(IF(AND(Y584=1,ROW()&lt;&gt;스왑분석!$C$12+1,ABS(K584-INDEX($K$2:$K$601,스왑분석!$C$12))&lt;=스왑분석!$C$5,ISERROR(SEARCH("FRN",AP584)),ISERROR(SEARCH("BBB0미만",AP584))),IF(AND(OR(스왑분석!$C$6="N",L584=INDEX($L$2:$L$601,스왑분석!$C$12)),OR(스왑분석!$C$7="N",N584=INDEX($N$2:$N$601,스왑분석!$C$12)),OR(스왑분석!$C$8="N",AO584=0),E584-INDEX($E$2:$E$601,스왑분석!$C$12)&gt;=스왑분석!$C$9),E584-INDEX($E$2:$E$601,스왑분석!$C$12)+ROW()/1000000000,-999),-999),-999)</f>
        <v>-999</v>
      </c>
      <c r="AU584" s="90" t="n">
        <f aca="false">IF(AND(Y584=1,AO584&gt;0,AL584="Rich"),-AK584+ROW()/1000000000,-999)</f>
        <v>-999</v>
      </c>
    </row>
    <row r="585" customFormat="false" ht="15" hidden="false" customHeight="false" outlineLevel="0" collapsed="false">
      <c r="A585" s="83" t="n">
        <f aca="false">IFERROR(IF(INDEX(원자료_시장!$A$1:$BZ$1000,설정!$L$6+ROW()-1,설정!$L$24)&amp;""="0","",INDEX(원자료_시장!$A$1:$BZ$1000,설정!$L$6+ROW()-1,설정!$L$24)),"")</f>
        <v>0</v>
      </c>
      <c r="B585" s="83" t="n">
        <f aca="false">IFERROR(IF(INDEX(원자료_시장!$A$1:$BZ$1000,설정!$L$6+ROW()-1,설정!$L$37)&amp;""="0","",INDEX(원자료_시장!$A$1:$BZ$1000,설정!$L$6+ROW()-1,설정!$L$37)),"")</f>
        <v>0</v>
      </c>
      <c r="C585" s="83" t="n">
        <f aca="false">IFERROR(IF(INDEX(원자료_시장!$A$1:$BZ$1000,설정!$L$6+ROW()-1,설정!$L$25)&amp;""="0","",INDEX(원자료_시장!$A$1:$BZ$1000,설정!$L$6+ROW()-1,설정!$L$25)),"")</f>
        <v>0</v>
      </c>
      <c r="D585" s="85" t="str">
        <f aca="false">IFERROR(IF(ISNUMBER(INDEX(원자료_시장!$A$1:$BZ$1000,설정!$L$6+ROW()-1,설정!$L$26)),INDEX(원자료_시장!$A$1:$BZ$1000,설정!$L$6+ROW()-1,설정!$L$26),""),"")</f>
        <v/>
      </c>
      <c r="E585" s="97" t="str">
        <f aca="false">IFERROR(IF(ISNUMBER(INDEX(원자료_시장!$A$1:$BZ$1000,설정!$L$6+ROW()-1,설정!$L$27)),INDEX(원자료_시장!$A$1:$BZ$1000,설정!$L$6+ROW()-1,설정!$L$27),""),"")</f>
        <v/>
      </c>
      <c r="F585" s="97" t="str">
        <f aca="false">IFERROR(IF(ISNUMBER(INDEX(원자료_시장!$A$1:$BZ$1000,설정!$L$6+ROW()-1,설정!$L$28)),INDEX(원자료_시장!$A$1:$BZ$1000,설정!$L$6+ROW()-1,설정!$L$28),""),"")</f>
        <v/>
      </c>
      <c r="G585" s="97" t="str">
        <f aca="false">IFERROR(IF(ISNUMBER(INDEX(원자료_시장!$A$1:$BZ$1000,설정!$L$6+ROW()-1,설정!$L$29)),INDEX(원자료_시장!$A$1:$BZ$1000,설정!$L$6+ROW()-1,설정!$L$29),""),"")</f>
        <v/>
      </c>
      <c r="H585" s="97" t="str">
        <f aca="false">IFERROR(IF(ISNUMBER(INDEX(원자료_시장!$A$1:$BZ$1000,설정!$L$6+ROW()-1,설정!$L$30)),INDEX(원자료_시장!$A$1:$BZ$1000,설정!$L$6+ROW()-1,설정!$L$30),""),"")</f>
        <v/>
      </c>
      <c r="I585" s="97" t="str">
        <f aca="false">IFERROR(IF(ISNUMBER(INDEX(원자료_시장!$A$1:$BZ$1000,설정!$L$6+ROW()-1,설정!$L$31)),INDEX(원자료_시장!$A$1:$BZ$1000,설정!$L$6+ROW()-1,설정!$L$31),""),"")</f>
        <v/>
      </c>
      <c r="J585" s="97" t="str">
        <f aca="false">IFERROR(IF(ISNUMBER(INDEX(원자료_시장!$A$1:$BZ$1000,설정!$L$6+ROW()-1,설정!$L$32)),INDEX(원자료_시장!$A$1:$BZ$1000,설정!$L$6+ROW()-1,설정!$L$32),""),"")</f>
        <v/>
      </c>
      <c r="K585" s="85" t="str">
        <f aca="false">IFERROR(IF(ISNUMBER(INDEX(원자료_시장!$A$1:$BZ$1000,설정!$L$6+ROW()-1,설정!$L$33)),INDEX(원자료_시장!$A$1:$BZ$1000,설정!$L$6+ROW()-1,설정!$L$33),""),"")</f>
        <v/>
      </c>
      <c r="L585" s="83" t="n">
        <f aca="false">IFERROR(IF(INDEX(원자료_시장!$A$1:$BZ$1000,설정!$L$6+ROW()-1,설정!$L$34)&amp;""="0","",INDEX(원자료_시장!$A$1:$BZ$1000,설정!$L$6+ROW()-1,설정!$L$34)),"")</f>
        <v>0</v>
      </c>
      <c r="M585" s="83" t="n">
        <f aca="false">IFERROR(IF(INDEX(원자료_시장!$A$1:$BZ$1000,설정!$L$6+ROW()-1,설정!$L$35)&amp;""="0","",INDEX(원자료_시장!$A$1:$BZ$1000,설정!$L$6+ROW()-1,설정!$L$35)),"")</f>
        <v>0</v>
      </c>
      <c r="N585" s="83" t="n">
        <f aca="false">IFERROR(IF(INDEX(원자료_시장!$A$1:$BZ$1000,설정!$L$6+ROW()-1,설정!$L$36)&amp;""="0","",INDEX(원자료_시장!$A$1:$BZ$1000,설정!$L$6+ROW()-1,설정!$L$36)),"")</f>
        <v>0</v>
      </c>
      <c r="O585" s="43" t="str">
        <f aca="false">IF($A585="","",UPPER(LEFT($A585,FIND(" ",$A585&amp;" ")-1)))</f>
        <v/>
      </c>
      <c r="P585" s="43" t="str">
        <f aca="false">IF($A585="","",TRIM(RIGHT(SUBSTITUTE(TRIM($A585)," ",REPT(" ",30)),30)))</f>
        <v/>
      </c>
      <c r="Q585" s="98" t="str">
        <f aca="false">IF($A585="","",IFERROR(DATE(IF(LEN(P585)=8,2000+VALUE(RIGHT(P585,2)),VALUE(RIGHT(P585,4))),VALUE(LEFT(P585,2)),VALUE(MID(P585,4,2))),""))</f>
        <v/>
      </c>
      <c r="R585" s="89" t="n">
        <f aca="false">IF($A585="",0,IF(ISNUMBER(SEARCH("Float",$A585)),1,0))</f>
        <v>0</v>
      </c>
      <c r="S585" s="43" t="str">
        <f aca="false">IF($A585="","",TRIM(MID($A585,LEN(O585)+2,LEN($A585)-LEN(O585)-LEN(P585)-1)))</f>
        <v/>
      </c>
      <c r="T585" s="92" t="str">
        <f aca="false">IF(OR($A585="",R585=1),"",IFERROR(IF(ISNUMBER(FIND("/",S585)),IF(ISNUMBER(FIND(" ",S585)),VALUE(LEFT(S585,FIND(" ",S585)-1))+VALUE(MID(S585,FIND(" ",S585)+1,FIND("/",S585)-FIND(" ",S585)-1))/VALUE(MID(S585,FIND("/",S585)+1,9)),VALUE(LEFT(S585,FIND("/",S585)-1))/VALUE(MID(S585,FIND("/",S585)+1,9))),VALUE(S585)),""))</f>
        <v/>
      </c>
      <c r="U585" s="43" t="str">
        <f aca="false">IF(OR($A585="",NOT(ISNUMBER(Q585))),"",TEXT(Q585,"yyyymmdd")&amp;"|"&amp;IF(R585=1,"F",TEXT(T585,"0.000")))</f>
        <v/>
      </c>
      <c r="V585" s="43" t="str">
        <f aca="false">IF(U585="","",O585&amp;"|"&amp;U585)</f>
        <v/>
      </c>
      <c r="W585" s="43" t="str">
        <f aca="false">IF($A585="","",IFERROR(IF(VLOOKUP(O585,매핑!$A$4:$E$92,3,0)="","미분류",VLOOKUP(O585,매핑!$A$4:$E$92,3,0)),"미분류"))</f>
        <v/>
      </c>
      <c r="X585" s="89" t="n">
        <f aca="false">IF($A585="",0,IF(O585="T",1,0))</f>
        <v>0</v>
      </c>
      <c r="Y585" s="89" t="n">
        <f aca="false">IF($A585="",0,IF(AND(C585="USD",X585=0,ISNUMBER(E585),ISNUMBER(K585)),IF(K585&gt;=설정!$C$8,1,0),0))</f>
        <v>0</v>
      </c>
      <c r="Z585" s="43" t="str">
        <f aca="false">IF($A585="","",N585&amp;"|"&amp;L585)</f>
        <v/>
      </c>
      <c r="AA585" s="92" t="n">
        <f aca="false">IF(Y585=1,LN(K585),0)</f>
        <v>0</v>
      </c>
      <c r="AB585" s="93" t="n">
        <f aca="false">IF(Y585=1,E585,0)</f>
        <v>0</v>
      </c>
      <c r="AC585" s="89" t="n">
        <f aca="false">IF(Y585=1,COUNTIFS($Z$2:$Z$601,Z585,$Y$2:$Y$601,1),0)</f>
        <v>0</v>
      </c>
      <c r="AD585" s="89" t="n">
        <f aca="false">IF(Y585=1,COUNTIFS($N$2:$N$601,N585,$Y$2:$Y$601,1),0)</f>
        <v>0</v>
      </c>
      <c r="AE585" s="43" t="str">
        <f aca="false">IF(Y585&lt;&gt;1,"",IF(AND(AC585&gt;=설정!$C$7,ISNUMBER(MATCH(Z585,피어커브!$A:$A,0))),Z585,IF(AND(AD585&gt;=설정!$C$7,ISNUMBER(MATCH(N585&amp;"|전체",피어커브!$A:$A,0))),N585&amp;"|전체","전체|전체")))</f>
        <v/>
      </c>
      <c r="AF585" s="93" t="str">
        <f aca="false">IF(AE585="","",INDEX(피어커브!$K:$K,MATCH(AE585,피어커브!$A:$A,0)))</f>
        <v/>
      </c>
      <c r="AG585" s="93" t="str">
        <f aca="false">IF(AE585="","",INDEX(피어커브!$J:$J,MATCH(AE585,피어커브!$A:$A,0)))</f>
        <v/>
      </c>
      <c r="AH585" s="93" t="str">
        <f aca="false">IF(AE585="","",INDEX(피어커브!$L:$L,MATCH(AE585,피어커브!$A:$A,0)))</f>
        <v/>
      </c>
      <c r="AI585" s="93" t="str">
        <f aca="false">IF(AE585="","",AF585+AG585*AA585)</f>
        <v/>
      </c>
      <c r="AJ585" s="96" t="str">
        <f aca="false">IF(AE585="","",E585-AI585)</f>
        <v/>
      </c>
      <c r="AK585" s="95" t="str">
        <f aca="false">IF(AE585="","",IF(ISNUMBER(AH585),IF(AH585&gt;0,AJ585/AH585,""),""))</f>
        <v/>
      </c>
      <c r="AL585" s="43" t="str">
        <f aca="false">IF(AK585="","-",IF(AK585&gt;=설정!$C$6,"Cheap",IF(AK585&lt;=-설정!$C$6,"Rich","Fair")))</f>
        <v>-</v>
      </c>
      <c r="AM585" s="96" t="str">
        <f aca="false">IF(AE585="","",AJ585-AVERAGEIFS($AJ$2:$AJ$601,$B$2:$B$601,B585,$Y$2:$Y$601,1))</f>
        <v/>
      </c>
      <c r="AN585" s="93" t="n">
        <f aca="false">IF(AE585="",0,IF(K585&gt;1+설정!$C$8,AG585*(AA585-LN(K585-1)),0))</f>
        <v>0</v>
      </c>
      <c r="AO585" s="99" t="n">
        <f aca="false">IF($A585="",0,SUMIFS(보유분석!$AA$2:$AA$801,보유분석!$AB$2:$AB$801,ROW(),보유분석!$AC$2:$AC$801,1))</f>
        <v>0</v>
      </c>
      <c r="AP585" s="43" t="str">
        <f aca="false">IF($A585="","",TRIM(IF(R585=1,"FRN ","")&amp;IF(IFERROR(VLOOKUP(M585,설정!$A$15:$D$47,4,0),0)&gt;=10,IF(IFERROR(VLOOKUP(M585,설정!$A$15:$D$47,4,0),0)&lt;99,"BBB0미만 ",""),"")&amp;IF(OR(M585="",M585="NR"),"등급미입력 ","")&amp;IF(C585&lt;&gt;"USD","비USD ","")))</f>
        <v/>
      </c>
      <c r="AQ585" s="90" t="n">
        <f aca="false">IF(AND(Y585=1,AL585="Cheap"),IF(AND(ISERROR(SEARCH("FRN",AP585)),ISERROR(SEARCH("BBB0미만",AP585))),AK585+ROW()/1000000000,-999),-999)</f>
        <v>-999</v>
      </c>
      <c r="AR585" s="92" t="str">
        <f aca="false">IF(AND(ISNUMBER(D585),ISNUMBER(K585)),D585+AN585*MAX(K585-1,0)/100,"")</f>
        <v/>
      </c>
      <c r="AS585" s="93" t="str">
        <f aca="false">IF(AND(ISNUMBER(E585),ISNUMBER(K585)),IF(K585&gt;0,(E585+AN585*MAX(K585-1,0))/K585,""),"")</f>
        <v/>
      </c>
      <c r="AT585" s="90" t="n">
        <f aca="false">IFERROR(IF(AND(Y585=1,ROW()&lt;&gt;스왑분석!$C$12+1,ABS(K585-INDEX($K$2:$K$601,스왑분석!$C$12))&lt;=스왑분석!$C$5,ISERROR(SEARCH("FRN",AP585)),ISERROR(SEARCH("BBB0미만",AP585))),IF(AND(OR(스왑분석!$C$6="N",L585=INDEX($L$2:$L$601,스왑분석!$C$12)),OR(스왑분석!$C$7="N",N585=INDEX($N$2:$N$601,스왑분석!$C$12)),OR(스왑분석!$C$8="N",AO585=0),E585-INDEX($E$2:$E$601,스왑분석!$C$12)&gt;=스왑분석!$C$9),E585-INDEX($E$2:$E$601,스왑분석!$C$12)+ROW()/1000000000,-999),-999),-999)</f>
        <v>-999</v>
      </c>
      <c r="AU585" s="90" t="n">
        <f aca="false">IF(AND(Y585=1,AO585&gt;0,AL585="Rich"),-AK585+ROW()/1000000000,-999)</f>
        <v>-999</v>
      </c>
    </row>
    <row r="586" customFormat="false" ht="15" hidden="false" customHeight="false" outlineLevel="0" collapsed="false">
      <c r="A586" s="83" t="n">
        <f aca="false">IFERROR(IF(INDEX(원자료_시장!$A$1:$BZ$1000,설정!$L$6+ROW()-1,설정!$L$24)&amp;""="0","",INDEX(원자료_시장!$A$1:$BZ$1000,설정!$L$6+ROW()-1,설정!$L$24)),"")</f>
        <v>0</v>
      </c>
      <c r="B586" s="83" t="n">
        <f aca="false">IFERROR(IF(INDEX(원자료_시장!$A$1:$BZ$1000,설정!$L$6+ROW()-1,설정!$L$37)&amp;""="0","",INDEX(원자료_시장!$A$1:$BZ$1000,설정!$L$6+ROW()-1,설정!$L$37)),"")</f>
        <v>0</v>
      </c>
      <c r="C586" s="83" t="n">
        <f aca="false">IFERROR(IF(INDEX(원자료_시장!$A$1:$BZ$1000,설정!$L$6+ROW()-1,설정!$L$25)&amp;""="0","",INDEX(원자료_시장!$A$1:$BZ$1000,설정!$L$6+ROW()-1,설정!$L$25)),"")</f>
        <v>0</v>
      </c>
      <c r="D586" s="85" t="str">
        <f aca="false">IFERROR(IF(ISNUMBER(INDEX(원자료_시장!$A$1:$BZ$1000,설정!$L$6+ROW()-1,설정!$L$26)),INDEX(원자료_시장!$A$1:$BZ$1000,설정!$L$6+ROW()-1,설정!$L$26),""),"")</f>
        <v/>
      </c>
      <c r="E586" s="97" t="str">
        <f aca="false">IFERROR(IF(ISNUMBER(INDEX(원자료_시장!$A$1:$BZ$1000,설정!$L$6+ROW()-1,설정!$L$27)),INDEX(원자료_시장!$A$1:$BZ$1000,설정!$L$6+ROW()-1,설정!$L$27),""),"")</f>
        <v/>
      </c>
      <c r="F586" s="97" t="str">
        <f aca="false">IFERROR(IF(ISNUMBER(INDEX(원자료_시장!$A$1:$BZ$1000,설정!$L$6+ROW()-1,설정!$L$28)),INDEX(원자료_시장!$A$1:$BZ$1000,설정!$L$6+ROW()-1,설정!$L$28),""),"")</f>
        <v/>
      </c>
      <c r="G586" s="97" t="str">
        <f aca="false">IFERROR(IF(ISNUMBER(INDEX(원자료_시장!$A$1:$BZ$1000,설정!$L$6+ROW()-1,설정!$L$29)),INDEX(원자료_시장!$A$1:$BZ$1000,설정!$L$6+ROW()-1,설정!$L$29),""),"")</f>
        <v/>
      </c>
      <c r="H586" s="97" t="str">
        <f aca="false">IFERROR(IF(ISNUMBER(INDEX(원자료_시장!$A$1:$BZ$1000,설정!$L$6+ROW()-1,설정!$L$30)),INDEX(원자료_시장!$A$1:$BZ$1000,설정!$L$6+ROW()-1,설정!$L$30),""),"")</f>
        <v/>
      </c>
      <c r="I586" s="97" t="str">
        <f aca="false">IFERROR(IF(ISNUMBER(INDEX(원자료_시장!$A$1:$BZ$1000,설정!$L$6+ROW()-1,설정!$L$31)),INDEX(원자료_시장!$A$1:$BZ$1000,설정!$L$6+ROW()-1,설정!$L$31),""),"")</f>
        <v/>
      </c>
      <c r="J586" s="97" t="str">
        <f aca="false">IFERROR(IF(ISNUMBER(INDEX(원자료_시장!$A$1:$BZ$1000,설정!$L$6+ROW()-1,설정!$L$32)),INDEX(원자료_시장!$A$1:$BZ$1000,설정!$L$6+ROW()-1,설정!$L$32),""),"")</f>
        <v/>
      </c>
      <c r="K586" s="85" t="str">
        <f aca="false">IFERROR(IF(ISNUMBER(INDEX(원자료_시장!$A$1:$BZ$1000,설정!$L$6+ROW()-1,설정!$L$33)),INDEX(원자료_시장!$A$1:$BZ$1000,설정!$L$6+ROW()-1,설정!$L$33),""),"")</f>
        <v/>
      </c>
      <c r="L586" s="83" t="n">
        <f aca="false">IFERROR(IF(INDEX(원자료_시장!$A$1:$BZ$1000,설정!$L$6+ROW()-1,설정!$L$34)&amp;""="0","",INDEX(원자료_시장!$A$1:$BZ$1000,설정!$L$6+ROW()-1,설정!$L$34)),"")</f>
        <v>0</v>
      </c>
      <c r="M586" s="83" t="n">
        <f aca="false">IFERROR(IF(INDEX(원자료_시장!$A$1:$BZ$1000,설정!$L$6+ROW()-1,설정!$L$35)&amp;""="0","",INDEX(원자료_시장!$A$1:$BZ$1000,설정!$L$6+ROW()-1,설정!$L$35)),"")</f>
        <v>0</v>
      </c>
      <c r="N586" s="83" t="n">
        <f aca="false">IFERROR(IF(INDEX(원자료_시장!$A$1:$BZ$1000,설정!$L$6+ROW()-1,설정!$L$36)&amp;""="0","",INDEX(원자료_시장!$A$1:$BZ$1000,설정!$L$6+ROW()-1,설정!$L$36)),"")</f>
        <v>0</v>
      </c>
      <c r="O586" s="43" t="str">
        <f aca="false">IF($A586="","",UPPER(LEFT($A586,FIND(" ",$A586&amp;" ")-1)))</f>
        <v/>
      </c>
      <c r="P586" s="43" t="str">
        <f aca="false">IF($A586="","",TRIM(RIGHT(SUBSTITUTE(TRIM($A586)," ",REPT(" ",30)),30)))</f>
        <v/>
      </c>
      <c r="Q586" s="98" t="str">
        <f aca="false">IF($A586="","",IFERROR(DATE(IF(LEN(P586)=8,2000+VALUE(RIGHT(P586,2)),VALUE(RIGHT(P586,4))),VALUE(LEFT(P586,2)),VALUE(MID(P586,4,2))),""))</f>
        <v/>
      </c>
      <c r="R586" s="89" t="n">
        <f aca="false">IF($A586="",0,IF(ISNUMBER(SEARCH("Float",$A586)),1,0))</f>
        <v>0</v>
      </c>
      <c r="S586" s="43" t="str">
        <f aca="false">IF($A586="","",TRIM(MID($A586,LEN(O586)+2,LEN($A586)-LEN(O586)-LEN(P586)-1)))</f>
        <v/>
      </c>
      <c r="T586" s="92" t="str">
        <f aca="false">IF(OR($A586="",R586=1),"",IFERROR(IF(ISNUMBER(FIND("/",S586)),IF(ISNUMBER(FIND(" ",S586)),VALUE(LEFT(S586,FIND(" ",S586)-1))+VALUE(MID(S586,FIND(" ",S586)+1,FIND("/",S586)-FIND(" ",S586)-1))/VALUE(MID(S586,FIND("/",S586)+1,9)),VALUE(LEFT(S586,FIND("/",S586)-1))/VALUE(MID(S586,FIND("/",S586)+1,9))),VALUE(S586)),""))</f>
        <v/>
      </c>
      <c r="U586" s="43" t="str">
        <f aca="false">IF(OR($A586="",NOT(ISNUMBER(Q586))),"",TEXT(Q586,"yyyymmdd")&amp;"|"&amp;IF(R586=1,"F",TEXT(T586,"0.000")))</f>
        <v/>
      </c>
      <c r="V586" s="43" t="str">
        <f aca="false">IF(U586="","",O586&amp;"|"&amp;U586)</f>
        <v/>
      </c>
      <c r="W586" s="43" t="str">
        <f aca="false">IF($A586="","",IFERROR(IF(VLOOKUP(O586,매핑!$A$4:$E$92,3,0)="","미분류",VLOOKUP(O586,매핑!$A$4:$E$92,3,0)),"미분류"))</f>
        <v/>
      </c>
      <c r="X586" s="89" t="n">
        <f aca="false">IF($A586="",0,IF(O586="T",1,0))</f>
        <v>0</v>
      </c>
      <c r="Y586" s="89" t="n">
        <f aca="false">IF($A586="",0,IF(AND(C586="USD",X586=0,ISNUMBER(E586),ISNUMBER(K586)),IF(K586&gt;=설정!$C$8,1,0),0))</f>
        <v>0</v>
      </c>
      <c r="Z586" s="43" t="str">
        <f aca="false">IF($A586="","",N586&amp;"|"&amp;L586)</f>
        <v/>
      </c>
      <c r="AA586" s="92" t="n">
        <f aca="false">IF(Y586=1,LN(K586),0)</f>
        <v>0</v>
      </c>
      <c r="AB586" s="93" t="n">
        <f aca="false">IF(Y586=1,E586,0)</f>
        <v>0</v>
      </c>
      <c r="AC586" s="89" t="n">
        <f aca="false">IF(Y586=1,COUNTIFS($Z$2:$Z$601,Z586,$Y$2:$Y$601,1),0)</f>
        <v>0</v>
      </c>
      <c r="AD586" s="89" t="n">
        <f aca="false">IF(Y586=1,COUNTIFS($N$2:$N$601,N586,$Y$2:$Y$601,1),0)</f>
        <v>0</v>
      </c>
      <c r="AE586" s="43" t="str">
        <f aca="false">IF(Y586&lt;&gt;1,"",IF(AND(AC586&gt;=설정!$C$7,ISNUMBER(MATCH(Z586,피어커브!$A:$A,0))),Z586,IF(AND(AD586&gt;=설정!$C$7,ISNUMBER(MATCH(N586&amp;"|전체",피어커브!$A:$A,0))),N586&amp;"|전체","전체|전체")))</f>
        <v/>
      </c>
      <c r="AF586" s="93" t="str">
        <f aca="false">IF(AE586="","",INDEX(피어커브!$K:$K,MATCH(AE586,피어커브!$A:$A,0)))</f>
        <v/>
      </c>
      <c r="AG586" s="93" t="str">
        <f aca="false">IF(AE586="","",INDEX(피어커브!$J:$J,MATCH(AE586,피어커브!$A:$A,0)))</f>
        <v/>
      </c>
      <c r="AH586" s="93" t="str">
        <f aca="false">IF(AE586="","",INDEX(피어커브!$L:$L,MATCH(AE586,피어커브!$A:$A,0)))</f>
        <v/>
      </c>
      <c r="AI586" s="93" t="str">
        <f aca="false">IF(AE586="","",AF586+AG586*AA586)</f>
        <v/>
      </c>
      <c r="AJ586" s="96" t="str">
        <f aca="false">IF(AE586="","",E586-AI586)</f>
        <v/>
      </c>
      <c r="AK586" s="95" t="str">
        <f aca="false">IF(AE586="","",IF(ISNUMBER(AH586),IF(AH586&gt;0,AJ586/AH586,""),""))</f>
        <v/>
      </c>
      <c r="AL586" s="43" t="str">
        <f aca="false">IF(AK586="","-",IF(AK586&gt;=설정!$C$6,"Cheap",IF(AK586&lt;=-설정!$C$6,"Rich","Fair")))</f>
        <v>-</v>
      </c>
      <c r="AM586" s="96" t="str">
        <f aca="false">IF(AE586="","",AJ586-AVERAGEIFS($AJ$2:$AJ$601,$B$2:$B$601,B586,$Y$2:$Y$601,1))</f>
        <v/>
      </c>
      <c r="AN586" s="93" t="n">
        <f aca="false">IF(AE586="",0,IF(K586&gt;1+설정!$C$8,AG586*(AA586-LN(K586-1)),0))</f>
        <v>0</v>
      </c>
      <c r="AO586" s="99" t="n">
        <f aca="false">IF($A586="",0,SUMIFS(보유분석!$AA$2:$AA$801,보유분석!$AB$2:$AB$801,ROW(),보유분석!$AC$2:$AC$801,1))</f>
        <v>0</v>
      </c>
      <c r="AP586" s="43" t="str">
        <f aca="false">IF($A586="","",TRIM(IF(R586=1,"FRN ","")&amp;IF(IFERROR(VLOOKUP(M586,설정!$A$15:$D$47,4,0),0)&gt;=10,IF(IFERROR(VLOOKUP(M586,설정!$A$15:$D$47,4,0),0)&lt;99,"BBB0미만 ",""),"")&amp;IF(OR(M586="",M586="NR"),"등급미입력 ","")&amp;IF(C586&lt;&gt;"USD","비USD ","")))</f>
        <v/>
      </c>
      <c r="AQ586" s="90" t="n">
        <f aca="false">IF(AND(Y586=1,AL586="Cheap"),IF(AND(ISERROR(SEARCH("FRN",AP586)),ISERROR(SEARCH("BBB0미만",AP586))),AK586+ROW()/1000000000,-999),-999)</f>
        <v>-999</v>
      </c>
      <c r="AR586" s="92" t="str">
        <f aca="false">IF(AND(ISNUMBER(D586),ISNUMBER(K586)),D586+AN586*MAX(K586-1,0)/100,"")</f>
        <v/>
      </c>
      <c r="AS586" s="93" t="str">
        <f aca="false">IF(AND(ISNUMBER(E586),ISNUMBER(K586)),IF(K586&gt;0,(E586+AN586*MAX(K586-1,0))/K586,""),"")</f>
        <v/>
      </c>
      <c r="AT586" s="90" t="n">
        <f aca="false">IFERROR(IF(AND(Y586=1,ROW()&lt;&gt;스왑분석!$C$12+1,ABS(K586-INDEX($K$2:$K$601,스왑분석!$C$12))&lt;=스왑분석!$C$5,ISERROR(SEARCH("FRN",AP586)),ISERROR(SEARCH("BBB0미만",AP586))),IF(AND(OR(스왑분석!$C$6="N",L586=INDEX($L$2:$L$601,스왑분석!$C$12)),OR(스왑분석!$C$7="N",N586=INDEX($N$2:$N$601,스왑분석!$C$12)),OR(스왑분석!$C$8="N",AO586=0),E586-INDEX($E$2:$E$601,스왑분석!$C$12)&gt;=스왑분석!$C$9),E586-INDEX($E$2:$E$601,스왑분석!$C$12)+ROW()/1000000000,-999),-999),-999)</f>
        <v>-999</v>
      </c>
      <c r="AU586" s="90" t="n">
        <f aca="false">IF(AND(Y586=1,AO586&gt;0,AL586="Rich"),-AK586+ROW()/1000000000,-999)</f>
        <v>-999</v>
      </c>
    </row>
    <row r="587" customFormat="false" ht="15" hidden="false" customHeight="false" outlineLevel="0" collapsed="false">
      <c r="A587" s="83" t="n">
        <f aca="false">IFERROR(IF(INDEX(원자료_시장!$A$1:$BZ$1000,설정!$L$6+ROW()-1,설정!$L$24)&amp;""="0","",INDEX(원자료_시장!$A$1:$BZ$1000,설정!$L$6+ROW()-1,설정!$L$24)),"")</f>
        <v>0</v>
      </c>
      <c r="B587" s="83" t="n">
        <f aca="false">IFERROR(IF(INDEX(원자료_시장!$A$1:$BZ$1000,설정!$L$6+ROW()-1,설정!$L$37)&amp;""="0","",INDEX(원자료_시장!$A$1:$BZ$1000,설정!$L$6+ROW()-1,설정!$L$37)),"")</f>
        <v>0</v>
      </c>
      <c r="C587" s="83" t="n">
        <f aca="false">IFERROR(IF(INDEX(원자료_시장!$A$1:$BZ$1000,설정!$L$6+ROW()-1,설정!$L$25)&amp;""="0","",INDEX(원자료_시장!$A$1:$BZ$1000,설정!$L$6+ROW()-1,설정!$L$25)),"")</f>
        <v>0</v>
      </c>
      <c r="D587" s="85" t="str">
        <f aca="false">IFERROR(IF(ISNUMBER(INDEX(원자료_시장!$A$1:$BZ$1000,설정!$L$6+ROW()-1,설정!$L$26)),INDEX(원자료_시장!$A$1:$BZ$1000,설정!$L$6+ROW()-1,설정!$L$26),""),"")</f>
        <v/>
      </c>
      <c r="E587" s="97" t="str">
        <f aca="false">IFERROR(IF(ISNUMBER(INDEX(원자료_시장!$A$1:$BZ$1000,설정!$L$6+ROW()-1,설정!$L$27)),INDEX(원자료_시장!$A$1:$BZ$1000,설정!$L$6+ROW()-1,설정!$L$27),""),"")</f>
        <v/>
      </c>
      <c r="F587" s="97" t="str">
        <f aca="false">IFERROR(IF(ISNUMBER(INDEX(원자료_시장!$A$1:$BZ$1000,설정!$L$6+ROW()-1,설정!$L$28)),INDEX(원자료_시장!$A$1:$BZ$1000,설정!$L$6+ROW()-1,설정!$L$28),""),"")</f>
        <v/>
      </c>
      <c r="G587" s="97" t="str">
        <f aca="false">IFERROR(IF(ISNUMBER(INDEX(원자료_시장!$A$1:$BZ$1000,설정!$L$6+ROW()-1,설정!$L$29)),INDEX(원자료_시장!$A$1:$BZ$1000,설정!$L$6+ROW()-1,설정!$L$29),""),"")</f>
        <v/>
      </c>
      <c r="H587" s="97" t="str">
        <f aca="false">IFERROR(IF(ISNUMBER(INDEX(원자료_시장!$A$1:$BZ$1000,설정!$L$6+ROW()-1,설정!$L$30)),INDEX(원자료_시장!$A$1:$BZ$1000,설정!$L$6+ROW()-1,설정!$L$30),""),"")</f>
        <v/>
      </c>
      <c r="I587" s="97" t="str">
        <f aca="false">IFERROR(IF(ISNUMBER(INDEX(원자료_시장!$A$1:$BZ$1000,설정!$L$6+ROW()-1,설정!$L$31)),INDEX(원자료_시장!$A$1:$BZ$1000,설정!$L$6+ROW()-1,설정!$L$31),""),"")</f>
        <v/>
      </c>
      <c r="J587" s="97" t="str">
        <f aca="false">IFERROR(IF(ISNUMBER(INDEX(원자료_시장!$A$1:$BZ$1000,설정!$L$6+ROW()-1,설정!$L$32)),INDEX(원자료_시장!$A$1:$BZ$1000,설정!$L$6+ROW()-1,설정!$L$32),""),"")</f>
        <v/>
      </c>
      <c r="K587" s="85" t="str">
        <f aca="false">IFERROR(IF(ISNUMBER(INDEX(원자료_시장!$A$1:$BZ$1000,설정!$L$6+ROW()-1,설정!$L$33)),INDEX(원자료_시장!$A$1:$BZ$1000,설정!$L$6+ROW()-1,설정!$L$33),""),"")</f>
        <v/>
      </c>
      <c r="L587" s="83" t="n">
        <f aca="false">IFERROR(IF(INDEX(원자료_시장!$A$1:$BZ$1000,설정!$L$6+ROW()-1,설정!$L$34)&amp;""="0","",INDEX(원자료_시장!$A$1:$BZ$1000,설정!$L$6+ROW()-1,설정!$L$34)),"")</f>
        <v>0</v>
      </c>
      <c r="M587" s="83" t="n">
        <f aca="false">IFERROR(IF(INDEX(원자료_시장!$A$1:$BZ$1000,설정!$L$6+ROW()-1,설정!$L$35)&amp;""="0","",INDEX(원자료_시장!$A$1:$BZ$1000,설정!$L$6+ROW()-1,설정!$L$35)),"")</f>
        <v>0</v>
      </c>
      <c r="N587" s="83" t="n">
        <f aca="false">IFERROR(IF(INDEX(원자료_시장!$A$1:$BZ$1000,설정!$L$6+ROW()-1,설정!$L$36)&amp;""="0","",INDEX(원자료_시장!$A$1:$BZ$1000,설정!$L$6+ROW()-1,설정!$L$36)),"")</f>
        <v>0</v>
      </c>
      <c r="O587" s="43" t="str">
        <f aca="false">IF($A587="","",UPPER(LEFT($A587,FIND(" ",$A587&amp;" ")-1)))</f>
        <v/>
      </c>
      <c r="P587" s="43" t="str">
        <f aca="false">IF($A587="","",TRIM(RIGHT(SUBSTITUTE(TRIM($A587)," ",REPT(" ",30)),30)))</f>
        <v/>
      </c>
      <c r="Q587" s="98" t="str">
        <f aca="false">IF($A587="","",IFERROR(DATE(IF(LEN(P587)=8,2000+VALUE(RIGHT(P587,2)),VALUE(RIGHT(P587,4))),VALUE(LEFT(P587,2)),VALUE(MID(P587,4,2))),""))</f>
        <v/>
      </c>
      <c r="R587" s="89" t="n">
        <f aca="false">IF($A587="",0,IF(ISNUMBER(SEARCH("Float",$A587)),1,0))</f>
        <v>0</v>
      </c>
      <c r="S587" s="43" t="str">
        <f aca="false">IF($A587="","",TRIM(MID($A587,LEN(O587)+2,LEN($A587)-LEN(O587)-LEN(P587)-1)))</f>
        <v/>
      </c>
      <c r="T587" s="92" t="str">
        <f aca="false">IF(OR($A587="",R587=1),"",IFERROR(IF(ISNUMBER(FIND("/",S587)),IF(ISNUMBER(FIND(" ",S587)),VALUE(LEFT(S587,FIND(" ",S587)-1))+VALUE(MID(S587,FIND(" ",S587)+1,FIND("/",S587)-FIND(" ",S587)-1))/VALUE(MID(S587,FIND("/",S587)+1,9)),VALUE(LEFT(S587,FIND("/",S587)-1))/VALUE(MID(S587,FIND("/",S587)+1,9))),VALUE(S587)),""))</f>
        <v/>
      </c>
      <c r="U587" s="43" t="str">
        <f aca="false">IF(OR($A587="",NOT(ISNUMBER(Q587))),"",TEXT(Q587,"yyyymmdd")&amp;"|"&amp;IF(R587=1,"F",TEXT(T587,"0.000")))</f>
        <v/>
      </c>
      <c r="V587" s="43" t="str">
        <f aca="false">IF(U587="","",O587&amp;"|"&amp;U587)</f>
        <v/>
      </c>
      <c r="W587" s="43" t="str">
        <f aca="false">IF($A587="","",IFERROR(IF(VLOOKUP(O587,매핑!$A$4:$E$92,3,0)="","미분류",VLOOKUP(O587,매핑!$A$4:$E$92,3,0)),"미분류"))</f>
        <v/>
      </c>
      <c r="X587" s="89" t="n">
        <f aca="false">IF($A587="",0,IF(O587="T",1,0))</f>
        <v>0</v>
      </c>
      <c r="Y587" s="89" t="n">
        <f aca="false">IF($A587="",0,IF(AND(C587="USD",X587=0,ISNUMBER(E587),ISNUMBER(K587)),IF(K587&gt;=설정!$C$8,1,0),0))</f>
        <v>0</v>
      </c>
      <c r="Z587" s="43" t="str">
        <f aca="false">IF($A587="","",N587&amp;"|"&amp;L587)</f>
        <v/>
      </c>
      <c r="AA587" s="92" t="n">
        <f aca="false">IF(Y587=1,LN(K587),0)</f>
        <v>0</v>
      </c>
      <c r="AB587" s="93" t="n">
        <f aca="false">IF(Y587=1,E587,0)</f>
        <v>0</v>
      </c>
      <c r="AC587" s="89" t="n">
        <f aca="false">IF(Y587=1,COUNTIFS($Z$2:$Z$601,Z587,$Y$2:$Y$601,1),0)</f>
        <v>0</v>
      </c>
      <c r="AD587" s="89" t="n">
        <f aca="false">IF(Y587=1,COUNTIFS($N$2:$N$601,N587,$Y$2:$Y$601,1),0)</f>
        <v>0</v>
      </c>
      <c r="AE587" s="43" t="str">
        <f aca="false">IF(Y587&lt;&gt;1,"",IF(AND(AC587&gt;=설정!$C$7,ISNUMBER(MATCH(Z587,피어커브!$A:$A,0))),Z587,IF(AND(AD587&gt;=설정!$C$7,ISNUMBER(MATCH(N587&amp;"|전체",피어커브!$A:$A,0))),N587&amp;"|전체","전체|전체")))</f>
        <v/>
      </c>
      <c r="AF587" s="93" t="str">
        <f aca="false">IF(AE587="","",INDEX(피어커브!$K:$K,MATCH(AE587,피어커브!$A:$A,0)))</f>
        <v/>
      </c>
      <c r="AG587" s="93" t="str">
        <f aca="false">IF(AE587="","",INDEX(피어커브!$J:$J,MATCH(AE587,피어커브!$A:$A,0)))</f>
        <v/>
      </c>
      <c r="AH587" s="93" t="str">
        <f aca="false">IF(AE587="","",INDEX(피어커브!$L:$L,MATCH(AE587,피어커브!$A:$A,0)))</f>
        <v/>
      </c>
      <c r="AI587" s="93" t="str">
        <f aca="false">IF(AE587="","",AF587+AG587*AA587)</f>
        <v/>
      </c>
      <c r="AJ587" s="96" t="str">
        <f aca="false">IF(AE587="","",E587-AI587)</f>
        <v/>
      </c>
      <c r="AK587" s="95" t="str">
        <f aca="false">IF(AE587="","",IF(ISNUMBER(AH587),IF(AH587&gt;0,AJ587/AH587,""),""))</f>
        <v/>
      </c>
      <c r="AL587" s="43" t="str">
        <f aca="false">IF(AK587="","-",IF(AK587&gt;=설정!$C$6,"Cheap",IF(AK587&lt;=-설정!$C$6,"Rich","Fair")))</f>
        <v>-</v>
      </c>
      <c r="AM587" s="96" t="str">
        <f aca="false">IF(AE587="","",AJ587-AVERAGEIFS($AJ$2:$AJ$601,$B$2:$B$601,B587,$Y$2:$Y$601,1))</f>
        <v/>
      </c>
      <c r="AN587" s="93" t="n">
        <f aca="false">IF(AE587="",0,IF(K587&gt;1+설정!$C$8,AG587*(AA587-LN(K587-1)),0))</f>
        <v>0</v>
      </c>
      <c r="AO587" s="99" t="n">
        <f aca="false">IF($A587="",0,SUMIFS(보유분석!$AA$2:$AA$801,보유분석!$AB$2:$AB$801,ROW(),보유분석!$AC$2:$AC$801,1))</f>
        <v>0</v>
      </c>
      <c r="AP587" s="43" t="str">
        <f aca="false">IF($A587="","",TRIM(IF(R587=1,"FRN ","")&amp;IF(IFERROR(VLOOKUP(M587,설정!$A$15:$D$47,4,0),0)&gt;=10,IF(IFERROR(VLOOKUP(M587,설정!$A$15:$D$47,4,0),0)&lt;99,"BBB0미만 ",""),"")&amp;IF(OR(M587="",M587="NR"),"등급미입력 ","")&amp;IF(C587&lt;&gt;"USD","비USD ","")))</f>
        <v/>
      </c>
      <c r="AQ587" s="90" t="n">
        <f aca="false">IF(AND(Y587=1,AL587="Cheap"),IF(AND(ISERROR(SEARCH("FRN",AP587)),ISERROR(SEARCH("BBB0미만",AP587))),AK587+ROW()/1000000000,-999),-999)</f>
        <v>-999</v>
      </c>
      <c r="AR587" s="92" t="str">
        <f aca="false">IF(AND(ISNUMBER(D587),ISNUMBER(K587)),D587+AN587*MAX(K587-1,0)/100,"")</f>
        <v/>
      </c>
      <c r="AS587" s="93" t="str">
        <f aca="false">IF(AND(ISNUMBER(E587),ISNUMBER(K587)),IF(K587&gt;0,(E587+AN587*MAX(K587-1,0))/K587,""),"")</f>
        <v/>
      </c>
      <c r="AT587" s="90" t="n">
        <f aca="false">IFERROR(IF(AND(Y587=1,ROW()&lt;&gt;스왑분석!$C$12+1,ABS(K587-INDEX($K$2:$K$601,스왑분석!$C$12))&lt;=스왑분석!$C$5,ISERROR(SEARCH("FRN",AP587)),ISERROR(SEARCH("BBB0미만",AP587))),IF(AND(OR(스왑분석!$C$6="N",L587=INDEX($L$2:$L$601,스왑분석!$C$12)),OR(스왑분석!$C$7="N",N587=INDEX($N$2:$N$601,스왑분석!$C$12)),OR(스왑분석!$C$8="N",AO587=0),E587-INDEX($E$2:$E$601,스왑분석!$C$12)&gt;=스왑분석!$C$9),E587-INDEX($E$2:$E$601,스왑분석!$C$12)+ROW()/1000000000,-999),-999),-999)</f>
        <v>-999</v>
      </c>
      <c r="AU587" s="90" t="n">
        <f aca="false">IF(AND(Y587=1,AO587&gt;0,AL587="Rich"),-AK587+ROW()/1000000000,-999)</f>
        <v>-999</v>
      </c>
    </row>
    <row r="588" customFormat="false" ht="15" hidden="false" customHeight="false" outlineLevel="0" collapsed="false">
      <c r="A588" s="83" t="n">
        <f aca="false">IFERROR(IF(INDEX(원자료_시장!$A$1:$BZ$1000,설정!$L$6+ROW()-1,설정!$L$24)&amp;""="0","",INDEX(원자료_시장!$A$1:$BZ$1000,설정!$L$6+ROW()-1,설정!$L$24)),"")</f>
        <v>0</v>
      </c>
      <c r="B588" s="83" t="n">
        <f aca="false">IFERROR(IF(INDEX(원자료_시장!$A$1:$BZ$1000,설정!$L$6+ROW()-1,설정!$L$37)&amp;""="0","",INDEX(원자료_시장!$A$1:$BZ$1000,설정!$L$6+ROW()-1,설정!$L$37)),"")</f>
        <v>0</v>
      </c>
      <c r="C588" s="83" t="n">
        <f aca="false">IFERROR(IF(INDEX(원자료_시장!$A$1:$BZ$1000,설정!$L$6+ROW()-1,설정!$L$25)&amp;""="0","",INDEX(원자료_시장!$A$1:$BZ$1000,설정!$L$6+ROW()-1,설정!$L$25)),"")</f>
        <v>0</v>
      </c>
      <c r="D588" s="85" t="str">
        <f aca="false">IFERROR(IF(ISNUMBER(INDEX(원자료_시장!$A$1:$BZ$1000,설정!$L$6+ROW()-1,설정!$L$26)),INDEX(원자료_시장!$A$1:$BZ$1000,설정!$L$6+ROW()-1,설정!$L$26),""),"")</f>
        <v/>
      </c>
      <c r="E588" s="97" t="str">
        <f aca="false">IFERROR(IF(ISNUMBER(INDEX(원자료_시장!$A$1:$BZ$1000,설정!$L$6+ROW()-1,설정!$L$27)),INDEX(원자료_시장!$A$1:$BZ$1000,설정!$L$6+ROW()-1,설정!$L$27),""),"")</f>
        <v/>
      </c>
      <c r="F588" s="97" t="str">
        <f aca="false">IFERROR(IF(ISNUMBER(INDEX(원자료_시장!$A$1:$BZ$1000,설정!$L$6+ROW()-1,설정!$L$28)),INDEX(원자료_시장!$A$1:$BZ$1000,설정!$L$6+ROW()-1,설정!$L$28),""),"")</f>
        <v/>
      </c>
      <c r="G588" s="97" t="str">
        <f aca="false">IFERROR(IF(ISNUMBER(INDEX(원자료_시장!$A$1:$BZ$1000,설정!$L$6+ROW()-1,설정!$L$29)),INDEX(원자료_시장!$A$1:$BZ$1000,설정!$L$6+ROW()-1,설정!$L$29),""),"")</f>
        <v/>
      </c>
      <c r="H588" s="97" t="str">
        <f aca="false">IFERROR(IF(ISNUMBER(INDEX(원자료_시장!$A$1:$BZ$1000,설정!$L$6+ROW()-1,설정!$L$30)),INDEX(원자료_시장!$A$1:$BZ$1000,설정!$L$6+ROW()-1,설정!$L$30),""),"")</f>
        <v/>
      </c>
      <c r="I588" s="97" t="str">
        <f aca="false">IFERROR(IF(ISNUMBER(INDEX(원자료_시장!$A$1:$BZ$1000,설정!$L$6+ROW()-1,설정!$L$31)),INDEX(원자료_시장!$A$1:$BZ$1000,설정!$L$6+ROW()-1,설정!$L$31),""),"")</f>
        <v/>
      </c>
      <c r="J588" s="97" t="str">
        <f aca="false">IFERROR(IF(ISNUMBER(INDEX(원자료_시장!$A$1:$BZ$1000,설정!$L$6+ROW()-1,설정!$L$32)),INDEX(원자료_시장!$A$1:$BZ$1000,설정!$L$6+ROW()-1,설정!$L$32),""),"")</f>
        <v/>
      </c>
      <c r="K588" s="85" t="str">
        <f aca="false">IFERROR(IF(ISNUMBER(INDEX(원자료_시장!$A$1:$BZ$1000,설정!$L$6+ROW()-1,설정!$L$33)),INDEX(원자료_시장!$A$1:$BZ$1000,설정!$L$6+ROW()-1,설정!$L$33),""),"")</f>
        <v/>
      </c>
      <c r="L588" s="83" t="n">
        <f aca="false">IFERROR(IF(INDEX(원자료_시장!$A$1:$BZ$1000,설정!$L$6+ROW()-1,설정!$L$34)&amp;""="0","",INDEX(원자료_시장!$A$1:$BZ$1000,설정!$L$6+ROW()-1,설정!$L$34)),"")</f>
        <v>0</v>
      </c>
      <c r="M588" s="83" t="n">
        <f aca="false">IFERROR(IF(INDEX(원자료_시장!$A$1:$BZ$1000,설정!$L$6+ROW()-1,설정!$L$35)&amp;""="0","",INDEX(원자료_시장!$A$1:$BZ$1000,설정!$L$6+ROW()-1,설정!$L$35)),"")</f>
        <v>0</v>
      </c>
      <c r="N588" s="83" t="n">
        <f aca="false">IFERROR(IF(INDEX(원자료_시장!$A$1:$BZ$1000,설정!$L$6+ROW()-1,설정!$L$36)&amp;""="0","",INDEX(원자료_시장!$A$1:$BZ$1000,설정!$L$6+ROW()-1,설정!$L$36)),"")</f>
        <v>0</v>
      </c>
      <c r="O588" s="43" t="str">
        <f aca="false">IF($A588="","",UPPER(LEFT($A588,FIND(" ",$A588&amp;" ")-1)))</f>
        <v/>
      </c>
      <c r="P588" s="43" t="str">
        <f aca="false">IF($A588="","",TRIM(RIGHT(SUBSTITUTE(TRIM($A588)," ",REPT(" ",30)),30)))</f>
        <v/>
      </c>
      <c r="Q588" s="98" t="str">
        <f aca="false">IF($A588="","",IFERROR(DATE(IF(LEN(P588)=8,2000+VALUE(RIGHT(P588,2)),VALUE(RIGHT(P588,4))),VALUE(LEFT(P588,2)),VALUE(MID(P588,4,2))),""))</f>
        <v/>
      </c>
      <c r="R588" s="89" t="n">
        <f aca="false">IF($A588="",0,IF(ISNUMBER(SEARCH("Float",$A588)),1,0))</f>
        <v>0</v>
      </c>
      <c r="S588" s="43" t="str">
        <f aca="false">IF($A588="","",TRIM(MID($A588,LEN(O588)+2,LEN($A588)-LEN(O588)-LEN(P588)-1)))</f>
        <v/>
      </c>
      <c r="T588" s="92" t="str">
        <f aca="false">IF(OR($A588="",R588=1),"",IFERROR(IF(ISNUMBER(FIND("/",S588)),IF(ISNUMBER(FIND(" ",S588)),VALUE(LEFT(S588,FIND(" ",S588)-1))+VALUE(MID(S588,FIND(" ",S588)+1,FIND("/",S588)-FIND(" ",S588)-1))/VALUE(MID(S588,FIND("/",S588)+1,9)),VALUE(LEFT(S588,FIND("/",S588)-1))/VALUE(MID(S588,FIND("/",S588)+1,9))),VALUE(S588)),""))</f>
        <v/>
      </c>
      <c r="U588" s="43" t="str">
        <f aca="false">IF(OR($A588="",NOT(ISNUMBER(Q588))),"",TEXT(Q588,"yyyymmdd")&amp;"|"&amp;IF(R588=1,"F",TEXT(T588,"0.000")))</f>
        <v/>
      </c>
      <c r="V588" s="43" t="str">
        <f aca="false">IF(U588="","",O588&amp;"|"&amp;U588)</f>
        <v/>
      </c>
      <c r="W588" s="43" t="str">
        <f aca="false">IF($A588="","",IFERROR(IF(VLOOKUP(O588,매핑!$A$4:$E$92,3,0)="","미분류",VLOOKUP(O588,매핑!$A$4:$E$92,3,0)),"미분류"))</f>
        <v/>
      </c>
      <c r="X588" s="89" t="n">
        <f aca="false">IF($A588="",0,IF(O588="T",1,0))</f>
        <v>0</v>
      </c>
      <c r="Y588" s="89" t="n">
        <f aca="false">IF($A588="",0,IF(AND(C588="USD",X588=0,ISNUMBER(E588),ISNUMBER(K588)),IF(K588&gt;=설정!$C$8,1,0),0))</f>
        <v>0</v>
      </c>
      <c r="Z588" s="43" t="str">
        <f aca="false">IF($A588="","",N588&amp;"|"&amp;L588)</f>
        <v/>
      </c>
      <c r="AA588" s="92" t="n">
        <f aca="false">IF(Y588=1,LN(K588),0)</f>
        <v>0</v>
      </c>
      <c r="AB588" s="93" t="n">
        <f aca="false">IF(Y588=1,E588,0)</f>
        <v>0</v>
      </c>
      <c r="AC588" s="89" t="n">
        <f aca="false">IF(Y588=1,COUNTIFS($Z$2:$Z$601,Z588,$Y$2:$Y$601,1),0)</f>
        <v>0</v>
      </c>
      <c r="AD588" s="89" t="n">
        <f aca="false">IF(Y588=1,COUNTIFS($N$2:$N$601,N588,$Y$2:$Y$601,1),0)</f>
        <v>0</v>
      </c>
      <c r="AE588" s="43" t="str">
        <f aca="false">IF(Y588&lt;&gt;1,"",IF(AND(AC588&gt;=설정!$C$7,ISNUMBER(MATCH(Z588,피어커브!$A:$A,0))),Z588,IF(AND(AD588&gt;=설정!$C$7,ISNUMBER(MATCH(N588&amp;"|전체",피어커브!$A:$A,0))),N588&amp;"|전체","전체|전체")))</f>
        <v/>
      </c>
      <c r="AF588" s="93" t="str">
        <f aca="false">IF(AE588="","",INDEX(피어커브!$K:$K,MATCH(AE588,피어커브!$A:$A,0)))</f>
        <v/>
      </c>
      <c r="AG588" s="93" t="str">
        <f aca="false">IF(AE588="","",INDEX(피어커브!$J:$J,MATCH(AE588,피어커브!$A:$A,0)))</f>
        <v/>
      </c>
      <c r="AH588" s="93" t="str">
        <f aca="false">IF(AE588="","",INDEX(피어커브!$L:$L,MATCH(AE588,피어커브!$A:$A,0)))</f>
        <v/>
      </c>
      <c r="AI588" s="93" t="str">
        <f aca="false">IF(AE588="","",AF588+AG588*AA588)</f>
        <v/>
      </c>
      <c r="AJ588" s="96" t="str">
        <f aca="false">IF(AE588="","",E588-AI588)</f>
        <v/>
      </c>
      <c r="AK588" s="95" t="str">
        <f aca="false">IF(AE588="","",IF(ISNUMBER(AH588),IF(AH588&gt;0,AJ588/AH588,""),""))</f>
        <v/>
      </c>
      <c r="AL588" s="43" t="str">
        <f aca="false">IF(AK588="","-",IF(AK588&gt;=설정!$C$6,"Cheap",IF(AK588&lt;=-설정!$C$6,"Rich","Fair")))</f>
        <v>-</v>
      </c>
      <c r="AM588" s="96" t="str">
        <f aca="false">IF(AE588="","",AJ588-AVERAGEIFS($AJ$2:$AJ$601,$B$2:$B$601,B588,$Y$2:$Y$601,1))</f>
        <v/>
      </c>
      <c r="AN588" s="93" t="n">
        <f aca="false">IF(AE588="",0,IF(K588&gt;1+설정!$C$8,AG588*(AA588-LN(K588-1)),0))</f>
        <v>0</v>
      </c>
      <c r="AO588" s="99" t="n">
        <f aca="false">IF($A588="",0,SUMIFS(보유분석!$AA$2:$AA$801,보유분석!$AB$2:$AB$801,ROW(),보유분석!$AC$2:$AC$801,1))</f>
        <v>0</v>
      </c>
      <c r="AP588" s="43" t="str">
        <f aca="false">IF($A588="","",TRIM(IF(R588=1,"FRN ","")&amp;IF(IFERROR(VLOOKUP(M588,설정!$A$15:$D$47,4,0),0)&gt;=10,IF(IFERROR(VLOOKUP(M588,설정!$A$15:$D$47,4,0),0)&lt;99,"BBB0미만 ",""),"")&amp;IF(OR(M588="",M588="NR"),"등급미입력 ","")&amp;IF(C588&lt;&gt;"USD","비USD ","")))</f>
        <v/>
      </c>
      <c r="AQ588" s="90" t="n">
        <f aca="false">IF(AND(Y588=1,AL588="Cheap"),IF(AND(ISERROR(SEARCH("FRN",AP588)),ISERROR(SEARCH("BBB0미만",AP588))),AK588+ROW()/1000000000,-999),-999)</f>
        <v>-999</v>
      </c>
      <c r="AR588" s="92" t="str">
        <f aca="false">IF(AND(ISNUMBER(D588),ISNUMBER(K588)),D588+AN588*MAX(K588-1,0)/100,"")</f>
        <v/>
      </c>
      <c r="AS588" s="93" t="str">
        <f aca="false">IF(AND(ISNUMBER(E588),ISNUMBER(K588)),IF(K588&gt;0,(E588+AN588*MAX(K588-1,0))/K588,""),"")</f>
        <v/>
      </c>
      <c r="AT588" s="90" t="n">
        <f aca="false">IFERROR(IF(AND(Y588=1,ROW()&lt;&gt;스왑분석!$C$12+1,ABS(K588-INDEX($K$2:$K$601,스왑분석!$C$12))&lt;=스왑분석!$C$5,ISERROR(SEARCH("FRN",AP588)),ISERROR(SEARCH("BBB0미만",AP588))),IF(AND(OR(스왑분석!$C$6="N",L588=INDEX($L$2:$L$601,스왑분석!$C$12)),OR(스왑분석!$C$7="N",N588=INDEX($N$2:$N$601,스왑분석!$C$12)),OR(스왑분석!$C$8="N",AO588=0),E588-INDEX($E$2:$E$601,스왑분석!$C$12)&gt;=스왑분석!$C$9),E588-INDEX($E$2:$E$601,스왑분석!$C$12)+ROW()/1000000000,-999),-999),-999)</f>
        <v>-999</v>
      </c>
      <c r="AU588" s="90" t="n">
        <f aca="false">IF(AND(Y588=1,AO588&gt;0,AL588="Rich"),-AK588+ROW()/1000000000,-999)</f>
        <v>-999</v>
      </c>
    </row>
    <row r="589" customFormat="false" ht="15" hidden="false" customHeight="false" outlineLevel="0" collapsed="false">
      <c r="A589" s="83" t="n">
        <f aca="false">IFERROR(IF(INDEX(원자료_시장!$A$1:$BZ$1000,설정!$L$6+ROW()-1,설정!$L$24)&amp;""="0","",INDEX(원자료_시장!$A$1:$BZ$1000,설정!$L$6+ROW()-1,설정!$L$24)),"")</f>
        <v>0</v>
      </c>
      <c r="B589" s="83" t="n">
        <f aca="false">IFERROR(IF(INDEX(원자료_시장!$A$1:$BZ$1000,설정!$L$6+ROW()-1,설정!$L$37)&amp;""="0","",INDEX(원자료_시장!$A$1:$BZ$1000,설정!$L$6+ROW()-1,설정!$L$37)),"")</f>
        <v>0</v>
      </c>
      <c r="C589" s="83" t="n">
        <f aca="false">IFERROR(IF(INDEX(원자료_시장!$A$1:$BZ$1000,설정!$L$6+ROW()-1,설정!$L$25)&amp;""="0","",INDEX(원자료_시장!$A$1:$BZ$1000,설정!$L$6+ROW()-1,설정!$L$25)),"")</f>
        <v>0</v>
      </c>
      <c r="D589" s="85" t="str">
        <f aca="false">IFERROR(IF(ISNUMBER(INDEX(원자료_시장!$A$1:$BZ$1000,설정!$L$6+ROW()-1,설정!$L$26)),INDEX(원자료_시장!$A$1:$BZ$1000,설정!$L$6+ROW()-1,설정!$L$26),""),"")</f>
        <v/>
      </c>
      <c r="E589" s="97" t="str">
        <f aca="false">IFERROR(IF(ISNUMBER(INDEX(원자료_시장!$A$1:$BZ$1000,설정!$L$6+ROW()-1,설정!$L$27)),INDEX(원자료_시장!$A$1:$BZ$1000,설정!$L$6+ROW()-1,설정!$L$27),""),"")</f>
        <v/>
      </c>
      <c r="F589" s="97" t="str">
        <f aca="false">IFERROR(IF(ISNUMBER(INDEX(원자료_시장!$A$1:$BZ$1000,설정!$L$6+ROW()-1,설정!$L$28)),INDEX(원자료_시장!$A$1:$BZ$1000,설정!$L$6+ROW()-1,설정!$L$28),""),"")</f>
        <v/>
      </c>
      <c r="G589" s="97" t="str">
        <f aca="false">IFERROR(IF(ISNUMBER(INDEX(원자료_시장!$A$1:$BZ$1000,설정!$L$6+ROW()-1,설정!$L$29)),INDEX(원자료_시장!$A$1:$BZ$1000,설정!$L$6+ROW()-1,설정!$L$29),""),"")</f>
        <v/>
      </c>
      <c r="H589" s="97" t="str">
        <f aca="false">IFERROR(IF(ISNUMBER(INDEX(원자료_시장!$A$1:$BZ$1000,설정!$L$6+ROW()-1,설정!$L$30)),INDEX(원자료_시장!$A$1:$BZ$1000,설정!$L$6+ROW()-1,설정!$L$30),""),"")</f>
        <v/>
      </c>
      <c r="I589" s="97" t="str">
        <f aca="false">IFERROR(IF(ISNUMBER(INDEX(원자료_시장!$A$1:$BZ$1000,설정!$L$6+ROW()-1,설정!$L$31)),INDEX(원자료_시장!$A$1:$BZ$1000,설정!$L$6+ROW()-1,설정!$L$31),""),"")</f>
        <v/>
      </c>
      <c r="J589" s="97" t="str">
        <f aca="false">IFERROR(IF(ISNUMBER(INDEX(원자료_시장!$A$1:$BZ$1000,설정!$L$6+ROW()-1,설정!$L$32)),INDEX(원자료_시장!$A$1:$BZ$1000,설정!$L$6+ROW()-1,설정!$L$32),""),"")</f>
        <v/>
      </c>
      <c r="K589" s="85" t="str">
        <f aca="false">IFERROR(IF(ISNUMBER(INDEX(원자료_시장!$A$1:$BZ$1000,설정!$L$6+ROW()-1,설정!$L$33)),INDEX(원자료_시장!$A$1:$BZ$1000,설정!$L$6+ROW()-1,설정!$L$33),""),"")</f>
        <v/>
      </c>
      <c r="L589" s="83" t="n">
        <f aca="false">IFERROR(IF(INDEX(원자료_시장!$A$1:$BZ$1000,설정!$L$6+ROW()-1,설정!$L$34)&amp;""="0","",INDEX(원자료_시장!$A$1:$BZ$1000,설정!$L$6+ROW()-1,설정!$L$34)),"")</f>
        <v>0</v>
      </c>
      <c r="M589" s="83" t="n">
        <f aca="false">IFERROR(IF(INDEX(원자료_시장!$A$1:$BZ$1000,설정!$L$6+ROW()-1,설정!$L$35)&amp;""="0","",INDEX(원자료_시장!$A$1:$BZ$1000,설정!$L$6+ROW()-1,설정!$L$35)),"")</f>
        <v>0</v>
      </c>
      <c r="N589" s="83" t="n">
        <f aca="false">IFERROR(IF(INDEX(원자료_시장!$A$1:$BZ$1000,설정!$L$6+ROW()-1,설정!$L$36)&amp;""="0","",INDEX(원자료_시장!$A$1:$BZ$1000,설정!$L$6+ROW()-1,설정!$L$36)),"")</f>
        <v>0</v>
      </c>
      <c r="O589" s="43" t="str">
        <f aca="false">IF($A589="","",UPPER(LEFT($A589,FIND(" ",$A589&amp;" ")-1)))</f>
        <v/>
      </c>
      <c r="P589" s="43" t="str">
        <f aca="false">IF($A589="","",TRIM(RIGHT(SUBSTITUTE(TRIM($A589)," ",REPT(" ",30)),30)))</f>
        <v/>
      </c>
      <c r="Q589" s="98" t="str">
        <f aca="false">IF($A589="","",IFERROR(DATE(IF(LEN(P589)=8,2000+VALUE(RIGHT(P589,2)),VALUE(RIGHT(P589,4))),VALUE(LEFT(P589,2)),VALUE(MID(P589,4,2))),""))</f>
        <v/>
      </c>
      <c r="R589" s="89" t="n">
        <f aca="false">IF($A589="",0,IF(ISNUMBER(SEARCH("Float",$A589)),1,0))</f>
        <v>0</v>
      </c>
      <c r="S589" s="43" t="str">
        <f aca="false">IF($A589="","",TRIM(MID($A589,LEN(O589)+2,LEN($A589)-LEN(O589)-LEN(P589)-1)))</f>
        <v/>
      </c>
      <c r="T589" s="92" t="str">
        <f aca="false">IF(OR($A589="",R589=1),"",IFERROR(IF(ISNUMBER(FIND("/",S589)),IF(ISNUMBER(FIND(" ",S589)),VALUE(LEFT(S589,FIND(" ",S589)-1))+VALUE(MID(S589,FIND(" ",S589)+1,FIND("/",S589)-FIND(" ",S589)-1))/VALUE(MID(S589,FIND("/",S589)+1,9)),VALUE(LEFT(S589,FIND("/",S589)-1))/VALUE(MID(S589,FIND("/",S589)+1,9))),VALUE(S589)),""))</f>
        <v/>
      </c>
      <c r="U589" s="43" t="str">
        <f aca="false">IF(OR($A589="",NOT(ISNUMBER(Q589))),"",TEXT(Q589,"yyyymmdd")&amp;"|"&amp;IF(R589=1,"F",TEXT(T589,"0.000")))</f>
        <v/>
      </c>
      <c r="V589" s="43" t="str">
        <f aca="false">IF(U589="","",O589&amp;"|"&amp;U589)</f>
        <v/>
      </c>
      <c r="W589" s="43" t="str">
        <f aca="false">IF($A589="","",IFERROR(IF(VLOOKUP(O589,매핑!$A$4:$E$92,3,0)="","미분류",VLOOKUP(O589,매핑!$A$4:$E$92,3,0)),"미분류"))</f>
        <v/>
      </c>
      <c r="X589" s="89" t="n">
        <f aca="false">IF($A589="",0,IF(O589="T",1,0))</f>
        <v>0</v>
      </c>
      <c r="Y589" s="89" t="n">
        <f aca="false">IF($A589="",0,IF(AND(C589="USD",X589=0,ISNUMBER(E589),ISNUMBER(K589)),IF(K589&gt;=설정!$C$8,1,0),0))</f>
        <v>0</v>
      </c>
      <c r="Z589" s="43" t="str">
        <f aca="false">IF($A589="","",N589&amp;"|"&amp;L589)</f>
        <v/>
      </c>
      <c r="AA589" s="92" t="n">
        <f aca="false">IF(Y589=1,LN(K589),0)</f>
        <v>0</v>
      </c>
      <c r="AB589" s="93" t="n">
        <f aca="false">IF(Y589=1,E589,0)</f>
        <v>0</v>
      </c>
      <c r="AC589" s="89" t="n">
        <f aca="false">IF(Y589=1,COUNTIFS($Z$2:$Z$601,Z589,$Y$2:$Y$601,1),0)</f>
        <v>0</v>
      </c>
      <c r="AD589" s="89" t="n">
        <f aca="false">IF(Y589=1,COUNTIFS($N$2:$N$601,N589,$Y$2:$Y$601,1),0)</f>
        <v>0</v>
      </c>
      <c r="AE589" s="43" t="str">
        <f aca="false">IF(Y589&lt;&gt;1,"",IF(AND(AC589&gt;=설정!$C$7,ISNUMBER(MATCH(Z589,피어커브!$A:$A,0))),Z589,IF(AND(AD589&gt;=설정!$C$7,ISNUMBER(MATCH(N589&amp;"|전체",피어커브!$A:$A,0))),N589&amp;"|전체","전체|전체")))</f>
        <v/>
      </c>
      <c r="AF589" s="93" t="str">
        <f aca="false">IF(AE589="","",INDEX(피어커브!$K:$K,MATCH(AE589,피어커브!$A:$A,0)))</f>
        <v/>
      </c>
      <c r="AG589" s="93" t="str">
        <f aca="false">IF(AE589="","",INDEX(피어커브!$J:$J,MATCH(AE589,피어커브!$A:$A,0)))</f>
        <v/>
      </c>
      <c r="AH589" s="93" t="str">
        <f aca="false">IF(AE589="","",INDEX(피어커브!$L:$L,MATCH(AE589,피어커브!$A:$A,0)))</f>
        <v/>
      </c>
      <c r="AI589" s="93" t="str">
        <f aca="false">IF(AE589="","",AF589+AG589*AA589)</f>
        <v/>
      </c>
      <c r="AJ589" s="96" t="str">
        <f aca="false">IF(AE589="","",E589-AI589)</f>
        <v/>
      </c>
      <c r="AK589" s="95" t="str">
        <f aca="false">IF(AE589="","",IF(ISNUMBER(AH589),IF(AH589&gt;0,AJ589/AH589,""),""))</f>
        <v/>
      </c>
      <c r="AL589" s="43" t="str">
        <f aca="false">IF(AK589="","-",IF(AK589&gt;=설정!$C$6,"Cheap",IF(AK589&lt;=-설정!$C$6,"Rich","Fair")))</f>
        <v>-</v>
      </c>
      <c r="AM589" s="96" t="str">
        <f aca="false">IF(AE589="","",AJ589-AVERAGEIFS($AJ$2:$AJ$601,$B$2:$B$601,B589,$Y$2:$Y$601,1))</f>
        <v/>
      </c>
      <c r="AN589" s="93" t="n">
        <f aca="false">IF(AE589="",0,IF(K589&gt;1+설정!$C$8,AG589*(AA589-LN(K589-1)),0))</f>
        <v>0</v>
      </c>
      <c r="AO589" s="99" t="n">
        <f aca="false">IF($A589="",0,SUMIFS(보유분석!$AA$2:$AA$801,보유분석!$AB$2:$AB$801,ROW(),보유분석!$AC$2:$AC$801,1))</f>
        <v>0</v>
      </c>
      <c r="AP589" s="43" t="str">
        <f aca="false">IF($A589="","",TRIM(IF(R589=1,"FRN ","")&amp;IF(IFERROR(VLOOKUP(M589,설정!$A$15:$D$47,4,0),0)&gt;=10,IF(IFERROR(VLOOKUP(M589,설정!$A$15:$D$47,4,0),0)&lt;99,"BBB0미만 ",""),"")&amp;IF(OR(M589="",M589="NR"),"등급미입력 ","")&amp;IF(C589&lt;&gt;"USD","비USD ","")))</f>
        <v/>
      </c>
      <c r="AQ589" s="90" t="n">
        <f aca="false">IF(AND(Y589=1,AL589="Cheap"),IF(AND(ISERROR(SEARCH("FRN",AP589)),ISERROR(SEARCH("BBB0미만",AP589))),AK589+ROW()/1000000000,-999),-999)</f>
        <v>-999</v>
      </c>
      <c r="AR589" s="92" t="str">
        <f aca="false">IF(AND(ISNUMBER(D589),ISNUMBER(K589)),D589+AN589*MAX(K589-1,0)/100,"")</f>
        <v/>
      </c>
      <c r="AS589" s="93" t="str">
        <f aca="false">IF(AND(ISNUMBER(E589),ISNUMBER(K589)),IF(K589&gt;0,(E589+AN589*MAX(K589-1,0))/K589,""),"")</f>
        <v/>
      </c>
      <c r="AT589" s="90" t="n">
        <f aca="false">IFERROR(IF(AND(Y589=1,ROW()&lt;&gt;스왑분석!$C$12+1,ABS(K589-INDEX($K$2:$K$601,스왑분석!$C$12))&lt;=스왑분석!$C$5,ISERROR(SEARCH("FRN",AP589)),ISERROR(SEARCH("BBB0미만",AP589))),IF(AND(OR(스왑분석!$C$6="N",L589=INDEX($L$2:$L$601,스왑분석!$C$12)),OR(스왑분석!$C$7="N",N589=INDEX($N$2:$N$601,스왑분석!$C$12)),OR(스왑분석!$C$8="N",AO589=0),E589-INDEX($E$2:$E$601,스왑분석!$C$12)&gt;=스왑분석!$C$9),E589-INDEX($E$2:$E$601,스왑분석!$C$12)+ROW()/1000000000,-999),-999),-999)</f>
        <v>-999</v>
      </c>
      <c r="AU589" s="90" t="n">
        <f aca="false">IF(AND(Y589=1,AO589&gt;0,AL589="Rich"),-AK589+ROW()/1000000000,-999)</f>
        <v>-999</v>
      </c>
    </row>
    <row r="590" customFormat="false" ht="15" hidden="false" customHeight="false" outlineLevel="0" collapsed="false">
      <c r="A590" s="83" t="n">
        <f aca="false">IFERROR(IF(INDEX(원자료_시장!$A$1:$BZ$1000,설정!$L$6+ROW()-1,설정!$L$24)&amp;""="0","",INDEX(원자료_시장!$A$1:$BZ$1000,설정!$L$6+ROW()-1,설정!$L$24)),"")</f>
        <v>0</v>
      </c>
      <c r="B590" s="83" t="n">
        <f aca="false">IFERROR(IF(INDEX(원자료_시장!$A$1:$BZ$1000,설정!$L$6+ROW()-1,설정!$L$37)&amp;""="0","",INDEX(원자료_시장!$A$1:$BZ$1000,설정!$L$6+ROW()-1,설정!$L$37)),"")</f>
        <v>0</v>
      </c>
      <c r="C590" s="83" t="n">
        <f aca="false">IFERROR(IF(INDEX(원자료_시장!$A$1:$BZ$1000,설정!$L$6+ROW()-1,설정!$L$25)&amp;""="0","",INDEX(원자료_시장!$A$1:$BZ$1000,설정!$L$6+ROW()-1,설정!$L$25)),"")</f>
        <v>0</v>
      </c>
      <c r="D590" s="85" t="str">
        <f aca="false">IFERROR(IF(ISNUMBER(INDEX(원자료_시장!$A$1:$BZ$1000,설정!$L$6+ROW()-1,설정!$L$26)),INDEX(원자료_시장!$A$1:$BZ$1000,설정!$L$6+ROW()-1,설정!$L$26),""),"")</f>
        <v/>
      </c>
      <c r="E590" s="97" t="str">
        <f aca="false">IFERROR(IF(ISNUMBER(INDEX(원자료_시장!$A$1:$BZ$1000,설정!$L$6+ROW()-1,설정!$L$27)),INDEX(원자료_시장!$A$1:$BZ$1000,설정!$L$6+ROW()-1,설정!$L$27),""),"")</f>
        <v/>
      </c>
      <c r="F590" s="97" t="str">
        <f aca="false">IFERROR(IF(ISNUMBER(INDEX(원자료_시장!$A$1:$BZ$1000,설정!$L$6+ROW()-1,설정!$L$28)),INDEX(원자료_시장!$A$1:$BZ$1000,설정!$L$6+ROW()-1,설정!$L$28),""),"")</f>
        <v/>
      </c>
      <c r="G590" s="97" t="str">
        <f aca="false">IFERROR(IF(ISNUMBER(INDEX(원자료_시장!$A$1:$BZ$1000,설정!$L$6+ROW()-1,설정!$L$29)),INDEX(원자료_시장!$A$1:$BZ$1000,설정!$L$6+ROW()-1,설정!$L$29),""),"")</f>
        <v/>
      </c>
      <c r="H590" s="97" t="str">
        <f aca="false">IFERROR(IF(ISNUMBER(INDEX(원자료_시장!$A$1:$BZ$1000,설정!$L$6+ROW()-1,설정!$L$30)),INDEX(원자료_시장!$A$1:$BZ$1000,설정!$L$6+ROW()-1,설정!$L$30),""),"")</f>
        <v/>
      </c>
      <c r="I590" s="97" t="str">
        <f aca="false">IFERROR(IF(ISNUMBER(INDEX(원자료_시장!$A$1:$BZ$1000,설정!$L$6+ROW()-1,설정!$L$31)),INDEX(원자료_시장!$A$1:$BZ$1000,설정!$L$6+ROW()-1,설정!$L$31),""),"")</f>
        <v/>
      </c>
      <c r="J590" s="97" t="str">
        <f aca="false">IFERROR(IF(ISNUMBER(INDEX(원자료_시장!$A$1:$BZ$1000,설정!$L$6+ROW()-1,설정!$L$32)),INDEX(원자료_시장!$A$1:$BZ$1000,설정!$L$6+ROW()-1,설정!$L$32),""),"")</f>
        <v/>
      </c>
      <c r="K590" s="85" t="str">
        <f aca="false">IFERROR(IF(ISNUMBER(INDEX(원자료_시장!$A$1:$BZ$1000,설정!$L$6+ROW()-1,설정!$L$33)),INDEX(원자료_시장!$A$1:$BZ$1000,설정!$L$6+ROW()-1,설정!$L$33),""),"")</f>
        <v/>
      </c>
      <c r="L590" s="83" t="n">
        <f aca="false">IFERROR(IF(INDEX(원자료_시장!$A$1:$BZ$1000,설정!$L$6+ROW()-1,설정!$L$34)&amp;""="0","",INDEX(원자료_시장!$A$1:$BZ$1000,설정!$L$6+ROW()-1,설정!$L$34)),"")</f>
        <v>0</v>
      </c>
      <c r="M590" s="83" t="n">
        <f aca="false">IFERROR(IF(INDEX(원자료_시장!$A$1:$BZ$1000,설정!$L$6+ROW()-1,설정!$L$35)&amp;""="0","",INDEX(원자료_시장!$A$1:$BZ$1000,설정!$L$6+ROW()-1,설정!$L$35)),"")</f>
        <v>0</v>
      </c>
      <c r="N590" s="83" t="n">
        <f aca="false">IFERROR(IF(INDEX(원자료_시장!$A$1:$BZ$1000,설정!$L$6+ROW()-1,설정!$L$36)&amp;""="0","",INDEX(원자료_시장!$A$1:$BZ$1000,설정!$L$6+ROW()-1,설정!$L$36)),"")</f>
        <v>0</v>
      </c>
      <c r="O590" s="43" t="str">
        <f aca="false">IF($A590="","",UPPER(LEFT($A590,FIND(" ",$A590&amp;" ")-1)))</f>
        <v/>
      </c>
      <c r="P590" s="43" t="str">
        <f aca="false">IF($A590="","",TRIM(RIGHT(SUBSTITUTE(TRIM($A590)," ",REPT(" ",30)),30)))</f>
        <v/>
      </c>
      <c r="Q590" s="98" t="str">
        <f aca="false">IF($A590="","",IFERROR(DATE(IF(LEN(P590)=8,2000+VALUE(RIGHT(P590,2)),VALUE(RIGHT(P590,4))),VALUE(LEFT(P590,2)),VALUE(MID(P590,4,2))),""))</f>
        <v/>
      </c>
      <c r="R590" s="89" t="n">
        <f aca="false">IF($A590="",0,IF(ISNUMBER(SEARCH("Float",$A590)),1,0))</f>
        <v>0</v>
      </c>
      <c r="S590" s="43" t="str">
        <f aca="false">IF($A590="","",TRIM(MID($A590,LEN(O590)+2,LEN($A590)-LEN(O590)-LEN(P590)-1)))</f>
        <v/>
      </c>
      <c r="T590" s="92" t="str">
        <f aca="false">IF(OR($A590="",R590=1),"",IFERROR(IF(ISNUMBER(FIND("/",S590)),IF(ISNUMBER(FIND(" ",S590)),VALUE(LEFT(S590,FIND(" ",S590)-1))+VALUE(MID(S590,FIND(" ",S590)+1,FIND("/",S590)-FIND(" ",S590)-1))/VALUE(MID(S590,FIND("/",S590)+1,9)),VALUE(LEFT(S590,FIND("/",S590)-1))/VALUE(MID(S590,FIND("/",S590)+1,9))),VALUE(S590)),""))</f>
        <v/>
      </c>
      <c r="U590" s="43" t="str">
        <f aca="false">IF(OR($A590="",NOT(ISNUMBER(Q590))),"",TEXT(Q590,"yyyymmdd")&amp;"|"&amp;IF(R590=1,"F",TEXT(T590,"0.000")))</f>
        <v/>
      </c>
      <c r="V590" s="43" t="str">
        <f aca="false">IF(U590="","",O590&amp;"|"&amp;U590)</f>
        <v/>
      </c>
      <c r="W590" s="43" t="str">
        <f aca="false">IF($A590="","",IFERROR(IF(VLOOKUP(O590,매핑!$A$4:$E$92,3,0)="","미분류",VLOOKUP(O590,매핑!$A$4:$E$92,3,0)),"미분류"))</f>
        <v/>
      </c>
      <c r="X590" s="89" t="n">
        <f aca="false">IF($A590="",0,IF(O590="T",1,0))</f>
        <v>0</v>
      </c>
      <c r="Y590" s="89" t="n">
        <f aca="false">IF($A590="",0,IF(AND(C590="USD",X590=0,ISNUMBER(E590),ISNUMBER(K590)),IF(K590&gt;=설정!$C$8,1,0),0))</f>
        <v>0</v>
      </c>
      <c r="Z590" s="43" t="str">
        <f aca="false">IF($A590="","",N590&amp;"|"&amp;L590)</f>
        <v/>
      </c>
      <c r="AA590" s="92" t="n">
        <f aca="false">IF(Y590=1,LN(K590),0)</f>
        <v>0</v>
      </c>
      <c r="AB590" s="93" t="n">
        <f aca="false">IF(Y590=1,E590,0)</f>
        <v>0</v>
      </c>
      <c r="AC590" s="89" t="n">
        <f aca="false">IF(Y590=1,COUNTIFS($Z$2:$Z$601,Z590,$Y$2:$Y$601,1),0)</f>
        <v>0</v>
      </c>
      <c r="AD590" s="89" t="n">
        <f aca="false">IF(Y590=1,COUNTIFS($N$2:$N$601,N590,$Y$2:$Y$601,1),0)</f>
        <v>0</v>
      </c>
      <c r="AE590" s="43" t="str">
        <f aca="false">IF(Y590&lt;&gt;1,"",IF(AND(AC590&gt;=설정!$C$7,ISNUMBER(MATCH(Z590,피어커브!$A:$A,0))),Z590,IF(AND(AD590&gt;=설정!$C$7,ISNUMBER(MATCH(N590&amp;"|전체",피어커브!$A:$A,0))),N590&amp;"|전체","전체|전체")))</f>
        <v/>
      </c>
      <c r="AF590" s="93" t="str">
        <f aca="false">IF(AE590="","",INDEX(피어커브!$K:$K,MATCH(AE590,피어커브!$A:$A,0)))</f>
        <v/>
      </c>
      <c r="AG590" s="93" t="str">
        <f aca="false">IF(AE590="","",INDEX(피어커브!$J:$J,MATCH(AE590,피어커브!$A:$A,0)))</f>
        <v/>
      </c>
      <c r="AH590" s="93" t="str">
        <f aca="false">IF(AE590="","",INDEX(피어커브!$L:$L,MATCH(AE590,피어커브!$A:$A,0)))</f>
        <v/>
      </c>
      <c r="AI590" s="93" t="str">
        <f aca="false">IF(AE590="","",AF590+AG590*AA590)</f>
        <v/>
      </c>
      <c r="AJ590" s="96" t="str">
        <f aca="false">IF(AE590="","",E590-AI590)</f>
        <v/>
      </c>
      <c r="AK590" s="95" t="str">
        <f aca="false">IF(AE590="","",IF(ISNUMBER(AH590),IF(AH590&gt;0,AJ590/AH590,""),""))</f>
        <v/>
      </c>
      <c r="AL590" s="43" t="str">
        <f aca="false">IF(AK590="","-",IF(AK590&gt;=설정!$C$6,"Cheap",IF(AK590&lt;=-설정!$C$6,"Rich","Fair")))</f>
        <v>-</v>
      </c>
      <c r="AM590" s="96" t="str">
        <f aca="false">IF(AE590="","",AJ590-AVERAGEIFS($AJ$2:$AJ$601,$B$2:$B$601,B590,$Y$2:$Y$601,1))</f>
        <v/>
      </c>
      <c r="AN590" s="93" t="n">
        <f aca="false">IF(AE590="",0,IF(K590&gt;1+설정!$C$8,AG590*(AA590-LN(K590-1)),0))</f>
        <v>0</v>
      </c>
      <c r="AO590" s="99" t="n">
        <f aca="false">IF($A590="",0,SUMIFS(보유분석!$AA$2:$AA$801,보유분석!$AB$2:$AB$801,ROW(),보유분석!$AC$2:$AC$801,1))</f>
        <v>0</v>
      </c>
      <c r="AP590" s="43" t="str">
        <f aca="false">IF($A590="","",TRIM(IF(R590=1,"FRN ","")&amp;IF(IFERROR(VLOOKUP(M590,설정!$A$15:$D$47,4,0),0)&gt;=10,IF(IFERROR(VLOOKUP(M590,설정!$A$15:$D$47,4,0),0)&lt;99,"BBB0미만 ",""),"")&amp;IF(OR(M590="",M590="NR"),"등급미입력 ","")&amp;IF(C590&lt;&gt;"USD","비USD ","")))</f>
        <v/>
      </c>
      <c r="AQ590" s="90" t="n">
        <f aca="false">IF(AND(Y590=1,AL590="Cheap"),IF(AND(ISERROR(SEARCH("FRN",AP590)),ISERROR(SEARCH("BBB0미만",AP590))),AK590+ROW()/1000000000,-999),-999)</f>
        <v>-999</v>
      </c>
      <c r="AR590" s="92" t="str">
        <f aca="false">IF(AND(ISNUMBER(D590),ISNUMBER(K590)),D590+AN590*MAX(K590-1,0)/100,"")</f>
        <v/>
      </c>
      <c r="AS590" s="93" t="str">
        <f aca="false">IF(AND(ISNUMBER(E590),ISNUMBER(K590)),IF(K590&gt;0,(E590+AN590*MAX(K590-1,0))/K590,""),"")</f>
        <v/>
      </c>
      <c r="AT590" s="90" t="n">
        <f aca="false">IFERROR(IF(AND(Y590=1,ROW()&lt;&gt;스왑분석!$C$12+1,ABS(K590-INDEX($K$2:$K$601,스왑분석!$C$12))&lt;=스왑분석!$C$5,ISERROR(SEARCH("FRN",AP590)),ISERROR(SEARCH("BBB0미만",AP590))),IF(AND(OR(스왑분석!$C$6="N",L590=INDEX($L$2:$L$601,스왑분석!$C$12)),OR(스왑분석!$C$7="N",N590=INDEX($N$2:$N$601,스왑분석!$C$12)),OR(스왑분석!$C$8="N",AO590=0),E590-INDEX($E$2:$E$601,스왑분석!$C$12)&gt;=스왑분석!$C$9),E590-INDEX($E$2:$E$601,스왑분석!$C$12)+ROW()/1000000000,-999),-999),-999)</f>
        <v>-999</v>
      </c>
      <c r="AU590" s="90" t="n">
        <f aca="false">IF(AND(Y590=1,AO590&gt;0,AL590="Rich"),-AK590+ROW()/1000000000,-999)</f>
        <v>-999</v>
      </c>
    </row>
    <row r="591" customFormat="false" ht="15" hidden="false" customHeight="false" outlineLevel="0" collapsed="false">
      <c r="A591" s="83" t="n">
        <f aca="false">IFERROR(IF(INDEX(원자료_시장!$A$1:$BZ$1000,설정!$L$6+ROW()-1,설정!$L$24)&amp;""="0","",INDEX(원자료_시장!$A$1:$BZ$1000,설정!$L$6+ROW()-1,설정!$L$24)),"")</f>
        <v>0</v>
      </c>
      <c r="B591" s="83" t="n">
        <f aca="false">IFERROR(IF(INDEX(원자료_시장!$A$1:$BZ$1000,설정!$L$6+ROW()-1,설정!$L$37)&amp;""="0","",INDEX(원자료_시장!$A$1:$BZ$1000,설정!$L$6+ROW()-1,설정!$L$37)),"")</f>
        <v>0</v>
      </c>
      <c r="C591" s="83" t="n">
        <f aca="false">IFERROR(IF(INDEX(원자료_시장!$A$1:$BZ$1000,설정!$L$6+ROW()-1,설정!$L$25)&amp;""="0","",INDEX(원자료_시장!$A$1:$BZ$1000,설정!$L$6+ROW()-1,설정!$L$25)),"")</f>
        <v>0</v>
      </c>
      <c r="D591" s="85" t="str">
        <f aca="false">IFERROR(IF(ISNUMBER(INDEX(원자료_시장!$A$1:$BZ$1000,설정!$L$6+ROW()-1,설정!$L$26)),INDEX(원자료_시장!$A$1:$BZ$1000,설정!$L$6+ROW()-1,설정!$L$26),""),"")</f>
        <v/>
      </c>
      <c r="E591" s="97" t="str">
        <f aca="false">IFERROR(IF(ISNUMBER(INDEX(원자료_시장!$A$1:$BZ$1000,설정!$L$6+ROW()-1,설정!$L$27)),INDEX(원자료_시장!$A$1:$BZ$1000,설정!$L$6+ROW()-1,설정!$L$27),""),"")</f>
        <v/>
      </c>
      <c r="F591" s="97" t="str">
        <f aca="false">IFERROR(IF(ISNUMBER(INDEX(원자료_시장!$A$1:$BZ$1000,설정!$L$6+ROW()-1,설정!$L$28)),INDEX(원자료_시장!$A$1:$BZ$1000,설정!$L$6+ROW()-1,설정!$L$28),""),"")</f>
        <v/>
      </c>
      <c r="G591" s="97" t="str">
        <f aca="false">IFERROR(IF(ISNUMBER(INDEX(원자료_시장!$A$1:$BZ$1000,설정!$L$6+ROW()-1,설정!$L$29)),INDEX(원자료_시장!$A$1:$BZ$1000,설정!$L$6+ROW()-1,설정!$L$29),""),"")</f>
        <v/>
      </c>
      <c r="H591" s="97" t="str">
        <f aca="false">IFERROR(IF(ISNUMBER(INDEX(원자료_시장!$A$1:$BZ$1000,설정!$L$6+ROW()-1,설정!$L$30)),INDEX(원자료_시장!$A$1:$BZ$1000,설정!$L$6+ROW()-1,설정!$L$30),""),"")</f>
        <v/>
      </c>
      <c r="I591" s="97" t="str">
        <f aca="false">IFERROR(IF(ISNUMBER(INDEX(원자료_시장!$A$1:$BZ$1000,설정!$L$6+ROW()-1,설정!$L$31)),INDEX(원자료_시장!$A$1:$BZ$1000,설정!$L$6+ROW()-1,설정!$L$31),""),"")</f>
        <v/>
      </c>
      <c r="J591" s="97" t="str">
        <f aca="false">IFERROR(IF(ISNUMBER(INDEX(원자료_시장!$A$1:$BZ$1000,설정!$L$6+ROW()-1,설정!$L$32)),INDEX(원자료_시장!$A$1:$BZ$1000,설정!$L$6+ROW()-1,설정!$L$32),""),"")</f>
        <v/>
      </c>
      <c r="K591" s="85" t="str">
        <f aca="false">IFERROR(IF(ISNUMBER(INDEX(원자료_시장!$A$1:$BZ$1000,설정!$L$6+ROW()-1,설정!$L$33)),INDEX(원자료_시장!$A$1:$BZ$1000,설정!$L$6+ROW()-1,설정!$L$33),""),"")</f>
        <v/>
      </c>
      <c r="L591" s="83" t="n">
        <f aca="false">IFERROR(IF(INDEX(원자료_시장!$A$1:$BZ$1000,설정!$L$6+ROW()-1,설정!$L$34)&amp;""="0","",INDEX(원자료_시장!$A$1:$BZ$1000,설정!$L$6+ROW()-1,설정!$L$34)),"")</f>
        <v>0</v>
      </c>
      <c r="M591" s="83" t="n">
        <f aca="false">IFERROR(IF(INDEX(원자료_시장!$A$1:$BZ$1000,설정!$L$6+ROW()-1,설정!$L$35)&amp;""="0","",INDEX(원자료_시장!$A$1:$BZ$1000,설정!$L$6+ROW()-1,설정!$L$35)),"")</f>
        <v>0</v>
      </c>
      <c r="N591" s="83" t="n">
        <f aca="false">IFERROR(IF(INDEX(원자료_시장!$A$1:$BZ$1000,설정!$L$6+ROW()-1,설정!$L$36)&amp;""="0","",INDEX(원자료_시장!$A$1:$BZ$1000,설정!$L$6+ROW()-1,설정!$L$36)),"")</f>
        <v>0</v>
      </c>
      <c r="O591" s="43" t="str">
        <f aca="false">IF($A591="","",UPPER(LEFT($A591,FIND(" ",$A591&amp;" ")-1)))</f>
        <v/>
      </c>
      <c r="P591" s="43" t="str">
        <f aca="false">IF($A591="","",TRIM(RIGHT(SUBSTITUTE(TRIM($A591)," ",REPT(" ",30)),30)))</f>
        <v/>
      </c>
      <c r="Q591" s="98" t="str">
        <f aca="false">IF($A591="","",IFERROR(DATE(IF(LEN(P591)=8,2000+VALUE(RIGHT(P591,2)),VALUE(RIGHT(P591,4))),VALUE(LEFT(P591,2)),VALUE(MID(P591,4,2))),""))</f>
        <v/>
      </c>
      <c r="R591" s="89" t="n">
        <f aca="false">IF($A591="",0,IF(ISNUMBER(SEARCH("Float",$A591)),1,0))</f>
        <v>0</v>
      </c>
      <c r="S591" s="43" t="str">
        <f aca="false">IF($A591="","",TRIM(MID($A591,LEN(O591)+2,LEN($A591)-LEN(O591)-LEN(P591)-1)))</f>
        <v/>
      </c>
      <c r="T591" s="92" t="str">
        <f aca="false">IF(OR($A591="",R591=1),"",IFERROR(IF(ISNUMBER(FIND("/",S591)),IF(ISNUMBER(FIND(" ",S591)),VALUE(LEFT(S591,FIND(" ",S591)-1))+VALUE(MID(S591,FIND(" ",S591)+1,FIND("/",S591)-FIND(" ",S591)-1))/VALUE(MID(S591,FIND("/",S591)+1,9)),VALUE(LEFT(S591,FIND("/",S591)-1))/VALUE(MID(S591,FIND("/",S591)+1,9))),VALUE(S591)),""))</f>
        <v/>
      </c>
      <c r="U591" s="43" t="str">
        <f aca="false">IF(OR($A591="",NOT(ISNUMBER(Q591))),"",TEXT(Q591,"yyyymmdd")&amp;"|"&amp;IF(R591=1,"F",TEXT(T591,"0.000")))</f>
        <v/>
      </c>
      <c r="V591" s="43" t="str">
        <f aca="false">IF(U591="","",O591&amp;"|"&amp;U591)</f>
        <v/>
      </c>
      <c r="W591" s="43" t="str">
        <f aca="false">IF($A591="","",IFERROR(IF(VLOOKUP(O591,매핑!$A$4:$E$92,3,0)="","미분류",VLOOKUP(O591,매핑!$A$4:$E$92,3,0)),"미분류"))</f>
        <v/>
      </c>
      <c r="X591" s="89" t="n">
        <f aca="false">IF($A591="",0,IF(O591="T",1,0))</f>
        <v>0</v>
      </c>
      <c r="Y591" s="89" t="n">
        <f aca="false">IF($A591="",0,IF(AND(C591="USD",X591=0,ISNUMBER(E591),ISNUMBER(K591)),IF(K591&gt;=설정!$C$8,1,0),0))</f>
        <v>0</v>
      </c>
      <c r="Z591" s="43" t="str">
        <f aca="false">IF($A591="","",N591&amp;"|"&amp;L591)</f>
        <v/>
      </c>
      <c r="AA591" s="92" t="n">
        <f aca="false">IF(Y591=1,LN(K591),0)</f>
        <v>0</v>
      </c>
      <c r="AB591" s="93" t="n">
        <f aca="false">IF(Y591=1,E591,0)</f>
        <v>0</v>
      </c>
      <c r="AC591" s="89" t="n">
        <f aca="false">IF(Y591=1,COUNTIFS($Z$2:$Z$601,Z591,$Y$2:$Y$601,1),0)</f>
        <v>0</v>
      </c>
      <c r="AD591" s="89" t="n">
        <f aca="false">IF(Y591=1,COUNTIFS($N$2:$N$601,N591,$Y$2:$Y$601,1),0)</f>
        <v>0</v>
      </c>
      <c r="AE591" s="43" t="str">
        <f aca="false">IF(Y591&lt;&gt;1,"",IF(AND(AC591&gt;=설정!$C$7,ISNUMBER(MATCH(Z591,피어커브!$A:$A,0))),Z591,IF(AND(AD591&gt;=설정!$C$7,ISNUMBER(MATCH(N591&amp;"|전체",피어커브!$A:$A,0))),N591&amp;"|전체","전체|전체")))</f>
        <v/>
      </c>
      <c r="AF591" s="93" t="str">
        <f aca="false">IF(AE591="","",INDEX(피어커브!$K:$K,MATCH(AE591,피어커브!$A:$A,0)))</f>
        <v/>
      </c>
      <c r="AG591" s="93" t="str">
        <f aca="false">IF(AE591="","",INDEX(피어커브!$J:$J,MATCH(AE591,피어커브!$A:$A,0)))</f>
        <v/>
      </c>
      <c r="AH591" s="93" t="str">
        <f aca="false">IF(AE591="","",INDEX(피어커브!$L:$L,MATCH(AE591,피어커브!$A:$A,0)))</f>
        <v/>
      </c>
      <c r="AI591" s="93" t="str">
        <f aca="false">IF(AE591="","",AF591+AG591*AA591)</f>
        <v/>
      </c>
      <c r="AJ591" s="96" t="str">
        <f aca="false">IF(AE591="","",E591-AI591)</f>
        <v/>
      </c>
      <c r="AK591" s="95" t="str">
        <f aca="false">IF(AE591="","",IF(ISNUMBER(AH591),IF(AH591&gt;0,AJ591/AH591,""),""))</f>
        <v/>
      </c>
      <c r="AL591" s="43" t="str">
        <f aca="false">IF(AK591="","-",IF(AK591&gt;=설정!$C$6,"Cheap",IF(AK591&lt;=-설정!$C$6,"Rich","Fair")))</f>
        <v>-</v>
      </c>
      <c r="AM591" s="96" t="str">
        <f aca="false">IF(AE591="","",AJ591-AVERAGEIFS($AJ$2:$AJ$601,$B$2:$B$601,B591,$Y$2:$Y$601,1))</f>
        <v/>
      </c>
      <c r="AN591" s="93" t="n">
        <f aca="false">IF(AE591="",0,IF(K591&gt;1+설정!$C$8,AG591*(AA591-LN(K591-1)),0))</f>
        <v>0</v>
      </c>
      <c r="AO591" s="99" t="n">
        <f aca="false">IF($A591="",0,SUMIFS(보유분석!$AA$2:$AA$801,보유분석!$AB$2:$AB$801,ROW(),보유분석!$AC$2:$AC$801,1))</f>
        <v>0</v>
      </c>
      <c r="AP591" s="43" t="str">
        <f aca="false">IF($A591="","",TRIM(IF(R591=1,"FRN ","")&amp;IF(IFERROR(VLOOKUP(M591,설정!$A$15:$D$47,4,0),0)&gt;=10,IF(IFERROR(VLOOKUP(M591,설정!$A$15:$D$47,4,0),0)&lt;99,"BBB0미만 ",""),"")&amp;IF(OR(M591="",M591="NR"),"등급미입력 ","")&amp;IF(C591&lt;&gt;"USD","비USD ","")))</f>
        <v/>
      </c>
      <c r="AQ591" s="90" t="n">
        <f aca="false">IF(AND(Y591=1,AL591="Cheap"),IF(AND(ISERROR(SEARCH("FRN",AP591)),ISERROR(SEARCH("BBB0미만",AP591))),AK591+ROW()/1000000000,-999),-999)</f>
        <v>-999</v>
      </c>
      <c r="AR591" s="92" t="str">
        <f aca="false">IF(AND(ISNUMBER(D591),ISNUMBER(K591)),D591+AN591*MAX(K591-1,0)/100,"")</f>
        <v/>
      </c>
      <c r="AS591" s="93" t="str">
        <f aca="false">IF(AND(ISNUMBER(E591),ISNUMBER(K591)),IF(K591&gt;0,(E591+AN591*MAX(K591-1,0))/K591,""),"")</f>
        <v/>
      </c>
      <c r="AT591" s="90" t="n">
        <f aca="false">IFERROR(IF(AND(Y591=1,ROW()&lt;&gt;스왑분석!$C$12+1,ABS(K591-INDEX($K$2:$K$601,스왑분석!$C$12))&lt;=스왑분석!$C$5,ISERROR(SEARCH("FRN",AP591)),ISERROR(SEARCH("BBB0미만",AP591))),IF(AND(OR(스왑분석!$C$6="N",L591=INDEX($L$2:$L$601,스왑분석!$C$12)),OR(스왑분석!$C$7="N",N591=INDEX($N$2:$N$601,스왑분석!$C$12)),OR(스왑분석!$C$8="N",AO591=0),E591-INDEX($E$2:$E$601,스왑분석!$C$12)&gt;=스왑분석!$C$9),E591-INDEX($E$2:$E$601,스왑분석!$C$12)+ROW()/1000000000,-999),-999),-999)</f>
        <v>-999</v>
      </c>
      <c r="AU591" s="90" t="n">
        <f aca="false">IF(AND(Y591=1,AO591&gt;0,AL591="Rich"),-AK591+ROW()/1000000000,-999)</f>
        <v>-999</v>
      </c>
    </row>
    <row r="592" customFormat="false" ht="15" hidden="false" customHeight="false" outlineLevel="0" collapsed="false">
      <c r="A592" s="83" t="n">
        <f aca="false">IFERROR(IF(INDEX(원자료_시장!$A$1:$BZ$1000,설정!$L$6+ROW()-1,설정!$L$24)&amp;""="0","",INDEX(원자료_시장!$A$1:$BZ$1000,설정!$L$6+ROW()-1,설정!$L$24)),"")</f>
        <v>0</v>
      </c>
      <c r="B592" s="83" t="n">
        <f aca="false">IFERROR(IF(INDEX(원자료_시장!$A$1:$BZ$1000,설정!$L$6+ROW()-1,설정!$L$37)&amp;""="0","",INDEX(원자료_시장!$A$1:$BZ$1000,설정!$L$6+ROW()-1,설정!$L$37)),"")</f>
        <v>0</v>
      </c>
      <c r="C592" s="83" t="n">
        <f aca="false">IFERROR(IF(INDEX(원자료_시장!$A$1:$BZ$1000,설정!$L$6+ROW()-1,설정!$L$25)&amp;""="0","",INDEX(원자료_시장!$A$1:$BZ$1000,설정!$L$6+ROW()-1,설정!$L$25)),"")</f>
        <v>0</v>
      </c>
      <c r="D592" s="85" t="str">
        <f aca="false">IFERROR(IF(ISNUMBER(INDEX(원자료_시장!$A$1:$BZ$1000,설정!$L$6+ROW()-1,설정!$L$26)),INDEX(원자료_시장!$A$1:$BZ$1000,설정!$L$6+ROW()-1,설정!$L$26),""),"")</f>
        <v/>
      </c>
      <c r="E592" s="97" t="str">
        <f aca="false">IFERROR(IF(ISNUMBER(INDEX(원자료_시장!$A$1:$BZ$1000,설정!$L$6+ROW()-1,설정!$L$27)),INDEX(원자료_시장!$A$1:$BZ$1000,설정!$L$6+ROW()-1,설정!$L$27),""),"")</f>
        <v/>
      </c>
      <c r="F592" s="97" t="str">
        <f aca="false">IFERROR(IF(ISNUMBER(INDEX(원자료_시장!$A$1:$BZ$1000,설정!$L$6+ROW()-1,설정!$L$28)),INDEX(원자료_시장!$A$1:$BZ$1000,설정!$L$6+ROW()-1,설정!$L$28),""),"")</f>
        <v/>
      </c>
      <c r="G592" s="97" t="str">
        <f aca="false">IFERROR(IF(ISNUMBER(INDEX(원자료_시장!$A$1:$BZ$1000,설정!$L$6+ROW()-1,설정!$L$29)),INDEX(원자료_시장!$A$1:$BZ$1000,설정!$L$6+ROW()-1,설정!$L$29),""),"")</f>
        <v/>
      </c>
      <c r="H592" s="97" t="str">
        <f aca="false">IFERROR(IF(ISNUMBER(INDEX(원자료_시장!$A$1:$BZ$1000,설정!$L$6+ROW()-1,설정!$L$30)),INDEX(원자료_시장!$A$1:$BZ$1000,설정!$L$6+ROW()-1,설정!$L$30),""),"")</f>
        <v/>
      </c>
      <c r="I592" s="97" t="str">
        <f aca="false">IFERROR(IF(ISNUMBER(INDEX(원자료_시장!$A$1:$BZ$1000,설정!$L$6+ROW()-1,설정!$L$31)),INDEX(원자료_시장!$A$1:$BZ$1000,설정!$L$6+ROW()-1,설정!$L$31),""),"")</f>
        <v/>
      </c>
      <c r="J592" s="97" t="str">
        <f aca="false">IFERROR(IF(ISNUMBER(INDEX(원자료_시장!$A$1:$BZ$1000,설정!$L$6+ROW()-1,설정!$L$32)),INDEX(원자료_시장!$A$1:$BZ$1000,설정!$L$6+ROW()-1,설정!$L$32),""),"")</f>
        <v/>
      </c>
      <c r="K592" s="85" t="str">
        <f aca="false">IFERROR(IF(ISNUMBER(INDEX(원자료_시장!$A$1:$BZ$1000,설정!$L$6+ROW()-1,설정!$L$33)),INDEX(원자료_시장!$A$1:$BZ$1000,설정!$L$6+ROW()-1,설정!$L$33),""),"")</f>
        <v/>
      </c>
      <c r="L592" s="83" t="n">
        <f aca="false">IFERROR(IF(INDEX(원자료_시장!$A$1:$BZ$1000,설정!$L$6+ROW()-1,설정!$L$34)&amp;""="0","",INDEX(원자료_시장!$A$1:$BZ$1000,설정!$L$6+ROW()-1,설정!$L$34)),"")</f>
        <v>0</v>
      </c>
      <c r="M592" s="83" t="n">
        <f aca="false">IFERROR(IF(INDEX(원자료_시장!$A$1:$BZ$1000,설정!$L$6+ROW()-1,설정!$L$35)&amp;""="0","",INDEX(원자료_시장!$A$1:$BZ$1000,설정!$L$6+ROW()-1,설정!$L$35)),"")</f>
        <v>0</v>
      </c>
      <c r="N592" s="83" t="n">
        <f aca="false">IFERROR(IF(INDEX(원자료_시장!$A$1:$BZ$1000,설정!$L$6+ROW()-1,설정!$L$36)&amp;""="0","",INDEX(원자료_시장!$A$1:$BZ$1000,설정!$L$6+ROW()-1,설정!$L$36)),"")</f>
        <v>0</v>
      </c>
      <c r="O592" s="43" t="str">
        <f aca="false">IF($A592="","",UPPER(LEFT($A592,FIND(" ",$A592&amp;" ")-1)))</f>
        <v/>
      </c>
      <c r="P592" s="43" t="str">
        <f aca="false">IF($A592="","",TRIM(RIGHT(SUBSTITUTE(TRIM($A592)," ",REPT(" ",30)),30)))</f>
        <v/>
      </c>
      <c r="Q592" s="98" t="str">
        <f aca="false">IF($A592="","",IFERROR(DATE(IF(LEN(P592)=8,2000+VALUE(RIGHT(P592,2)),VALUE(RIGHT(P592,4))),VALUE(LEFT(P592,2)),VALUE(MID(P592,4,2))),""))</f>
        <v/>
      </c>
      <c r="R592" s="89" t="n">
        <f aca="false">IF($A592="",0,IF(ISNUMBER(SEARCH("Float",$A592)),1,0))</f>
        <v>0</v>
      </c>
      <c r="S592" s="43" t="str">
        <f aca="false">IF($A592="","",TRIM(MID($A592,LEN(O592)+2,LEN($A592)-LEN(O592)-LEN(P592)-1)))</f>
        <v/>
      </c>
      <c r="T592" s="92" t="str">
        <f aca="false">IF(OR($A592="",R592=1),"",IFERROR(IF(ISNUMBER(FIND("/",S592)),IF(ISNUMBER(FIND(" ",S592)),VALUE(LEFT(S592,FIND(" ",S592)-1))+VALUE(MID(S592,FIND(" ",S592)+1,FIND("/",S592)-FIND(" ",S592)-1))/VALUE(MID(S592,FIND("/",S592)+1,9)),VALUE(LEFT(S592,FIND("/",S592)-1))/VALUE(MID(S592,FIND("/",S592)+1,9))),VALUE(S592)),""))</f>
        <v/>
      </c>
      <c r="U592" s="43" t="str">
        <f aca="false">IF(OR($A592="",NOT(ISNUMBER(Q592))),"",TEXT(Q592,"yyyymmdd")&amp;"|"&amp;IF(R592=1,"F",TEXT(T592,"0.000")))</f>
        <v/>
      </c>
      <c r="V592" s="43" t="str">
        <f aca="false">IF(U592="","",O592&amp;"|"&amp;U592)</f>
        <v/>
      </c>
      <c r="W592" s="43" t="str">
        <f aca="false">IF($A592="","",IFERROR(IF(VLOOKUP(O592,매핑!$A$4:$E$92,3,0)="","미분류",VLOOKUP(O592,매핑!$A$4:$E$92,3,0)),"미분류"))</f>
        <v/>
      </c>
      <c r="X592" s="89" t="n">
        <f aca="false">IF($A592="",0,IF(O592="T",1,0))</f>
        <v>0</v>
      </c>
      <c r="Y592" s="89" t="n">
        <f aca="false">IF($A592="",0,IF(AND(C592="USD",X592=0,ISNUMBER(E592),ISNUMBER(K592)),IF(K592&gt;=설정!$C$8,1,0),0))</f>
        <v>0</v>
      </c>
      <c r="Z592" s="43" t="str">
        <f aca="false">IF($A592="","",N592&amp;"|"&amp;L592)</f>
        <v/>
      </c>
      <c r="AA592" s="92" t="n">
        <f aca="false">IF(Y592=1,LN(K592),0)</f>
        <v>0</v>
      </c>
      <c r="AB592" s="93" t="n">
        <f aca="false">IF(Y592=1,E592,0)</f>
        <v>0</v>
      </c>
      <c r="AC592" s="89" t="n">
        <f aca="false">IF(Y592=1,COUNTIFS($Z$2:$Z$601,Z592,$Y$2:$Y$601,1),0)</f>
        <v>0</v>
      </c>
      <c r="AD592" s="89" t="n">
        <f aca="false">IF(Y592=1,COUNTIFS($N$2:$N$601,N592,$Y$2:$Y$601,1),0)</f>
        <v>0</v>
      </c>
      <c r="AE592" s="43" t="str">
        <f aca="false">IF(Y592&lt;&gt;1,"",IF(AND(AC592&gt;=설정!$C$7,ISNUMBER(MATCH(Z592,피어커브!$A:$A,0))),Z592,IF(AND(AD592&gt;=설정!$C$7,ISNUMBER(MATCH(N592&amp;"|전체",피어커브!$A:$A,0))),N592&amp;"|전체","전체|전체")))</f>
        <v/>
      </c>
      <c r="AF592" s="93" t="str">
        <f aca="false">IF(AE592="","",INDEX(피어커브!$K:$K,MATCH(AE592,피어커브!$A:$A,0)))</f>
        <v/>
      </c>
      <c r="AG592" s="93" t="str">
        <f aca="false">IF(AE592="","",INDEX(피어커브!$J:$J,MATCH(AE592,피어커브!$A:$A,0)))</f>
        <v/>
      </c>
      <c r="AH592" s="93" t="str">
        <f aca="false">IF(AE592="","",INDEX(피어커브!$L:$L,MATCH(AE592,피어커브!$A:$A,0)))</f>
        <v/>
      </c>
      <c r="AI592" s="93" t="str">
        <f aca="false">IF(AE592="","",AF592+AG592*AA592)</f>
        <v/>
      </c>
      <c r="AJ592" s="96" t="str">
        <f aca="false">IF(AE592="","",E592-AI592)</f>
        <v/>
      </c>
      <c r="AK592" s="95" t="str">
        <f aca="false">IF(AE592="","",IF(ISNUMBER(AH592),IF(AH592&gt;0,AJ592/AH592,""),""))</f>
        <v/>
      </c>
      <c r="AL592" s="43" t="str">
        <f aca="false">IF(AK592="","-",IF(AK592&gt;=설정!$C$6,"Cheap",IF(AK592&lt;=-설정!$C$6,"Rich","Fair")))</f>
        <v>-</v>
      </c>
      <c r="AM592" s="96" t="str">
        <f aca="false">IF(AE592="","",AJ592-AVERAGEIFS($AJ$2:$AJ$601,$B$2:$B$601,B592,$Y$2:$Y$601,1))</f>
        <v/>
      </c>
      <c r="AN592" s="93" t="n">
        <f aca="false">IF(AE592="",0,IF(K592&gt;1+설정!$C$8,AG592*(AA592-LN(K592-1)),0))</f>
        <v>0</v>
      </c>
      <c r="AO592" s="99" t="n">
        <f aca="false">IF($A592="",0,SUMIFS(보유분석!$AA$2:$AA$801,보유분석!$AB$2:$AB$801,ROW(),보유분석!$AC$2:$AC$801,1))</f>
        <v>0</v>
      </c>
      <c r="AP592" s="43" t="str">
        <f aca="false">IF($A592="","",TRIM(IF(R592=1,"FRN ","")&amp;IF(IFERROR(VLOOKUP(M592,설정!$A$15:$D$47,4,0),0)&gt;=10,IF(IFERROR(VLOOKUP(M592,설정!$A$15:$D$47,4,0),0)&lt;99,"BBB0미만 ",""),"")&amp;IF(OR(M592="",M592="NR"),"등급미입력 ","")&amp;IF(C592&lt;&gt;"USD","비USD ","")))</f>
        <v/>
      </c>
      <c r="AQ592" s="90" t="n">
        <f aca="false">IF(AND(Y592=1,AL592="Cheap"),IF(AND(ISERROR(SEARCH("FRN",AP592)),ISERROR(SEARCH("BBB0미만",AP592))),AK592+ROW()/1000000000,-999),-999)</f>
        <v>-999</v>
      </c>
      <c r="AR592" s="92" t="str">
        <f aca="false">IF(AND(ISNUMBER(D592),ISNUMBER(K592)),D592+AN592*MAX(K592-1,0)/100,"")</f>
        <v/>
      </c>
      <c r="AS592" s="93" t="str">
        <f aca="false">IF(AND(ISNUMBER(E592),ISNUMBER(K592)),IF(K592&gt;0,(E592+AN592*MAX(K592-1,0))/K592,""),"")</f>
        <v/>
      </c>
      <c r="AT592" s="90" t="n">
        <f aca="false">IFERROR(IF(AND(Y592=1,ROW()&lt;&gt;스왑분석!$C$12+1,ABS(K592-INDEX($K$2:$K$601,스왑분석!$C$12))&lt;=스왑분석!$C$5,ISERROR(SEARCH("FRN",AP592)),ISERROR(SEARCH("BBB0미만",AP592))),IF(AND(OR(스왑분석!$C$6="N",L592=INDEX($L$2:$L$601,스왑분석!$C$12)),OR(스왑분석!$C$7="N",N592=INDEX($N$2:$N$601,스왑분석!$C$12)),OR(스왑분석!$C$8="N",AO592=0),E592-INDEX($E$2:$E$601,스왑분석!$C$12)&gt;=스왑분석!$C$9),E592-INDEX($E$2:$E$601,스왑분석!$C$12)+ROW()/1000000000,-999),-999),-999)</f>
        <v>-999</v>
      </c>
      <c r="AU592" s="90" t="n">
        <f aca="false">IF(AND(Y592=1,AO592&gt;0,AL592="Rich"),-AK592+ROW()/1000000000,-999)</f>
        <v>-999</v>
      </c>
    </row>
    <row r="593" customFormat="false" ht="15" hidden="false" customHeight="false" outlineLevel="0" collapsed="false">
      <c r="A593" s="83" t="n">
        <f aca="false">IFERROR(IF(INDEX(원자료_시장!$A$1:$BZ$1000,설정!$L$6+ROW()-1,설정!$L$24)&amp;""="0","",INDEX(원자료_시장!$A$1:$BZ$1000,설정!$L$6+ROW()-1,설정!$L$24)),"")</f>
        <v>0</v>
      </c>
      <c r="B593" s="83" t="n">
        <f aca="false">IFERROR(IF(INDEX(원자료_시장!$A$1:$BZ$1000,설정!$L$6+ROW()-1,설정!$L$37)&amp;""="0","",INDEX(원자료_시장!$A$1:$BZ$1000,설정!$L$6+ROW()-1,설정!$L$37)),"")</f>
        <v>0</v>
      </c>
      <c r="C593" s="83" t="n">
        <f aca="false">IFERROR(IF(INDEX(원자료_시장!$A$1:$BZ$1000,설정!$L$6+ROW()-1,설정!$L$25)&amp;""="0","",INDEX(원자료_시장!$A$1:$BZ$1000,설정!$L$6+ROW()-1,설정!$L$25)),"")</f>
        <v>0</v>
      </c>
      <c r="D593" s="85" t="str">
        <f aca="false">IFERROR(IF(ISNUMBER(INDEX(원자료_시장!$A$1:$BZ$1000,설정!$L$6+ROW()-1,설정!$L$26)),INDEX(원자료_시장!$A$1:$BZ$1000,설정!$L$6+ROW()-1,설정!$L$26),""),"")</f>
        <v/>
      </c>
      <c r="E593" s="97" t="str">
        <f aca="false">IFERROR(IF(ISNUMBER(INDEX(원자료_시장!$A$1:$BZ$1000,설정!$L$6+ROW()-1,설정!$L$27)),INDEX(원자료_시장!$A$1:$BZ$1000,설정!$L$6+ROW()-1,설정!$L$27),""),"")</f>
        <v/>
      </c>
      <c r="F593" s="97" t="str">
        <f aca="false">IFERROR(IF(ISNUMBER(INDEX(원자료_시장!$A$1:$BZ$1000,설정!$L$6+ROW()-1,설정!$L$28)),INDEX(원자료_시장!$A$1:$BZ$1000,설정!$L$6+ROW()-1,설정!$L$28),""),"")</f>
        <v/>
      </c>
      <c r="G593" s="97" t="str">
        <f aca="false">IFERROR(IF(ISNUMBER(INDEX(원자료_시장!$A$1:$BZ$1000,설정!$L$6+ROW()-1,설정!$L$29)),INDEX(원자료_시장!$A$1:$BZ$1000,설정!$L$6+ROW()-1,설정!$L$29),""),"")</f>
        <v/>
      </c>
      <c r="H593" s="97" t="str">
        <f aca="false">IFERROR(IF(ISNUMBER(INDEX(원자료_시장!$A$1:$BZ$1000,설정!$L$6+ROW()-1,설정!$L$30)),INDEX(원자료_시장!$A$1:$BZ$1000,설정!$L$6+ROW()-1,설정!$L$30),""),"")</f>
        <v/>
      </c>
      <c r="I593" s="97" t="str">
        <f aca="false">IFERROR(IF(ISNUMBER(INDEX(원자료_시장!$A$1:$BZ$1000,설정!$L$6+ROW()-1,설정!$L$31)),INDEX(원자료_시장!$A$1:$BZ$1000,설정!$L$6+ROW()-1,설정!$L$31),""),"")</f>
        <v/>
      </c>
      <c r="J593" s="97" t="str">
        <f aca="false">IFERROR(IF(ISNUMBER(INDEX(원자료_시장!$A$1:$BZ$1000,설정!$L$6+ROW()-1,설정!$L$32)),INDEX(원자료_시장!$A$1:$BZ$1000,설정!$L$6+ROW()-1,설정!$L$32),""),"")</f>
        <v/>
      </c>
      <c r="K593" s="85" t="str">
        <f aca="false">IFERROR(IF(ISNUMBER(INDEX(원자료_시장!$A$1:$BZ$1000,설정!$L$6+ROW()-1,설정!$L$33)),INDEX(원자료_시장!$A$1:$BZ$1000,설정!$L$6+ROW()-1,설정!$L$33),""),"")</f>
        <v/>
      </c>
      <c r="L593" s="83" t="n">
        <f aca="false">IFERROR(IF(INDEX(원자료_시장!$A$1:$BZ$1000,설정!$L$6+ROW()-1,설정!$L$34)&amp;""="0","",INDEX(원자료_시장!$A$1:$BZ$1000,설정!$L$6+ROW()-1,설정!$L$34)),"")</f>
        <v>0</v>
      </c>
      <c r="M593" s="83" t="n">
        <f aca="false">IFERROR(IF(INDEX(원자료_시장!$A$1:$BZ$1000,설정!$L$6+ROW()-1,설정!$L$35)&amp;""="0","",INDEX(원자료_시장!$A$1:$BZ$1000,설정!$L$6+ROW()-1,설정!$L$35)),"")</f>
        <v>0</v>
      </c>
      <c r="N593" s="83" t="n">
        <f aca="false">IFERROR(IF(INDEX(원자료_시장!$A$1:$BZ$1000,설정!$L$6+ROW()-1,설정!$L$36)&amp;""="0","",INDEX(원자료_시장!$A$1:$BZ$1000,설정!$L$6+ROW()-1,설정!$L$36)),"")</f>
        <v>0</v>
      </c>
      <c r="O593" s="43" t="str">
        <f aca="false">IF($A593="","",UPPER(LEFT($A593,FIND(" ",$A593&amp;" ")-1)))</f>
        <v/>
      </c>
      <c r="P593" s="43" t="str">
        <f aca="false">IF($A593="","",TRIM(RIGHT(SUBSTITUTE(TRIM($A593)," ",REPT(" ",30)),30)))</f>
        <v/>
      </c>
      <c r="Q593" s="98" t="str">
        <f aca="false">IF($A593="","",IFERROR(DATE(IF(LEN(P593)=8,2000+VALUE(RIGHT(P593,2)),VALUE(RIGHT(P593,4))),VALUE(LEFT(P593,2)),VALUE(MID(P593,4,2))),""))</f>
        <v/>
      </c>
      <c r="R593" s="89" t="n">
        <f aca="false">IF($A593="",0,IF(ISNUMBER(SEARCH("Float",$A593)),1,0))</f>
        <v>0</v>
      </c>
      <c r="S593" s="43" t="str">
        <f aca="false">IF($A593="","",TRIM(MID($A593,LEN(O593)+2,LEN($A593)-LEN(O593)-LEN(P593)-1)))</f>
        <v/>
      </c>
      <c r="T593" s="92" t="str">
        <f aca="false">IF(OR($A593="",R593=1),"",IFERROR(IF(ISNUMBER(FIND("/",S593)),IF(ISNUMBER(FIND(" ",S593)),VALUE(LEFT(S593,FIND(" ",S593)-1))+VALUE(MID(S593,FIND(" ",S593)+1,FIND("/",S593)-FIND(" ",S593)-1))/VALUE(MID(S593,FIND("/",S593)+1,9)),VALUE(LEFT(S593,FIND("/",S593)-1))/VALUE(MID(S593,FIND("/",S593)+1,9))),VALUE(S593)),""))</f>
        <v/>
      </c>
      <c r="U593" s="43" t="str">
        <f aca="false">IF(OR($A593="",NOT(ISNUMBER(Q593))),"",TEXT(Q593,"yyyymmdd")&amp;"|"&amp;IF(R593=1,"F",TEXT(T593,"0.000")))</f>
        <v/>
      </c>
      <c r="V593" s="43" t="str">
        <f aca="false">IF(U593="","",O593&amp;"|"&amp;U593)</f>
        <v/>
      </c>
      <c r="W593" s="43" t="str">
        <f aca="false">IF($A593="","",IFERROR(IF(VLOOKUP(O593,매핑!$A$4:$E$92,3,0)="","미분류",VLOOKUP(O593,매핑!$A$4:$E$92,3,0)),"미분류"))</f>
        <v/>
      </c>
      <c r="X593" s="89" t="n">
        <f aca="false">IF($A593="",0,IF(O593="T",1,0))</f>
        <v>0</v>
      </c>
      <c r="Y593" s="89" t="n">
        <f aca="false">IF($A593="",0,IF(AND(C593="USD",X593=0,ISNUMBER(E593),ISNUMBER(K593)),IF(K593&gt;=설정!$C$8,1,0),0))</f>
        <v>0</v>
      </c>
      <c r="Z593" s="43" t="str">
        <f aca="false">IF($A593="","",N593&amp;"|"&amp;L593)</f>
        <v/>
      </c>
      <c r="AA593" s="92" t="n">
        <f aca="false">IF(Y593=1,LN(K593),0)</f>
        <v>0</v>
      </c>
      <c r="AB593" s="93" t="n">
        <f aca="false">IF(Y593=1,E593,0)</f>
        <v>0</v>
      </c>
      <c r="AC593" s="89" t="n">
        <f aca="false">IF(Y593=1,COUNTIFS($Z$2:$Z$601,Z593,$Y$2:$Y$601,1),0)</f>
        <v>0</v>
      </c>
      <c r="AD593" s="89" t="n">
        <f aca="false">IF(Y593=1,COUNTIFS($N$2:$N$601,N593,$Y$2:$Y$601,1),0)</f>
        <v>0</v>
      </c>
      <c r="AE593" s="43" t="str">
        <f aca="false">IF(Y593&lt;&gt;1,"",IF(AND(AC593&gt;=설정!$C$7,ISNUMBER(MATCH(Z593,피어커브!$A:$A,0))),Z593,IF(AND(AD593&gt;=설정!$C$7,ISNUMBER(MATCH(N593&amp;"|전체",피어커브!$A:$A,0))),N593&amp;"|전체","전체|전체")))</f>
        <v/>
      </c>
      <c r="AF593" s="93" t="str">
        <f aca="false">IF(AE593="","",INDEX(피어커브!$K:$K,MATCH(AE593,피어커브!$A:$A,0)))</f>
        <v/>
      </c>
      <c r="AG593" s="93" t="str">
        <f aca="false">IF(AE593="","",INDEX(피어커브!$J:$J,MATCH(AE593,피어커브!$A:$A,0)))</f>
        <v/>
      </c>
      <c r="AH593" s="93" t="str">
        <f aca="false">IF(AE593="","",INDEX(피어커브!$L:$L,MATCH(AE593,피어커브!$A:$A,0)))</f>
        <v/>
      </c>
      <c r="AI593" s="93" t="str">
        <f aca="false">IF(AE593="","",AF593+AG593*AA593)</f>
        <v/>
      </c>
      <c r="AJ593" s="96" t="str">
        <f aca="false">IF(AE593="","",E593-AI593)</f>
        <v/>
      </c>
      <c r="AK593" s="95" t="str">
        <f aca="false">IF(AE593="","",IF(ISNUMBER(AH593),IF(AH593&gt;0,AJ593/AH593,""),""))</f>
        <v/>
      </c>
      <c r="AL593" s="43" t="str">
        <f aca="false">IF(AK593="","-",IF(AK593&gt;=설정!$C$6,"Cheap",IF(AK593&lt;=-설정!$C$6,"Rich","Fair")))</f>
        <v>-</v>
      </c>
      <c r="AM593" s="96" t="str">
        <f aca="false">IF(AE593="","",AJ593-AVERAGEIFS($AJ$2:$AJ$601,$B$2:$B$601,B593,$Y$2:$Y$601,1))</f>
        <v/>
      </c>
      <c r="AN593" s="93" t="n">
        <f aca="false">IF(AE593="",0,IF(K593&gt;1+설정!$C$8,AG593*(AA593-LN(K593-1)),0))</f>
        <v>0</v>
      </c>
      <c r="AO593" s="99" t="n">
        <f aca="false">IF($A593="",0,SUMIFS(보유분석!$AA$2:$AA$801,보유분석!$AB$2:$AB$801,ROW(),보유분석!$AC$2:$AC$801,1))</f>
        <v>0</v>
      </c>
      <c r="AP593" s="43" t="str">
        <f aca="false">IF($A593="","",TRIM(IF(R593=1,"FRN ","")&amp;IF(IFERROR(VLOOKUP(M593,설정!$A$15:$D$47,4,0),0)&gt;=10,IF(IFERROR(VLOOKUP(M593,설정!$A$15:$D$47,4,0),0)&lt;99,"BBB0미만 ",""),"")&amp;IF(OR(M593="",M593="NR"),"등급미입력 ","")&amp;IF(C593&lt;&gt;"USD","비USD ","")))</f>
        <v/>
      </c>
      <c r="AQ593" s="90" t="n">
        <f aca="false">IF(AND(Y593=1,AL593="Cheap"),IF(AND(ISERROR(SEARCH("FRN",AP593)),ISERROR(SEARCH("BBB0미만",AP593))),AK593+ROW()/1000000000,-999),-999)</f>
        <v>-999</v>
      </c>
      <c r="AR593" s="92" t="str">
        <f aca="false">IF(AND(ISNUMBER(D593),ISNUMBER(K593)),D593+AN593*MAX(K593-1,0)/100,"")</f>
        <v/>
      </c>
      <c r="AS593" s="93" t="str">
        <f aca="false">IF(AND(ISNUMBER(E593),ISNUMBER(K593)),IF(K593&gt;0,(E593+AN593*MAX(K593-1,0))/K593,""),"")</f>
        <v/>
      </c>
      <c r="AT593" s="90" t="n">
        <f aca="false">IFERROR(IF(AND(Y593=1,ROW()&lt;&gt;스왑분석!$C$12+1,ABS(K593-INDEX($K$2:$K$601,스왑분석!$C$12))&lt;=스왑분석!$C$5,ISERROR(SEARCH("FRN",AP593)),ISERROR(SEARCH("BBB0미만",AP593))),IF(AND(OR(스왑분석!$C$6="N",L593=INDEX($L$2:$L$601,스왑분석!$C$12)),OR(스왑분석!$C$7="N",N593=INDEX($N$2:$N$601,스왑분석!$C$12)),OR(스왑분석!$C$8="N",AO593=0),E593-INDEX($E$2:$E$601,스왑분석!$C$12)&gt;=스왑분석!$C$9),E593-INDEX($E$2:$E$601,스왑분석!$C$12)+ROW()/1000000000,-999),-999),-999)</f>
        <v>-999</v>
      </c>
      <c r="AU593" s="90" t="n">
        <f aca="false">IF(AND(Y593=1,AO593&gt;0,AL593="Rich"),-AK593+ROW()/1000000000,-999)</f>
        <v>-999</v>
      </c>
    </row>
    <row r="594" customFormat="false" ht="15" hidden="false" customHeight="false" outlineLevel="0" collapsed="false">
      <c r="A594" s="83" t="n">
        <f aca="false">IFERROR(IF(INDEX(원자료_시장!$A$1:$BZ$1000,설정!$L$6+ROW()-1,설정!$L$24)&amp;""="0","",INDEX(원자료_시장!$A$1:$BZ$1000,설정!$L$6+ROW()-1,설정!$L$24)),"")</f>
        <v>0</v>
      </c>
      <c r="B594" s="83" t="n">
        <f aca="false">IFERROR(IF(INDEX(원자료_시장!$A$1:$BZ$1000,설정!$L$6+ROW()-1,설정!$L$37)&amp;""="0","",INDEX(원자료_시장!$A$1:$BZ$1000,설정!$L$6+ROW()-1,설정!$L$37)),"")</f>
        <v>0</v>
      </c>
      <c r="C594" s="83" t="n">
        <f aca="false">IFERROR(IF(INDEX(원자료_시장!$A$1:$BZ$1000,설정!$L$6+ROW()-1,설정!$L$25)&amp;""="0","",INDEX(원자료_시장!$A$1:$BZ$1000,설정!$L$6+ROW()-1,설정!$L$25)),"")</f>
        <v>0</v>
      </c>
      <c r="D594" s="85" t="str">
        <f aca="false">IFERROR(IF(ISNUMBER(INDEX(원자료_시장!$A$1:$BZ$1000,설정!$L$6+ROW()-1,설정!$L$26)),INDEX(원자료_시장!$A$1:$BZ$1000,설정!$L$6+ROW()-1,설정!$L$26),""),"")</f>
        <v/>
      </c>
      <c r="E594" s="97" t="str">
        <f aca="false">IFERROR(IF(ISNUMBER(INDEX(원자료_시장!$A$1:$BZ$1000,설정!$L$6+ROW()-1,설정!$L$27)),INDEX(원자료_시장!$A$1:$BZ$1000,설정!$L$6+ROW()-1,설정!$L$27),""),"")</f>
        <v/>
      </c>
      <c r="F594" s="97" t="str">
        <f aca="false">IFERROR(IF(ISNUMBER(INDEX(원자료_시장!$A$1:$BZ$1000,설정!$L$6+ROW()-1,설정!$L$28)),INDEX(원자료_시장!$A$1:$BZ$1000,설정!$L$6+ROW()-1,설정!$L$28),""),"")</f>
        <v/>
      </c>
      <c r="G594" s="97" t="str">
        <f aca="false">IFERROR(IF(ISNUMBER(INDEX(원자료_시장!$A$1:$BZ$1000,설정!$L$6+ROW()-1,설정!$L$29)),INDEX(원자료_시장!$A$1:$BZ$1000,설정!$L$6+ROW()-1,설정!$L$29),""),"")</f>
        <v/>
      </c>
      <c r="H594" s="97" t="str">
        <f aca="false">IFERROR(IF(ISNUMBER(INDEX(원자료_시장!$A$1:$BZ$1000,설정!$L$6+ROW()-1,설정!$L$30)),INDEX(원자료_시장!$A$1:$BZ$1000,설정!$L$6+ROW()-1,설정!$L$30),""),"")</f>
        <v/>
      </c>
      <c r="I594" s="97" t="str">
        <f aca="false">IFERROR(IF(ISNUMBER(INDEX(원자료_시장!$A$1:$BZ$1000,설정!$L$6+ROW()-1,설정!$L$31)),INDEX(원자료_시장!$A$1:$BZ$1000,설정!$L$6+ROW()-1,설정!$L$31),""),"")</f>
        <v/>
      </c>
      <c r="J594" s="97" t="str">
        <f aca="false">IFERROR(IF(ISNUMBER(INDEX(원자료_시장!$A$1:$BZ$1000,설정!$L$6+ROW()-1,설정!$L$32)),INDEX(원자료_시장!$A$1:$BZ$1000,설정!$L$6+ROW()-1,설정!$L$32),""),"")</f>
        <v/>
      </c>
      <c r="K594" s="85" t="str">
        <f aca="false">IFERROR(IF(ISNUMBER(INDEX(원자료_시장!$A$1:$BZ$1000,설정!$L$6+ROW()-1,설정!$L$33)),INDEX(원자료_시장!$A$1:$BZ$1000,설정!$L$6+ROW()-1,설정!$L$33),""),"")</f>
        <v/>
      </c>
      <c r="L594" s="83" t="n">
        <f aca="false">IFERROR(IF(INDEX(원자료_시장!$A$1:$BZ$1000,설정!$L$6+ROW()-1,설정!$L$34)&amp;""="0","",INDEX(원자료_시장!$A$1:$BZ$1000,설정!$L$6+ROW()-1,설정!$L$34)),"")</f>
        <v>0</v>
      </c>
      <c r="M594" s="83" t="n">
        <f aca="false">IFERROR(IF(INDEX(원자료_시장!$A$1:$BZ$1000,설정!$L$6+ROW()-1,설정!$L$35)&amp;""="0","",INDEX(원자료_시장!$A$1:$BZ$1000,설정!$L$6+ROW()-1,설정!$L$35)),"")</f>
        <v>0</v>
      </c>
      <c r="N594" s="83" t="n">
        <f aca="false">IFERROR(IF(INDEX(원자료_시장!$A$1:$BZ$1000,설정!$L$6+ROW()-1,설정!$L$36)&amp;""="0","",INDEX(원자료_시장!$A$1:$BZ$1000,설정!$L$6+ROW()-1,설정!$L$36)),"")</f>
        <v>0</v>
      </c>
      <c r="O594" s="43" t="str">
        <f aca="false">IF($A594="","",UPPER(LEFT($A594,FIND(" ",$A594&amp;" ")-1)))</f>
        <v/>
      </c>
      <c r="P594" s="43" t="str">
        <f aca="false">IF($A594="","",TRIM(RIGHT(SUBSTITUTE(TRIM($A594)," ",REPT(" ",30)),30)))</f>
        <v/>
      </c>
      <c r="Q594" s="98" t="str">
        <f aca="false">IF($A594="","",IFERROR(DATE(IF(LEN(P594)=8,2000+VALUE(RIGHT(P594,2)),VALUE(RIGHT(P594,4))),VALUE(LEFT(P594,2)),VALUE(MID(P594,4,2))),""))</f>
        <v/>
      </c>
      <c r="R594" s="89" t="n">
        <f aca="false">IF($A594="",0,IF(ISNUMBER(SEARCH("Float",$A594)),1,0))</f>
        <v>0</v>
      </c>
      <c r="S594" s="43" t="str">
        <f aca="false">IF($A594="","",TRIM(MID($A594,LEN(O594)+2,LEN($A594)-LEN(O594)-LEN(P594)-1)))</f>
        <v/>
      </c>
      <c r="T594" s="92" t="str">
        <f aca="false">IF(OR($A594="",R594=1),"",IFERROR(IF(ISNUMBER(FIND("/",S594)),IF(ISNUMBER(FIND(" ",S594)),VALUE(LEFT(S594,FIND(" ",S594)-1))+VALUE(MID(S594,FIND(" ",S594)+1,FIND("/",S594)-FIND(" ",S594)-1))/VALUE(MID(S594,FIND("/",S594)+1,9)),VALUE(LEFT(S594,FIND("/",S594)-1))/VALUE(MID(S594,FIND("/",S594)+1,9))),VALUE(S594)),""))</f>
        <v/>
      </c>
      <c r="U594" s="43" t="str">
        <f aca="false">IF(OR($A594="",NOT(ISNUMBER(Q594))),"",TEXT(Q594,"yyyymmdd")&amp;"|"&amp;IF(R594=1,"F",TEXT(T594,"0.000")))</f>
        <v/>
      </c>
      <c r="V594" s="43" t="str">
        <f aca="false">IF(U594="","",O594&amp;"|"&amp;U594)</f>
        <v/>
      </c>
      <c r="W594" s="43" t="str">
        <f aca="false">IF($A594="","",IFERROR(IF(VLOOKUP(O594,매핑!$A$4:$E$92,3,0)="","미분류",VLOOKUP(O594,매핑!$A$4:$E$92,3,0)),"미분류"))</f>
        <v/>
      </c>
      <c r="X594" s="89" t="n">
        <f aca="false">IF($A594="",0,IF(O594="T",1,0))</f>
        <v>0</v>
      </c>
      <c r="Y594" s="89" t="n">
        <f aca="false">IF($A594="",0,IF(AND(C594="USD",X594=0,ISNUMBER(E594),ISNUMBER(K594)),IF(K594&gt;=설정!$C$8,1,0),0))</f>
        <v>0</v>
      </c>
      <c r="Z594" s="43" t="str">
        <f aca="false">IF($A594="","",N594&amp;"|"&amp;L594)</f>
        <v/>
      </c>
      <c r="AA594" s="92" t="n">
        <f aca="false">IF(Y594=1,LN(K594),0)</f>
        <v>0</v>
      </c>
      <c r="AB594" s="93" t="n">
        <f aca="false">IF(Y594=1,E594,0)</f>
        <v>0</v>
      </c>
      <c r="AC594" s="89" t="n">
        <f aca="false">IF(Y594=1,COUNTIFS($Z$2:$Z$601,Z594,$Y$2:$Y$601,1),0)</f>
        <v>0</v>
      </c>
      <c r="AD594" s="89" t="n">
        <f aca="false">IF(Y594=1,COUNTIFS($N$2:$N$601,N594,$Y$2:$Y$601,1),0)</f>
        <v>0</v>
      </c>
      <c r="AE594" s="43" t="str">
        <f aca="false">IF(Y594&lt;&gt;1,"",IF(AND(AC594&gt;=설정!$C$7,ISNUMBER(MATCH(Z594,피어커브!$A:$A,0))),Z594,IF(AND(AD594&gt;=설정!$C$7,ISNUMBER(MATCH(N594&amp;"|전체",피어커브!$A:$A,0))),N594&amp;"|전체","전체|전체")))</f>
        <v/>
      </c>
      <c r="AF594" s="93" t="str">
        <f aca="false">IF(AE594="","",INDEX(피어커브!$K:$K,MATCH(AE594,피어커브!$A:$A,0)))</f>
        <v/>
      </c>
      <c r="AG594" s="93" t="str">
        <f aca="false">IF(AE594="","",INDEX(피어커브!$J:$J,MATCH(AE594,피어커브!$A:$A,0)))</f>
        <v/>
      </c>
      <c r="AH594" s="93" t="str">
        <f aca="false">IF(AE594="","",INDEX(피어커브!$L:$L,MATCH(AE594,피어커브!$A:$A,0)))</f>
        <v/>
      </c>
      <c r="AI594" s="93" t="str">
        <f aca="false">IF(AE594="","",AF594+AG594*AA594)</f>
        <v/>
      </c>
      <c r="AJ594" s="96" t="str">
        <f aca="false">IF(AE594="","",E594-AI594)</f>
        <v/>
      </c>
      <c r="AK594" s="95" t="str">
        <f aca="false">IF(AE594="","",IF(ISNUMBER(AH594),IF(AH594&gt;0,AJ594/AH594,""),""))</f>
        <v/>
      </c>
      <c r="AL594" s="43" t="str">
        <f aca="false">IF(AK594="","-",IF(AK594&gt;=설정!$C$6,"Cheap",IF(AK594&lt;=-설정!$C$6,"Rich","Fair")))</f>
        <v>-</v>
      </c>
      <c r="AM594" s="96" t="str">
        <f aca="false">IF(AE594="","",AJ594-AVERAGEIFS($AJ$2:$AJ$601,$B$2:$B$601,B594,$Y$2:$Y$601,1))</f>
        <v/>
      </c>
      <c r="AN594" s="93" t="n">
        <f aca="false">IF(AE594="",0,IF(K594&gt;1+설정!$C$8,AG594*(AA594-LN(K594-1)),0))</f>
        <v>0</v>
      </c>
      <c r="AO594" s="99" t="n">
        <f aca="false">IF($A594="",0,SUMIFS(보유분석!$AA$2:$AA$801,보유분석!$AB$2:$AB$801,ROW(),보유분석!$AC$2:$AC$801,1))</f>
        <v>0</v>
      </c>
      <c r="AP594" s="43" t="str">
        <f aca="false">IF($A594="","",TRIM(IF(R594=1,"FRN ","")&amp;IF(IFERROR(VLOOKUP(M594,설정!$A$15:$D$47,4,0),0)&gt;=10,IF(IFERROR(VLOOKUP(M594,설정!$A$15:$D$47,4,0),0)&lt;99,"BBB0미만 ",""),"")&amp;IF(OR(M594="",M594="NR"),"등급미입력 ","")&amp;IF(C594&lt;&gt;"USD","비USD ","")))</f>
        <v/>
      </c>
      <c r="AQ594" s="90" t="n">
        <f aca="false">IF(AND(Y594=1,AL594="Cheap"),IF(AND(ISERROR(SEARCH("FRN",AP594)),ISERROR(SEARCH("BBB0미만",AP594))),AK594+ROW()/1000000000,-999),-999)</f>
        <v>-999</v>
      </c>
      <c r="AR594" s="92" t="str">
        <f aca="false">IF(AND(ISNUMBER(D594),ISNUMBER(K594)),D594+AN594*MAX(K594-1,0)/100,"")</f>
        <v/>
      </c>
      <c r="AS594" s="93" t="str">
        <f aca="false">IF(AND(ISNUMBER(E594),ISNUMBER(K594)),IF(K594&gt;0,(E594+AN594*MAX(K594-1,0))/K594,""),"")</f>
        <v/>
      </c>
      <c r="AT594" s="90" t="n">
        <f aca="false">IFERROR(IF(AND(Y594=1,ROW()&lt;&gt;스왑분석!$C$12+1,ABS(K594-INDEX($K$2:$K$601,스왑분석!$C$12))&lt;=스왑분석!$C$5,ISERROR(SEARCH("FRN",AP594)),ISERROR(SEARCH("BBB0미만",AP594))),IF(AND(OR(스왑분석!$C$6="N",L594=INDEX($L$2:$L$601,스왑분석!$C$12)),OR(스왑분석!$C$7="N",N594=INDEX($N$2:$N$601,스왑분석!$C$12)),OR(스왑분석!$C$8="N",AO594=0),E594-INDEX($E$2:$E$601,스왑분석!$C$12)&gt;=스왑분석!$C$9),E594-INDEX($E$2:$E$601,스왑분석!$C$12)+ROW()/1000000000,-999),-999),-999)</f>
        <v>-999</v>
      </c>
      <c r="AU594" s="90" t="n">
        <f aca="false">IF(AND(Y594=1,AO594&gt;0,AL594="Rich"),-AK594+ROW()/1000000000,-999)</f>
        <v>-999</v>
      </c>
    </row>
    <row r="595" customFormat="false" ht="15" hidden="false" customHeight="false" outlineLevel="0" collapsed="false">
      <c r="A595" s="83" t="n">
        <f aca="false">IFERROR(IF(INDEX(원자료_시장!$A$1:$BZ$1000,설정!$L$6+ROW()-1,설정!$L$24)&amp;""="0","",INDEX(원자료_시장!$A$1:$BZ$1000,설정!$L$6+ROW()-1,설정!$L$24)),"")</f>
        <v>0</v>
      </c>
      <c r="B595" s="83" t="n">
        <f aca="false">IFERROR(IF(INDEX(원자료_시장!$A$1:$BZ$1000,설정!$L$6+ROW()-1,설정!$L$37)&amp;""="0","",INDEX(원자료_시장!$A$1:$BZ$1000,설정!$L$6+ROW()-1,설정!$L$37)),"")</f>
        <v>0</v>
      </c>
      <c r="C595" s="83" t="n">
        <f aca="false">IFERROR(IF(INDEX(원자료_시장!$A$1:$BZ$1000,설정!$L$6+ROW()-1,설정!$L$25)&amp;""="0","",INDEX(원자료_시장!$A$1:$BZ$1000,설정!$L$6+ROW()-1,설정!$L$25)),"")</f>
        <v>0</v>
      </c>
      <c r="D595" s="85" t="str">
        <f aca="false">IFERROR(IF(ISNUMBER(INDEX(원자료_시장!$A$1:$BZ$1000,설정!$L$6+ROW()-1,설정!$L$26)),INDEX(원자료_시장!$A$1:$BZ$1000,설정!$L$6+ROW()-1,설정!$L$26),""),"")</f>
        <v/>
      </c>
      <c r="E595" s="97" t="str">
        <f aca="false">IFERROR(IF(ISNUMBER(INDEX(원자료_시장!$A$1:$BZ$1000,설정!$L$6+ROW()-1,설정!$L$27)),INDEX(원자료_시장!$A$1:$BZ$1000,설정!$L$6+ROW()-1,설정!$L$27),""),"")</f>
        <v/>
      </c>
      <c r="F595" s="97" t="str">
        <f aca="false">IFERROR(IF(ISNUMBER(INDEX(원자료_시장!$A$1:$BZ$1000,설정!$L$6+ROW()-1,설정!$L$28)),INDEX(원자료_시장!$A$1:$BZ$1000,설정!$L$6+ROW()-1,설정!$L$28),""),"")</f>
        <v/>
      </c>
      <c r="G595" s="97" t="str">
        <f aca="false">IFERROR(IF(ISNUMBER(INDEX(원자료_시장!$A$1:$BZ$1000,설정!$L$6+ROW()-1,설정!$L$29)),INDEX(원자료_시장!$A$1:$BZ$1000,설정!$L$6+ROW()-1,설정!$L$29),""),"")</f>
        <v/>
      </c>
      <c r="H595" s="97" t="str">
        <f aca="false">IFERROR(IF(ISNUMBER(INDEX(원자료_시장!$A$1:$BZ$1000,설정!$L$6+ROW()-1,설정!$L$30)),INDEX(원자료_시장!$A$1:$BZ$1000,설정!$L$6+ROW()-1,설정!$L$30),""),"")</f>
        <v/>
      </c>
      <c r="I595" s="97" t="str">
        <f aca="false">IFERROR(IF(ISNUMBER(INDEX(원자료_시장!$A$1:$BZ$1000,설정!$L$6+ROW()-1,설정!$L$31)),INDEX(원자료_시장!$A$1:$BZ$1000,설정!$L$6+ROW()-1,설정!$L$31),""),"")</f>
        <v/>
      </c>
      <c r="J595" s="97" t="str">
        <f aca="false">IFERROR(IF(ISNUMBER(INDEX(원자료_시장!$A$1:$BZ$1000,설정!$L$6+ROW()-1,설정!$L$32)),INDEX(원자료_시장!$A$1:$BZ$1000,설정!$L$6+ROW()-1,설정!$L$32),""),"")</f>
        <v/>
      </c>
      <c r="K595" s="85" t="str">
        <f aca="false">IFERROR(IF(ISNUMBER(INDEX(원자료_시장!$A$1:$BZ$1000,설정!$L$6+ROW()-1,설정!$L$33)),INDEX(원자료_시장!$A$1:$BZ$1000,설정!$L$6+ROW()-1,설정!$L$33),""),"")</f>
        <v/>
      </c>
      <c r="L595" s="83" t="n">
        <f aca="false">IFERROR(IF(INDEX(원자료_시장!$A$1:$BZ$1000,설정!$L$6+ROW()-1,설정!$L$34)&amp;""="0","",INDEX(원자료_시장!$A$1:$BZ$1000,설정!$L$6+ROW()-1,설정!$L$34)),"")</f>
        <v>0</v>
      </c>
      <c r="M595" s="83" t="n">
        <f aca="false">IFERROR(IF(INDEX(원자료_시장!$A$1:$BZ$1000,설정!$L$6+ROW()-1,설정!$L$35)&amp;""="0","",INDEX(원자료_시장!$A$1:$BZ$1000,설정!$L$6+ROW()-1,설정!$L$35)),"")</f>
        <v>0</v>
      </c>
      <c r="N595" s="83" t="n">
        <f aca="false">IFERROR(IF(INDEX(원자료_시장!$A$1:$BZ$1000,설정!$L$6+ROW()-1,설정!$L$36)&amp;""="0","",INDEX(원자료_시장!$A$1:$BZ$1000,설정!$L$6+ROW()-1,설정!$L$36)),"")</f>
        <v>0</v>
      </c>
      <c r="O595" s="43" t="str">
        <f aca="false">IF($A595="","",UPPER(LEFT($A595,FIND(" ",$A595&amp;" ")-1)))</f>
        <v/>
      </c>
      <c r="P595" s="43" t="str">
        <f aca="false">IF($A595="","",TRIM(RIGHT(SUBSTITUTE(TRIM($A595)," ",REPT(" ",30)),30)))</f>
        <v/>
      </c>
      <c r="Q595" s="98" t="str">
        <f aca="false">IF($A595="","",IFERROR(DATE(IF(LEN(P595)=8,2000+VALUE(RIGHT(P595,2)),VALUE(RIGHT(P595,4))),VALUE(LEFT(P595,2)),VALUE(MID(P595,4,2))),""))</f>
        <v/>
      </c>
      <c r="R595" s="89" t="n">
        <f aca="false">IF($A595="",0,IF(ISNUMBER(SEARCH("Float",$A595)),1,0))</f>
        <v>0</v>
      </c>
      <c r="S595" s="43" t="str">
        <f aca="false">IF($A595="","",TRIM(MID($A595,LEN(O595)+2,LEN($A595)-LEN(O595)-LEN(P595)-1)))</f>
        <v/>
      </c>
      <c r="T595" s="92" t="str">
        <f aca="false">IF(OR($A595="",R595=1),"",IFERROR(IF(ISNUMBER(FIND("/",S595)),IF(ISNUMBER(FIND(" ",S595)),VALUE(LEFT(S595,FIND(" ",S595)-1))+VALUE(MID(S595,FIND(" ",S595)+1,FIND("/",S595)-FIND(" ",S595)-1))/VALUE(MID(S595,FIND("/",S595)+1,9)),VALUE(LEFT(S595,FIND("/",S595)-1))/VALUE(MID(S595,FIND("/",S595)+1,9))),VALUE(S595)),""))</f>
        <v/>
      </c>
      <c r="U595" s="43" t="str">
        <f aca="false">IF(OR($A595="",NOT(ISNUMBER(Q595))),"",TEXT(Q595,"yyyymmdd")&amp;"|"&amp;IF(R595=1,"F",TEXT(T595,"0.000")))</f>
        <v/>
      </c>
      <c r="V595" s="43" t="str">
        <f aca="false">IF(U595="","",O595&amp;"|"&amp;U595)</f>
        <v/>
      </c>
      <c r="W595" s="43" t="str">
        <f aca="false">IF($A595="","",IFERROR(IF(VLOOKUP(O595,매핑!$A$4:$E$92,3,0)="","미분류",VLOOKUP(O595,매핑!$A$4:$E$92,3,0)),"미분류"))</f>
        <v/>
      </c>
      <c r="X595" s="89" t="n">
        <f aca="false">IF($A595="",0,IF(O595="T",1,0))</f>
        <v>0</v>
      </c>
      <c r="Y595" s="89" t="n">
        <f aca="false">IF($A595="",0,IF(AND(C595="USD",X595=0,ISNUMBER(E595),ISNUMBER(K595)),IF(K595&gt;=설정!$C$8,1,0),0))</f>
        <v>0</v>
      </c>
      <c r="Z595" s="43" t="str">
        <f aca="false">IF($A595="","",N595&amp;"|"&amp;L595)</f>
        <v/>
      </c>
      <c r="AA595" s="92" t="n">
        <f aca="false">IF(Y595=1,LN(K595),0)</f>
        <v>0</v>
      </c>
      <c r="AB595" s="93" t="n">
        <f aca="false">IF(Y595=1,E595,0)</f>
        <v>0</v>
      </c>
      <c r="AC595" s="89" t="n">
        <f aca="false">IF(Y595=1,COUNTIFS($Z$2:$Z$601,Z595,$Y$2:$Y$601,1),0)</f>
        <v>0</v>
      </c>
      <c r="AD595" s="89" t="n">
        <f aca="false">IF(Y595=1,COUNTIFS($N$2:$N$601,N595,$Y$2:$Y$601,1),0)</f>
        <v>0</v>
      </c>
      <c r="AE595" s="43" t="str">
        <f aca="false">IF(Y595&lt;&gt;1,"",IF(AND(AC595&gt;=설정!$C$7,ISNUMBER(MATCH(Z595,피어커브!$A:$A,0))),Z595,IF(AND(AD595&gt;=설정!$C$7,ISNUMBER(MATCH(N595&amp;"|전체",피어커브!$A:$A,0))),N595&amp;"|전체","전체|전체")))</f>
        <v/>
      </c>
      <c r="AF595" s="93" t="str">
        <f aca="false">IF(AE595="","",INDEX(피어커브!$K:$K,MATCH(AE595,피어커브!$A:$A,0)))</f>
        <v/>
      </c>
      <c r="AG595" s="93" t="str">
        <f aca="false">IF(AE595="","",INDEX(피어커브!$J:$J,MATCH(AE595,피어커브!$A:$A,0)))</f>
        <v/>
      </c>
      <c r="AH595" s="93" t="str">
        <f aca="false">IF(AE595="","",INDEX(피어커브!$L:$L,MATCH(AE595,피어커브!$A:$A,0)))</f>
        <v/>
      </c>
      <c r="AI595" s="93" t="str">
        <f aca="false">IF(AE595="","",AF595+AG595*AA595)</f>
        <v/>
      </c>
      <c r="AJ595" s="96" t="str">
        <f aca="false">IF(AE595="","",E595-AI595)</f>
        <v/>
      </c>
      <c r="AK595" s="95" t="str">
        <f aca="false">IF(AE595="","",IF(ISNUMBER(AH595),IF(AH595&gt;0,AJ595/AH595,""),""))</f>
        <v/>
      </c>
      <c r="AL595" s="43" t="str">
        <f aca="false">IF(AK595="","-",IF(AK595&gt;=설정!$C$6,"Cheap",IF(AK595&lt;=-설정!$C$6,"Rich","Fair")))</f>
        <v>-</v>
      </c>
      <c r="AM595" s="96" t="str">
        <f aca="false">IF(AE595="","",AJ595-AVERAGEIFS($AJ$2:$AJ$601,$B$2:$B$601,B595,$Y$2:$Y$601,1))</f>
        <v/>
      </c>
      <c r="AN595" s="93" t="n">
        <f aca="false">IF(AE595="",0,IF(K595&gt;1+설정!$C$8,AG595*(AA595-LN(K595-1)),0))</f>
        <v>0</v>
      </c>
      <c r="AO595" s="99" t="n">
        <f aca="false">IF($A595="",0,SUMIFS(보유분석!$AA$2:$AA$801,보유분석!$AB$2:$AB$801,ROW(),보유분석!$AC$2:$AC$801,1))</f>
        <v>0</v>
      </c>
      <c r="AP595" s="43" t="str">
        <f aca="false">IF($A595="","",TRIM(IF(R595=1,"FRN ","")&amp;IF(IFERROR(VLOOKUP(M595,설정!$A$15:$D$47,4,0),0)&gt;=10,IF(IFERROR(VLOOKUP(M595,설정!$A$15:$D$47,4,0),0)&lt;99,"BBB0미만 ",""),"")&amp;IF(OR(M595="",M595="NR"),"등급미입력 ","")&amp;IF(C595&lt;&gt;"USD","비USD ","")))</f>
        <v/>
      </c>
      <c r="AQ595" s="90" t="n">
        <f aca="false">IF(AND(Y595=1,AL595="Cheap"),IF(AND(ISERROR(SEARCH("FRN",AP595)),ISERROR(SEARCH("BBB0미만",AP595))),AK595+ROW()/1000000000,-999),-999)</f>
        <v>-999</v>
      </c>
      <c r="AR595" s="92" t="str">
        <f aca="false">IF(AND(ISNUMBER(D595),ISNUMBER(K595)),D595+AN595*MAX(K595-1,0)/100,"")</f>
        <v/>
      </c>
      <c r="AS595" s="93" t="str">
        <f aca="false">IF(AND(ISNUMBER(E595),ISNUMBER(K595)),IF(K595&gt;0,(E595+AN595*MAX(K595-1,0))/K595,""),"")</f>
        <v/>
      </c>
      <c r="AT595" s="90" t="n">
        <f aca="false">IFERROR(IF(AND(Y595=1,ROW()&lt;&gt;스왑분석!$C$12+1,ABS(K595-INDEX($K$2:$K$601,스왑분석!$C$12))&lt;=스왑분석!$C$5,ISERROR(SEARCH("FRN",AP595)),ISERROR(SEARCH("BBB0미만",AP595))),IF(AND(OR(스왑분석!$C$6="N",L595=INDEX($L$2:$L$601,스왑분석!$C$12)),OR(스왑분석!$C$7="N",N595=INDEX($N$2:$N$601,스왑분석!$C$12)),OR(스왑분석!$C$8="N",AO595=0),E595-INDEX($E$2:$E$601,스왑분석!$C$12)&gt;=스왑분석!$C$9),E595-INDEX($E$2:$E$601,스왑분석!$C$12)+ROW()/1000000000,-999),-999),-999)</f>
        <v>-999</v>
      </c>
      <c r="AU595" s="90" t="n">
        <f aca="false">IF(AND(Y595=1,AO595&gt;0,AL595="Rich"),-AK595+ROW()/1000000000,-999)</f>
        <v>-999</v>
      </c>
    </row>
    <row r="596" customFormat="false" ht="15" hidden="false" customHeight="false" outlineLevel="0" collapsed="false">
      <c r="A596" s="83" t="n">
        <f aca="false">IFERROR(IF(INDEX(원자료_시장!$A$1:$BZ$1000,설정!$L$6+ROW()-1,설정!$L$24)&amp;""="0","",INDEX(원자료_시장!$A$1:$BZ$1000,설정!$L$6+ROW()-1,설정!$L$24)),"")</f>
        <v>0</v>
      </c>
      <c r="B596" s="83" t="n">
        <f aca="false">IFERROR(IF(INDEX(원자료_시장!$A$1:$BZ$1000,설정!$L$6+ROW()-1,설정!$L$37)&amp;""="0","",INDEX(원자료_시장!$A$1:$BZ$1000,설정!$L$6+ROW()-1,설정!$L$37)),"")</f>
        <v>0</v>
      </c>
      <c r="C596" s="83" t="n">
        <f aca="false">IFERROR(IF(INDEX(원자료_시장!$A$1:$BZ$1000,설정!$L$6+ROW()-1,설정!$L$25)&amp;""="0","",INDEX(원자료_시장!$A$1:$BZ$1000,설정!$L$6+ROW()-1,설정!$L$25)),"")</f>
        <v>0</v>
      </c>
      <c r="D596" s="85" t="str">
        <f aca="false">IFERROR(IF(ISNUMBER(INDEX(원자료_시장!$A$1:$BZ$1000,설정!$L$6+ROW()-1,설정!$L$26)),INDEX(원자료_시장!$A$1:$BZ$1000,설정!$L$6+ROW()-1,설정!$L$26),""),"")</f>
        <v/>
      </c>
      <c r="E596" s="97" t="str">
        <f aca="false">IFERROR(IF(ISNUMBER(INDEX(원자료_시장!$A$1:$BZ$1000,설정!$L$6+ROW()-1,설정!$L$27)),INDEX(원자료_시장!$A$1:$BZ$1000,설정!$L$6+ROW()-1,설정!$L$27),""),"")</f>
        <v/>
      </c>
      <c r="F596" s="97" t="str">
        <f aca="false">IFERROR(IF(ISNUMBER(INDEX(원자료_시장!$A$1:$BZ$1000,설정!$L$6+ROW()-1,설정!$L$28)),INDEX(원자료_시장!$A$1:$BZ$1000,설정!$L$6+ROW()-1,설정!$L$28),""),"")</f>
        <v/>
      </c>
      <c r="G596" s="97" t="str">
        <f aca="false">IFERROR(IF(ISNUMBER(INDEX(원자료_시장!$A$1:$BZ$1000,설정!$L$6+ROW()-1,설정!$L$29)),INDEX(원자료_시장!$A$1:$BZ$1000,설정!$L$6+ROW()-1,설정!$L$29),""),"")</f>
        <v/>
      </c>
      <c r="H596" s="97" t="str">
        <f aca="false">IFERROR(IF(ISNUMBER(INDEX(원자료_시장!$A$1:$BZ$1000,설정!$L$6+ROW()-1,설정!$L$30)),INDEX(원자료_시장!$A$1:$BZ$1000,설정!$L$6+ROW()-1,설정!$L$30),""),"")</f>
        <v/>
      </c>
      <c r="I596" s="97" t="str">
        <f aca="false">IFERROR(IF(ISNUMBER(INDEX(원자료_시장!$A$1:$BZ$1000,설정!$L$6+ROW()-1,설정!$L$31)),INDEX(원자료_시장!$A$1:$BZ$1000,설정!$L$6+ROW()-1,설정!$L$31),""),"")</f>
        <v/>
      </c>
      <c r="J596" s="97" t="str">
        <f aca="false">IFERROR(IF(ISNUMBER(INDEX(원자료_시장!$A$1:$BZ$1000,설정!$L$6+ROW()-1,설정!$L$32)),INDEX(원자료_시장!$A$1:$BZ$1000,설정!$L$6+ROW()-1,설정!$L$32),""),"")</f>
        <v/>
      </c>
      <c r="K596" s="85" t="str">
        <f aca="false">IFERROR(IF(ISNUMBER(INDEX(원자료_시장!$A$1:$BZ$1000,설정!$L$6+ROW()-1,설정!$L$33)),INDEX(원자료_시장!$A$1:$BZ$1000,설정!$L$6+ROW()-1,설정!$L$33),""),"")</f>
        <v/>
      </c>
      <c r="L596" s="83" t="n">
        <f aca="false">IFERROR(IF(INDEX(원자료_시장!$A$1:$BZ$1000,설정!$L$6+ROW()-1,설정!$L$34)&amp;""="0","",INDEX(원자료_시장!$A$1:$BZ$1000,설정!$L$6+ROW()-1,설정!$L$34)),"")</f>
        <v>0</v>
      </c>
      <c r="M596" s="83" t="n">
        <f aca="false">IFERROR(IF(INDEX(원자료_시장!$A$1:$BZ$1000,설정!$L$6+ROW()-1,설정!$L$35)&amp;""="0","",INDEX(원자료_시장!$A$1:$BZ$1000,설정!$L$6+ROW()-1,설정!$L$35)),"")</f>
        <v>0</v>
      </c>
      <c r="N596" s="83" t="n">
        <f aca="false">IFERROR(IF(INDEX(원자료_시장!$A$1:$BZ$1000,설정!$L$6+ROW()-1,설정!$L$36)&amp;""="0","",INDEX(원자료_시장!$A$1:$BZ$1000,설정!$L$6+ROW()-1,설정!$L$36)),"")</f>
        <v>0</v>
      </c>
      <c r="O596" s="43" t="str">
        <f aca="false">IF($A596="","",UPPER(LEFT($A596,FIND(" ",$A596&amp;" ")-1)))</f>
        <v/>
      </c>
      <c r="P596" s="43" t="str">
        <f aca="false">IF($A596="","",TRIM(RIGHT(SUBSTITUTE(TRIM($A596)," ",REPT(" ",30)),30)))</f>
        <v/>
      </c>
      <c r="Q596" s="98" t="str">
        <f aca="false">IF($A596="","",IFERROR(DATE(IF(LEN(P596)=8,2000+VALUE(RIGHT(P596,2)),VALUE(RIGHT(P596,4))),VALUE(LEFT(P596,2)),VALUE(MID(P596,4,2))),""))</f>
        <v/>
      </c>
      <c r="R596" s="89" t="n">
        <f aca="false">IF($A596="",0,IF(ISNUMBER(SEARCH("Float",$A596)),1,0))</f>
        <v>0</v>
      </c>
      <c r="S596" s="43" t="str">
        <f aca="false">IF($A596="","",TRIM(MID($A596,LEN(O596)+2,LEN($A596)-LEN(O596)-LEN(P596)-1)))</f>
        <v/>
      </c>
      <c r="T596" s="92" t="str">
        <f aca="false">IF(OR($A596="",R596=1),"",IFERROR(IF(ISNUMBER(FIND("/",S596)),IF(ISNUMBER(FIND(" ",S596)),VALUE(LEFT(S596,FIND(" ",S596)-1))+VALUE(MID(S596,FIND(" ",S596)+1,FIND("/",S596)-FIND(" ",S596)-1))/VALUE(MID(S596,FIND("/",S596)+1,9)),VALUE(LEFT(S596,FIND("/",S596)-1))/VALUE(MID(S596,FIND("/",S596)+1,9))),VALUE(S596)),""))</f>
        <v/>
      </c>
      <c r="U596" s="43" t="str">
        <f aca="false">IF(OR($A596="",NOT(ISNUMBER(Q596))),"",TEXT(Q596,"yyyymmdd")&amp;"|"&amp;IF(R596=1,"F",TEXT(T596,"0.000")))</f>
        <v/>
      </c>
      <c r="V596" s="43" t="str">
        <f aca="false">IF(U596="","",O596&amp;"|"&amp;U596)</f>
        <v/>
      </c>
      <c r="W596" s="43" t="str">
        <f aca="false">IF($A596="","",IFERROR(IF(VLOOKUP(O596,매핑!$A$4:$E$92,3,0)="","미분류",VLOOKUP(O596,매핑!$A$4:$E$92,3,0)),"미분류"))</f>
        <v/>
      </c>
      <c r="X596" s="89" t="n">
        <f aca="false">IF($A596="",0,IF(O596="T",1,0))</f>
        <v>0</v>
      </c>
      <c r="Y596" s="89" t="n">
        <f aca="false">IF($A596="",0,IF(AND(C596="USD",X596=0,ISNUMBER(E596),ISNUMBER(K596)),IF(K596&gt;=설정!$C$8,1,0),0))</f>
        <v>0</v>
      </c>
      <c r="Z596" s="43" t="str">
        <f aca="false">IF($A596="","",N596&amp;"|"&amp;L596)</f>
        <v/>
      </c>
      <c r="AA596" s="92" t="n">
        <f aca="false">IF(Y596=1,LN(K596),0)</f>
        <v>0</v>
      </c>
      <c r="AB596" s="93" t="n">
        <f aca="false">IF(Y596=1,E596,0)</f>
        <v>0</v>
      </c>
      <c r="AC596" s="89" t="n">
        <f aca="false">IF(Y596=1,COUNTIFS($Z$2:$Z$601,Z596,$Y$2:$Y$601,1),0)</f>
        <v>0</v>
      </c>
      <c r="AD596" s="89" t="n">
        <f aca="false">IF(Y596=1,COUNTIFS($N$2:$N$601,N596,$Y$2:$Y$601,1),0)</f>
        <v>0</v>
      </c>
      <c r="AE596" s="43" t="str">
        <f aca="false">IF(Y596&lt;&gt;1,"",IF(AND(AC596&gt;=설정!$C$7,ISNUMBER(MATCH(Z596,피어커브!$A:$A,0))),Z596,IF(AND(AD596&gt;=설정!$C$7,ISNUMBER(MATCH(N596&amp;"|전체",피어커브!$A:$A,0))),N596&amp;"|전체","전체|전체")))</f>
        <v/>
      </c>
      <c r="AF596" s="93" t="str">
        <f aca="false">IF(AE596="","",INDEX(피어커브!$K:$K,MATCH(AE596,피어커브!$A:$A,0)))</f>
        <v/>
      </c>
      <c r="AG596" s="93" t="str">
        <f aca="false">IF(AE596="","",INDEX(피어커브!$J:$J,MATCH(AE596,피어커브!$A:$A,0)))</f>
        <v/>
      </c>
      <c r="AH596" s="93" t="str">
        <f aca="false">IF(AE596="","",INDEX(피어커브!$L:$L,MATCH(AE596,피어커브!$A:$A,0)))</f>
        <v/>
      </c>
      <c r="AI596" s="93" t="str">
        <f aca="false">IF(AE596="","",AF596+AG596*AA596)</f>
        <v/>
      </c>
      <c r="AJ596" s="96" t="str">
        <f aca="false">IF(AE596="","",E596-AI596)</f>
        <v/>
      </c>
      <c r="AK596" s="95" t="str">
        <f aca="false">IF(AE596="","",IF(ISNUMBER(AH596),IF(AH596&gt;0,AJ596/AH596,""),""))</f>
        <v/>
      </c>
      <c r="AL596" s="43" t="str">
        <f aca="false">IF(AK596="","-",IF(AK596&gt;=설정!$C$6,"Cheap",IF(AK596&lt;=-설정!$C$6,"Rich","Fair")))</f>
        <v>-</v>
      </c>
      <c r="AM596" s="96" t="str">
        <f aca="false">IF(AE596="","",AJ596-AVERAGEIFS($AJ$2:$AJ$601,$B$2:$B$601,B596,$Y$2:$Y$601,1))</f>
        <v/>
      </c>
      <c r="AN596" s="93" t="n">
        <f aca="false">IF(AE596="",0,IF(K596&gt;1+설정!$C$8,AG596*(AA596-LN(K596-1)),0))</f>
        <v>0</v>
      </c>
      <c r="AO596" s="99" t="n">
        <f aca="false">IF($A596="",0,SUMIFS(보유분석!$AA$2:$AA$801,보유분석!$AB$2:$AB$801,ROW(),보유분석!$AC$2:$AC$801,1))</f>
        <v>0</v>
      </c>
      <c r="AP596" s="43" t="str">
        <f aca="false">IF($A596="","",TRIM(IF(R596=1,"FRN ","")&amp;IF(IFERROR(VLOOKUP(M596,설정!$A$15:$D$47,4,0),0)&gt;=10,IF(IFERROR(VLOOKUP(M596,설정!$A$15:$D$47,4,0),0)&lt;99,"BBB0미만 ",""),"")&amp;IF(OR(M596="",M596="NR"),"등급미입력 ","")&amp;IF(C596&lt;&gt;"USD","비USD ","")))</f>
        <v/>
      </c>
      <c r="AQ596" s="90" t="n">
        <f aca="false">IF(AND(Y596=1,AL596="Cheap"),IF(AND(ISERROR(SEARCH("FRN",AP596)),ISERROR(SEARCH("BBB0미만",AP596))),AK596+ROW()/1000000000,-999),-999)</f>
        <v>-999</v>
      </c>
      <c r="AR596" s="92" t="str">
        <f aca="false">IF(AND(ISNUMBER(D596),ISNUMBER(K596)),D596+AN596*MAX(K596-1,0)/100,"")</f>
        <v/>
      </c>
      <c r="AS596" s="93" t="str">
        <f aca="false">IF(AND(ISNUMBER(E596),ISNUMBER(K596)),IF(K596&gt;0,(E596+AN596*MAX(K596-1,0))/K596,""),"")</f>
        <v/>
      </c>
      <c r="AT596" s="90" t="n">
        <f aca="false">IFERROR(IF(AND(Y596=1,ROW()&lt;&gt;스왑분석!$C$12+1,ABS(K596-INDEX($K$2:$K$601,스왑분석!$C$12))&lt;=스왑분석!$C$5,ISERROR(SEARCH("FRN",AP596)),ISERROR(SEARCH("BBB0미만",AP596))),IF(AND(OR(스왑분석!$C$6="N",L596=INDEX($L$2:$L$601,스왑분석!$C$12)),OR(스왑분석!$C$7="N",N596=INDEX($N$2:$N$601,스왑분석!$C$12)),OR(스왑분석!$C$8="N",AO596=0),E596-INDEX($E$2:$E$601,스왑분석!$C$12)&gt;=스왑분석!$C$9),E596-INDEX($E$2:$E$601,스왑분석!$C$12)+ROW()/1000000000,-999),-999),-999)</f>
        <v>-999</v>
      </c>
      <c r="AU596" s="90" t="n">
        <f aca="false">IF(AND(Y596=1,AO596&gt;0,AL596="Rich"),-AK596+ROW()/1000000000,-999)</f>
        <v>-999</v>
      </c>
    </row>
    <row r="597" customFormat="false" ht="15" hidden="false" customHeight="false" outlineLevel="0" collapsed="false">
      <c r="A597" s="83" t="n">
        <f aca="false">IFERROR(IF(INDEX(원자료_시장!$A$1:$BZ$1000,설정!$L$6+ROW()-1,설정!$L$24)&amp;""="0","",INDEX(원자료_시장!$A$1:$BZ$1000,설정!$L$6+ROW()-1,설정!$L$24)),"")</f>
        <v>0</v>
      </c>
      <c r="B597" s="83" t="n">
        <f aca="false">IFERROR(IF(INDEX(원자료_시장!$A$1:$BZ$1000,설정!$L$6+ROW()-1,설정!$L$37)&amp;""="0","",INDEX(원자료_시장!$A$1:$BZ$1000,설정!$L$6+ROW()-1,설정!$L$37)),"")</f>
        <v>0</v>
      </c>
      <c r="C597" s="83" t="n">
        <f aca="false">IFERROR(IF(INDEX(원자료_시장!$A$1:$BZ$1000,설정!$L$6+ROW()-1,설정!$L$25)&amp;""="0","",INDEX(원자료_시장!$A$1:$BZ$1000,설정!$L$6+ROW()-1,설정!$L$25)),"")</f>
        <v>0</v>
      </c>
      <c r="D597" s="85" t="str">
        <f aca="false">IFERROR(IF(ISNUMBER(INDEX(원자료_시장!$A$1:$BZ$1000,설정!$L$6+ROW()-1,설정!$L$26)),INDEX(원자료_시장!$A$1:$BZ$1000,설정!$L$6+ROW()-1,설정!$L$26),""),"")</f>
        <v/>
      </c>
      <c r="E597" s="97" t="str">
        <f aca="false">IFERROR(IF(ISNUMBER(INDEX(원자료_시장!$A$1:$BZ$1000,설정!$L$6+ROW()-1,설정!$L$27)),INDEX(원자료_시장!$A$1:$BZ$1000,설정!$L$6+ROW()-1,설정!$L$27),""),"")</f>
        <v/>
      </c>
      <c r="F597" s="97" t="str">
        <f aca="false">IFERROR(IF(ISNUMBER(INDEX(원자료_시장!$A$1:$BZ$1000,설정!$L$6+ROW()-1,설정!$L$28)),INDEX(원자료_시장!$A$1:$BZ$1000,설정!$L$6+ROW()-1,설정!$L$28),""),"")</f>
        <v/>
      </c>
      <c r="G597" s="97" t="str">
        <f aca="false">IFERROR(IF(ISNUMBER(INDEX(원자료_시장!$A$1:$BZ$1000,설정!$L$6+ROW()-1,설정!$L$29)),INDEX(원자료_시장!$A$1:$BZ$1000,설정!$L$6+ROW()-1,설정!$L$29),""),"")</f>
        <v/>
      </c>
      <c r="H597" s="97" t="str">
        <f aca="false">IFERROR(IF(ISNUMBER(INDEX(원자료_시장!$A$1:$BZ$1000,설정!$L$6+ROW()-1,설정!$L$30)),INDEX(원자료_시장!$A$1:$BZ$1000,설정!$L$6+ROW()-1,설정!$L$30),""),"")</f>
        <v/>
      </c>
      <c r="I597" s="97" t="str">
        <f aca="false">IFERROR(IF(ISNUMBER(INDEX(원자료_시장!$A$1:$BZ$1000,설정!$L$6+ROW()-1,설정!$L$31)),INDEX(원자료_시장!$A$1:$BZ$1000,설정!$L$6+ROW()-1,설정!$L$31),""),"")</f>
        <v/>
      </c>
      <c r="J597" s="97" t="str">
        <f aca="false">IFERROR(IF(ISNUMBER(INDEX(원자료_시장!$A$1:$BZ$1000,설정!$L$6+ROW()-1,설정!$L$32)),INDEX(원자료_시장!$A$1:$BZ$1000,설정!$L$6+ROW()-1,설정!$L$32),""),"")</f>
        <v/>
      </c>
      <c r="K597" s="85" t="str">
        <f aca="false">IFERROR(IF(ISNUMBER(INDEX(원자료_시장!$A$1:$BZ$1000,설정!$L$6+ROW()-1,설정!$L$33)),INDEX(원자료_시장!$A$1:$BZ$1000,설정!$L$6+ROW()-1,설정!$L$33),""),"")</f>
        <v/>
      </c>
      <c r="L597" s="83" t="n">
        <f aca="false">IFERROR(IF(INDEX(원자료_시장!$A$1:$BZ$1000,설정!$L$6+ROW()-1,설정!$L$34)&amp;""="0","",INDEX(원자료_시장!$A$1:$BZ$1000,설정!$L$6+ROW()-1,설정!$L$34)),"")</f>
        <v>0</v>
      </c>
      <c r="M597" s="83" t="n">
        <f aca="false">IFERROR(IF(INDEX(원자료_시장!$A$1:$BZ$1000,설정!$L$6+ROW()-1,설정!$L$35)&amp;""="0","",INDEX(원자료_시장!$A$1:$BZ$1000,설정!$L$6+ROW()-1,설정!$L$35)),"")</f>
        <v>0</v>
      </c>
      <c r="N597" s="83" t="n">
        <f aca="false">IFERROR(IF(INDEX(원자료_시장!$A$1:$BZ$1000,설정!$L$6+ROW()-1,설정!$L$36)&amp;""="0","",INDEX(원자료_시장!$A$1:$BZ$1000,설정!$L$6+ROW()-1,설정!$L$36)),"")</f>
        <v>0</v>
      </c>
      <c r="O597" s="43" t="str">
        <f aca="false">IF($A597="","",UPPER(LEFT($A597,FIND(" ",$A597&amp;" ")-1)))</f>
        <v/>
      </c>
      <c r="P597" s="43" t="str">
        <f aca="false">IF($A597="","",TRIM(RIGHT(SUBSTITUTE(TRIM($A597)," ",REPT(" ",30)),30)))</f>
        <v/>
      </c>
      <c r="Q597" s="98" t="str">
        <f aca="false">IF($A597="","",IFERROR(DATE(IF(LEN(P597)=8,2000+VALUE(RIGHT(P597,2)),VALUE(RIGHT(P597,4))),VALUE(LEFT(P597,2)),VALUE(MID(P597,4,2))),""))</f>
        <v/>
      </c>
      <c r="R597" s="89" t="n">
        <f aca="false">IF($A597="",0,IF(ISNUMBER(SEARCH("Float",$A597)),1,0))</f>
        <v>0</v>
      </c>
      <c r="S597" s="43" t="str">
        <f aca="false">IF($A597="","",TRIM(MID($A597,LEN(O597)+2,LEN($A597)-LEN(O597)-LEN(P597)-1)))</f>
        <v/>
      </c>
      <c r="T597" s="92" t="str">
        <f aca="false">IF(OR($A597="",R597=1),"",IFERROR(IF(ISNUMBER(FIND("/",S597)),IF(ISNUMBER(FIND(" ",S597)),VALUE(LEFT(S597,FIND(" ",S597)-1))+VALUE(MID(S597,FIND(" ",S597)+1,FIND("/",S597)-FIND(" ",S597)-1))/VALUE(MID(S597,FIND("/",S597)+1,9)),VALUE(LEFT(S597,FIND("/",S597)-1))/VALUE(MID(S597,FIND("/",S597)+1,9))),VALUE(S597)),""))</f>
        <v/>
      </c>
      <c r="U597" s="43" t="str">
        <f aca="false">IF(OR($A597="",NOT(ISNUMBER(Q597))),"",TEXT(Q597,"yyyymmdd")&amp;"|"&amp;IF(R597=1,"F",TEXT(T597,"0.000")))</f>
        <v/>
      </c>
      <c r="V597" s="43" t="str">
        <f aca="false">IF(U597="","",O597&amp;"|"&amp;U597)</f>
        <v/>
      </c>
      <c r="W597" s="43" t="str">
        <f aca="false">IF($A597="","",IFERROR(IF(VLOOKUP(O597,매핑!$A$4:$E$92,3,0)="","미분류",VLOOKUP(O597,매핑!$A$4:$E$92,3,0)),"미분류"))</f>
        <v/>
      </c>
      <c r="X597" s="89" t="n">
        <f aca="false">IF($A597="",0,IF(O597="T",1,0))</f>
        <v>0</v>
      </c>
      <c r="Y597" s="89" t="n">
        <f aca="false">IF($A597="",0,IF(AND(C597="USD",X597=0,ISNUMBER(E597),ISNUMBER(K597)),IF(K597&gt;=설정!$C$8,1,0),0))</f>
        <v>0</v>
      </c>
      <c r="Z597" s="43" t="str">
        <f aca="false">IF($A597="","",N597&amp;"|"&amp;L597)</f>
        <v/>
      </c>
      <c r="AA597" s="92" t="n">
        <f aca="false">IF(Y597=1,LN(K597),0)</f>
        <v>0</v>
      </c>
      <c r="AB597" s="93" t="n">
        <f aca="false">IF(Y597=1,E597,0)</f>
        <v>0</v>
      </c>
      <c r="AC597" s="89" t="n">
        <f aca="false">IF(Y597=1,COUNTIFS($Z$2:$Z$601,Z597,$Y$2:$Y$601,1),0)</f>
        <v>0</v>
      </c>
      <c r="AD597" s="89" t="n">
        <f aca="false">IF(Y597=1,COUNTIFS($N$2:$N$601,N597,$Y$2:$Y$601,1),0)</f>
        <v>0</v>
      </c>
      <c r="AE597" s="43" t="str">
        <f aca="false">IF(Y597&lt;&gt;1,"",IF(AND(AC597&gt;=설정!$C$7,ISNUMBER(MATCH(Z597,피어커브!$A:$A,0))),Z597,IF(AND(AD597&gt;=설정!$C$7,ISNUMBER(MATCH(N597&amp;"|전체",피어커브!$A:$A,0))),N597&amp;"|전체","전체|전체")))</f>
        <v/>
      </c>
      <c r="AF597" s="93" t="str">
        <f aca="false">IF(AE597="","",INDEX(피어커브!$K:$K,MATCH(AE597,피어커브!$A:$A,0)))</f>
        <v/>
      </c>
      <c r="AG597" s="93" t="str">
        <f aca="false">IF(AE597="","",INDEX(피어커브!$J:$J,MATCH(AE597,피어커브!$A:$A,0)))</f>
        <v/>
      </c>
      <c r="AH597" s="93" t="str">
        <f aca="false">IF(AE597="","",INDEX(피어커브!$L:$L,MATCH(AE597,피어커브!$A:$A,0)))</f>
        <v/>
      </c>
      <c r="AI597" s="93" t="str">
        <f aca="false">IF(AE597="","",AF597+AG597*AA597)</f>
        <v/>
      </c>
      <c r="AJ597" s="96" t="str">
        <f aca="false">IF(AE597="","",E597-AI597)</f>
        <v/>
      </c>
      <c r="AK597" s="95" t="str">
        <f aca="false">IF(AE597="","",IF(ISNUMBER(AH597),IF(AH597&gt;0,AJ597/AH597,""),""))</f>
        <v/>
      </c>
      <c r="AL597" s="43" t="str">
        <f aca="false">IF(AK597="","-",IF(AK597&gt;=설정!$C$6,"Cheap",IF(AK597&lt;=-설정!$C$6,"Rich","Fair")))</f>
        <v>-</v>
      </c>
      <c r="AM597" s="96" t="str">
        <f aca="false">IF(AE597="","",AJ597-AVERAGEIFS($AJ$2:$AJ$601,$B$2:$B$601,B597,$Y$2:$Y$601,1))</f>
        <v/>
      </c>
      <c r="AN597" s="93" t="n">
        <f aca="false">IF(AE597="",0,IF(K597&gt;1+설정!$C$8,AG597*(AA597-LN(K597-1)),0))</f>
        <v>0</v>
      </c>
      <c r="AO597" s="99" t="n">
        <f aca="false">IF($A597="",0,SUMIFS(보유분석!$AA$2:$AA$801,보유분석!$AB$2:$AB$801,ROW(),보유분석!$AC$2:$AC$801,1))</f>
        <v>0</v>
      </c>
      <c r="AP597" s="43" t="str">
        <f aca="false">IF($A597="","",TRIM(IF(R597=1,"FRN ","")&amp;IF(IFERROR(VLOOKUP(M597,설정!$A$15:$D$47,4,0),0)&gt;=10,IF(IFERROR(VLOOKUP(M597,설정!$A$15:$D$47,4,0),0)&lt;99,"BBB0미만 ",""),"")&amp;IF(OR(M597="",M597="NR"),"등급미입력 ","")&amp;IF(C597&lt;&gt;"USD","비USD ","")))</f>
        <v/>
      </c>
      <c r="AQ597" s="90" t="n">
        <f aca="false">IF(AND(Y597=1,AL597="Cheap"),IF(AND(ISERROR(SEARCH("FRN",AP597)),ISERROR(SEARCH("BBB0미만",AP597))),AK597+ROW()/1000000000,-999),-999)</f>
        <v>-999</v>
      </c>
      <c r="AR597" s="92" t="str">
        <f aca="false">IF(AND(ISNUMBER(D597),ISNUMBER(K597)),D597+AN597*MAX(K597-1,0)/100,"")</f>
        <v/>
      </c>
      <c r="AS597" s="93" t="str">
        <f aca="false">IF(AND(ISNUMBER(E597),ISNUMBER(K597)),IF(K597&gt;0,(E597+AN597*MAX(K597-1,0))/K597,""),"")</f>
        <v/>
      </c>
      <c r="AT597" s="90" t="n">
        <f aca="false">IFERROR(IF(AND(Y597=1,ROW()&lt;&gt;스왑분석!$C$12+1,ABS(K597-INDEX($K$2:$K$601,스왑분석!$C$12))&lt;=스왑분석!$C$5,ISERROR(SEARCH("FRN",AP597)),ISERROR(SEARCH("BBB0미만",AP597))),IF(AND(OR(스왑분석!$C$6="N",L597=INDEX($L$2:$L$601,스왑분석!$C$12)),OR(스왑분석!$C$7="N",N597=INDEX($N$2:$N$601,스왑분석!$C$12)),OR(스왑분석!$C$8="N",AO597=0),E597-INDEX($E$2:$E$601,스왑분석!$C$12)&gt;=스왑분석!$C$9),E597-INDEX($E$2:$E$601,스왑분석!$C$12)+ROW()/1000000000,-999),-999),-999)</f>
        <v>-999</v>
      </c>
      <c r="AU597" s="90" t="n">
        <f aca="false">IF(AND(Y597=1,AO597&gt;0,AL597="Rich"),-AK597+ROW()/1000000000,-999)</f>
        <v>-999</v>
      </c>
    </row>
    <row r="598" customFormat="false" ht="15" hidden="false" customHeight="false" outlineLevel="0" collapsed="false">
      <c r="A598" s="83" t="n">
        <f aca="false">IFERROR(IF(INDEX(원자료_시장!$A$1:$BZ$1000,설정!$L$6+ROW()-1,설정!$L$24)&amp;""="0","",INDEX(원자료_시장!$A$1:$BZ$1000,설정!$L$6+ROW()-1,설정!$L$24)),"")</f>
        <v>0</v>
      </c>
      <c r="B598" s="83" t="n">
        <f aca="false">IFERROR(IF(INDEX(원자료_시장!$A$1:$BZ$1000,설정!$L$6+ROW()-1,설정!$L$37)&amp;""="0","",INDEX(원자료_시장!$A$1:$BZ$1000,설정!$L$6+ROW()-1,설정!$L$37)),"")</f>
        <v>0</v>
      </c>
      <c r="C598" s="83" t="n">
        <f aca="false">IFERROR(IF(INDEX(원자료_시장!$A$1:$BZ$1000,설정!$L$6+ROW()-1,설정!$L$25)&amp;""="0","",INDEX(원자료_시장!$A$1:$BZ$1000,설정!$L$6+ROW()-1,설정!$L$25)),"")</f>
        <v>0</v>
      </c>
      <c r="D598" s="85" t="str">
        <f aca="false">IFERROR(IF(ISNUMBER(INDEX(원자료_시장!$A$1:$BZ$1000,설정!$L$6+ROW()-1,설정!$L$26)),INDEX(원자료_시장!$A$1:$BZ$1000,설정!$L$6+ROW()-1,설정!$L$26),""),"")</f>
        <v/>
      </c>
      <c r="E598" s="97" t="str">
        <f aca="false">IFERROR(IF(ISNUMBER(INDEX(원자료_시장!$A$1:$BZ$1000,설정!$L$6+ROW()-1,설정!$L$27)),INDEX(원자료_시장!$A$1:$BZ$1000,설정!$L$6+ROW()-1,설정!$L$27),""),"")</f>
        <v/>
      </c>
      <c r="F598" s="97" t="str">
        <f aca="false">IFERROR(IF(ISNUMBER(INDEX(원자료_시장!$A$1:$BZ$1000,설정!$L$6+ROW()-1,설정!$L$28)),INDEX(원자료_시장!$A$1:$BZ$1000,설정!$L$6+ROW()-1,설정!$L$28),""),"")</f>
        <v/>
      </c>
      <c r="G598" s="97" t="str">
        <f aca="false">IFERROR(IF(ISNUMBER(INDEX(원자료_시장!$A$1:$BZ$1000,설정!$L$6+ROW()-1,설정!$L$29)),INDEX(원자료_시장!$A$1:$BZ$1000,설정!$L$6+ROW()-1,설정!$L$29),""),"")</f>
        <v/>
      </c>
      <c r="H598" s="97" t="str">
        <f aca="false">IFERROR(IF(ISNUMBER(INDEX(원자료_시장!$A$1:$BZ$1000,설정!$L$6+ROW()-1,설정!$L$30)),INDEX(원자료_시장!$A$1:$BZ$1000,설정!$L$6+ROW()-1,설정!$L$30),""),"")</f>
        <v/>
      </c>
      <c r="I598" s="97" t="str">
        <f aca="false">IFERROR(IF(ISNUMBER(INDEX(원자료_시장!$A$1:$BZ$1000,설정!$L$6+ROW()-1,설정!$L$31)),INDEX(원자료_시장!$A$1:$BZ$1000,설정!$L$6+ROW()-1,설정!$L$31),""),"")</f>
        <v/>
      </c>
      <c r="J598" s="97" t="str">
        <f aca="false">IFERROR(IF(ISNUMBER(INDEX(원자료_시장!$A$1:$BZ$1000,설정!$L$6+ROW()-1,설정!$L$32)),INDEX(원자료_시장!$A$1:$BZ$1000,설정!$L$6+ROW()-1,설정!$L$32),""),"")</f>
        <v/>
      </c>
      <c r="K598" s="85" t="str">
        <f aca="false">IFERROR(IF(ISNUMBER(INDEX(원자료_시장!$A$1:$BZ$1000,설정!$L$6+ROW()-1,설정!$L$33)),INDEX(원자료_시장!$A$1:$BZ$1000,설정!$L$6+ROW()-1,설정!$L$33),""),"")</f>
        <v/>
      </c>
      <c r="L598" s="83" t="n">
        <f aca="false">IFERROR(IF(INDEX(원자료_시장!$A$1:$BZ$1000,설정!$L$6+ROW()-1,설정!$L$34)&amp;""="0","",INDEX(원자료_시장!$A$1:$BZ$1000,설정!$L$6+ROW()-1,설정!$L$34)),"")</f>
        <v>0</v>
      </c>
      <c r="M598" s="83" t="n">
        <f aca="false">IFERROR(IF(INDEX(원자료_시장!$A$1:$BZ$1000,설정!$L$6+ROW()-1,설정!$L$35)&amp;""="0","",INDEX(원자료_시장!$A$1:$BZ$1000,설정!$L$6+ROW()-1,설정!$L$35)),"")</f>
        <v>0</v>
      </c>
      <c r="N598" s="83" t="n">
        <f aca="false">IFERROR(IF(INDEX(원자료_시장!$A$1:$BZ$1000,설정!$L$6+ROW()-1,설정!$L$36)&amp;""="0","",INDEX(원자료_시장!$A$1:$BZ$1000,설정!$L$6+ROW()-1,설정!$L$36)),"")</f>
        <v>0</v>
      </c>
      <c r="O598" s="43" t="str">
        <f aca="false">IF($A598="","",UPPER(LEFT($A598,FIND(" ",$A598&amp;" ")-1)))</f>
        <v/>
      </c>
      <c r="P598" s="43" t="str">
        <f aca="false">IF($A598="","",TRIM(RIGHT(SUBSTITUTE(TRIM($A598)," ",REPT(" ",30)),30)))</f>
        <v/>
      </c>
      <c r="Q598" s="98" t="str">
        <f aca="false">IF($A598="","",IFERROR(DATE(IF(LEN(P598)=8,2000+VALUE(RIGHT(P598,2)),VALUE(RIGHT(P598,4))),VALUE(LEFT(P598,2)),VALUE(MID(P598,4,2))),""))</f>
        <v/>
      </c>
      <c r="R598" s="89" t="n">
        <f aca="false">IF($A598="",0,IF(ISNUMBER(SEARCH("Float",$A598)),1,0))</f>
        <v>0</v>
      </c>
      <c r="S598" s="43" t="str">
        <f aca="false">IF($A598="","",TRIM(MID($A598,LEN(O598)+2,LEN($A598)-LEN(O598)-LEN(P598)-1)))</f>
        <v/>
      </c>
      <c r="T598" s="92" t="str">
        <f aca="false">IF(OR($A598="",R598=1),"",IFERROR(IF(ISNUMBER(FIND("/",S598)),IF(ISNUMBER(FIND(" ",S598)),VALUE(LEFT(S598,FIND(" ",S598)-1))+VALUE(MID(S598,FIND(" ",S598)+1,FIND("/",S598)-FIND(" ",S598)-1))/VALUE(MID(S598,FIND("/",S598)+1,9)),VALUE(LEFT(S598,FIND("/",S598)-1))/VALUE(MID(S598,FIND("/",S598)+1,9))),VALUE(S598)),""))</f>
        <v/>
      </c>
      <c r="U598" s="43" t="str">
        <f aca="false">IF(OR($A598="",NOT(ISNUMBER(Q598))),"",TEXT(Q598,"yyyymmdd")&amp;"|"&amp;IF(R598=1,"F",TEXT(T598,"0.000")))</f>
        <v/>
      </c>
      <c r="V598" s="43" t="str">
        <f aca="false">IF(U598="","",O598&amp;"|"&amp;U598)</f>
        <v/>
      </c>
      <c r="W598" s="43" t="str">
        <f aca="false">IF($A598="","",IFERROR(IF(VLOOKUP(O598,매핑!$A$4:$E$92,3,0)="","미분류",VLOOKUP(O598,매핑!$A$4:$E$92,3,0)),"미분류"))</f>
        <v/>
      </c>
      <c r="X598" s="89" t="n">
        <f aca="false">IF($A598="",0,IF(O598="T",1,0))</f>
        <v>0</v>
      </c>
      <c r="Y598" s="89" t="n">
        <f aca="false">IF($A598="",0,IF(AND(C598="USD",X598=0,ISNUMBER(E598),ISNUMBER(K598)),IF(K598&gt;=설정!$C$8,1,0),0))</f>
        <v>0</v>
      </c>
      <c r="Z598" s="43" t="str">
        <f aca="false">IF($A598="","",N598&amp;"|"&amp;L598)</f>
        <v/>
      </c>
      <c r="AA598" s="92" t="n">
        <f aca="false">IF(Y598=1,LN(K598),0)</f>
        <v>0</v>
      </c>
      <c r="AB598" s="93" t="n">
        <f aca="false">IF(Y598=1,E598,0)</f>
        <v>0</v>
      </c>
      <c r="AC598" s="89" t="n">
        <f aca="false">IF(Y598=1,COUNTIFS($Z$2:$Z$601,Z598,$Y$2:$Y$601,1),0)</f>
        <v>0</v>
      </c>
      <c r="AD598" s="89" t="n">
        <f aca="false">IF(Y598=1,COUNTIFS($N$2:$N$601,N598,$Y$2:$Y$601,1),0)</f>
        <v>0</v>
      </c>
      <c r="AE598" s="43" t="str">
        <f aca="false">IF(Y598&lt;&gt;1,"",IF(AND(AC598&gt;=설정!$C$7,ISNUMBER(MATCH(Z598,피어커브!$A:$A,0))),Z598,IF(AND(AD598&gt;=설정!$C$7,ISNUMBER(MATCH(N598&amp;"|전체",피어커브!$A:$A,0))),N598&amp;"|전체","전체|전체")))</f>
        <v/>
      </c>
      <c r="AF598" s="93" t="str">
        <f aca="false">IF(AE598="","",INDEX(피어커브!$K:$K,MATCH(AE598,피어커브!$A:$A,0)))</f>
        <v/>
      </c>
      <c r="AG598" s="93" t="str">
        <f aca="false">IF(AE598="","",INDEX(피어커브!$J:$J,MATCH(AE598,피어커브!$A:$A,0)))</f>
        <v/>
      </c>
      <c r="AH598" s="93" t="str">
        <f aca="false">IF(AE598="","",INDEX(피어커브!$L:$L,MATCH(AE598,피어커브!$A:$A,0)))</f>
        <v/>
      </c>
      <c r="AI598" s="93" t="str">
        <f aca="false">IF(AE598="","",AF598+AG598*AA598)</f>
        <v/>
      </c>
      <c r="AJ598" s="96" t="str">
        <f aca="false">IF(AE598="","",E598-AI598)</f>
        <v/>
      </c>
      <c r="AK598" s="95" t="str">
        <f aca="false">IF(AE598="","",IF(ISNUMBER(AH598),IF(AH598&gt;0,AJ598/AH598,""),""))</f>
        <v/>
      </c>
      <c r="AL598" s="43" t="str">
        <f aca="false">IF(AK598="","-",IF(AK598&gt;=설정!$C$6,"Cheap",IF(AK598&lt;=-설정!$C$6,"Rich","Fair")))</f>
        <v>-</v>
      </c>
      <c r="AM598" s="96" t="str">
        <f aca="false">IF(AE598="","",AJ598-AVERAGEIFS($AJ$2:$AJ$601,$B$2:$B$601,B598,$Y$2:$Y$601,1))</f>
        <v/>
      </c>
      <c r="AN598" s="93" t="n">
        <f aca="false">IF(AE598="",0,IF(K598&gt;1+설정!$C$8,AG598*(AA598-LN(K598-1)),0))</f>
        <v>0</v>
      </c>
      <c r="AO598" s="99" t="n">
        <f aca="false">IF($A598="",0,SUMIFS(보유분석!$AA$2:$AA$801,보유분석!$AB$2:$AB$801,ROW(),보유분석!$AC$2:$AC$801,1))</f>
        <v>0</v>
      </c>
      <c r="AP598" s="43" t="str">
        <f aca="false">IF($A598="","",TRIM(IF(R598=1,"FRN ","")&amp;IF(IFERROR(VLOOKUP(M598,설정!$A$15:$D$47,4,0),0)&gt;=10,IF(IFERROR(VLOOKUP(M598,설정!$A$15:$D$47,4,0),0)&lt;99,"BBB0미만 ",""),"")&amp;IF(OR(M598="",M598="NR"),"등급미입력 ","")&amp;IF(C598&lt;&gt;"USD","비USD ","")))</f>
        <v/>
      </c>
      <c r="AQ598" s="90" t="n">
        <f aca="false">IF(AND(Y598=1,AL598="Cheap"),IF(AND(ISERROR(SEARCH("FRN",AP598)),ISERROR(SEARCH("BBB0미만",AP598))),AK598+ROW()/1000000000,-999),-999)</f>
        <v>-999</v>
      </c>
      <c r="AR598" s="92" t="str">
        <f aca="false">IF(AND(ISNUMBER(D598),ISNUMBER(K598)),D598+AN598*MAX(K598-1,0)/100,"")</f>
        <v/>
      </c>
      <c r="AS598" s="93" t="str">
        <f aca="false">IF(AND(ISNUMBER(E598),ISNUMBER(K598)),IF(K598&gt;0,(E598+AN598*MAX(K598-1,0))/K598,""),"")</f>
        <v/>
      </c>
      <c r="AT598" s="90" t="n">
        <f aca="false">IFERROR(IF(AND(Y598=1,ROW()&lt;&gt;스왑분석!$C$12+1,ABS(K598-INDEX($K$2:$K$601,스왑분석!$C$12))&lt;=스왑분석!$C$5,ISERROR(SEARCH("FRN",AP598)),ISERROR(SEARCH("BBB0미만",AP598))),IF(AND(OR(스왑분석!$C$6="N",L598=INDEX($L$2:$L$601,스왑분석!$C$12)),OR(스왑분석!$C$7="N",N598=INDEX($N$2:$N$601,스왑분석!$C$12)),OR(스왑분석!$C$8="N",AO598=0),E598-INDEX($E$2:$E$601,스왑분석!$C$12)&gt;=스왑분석!$C$9),E598-INDEX($E$2:$E$601,스왑분석!$C$12)+ROW()/1000000000,-999),-999),-999)</f>
        <v>-999</v>
      </c>
      <c r="AU598" s="90" t="n">
        <f aca="false">IF(AND(Y598=1,AO598&gt;0,AL598="Rich"),-AK598+ROW()/1000000000,-999)</f>
        <v>-999</v>
      </c>
    </row>
    <row r="599" customFormat="false" ht="15" hidden="false" customHeight="false" outlineLevel="0" collapsed="false">
      <c r="A599" s="83" t="n">
        <f aca="false">IFERROR(IF(INDEX(원자료_시장!$A$1:$BZ$1000,설정!$L$6+ROW()-1,설정!$L$24)&amp;""="0","",INDEX(원자료_시장!$A$1:$BZ$1000,설정!$L$6+ROW()-1,설정!$L$24)),"")</f>
        <v>0</v>
      </c>
      <c r="B599" s="83" t="n">
        <f aca="false">IFERROR(IF(INDEX(원자료_시장!$A$1:$BZ$1000,설정!$L$6+ROW()-1,설정!$L$37)&amp;""="0","",INDEX(원자료_시장!$A$1:$BZ$1000,설정!$L$6+ROW()-1,설정!$L$37)),"")</f>
        <v>0</v>
      </c>
      <c r="C599" s="83" t="n">
        <f aca="false">IFERROR(IF(INDEX(원자료_시장!$A$1:$BZ$1000,설정!$L$6+ROW()-1,설정!$L$25)&amp;""="0","",INDEX(원자료_시장!$A$1:$BZ$1000,설정!$L$6+ROW()-1,설정!$L$25)),"")</f>
        <v>0</v>
      </c>
      <c r="D599" s="85" t="str">
        <f aca="false">IFERROR(IF(ISNUMBER(INDEX(원자료_시장!$A$1:$BZ$1000,설정!$L$6+ROW()-1,설정!$L$26)),INDEX(원자료_시장!$A$1:$BZ$1000,설정!$L$6+ROW()-1,설정!$L$26),""),"")</f>
        <v/>
      </c>
      <c r="E599" s="97" t="str">
        <f aca="false">IFERROR(IF(ISNUMBER(INDEX(원자료_시장!$A$1:$BZ$1000,설정!$L$6+ROW()-1,설정!$L$27)),INDEX(원자료_시장!$A$1:$BZ$1000,설정!$L$6+ROW()-1,설정!$L$27),""),"")</f>
        <v/>
      </c>
      <c r="F599" s="97" t="str">
        <f aca="false">IFERROR(IF(ISNUMBER(INDEX(원자료_시장!$A$1:$BZ$1000,설정!$L$6+ROW()-1,설정!$L$28)),INDEX(원자료_시장!$A$1:$BZ$1000,설정!$L$6+ROW()-1,설정!$L$28),""),"")</f>
        <v/>
      </c>
      <c r="G599" s="97" t="str">
        <f aca="false">IFERROR(IF(ISNUMBER(INDEX(원자료_시장!$A$1:$BZ$1000,설정!$L$6+ROW()-1,설정!$L$29)),INDEX(원자료_시장!$A$1:$BZ$1000,설정!$L$6+ROW()-1,설정!$L$29),""),"")</f>
        <v/>
      </c>
      <c r="H599" s="97" t="str">
        <f aca="false">IFERROR(IF(ISNUMBER(INDEX(원자료_시장!$A$1:$BZ$1000,설정!$L$6+ROW()-1,설정!$L$30)),INDEX(원자료_시장!$A$1:$BZ$1000,설정!$L$6+ROW()-1,설정!$L$30),""),"")</f>
        <v/>
      </c>
      <c r="I599" s="97" t="str">
        <f aca="false">IFERROR(IF(ISNUMBER(INDEX(원자료_시장!$A$1:$BZ$1000,설정!$L$6+ROW()-1,설정!$L$31)),INDEX(원자료_시장!$A$1:$BZ$1000,설정!$L$6+ROW()-1,설정!$L$31),""),"")</f>
        <v/>
      </c>
      <c r="J599" s="97" t="str">
        <f aca="false">IFERROR(IF(ISNUMBER(INDEX(원자료_시장!$A$1:$BZ$1000,설정!$L$6+ROW()-1,설정!$L$32)),INDEX(원자료_시장!$A$1:$BZ$1000,설정!$L$6+ROW()-1,설정!$L$32),""),"")</f>
        <v/>
      </c>
      <c r="K599" s="85" t="str">
        <f aca="false">IFERROR(IF(ISNUMBER(INDEX(원자료_시장!$A$1:$BZ$1000,설정!$L$6+ROW()-1,설정!$L$33)),INDEX(원자료_시장!$A$1:$BZ$1000,설정!$L$6+ROW()-1,설정!$L$33),""),"")</f>
        <v/>
      </c>
      <c r="L599" s="83" t="n">
        <f aca="false">IFERROR(IF(INDEX(원자료_시장!$A$1:$BZ$1000,설정!$L$6+ROW()-1,설정!$L$34)&amp;""="0","",INDEX(원자료_시장!$A$1:$BZ$1000,설정!$L$6+ROW()-1,설정!$L$34)),"")</f>
        <v>0</v>
      </c>
      <c r="M599" s="83" t="n">
        <f aca="false">IFERROR(IF(INDEX(원자료_시장!$A$1:$BZ$1000,설정!$L$6+ROW()-1,설정!$L$35)&amp;""="0","",INDEX(원자료_시장!$A$1:$BZ$1000,설정!$L$6+ROW()-1,설정!$L$35)),"")</f>
        <v>0</v>
      </c>
      <c r="N599" s="83" t="n">
        <f aca="false">IFERROR(IF(INDEX(원자료_시장!$A$1:$BZ$1000,설정!$L$6+ROW()-1,설정!$L$36)&amp;""="0","",INDEX(원자료_시장!$A$1:$BZ$1000,설정!$L$6+ROW()-1,설정!$L$36)),"")</f>
        <v>0</v>
      </c>
      <c r="O599" s="43" t="str">
        <f aca="false">IF($A599="","",UPPER(LEFT($A599,FIND(" ",$A599&amp;" ")-1)))</f>
        <v/>
      </c>
      <c r="P599" s="43" t="str">
        <f aca="false">IF($A599="","",TRIM(RIGHT(SUBSTITUTE(TRIM($A599)," ",REPT(" ",30)),30)))</f>
        <v/>
      </c>
      <c r="Q599" s="98" t="str">
        <f aca="false">IF($A599="","",IFERROR(DATE(IF(LEN(P599)=8,2000+VALUE(RIGHT(P599,2)),VALUE(RIGHT(P599,4))),VALUE(LEFT(P599,2)),VALUE(MID(P599,4,2))),""))</f>
        <v/>
      </c>
      <c r="R599" s="89" t="n">
        <f aca="false">IF($A599="",0,IF(ISNUMBER(SEARCH("Float",$A599)),1,0))</f>
        <v>0</v>
      </c>
      <c r="S599" s="43" t="str">
        <f aca="false">IF($A599="","",TRIM(MID($A599,LEN(O599)+2,LEN($A599)-LEN(O599)-LEN(P599)-1)))</f>
        <v/>
      </c>
      <c r="T599" s="92" t="str">
        <f aca="false">IF(OR($A599="",R599=1),"",IFERROR(IF(ISNUMBER(FIND("/",S599)),IF(ISNUMBER(FIND(" ",S599)),VALUE(LEFT(S599,FIND(" ",S599)-1))+VALUE(MID(S599,FIND(" ",S599)+1,FIND("/",S599)-FIND(" ",S599)-1))/VALUE(MID(S599,FIND("/",S599)+1,9)),VALUE(LEFT(S599,FIND("/",S599)-1))/VALUE(MID(S599,FIND("/",S599)+1,9))),VALUE(S599)),""))</f>
        <v/>
      </c>
      <c r="U599" s="43" t="str">
        <f aca="false">IF(OR($A599="",NOT(ISNUMBER(Q599))),"",TEXT(Q599,"yyyymmdd")&amp;"|"&amp;IF(R599=1,"F",TEXT(T599,"0.000")))</f>
        <v/>
      </c>
      <c r="V599" s="43" t="str">
        <f aca="false">IF(U599="","",O599&amp;"|"&amp;U599)</f>
        <v/>
      </c>
      <c r="W599" s="43" t="str">
        <f aca="false">IF($A599="","",IFERROR(IF(VLOOKUP(O599,매핑!$A$4:$E$92,3,0)="","미분류",VLOOKUP(O599,매핑!$A$4:$E$92,3,0)),"미분류"))</f>
        <v/>
      </c>
      <c r="X599" s="89" t="n">
        <f aca="false">IF($A599="",0,IF(O599="T",1,0))</f>
        <v>0</v>
      </c>
      <c r="Y599" s="89" t="n">
        <f aca="false">IF($A599="",0,IF(AND(C599="USD",X599=0,ISNUMBER(E599),ISNUMBER(K599)),IF(K599&gt;=설정!$C$8,1,0),0))</f>
        <v>0</v>
      </c>
      <c r="Z599" s="43" t="str">
        <f aca="false">IF($A599="","",N599&amp;"|"&amp;L599)</f>
        <v/>
      </c>
      <c r="AA599" s="92" t="n">
        <f aca="false">IF(Y599=1,LN(K599),0)</f>
        <v>0</v>
      </c>
      <c r="AB599" s="93" t="n">
        <f aca="false">IF(Y599=1,E599,0)</f>
        <v>0</v>
      </c>
      <c r="AC599" s="89" t="n">
        <f aca="false">IF(Y599=1,COUNTIFS($Z$2:$Z$601,Z599,$Y$2:$Y$601,1),0)</f>
        <v>0</v>
      </c>
      <c r="AD599" s="89" t="n">
        <f aca="false">IF(Y599=1,COUNTIFS($N$2:$N$601,N599,$Y$2:$Y$601,1),0)</f>
        <v>0</v>
      </c>
      <c r="AE599" s="43" t="str">
        <f aca="false">IF(Y599&lt;&gt;1,"",IF(AND(AC599&gt;=설정!$C$7,ISNUMBER(MATCH(Z599,피어커브!$A:$A,0))),Z599,IF(AND(AD599&gt;=설정!$C$7,ISNUMBER(MATCH(N599&amp;"|전체",피어커브!$A:$A,0))),N599&amp;"|전체","전체|전체")))</f>
        <v/>
      </c>
      <c r="AF599" s="93" t="str">
        <f aca="false">IF(AE599="","",INDEX(피어커브!$K:$K,MATCH(AE599,피어커브!$A:$A,0)))</f>
        <v/>
      </c>
      <c r="AG599" s="93" t="str">
        <f aca="false">IF(AE599="","",INDEX(피어커브!$J:$J,MATCH(AE599,피어커브!$A:$A,0)))</f>
        <v/>
      </c>
      <c r="AH599" s="93" t="str">
        <f aca="false">IF(AE599="","",INDEX(피어커브!$L:$L,MATCH(AE599,피어커브!$A:$A,0)))</f>
        <v/>
      </c>
      <c r="AI599" s="93" t="str">
        <f aca="false">IF(AE599="","",AF599+AG599*AA599)</f>
        <v/>
      </c>
      <c r="AJ599" s="96" t="str">
        <f aca="false">IF(AE599="","",E599-AI599)</f>
        <v/>
      </c>
      <c r="AK599" s="95" t="str">
        <f aca="false">IF(AE599="","",IF(ISNUMBER(AH599),IF(AH599&gt;0,AJ599/AH599,""),""))</f>
        <v/>
      </c>
      <c r="AL599" s="43" t="str">
        <f aca="false">IF(AK599="","-",IF(AK599&gt;=설정!$C$6,"Cheap",IF(AK599&lt;=-설정!$C$6,"Rich","Fair")))</f>
        <v>-</v>
      </c>
      <c r="AM599" s="96" t="str">
        <f aca="false">IF(AE599="","",AJ599-AVERAGEIFS($AJ$2:$AJ$601,$B$2:$B$601,B599,$Y$2:$Y$601,1))</f>
        <v/>
      </c>
      <c r="AN599" s="93" t="n">
        <f aca="false">IF(AE599="",0,IF(K599&gt;1+설정!$C$8,AG599*(AA599-LN(K599-1)),0))</f>
        <v>0</v>
      </c>
      <c r="AO599" s="99" t="n">
        <f aca="false">IF($A599="",0,SUMIFS(보유분석!$AA$2:$AA$801,보유분석!$AB$2:$AB$801,ROW(),보유분석!$AC$2:$AC$801,1))</f>
        <v>0</v>
      </c>
      <c r="AP599" s="43" t="str">
        <f aca="false">IF($A599="","",TRIM(IF(R599=1,"FRN ","")&amp;IF(IFERROR(VLOOKUP(M599,설정!$A$15:$D$47,4,0),0)&gt;=10,IF(IFERROR(VLOOKUP(M599,설정!$A$15:$D$47,4,0),0)&lt;99,"BBB0미만 ",""),"")&amp;IF(OR(M599="",M599="NR"),"등급미입력 ","")&amp;IF(C599&lt;&gt;"USD","비USD ","")))</f>
        <v/>
      </c>
      <c r="AQ599" s="90" t="n">
        <f aca="false">IF(AND(Y599=1,AL599="Cheap"),IF(AND(ISERROR(SEARCH("FRN",AP599)),ISERROR(SEARCH("BBB0미만",AP599))),AK599+ROW()/1000000000,-999),-999)</f>
        <v>-999</v>
      </c>
      <c r="AR599" s="92" t="str">
        <f aca="false">IF(AND(ISNUMBER(D599),ISNUMBER(K599)),D599+AN599*MAX(K599-1,0)/100,"")</f>
        <v/>
      </c>
      <c r="AS599" s="93" t="str">
        <f aca="false">IF(AND(ISNUMBER(E599),ISNUMBER(K599)),IF(K599&gt;0,(E599+AN599*MAX(K599-1,0))/K599,""),"")</f>
        <v/>
      </c>
      <c r="AT599" s="90" t="n">
        <f aca="false">IFERROR(IF(AND(Y599=1,ROW()&lt;&gt;스왑분석!$C$12+1,ABS(K599-INDEX($K$2:$K$601,스왑분석!$C$12))&lt;=스왑분석!$C$5,ISERROR(SEARCH("FRN",AP599)),ISERROR(SEARCH("BBB0미만",AP599))),IF(AND(OR(스왑분석!$C$6="N",L599=INDEX($L$2:$L$601,스왑분석!$C$12)),OR(스왑분석!$C$7="N",N599=INDEX($N$2:$N$601,스왑분석!$C$12)),OR(스왑분석!$C$8="N",AO599=0),E599-INDEX($E$2:$E$601,스왑분석!$C$12)&gt;=스왑분석!$C$9),E599-INDEX($E$2:$E$601,스왑분석!$C$12)+ROW()/1000000000,-999),-999),-999)</f>
        <v>-999</v>
      </c>
      <c r="AU599" s="90" t="n">
        <f aca="false">IF(AND(Y599=1,AO599&gt;0,AL599="Rich"),-AK599+ROW()/1000000000,-999)</f>
        <v>-999</v>
      </c>
    </row>
    <row r="600" customFormat="false" ht="15" hidden="false" customHeight="false" outlineLevel="0" collapsed="false">
      <c r="A600" s="83" t="n">
        <f aca="false">IFERROR(IF(INDEX(원자료_시장!$A$1:$BZ$1000,설정!$L$6+ROW()-1,설정!$L$24)&amp;""="0","",INDEX(원자료_시장!$A$1:$BZ$1000,설정!$L$6+ROW()-1,설정!$L$24)),"")</f>
        <v>0</v>
      </c>
      <c r="B600" s="83" t="n">
        <f aca="false">IFERROR(IF(INDEX(원자료_시장!$A$1:$BZ$1000,설정!$L$6+ROW()-1,설정!$L$37)&amp;""="0","",INDEX(원자료_시장!$A$1:$BZ$1000,설정!$L$6+ROW()-1,설정!$L$37)),"")</f>
        <v>0</v>
      </c>
      <c r="C600" s="83" t="n">
        <f aca="false">IFERROR(IF(INDEX(원자료_시장!$A$1:$BZ$1000,설정!$L$6+ROW()-1,설정!$L$25)&amp;""="0","",INDEX(원자료_시장!$A$1:$BZ$1000,설정!$L$6+ROW()-1,설정!$L$25)),"")</f>
        <v>0</v>
      </c>
      <c r="D600" s="85" t="str">
        <f aca="false">IFERROR(IF(ISNUMBER(INDEX(원자료_시장!$A$1:$BZ$1000,설정!$L$6+ROW()-1,설정!$L$26)),INDEX(원자료_시장!$A$1:$BZ$1000,설정!$L$6+ROW()-1,설정!$L$26),""),"")</f>
        <v/>
      </c>
      <c r="E600" s="97" t="str">
        <f aca="false">IFERROR(IF(ISNUMBER(INDEX(원자료_시장!$A$1:$BZ$1000,설정!$L$6+ROW()-1,설정!$L$27)),INDEX(원자료_시장!$A$1:$BZ$1000,설정!$L$6+ROW()-1,설정!$L$27),""),"")</f>
        <v/>
      </c>
      <c r="F600" s="97" t="str">
        <f aca="false">IFERROR(IF(ISNUMBER(INDEX(원자료_시장!$A$1:$BZ$1000,설정!$L$6+ROW()-1,설정!$L$28)),INDEX(원자료_시장!$A$1:$BZ$1000,설정!$L$6+ROW()-1,설정!$L$28),""),"")</f>
        <v/>
      </c>
      <c r="G600" s="97" t="str">
        <f aca="false">IFERROR(IF(ISNUMBER(INDEX(원자료_시장!$A$1:$BZ$1000,설정!$L$6+ROW()-1,설정!$L$29)),INDEX(원자료_시장!$A$1:$BZ$1000,설정!$L$6+ROW()-1,설정!$L$29),""),"")</f>
        <v/>
      </c>
      <c r="H600" s="97" t="str">
        <f aca="false">IFERROR(IF(ISNUMBER(INDEX(원자료_시장!$A$1:$BZ$1000,설정!$L$6+ROW()-1,설정!$L$30)),INDEX(원자료_시장!$A$1:$BZ$1000,설정!$L$6+ROW()-1,설정!$L$30),""),"")</f>
        <v/>
      </c>
      <c r="I600" s="97" t="str">
        <f aca="false">IFERROR(IF(ISNUMBER(INDEX(원자료_시장!$A$1:$BZ$1000,설정!$L$6+ROW()-1,설정!$L$31)),INDEX(원자료_시장!$A$1:$BZ$1000,설정!$L$6+ROW()-1,설정!$L$31),""),"")</f>
        <v/>
      </c>
      <c r="J600" s="97" t="str">
        <f aca="false">IFERROR(IF(ISNUMBER(INDEX(원자료_시장!$A$1:$BZ$1000,설정!$L$6+ROW()-1,설정!$L$32)),INDEX(원자료_시장!$A$1:$BZ$1000,설정!$L$6+ROW()-1,설정!$L$32),""),"")</f>
        <v/>
      </c>
      <c r="K600" s="85" t="str">
        <f aca="false">IFERROR(IF(ISNUMBER(INDEX(원자료_시장!$A$1:$BZ$1000,설정!$L$6+ROW()-1,설정!$L$33)),INDEX(원자료_시장!$A$1:$BZ$1000,설정!$L$6+ROW()-1,설정!$L$33),""),"")</f>
        <v/>
      </c>
      <c r="L600" s="83" t="n">
        <f aca="false">IFERROR(IF(INDEX(원자료_시장!$A$1:$BZ$1000,설정!$L$6+ROW()-1,설정!$L$34)&amp;""="0","",INDEX(원자료_시장!$A$1:$BZ$1000,설정!$L$6+ROW()-1,설정!$L$34)),"")</f>
        <v>0</v>
      </c>
      <c r="M600" s="83" t="n">
        <f aca="false">IFERROR(IF(INDEX(원자료_시장!$A$1:$BZ$1000,설정!$L$6+ROW()-1,설정!$L$35)&amp;""="0","",INDEX(원자료_시장!$A$1:$BZ$1000,설정!$L$6+ROW()-1,설정!$L$35)),"")</f>
        <v>0</v>
      </c>
      <c r="N600" s="83" t="n">
        <f aca="false">IFERROR(IF(INDEX(원자료_시장!$A$1:$BZ$1000,설정!$L$6+ROW()-1,설정!$L$36)&amp;""="0","",INDEX(원자료_시장!$A$1:$BZ$1000,설정!$L$6+ROW()-1,설정!$L$36)),"")</f>
        <v>0</v>
      </c>
      <c r="O600" s="43" t="str">
        <f aca="false">IF($A600="","",UPPER(LEFT($A600,FIND(" ",$A600&amp;" ")-1)))</f>
        <v/>
      </c>
      <c r="P600" s="43" t="str">
        <f aca="false">IF($A600="","",TRIM(RIGHT(SUBSTITUTE(TRIM($A600)," ",REPT(" ",30)),30)))</f>
        <v/>
      </c>
      <c r="Q600" s="98" t="str">
        <f aca="false">IF($A600="","",IFERROR(DATE(IF(LEN(P600)=8,2000+VALUE(RIGHT(P600,2)),VALUE(RIGHT(P600,4))),VALUE(LEFT(P600,2)),VALUE(MID(P600,4,2))),""))</f>
        <v/>
      </c>
      <c r="R600" s="89" t="n">
        <f aca="false">IF($A600="",0,IF(ISNUMBER(SEARCH("Float",$A600)),1,0))</f>
        <v>0</v>
      </c>
      <c r="S600" s="43" t="str">
        <f aca="false">IF($A600="","",TRIM(MID($A600,LEN(O600)+2,LEN($A600)-LEN(O600)-LEN(P600)-1)))</f>
        <v/>
      </c>
      <c r="T600" s="92" t="str">
        <f aca="false">IF(OR($A600="",R600=1),"",IFERROR(IF(ISNUMBER(FIND("/",S600)),IF(ISNUMBER(FIND(" ",S600)),VALUE(LEFT(S600,FIND(" ",S600)-1))+VALUE(MID(S600,FIND(" ",S600)+1,FIND("/",S600)-FIND(" ",S600)-1))/VALUE(MID(S600,FIND("/",S600)+1,9)),VALUE(LEFT(S600,FIND("/",S600)-1))/VALUE(MID(S600,FIND("/",S600)+1,9))),VALUE(S600)),""))</f>
        <v/>
      </c>
      <c r="U600" s="43" t="str">
        <f aca="false">IF(OR($A600="",NOT(ISNUMBER(Q600))),"",TEXT(Q600,"yyyymmdd")&amp;"|"&amp;IF(R600=1,"F",TEXT(T600,"0.000")))</f>
        <v/>
      </c>
      <c r="V600" s="43" t="str">
        <f aca="false">IF(U600="","",O600&amp;"|"&amp;U600)</f>
        <v/>
      </c>
      <c r="W600" s="43" t="str">
        <f aca="false">IF($A600="","",IFERROR(IF(VLOOKUP(O600,매핑!$A$4:$E$92,3,0)="","미분류",VLOOKUP(O600,매핑!$A$4:$E$92,3,0)),"미분류"))</f>
        <v/>
      </c>
      <c r="X600" s="89" t="n">
        <f aca="false">IF($A600="",0,IF(O600="T",1,0))</f>
        <v>0</v>
      </c>
      <c r="Y600" s="89" t="n">
        <f aca="false">IF($A600="",0,IF(AND(C600="USD",X600=0,ISNUMBER(E600),ISNUMBER(K600)),IF(K600&gt;=설정!$C$8,1,0),0))</f>
        <v>0</v>
      </c>
      <c r="Z600" s="43" t="str">
        <f aca="false">IF($A600="","",N600&amp;"|"&amp;L600)</f>
        <v/>
      </c>
      <c r="AA600" s="92" t="n">
        <f aca="false">IF(Y600=1,LN(K600),0)</f>
        <v>0</v>
      </c>
      <c r="AB600" s="93" t="n">
        <f aca="false">IF(Y600=1,E600,0)</f>
        <v>0</v>
      </c>
      <c r="AC600" s="89" t="n">
        <f aca="false">IF(Y600=1,COUNTIFS($Z$2:$Z$601,Z600,$Y$2:$Y$601,1),0)</f>
        <v>0</v>
      </c>
      <c r="AD600" s="89" t="n">
        <f aca="false">IF(Y600=1,COUNTIFS($N$2:$N$601,N600,$Y$2:$Y$601,1),0)</f>
        <v>0</v>
      </c>
      <c r="AE600" s="43" t="str">
        <f aca="false">IF(Y600&lt;&gt;1,"",IF(AND(AC600&gt;=설정!$C$7,ISNUMBER(MATCH(Z600,피어커브!$A:$A,0))),Z600,IF(AND(AD600&gt;=설정!$C$7,ISNUMBER(MATCH(N600&amp;"|전체",피어커브!$A:$A,0))),N600&amp;"|전체","전체|전체")))</f>
        <v/>
      </c>
      <c r="AF600" s="93" t="str">
        <f aca="false">IF(AE600="","",INDEX(피어커브!$K:$K,MATCH(AE600,피어커브!$A:$A,0)))</f>
        <v/>
      </c>
      <c r="AG600" s="93" t="str">
        <f aca="false">IF(AE600="","",INDEX(피어커브!$J:$J,MATCH(AE600,피어커브!$A:$A,0)))</f>
        <v/>
      </c>
      <c r="AH600" s="93" t="str">
        <f aca="false">IF(AE600="","",INDEX(피어커브!$L:$L,MATCH(AE600,피어커브!$A:$A,0)))</f>
        <v/>
      </c>
      <c r="AI600" s="93" t="str">
        <f aca="false">IF(AE600="","",AF600+AG600*AA600)</f>
        <v/>
      </c>
      <c r="AJ600" s="96" t="str">
        <f aca="false">IF(AE600="","",E600-AI600)</f>
        <v/>
      </c>
      <c r="AK600" s="95" t="str">
        <f aca="false">IF(AE600="","",IF(ISNUMBER(AH600),IF(AH600&gt;0,AJ600/AH600,""),""))</f>
        <v/>
      </c>
      <c r="AL600" s="43" t="str">
        <f aca="false">IF(AK600="","-",IF(AK600&gt;=설정!$C$6,"Cheap",IF(AK600&lt;=-설정!$C$6,"Rich","Fair")))</f>
        <v>-</v>
      </c>
      <c r="AM600" s="96" t="str">
        <f aca="false">IF(AE600="","",AJ600-AVERAGEIFS($AJ$2:$AJ$601,$B$2:$B$601,B600,$Y$2:$Y$601,1))</f>
        <v/>
      </c>
      <c r="AN600" s="93" t="n">
        <f aca="false">IF(AE600="",0,IF(K600&gt;1+설정!$C$8,AG600*(AA600-LN(K600-1)),0))</f>
        <v>0</v>
      </c>
      <c r="AO600" s="99" t="n">
        <f aca="false">IF($A600="",0,SUMIFS(보유분석!$AA$2:$AA$801,보유분석!$AB$2:$AB$801,ROW(),보유분석!$AC$2:$AC$801,1))</f>
        <v>0</v>
      </c>
      <c r="AP600" s="43" t="str">
        <f aca="false">IF($A600="","",TRIM(IF(R600=1,"FRN ","")&amp;IF(IFERROR(VLOOKUP(M600,설정!$A$15:$D$47,4,0),0)&gt;=10,IF(IFERROR(VLOOKUP(M600,설정!$A$15:$D$47,4,0),0)&lt;99,"BBB0미만 ",""),"")&amp;IF(OR(M600="",M600="NR"),"등급미입력 ","")&amp;IF(C600&lt;&gt;"USD","비USD ","")))</f>
        <v/>
      </c>
      <c r="AQ600" s="90" t="n">
        <f aca="false">IF(AND(Y600=1,AL600="Cheap"),IF(AND(ISERROR(SEARCH("FRN",AP600)),ISERROR(SEARCH("BBB0미만",AP600))),AK600+ROW()/1000000000,-999),-999)</f>
        <v>-999</v>
      </c>
      <c r="AR600" s="92" t="str">
        <f aca="false">IF(AND(ISNUMBER(D600),ISNUMBER(K600)),D600+AN600*MAX(K600-1,0)/100,"")</f>
        <v/>
      </c>
      <c r="AS600" s="93" t="str">
        <f aca="false">IF(AND(ISNUMBER(E600),ISNUMBER(K600)),IF(K600&gt;0,(E600+AN600*MAX(K600-1,0))/K600,""),"")</f>
        <v/>
      </c>
      <c r="AT600" s="90" t="n">
        <f aca="false">IFERROR(IF(AND(Y600=1,ROW()&lt;&gt;스왑분석!$C$12+1,ABS(K600-INDEX($K$2:$K$601,스왑분석!$C$12))&lt;=스왑분석!$C$5,ISERROR(SEARCH("FRN",AP600)),ISERROR(SEARCH("BBB0미만",AP600))),IF(AND(OR(스왑분석!$C$6="N",L600=INDEX($L$2:$L$601,스왑분석!$C$12)),OR(스왑분석!$C$7="N",N600=INDEX($N$2:$N$601,스왑분석!$C$12)),OR(스왑분석!$C$8="N",AO600=0),E600-INDEX($E$2:$E$601,스왑분석!$C$12)&gt;=스왑분석!$C$9),E600-INDEX($E$2:$E$601,스왑분석!$C$12)+ROW()/1000000000,-999),-999),-999)</f>
        <v>-999</v>
      </c>
      <c r="AU600" s="90" t="n">
        <f aca="false">IF(AND(Y600=1,AO600&gt;0,AL600="Rich"),-AK600+ROW()/1000000000,-999)</f>
        <v>-999</v>
      </c>
    </row>
    <row r="601" customFormat="false" ht="15" hidden="false" customHeight="false" outlineLevel="0" collapsed="false">
      <c r="A601" s="83" t="n">
        <f aca="false">IFERROR(IF(INDEX(원자료_시장!$A$1:$BZ$1000,설정!$L$6+ROW()-1,설정!$L$24)&amp;""="0","",INDEX(원자료_시장!$A$1:$BZ$1000,설정!$L$6+ROW()-1,설정!$L$24)),"")</f>
        <v>0</v>
      </c>
      <c r="B601" s="83" t="n">
        <f aca="false">IFERROR(IF(INDEX(원자료_시장!$A$1:$BZ$1000,설정!$L$6+ROW()-1,설정!$L$37)&amp;""="0","",INDEX(원자료_시장!$A$1:$BZ$1000,설정!$L$6+ROW()-1,설정!$L$37)),"")</f>
        <v>0</v>
      </c>
      <c r="C601" s="83" t="n">
        <f aca="false">IFERROR(IF(INDEX(원자료_시장!$A$1:$BZ$1000,설정!$L$6+ROW()-1,설정!$L$25)&amp;""="0","",INDEX(원자료_시장!$A$1:$BZ$1000,설정!$L$6+ROW()-1,설정!$L$25)),"")</f>
        <v>0</v>
      </c>
      <c r="D601" s="85" t="str">
        <f aca="false">IFERROR(IF(ISNUMBER(INDEX(원자료_시장!$A$1:$BZ$1000,설정!$L$6+ROW()-1,설정!$L$26)),INDEX(원자료_시장!$A$1:$BZ$1000,설정!$L$6+ROW()-1,설정!$L$26),""),"")</f>
        <v/>
      </c>
      <c r="E601" s="97" t="str">
        <f aca="false">IFERROR(IF(ISNUMBER(INDEX(원자료_시장!$A$1:$BZ$1000,설정!$L$6+ROW()-1,설정!$L$27)),INDEX(원자료_시장!$A$1:$BZ$1000,설정!$L$6+ROW()-1,설정!$L$27),""),"")</f>
        <v/>
      </c>
      <c r="F601" s="97" t="str">
        <f aca="false">IFERROR(IF(ISNUMBER(INDEX(원자료_시장!$A$1:$BZ$1000,설정!$L$6+ROW()-1,설정!$L$28)),INDEX(원자료_시장!$A$1:$BZ$1000,설정!$L$6+ROW()-1,설정!$L$28),""),"")</f>
        <v/>
      </c>
      <c r="G601" s="97" t="str">
        <f aca="false">IFERROR(IF(ISNUMBER(INDEX(원자료_시장!$A$1:$BZ$1000,설정!$L$6+ROW()-1,설정!$L$29)),INDEX(원자료_시장!$A$1:$BZ$1000,설정!$L$6+ROW()-1,설정!$L$29),""),"")</f>
        <v/>
      </c>
      <c r="H601" s="97" t="str">
        <f aca="false">IFERROR(IF(ISNUMBER(INDEX(원자료_시장!$A$1:$BZ$1000,설정!$L$6+ROW()-1,설정!$L$30)),INDEX(원자료_시장!$A$1:$BZ$1000,설정!$L$6+ROW()-1,설정!$L$30),""),"")</f>
        <v/>
      </c>
      <c r="I601" s="97" t="str">
        <f aca="false">IFERROR(IF(ISNUMBER(INDEX(원자료_시장!$A$1:$BZ$1000,설정!$L$6+ROW()-1,설정!$L$31)),INDEX(원자료_시장!$A$1:$BZ$1000,설정!$L$6+ROW()-1,설정!$L$31),""),"")</f>
        <v/>
      </c>
      <c r="J601" s="97" t="str">
        <f aca="false">IFERROR(IF(ISNUMBER(INDEX(원자료_시장!$A$1:$BZ$1000,설정!$L$6+ROW()-1,설정!$L$32)),INDEX(원자료_시장!$A$1:$BZ$1000,설정!$L$6+ROW()-1,설정!$L$32),""),"")</f>
        <v/>
      </c>
      <c r="K601" s="85" t="str">
        <f aca="false">IFERROR(IF(ISNUMBER(INDEX(원자료_시장!$A$1:$BZ$1000,설정!$L$6+ROW()-1,설정!$L$33)),INDEX(원자료_시장!$A$1:$BZ$1000,설정!$L$6+ROW()-1,설정!$L$33),""),"")</f>
        <v/>
      </c>
      <c r="L601" s="83" t="n">
        <f aca="false">IFERROR(IF(INDEX(원자료_시장!$A$1:$BZ$1000,설정!$L$6+ROW()-1,설정!$L$34)&amp;""="0","",INDEX(원자료_시장!$A$1:$BZ$1000,설정!$L$6+ROW()-1,설정!$L$34)),"")</f>
        <v>0</v>
      </c>
      <c r="M601" s="83" t="n">
        <f aca="false">IFERROR(IF(INDEX(원자료_시장!$A$1:$BZ$1000,설정!$L$6+ROW()-1,설정!$L$35)&amp;""="0","",INDEX(원자료_시장!$A$1:$BZ$1000,설정!$L$6+ROW()-1,설정!$L$35)),"")</f>
        <v>0</v>
      </c>
      <c r="N601" s="83" t="n">
        <f aca="false">IFERROR(IF(INDEX(원자료_시장!$A$1:$BZ$1000,설정!$L$6+ROW()-1,설정!$L$36)&amp;""="0","",INDEX(원자료_시장!$A$1:$BZ$1000,설정!$L$6+ROW()-1,설정!$L$36)),"")</f>
        <v>0</v>
      </c>
      <c r="O601" s="43" t="str">
        <f aca="false">IF($A601="","",UPPER(LEFT($A601,FIND(" ",$A601&amp;" ")-1)))</f>
        <v/>
      </c>
      <c r="P601" s="43" t="str">
        <f aca="false">IF($A601="","",TRIM(RIGHT(SUBSTITUTE(TRIM($A601)," ",REPT(" ",30)),30)))</f>
        <v/>
      </c>
      <c r="Q601" s="98" t="str">
        <f aca="false">IF($A601="","",IFERROR(DATE(IF(LEN(P601)=8,2000+VALUE(RIGHT(P601,2)),VALUE(RIGHT(P601,4))),VALUE(LEFT(P601,2)),VALUE(MID(P601,4,2))),""))</f>
        <v/>
      </c>
      <c r="R601" s="89" t="n">
        <f aca="false">IF($A601="",0,IF(ISNUMBER(SEARCH("Float",$A601)),1,0))</f>
        <v>0</v>
      </c>
      <c r="S601" s="43" t="str">
        <f aca="false">IF($A601="","",TRIM(MID($A601,LEN(O601)+2,LEN($A601)-LEN(O601)-LEN(P601)-1)))</f>
        <v/>
      </c>
      <c r="T601" s="92" t="str">
        <f aca="false">IF(OR($A601="",R601=1),"",IFERROR(IF(ISNUMBER(FIND("/",S601)),IF(ISNUMBER(FIND(" ",S601)),VALUE(LEFT(S601,FIND(" ",S601)-1))+VALUE(MID(S601,FIND(" ",S601)+1,FIND("/",S601)-FIND(" ",S601)-1))/VALUE(MID(S601,FIND("/",S601)+1,9)),VALUE(LEFT(S601,FIND("/",S601)-1))/VALUE(MID(S601,FIND("/",S601)+1,9))),VALUE(S601)),""))</f>
        <v/>
      </c>
      <c r="U601" s="43" t="str">
        <f aca="false">IF(OR($A601="",NOT(ISNUMBER(Q601))),"",TEXT(Q601,"yyyymmdd")&amp;"|"&amp;IF(R601=1,"F",TEXT(T601,"0.000")))</f>
        <v/>
      </c>
      <c r="V601" s="43" t="str">
        <f aca="false">IF(U601="","",O601&amp;"|"&amp;U601)</f>
        <v/>
      </c>
      <c r="W601" s="43" t="str">
        <f aca="false">IF($A601="","",IFERROR(IF(VLOOKUP(O601,매핑!$A$4:$E$92,3,0)="","미분류",VLOOKUP(O601,매핑!$A$4:$E$92,3,0)),"미분류"))</f>
        <v/>
      </c>
      <c r="X601" s="89" t="n">
        <f aca="false">IF($A601="",0,IF(O601="T",1,0))</f>
        <v>0</v>
      </c>
      <c r="Y601" s="89" t="n">
        <f aca="false">IF($A601="",0,IF(AND(C601="USD",X601=0,ISNUMBER(E601),ISNUMBER(K601)),IF(K601&gt;=설정!$C$8,1,0),0))</f>
        <v>0</v>
      </c>
      <c r="Z601" s="43" t="str">
        <f aca="false">IF($A601="","",N601&amp;"|"&amp;L601)</f>
        <v/>
      </c>
      <c r="AA601" s="92" t="n">
        <f aca="false">IF(Y601=1,LN(K601),0)</f>
        <v>0</v>
      </c>
      <c r="AB601" s="93" t="n">
        <f aca="false">IF(Y601=1,E601,0)</f>
        <v>0</v>
      </c>
      <c r="AC601" s="89" t="n">
        <f aca="false">IF(Y601=1,COUNTIFS($Z$2:$Z$601,Z601,$Y$2:$Y$601,1),0)</f>
        <v>0</v>
      </c>
      <c r="AD601" s="89" t="n">
        <f aca="false">IF(Y601=1,COUNTIFS($N$2:$N$601,N601,$Y$2:$Y$601,1),0)</f>
        <v>0</v>
      </c>
      <c r="AE601" s="43" t="str">
        <f aca="false">IF(Y601&lt;&gt;1,"",IF(AND(AC601&gt;=설정!$C$7,ISNUMBER(MATCH(Z601,피어커브!$A:$A,0))),Z601,IF(AND(AD601&gt;=설정!$C$7,ISNUMBER(MATCH(N601&amp;"|전체",피어커브!$A:$A,0))),N601&amp;"|전체","전체|전체")))</f>
        <v/>
      </c>
      <c r="AF601" s="93" t="str">
        <f aca="false">IF(AE601="","",INDEX(피어커브!$K:$K,MATCH(AE601,피어커브!$A:$A,0)))</f>
        <v/>
      </c>
      <c r="AG601" s="93" t="str">
        <f aca="false">IF(AE601="","",INDEX(피어커브!$J:$J,MATCH(AE601,피어커브!$A:$A,0)))</f>
        <v/>
      </c>
      <c r="AH601" s="93" t="str">
        <f aca="false">IF(AE601="","",INDEX(피어커브!$L:$L,MATCH(AE601,피어커브!$A:$A,0)))</f>
        <v/>
      </c>
      <c r="AI601" s="93" t="str">
        <f aca="false">IF(AE601="","",AF601+AG601*AA601)</f>
        <v/>
      </c>
      <c r="AJ601" s="96" t="str">
        <f aca="false">IF(AE601="","",E601-AI601)</f>
        <v/>
      </c>
      <c r="AK601" s="95" t="str">
        <f aca="false">IF(AE601="","",IF(ISNUMBER(AH601),IF(AH601&gt;0,AJ601/AH601,""),""))</f>
        <v/>
      </c>
      <c r="AL601" s="43" t="str">
        <f aca="false">IF(AK601="","-",IF(AK601&gt;=설정!$C$6,"Cheap",IF(AK601&lt;=-설정!$C$6,"Rich","Fair")))</f>
        <v>-</v>
      </c>
      <c r="AM601" s="96" t="str">
        <f aca="false">IF(AE601="","",AJ601-AVERAGEIFS($AJ$2:$AJ$601,$B$2:$B$601,B601,$Y$2:$Y$601,1))</f>
        <v/>
      </c>
      <c r="AN601" s="93" t="n">
        <f aca="false">IF(AE601="",0,IF(K601&gt;1+설정!$C$8,AG601*(AA601-LN(K601-1)),0))</f>
        <v>0</v>
      </c>
      <c r="AO601" s="99" t="n">
        <f aca="false">IF($A601="",0,SUMIFS(보유분석!$AA$2:$AA$801,보유분석!$AB$2:$AB$801,ROW(),보유분석!$AC$2:$AC$801,1))</f>
        <v>0</v>
      </c>
      <c r="AP601" s="43" t="str">
        <f aca="false">IF($A601="","",TRIM(IF(R601=1,"FRN ","")&amp;IF(IFERROR(VLOOKUP(M601,설정!$A$15:$D$47,4,0),0)&gt;=10,IF(IFERROR(VLOOKUP(M601,설정!$A$15:$D$47,4,0),0)&lt;99,"BBB0미만 ",""),"")&amp;IF(OR(M601="",M601="NR"),"등급미입력 ","")&amp;IF(C601&lt;&gt;"USD","비USD ","")))</f>
        <v/>
      </c>
      <c r="AQ601" s="90" t="n">
        <f aca="false">IF(AND(Y601=1,AL601="Cheap"),IF(AND(ISERROR(SEARCH("FRN",AP601)),ISERROR(SEARCH("BBB0미만",AP601))),AK601+ROW()/1000000000,-999),-999)</f>
        <v>-999</v>
      </c>
      <c r="AR601" s="92" t="str">
        <f aca="false">IF(AND(ISNUMBER(D601),ISNUMBER(K601)),D601+AN601*MAX(K601-1,0)/100,"")</f>
        <v/>
      </c>
      <c r="AS601" s="93" t="str">
        <f aca="false">IF(AND(ISNUMBER(E601),ISNUMBER(K601)),IF(K601&gt;0,(E601+AN601*MAX(K601-1,0))/K601,""),"")</f>
        <v/>
      </c>
      <c r="AT601" s="90" t="n">
        <f aca="false">IFERROR(IF(AND(Y601=1,ROW()&lt;&gt;스왑분석!$C$12+1,ABS(K601-INDEX($K$2:$K$601,스왑분석!$C$12))&lt;=스왑분석!$C$5,ISERROR(SEARCH("FRN",AP601)),ISERROR(SEARCH("BBB0미만",AP601))),IF(AND(OR(스왑분석!$C$6="N",L601=INDEX($L$2:$L$601,스왑분석!$C$12)),OR(스왑분석!$C$7="N",N601=INDEX($N$2:$N$601,스왑분석!$C$12)),OR(스왑분석!$C$8="N",AO601=0),E601-INDEX($E$2:$E$601,스왑분석!$C$12)&gt;=스왑분석!$C$9),E601-INDEX($E$2:$E$601,스왑분석!$C$12)+ROW()/1000000000,-999),-999),-999)</f>
        <v>-999</v>
      </c>
      <c r="AU601" s="90" t="n">
        <f aca="false">IF(AND(Y601=1,AO601&gt;0,AL601="Rich"),-AK601+ROW()/1000000000,-999)</f>
        <v>-999</v>
      </c>
    </row>
  </sheetData>
  <autoFilter ref="A1:AU601"/>
  <conditionalFormatting sqref="AL2:AL601">
    <cfRule type="cellIs" priority="2" operator="equal" aboveAverage="0" equalAverage="0" bottom="0" percent="0" rank="0" text="" dxfId="1">
      <formula>"Cheap"</formula>
    </cfRule>
    <cfRule type="cellIs" priority="3" operator="equal" aboveAverage="0" equalAverage="0" bottom="0" percent="0" rank="0" text="" dxfId="2">
      <formula>"Rich"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3" min="12" style="0" width="10"/>
  </cols>
  <sheetData>
    <row r="1" customFormat="false" ht="21.6" hidden="false" customHeight="false" outlineLevel="0" collapsed="false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9.85" hidden="false" customHeight="false" outlineLevel="0" collapsed="false">
      <c r="A3" s="5" t="s">
        <v>277</v>
      </c>
      <c r="B3" s="5" t="s">
        <v>158</v>
      </c>
      <c r="C3" s="5" t="s">
        <v>124</v>
      </c>
      <c r="D3" s="25" t="s">
        <v>278</v>
      </c>
      <c r="E3" s="25" t="s">
        <v>279</v>
      </c>
      <c r="F3" s="25" t="s">
        <v>280</v>
      </c>
      <c r="G3" s="25" t="s">
        <v>281</v>
      </c>
      <c r="H3" s="25" t="s">
        <v>282</v>
      </c>
      <c r="I3" s="25" t="s">
        <v>283</v>
      </c>
      <c r="J3" s="25" t="s">
        <v>284</v>
      </c>
      <c r="K3" s="25" t="s">
        <v>285</v>
      </c>
      <c r="L3" s="25" t="s">
        <v>286</v>
      </c>
      <c r="M3" s="5" t="s">
        <v>287</v>
      </c>
    </row>
    <row r="4" customFormat="false" ht="15" hidden="false" customHeight="false" outlineLevel="0" collapsed="false">
      <c r="A4" s="100" t="str">
        <f aca="false">IF(B4="","",B4&amp;"|"&amp;C4)</f>
        <v>미국|금융기관</v>
      </c>
      <c r="B4" s="100" t="s">
        <v>79</v>
      </c>
      <c r="C4" s="100" t="s">
        <v>94</v>
      </c>
      <c r="D4" s="101" t="n">
        <f aca="false">IF($B4="",0,SUMPRODUCT(((시장분석!$N$2:$N$601=$B4)+($B4="전체")&gt;0)*((시장분석!$L$2:$L$601=$C4)+($C4="전체")&gt;0)*시장분석!$Y$2:$Y$601))</f>
        <v>28</v>
      </c>
      <c r="E4" s="102" t="n">
        <f aca="false">SUMPRODUCT(((시장분석!$N$2:$N$601=$B4)+($B4="전체")&gt;0)*((시장분석!$L$2:$L$601=$C4)+($C4="전체")&gt;0)*시장분석!$Y$2:$Y$601*시장분석!$AA$2:$AA$601)</f>
        <v>30.8221270286321</v>
      </c>
      <c r="F4" s="103" t="n">
        <f aca="false">SUMPRODUCT(((시장분석!$N$2:$N$601=$B4)+($B4="전체")&gt;0)*((시장분석!$L$2:$L$601=$C4)+($C4="전체")&gt;0)*시장분석!$Y$2:$Y$601*시장분석!$AB$2:$AB$601)</f>
        <v>1970.237</v>
      </c>
      <c r="G4" s="103" t="n">
        <f aca="false">SUMPRODUCT(((시장분석!$N$2:$N$601=$B4)+($B4="전체")&gt;0)*((시장분석!$L$2:$L$601=$C4)+($C4="전체")&gt;0)*시장분석!$Y$2:$Y$601*시장분석!$AA$2:$AA$601*시장분석!$AB$2:$AB$601)</f>
        <v>2282.21008627254</v>
      </c>
      <c r="H4" s="102" t="n">
        <f aca="false">SUMPRODUCT(((시장분석!$N$2:$N$601=$B4)+($B4="전체")&gt;0)*((시장분석!$L$2:$L$601=$C4)+($C4="전체")&gt;0)*시장분석!$Y$2:$Y$601*시장분석!$AA$2:$AA$601*시장분석!$AA$2:$AA$601)</f>
        <v>39.3968792761493</v>
      </c>
      <c r="I4" s="101" t="n">
        <f aca="false">SUMPRODUCT(((시장분석!$N$2:$N$601=$B4)+($B4="전체")&gt;0)*((시장분석!$L$2:$L$601=$C4)+($C4="전체")&gt;0)*시장분석!$Y$2:$Y$601*시장분석!$AB$2:$AB$601*시장분석!$AB$2:$AB$601)</f>
        <v>145852.011513</v>
      </c>
      <c r="J4" s="103" t="n">
        <f aca="false">IF(D4&lt;3,0,IF(D4*H4-E4^2&lt;=0,0,(D4*G4-E4*F4)/(D4*H4-E4^2)))</f>
        <v>20.73676364145</v>
      </c>
      <c r="K4" s="103" t="n">
        <f aca="false">IF(D4=0,"",(F4-J4*E4)/D4)</f>
        <v>47.5387798885896</v>
      </c>
      <c r="L4" s="103" t="n">
        <f aca="false">IF(D4&lt;3,"",SQRT(MAX(I4-2*K4*F4-2*J4*G4+D4*K4^2+2*K4*J4*E4+J4^2*H4,0)/(D4-2)))</f>
        <v>13.6771810277023</v>
      </c>
      <c r="M4" s="100" t="str">
        <f aca="false">IF(B4="","",IF(D4&gt;=설정!$C$7,"Y","대체"))</f>
        <v>Y</v>
      </c>
    </row>
    <row r="5" customFormat="false" ht="15" hidden="false" customHeight="false" outlineLevel="0" collapsed="false">
      <c r="A5" s="100" t="str">
        <f aca="false">IF(B5="","",B5&amp;"|"&amp;C5)</f>
        <v>미국|기술</v>
      </c>
      <c r="B5" s="100" t="s">
        <v>79</v>
      </c>
      <c r="C5" s="100" t="s">
        <v>96</v>
      </c>
      <c r="D5" s="101" t="n">
        <f aca="false">IF($B5="",0,SUMPRODUCT(((시장분석!$N$2:$N$601=$B5)+($B5="전체")&gt;0)*((시장분석!$L$2:$L$601=$C5)+($C5="전체")&gt;0)*시장분석!$Y$2:$Y$601))</f>
        <v>1</v>
      </c>
      <c r="E5" s="102" t="n">
        <f aca="false">SUMPRODUCT(((시장분석!$N$2:$N$601=$B5)+($B5="전체")&gt;0)*((시장분석!$L$2:$L$601=$C5)+($C5="전체")&gt;0)*시장분석!$Y$2:$Y$601*시장분석!$AA$2:$AA$601)</f>
        <v>1.49649315341797</v>
      </c>
      <c r="F5" s="103" t="n">
        <f aca="false">SUMPRODUCT(((시장분석!$N$2:$N$601=$B5)+($B5="전체")&gt;0)*((시장분석!$L$2:$L$601=$C5)+($C5="전체")&gt;0)*시장분석!$Y$2:$Y$601*시장분석!$AB$2:$AB$601)</f>
        <v>72.018</v>
      </c>
      <c r="G5" s="103" t="n">
        <f aca="false">SUMPRODUCT(((시장분석!$N$2:$N$601=$B5)+($B5="전체")&gt;0)*((시장분석!$L$2:$L$601=$C5)+($C5="전체")&gt;0)*시장분석!$Y$2:$Y$601*시장분석!$AA$2:$AA$601*시장분석!$AB$2:$AB$601)</f>
        <v>107.774443922855</v>
      </c>
      <c r="H5" s="102" t="n">
        <f aca="false">SUMPRODUCT(((시장분석!$N$2:$N$601=$B5)+($B5="전체")&gt;0)*((시장분석!$L$2:$L$601=$C5)+($C5="전체")&gt;0)*시장분석!$Y$2:$Y$601*시장분석!$AA$2:$AA$601*시장분석!$AA$2:$AA$601)</f>
        <v>2.23949175822685</v>
      </c>
      <c r="I5" s="101" t="n">
        <f aca="false">SUMPRODUCT(((시장분석!$N$2:$N$601=$B5)+($B5="전체")&gt;0)*((시장분석!$L$2:$L$601=$C5)+($C5="전체")&gt;0)*시장분석!$Y$2:$Y$601*시장분석!$AB$2:$AB$601*시장분석!$AB$2:$AB$601)</f>
        <v>5186.592324</v>
      </c>
      <c r="J5" s="103" t="n">
        <f aca="false">IF(D5&lt;3,0,IF(D5*H5-E5^2&lt;=0,0,(D5*G5-E5*F5)/(D5*H5-E5^2)))</f>
        <v>0</v>
      </c>
      <c r="K5" s="103" t="n">
        <f aca="false">IF(D5=0,"",(F5-J5*E5)/D5)</f>
        <v>72.018</v>
      </c>
      <c r="L5" s="103" t="str">
        <f aca="false">IF(D5&lt;3,"",SQRT(MAX(I5-2*K5*F5-2*J5*G5+D5*K5^2+2*K5*J5*E5+J5^2*H5,0)/(D5-2)))</f>
        <v/>
      </c>
      <c r="M5" s="100" t="str">
        <f aca="false">IF(B5="","",IF(D5&gt;=설정!$C$7,"Y","대체"))</f>
        <v>대체</v>
      </c>
    </row>
    <row r="6" customFormat="false" ht="15" hidden="false" customHeight="false" outlineLevel="0" collapsed="false">
      <c r="A6" s="100" t="str">
        <f aca="false">IF(B6="","",B6&amp;"|"&amp;C6)</f>
        <v>미국|자유 소비재</v>
      </c>
      <c r="B6" s="100" t="s">
        <v>79</v>
      </c>
      <c r="C6" s="100" t="s">
        <v>101</v>
      </c>
      <c r="D6" s="101" t="n">
        <f aca="false">IF($B6="",0,SUMPRODUCT(((시장분석!$N$2:$N$601=$B6)+($B6="전체")&gt;0)*((시장분석!$L$2:$L$601=$C6)+($C6="전체")&gt;0)*시장분석!$Y$2:$Y$601))</f>
        <v>18</v>
      </c>
      <c r="E6" s="102" t="n">
        <f aca="false">SUMPRODUCT(((시장분석!$N$2:$N$601=$B6)+($B6="전체")&gt;0)*((시장분석!$L$2:$L$601=$C6)+($C6="전체")&gt;0)*시장분석!$Y$2:$Y$601*시장분석!$AA$2:$AA$601)</f>
        <v>17.5933601079579</v>
      </c>
      <c r="F6" s="103" t="n">
        <f aca="false">SUMPRODUCT(((시장분석!$N$2:$N$601=$B6)+($B6="전체")&gt;0)*((시장분석!$L$2:$L$601=$C6)+($C6="전체")&gt;0)*시장분석!$Y$2:$Y$601*시장분석!$AB$2:$AB$601)</f>
        <v>1191.637</v>
      </c>
      <c r="G6" s="103" t="n">
        <f aca="false">SUMPRODUCT(((시장분석!$N$2:$N$601=$B6)+($B6="전체")&gt;0)*((시장분석!$L$2:$L$601=$C6)+($C6="전체")&gt;0)*시장분석!$Y$2:$Y$601*시장분석!$AA$2:$AA$601*시장분석!$AB$2:$AB$601)</f>
        <v>1351.44251190274</v>
      </c>
      <c r="H6" s="102" t="n">
        <f aca="false">SUMPRODUCT(((시장분석!$N$2:$N$601=$B6)+($B6="전체")&gt;0)*((시장분석!$L$2:$L$601=$C6)+($C6="전체")&gt;0)*시장분석!$Y$2:$Y$601*시장분석!$AA$2:$AA$601*시장분석!$AA$2:$AA$601)</f>
        <v>21.8345374844458</v>
      </c>
      <c r="I6" s="101" t="n">
        <f aca="false">SUMPRODUCT(((시장분석!$N$2:$N$601=$B6)+($B6="전체")&gt;0)*((시장분석!$L$2:$L$601=$C6)+($C6="전체")&gt;0)*시장분석!$Y$2:$Y$601*시장분석!$AB$2:$AB$601*시장분석!$AB$2:$AB$601)</f>
        <v>86706.371449</v>
      </c>
      <c r="J6" s="103" t="n">
        <f aca="false">IF(D6&lt;3,0,IF(D6*H6-E6^2&lt;=0,0,(D6*G6-E6*F6)/(D6*H6-E6^2)))</f>
        <v>40.2545310700915</v>
      </c>
      <c r="K6" s="103" t="n">
        <f aca="false">IF(D6=0,"",(F6-J6*E6)/D6)</f>
        <v>26.8569188281613</v>
      </c>
      <c r="L6" s="103" t="n">
        <f aca="false">IF(D6&lt;3,"",SQRT(MAX(I6-2*K6*F6-2*J6*G6+D6*K6^2+2*K6*J6*E6+J6^2*H6,0)/(D6-2)))</f>
        <v>4.33725635148027</v>
      </c>
      <c r="M6" s="100" t="str">
        <f aca="false">IF(B6="","",IF(D6&gt;=설정!$C$7,"Y","대체"))</f>
        <v>Y</v>
      </c>
    </row>
    <row r="7" customFormat="false" ht="15" hidden="false" customHeight="false" outlineLevel="0" collapsed="false">
      <c r="A7" s="100" t="str">
        <f aca="false">IF(B7="","",B7&amp;"|"&amp;C7)</f>
        <v>미국|정부</v>
      </c>
      <c r="B7" s="100" t="s">
        <v>79</v>
      </c>
      <c r="C7" s="100" t="s">
        <v>102</v>
      </c>
      <c r="D7" s="101" t="n">
        <f aca="false">IF($B7="",0,SUMPRODUCT(((시장분석!$N$2:$N$601=$B7)+($B7="전체")&gt;0)*((시장분석!$L$2:$L$601=$C7)+($C7="전체")&gt;0)*시장분석!$Y$2:$Y$601))</f>
        <v>0</v>
      </c>
      <c r="E7" s="102" t="n">
        <f aca="false">SUMPRODUCT(((시장분석!$N$2:$N$601=$B7)+($B7="전체")&gt;0)*((시장분석!$L$2:$L$601=$C7)+($C7="전체")&gt;0)*시장분석!$Y$2:$Y$601*시장분석!$AA$2:$AA$601)</f>
        <v>0</v>
      </c>
      <c r="F7" s="103" t="n">
        <f aca="false">SUMPRODUCT(((시장분석!$N$2:$N$601=$B7)+($B7="전체")&gt;0)*((시장분석!$L$2:$L$601=$C7)+($C7="전체")&gt;0)*시장분석!$Y$2:$Y$601*시장분석!$AB$2:$AB$601)</f>
        <v>0</v>
      </c>
      <c r="G7" s="103" t="n">
        <f aca="false">SUMPRODUCT(((시장분석!$N$2:$N$601=$B7)+($B7="전체")&gt;0)*((시장분석!$L$2:$L$601=$C7)+($C7="전체")&gt;0)*시장분석!$Y$2:$Y$601*시장분석!$AA$2:$AA$601*시장분석!$AB$2:$AB$601)</f>
        <v>0</v>
      </c>
      <c r="H7" s="102" t="n">
        <f aca="false">SUMPRODUCT(((시장분석!$N$2:$N$601=$B7)+($B7="전체")&gt;0)*((시장분석!$L$2:$L$601=$C7)+($C7="전체")&gt;0)*시장분석!$Y$2:$Y$601*시장분석!$AA$2:$AA$601*시장분석!$AA$2:$AA$601)</f>
        <v>0</v>
      </c>
      <c r="I7" s="101" t="n">
        <f aca="false">SUMPRODUCT(((시장분석!$N$2:$N$601=$B7)+($B7="전체")&gt;0)*((시장분석!$L$2:$L$601=$C7)+($C7="전체")&gt;0)*시장분석!$Y$2:$Y$601*시장분석!$AB$2:$AB$601*시장분석!$AB$2:$AB$601)</f>
        <v>0</v>
      </c>
      <c r="J7" s="103" t="n">
        <f aca="false">IF(D7&lt;3,0,IF(D7*H7-E7^2&lt;=0,0,(D7*G7-E7*F7)/(D7*H7-E7^2)))</f>
        <v>0</v>
      </c>
      <c r="K7" s="103" t="str">
        <f aca="false">IF(D7=0,"",(F7-J7*E7)/D7)</f>
        <v/>
      </c>
      <c r="L7" s="103" t="str">
        <f aca="false">IF(D7&lt;3,"",SQRT(MAX(I7-2*K7*F7-2*J7*G7+D7*K7^2+2*K7*J7*E7+J7^2*H7,0)/(D7-2)))</f>
        <v/>
      </c>
      <c r="M7" s="100" t="str">
        <f aca="false">IF(B7="","",IF(D7&gt;=설정!$C$7,"Y","대체"))</f>
        <v>대체</v>
      </c>
    </row>
    <row r="8" customFormat="false" ht="15" hidden="false" customHeight="false" outlineLevel="0" collapsed="false">
      <c r="A8" s="100" t="str">
        <f aca="false">IF(B8="","",B8&amp;"|"&amp;C8)</f>
        <v>미국|통신</v>
      </c>
      <c r="B8" s="100" t="s">
        <v>79</v>
      </c>
      <c r="C8" s="100" t="s">
        <v>103</v>
      </c>
      <c r="D8" s="101" t="n">
        <f aca="false">IF($B8="",0,SUMPRODUCT(((시장분석!$N$2:$N$601=$B8)+($B8="전체")&gt;0)*((시장분석!$L$2:$L$601=$C8)+($C8="전체")&gt;0)*시장분석!$Y$2:$Y$601))</f>
        <v>2</v>
      </c>
      <c r="E8" s="102" t="n">
        <f aca="false">SUMPRODUCT(((시장분석!$N$2:$N$601=$B8)+($B8="전체")&gt;0)*((시장분석!$L$2:$L$601=$C8)+($C8="전체")&gt;0)*시장분석!$Y$2:$Y$601*시장분석!$AA$2:$AA$601)</f>
        <v>3.45436367089923</v>
      </c>
      <c r="F8" s="103" t="n">
        <f aca="false">SUMPRODUCT(((시장분석!$N$2:$N$601=$B8)+($B8="전체")&gt;0)*((시장분석!$L$2:$L$601=$C8)+($C8="전체")&gt;0)*시장분석!$Y$2:$Y$601*시장분석!$AB$2:$AB$601)</f>
        <v>210.949</v>
      </c>
      <c r="G8" s="103" t="n">
        <f aca="false">SUMPRODUCT(((시장분석!$N$2:$N$601=$B8)+($B8="전체")&gt;0)*((시장분석!$L$2:$L$601=$C8)+($C8="전체")&gt;0)*시장분석!$Y$2:$Y$601*시장분석!$AA$2:$AA$601*시장분석!$AB$2:$AB$601)</f>
        <v>341.642857419439</v>
      </c>
      <c r="H8" s="102" t="n">
        <f aca="false">SUMPRODUCT(((시장분석!$N$2:$N$601=$B8)+($B8="전체")&gt;0)*((시장분석!$L$2:$L$601=$C8)+($C8="전체")&gt;0)*시장분석!$Y$2:$Y$601*시장분석!$AA$2:$AA$601*시장분석!$AA$2:$AA$601)</f>
        <v>6.1341886009214</v>
      </c>
      <c r="I8" s="101" t="n">
        <f aca="false">SUMPRODUCT(((시장분석!$N$2:$N$601=$B8)+($B8="전체")&gt;0)*((시장분석!$L$2:$L$601=$C8)+($C8="전체")&gt;0)*시장분석!$Y$2:$Y$601*시장분석!$AB$2:$AB$601*시장분석!$AB$2:$AB$601)</f>
        <v>25320.433645</v>
      </c>
      <c r="J8" s="103" t="n">
        <f aca="false">IF(D8&lt;3,0,IF(D8*H8-E8^2&lt;=0,0,(D8*G8-E8*F8)/(D8*H8-E8^2)))</f>
        <v>0</v>
      </c>
      <c r="K8" s="103" t="n">
        <f aca="false">IF(D8=0,"",(F8-J8*E8)/D8)</f>
        <v>105.4745</v>
      </c>
      <c r="L8" s="103" t="str">
        <f aca="false">IF(D8&lt;3,"",SQRT(MAX(I8-2*K8*F8-2*J8*G8+D8*K8^2+2*K8*J8*E8+J8^2*H8,0)/(D8-2)))</f>
        <v/>
      </c>
      <c r="M8" s="100" t="str">
        <f aca="false">IF(B8="","",IF(D8&gt;=설정!$C$7,"Y","대체"))</f>
        <v>대체</v>
      </c>
    </row>
    <row r="9" customFormat="false" ht="15" hidden="false" customHeight="false" outlineLevel="0" collapsed="false">
      <c r="A9" s="100" t="str">
        <f aca="false">IF(B9="","",B9&amp;"|"&amp;C9)</f>
        <v>유럽|금융기관</v>
      </c>
      <c r="B9" s="100" t="s">
        <v>90</v>
      </c>
      <c r="C9" s="100" t="s">
        <v>94</v>
      </c>
      <c r="D9" s="101" t="n">
        <f aca="false">IF($B9="",0,SUMPRODUCT(((시장분석!$N$2:$N$601=$B9)+($B9="전체")&gt;0)*((시장분석!$L$2:$L$601=$C9)+($C9="전체")&gt;0)*시장분석!$Y$2:$Y$601))</f>
        <v>32</v>
      </c>
      <c r="E9" s="102" t="n">
        <f aca="false">SUMPRODUCT(((시장분석!$N$2:$N$601=$B9)+($B9="전체")&gt;0)*((시장분석!$L$2:$L$601=$C9)+($C9="전체")&gt;0)*시장분석!$Y$2:$Y$601*시장분석!$AA$2:$AA$601)</f>
        <v>31.1377333313359</v>
      </c>
      <c r="F9" s="103" t="n">
        <f aca="false">SUMPRODUCT(((시장분석!$N$2:$N$601=$B9)+($B9="전체")&gt;0)*((시장분석!$L$2:$L$601=$C9)+($C9="전체")&gt;0)*시장분석!$Y$2:$Y$601*시장분석!$AB$2:$AB$601)</f>
        <v>2339.996</v>
      </c>
      <c r="G9" s="103" t="n">
        <f aca="false">SUMPRODUCT(((시장분석!$N$2:$N$601=$B9)+($B9="전체")&gt;0)*((시장분석!$L$2:$L$601=$C9)+($C9="전체")&gt;0)*시장분석!$Y$2:$Y$601*시장분석!$AA$2:$AA$601*시장분석!$AB$2:$AB$601)</f>
        <v>2452.04969181677</v>
      </c>
      <c r="H9" s="102" t="n">
        <f aca="false">SUMPRODUCT(((시장분석!$N$2:$N$601=$B9)+($B9="전체")&gt;0)*((시장분석!$L$2:$L$601=$C9)+($C9="전체")&gt;0)*시장분석!$Y$2:$Y$601*시장분석!$AA$2:$AA$601*시장분석!$AA$2:$AA$601)</f>
        <v>36.0243540517325</v>
      </c>
      <c r="I9" s="101" t="n">
        <f aca="false">SUMPRODUCT(((시장분석!$N$2:$N$601=$B9)+($B9="전체")&gt;0)*((시장분석!$L$2:$L$601=$C9)+($C9="전체")&gt;0)*시장분석!$Y$2:$Y$601*시장분석!$AB$2:$AB$601*시장분석!$AB$2:$AB$601)</f>
        <v>180089.452232</v>
      </c>
      <c r="J9" s="103" t="n">
        <f aca="false">IF(D9&lt;3,0,IF(D9*H9-E9^2&lt;=0,0,(D9*G9-E9*F9)/(D9*H9-E9^2)))</f>
        <v>30.582858826536</v>
      </c>
      <c r="K9" s="103" t="n">
        <f aca="false">IF(D9=0,"",(F9-J9*E9)/D9)</f>
        <v>43.3660967921697</v>
      </c>
      <c r="L9" s="103" t="n">
        <f aca="false">IF(D9&lt;3,"",SQRT(MAX(I9-2*K9*F9-2*J9*G9+D9*K9^2+2*K9*J9*E9+J9^2*H9,0)/(D9-2)))</f>
        <v>10.9882810943096</v>
      </c>
      <c r="M9" s="100" t="str">
        <f aca="false">IF(B9="","",IF(D9&gt;=설정!$C$7,"Y","대체"))</f>
        <v>Y</v>
      </c>
    </row>
    <row r="10" customFormat="false" ht="15" hidden="false" customHeight="false" outlineLevel="0" collapsed="false">
      <c r="A10" s="100" t="str">
        <f aca="false">IF(B10="","",B10&amp;"|"&amp;C10)</f>
        <v>유럽|자유 소비재</v>
      </c>
      <c r="B10" s="100" t="s">
        <v>90</v>
      </c>
      <c r="C10" s="100" t="s">
        <v>101</v>
      </c>
      <c r="D10" s="101" t="n">
        <f aca="false">IF($B10="",0,SUMPRODUCT(((시장분석!$N$2:$N$601=$B10)+($B10="전체")&gt;0)*((시장분석!$L$2:$L$601=$C10)+($C10="전체")&gt;0)*시장분석!$Y$2:$Y$601))</f>
        <v>0</v>
      </c>
      <c r="E10" s="102" t="n">
        <f aca="false">SUMPRODUCT(((시장분석!$N$2:$N$601=$B10)+($B10="전체")&gt;0)*((시장분석!$L$2:$L$601=$C10)+($C10="전체")&gt;0)*시장분석!$Y$2:$Y$601*시장분석!$AA$2:$AA$601)</f>
        <v>0</v>
      </c>
      <c r="F10" s="103" t="n">
        <f aca="false">SUMPRODUCT(((시장분석!$N$2:$N$601=$B10)+($B10="전체")&gt;0)*((시장분석!$L$2:$L$601=$C10)+($C10="전체")&gt;0)*시장분석!$Y$2:$Y$601*시장분석!$AB$2:$AB$601)</f>
        <v>0</v>
      </c>
      <c r="G10" s="103" t="n">
        <f aca="false">SUMPRODUCT(((시장분석!$N$2:$N$601=$B10)+($B10="전체")&gt;0)*((시장분석!$L$2:$L$601=$C10)+($C10="전체")&gt;0)*시장분석!$Y$2:$Y$601*시장분석!$AA$2:$AA$601*시장분석!$AB$2:$AB$601)</f>
        <v>0</v>
      </c>
      <c r="H10" s="102" t="n">
        <f aca="false">SUMPRODUCT(((시장분석!$N$2:$N$601=$B10)+($B10="전체")&gt;0)*((시장분석!$L$2:$L$601=$C10)+($C10="전체")&gt;0)*시장분석!$Y$2:$Y$601*시장분석!$AA$2:$AA$601*시장분석!$AA$2:$AA$601)</f>
        <v>0</v>
      </c>
      <c r="I10" s="101" t="n">
        <f aca="false">SUMPRODUCT(((시장분석!$N$2:$N$601=$B10)+($B10="전체")&gt;0)*((시장분석!$L$2:$L$601=$C10)+($C10="전체")&gt;0)*시장분석!$Y$2:$Y$601*시장분석!$AB$2:$AB$601*시장분석!$AB$2:$AB$601)</f>
        <v>0</v>
      </c>
      <c r="J10" s="103" t="n">
        <f aca="false">IF(D10&lt;3,0,IF(D10*H10-E10^2&lt;=0,0,(D10*G10-E10*F10)/(D10*H10-E10^2)))</f>
        <v>0</v>
      </c>
      <c r="K10" s="103" t="str">
        <f aca="false">IF(D10=0,"",(F10-J10*E10)/D10)</f>
        <v/>
      </c>
      <c r="L10" s="103" t="str">
        <f aca="false">IF(D10&lt;3,"",SQRT(MAX(I10-2*K10*F10-2*J10*G10+D10*K10^2+2*K10*J10*E10+J10^2*H10,0)/(D10-2)))</f>
        <v/>
      </c>
      <c r="M10" s="100" t="str">
        <f aca="false">IF(B10="","",IF(D10&gt;=설정!$C$7,"Y","대체"))</f>
        <v>대체</v>
      </c>
    </row>
    <row r="11" customFormat="false" ht="15" hidden="false" customHeight="false" outlineLevel="0" collapsed="false">
      <c r="A11" s="100" t="str">
        <f aca="false">IF(B11="","",B11&amp;"|"&amp;C11)</f>
        <v>아시아/기타|금융기관</v>
      </c>
      <c r="B11" s="100" t="s">
        <v>91</v>
      </c>
      <c r="C11" s="100" t="s">
        <v>94</v>
      </c>
      <c r="D11" s="101" t="n">
        <f aca="false">IF($B11="",0,SUMPRODUCT(((시장분석!$N$2:$N$601=$B11)+($B11="전체")&gt;0)*((시장분석!$L$2:$L$601=$C11)+($C11="전체")&gt;0)*시장분석!$Y$2:$Y$601))</f>
        <v>42</v>
      </c>
      <c r="E11" s="102" t="n">
        <f aca="false">SUMPRODUCT(((시장분석!$N$2:$N$601=$B11)+($B11="전체")&gt;0)*((시장분석!$L$2:$L$601=$C11)+($C11="전체")&gt;0)*시장분석!$Y$2:$Y$601*시장분석!$AA$2:$AA$601)</f>
        <v>44.1026002194488</v>
      </c>
      <c r="F11" s="103" t="n">
        <f aca="false">SUMPRODUCT(((시장분석!$N$2:$N$601=$B11)+($B11="전체")&gt;0)*((시장분석!$L$2:$L$601=$C11)+($C11="전체")&gt;0)*시장분석!$Y$2:$Y$601*시장분석!$AB$2:$AB$601)</f>
        <v>2718.766</v>
      </c>
      <c r="G11" s="103" t="n">
        <f aca="false">SUMPRODUCT(((시장분석!$N$2:$N$601=$B11)+($B11="전체")&gt;0)*((시장분석!$L$2:$L$601=$C11)+($C11="전체")&gt;0)*시장분석!$Y$2:$Y$601*시장분석!$AA$2:$AA$601*시장분석!$AB$2:$AB$601)</f>
        <v>2947.35265143065</v>
      </c>
      <c r="H11" s="102" t="n">
        <f aca="false">SUMPRODUCT(((시장분석!$N$2:$N$601=$B11)+($B11="전체")&gt;0)*((시장분석!$L$2:$L$601=$C11)+($C11="전체")&gt;0)*시장분석!$Y$2:$Y$601*시장분석!$AA$2:$AA$601*시장분석!$AA$2:$AA$601)</f>
        <v>52.9549449437453</v>
      </c>
      <c r="I11" s="101" t="n">
        <f aca="false">SUMPRODUCT(((시장분석!$N$2:$N$601=$B11)+($B11="전체")&gt;0)*((시장분석!$L$2:$L$601=$C11)+($C11="전체")&gt;0)*시장분석!$Y$2:$Y$601*시장분석!$AB$2:$AB$601*시장분석!$AB$2:$AB$601)</f>
        <v>194046.46263</v>
      </c>
      <c r="J11" s="103" t="n">
        <f aca="false">IF(D11&lt;3,0,IF(D11*H11-E11^2&lt;=0,0,(D11*G11-E11*F11)/(D11*H11-E11^2)))</f>
        <v>13.9183160321618</v>
      </c>
      <c r="K11" s="103" t="n">
        <f aca="false">IF(D11=0,"",(F11-J11*E11)/D11)</f>
        <v>50.117430292991</v>
      </c>
      <c r="L11" s="103" t="n">
        <f aca="false">IF(D11&lt;3,"",SQRT(MAX(I11-2*K11*F11-2*J11*G11+D11*K11^2+2*K11*J11*E11+J11^2*H11,0)/(D11-2)))</f>
        <v>20.4735875466442</v>
      </c>
      <c r="M11" s="100" t="str">
        <f aca="false">IF(B11="","",IF(D11&gt;=설정!$C$7,"Y","대체"))</f>
        <v>Y</v>
      </c>
    </row>
    <row r="12" customFormat="false" ht="15" hidden="false" customHeight="false" outlineLevel="0" collapsed="false">
      <c r="A12" s="100" t="str">
        <f aca="false">IF(B12="","",B12&amp;"|"&amp;C12)</f>
        <v>아시아/기타|기본소비재</v>
      </c>
      <c r="B12" s="100" t="s">
        <v>91</v>
      </c>
      <c r="C12" s="100" t="s">
        <v>95</v>
      </c>
      <c r="D12" s="101" t="n">
        <f aca="false">IF($B12="",0,SUMPRODUCT(((시장분석!$N$2:$N$601=$B12)+($B12="전체")&gt;0)*((시장분석!$L$2:$L$601=$C12)+($C12="전체")&gt;0)*시장분석!$Y$2:$Y$601))</f>
        <v>2</v>
      </c>
      <c r="E12" s="102" t="n">
        <f aca="false">SUMPRODUCT(((시장분석!$N$2:$N$601=$B12)+($B12="전체")&gt;0)*((시장분석!$L$2:$L$601=$C12)+($C12="전체")&gt;0)*시장분석!$Y$2:$Y$601*시장분석!$AA$2:$AA$601)</f>
        <v>1.52293251650537</v>
      </c>
      <c r="F12" s="103" t="n">
        <f aca="false">SUMPRODUCT(((시장분석!$N$2:$N$601=$B12)+($B12="전체")&gt;0)*((시장분석!$L$2:$L$601=$C12)+($C12="전체")&gt;0)*시장분석!$Y$2:$Y$601*시장분석!$AB$2:$AB$601)</f>
        <v>89.811</v>
      </c>
      <c r="G12" s="103" t="n">
        <f aca="false">SUMPRODUCT(((시장분석!$N$2:$N$601=$B12)+($B12="전체")&gt;0)*((시장분석!$L$2:$L$601=$C12)+($C12="전체")&gt;0)*시장분석!$Y$2:$Y$601*시장분석!$AA$2:$AA$601*시장분석!$AB$2:$AB$601)</f>
        <v>79.5182590799087</v>
      </c>
      <c r="H12" s="102" t="n">
        <f aca="false">SUMPRODUCT(((시장분석!$N$2:$N$601=$B12)+($B12="전체")&gt;0)*((시장분석!$L$2:$L$601=$C12)+($C12="전체")&gt;0)*시장분석!$Y$2:$Y$601*시장분석!$AA$2:$AA$601*시장분석!$AA$2:$AA$601)</f>
        <v>1.4102981817688</v>
      </c>
      <c r="I12" s="101" t="n">
        <f aca="false">SUMPRODUCT(((시장분석!$N$2:$N$601=$B12)+($B12="전체")&gt;0)*((시장분석!$L$2:$L$601=$C12)+($C12="전체")&gt;0)*시장분석!$Y$2:$Y$601*시장분석!$AB$2:$AB$601*시장분석!$AB$2:$AB$601)</f>
        <v>4527.276101</v>
      </c>
      <c r="J12" s="103" t="n">
        <f aca="false">IF(D12&lt;3,0,IF(D12*H12-E12^2&lt;=0,0,(D12*G12-E12*F12)/(D12*H12-E12^2)))</f>
        <v>0</v>
      </c>
      <c r="K12" s="103" t="n">
        <f aca="false">IF(D12=0,"",(F12-J12*E12)/D12)</f>
        <v>44.9055</v>
      </c>
      <c r="L12" s="103" t="str">
        <f aca="false">IF(D12&lt;3,"",SQRT(MAX(I12-2*K12*F12-2*J12*G12+D12*K12^2+2*K12*J12*E12+J12^2*H12,0)/(D12-2)))</f>
        <v/>
      </c>
      <c r="M12" s="100" t="str">
        <f aca="false">IF(B12="","",IF(D12&gt;=설정!$C$7,"Y","대체"))</f>
        <v>대체</v>
      </c>
    </row>
    <row r="13" customFormat="false" ht="15" hidden="false" customHeight="false" outlineLevel="0" collapsed="false">
      <c r="A13" s="100" t="str">
        <f aca="false">IF(B13="","",B13&amp;"|"&amp;C13)</f>
        <v>아시아/기타|기술</v>
      </c>
      <c r="B13" s="100" t="s">
        <v>91</v>
      </c>
      <c r="C13" s="100" t="s">
        <v>96</v>
      </c>
      <c r="D13" s="101" t="n">
        <f aca="false">IF($B13="",0,SUMPRODUCT(((시장분석!$N$2:$N$601=$B13)+($B13="전체")&gt;0)*((시장분석!$L$2:$L$601=$C13)+($C13="전체")&gt;0)*시장분석!$Y$2:$Y$601))</f>
        <v>7</v>
      </c>
      <c r="E13" s="102" t="n">
        <f aca="false">SUMPRODUCT(((시장분석!$N$2:$N$601=$B13)+($B13="전체")&gt;0)*((시장분석!$L$2:$L$601=$C13)+($C13="전체")&gt;0)*시장분석!$Y$2:$Y$601*시장분석!$AA$2:$AA$601)</f>
        <v>6.83022798524859</v>
      </c>
      <c r="F13" s="103" t="n">
        <f aca="false">SUMPRODUCT(((시장분석!$N$2:$N$601=$B13)+($B13="전체")&gt;0)*((시장분석!$L$2:$L$601=$C13)+($C13="전체")&gt;0)*시장분석!$Y$2:$Y$601*시장분석!$AB$2:$AB$601)</f>
        <v>367.299</v>
      </c>
      <c r="G13" s="103" t="n">
        <f aca="false">SUMPRODUCT(((시장분석!$N$2:$N$601=$B13)+($B13="전체")&gt;0)*((시장분석!$L$2:$L$601=$C13)+($C13="전체")&gt;0)*시장분석!$Y$2:$Y$601*시장분석!$AA$2:$AA$601*시장분석!$AB$2:$AB$601)</f>
        <v>387.867741945393</v>
      </c>
      <c r="H13" s="102" t="n">
        <f aca="false">SUMPRODUCT(((시장분석!$N$2:$N$601=$B13)+($B13="전체")&gt;0)*((시장분석!$L$2:$L$601=$C13)+($C13="전체")&gt;0)*시장분석!$Y$2:$Y$601*시장분석!$AA$2:$AA$601*시장분석!$AA$2:$AA$601)</f>
        <v>8.1521144506752</v>
      </c>
      <c r="I13" s="101" t="n">
        <f aca="false">SUMPRODUCT(((시장분석!$N$2:$N$601=$B13)+($B13="전체")&gt;0)*((시장분석!$L$2:$L$601=$C13)+($C13="전체")&gt;0)*시장분석!$Y$2:$Y$601*시장분석!$AB$2:$AB$601*시장분석!$AB$2:$AB$601)</f>
        <v>19892.941817</v>
      </c>
      <c r="J13" s="103" t="n">
        <f aca="false">IF(D13&lt;3,0,IF(D13*H13-E13^2&lt;=0,0,(D13*G13-E13*F13)/(D13*H13-E13^2)))</f>
        <v>19.8158560572205</v>
      </c>
      <c r="K13" s="103" t="n">
        <f aca="false">IF(D13=0,"",(F13-J13*E13)/D13)</f>
        <v>33.1360264866164</v>
      </c>
      <c r="L13" s="103" t="n">
        <f aca="false">IF(D13&lt;3,"",SQRT(MAX(I13-2*K13*F13-2*J13*G13+D13*K13^2+2*K13*J13*E13+J13^2*H13,0)/(D13-2)))</f>
        <v>2.69002159334222</v>
      </c>
      <c r="M13" s="100" t="str">
        <f aca="false">IF(B13="","",IF(D13&gt;=설정!$C$7,"Y","대체"))</f>
        <v>Y</v>
      </c>
    </row>
    <row r="14" customFormat="false" ht="15" hidden="false" customHeight="false" outlineLevel="0" collapsed="false">
      <c r="A14" s="100" t="str">
        <f aca="false">IF(B14="","",B14&amp;"|"&amp;C14)</f>
        <v>아시아/기타|산업</v>
      </c>
      <c r="B14" s="100" t="s">
        <v>91</v>
      </c>
      <c r="C14" s="100" t="s">
        <v>97</v>
      </c>
      <c r="D14" s="101" t="n">
        <f aca="false">IF($B14="",0,SUMPRODUCT(((시장분석!$N$2:$N$601=$B14)+($B14="전체")&gt;0)*((시장분석!$L$2:$L$601=$C14)+($C14="전체")&gt;0)*시장분석!$Y$2:$Y$601))</f>
        <v>3</v>
      </c>
      <c r="E14" s="102" t="n">
        <f aca="false">SUMPRODUCT(((시장분석!$N$2:$N$601=$B14)+($B14="전체")&gt;0)*((시장분석!$L$2:$L$601=$C14)+($C14="전체")&gt;0)*시장분석!$Y$2:$Y$601*시장분석!$AA$2:$AA$601)</f>
        <v>2.29686784302253</v>
      </c>
      <c r="F14" s="103" t="n">
        <f aca="false">SUMPRODUCT(((시장분석!$N$2:$N$601=$B14)+($B14="전체")&gt;0)*((시장분석!$L$2:$L$601=$C14)+($C14="전체")&gt;0)*시장분석!$Y$2:$Y$601*시장분석!$AB$2:$AB$601)</f>
        <v>128.605</v>
      </c>
      <c r="G14" s="103" t="n">
        <f aca="false">SUMPRODUCT(((시장분석!$N$2:$N$601=$B14)+($B14="전체")&gt;0)*((시장분석!$L$2:$L$601=$C14)+($C14="전체")&gt;0)*시장분석!$Y$2:$Y$601*시장분석!$AA$2:$AA$601*시장분석!$AB$2:$AB$601)</f>
        <v>98.5959239423791</v>
      </c>
      <c r="H14" s="102" t="n">
        <f aca="false">SUMPRODUCT(((시장분석!$N$2:$N$601=$B14)+($B14="전체")&gt;0)*((시장분석!$L$2:$L$601=$C14)+($C14="전체")&gt;0)*시장분석!$Y$2:$Y$601*시장분석!$AA$2:$AA$601*시장분석!$AA$2:$AA$601)</f>
        <v>1.90667775072029</v>
      </c>
      <c r="I14" s="101" t="n">
        <f aca="false">SUMPRODUCT(((시장분석!$N$2:$N$601=$B14)+($B14="전체")&gt;0)*((시장분석!$L$2:$L$601=$C14)+($C14="전체")&gt;0)*시장분석!$Y$2:$Y$601*시장분석!$AB$2:$AB$601*시장분석!$AB$2:$AB$601)</f>
        <v>6390.749069</v>
      </c>
      <c r="J14" s="103" t="n">
        <f aca="false">IF(D14&lt;3,0,IF(D14*H14-E14^2&lt;=0,0,(D14*G14-E14*F14)/(D14*H14-E14^2)))</f>
        <v>0.897962897503595</v>
      </c>
      <c r="K14" s="103" t="n">
        <f aca="false">IF(D14=0,"",(F14-J14*E14)/D14)</f>
        <v>42.1808326321656</v>
      </c>
      <c r="L14" s="103" t="n">
        <f aca="false">IF(D14&lt;3,"",SQRT(MAX(I14-2*K14*F14-2*J14*G14+D14*K14^2+2*K14*J14*E14+J14^2*H14,0)/(D14-2)))</f>
        <v>29.6234300308895</v>
      </c>
      <c r="M14" s="100" t="str">
        <f aca="false">IF(B14="","",IF(D14&gt;=설정!$C$7,"Y","대체"))</f>
        <v>대체</v>
      </c>
    </row>
    <row r="15" customFormat="false" ht="15" hidden="false" customHeight="false" outlineLevel="0" collapsed="false">
      <c r="A15" s="100" t="str">
        <f aca="false">IF(B15="","",B15&amp;"|"&amp;C15)</f>
        <v>아시아/기타|에너지</v>
      </c>
      <c r="B15" s="100" t="s">
        <v>91</v>
      </c>
      <c r="C15" s="100" t="s">
        <v>98</v>
      </c>
      <c r="D15" s="101" t="n">
        <f aca="false">IF($B15="",0,SUMPRODUCT(((시장분석!$N$2:$N$601=$B15)+($B15="전체")&gt;0)*((시장분석!$L$2:$L$601=$C15)+($C15="전체")&gt;0)*시장분석!$Y$2:$Y$601))</f>
        <v>2</v>
      </c>
      <c r="E15" s="102" t="n">
        <f aca="false">SUMPRODUCT(((시장분석!$N$2:$N$601=$B15)+($B15="전체")&gt;0)*((시장분석!$L$2:$L$601=$C15)+($C15="전체")&gt;0)*시장분석!$Y$2:$Y$601*시장분석!$AA$2:$AA$601)</f>
        <v>1.87985276073704</v>
      </c>
      <c r="F15" s="103" t="n">
        <f aca="false">SUMPRODUCT(((시장분석!$N$2:$N$601=$B15)+($B15="전체")&gt;0)*((시장분석!$L$2:$L$601=$C15)+($C15="전체")&gt;0)*시장분석!$Y$2:$Y$601*시장분석!$AB$2:$AB$601)</f>
        <v>118.325</v>
      </c>
      <c r="G15" s="103" t="n">
        <f aca="false">SUMPRODUCT(((시장분석!$N$2:$N$601=$B15)+($B15="전체")&gt;0)*((시장분석!$L$2:$L$601=$C15)+($C15="전체")&gt;0)*시장분석!$Y$2:$Y$601*시장분석!$AA$2:$AA$601*시장분석!$AB$2:$AB$601)</f>
        <v>112.371961493679</v>
      </c>
      <c r="H15" s="102" t="n">
        <f aca="false">SUMPRODUCT(((시장분석!$N$2:$N$601=$B15)+($B15="전체")&gt;0)*((시장분석!$L$2:$L$601=$C15)+($C15="전체")&gt;0)*시장분석!$Y$2:$Y$601*시장분석!$AA$2:$AA$601*시장분석!$AA$2:$AA$601)</f>
        <v>2.03916673334202</v>
      </c>
      <c r="I15" s="101" t="n">
        <f aca="false">SUMPRODUCT(((시장분석!$N$2:$N$601=$B15)+($B15="전체")&gt;0)*((시장분석!$L$2:$L$601=$C15)+($C15="전체")&gt;0)*시장분석!$Y$2:$Y$601*시장분석!$AB$2:$AB$601*시장분석!$AB$2:$AB$601)</f>
        <v>7005.304393</v>
      </c>
      <c r="J15" s="103" t="n">
        <f aca="false">IF(D15&lt;3,0,IF(D15*H15-E15^2&lt;=0,0,(D15*G15-E15*F15)/(D15*H15-E15^2)))</f>
        <v>0</v>
      </c>
      <c r="K15" s="103" t="n">
        <f aca="false">IF(D15=0,"",(F15-J15*E15)/D15)</f>
        <v>59.1625</v>
      </c>
      <c r="L15" s="103" t="str">
        <f aca="false">IF(D15&lt;3,"",SQRT(MAX(I15-2*K15*F15-2*J15*G15+D15*K15^2+2*K15*J15*E15+J15^2*H15,0)/(D15-2)))</f>
        <v/>
      </c>
      <c r="M15" s="100" t="str">
        <f aca="false">IF(B15="","",IF(D15&gt;=설정!$C$7,"Y","대체"))</f>
        <v>대체</v>
      </c>
    </row>
    <row r="16" customFormat="false" ht="15" hidden="false" customHeight="false" outlineLevel="0" collapsed="false">
      <c r="A16" s="100" t="str">
        <f aca="false">IF(B16="","",B16&amp;"|"&amp;C16)</f>
        <v>아시아/기타|원자재</v>
      </c>
      <c r="B16" s="100" t="s">
        <v>91</v>
      </c>
      <c r="C16" s="100" t="s">
        <v>99</v>
      </c>
      <c r="D16" s="101" t="n">
        <f aca="false">IF($B16="",0,SUMPRODUCT(((시장분석!$N$2:$N$601=$B16)+($B16="전체")&gt;0)*((시장분석!$L$2:$L$601=$C16)+($C16="전체")&gt;0)*시장분석!$Y$2:$Y$601))</f>
        <v>6</v>
      </c>
      <c r="E16" s="102" t="n">
        <f aca="false">SUMPRODUCT(((시장분석!$N$2:$N$601=$B16)+($B16="전체")&gt;0)*((시장분석!$L$2:$L$601=$C16)+($C16="전체")&gt;0)*시장분석!$Y$2:$Y$601*시장분석!$AA$2:$AA$601)</f>
        <v>8.10086940907559</v>
      </c>
      <c r="F16" s="103" t="n">
        <f aca="false">SUMPRODUCT(((시장분석!$N$2:$N$601=$B16)+($B16="전체")&gt;0)*((시장분석!$L$2:$L$601=$C16)+($C16="전체")&gt;0)*시장분석!$Y$2:$Y$601*시장분석!$AB$2:$AB$601)</f>
        <v>487.218</v>
      </c>
      <c r="G16" s="103" t="n">
        <f aca="false">SUMPRODUCT(((시장분석!$N$2:$N$601=$B16)+($B16="전체")&gt;0)*((시장분석!$L$2:$L$601=$C16)+($C16="전체")&gt;0)*시장분석!$Y$2:$Y$601*시장분석!$AA$2:$AA$601*시장분석!$AB$2:$AB$601)</f>
        <v>714.958938157829</v>
      </c>
      <c r="H16" s="102" t="n">
        <f aca="false">SUMPRODUCT(((시장분석!$N$2:$N$601=$B16)+($B16="전체")&gt;0)*((시장분석!$L$2:$L$601=$C16)+($C16="전체")&gt;0)*시장분석!$Y$2:$Y$601*시장분석!$AA$2:$AA$601*시장분석!$AA$2:$AA$601)</f>
        <v>12.9670750421201</v>
      </c>
      <c r="I16" s="101" t="n">
        <f aca="false">SUMPRODUCT(((시장분석!$N$2:$N$601=$B16)+($B16="전체")&gt;0)*((시장분석!$L$2:$L$601=$C16)+($C16="전체")&gt;0)*시장분석!$Y$2:$Y$601*시장분석!$AB$2:$AB$601*시장분석!$AB$2:$AB$601)</f>
        <v>41662.554192</v>
      </c>
      <c r="J16" s="103" t="n">
        <f aca="false">IF(D16&lt;3,0,IF(D16*H16-E16^2&lt;=0,0,(D16*G16-E16*F16)/(D16*H16-E16^2)))</f>
        <v>28.1535522404021</v>
      </c>
      <c r="K16" s="103" t="n">
        <f aca="false">IF(D16=0,"",(F16-J16*E16)/D16)</f>
        <v>43.1916249831525</v>
      </c>
      <c r="L16" s="103" t="n">
        <f aca="false">IF(D16&lt;3,"",SQRT(MAX(I16-2*K16*F16-2*J16*G16+D16*K16^2+2*K16*J16*E16+J16^2*H16,0)/(D16-2)))</f>
        <v>11.070041054458</v>
      </c>
      <c r="M16" s="100" t="str">
        <f aca="false">IF(B16="","",IF(D16&gt;=설정!$C$7,"Y","대체"))</f>
        <v>Y</v>
      </c>
    </row>
    <row r="17" customFormat="false" ht="15" hidden="false" customHeight="false" outlineLevel="0" collapsed="false">
      <c r="A17" s="100" t="str">
        <f aca="false">IF(B17="","",B17&amp;"|"&amp;C17)</f>
        <v>아시아/기타|유틸리티</v>
      </c>
      <c r="B17" s="100" t="s">
        <v>91</v>
      </c>
      <c r="C17" s="100" t="s">
        <v>100</v>
      </c>
      <c r="D17" s="101" t="n">
        <f aca="false">IF($B17="",0,SUMPRODUCT(((시장분석!$N$2:$N$601=$B17)+($B17="전체")&gt;0)*((시장분석!$L$2:$L$601=$C17)+($C17="전체")&gt;0)*시장분석!$Y$2:$Y$601))</f>
        <v>5</v>
      </c>
      <c r="E17" s="102" t="n">
        <f aca="false">SUMPRODUCT(((시장분석!$N$2:$N$601=$B17)+($B17="전체")&gt;0)*((시장분석!$L$2:$L$601=$C17)+($C17="전체")&gt;0)*시장분석!$Y$2:$Y$601*시장분석!$AA$2:$AA$601)</f>
        <v>6.35150997147879</v>
      </c>
      <c r="F17" s="103" t="n">
        <f aca="false">SUMPRODUCT(((시장분석!$N$2:$N$601=$B17)+($B17="전체")&gt;0)*((시장분석!$L$2:$L$601=$C17)+($C17="전체")&gt;0)*시장분석!$Y$2:$Y$601*시장분석!$AB$2:$AB$601)</f>
        <v>211.049</v>
      </c>
      <c r="G17" s="103" t="n">
        <f aca="false">SUMPRODUCT(((시장분석!$N$2:$N$601=$B17)+($B17="전체")&gt;0)*((시장분석!$L$2:$L$601=$C17)+($C17="전체")&gt;0)*시장분석!$Y$2:$Y$601*시장분석!$AA$2:$AA$601*시장분석!$AB$2:$AB$601)</f>
        <v>279.359230853453</v>
      </c>
      <c r="H17" s="102" t="n">
        <f aca="false">SUMPRODUCT(((시장분석!$N$2:$N$601=$B17)+($B17="전체")&gt;0)*((시장분석!$L$2:$L$601=$C17)+($C17="전체")&gt;0)*시장분석!$Y$2:$Y$601*시장분석!$AA$2:$AA$601*시장분석!$AA$2:$AA$601)</f>
        <v>8.36664529993642</v>
      </c>
      <c r="I17" s="101" t="n">
        <f aca="false">SUMPRODUCT(((시장분석!$N$2:$N$601=$B17)+($B17="전체")&gt;0)*((시장분석!$L$2:$L$601=$C17)+($C17="전체")&gt;0)*시장분석!$Y$2:$Y$601*시장분석!$AB$2:$AB$601*시장분석!$AB$2:$AB$601)</f>
        <v>9419.702679</v>
      </c>
      <c r="J17" s="103" t="n">
        <f aca="false">IF(D17&lt;3,0,IF(D17*H17-E17^2&lt;=0,0,(D17*G17-E17*F17)/(D17*H17-E17^2)))</f>
        <v>37.7569760298006</v>
      </c>
      <c r="K17" s="103" t="n">
        <f aca="false">IF(D17=0,"",(F17-J17*E17)/D17)</f>
        <v>-5.75296194923287</v>
      </c>
      <c r="L17" s="103" t="n">
        <f aca="false">IF(D17&lt;3,"",SQRT(MAX(I17-2*K17*F17-2*J17*G17+D17*K17^2+2*K17*J17*E17+J17^2*H17,0)/(D17-2)))</f>
        <v>5.35723070209121</v>
      </c>
      <c r="M17" s="100" t="str">
        <f aca="false">IF(B17="","",IF(D17&gt;=설정!$C$7,"Y","대체"))</f>
        <v>Y</v>
      </c>
    </row>
    <row r="18" customFormat="false" ht="15" hidden="false" customHeight="false" outlineLevel="0" collapsed="false">
      <c r="A18" s="100" t="str">
        <f aca="false">IF(B18="","",B18&amp;"|"&amp;C18)</f>
        <v>아시아/기타|자유 소비재</v>
      </c>
      <c r="B18" s="100" t="s">
        <v>91</v>
      </c>
      <c r="C18" s="100" t="s">
        <v>101</v>
      </c>
      <c r="D18" s="101" t="n">
        <f aca="false">IF($B18="",0,SUMPRODUCT(((시장분석!$N$2:$N$601=$B18)+($B18="전체")&gt;0)*((시장분석!$L$2:$L$601=$C18)+($C18="전체")&gt;0)*시장분석!$Y$2:$Y$601))</f>
        <v>11</v>
      </c>
      <c r="E18" s="102" t="n">
        <f aca="false">SUMPRODUCT(((시장분석!$N$2:$N$601=$B18)+($B18="전체")&gt;0)*((시장분석!$L$2:$L$601=$C18)+($C18="전체")&gt;0)*시장분석!$Y$2:$Y$601*시장분석!$AA$2:$AA$601)</f>
        <v>10.1361610717231</v>
      </c>
      <c r="F18" s="103" t="n">
        <f aca="false">SUMPRODUCT(((시장분석!$N$2:$N$601=$B18)+($B18="전체")&gt;0)*((시장분석!$L$2:$L$601=$C18)+($C18="전체")&gt;0)*시장분석!$Y$2:$Y$601*시장분석!$AB$2:$AB$601)</f>
        <v>791.295</v>
      </c>
      <c r="G18" s="103" t="n">
        <f aca="false">SUMPRODUCT(((시장분석!$N$2:$N$601=$B18)+($B18="전체")&gt;0)*((시장분석!$L$2:$L$601=$C18)+($C18="전체")&gt;0)*시장분석!$Y$2:$Y$601*시장분석!$AA$2:$AA$601*시장분석!$AB$2:$AB$601)</f>
        <v>917.677032127839</v>
      </c>
      <c r="H18" s="102" t="n">
        <f aca="false">SUMPRODUCT(((시장분석!$N$2:$N$601=$B18)+($B18="전체")&gt;0)*((시장분석!$L$2:$L$601=$C18)+($C18="전체")&gt;0)*시장분석!$Y$2:$Y$601*시장분석!$AA$2:$AA$601*시장분석!$AA$2:$AA$601)</f>
        <v>14.0415593261761</v>
      </c>
      <c r="I18" s="101" t="n">
        <f aca="false">SUMPRODUCT(((시장분석!$N$2:$N$601=$B18)+($B18="전체")&gt;0)*((시장분석!$L$2:$L$601=$C18)+($C18="전체")&gt;0)*시장분석!$Y$2:$Y$601*시장분석!$AB$2:$AB$601*시장분석!$AB$2:$AB$601)</f>
        <v>68344.157523</v>
      </c>
      <c r="J18" s="103" t="n">
        <f aca="false">IF(D18&lt;3,0,IF(D18*H18-E18^2&lt;=0,0,(D18*G18-E18*F18)/(D18*H18-E18^2)))</f>
        <v>40.0993538941787</v>
      </c>
      <c r="K18" s="103" t="n">
        <f aca="false">IF(D18=0,"",(F18-J18*E18)/D18)</f>
        <v>34.9855900051434</v>
      </c>
      <c r="L18" s="103" t="n">
        <f aca="false">IF(D18&lt;3,"",SQRT(MAX(I18-2*K18*F18-2*J18*G18+D18*K18^2+2*K18*J18*E18+J18^2*H18,0)/(D18-2)))</f>
        <v>20.7149409525972</v>
      </c>
      <c r="M18" s="100" t="str">
        <f aca="false">IF(B18="","",IF(D18&gt;=설정!$C$7,"Y","대체"))</f>
        <v>Y</v>
      </c>
    </row>
    <row r="19" customFormat="false" ht="15" hidden="false" customHeight="false" outlineLevel="0" collapsed="false">
      <c r="A19" s="100" t="str">
        <f aca="false">IF(B19="","",B19&amp;"|"&amp;C19)</f>
        <v>아시아/기타|정부</v>
      </c>
      <c r="B19" s="100" t="s">
        <v>91</v>
      </c>
      <c r="C19" s="100" t="s">
        <v>102</v>
      </c>
      <c r="D19" s="101" t="n">
        <f aca="false">IF($B19="",0,SUMPRODUCT(((시장분석!$N$2:$N$601=$B19)+($B19="전체")&gt;0)*((시장분석!$L$2:$L$601=$C19)+($C19="전체")&gt;0)*시장분석!$Y$2:$Y$601))</f>
        <v>51</v>
      </c>
      <c r="E19" s="102" t="n">
        <f aca="false">SUMPRODUCT(((시장분석!$N$2:$N$601=$B19)+($B19="전체")&gt;0)*((시장분석!$L$2:$L$601=$C19)+($C19="전체")&gt;0)*시장분석!$Y$2:$Y$601*시장분석!$AA$2:$AA$601)</f>
        <v>46.7639965403553</v>
      </c>
      <c r="F19" s="103" t="n">
        <f aca="false">SUMPRODUCT(((시장분석!$N$2:$N$601=$B19)+($B19="전체")&gt;0)*((시장분석!$L$2:$L$601=$C19)+($C19="전체")&gt;0)*시장분석!$Y$2:$Y$601*시장분석!$AB$2:$AB$601)</f>
        <v>850.105</v>
      </c>
      <c r="G19" s="103" t="n">
        <f aca="false">SUMPRODUCT(((시장분석!$N$2:$N$601=$B19)+($B19="전체")&gt;0)*((시장분석!$L$2:$L$601=$C19)+($C19="전체")&gt;0)*시장분석!$Y$2:$Y$601*시장분석!$AA$2:$AA$601*시장분석!$AB$2:$AB$601)</f>
        <v>1272.71018743294</v>
      </c>
      <c r="H19" s="102" t="n">
        <f aca="false">SUMPRODUCT(((시장분석!$N$2:$N$601=$B19)+($B19="전체")&gt;0)*((시장분석!$L$2:$L$601=$C19)+($C19="전체")&gt;0)*시장분석!$Y$2:$Y$601*시장분석!$AA$2:$AA$601*시장분석!$AA$2:$AA$601)</f>
        <v>67.7049965625896</v>
      </c>
      <c r="I19" s="101" t="n">
        <f aca="false">SUMPRODUCT(((시장분석!$N$2:$N$601=$B19)+($B19="전체")&gt;0)*((시장분석!$L$2:$L$601=$C19)+($C19="전체")&gt;0)*시장분석!$Y$2:$Y$601*시장분석!$AB$2:$AB$601*시장분석!$AB$2:$AB$601)</f>
        <v>33156.541643</v>
      </c>
      <c r="J19" s="103" t="n">
        <f aca="false">IF(D19&lt;3,0,IF(D19*H19-E19^2&lt;=0,0,(D19*G19-E19*F19)/(D19*H19-E19^2)))</f>
        <v>19.8674994409945</v>
      </c>
      <c r="K19" s="103" t="n">
        <f aca="false">IF(D19=0,"",(F19-J19*E19)/D19)</f>
        <v>-1.54860147302313</v>
      </c>
      <c r="L19" s="103" t="n">
        <f aca="false">IF(D19&lt;3,"",SQRT(MAX(I19-2*K19*F19-2*J19*G19+D19*K19^2+2*K19*J19*E19+J19^2*H19,0)/(D19-2)))</f>
        <v>13.6930241146778</v>
      </c>
      <c r="M19" s="100" t="str">
        <f aca="false">IF(B19="","",IF(D19&gt;=설정!$C$7,"Y","대체"))</f>
        <v>Y</v>
      </c>
    </row>
    <row r="20" customFormat="false" ht="15" hidden="false" customHeight="false" outlineLevel="0" collapsed="false">
      <c r="A20" s="100" t="str">
        <f aca="false">IF(B20="","",B20&amp;"|"&amp;C20)</f>
        <v>아시아/기타|통신</v>
      </c>
      <c r="B20" s="100" t="s">
        <v>91</v>
      </c>
      <c r="C20" s="100" t="s">
        <v>103</v>
      </c>
      <c r="D20" s="101" t="n">
        <f aca="false">IF($B20="",0,SUMPRODUCT(((시장분석!$N$2:$N$601=$B20)+($B20="전체")&gt;0)*((시장분석!$L$2:$L$601=$C20)+($C20="전체")&gt;0)*시장분석!$Y$2:$Y$601))</f>
        <v>8</v>
      </c>
      <c r="E20" s="102" t="n">
        <f aca="false">SUMPRODUCT(((시장분석!$N$2:$N$601=$B20)+($B20="전체")&gt;0)*((시장분석!$L$2:$L$601=$C20)+($C20="전체")&gt;0)*시장분석!$Y$2:$Y$601*시장분석!$AA$2:$AA$601)</f>
        <v>9.0235739039758</v>
      </c>
      <c r="F20" s="103" t="n">
        <f aca="false">SUMPRODUCT(((시장분석!$N$2:$N$601=$B20)+($B20="전체")&gt;0)*((시장분석!$L$2:$L$601=$C20)+($C20="전체")&gt;0)*시장분석!$Y$2:$Y$601*시장분석!$AB$2:$AB$601)</f>
        <v>513.553</v>
      </c>
      <c r="G20" s="103" t="n">
        <f aca="false">SUMPRODUCT(((시장분석!$N$2:$N$601=$B20)+($B20="전체")&gt;0)*((시장분석!$L$2:$L$601=$C20)+($C20="전체")&gt;0)*시장분석!$Y$2:$Y$601*시장분석!$AA$2:$AA$601*시장분석!$AB$2:$AB$601)</f>
        <v>663.371050644471</v>
      </c>
      <c r="H20" s="102" t="n">
        <f aca="false">SUMPRODUCT(((시장분석!$N$2:$N$601=$B20)+($B20="전체")&gt;0)*((시장분석!$L$2:$L$601=$C20)+($C20="전체")&gt;0)*시장분석!$Y$2:$Y$601*시장분석!$AA$2:$AA$601*시장분석!$AA$2:$AA$601)</f>
        <v>12.3212844243148</v>
      </c>
      <c r="I20" s="101" t="n">
        <f aca="false">SUMPRODUCT(((시장분석!$N$2:$N$601=$B20)+($B20="전체")&gt;0)*((시장분석!$L$2:$L$601=$C20)+($C20="전체")&gt;0)*시장분석!$Y$2:$Y$601*시장분석!$AB$2:$AB$601*시장분석!$AB$2:$AB$601)</f>
        <v>37701.831737</v>
      </c>
      <c r="J20" s="103" t="n">
        <f aca="false">IF(D20&lt;3,0,IF(D20*H20-E20^2&lt;=0,0,(D20*G20-E20*F20)/(D20*H20-E20^2)))</f>
        <v>39.2458252527372</v>
      </c>
      <c r="K20" s="103" t="n">
        <f aca="false">IF(D20=0,"",(F20-J20*E20)/D20)</f>
        <v>19.9269244261757</v>
      </c>
      <c r="L20" s="103" t="n">
        <f aca="false">IF(D20&lt;3,"",SQRT(MAX(I20-2*K20*F20-2*J20*G20+D20*K20^2+2*K20*J20*E20+J20^2*H20,0)/(D20-2)))</f>
        <v>15.4583072911545</v>
      </c>
      <c r="M20" s="100" t="str">
        <f aca="false">IF(B20="","",IF(D20&gt;=설정!$C$7,"Y","대체"))</f>
        <v>Y</v>
      </c>
    </row>
    <row r="21" customFormat="false" ht="15" hidden="false" customHeight="false" outlineLevel="0" collapsed="false">
      <c r="A21" s="100" t="str">
        <f aca="false">IF(B21="","",B21&amp;"|"&amp;C21)</f>
        <v>기타|금융기관</v>
      </c>
      <c r="B21" s="100" t="s">
        <v>92</v>
      </c>
      <c r="C21" s="100" t="s">
        <v>94</v>
      </c>
      <c r="D21" s="101" t="n">
        <f aca="false">IF($B21="",0,SUMPRODUCT(((시장분석!$N$2:$N$601=$B21)+($B21="전체")&gt;0)*((시장분석!$L$2:$L$601=$C21)+($C21="전체")&gt;0)*시장분석!$Y$2:$Y$601))</f>
        <v>1</v>
      </c>
      <c r="E21" s="102" t="n">
        <f aca="false">SUMPRODUCT(((시장분석!$N$2:$N$601=$B21)+($B21="전체")&gt;0)*((시장분석!$L$2:$L$601=$C21)+($C21="전체")&gt;0)*시장분석!$Y$2:$Y$601*시장분석!$AA$2:$AA$601)</f>
        <v>1.2380843339547</v>
      </c>
      <c r="F21" s="103" t="n">
        <f aca="false">SUMPRODUCT(((시장분석!$N$2:$N$601=$B21)+($B21="전체")&gt;0)*((시장분석!$L$2:$L$601=$C21)+($C21="전체")&gt;0)*시장분석!$Y$2:$Y$601*시장분석!$AB$2:$AB$601)</f>
        <v>53.762</v>
      </c>
      <c r="G21" s="103" t="n">
        <f aca="false">SUMPRODUCT(((시장분석!$N$2:$N$601=$B21)+($B21="전체")&gt;0)*((시장분석!$L$2:$L$601=$C21)+($C21="전체")&gt;0)*시장분석!$Y$2:$Y$601*시장분석!$AA$2:$AA$601*시장분석!$AB$2:$AB$601)</f>
        <v>66.5618899620728</v>
      </c>
      <c r="H21" s="102" t="n">
        <f aca="false">SUMPRODUCT(((시장분석!$N$2:$N$601=$B21)+($B21="전체")&gt;0)*((시장분석!$L$2:$L$601=$C21)+($C21="전체")&gt;0)*시장분석!$Y$2:$Y$601*시장분석!$AA$2:$AA$601*시장분석!$AA$2:$AA$601)</f>
        <v>1.53285281798406</v>
      </c>
      <c r="I21" s="101" t="n">
        <f aca="false">SUMPRODUCT(((시장분석!$N$2:$N$601=$B21)+($B21="전체")&gt;0)*((시장분석!$L$2:$L$601=$C21)+($C21="전체")&gt;0)*시장분석!$Y$2:$Y$601*시장분석!$AB$2:$AB$601*시장분석!$AB$2:$AB$601)</f>
        <v>2890.352644</v>
      </c>
      <c r="J21" s="103" t="n">
        <f aca="false">IF(D21&lt;3,0,IF(D21*H21-E21^2&lt;=0,0,(D21*G21-E21*F21)/(D21*H21-E21^2)))</f>
        <v>0</v>
      </c>
      <c r="K21" s="103" t="n">
        <f aca="false">IF(D21=0,"",(F21-J21*E21)/D21)</f>
        <v>53.762</v>
      </c>
      <c r="L21" s="103" t="str">
        <f aca="false">IF(D21&lt;3,"",SQRT(MAX(I21-2*K21*F21-2*J21*G21+D21*K21^2+2*K21*J21*E21+J21^2*H21,0)/(D21-2)))</f>
        <v/>
      </c>
      <c r="M21" s="100" t="str">
        <f aca="false">IF(B21="","",IF(D21&gt;=설정!$C$7,"Y","대체"))</f>
        <v>대체</v>
      </c>
    </row>
    <row r="22" customFormat="false" ht="15" hidden="false" customHeight="false" outlineLevel="0" collapsed="false">
      <c r="A22" s="13" t="str">
        <f aca="false">IF(B22="","",B22&amp;"|"&amp;C22)</f>
        <v>미국|전체</v>
      </c>
      <c r="B22" s="104" t="s">
        <v>79</v>
      </c>
      <c r="C22" s="104" t="s">
        <v>288</v>
      </c>
      <c r="D22" s="105" t="n">
        <f aca="false">IF($B22="",0,SUMPRODUCT(((시장분석!$N$2:$N$601=$B22)+($B22="전체")&gt;0)*((시장분석!$L$2:$L$601=$C22)+($C22="전체")&gt;0)*시장분석!$Y$2:$Y$601))</f>
        <v>49</v>
      </c>
      <c r="E22" s="16" t="n">
        <f aca="false">SUMPRODUCT(((시장분석!$N$2:$N$601=$B22)+($B22="전체")&gt;0)*((시장분석!$L$2:$L$601=$C22)+($C22="전체")&gt;0)*시장분석!$Y$2:$Y$601*시장분석!$AA$2:$AA$601)</f>
        <v>53.3663439609071</v>
      </c>
      <c r="F22" s="15" t="n">
        <f aca="false">SUMPRODUCT(((시장분석!$N$2:$N$601=$B22)+($B22="전체")&gt;0)*((시장분석!$L$2:$L$601=$C22)+($C22="전체")&gt;0)*시장분석!$Y$2:$Y$601*시장분석!$AB$2:$AB$601)</f>
        <v>3444.841</v>
      </c>
      <c r="G22" s="15" t="n">
        <f aca="false">SUMPRODUCT(((시장분석!$N$2:$N$601=$B22)+($B22="전체")&gt;0)*((시장분석!$L$2:$L$601=$C22)+($C22="전체")&gt;0)*시장분석!$Y$2:$Y$601*시장분석!$AA$2:$AA$601*시장분석!$AB$2:$AB$601)</f>
        <v>4083.06989951757</v>
      </c>
      <c r="H22" s="16" t="n">
        <f aca="false">SUMPRODUCT(((시장분석!$N$2:$N$601=$B22)+($B22="전체")&gt;0)*((시장분석!$L$2:$L$601=$C22)+($C22="전체")&gt;0)*시장분석!$Y$2:$Y$601*시장분석!$AA$2:$AA$601*시장분석!$AA$2:$AA$601)</f>
        <v>69.6050971197434</v>
      </c>
      <c r="I22" s="105" t="n">
        <f aca="false">SUMPRODUCT(((시장분석!$N$2:$N$601=$B22)+($B22="전체")&gt;0)*((시장분석!$L$2:$L$601=$C22)+($C22="전체")&gt;0)*시장분석!$Y$2:$Y$601*시장분석!$AB$2:$AB$601*시장분석!$AB$2:$AB$601)</f>
        <v>263065.408931</v>
      </c>
      <c r="J22" s="15" t="n">
        <f aca="false">IF(D22&lt;3,0,IF(D22*H22-E22^2&lt;=0,0,(D22*G22-E22*F22)/(D22*H22-E22^2)))</f>
        <v>28.847242144067</v>
      </c>
      <c r="K22" s="15" t="n">
        <f aca="false">IF(D22=0,"",(F22-J22*E22)/D22)</f>
        <v>38.8850847635948</v>
      </c>
      <c r="L22" s="15" t="n">
        <f aca="false">IF(D22&lt;3,"",SQRT(MAX(I22-2*K22*F22-2*J22*G22+D22*K22^2+2*K22*J22*E22+J22^2*H22,0)/(D22-2)))</f>
        <v>15.5242902098058</v>
      </c>
      <c r="M22" s="13" t="str">
        <f aca="false">IF(B22="","",IF(D22&gt;=설정!$C$7,"Y","대체"))</f>
        <v>Y</v>
      </c>
    </row>
    <row r="23" customFormat="false" ht="15" hidden="false" customHeight="false" outlineLevel="0" collapsed="false">
      <c r="A23" s="13" t="str">
        <f aca="false">IF(B23="","",B23&amp;"|"&amp;C23)</f>
        <v>유럽|전체</v>
      </c>
      <c r="B23" s="104" t="s">
        <v>90</v>
      </c>
      <c r="C23" s="104" t="s">
        <v>288</v>
      </c>
      <c r="D23" s="105" t="n">
        <f aca="false">IF($B23="",0,SUMPRODUCT(((시장분석!$N$2:$N$601=$B23)+($B23="전체")&gt;0)*((시장분석!$L$2:$L$601=$C23)+($C23="전체")&gt;0)*시장분석!$Y$2:$Y$601))</f>
        <v>32</v>
      </c>
      <c r="E23" s="16" t="n">
        <f aca="false">SUMPRODUCT(((시장분석!$N$2:$N$601=$B23)+($B23="전체")&gt;0)*((시장분석!$L$2:$L$601=$C23)+($C23="전체")&gt;0)*시장분석!$Y$2:$Y$601*시장분석!$AA$2:$AA$601)</f>
        <v>31.1377333313359</v>
      </c>
      <c r="F23" s="15" t="n">
        <f aca="false">SUMPRODUCT(((시장분석!$N$2:$N$601=$B23)+($B23="전체")&gt;0)*((시장분석!$L$2:$L$601=$C23)+($C23="전체")&gt;0)*시장분석!$Y$2:$Y$601*시장분석!$AB$2:$AB$601)</f>
        <v>2339.996</v>
      </c>
      <c r="G23" s="15" t="n">
        <f aca="false">SUMPRODUCT(((시장분석!$N$2:$N$601=$B23)+($B23="전체")&gt;0)*((시장분석!$L$2:$L$601=$C23)+($C23="전체")&gt;0)*시장분석!$Y$2:$Y$601*시장분석!$AA$2:$AA$601*시장분석!$AB$2:$AB$601)</f>
        <v>2452.04969181677</v>
      </c>
      <c r="H23" s="16" t="n">
        <f aca="false">SUMPRODUCT(((시장분석!$N$2:$N$601=$B23)+($B23="전체")&gt;0)*((시장분석!$L$2:$L$601=$C23)+($C23="전체")&gt;0)*시장분석!$Y$2:$Y$601*시장분석!$AA$2:$AA$601*시장분석!$AA$2:$AA$601)</f>
        <v>36.0243540517325</v>
      </c>
      <c r="I23" s="105" t="n">
        <f aca="false">SUMPRODUCT(((시장분석!$N$2:$N$601=$B23)+($B23="전체")&gt;0)*((시장분석!$L$2:$L$601=$C23)+($C23="전체")&gt;0)*시장분석!$Y$2:$Y$601*시장분석!$AB$2:$AB$601*시장분석!$AB$2:$AB$601)</f>
        <v>180089.452232</v>
      </c>
      <c r="J23" s="15" t="n">
        <f aca="false">IF(D23&lt;3,0,IF(D23*H23-E23^2&lt;=0,0,(D23*G23-E23*F23)/(D23*H23-E23^2)))</f>
        <v>30.582858826536</v>
      </c>
      <c r="K23" s="15" t="n">
        <f aca="false">IF(D23=0,"",(F23-J23*E23)/D23)</f>
        <v>43.3660967921697</v>
      </c>
      <c r="L23" s="15" t="n">
        <f aca="false">IF(D23&lt;3,"",SQRT(MAX(I23-2*K23*F23-2*J23*G23+D23*K23^2+2*K23*J23*E23+J23^2*H23,0)/(D23-2)))</f>
        <v>10.9882810943096</v>
      </c>
      <c r="M23" s="13" t="str">
        <f aca="false">IF(B23="","",IF(D23&gt;=설정!$C$7,"Y","대체"))</f>
        <v>Y</v>
      </c>
    </row>
    <row r="24" customFormat="false" ht="15" hidden="false" customHeight="false" outlineLevel="0" collapsed="false">
      <c r="A24" s="13" t="str">
        <f aca="false">IF(B24="","",B24&amp;"|"&amp;C24)</f>
        <v>아시아/기타|전체</v>
      </c>
      <c r="B24" s="104" t="s">
        <v>194</v>
      </c>
      <c r="C24" s="104" t="s">
        <v>288</v>
      </c>
      <c r="D24" s="105" t="n">
        <f aca="false">IF($B24="",0,SUMPRODUCT(((시장분석!$N$2:$N$601=$B24)+($B24="전체")&gt;0)*((시장분석!$L$2:$L$601=$C24)+($C24="전체")&gt;0)*시장분석!$Y$2:$Y$601))</f>
        <v>137</v>
      </c>
      <c r="E24" s="16" t="n">
        <f aca="false">SUMPRODUCT(((시장분석!$N$2:$N$601=$B24)+($B24="전체")&gt;0)*((시장분석!$L$2:$L$601=$C24)+($C24="전체")&gt;0)*시장분석!$Y$2:$Y$601*시장분석!$AA$2:$AA$601)</f>
        <v>137.008592221571</v>
      </c>
      <c r="F24" s="15" t="n">
        <f aca="false">SUMPRODUCT(((시장분석!$N$2:$N$601=$B24)+($B24="전체")&gt;0)*((시장분석!$L$2:$L$601=$C24)+($C24="전체")&gt;0)*시장분석!$Y$2:$Y$601*시장분석!$AB$2:$AB$601)</f>
        <v>6276.026</v>
      </c>
      <c r="G24" s="15" t="n">
        <f aca="false">SUMPRODUCT(((시장분석!$N$2:$N$601=$B24)+($B24="전체")&gt;0)*((시장분석!$L$2:$L$601=$C24)+($C24="전체")&gt;0)*시장분석!$Y$2:$Y$601*시장분석!$AA$2:$AA$601*시장분석!$AB$2:$AB$601)</f>
        <v>7473.78297710855</v>
      </c>
      <c r="H24" s="16" t="n">
        <f aca="false">SUMPRODUCT(((시장분석!$N$2:$N$601=$B24)+($B24="전체")&gt;0)*((시장분석!$L$2:$L$601=$C24)+($C24="전체")&gt;0)*시장분석!$Y$2:$Y$601*시장분석!$AA$2:$AA$601*시장분석!$AA$2:$AA$601)</f>
        <v>181.864762715389</v>
      </c>
      <c r="I24" s="105" t="n">
        <f aca="false">SUMPRODUCT(((시장분석!$N$2:$N$601=$B24)+($B24="전체")&gt;0)*((시장분석!$L$2:$L$601=$C24)+($C24="전체")&gt;0)*시장분석!$Y$2:$Y$601*시장분석!$AB$2:$AB$601*시장분석!$AB$2:$AB$601)</f>
        <v>422147.521784</v>
      </c>
      <c r="J24" s="15" t="n">
        <f aca="false">IF(D24&lt;3,0,IF(D24*H24-E24^2&lt;=0,0,(D24*G24-E24*F24)/(D24*H24-E24^2)))</f>
        <v>26.6985069081074</v>
      </c>
      <c r="K24" s="15" t="n">
        <f aca="false">IF(D24=0,"",(F24-J24*E24)/D24)</f>
        <v>19.1102274022067</v>
      </c>
      <c r="L24" s="15" t="n">
        <f aca="false">IF(D24&lt;3,"",SQRT(MAX(I24-2*K24*F24-2*J24*G24+D24*K24^2+2*K24*J24*E24+J24^2*H24,0)/(D24-2)))</f>
        <v>27.5778213758018</v>
      </c>
      <c r="M24" s="13" t="str">
        <f aca="false">IF(B24="","",IF(D24&gt;=설정!$C$7,"Y","대체"))</f>
        <v>Y</v>
      </c>
    </row>
    <row r="25" customFormat="false" ht="15" hidden="false" customHeight="false" outlineLevel="0" collapsed="false">
      <c r="A25" s="13" t="str">
        <f aca="false">IF(B25="","",B25&amp;"|"&amp;C25)</f>
        <v>기타|전체</v>
      </c>
      <c r="B25" s="104" t="s">
        <v>92</v>
      </c>
      <c r="C25" s="104" t="s">
        <v>288</v>
      </c>
      <c r="D25" s="105" t="n">
        <f aca="false">IF($B25="",0,SUMPRODUCT(((시장분석!$N$2:$N$601=$B25)+($B25="전체")&gt;0)*((시장분석!$L$2:$L$601=$C25)+($C25="전체")&gt;0)*시장분석!$Y$2:$Y$601))</f>
        <v>1</v>
      </c>
      <c r="E25" s="16" t="n">
        <f aca="false">SUMPRODUCT(((시장분석!$N$2:$N$601=$B25)+($B25="전체")&gt;0)*((시장분석!$L$2:$L$601=$C25)+($C25="전체")&gt;0)*시장분석!$Y$2:$Y$601*시장분석!$AA$2:$AA$601)</f>
        <v>1.2380843339547</v>
      </c>
      <c r="F25" s="15" t="n">
        <f aca="false">SUMPRODUCT(((시장분석!$N$2:$N$601=$B25)+($B25="전체")&gt;0)*((시장분석!$L$2:$L$601=$C25)+($C25="전체")&gt;0)*시장분석!$Y$2:$Y$601*시장분석!$AB$2:$AB$601)</f>
        <v>53.762</v>
      </c>
      <c r="G25" s="15" t="n">
        <f aca="false">SUMPRODUCT(((시장분석!$N$2:$N$601=$B25)+($B25="전체")&gt;0)*((시장분석!$L$2:$L$601=$C25)+($C25="전체")&gt;0)*시장분석!$Y$2:$Y$601*시장분석!$AA$2:$AA$601*시장분석!$AB$2:$AB$601)</f>
        <v>66.5618899620728</v>
      </c>
      <c r="H25" s="16" t="n">
        <f aca="false">SUMPRODUCT(((시장분석!$N$2:$N$601=$B25)+($B25="전체")&gt;0)*((시장분석!$L$2:$L$601=$C25)+($C25="전체")&gt;0)*시장분석!$Y$2:$Y$601*시장분석!$AA$2:$AA$601*시장분석!$AA$2:$AA$601)</f>
        <v>1.53285281798406</v>
      </c>
      <c r="I25" s="105" t="n">
        <f aca="false">SUMPRODUCT(((시장분석!$N$2:$N$601=$B25)+($B25="전체")&gt;0)*((시장분석!$L$2:$L$601=$C25)+($C25="전체")&gt;0)*시장분석!$Y$2:$Y$601*시장분석!$AB$2:$AB$601*시장분석!$AB$2:$AB$601)</f>
        <v>2890.352644</v>
      </c>
      <c r="J25" s="15" t="n">
        <f aca="false">IF(D25&lt;3,0,IF(D25*H25-E25^2&lt;=0,0,(D25*G25-E25*F25)/(D25*H25-E25^2)))</f>
        <v>0</v>
      </c>
      <c r="K25" s="15" t="n">
        <f aca="false">IF(D25=0,"",(F25-J25*E25)/D25)</f>
        <v>53.762</v>
      </c>
      <c r="L25" s="15" t="str">
        <f aca="false">IF(D25&lt;3,"",SQRT(MAX(I25-2*K25*F25-2*J25*G25+D25*K25^2+2*K25*J25*E25+J25^2*H25,0)/(D25-2)))</f>
        <v/>
      </c>
      <c r="M25" s="13" t="str">
        <f aca="false">IF(B25="","",IF(D25&gt;=설정!$C$7,"Y","대체"))</f>
        <v>대체</v>
      </c>
    </row>
    <row r="26" customFormat="false" ht="15" hidden="false" customHeight="false" outlineLevel="0" collapsed="false">
      <c r="A26" s="13" t="str">
        <f aca="false">IF(B26="","",B26&amp;"|"&amp;C26)</f>
        <v>전체|전체</v>
      </c>
      <c r="B26" s="104" t="s">
        <v>288</v>
      </c>
      <c r="C26" s="104" t="s">
        <v>288</v>
      </c>
      <c r="D26" s="105" t="n">
        <f aca="false">IF($B26="",0,SUMPRODUCT(((시장분석!$N$2:$N$601=$B26)+($B26="전체")&gt;0)*((시장분석!$L$2:$L$601=$C26)+($C26="전체")&gt;0)*시장분석!$Y$2:$Y$601))</f>
        <v>219</v>
      </c>
      <c r="E26" s="16" t="n">
        <f aca="false">SUMPRODUCT(((시장분석!$N$2:$N$601=$B26)+($B26="전체")&gt;0)*((시장분석!$L$2:$L$601=$C26)+($C26="전체")&gt;0)*시장분석!$Y$2:$Y$601*시장분석!$AA$2:$AA$601)</f>
        <v>222.750753847769</v>
      </c>
      <c r="F26" s="15" t="n">
        <f aca="false">SUMPRODUCT(((시장분석!$N$2:$N$601=$B26)+($B26="전체")&gt;0)*((시장분석!$L$2:$L$601=$C26)+($C26="전체")&gt;0)*시장분석!$Y$2:$Y$601*시장분석!$AB$2:$AB$601)</f>
        <v>12114.625</v>
      </c>
      <c r="G26" s="15" t="n">
        <f aca="false">SUMPRODUCT(((시장분석!$N$2:$N$601=$B26)+($B26="전체")&gt;0)*((시장분석!$L$2:$L$601=$C26)+($C26="전체")&gt;0)*시장분석!$Y$2:$Y$601*시장분석!$AA$2:$AA$601*시장분석!$AB$2:$AB$601)</f>
        <v>14075.464458405</v>
      </c>
      <c r="H26" s="16" t="n">
        <f aca="false">SUMPRODUCT(((시장분석!$N$2:$N$601=$B26)+($B26="전체")&gt;0)*((시장분석!$L$2:$L$601=$C26)+($C26="전체")&gt;0)*시장분석!$Y$2:$Y$601*시장분석!$AA$2:$AA$601*시장분석!$AA$2:$AA$601)</f>
        <v>289.027066704849</v>
      </c>
      <c r="I26" s="105" t="n">
        <f aca="false">SUMPRODUCT(((시장분석!$N$2:$N$601=$B26)+($B26="전체")&gt;0)*((시장분석!$L$2:$L$601=$C26)+($C26="전체")&gt;0)*시장분석!$Y$2:$Y$601*시장분석!$AB$2:$AB$601*시장분석!$AB$2:$AB$601)</f>
        <v>868192.735591</v>
      </c>
      <c r="J26" s="15" t="n">
        <f aca="false">IF(D26&lt;3,0,IF(D26*H26-E26^2&lt;=0,0,(D26*G26-E26*F26)/(D26*H26-E26^2)))</f>
        <v>28.0710610027523</v>
      </c>
      <c r="K26" s="15" t="n">
        <f aca="false">IF(D26=0,"",(F26-J26*E26)/D26)</f>
        <v>26.7660958919188</v>
      </c>
      <c r="L26" s="15" t="n">
        <f aca="false">IF(D26&lt;3,"",SQRT(MAX(I26-2*K26*F26-2*J26*G26+D26*K26^2+2*K26*J26*E26+J26^2*H26,0)/(D26-2)))</f>
        <v>26.1877569886013</v>
      </c>
      <c r="M26" s="13" t="str">
        <f aca="false">IF(B26="","",IF(D26&gt;=설정!$C$7,"Y","대체"))</f>
        <v>Y</v>
      </c>
    </row>
    <row r="27" customFormat="false" ht="15" hidden="false" customHeight="false" outlineLevel="0" collapsed="false">
      <c r="A27" s="100" t="str">
        <f aca="false">IF(B27="","",B27&amp;"|"&amp;C27)</f>
        <v/>
      </c>
      <c r="B27" s="106"/>
      <c r="C27" s="106"/>
      <c r="D27" s="101" t="n">
        <f aca="false">IF($B27="",0,SUMPRODUCT(((시장분석!$N$2:$N$601=$B27)+($B27="전체")&gt;0)*((시장분석!$L$2:$L$601=$C27)+($C27="전체")&gt;0)*시장분석!$Y$2:$Y$601))</f>
        <v>0</v>
      </c>
      <c r="E27" s="102" t="n">
        <f aca="false">SUMPRODUCT(((시장분석!$N$2:$N$601=$B27)+($B27="전체")&gt;0)*((시장분석!$L$2:$L$601=$C27)+($C27="전체")&gt;0)*시장분석!$Y$2:$Y$601*시장분석!$AA$2:$AA$601)</f>
        <v>0</v>
      </c>
      <c r="F27" s="103" t="n">
        <f aca="false">SUMPRODUCT(((시장분석!$N$2:$N$601=$B27)+($B27="전체")&gt;0)*((시장분석!$L$2:$L$601=$C27)+($C27="전체")&gt;0)*시장분석!$Y$2:$Y$601*시장분석!$AB$2:$AB$601)</f>
        <v>0</v>
      </c>
      <c r="G27" s="103" t="n">
        <f aca="false">SUMPRODUCT(((시장분석!$N$2:$N$601=$B27)+($B27="전체")&gt;0)*((시장분석!$L$2:$L$601=$C27)+($C27="전체")&gt;0)*시장분석!$Y$2:$Y$601*시장분석!$AA$2:$AA$601*시장분석!$AB$2:$AB$601)</f>
        <v>0</v>
      </c>
      <c r="H27" s="102" t="n">
        <f aca="false">SUMPRODUCT(((시장분석!$N$2:$N$601=$B27)+($B27="전체")&gt;0)*((시장분석!$L$2:$L$601=$C27)+($C27="전체")&gt;0)*시장분석!$Y$2:$Y$601*시장분석!$AA$2:$AA$601*시장분석!$AA$2:$AA$601)</f>
        <v>0</v>
      </c>
      <c r="I27" s="101" t="n">
        <f aca="false">SUMPRODUCT(((시장분석!$N$2:$N$601=$B27)+($B27="전체")&gt;0)*((시장분석!$L$2:$L$601=$C27)+($C27="전체")&gt;0)*시장분석!$Y$2:$Y$601*시장분석!$AB$2:$AB$601*시장분석!$AB$2:$AB$601)</f>
        <v>0</v>
      </c>
      <c r="J27" s="103" t="n">
        <f aca="false">IF(D27&lt;3,0,IF(D27*H27-E27^2&lt;=0,0,(D27*G27-E27*F27)/(D27*H27-E27^2)))</f>
        <v>0</v>
      </c>
      <c r="K27" s="103" t="str">
        <f aca="false">IF(D27=0,"",(F27-J27*E27)/D27)</f>
        <v/>
      </c>
      <c r="L27" s="103" t="str">
        <f aca="false">IF(D27&lt;3,"",SQRT(MAX(I27-2*K27*F27-2*J27*G27+D27*K27^2+2*K27*J27*E27+J27^2*H27,0)/(D27-2)))</f>
        <v/>
      </c>
      <c r="M27" s="100" t="str">
        <f aca="false">IF(B27="","",IF(D27&gt;=설정!$C$7,"Y","대체"))</f>
        <v/>
      </c>
    </row>
    <row r="28" customFormat="false" ht="15" hidden="false" customHeight="false" outlineLevel="0" collapsed="false">
      <c r="A28" s="100" t="str">
        <f aca="false">IF(B28="","",B28&amp;"|"&amp;C28)</f>
        <v/>
      </c>
      <c r="B28" s="106"/>
      <c r="C28" s="106"/>
      <c r="D28" s="101" t="n">
        <f aca="false">IF($B28="",0,SUMPRODUCT(((시장분석!$N$2:$N$601=$B28)+($B28="전체")&gt;0)*((시장분석!$L$2:$L$601=$C28)+($C28="전체")&gt;0)*시장분석!$Y$2:$Y$601))</f>
        <v>0</v>
      </c>
      <c r="E28" s="102" t="n">
        <f aca="false">SUMPRODUCT(((시장분석!$N$2:$N$601=$B28)+($B28="전체")&gt;0)*((시장분석!$L$2:$L$601=$C28)+($C28="전체")&gt;0)*시장분석!$Y$2:$Y$601*시장분석!$AA$2:$AA$601)</f>
        <v>0</v>
      </c>
      <c r="F28" s="103" t="n">
        <f aca="false">SUMPRODUCT(((시장분석!$N$2:$N$601=$B28)+($B28="전체")&gt;0)*((시장분석!$L$2:$L$601=$C28)+($C28="전체")&gt;0)*시장분석!$Y$2:$Y$601*시장분석!$AB$2:$AB$601)</f>
        <v>0</v>
      </c>
      <c r="G28" s="103" t="n">
        <f aca="false">SUMPRODUCT(((시장분석!$N$2:$N$601=$B28)+($B28="전체")&gt;0)*((시장분석!$L$2:$L$601=$C28)+($C28="전체")&gt;0)*시장분석!$Y$2:$Y$601*시장분석!$AA$2:$AA$601*시장분석!$AB$2:$AB$601)</f>
        <v>0</v>
      </c>
      <c r="H28" s="102" t="n">
        <f aca="false">SUMPRODUCT(((시장분석!$N$2:$N$601=$B28)+($B28="전체")&gt;0)*((시장분석!$L$2:$L$601=$C28)+($C28="전체")&gt;0)*시장분석!$Y$2:$Y$601*시장분석!$AA$2:$AA$601*시장분석!$AA$2:$AA$601)</f>
        <v>0</v>
      </c>
      <c r="I28" s="101" t="n">
        <f aca="false">SUMPRODUCT(((시장분석!$N$2:$N$601=$B28)+($B28="전체")&gt;0)*((시장분석!$L$2:$L$601=$C28)+($C28="전체")&gt;0)*시장분석!$Y$2:$Y$601*시장분석!$AB$2:$AB$601*시장분석!$AB$2:$AB$601)</f>
        <v>0</v>
      </c>
      <c r="J28" s="103" t="n">
        <f aca="false">IF(D28&lt;3,0,IF(D28*H28-E28^2&lt;=0,0,(D28*G28-E28*F28)/(D28*H28-E28^2)))</f>
        <v>0</v>
      </c>
      <c r="K28" s="103" t="str">
        <f aca="false">IF(D28=0,"",(F28-J28*E28)/D28)</f>
        <v/>
      </c>
      <c r="L28" s="103" t="str">
        <f aca="false">IF(D28&lt;3,"",SQRT(MAX(I28-2*K28*F28-2*J28*G28+D28*K28^2+2*K28*J28*E28+J28^2*H28,0)/(D28-2)))</f>
        <v/>
      </c>
      <c r="M28" s="100" t="str">
        <f aca="false">IF(B28="","",IF(D28&gt;=설정!$C$7,"Y","대체"))</f>
        <v/>
      </c>
    </row>
    <row r="29" customFormat="false" ht="15" hidden="false" customHeight="false" outlineLevel="0" collapsed="false">
      <c r="A29" s="100" t="str">
        <f aca="false">IF(B29="","",B29&amp;"|"&amp;C29)</f>
        <v/>
      </c>
      <c r="B29" s="106"/>
      <c r="C29" s="106"/>
      <c r="D29" s="101" t="n">
        <f aca="false">IF($B29="",0,SUMPRODUCT(((시장분석!$N$2:$N$601=$B29)+($B29="전체")&gt;0)*((시장분석!$L$2:$L$601=$C29)+($C29="전체")&gt;0)*시장분석!$Y$2:$Y$601))</f>
        <v>0</v>
      </c>
      <c r="E29" s="102" t="n">
        <f aca="false">SUMPRODUCT(((시장분석!$N$2:$N$601=$B29)+($B29="전체")&gt;0)*((시장분석!$L$2:$L$601=$C29)+($C29="전체")&gt;0)*시장분석!$Y$2:$Y$601*시장분석!$AA$2:$AA$601)</f>
        <v>0</v>
      </c>
      <c r="F29" s="103" t="n">
        <f aca="false">SUMPRODUCT(((시장분석!$N$2:$N$601=$B29)+($B29="전체")&gt;0)*((시장분석!$L$2:$L$601=$C29)+($C29="전체")&gt;0)*시장분석!$Y$2:$Y$601*시장분석!$AB$2:$AB$601)</f>
        <v>0</v>
      </c>
      <c r="G29" s="103" t="n">
        <f aca="false">SUMPRODUCT(((시장분석!$N$2:$N$601=$B29)+($B29="전체")&gt;0)*((시장분석!$L$2:$L$601=$C29)+($C29="전체")&gt;0)*시장분석!$Y$2:$Y$601*시장분석!$AA$2:$AA$601*시장분석!$AB$2:$AB$601)</f>
        <v>0</v>
      </c>
      <c r="H29" s="102" t="n">
        <f aca="false">SUMPRODUCT(((시장분석!$N$2:$N$601=$B29)+($B29="전체")&gt;0)*((시장분석!$L$2:$L$601=$C29)+($C29="전체")&gt;0)*시장분석!$Y$2:$Y$601*시장분석!$AA$2:$AA$601*시장분석!$AA$2:$AA$601)</f>
        <v>0</v>
      </c>
      <c r="I29" s="101" t="n">
        <f aca="false">SUMPRODUCT(((시장분석!$N$2:$N$601=$B29)+($B29="전체")&gt;0)*((시장분석!$L$2:$L$601=$C29)+($C29="전체")&gt;0)*시장분석!$Y$2:$Y$601*시장분석!$AB$2:$AB$601*시장분석!$AB$2:$AB$601)</f>
        <v>0</v>
      </c>
      <c r="J29" s="103" t="n">
        <f aca="false">IF(D29&lt;3,0,IF(D29*H29-E29^2&lt;=0,0,(D29*G29-E29*F29)/(D29*H29-E29^2)))</f>
        <v>0</v>
      </c>
      <c r="K29" s="103" t="str">
        <f aca="false">IF(D29=0,"",(F29-J29*E29)/D29)</f>
        <v/>
      </c>
      <c r="L29" s="103" t="str">
        <f aca="false">IF(D29&lt;3,"",SQRT(MAX(I29-2*K29*F29-2*J29*G29+D29*K29^2+2*K29*J29*E29+J29^2*H29,0)/(D29-2)))</f>
        <v/>
      </c>
      <c r="M29" s="100" t="str">
        <f aca="false">IF(B29="","",IF(D29&gt;=설정!$C$7,"Y","대체"))</f>
        <v/>
      </c>
    </row>
    <row r="30" customFormat="false" ht="15" hidden="false" customHeight="false" outlineLevel="0" collapsed="false">
      <c r="A30" s="100" t="str">
        <f aca="false">IF(B30="","",B30&amp;"|"&amp;C30)</f>
        <v/>
      </c>
      <c r="B30" s="106"/>
      <c r="C30" s="106"/>
      <c r="D30" s="101" t="n">
        <f aca="false">IF($B30="",0,SUMPRODUCT(((시장분석!$N$2:$N$601=$B30)+($B30="전체")&gt;0)*((시장분석!$L$2:$L$601=$C30)+($C30="전체")&gt;0)*시장분석!$Y$2:$Y$601))</f>
        <v>0</v>
      </c>
      <c r="E30" s="102" t="n">
        <f aca="false">SUMPRODUCT(((시장분석!$N$2:$N$601=$B30)+($B30="전체")&gt;0)*((시장분석!$L$2:$L$601=$C30)+($C30="전체")&gt;0)*시장분석!$Y$2:$Y$601*시장분석!$AA$2:$AA$601)</f>
        <v>0</v>
      </c>
      <c r="F30" s="103" t="n">
        <f aca="false">SUMPRODUCT(((시장분석!$N$2:$N$601=$B30)+($B30="전체")&gt;0)*((시장분석!$L$2:$L$601=$C30)+($C30="전체")&gt;0)*시장분석!$Y$2:$Y$601*시장분석!$AB$2:$AB$601)</f>
        <v>0</v>
      </c>
      <c r="G30" s="103" t="n">
        <f aca="false">SUMPRODUCT(((시장분석!$N$2:$N$601=$B30)+($B30="전체")&gt;0)*((시장분석!$L$2:$L$601=$C30)+($C30="전체")&gt;0)*시장분석!$Y$2:$Y$601*시장분석!$AA$2:$AA$601*시장분석!$AB$2:$AB$601)</f>
        <v>0</v>
      </c>
      <c r="H30" s="102" t="n">
        <f aca="false">SUMPRODUCT(((시장분석!$N$2:$N$601=$B30)+($B30="전체")&gt;0)*((시장분석!$L$2:$L$601=$C30)+($C30="전체")&gt;0)*시장분석!$Y$2:$Y$601*시장분석!$AA$2:$AA$601*시장분석!$AA$2:$AA$601)</f>
        <v>0</v>
      </c>
      <c r="I30" s="101" t="n">
        <f aca="false">SUMPRODUCT(((시장분석!$N$2:$N$601=$B30)+($B30="전체")&gt;0)*((시장분석!$L$2:$L$601=$C30)+($C30="전체")&gt;0)*시장분석!$Y$2:$Y$601*시장분석!$AB$2:$AB$601*시장분석!$AB$2:$AB$601)</f>
        <v>0</v>
      </c>
      <c r="J30" s="103" t="n">
        <f aca="false">IF(D30&lt;3,0,IF(D30*H30-E30^2&lt;=0,0,(D30*G30-E30*F30)/(D30*H30-E30^2)))</f>
        <v>0</v>
      </c>
      <c r="K30" s="103" t="str">
        <f aca="false">IF(D30=0,"",(F30-J30*E30)/D30)</f>
        <v/>
      </c>
      <c r="L30" s="103" t="str">
        <f aca="false">IF(D30&lt;3,"",SQRT(MAX(I30-2*K30*F30-2*J30*G30+D30*K30^2+2*K30*J30*E30+J30^2*H30,0)/(D30-2)))</f>
        <v/>
      </c>
      <c r="M30" s="100" t="str">
        <f aca="false">IF(B30="","",IF(D30&gt;=설정!$C$7,"Y","대체"))</f>
        <v/>
      </c>
    </row>
    <row r="31" customFormat="false" ht="15" hidden="false" customHeight="false" outlineLevel="0" collapsed="false">
      <c r="A31" s="100" t="str">
        <f aca="false">IF(B31="","",B31&amp;"|"&amp;C31)</f>
        <v/>
      </c>
      <c r="B31" s="106"/>
      <c r="C31" s="106"/>
      <c r="D31" s="101" t="n">
        <f aca="false">IF($B31="",0,SUMPRODUCT(((시장분석!$N$2:$N$601=$B31)+($B31="전체")&gt;0)*((시장분석!$L$2:$L$601=$C31)+($C31="전체")&gt;0)*시장분석!$Y$2:$Y$601))</f>
        <v>0</v>
      </c>
      <c r="E31" s="102" t="n">
        <f aca="false">SUMPRODUCT(((시장분석!$N$2:$N$601=$B31)+($B31="전체")&gt;0)*((시장분석!$L$2:$L$601=$C31)+($C31="전체")&gt;0)*시장분석!$Y$2:$Y$601*시장분석!$AA$2:$AA$601)</f>
        <v>0</v>
      </c>
      <c r="F31" s="103" t="n">
        <f aca="false">SUMPRODUCT(((시장분석!$N$2:$N$601=$B31)+($B31="전체")&gt;0)*((시장분석!$L$2:$L$601=$C31)+($C31="전체")&gt;0)*시장분석!$Y$2:$Y$601*시장분석!$AB$2:$AB$601)</f>
        <v>0</v>
      </c>
      <c r="G31" s="103" t="n">
        <f aca="false">SUMPRODUCT(((시장분석!$N$2:$N$601=$B31)+($B31="전체")&gt;0)*((시장분석!$L$2:$L$601=$C31)+($C31="전체")&gt;0)*시장분석!$Y$2:$Y$601*시장분석!$AA$2:$AA$601*시장분석!$AB$2:$AB$601)</f>
        <v>0</v>
      </c>
      <c r="H31" s="102" t="n">
        <f aca="false">SUMPRODUCT(((시장분석!$N$2:$N$601=$B31)+($B31="전체")&gt;0)*((시장분석!$L$2:$L$601=$C31)+($C31="전체")&gt;0)*시장분석!$Y$2:$Y$601*시장분석!$AA$2:$AA$601*시장분석!$AA$2:$AA$601)</f>
        <v>0</v>
      </c>
      <c r="I31" s="101" t="n">
        <f aca="false">SUMPRODUCT(((시장분석!$N$2:$N$601=$B31)+($B31="전체")&gt;0)*((시장분석!$L$2:$L$601=$C31)+($C31="전체")&gt;0)*시장분석!$Y$2:$Y$601*시장분석!$AB$2:$AB$601*시장분석!$AB$2:$AB$601)</f>
        <v>0</v>
      </c>
      <c r="J31" s="103" t="n">
        <f aca="false">IF(D31&lt;3,0,IF(D31*H31-E31^2&lt;=0,0,(D31*G31-E31*F31)/(D31*H31-E31^2)))</f>
        <v>0</v>
      </c>
      <c r="K31" s="103" t="str">
        <f aca="false">IF(D31=0,"",(F31-J31*E31)/D31)</f>
        <v/>
      </c>
      <c r="L31" s="103" t="str">
        <f aca="false">IF(D31&lt;3,"",SQRT(MAX(I31-2*K31*F31-2*J31*G31+D31*K31^2+2*K31*J31*E31+J31^2*H31,0)/(D31-2)))</f>
        <v/>
      </c>
      <c r="M31" s="100" t="str">
        <f aca="false">IF(B31="","",IF(D31&gt;=설정!$C$7,"Y","대체"))</f>
        <v/>
      </c>
    </row>
    <row r="32" customFormat="false" ht="15" hidden="false" customHeight="false" outlineLevel="0" collapsed="false">
      <c r="A32" s="100" t="str">
        <f aca="false">IF(B32="","",B32&amp;"|"&amp;C32)</f>
        <v/>
      </c>
      <c r="B32" s="106"/>
      <c r="C32" s="106"/>
      <c r="D32" s="101" t="n">
        <f aca="false">IF($B32="",0,SUMPRODUCT(((시장분석!$N$2:$N$601=$B32)+($B32="전체")&gt;0)*((시장분석!$L$2:$L$601=$C32)+($C32="전체")&gt;0)*시장분석!$Y$2:$Y$601))</f>
        <v>0</v>
      </c>
      <c r="E32" s="102" t="n">
        <f aca="false">SUMPRODUCT(((시장분석!$N$2:$N$601=$B32)+($B32="전체")&gt;0)*((시장분석!$L$2:$L$601=$C32)+($C32="전체")&gt;0)*시장분석!$Y$2:$Y$601*시장분석!$AA$2:$AA$601)</f>
        <v>0</v>
      </c>
      <c r="F32" s="103" t="n">
        <f aca="false">SUMPRODUCT(((시장분석!$N$2:$N$601=$B32)+($B32="전체")&gt;0)*((시장분석!$L$2:$L$601=$C32)+($C32="전체")&gt;0)*시장분석!$Y$2:$Y$601*시장분석!$AB$2:$AB$601)</f>
        <v>0</v>
      </c>
      <c r="G32" s="103" t="n">
        <f aca="false">SUMPRODUCT(((시장분석!$N$2:$N$601=$B32)+($B32="전체")&gt;0)*((시장분석!$L$2:$L$601=$C32)+($C32="전체")&gt;0)*시장분석!$Y$2:$Y$601*시장분석!$AA$2:$AA$601*시장분석!$AB$2:$AB$601)</f>
        <v>0</v>
      </c>
      <c r="H32" s="102" t="n">
        <f aca="false">SUMPRODUCT(((시장분석!$N$2:$N$601=$B32)+($B32="전체")&gt;0)*((시장분석!$L$2:$L$601=$C32)+($C32="전체")&gt;0)*시장분석!$Y$2:$Y$601*시장분석!$AA$2:$AA$601*시장분석!$AA$2:$AA$601)</f>
        <v>0</v>
      </c>
      <c r="I32" s="101" t="n">
        <f aca="false">SUMPRODUCT(((시장분석!$N$2:$N$601=$B32)+($B32="전체")&gt;0)*((시장분석!$L$2:$L$601=$C32)+($C32="전체")&gt;0)*시장분석!$Y$2:$Y$601*시장분석!$AB$2:$AB$601*시장분석!$AB$2:$AB$601)</f>
        <v>0</v>
      </c>
      <c r="J32" s="103" t="n">
        <f aca="false">IF(D32&lt;3,0,IF(D32*H32-E32^2&lt;=0,0,(D32*G32-E32*F32)/(D32*H32-E32^2)))</f>
        <v>0</v>
      </c>
      <c r="K32" s="103" t="str">
        <f aca="false">IF(D32=0,"",(F32-J32*E32)/D32)</f>
        <v/>
      </c>
      <c r="L32" s="103" t="str">
        <f aca="false">IF(D32&lt;3,"",SQRT(MAX(I32-2*K32*F32-2*J32*G32+D32*K32^2+2*K32*J32*E32+J32^2*H32,0)/(D32-2)))</f>
        <v/>
      </c>
      <c r="M32" s="100" t="str">
        <f aca="false">IF(B32="","",IF(D32&gt;=설정!$C$7,"Y","대체"))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7" t="n">
        <v>1</v>
      </c>
      <c r="B1" s="107" t="n">
        <v>2</v>
      </c>
      <c r="C1" s="107" t="n">
        <v>3</v>
      </c>
      <c r="D1" s="107" t="n">
        <v>4</v>
      </c>
      <c r="E1" s="107" t="n">
        <v>5</v>
      </c>
      <c r="F1" s="107" t="n">
        <v>6</v>
      </c>
      <c r="G1" s="107" t="n">
        <v>7</v>
      </c>
      <c r="H1" s="107" t="n">
        <v>8</v>
      </c>
      <c r="I1" s="107" t="n">
        <v>9</v>
      </c>
      <c r="J1" s="107" t="n">
        <v>10</v>
      </c>
      <c r="K1" s="107" t="n">
        <v>11</v>
      </c>
      <c r="L1" s="107" t="n">
        <v>12</v>
      </c>
      <c r="M1" s="107" t="n">
        <v>13</v>
      </c>
      <c r="N1" s="107" t="n">
        <v>14</v>
      </c>
      <c r="O1" s="107" t="n">
        <v>15</v>
      </c>
      <c r="P1" s="107" t="n">
        <v>16</v>
      </c>
      <c r="Q1" s="107" t="n">
        <v>17</v>
      </c>
      <c r="R1" s="107" t="n">
        <v>18</v>
      </c>
      <c r="S1" s="107" t="n">
        <v>19</v>
      </c>
      <c r="T1" s="107" t="n">
        <v>20</v>
      </c>
      <c r="U1" s="107" t="n">
        <v>21</v>
      </c>
      <c r="V1" s="107" t="n">
        <v>22</v>
      </c>
      <c r="W1" s="107" t="n">
        <v>23</v>
      </c>
      <c r="X1" s="107" t="n">
        <v>24</v>
      </c>
      <c r="Y1" s="107" t="n">
        <v>25</v>
      </c>
      <c r="Z1" s="107" t="n">
        <v>26</v>
      </c>
      <c r="AA1" s="107" t="n">
        <v>27</v>
      </c>
      <c r="AB1" s="107" t="n">
        <v>28</v>
      </c>
      <c r="AC1" s="107" t="n">
        <v>29</v>
      </c>
      <c r="AD1" s="107" t="n">
        <v>30</v>
      </c>
      <c r="AE1" s="107" t="n">
        <v>31</v>
      </c>
      <c r="AF1" s="107" t="n">
        <v>32</v>
      </c>
      <c r="AG1" s="107" t="n">
        <v>33</v>
      </c>
      <c r="AH1" s="107" t="n">
        <v>34</v>
      </c>
      <c r="AI1" s="107" t="n">
        <v>35</v>
      </c>
      <c r="AJ1" s="107" t="n">
        <v>36</v>
      </c>
      <c r="AK1" s="107" t="n">
        <v>37</v>
      </c>
      <c r="AL1" s="107" t="n">
        <v>38</v>
      </c>
      <c r="AM1" s="107" t="n">
        <v>39</v>
      </c>
      <c r="AN1" s="107" t="n">
        <v>40</v>
      </c>
      <c r="AO1" s="107" t="n">
        <v>41</v>
      </c>
      <c r="AP1" s="107" t="n">
        <v>42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</row>
    <row r="3" customFormat="false" ht="15" hidden="false" customHeight="false" outlineLevel="0" collapsed="false">
      <c r="A3" s="107" t="s">
        <v>198</v>
      </c>
      <c r="B3" s="108" t="s">
        <v>289</v>
      </c>
      <c r="C3" s="108" t="s">
        <v>290</v>
      </c>
      <c r="D3" s="107" t="s">
        <v>291</v>
      </c>
      <c r="E3" s="107" t="s">
        <v>292</v>
      </c>
      <c r="F3" s="108" t="s">
        <v>293</v>
      </c>
      <c r="G3" s="107" t="s">
        <v>294</v>
      </c>
      <c r="H3" s="107" t="s">
        <v>295</v>
      </c>
      <c r="I3" s="108" t="s">
        <v>296</v>
      </c>
      <c r="J3" s="108" t="s">
        <v>297</v>
      </c>
      <c r="K3" s="108" t="s">
        <v>158</v>
      </c>
      <c r="L3" s="107" t="s">
        <v>298</v>
      </c>
      <c r="M3" s="107" t="s">
        <v>299</v>
      </c>
      <c r="N3" s="108" t="s">
        <v>300</v>
      </c>
      <c r="O3" s="108" t="s">
        <v>289</v>
      </c>
      <c r="P3" s="107" t="s">
        <v>301</v>
      </c>
      <c r="Q3" s="108" t="s">
        <v>125</v>
      </c>
      <c r="R3" s="108" t="s">
        <v>302</v>
      </c>
      <c r="S3" s="108" t="s">
        <v>303</v>
      </c>
      <c r="T3" s="107" t="s">
        <v>304</v>
      </c>
      <c r="U3" s="108" t="s">
        <v>305</v>
      </c>
      <c r="V3" s="108" t="s">
        <v>306</v>
      </c>
      <c r="W3" s="108" t="s">
        <v>39</v>
      </c>
      <c r="X3" s="108" t="s">
        <v>199</v>
      </c>
      <c r="Y3" s="108" t="s">
        <v>307</v>
      </c>
      <c r="Z3" s="108" t="s">
        <v>197</v>
      </c>
      <c r="AA3" s="108" t="s">
        <v>308</v>
      </c>
      <c r="AB3" s="108" t="s">
        <v>309</v>
      </c>
      <c r="AC3" s="108" t="s">
        <v>310</v>
      </c>
      <c r="AD3" s="108" t="s">
        <v>204</v>
      </c>
      <c r="AE3" s="108" t="s">
        <v>205</v>
      </c>
      <c r="AF3" s="108" t="s">
        <v>126</v>
      </c>
      <c r="AG3" s="108" t="s">
        <v>311</v>
      </c>
      <c r="AH3" s="108" t="s">
        <v>200</v>
      </c>
      <c r="AI3" s="108" t="s">
        <v>312</v>
      </c>
      <c r="AJ3" s="108" t="s">
        <v>313</v>
      </c>
      <c r="AK3" s="107" t="s">
        <v>314</v>
      </c>
      <c r="AL3" s="107" t="s">
        <v>315</v>
      </c>
      <c r="AM3" s="108" t="s">
        <v>316</v>
      </c>
      <c r="AN3" s="108" t="s">
        <v>201</v>
      </c>
      <c r="AO3" s="108" t="s">
        <v>317</v>
      </c>
      <c r="AP3" s="107" t="s">
        <v>318</v>
      </c>
      <c r="AQ3" s="108" t="s">
        <v>207</v>
      </c>
      <c r="AR3" s="108" t="s">
        <v>319</v>
      </c>
      <c r="AS3" s="108" t="s">
        <v>320</v>
      </c>
      <c r="AT3" s="108" t="s">
        <v>321</v>
      </c>
      <c r="AU3" s="108" t="s">
        <v>208</v>
      </c>
      <c r="AV3" s="108" t="s">
        <v>322</v>
      </c>
      <c r="AW3" s="108" t="s">
        <v>323</v>
      </c>
      <c r="AX3" s="108" t="s">
        <v>324</v>
      </c>
      <c r="AY3" s="108" t="s">
        <v>325</v>
      </c>
      <c r="AZ3" s="108" t="s">
        <v>326</v>
      </c>
      <c r="BA3" s="108" t="s">
        <v>327</v>
      </c>
      <c r="BB3" s="108" t="s">
        <v>328</v>
      </c>
      <c r="BC3" s="108" t="s">
        <v>329</v>
      </c>
      <c r="BD3" s="108" t="s">
        <v>330</v>
      </c>
      <c r="BE3" s="108" t="s">
        <v>331</v>
      </c>
      <c r="BF3" s="108" t="s">
        <v>332</v>
      </c>
      <c r="BG3" s="108" t="s">
        <v>333</v>
      </c>
      <c r="BH3" s="108" t="s">
        <v>334</v>
      </c>
      <c r="BI3" s="108" t="s">
        <v>335</v>
      </c>
      <c r="BJ3" s="108" t="s">
        <v>336</v>
      </c>
      <c r="BK3" s="108" t="s">
        <v>337</v>
      </c>
      <c r="BL3" s="108" t="s">
        <v>338</v>
      </c>
      <c r="BM3" s="108" t="s">
        <v>339</v>
      </c>
      <c r="BN3" s="108" t="s">
        <v>340</v>
      </c>
      <c r="BO3" s="107" t="s">
        <v>209</v>
      </c>
      <c r="BP3" s="107" t="s">
        <v>210</v>
      </c>
      <c r="BQ3" s="107" t="s">
        <v>211</v>
      </c>
      <c r="BR3" s="108" t="s">
        <v>341</v>
      </c>
      <c r="BS3" s="108" t="s">
        <v>342</v>
      </c>
      <c r="BT3" s="108" t="s">
        <v>343</v>
      </c>
      <c r="BU3" s="108" t="s">
        <v>344</v>
      </c>
      <c r="BV3" s="108" t="s">
        <v>345</v>
      </c>
      <c r="BW3" s="108" t="s">
        <v>346</v>
      </c>
      <c r="BX3" s="108" t="s">
        <v>347</v>
      </c>
      <c r="BY3" s="108" t="s">
        <v>348</v>
      </c>
      <c r="BZ3" s="108" t="s">
        <v>349</v>
      </c>
      <c r="CA3" s="108" t="s">
        <v>350</v>
      </c>
      <c r="CB3" s="108" t="s">
        <v>351</v>
      </c>
      <c r="CC3" s="108" t="s">
        <v>352</v>
      </c>
      <c r="CD3" s="107" t="s">
        <v>353</v>
      </c>
      <c r="CE3" s="107" t="s">
        <v>354</v>
      </c>
      <c r="CF3" s="107" t="s">
        <v>355</v>
      </c>
      <c r="CG3" s="108" t="s">
        <v>356</v>
      </c>
      <c r="CH3" s="108" t="s">
        <v>203</v>
      </c>
      <c r="CI3" s="107" t="s">
        <v>353</v>
      </c>
      <c r="CJ3" s="107" t="s">
        <v>354</v>
      </c>
      <c r="CK3" s="107" t="s">
        <v>355</v>
      </c>
      <c r="CL3" s="108" t="s">
        <v>356</v>
      </c>
    </row>
    <row r="4" customFormat="false" ht="15" hidden="false" customHeight="false" outlineLevel="0" collapsed="false">
      <c r="A4" s="107" t="s">
        <v>357</v>
      </c>
      <c r="B4" s="107" t="n">
        <v>99.0563</v>
      </c>
      <c r="C4" s="107" t="n">
        <v>4.7842</v>
      </c>
      <c r="D4" s="107" t="n">
        <v>0.2926</v>
      </c>
      <c r="E4" s="107" t="n">
        <v>-28.98387338</v>
      </c>
      <c r="F4" s="108" t="s">
        <v>358</v>
      </c>
      <c r="G4" s="107" t="n">
        <v>0.2926</v>
      </c>
      <c r="H4" s="107" t="n">
        <v>-28.98387338</v>
      </c>
      <c r="I4" s="109" t="n">
        <v>46405</v>
      </c>
      <c r="J4" s="107" t="n">
        <v>1</v>
      </c>
      <c r="K4" s="107" t="s">
        <v>359</v>
      </c>
      <c r="L4" s="107" t="s">
        <v>298</v>
      </c>
      <c r="M4" s="107" t="n">
        <v>292600</v>
      </c>
      <c r="N4" s="107" t="n">
        <v>99.675</v>
      </c>
      <c r="O4" s="107" t="n">
        <v>990563</v>
      </c>
      <c r="P4" s="107" t="s">
        <v>360</v>
      </c>
      <c r="Q4" s="107" t="s">
        <v>361</v>
      </c>
      <c r="R4" s="107" t="n">
        <v>-0.0409767324478044</v>
      </c>
      <c r="S4" s="107" t="n">
        <v>-0.00620717331326814</v>
      </c>
      <c r="T4" s="107" t="n">
        <v>-29.67726748</v>
      </c>
      <c r="U4" s="107" t="n">
        <v>21069</v>
      </c>
      <c r="V4" s="108" t="s">
        <v>362</v>
      </c>
      <c r="W4" s="107" t="n">
        <v>10227</v>
      </c>
      <c r="X4" s="108" t="s">
        <v>111</v>
      </c>
      <c r="Y4" s="107" t="s">
        <v>357</v>
      </c>
      <c r="Z4" s="107" t="s">
        <v>363</v>
      </c>
      <c r="AA4" s="109" t="n">
        <v>44579</v>
      </c>
      <c r="AB4" s="107" t="n">
        <v>220118000001</v>
      </c>
      <c r="AC4" s="109" t="n">
        <v>44579</v>
      </c>
      <c r="AD4" s="109" t="n">
        <v>46405</v>
      </c>
      <c r="AE4" s="107" t="n">
        <v>1.625</v>
      </c>
      <c r="AF4" s="107" t="n">
        <v>0.2969</v>
      </c>
      <c r="AG4" s="107" t="n">
        <v>110</v>
      </c>
      <c r="AH4" s="107" t="n">
        <v>1000000</v>
      </c>
      <c r="AI4" s="107" t="n">
        <v>1.6931</v>
      </c>
      <c r="AJ4" s="107" t="n">
        <v>99.675</v>
      </c>
      <c r="AK4" s="107" t="n">
        <v>8.867691</v>
      </c>
      <c r="AL4" s="107" t="n">
        <v>98.222191</v>
      </c>
      <c r="AM4" s="107" t="n">
        <v>4.7117</v>
      </c>
      <c r="AN4" s="107" t="n">
        <v>99.0859</v>
      </c>
      <c r="AO4" s="107" t="n">
        <v>1358.4</v>
      </c>
      <c r="AP4" s="107" t="n">
        <v>1</v>
      </c>
      <c r="AQ4" s="107" t="n">
        <v>990859</v>
      </c>
      <c r="AR4" s="107" t="n">
        <v>1345982866</v>
      </c>
      <c r="AS4" s="107" t="n">
        <v>978971.91</v>
      </c>
      <c r="AT4" s="107" t="n">
        <v>1404726794</v>
      </c>
      <c r="AU4" s="107" t="n">
        <v>11741.31</v>
      </c>
      <c r="AV4" s="107" t="n">
        <v>15949396</v>
      </c>
      <c r="AW4" s="107" t="n">
        <v>0</v>
      </c>
      <c r="AX4" s="107" t="n">
        <v>0</v>
      </c>
      <c r="AY4" s="107" t="n">
        <v>0</v>
      </c>
      <c r="AZ4" s="107" t="n">
        <v>0</v>
      </c>
      <c r="BA4" s="107" t="n">
        <v>0</v>
      </c>
      <c r="BB4" s="107" t="n">
        <v>0</v>
      </c>
      <c r="BC4" s="107" t="n">
        <v>0</v>
      </c>
      <c r="BD4" s="107" t="n">
        <v>0</v>
      </c>
      <c r="BE4" s="107" t="n">
        <v>3250</v>
      </c>
      <c r="BF4" s="107" t="n">
        <v>4414800</v>
      </c>
      <c r="BG4" s="107" t="n">
        <v>0</v>
      </c>
      <c r="BH4" s="107" t="n">
        <v>0</v>
      </c>
      <c r="BI4" s="107" t="n">
        <v>999637.37</v>
      </c>
      <c r="BJ4" s="107" t="n">
        <v>1419924358</v>
      </c>
      <c r="BK4" s="107" t="n">
        <v>3412.88</v>
      </c>
      <c r="BL4" s="107" t="n">
        <v>4897098</v>
      </c>
      <c r="BM4" s="107" t="n">
        <v>145.78</v>
      </c>
      <c r="BN4" s="107" t="n">
        <v>209198</v>
      </c>
      <c r="BO4" s="107" t="s">
        <v>361</v>
      </c>
      <c r="BP4" s="2"/>
      <c r="BQ4" s="107" t="s">
        <v>364</v>
      </c>
      <c r="BR4" s="107" t="n">
        <v>-74902522</v>
      </c>
      <c r="BS4" s="107" t="n">
        <v>0</v>
      </c>
      <c r="BT4" s="107" t="n">
        <v>0</v>
      </c>
      <c r="BU4" s="107" t="n">
        <v>-20665.46</v>
      </c>
      <c r="BV4" s="107" t="n">
        <v>-15197564</v>
      </c>
      <c r="BW4" s="107" t="n">
        <v>3250</v>
      </c>
      <c r="BX4" s="107" t="n">
        <v>4414800</v>
      </c>
      <c r="BY4" s="107" t="n">
        <v>0</v>
      </c>
      <c r="BZ4" s="107" t="n">
        <v>0</v>
      </c>
      <c r="CA4" s="107" t="n">
        <v>1434.9</v>
      </c>
      <c r="CB4" s="2"/>
      <c r="CC4" s="107" t="n">
        <v>0</v>
      </c>
      <c r="CD4" s="107" t="n">
        <v>99.04</v>
      </c>
      <c r="CE4" s="107" t="n">
        <v>99.05</v>
      </c>
      <c r="CF4" s="107" t="n">
        <v>99.16</v>
      </c>
      <c r="CG4" s="107" t="n">
        <v>1000000</v>
      </c>
      <c r="CH4" s="107" t="n">
        <v>0.2901</v>
      </c>
      <c r="CI4" s="107" t="n">
        <v>95.43</v>
      </c>
      <c r="CJ4" s="107" t="n">
        <v>95.5</v>
      </c>
      <c r="CK4" s="107" t="n">
        <v>95.5</v>
      </c>
      <c r="CL4" s="107" t="n">
        <v>1000000</v>
      </c>
    </row>
    <row r="5" customFormat="false" ht="15" hidden="false" customHeight="false" outlineLevel="0" collapsed="false">
      <c r="A5" s="107" t="s">
        <v>365</v>
      </c>
      <c r="B5" s="107" t="n">
        <v>99.2769</v>
      </c>
      <c r="C5" s="107" t="n">
        <v>5.304</v>
      </c>
      <c r="D5" s="107" t="n">
        <v>1.6136</v>
      </c>
      <c r="E5" s="107" t="n">
        <v>-160.19320584</v>
      </c>
      <c r="F5" s="108" t="s">
        <v>358</v>
      </c>
      <c r="G5" s="107" t="n">
        <v>1.6136</v>
      </c>
      <c r="H5" s="107" t="n">
        <v>-160.19320584</v>
      </c>
      <c r="I5" s="109" t="n">
        <v>46937</v>
      </c>
      <c r="J5" s="107" t="n">
        <v>2</v>
      </c>
      <c r="K5" s="107" t="s">
        <v>359</v>
      </c>
      <c r="L5" s="107" t="s">
        <v>298</v>
      </c>
      <c r="M5" s="107" t="n">
        <v>1613600</v>
      </c>
      <c r="N5" s="107" t="n">
        <v>101.152</v>
      </c>
      <c r="O5" s="107" t="n">
        <v>992769</v>
      </c>
      <c r="P5" s="107" t="s">
        <v>366</v>
      </c>
      <c r="Q5" s="107" t="s">
        <v>367</v>
      </c>
      <c r="R5" s="107" t="n">
        <v>-0.0792363434929262</v>
      </c>
      <c r="S5" s="107" t="n">
        <v>-0.0185374485922177</v>
      </c>
      <c r="T5" s="107" t="n">
        <v>-164.44225716</v>
      </c>
      <c r="U5" s="107" t="n">
        <v>21069</v>
      </c>
      <c r="V5" s="108" t="s">
        <v>362</v>
      </c>
      <c r="W5" s="107" t="n">
        <v>10227</v>
      </c>
      <c r="X5" s="108" t="s">
        <v>111</v>
      </c>
      <c r="Y5" s="107" t="s">
        <v>365</v>
      </c>
      <c r="Z5" s="107" t="s">
        <v>368</v>
      </c>
      <c r="AA5" s="109" t="n">
        <v>45576</v>
      </c>
      <c r="AB5" s="107" t="n">
        <v>241011000001</v>
      </c>
      <c r="AC5" s="109" t="n">
        <v>45110</v>
      </c>
      <c r="AD5" s="109" t="n">
        <v>46937</v>
      </c>
      <c r="AE5" s="107" t="n">
        <v>4.875</v>
      </c>
      <c r="AF5" s="107" t="n">
        <v>1.654</v>
      </c>
      <c r="AG5" s="107" t="n">
        <v>642</v>
      </c>
      <c r="AH5" s="107" t="n">
        <v>1000000</v>
      </c>
      <c r="AI5" s="107" t="n">
        <v>4.533642</v>
      </c>
      <c r="AJ5" s="107" t="n">
        <v>101.152</v>
      </c>
      <c r="AK5" s="107" t="n">
        <v>3.449938</v>
      </c>
      <c r="AL5" s="107" t="n">
        <v>103.584054</v>
      </c>
      <c r="AM5" s="107" t="n">
        <v>5.2408</v>
      </c>
      <c r="AN5" s="107" t="n">
        <v>99.3824</v>
      </c>
      <c r="AO5" s="107" t="n">
        <v>1358.4</v>
      </c>
      <c r="AP5" s="107" t="n">
        <v>1</v>
      </c>
      <c r="AQ5" s="107" t="n">
        <v>993824</v>
      </c>
      <c r="AR5" s="107" t="n">
        <v>1350010522</v>
      </c>
      <c r="AS5" s="107" t="n">
        <v>1021920.97</v>
      </c>
      <c r="AT5" s="107" t="n">
        <v>1466354401</v>
      </c>
      <c r="AU5" s="107" t="n">
        <v>-27438.37</v>
      </c>
      <c r="AV5" s="107" t="n">
        <v>-37272281</v>
      </c>
      <c r="AW5" s="107" t="n">
        <v>0</v>
      </c>
      <c r="AX5" s="107" t="n">
        <v>0</v>
      </c>
      <c r="AY5" s="107" t="n">
        <v>0</v>
      </c>
      <c r="AZ5" s="107" t="n">
        <v>0</v>
      </c>
      <c r="BA5" s="107" t="n">
        <v>0</v>
      </c>
      <c r="BB5" s="107" t="n">
        <v>0</v>
      </c>
      <c r="BC5" s="107" t="n">
        <v>0</v>
      </c>
      <c r="BD5" s="107" t="n">
        <v>0</v>
      </c>
      <c r="BE5" s="107" t="n">
        <v>11781.25</v>
      </c>
      <c r="BF5" s="107" t="n">
        <v>16003650</v>
      </c>
      <c r="BG5" s="107" t="n">
        <v>2138.32</v>
      </c>
      <c r="BH5" s="107" t="n">
        <v>2904693</v>
      </c>
      <c r="BI5" s="107" t="n">
        <v>1006281.47</v>
      </c>
      <c r="BJ5" s="107" t="n">
        <v>1444325270</v>
      </c>
      <c r="BK5" s="107" t="n">
        <v>11131.23</v>
      </c>
      <c r="BL5" s="107" t="n">
        <v>15972118</v>
      </c>
      <c r="BM5" s="107" t="n">
        <v>-658.6</v>
      </c>
      <c r="BN5" s="107" t="n">
        <v>-945091</v>
      </c>
      <c r="BO5" s="107" t="s">
        <v>367</v>
      </c>
      <c r="BP5" s="2"/>
      <c r="BQ5" s="107" t="s">
        <v>369</v>
      </c>
      <c r="BR5" s="107" t="n">
        <v>-78126507</v>
      </c>
      <c r="BS5" s="107" t="n">
        <v>0</v>
      </c>
      <c r="BT5" s="107" t="n">
        <v>0</v>
      </c>
      <c r="BU5" s="107" t="n">
        <v>15639.5</v>
      </c>
      <c r="BV5" s="107" t="n">
        <v>22029131</v>
      </c>
      <c r="BW5" s="107" t="n">
        <v>11781.25</v>
      </c>
      <c r="BX5" s="107" t="n">
        <v>16003650</v>
      </c>
      <c r="BY5" s="107" t="n">
        <v>2138.32</v>
      </c>
      <c r="BZ5" s="107" t="n">
        <v>2904693</v>
      </c>
      <c r="CA5" s="107" t="n">
        <v>1434.9</v>
      </c>
      <c r="CB5" s="2"/>
      <c r="CC5" s="107" t="n">
        <v>0</v>
      </c>
      <c r="CD5" s="107" t="n">
        <v>99.37</v>
      </c>
      <c r="CE5" s="107" t="n">
        <v>99.41</v>
      </c>
      <c r="CF5" s="107" t="n">
        <v>99.37</v>
      </c>
      <c r="CG5" s="107" t="n">
        <v>1000000</v>
      </c>
      <c r="CH5" s="107" t="n">
        <v>1.6118</v>
      </c>
      <c r="CI5" s="107" t="n">
        <v>100.18</v>
      </c>
      <c r="CJ5" s="107" t="n">
        <v>100.27</v>
      </c>
      <c r="CK5" s="107" t="n">
        <v>100.22</v>
      </c>
      <c r="CL5" s="107" t="n">
        <v>500000</v>
      </c>
    </row>
    <row r="6" customFormat="false" ht="15" hidden="false" customHeight="false" outlineLevel="0" collapsed="false">
      <c r="A6" s="107" t="s">
        <v>370</v>
      </c>
      <c r="B6" s="107" t="n">
        <v>95.7632</v>
      </c>
      <c r="C6" s="107" t="n">
        <v>5.9437</v>
      </c>
      <c r="D6" s="107" t="n">
        <v>3.8734</v>
      </c>
      <c r="E6" s="107" t="n">
        <v>-3709.2917888</v>
      </c>
      <c r="F6" s="108" t="s">
        <v>358</v>
      </c>
      <c r="G6" s="107" t="n">
        <v>3.8734</v>
      </c>
      <c r="H6" s="107" t="n">
        <v>-3709.2917888</v>
      </c>
      <c r="I6" s="109" t="n">
        <v>47953</v>
      </c>
      <c r="J6" s="107" t="n">
        <v>5</v>
      </c>
      <c r="K6" s="108" t="s">
        <v>90</v>
      </c>
      <c r="L6" s="107" t="s">
        <v>298</v>
      </c>
      <c r="M6" s="107" t="n">
        <v>38734000</v>
      </c>
      <c r="N6" s="107" t="n">
        <v>99.5</v>
      </c>
      <c r="O6" s="107" t="n">
        <v>9576320</v>
      </c>
      <c r="P6" s="107" t="s">
        <v>371</v>
      </c>
      <c r="Q6" s="107" t="s">
        <v>106</v>
      </c>
      <c r="R6" s="107" t="n">
        <v>-0.133908462447219</v>
      </c>
      <c r="S6" s="107" t="n">
        <v>-0.0375557788944724</v>
      </c>
      <c r="T6" s="107" t="n">
        <v>-3819.515232</v>
      </c>
      <c r="U6" s="107" t="n">
        <v>21069</v>
      </c>
      <c r="V6" s="108" t="s">
        <v>362</v>
      </c>
      <c r="W6" s="107" t="n">
        <v>28096</v>
      </c>
      <c r="X6" s="108" t="s">
        <v>372</v>
      </c>
      <c r="Y6" s="107" t="s">
        <v>370</v>
      </c>
      <c r="Z6" s="107" t="s">
        <v>373</v>
      </c>
      <c r="AA6" s="109" t="n">
        <v>46177</v>
      </c>
      <c r="AB6" s="107" t="n">
        <v>260604000001</v>
      </c>
      <c r="AC6" s="109" t="n">
        <v>46127</v>
      </c>
      <c r="AD6" s="109" t="n">
        <v>47953</v>
      </c>
      <c r="AE6" s="107" t="n">
        <v>4.867</v>
      </c>
      <c r="AF6" s="107" t="n">
        <v>3.9865</v>
      </c>
      <c r="AG6" s="107" t="n">
        <v>1658</v>
      </c>
      <c r="AH6" s="107" t="n">
        <v>10000000</v>
      </c>
      <c r="AI6" s="107" t="n">
        <v>4.982641</v>
      </c>
      <c r="AJ6" s="107" t="n">
        <v>99.5</v>
      </c>
      <c r="AK6" s="107" t="n">
        <v>4.990829</v>
      </c>
      <c r="AL6" s="107" t="n">
        <v>101.730708</v>
      </c>
      <c r="AM6" s="107" t="n">
        <v>5.9103</v>
      </c>
      <c r="AN6" s="107" t="n">
        <v>95.8941</v>
      </c>
      <c r="AO6" s="107" t="n">
        <v>1358.4</v>
      </c>
      <c r="AP6" s="107" t="n">
        <v>1</v>
      </c>
      <c r="AQ6" s="107" t="n">
        <v>9589410</v>
      </c>
      <c r="AR6" s="107" t="n">
        <v>13026254544</v>
      </c>
      <c r="AS6" s="107" t="n">
        <v>9950000</v>
      </c>
      <c r="AT6" s="107" t="n">
        <v>15037435000</v>
      </c>
      <c r="AU6" s="107" t="n">
        <v>-360590</v>
      </c>
      <c r="AV6" s="107" t="n">
        <v>-489825456</v>
      </c>
      <c r="AW6" s="107" t="n">
        <v>66245.28</v>
      </c>
      <c r="AX6" s="107" t="n">
        <v>100116491</v>
      </c>
      <c r="AY6" s="107" t="n">
        <v>0</v>
      </c>
      <c r="AZ6" s="107" t="n">
        <v>0</v>
      </c>
      <c r="BA6" s="107" t="n">
        <v>0</v>
      </c>
      <c r="BB6" s="107" t="n">
        <v>0</v>
      </c>
      <c r="BC6" s="107" t="n">
        <v>0</v>
      </c>
      <c r="BD6" s="107" t="n">
        <v>0</v>
      </c>
      <c r="BE6" s="107" t="n">
        <v>156825.55</v>
      </c>
      <c r="BF6" s="107" t="n">
        <v>213031827</v>
      </c>
      <c r="BG6" s="107" t="n">
        <v>0</v>
      </c>
      <c r="BH6" s="107" t="n">
        <v>0</v>
      </c>
      <c r="BI6" s="107" t="n">
        <v>9950000</v>
      </c>
      <c r="BJ6" s="107" t="n">
        <v>15037435000</v>
      </c>
      <c r="BK6" s="107" t="n">
        <v>0</v>
      </c>
      <c r="BL6" s="107" t="n">
        <v>0</v>
      </c>
      <c r="BM6" s="107" t="n">
        <v>0</v>
      </c>
      <c r="BN6" s="107" t="n">
        <v>0</v>
      </c>
      <c r="BO6" s="107" t="s">
        <v>374</v>
      </c>
      <c r="BP6" s="2"/>
      <c r="BQ6" s="107" t="s">
        <v>106</v>
      </c>
      <c r="BR6" s="107" t="n">
        <v>-1521355000</v>
      </c>
      <c r="BS6" s="107" t="n">
        <v>-10128903</v>
      </c>
      <c r="BT6" s="107" t="n">
        <v>0</v>
      </c>
      <c r="BU6" s="107" t="n">
        <v>0</v>
      </c>
      <c r="BV6" s="107" t="n">
        <v>0</v>
      </c>
      <c r="BW6" s="107" t="n">
        <v>223070.83</v>
      </c>
      <c r="BX6" s="107" t="n">
        <v>303019415</v>
      </c>
      <c r="BY6" s="107" t="n">
        <v>0</v>
      </c>
      <c r="BZ6" s="107" t="n">
        <v>0</v>
      </c>
      <c r="CA6" s="107" t="n">
        <v>1511.3</v>
      </c>
      <c r="CB6" s="2"/>
      <c r="CC6" s="107" t="n">
        <v>0</v>
      </c>
      <c r="CD6" s="107" t="n">
        <v>95.89</v>
      </c>
      <c r="CE6" s="107" t="n">
        <v>95.9</v>
      </c>
      <c r="CF6" s="107" t="n">
        <v>95.89</v>
      </c>
      <c r="CG6" s="107" t="n">
        <v>0</v>
      </c>
      <c r="CH6" s="107" t="n">
        <v>3.8721</v>
      </c>
      <c r="CI6" s="107" t="n">
        <v>100.61</v>
      </c>
      <c r="CJ6" s="107" t="n">
        <v>100.68</v>
      </c>
      <c r="CK6" s="107" t="n">
        <v>100.67</v>
      </c>
      <c r="CL6" s="107" t="n">
        <v>1000000</v>
      </c>
    </row>
    <row r="7" customFormat="false" ht="15" hidden="false" customHeight="false" outlineLevel="0" collapsed="false">
      <c r="A7" s="107" t="s">
        <v>375</v>
      </c>
      <c r="B7" s="107" t="n">
        <v>99.5161</v>
      </c>
      <c r="C7" s="107" t="n">
        <v>5.4036</v>
      </c>
      <c r="D7" s="107" t="n">
        <v>1.3199</v>
      </c>
      <c r="E7" s="107" t="n">
        <v>-1313.5130039</v>
      </c>
      <c r="F7" s="108" t="s">
        <v>358</v>
      </c>
      <c r="G7" s="107" t="n">
        <v>1.3199</v>
      </c>
      <c r="H7" s="107" t="n">
        <v>-1313.5130039</v>
      </c>
      <c r="I7" s="109" t="n">
        <v>46808</v>
      </c>
      <c r="J7" s="107" t="n">
        <v>2</v>
      </c>
      <c r="K7" s="108" t="s">
        <v>90</v>
      </c>
      <c r="L7" s="107" t="s">
        <v>298</v>
      </c>
      <c r="M7" s="107" t="n">
        <v>13199000</v>
      </c>
      <c r="N7" s="107" t="n">
        <v>99.92</v>
      </c>
      <c r="O7" s="107" t="n">
        <v>9951610</v>
      </c>
      <c r="P7" s="107" t="s">
        <v>376</v>
      </c>
      <c r="Q7" s="107" t="s">
        <v>377</v>
      </c>
      <c r="R7" s="107" t="n">
        <v>-0.0752424065067682</v>
      </c>
      <c r="S7" s="107" t="n">
        <v>-0.00404223378702973</v>
      </c>
      <c r="T7" s="107" t="n">
        <v>-1349.0402516</v>
      </c>
      <c r="U7" s="107" t="n">
        <v>21069</v>
      </c>
      <c r="V7" s="108" t="s">
        <v>362</v>
      </c>
      <c r="W7" s="107" t="n">
        <v>28096</v>
      </c>
      <c r="X7" s="108" t="s">
        <v>372</v>
      </c>
      <c r="Y7" s="107" t="s">
        <v>375</v>
      </c>
      <c r="Z7" s="107" t="s">
        <v>378</v>
      </c>
      <c r="AA7" s="109" t="n">
        <v>45764</v>
      </c>
      <c r="AB7" s="107" t="n">
        <v>250417000001</v>
      </c>
      <c r="AC7" s="109" t="n">
        <v>45713</v>
      </c>
      <c r="AD7" s="109" t="n">
        <v>47174</v>
      </c>
      <c r="AE7" s="107" t="n">
        <v>5.086</v>
      </c>
      <c r="AF7" s="107" t="n">
        <v>1.3529</v>
      </c>
      <c r="AG7" s="107" t="n">
        <v>879</v>
      </c>
      <c r="AH7" s="107" t="n">
        <v>10000000</v>
      </c>
      <c r="AI7" s="107" t="n">
        <v>5.114</v>
      </c>
      <c r="AJ7" s="107" t="n">
        <v>99.92</v>
      </c>
      <c r="AK7" s="107" t="n">
        <v>4.20218</v>
      </c>
      <c r="AL7" s="107" t="n">
        <v>102.490372</v>
      </c>
      <c r="AM7" s="107" t="n">
        <v>5.3771</v>
      </c>
      <c r="AN7" s="107" t="n">
        <v>99.5579</v>
      </c>
      <c r="AO7" s="107" t="n">
        <v>1358.4</v>
      </c>
      <c r="AP7" s="107" t="n">
        <v>1</v>
      </c>
      <c r="AQ7" s="107" t="n">
        <v>9955790</v>
      </c>
      <c r="AR7" s="107" t="n">
        <v>13523945136</v>
      </c>
      <c r="AS7" s="107" t="n">
        <v>10199590</v>
      </c>
      <c r="AT7" s="107" t="n">
        <v>14635391691</v>
      </c>
      <c r="AU7" s="107" t="n">
        <v>-243800</v>
      </c>
      <c r="AV7" s="107" t="n">
        <v>-331177920</v>
      </c>
      <c r="AW7" s="107" t="n">
        <v>0</v>
      </c>
      <c r="AX7" s="107" t="n">
        <v>0</v>
      </c>
      <c r="AY7" s="107" t="n">
        <v>0</v>
      </c>
      <c r="AZ7" s="107" t="n">
        <v>0</v>
      </c>
      <c r="BA7" s="107" t="n">
        <v>0</v>
      </c>
      <c r="BB7" s="107" t="n">
        <v>0</v>
      </c>
      <c r="BC7" s="107" t="n">
        <v>0</v>
      </c>
      <c r="BD7" s="107" t="n">
        <v>0</v>
      </c>
      <c r="BE7" s="107" t="n">
        <v>49447.22</v>
      </c>
      <c r="BF7" s="107" t="n">
        <v>67169103</v>
      </c>
      <c r="BG7" s="107" t="n">
        <v>0</v>
      </c>
      <c r="BH7" s="107" t="n">
        <v>0</v>
      </c>
      <c r="BI7" s="107" t="n">
        <v>9992000</v>
      </c>
      <c r="BJ7" s="107" t="n">
        <v>14337520800</v>
      </c>
      <c r="BK7" s="107" t="n">
        <v>0</v>
      </c>
      <c r="BL7" s="107" t="n">
        <v>0</v>
      </c>
      <c r="BM7" s="107" t="n">
        <v>0</v>
      </c>
      <c r="BN7" s="107" t="n">
        <v>0</v>
      </c>
      <c r="BO7" s="107" t="s">
        <v>377</v>
      </c>
      <c r="BP7" s="2"/>
      <c r="BQ7" s="107" t="s">
        <v>106</v>
      </c>
      <c r="BR7" s="107" t="n">
        <v>-780268635</v>
      </c>
      <c r="BS7" s="107" t="n">
        <v>0</v>
      </c>
      <c r="BT7" s="107" t="n">
        <v>0</v>
      </c>
      <c r="BU7" s="107" t="n">
        <v>207590</v>
      </c>
      <c r="BV7" s="107" t="n">
        <v>297870891</v>
      </c>
      <c r="BW7" s="107" t="n">
        <v>49447.22</v>
      </c>
      <c r="BX7" s="107" t="n">
        <v>67169103</v>
      </c>
      <c r="BY7" s="107" t="n">
        <v>0</v>
      </c>
      <c r="BZ7" s="107" t="n">
        <v>0</v>
      </c>
      <c r="CA7" s="107" t="n">
        <v>1434.9</v>
      </c>
      <c r="CB7" s="2"/>
      <c r="CC7" s="107" t="n">
        <v>0</v>
      </c>
      <c r="CD7" s="107" t="n">
        <v>99.59</v>
      </c>
      <c r="CE7" s="107" t="n">
        <v>99.54</v>
      </c>
      <c r="CF7" s="107" t="n">
        <v>99.54</v>
      </c>
      <c r="CG7" s="107" t="n">
        <v>0</v>
      </c>
      <c r="CH7" s="107" t="n">
        <v>1.3175</v>
      </c>
      <c r="CI7" s="107" t="n">
        <v>100.73</v>
      </c>
      <c r="CJ7" s="107" t="n">
        <v>100.88</v>
      </c>
      <c r="CK7" s="107" t="n">
        <v>100.96</v>
      </c>
      <c r="CL7" s="107" t="n">
        <v>500000</v>
      </c>
    </row>
    <row r="8" customFormat="false" ht="15" hidden="false" customHeight="false" outlineLevel="0" collapsed="false">
      <c r="A8" s="107" t="s">
        <v>379</v>
      </c>
      <c r="B8" s="107" t="n">
        <v>94.2731</v>
      </c>
      <c r="C8" s="107" t="n">
        <v>5.9364</v>
      </c>
      <c r="D8" s="107" t="n">
        <v>3.8618</v>
      </c>
      <c r="E8" s="107" t="n">
        <v>-3640.6385758</v>
      </c>
      <c r="F8" s="108" t="s">
        <v>358</v>
      </c>
      <c r="G8" s="107" t="n">
        <v>3.8618</v>
      </c>
      <c r="H8" s="107" t="n">
        <v>-3640.6385758</v>
      </c>
      <c r="I8" s="109" t="n">
        <v>47903</v>
      </c>
      <c r="J8" s="107" t="n">
        <v>5</v>
      </c>
      <c r="K8" s="108" t="s">
        <v>90</v>
      </c>
      <c r="L8" s="107" t="s">
        <v>298</v>
      </c>
      <c r="M8" s="107" t="n">
        <v>38618000</v>
      </c>
      <c r="N8" s="107" t="n">
        <v>98.06</v>
      </c>
      <c r="O8" s="107" t="n">
        <v>9427310</v>
      </c>
      <c r="P8" s="107" t="s">
        <v>376</v>
      </c>
      <c r="Q8" s="107" t="s">
        <v>106</v>
      </c>
      <c r="R8" s="107" t="n">
        <v>-0.134864515584338</v>
      </c>
      <c r="S8" s="107" t="n">
        <v>-0.0386181929430961</v>
      </c>
      <c r="T8" s="107" t="n">
        <v>-3748.6755484</v>
      </c>
      <c r="U8" s="107" t="n">
        <v>21069</v>
      </c>
      <c r="V8" s="108" t="s">
        <v>362</v>
      </c>
      <c r="W8" s="107" t="n">
        <v>28096</v>
      </c>
      <c r="X8" s="108" t="s">
        <v>372</v>
      </c>
      <c r="Y8" s="107" t="s">
        <v>379</v>
      </c>
      <c r="Z8" s="107" t="s">
        <v>380</v>
      </c>
      <c r="AA8" s="109" t="n">
        <v>46177</v>
      </c>
      <c r="AB8" s="107" t="n">
        <v>260604000001</v>
      </c>
      <c r="AC8" s="109" t="n">
        <v>46077</v>
      </c>
      <c r="AD8" s="109" t="n">
        <v>48268</v>
      </c>
      <c r="AE8" s="107" t="n">
        <v>4.521</v>
      </c>
      <c r="AF8" s="107" t="n">
        <v>3.9739</v>
      </c>
      <c r="AG8" s="107" t="n">
        <v>1973</v>
      </c>
      <c r="AH8" s="107" t="n">
        <v>10000000</v>
      </c>
      <c r="AI8" s="107" t="n">
        <v>4.985503</v>
      </c>
      <c r="AJ8" s="107" t="n">
        <v>98.06</v>
      </c>
      <c r="AK8" s="107" t="n">
        <v>4.933688</v>
      </c>
      <c r="AL8" s="107" t="n">
        <v>98.5121</v>
      </c>
      <c r="AM8" s="107" t="n">
        <v>5.9159</v>
      </c>
      <c r="AN8" s="107" t="n">
        <v>94.3566</v>
      </c>
      <c r="AO8" s="107" t="n">
        <v>1358.4</v>
      </c>
      <c r="AP8" s="107" t="n">
        <v>1</v>
      </c>
      <c r="AQ8" s="107" t="n">
        <v>9435660</v>
      </c>
      <c r="AR8" s="107" t="n">
        <v>12817400544</v>
      </c>
      <c r="AS8" s="107" t="n">
        <v>9806000</v>
      </c>
      <c r="AT8" s="107" t="n">
        <v>14819807800</v>
      </c>
      <c r="AU8" s="107" t="n">
        <v>-370340</v>
      </c>
      <c r="AV8" s="107" t="n">
        <v>-503069856</v>
      </c>
      <c r="AW8" s="107" t="n">
        <v>0</v>
      </c>
      <c r="AX8" s="107" t="n">
        <v>0</v>
      </c>
      <c r="AY8" s="107" t="n">
        <v>0</v>
      </c>
      <c r="AZ8" s="107" t="n">
        <v>0</v>
      </c>
      <c r="BA8" s="107" t="n">
        <v>0</v>
      </c>
      <c r="BB8" s="107" t="n">
        <v>0</v>
      </c>
      <c r="BC8" s="107" t="n">
        <v>0</v>
      </c>
      <c r="BD8" s="107" t="n">
        <v>0</v>
      </c>
      <c r="BE8" s="107" t="n">
        <v>45210</v>
      </c>
      <c r="BF8" s="107" t="n">
        <v>61413264</v>
      </c>
      <c r="BG8" s="107" t="n">
        <v>0</v>
      </c>
      <c r="BH8" s="107" t="n">
        <v>0</v>
      </c>
      <c r="BI8" s="107" t="n">
        <v>9806000</v>
      </c>
      <c r="BJ8" s="107" t="n">
        <v>14819807800</v>
      </c>
      <c r="BK8" s="107" t="n">
        <v>0</v>
      </c>
      <c r="BL8" s="107" t="n">
        <v>0</v>
      </c>
      <c r="BM8" s="107" t="n">
        <v>0</v>
      </c>
      <c r="BN8" s="107" t="n">
        <v>0</v>
      </c>
      <c r="BO8" s="107" t="s">
        <v>377</v>
      </c>
      <c r="BP8" s="2"/>
      <c r="BQ8" s="107" t="s">
        <v>106</v>
      </c>
      <c r="BR8" s="107" t="n">
        <v>-1499337400</v>
      </c>
      <c r="BS8" s="107" t="n">
        <v>0</v>
      </c>
      <c r="BT8" s="107" t="n">
        <v>0</v>
      </c>
      <c r="BU8" s="107" t="n">
        <v>0</v>
      </c>
      <c r="BV8" s="107" t="n">
        <v>0</v>
      </c>
      <c r="BW8" s="107" t="n">
        <v>45210</v>
      </c>
      <c r="BX8" s="107" t="n">
        <v>61413264</v>
      </c>
      <c r="BY8" s="107" t="n">
        <v>0</v>
      </c>
      <c r="BZ8" s="107" t="n">
        <v>0</v>
      </c>
      <c r="CA8" s="107" t="n">
        <v>1511.3</v>
      </c>
      <c r="CB8" s="2"/>
      <c r="CC8" s="107" t="n">
        <v>0</v>
      </c>
      <c r="CD8" s="107" t="n">
        <v>94.36</v>
      </c>
      <c r="CE8" s="107" t="n">
        <v>94.31</v>
      </c>
      <c r="CF8" s="107" t="n">
        <v>94.4</v>
      </c>
      <c r="CG8" s="107" t="n">
        <v>0</v>
      </c>
      <c r="CH8" s="107" t="n">
        <v>3.8597</v>
      </c>
      <c r="CI8" s="107" t="n">
        <v>100.73</v>
      </c>
      <c r="CJ8" s="107" t="n">
        <v>100.88</v>
      </c>
      <c r="CK8" s="107" t="n">
        <v>100.96</v>
      </c>
      <c r="CL8" s="107" t="n">
        <v>500000</v>
      </c>
    </row>
    <row r="9" customFormat="false" ht="15" hidden="false" customHeight="false" outlineLevel="0" collapsed="false">
      <c r="A9" s="107" t="s">
        <v>381</v>
      </c>
      <c r="B9" s="107" t="n">
        <v>95.9898</v>
      </c>
      <c r="C9" s="107" t="n">
        <v>6.0351</v>
      </c>
      <c r="D9" s="107" t="n">
        <v>4.0511</v>
      </c>
      <c r="E9" s="107" t="n">
        <v>-1944.3213939</v>
      </c>
      <c r="F9" s="108" t="s">
        <v>358</v>
      </c>
      <c r="G9" s="107" t="n">
        <v>4.0511</v>
      </c>
      <c r="H9" s="107" t="n">
        <v>-1944.3213939</v>
      </c>
      <c r="I9" s="109" t="n">
        <v>48025</v>
      </c>
      <c r="J9" s="107" t="n">
        <v>5</v>
      </c>
      <c r="K9" s="108" t="s">
        <v>90</v>
      </c>
      <c r="L9" s="107" t="s">
        <v>298</v>
      </c>
      <c r="M9" s="107" t="n">
        <v>20255500</v>
      </c>
      <c r="N9" s="107" t="n">
        <v>99.104</v>
      </c>
      <c r="O9" s="107" t="n">
        <v>4799490</v>
      </c>
      <c r="P9" s="107" t="s">
        <v>376</v>
      </c>
      <c r="Q9" s="107" t="s">
        <v>377</v>
      </c>
      <c r="R9" s="107" t="n">
        <v>-0.0690714027367189</v>
      </c>
      <c r="S9" s="107" t="n">
        <v>-0.0314235550532773</v>
      </c>
      <c r="T9" s="107" t="n">
        <v>-2002.9711617</v>
      </c>
      <c r="U9" s="107" t="n">
        <v>21069</v>
      </c>
      <c r="V9" s="108" t="s">
        <v>362</v>
      </c>
      <c r="W9" s="107" t="n">
        <v>28096</v>
      </c>
      <c r="X9" s="108" t="s">
        <v>372</v>
      </c>
      <c r="Y9" s="107" t="s">
        <v>381</v>
      </c>
      <c r="Z9" s="107" t="s">
        <v>382</v>
      </c>
      <c r="AA9" s="109" t="n">
        <v>46248</v>
      </c>
      <c r="AB9" s="107" t="n">
        <v>260814000001</v>
      </c>
      <c r="AC9" s="109" t="n">
        <v>46199</v>
      </c>
      <c r="AD9" s="109" t="n">
        <v>48391</v>
      </c>
      <c r="AE9" s="107" t="n">
        <v>5.102</v>
      </c>
      <c r="AF9" s="107" t="n">
        <v>4.1691</v>
      </c>
      <c r="AG9" s="107" t="n">
        <v>2096</v>
      </c>
      <c r="AH9" s="107" t="n">
        <v>5000000</v>
      </c>
      <c r="AI9" s="107" t="n">
        <v>5.311812</v>
      </c>
      <c r="AJ9" s="107" t="n">
        <v>99.104</v>
      </c>
      <c r="AK9" s="107" t="n">
        <v>5.283333</v>
      </c>
      <c r="AL9" s="107" t="n">
        <v>100.436188</v>
      </c>
      <c r="AM9" s="107" t="n">
        <v>6.0067</v>
      </c>
      <c r="AN9" s="107" t="n">
        <v>96.1173</v>
      </c>
      <c r="AO9" s="107" t="n">
        <v>1358.4</v>
      </c>
      <c r="AP9" s="107" t="n">
        <v>1</v>
      </c>
      <c r="AQ9" s="107" t="n">
        <v>4805865</v>
      </c>
      <c r="AR9" s="107" t="n">
        <v>6528287016</v>
      </c>
      <c r="AS9" s="107" t="n">
        <v>4955200</v>
      </c>
      <c r="AT9" s="107" t="n">
        <v>7011608000</v>
      </c>
      <c r="AU9" s="107" t="n">
        <v>-149335</v>
      </c>
      <c r="AV9" s="107" t="n">
        <v>-202856664</v>
      </c>
      <c r="AW9" s="107" t="n">
        <v>34013.33</v>
      </c>
      <c r="AX9" s="107" t="n">
        <v>48128861</v>
      </c>
      <c r="AY9" s="107" t="n">
        <v>0</v>
      </c>
      <c r="AZ9" s="107" t="n">
        <v>0</v>
      </c>
      <c r="BA9" s="107" t="n">
        <v>0</v>
      </c>
      <c r="BB9" s="107" t="n">
        <v>0</v>
      </c>
      <c r="BC9" s="107" t="n">
        <v>0</v>
      </c>
      <c r="BD9" s="107" t="n">
        <v>0</v>
      </c>
      <c r="BE9" s="107" t="n">
        <v>32596.11</v>
      </c>
      <c r="BF9" s="107" t="n">
        <v>44278556</v>
      </c>
      <c r="BG9" s="107" t="n">
        <v>0</v>
      </c>
      <c r="BH9" s="107" t="n">
        <v>0</v>
      </c>
      <c r="BI9" s="107" t="n">
        <v>4955200</v>
      </c>
      <c r="BJ9" s="107" t="n">
        <v>7011608000</v>
      </c>
      <c r="BK9" s="107" t="n">
        <v>0</v>
      </c>
      <c r="BL9" s="107" t="n">
        <v>0</v>
      </c>
      <c r="BM9" s="107" t="n">
        <v>0</v>
      </c>
      <c r="BN9" s="107" t="n">
        <v>0</v>
      </c>
      <c r="BO9" s="107" t="s">
        <v>377</v>
      </c>
      <c r="BP9" s="2"/>
      <c r="BQ9" s="107" t="s">
        <v>106</v>
      </c>
      <c r="BR9" s="107" t="n">
        <v>-280464320</v>
      </c>
      <c r="BS9" s="107" t="n">
        <v>-1925154</v>
      </c>
      <c r="BT9" s="107" t="n">
        <v>0</v>
      </c>
      <c r="BU9" s="107" t="n">
        <v>0</v>
      </c>
      <c r="BV9" s="107" t="n">
        <v>0</v>
      </c>
      <c r="BW9" s="107" t="n">
        <v>66609.44</v>
      </c>
      <c r="BX9" s="107" t="n">
        <v>90482263</v>
      </c>
      <c r="BY9" s="107" t="n">
        <v>0</v>
      </c>
      <c r="BZ9" s="107" t="n">
        <v>0</v>
      </c>
      <c r="CA9" s="107" t="n">
        <v>1415</v>
      </c>
      <c r="CB9" s="2"/>
      <c r="CC9" s="107" t="n">
        <v>0</v>
      </c>
      <c r="CD9" s="107" t="n">
        <v>96.17</v>
      </c>
      <c r="CE9" s="107" t="n">
        <v>96.04</v>
      </c>
      <c r="CF9" s="107" t="n">
        <v>96.14</v>
      </c>
      <c r="CG9" s="107" t="n">
        <v>5000000</v>
      </c>
      <c r="CH9" s="107" t="n">
        <v>4.0475</v>
      </c>
      <c r="CI9" s="107" t="n">
        <v>97.34</v>
      </c>
      <c r="CJ9" s="107" t="n">
        <v>97.55</v>
      </c>
      <c r="CK9" s="107" t="n">
        <v>97.55</v>
      </c>
      <c r="CL9" s="107" t="n">
        <v>25000000</v>
      </c>
    </row>
    <row r="10" customFormat="false" ht="15" hidden="false" customHeight="false" outlineLevel="0" collapsed="false">
      <c r="A10" s="107" t="s">
        <v>383</v>
      </c>
      <c r="B10" s="107" t="n">
        <v>96.9826</v>
      </c>
      <c r="C10" s="107" t="n">
        <v>5.8369</v>
      </c>
      <c r="D10" s="107" t="n">
        <v>4.3078</v>
      </c>
      <c r="E10" s="107" t="n">
        <v>-2088.9082214</v>
      </c>
      <c r="F10" s="108" t="s">
        <v>358</v>
      </c>
      <c r="G10" s="107" t="n">
        <v>4.3078</v>
      </c>
      <c r="H10" s="107" t="n">
        <v>-2088.9082214</v>
      </c>
      <c r="I10" s="109" t="n">
        <v>48167</v>
      </c>
      <c r="J10" s="107" t="n">
        <v>5</v>
      </c>
      <c r="K10" s="108" t="s">
        <v>384</v>
      </c>
      <c r="L10" s="107" t="s">
        <v>298</v>
      </c>
      <c r="M10" s="107" t="n">
        <v>21539000</v>
      </c>
      <c r="N10" s="107" t="n">
        <v>101.817</v>
      </c>
      <c r="O10" s="107" t="n">
        <v>4849130</v>
      </c>
      <c r="P10" s="107" t="s">
        <v>385</v>
      </c>
      <c r="Q10" s="107" t="s">
        <v>106</v>
      </c>
      <c r="R10" s="107" t="n">
        <v>-0.152190161683621</v>
      </c>
      <c r="S10" s="107" t="n">
        <v>-0.0474812654075448</v>
      </c>
      <c r="T10" s="107" t="n">
        <v>-2149.8617855</v>
      </c>
      <c r="U10" s="107" t="n">
        <v>21069</v>
      </c>
      <c r="V10" s="108" t="s">
        <v>362</v>
      </c>
      <c r="W10" s="107" t="n">
        <v>28096</v>
      </c>
      <c r="X10" s="108" t="s">
        <v>372</v>
      </c>
      <c r="Y10" s="107" t="s">
        <v>383</v>
      </c>
      <c r="Z10" s="107" t="s">
        <v>386</v>
      </c>
      <c r="AA10" s="109" t="n">
        <v>46183</v>
      </c>
      <c r="AB10" s="107" t="n">
        <v>260610000001</v>
      </c>
      <c r="AC10" s="109" t="n">
        <v>45427</v>
      </c>
      <c r="AD10" s="109" t="n">
        <v>48167</v>
      </c>
      <c r="AE10" s="107" t="n">
        <v>5.15</v>
      </c>
      <c r="AF10" s="107" t="n">
        <v>4.432</v>
      </c>
      <c r="AG10" s="107" t="n">
        <v>1872</v>
      </c>
      <c r="AH10" s="107" t="n">
        <v>5000000</v>
      </c>
      <c r="AI10" s="107" t="n">
        <v>4.756098</v>
      </c>
      <c r="AJ10" s="107" t="n">
        <v>101.817</v>
      </c>
      <c r="AK10" s="107" t="n">
        <v>4.743692</v>
      </c>
      <c r="AL10" s="107" t="n">
        <v>103.755015</v>
      </c>
      <c r="AM10" s="107" t="n">
        <v>5.7879</v>
      </c>
      <c r="AN10" s="107" t="n">
        <v>97.195</v>
      </c>
      <c r="AO10" s="107" t="n">
        <v>1358.4</v>
      </c>
      <c r="AP10" s="107" t="n">
        <v>1</v>
      </c>
      <c r="AQ10" s="107" t="n">
        <v>4859750</v>
      </c>
      <c r="AR10" s="107" t="n">
        <v>6601484400</v>
      </c>
      <c r="AS10" s="107" t="n">
        <v>5088741.95</v>
      </c>
      <c r="AT10" s="107" t="n">
        <v>7778650945</v>
      </c>
      <c r="AU10" s="107" t="n">
        <v>-228991.95</v>
      </c>
      <c r="AV10" s="107" t="n">
        <v>-311062665</v>
      </c>
      <c r="AW10" s="107" t="n">
        <v>17881.94</v>
      </c>
      <c r="AX10" s="107" t="n">
        <v>27334333</v>
      </c>
      <c r="AY10" s="107" t="n">
        <v>2108.05</v>
      </c>
      <c r="AZ10" s="107" t="n">
        <v>3222365</v>
      </c>
      <c r="BA10" s="107" t="n">
        <v>0</v>
      </c>
      <c r="BB10" s="107" t="n">
        <v>0</v>
      </c>
      <c r="BC10" s="107" t="n">
        <v>0</v>
      </c>
      <c r="BD10" s="107" t="n">
        <v>0</v>
      </c>
      <c r="BE10" s="107" t="n">
        <v>78680.56</v>
      </c>
      <c r="BF10" s="107" t="n">
        <v>106879673</v>
      </c>
      <c r="BG10" s="107" t="n">
        <v>338.25</v>
      </c>
      <c r="BH10" s="107" t="n">
        <v>459478</v>
      </c>
      <c r="BI10" s="107" t="n">
        <v>5088741.95</v>
      </c>
      <c r="BJ10" s="107" t="n">
        <v>7778650945</v>
      </c>
      <c r="BK10" s="107" t="n">
        <v>0</v>
      </c>
      <c r="BL10" s="107" t="n">
        <v>0</v>
      </c>
      <c r="BM10" s="107" t="n">
        <v>0</v>
      </c>
      <c r="BN10" s="107" t="n">
        <v>0</v>
      </c>
      <c r="BO10" s="107" t="s">
        <v>374</v>
      </c>
      <c r="BP10" s="2"/>
      <c r="BQ10" s="107" t="s">
        <v>374</v>
      </c>
      <c r="BR10" s="107" t="n">
        <v>-866103880</v>
      </c>
      <c r="BS10" s="107" t="n">
        <v>-3402296</v>
      </c>
      <c r="BT10" s="107" t="n">
        <v>0</v>
      </c>
      <c r="BU10" s="107" t="n">
        <v>0</v>
      </c>
      <c r="BV10" s="107" t="n">
        <v>0</v>
      </c>
      <c r="BW10" s="107" t="n">
        <v>96562.5</v>
      </c>
      <c r="BX10" s="107" t="n">
        <v>131170500</v>
      </c>
      <c r="BY10" s="107" t="n">
        <v>2446.3</v>
      </c>
      <c r="BZ10" s="107" t="n">
        <v>3323053</v>
      </c>
      <c r="CA10" s="107" t="n">
        <v>1528.6</v>
      </c>
      <c r="CB10" s="2"/>
      <c r="CC10" s="107" t="n">
        <v>0</v>
      </c>
      <c r="CD10" s="107" t="n">
        <v>97.2</v>
      </c>
      <c r="CE10" s="107" t="n">
        <v>97.18</v>
      </c>
      <c r="CF10" s="107" t="n">
        <v>97.2</v>
      </c>
      <c r="CG10" s="107" t="n">
        <v>0</v>
      </c>
      <c r="CH10" s="107" t="n">
        <v>4.3073</v>
      </c>
      <c r="CI10" s="107" t="n">
        <v>98.76</v>
      </c>
      <c r="CJ10" s="107" t="n">
        <v>98.89</v>
      </c>
      <c r="CK10" s="107" t="n">
        <v>98.84</v>
      </c>
      <c r="CL10" s="107" t="n">
        <v>5200000</v>
      </c>
    </row>
    <row r="11" customFormat="false" ht="15" hidden="false" customHeight="false" outlineLevel="0" collapsed="false">
      <c r="A11" s="107" t="s">
        <v>383</v>
      </c>
      <c r="B11" s="107" t="n">
        <v>96.9826</v>
      </c>
      <c r="C11" s="107" t="n">
        <v>5.8369</v>
      </c>
      <c r="D11" s="107" t="n">
        <v>4.3078</v>
      </c>
      <c r="E11" s="107" t="n">
        <v>-1253.34493284</v>
      </c>
      <c r="F11" s="108" t="s">
        <v>358</v>
      </c>
      <c r="G11" s="107" t="n">
        <v>4.3078</v>
      </c>
      <c r="H11" s="107" t="n">
        <v>-1253.34493284</v>
      </c>
      <c r="I11" s="109" t="n">
        <v>48167</v>
      </c>
      <c r="J11" s="107" t="n">
        <v>5</v>
      </c>
      <c r="K11" s="108" t="s">
        <v>384</v>
      </c>
      <c r="L11" s="107" t="s">
        <v>298</v>
      </c>
      <c r="M11" s="107" t="n">
        <v>12923400</v>
      </c>
      <c r="N11" s="107" t="n">
        <v>101.87</v>
      </c>
      <c r="O11" s="107" t="n">
        <v>2909478</v>
      </c>
      <c r="P11" s="107" t="s">
        <v>385</v>
      </c>
      <c r="Q11" s="107" t="s">
        <v>106</v>
      </c>
      <c r="R11" s="107" t="n">
        <v>-0.15263143512977</v>
      </c>
      <c r="S11" s="107" t="n">
        <v>-0.0479768332188083</v>
      </c>
      <c r="T11" s="107" t="n">
        <v>-1289.9170713</v>
      </c>
      <c r="U11" s="107" t="n">
        <v>21069</v>
      </c>
      <c r="V11" s="108" t="s">
        <v>362</v>
      </c>
      <c r="W11" s="107" t="n">
        <v>28096</v>
      </c>
      <c r="X11" s="108" t="s">
        <v>372</v>
      </c>
      <c r="Y11" s="107" t="s">
        <v>383</v>
      </c>
      <c r="Z11" s="107" t="s">
        <v>386</v>
      </c>
      <c r="AA11" s="109" t="n">
        <v>46183</v>
      </c>
      <c r="AB11" s="107" t="n">
        <v>260610000002</v>
      </c>
      <c r="AC11" s="109" t="n">
        <v>45427</v>
      </c>
      <c r="AD11" s="109" t="n">
        <v>48167</v>
      </c>
      <c r="AE11" s="107" t="n">
        <v>5.15</v>
      </c>
      <c r="AF11" s="107" t="n">
        <v>4.432</v>
      </c>
      <c r="AG11" s="107" t="n">
        <v>1872</v>
      </c>
      <c r="AH11" s="107" t="n">
        <v>3000000</v>
      </c>
      <c r="AI11" s="107" t="n">
        <v>4.744723</v>
      </c>
      <c r="AJ11" s="107" t="n">
        <v>101.87</v>
      </c>
      <c r="AK11" s="107" t="n">
        <v>4.732053</v>
      </c>
      <c r="AL11" s="107" t="n">
        <v>103.808015</v>
      </c>
      <c r="AM11" s="107" t="n">
        <v>5.7879</v>
      </c>
      <c r="AN11" s="107" t="n">
        <v>97.195</v>
      </c>
      <c r="AO11" s="107" t="n">
        <v>1358.4</v>
      </c>
      <c r="AP11" s="107" t="n">
        <v>1</v>
      </c>
      <c r="AQ11" s="107" t="n">
        <v>2915850</v>
      </c>
      <c r="AR11" s="107" t="n">
        <v>3960890640</v>
      </c>
      <c r="AS11" s="107" t="n">
        <v>3054835.17</v>
      </c>
      <c r="AT11" s="107" t="n">
        <v>4669621041</v>
      </c>
      <c r="AU11" s="107" t="n">
        <v>-138985.17</v>
      </c>
      <c r="AV11" s="107" t="n">
        <v>-188797455</v>
      </c>
      <c r="AW11" s="107" t="n">
        <v>10729.17</v>
      </c>
      <c r="AX11" s="107" t="n">
        <v>16400609</v>
      </c>
      <c r="AY11" s="107" t="n">
        <v>1264.83</v>
      </c>
      <c r="AZ11" s="107" t="n">
        <v>1933419</v>
      </c>
      <c r="BA11" s="107" t="n">
        <v>0</v>
      </c>
      <c r="BB11" s="107" t="n">
        <v>0</v>
      </c>
      <c r="BC11" s="107" t="n">
        <v>0</v>
      </c>
      <c r="BD11" s="107" t="n">
        <v>0</v>
      </c>
      <c r="BE11" s="107" t="n">
        <v>47208.33</v>
      </c>
      <c r="BF11" s="107" t="n">
        <v>64127795</v>
      </c>
      <c r="BG11" s="107" t="n">
        <v>202.95</v>
      </c>
      <c r="BH11" s="107" t="n">
        <v>275687</v>
      </c>
      <c r="BI11" s="107" t="n">
        <v>3054835.17</v>
      </c>
      <c r="BJ11" s="107" t="n">
        <v>4669621041</v>
      </c>
      <c r="BK11" s="107" t="n">
        <v>0</v>
      </c>
      <c r="BL11" s="107" t="n">
        <v>0</v>
      </c>
      <c r="BM11" s="107" t="n">
        <v>0</v>
      </c>
      <c r="BN11" s="107" t="n">
        <v>0</v>
      </c>
      <c r="BO11" s="107" t="s">
        <v>374</v>
      </c>
      <c r="BP11" s="2"/>
      <c r="BQ11" s="107" t="s">
        <v>374</v>
      </c>
      <c r="BR11" s="107" t="n">
        <v>-519932946</v>
      </c>
      <c r="BS11" s="107" t="n">
        <v>-2041378</v>
      </c>
      <c r="BT11" s="107" t="n">
        <v>0</v>
      </c>
      <c r="BU11" s="107" t="n">
        <v>0</v>
      </c>
      <c r="BV11" s="107" t="n">
        <v>0</v>
      </c>
      <c r="BW11" s="107" t="n">
        <v>57937.5</v>
      </c>
      <c r="BX11" s="107" t="n">
        <v>78702300</v>
      </c>
      <c r="BY11" s="107" t="n">
        <v>1467.78</v>
      </c>
      <c r="BZ11" s="107" t="n">
        <v>1993832</v>
      </c>
      <c r="CA11" s="107" t="n">
        <v>1528.6</v>
      </c>
      <c r="CB11" s="2"/>
      <c r="CC11" s="107" t="n">
        <v>0</v>
      </c>
      <c r="CD11" s="107" t="n">
        <v>97.2</v>
      </c>
      <c r="CE11" s="107" t="n">
        <v>97.18</v>
      </c>
      <c r="CF11" s="107" t="n">
        <v>97.2</v>
      </c>
      <c r="CG11" s="107" t="n">
        <v>0</v>
      </c>
      <c r="CH11" s="107" t="n">
        <v>4.3073</v>
      </c>
      <c r="CI11" s="107" t="n">
        <v>98.76</v>
      </c>
      <c r="CJ11" s="107" t="n">
        <v>98.89</v>
      </c>
      <c r="CK11" s="107" t="n">
        <v>98.84</v>
      </c>
      <c r="CL11" s="107" t="n">
        <v>3066000</v>
      </c>
    </row>
    <row r="12" customFormat="false" ht="15" hidden="false" customHeight="false" outlineLevel="0" collapsed="false">
      <c r="A12" s="107" t="s">
        <v>383</v>
      </c>
      <c r="B12" s="107" t="n">
        <v>96.9826</v>
      </c>
      <c r="C12" s="107" t="n">
        <v>5.8369</v>
      </c>
      <c r="D12" s="107" t="n">
        <v>4.3078</v>
      </c>
      <c r="E12" s="107" t="n">
        <v>-835.56328856</v>
      </c>
      <c r="F12" s="108" t="s">
        <v>358</v>
      </c>
      <c r="G12" s="107" t="n">
        <v>4.3078</v>
      </c>
      <c r="H12" s="107" t="n">
        <v>-835.56328856</v>
      </c>
      <c r="I12" s="109" t="n">
        <v>48167</v>
      </c>
      <c r="J12" s="107" t="n">
        <v>5</v>
      </c>
      <c r="K12" s="108" t="s">
        <v>384</v>
      </c>
      <c r="L12" s="107" t="s">
        <v>298</v>
      </c>
      <c r="M12" s="107" t="n">
        <v>8615600</v>
      </c>
      <c r="N12" s="107" t="n">
        <v>99.961</v>
      </c>
      <c r="O12" s="107" t="n">
        <v>1939652</v>
      </c>
      <c r="P12" s="107" t="s">
        <v>385</v>
      </c>
      <c r="Q12" s="107" t="s">
        <v>106</v>
      </c>
      <c r="R12" s="107" t="n">
        <v>-0.0768029922913096</v>
      </c>
      <c r="S12" s="107" t="n">
        <v>-0.0297956202919137</v>
      </c>
      <c r="T12" s="107" t="n">
        <v>-859.9447142</v>
      </c>
      <c r="U12" s="107" t="n">
        <v>21069</v>
      </c>
      <c r="V12" s="108" t="s">
        <v>362</v>
      </c>
      <c r="W12" s="107" t="n">
        <v>28096</v>
      </c>
      <c r="X12" s="108" t="s">
        <v>372</v>
      </c>
      <c r="Y12" s="107" t="s">
        <v>383</v>
      </c>
      <c r="Z12" s="107" t="s">
        <v>386</v>
      </c>
      <c r="AA12" s="109" t="n">
        <v>46239</v>
      </c>
      <c r="AB12" s="107" t="n">
        <v>260805000001</v>
      </c>
      <c r="AC12" s="109" t="n">
        <v>45427</v>
      </c>
      <c r="AD12" s="109" t="n">
        <v>48167</v>
      </c>
      <c r="AE12" s="107" t="n">
        <v>5.15</v>
      </c>
      <c r="AF12" s="107" t="n">
        <v>4.432</v>
      </c>
      <c r="AG12" s="107" t="n">
        <v>1872</v>
      </c>
      <c r="AH12" s="107" t="n">
        <v>2000000</v>
      </c>
      <c r="AI12" s="107" t="n">
        <v>5.156765</v>
      </c>
      <c r="AJ12" s="107" t="n">
        <v>99.961</v>
      </c>
      <c r="AK12" s="107" t="n">
        <v>5.156614</v>
      </c>
      <c r="AL12" s="107" t="n">
        <v>101.895632</v>
      </c>
      <c r="AM12" s="107" t="n">
        <v>5.7879</v>
      </c>
      <c r="AN12" s="107" t="n">
        <v>97.195</v>
      </c>
      <c r="AO12" s="107" t="n">
        <v>1358.4</v>
      </c>
      <c r="AP12" s="107" t="n">
        <v>1</v>
      </c>
      <c r="AQ12" s="107" t="n">
        <v>1943900</v>
      </c>
      <c r="AR12" s="107" t="n">
        <v>2640593760</v>
      </c>
      <c r="AS12" s="107" t="n">
        <v>1998309.13</v>
      </c>
      <c r="AT12" s="107" t="n">
        <v>2857382225</v>
      </c>
      <c r="AU12" s="107" t="n">
        <v>-54409.13</v>
      </c>
      <c r="AV12" s="107" t="n">
        <v>-73909362</v>
      </c>
      <c r="AW12" s="107" t="n">
        <v>22888.89</v>
      </c>
      <c r="AX12" s="107" t="n">
        <v>32728823</v>
      </c>
      <c r="AY12" s="107" t="n">
        <v>910.87</v>
      </c>
      <c r="AZ12" s="107" t="n">
        <v>1302453</v>
      </c>
      <c r="BA12" s="107" t="n">
        <v>0</v>
      </c>
      <c r="BB12" s="107" t="n">
        <v>0</v>
      </c>
      <c r="BC12" s="107" t="n">
        <v>0</v>
      </c>
      <c r="BD12" s="107" t="n">
        <v>0</v>
      </c>
      <c r="BE12" s="107" t="n">
        <v>15736.11</v>
      </c>
      <c r="BF12" s="107" t="n">
        <v>21375932</v>
      </c>
      <c r="BG12" s="107" t="n">
        <v>67.65</v>
      </c>
      <c r="BH12" s="107" t="n">
        <v>91895</v>
      </c>
      <c r="BI12" s="107" t="n">
        <v>1998309.13</v>
      </c>
      <c r="BJ12" s="107" t="n">
        <v>2857382225</v>
      </c>
      <c r="BK12" s="107" t="n">
        <v>0</v>
      </c>
      <c r="BL12" s="107" t="n">
        <v>0</v>
      </c>
      <c r="BM12" s="107" t="n">
        <v>0</v>
      </c>
      <c r="BN12" s="107" t="n">
        <v>0</v>
      </c>
      <c r="BO12" s="107" t="s">
        <v>374</v>
      </c>
      <c r="BP12" s="2"/>
      <c r="BQ12" s="107" t="s">
        <v>374</v>
      </c>
      <c r="BR12" s="107" t="n">
        <v>-142879103</v>
      </c>
      <c r="BS12" s="107" t="n">
        <v>-1701682</v>
      </c>
      <c r="BT12" s="107" t="n">
        <v>0</v>
      </c>
      <c r="BU12" s="107" t="n">
        <v>0</v>
      </c>
      <c r="BV12" s="107" t="n">
        <v>0</v>
      </c>
      <c r="BW12" s="107" t="n">
        <v>38625</v>
      </c>
      <c r="BX12" s="107" t="n">
        <v>52468200</v>
      </c>
      <c r="BY12" s="107" t="n">
        <v>978.52</v>
      </c>
      <c r="BZ12" s="107" t="n">
        <v>1329221</v>
      </c>
      <c r="CA12" s="107" t="n">
        <v>1429.9</v>
      </c>
      <c r="CB12" s="2"/>
      <c r="CC12" s="107" t="n">
        <v>0</v>
      </c>
      <c r="CD12" s="107" t="n">
        <v>97.2</v>
      </c>
      <c r="CE12" s="107" t="n">
        <v>97.18</v>
      </c>
      <c r="CF12" s="107" t="n">
        <v>97.2</v>
      </c>
      <c r="CG12" s="107" t="n">
        <v>2000000</v>
      </c>
      <c r="CH12" s="107" t="n">
        <v>4.3073</v>
      </c>
      <c r="CI12" s="107" t="n">
        <v>100.73</v>
      </c>
      <c r="CJ12" s="107" t="n">
        <v>100.9</v>
      </c>
      <c r="CK12" s="107" t="n">
        <v>100.92</v>
      </c>
      <c r="CL12" s="107" t="n">
        <v>1000000</v>
      </c>
    </row>
    <row r="13" customFormat="false" ht="15" hidden="false" customHeight="false" outlineLevel="0" collapsed="false">
      <c r="A13" s="107" t="s">
        <v>387</v>
      </c>
      <c r="B13" s="107" t="n">
        <v>95.8465</v>
      </c>
      <c r="C13" s="107" t="n">
        <v>5.9493</v>
      </c>
      <c r="D13" s="107" t="n">
        <v>4.0056</v>
      </c>
      <c r="E13" s="107" t="n">
        <v>-3839.227404</v>
      </c>
      <c r="F13" s="108" t="s">
        <v>358</v>
      </c>
      <c r="G13" s="107" t="n">
        <v>4.0056</v>
      </c>
      <c r="H13" s="107" t="n">
        <v>-3839.227404</v>
      </c>
      <c r="I13" s="109" t="n">
        <v>48002</v>
      </c>
      <c r="J13" s="107" t="n">
        <v>5</v>
      </c>
      <c r="K13" s="108" t="s">
        <v>384</v>
      </c>
      <c r="L13" s="107" t="s">
        <v>298</v>
      </c>
      <c r="M13" s="107" t="n">
        <v>40056000</v>
      </c>
      <c r="N13" s="107" t="n">
        <v>99.859</v>
      </c>
      <c r="O13" s="107" t="n">
        <v>9584650</v>
      </c>
      <c r="P13" s="107" t="s">
        <v>388</v>
      </c>
      <c r="Q13" s="107" t="s">
        <v>377</v>
      </c>
      <c r="R13" s="107" t="n">
        <v>-0.138721992837031</v>
      </c>
      <c r="S13" s="107" t="n">
        <v>-0.0401816561351505</v>
      </c>
      <c r="T13" s="107" t="n">
        <v>-3953.476432</v>
      </c>
      <c r="U13" s="107" t="n">
        <v>21069</v>
      </c>
      <c r="V13" s="108" t="s">
        <v>362</v>
      </c>
      <c r="W13" s="107" t="n">
        <v>28096</v>
      </c>
      <c r="X13" s="108" t="s">
        <v>372</v>
      </c>
      <c r="Y13" s="107" t="s">
        <v>387</v>
      </c>
      <c r="Z13" s="107" t="s">
        <v>389</v>
      </c>
      <c r="AA13" s="109" t="n">
        <v>46178</v>
      </c>
      <c r="AB13" s="107" t="n">
        <v>260605000001</v>
      </c>
      <c r="AC13" s="109" t="n">
        <v>46176</v>
      </c>
      <c r="AD13" s="109" t="n">
        <v>48368</v>
      </c>
      <c r="AE13" s="107" t="n">
        <v>4.972</v>
      </c>
      <c r="AF13" s="107" t="n">
        <v>4.1224</v>
      </c>
      <c r="AG13" s="107" t="n">
        <v>2073</v>
      </c>
      <c r="AH13" s="107" t="n">
        <v>10000000</v>
      </c>
      <c r="AI13" s="107" t="n">
        <v>5.004179</v>
      </c>
      <c r="AJ13" s="107" t="n">
        <v>99.859</v>
      </c>
      <c r="AK13" s="107" t="n">
        <v>4.999414</v>
      </c>
      <c r="AL13" s="107" t="n">
        <v>101.4749</v>
      </c>
      <c r="AM13" s="107" t="n">
        <v>5.9297</v>
      </c>
      <c r="AN13" s="107" t="n">
        <v>95.9302</v>
      </c>
      <c r="AO13" s="107" t="n">
        <v>1358.4</v>
      </c>
      <c r="AP13" s="107" t="n">
        <v>1</v>
      </c>
      <c r="AQ13" s="107" t="n">
        <v>9593020</v>
      </c>
      <c r="AR13" s="107" t="n">
        <v>13031158368</v>
      </c>
      <c r="AS13" s="107" t="n">
        <v>9985900</v>
      </c>
      <c r="AT13" s="107" t="n">
        <v>15134630040</v>
      </c>
      <c r="AU13" s="107" t="n">
        <v>-392880</v>
      </c>
      <c r="AV13" s="107" t="n">
        <v>-533688192</v>
      </c>
      <c r="AW13" s="107" t="n">
        <v>2762.22</v>
      </c>
      <c r="AX13" s="107" t="n">
        <v>4186420</v>
      </c>
      <c r="AY13" s="107" t="n">
        <v>0</v>
      </c>
      <c r="AZ13" s="107" t="n">
        <v>0</v>
      </c>
      <c r="BA13" s="107" t="n">
        <v>0</v>
      </c>
      <c r="BB13" s="107" t="n">
        <v>0</v>
      </c>
      <c r="BC13" s="107" t="n">
        <v>0</v>
      </c>
      <c r="BD13" s="107" t="n">
        <v>0</v>
      </c>
      <c r="BE13" s="107" t="n">
        <v>158827.78</v>
      </c>
      <c r="BF13" s="107" t="n">
        <v>215751656</v>
      </c>
      <c r="BG13" s="107" t="n">
        <v>0</v>
      </c>
      <c r="BH13" s="107" t="n">
        <v>0</v>
      </c>
      <c r="BI13" s="107" t="n">
        <v>9985900</v>
      </c>
      <c r="BJ13" s="107" t="n">
        <v>15134630040</v>
      </c>
      <c r="BK13" s="107" t="n">
        <v>0</v>
      </c>
      <c r="BL13" s="107" t="n">
        <v>0</v>
      </c>
      <c r="BM13" s="107" t="n">
        <v>0</v>
      </c>
      <c r="BN13" s="107" t="n">
        <v>0</v>
      </c>
      <c r="BO13" s="107" t="s">
        <v>377</v>
      </c>
      <c r="BP13" s="2"/>
      <c r="BQ13" s="107" t="s">
        <v>106</v>
      </c>
      <c r="BR13" s="107" t="n">
        <v>-1569783480</v>
      </c>
      <c r="BS13" s="107" t="n">
        <v>-434220</v>
      </c>
      <c r="BT13" s="107" t="n">
        <v>0</v>
      </c>
      <c r="BU13" s="107" t="n">
        <v>0</v>
      </c>
      <c r="BV13" s="107" t="n">
        <v>0</v>
      </c>
      <c r="BW13" s="107" t="n">
        <v>161590</v>
      </c>
      <c r="BX13" s="107" t="n">
        <v>219503856</v>
      </c>
      <c r="BY13" s="107" t="n">
        <v>0</v>
      </c>
      <c r="BZ13" s="107" t="n">
        <v>0</v>
      </c>
      <c r="CA13" s="107" t="n">
        <v>1515.6</v>
      </c>
      <c r="CB13" s="2"/>
      <c r="CC13" s="107" t="n">
        <v>0</v>
      </c>
      <c r="CD13" s="107" t="n">
        <v>95.93</v>
      </c>
      <c r="CE13" s="107" t="n">
        <v>95.94</v>
      </c>
      <c r="CF13" s="107" t="n">
        <v>95.91</v>
      </c>
      <c r="CG13" s="107" t="n">
        <v>0</v>
      </c>
      <c r="CH13" s="107" t="n">
        <v>4.0037</v>
      </c>
      <c r="CI13" s="107" t="n">
        <v>100.73</v>
      </c>
      <c r="CJ13" s="107" t="n">
        <v>100.9</v>
      </c>
      <c r="CK13" s="107" t="n">
        <v>100.92</v>
      </c>
      <c r="CL13" s="107" t="n">
        <v>3000000</v>
      </c>
    </row>
    <row r="14" customFormat="false" ht="15" hidden="false" customHeight="false" outlineLevel="0" collapsed="false">
      <c r="A14" s="107" t="s">
        <v>387</v>
      </c>
      <c r="B14" s="107" t="n">
        <v>95.8465</v>
      </c>
      <c r="C14" s="107" t="n">
        <v>5.9493</v>
      </c>
      <c r="D14" s="107" t="n">
        <v>4.0056</v>
      </c>
      <c r="E14" s="107" t="n">
        <v>-3839.227404</v>
      </c>
      <c r="F14" s="108" t="s">
        <v>358</v>
      </c>
      <c r="G14" s="107" t="n">
        <v>4.0056</v>
      </c>
      <c r="H14" s="107" t="n">
        <v>-3839.227404</v>
      </c>
      <c r="I14" s="109" t="n">
        <v>48002</v>
      </c>
      <c r="J14" s="107" t="n">
        <v>5</v>
      </c>
      <c r="K14" s="108" t="s">
        <v>384</v>
      </c>
      <c r="L14" s="107" t="s">
        <v>298</v>
      </c>
      <c r="M14" s="107" t="n">
        <v>40056000</v>
      </c>
      <c r="N14" s="107" t="n">
        <v>99.913</v>
      </c>
      <c r="O14" s="107" t="n">
        <v>9584650</v>
      </c>
      <c r="P14" s="107" t="s">
        <v>388</v>
      </c>
      <c r="Q14" s="107" t="s">
        <v>377</v>
      </c>
      <c r="R14" s="107" t="n">
        <v>-0.13918748794164</v>
      </c>
      <c r="S14" s="107" t="n">
        <v>-0.0407004093561397</v>
      </c>
      <c r="T14" s="107" t="n">
        <v>-3953.476432</v>
      </c>
      <c r="U14" s="107" t="n">
        <v>21069</v>
      </c>
      <c r="V14" s="108" t="s">
        <v>362</v>
      </c>
      <c r="W14" s="107" t="n">
        <v>28096</v>
      </c>
      <c r="X14" s="108" t="s">
        <v>372</v>
      </c>
      <c r="Y14" s="107" t="s">
        <v>387</v>
      </c>
      <c r="Z14" s="107" t="s">
        <v>389</v>
      </c>
      <c r="AA14" s="109" t="n">
        <v>46178</v>
      </c>
      <c r="AB14" s="107" t="n">
        <v>260605000002</v>
      </c>
      <c r="AC14" s="109" t="n">
        <v>46176</v>
      </c>
      <c r="AD14" s="109" t="n">
        <v>48368</v>
      </c>
      <c r="AE14" s="107" t="n">
        <v>4.972</v>
      </c>
      <c r="AF14" s="107" t="n">
        <v>4.1224</v>
      </c>
      <c r="AG14" s="107" t="n">
        <v>2073</v>
      </c>
      <c r="AH14" s="107" t="n">
        <v>10000000</v>
      </c>
      <c r="AI14" s="107" t="n">
        <v>4.99182</v>
      </c>
      <c r="AJ14" s="107" t="n">
        <v>99.913</v>
      </c>
      <c r="AK14" s="107" t="n">
        <v>4.988365</v>
      </c>
      <c r="AL14" s="107" t="n">
        <v>101.5289</v>
      </c>
      <c r="AM14" s="107" t="n">
        <v>5.9297</v>
      </c>
      <c r="AN14" s="107" t="n">
        <v>95.9302</v>
      </c>
      <c r="AO14" s="107" t="n">
        <v>1358.4</v>
      </c>
      <c r="AP14" s="107" t="n">
        <v>1</v>
      </c>
      <c r="AQ14" s="107" t="n">
        <v>9593020</v>
      </c>
      <c r="AR14" s="107" t="n">
        <v>13031158368</v>
      </c>
      <c r="AS14" s="107" t="n">
        <v>9991300</v>
      </c>
      <c r="AT14" s="107" t="n">
        <v>15142814280</v>
      </c>
      <c r="AU14" s="107" t="n">
        <v>-398280</v>
      </c>
      <c r="AV14" s="107" t="n">
        <v>-541023552</v>
      </c>
      <c r="AW14" s="107" t="n">
        <v>2762.22</v>
      </c>
      <c r="AX14" s="107" t="n">
        <v>4186420</v>
      </c>
      <c r="AY14" s="107" t="n">
        <v>0</v>
      </c>
      <c r="AZ14" s="107" t="n">
        <v>0</v>
      </c>
      <c r="BA14" s="107" t="n">
        <v>0</v>
      </c>
      <c r="BB14" s="107" t="n">
        <v>0</v>
      </c>
      <c r="BC14" s="107" t="n">
        <v>0</v>
      </c>
      <c r="BD14" s="107" t="n">
        <v>0</v>
      </c>
      <c r="BE14" s="107" t="n">
        <v>158827.78</v>
      </c>
      <c r="BF14" s="107" t="n">
        <v>215751656</v>
      </c>
      <c r="BG14" s="107" t="n">
        <v>0</v>
      </c>
      <c r="BH14" s="107" t="n">
        <v>0</v>
      </c>
      <c r="BI14" s="107" t="n">
        <v>9991300</v>
      </c>
      <c r="BJ14" s="107" t="n">
        <v>15142814280</v>
      </c>
      <c r="BK14" s="107" t="n">
        <v>0</v>
      </c>
      <c r="BL14" s="107" t="n">
        <v>0</v>
      </c>
      <c r="BM14" s="107" t="n">
        <v>0</v>
      </c>
      <c r="BN14" s="107" t="n">
        <v>0</v>
      </c>
      <c r="BO14" s="107" t="s">
        <v>377</v>
      </c>
      <c r="BP14" s="2"/>
      <c r="BQ14" s="107" t="s">
        <v>106</v>
      </c>
      <c r="BR14" s="107" t="n">
        <v>-1570632360</v>
      </c>
      <c r="BS14" s="107" t="n">
        <v>-434220</v>
      </c>
      <c r="BT14" s="107" t="n">
        <v>0</v>
      </c>
      <c r="BU14" s="107" t="n">
        <v>0</v>
      </c>
      <c r="BV14" s="107" t="n">
        <v>0</v>
      </c>
      <c r="BW14" s="107" t="n">
        <v>161590</v>
      </c>
      <c r="BX14" s="107" t="n">
        <v>219503856</v>
      </c>
      <c r="BY14" s="107" t="n">
        <v>0</v>
      </c>
      <c r="BZ14" s="107" t="n">
        <v>0</v>
      </c>
      <c r="CA14" s="107" t="n">
        <v>1515.6</v>
      </c>
      <c r="CB14" s="2"/>
      <c r="CC14" s="107" t="n">
        <v>0</v>
      </c>
      <c r="CD14" s="107" t="n">
        <v>95.93</v>
      </c>
      <c r="CE14" s="107" t="n">
        <v>95.94</v>
      </c>
      <c r="CF14" s="107" t="n">
        <v>95.91</v>
      </c>
      <c r="CG14" s="107" t="n">
        <v>0</v>
      </c>
      <c r="CH14" s="107" t="n">
        <v>4.0037</v>
      </c>
      <c r="CI14" s="107" t="n">
        <v>100.73</v>
      </c>
      <c r="CJ14" s="107" t="n">
        <v>100.9</v>
      </c>
      <c r="CK14" s="107" t="n">
        <v>100.92</v>
      </c>
      <c r="CL14" s="107" t="n">
        <v>1600000</v>
      </c>
    </row>
    <row r="15" customFormat="false" ht="15" hidden="false" customHeight="false" outlineLevel="0" collapsed="false">
      <c r="A15" s="107" t="s">
        <v>390</v>
      </c>
      <c r="B15" s="107" t="n">
        <v>97.4942</v>
      </c>
      <c r="C15" s="107" t="n">
        <v>5.2943</v>
      </c>
      <c r="D15" s="107" t="n">
        <v>1.4551</v>
      </c>
      <c r="E15" s="107" t="n">
        <v>-212.79571563</v>
      </c>
      <c r="F15" s="108" t="s">
        <v>358</v>
      </c>
      <c r="G15" s="107" t="n">
        <v>1.4551</v>
      </c>
      <c r="H15" s="107" t="n">
        <v>-212.79571563</v>
      </c>
      <c r="I15" s="109" t="n">
        <v>46866</v>
      </c>
      <c r="J15" s="107" t="n">
        <v>2</v>
      </c>
      <c r="K15" s="108" t="s">
        <v>384</v>
      </c>
      <c r="L15" s="107" t="s">
        <v>298</v>
      </c>
      <c r="M15" s="107" t="n">
        <v>2182650</v>
      </c>
      <c r="N15" s="107" t="n">
        <v>98.607</v>
      </c>
      <c r="O15" s="107" t="n">
        <v>1462413</v>
      </c>
      <c r="P15" s="107" t="s">
        <v>391</v>
      </c>
      <c r="Q15" s="107" t="s">
        <v>374</v>
      </c>
      <c r="R15" s="107" t="n">
        <v>-0.0731650647308012</v>
      </c>
      <c r="S15" s="107" t="n">
        <v>-0.0112852028760635</v>
      </c>
      <c r="T15" s="107" t="n">
        <v>-218.42600568</v>
      </c>
      <c r="U15" s="107" t="n">
        <v>21069</v>
      </c>
      <c r="V15" s="108" t="s">
        <v>362</v>
      </c>
      <c r="W15" s="107" t="n">
        <v>28096</v>
      </c>
      <c r="X15" s="108" t="s">
        <v>372</v>
      </c>
      <c r="Y15" s="107" t="s">
        <v>390</v>
      </c>
      <c r="Z15" s="107" t="s">
        <v>392</v>
      </c>
      <c r="AA15" s="109" t="n">
        <v>46153</v>
      </c>
      <c r="AB15" s="107" t="n">
        <v>260511000001</v>
      </c>
      <c r="AC15" s="109" t="n">
        <v>43123</v>
      </c>
      <c r="AD15" s="109" t="n">
        <v>47231</v>
      </c>
      <c r="AE15" s="107" t="n">
        <v>3.814</v>
      </c>
      <c r="AF15" s="107" t="n">
        <v>1.491</v>
      </c>
      <c r="AG15" s="107" t="n">
        <v>936</v>
      </c>
      <c r="AH15" s="107" t="n">
        <v>1500000</v>
      </c>
      <c r="AI15" s="107" t="n">
        <v>4.56772</v>
      </c>
      <c r="AJ15" s="107" t="n">
        <v>98.607</v>
      </c>
      <c r="AK15" s="107" t="n">
        <v>3.97898</v>
      </c>
      <c r="AL15" s="107" t="n">
        <v>100.270328</v>
      </c>
      <c r="AM15" s="107" t="n">
        <v>5.2478</v>
      </c>
      <c r="AN15" s="107" t="n">
        <v>97.5701</v>
      </c>
      <c r="AO15" s="107" t="n">
        <v>1358.4</v>
      </c>
      <c r="AP15" s="107" t="n">
        <v>1</v>
      </c>
      <c r="AQ15" s="107" t="n">
        <v>1463551.5</v>
      </c>
      <c r="AR15" s="107" t="n">
        <v>1988088358</v>
      </c>
      <c r="AS15" s="107" t="n">
        <v>1479105</v>
      </c>
      <c r="AT15" s="107" t="n">
        <v>2145885534</v>
      </c>
      <c r="AU15" s="107" t="n">
        <v>-15553.5</v>
      </c>
      <c r="AV15" s="107" t="n">
        <v>-21127874</v>
      </c>
      <c r="AW15" s="107" t="n">
        <v>2860.5</v>
      </c>
      <c r="AX15" s="107" t="n">
        <v>4150013</v>
      </c>
      <c r="AY15" s="107" t="n">
        <v>0</v>
      </c>
      <c r="AZ15" s="107" t="n">
        <v>0</v>
      </c>
      <c r="BA15" s="107" t="n">
        <v>0</v>
      </c>
      <c r="BB15" s="107" t="n">
        <v>0</v>
      </c>
      <c r="BC15" s="107" t="n">
        <v>0</v>
      </c>
      <c r="BD15" s="107" t="n">
        <v>0</v>
      </c>
      <c r="BE15" s="107" t="n">
        <v>22089.42</v>
      </c>
      <c r="BF15" s="107" t="n">
        <v>30006268</v>
      </c>
      <c r="BG15" s="107" t="n">
        <v>0</v>
      </c>
      <c r="BH15" s="107" t="n">
        <v>0</v>
      </c>
      <c r="BI15" s="107" t="n">
        <v>1479105</v>
      </c>
      <c r="BJ15" s="107" t="n">
        <v>2145885534</v>
      </c>
      <c r="BK15" s="107" t="n">
        <v>0</v>
      </c>
      <c r="BL15" s="107" t="n">
        <v>0</v>
      </c>
      <c r="BM15" s="107" t="n">
        <v>0</v>
      </c>
      <c r="BN15" s="107" t="n">
        <v>0</v>
      </c>
      <c r="BO15" s="107" t="s">
        <v>377</v>
      </c>
      <c r="BP15" s="2"/>
      <c r="BQ15" s="107" t="s">
        <v>106</v>
      </c>
      <c r="BR15" s="107" t="n">
        <v>-136669302</v>
      </c>
      <c r="BS15" s="107" t="n">
        <v>-264310</v>
      </c>
      <c r="BT15" s="107" t="n">
        <v>0</v>
      </c>
      <c r="BU15" s="107" t="n">
        <v>0</v>
      </c>
      <c r="BV15" s="107" t="n">
        <v>0</v>
      </c>
      <c r="BW15" s="107" t="n">
        <v>24949.92</v>
      </c>
      <c r="BX15" s="107" t="n">
        <v>33891971</v>
      </c>
      <c r="BY15" s="107" t="n">
        <v>0</v>
      </c>
      <c r="BZ15" s="107" t="n">
        <v>0</v>
      </c>
      <c r="CA15" s="107" t="n">
        <v>1450.8</v>
      </c>
      <c r="CB15" s="2"/>
      <c r="CC15" s="107" t="n">
        <v>0</v>
      </c>
      <c r="CD15" s="107" t="n">
        <v>97.59</v>
      </c>
      <c r="CE15" s="107" t="n">
        <v>97.56</v>
      </c>
      <c r="CF15" s="107" t="n">
        <v>97.56</v>
      </c>
      <c r="CG15" s="107" t="n">
        <v>1500000</v>
      </c>
      <c r="CH15" s="107" t="n">
        <v>1.4529</v>
      </c>
      <c r="CI15" s="107" t="n">
        <v>100.73</v>
      </c>
      <c r="CJ15" s="107" t="n">
        <v>100.9</v>
      </c>
      <c r="CK15" s="107" t="n">
        <v>100.92</v>
      </c>
      <c r="CL15" s="107" t="n">
        <v>1722000</v>
      </c>
    </row>
    <row r="16" customFormat="false" ht="15" hidden="false" customHeight="false" outlineLevel="0" collapsed="false">
      <c r="A16" s="107" t="s">
        <v>393</v>
      </c>
      <c r="B16" s="107" t="n">
        <v>94.0942</v>
      </c>
      <c r="C16" s="107" t="n">
        <v>5.1677</v>
      </c>
      <c r="D16" s="107" t="n">
        <v>1.784</v>
      </c>
      <c r="E16" s="107" t="n">
        <v>-839.320264</v>
      </c>
      <c r="F16" s="108" t="s">
        <v>358</v>
      </c>
      <c r="G16" s="107" t="n">
        <v>1.784</v>
      </c>
      <c r="H16" s="107" t="n">
        <v>-839.320264</v>
      </c>
      <c r="I16" s="109" t="n">
        <v>46982</v>
      </c>
      <c r="J16" s="107" t="n">
        <v>2</v>
      </c>
      <c r="K16" s="108" t="s">
        <v>90</v>
      </c>
      <c r="L16" s="107" t="s">
        <v>298</v>
      </c>
      <c r="M16" s="107" t="n">
        <v>8920000</v>
      </c>
      <c r="N16" s="107" t="n">
        <v>95.007</v>
      </c>
      <c r="O16" s="107" t="n">
        <v>4704710</v>
      </c>
      <c r="P16" s="107" t="s">
        <v>394</v>
      </c>
      <c r="Q16" s="107" t="s">
        <v>374</v>
      </c>
      <c r="R16" s="107" t="n">
        <v>-0.0884315713573301</v>
      </c>
      <c r="S16" s="107" t="n">
        <v>-0.00960771311587572</v>
      </c>
      <c r="T16" s="107" t="n">
        <v>-861.0089771</v>
      </c>
      <c r="U16" s="107" t="n">
        <v>21069</v>
      </c>
      <c r="V16" s="108" t="s">
        <v>362</v>
      </c>
      <c r="W16" s="107" t="n">
        <v>28096</v>
      </c>
      <c r="X16" s="108" t="s">
        <v>372</v>
      </c>
      <c r="Y16" s="107" t="s">
        <v>393</v>
      </c>
      <c r="Z16" s="107" t="s">
        <v>395</v>
      </c>
      <c r="AA16" s="109" t="n">
        <v>46135</v>
      </c>
      <c r="AB16" s="107" t="n">
        <v>260423000001</v>
      </c>
      <c r="AC16" s="109" t="n">
        <v>44425</v>
      </c>
      <c r="AD16" s="109" t="n">
        <v>47347</v>
      </c>
      <c r="AE16" s="107" t="n">
        <v>2.206</v>
      </c>
      <c r="AF16" s="107" t="n">
        <v>1.8278</v>
      </c>
      <c r="AG16" s="107" t="n">
        <v>1052</v>
      </c>
      <c r="AH16" s="107" t="n">
        <v>5000000</v>
      </c>
      <c r="AI16" s="107" t="n">
        <v>4.498321</v>
      </c>
      <c r="AJ16" s="107" t="n">
        <v>95.007</v>
      </c>
      <c r="AK16" s="107" t="n">
        <v>4.059429</v>
      </c>
      <c r="AL16" s="107" t="n">
        <v>95.270494</v>
      </c>
      <c r="AM16" s="107" t="n">
        <v>5.1281</v>
      </c>
      <c r="AN16" s="107" t="n">
        <v>94.1771</v>
      </c>
      <c r="AO16" s="107" t="n">
        <v>1358.4</v>
      </c>
      <c r="AP16" s="107" t="n">
        <v>1</v>
      </c>
      <c r="AQ16" s="107" t="n">
        <v>4708855</v>
      </c>
      <c r="AR16" s="107" t="n">
        <v>6396508632</v>
      </c>
      <c r="AS16" s="107" t="n">
        <v>4750350</v>
      </c>
      <c r="AT16" s="107" t="n">
        <v>7019117160</v>
      </c>
      <c r="AU16" s="107" t="n">
        <v>-41495</v>
      </c>
      <c r="AV16" s="107" t="n">
        <v>-56366808</v>
      </c>
      <c r="AW16" s="107" t="n">
        <v>0</v>
      </c>
      <c r="AX16" s="107" t="n">
        <v>0</v>
      </c>
      <c r="AY16" s="107" t="n">
        <v>0</v>
      </c>
      <c r="AZ16" s="107" t="n">
        <v>0</v>
      </c>
      <c r="BA16" s="107" t="n">
        <v>0</v>
      </c>
      <c r="BB16" s="107" t="n">
        <v>0</v>
      </c>
      <c r="BC16" s="107" t="n">
        <v>0</v>
      </c>
      <c r="BD16" s="107" t="n">
        <v>0</v>
      </c>
      <c r="BE16" s="107" t="n">
        <v>13174.72</v>
      </c>
      <c r="BF16" s="107" t="n">
        <v>17896539</v>
      </c>
      <c r="BG16" s="107" t="n">
        <v>0</v>
      </c>
      <c r="BH16" s="107" t="n">
        <v>0</v>
      </c>
      <c r="BI16" s="107" t="n">
        <v>4750350</v>
      </c>
      <c r="BJ16" s="107" t="n">
        <v>7019117160</v>
      </c>
      <c r="BK16" s="107" t="n">
        <v>0</v>
      </c>
      <c r="BL16" s="107" t="n">
        <v>0</v>
      </c>
      <c r="BM16" s="107" t="n">
        <v>0</v>
      </c>
      <c r="BN16" s="107" t="n">
        <v>0</v>
      </c>
      <c r="BO16" s="107" t="s">
        <v>374</v>
      </c>
      <c r="BP16" s="2"/>
      <c r="BQ16" s="107" t="s">
        <v>367</v>
      </c>
      <c r="BR16" s="107" t="n">
        <v>-566241720</v>
      </c>
      <c r="BS16" s="107" t="n">
        <v>0</v>
      </c>
      <c r="BT16" s="107" t="n">
        <v>0</v>
      </c>
      <c r="BU16" s="107" t="n">
        <v>0</v>
      </c>
      <c r="BV16" s="107" t="n">
        <v>0</v>
      </c>
      <c r="BW16" s="107" t="n">
        <v>13174.72</v>
      </c>
      <c r="BX16" s="107" t="n">
        <v>17896539</v>
      </c>
      <c r="BY16" s="107" t="n">
        <v>0</v>
      </c>
      <c r="BZ16" s="107" t="n">
        <v>0</v>
      </c>
      <c r="CA16" s="107" t="n">
        <v>1477.6</v>
      </c>
      <c r="CB16" s="2"/>
      <c r="CC16" s="107" t="n">
        <v>0</v>
      </c>
      <c r="CD16" s="107" t="n">
        <v>94.16</v>
      </c>
      <c r="CE16" s="107" t="n">
        <v>94.17</v>
      </c>
      <c r="CF16" s="107" t="n">
        <v>94.21</v>
      </c>
      <c r="CG16" s="107" t="n">
        <v>4800000</v>
      </c>
      <c r="CH16" s="107" t="n">
        <v>1.7821</v>
      </c>
      <c r="CI16" s="107" t="n">
        <v>101.78</v>
      </c>
      <c r="CJ16" s="107" t="n">
        <v>101.78</v>
      </c>
      <c r="CK16" s="107" t="n">
        <v>101.89</v>
      </c>
      <c r="CL16" s="107" t="n">
        <v>1000000</v>
      </c>
    </row>
    <row r="17" customFormat="false" ht="15" hidden="false" customHeight="false" outlineLevel="0" collapsed="false">
      <c r="A17" s="107" t="s">
        <v>396</v>
      </c>
      <c r="B17" s="107" t="n">
        <v>95.045</v>
      </c>
      <c r="C17" s="107" t="n">
        <v>5.8905</v>
      </c>
      <c r="D17" s="107" t="n">
        <v>3.8867</v>
      </c>
      <c r="E17" s="107" t="n">
        <v>-3694.114015</v>
      </c>
      <c r="F17" s="108" t="s">
        <v>358</v>
      </c>
      <c r="G17" s="107" t="n">
        <v>3.8867</v>
      </c>
      <c r="H17" s="107" t="n">
        <v>-3694.114015</v>
      </c>
      <c r="I17" s="109" t="n">
        <v>47917</v>
      </c>
      <c r="J17" s="107" t="n">
        <v>5</v>
      </c>
      <c r="K17" s="108" t="s">
        <v>90</v>
      </c>
      <c r="L17" s="107" t="s">
        <v>298</v>
      </c>
      <c r="M17" s="107" t="n">
        <v>38867000</v>
      </c>
      <c r="N17" s="107" t="n">
        <v>98.64</v>
      </c>
      <c r="O17" s="107" t="n">
        <v>9504500</v>
      </c>
      <c r="P17" s="107" t="s">
        <v>394</v>
      </c>
      <c r="Q17" s="107" t="s">
        <v>106</v>
      </c>
      <c r="R17" s="107" t="n">
        <v>-0.142722817575338</v>
      </c>
      <c r="S17" s="107" t="n">
        <v>-0.0364456609894566</v>
      </c>
      <c r="T17" s="107" t="n">
        <v>-3802.94054</v>
      </c>
      <c r="U17" s="107" t="n">
        <v>21069</v>
      </c>
      <c r="V17" s="108" t="s">
        <v>362</v>
      </c>
      <c r="W17" s="107" t="n">
        <v>28096</v>
      </c>
      <c r="X17" s="108" t="s">
        <v>372</v>
      </c>
      <c r="Y17" s="107" t="s">
        <v>396</v>
      </c>
      <c r="Z17" s="107" t="s">
        <v>397</v>
      </c>
      <c r="AA17" s="109" t="n">
        <v>46182</v>
      </c>
      <c r="AB17" s="107" t="n">
        <v>260609000001</v>
      </c>
      <c r="AC17" s="109" t="n">
        <v>46091</v>
      </c>
      <c r="AD17" s="109" t="n">
        <v>48283</v>
      </c>
      <c r="AE17" s="107" t="n">
        <v>4.675</v>
      </c>
      <c r="AF17" s="107" t="n">
        <v>3.9987</v>
      </c>
      <c r="AG17" s="107" t="n">
        <v>1988</v>
      </c>
      <c r="AH17" s="107" t="n">
        <v>10000000</v>
      </c>
      <c r="AI17" s="107" t="n">
        <v>4.998302</v>
      </c>
      <c r="AJ17" s="107" t="n">
        <v>98.64</v>
      </c>
      <c r="AK17" s="107" t="n">
        <v>4.962529</v>
      </c>
      <c r="AL17" s="107" t="n">
        <v>98.899722</v>
      </c>
      <c r="AM17" s="107" t="n">
        <v>5.8725</v>
      </c>
      <c r="AN17" s="107" t="n">
        <v>95.1209</v>
      </c>
      <c r="AO17" s="107" t="n">
        <v>1358.4</v>
      </c>
      <c r="AP17" s="107" t="n">
        <v>1</v>
      </c>
      <c r="AQ17" s="107" t="n">
        <v>9512090</v>
      </c>
      <c r="AR17" s="107" t="n">
        <v>12921223056</v>
      </c>
      <c r="AS17" s="107" t="n">
        <v>9864000</v>
      </c>
      <c r="AT17" s="107" t="n">
        <v>15078110400</v>
      </c>
      <c r="AU17" s="107" t="n">
        <v>-351910</v>
      </c>
      <c r="AV17" s="107" t="n">
        <v>-478034544</v>
      </c>
      <c r="AW17" s="107" t="n">
        <v>0</v>
      </c>
      <c r="AX17" s="107" t="n">
        <v>0</v>
      </c>
      <c r="AY17" s="107" t="n">
        <v>0</v>
      </c>
      <c r="AZ17" s="107" t="n">
        <v>0</v>
      </c>
      <c r="BA17" s="107" t="n">
        <v>0</v>
      </c>
      <c r="BB17" s="107" t="n">
        <v>0</v>
      </c>
      <c r="BC17" s="107" t="n">
        <v>0</v>
      </c>
      <c r="BD17" s="107" t="n">
        <v>0</v>
      </c>
      <c r="BE17" s="107" t="n">
        <v>25972.22</v>
      </c>
      <c r="BF17" s="107" t="n">
        <v>35280663</v>
      </c>
      <c r="BG17" s="107" t="n">
        <v>0</v>
      </c>
      <c r="BH17" s="107" t="n">
        <v>0</v>
      </c>
      <c r="BI17" s="107" t="n">
        <v>9864000</v>
      </c>
      <c r="BJ17" s="107" t="n">
        <v>15078110400</v>
      </c>
      <c r="BK17" s="107" t="n">
        <v>0</v>
      </c>
      <c r="BL17" s="107" t="n">
        <v>0</v>
      </c>
      <c r="BM17" s="107" t="n">
        <v>0</v>
      </c>
      <c r="BN17" s="107" t="n">
        <v>0</v>
      </c>
      <c r="BO17" s="107" t="s">
        <v>374</v>
      </c>
      <c r="BP17" s="2"/>
      <c r="BQ17" s="107" t="s">
        <v>367</v>
      </c>
      <c r="BR17" s="107" t="n">
        <v>-1678852800</v>
      </c>
      <c r="BS17" s="107" t="n">
        <v>0</v>
      </c>
      <c r="BT17" s="107" t="n">
        <v>0</v>
      </c>
      <c r="BU17" s="107" t="n">
        <v>0</v>
      </c>
      <c r="BV17" s="107" t="n">
        <v>0</v>
      </c>
      <c r="BW17" s="107" t="n">
        <v>25972.22</v>
      </c>
      <c r="BX17" s="107" t="n">
        <v>35280663</v>
      </c>
      <c r="BY17" s="107" t="n">
        <v>0</v>
      </c>
      <c r="BZ17" s="107" t="n">
        <v>0</v>
      </c>
      <c r="CA17" s="107" t="n">
        <v>1528.6</v>
      </c>
      <c r="CB17" s="2"/>
      <c r="CC17" s="107" t="n">
        <v>0</v>
      </c>
      <c r="CD17" s="107" t="n">
        <v>95.12</v>
      </c>
      <c r="CE17" s="107" t="n">
        <v>95.07</v>
      </c>
      <c r="CF17" s="107" t="n">
        <v>95.17</v>
      </c>
      <c r="CG17" s="107" t="n">
        <v>0</v>
      </c>
      <c r="CH17" s="107" t="n">
        <v>3.8846</v>
      </c>
      <c r="CI17" s="107" t="n">
        <v>100.09</v>
      </c>
      <c r="CJ17" s="107" t="n">
        <v>100.06</v>
      </c>
      <c r="CK17" s="107" t="n">
        <v>100.07</v>
      </c>
      <c r="CL17" s="107" t="n">
        <v>0</v>
      </c>
    </row>
    <row r="18" customFormat="false" ht="15" hidden="false" customHeight="false" outlineLevel="0" collapsed="false">
      <c r="A18" s="107" t="s">
        <v>398</v>
      </c>
      <c r="B18" s="107" t="n">
        <v>99.3079</v>
      </c>
      <c r="C18" s="107" t="n">
        <v>5.623</v>
      </c>
      <c r="D18" s="107" t="n">
        <v>2.0464</v>
      </c>
      <c r="E18" s="107" t="n">
        <v>-2438.68423872</v>
      </c>
      <c r="F18" s="108" t="s">
        <v>358</v>
      </c>
      <c r="G18" s="107" t="n">
        <v>2.0464</v>
      </c>
      <c r="H18" s="107" t="n">
        <v>-2438.68423872</v>
      </c>
      <c r="I18" s="109" t="n">
        <v>47095</v>
      </c>
      <c r="J18" s="107" t="n">
        <v>2</v>
      </c>
      <c r="K18" s="107" t="s">
        <v>359</v>
      </c>
      <c r="L18" s="107" t="s">
        <v>298</v>
      </c>
      <c r="M18" s="107" t="n">
        <v>24556800</v>
      </c>
      <c r="N18" s="107" t="n">
        <v>101.52</v>
      </c>
      <c r="O18" s="107" t="n">
        <v>11916948</v>
      </c>
      <c r="P18" s="107" t="s">
        <v>399</v>
      </c>
      <c r="Q18" s="107" t="s">
        <v>374</v>
      </c>
      <c r="R18" s="107" t="n">
        <v>-0.0867889355816845</v>
      </c>
      <c r="S18" s="107" t="n">
        <v>-0.0217897951142632</v>
      </c>
      <c r="T18" s="107" t="n">
        <v>-2507.20668972</v>
      </c>
      <c r="U18" s="107" t="n">
        <v>21069</v>
      </c>
      <c r="V18" s="108" t="s">
        <v>362</v>
      </c>
      <c r="W18" s="107" t="n">
        <v>28096</v>
      </c>
      <c r="X18" s="108" t="s">
        <v>372</v>
      </c>
      <c r="Y18" s="107" t="s">
        <v>398</v>
      </c>
      <c r="Z18" s="107" t="s">
        <v>400</v>
      </c>
      <c r="AA18" s="109" t="n">
        <v>46149</v>
      </c>
      <c r="AB18" s="107" t="n">
        <v>260507000001</v>
      </c>
      <c r="AC18" s="109" t="n">
        <v>45299</v>
      </c>
      <c r="AD18" s="109" t="n">
        <v>47126</v>
      </c>
      <c r="AE18" s="107" t="n">
        <v>5.3</v>
      </c>
      <c r="AF18" s="107" t="n">
        <v>2.1014</v>
      </c>
      <c r="AG18" s="107" t="n">
        <v>831</v>
      </c>
      <c r="AH18" s="107" t="n">
        <v>12000000</v>
      </c>
      <c r="AI18" s="107" t="n">
        <v>4.667952</v>
      </c>
      <c r="AJ18" s="107" t="n">
        <v>101.52</v>
      </c>
      <c r="AK18" s="107" t="n">
        <v>4.584485</v>
      </c>
      <c r="AL18" s="107" t="n">
        <v>102.727222</v>
      </c>
      <c r="AM18" s="107" t="n">
        <v>5.5856</v>
      </c>
      <c r="AN18" s="107" t="n">
        <v>99.3869</v>
      </c>
      <c r="AO18" s="107" t="n">
        <v>1358.4</v>
      </c>
      <c r="AP18" s="107" t="n">
        <v>1</v>
      </c>
      <c r="AQ18" s="107" t="n">
        <v>11926428</v>
      </c>
      <c r="AR18" s="107" t="n">
        <v>16200859795</v>
      </c>
      <c r="AS18" s="107" t="n">
        <v>12182400</v>
      </c>
      <c r="AT18" s="107" t="n">
        <v>17747320320</v>
      </c>
      <c r="AU18" s="107" t="n">
        <v>-255972</v>
      </c>
      <c r="AV18" s="107" t="n">
        <v>-347712365</v>
      </c>
      <c r="AW18" s="107" t="n">
        <v>0</v>
      </c>
      <c r="AX18" s="107" t="n">
        <v>0</v>
      </c>
      <c r="AY18" s="107" t="n">
        <v>0</v>
      </c>
      <c r="AZ18" s="107" t="n">
        <v>0</v>
      </c>
      <c r="BA18" s="107" t="n">
        <v>0</v>
      </c>
      <c r="BB18" s="107" t="n">
        <v>0</v>
      </c>
      <c r="BC18" s="107" t="n">
        <v>0</v>
      </c>
      <c r="BD18" s="107" t="n">
        <v>0</v>
      </c>
      <c r="BE18" s="107" t="n">
        <v>144866.67</v>
      </c>
      <c r="BF18" s="107" t="n">
        <v>196786884</v>
      </c>
      <c r="BG18" s="107" t="n">
        <v>0</v>
      </c>
      <c r="BH18" s="107" t="n">
        <v>0</v>
      </c>
      <c r="BI18" s="107" t="n">
        <v>12182400</v>
      </c>
      <c r="BJ18" s="107" t="n">
        <v>17747320320</v>
      </c>
      <c r="BK18" s="107" t="n">
        <v>0</v>
      </c>
      <c r="BL18" s="107" t="n">
        <v>0</v>
      </c>
      <c r="BM18" s="107" t="n">
        <v>0</v>
      </c>
      <c r="BN18" s="107" t="n">
        <v>0</v>
      </c>
      <c r="BO18" s="107" t="s">
        <v>374</v>
      </c>
      <c r="BP18" s="2"/>
      <c r="BQ18" s="107" t="s">
        <v>374</v>
      </c>
      <c r="BR18" s="107" t="n">
        <v>-1198748160</v>
      </c>
      <c r="BS18" s="107" t="n">
        <v>0</v>
      </c>
      <c r="BT18" s="107" t="n">
        <v>0</v>
      </c>
      <c r="BU18" s="107" t="n">
        <v>0</v>
      </c>
      <c r="BV18" s="107" t="n">
        <v>0</v>
      </c>
      <c r="BW18" s="107" t="n">
        <v>144866.67</v>
      </c>
      <c r="BX18" s="107" t="n">
        <v>196786884</v>
      </c>
      <c r="BY18" s="107" t="n">
        <v>0</v>
      </c>
      <c r="BZ18" s="107" t="n">
        <v>0</v>
      </c>
      <c r="CA18" s="107" t="n">
        <v>1456.8</v>
      </c>
      <c r="CB18" s="2"/>
      <c r="CC18" s="107" t="n">
        <v>0</v>
      </c>
      <c r="CD18" s="107" t="n">
        <v>99.29</v>
      </c>
      <c r="CE18" s="107" t="n">
        <v>99.39</v>
      </c>
      <c r="CF18" s="107" t="n">
        <v>99.48</v>
      </c>
      <c r="CG18" s="107" t="n">
        <v>0</v>
      </c>
      <c r="CH18" s="107" t="n">
        <v>2.0443</v>
      </c>
      <c r="CI18" s="107" t="n">
        <v>87.21</v>
      </c>
      <c r="CJ18" s="107" t="n">
        <v>87.37</v>
      </c>
      <c r="CK18" s="107" t="n">
        <v>87.27</v>
      </c>
      <c r="CL18" s="107" t="n">
        <v>0</v>
      </c>
    </row>
    <row r="19" customFormat="false" ht="15" hidden="false" customHeight="false" outlineLevel="0" collapsed="false">
      <c r="A19" s="107" t="s">
        <v>401</v>
      </c>
      <c r="B19" s="107" t="n">
        <v>97.8693</v>
      </c>
      <c r="C19" s="107" t="n">
        <v>5.9197</v>
      </c>
      <c r="D19" s="107" t="n">
        <v>3.9606</v>
      </c>
      <c r="E19" s="107" t="n">
        <v>-3100.96919664</v>
      </c>
      <c r="F19" s="108" t="s">
        <v>358</v>
      </c>
      <c r="G19" s="107" t="n">
        <v>3.9606</v>
      </c>
      <c r="H19" s="107" t="n">
        <v>-3100.96919664</v>
      </c>
      <c r="I19" s="109" t="n">
        <v>47962</v>
      </c>
      <c r="J19" s="107" t="n">
        <v>5</v>
      </c>
      <c r="K19" s="107" t="s">
        <v>359</v>
      </c>
      <c r="L19" s="107" t="s">
        <v>298</v>
      </c>
      <c r="M19" s="107" t="n">
        <v>31684800</v>
      </c>
      <c r="N19" s="107" t="n">
        <v>101.56</v>
      </c>
      <c r="O19" s="107" t="n">
        <v>7829544</v>
      </c>
      <c r="P19" s="107" t="s">
        <v>399</v>
      </c>
      <c r="Q19" s="107" t="s">
        <v>374</v>
      </c>
      <c r="R19" s="107" t="n">
        <v>-0.135274827497063</v>
      </c>
      <c r="S19" s="107" t="n">
        <v>-0.0363400945254038</v>
      </c>
      <c r="T19" s="107" t="n">
        <v>-3192.73145232</v>
      </c>
      <c r="U19" s="107" t="n">
        <v>21069</v>
      </c>
      <c r="V19" s="108" t="s">
        <v>362</v>
      </c>
      <c r="W19" s="107" t="n">
        <v>28096</v>
      </c>
      <c r="X19" s="108" t="s">
        <v>372</v>
      </c>
      <c r="Y19" s="107" t="s">
        <v>401</v>
      </c>
      <c r="Z19" s="107" t="s">
        <v>402</v>
      </c>
      <c r="AA19" s="109" t="n">
        <v>46177</v>
      </c>
      <c r="AB19" s="107" t="n">
        <v>260604000001</v>
      </c>
      <c r="AC19" s="109" t="n">
        <v>45467</v>
      </c>
      <c r="AD19" s="109" t="n">
        <v>48023</v>
      </c>
      <c r="AE19" s="107" t="n">
        <v>5.4</v>
      </c>
      <c r="AF19" s="107" t="n">
        <v>4.0755</v>
      </c>
      <c r="AG19" s="107" t="n">
        <v>1728</v>
      </c>
      <c r="AH19" s="107" t="n">
        <v>8000000</v>
      </c>
      <c r="AI19" s="107" t="n">
        <v>5.036622</v>
      </c>
      <c r="AJ19" s="107" t="n">
        <v>101.56</v>
      </c>
      <c r="AK19" s="107" t="n">
        <v>5.023583</v>
      </c>
      <c r="AL19" s="107" t="n">
        <v>103</v>
      </c>
      <c r="AM19" s="107" t="n">
        <v>5.896</v>
      </c>
      <c r="AN19" s="107" t="n">
        <v>97.9658</v>
      </c>
      <c r="AO19" s="107" t="n">
        <v>1358.4</v>
      </c>
      <c r="AP19" s="107" t="n">
        <v>1</v>
      </c>
      <c r="AQ19" s="107" t="n">
        <v>7837264</v>
      </c>
      <c r="AR19" s="107" t="n">
        <v>10646139418</v>
      </c>
      <c r="AS19" s="107" t="n">
        <v>8124800</v>
      </c>
      <c r="AT19" s="107" t="n">
        <v>12313946880</v>
      </c>
      <c r="AU19" s="107" t="n">
        <v>-287536</v>
      </c>
      <c r="AV19" s="107" t="n">
        <v>-390588902</v>
      </c>
      <c r="AW19" s="107" t="n">
        <v>0</v>
      </c>
      <c r="AX19" s="107" t="n">
        <v>0</v>
      </c>
      <c r="AY19" s="107" t="n">
        <v>0</v>
      </c>
      <c r="AZ19" s="107" t="n">
        <v>0</v>
      </c>
      <c r="BA19" s="107" t="n">
        <v>0</v>
      </c>
      <c r="BB19" s="107" t="n">
        <v>0</v>
      </c>
      <c r="BC19" s="107" t="n">
        <v>0</v>
      </c>
      <c r="BD19" s="107" t="n">
        <v>0</v>
      </c>
      <c r="BE19" s="107" t="n">
        <v>115200</v>
      </c>
      <c r="BF19" s="107" t="n">
        <v>156487680</v>
      </c>
      <c r="BG19" s="107" t="n">
        <v>0</v>
      </c>
      <c r="BH19" s="107" t="n">
        <v>0</v>
      </c>
      <c r="BI19" s="107" t="n">
        <v>8124800</v>
      </c>
      <c r="BJ19" s="107" t="n">
        <v>12313946880</v>
      </c>
      <c r="BK19" s="107" t="n">
        <v>0</v>
      </c>
      <c r="BL19" s="107" t="n">
        <v>0</v>
      </c>
      <c r="BM19" s="107" t="n">
        <v>0</v>
      </c>
      <c r="BN19" s="107" t="n">
        <v>0</v>
      </c>
      <c r="BO19" s="107" t="s">
        <v>374</v>
      </c>
      <c r="BP19" s="2"/>
      <c r="BQ19" s="107" t="s">
        <v>374</v>
      </c>
      <c r="BR19" s="107" t="n">
        <v>-1277218560</v>
      </c>
      <c r="BS19" s="107" t="n">
        <v>0</v>
      </c>
      <c r="BT19" s="107" t="n">
        <v>0</v>
      </c>
      <c r="BU19" s="107" t="n">
        <v>0</v>
      </c>
      <c r="BV19" s="107" t="n">
        <v>0</v>
      </c>
      <c r="BW19" s="107" t="n">
        <v>115200</v>
      </c>
      <c r="BX19" s="107" t="n">
        <v>156487680</v>
      </c>
      <c r="BY19" s="107" t="n">
        <v>0</v>
      </c>
      <c r="BZ19" s="107" t="n">
        <v>0</v>
      </c>
      <c r="CA19" s="107" t="n">
        <v>1515.6</v>
      </c>
      <c r="CB19" s="2"/>
      <c r="CC19" s="107" t="n">
        <v>0</v>
      </c>
      <c r="CD19" s="107" t="n">
        <v>97.86</v>
      </c>
      <c r="CE19" s="107" t="n">
        <v>97.97</v>
      </c>
      <c r="CF19" s="107" t="n">
        <v>98.07</v>
      </c>
      <c r="CG19" s="107" t="n">
        <v>0</v>
      </c>
      <c r="CH19" s="107" t="n">
        <v>3.9588</v>
      </c>
      <c r="CI19" s="107" t="n">
        <v>100.59</v>
      </c>
      <c r="CJ19" s="107" t="n">
        <v>100.59</v>
      </c>
      <c r="CK19" s="107" t="n">
        <v>100.58</v>
      </c>
      <c r="CL19" s="107" t="n">
        <v>4000000</v>
      </c>
    </row>
    <row r="20" customFormat="false" ht="15" hidden="false" customHeight="false" outlineLevel="0" collapsed="false">
      <c r="A20" s="107" t="s">
        <v>401</v>
      </c>
      <c r="B20" s="107" t="n">
        <v>97.8693</v>
      </c>
      <c r="C20" s="107" t="n">
        <v>5.9197</v>
      </c>
      <c r="D20" s="107" t="n">
        <v>3.9606</v>
      </c>
      <c r="E20" s="107" t="n">
        <v>-1938.1057479</v>
      </c>
      <c r="F20" s="108" t="s">
        <v>358</v>
      </c>
      <c r="G20" s="107" t="n">
        <v>3.9606</v>
      </c>
      <c r="H20" s="107" t="n">
        <v>-1938.1057479</v>
      </c>
      <c r="I20" s="109" t="n">
        <v>47962</v>
      </c>
      <c r="J20" s="107" t="n">
        <v>5</v>
      </c>
      <c r="K20" s="107" t="s">
        <v>359</v>
      </c>
      <c r="L20" s="107" t="s">
        <v>298</v>
      </c>
      <c r="M20" s="107" t="n">
        <v>19803000</v>
      </c>
      <c r="N20" s="107" t="n">
        <v>98.87</v>
      </c>
      <c r="O20" s="107" t="n">
        <v>4893465</v>
      </c>
      <c r="P20" s="107" t="s">
        <v>399</v>
      </c>
      <c r="Q20" s="107" t="s">
        <v>374</v>
      </c>
      <c r="R20" s="107" t="n">
        <v>-0.0271463110544733</v>
      </c>
      <c r="S20" s="107" t="n">
        <v>-0.0101213714979267</v>
      </c>
      <c r="T20" s="107" t="n">
        <v>-1995.4571577</v>
      </c>
      <c r="U20" s="107" t="n">
        <v>21069</v>
      </c>
      <c r="V20" s="108" t="s">
        <v>362</v>
      </c>
      <c r="W20" s="107" t="n">
        <v>28096</v>
      </c>
      <c r="X20" s="108" t="s">
        <v>372</v>
      </c>
      <c r="Y20" s="107" t="s">
        <v>401</v>
      </c>
      <c r="Z20" s="107" t="s">
        <v>402</v>
      </c>
      <c r="AA20" s="109" t="n">
        <v>46286</v>
      </c>
      <c r="AB20" s="107" t="n">
        <v>260921000001</v>
      </c>
      <c r="AC20" s="109" t="n">
        <v>45467</v>
      </c>
      <c r="AD20" s="109" t="n">
        <v>48023</v>
      </c>
      <c r="AE20" s="107" t="n">
        <v>5.4</v>
      </c>
      <c r="AF20" s="107" t="n">
        <v>4.0755</v>
      </c>
      <c r="AG20" s="107" t="n">
        <v>1728</v>
      </c>
      <c r="AH20" s="107" t="n">
        <v>5000000</v>
      </c>
      <c r="AI20" s="107" t="n">
        <v>5.672008</v>
      </c>
      <c r="AJ20" s="107" t="n">
        <v>98.87</v>
      </c>
      <c r="AK20" s="107" t="n">
        <v>5.673276</v>
      </c>
      <c r="AL20" s="107" t="n">
        <v>100.31</v>
      </c>
      <c r="AM20" s="107" t="n">
        <v>5.896</v>
      </c>
      <c r="AN20" s="107" t="n">
        <v>97.9658</v>
      </c>
      <c r="AO20" s="107" t="n">
        <v>1358.4</v>
      </c>
      <c r="AP20" s="107" t="n">
        <v>1</v>
      </c>
      <c r="AQ20" s="107" t="n">
        <v>4898290</v>
      </c>
      <c r="AR20" s="107" t="n">
        <v>6653837136</v>
      </c>
      <c r="AS20" s="107" t="n">
        <v>4943500</v>
      </c>
      <c r="AT20" s="107" t="n">
        <v>6840815300</v>
      </c>
      <c r="AU20" s="107" t="n">
        <v>-45210</v>
      </c>
      <c r="AV20" s="107" t="n">
        <v>-61413264</v>
      </c>
      <c r="AW20" s="107" t="n">
        <v>65250</v>
      </c>
      <c r="AX20" s="107" t="n">
        <v>90292950</v>
      </c>
      <c r="AY20" s="107" t="n">
        <v>0</v>
      </c>
      <c r="AZ20" s="107" t="n">
        <v>0</v>
      </c>
      <c r="BA20" s="107" t="n">
        <v>0</v>
      </c>
      <c r="BB20" s="107" t="n">
        <v>0</v>
      </c>
      <c r="BC20" s="107" t="n">
        <v>0</v>
      </c>
      <c r="BD20" s="107" t="n">
        <v>0</v>
      </c>
      <c r="BE20" s="107" t="n">
        <v>6750</v>
      </c>
      <c r="BF20" s="107" t="n">
        <v>9169200</v>
      </c>
      <c r="BG20" s="107" t="n">
        <v>0</v>
      </c>
      <c r="BH20" s="107" t="n">
        <v>0</v>
      </c>
      <c r="BI20" s="107" t="n">
        <v>4943500</v>
      </c>
      <c r="BJ20" s="107" t="n">
        <v>6840815300</v>
      </c>
      <c r="BK20" s="107" t="n">
        <v>0</v>
      </c>
      <c r="BL20" s="107" t="n">
        <v>0</v>
      </c>
      <c r="BM20" s="107" t="n">
        <v>0</v>
      </c>
      <c r="BN20" s="107" t="n">
        <v>0</v>
      </c>
      <c r="BO20" s="107" t="s">
        <v>374</v>
      </c>
      <c r="BP20" s="2"/>
      <c r="BQ20" s="107" t="s">
        <v>374</v>
      </c>
      <c r="BR20" s="107" t="n">
        <v>-125564900</v>
      </c>
      <c r="BS20" s="107" t="n">
        <v>-1657350</v>
      </c>
      <c r="BT20" s="107" t="n">
        <v>0</v>
      </c>
      <c r="BU20" s="107" t="n">
        <v>0</v>
      </c>
      <c r="BV20" s="107" t="n">
        <v>0</v>
      </c>
      <c r="BW20" s="107" t="n">
        <v>72000</v>
      </c>
      <c r="BX20" s="107" t="n">
        <v>97804800</v>
      </c>
      <c r="BY20" s="107" t="n">
        <v>0</v>
      </c>
      <c r="BZ20" s="107" t="n">
        <v>0</v>
      </c>
      <c r="CA20" s="107" t="n">
        <v>1383.8</v>
      </c>
      <c r="CB20" s="2"/>
      <c r="CC20" s="107" t="n">
        <v>0</v>
      </c>
      <c r="CD20" s="107" t="n">
        <v>97.86</v>
      </c>
      <c r="CE20" s="107" t="n">
        <v>97.97</v>
      </c>
      <c r="CF20" s="107" t="n">
        <v>98.07</v>
      </c>
      <c r="CG20" s="107" t="n">
        <v>0</v>
      </c>
      <c r="CH20" s="107" t="n">
        <v>3.9588</v>
      </c>
      <c r="CI20" s="107" t="n">
        <v>91.74</v>
      </c>
      <c r="CJ20" s="107" t="n">
        <v>91.69</v>
      </c>
      <c r="CK20" s="107" t="n">
        <v>91.75</v>
      </c>
      <c r="CL20" s="107" t="n">
        <v>28090000</v>
      </c>
    </row>
    <row r="21" customFormat="false" ht="15" hidden="false" customHeight="false" outlineLevel="0" collapsed="false">
      <c r="A21" s="107" t="s">
        <v>403</v>
      </c>
      <c r="B21" s="107" t="n">
        <v>95.0771</v>
      </c>
      <c r="C21" s="107" t="n">
        <v>5.9028</v>
      </c>
      <c r="D21" s="107" t="n">
        <v>4.2723</v>
      </c>
      <c r="E21" s="107" t="n">
        <v>-2234.088418815</v>
      </c>
      <c r="F21" s="108" t="s">
        <v>358</v>
      </c>
      <c r="G21" s="107" t="n">
        <v>4.2723</v>
      </c>
      <c r="H21" s="107" t="n">
        <v>-2234.088418815</v>
      </c>
      <c r="I21" s="109" t="n">
        <v>48117</v>
      </c>
      <c r="J21" s="107" t="n">
        <v>5</v>
      </c>
      <c r="K21" s="107" t="s">
        <v>359</v>
      </c>
      <c r="L21" s="107" t="s">
        <v>298</v>
      </c>
      <c r="M21" s="107" t="n">
        <v>23497650</v>
      </c>
      <c r="N21" s="107" t="n">
        <v>96.002</v>
      </c>
      <c r="O21" s="107" t="n">
        <v>5229240.5</v>
      </c>
      <c r="P21" s="107" t="s">
        <v>399</v>
      </c>
      <c r="Q21" s="107" t="s">
        <v>374</v>
      </c>
      <c r="R21" s="107" t="n">
        <v>-0.0266674931577746</v>
      </c>
      <c r="S21" s="107" t="n">
        <v>-0.00963417428803559</v>
      </c>
      <c r="T21" s="107" t="n">
        <v>-2300.02914152</v>
      </c>
      <c r="U21" s="107" t="n">
        <v>21069</v>
      </c>
      <c r="V21" s="108" t="s">
        <v>362</v>
      </c>
      <c r="W21" s="107" t="n">
        <v>28096</v>
      </c>
      <c r="X21" s="108" t="s">
        <v>372</v>
      </c>
      <c r="Y21" s="107" t="s">
        <v>403</v>
      </c>
      <c r="Z21" s="107" t="s">
        <v>404</v>
      </c>
      <c r="AA21" s="109" t="n">
        <v>46286</v>
      </c>
      <c r="AB21" s="107" t="n">
        <v>260921000001</v>
      </c>
      <c r="AC21" s="109" t="n">
        <v>45561</v>
      </c>
      <c r="AD21" s="109" t="n">
        <v>48117</v>
      </c>
      <c r="AE21" s="107" t="n">
        <v>4.75</v>
      </c>
      <c r="AF21" s="107" t="n">
        <v>4.3962</v>
      </c>
      <c r="AG21" s="107" t="n">
        <v>1822</v>
      </c>
      <c r="AH21" s="107" t="n">
        <v>5500000</v>
      </c>
      <c r="AI21" s="107" t="n">
        <v>5.67723</v>
      </c>
      <c r="AJ21" s="107" t="n">
        <v>96.002</v>
      </c>
      <c r="AK21" s="107" t="n">
        <v>5.681396</v>
      </c>
      <c r="AL21" s="107" t="n">
        <v>96.054777</v>
      </c>
      <c r="AM21" s="107" t="n">
        <v>5.8745</v>
      </c>
      <c r="AN21" s="107" t="n">
        <v>95.1966</v>
      </c>
      <c r="AO21" s="107" t="n">
        <v>1358.4</v>
      </c>
      <c r="AP21" s="107" t="n">
        <v>1</v>
      </c>
      <c r="AQ21" s="107" t="n">
        <v>5235813</v>
      </c>
      <c r="AR21" s="107" t="n">
        <v>7112328379</v>
      </c>
      <c r="AS21" s="107" t="n">
        <v>5280110</v>
      </c>
      <c r="AT21" s="107" t="n">
        <v>7306616218</v>
      </c>
      <c r="AU21" s="107" t="n">
        <v>-44297</v>
      </c>
      <c r="AV21" s="107" t="n">
        <v>-60173045</v>
      </c>
      <c r="AW21" s="107" t="n">
        <v>0</v>
      </c>
      <c r="AX21" s="107" t="n">
        <v>0</v>
      </c>
      <c r="AY21" s="107" t="n">
        <v>0</v>
      </c>
      <c r="AZ21" s="107" t="n">
        <v>0</v>
      </c>
      <c r="BA21" s="107" t="n">
        <v>0</v>
      </c>
      <c r="BB21" s="107" t="n">
        <v>0</v>
      </c>
      <c r="BC21" s="107" t="n">
        <v>0</v>
      </c>
      <c r="BD21" s="107" t="n">
        <v>0</v>
      </c>
      <c r="BE21" s="107" t="n">
        <v>2902.78</v>
      </c>
      <c r="BF21" s="107" t="n">
        <v>3943136</v>
      </c>
      <c r="BG21" s="107" t="n">
        <v>0</v>
      </c>
      <c r="BH21" s="107" t="n">
        <v>0</v>
      </c>
      <c r="BI21" s="107" t="n">
        <v>5280110</v>
      </c>
      <c r="BJ21" s="107" t="n">
        <v>7306616218</v>
      </c>
      <c r="BK21" s="107" t="n">
        <v>0</v>
      </c>
      <c r="BL21" s="107" t="n">
        <v>0</v>
      </c>
      <c r="BM21" s="107" t="n">
        <v>0</v>
      </c>
      <c r="BN21" s="107" t="n">
        <v>0</v>
      </c>
      <c r="BO21" s="107" t="s">
        <v>374</v>
      </c>
      <c r="BP21" s="2"/>
      <c r="BQ21" s="107" t="s">
        <v>374</v>
      </c>
      <c r="BR21" s="107" t="n">
        <v>-134114794</v>
      </c>
      <c r="BS21" s="107" t="n">
        <v>0</v>
      </c>
      <c r="BT21" s="107" t="n">
        <v>0</v>
      </c>
      <c r="BU21" s="107" t="n">
        <v>0</v>
      </c>
      <c r="BV21" s="107" t="n">
        <v>0</v>
      </c>
      <c r="BW21" s="107" t="n">
        <v>2902.78</v>
      </c>
      <c r="BX21" s="107" t="n">
        <v>3943136</v>
      </c>
      <c r="BY21" s="107" t="n">
        <v>0</v>
      </c>
      <c r="BZ21" s="107" t="n">
        <v>0</v>
      </c>
      <c r="CA21" s="107" t="n">
        <v>1383.8</v>
      </c>
      <c r="CB21" s="2"/>
      <c r="CC21" s="107" t="n">
        <v>0</v>
      </c>
      <c r="CD21" s="107" t="n">
        <v>95.31</v>
      </c>
      <c r="CE21" s="107" t="n">
        <v>95.12</v>
      </c>
      <c r="CF21" s="107" t="n">
        <v>95.17</v>
      </c>
      <c r="CG21" s="107" t="n">
        <v>5500000</v>
      </c>
      <c r="CH21" s="107" t="n">
        <v>4.2708</v>
      </c>
      <c r="CI21" s="107" t="n">
        <v>103.02</v>
      </c>
      <c r="CJ21" s="107" t="n">
        <v>102.97</v>
      </c>
      <c r="CK21" s="107" t="n">
        <v>103.1</v>
      </c>
      <c r="CL21" s="107" t="n">
        <v>10000000</v>
      </c>
    </row>
    <row r="22" customFormat="false" ht="15" hidden="false" customHeight="false" outlineLevel="0" collapsed="false">
      <c r="A22" s="107" t="s">
        <v>405</v>
      </c>
      <c r="B22" s="107" t="n">
        <v>97.0397</v>
      </c>
      <c r="C22" s="107" t="n">
        <v>5.6504</v>
      </c>
      <c r="D22" s="107" t="n">
        <v>2.0688</v>
      </c>
      <c r="E22" s="107" t="n">
        <v>-200.75573136</v>
      </c>
      <c r="F22" s="108" t="s">
        <v>358</v>
      </c>
      <c r="G22" s="107" t="n">
        <v>2.0688</v>
      </c>
      <c r="H22" s="107" t="n">
        <v>-200.75573136</v>
      </c>
      <c r="I22" s="109" t="n">
        <v>47126</v>
      </c>
      <c r="J22" s="107" t="n">
        <v>3</v>
      </c>
      <c r="K22" s="107" t="s">
        <v>359</v>
      </c>
      <c r="L22" s="107" t="s">
        <v>298</v>
      </c>
      <c r="M22" s="107" t="n">
        <v>2068800</v>
      </c>
      <c r="N22" s="107" t="n">
        <v>99</v>
      </c>
      <c r="O22" s="107" t="n">
        <v>970397</v>
      </c>
      <c r="P22" s="107" t="s">
        <v>399</v>
      </c>
      <c r="Q22" s="107" t="s">
        <v>374</v>
      </c>
      <c r="R22" s="107" t="n">
        <v>-0.0849322993804048</v>
      </c>
      <c r="S22" s="107" t="n">
        <v>-0.0198010101010101</v>
      </c>
      <c r="T22" s="107" t="n">
        <v>-206.42284984</v>
      </c>
      <c r="U22" s="107" t="n">
        <v>21069</v>
      </c>
      <c r="V22" s="108" t="s">
        <v>362</v>
      </c>
      <c r="W22" s="107" t="n">
        <v>28096</v>
      </c>
      <c r="X22" s="108" t="s">
        <v>372</v>
      </c>
      <c r="Y22" s="107" t="s">
        <v>405</v>
      </c>
      <c r="Z22" s="107" t="s">
        <v>406</v>
      </c>
      <c r="AA22" s="109" t="n">
        <v>46149</v>
      </c>
      <c r="AB22" s="107" t="n">
        <v>260507000001</v>
      </c>
      <c r="AC22" s="109" t="n">
        <v>46030</v>
      </c>
      <c r="AD22" s="109" t="n">
        <v>47126</v>
      </c>
      <c r="AE22" s="107" t="n">
        <v>4.25</v>
      </c>
      <c r="AF22" s="107" t="n">
        <v>2.1248</v>
      </c>
      <c r="AG22" s="107" t="n">
        <v>831</v>
      </c>
      <c r="AH22" s="107" t="n">
        <v>1000000</v>
      </c>
      <c r="AI22" s="107" t="n">
        <v>4.65047</v>
      </c>
      <c r="AJ22" s="107" t="n">
        <v>99</v>
      </c>
      <c r="AK22" s="107" t="n">
        <v>4.716383</v>
      </c>
      <c r="AL22" s="107" t="n">
        <v>99.968056</v>
      </c>
      <c r="AM22" s="107" t="n">
        <v>5.6086</v>
      </c>
      <c r="AN22" s="107" t="n">
        <v>97.1293</v>
      </c>
      <c r="AO22" s="107" t="n">
        <v>1358.4</v>
      </c>
      <c r="AP22" s="107" t="n">
        <v>1</v>
      </c>
      <c r="AQ22" s="107" t="n">
        <v>971293</v>
      </c>
      <c r="AR22" s="107" t="n">
        <v>1319404411</v>
      </c>
      <c r="AS22" s="107" t="n">
        <v>990000</v>
      </c>
      <c r="AT22" s="107" t="n">
        <v>1442232000</v>
      </c>
      <c r="AU22" s="107" t="n">
        <v>-18707</v>
      </c>
      <c r="AV22" s="107" t="n">
        <v>-25411589</v>
      </c>
      <c r="AW22" s="107" t="n">
        <v>0</v>
      </c>
      <c r="AX22" s="107" t="n">
        <v>0</v>
      </c>
      <c r="AY22" s="107" t="n">
        <v>0</v>
      </c>
      <c r="AZ22" s="107" t="n">
        <v>0</v>
      </c>
      <c r="BA22" s="107" t="n">
        <v>0</v>
      </c>
      <c r="BB22" s="107" t="n">
        <v>0</v>
      </c>
      <c r="BC22" s="107" t="n">
        <v>0</v>
      </c>
      <c r="BD22" s="107" t="n">
        <v>0</v>
      </c>
      <c r="BE22" s="107" t="n">
        <v>9680.56</v>
      </c>
      <c r="BF22" s="107" t="n">
        <v>13150072</v>
      </c>
      <c r="BG22" s="107" t="n">
        <v>0</v>
      </c>
      <c r="BH22" s="107" t="n">
        <v>0</v>
      </c>
      <c r="BI22" s="107" t="n">
        <v>1980000</v>
      </c>
      <c r="BJ22" s="107" t="n">
        <v>2884464000</v>
      </c>
      <c r="BK22" s="107" t="n">
        <v>0</v>
      </c>
      <c r="BL22" s="107" t="n">
        <v>0</v>
      </c>
      <c r="BM22" s="107" t="n">
        <v>0</v>
      </c>
      <c r="BN22" s="107" t="n">
        <v>0</v>
      </c>
      <c r="BO22" s="107" t="s">
        <v>374</v>
      </c>
      <c r="BP22" s="2"/>
      <c r="BQ22" s="107" t="s">
        <v>374</v>
      </c>
      <c r="BR22" s="107" t="n">
        <v>-97416000</v>
      </c>
      <c r="BS22" s="107" t="n">
        <v>0</v>
      </c>
      <c r="BT22" s="107" t="n">
        <v>0</v>
      </c>
      <c r="BU22" s="107" t="n">
        <v>0</v>
      </c>
      <c r="BV22" s="107" t="n">
        <v>0</v>
      </c>
      <c r="BW22" s="107" t="n">
        <v>9680.56</v>
      </c>
      <c r="BX22" s="107" t="n">
        <v>13150072</v>
      </c>
      <c r="BY22" s="107" t="n">
        <v>0</v>
      </c>
      <c r="BZ22" s="107" t="n">
        <v>0</v>
      </c>
      <c r="CA22" s="107" t="n">
        <v>1456.8</v>
      </c>
      <c r="CB22" s="2"/>
      <c r="CC22" s="107" t="n">
        <v>0</v>
      </c>
      <c r="CD22" s="107" t="n">
        <v>97.04</v>
      </c>
      <c r="CE22" s="107" t="n">
        <v>97.19</v>
      </c>
      <c r="CF22" s="107" t="n">
        <v>97.17</v>
      </c>
      <c r="CG22" s="107" t="n">
        <v>1000000</v>
      </c>
      <c r="CH22" s="107" t="n">
        <v>2.0668</v>
      </c>
      <c r="CI22" s="107" t="n">
        <v>99.8</v>
      </c>
      <c r="CJ22" s="107" t="n">
        <v>99.8</v>
      </c>
      <c r="CK22" s="107" t="n">
        <v>99.8</v>
      </c>
      <c r="CL22" s="107" t="n">
        <v>9000000</v>
      </c>
    </row>
    <row r="23" customFormat="false" ht="15" hidden="false" customHeight="false" outlineLevel="0" collapsed="false">
      <c r="A23" s="107" t="s">
        <v>407</v>
      </c>
      <c r="B23" s="107" t="n">
        <v>96.3757</v>
      </c>
      <c r="C23" s="107" t="n">
        <v>5.8878</v>
      </c>
      <c r="D23" s="107" t="n">
        <v>3.977</v>
      </c>
      <c r="E23" s="107" t="n">
        <v>-383.2861589</v>
      </c>
      <c r="F23" s="108" t="s">
        <v>358</v>
      </c>
      <c r="G23" s="107" t="n">
        <v>3.977</v>
      </c>
      <c r="H23" s="107" t="n">
        <v>-383.2861589</v>
      </c>
      <c r="I23" s="109" t="n">
        <v>48017</v>
      </c>
      <c r="J23" s="107" t="n">
        <v>5</v>
      </c>
      <c r="K23" s="107" t="s">
        <v>359</v>
      </c>
      <c r="L23" s="107" t="s">
        <v>298</v>
      </c>
      <c r="M23" s="107" t="n">
        <v>3977000</v>
      </c>
      <c r="N23" s="107" t="n">
        <v>100.063</v>
      </c>
      <c r="O23" s="107" t="n">
        <v>963757</v>
      </c>
      <c r="P23" s="107" t="s">
        <v>399</v>
      </c>
      <c r="Q23" s="107" t="s">
        <v>374</v>
      </c>
      <c r="R23" s="107" t="n">
        <v>-0.132526958347367</v>
      </c>
      <c r="S23" s="107" t="n">
        <v>-0.0368497846356796</v>
      </c>
      <c r="T23" s="107" t="n">
        <v>-394.57175337</v>
      </c>
      <c r="U23" s="107" t="n">
        <v>21069</v>
      </c>
      <c r="V23" s="108" t="s">
        <v>362</v>
      </c>
      <c r="W23" s="107" t="n">
        <v>28096</v>
      </c>
      <c r="X23" s="108" t="s">
        <v>372</v>
      </c>
      <c r="Y23" s="107" t="s">
        <v>407</v>
      </c>
      <c r="Z23" s="107" t="s">
        <v>408</v>
      </c>
      <c r="AA23" s="109" t="n">
        <v>46191</v>
      </c>
      <c r="AB23" s="107" t="n">
        <v>260618000001</v>
      </c>
      <c r="AC23" s="109" t="n">
        <v>46191</v>
      </c>
      <c r="AD23" s="109" t="n">
        <v>48017</v>
      </c>
      <c r="AE23" s="107" t="n">
        <v>5</v>
      </c>
      <c r="AF23" s="107" t="n">
        <v>4.0918</v>
      </c>
      <c r="AG23" s="107" t="n">
        <v>1722</v>
      </c>
      <c r="AH23" s="107" t="n">
        <v>1000000</v>
      </c>
      <c r="AI23" s="107" t="n">
        <v>4.985609</v>
      </c>
      <c r="AJ23" s="107" t="n">
        <v>100.063</v>
      </c>
      <c r="AK23" s="107" t="n">
        <v>4.983029</v>
      </c>
      <c r="AL23" s="107" t="n">
        <v>101.479667</v>
      </c>
      <c r="AM23" s="107" t="n">
        <v>5.863</v>
      </c>
      <c r="AN23" s="107" t="n">
        <v>96.4765</v>
      </c>
      <c r="AO23" s="107" t="n">
        <v>1358.4</v>
      </c>
      <c r="AP23" s="107" t="n">
        <v>1</v>
      </c>
      <c r="AQ23" s="107" t="n">
        <v>964765</v>
      </c>
      <c r="AR23" s="107" t="n">
        <v>1310536776</v>
      </c>
      <c r="AS23" s="107" t="n">
        <v>1000630</v>
      </c>
      <c r="AT23" s="107" t="n">
        <v>1510951300</v>
      </c>
      <c r="AU23" s="107" t="n">
        <v>-35865</v>
      </c>
      <c r="AV23" s="107" t="n">
        <v>-48719016</v>
      </c>
      <c r="AW23" s="107" t="n">
        <v>0</v>
      </c>
      <c r="AX23" s="107" t="n">
        <v>0</v>
      </c>
      <c r="AY23" s="107" t="n">
        <v>0</v>
      </c>
      <c r="AZ23" s="107" t="n">
        <v>0</v>
      </c>
      <c r="BA23" s="107" t="n">
        <v>0</v>
      </c>
      <c r="BB23" s="107" t="n">
        <v>0</v>
      </c>
      <c r="BC23" s="107" t="n">
        <v>0</v>
      </c>
      <c r="BD23" s="107" t="n">
        <v>0</v>
      </c>
      <c r="BE23" s="107" t="n">
        <v>14166.67</v>
      </c>
      <c r="BF23" s="107" t="n">
        <v>19244004</v>
      </c>
      <c r="BG23" s="107" t="n">
        <v>0</v>
      </c>
      <c r="BH23" s="107" t="n">
        <v>0</v>
      </c>
      <c r="BI23" s="107" t="n">
        <v>1000630</v>
      </c>
      <c r="BJ23" s="107" t="n">
        <v>1510951300</v>
      </c>
      <c r="BK23" s="107" t="n">
        <v>0</v>
      </c>
      <c r="BL23" s="107" t="n">
        <v>0</v>
      </c>
      <c r="BM23" s="107" t="n">
        <v>0</v>
      </c>
      <c r="BN23" s="107" t="n">
        <v>0</v>
      </c>
      <c r="BO23" s="107" t="s">
        <v>374</v>
      </c>
      <c r="BP23" s="2"/>
      <c r="BQ23" s="107" t="s">
        <v>374</v>
      </c>
      <c r="BR23" s="107" t="n">
        <v>-151695508</v>
      </c>
      <c r="BS23" s="107" t="n">
        <v>0</v>
      </c>
      <c r="BT23" s="107" t="n">
        <v>0</v>
      </c>
      <c r="BU23" s="107" t="n">
        <v>0</v>
      </c>
      <c r="BV23" s="107" t="n">
        <v>0</v>
      </c>
      <c r="BW23" s="107" t="n">
        <v>14166.67</v>
      </c>
      <c r="BX23" s="107" t="n">
        <v>19244004</v>
      </c>
      <c r="BY23" s="107" t="n">
        <v>0</v>
      </c>
      <c r="BZ23" s="107" t="n">
        <v>0</v>
      </c>
      <c r="CA23" s="107" t="n">
        <v>1510</v>
      </c>
      <c r="CB23" s="2"/>
      <c r="CC23" s="107" t="n">
        <v>0</v>
      </c>
      <c r="CD23" s="107" t="n">
        <v>96.43</v>
      </c>
      <c r="CE23" s="107" t="n">
        <v>96.52</v>
      </c>
      <c r="CF23" s="107" t="n">
        <v>96.49</v>
      </c>
      <c r="CG23" s="107" t="n">
        <v>1000000</v>
      </c>
      <c r="CH23" s="107" t="n">
        <v>3.9753</v>
      </c>
      <c r="CI23" s="107" t="n">
        <v>100</v>
      </c>
      <c r="CJ23" s="107" t="n">
        <v>100</v>
      </c>
      <c r="CK23" s="107" t="n">
        <v>100.04</v>
      </c>
      <c r="CL23" s="107" t="n">
        <v>1000000</v>
      </c>
    </row>
    <row r="24" customFormat="false" ht="15" hidden="false" customHeight="false" outlineLevel="0" collapsed="false">
      <c r="A24" s="107" t="s">
        <v>409</v>
      </c>
      <c r="B24" s="107" t="n">
        <v>95.6438</v>
      </c>
      <c r="C24" s="107" t="n">
        <v>5.8651</v>
      </c>
      <c r="D24" s="107" t="n">
        <v>3.9249</v>
      </c>
      <c r="E24" s="107" t="n">
        <v>-3753.9235062</v>
      </c>
      <c r="F24" s="108" t="s">
        <v>358</v>
      </c>
      <c r="G24" s="107" t="n">
        <v>3.9249</v>
      </c>
      <c r="H24" s="107" t="n">
        <v>-3753.9235062</v>
      </c>
      <c r="I24" s="109" t="n">
        <v>47930</v>
      </c>
      <c r="J24" s="107" t="n">
        <v>5</v>
      </c>
      <c r="K24" s="108" t="s">
        <v>90</v>
      </c>
      <c r="L24" s="107" t="s">
        <v>298</v>
      </c>
      <c r="M24" s="107" t="n">
        <v>39249000</v>
      </c>
      <c r="N24" s="107" t="n">
        <v>99.565</v>
      </c>
      <c r="O24" s="107" t="n">
        <v>9564380</v>
      </c>
      <c r="P24" s="107" t="s">
        <v>410</v>
      </c>
      <c r="Q24" s="107" t="s">
        <v>106</v>
      </c>
      <c r="R24" s="107" t="n">
        <v>-0.135553041557547</v>
      </c>
      <c r="S24" s="107" t="n">
        <v>-0.0393833174308241</v>
      </c>
      <c r="T24" s="107" t="n">
        <v>-3864.00952</v>
      </c>
      <c r="U24" s="107" t="n">
        <v>21069</v>
      </c>
      <c r="V24" s="108" t="s">
        <v>362</v>
      </c>
      <c r="W24" s="107" t="n">
        <v>28096</v>
      </c>
      <c r="X24" s="108" t="s">
        <v>372</v>
      </c>
      <c r="Y24" s="107" t="s">
        <v>409</v>
      </c>
      <c r="Z24" s="107" t="s">
        <v>411</v>
      </c>
      <c r="AA24" s="109" t="n">
        <v>46177</v>
      </c>
      <c r="AB24" s="107" t="n">
        <v>260604000001</v>
      </c>
      <c r="AC24" s="109" t="n">
        <v>46104</v>
      </c>
      <c r="AD24" s="109" t="n">
        <v>48296</v>
      </c>
      <c r="AE24" s="107" t="n">
        <v>4.803</v>
      </c>
      <c r="AF24" s="107" t="n">
        <v>4.0361</v>
      </c>
      <c r="AG24" s="107" t="n">
        <v>2001</v>
      </c>
      <c r="AH24" s="107" t="n">
        <v>10000000</v>
      </c>
      <c r="AI24" s="107" t="n">
        <v>4.904118</v>
      </c>
      <c r="AJ24" s="107" t="n">
        <v>99.565</v>
      </c>
      <c r="AK24" s="107" t="n">
        <v>4.894225</v>
      </c>
      <c r="AL24" s="107" t="n">
        <v>99.658391</v>
      </c>
      <c r="AM24" s="107" t="n">
        <v>5.8188</v>
      </c>
      <c r="AN24" s="107" t="n">
        <v>95.834</v>
      </c>
      <c r="AO24" s="107" t="n">
        <v>1358.4</v>
      </c>
      <c r="AP24" s="107" t="n">
        <v>1</v>
      </c>
      <c r="AQ24" s="107" t="n">
        <v>9583400</v>
      </c>
      <c r="AR24" s="107" t="n">
        <v>13018090560</v>
      </c>
      <c r="AS24" s="107" t="n">
        <v>9956500</v>
      </c>
      <c r="AT24" s="107" t="n">
        <v>15047258450</v>
      </c>
      <c r="AU24" s="107" t="n">
        <v>-373100</v>
      </c>
      <c r="AV24" s="107" t="n">
        <v>-506819040</v>
      </c>
      <c r="AW24" s="107" t="n">
        <v>0</v>
      </c>
      <c r="AX24" s="107" t="n">
        <v>0</v>
      </c>
      <c r="AY24" s="107" t="n">
        <v>0</v>
      </c>
      <c r="AZ24" s="107" t="n">
        <v>0</v>
      </c>
      <c r="BA24" s="107" t="n">
        <v>0</v>
      </c>
      <c r="BB24" s="107" t="n">
        <v>0</v>
      </c>
      <c r="BC24" s="107" t="n">
        <v>0</v>
      </c>
      <c r="BD24" s="107" t="n">
        <v>0</v>
      </c>
      <c r="BE24" s="107" t="n">
        <v>9339.17</v>
      </c>
      <c r="BF24" s="107" t="n">
        <v>12686328</v>
      </c>
      <c r="BG24" s="107" t="n">
        <v>0</v>
      </c>
      <c r="BH24" s="107" t="n">
        <v>0</v>
      </c>
      <c r="BI24" s="107" t="n">
        <v>9956500</v>
      </c>
      <c r="BJ24" s="107" t="n">
        <v>15047258450</v>
      </c>
      <c r="BK24" s="107" t="n">
        <v>0</v>
      </c>
      <c r="BL24" s="107" t="n">
        <v>0</v>
      </c>
      <c r="BM24" s="107" t="n">
        <v>0</v>
      </c>
      <c r="BN24" s="107" t="n">
        <v>0</v>
      </c>
      <c r="BO24" s="107" t="s">
        <v>374</v>
      </c>
      <c r="BP24" s="2"/>
      <c r="BQ24" s="107" t="s">
        <v>367</v>
      </c>
      <c r="BR24" s="107" t="n">
        <v>-1522348850</v>
      </c>
      <c r="BS24" s="107" t="n">
        <v>0</v>
      </c>
      <c r="BT24" s="107" t="n">
        <v>0</v>
      </c>
      <c r="BU24" s="107" t="n">
        <v>0</v>
      </c>
      <c r="BV24" s="107" t="n">
        <v>0</v>
      </c>
      <c r="BW24" s="107" t="n">
        <v>9339.17</v>
      </c>
      <c r="BX24" s="107" t="n">
        <v>12686328</v>
      </c>
      <c r="BY24" s="107" t="n">
        <v>0</v>
      </c>
      <c r="BZ24" s="107" t="n">
        <v>0</v>
      </c>
      <c r="CA24" s="107" t="n">
        <v>1511.3</v>
      </c>
      <c r="CB24" s="2"/>
      <c r="CC24" s="107" t="n">
        <v>0</v>
      </c>
      <c r="CD24" s="107" t="n">
        <v>95.85</v>
      </c>
      <c r="CE24" s="107" t="n">
        <v>95.84</v>
      </c>
      <c r="CF24" s="107" t="n">
        <v>95.82</v>
      </c>
      <c r="CG24" s="107" t="n">
        <v>0</v>
      </c>
      <c r="CH24" s="107" t="n">
        <v>3.922</v>
      </c>
      <c r="CI24" s="107" t="n">
        <v>100.74</v>
      </c>
      <c r="CJ24" s="107" t="n">
        <v>100.78</v>
      </c>
      <c r="CK24" s="107" t="n">
        <v>100.85</v>
      </c>
      <c r="CL24" s="107" t="n">
        <v>5000000</v>
      </c>
    </row>
    <row r="25" customFormat="false" ht="15" hidden="false" customHeight="false" outlineLevel="0" collapsed="false">
      <c r="A25" s="107" t="s">
        <v>412</v>
      </c>
      <c r="B25" s="107" t="n">
        <v>96.7116</v>
      </c>
      <c r="C25" s="107" t="n">
        <v>5.7939</v>
      </c>
      <c r="D25" s="107" t="n">
        <v>4.1314</v>
      </c>
      <c r="E25" s="107" t="n">
        <v>-3995.5430424</v>
      </c>
      <c r="F25" s="108" t="s">
        <v>358</v>
      </c>
      <c r="G25" s="107" t="n">
        <v>4.1314</v>
      </c>
      <c r="H25" s="107" t="n">
        <v>-3995.5430424</v>
      </c>
      <c r="I25" s="109" t="n">
        <v>48052</v>
      </c>
      <c r="J25" s="107" t="n">
        <v>5</v>
      </c>
      <c r="K25" s="108" t="s">
        <v>384</v>
      </c>
      <c r="L25" s="107" t="s">
        <v>298</v>
      </c>
      <c r="M25" s="107" t="n">
        <v>41314000</v>
      </c>
      <c r="N25" s="107" t="n">
        <v>99.76</v>
      </c>
      <c r="O25" s="107" t="n">
        <v>9671160</v>
      </c>
      <c r="P25" s="107" t="s">
        <v>413</v>
      </c>
      <c r="Q25" s="107" t="s">
        <v>367</v>
      </c>
      <c r="R25" s="107" t="n">
        <v>-0.0470930754191673</v>
      </c>
      <c r="S25" s="107" t="n">
        <v>-0.0305573376102647</v>
      </c>
      <c r="T25" s="107" t="n">
        <v>-4111.3068276</v>
      </c>
      <c r="U25" s="107" t="n">
        <v>21069</v>
      </c>
      <c r="V25" s="108" t="s">
        <v>362</v>
      </c>
      <c r="W25" s="107" t="n">
        <v>28096</v>
      </c>
      <c r="X25" s="108" t="s">
        <v>372</v>
      </c>
      <c r="Y25" s="107" t="s">
        <v>412</v>
      </c>
      <c r="Z25" s="107" t="s">
        <v>414</v>
      </c>
      <c r="AA25" s="109" t="n">
        <v>46259</v>
      </c>
      <c r="AB25" s="107" t="n">
        <v>260825000001</v>
      </c>
      <c r="AC25" s="109" t="n">
        <v>46226</v>
      </c>
      <c r="AD25" s="109" t="n">
        <v>48418</v>
      </c>
      <c r="AE25" s="107" t="n">
        <v>5.041</v>
      </c>
      <c r="AF25" s="107" t="n">
        <v>4.2473</v>
      </c>
      <c r="AG25" s="107" t="n">
        <v>2123</v>
      </c>
      <c r="AH25" s="107" t="n">
        <v>10000000</v>
      </c>
      <c r="AI25" s="107" t="n">
        <v>5.09578</v>
      </c>
      <c r="AJ25" s="107" t="n">
        <v>99.76</v>
      </c>
      <c r="AK25" s="107" t="n">
        <v>5.087721</v>
      </c>
      <c r="AL25" s="107" t="n">
        <v>100.698186</v>
      </c>
      <c r="AM25" s="107" t="n">
        <v>5.7546</v>
      </c>
      <c r="AN25" s="107" t="n">
        <v>96.8843</v>
      </c>
      <c r="AO25" s="107" t="n">
        <v>1358.4</v>
      </c>
      <c r="AP25" s="107" t="n">
        <v>1</v>
      </c>
      <c r="AQ25" s="107" t="n">
        <v>9688430</v>
      </c>
      <c r="AR25" s="107" t="n">
        <v>13160763312</v>
      </c>
      <c r="AS25" s="107" t="n">
        <v>9976000</v>
      </c>
      <c r="AT25" s="107" t="n">
        <v>13802793600</v>
      </c>
      <c r="AU25" s="107" t="n">
        <v>-287570</v>
      </c>
      <c r="AV25" s="107" t="n">
        <v>-390635088</v>
      </c>
      <c r="AW25" s="107" t="n">
        <v>44808.89</v>
      </c>
      <c r="AX25" s="107" t="n">
        <v>61997580</v>
      </c>
      <c r="AY25" s="107" t="n">
        <v>0</v>
      </c>
      <c r="AZ25" s="107" t="n">
        <v>0</v>
      </c>
      <c r="BA25" s="107" t="n">
        <v>0</v>
      </c>
      <c r="BB25" s="107" t="n">
        <v>0</v>
      </c>
      <c r="BC25" s="107" t="n">
        <v>0</v>
      </c>
      <c r="BD25" s="107" t="n">
        <v>0</v>
      </c>
      <c r="BE25" s="107" t="n">
        <v>49009.72</v>
      </c>
      <c r="BF25" s="107" t="n">
        <v>66574803</v>
      </c>
      <c r="BG25" s="107" t="n">
        <v>0</v>
      </c>
      <c r="BH25" s="107" t="n">
        <v>0</v>
      </c>
      <c r="BI25" s="107" t="n">
        <v>9976000</v>
      </c>
      <c r="BJ25" s="107" t="n">
        <v>13802793600</v>
      </c>
      <c r="BK25" s="107" t="n">
        <v>0</v>
      </c>
      <c r="BL25" s="107" t="n">
        <v>0</v>
      </c>
      <c r="BM25" s="107" t="n">
        <v>0</v>
      </c>
      <c r="BN25" s="107" t="n">
        <v>0</v>
      </c>
      <c r="BO25" s="107" t="s">
        <v>106</v>
      </c>
      <c r="BP25" s="2"/>
      <c r="BQ25" s="107" t="s">
        <v>364</v>
      </c>
      <c r="BR25" s="107" t="n">
        <v>-251395200</v>
      </c>
      <c r="BS25" s="107" t="n">
        <v>-1129184</v>
      </c>
      <c r="BT25" s="107" t="n">
        <v>0</v>
      </c>
      <c r="BU25" s="107" t="n">
        <v>0</v>
      </c>
      <c r="BV25" s="107" t="n">
        <v>0</v>
      </c>
      <c r="BW25" s="107" t="n">
        <v>93818.61</v>
      </c>
      <c r="BX25" s="107" t="n">
        <v>127443199</v>
      </c>
      <c r="BY25" s="107" t="n">
        <v>0</v>
      </c>
      <c r="BZ25" s="107" t="n">
        <v>0</v>
      </c>
      <c r="CA25" s="107" t="n">
        <v>1383.6</v>
      </c>
      <c r="CB25" s="2"/>
      <c r="CC25" s="107" t="n">
        <v>0</v>
      </c>
      <c r="CD25" s="107" t="n">
        <v>96.92</v>
      </c>
      <c r="CE25" s="107" t="n">
        <v>96.87</v>
      </c>
      <c r="CF25" s="107" t="n">
        <v>96.87</v>
      </c>
      <c r="CG25" s="107" t="n">
        <v>518000</v>
      </c>
      <c r="CH25" s="107" t="n">
        <v>4.1285</v>
      </c>
      <c r="CI25" s="107" t="n">
        <v>100.45</v>
      </c>
      <c r="CJ25" s="107" t="n">
        <v>100.36</v>
      </c>
      <c r="CK25" s="107" t="n">
        <v>100.43</v>
      </c>
      <c r="CL25" s="107" t="n">
        <v>5000000</v>
      </c>
    </row>
    <row r="26" customFormat="false" ht="15" hidden="false" customHeight="false" outlineLevel="0" collapsed="false">
      <c r="A26" s="107" t="s">
        <v>415</v>
      </c>
      <c r="B26" s="107" t="n">
        <v>94.8795</v>
      </c>
      <c r="C26" s="107" t="n">
        <v>5.7893</v>
      </c>
      <c r="D26" s="107" t="n">
        <v>3.7602</v>
      </c>
      <c r="E26" s="107" t="n">
        <v>-1783.8294795</v>
      </c>
      <c r="F26" s="108" t="s">
        <v>358</v>
      </c>
      <c r="G26" s="107" t="n">
        <v>3.7602</v>
      </c>
      <c r="H26" s="107" t="n">
        <v>-1783.8294795</v>
      </c>
      <c r="I26" s="109" t="n">
        <v>47862</v>
      </c>
      <c r="J26" s="107" t="n">
        <v>5</v>
      </c>
      <c r="K26" s="108" t="s">
        <v>92</v>
      </c>
      <c r="L26" s="107" t="s">
        <v>298</v>
      </c>
      <c r="M26" s="107" t="n">
        <v>18801000</v>
      </c>
      <c r="N26" s="107" t="n">
        <v>98.53</v>
      </c>
      <c r="O26" s="107" t="n">
        <v>4743975</v>
      </c>
      <c r="P26" s="107" t="s">
        <v>416</v>
      </c>
      <c r="Q26" s="107" t="s">
        <v>374</v>
      </c>
      <c r="R26" s="107" t="n">
        <v>-0.133452984975883</v>
      </c>
      <c r="S26" s="107" t="n">
        <v>-0.0370496295544505</v>
      </c>
      <c r="T26" s="107" t="n">
        <v>-1835.4439275</v>
      </c>
      <c r="U26" s="107" t="n">
        <v>21069</v>
      </c>
      <c r="V26" s="108" t="s">
        <v>362</v>
      </c>
      <c r="W26" s="107" t="n">
        <v>28096</v>
      </c>
      <c r="X26" s="108" t="s">
        <v>372</v>
      </c>
      <c r="Y26" s="107" t="s">
        <v>415</v>
      </c>
      <c r="Z26" s="107" t="s">
        <v>417</v>
      </c>
      <c r="AA26" s="109" t="n">
        <v>46175</v>
      </c>
      <c r="AB26" s="107" t="n">
        <v>260602000001</v>
      </c>
      <c r="AC26" s="109" t="n">
        <v>46036</v>
      </c>
      <c r="AD26" s="109" t="n">
        <v>48227</v>
      </c>
      <c r="AE26" s="107" t="n">
        <v>4.505</v>
      </c>
      <c r="AF26" s="107" t="n">
        <v>3.8669</v>
      </c>
      <c r="AG26" s="107" t="n">
        <v>1932</v>
      </c>
      <c r="AH26" s="107" t="n">
        <v>5000000</v>
      </c>
      <c r="AI26" s="107" t="n">
        <v>4.863146</v>
      </c>
      <c r="AJ26" s="107" t="n">
        <v>98.53</v>
      </c>
      <c r="AK26" s="107" t="n">
        <v>4.821789</v>
      </c>
      <c r="AL26" s="107" t="n">
        <v>99.481055</v>
      </c>
      <c r="AM26" s="107" t="n">
        <v>5.7549</v>
      </c>
      <c r="AN26" s="107" t="n">
        <v>95.0151</v>
      </c>
      <c r="AO26" s="107" t="n">
        <v>1358.4</v>
      </c>
      <c r="AP26" s="107" t="n">
        <v>1</v>
      </c>
      <c r="AQ26" s="107" t="n">
        <v>4750755</v>
      </c>
      <c r="AR26" s="107" t="n">
        <v>6453425592</v>
      </c>
      <c r="AS26" s="107" t="n">
        <v>4926500</v>
      </c>
      <c r="AT26" s="107" t="n">
        <v>7445419450</v>
      </c>
      <c r="AU26" s="107" t="n">
        <v>-175745</v>
      </c>
      <c r="AV26" s="107" t="n">
        <v>-238732008</v>
      </c>
      <c r="AW26" s="107" t="n">
        <v>0</v>
      </c>
      <c r="AX26" s="107" t="n">
        <v>0</v>
      </c>
      <c r="AY26" s="107" t="n">
        <v>0</v>
      </c>
      <c r="AZ26" s="107" t="n">
        <v>0</v>
      </c>
      <c r="BA26" s="107" t="n">
        <v>0</v>
      </c>
      <c r="BB26" s="107" t="n">
        <v>0</v>
      </c>
      <c r="BC26" s="107" t="n">
        <v>0</v>
      </c>
      <c r="BD26" s="107" t="n">
        <v>0</v>
      </c>
      <c r="BE26" s="107" t="n">
        <v>47552.78</v>
      </c>
      <c r="BF26" s="107" t="n">
        <v>64595696</v>
      </c>
      <c r="BG26" s="107" t="n">
        <v>0</v>
      </c>
      <c r="BH26" s="107" t="n">
        <v>0</v>
      </c>
      <c r="BI26" s="107" t="n">
        <v>4926500</v>
      </c>
      <c r="BJ26" s="107" t="n">
        <v>7445419450</v>
      </c>
      <c r="BK26" s="107" t="n">
        <v>0</v>
      </c>
      <c r="BL26" s="107" t="n">
        <v>0</v>
      </c>
      <c r="BM26" s="107" t="n">
        <v>0</v>
      </c>
      <c r="BN26" s="107" t="n">
        <v>0</v>
      </c>
      <c r="BO26" s="107" t="s">
        <v>374</v>
      </c>
      <c r="BP26" s="107" t="s">
        <v>418</v>
      </c>
      <c r="BQ26" s="107" t="s">
        <v>374</v>
      </c>
      <c r="BR26" s="107" t="n">
        <v>-753261850</v>
      </c>
      <c r="BS26" s="107" t="n">
        <v>0</v>
      </c>
      <c r="BT26" s="107" t="n">
        <v>0</v>
      </c>
      <c r="BU26" s="107" t="n">
        <v>0</v>
      </c>
      <c r="BV26" s="107" t="n">
        <v>0</v>
      </c>
      <c r="BW26" s="107" t="n">
        <v>47552.78</v>
      </c>
      <c r="BX26" s="107" t="n">
        <v>64595696</v>
      </c>
      <c r="BY26" s="107" t="n">
        <v>0</v>
      </c>
      <c r="BZ26" s="107" t="n">
        <v>0</v>
      </c>
      <c r="CA26" s="107" t="n">
        <v>1511.3</v>
      </c>
      <c r="CB26" s="2"/>
      <c r="CC26" s="107" t="n">
        <v>0</v>
      </c>
      <c r="CD26" s="107" t="n">
        <v>94.99</v>
      </c>
      <c r="CE26" s="107" t="n">
        <v>95.06</v>
      </c>
      <c r="CF26" s="107" t="n">
        <v>95</v>
      </c>
      <c r="CG26" s="107" t="n">
        <v>0</v>
      </c>
      <c r="CH26" s="107" t="n">
        <v>3.7587</v>
      </c>
      <c r="CI26" s="107" t="n">
        <v>100.3</v>
      </c>
      <c r="CJ26" s="107" t="n">
        <v>100.38</v>
      </c>
      <c r="CK26" s="107" t="n">
        <v>100.39</v>
      </c>
      <c r="CL26" s="107" t="n">
        <v>10000000</v>
      </c>
    </row>
    <row r="27" customFormat="false" ht="15" hidden="false" customHeight="false" outlineLevel="0" collapsed="false">
      <c r="A27" s="107" t="s">
        <v>419</v>
      </c>
      <c r="B27" s="107" t="n">
        <v>96.4731</v>
      </c>
      <c r="C27" s="107" t="n">
        <v>5.6932</v>
      </c>
      <c r="D27" s="107" t="n">
        <v>3.3281</v>
      </c>
      <c r="E27" s="107" t="n">
        <v>-321.07212411</v>
      </c>
      <c r="F27" s="108" t="s">
        <v>358</v>
      </c>
      <c r="G27" s="107" t="n">
        <v>3.3281</v>
      </c>
      <c r="H27" s="107" t="n">
        <v>-321.07212411</v>
      </c>
      <c r="I27" s="109" t="n">
        <v>47672</v>
      </c>
      <c r="J27" s="107" t="n">
        <v>5</v>
      </c>
      <c r="K27" s="108" t="s">
        <v>92</v>
      </c>
      <c r="L27" s="107" t="s">
        <v>298</v>
      </c>
      <c r="M27" s="107" t="n">
        <v>3328100</v>
      </c>
      <c r="N27" s="107" t="n">
        <v>99.726</v>
      </c>
      <c r="O27" s="107" t="n">
        <v>964731</v>
      </c>
      <c r="P27" s="107" t="s">
        <v>420</v>
      </c>
      <c r="Q27" s="107" t="s">
        <v>106</v>
      </c>
      <c r="R27" s="107" t="n">
        <v>-0.129465353741919</v>
      </c>
      <c r="S27" s="107" t="n">
        <v>-0.0326183743457073</v>
      </c>
      <c r="T27" s="107" t="n">
        <v>-330.20812668</v>
      </c>
      <c r="U27" s="107" t="n">
        <v>21069</v>
      </c>
      <c r="V27" s="108" t="s">
        <v>362</v>
      </c>
      <c r="W27" s="107" t="n">
        <v>28096</v>
      </c>
      <c r="X27" s="108" t="s">
        <v>372</v>
      </c>
      <c r="Y27" s="107" t="s">
        <v>419</v>
      </c>
      <c r="Z27" s="107" t="s">
        <v>421</v>
      </c>
      <c r="AA27" s="109" t="n">
        <v>46175</v>
      </c>
      <c r="AB27" s="107" t="n">
        <v>260602000001</v>
      </c>
      <c r="AC27" s="109" t="n">
        <v>45846</v>
      </c>
      <c r="AD27" s="109" t="n">
        <v>48037</v>
      </c>
      <c r="AE27" s="107" t="n">
        <v>4.711</v>
      </c>
      <c r="AF27" s="107" t="n">
        <v>3.4212</v>
      </c>
      <c r="AG27" s="107" t="n">
        <v>1742</v>
      </c>
      <c r="AH27" s="107" t="n">
        <v>1000000</v>
      </c>
      <c r="AI27" s="107" t="n">
        <v>4.784179</v>
      </c>
      <c r="AJ27" s="107" t="n">
        <v>99.726</v>
      </c>
      <c r="AK27" s="107" t="n">
        <v>4.774252</v>
      </c>
      <c r="AL27" s="107" t="n">
        <v>100.799061</v>
      </c>
      <c r="AM27" s="107" t="n">
        <v>5.6518</v>
      </c>
      <c r="AN27" s="107" t="n">
        <v>96.6183</v>
      </c>
      <c r="AO27" s="107" t="n">
        <v>1358.4</v>
      </c>
      <c r="AP27" s="107" t="n">
        <v>1</v>
      </c>
      <c r="AQ27" s="107" t="n">
        <v>966183</v>
      </c>
      <c r="AR27" s="107" t="n">
        <v>1312462987</v>
      </c>
      <c r="AS27" s="107" t="n">
        <v>997260</v>
      </c>
      <c r="AT27" s="107" t="n">
        <v>1507159038</v>
      </c>
      <c r="AU27" s="107" t="n">
        <v>-31077</v>
      </c>
      <c r="AV27" s="107" t="n">
        <v>-42214997</v>
      </c>
      <c r="AW27" s="107" t="n">
        <v>0</v>
      </c>
      <c r="AX27" s="107" t="n">
        <v>0</v>
      </c>
      <c r="AY27" s="107" t="n">
        <v>0</v>
      </c>
      <c r="AZ27" s="107" t="n">
        <v>0</v>
      </c>
      <c r="BA27" s="107" t="n">
        <v>0</v>
      </c>
      <c r="BB27" s="107" t="n">
        <v>0</v>
      </c>
      <c r="BC27" s="107" t="n">
        <v>0</v>
      </c>
      <c r="BD27" s="107" t="n">
        <v>0</v>
      </c>
      <c r="BE27" s="107" t="n">
        <v>10730.61</v>
      </c>
      <c r="BF27" s="107" t="n">
        <v>14576460</v>
      </c>
      <c r="BG27" s="107" t="n">
        <v>0</v>
      </c>
      <c r="BH27" s="107" t="n">
        <v>0</v>
      </c>
      <c r="BI27" s="107" t="n">
        <v>997260</v>
      </c>
      <c r="BJ27" s="107" t="n">
        <v>1507159038</v>
      </c>
      <c r="BK27" s="107" t="n">
        <v>0</v>
      </c>
      <c r="BL27" s="107" t="n">
        <v>0</v>
      </c>
      <c r="BM27" s="107" t="n">
        <v>0</v>
      </c>
      <c r="BN27" s="107" t="n">
        <v>0</v>
      </c>
      <c r="BO27" s="107" t="s">
        <v>374</v>
      </c>
      <c r="BP27" s="2"/>
      <c r="BQ27" s="107" t="s">
        <v>374</v>
      </c>
      <c r="BR27" s="107" t="n">
        <v>-152481054</v>
      </c>
      <c r="BS27" s="107" t="n">
        <v>0</v>
      </c>
      <c r="BT27" s="107" t="n">
        <v>0</v>
      </c>
      <c r="BU27" s="107" t="n">
        <v>0</v>
      </c>
      <c r="BV27" s="107" t="n">
        <v>0</v>
      </c>
      <c r="BW27" s="107" t="n">
        <v>10730.61</v>
      </c>
      <c r="BX27" s="107" t="n">
        <v>14576460</v>
      </c>
      <c r="BY27" s="107" t="n">
        <v>0</v>
      </c>
      <c r="BZ27" s="107" t="n">
        <v>0</v>
      </c>
      <c r="CA27" s="107" t="n">
        <v>1511.3</v>
      </c>
      <c r="CB27" s="2"/>
      <c r="CC27" s="107" t="n">
        <v>0</v>
      </c>
      <c r="CD27" s="107" t="n">
        <v>96.59</v>
      </c>
      <c r="CE27" s="107" t="n">
        <v>96.64</v>
      </c>
      <c r="CF27" s="107" t="n">
        <v>96.62</v>
      </c>
      <c r="CG27" s="107" t="n">
        <v>0</v>
      </c>
      <c r="CH27" s="107" t="n">
        <v>3.3272</v>
      </c>
      <c r="CI27" s="107" t="n">
        <v>101.24</v>
      </c>
      <c r="CJ27" s="107" t="n">
        <v>101.24</v>
      </c>
      <c r="CK27" s="107" t="n">
        <v>101.3</v>
      </c>
      <c r="CL27" s="107" t="n">
        <v>0</v>
      </c>
    </row>
    <row r="28" customFormat="false" ht="15" hidden="false" customHeight="false" outlineLevel="0" collapsed="false">
      <c r="A28" s="107" t="s">
        <v>422</v>
      </c>
      <c r="B28" s="107" t="n">
        <v>99.3545</v>
      </c>
      <c r="C28" s="107" t="n">
        <v>5.3905</v>
      </c>
      <c r="D28" s="107" t="n">
        <v>1.4088</v>
      </c>
      <c r="E28" s="107" t="n">
        <v>-1399.706196</v>
      </c>
      <c r="F28" s="108" t="s">
        <v>358</v>
      </c>
      <c r="G28" s="107" t="n">
        <v>1.4088</v>
      </c>
      <c r="H28" s="107" t="n">
        <v>-1399.706196</v>
      </c>
      <c r="I28" s="109" t="n">
        <v>46855</v>
      </c>
      <c r="J28" s="107" t="n">
        <v>2</v>
      </c>
      <c r="K28" s="108" t="s">
        <v>384</v>
      </c>
      <c r="L28" s="107" t="s">
        <v>298</v>
      </c>
      <c r="M28" s="107" t="n">
        <v>14088000</v>
      </c>
      <c r="N28" s="107" t="n">
        <v>100.168</v>
      </c>
      <c r="O28" s="107" t="n">
        <v>9935450</v>
      </c>
      <c r="P28" s="107" t="s">
        <v>423</v>
      </c>
      <c r="Q28" s="107" t="s">
        <v>374</v>
      </c>
      <c r="R28" s="107" t="n">
        <v>-0.0774206667563681</v>
      </c>
      <c r="S28" s="107" t="n">
        <v>-0.00812135612171561</v>
      </c>
      <c r="T28" s="107" t="n">
        <v>-1437.460906</v>
      </c>
      <c r="U28" s="107" t="n">
        <v>21069</v>
      </c>
      <c r="V28" s="108" t="s">
        <v>362</v>
      </c>
      <c r="W28" s="107" t="n">
        <v>28096</v>
      </c>
      <c r="X28" s="108" t="s">
        <v>372</v>
      </c>
      <c r="Y28" s="107" t="s">
        <v>422</v>
      </c>
      <c r="Z28" s="107" t="s">
        <v>424</v>
      </c>
      <c r="AA28" s="109" t="n">
        <v>45764</v>
      </c>
      <c r="AB28" s="107" t="n">
        <v>250417000001</v>
      </c>
      <c r="AC28" s="109" t="n">
        <v>45764</v>
      </c>
      <c r="AD28" s="109" t="n">
        <v>47220</v>
      </c>
      <c r="AE28" s="107" t="n">
        <v>4.994</v>
      </c>
      <c r="AF28" s="107" t="n">
        <v>1.4442</v>
      </c>
      <c r="AG28" s="107" t="n">
        <v>925</v>
      </c>
      <c r="AH28" s="107" t="n">
        <v>10000000</v>
      </c>
      <c r="AI28" s="107" t="n">
        <v>4.933098</v>
      </c>
      <c r="AJ28" s="107" t="n">
        <v>100.168</v>
      </c>
      <c r="AK28" s="107" t="n">
        <v>4.099732</v>
      </c>
      <c r="AL28" s="107" t="n">
        <v>104.401233</v>
      </c>
      <c r="AM28" s="107" t="n">
        <v>5.3508</v>
      </c>
      <c r="AN28" s="107" t="n">
        <v>99.4182</v>
      </c>
      <c r="AO28" s="107" t="n">
        <v>1358.4</v>
      </c>
      <c r="AP28" s="107" t="n">
        <v>1</v>
      </c>
      <c r="AQ28" s="107" t="n">
        <v>9941820</v>
      </c>
      <c r="AR28" s="107" t="n">
        <v>13504968288</v>
      </c>
      <c r="AS28" s="107" t="n">
        <v>10207070</v>
      </c>
      <c r="AT28" s="107" t="n">
        <v>14646124743</v>
      </c>
      <c r="AU28" s="107" t="n">
        <v>-265250</v>
      </c>
      <c r="AV28" s="107" t="n">
        <v>-360315600</v>
      </c>
      <c r="AW28" s="107" t="n">
        <v>0</v>
      </c>
      <c r="AX28" s="107" t="n">
        <v>0</v>
      </c>
      <c r="AY28" s="107" t="n">
        <v>0</v>
      </c>
      <c r="AZ28" s="107" t="n">
        <v>0</v>
      </c>
      <c r="BA28" s="107" t="n">
        <v>0</v>
      </c>
      <c r="BB28" s="107" t="n">
        <v>0</v>
      </c>
      <c r="BC28" s="107" t="n">
        <v>0</v>
      </c>
      <c r="BD28" s="107" t="n">
        <v>0</v>
      </c>
      <c r="BE28" s="107" t="n">
        <v>233053.33</v>
      </c>
      <c r="BF28" s="107" t="n">
        <v>316579643</v>
      </c>
      <c r="BG28" s="107" t="n">
        <v>0</v>
      </c>
      <c r="BH28" s="107" t="n">
        <v>0</v>
      </c>
      <c r="BI28" s="107" t="n">
        <v>10016800</v>
      </c>
      <c r="BJ28" s="107" t="n">
        <v>14373106320</v>
      </c>
      <c r="BK28" s="107" t="n">
        <v>0</v>
      </c>
      <c r="BL28" s="107" t="n">
        <v>0</v>
      </c>
      <c r="BM28" s="107" t="n">
        <v>0</v>
      </c>
      <c r="BN28" s="107" t="n">
        <v>0</v>
      </c>
      <c r="BO28" s="107" t="s">
        <v>374</v>
      </c>
      <c r="BP28" s="2"/>
      <c r="BQ28" s="107" t="s">
        <v>367</v>
      </c>
      <c r="BR28" s="107" t="n">
        <v>-780840855</v>
      </c>
      <c r="BS28" s="107" t="n">
        <v>0</v>
      </c>
      <c r="BT28" s="107" t="n">
        <v>0</v>
      </c>
      <c r="BU28" s="107" t="n">
        <v>190270</v>
      </c>
      <c r="BV28" s="107" t="n">
        <v>273018423</v>
      </c>
      <c r="BW28" s="107" t="n">
        <v>233053.33</v>
      </c>
      <c r="BX28" s="107" t="n">
        <v>316579643</v>
      </c>
      <c r="BY28" s="107" t="n">
        <v>0</v>
      </c>
      <c r="BZ28" s="107" t="n">
        <v>0</v>
      </c>
      <c r="CA28" s="107" t="n">
        <v>1434.9</v>
      </c>
      <c r="CB28" s="2"/>
      <c r="CC28" s="107" t="n">
        <v>0</v>
      </c>
      <c r="CD28" s="107" t="n">
        <v>99.43</v>
      </c>
      <c r="CE28" s="107" t="n">
        <v>99.42</v>
      </c>
      <c r="CF28" s="107" t="n">
        <v>99.41</v>
      </c>
      <c r="CG28" s="107" t="n">
        <v>10000000</v>
      </c>
      <c r="CH28" s="107" t="n">
        <v>1.4066</v>
      </c>
      <c r="CI28" s="107" t="n">
        <v>105.96</v>
      </c>
      <c r="CJ28" s="107" t="n">
        <v>106</v>
      </c>
      <c r="CK28" s="107" t="n">
        <v>106.04</v>
      </c>
      <c r="CL28" s="107" t="n">
        <v>0</v>
      </c>
    </row>
    <row r="29" customFormat="false" ht="15" hidden="false" customHeight="false" outlineLevel="0" collapsed="false">
      <c r="A29" s="107" t="s">
        <v>425</v>
      </c>
      <c r="B29" s="107" t="n">
        <v>98.8258</v>
      </c>
      <c r="C29" s="107" t="n">
        <v>5.489</v>
      </c>
      <c r="D29" s="107" t="n">
        <v>1.6548</v>
      </c>
      <c r="E29" s="107" t="n">
        <v>-817.6846692</v>
      </c>
      <c r="F29" s="108" t="s">
        <v>358</v>
      </c>
      <c r="G29" s="107" t="n">
        <v>1.6548</v>
      </c>
      <c r="H29" s="107" t="n">
        <v>-817.6846692</v>
      </c>
      <c r="I29" s="109" t="n">
        <v>46946</v>
      </c>
      <c r="J29" s="107" t="n">
        <v>2</v>
      </c>
      <c r="K29" s="108" t="s">
        <v>384</v>
      </c>
      <c r="L29" s="107" t="s">
        <v>298</v>
      </c>
      <c r="M29" s="107" t="n">
        <v>8274000</v>
      </c>
      <c r="N29" s="107" t="n">
        <v>100.096</v>
      </c>
      <c r="O29" s="108" t="s">
        <v>426</v>
      </c>
      <c r="P29" s="107" t="s">
        <v>423</v>
      </c>
      <c r="Q29" s="107" t="s">
        <v>374</v>
      </c>
      <c r="R29" s="107" t="n">
        <v>-0.0981046159147723</v>
      </c>
      <c r="S29" s="107" t="n">
        <v>-0.0126898177749361</v>
      </c>
      <c r="T29" s="107" t="n">
        <v>-840.1181258</v>
      </c>
      <c r="U29" s="107" t="n">
        <v>21069</v>
      </c>
      <c r="V29" s="108" t="s">
        <v>362</v>
      </c>
      <c r="W29" s="107" t="n">
        <v>28096</v>
      </c>
      <c r="X29" s="108" t="s">
        <v>372</v>
      </c>
      <c r="Y29" s="107" t="s">
        <v>425</v>
      </c>
      <c r="Z29" s="107" t="s">
        <v>427</v>
      </c>
      <c r="AA29" s="109" t="n">
        <v>46223</v>
      </c>
      <c r="AB29" s="107" t="n">
        <v>260720000001</v>
      </c>
      <c r="AC29" s="109" t="n">
        <v>46220</v>
      </c>
      <c r="AD29" s="109" t="n">
        <v>47311</v>
      </c>
      <c r="AE29" s="107" t="n">
        <v>4.868</v>
      </c>
      <c r="AF29" s="107" t="n">
        <v>1.6976</v>
      </c>
      <c r="AG29" s="107" t="n">
        <v>1016</v>
      </c>
      <c r="AH29" s="107" t="n">
        <v>5000000</v>
      </c>
      <c r="AI29" s="107" t="n">
        <v>4.816688</v>
      </c>
      <c r="AJ29" s="107" t="n">
        <v>100.096</v>
      </c>
      <c r="AK29" s="107" t="n">
        <v>4.828196</v>
      </c>
      <c r="AL29" s="107" t="n">
        <v>101.083122</v>
      </c>
      <c r="AM29" s="107" t="n">
        <v>5.4443</v>
      </c>
      <c r="AN29" s="107" t="n">
        <v>98.9087</v>
      </c>
      <c r="AO29" s="107" t="n">
        <v>1358.4</v>
      </c>
      <c r="AP29" s="107" t="n">
        <v>1</v>
      </c>
      <c r="AQ29" s="107" t="n">
        <v>4945435</v>
      </c>
      <c r="AR29" s="107" t="n">
        <v>6717878904</v>
      </c>
      <c r="AS29" s="107" t="n">
        <v>5004800</v>
      </c>
      <c r="AT29" s="107" t="n">
        <v>7451146240</v>
      </c>
      <c r="AU29" s="107" t="n">
        <v>-59365</v>
      </c>
      <c r="AV29" s="107" t="n">
        <v>-80641416</v>
      </c>
      <c r="AW29" s="107" t="n">
        <v>2028.33</v>
      </c>
      <c r="AX29" s="107" t="n">
        <v>3019777</v>
      </c>
      <c r="AY29" s="107" t="n">
        <v>0</v>
      </c>
      <c r="AZ29" s="107" t="n">
        <v>0</v>
      </c>
      <c r="BA29" s="107" t="n">
        <v>0</v>
      </c>
      <c r="BB29" s="107" t="n">
        <v>0</v>
      </c>
      <c r="BC29" s="107" t="n">
        <v>0</v>
      </c>
      <c r="BD29" s="107" t="n">
        <v>0</v>
      </c>
      <c r="BE29" s="107" t="n">
        <v>47327.78</v>
      </c>
      <c r="BF29" s="107" t="n">
        <v>64290056</v>
      </c>
      <c r="BG29" s="107" t="n">
        <v>0</v>
      </c>
      <c r="BH29" s="107" t="n">
        <v>0</v>
      </c>
      <c r="BI29" s="107" t="n">
        <v>5004800</v>
      </c>
      <c r="BJ29" s="107" t="n">
        <v>7451146240</v>
      </c>
      <c r="BK29" s="107" t="n">
        <v>0</v>
      </c>
      <c r="BL29" s="107" t="n">
        <v>0</v>
      </c>
      <c r="BM29" s="107" t="n">
        <v>0</v>
      </c>
      <c r="BN29" s="107" t="n">
        <v>0</v>
      </c>
      <c r="BO29" s="107" t="s">
        <v>374</v>
      </c>
      <c r="BP29" s="2"/>
      <c r="BQ29" s="107" t="s">
        <v>367</v>
      </c>
      <c r="BR29" s="107" t="n">
        <v>-652625920</v>
      </c>
      <c r="BS29" s="107" t="n">
        <v>-264494</v>
      </c>
      <c r="BT29" s="107" t="n">
        <v>0</v>
      </c>
      <c r="BU29" s="107" t="n">
        <v>0</v>
      </c>
      <c r="BV29" s="107" t="n">
        <v>0</v>
      </c>
      <c r="BW29" s="107" t="n">
        <v>49356.11</v>
      </c>
      <c r="BX29" s="107" t="n">
        <v>67045339</v>
      </c>
      <c r="BY29" s="107" t="n">
        <v>0</v>
      </c>
      <c r="BZ29" s="107" t="n">
        <v>0</v>
      </c>
      <c r="CA29" s="107" t="n">
        <v>1488.8</v>
      </c>
      <c r="CB29" s="2"/>
      <c r="CC29" s="107" t="n">
        <v>0</v>
      </c>
      <c r="CD29" s="107" t="n">
        <v>98.88</v>
      </c>
      <c r="CE29" s="107" t="n">
        <v>98.93</v>
      </c>
      <c r="CF29" s="107" t="n">
        <v>98.92</v>
      </c>
      <c r="CG29" s="107" t="n">
        <v>0</v>
      </c>
      <c r="CH29" s="107" t="n">
        <v>1.6526</v>
      </c>
      <c r="CI29" s="107" t="n">
        <v>99.71</v>
      </c>
      <c r="CJ29" s="107" t="n">
        <v>99.79</v>
      </c>
      <c r="CK29" s="107" t="n">
        <v>99.77</v>
      </c>
      <c r="CL29" s="107" t="n">
        <v>5000000</v>
      </c>
    </row>
    <row r="30" customFormat="false" ht="15" hidden="false" customHeight="false" outlineLevel="0" collapsed="false">
      <c r="A30" s="107" t="s">
        <v>425</v>
      </c>
      <c r="B30" s="107" t="n">
        <v>98.8258</v>
      </c>
      <c r="C30" s="107" t="n">
        <v>5.489</v>
      </c>
      <c r="D30" s="107" t="n">
        <v>1.6548</v>
      </c>
      <c r="E30" s="107" t="n">
        <v>-1635.3693384</v>
      </c>
      <c r="F30" s="108" t="s">
        <v>358</v>
      </c>
      <c r="G30" s="107" t="n">
        <v>1.6548</v>
      </c>
      <c r="H30" s="107" t="n">
        <v>-1635.3693384</v>
      </c>
      <c r="I30" s="109" t="n">
        <v>46946</v>
      </c>
      <c r="J30" s="107" t="n">
        <v>2</v>
      </c>
      <c r="K30" s="108" t="s">
        <v>384</v>
      </c>
      <c r="L30" s="107" t="s">
        <v>298</v>
      </c>
      <c r="M30" s="107" t="n">
        <v>16548000</v>
      </c>
      <c r="N30" s="107" t="n">
        <v>100.091</v>
      </c>
      <c r="O30" s="107" t="n">
        <v>9882580</v>
      </c>
      <c r="P30" s="107" t="s">
        <v>423</v>
      </c>
      <c r="Q30" s="107" t="s">
        <v>374</v>
      </c>
      <c r="R30" s="107" t="n">
        <v>-0.098059562144499</v>
      </c>
      <c r="S30" s="107" t="n">
        <v>-0.0126404971475956</v>
      </c>
      <c r="T30" s="107" t="n">
        <v>-1680.2362516</v>
      </c>
      <c r="U30" s="107" t="n">
        <v>21069</v>
      </c>
      <c r="V30" s="108" t="s">
        <v>362</v>
      </c>
      <c r="W30" s="107" t="n">
        <v>28096</v>
      </c>
      <c r="X30" s="108" t="s">
        <v>372</v>
      </c>
      <c r="Y30" s="107" t="s">
        <v>425</v>
      </c>
      <c r="Z30" s="107" t="s">
        <v>427</v>
      </c>
      <c r="AA30" s="109" t="n">
        <v>46223</v>
      </c>
      <c r="AB30" s="107" t="n">
        <v>260720000002</v>
      </c>
      <c r="AC30" s="109" t="n">
        <v>46220</v>
      </c>
      <c r="AD30" s="109" t="n">
        <v>47311</v>
      </c>
      <c r="AE30" s="107" t="n">
        <v>4.868</v>
      </c>
      <c r="AF30" s="107" t="n">
        <v>1.6976</v>
      </c>
      <c r="AG30" s="107" t="n">
        <v>1016</v>
      </c>
      <c r="AH30" s="107" t="n">
        <v>10000000</v>
      </c>
      <c r="AI30" s="107" t="n">
        <v>4.819367</v>
      </c>
      <c r="AJ30" s="107" t="n">
        <v>100.091</v>
      </c>
      <c r="AK30" s="107" t="n">
        <v>4.830126</v>
      </c>
      <c r="AL30" s="107" t="n">
        <v>101.078122</v>
      </c>
      <c r="AM30" s="107" t="n">
        <v>5.4443</v>
      </c>
      <c r="AN30" s="107" t="n">
        <v>98.9087</v>
      </c>
      <c r="AO30" s="107" t="n">
        <v>1358.4</v>
      </c>
      <c r="AP30" s="107" t="n">
        <v>1</v>
      </c>
      <c r="AQ30" s="107" t="n">
        <v>9890870</v>
      </c>
      <c r="AR30" s="107" t="n">
        <v>13435757808</v>
      </c>
      <c r="AS30" s="107" t="n">
        <v>10009100</v>
      </c>
      <c r="AT30" s="107" t="n">
        <v>14901548080</v>
      </c>
      <c r="AU30" s="107" t="n">
        <v>-118230</v>
      </c>
      <c r="AV30" s="107" t="n">
        <v>-160603632</v>
      </c>
      <c r="AW30" s="107" t="n">
        <v>4056.67</v>
      </c>
      <c r="AX30" s="107" t="n">
        <v>6039570</v>
      </c>
      <c r="AY30" s="107" t="n">
        <v>0</v>
      </c>
      <c r="AZ30" s="107" t="n">
        <v>0</v>
      </c>
      <c r="BA30" s="107" t="n">
        <v>0</v>
      </c>
      <c r="BB30" s="107" t="n">
        <v>0</v>
      </c>
      <c r="BC30" s="107" t="n">
        <v>0</v>
      </c>
      <c r="BD30" s="107" t="n">
        <v>0</v>
      </c>
      <c r="BE30" s="107" t="n">
        <v>94655.55</v>
      </c>
      <c r="BF30" s="107" t="n">
        <v>128580098</v>
      </c>
      <c r="BG30" s="107" t="n">
        <v>0</v>
      </c>
      <c r="BH30" s="107" t="n">
        <v>0</v>
      </c>
      <c r="BI30" s="107" t="n">
        <v>10009100</v>
      </c>
      <c r="BJ30" s="107" t="n">
        <v>14901548080</v>
      </c>
      <c r="BK30" s="107" t="n">
        <v>0</v>
      </c>
      <c r="BL30" s="107" t="n">
        <v>0</v>
      </c>
      <c r="BM30" s="107" t="n">
        <v>0</v>
      </c>
      <c r="BN30" s="107" t="n">
        <v>0</v>
      </c>
      <c r="BO30" s="107" t="s">
        <v>374</v>
      </c>
      <c r="BP30" s="2"/>
      <c r="BQ30" s="107" t="s">
        <v>367</v>
      </c>
      <c r="BR30" s="107" t="n">
        <v>-1305186640</v>
      </c>
      <c r="BS30" s="107" t="n">
        <v>-528989</v>
      </c>
      <c r="BT30" s="107" t="n">
        <v>0</v>
      </c>
      <c r="BU30" s="107" t="n">
        <v>0</v>
      </c>
      <c r="BV30" s="107" t="n">
        <v>0</v>
      </c>
      <c r="BW30" s="107" t="n">
        <v>98712.22</v>
      </c>
      <c r="BX30" s="107" t="n">
        <v>134090679</v>
      </c>
      <c r="BY30" s="107" t="n">
        <v>0</v>
      </c>
      <c r="BZ30" s="107" t="n">
        <v>0</v>
      </c>
      <c r="CA30" s="107" t="n">
        <v>1488.8</v>
      </c>
      <c r="CB30" s="2"/>
      <c r="CC30" s="107" t="n">
        <v>0</v>
      </c>
      <c r="CD30" s="107" t="n">
        <v>98.88</v>
      </c>
      <c r="CE30" s="107" t="n">
        <v>98.93</v>
      </c>
      <c r="CF30" s="107" t="n">
        <v>98.92</v>
      </c>
      <c r="CG30" s="107" t="n">
        <v>0</v>
      </c>
      <c r="CH30" s="107" t="n">
        <v>1.6526</v>
      </c>
      <c r="CI30" s="107" t="n">
        <v>99.23</v>
      </c>
      <c r="CJ30" s="107" t="n">
        <v>99.37</v>
      </c>
      <c r="CK30" s="107" t="n">
        <v>99.43</v>
      </c>
      <c r="CL30" s="107" t="n">
        <v>5000000</v>
      </c>
    </row>
    <row r="31" customFormat="false" ht="15" hidden="false" customHeight="false" outlineLevel="0" collapsed="false">
      <c r="A31" s="107" t="s">
        <v>425</v>
      </c>
      <c r="B31" s="107" t="n">
        <v>98.8258</v>
      </c>
      <c r="C31" s="107" t="n">
        <v>5.489</v>
      </c>
      <c r="D31" s="107" t="n">
        <v>1.6548</v>
      </c>
      <c r="E31" s="107" t="n">
        <v>-817.6846692</v>
      </c>
      <c r="F31" s="108" t="s">
        <v>358</v>
      </c>
      <c r="G31" s="107" t="n">
        <v>1.6548</v>
      </c>
      <c r="H31" s="107" t="n">
        <v>-817.6846692</v>
      </c>
      <c r="I31" s="109" t="n">
        <v>46946</v>
      </c>
      <c r="J31" s="107" t="n">
        <v>2</v>
      </c>
      <c r="K31" s="108" t="s">
        <v>384</v>
      </c>
      <c r="L31" s="107" t="s">
        <v>298</v>
      </c>
      <c r="M31" s="107" t="n">
        <v>8274000</v>
      </c>
      <c r="N31" s="107" t="n">
        <v>99.844</v>
      </c>
      <c r="O31" s="107" t="n">
        <v>4941290</v>
      </c>
      <c r="P31" s="107" t="s">
        <v>423</v>
      </c>
      <c r="Q31" s="107" t="s">
        <v>374</v>
      </c>
      <c r="R31" s="107" t="n">
        <v>-0.0910048996442554</v>
      </c>
      <c r="S31" s="107" t="n">
        <v>-0.0101979087376306</v>
      </c>
      <c r="T31" s="107" t="n">
        <v>-840.1181258</v>
      </c>
      <c r="U31" s="107" t="n">
        <v>21069</v>
      </c>
      <c r="V31" s="108" t="s">
        <v>362</v>
      </c>
      <c r="W31" s="107" t="n">
        <v>28096</v>
      </c>
      <c r="X31" s="108" t="s">
        <v>372</v>
      </c>
      <c r="Y31" s="107" t="s">
        <v>425</v>
      </c>
      <c r="Z31" s="107" t="s">
        <v>427</v>
      </c>
      <c r="AA31" s="109" t="n">
        <v>46227</v>
      </c>
      <c r="AB31" s="107" t="n">
        <v>260724000001</v>
      </c>
      <c r="AC31" s="109" t="n">
        <v>46220</v>
      </c>
      <c r="AD31" s="109" t="n">
        <v>47311</v>
      </c>
      <c r="AE31" s="107" t="n">
        <v>4.868</v>
      </c>
      <c r="AF31" s="107" t="n">
        <v>1.6976</v>
      </c>
      <c r="AG31" s="107" t="n">
        <v>1016</v>
      </c>
      <c r="AH31" s="107" t="n">
        <v>5000000</v>
      </c>
      <c r="AI31" s="107" t="n">
        <v>4.952052</v>
      </c>
      <c r="AJ31" s="107" t="n">
        <v>99.844</v>
      </c>
      <c r="AK31" s="107" t="n">
        <v>4.925621</v>
      </c>
      <c r="AL31" s="107" t="n">
        <v>100.831122</v>
      </c>
      <c r="AM31" s="107" t="n">
        <v>5.4443</v>
      </c>
      <c r="AN31" s="107" t="n">
        <v>98.9087</v>
      </c>
      <c r="AO31" s="107" t="n">
        <v>1358.4</v>
      </c>
      <c r="AP31" s="107" t="n">
        <v>1</v>
      </c>
      <c r="AQ31" s="107" t="n">
        <v>4945435</v>
      </c>
      <c r="AR31" s="107" t="n">
        <v>6717878904</v>
      </c>
      <c r="AS31" s="107" t="n">
        <v>4992200</v>
      </c>
      <c r="AT31" s="107" t="n">
        <v>7392948980</v>
      </c>
      <c r="AU31" s="107" t="n">
        <v>-46765</v>
      </c>
      <c r="AV31" s="107" t="n">
        <v>-63525576</v>
      </c>
      <c r="AW31" s="107" t="n">
        <v>4732.78</v>
      </c>
      <c r="AX31" s="107" t="n">
        <v>7008773</v>
      </c>
      <c r="AY31" s="107" t="n">
        <v>0</v>
      </c>
      <c r="AZ31" s="107" t="n">
        <v>0</v>
      </c>
      <c r="BA31" s="107" t="n">
        <v>0</v>
      </c>
      <c r="BB31" s="107" t="n">
        <v>0</v>
      </c>
      <c r="BC31" s="107" t="n">
        <v>0</v>
      </c>
      <c r="BD31" s="107" t="n">
        <v>0</v>
      </c>
      <c r="BE31" s="107" t="n">
        <v>44623.33</v>
      </c>
      <c r="BF31" s="107" t="n">
        <v>60616331</v>
      </c>
      <c r="BG31" s="107" t="n">
        <v>0</v>
      </c>
      <c r="BH31" s="107" t="n">
        <v>0</v>
      </c>
      <c r="BI31" s="107" t="n">
        <v>4992200</v>
      </c>
      <c r="BJ31" s="107" t="n">
        <v>7392948980</v>
      </c>
      <c r="BK31" s="107" t="n">
        <v>0</v>
      </c>
      <c r="BL31" s="107" t="n">
        <v>0</v>
      </c>
      <c r="BM31" s="107" t="n">
        <v>0</v>
      </c>
      <c r="BN31" s="107" t="n">
        <v>0</v>
      </c>
      <c r="BO31" s="107" t="s">
        <v>374</v>
      </c>
      <c r="BP31" s="2"/>
      <c r="BQ31" s="107" t="s">
        <v>367</v>
      </c>
      <c r="BR31" s="107" t="n">
        <v>-611544500</v>
      </c>
      <c r="BS31" s="107" t="n">
        <v>-579765</v>
      </c>
      <c r="BT31" s="107" t="n">
        <v>0</v>
      </c>
      <c r="BU31" s="107" t="n">
        <v>0</v>
      </c>
      <c r="BV31" s="107" t="n">
        <v>0</v>
      </c>
      <c r="BW31" s="107" t="n">
        <v>49356.11</v>
      </c>
      <c r="BX31" s="107" t="n">
        <v>67045339</v>
      </c>
      <c r="BY31" s="107" t="n">
        <v>0</v>
      </c>
      <c r="BZ31" s="107" t="n">
        <v>0</v>
      </c>
      <c r="CA31" s="107" t="n">
        <v>1480.9</v>
      </c>
      <c r="CB31" s="2"/>
      <c r="CC31" s="107" t="n">
        <v>0</v>
      </c>
      <c r="CD31" s="107" t="n">
        <v>98.88</v>
      </c>
      <c r="CE31" s="107" t="n">
        <v>98.93</v>
      </c>
      <c r="CF31" s="107" t="n">
        <v>98.92</v>
      </c>
      <c r="CG31" s="107" t="n">
        <v>3260000</v>
      </c>
      <c r="CH31" s="107" t="n">
        <v>1.6526</v>
      </c>
      <c r="CI31" s="107" t="n">
        <v>101.71</v>
      </c>
      <c r="CJ31" s="107" t="n">
        <v>101.79</v>
      </c>
      <c r="CK31" s="107" t="n">
        <v>101.91</v>
      </c>
      <c r="CL31" s="107" t="n">
        <v>5000000</v>
      </c>
    </row>
    <row r="32" customFormat="false" ht="15" hidden="false" customHeight="false" outlineLevel="0" collapsed="false">
      <c r="A32" s="107" t="s">
        <v>428</v>
      </c>
      <c r="B32" s="107" t="n">
        <v>96.6829</v>
      </c>
      <c r="C32" s="107" t="n">
        <v>5.9353</v>
      </c>
      <c r="D32" s="107" t="n">
        <v>4.0927</v>
      </c>
      <c r="E32" s="107" t="n">
        <v>-1978.47052415</v>
      </c>
      <c r="F32" s="108" t="s">
        <v>358</v>
      </c>
      <c r="G32" s="107" t="n">
        <v>4.0927</v>
      </c>
      <c r="H32" s="107" t="n">
        <v>-1978.47052415</v>
      </c>
      <c r="I32" s="109" t="n">
        <v>48043</v>
      </c>
      <c r="J32" s="107" t="n">
        <v>5</v>
      </c>
      <c r="K32" s="108" t="s">
        <v>384</v>
      </c>
      <c r="L32" s="107" t="s">
        <v>298</v>
      </c>
      <c r="M32" s="107" t="n">
        <v>20463500</v>
      </c>
      <c r="N32" s="107" t="n">
        <v>99.781</v>
      </c>
      <c r="O32" s="107" t="n">
        <v>4834145</v>
      </c>
      <c r="P32" s="107" t="s">
        <v>423</v>
      </c>
      <c r="Q32" s="107" t="s">
        <v>374</v>
      </c>
      <c r="R32" s="107" t="n">
        <v>-0.054003328308378</v>
      </c>
      <c r="S32" s="107" t="n">
        <v>-0.0310489973040959</v>
      </c>
      <c r="T32" s="107" t="n">
        <v>-2037.2053859</v>
      </c>
      <c r="U32" s="107" t="n">
        <v>21069</v>
      </c>
      <c r="V32" s="108" t="s">
        <v>362</v>
      </c>
      <c r="W32" s="107" t="n">
        <v>28096</v>
      </c>
      <c r="X32" s="108" t="s">
        <v>372</v>
      </c>
      <c r="Y32" s="107" t="s">
        <v>428</v>
      </c>
      <c r="Z32" s="107" t="s">
        <v>429</v>
      </c>
      <c r="AA32" s="109" t="n">
        <v>46258</v>
      </c>
      <c r="AB32" s="107" t="n">
        <v>260824000001</v>
      </c>
      <c r="AC32" s="109" t="n">
        <v>46220</v>
      </c>
      <c r="AD32" s="109" t="n">
        <v>48409</v>
      </c>
      <c r="AE32" s="107" t="n">
        <v>5.17</v>
      </c>
      <c r="AF32" s="107" t="n">
        <v>4.2101</v>
      </c>
      <c r="AG32" s="107" t="n">
        <v>2114</v>
      </c>
      <c r="AH32" s="107" t="n">
        <v>5000000</v>
      </c>
      <c r="AI32" s="107" t="n">
        <v>5.220188</v>
      </c>
      <c r="AJ32" s="107" t="n">
        <v>99.781</v>
      </c>
      <c r="AK32" s="107" t="n">
        <v>5.212639</v>
      </c>
      <c r="AL32" s="107" t="n">
        <v>100.829361</v>
      </c>
      <c r="AM32" s="107" t="n">
        <v>5.8957</v>
      </c>
      <c r="AN32" s="107" t="n">
        <v>96.8567</v>
      </c>
      <c r="AO32" s="107" t="n">
        <v>1358.4</v>
      </c>
      <c r="AP32" s="107" t="n">
        <v>1</v>
      </c>
      <c r="AQ32" s="107" t="n">
        <v>4842835</v>
      </c>
      <c r="AR32" s="107" t="n">
        <v>6578507064</v>
      </c>
      <c r="AS32" s="107" t="n">
        <v>4989050</v>
      </c>
      <c r="AT32" s="107" t="n">
        <v>6949746650</v>
      </c>
      <c r="AU32" s="107" t="n">
        <v>-146215</v>
      </c>
      <c r="AV32" s="107" t="n">
        <v>-198618456</v>
      </c>
      <c r="AW32" s="107" t="n">
        <v>26568.06</v>
      </c>
      <c r="AX32" s="107" t="n">
        <v>37009307</v>
      </c>
      <c r="AY32" s="107" t="n">
        <v>0</v>
      </c>
      <c r="AZ32" s="107" t="n">
        <v>0</v>
      </c>
      <c r="BA32" s="107" t="n">
        <v>0</v>
      </c>
      <c r="BB32" s="107" t="n">
        <v>0</v>
      </c>
      <c r="BC32" s="107" t="n">
        <v>0</v>
      </c>
      <c r="BD32" s="107" t="n">
        <v>0</v>
      </c>
      <c r="BE32" s="107" t="n">
        <v>25850</v>
      </c>
      <c r="BF32" s="107" t="n">
        <v>35114639</v>
      </c>
      <c r="BG32" s="107" t="n">
        <v>0</v>
      </c>
      <c r="BH32" s="107" t="n">
        <v>0</v>
      </c>
      <c r="BI32" s="107" t="n">
        <v>4989050</v>
      </c>
      <c r="BJ32" s="107" t="n">
        <v>6949746650</v>
      </c>
      <c r="BK32" s="107" t="n">
        <v>0</v>
      </c>
      <c r="BL32" s="107" t="n">
        <v>0</v>
      </c>
      <c r="BM32" s="107" t="n">
        <v>0</v>
      </c>
      <c r="BN32" s="107" t="n">
        <v>0</v>
      </c>
      <c r="BO32" s="107" t="s">
        <v>374</v>
      </c>
      <c r="BP32" s="2"/>
      <c r="BQ32" s="107" t="s">
        <v>367</v>
      </c>
      <c r="BR32" s="107" t="n">
        <v>-172621130</v>
      </c>
      <c r="BS32" s="107" t="n">
        <v>-919254</v>
      </c>
      <c r="BT32" s="107" t="n">
        <v>0</v>
      </c>
      <c r="BU32" s="107" t="n">
        <v>0</v>
      </c>
      <c r="BV32" s="107" t="n">
        <v>0</v>
      </c>
      <c r="BW32" s="107" t="n">
        <v>52418.06</v>
      </c>
      <c r="BX32" s="107" t="n">
        <v>71204692</v>
      </c>
      <c r="BY32" s="107" t="n">
        <v>0</v>
      </c>
      <c r="BZ32" s="107" t="n">
        <v>0</v>
      </c>
      <c r="CA32" s="107" t="n">
        <v>1393</v>
      </c>
      <c r="CB32" s="2"/>
      <c r="CC32" s="107" t="n">
        <v>0</v>
      </c>
      <c r="CD32" s="107" t="n">
        <v>96.89</v>
      </c>
      <c r="CE32" s="107" t="n">
        <v>96.83</v>
      </c>
      <c r="CF32" s="107" t="n">
        <v>96.85</v>
      </c>
      <c r="CG32" s="107" t="n">
        <v>5000000</v>
      </c>
      <c r="CH32" s="107" t="n">
        <v>4.0895</v>
      </c>
      <c r="CI32" s="107" t="n">
        <v>103.37</v>
      </c>
      <c r="CJ32" s="107" t="n">
        <v>103.47</v>
      </c>
      <c r="CK32" s="107" t="n">
        <v>103.41</v>
      </c>
      <c r="CL32" s="107" t="n">
        <v>0</v>
      </c>
    </row>
    <row r="33" customFormat="false" ht="15" hidden="false" customHeight="false" outlineLevel="0" collapsed="false">
      <c r="A33" s="107" t="s">
        <v>430</v>
      </c>
      <c r="B33" s="107" t="n">
        <v>94.3597</v>
      </c>
      <c r="C33" s="107" t="n">
        <v>5.5183</v>
      </c>
      <c r="D33" s="107" t="n">
        <v>1.6961</v>
      </c>
      <c r="E33" s="107" t="n">
        <v>-4495.6215546053</v>
      </c>
      <c r="F33" s="108" t="s">
        <v>358</v>
      </c>
      <c r="G33" s="107" t="n">
        <v>1.6961</v>
      </c>
      <c r="H33" s="107" t="n">
        <v>-4495.6215546053</v>
      </c>
      <c r="I33" s="109" t="n">
        <v>46948</v>
      </c>
      <c r="J33" s="107" t="n">
        <v>2</v>
      </c>
      <c r="K33" s="108" t="s">
        <v>92</v>
      </c>
      <c r="L33" s="107" t="s">
        <v>298</v>
      </c>
      <c r="M33" s="107" t="n">
        <v>47643449</v>
      </c>
      <c r="N33" s="107" t="n">
        <v>91.61</v>
      </c>
      <c r="O33" s="107" t="n">
        <v>26505639.73</v>
      </c>
      <c r="P33" s="107" t="s">
        <v>431</v>
      </c>
      <c r="Q33" s="107" t="s">
        <v>377</v>
      </c>
      <c r="R33" s="107" t="n">
        <v>-0.0606495556609956</v>
      </c>
      <c r="S33" s="107" t="n">
        <v>0.0300152821744351</v>
      </c>
      <c r="T33" s="107" t="n">
        <v>-4619.6679485417</v>
      </c>
      <c r="U33" s="107" t="n">
        <v>21069</v>
      </c>
      <c r="V33" s="108" t="s">
        <v>362</v>
      </c>
      <c r="W33" s="107" t="n">
        <v>28096</v>
      </c>
      <c r="X33" s="108" t="s">
        <v>372</v>
      </c>
      <c r="Y33" s="107" t="s">
        <v>430</v>
      </c>
      <c r="Z33" s="107" t="s">
        <v>432</v>
      </c>
      <c r="AA33" s="109" t="n">
        <v>45764</v>
      </c>
      <c r="AB33" s="107" t="n">
        <v>250417000001</v>
      </c>
      <c r="AC33" s="109" t="n">
        <v>44391</v>
      </c>
      <c r="AD33" s="109" t="n">
        <v>46948</v>
      </c>
      <c r="AE33" s="107" t="n">
        <v>2.172</v>
      </c>
      <c r="AF33" s="107" t="n">
        <v>1.7403</v>
      </c>
      <c r="AG33" s="107" t="n">
        <v>653</v>
      </c>
      <c r="AH33" s="107" t="n">
        <v>28090000</v>
      </c>
      <c r="AI33" s="107" t="n">
        <v>5.007</v>
      </c>
      <c r="AJ33" s="107" t="n">
        <v>91.61</v>
      </c>
      <c r="AK33" s="107" t="n">
        <v>5.003487</v>
      </c>
      <c r="AL33" s="107" t="n">
        <v>95.667133</v>
      </c>
      <c r="AM33" s="107" t="n">
        <v>5.459</v>
      </c>
      <c r="AN33" s="107" t="n">
        <v>94.4641</v>
      </c>
      <c r="AO33" s="107" t="n">
        <v>1358.4</v>
      </c>
      <c r="AP33" s="107" t="n">
        <v>1</v>
      </c>
      <c r="AQ33" s="107" t="n">
        <v>26534965.69</v>
      </c>
      <c r="AR33" s="107" t="n">
        <v>36045097393</v>
      </c>
      <c r="AS33" s="107" t="n">
        <v>26744095.74</v>
      </c>
      <c r="AT33" s="107" t="n">
        <v>38375102977</v>
      </c>
      <c r="AU33" s="107" t="n">
        <v>-209130.05</v>
      </c>
      <c r="AV33" s="107" t="n">
        <v>-284082260</v>
      </c>
      <c r="AW33" s="107" t="n">
        <v>0</v>
      </c>
      <c r="AX33" s="107" t="n">
        <v>0</v>
      </c>
      <c r="AY33" s="107" t="n">
        <v>0</v>
      </c>
      <c r="AZ33" s="107" t="n">
        <v>0</v>
      </c>
      <c r="BA33" s="107" t="n">
        <v>0</v>
      </c>
      <c r="BB33" s="107" t="n">
        <v>0</v>
      </c>
      <c r="BC33" s="107" t="n">
        <v>0</v>
      </c>
      <c r="BD33" s="107" t="n">
        <v>0</v>
      </c>
      <c r="BE33" s="107" t="n">
        <v>128802.01</v>
      </c>
      <c r="BF33" s="107" t="n">
        <v>174964650</v>
      </c>
      <c r="BG33" s="107" t="n">
        <v>0</v>
      </c>
      <c r="BH33" s="107" t="n">
        <v>0</v>
      </c>
      <c r="BI33" s="107" t="n">
        <v>25733249</v>
      </c>
      <c r="BJ33" s="107" t="n">
        <v>36924638990</v>
      </c>
      <c r="BK33" s="107" t="n">
        <v>0</v>
      </c>
      <c r="BL33" s="107" t="n">
        <v>0</v>
      </c>
      <c r="BM33" s="107" t="n">
        <v>0</v>
      </c>
      <c r="BN33" s="107" t="n">
        <v>0</v>
      </c>
      <c r="BO33" s="107" t="s">
        <v>377</v>
      </c>
      <c r="BP33" s="2"/>
      <c r="BQ33" s="107" t="s">
        <v>374</v>
      </c>
      <c r="BR33" s="107" t="n">
        <v>-2045923324</v>
      </c>
      <c r="BS33" s="107" t="n">
        <v>0</v>
      </c>
      <c r="BT33" s="107" t="n">
        <v>0</v>
      </c>
      <c r="BU33" s="107" t="n">
        <v>1010846.74</v>
      </c>
      <c r="BV33" s="107" t="n">
        <v>1450463987</v>
      </c>
      <c r="BW33" s="107" t="n">
        <v>128802.01</v>
      </c>
      <c r="BX33" s="107" t="n">
        <v>174964650</v>
      </c>
      <c r="BY33" s="107" t="n">
        <v>0</v>
      </c>
      <c r="BZ33" s="107" t="n">
        <v>0</v>
      </c>
      <c r="CA33" s="107" t="n">
        <v>1434.9</v>
      </c>
      <c r="CB33" s="2"/>
      <c r="CC33" s="107" t="n">
        <v>0</v>
      </c>
      <c r="CD33" s="107" t="n">
        <v>94.46</v>
      </c>
      <c r="CE33" s="107" t="n">
        <v>94.46</v>
      </c>
      <c r="CF33" s="107" t="n">
        <v>94.48</v>
      </c>
      <c r="CG33" s="107" t="n">
        <v>90000</v>
      </c>
      <c r="CH33" s="107" t="n">
        <v>1.6941</v>
      </c>
      <c r="CI33" s="107" t="n">
        <v>101.14</v>
      </c>
      <c r="CJ33" s="107" t="n">
        <v>101.29</v>
      </c>
      <c r="CK33" s="107" t="n">
        <v>101.36</v>
      </c>
      <c r="CL33" s="107" t="n">
        <v>6900000</v>
      </c>
    </row>
    <row r="34" customFormat="false" ht="15" hidden="false" customHeight="false" outlineLevel="0" collapsed="false">
      <c r="A34" s="107" t="s">
        <v>433</v>
      </c>
      <c r="B34" s="107" t="n">
        <v>96.5756</v>
      </c>
      <c r="C34" s="107" t="n">
        <v>5.9949</v>
      </c>
      <c r="D34" s="107" t="n">
        <v>4.0822</v>
      </c>
      <c r="E34" s="107" t="n">
        <v>-394.24091432</v>
      </c>
      <c r="F34" s="108" t="s">
        <v>358</v>
      </c>
      <c r="G34" s="107" t="n">
        <v>4.0822</v>
      </c>
      <c r="H34" s="107" t="n">
        <v>-394.24091432</v>
      </c>
      <c r="I34" s="109" t="n">
        <v>48043</v>
      </c>
      <c r="J34" s="107" t="n">
        <v>5</v>
      </c>
      <c r="K34" s="108" t="s">
        <v>92</v>
      </c>
      <c r="L34" s="107" t="s">
        <v>298</v>
      </c>
      <c r="M34" s="107" t="n">
        <v>4082200</v>
      </c>
      <c r="N34" s="107" t="n">
        <v>100</v>
      </c>
      <c r="O34" s="107" t="n">
        <v>965756</v>
      </c>
      <c r="P34" s="107" t="s">
        <v>431</v>
      </c>
      <c r="Q34" s="107" t="s">
        <v>377</v>
      </c>
      <c r="R34" s="107" t="n">
        <v>-0.144736498013935</v>
      </c>
      <c r="S34" s="107" t="n">
        <v>-0.0342440000000001</v>
      </c>
      <c r="T34" s="107" t="n">
        <v>-406.06176776</v>
      </c>
      <c r="U34" s="107" t="n">
        <v>21069</v>
      </c>
      <c r="V34" s="108" t="s">
        <v>362</v>
      </c>
      <c r="W34" s="107" t="n">
        <v>28096</v>
      </c>
      <c r="X34" s="108" t="s">
        <v>372</v>
      </c>
      <c r="Y34" s="107" t="s">
        <v>433</v>
      </c>
      <c r="Z34" s="107" t="s">
        <v>434</v>
      </c>
      <c r="AA34" s="109" t="n">
        <v>46203</v>
      </c>
      <c r="AB34" s="107" t="n">
        <v>260630000001</v>
      </c>
      <c r="AC34" s="109" t="n">
        <v>46203</v>
      </c>
      <c r="AD34" s="109" t="n">
        <v>48043</v>
      </c>
      <c r="AE34" s="107" t="n">
        <v>5.166</v>
      </c>
      <c r="AF34" s="107" t="n">
        <v>4.2025</v>
      </c>
      <c r="AG34" s="107" t="n">
        <v>1748</v>
      </c>
      <c r="AH34" s="107" t="n">
        <v>1000000</v>
      </c>
      <c r="AI34" s="107" t="n">
        <v>5.165385</v>
      </c>
      <c r="AJ34" s="107" t="n">
        <v>100</v>
      </c>
      <c r="AK34" s="107" t="n">
        <v>5.164023</v>
      </c>
      <c r="AL34" s="107" t="n">
        <v>101.2915</v>
      </c>
      <c r="AM34" s="107" t="n">
        <v>5.962</v>
      </c>
      <c r="AN34" s="107" t="n">
        <v>96.7094</v>
      </c>
      <c r="AO34" s="107" t="n">
        <v>1358.4</v>
      </c>
      <c r="AP34" s="107" t="n">
        <v>1</v>
      </c>
      <c r="AQ34" s="107" t="n">
        <v>967094</v>
      </c>
      <c r="AR34" s="107" t="n">
        <v>1313700490</v>
      </c>
      <c r="AS34" s="107" t="n">
        <v>1000000</v>
      </c>
      <c r="AT34" s="107" t="n">
        <v>1535700000</v>
      </c>
      <c r="AU34" s="107" t="n">
        <v>-32906</v>
      </c>
      <c r="AV34" s="107" t="n">
        <v>-44699510</v>
      </c>
      <c r="AW34" s="107" t="n">
        <v>0</v>
      </c>
      <c r="AX34" s="107" t="n">
        <v>0</v>
      </c>
      <c r="AY34" s="107" t="n">
        <v>0</v>
      </c>
      <c r="AZ34" s="107" t="n">
        <v>0</v>
      </c>
      <c r="BA34" s="107" t="n">
        <v>0</v>
      </c>
      <c r="BB34" s="107" t="n">
        <v>0</v>
      </c>
      <c r="BC34" s="107" t="n">
        <v>0</v>
      </c>
      <c r="BD34" s="107" t="n">
        <v>0</v>
      </c>
      <c r="BE34" s="107" t="n">
        <v>12915</v>
      </c>
      <c r="BF34" s="107" t="n">
        <v>17543736</v>
      </c>
      <c r="BG34" s="107" t="n">
        <v>0</v>
      </c>
      <c r="BH34" s="107" t="n">
        <v>0</v>
      </c>
      <c r="BI34" s="107" t="n">
        <v>1000000</v>
      </c>
      <c r="BJ34" s="107" t="n">
        <v>1535700000</v>
      </c>
      <c r="BK34" s="107" t="n">
        <v>0</v>
      </c>
      <c r="BL34" s="107" t="n">
        <v>0</v>
      </c>
      <c r="BM34" s="107" t="n">
        <v>0</v>
      </c>
      <c r="BN34" s="107" t="n">
        <v>0</v>
      </c>
      <c r="BO34" s="107" t="s">
        <v>377</v>
      </c>
      <c r="BP34" s="2"/>
      <c r="BQ34" s="107" t="s">
        <v>374</v>
      </c>
      <c r="BR34" s="107" t="n">
        <v>-177300000</v>
      </c>
      <c r="BS34" s="107" t="n">
        <v>0</v>
      </c>
      <c r="BT34" s="107" t="n">
        <v>0</v>
      </c>
      <c r="BU34" s="107" t="n">
        <v>0</v>
      </c>
      <c r="BV34" s="107" t="n">
        <v>0</v>
      </c>
      <c r="BW34" s="107" t="n">
        <v>12915</v>
      </c>
      <c r="BX34" s="107" t="n">
        <v>17543736</v>
      </c>
      <c r="BY34" s="107" t="n">
        <v>0</v>
      </c>
      <c r="BZ34" s="107" t="n">
        <v>0</v>
      </c>
      <c r="CA34" s="107" t="n">
        <v>1535.7</v>
      </c>
      <c r="CB34" s="2"/>
      <c r="CC34" s="107" t="n">
        <v>0</v>
      </c>
      <c r="CD34" s="107" t="n">
        <v>96.7</v>
      </c>
      <c r="CE34" s="107" t="n">
        <v>96.74</v>
      </c>
      <c r="CF34" s="107" t="n">
        <v>96.68</v>
      </c>
      <c r="CG34" s="107" t="n">
        <v>1000000</v>
      </c>
      <c r="CH34" s="107" t="n">
        <v>4.0808</v>
      </c>
      <c r="CI34" s="107" t="n">
        <v>97.68</v>
      </c>
      <c r="CJ34" s="107" t="n">
        <v>97.91</v>
      </c>
      <c r="CK34" s="107" t="n">
        <v>98.01</v>
      </c>
      <c r="CL34" s="107" t="n">
        <v>0</v>
      </c>
    </row>
    <row r="35" customFormat="false" ht="15" hidden="false" customHeight="false" outlineLevel="0" collapsed="false">
      <c r="A35" s="107" t="s">
        <v>433</v>
      </c>
      <c r="B35" s="107" t="n">
        <v>96.5756</v>
      </c>
      <c r="C35" s="107" t="n">
        <v>5.9949</v>
      </c>
      <c r="D35" s="107" t="n">
        <v>4.0822</v>
      </c>
      <c r="E35" s="107" t="n">
        <v>-1576.96365728</v>
      </c>
      <c r="F35" s="108" t="s">
        <v>358</v>
      </c>
      <c r="G35" s="107" t="n">
        <v>4.0822</v>
      </c>
      <c r="H35" s="107" t="n">
        <v>-1576.96365728</v>
      </c>
      <c r="I35" s="109" t="n">
        <v>48043</v>
      </c>
      <c r="J35" s="107" t="n">
        <v>5</v>
      </c>
      <c r="K35" s="108" t="s">
        <v>92</v>
      </c>
      <c r="L35" s="107" t="s">
        <v>298</v>
      </c>
      <c r="M35" s="107" t="n">
        <v>16328800</v>
      </c>
      <c r="N35" s="107" t="n">
        <v>99.46</v>
      </c>
      <c r="O35" s="107" t="n">
        <v>3863024</v>
      </c>
      <c r="P35" s="107" t="s">
        <v>431</v>
      </c>
      <c r="Q35" s="107" t="s">
        <v>377</v>
      </c>
      <c r="R35" s="107" t="n">
        <v>-0.0462522175576511</v>
      </c>
      <c r="S35" s="107" t="n">
        <v>-0.029000603257591</v>
      </c>
      <c r="T35" s="107" t="n">
        <v>-1624.24707104</v>
      </c>
      <c r="U35" s="107" t="n">
        <v>21069</v>
      </c>
      <c r="V35" s="108" t="s">
        <v>362</v>
      </c>
      <c r="W35" s="107" t="n">
        <v>28096</v>
      </c>
      <c r="X35" s="108" t="s">
        <v>372</v>
      </c>
      <c r="Y35" s="107" t="s">
        <v>433</v>
      </c>
      <c r="Z35" s="107" t="s">
        <v>434</v>
      </c>
      <c r="AA35" s="109" t="n">
        <v>46262</v>
      </c>
      <c r="AB35" s="107" t="n">
        <v>260828000001</v>
      </c>
      <c r="AC35" s="109" t="n">
        <v>46203</v>
      </c>
      <c r="AD35" s="109" t="n">
        <v>48043</v>
      </c>
      <c r="AE35" s="107" t="n">
        <v>5.166</v>
      </c>
      <c r="AF35" s="107" t="n">
        <v>4.2025</v>
      </c>
      <c r="AG35" s="107" t="n">
        <v>1748</v>
      </c>
      <c r="AH35" s="107" t="n">
        <v>4000000</v>
      </c>
      <c r="AI35" s="107" t="n">
        <v>5.290669</v>
      </c>
      <c r="AJ35" s="107" t="n">
        <v>99.46</v>
      </c>
      <c r="AK35" s="107" t="n">
        <v>5.294035</v>
      </c>
      <c r="AL35" s="107" t="n">
        <v>100.7515</v>
      </c>
      <c r="AM35" s="107" t="n">
        <v>5.962</v>
      </c>
      <c r="AN35" s="107" t="n">
        <v>96.7094</v>
      </c>
      <c r="AO35" s="107" t="n">
        <v>1358.4</v>
      </c>
      <c r="AP35" s="107" t="n">
        <v>1</v>
      </c>
      <c r="AQ35" s="107" t="n">
        <v>3868376</v>
      </c>
      <c r="AR35" s="107" t="n">
        <v>5254801958</v>
      </c>
      <c r="AS35" s="107" t="n">
        <v>3978400</v>
      </c>
      <c r="AT35" s="107" t="n">
        <v>5508492640</v>
      </c>
      <c r="AU35" s="107" t="n">
        <v>-110024</v>
      </c>
      <c r="AV35" s="107" t="n">
        <v>-149456602</v>
      </c>
      <c r="AW35" s="107" t="n">
        <v>33292</v>
      </c>
      <c r="AX35" s="107" t="n">
        <v>46096103</v>
      </c>
      <c r="AY35" s="107" t="n">
        <v>0</v>
      </c>
      <c r="AZ35" s="107" t="n">
        <v>0</v>
      </c>
      <c r="BA35" s="107" t="n">
        <v>0</v>
      </c>
      <c r="BB35" s="107" t="n">
        <v>0</v>
      </c>
      <c r="BC35" s="107" t="n">
        <v>0</v>
      </c>
      <c r="BD35" s="107" t="n">
        <v>0</v>
      </c>
      <c r="BE35" s="107" t="n">
        <v>18368</v>
      </c>
      <c r="BF35" s="107" t="n">
        <v>24951091</v>
      </c>
      <c r="BG35" s="107" t="n">
        <v>0</v>
      </c>
      <c r="BH35" s="107" t="n">
        <v>0</v>
      </c>
      <c r="BI35" s="107" t="n">
        <v>3978400</v>
      </c>
      <c r="BJ35" s="107" t="n">
        <v>5508492640</v>
      </c>
      <c r="BK35" s="107" t="n">
        <v>0</v>
      </c>
      <c r="BL35" s="107" t="n">
        <v>0</v>
      </c>
      <c r="BM35" s="107" t="n">
        <v>0</v>
      </c>
      <c r="BN35" s="107" t="n">
        <v>0</v>
      </c>
      <c r="BO35" s="107" t="s">
        <v>377</v>
      </c>
      <c r="BP35" s="2"/>
      <c r="BQ35" s="107" t="s">
        <v>374</v>
      </c>
      <c r="BR35" s="107" t="n">
        <v>-104234080</v>
      </c>
      <c r="BS35" s="107" t="n">
        <v>-872250</v>
      </c>
      <c r="BT35" s="107" t="n">
        <v>0</v>
      </c>
      <c r="BU35" s="107" t="n">
        <v>0</v>
      </c>
      <c r="BV35" s="107" t="n">
        <v>0</v>
      </c>
      <c r="BW35" s="107" t="n">
        <v>51660</v>
      </c>
      <c r="BX35" s="107" t="n">
        <v>70174944</v>
      </c>
      <c r="BY35" s="107" t="n">
        <v>0</v>
      </c>
      <c r="BZ35" s="107" t="n">
        <v>0</v>
      </c>
      <c r="CA35" s="107" t="n">
        <v>1384.6</v>
      </c>
      <c r="CB35" s="2"/>
      <c r="CC35" s="107" t="n">
        <v>0</v>
      </c>
      <c r="CD35" s="107" t="n">
        <v>96.7</v>
      </c>
      <c r="CE35" s="107" t="n">
        <v>96.74</v>
      </c>
      <c r="CF35" s="107" t="n">
        <v>96.68</v>
      </c>
      <c r="CG35" s="107" t="n">
        <v>4000000</v>
      </c>
      <c r="CH35" s="107" t="n">
        <v>4.0808</v>
      </c>
      <c r="CI35" s="107" t="n">
        <v>97.68</v>
      </c>
      <c r="CJ35" s="107" t="n">
        <v>97.91</v>
      </c>
      <c r="CK35" s="107" t="n">
        <v>98.01</v>
      </c>
      <c r="CL35" s="107" t="n">
        <v>0</v>
      </c>
    </row>
    <row r="36" customFormat="false" ht="15" hidden="false" customHeight="false" outlineLevel="0" collapsed="false">
      <c r="A36" s="107" t="s">
        <v>435</v>
      </c>
      <c r="B36" s="107" t="n">
        <v>99.1768</v>
      </c>
      <c r="C36" s="107" t="n">
        <v>5.3541</v>
      </c>
      <c r="D36" s="107" t="n">
        <v>1.51</v>
      </c>
      <c r="E36" s="107" t="n">
        <v>-1946.840584</v>
      </c>
      <c r="F36" s="108" t="s">
        <v>358</v>
      </c>
      <c r="G36" s="107" t="n">
        <v>1.51</v>
      </c>
      <c r="H36" s="107" t="n">
        <v>-1946.840584</v>
      </c>
      <c r="I36" s="109" t="n">
        <v>46891</v>
      </c>
      <c r="J36" s="107" t="n">
        <v>2</v>
      </c>
      <c r="K36" s="108" t="s">
        <v>90</v>
      </c>
      <c r="L36" s="107" t="s">
        <v>298</v>
      </c>
      <c r="M36" s="107" t="n">
        <v>19630000</v>
      </c>
      <c r="N36" s="107" t="n">
        <v>100.03</v>
      </c>
      <c r="O36" s="107" t="n">
        <v>12892984</v>
      </c>
      <c r="P36" s="107" t="s">
        <v>436</v>
      </c>
      <c r="Q36" s="107" t="s">
        <v>377</v>
      </c>
      <c r="R36" s="107" t="n">
        <v>-0.0769772929161619</v>
      </c>
      <c r="S36" s="107" t="n">
        <v>-0.00852944116764975</v>
      </c>
      <c r="T36" s="107" t="n">
        <v>-1998.92823936</v>
      </c>
      <c r="U36" s="107" t="n">
        <v>21069</v>
      </c>
      <c r="V36" s="108" t="s">
        <v>362</v>
      </c>
      <c r="W36" s="107" t="n">
        <v>28096</v>
      </c>
      <c r="X36" s="108" t="s">
        <v>372</v>
      </c>
      <c r="Y36" s="107" t="s">
        <v>435</v>
      </c>
      <c r="Z36" s="107" t="s">
        <v>437</v>
      </c>
      <c r="AA36" s="109" t="n">
        <v>45757</v>
      </c>
      <c r="AB36" s="107" t="n">
        <v>250410000001</v>
      </c>
      <c r="AC36" s="109" t="n">
        <v>43238</v>
      </c>
      <c r="AD36" s="109" t="n">
        <v>47256</v>
      </c>
      <c r="AE36" s="107" t="n">
        <v>4.892</v>
      </c>
      <c r="AF36" s="107" t="n">
        <v>1.5478</v>
      </c>
      <c r="AG36" s="107" t="n">
        <v>961</v>
      </c>
      <c r="AH36" s="107" t="n">
        <v>13000000</v>
      </c>
      <c r="AI36" s="107" t="n">
        <v>4.88</v>
      </c>
      <c r="AJ36" s="107" t="n">
        <v>100.03</v>
      </c>
      <c r="AK36" s="107" t="n">
        <v>4.145558</v>
      </c>
      <c r="AL36" s="107" t="n">
        <v>103.632933</v>
      </c>
      <c r="AM36" s="107" t="n">
        <v>5.3269</v>
      </c>
      <c r="AN36" s="107" t="n">
        <v>99.2246</v>
      </c>
      <c r="AO36" s="107" t="n">
        <v>1358.4</v>
      </c>
      <c r="AP36" s="107" t="n">
        <v>1</v>
      </c>
      <c r="AQ36" s="107" t="n">
        <v>12899198</v>
      </c>
      <c r="AR36" s="107" t="n">
        <v>17522270563</v>
      </c>
      <c r="AS36" s="107" t="n">
        <v>13239096</v>
      </c>
      <c r="AT36" s="107" t="n">
        <v>18996778850</v>
      </c>
      <c r="AU36" s="107" t="n">
        <v>-339898</v>
      </c>
      <c r="AV36" s="107" t="n">
        <v>-461717443</v>
      </c>
      <c r="AW36" s="107" t="n">
        <v>0</v>
      </c>
      <c r="AX36" s="107" t="n">
        <v>0</v>
      </c>
      <c r="AY36" s="107" t="n">
        <v>0</v>
      </c>
      <c r="AZ36" s="107" t="n">
        <v>0</v>
      </c>
      <c r="BA36" s="107" t="n">
        <v>0</v>
      </c>
      <c r="BB36" s="107" t="n">
        <v>0</v>
      </c>
      <c r="BC36" s="107" t="n">
        <v>0</v>
      </c>
      <c r="BD36" s="107" t="n">
        <v>0</v>
      </c>
      <c r="BE36" s="107" t="n">
        <v>233185.33</v>
      </c>
      <c r="BF36" s="107" t="n">
        <v>316758952</v>
      </c>
      <c r="BG36" s="107" t="n">
        <v>0</v>
      </c>
      <c r="BH36" s="107" t="n">
        <v>0</v>
      </c>
      <c r="BI36" s="107" t="n">
        <v>13003900</v>
      </c>
      <c r="BJ36" s="107" t="n">
        <v>18659296110</v>
      </c>
      <c r="BK36" s="107" t="n">
        <v>0</v>
      </c>
      <c r="BL36" s="107" t="n">
        <v>0</v>
      </c>
      <c r="BM36" s="107" t="n">
        <v>0</v>
      </c>
      <c r="BN36" s="107" t="n">
        <v>0</v>
      </c>
      <c r="BO36" s="107" t="s">
        <v>374</v>
      </c>
      <c r="BP36" s="2"/>
      <c r="BQ36" s="107" t="s">
        <v>106</v>
      </c>
      <c r="BR36" s="107" t="n">
        <v>-1012790844</v>
      </c>
      <c r="BS36" s="107" t="n">
        <v>0</v>
      </c>
      <c r="BT36" s="107" t="n">
        <v>0</v>
      </c>
      <c r="BU36" s="107" t="n">
        <v>235196</v>
      </c>
      <c r="BV36" s="107" t="n">
        <v>337482740</v>
      </c>
      <c r="BW36" s="107" t="n">
        <v>233185.33</v>
      </c>
      <c r="BX36" s="107" t="n">
        <v>316758952</v>
      </c>
      <c r="BY36" s="107" t="n">
        <v>0</v>
      </c>
      <c r="BZ36" s="107" t="n">
        <v>0</v>
      </c>
      <c r="CA36" s="107" t="n">
        <v>1434.9</v>
      </c>
      <c r="CB36" s="2"/>
      <c r="CC36" s="107" t="n">
        <v>0</v>
      </c>
      <c r="CD36" s="107" t="n">
        <v>99.2</v>
      </c>
      <c r="CE36" s="107" t="n">
        <v>99.22</v>
      </c>
      <c r="CF36" s="107" t="n">
        <v>99.25</v>
      </c>
      <c r="CG36" s="107" t="n">
        <v>9220000</v>
      </c>
      <c r="CH36" s="107" t="n">
        <v>1.5076</v>
      </c>
      <c r="CI36" s="107" t="n">
        <v>97.73</v>
      </c>
      <c r="CJ36" s="107" t="n">
        <v>97.67</v>
      </c>
      <c r="CK36" s="107" t="n">
        <v>97.66</v>
      </c>
      <c r="CL36" s="107" t="n">
        <v>0</v>
      </c>
    </row>
    <row r="37" customFormat="false" ht="15" hidden="false" customHeight="false" outlineLevel="0" collapsed="false">
      <c r="A37" s="107" t="s">
        <v>438</v>
      </c>
      <c r="B37" s="107" t="n">
        <v>96.0978</v>
      </c>
      <c r="C37" s="107" t="n">
        <v>5.6532</v>
      </c>
      <c r="D37" s="107" t="n">
        <v>2.2961</v>
      </c>
      <c r="E37" s="107" t="n">
        <v>-1103.2507929</v>
      </c>
      <c r="F37" s="108" t="s">
        <v>358</v>
      </c>
      <c r="G37" s="107" t="n">
        <v>2.2961</v>
      </c>
      <c r="H37" s="107" t="n">
        <v>-1103.2507929</v>
      </c>
      <c r="I37" s="109" t="n">
        <v>47231</v>
      </c>
      <c r="J37" s="107" t="n">
        <v>3</v>
      </c>
      <c r="K37" s="107" t="s">
        <v>359</v>
      </c>
      <c r="L37" s="107" t="s">
        <v>298</v>
      </c>
      <c r="M37" s="107" t="n">
        <v>11480500</v>
      </c>
      <c r="N37" s="107" t="n">
        <v>96.202</v>
      </c>
      <c r="O37" s="107" t="n">
        <v>4804890</v>
      </c>
      <c r="P37" s="107" t="s">
        <v>439</v>
      </c>
      <c r="Q37" s="107" t="s">
        <v>377</v>
      </c>
      <c r="R37" s="107" t="n">
        <v>-0.0778721168237455</v>
      </c>
      <c r="S37" s="107" t="n">
        <v>-0.00108313756470746</v>
      </c>
      <c r="T37" s="107" t="n">
        <v>-1134.434529</v>
      </c>
      <c r="U37" s="107" t="n">
        <v>21069</v>
      </c>
      <c r="V37" s="108" t="s">
        <v>362</v>
      </c>
      <c r="W37" s="107" t="n">
        <v>28096</v>
      </c>
      <c r="X37" s="108" t="s">
        <v>372</v>
      </c>
      <c r="Y37" s="107" t="s">
        <v>438</v>
      </c>
      <c r="Z37" s="107" t="s">
        <v>440</v>
      </c>
      <c r="AA37" s="109" t="n">
        <v>45797</v>
      </c>
      <c r="AB37" s="107" t="n">
        <v>250520000001</v>
      </c>
      <c r="AC37" s="109" t="n">
        <v>43578</v>
      </c>
      <c r="AD37" s="109" t="n">
        <v>47231</v>
      </c>
      <c r="AE37" s="107" t="n">
        <v>4</v>
      </c>
      <c r="AF37" s="107" t="n">
        <v>2.3587</v>
      </c>
      <c r="AG37" s="107" t="n">
        <v>936</v>
      </c>
      <c r="AH37" s="107" t="n">
        <v>5000000</v>
      </c>
      <c r="AI37" s="107" t="n">
        <v>5.0786</v>
      </c>
      <c r="AJ37" s="107" t="n">
        <v>96.202</v>
      </c>
      <c r="AK37" s="107" t="n">
        <v>4.510983</v>
      </c>
      <c r="AL37" s="107" t="n">
        <v>100.517744</v>
      </c>
      <c r="AM37" s="107" t="n">
        <v>5.5989</v>
      </c>
      <c r="AN37" s="107" t="n">
        <v>96.2269</v>
      </c>
      <c r="AO37" s="107" t="n">
        <v>1358.4</v>
      </c>
      <c r="AP37" s="107" t="n">
        <v>1</v>
      </c>
      <c r="AQ37" s="107" t="n">
        <v>4811345</v>
      </c>
      <c r="AR37" s="107" t="n">
        <v>6535731048</v>
      </c>
      <c r="AS37" s="107" t="n">
        <v>4938665</v>
      </c>
      <c r="AT37" s="107" t="n">
        <v>7086490409</v>
      </c>
      <c r="AU37" s="107" t="n">
        <v>-127320</v>
      </c>
      <c r="AV37" s="107" t="n">
        <v>-172951488</v>
      </c>
      <c r="AW37" s="107" t="n">
        <v>0</v>
      </c>
      <c r="AX37" s="107" t="n">
        <v>0</v>
      </c>
      <c r="AY37" s="107" t="n">
        <v>0</v>
      </c>
      <c r="AZ37" s="107" t="n">
        <v>0</v>
      </c>
      <c r="BA37" s="107" t="n">
        <v>0</v>
      </c>
      <c r="BB37" s="107" t="n">
        <v>0</v>
      </c>
      <c r="BC37" s="107" t="n">
        <v>0</v>
      </c>
      <c r="BD37" s="107" t="n">
        <v>0</v>
      </c>
      <c r="BE37" s="107" t="n">
        <v>87222.22</v>
      </c>
      <c r="BF37" s="107" t="n">
        <v>118482663</v>
      </c>
      <c r="BG37" s="107" t="n">
        <v>0</v>
      </c>
      <c r="BH37" s="107" t="n">
        <v>0</v>
      </c>
      <c r="BI37" s="107" t="n">
        <v>4810100</v>
      </c>
      <c r="BJ37" s="107" t="n">
        <v>6902012490</v>
      </c>
      <c r="BK37" s="107" t="n">
        <v>0</v>
      </c>
      <c r="BL37" s="107" t="n">
        <v>0</v>
      </c>
      <c r="BM37" s="107" t="n">
        <v>0</v>
      </c>
      <c r="BN37" s="107" t="n">
        <v>0</v>
      </c>
      <c r="BO37" s="107" t="s">
        <v>377</v>
      </c>
      <c r="BP37" s="2"/>
      <c r="BQ37" s="107" t="s">
        <v>377</v>
      </c>
      <c r="BR37" s="107" t="n">
        <v>-377807873</v>
      </c>
      <c r="BS37" s="107" t="n">
        <v>0</v>
      </c>
      <c r="BT37" s="107" t="n">
        <v>0</v>
      </c>
      <c r="BU37" s="107" t="n">
        <v>128565</v>
      </c>
      <c r="BV37" s="107" t="n">
        <v>184477919</v>
      </c>
      <c r="BW37" s="107" t="n">
        <v>87222.22</v>
      </c>
      <c r="BX37" s="107" t="n">
        <v>118482663</v>
      </c>
      <c r="BY37" s="107" t="n">
        <v>0</v>
      </c>
      <c r="BZ37" s="107" t="n">
        <v>0</v>
      </c>
      <c r="CA37" s="107" t="n">
        <v>1434.9</v>
      </c>
      <c r="CB37" s="2"/>
      <c r="CC37" s="107" t="n">
        <v>0</v>
      </c>
      <c r="CD37" s="107" t="n">
        <v>96.22</v>
      </c>
      <c r="CE37" s="107" t="n">
        <v>96.24</v>
      </c>
      <c r="CF37" s="107" t="n">
        <v>96.22</v>
      </c>
      <c r="CG37" s="107" t="n">
        <v>0</v>
      </c>
      <c r="CH37" s="107" t="n">
        <v>2.2945</v>
      </c>
      <c r="CI37" s="107" t="n">
        <v>102.04</v>
      </c>
      <c r="CJ37" s="107" t="n">
        <v>102.11</v>
      </c>
      <c r="CK37" s="107" t="n">
        <v>102.01</v>
      </c>
      <c r="CL37" s="107" t="n">
        <v>0</v>
      </c>
    </row>
    <row r="38" customFormat="false" ht="15" hidden="false" customHeight="false" outlineLevel="0" collapsed="false">
      <c r="A38" s="107" t="s">
        <v>441</v>
      </c>
      <c r="B38" s="107" t="n">
        <v>99.1364</v>
      </c>
      <c r="C38" s="107" t="n">
        <v>5.7414</v>
      </c>
      <c r="D38" s="107" t="n">
        <v>1.511</v>
      </c>
      <c r="E38" s="107" t="n">
        <v>-149.7951004</v>
      </c>
      <c r="F38" s="108" t="s">
        <v>358</v>
      </c>
      <c r="G38" s="107" t="n">
        <v>1.511</v>
      </c>
      <c r="H38" s="107" t="n">
        <v>-149.7951004</v>
      </c>
      <c r="I38" s="109" t="n">
        <v>46895</v>
      </c>
      <c r="J38" s="107" t="n">
        <v>2</v>
      </c>
      <c r="K38" s="108" t="s">
        <v>90</v>
      </c>
      <c r="L38" s="107" t="s">
        <v>298</v>
      </c>
      <c r="M38" s="107" t="n">
        <v>1511000</v>
      </c>
      <c r="N38" s="107" t="n">
        <v>100</v>
      </c>
      <c r="O38" s="107" t="n">
        <v>991364</v>
      </c>
      <c r="P38" s="107" t="s">
        <v>442</v>
      </c>
      <c r="Q38" s="107" t="s">
        <v>107</v>
      </c>
      <c r="R38" s="107" t="n">
        <v>-0.0794837623590919</v>
      </c>
      <c r="S38" s="107" t="n">
        <v>-0.00863600000000009</v>
      </c>
      <c r="T38" s="107" t="n">
        <v>-154.09762016</v>
      </c>
      <c r="U38" s="107" t="n">
        <v>21069</v>
      </c>
      <c r="V38" s="108" t="s">
        <v>362</v>
      </c>
      <c r="W38" s="107" t="n">
        <v>28096</v>
      </c>
      <c r="X38" s="108" t="s">
        <v>372</v>
      </c>
      <c r="Y38" s="107" t="s">
        <v>441</v>
      </c>
      <c r="Z38" s="107" t="s">
        <v>443</v>
      </c>
      <c r="AA38" s="109" t="n">
        <v>45799</v>
      </c>
      <c r="AB38" s="107" t="n">
        <v>250522000001</v>
      </c>
      <c r="AC38" s="109" t="n">
        <v>45799</v>
      </c>
      <c r="AD38" s="109" t="n">
        <v>47260</v>
      </c>
      <c r="AE38" s="107" t="n">
        <v>5.249</v>
      </c>
      <c r="AF38" s="107" t="n">
        <v>1.5518</v>
      </c>
      <c r="AG38" s="107" t="n">
        <v>965</v>
      </c>
      <c r="AH38" s="107" t="n">
        <v>1000000</v>
      </c>
      <c r="AI38" s="107" t="n">
        <v>5.249</v>
      </c>
      <c r="AJ38" s="107" t="n">
        <v>100</v>
      </c>
      <c r="AK38" s="107" t="n">
        <v>4.406783</v>
      </c>
      <c r="AL38" s="107" t="n">
        <v>103.941211</v>
      </c>
      <c r="AM38" s="107" t="n">
        <v>5.6983</v>
      </c>
      <c r="AN38" s="107" t="n">
        <v>99.2107</v>
      </c>
      <c r="AO38" s="107" t="n">
        <v>1358.4</v>
      </c>
      <c r="AP38" s="107" t="n">
        <v>1</v>
      </c>
      <c r="AQ38" s="107" t="n">
        <v>992107</v>
      </c>
      <c r="AR38" s="107" t="n">
        <v>1347678149</v>
      </c>
      <c r="AS38" s="107" t="n">
        <v>1020749</v>
      </c>
      <c r="AT38" s="107" t="n">
        <v>1464672740</v>
      </c>
      <c r="AU38" s="107" t="n">
        <v>-28642</v>
      </c>
      <c r="AV38" s="107" t="n">
        <v>-38907293</v>
      </c>
      <c r="AW38" s="107" t="n">
        <v>0</v>
      </c>
      <c r="AX38" s="107" t="n">
        <v>0</v>
      </c>
      <c r="AY38" s="107" t="n">
        <v>0</v>
      </c>
      <c r="AZ38" s="107" t="n">
        <v>0</v>
      </c>
      <c r="BA38" s="107" t="n">
        <v>0</v>
      </c>
      <c r="BB38" s="107" t="n">
        <v>0</v>
      </c>
      <c r="BC38" s="107" t="n">
        <v>0</v>
      </c>
      <c r="BD38" s="107" t="n">
        <v>0</v>
      </c>
      <c r="BE38" s="107" t="n">
        <v>18663.11</v>
      </c>
      <c r="BF38" s="107" t="n">
        <v>25351968</v>
      </c>
      <c r="BG38" s="107" t="n">
        <v>0</v>
      </c>
      <c r="BH38" s="107" t="n">
        <v>0</v>
      </c>
      <c r="BI38" s="107" t="n">
        <v>1000000</v>
      </c>
      <c r="BJ38" s="107" t="n">
        <v>1434900000</v>
      </c>
      <c r="BK38" s="107" t="n">
        <v>0</v>
      </c>
      <c r="BL38" s="107" t="n">
        <v>0</v>
      </c>
      <c r="BM38" s="107" t="n">
        <v>0</v>
      </c>
      <c r="BN38" s="107" t="n">
        <v>0</v>
      </c>
      <c r="BO38" s="107" t="s">
        <v>107</v>
      </c>
      <c r="BP38" s="2"/>
      <c r="BQ38" s="107" t="s">
        <v>374</v>
      </c>
      <c r="BR38" s="107" t="n">
        <v>-78087298</v>
      </c>
      <c r="BS38" s="107" t="n">
        <v>0</v>
      </c>
      <c r="BT38" s="107" t="n">
        <v>0</v>
      </c>
      <c r="BU38" s="107" t="n">
        <v>20749</v>
      </c>
      <c r="BV38" s="107" t="n">
        <v>29772740</v>
      </c>
      <c r="BW38" s="107" t="n">
        <v>18663.11</v>
      </c>
      <c r="BX38" s="107" t="n">
        <v>25351968</v>
      </c>
      <c r="BY38" s="107" t="n">
        <v>0</v>
      </c>
      <c r="BZ38" s="107" t="n">
        <v>0</v>
      </c>
      <c r="CA38" s="107" t="n">
        <v>1434.9</v>
      </c>
      <c r="CB38" s="2"/>
      <c r="CC38" s="107" t="n">
        <v>0</v>
      </c>
      <c r="CD38" s="107" t="n">
        <v>99.18</v>
      </c>
      <c r="CE38" s="107" t="n">
        <v>99.24</v>
      </c>
      <c r="CF38" s="107" t="n">
        <v>99.21</v>
      </c>
      <c r="CG38" s="107" t="n">
        <v>1000000</v>
      </c>
      <c r="CH38" s="107" t="n">
        <v>1.5088</v>
      </c>
      <c r="CI38" s="107" t="n">
        <v>102.04</v>
      </c>
      <c r="CJ38" s="107" t="n">
        <v>102.11</v>
      </c>
      <c r="CK38" s="107" t="n">
        <v>102.01</v>
      </c>
      <c r="CL38" s="107" t="n">
        <v>0</v>
      </c>
    </row>
    <row r="39" customFormat="false" ht="15" hidden="false" customHeight="false" outlineLevel="0" collapsed="false">
      <c r="A39" s="107" t="s">
        <v>444</v>
      </c>
      <c r="B39" s="107" t="n">
        <v>94.8521</v>
      </c>
      <c r="C39" s="107" t="n">
        <v>5.7878</v>
      </c>
      <c r="D39" s="107" t="n">
        <v>3.7648</v>
      </c>
      <c r="E39" s="107" t="n">
        <v>-1785.4959304</v>
      </c>
      <c r="F39" s="108" t="s">
        <v>358</v>
      </c>
      <c r="G39" s="107" t="n">
        <v>3.7648</v>
      </c>
      <c r="H39" s="107" t="n">
        <v>-1785.4959304</v>
      </c>
      <c r="I39" s="109" t="n">
        <v>48228</v>
      </c>
      <c r="J39" s="107" t="n">
        <v>10</v>
      </c>
      <c r="K39" s="108" t="s">
        <v>92</v>
      </c>
      <c r="L39" s="107" t="s">
        <v>298</v>
      </c>
      <c r="M39" s="107" t="n">
        <v>18824000</v>
      </c>
      <c r="N39" s="107" t="n">
        <v>98.48</v>
      </c>
      <c r="O39" s="107" t="n">
        <v>4742605</v>
      </c>
      <c r="P39" s="107" t="s">
        <v>445</v>
      </c>
      <c r="Q39" s="107" t="s">
        <v>106</v>
      </c>
      <c r="R39" s="107" t="n">
        <v>-0.133263398939471</v>
      </c>
      <c r="S39" s="107" t="n">
        <v>-0.0368389520714867</v>
      </c>
      <c r="T39" s="107" t="n">
        <v>-1837.14289885</v>
      </c>
      <c r="U39" s="107" t="n">
        <v>21069</v>
      </c>
      <c r="V39" s="108" t="s">
        <v>362</v>
      </c>
      <c r="W39" s="107" t="n">
        <v>28096</v>
      </c>
      <c r="X39" s="108" t="s">
        <v>372</v>
      </c>
      <c r="Y39" s="107" t="s">
        <v>444</v>
      </c>
      <c r="Z39" s="107" t="s">
        <v>446</v>
      </c>
      <c r="AA39" s="109" t="n">
        <v>46175</v>
      </c>
      <c r="AB39" s="107" t="n">
        <v>260602000001</v>
      </c>
      <c r="AC39" s="109" t="n">
        <v>46037</v>
      </c>
      <c r="AD39" s="109" t="n">
        <v>48228</v>
      </c>
      <c r="AE39" s="107" t="n">
        <v>4.494</v>
      </c>
      <c r="AF39" s="107" t="n">
        <v>3.8715</v>
      </c>
      <c r="AG39" s="107" t="n">
        <v>1933</v>
      </c>
      <c r="AH39" s="107" t="n">
        <v>5000000</v>
      </c>
      <c r="AI39" s="107" t="n">
        <v>4.864162</v>
      </c>
      <c r="AJ39" s="107" t="n">
        <v>98.48</v>
      </c>
      <c r="AK39" s="107" t="n">
        <v>4.821467</v>
      </c>
      <c r="AL39" s="107" t="n">
        <v>99.41625</v>
      </c>
      <c r="AM39" s="107" t="n">
        <v>5.7502</v>
      </c>
      <c r="AN39" s="107" t="n">
        <v>94.9975</v>
      </c>
      <c r="AO39" s="107" t="n">
        <v>1358.4</v>
      </c>
      <c r="AP39" s="107" t="n">
        <v>1</v>
      </c>
      <c r="AQ39" s="107" t="n">
        <v>4749875</v>
      </c>
      <c r="AR39" s="107" t="n">
        <v>6452230200</v>
      </c>
      <c r="AS39" s="107" t="n">
        <v>4924000</v>
      </c>
      <c r="AT39" s="107" t="n">
        <v>7441641200</v>
      </c>
      <c r="AU39" s="107" t="n">
        <v>-174125</v>
      </c>
      <c r="AV39" s="107" t="n">
        <v>-236531400</v>
      </c>
      <c r="AW39" s="107" t="n">
        <v>0</v>
      </c>
      <c r="AX39" s="107" t="n">
        <v>0</v>
      </c>
      <c r="AY39" s="107" t="n">
        <v>0</v>
      </c>
      <c r="AZ39" s="107" t="n">
        <v>0</v>
      </c>
      <c r="BA39" s="107" t="n">
        <v>0</v>
      </c>
      <c r="BB39" s="107" t="n">
        <v>0</v>
      </c>
      <c r="BC39" s="107" t="n">
        <v>0</v>
      </c>
      <c r="BD39" s="107" t="n">
        <v>0</v>
      </c>
      <c r="BE39" s="107" t="n">
        <v>46812.5</v>
      </c>
      <c r="BF39" s="107" t="n">
        <v>63590100</v>
      </c>
      <c r="BG39" s="107" t="n">
        <v>0</v>
      </c>
      <c r="BH39" s="107" t="n">
        <v>0</v>
      </c>
      <c r="BI39" s="107" t="n">
        <v>4924000</v>
      </c>
      <c r="BJ39" s="107" t="n">
        <v>7441641200</v>
      </c>
      <c r="BK39" s="107" t="n">
        <v>0</v>
      </c>
      <c r="BL39" s="107" t="n">
        <v>0</v>
      </c>
      <c r="BM39" s="107" t="n">
        <v>0</v>
      </c>
      <c r="BN39" s="107" t="n">
        <v>0</v>
      </c>
      <c r="BO39" s="107" t="s">
        <v>374</v>
      </c>
      <c r="BP39" s="107" t="s">
        <v>418</v>
      </c>
      <c r="BQ39" s="107" t="s">
        <v>374</v>
      </c>
      <c r="BR39" s="107" t="n">
        <v>-752879600</v>
      </c>
      <c r="BS39" s="107" t="n">
        <v>0</v>
      </c>
      <c r="BT39" s="107" t="n">
        <v>0</v>
      </c>
      <c r="BU39" s="107" t="n">
        <v>0</v>
      </c>
      <c r="BV39" s="107" t="n">
        <v>0</v>
      </c>
      <c r="BW39" s="107" t="n">
        <v>46812.5</v>
      </c>
      <c r="BX39" s="107" t="n">
        <v>63590100</v>
      </c>
      <c r="BY39" s="107" t="n">
        <v>0</v>
      </c>
      <c r="BZ39" s="107" t="n">
        <v>0</v>
      </c>
      <c r="CA39" s="107" t="n">
        <v>1511.3</v>
      </c>
      <c r="CB39" s="2"/>
      <c r="CC39" s="107" t="n">
        <v>0</v>
      </c>
      <c r="CD39" s="107" t="n">
        <v>94.96</v>
      </c>
      <c r="CE39" s="107" t="n">
        <v>95.05</v>
      </c>
      <c r="CF39" s="107" t="n">
        <v>94.98</v>
      </c>
      <c r="CG39" s="107" t="n">
        <v>0</v>
      </c>
      <c r="CH39" s="107" t="n">
        <v>3.7633</v>
      </c>
      <c r="CI39" s="107" t="n">
        <v>102.3</v>
      </c>
      <c r="CJ39" s="107" t="n">
        <v>102.4</v>
      </c>
      <c r="CK39" s="107" t="n">
        <v>102.42</v>
      </c>
      <c r="CL39" s="107" t="n">
        <v>0</v>
      </c>
    </row>
    <row r="40" customFormat="false" ht="15" hidden="false" customHeight="false" outlineLevel="0" collapsed="false">
      <c r="A40" s="107" t="s">
        <v>447</v>
      </c>
      <c r="B40" s="107" t="n">
        <v>98.6649</v>
      </c>
      <c r="C40" s="107" t="n">
        <v>5.3408</v>
      </c>
      <c r="D40" s="107" t="n">
        <v>1.5213</v>
      </c>
      <c r="E40" s="107" t="n">
        <v>-750.49456185</v>
      </c>
      <c r="F40" s="108" t="s">
        <v>358</v>
      </c>
      <c r="G40" s="107" t="n">
        <v>1.5213</v>
      </c>
      <c r="H40" s="107" t="n">
        <v>-750.49456185</v>
      </c>
      <c r="I40" s="109" t="n">
        <v>46893</v>
      </c>
      <c r="J40" s="107" t="n">
        <v>2</v>
      </c>
      <c r="K40" s="108" t="s">
        <v>384</v>
      </c>
      <c r="L40" s="107" t="s">
        <v>298</v>
      </c>
      <c r="M40" s="107" t="n">
        <v>7606500</v>
      </c>
      <c r="N40" s="107" t="n">
        <v>99.937</v>
      </c>
      <c r="O40" s="107" t="n">
        <v>4933245</v>
      </c>
      <c r="P40" s="107" t="s">
        <v>448</v>
      </c>
      <c r="Q40" s="107" t="s">
        <v>374</v>
      </c>
      <c r="R40" s="107" t="n">
        <v>-0.106779847141911</v>
      </c>
      <c r="S40" s="107" t="n">
        <v>-0.0127290192821477</v>
      </c>
      <c r="T40" s="107" t="n">
        <v>-770.52353655</v>
      </c>
      <c r="U40" s="107" t="n">
        <v>21069</v>
      </c>
      <c r="V40" s="108" t="s">
        <v>362</v>
      </c>
      <c r="W40" s="107" t="n">
        <v>28096</v>
      </c>
      <c r="X40" s="108" t="s">
        <v>372</v>
      </c>
      <c r="Y40" s="107" t="s">
        <v>447</v>
      </c>
      <c r="Z40" s="107" t="s">
        <v>449</v>
      </c>
      <c r="AA40" s="109" t="n">
        <v>46174</v>
      </c>
      <c r="AB40" s="107" t="n">
        <v>260601000001</v>
      </c>
      <c r="AC40" s="109" t="n">
        <v>46162</v>
      </c>
      <c r="AD40" s="109" t="n">
        <v>47258</v>
      </c>
      <c r="AE40" s="107" t="n">
        <v>4.577</v>
      </c>
      <c r="AF40" s="107" t="n">
        <v>1.5592</v>
      </c>
      <c r="AG40" s="107" t="n">
        <v>963</v>
      </c>
      <c r="AH40" s="107" t="n">
        <v>5000000</v>
      </c>
      <c r="AI40" s="107" t="n">
        <v>4.61</v>
      </c>
      <c r="AJ40" s="107" t="n">
        <v>99.937</v>
      </c>
      <c r="AK40" s="107" t="n">
        <v>4.600498</v>
      </c>
      <c r="AL40" s="107" t="n">
        <v>101.589805</v>
      </c>
      <c r="AM40" s="107" t="n">
        <v>5.3051</v>
      </c>
      <c r="AN40" s="107" t="n">
        <v>98.7279</v>
      </c>
      <c r="AO40" s="107" t="n">
        <v>1358.4</v>
      </c>
      <c r="AP40" s="107" t="n">
        <v>1</v>
      </c>
      <c r="AQ40" s="107" t="n">
        <v>4936395</v>
      </c>
      <c r="AR40" s="107" t="n">
        <v>6705598968</v>
      </c>
      <c r="AS40" s="107" t="n">
        <v>4996850</v>
      </c>
      <c r="AT40" s="107" t="n">
        <v>7511264920</v>
      </c>
      <c r="AU40" s="107" t="n">
        <v>-60455</v>
      </c>
      <c r="AV40" s="107" t="n">
        <v>-82122072</v>
      </c>
      <c r="AW40" s="107" t="n">
        <v>6992.64</v>
      </c>
      <c r="AX40" s="107" t="n">
        <v>10511336</v>
      </c>
      <c r="AY40" s="107" t="n">
        <v>0</v>
      </c>
      <c r="AZ40" s="107" t="n">
        <v>0</v>
      </c>
      <c r="BA40" s="107" t="n">
        <v>0</v>
      </c>
      <c r="BB40" s="107" t="n">
        <v>0</v>
      </c>
      <c r="BC40" s="107" t="n">
        <v>0</v>
      </c>
      <c r="BD40" s="107" t="n">
        <v>0</v>
      </c>
      <c r="BE40" s="107" t="n">
        <v>75647.64</v>
      </c>
      <c r="BF40" s="107" t="n">
        <v>102759754</v>
      </c>
      <c r="BG40" s="107" t="n">
        <v>0</v>
      </c>
      <c r="BH40" s="107" t="n">
        <v>0</v>
      </c>
      <c r="BI40" s="107" t="n">
        <v>4996850</v>
      </c>
      <c r="BJ40" s="107" t="n">
        <v>7511264920</v>
      </c>
      <c r="BK40" s="107" t="n">
        <v>0</v>
      </c>
      <c r="BL40" s="107" t="n">
        <v>0</v>
      </c>
      <c r="BM40" s="107" t="n">
        <v>0</v>
      </c>
      <c r="BN40" s="107" t="n">
        <v>0</v>
      </c>
      <c r="BO40" s="107" t="s">
        <v>374</v>
      </c>
      <c r="BP40" s="2"/>
      <c r="BQ40" s="107" t="s">
        <v>367</v>
      </c>
      <c r="BR40" s="107" t="n">
        <v>-723543880</v>
      </c>
      <c r="BS40" s="107" t="n">
        <v>-1012534</v>
      </c>
      <c r="BT40" s="107" t="n">
        <v>0</v>
      </c>
      <c r="BU40" s="107" t="n">
        <v>0</v>
      </c>
      <c r="BV40" s="107" t="n">
        <v>0</v>
      </c>
      <c r="BW40" s="107" t="n">
        <v>82640.28</v>
      </c>
      <c r="BX40" s="107" t="n">
        <v>112258556</v>
      </c>
      <c r="BY40" s="107" t="n">
        <v>0</v>
      </c>
      <c r="BZ40" s="107" t="n">
        <v>0</v>
      </c>
      <c r="CA40" s="107" t="n">
        <v>1503.2</v>
      </c>
      <c r="CB40" s="2"/>
      <c r="CC40" s="107" t="n">
        <v>0</v>
      </c>
      <c r="CD40" s="107" t="n">
        <v>98.77</v>
      </c>
      <c r="CE40" s="107" t="n">
        <v>98.71</v>
      </c>
      <c r="CF40" s="107" t="n">
        <v>98.7</v>
      </c>
      <c r="CG40" s="107" t="n">
        <v>0</v>
      </c>
      <c r="CH40" s="107" t="n">
        <v>1.5189</v>
      </c>
      <c r="CI40" s="107" t="n">
        <v>102.3</v>
      </c>
      <c r="CJ40" s="107" t="n">
        <v>102.4</v>
      </c>
      <c r="CK40" s="107" t="n">
        <v>102.42</v>
      </c>
      <c r="CL40" s="107" t="n">
        <v>0</v>
      </c>
    </row>
    <row r="41" customFormat="false" ht="15" hidden="false" customHeight="false" outlineLevel="0" collapsed="false">
      <c r="A41" s="107" t="s">
        <v>450</v>
      </c>
      <c r="B41" s="107" t="n">
        <v>99.2622</v>
      </c>
      <c r="C41" s="107" t="n">
        <v>5.5453</v>
      </c>
      <c r="D41" s="107" t="n">
        <v>1.7083</v>
      </c>
      <c r="E41" s="107" t="n">
        <v>-2933.554361298</v>
      </c>
      <c r="F41" s="108" t="s">
        <v>358</v>
      </c>
      <c r="G41" s="107" t="n">
        <v>1.7083</v>
      </c>
      <c r="H41" s="107" t="n">
        <v>-2933.554361298</v>
      </c>
      <c r="I41" s="109" t="n">
        <v>46971</v>
      </c>
      <c r="J41" s="107" t="n">
        <v>2</v>
      </c>
      <c r="K41" s="107" t="s">
        <v>359</v>
      </c>
      <c r="L41" s="107" t="s">
        <v>298</v>
      </c>
      <c r="M41" s="107" t="n">
        <v>29553590</v>
      </c>
      <c r="N41" s="107" t="n">
        <v>100.342</v>
      </c>
      <c r="O41" s="107" t="n">
        <v>17172360.6</v>
      </c>
      <c r="P41" s="107" t="s">
        <v>451</v>
      </c>
      <c r="Q41" s="107" t="s">
        <v>367</v>
      </c>
      <c r="R41" s="107" t="n">
        <v>-0.0821346005748666</v>
      </c>
      <c r="S41" s="107" t="n">
        <v>-0.0107611967072611</v>
      </c>
      <c r="T41" s="107" t="n">
        <v>-3014.951350542</v>
      </c>
      <c r="U41" s="107" t="n">
        <v>21069</v>
      </c>
      <c r="V41" s="108" t="s">
        <v>362</v>
      </c>
      <c r="W41" s="107" t="n">
        <v>28096</v>
      </c>
      <c r="X41" s="108" t="s">
        <v>372</v>
      </c>
      <c r="Y41" s="107" t="s">
        <v>450</v>
      </c>
      <c r="Z41" s="107" t="s">
        <v>452</v>
      </c>
      <c r="AA41" s="109" t="n">
        <v>45797</v>
      </c>
      <c r="AB41" s="107" t="n">
        <v>250520000001</v>
      </c>
      <c r="AC41" s="109" t="n">
        <v>43318</v>
      </c>
      <c r="AD41" s="109" t="n">
        <v>46971</v>
      </c>
      <c r="AE41" s="107" t="n">
        <v>5.125</v>
      </c>
      <c r="AF41" s="107" t="n">
        <v>1.7532</v>
      </c>
      <c r="AG41" s="107" t="n">
        <v>676</v>
      </c>
      <c r="AH41" s="107" t="n">
        <v>17300000</v>
      </c>
      <c r="AI41" s="107" t="n">
        <v>5.005</v>
      </c>
      <c r="AJ41" s="107" t="n">
        <v>100.342</v>
      </c>
      <c r="AK41" s="107" t="n">
        <v>3.711663</v>
      </c>
      <c r="AL41" s="107" t="n">
        <v>103.26835</v>
      </c>
      <c r="AM41" s="107" t="n">
        <v>5.4904</v>
      </c>
      <c r="AN41" s="107" t="n">
        <v>99.3581</v>
      </c>
      <c r="AO41" s="107" t="n">
        <v>1358.4</v>
      </c>
      <c r="AP41" s="107" t="n">
        <v>1</v>
      </c>
      <c r="AQ41" s="107" t="n">
        <v>17188951.3</v>
      </c>
      <c r="AR41" s="107" t="n">
        <v>23349471446</v>
      </c>
      <c r="AS41" s="107" t="n">
        <v>17732430.8</v>
      </c>
      <c r="AT41" s="107" t="n">
        <v>25444264955</v>
      </c>
      <c r="AU41" s="107" t="n">
        <v>-543479.5</v>
      </c>
      <c r="AV41" s="107" t="n">
        <v>-738262553</v>
      </c>
      <c r="AW41" s="107" t="n">
        <v>0</v>
      </c>
      <c r="AX41" s="107" t="n">
        <v>0</v>
      </c>
      <c r="AY41" s="107" t="n">
        <v>0</v>
      </c>
      <c r="AZ41" s="107" t="n">
        <v>0</v>
      </c>
      <c r="BA41" s="107" t="n">
        <v>0</v>
      </c>
      <c r="BB41" s="107" t="n">
        <v>0</v>
      </c>
      <c r="BC41" s="107" t="n">
        <v>0</v>
      </c>
      <c r="BD41" s="107" t="n">
        <v>0</v>
      </c>
      <c r="BE41" s="107" t="n">
        <v>132993.75</v>
      </c>
      <c r="BF41" s="107" t="n">
        <v>180658710</v>
      </c>
      <c r="BG41" s="107" t="n">
        <v>0</v>
      </c>
      <c r="BH41" s="107" t="n">
        <v>0</v>
      </c>
      <c r="BI41" s="107" t="n">
        <v>17359166</v>
      </c>
      <c r="BJ41" s="107" t="n">
        <v>24908667293</v>
      </c>
      <c r="BK41" s="107" t="n">
        <v>0</v>
      </c>
      <c r="BL41" s="107" t="n">
        <v>0</v>
      </c>
      <c r="BM41" s="107" t="n">
        <v>0</v>
      </c>
      <c r="BN41" s="107" t="n">
        <v>0</v>
      </c>
      <c r="BO41" s="107" t="s">
        <v>377</v>
      </c>
      <c r="BP41" s="2"/>
      <c r="BQ41" s="107" t="s">
        <v>369</v>
      </c>
      <c r="BR41" s="107" t="n">
        <v>-1356530956</v>
      </c>
      <c r="BS41" s="107" t="n">
        <v>0</v>
      </c>
      <c r="BT41" s="107" t="n">
        <v>0</v>
      </c>
      <c r="BU41" s="107" t="n">
        <v>373264.8</v>
      </c>
      <c r="BV41" s="107" t="n">
        <v>535597662</v>
      </c>
      <c r="BW41" s="107" t="n">
        <v>132993.75</v>
      </c>
      <c r="BX41" s="107" t="n">
        <v>180658710</v>
      </c>
      <c r="BY41" s="107" t="n">
        <v>0</v>
      </c>
      <c r="BZ41" s="107" t="n">
        <v>0</v>
      </c>
      <c r="CA41" s="107" t="n">
        <v>1434.9</v>
      </c>
      <c r="CB41" s="2"/>
      <c r="CC41" s="107" t="n">
        <v>0</v>
      </c>
      <c r="CD41" s="107" t="n">
        <v>0</v>
      </c>
      <c r="CE41" s="107" t="n">
        <v>99.27</v>
      </c>
      <c r="CF41" s="107" t="n">
        <v>99.44</v>
      </c>
      <c r="CG41" s="107" t="n">
        <v>0</v>
      </c>
      <c r="CH41" s="107" t="n">
        <v>1.7064</v>
      </c>
      <c r="CI41" s="107" t="n">
        <v>101.12</v>
      </c>
      <c r="CJ41" s="107" t="n">
        <v>101.23</v>
      </c>
      <c r="CK41" s="107" t="n">
        <v>101.17</v>
      </c>
      <c r="CL41" s="107" t="n">
        <v>0</v>
      </c>
    </row>
    <row r="42" customFormat="false" ht="15" hidden="false" customHeight="false" outlineLevel="0" collapsed="false">
      <c r="A42" s="107" t="s">
        <v>453</v>
      </c>
      <c r="B42" s="107" t="n">
        <v>102.7891</v>
      </c>
      <c r="C42" s="107" t="n">
        <v>5.8431</v>
      </c>
      <c r="D42" s="107" t="n">
        <v>2.0924</v>
      </c>
      <c r="E42" s="107" t="n">
        <v>-2580.91095408</v>
      </c>
      <c r="F42" s="108" t="s">
        <v>358</v>
      </c>
      <c r="G42" s="107" t="n">
        <v>2.0924</v>
      </c>
      <c r="H42" s="107" t="n">
        <v>-2580.91095408</v>
      </c>
      <c r="I42" s="109" t="n">
        <v>47157</v>
      </c>
      <c r="J42" s="107" t="n">
        <v>3</v>
      </c>
      <c r="K42" s="108" t="s">
        <v>90</v>
      </c>
      <c r="L42" s="107" t="s">
        <v>298</v>
      </c>
      <c r="M42" s="107" t="n">
        <v>25108800</v>
      </c>
      <c r="N42" s="107" t="n">
        <v>106.67</v>
      </c>
      <c r="O42" s="107" t="n">
        <v>12334692</v>
      </c>
      <c r="P42" s="107" t="s">
        <v>454</v>
      </c>
      <c r="Q42" s="107" t="s">
        <v>374</v>
      </c>
      <c r="R42" s="107" t="n">
        <v>-0.0958916995404679</v>
      </c>
      <c r="S42" s="107" t="n">
        <v>-0.0363823005531077</v>
      </c>
      <c r="T42" s="107" t="n">
        <v>-2656.2759222</v>
      </c>
      <c r="U42" s="107" t="n">
        <v>21069</v>
      </c>
      <c r="V42" s="108" t="s">
        <v>362</v>
      </c>
      <c r="W42" s="107" t="n">
        <v>28096</v>
      </c>
      <c r="X42" s="108" t="s">
        <v>372</v>
      </c>
      <c r="Y42" s="107" t="s">
        <v>453</v>
      </c>
      <c r="Z42" s="107" t="s">
        <v>455</v>
      </c>
      <c r="AA42" s="109" t="n">
        <v>45757</v>
      </c>
      <c r="AB42" s="107" t="n">
        <v>250410000001</v>
      </c>
      <c r="AC42" s="109" t="n">
        <v>45238</v>
      </c>
      <c r="AD42" s="109" t="n">
        <v>47522</v>
      </c>
      <c r="AE42" s="107" t="n">
        <v>7.018</v>
      </c>
      <c r="AF42" s="107" t="n">
        <v>2.1514</v>
      </c>
      <c r="AG42" s="107" t="n">
        <v>1227</v>
      </c>
      <c r="AH42" s="107" t="n">
        <v>12000000</v>
      </c>
      <c r="AI42" s="107" t="n">
        <v>5.076</v>
      </c>
      <c r="AJ42" s="107" t="n">
        <v>106.67</v>
      </c>
      <c r="AK42" s="107" t="n">
        <v>4.908197</v>
      </c>
      <c r="AL42" s="107" t="n">
        <v>108.770311</v>
      </c>
      <c r="AM42" s="107" t="n">
        <v>5.8112</v>
      </c>
      <c r="AN42" s="107" t="n">
        <v>102.8679</v>
      </c>
      <c r="AO42" s="107" t="n">
        <v>1358.4</v>
      </c>
      <c r="AP42" s="107" t="n">
        <v>1</v>
      </c>
      <c r="AQ42" s="107" t="n">
        <v>12344148</v>
      </c>
      <c r="AR42" s="107" t="n">
        <v>16768290643</v>
      </c>
      <c r="AS42" s="107" t="n">
        <v>12930792</v>
      </c>
      <c r="AT42" s="107" t="n">
        <v>18554393441</v>
      </c>
      <c r="AU42" s="107" t="n">
        <v>-586644</v>
      </c>
      <c r="AV42" s="107" t="n">
        <v>-796897210</v>
      </c>
      <c r="AW42" s="107" t="n">
        <v>0</v>
      </c>
      <c r="AX42" s="107" t="n">
        <v>0</v>
      </c>
      <c r="AY42" s="107" t="n">
        <v>0</v>
      </c>
      <c r="AZ42" s="107" t="n">
        <v>0</v>
      </c>
      <c r="BA42" s="107" t="n">
        <v>0</v>
      </c>
      <c r="BB42" s="107" t="n">
        <v>0</v>
      </c>
      <c r="BC42" s="107" t="n">
        <v>0</v>
      </c>
      <c r="BD42" s="107" t="n">
        <v>0</v>
      </c>
      <c r="BE42" s="107" t="n">
        <v>121645.33</v>
      </c>
      <c r="BF42" s="107" t="n">
        <v>165243016</v>
      </c>
      <c r="BG42" s="107" t="n">
        <v>0</v>
      </c>
      <c r="BH42" s="107" t="n">
        <v>0</v>
      </c>
      <c r="BI42" s="107" t="n">
        <v>12800400</v>
      </c>
      <c r="BJ42" s="107" t="n">
        <v>18367293960</v>
      </c>
      <c r="BK42" s="107" t="n">
        <v>0</v>
      </c>
      <c r="BL42" s="107" t="n">
        <v>0</v>
      </c>
      <c r="BM42" s="107" t="n">
        <v>0</v>
      </c>
      <c r="BN42" s="107" t="n">
        <v>0</v>
      </c>
      <c r="BO42" s="107" t="s">
        <v>377</v>
      </c>
      <c r="BP42" s="2"/>
      <c r="BQ42" s="107" t="s">
        <v>106</v>
      </c>
      <c r="BR42" s="107" t="n">
        <v>-989205588</v>
      </c>
      <c r="BS42" s="107" t="n">
        <v>0</v>
      </c>
      <c r="BT42" s="107" t="n">
        <v>0</v>
      </c>
      <c r="BU42" s="107" t="n">
        <v>130392</v>
      </c>
      <c r="BV42" s="107" t="n">
        <v>187099481</v>
      </c>
      <c r="BW42" s="107" t="n">
        <v>121645.33</v>
      </c>
      <c r="BX42" s="107" t="n">
        <v>165243016</v>
      </c>
      <c r="BY42" s="107" t="n">
        <v>0</v>
      </c>
      <c r="BZ42" s="107" t="n">
        <v>0</v>
      </c>
      <c r="CA42" s="107" t="n">
        <v>1434.9</v>
      </c>
      <c r="CB42" s="2"/>
      <c r="CC42" s="107" t="n">
        <v>0</v>
      </c>
      <c r="CD42" s="107" t="n">
        <v>102.88</v>
      </c>
      <c r="CE42" s="107" t="n">
        <v>102.82</v>
      </c>
      <c r="CF42" s="107" t="n">
        <v>102.9</v>
      </c>
      <c r="CG42" s="107" t="n">
        <v>0</v>
      </c>
      <c r="CH42" s="107" t="n">
        <v>2.0907</v>
      </c>
      <c r="CI42" s="107" t="n">
        <v>100.1</v>
      </c>
      <c r="CJ42" s="107" t="n">
        <v>100.17</v>
      </c>
      <c r="CK42" s="107" t="n">
        <v>100.13</v>
      </c>
      <c r="CL42" s="107" t="n">
        <v>4000000</v>
      </c>
    </row>
    <row r="43" customFormat="false" ht="15" hidden="false" customHeight="false" outlineLevel="0" collapsed="false">
      <c r="A43" s="107" t="s">
        <v>456</v>
      </c>
      <c r="B43" s="107" t="n">
        <v>94.273</v>
      </c>
      <c r="C43" s="107" t="n">
        <v>5.8912</v>
      </c>
      <c r="D43" s="107" t="n">
        <v>4.2115</v>
      </c>
      <c r="E43" s="107" t="n">
        <v>-397.0307395</v>
      </c>
      <c r="F43" s="108" t="s">
        <v>358</v>
      </c>
      <c r="G43" s="107" t="n">
        <v>4.2115</v>
      </c>
      <c r="H43" s="107" t="n">
        <v>-397.0307395</v>
      </c>
      <c r="I43" s="109" t="n">
        <v>48070</v>
      </c>
      <c r="J43" s="107" t="n">
        <v>5</v>
      </c>
      <c r="K43" s="108" t="s">
        <v>90</v>
      </c>
      <c r="L43" s="107" t="s">
        <v>298</v>
      </c>
      <c r="M43" s="107" t="n">
        <v>4211500</v>
      </c>
      <c r="N43" s="107" t="n">
        <v>98.245</v>
      </c>
      <c r="O43" s="107" t="n">
        <v>942730</v>
      </c>
      <c r="P43" s="107" t="s">
        <v>457</v>
      </c>
      <c r="Q43" s="107" t="s">
        <v>106</v>
      </c>
      <c r="R43" s="107" t="n">
        <v>-0.136494522743668</v>
      </c>
      <c r="S43" s="107" t="n">
        <v>-0.0404295383989008</v>
      </c>
      <c r="T43" s="107" t="n">
        <v>-408.7300188</v>
      </c>
      <c r="U43" s="107" t="n">
        <v>21069</v>
      </c>
      <c r="V43" s="108" t="s">
        <v>362</v>
      </c>
      <c r="W43" s="107" t="n">
        <v>28096</v>
      </c>
      <c r="X43" s="108" t="s">
        <v>372</v>
      </c>
      <c r="Y43" s="107" t="s">
        <v>456</v>
      </c>
      <c r="Z43" s="107" t="s">
        <v>458</v>
      </c>
      <c r="AA43" s="109" t="n">
        <v>46175</v>
      </c>
      <c r="AB43" s="107" t="n">
        <v>260602000001</v>
      </c>
      <c r="AC43" s="109" t="n">
        <v>46063</v>
      </c>
      <c r="AD43" s="109" t="n">
        <v>48436</v>
      </c>
      <c r="AE43" s="107" t="n">
        <v>4.588</v>
      </c>
      <c r="AF43" s="107" t="n">
        <v>4.3332</v>
      </c>
      <c r="AG43" s="107" t="n">
        <v>2141</v>
      </c>
      <c r="AH43" s="107" t="n">
        <v>1000000</v>
      </c>
      <c r="AI43" s="107" t="n">
        <v>4.97445</v>
      </c>
      <c r="AJ43" s="107" t="n">
        <v>98.245</v>
      </c>
      <c r="AK43" s="107" t="n">
        <v>4.935366</v>
      </c>
      <c r="AL43" s="107" t="n">
        <v>98.882222</v>
      </c>
      <c r="AM43" s="107" t="n">
        <v>5.8712</v>
      </c>
      <c r="AN43" s="107" t="n">
        <v>94.3614</v>
      </c>
      <c r="AO43" s="107" t="n">
        <v>1358.4</v>
      </c>
      <c r="AP43" s="107" t="n">
        <v>1</v>
      </c>
      <c r="AQ43" s="107" t="n">
        <v>943614</v>
      </c>
      <c r="AR43" s="107" t="n">
        <v>1281805258</v>
      </c>
      <c r="AS43" s="107" t="n">
        <v>982450</v>
      </c>
      <c r="AT43" s="107" t="n">
        <v>1484776685</v>
      </c>
      <c r="AU43" s="107" t="n">
        <v>-38836</v>
      </c>
      <c r="AV43" s="107" t="n">
        <v>-52754822</v>
      </c>
      <c r="AW43" s="107" t="n">
        <v>0</v>
      </c>
      <c r="AX43" s="107" t="n">
        <v>0</v>
      </c>
      <c r="AY43" s="107" t="n">
        <v>0</v>
      </c>
      <c r="AZ43" s="107" t="n">
        <v>0</v>
      </c>
      <c r="BA43" s="107" t="n">
        <v>0</v>
      </c>
      <c r="BB43" s="107" t="n">
        <v>0</v>
      </c>
      <c r="BC43" s="107" t="n">
        <v>0</v>
      </c>
      <c r="BD43" s="107" t="n">
        <v>0</v>
      </c>
      <c r="BE43" s="107" t="n">
        <v>6372.22</v>
      </c>
      <c r="BF43" s="107" t="n">
        <v>8656023</v>
      </c>
      <c r="BG43" s="107" t="n">
        <v>0</v>
      </c>
      <c r="BH43" s="107" t="n">
        <v>0</v>
      </c>
      <c r="BI43" s="107" t="n">
        <v>982450</v>
      </c>
      <c r="BJ43" s="107" t="n">
        <v>1484776685</v>
      </c>
      <c r="BK43" s="107" t="n">
        <v>0</v>
      </c>
      <c r="BL43" s="107" t="n">
        <v>0</v>
      </c>
      <c r="BM43" s="107" t="n">
        <v>0</v>
      </c>
      <c r="BN43" s="107" t="n">
        <v>0</v>
      </c>
      <c r="BO43" s="107" t="s">
        <v>374</v>
      </c>
      <c r="BP43" s="2"/>
      <c r="BQ43" s="107" t="s">
        <v>106</v>
      </c>
      <c r="BR43" s="107" t="n">
        <v>-150216605</v>
      </c>
      <c r="BS43" s="107" t="n">
        <v>0</v>
      </c>
      <c r="BT43" s="107" t="n">
        <v>0</v>
      </c>
      <c r="BU43" s="107" t="n">
        <v>0</v>
      </c>
      <c r="BV43" s="107" t="n">
        <v>0</v>
      </c>
      <c r="BW43" s="107" t="n">
        <v>6372.22</v>
      </c>
      <c r="BX43" s="107" t="n">
        <v>8656023</v>
      </c>
      <c r="BY43" s="107" t="n">
        <v>0</v>
      </c>
      <c r="BZ43" s="107" t="n">
        <v>0</v>
      </c>
      <c r="CA43" s="107" t="n">
        <v>1511.3</v>
      </c>
      <c r="CB43" s="2"/>
      <c r="CC43" s="107" t="n">
        <v>0</v>
      </c>
      <c r="CD43" s="107" t="n">
        <v>94.34</v>
      </c>
      <c r="CE43" s="107" t="n">
        <v>94.42</v>
      </c>
      <c r="CF43" s="107" t="n">
        <v>94.32</v>
      </c>
      <c r="CG43" s="107" t="n">
        <v>400000</v>
      </c>
      <c r="CH43" s="107" t="n">
        <v>4.2096</v>
      </c>
      <c r="CI43" s="107" t="n">
        <v>100.21</v>
      </c>
      <c r="CJ43" s="107" t="n">
        <v>100.51</v>
      </c>
      <c r="CK43" s="107" t="n">
        <v>100.46</v>
      </c>
      <c r="CL43" s="107" t="n">
        <v>2000000</v>
      </c>
    </row>
    <row r="44" customFormat="false" ht="15" hidden="false" customHeight="false" outlineLevel="0" collapsed="false">
      <c r="A44" s="107" t="s">
        <v>459</v>
      </c>
      <c r="B44" s="107" t="n">
        <v>98.195</v>
      </c>
      <c r="C44" s="107" t="n">
        <v>5.7469</v>
      </c>
      <c r="D44" s="107" t="n">
        <v>2.6911</v>
      </c>
      <c r="E44" s="107" t="n">
        <v>-396.37884675</v>
      </c>
      <c r="F44" s="108" t="s">
        <v>358</v>
      </c>
      <c r="G44" s="107" t="n">
        <v>2.6911</v>
      </c>
      <c r="H44" s="107" t="n">
        <v>-396.37884675</v>
      </c>
      <c r="I44" s="109" t="n">
        <v>47407</v>
      </c>
      <c r="J44" s="107" t="n">
        <v>3</v>
      </c>
      <c r="K44" s="108" t="s">
        <v>92</v>
      </c>
      <c r="L44" s="107" t="s">
        <v>298</v>
      </c>
      <c r="M44" s="107" t="n">
        <v>4036650</v>
      </c>
      <c r="N44" s="107" t="n">
        <v>101.506</v>
      </c>
      <c r="O44" s="107" t="n">
        <v>1472925</v>
      </c>
      <c r="P44" s="107" t="s">
        <v>460</v>
      </c>
      <c r="Q44" s="107" t="s">
        <v>374</v>
      </c>
      <c r="R44" s="107" t="n">
        <v>-0.103449159014349</v>
      </c>
      <c r="S44" s="107" t="n">
        <v>-0.0326187614525251</v>
      </c>
      <c r="T44" s="107" t="n">
        <v>-407.764557</v>
      </c>
      <c r="U44" s="107" t="n">
        <v>21069</v>
      </c>
      <c r="V44" s="108" t="s">
        <v>362</v>
      </c>
      <c r="W44" s="107" t="n">
        <v>28096</v>
      </c>
      <c r="X44" s="108" t="s">
        <v>372</v>
      </c>
      <c r="Y44" s="107" t="s">
        <v>459</v>
      </c>
      <c r="Z44" s="107" t="s">
        <v>461</v>
      </c>
      <c r="AA44" s="109" t="n">
        <v>46127</v>
      </c>
      <c r="AB44" s="107" t="n">
        <v>260415000001</v>
      </c>
      <c r="AC44" s="109" t="n">
        <v>45581</v>
      </c>
      <c r="AD44" s="109" t="n">
        <v>47407</v>
      </c>
      <c r="AE44" s="107" t="n">
        <v>5.094</v>
      </c>
      <c r="AF44" s="107" t="n">
        <v>2.7661</v>
      </c>
      <c r="AG44" s="107" t="n">
        <v>1112</v>
      </c>
      <c r="AH44" s="107" t="n">
        <v>1500000</v>
      </c>
      <c r="AI44" s="107" t="n">
        <v>4.623312</v>
      </c>
      <c r="AJ44" s="107" t="n">
        <v>101.506</v>
      </c>
      <c r="AK44" s="107" t="n">
        <v>4.393159</v>
      </c>
      <c r="AL44" s="107" t="n">
        <v>104.29527</v>
      </c>
      <c r="AM44" s="107" t="n">
        <v>5.6988</v>
      </c>
      <c r="AN44" s="107" t="n">
        <v>98.3276</v>
      </c>
      <c r="AO44" s="107" t="n">
        <v>1358.4</v>
      </c>
      <c r="AP44" s="107" t="n">
        <v>1</v>
      </c>
      <c r="AQ44" s="107" t="n">
        <v>1474914</v>
      </c>
      <c r="AR44" s="107" t="n">
        <v>2003523178</v>
      </c>
      <c r="AS44" s="107" t="n">
        <v>1499742.33</v>
      </c>
      <c r="AT44" s="107" t="n">
        <v>2234316124</v>
      </c>
      <c r="AU44" s="107" t="n">
        <v>-24828.33</v>
      </c>
      <c r="AV44" s="107" t="n">
        <v>-33726803</v>
      </c>
      <c r="AW44" s="107" t="n">
        <v>0</v>
      </c>
      <c r="AX44" s="107" t="n">
        <v>0</v>
      </c>
      <c r="AY44" s="107" t="n">
        <v>22847.67</v>
      </c>
      <c r="AZ44" s="107" t="n">
        <v>34038458</v>
      </c>
      <c r="BA44" s="107" t="n">
        <v>0</v>
      </c>
      <c r="BB44" s="107" t="n">
        <v>0</v>
      </c>
      <c r="BC44" s="107" t="n">
        <v>0</v>
      </c>
      <c r="BD44" s="107" t="n">
        <v>0</v>
      </c>
      <c r="BE44" s="107" t="n">
        <v>34809</v>
      </c>
      <c r="BF44" s="107" t="n">
        <v>47284545</v>
      </c>
      <c r="BG44" s="107" t="n">
        <v>7030.06</v>
      </c>
      <c r="BH44" s="107" t="n">
        <v>9549633</v>
      </c>
      <c r="BI44" s="107" t="n">
        <v>1499742.33</v>
      </c>
      <c r="BJ44" s="107" t="n">
        <v>2234316124</v>
      </c>
      <c r="BK44" s="107" t="n">
        <v>0</v>
      </c>
      <c r="BL44" s="107" t="n">
        <v>0</v>
      </c>
      <c r="BM44" s="107" t="n">
        <v>0</v>
      </c>
      <c r="BN44" s="107" t="n">
        <v>0</v>
      </c>
      <c r="BO44" s="107" t="s">
        <v>106</v>
      </c>
      <c r="BP44" s="2"/>
      <c r="BQ44" s="107" t="s">
        <v>369</v>
      </c>
      <c r="BR44" s="107" t="n">
        <v>-197066143</v>
      </c>
      <c r="BS44" s="107" t="n">
        <v>-3002183</v>
      </c>
      <c r="BT44" s="107" t="n">
        <v>0</v>
      </c>
      <c r="BU44" s="107" t="n">
        <v>0</v>
      </c>
      <c r="BV44" s="107" t="n">
        <v>0</v>
      </c>
      <c r="BW44" s="107" t="n">
        <v>34809</v>
      </c>
      <c r="BX44" s="107" t="n">
        <v>47284545</v>
      </c>
      <c r="BY44" s="107" t="n">
        <v>29877.73</v>
      </c>
      <c r="BZ44" s="107" t="n">
        <v>40585908</v>
      </c>
      <c r="CA44" s="107" t="n">
        <v>1489.8</v>
      </c>
      <c r="CB44" s="2"/>
      <c r="CC44" s="107" t="n">
        <v>0</v>
      </c>
      <c r="CD44" s="107" t="n">
        <v>98.33</v>
      </c>
      <c r="CE44" s="107" t="n">
        <v>98.33</v>
      </c>
      <c r="CF44" s="107" t="n">
        <v>98.32</v>
      </c>
      <c r="CG44" s="107" t="n">
        <v>100000</v>
      </c>
      <c r="CH44" s="107" t="n">
        <v>2.6895</v>
      </c>
      <c r="CI44" s="107" t="n">
        <v>100.55</v>
      </c>
      <c r="CJ44" s="107" t="n">
        <v>100.57</v>
      </c>
      <c r="CK44" s="107" t="n">
        <v>100.56</v>
      </c>
      <c r="CL44" s="107" t="n">
        <v>0</v>
      </c>
    </row>
    <row r="45" customFormat="false" ht="15" hidden="false" customHeight="false" outlineLevel="0" collapsed="false">
      <c r="A45" s="107" t="s">
        <v>462</v>
      </c>
      <c r="B45" s="107" t="n">
        <v>94.9738</v>
      </c>
      <c r="C45" s="107" t="n">
        <v>6.5845</v>
      </c>
      <c r="D45" s="107" t="n">
        <v>4.0458</v>
      </c>
      <c r="E45" s="107" t="n">
        <v>-1921.2250002</v>
      </c>
      <c r="F45" s="108" t="s">
        <v>358</v>
      </c>
      <c r="G45" s="107" t="n">
        <v>4.0458</v>
      </c>
      <c r="H45" s="107" t="n">
        <v>-1921.2250002</v>
      </c>
      <c r="I45" s="109" t="n">
        <v>48044</v>
      </c>
      <c r="J45" s="107" t="n">
        <v>5</v>
      </c>
      <c r="K45" s="108" t="s">
        <v>384</v>
      </c>
      <c r="L45" s="107" t="s">
        <v>298</v>
      </c>
      <c r="M45" s="107" t="n">
        <v>20229000</v>
      </c>
      <c r="N45" s="107" t="n">
        <v>100.156</v>
      </c>
      <c r="O45" s="107" t="n">
        <v>4748690</v>
      </c>
      <c r="P45" s="107" t="s">
        <v>463</v>
      </c>
      <c r="Q45" s="107" t="s">
        <v>377</v>
      </c>
      <c r="R45" s="107" t="n">
        <v>-0.161051356812854</v>
      </c>
      <c r="S45" s="107" t="n">
        <v>-0.0517412835975879</v>
      </c>
      <c r="T45" s="107" t="n">
        <v>-1984.477551</v>
      </c>
      <c r="U45" s="107" t="n">
        <v>21069</v>
      </c>
      <c r="V45" s="108" t="s">
        <v>362</v>
      </c>
      <c r="W45" s="107" t="n">
        <v>28096</v>
      </c>
      <c r="X45" s="108" t="s">
        <v>372</v>
      </c>
      <c r="Y45" s="107" t="s">
        <v>462</v>
      </c>
      <c r="Z45" s="107" t="s">
        <v>464</v>
      </c>
      <c r="AA45" s="109" t="n">
        <v>46199</v>
      </c>
      <c r="AB45" s="107" t="n">
        <v>260626000001</v>
      </c>
      <c r="AC45" s="109" t="n">
        <v>46199</v>
      </c>
      <c r="AD45" s="109" t="n">
        <v>48044</v>
      </c>
      <c r="AE45" s="107" t="n">
        <v>5.35</v>
      </c>
      <c r="AF45" s="107" t="n">
        <v>4.1773</v>
      </c>
      <c r="AG45" s="107" t="n">
        <v>1749</v>
      </c>
      <c r="AH45" s="107" t="n">
        <v>5000000</v>
      </c>
      <c r="AI45" s="107" t="n">
        <v>5.313478</v>
      </c>
      <c r="AJ45" s="107" t="n">
        <v>100.156</v>
      </c>
      <c r="AK45" s="107" t="n">
        <v>5.243348</v>
      </c>
      <c r="AL45" s="107" t="n">
        <v>101.552944</v>
      </c>
      <c r="AM45" s="107" t="n">
        <v>6.521</v>
      </c>
      <c r="AN45" s="107" t="n">
        <v>95.2264</v>
      </c>
      <c r="AO45" s="107" t="n">
        <v>1358.4</v>
      </c>
      <c r="AP45" s="107" t="n">
        <v>1</v>
      </c>
      <c r="AQ45" s="107" t="n">
        <v>4761320</v>
      </c>
      <c r="AR45" s="107" t="n">
        <v>6467777088</v>
      </c>
      <c r="AS45" s="107" t="n">
        <v>5007800</v>
      </c>
      <c r="AT45" s="107" t="n">
        <v>7697990160</v>
      </c>
      <c r="AU45" s="107" t="n">
        <v>-246480</v>
      </c>
      <c r="AV45" s="107" t="n">
        <v>-334818432</v>
      </c>
      <c r="AW45" s="107" t="n">
        <v>0</v>
      </c>
      <c r="AX45" s="107" t="n">
        <v>0</v>
      </c>
      <c r="AY45" s="107" t="n">
        <v>0</v>
      </c>
      <c r="AZ45" s="107" t="n">
        <v>0</v>
      </c>
      <c r="BA45" s="107" t="n">
        <v>0</v>
      </c>
      <c r="BB45" s="107" t="n">
        <v>0</v>
      </c>
      <c r="BC45" s="107" t="n">
        <v>0</v>
      </c>
      <c r="BD45" s="107" t="n">
        <v>0</v>
      </c>
      <c r="BE45" s="107" t="n">
        <v>69847.22</v>
      </c>
      <c r="BF45" s="107" t="n">
        <v>94880463</v>
      </c>
      <c r="BG45" s="107" t="n">
        <v>0</v>
      </c>
      <c r="BH45" s="107" t="n">
        <v>0</v>
      </c>
      <c r="BI45" s="107" t="n">
        <v>5007800</v>
      </c>
      <c r="BJ45" s="107" t="n">
        <v>7697990160</v>
      </c>
      <c r="BK45" s="107" t="n">
        <v>0</v>
      </c>
      <c r="BL45" s="107" t="n">
        <v>0</v>
      </c>
      <c r="BM45" s="107" t="n">
        <v>0</v>
      </c>
      <c r="BN45" s="107" t="n">
        <v>0</v>
      </c>
      <c r="BO45" s="107" t="s">
        <v>107</v>
      </c>
      <c r="BP45" s="2"/>
      <c r="BQ45" s="107" t="s">
        <v>377</v>
      </c>
      <c r="BR45" s="107" t="n">
        <v>-895394640</v>
      </c>
      <c r="BS45" s="107" t="n">
        <v>0</v>
      </c>
      <c r="BT45" s="107" t="n">
        <v>0</v>
      </c>
      <c r="BU45" s="107" t="n">
        <v>0</v>
      </c>
      <c r="BV45" s="107" t="n">
        <v>0</v>
      </c>
      <c r="BW45" s="107" t="n">
        <v>69847.22</v>
      </c>
      <c r="BX45" s="107" t="n">
        <v>94880463</v>
      </c>
      <c r="BY45" s="107" t="n">
        <v>0</v>
      </c>
      <c r="BZ45" s="107" t="n">
        <v>0</v>
      </c>
      <c r="CA45" s="107" t="n">
        <v>1537.2</v>
      </c>
      <c r="CB45" s="2"/>
      <c r="CC45" s="107" t="n">
        <v>0</v>
      </c>
      <c r="CD45" s="107" t="n">
        <v>95.26</v>
      </c>
      <c r="CE45" s="107" t="n">
        <v>95.21</v>
      </c>
      <c r="CF45" s="107" t="n">
        <v>95.22</v>
      </c>
      <c r="CG45" s="107" t="n">
        <v>5000000</v>
      </c>
      <c r="CH45" s="107" t="n">
        <v>4.0454</v>
      </c>
      <c r="CI45" s="107" t="n">
        <v>100.55</v>
      </c>
      <c r="CJ45" s="107" t="n">
        <v>100.57</v>
      </c>
      <c r="CK45" s="107" t="n">
        <v>100.56</v>
      </c>
      <c r="CL45" s="107" t="n">
        <v>0</v>
      </c>
    </row>
    <row r="46" customFormat="false" ht="15" hidden="false" customHeight="false" outlineLevel="0" collapsed="false">
      <c r="A46" s="107" t="s">
        <v>465</v>
      </c>
      <c r="B46" s="107" t="n">
        <v>99.7791</v>
      </c>
      <c r="C46" s="107" t="n">
        <v>5.4955</v>
      </c>
      <c r="D46" s="107" t="n">
        <v>1.6974</v>
      </c>
      <c r="E46" s="107" t="n">
        <v>-846.8252217</v>
      </c>
      <c r="F46" s="108" t="s">
        <v>358</v>
      </c>
      <c r="G46" s="107" t="n">
        <v>1.6974</v>
      </c>
      <c r="H46" s="107" t="n">
        <v>-846.8252217</v>
      </c>
      <c r="I46" s="109" t="n">
        <v>46972</v>
      </c>
      <c r="J46" s="107" t="n">
        <v>2</v>
      </c>
      <c r="K46" s="107" t="s">
        <v>359</v>
      </c>
      <c r="L46" s="107" t="s">
        <v>298</v>
      </c>
      <c r="M46" s="107" t="n">
        <v>8487000</v>
      </c>
      <c r="N46" s="107" t="n">
        <v>101.08</v>
      </c>
      <c r="O46" s="107" t="n">
        <v>4988955</v>
      </c>
      <c r="P46" s="107" t="s">
        <v>466</v>
      </c>
      <c r="Q46" s="107" t="s">
        <v>107</v>
      </c>
      <c r="R46" s="107" t="n">
        <v>-0.11087039233186</v>
      </c>
      <c r="S46" s="107" t="n">
        <v>-0.0128700039572616</v>
      </c>
      <c r="T46" s="107" t="n">
        <v>-870.073752</v>
      </c>
      <c r="U46" s="107" t="n">
        <v>21069</v>
      </c>
      <c r="V46" s="108" t="s">
        <v>362</v>
      </c>
      <c r="W46" s="107" t="n">
        <v>28096</v>
      </c>
      <c r="X46" s="108" t="s">
        <v>372</v>
      </c>
      <c r="Y46" s="107" t="s">
        <v>465</v>
      </c>
      <c r="Z46" s="107" t="s">
        <v>467</v>
      </c>
      <c r="AA46" s="109" t="n">
        <v>46212</v>
      </c>
      <c r="AB46" s="107" t="n">
        <v>260709000001</v>
      </c>
      <c r="AC46" s="109" t="n">
        <v>45145</v>
      </c>
      <c r="AD46" s="109" t="n">
        <v>46972</v>
      </c>
      <c r="AE46" s="107" t="n">
        <v>5.375</v>
      </c>
      <c r="AF46" s="107" t="n">
        <v>1.7415</v>
      </c>
      <c r="AG46" s="107" t="n">
        <v>677</v>
      </c>
      <c r="AH46" s="107" t="n">
        <v>5000000</v>
      </c>
      <c r="AI46" s="107" t="n">
        <v>4.8203</v>
      </c>
      <c r="AJ46" s="107" t="n">
        <v>101.08</v>
      </c>
      <c r="AK46" s="107" t="n">
        <v>4.755402</v>
      </c>
      <c r="AL46" s="107" t="n">
        <v>101.871319</v>
      </c>
      <c r="AM46" s="107" t="n">
        <v>5.4386</v>
      </c>
      <c r="AN46" s="107" t="n">
        <v>99.8783</v>
      </c>
      <c r="AO46" s="107" t="n">
        <v>1358.4</v>
      </c>
      <c r="AP46" s="107" t="n">
        <v>1</v>
      </c>
      <c r="AQ46" s="107" t="n">
        <v>4993915</v>
      </c>
      <c r="AR46" s="107" t="n">
        <v>6783734136</v>
      </c>
      <c r="AS46" s="107" t="n">
        <v>5054000</v>
      </c>
      <c r="AT46" s="107" t="n">
        <v>7631034600</v>
      </c>
      <c r="AU46" s="107" t="n">
        <v>-60085</v>
      </c>
      <c r="AV46" s="107" t="n">
        <v>-81619464</v>
      </c>
      <c r="AW46" s="107" t="n">
        <v>0</v>
      </c>
      <c r="AX46" s="107" t="n">
        <v>0</v>
      </c>
      <c r="AY46" s="107" t="n">
        <v>0</v>
      </c>
      <c r="AZ46" s="107" t="n">
        <v>0</v>
      </c>
      <c r="BA46" s="107" t="n">
        <v>0</v>
      </c>
      <c r="BB46" s="107" t="n">
        <v>0</v>
      </c>
      <c r="BC46" s="107" t="n">
        <v>0</v>
      </c>
      <c r="BD46" s="107" t="n">
        <v>0</v>
      </c>
      <c r="BE46" s="107" t="n">
        <v>39565.97</v>
      </c>
      <c r="BF46" s="107" t="n">
        <v>53746413</v>
      </c>
      <c r="BG46" s="107" t="n">
        <v>0</v>
      </c>
      <c r="BH46" s="107" t="n">
        <v>0</v>
      </c>
      <c r="BI46" s="107" t="n">
        <v>5054000</v>
      </c>
      <c r="BJ46" s="107" t="n">
        <v>7631034600</v>
      </c>
      <c r="BK46" s="107" t="n">
        <v>0</v>
      </c>
      <c r="BL46" s="107" t="n">
        <v>0</v>
      </c>
      <c r="BM46" s="107" t="n">
        <v>0</v>
      </c>
      <c r="BN46" s="107" t="n">
        <v>0</v>
      </c>
      <c r="BO46" s="107" t="s">
        <v>377</v>
      </c>
      <c r="BP46" s="2"/>
      <c r="BQ46" s="107" t="s">
        <v>369</v>
      </c>
      <c r="BR46" s="107" t="n">
        <v>-765681000</v>
      </c>
      <c r="BS46" s="107" t="n">
        <v>0</v>
      </c>
      <c r="BT46" s="107" t="n">
        <v>0</v>
      </c>
      <c r="BU46" s="107" t="n">
        <v>0</v>
      </c>
      <c r="BV46" s="107" t="n">
        <v>0</v>
      </c>
      <c r="BW46" s="107" t="n">
        <v>39565.97</v>
      </c>
      <c r="BX46" s="107" t="n">
        <v>53746413</v>
      </c>
      <c r="BY46" s="107" t="n">
        <v>0</v>
      </c>
      <c r="BZ46" s="107" t="n">
        <v>0</v>
      </c>
      <c r="CA46" s="107" t="n">
        <v>1509.9</v>
      </c>
      <c r="CB46" s="2"/>
      <c r="CC46" s="107" t="n">
        <v>0</v>
      </c>
      <c r="CD46" s="107" t="n">
        <v>99.89</v>
      </c>
      <c r="CE46" s="107" t="n">
        <v>99.86</v>
      </c>
      <c r="CF46" s="107" t="n">
        <v>99.89</v>
      </c>
      <c r="CG46" s="107" t="n">
        <v>0</v>
      </c>
      <c r="CH46" s="107" t="n">
        <v>1.6954</v>
      </c>
      <c r="CI46" s="107" t="n">
        <v>100.55</v>
      </c>
      <c r="CJ46" s="107" t="n">
        <v>100.57</v>
      </c>
      <c r="CK46" s="107" t="n">
        <v>100.56</v>
      </c>
      <c r="CL46" s="107" t="n">
        <v>0</v>
      </c>
    </row>
    <row r="47" customFormat="false" ht="15" hidden="false" customHeight="false" outlineLevel="0" collapsed="false">
      <c r="A47" s="107" t="s">
        <v>468</v>
      </c>
      <c r="B47" s="107" t="n">
        <v>99.8164</v>
      </c>
      <c r="C47" s="107" t="n">
        <v>5.3895</v>
      </c>
      <c r="D47" s="107" t="n">
        <v>1.219</v>
      </c>
      <c r="E47" s="107" t="n">
        <v>-60.8380958</v>
      </c>
      <c r="F47" s="108" t="s">
        <v>358</v>
      </c>
      <c r="G47" s="107" t="n">
        <v>1.219</v>
      </c>
      <c r="H47" s="107" t="n">
        <v>-60.8380958</v>
      </c>
      <c r="I47" s="109" t="n">
        <v>46774</v>
      </c>
      <c r="J47" s="107" t="n">
        <v>2</v>
      </c>
      <c r="K47" s="107" t="s">
        <v>359</v>
      </c>
      <c r="L47" s="107" t="s">
        <v>298</v>
      </c>
      <c r="M47" s="107" t="n">
        <v>609500</v>
      </c>
      <c r="N47" s="107" t="n">
        <v>101.203</v>
      </c>
      <c r="O47" s="107" t="n">
        <v>499082</v>
      </c>
      <c r="P47" s="107" t="s">
        <v>469</v>
      </c>
      <c r="Q47" s="107" t="s">
        <v>374</v>
      </c>
      <c r="R47" s="107" t="n">
        <v>-0.110027599401703</v>
      </c>
      <c r="S47" s="107" t="n">
        <v>-0.0137011748663577</v>
      </c>
      <c r="T47" s="107" t="n">
        <v>-62.47508476</v>
      </c>
      <c r="U47" s="107" t="n">
        <v>21069</v>
      </c>
      <c r="V47" s="108" t="s">
        <v>362</v>
      </c>
      <c r="W47" s="107" t="n">
        <v>28096</v>
      </c>
      <c r="X47" s="108" t="s">
        <v>372</v>
      </c>
      <c r="Y47" s="107" t="s">
        <v>468</v>
      </c>
      <c r="Z47" s="107" t="s">
        <v>470</v>
      </c>
      <c r="AA47" s="109" t="n">
        <v>46119</v>
      </c>
      <c r="AB47" s="107" t="n">
        <v>260407000001</v>
      </c>
      <c r="AC47" s="109" t="n">
        <v>45679</v>
      </c>
      <c r="AD47" s="109" t="n">
        <v>46774</v>
      </c>
      <c r="AE47" s="107" t="n">
        <v>5.25</v>
      </c>
      <c r="AF47" s="107" t="n">
        <v>1.2493</v>
      </c>
      <c r="AG47" s="107" t="n">
        <v>479</v>
      </c>
      <c r="AH47" s="107" t="n">
        <v>500000</v>
      </c>
      <c r="AI47" s="107" t="n">
        <v>4.539</v>
      </c>
      <c r="AJ47" s="107" t="n">
        <v>101.203</v>
      </c>
      <c r="AK47" s="107" t="n">
        <v>4.26095</v>
      </c>
      <c r="AL47" s="107" t="n">
        <v>102.233482</v>
      </c>
      <c r="AM47" s="107" t="n">
        <v>5.3348</v>
      </c>
      <c r="AN47" s="107" t="n">
        <v>99.8852</v>
      </c>
      <c r="AO47" s="107" t="n">
        <v>1358.4</v>
      </c>
      <c r="AP47" s="107" t="n">
        <v>1</v>
      </c>
      <c r="AQ47" s="107" t="n">
        <v>499426</v>
      </c>
      <c r="AR47" s="107" t="n">
        <v>678420278</v>
      </c>
      <c r="AS47" s="107" t="n">
        <v>506015</v>
      </c>
      <c r="AT47" s="107" t="n">
        <v>762665808</v>
      </c>
      <c r="AU47" s="107" t="n">
        <v>-6589</v>
      </c>
      <c r="AV47" s="107" t="n">
        <v>-8950498</v>
      </c>
      <c r="AW47" s="107" t="n">
        <v>0</v>
      </c>
      <c r="AX47" s="107" t="n">
        <v>0</v>
      </c>
      <c r="AY47" s="107" t="n">
        <v>0</v>
      </c>
      <c r="AZ47" s="107" t="n">
        <v>0</v>
      </c>
      <c r="BA47" s="107" t="n">
        <v>0</v>
      </c>
      <c r="BB47" s="107" t="n">
        <v>0</v>
      </c>
      <c r="BC47" s="107" t="n">
        <v>0</v>
      </c>
      <c r="BD47" s="107" t="n">
        <v>0</v>
      </c>
      <c r="BE47" s="107" t="n">
        <v>4958.33</v>
      </c>
      <c r="BF47" s="107" t="n">
        <v>6735395</v>
      </c>
      <c r="BG47" s="107" t="n">
        <v>194.08</v>
      </c>
      <c r="BH47" s="107" t="n">
        <v>263638</v>
      </c>
      <c r="BI47" s="107" t="n">
        <v>506015</v>
      </c>
      <c r="BJ47" s="107" t="n">
        <v>762665808</v>
      </c>
      <c r="BK47" s="107" t="n">
        <v>0</v>
      </c>
      <c r="BL47" s="107" t="n">
        <v>0</v>
      </c>
      <c r="BM47" s="107" t="n">
        <v>0</v>
      </c>
      <c r="BN47" s="107" t="n">
        <v>0</v>
      </c>
      <c r="BO47" s="2"/>
      <c r="BP47" s="2"/>
      <c r="BQ47" s="107" t="s">
        <v>374</v>
      </c>
      <c r="BR47" s="107" t="n">
        <v>-75295032</v>
      </c>
      <c r="BS47" s="107" t="n">
        <v>0</v>
      </c>
      <c r="BT47" s="107" t="n">
        <v>0</v>
      </c>
      <c r="BU47" s="107" t="n">
        <v>0</v>
      </c>
      <c r="BV47" s="107" t="n">
        <v>0</v>
      </c>
      <c r="BW47" s="107" t="n">
        <v>4958.33</v>
      </c>
      <c r="BX47" s="107" t="n">
        <v>6735395</v>
      </c>
      <c r="BY47" s="107" t="n">
        <v>194.08</v>
      </c>
      <c r="BZ47" s="107" t="n">
        <v>263638</v>
      </c>
      <c r="CA47" s="107" t="n">
        <v>1507.2</v>
      </c>
      <c r="CB47" s="2"/>
      <c r="CC47" s="107" t="n">
        <v>0</v>
      </c>
      <c r="CD47" s="107" t="n">
        <v>99.88</v>
      </c>
      <c r="CE47" s="107" t="n">
        <v>99.94</v>
      </c>
      <c r="CF47" s="107" t="n">
        <v>99.84</v>
      </c>
      <c r="CG47" s="107" t="n">
        <v>0</v>
      </c>
      <c r="CH47" s="107" t="n">
        <v>1.2168</v>
      </c>
      <c r="CI47" s="107" t="n">
        <v>100.84</v>
      </c>
      <c r="CJ47" s="107" t="n">
        <v>100.81</v>
      </c>
      <c r="CK47" s="107" t="n">
        <v>100.79</v>
      </c>
      <c r="CL47" s="107" t="n">
        <v>0</v>
      </c>
    </row>
    <row r="48" customFormat="false" ht="15" hidden="false" customHeight="false" outlineLevel="0" collapsed="false">
      <c r="A48" s="107" t="s">
        <v>471</v>
      </c>
      <c r="B48" s="107" t="n">
        <v>100.0786</v>
      </c>
      <c r="C48" s="107" t="n">
        <v>5.7066</v>
      </c>
      <c r="D48" s="107" t="n">
        <v>1.8188</v>
      </c>
      <c r="E48" s="107" t="n">
        <v>-36.404591536</v>
      </c>
      <c r="F48" s="108" t="s">
        <v>358</v>
      </c>
      <c r="G48" s="107" t="n">
        <v>1.8188</v>
      </c>
      <c r="H48" s="107" t="n">
        <v>-36.404591536</v>
      </c>
      <c r="I48" s="109" t="n">
        <v>47021</v>
      </c>
      <c r="J48" s="107" t="n">
        <v>2</v>
      </c>
      <c r="K48" s="107" t="s">
        <v>359</v>
      </c>
      <c r="L48" s="107" t="s">
        <v>298</v>
      </c>
      <c r="M48" s="107" t="n">
        <v>363760</v>
      </c>
      <c r="N48" s="107" t="n">
        <v>102.1673</v>
      </c>
      <c r="O48" s="107" t="n">
        <v>200157.2</v>
      </c>
      <c r="P48" s="107" t="s">
        <v>472</v>
      </c>
      <c r="Q48" s="107" t="s">
        <v>377</v>
      </c>
      <c r="R48" s="107" t="n">
        <v>-0.116111818983157</v>
      </c>
      <c r="S48" s="107" t="n">
        <v>-0.0204439189447113</v>
      </c>
      <c r="T48" s="107" t="n">
        <v>-37.443407404</v>
      </c>
      <c r="U48" s="107" t="n">
        <v>21069</v>
      </c>
      <c r="V48" s="108" t="s">
        <v>362</v>
      </c>
      <c r="W48" s="107" t="n">
        <v>28096</v>
      </c>
      <c r="X48" s="108" t="s">
        <v>372</v>
      </c>
      <c r="Y48" s="107" t="s">
        <v>471</v>
      </c>
      <c r="Z48" s="107" t="s">
        <v>473</v>
      </c>
      <c r="AA48" s="109" t="n">
        <v>46119</v>
      </c>
      <c r="AB48" s="107" t="n">
        <v>260407000001</v>
      </c>
      <c r="AC48" s="109" t="n">
        <v>45194</v>
      </c>
      <c r="AD48" s="109" t="n">
        <v>47021</v>
      </c>
      <c r="AE48" s="107" t="n">
        <v>5.75</v>
      </c>
      <c r="AF48" s="107" t="n">
        <v>1.8683</v>
      </c>
      <c r="AG48" s="107" t="n">
        <v>726</v>
      </c>
      <c r="AH48" s="107" t="n">
        <v>200000</v>
      </c>
      <c r="AI48" s="107" t="n">
        <v>4.809</v>
      </c>
      <c r="AJ48" s="107" t="n">
        <v>102.1673</v>
      </c>
      <c r="AK48" s="107" t="n">
        <v>4.59527</v>
      </c>
      <c r="AL48" s="107" t="n">
        <v>102.24716</v>
      </c>
      <c r="AM48" s="107" t="n">
        <v>5.6533</v>
      </c>
      <c r="AN48" s="107" t="n">
        <v>100.177</v>
      </c>
      <c r="AO48" s="107" t="n">
        <v>1358.4</v>
      </c>
      <c r="AP48" s="107" t="n">
        <v>1</v>
      </c>
      <c r="AQ48" s="107" t="n">
        <v>200354</v>
      </c>
      <c r="AR48" s="107" t="n">
        <v>272160874</v>
      </c>
      <c r="AS48" s="107" t="n">
        <v>204334.6</v>
      </c>
      <c r="AT48" s="107" t="n">
        <v>307973110</v>
      </c>
      <c r="AU48" s="107" t="n">
        <v>-3980.6</v>
      </c>
      <c r="AV48" s="107" t="n">
        <v>-5407247</v>
      </c>
      <c r="AW48" s="107" t="n">
        <v>0</v>
      </c>
      <c r="AX48" s="107" t="n">
        <v>0</v>
      </c>
      <c r="AY48" s="107" t="n">
        <v>0</v>
      </c>
      <c r="AZ48" s="107" t="n">
        <v>0</v>
      </c>
      <c r="BA48" s="107" t="n">
        <v>0</v>
      </c>
      <c r="BB48" s="107" t="n">
        <v>0</v>
      </c>
      <c r="BC48" s="107" t="n">
        <v>0</v>
      </c>
      <c r="BD48" s="107" t="n">
        <v>0</v>
      </c>
      <c r="BE48" s="107" t="n">
        <v>159.72</v>
      </c>
      <c r="BF48" s="107" t="n">
        <v>216963</v>
      </c>
      <c r="BG48" s="107" t="n">
        <v>0</v>
      </c>
      <c r="BH48" s="107" t="n">
        <v>0</v>
      </c>
      <c r="BI48" s="107" t="n">
        <v>204334.6</v>
      </c>
      <c r="BJ48" s="107" t="n">
        <v>307973110</v>
      </c>
      <c r="BK48" s="107" t="n">
        <v>0</v>
      </c>
      <c r="BL48" s="107" t="n">
        <v>0</v>
      </c>
      <c r="BM48" s="107" t="n">
        <v>0</v>
      </c>
      <c r="BN48" s="107" t="n">
        <v>0</v>
      </c>
      <c r="BO48" s="107" t="s">
        <v>107</v>
      </c>
      <c r="BP48" s="2"/>
      <c r="BQ48" s="107" t="s">
        <v>369</v>
      </c>
      <c r="BR48" s="107" t="n">
        <v>-30404989</v>
      </c>
      <c r="BS48" s="107" t="n">
        <v>0</v>
      </c>
      <c r="BT48" s="107" t="n">
        <v>0</v>
      </c>
      <c r="BU48" s="107" t="n">
        <v>0</v>
      </c>
      <c r="BV48" s="107" t="n">
        <v>0</v>
      </c>
      <c r="BW48" s="107" t="n">
        <v>159.72</v>
      </c>
      <c r="BX48" s="107" t="n">
        <v>216963</v>
      </c>
      <c r="BY48" s="107" t="n">
        <v>0</v>
      </c>
      <c r="BZ48" s="107" t="n">
        <v>0</v>
      </c>
      <c r="CA48" s="107" t="n">
        <v>1507.2</v>
      </c>
      <c r="CB48" s="2"/>
      <c r="CC48" s="107" t="n">
        <v>0</v>
      </c>
      <c r="CD48" s="107" t="n">
        <v>100.17</v>
      </c>
      <c r="CE48" s="107" t="n">
        <v>100.18</v>
      </c>
      <c r="CF48" s="107" t="n">
        <v>100.18</v>
      </c>
      <c r="CG48" s="107" t="n">
        <v>0</v>
      </c>
      <c r="CH48" s="107" t="n">
        <v>1.8169</v>
      </c>
      <c r="CI48" s="107" t="n">
        <v>100.84</v>
      </c>
      <c r="CJ48" s="107" t="n">
        <v>100.81</v>
      </c>
      <c r="CK48" s="107" t="n">
        <v>100.79</v>
      </c>
      <c r="CL48" s="107" t="n">
        <v>4000000</v>
      </c>
    </row>
    <row r="49" customFormat="false" ht="15" hidden="false" customHeight="false" outlineLevel="0" collapsed="false">
      <c r="A49" s="107" t="s">
        <v>471</v>
      </c>
      <c r="B49" s="107" t="n">
        <v>100.0786</v>
      </c>
      <c r="C49" s="107" t="n">
        <v>5.7066</v>
      </c>
      <c r="D49" s="107" t="n">
        <v>1.8188</v>
      </c>
      <c r="E49" s="107" t="n">
        <v>-728.09183072</v>
      </c>
      <c r="F49" s="108" t="s">
        <v>358</v>
      </c>
      <c r="G49" s="107" t="n">
        <v>1.8188</v>
      </c>
      <c r="H49" s="107" t="n">
        <v>-728.09183072</v>
      </c>
      <c r="I49" s="109" t="n">
        <v>47021</v>
      </c>
      <c r="J49" s="107" t="n">
        <v>2</v>
      </c>
      <c r="K49" s="107" t="s">
        <v>359</v>
      </c>
      <c r="L49" s="107" t="s">
        <v>298</v>
      </c>
      <c r="M49" s="107" t="n">
        <v>7275200</v>
      </c>
      <c r="N49" s="107" t="n">
        <v>102.37</v>
      </c>
      <c r="O49" s="107" t="n">
        <v>4003144</v>
      </c>
      <c r="P49" s="107" t="s">
        <v>472</v>
      </c>
      <c r="Q49" s="107" t="s">
        <v>377</v>
      </c>
      <c r="R49" s="107" t="n">
        <v>-0.0873432006315775</v>
      </c>
      <c r="S49" s="107" t="n">
        <v>-0.0223835107941781</v>
      </c>
      <c r="T49" s="107" t="n">
        <v>-748.86814808</v>
      </c>
      <c r="U49" s="107" t="n">
        <v>21069</v>
      </c>
      <c r="V49" s="108" t="s">
        <v>362</v>
      </c>
      <c r="W49" s="107" t="n">
        <v>28096</v>
      </c>
      <c r="X49" s="108" t="s">
        <v>372</v>
      </c>
      <c r="Y49" s="107" t="s">
        <v>471</v>
      </c>
      <c r="Z49" s="107" t="s">
        <v>473</v>
      </c>
      <c r="AA49" s="109" t="n">
        <v>46149</v>
      </c>
      <c r="AB49" s="107" t="n">
        <v>260507000002</v>
      </c>
      <c r="AC49" s="109" t="n">
        <v>45194</v>
      </c>
      <c r="AD49" s="109" t="n">
        <v>47021</v>
      </c>
      <c r="AE49" s="107" t="n">
        <v>5.75</v>
      </c>
      <c r="AF49" s="107" t="n">
        <v>1.8683</v>
      </c>
      <c r="AG49" s="107" t="n">
        <v>726</v>
      </c>
      <c r="AH49" s="107" t="n">
        <v>4000000</v>
      </c>
      <c r="AI49" s="107" t="n">
        <v>4.684793</v>
      </c>
      <c r="AJ49" s="107" t="n">
        <v>102.37</v>
      </c>
      <c r="AK49" s="107" t="n">
        <v>4.488939</v>
      </c>
      <c r="AL49" s="107" t="n">
        <v>102.449861</v>
      </c>
      <c r="AM49" s="107" t="n">
        <v>5.6533</v>
      </c>
      <c r="AN49" s="107" t="n">
        <v>100.177</v>
      </c>
      <c r="AO49" s="107" t="n">
        <v>1358.4</v>
      </c>
      <c r="AP49" s="107" t="n">
        <v>1</v>
      </c>
      <c r="AQ49" s="107" t="n">
        <v>4007080</v>
      </c>
      <c r="AR49" s="107" t="n">
        <v>5443217472</v>
      </c>
      <c r="AS49" s="107" t="n">
        <v>4094800</v>
      </c>
      <c r="AT49" s="107" t="n">
        <v>5965304640</v>
      </c>
      <c r="AU49" s="107" t="n">
        <v>-87720</v>
      </c>
      <c r="AV49" s="107" t="n">
        <v>-119158848</v>
      </c>
      <c r="AW49" s="107" t="n">
        <v>0</v>
      </c>
      <c r="AX49" s="107" t="n">
        <v>0</v>
      </c>
      <c r="AY49" s="107" t="n">
        <v>0</v>
      </c>
      <c r="AZ49" s="107" t="n">
        <v>0</v>
      </c>
      <c r="BA49" s="107" t="n">
        <v>0</v>
      </c>
      <c r="BB49" s="107" t="n">
        <v>0</v>
      </c>
      <c r="BC49" s="107" t="n">
        <v>0</v>
      </c>
      <c r="BD49" s="107" t="n">
        <v>0</v>
      </c>
      <c r="BE49" s="107" t="n">
        <v>3194.44</v>
      </c>
      <c r="BF49" s="107" t="n">
        <v>4339327</v>
      </c>
      <c r="BG49" s="107" t="n">
        <v>0</v>
      </c>
      <c r="BH49" s="107" t="n">
        <v>0</v>
      </c>
      <c r="BI49" s="107" t="n">
        <v>4094800</v>
      </c>
      <c r="BJ49" s="107" t="n">
        <v>5965304640</v>
      </c>
      <c r="BK49" s="107" t="n">
        <v>0</v>
      </c>
      <c r="BL49" s="107" t="n">
        <v>0</v>
      </c>
      <c r="BM49" s="107" t="n">
        <v>0</v>
      </c>
      <c r="BN49" s="107" t="n">
        <v>0</v>
      </c>
      <c r="BO49" s="107" t="s">
        <v>107</v>
      </c>
      <c r="BP49" s="2"/>
      <c r="BQ49" s="107" t="s">
        <v>369</v>
      </c>
      <c r="BR49" s="107" t="n">
        <v>-402928320</v>
      </c>
      <c r="BS49" s="107" t="n">
        <v>0</v>
      </c>
      <c r="BT49" s="107" t="n">
        <v>0</v>
      </c>
      <c r="BU49" s="107" t="n">
        <v>0</v>
      </c>
      <c r="BV49" s="107" t="n">
        <v>0</v>
      </c>
      <c r="BW49" s="107" t="n">
        <v>3194.44</v>
      </c>
      <c r="BX49" s="107" t="n">
        <v>4339327</v>
      </c>
      <c r="BY49" s="107" t="n">
        <v>0</v>
      </c>
      <c r="BZ49" s="107" t="n">
        <v>0</v>
      </c>
      <c r="CA49" s="107" t="n">
        <v>1456.8</v>
      </c>
      <c r="CB49" s="2"/>
      <c r="CC49" s="107" t="n">
        <v>0</v>
      </c>
      <c r="CD49" s="107" t="n">
        <v>100.17</v>
      </c>
      <c r="CE49" s="107" t="n">
        <v>100.18</v>
      </c>
      <c r="CF49" s="107" t="n">
        <v>100.18</v>
      </c>
      <c r="CG49" s="107" t="n">
        <v>200000</v>
      </c>
      <c r="CH49" s="107" t="n">
        <v>1.8169</v>
      </c>
      <c r="CI49" s="107" t="n">
        <v>100.82</v>
      </c>
      <c r="CJ49" s="107" t="n">
        <v>100.83</v>
      </c>
      <c r="CK49" s="107" t="n">
        <v>100.86</v>
      </c>
      <c r="CL49" s="107" t="n">
        <v>2000000</v>
      </c>
    </row>
    <row r="50" customFormat="false" ht="15" hidden="false" customHeight="false" outlineLevel="0" collapsed="false">
      <c r="A50" s="107" t="s">
        <v>471</v>
      </c>
      <c r="B50" s="107" t="n">
        <v>100.0786</v>
      </c>
      <c r="C50" s="107" t="n">
        <v>5.7066</v>
      </c>
      <c r="D50" s="107" t="n">
        <v>1.8188</v>
      </c>
      <c r="E50" s="107" t="n">
        <v>-910.1147884</v>
      </c>
      <c r="F50" s="108" t="s">
        <v>358</v>
      </c>
      <c r="G50" s="107" t="n">
        <v>1.8188</v>
      </c>
      <c r="H50" s="107" t="n">
        <v>-910.1147884</v>
      </c>
      <c r="I50" s="109" t="n">
        <v>47021</v>
      </c>
      <c r="J50" s="107" t="n">
        <v>2</v>
      </c>
      <c r="K50" s="107" t="s">
        <v>359</v>
      </c>
      <c r="L50" s="107" t="s">
        <v>298</v>
      </c>
      <c r="M50" s="107" t="n">
        <v>9094000</v>
      </c>
      <c r="N50" s="107" t="n">
        <v>101.55</v>
      </c>
      <c r="O50" s="107" t="n">
        <v>5003930</v>
      </c>
      <c r="P50" s="107" t="s">
        <v>472</v>
      </c>
      <c r="Q50" s="107" t="s">
        <v>377</v>
      </c>
      <c r="R50" s="107" t="n">
        <v>-0.0291942656462097</v>
      </c>
      <c r="S50" s="107" t="n">
        <v>-0.0144894140817332</v>
      </c>
      <c r="T50" s="107" t="n">
        <v>-936.0851851</v>
      </c>
      <c r="U50" s="107" t="n">
        <v>21069</v>
      </c>
      <c r="V50" s="108" t="s">
        <v>362</v>
      </c>
      <c r="W50" s="107" t="n">
        <v>28096</v>
      </c>
      <c r="X50" s="108" t="s">
        <v>372</v>
      </c>
      <c r="Y50" s="107" t="s">
        <v>471</v>
      </c>
      <c r="Z50" s="107" t="s">
        <v>473</v>
      </c>
      <c r="AA50" s="109" t="n">
        <v>46260</v>
      </c>
      <c r="AB50" s="107" t="n">
        <v>260826000001</v>
      </c>
      <c r="AC50" s="109" t="n">
        <v>45194</v>
      </c>
      <c r="AD50" s="109" t="n">
        <v>47021</v>
      </c>
      <c r="AE50" s="107" t="n">
        <v>5.75</v>
      </c>
      <c r="AF50" s="107" t="n">
        <v>1.8683</v>
      </c>
      <c r="AG50" s="107" t="n">
        <v>726</v>
      </c>
      <c r="AH50" s="107" t="n">
        <v>5000000</v>
      </c>
      <c r="AI50" s="107" t="n">
        <v>4.95433</v>
      </c>
      <c r="AJ50" s="107" t="n">
        <v>101.55</v>
      </c>
      <c r="AK50" s="107" t="n">
        <v>4.920766</v>
      </c>
      <c r="AL50" s="107" t="n">
        <v>101.629861</v>
      </c>
      <c r="AM50" s="107" t="n">
        <v>5.6533</v>
      </c>
      <c r="AN50" s="107" t="n">
        <v>100.177</v>
      </c>
      <c r="AO50" s="107" t="n">
        <v>1358.4</v>
      </c>
      <c r="AP50" s="107" t="n">
        <v>1</v>
      </c>
      <c r="AQ50" s="107" t="n">
        <v>5008850</v>
      </c>
      <c r="AR50" s="107" t="n">
        <v>6804021840</v>
      </c>
      <c r="AS50" s="107" t="n">
        <v>5077500</v>
      </c>
      <c r="AT50" s="107" t="n">
        <v>7009996500</v>
      </c>
      <c r="AU50" s="107" t="n">
        <v>-68650</v>
      </c>
      <c r="AV50" s="107" t="n">
        <v>-93254160</v>
      </c>
      <c r="AW50" s="107" t="n">
        <v>0</v>
      </c>
      <c r="AX50" s="107" t="n">
        <v>0</v>
      </c>
      <c r="AY50" s="107" t="n">
        <v>0</v>
      </c>
      <c r="AZ50" s="107" t="n">
        <v>0</v>
      </c>
      <c r="BA50" s="107" t="n">
        <v>0</v>
      </c>
      <c r="BB50" s="107" t="n">
        <v>0</v>
      </c>
      <c r="BC50" s="107" t="n">
        <v>0</v>
      </c>
      <c r="BD50" s="107" t="n">
        <v>0</v>
      </c>
      <c r="BE50" s="107" t="n">
        <v>3993.06</v>
      </c>
      <c r="BF50" s="107" t="n">
        <v>5424172</v>
      </c>
      <c r="BG50" s="107" t="n">
        <v>0</v>
      </c>
      <c r="BH50" s="107" t="n">
        <v>0</v>
      </c>
      <c r="BI50" s="107" t="n">
        <v>5077500</v>
      </c>
      <c r="BJ50" s="107" t="n">
        <v>7009996500</v>
      </c>
      <c r="BK50" s="107" t="n">
        <v>0</v>
      </c>
      <c r="BL50" s="107" t="n">
        <v>0</v>
      </c>
      <c r="BM50" s="107" t="n">
        <v>0</v>
      </c>
      <c r="BN50" s="107" t="n">
        <v>0</v>
      </c>
      <c r="BO50" s="107" t="s">
        <v>107</v>
      </c>
      <c r="BP50" s="2"/>
      <c r="BQ50" s="107" t="s">
        <v>369</v>
      </c>
      <c r="BR50" s="107" t="n">
        <v>-112720500</v>
      </c>
      <c r="BS50" s="107" t="n">
        <v>0</v>
      </c>
      <c r="BT50" s="107" t="n">
        <v>0</v>
      </c>
      <c r="BU50" s="107" t="n">
        <v>0</v>
      </c>
      <c r="BV50" s="107" t="n">
        <v>0</v>
      </c>
      <c r="BW50" s="107" t="n">
        <v>3993.06</v>
      </c>
      <c r="BX50" s="107" t="n">
        <v>5424172</v>
      </c>
      <c r="BY50" s="107" t="n">
        <v>0</v>
      </c>
      <c r="BZ50" s="107" t="n">
        <v>0</v>
      </c>
      <c r="CA50" s="107" t="n">
        <v>1380.6</v>
      </c>
      <c r="CB50" s="2"/>
      <c r="CC50" s="107" t="n">
        <v>0</v>
      </c>
      <c r="CD50" s="107" t="n">
        <v>100.17</v>
      </c>
      <c r="CE50" s="107" t="n">
        <v>100.18</v>
      </c>
      <c r="CF50" s="107" t="n">
        <v>100.18</v>
      </c>
      <c r="CG50" s="107" t="n">
        <v>0</v>
      </c>
      <c r="CH50" s="107" t="n">
        <v>1.8169</v>
      </c>
      <c r="CI50" s="107" t="n">
        <v>99.76</v>
      </c>
      <c r="CJ50" s="107" t="n">
        <v>99.79</v>
      </c>
      <c r="CK50" s="107" t="n">
        <v>99.81</v>
      </c>
      <c r="CL50" s="107" t="n">
        <v>2000000</v>
      </c>
    </row>
    <row r="51" customFormat="false" ht="15" hidden="false" customHeight="false" outlineLevel="0" collapsed="false">
      <c r="A51" s="107" t="s">
        <v>471</v>
      </c>
      <c r="B51" s="107" t="n">
        <v>100.0786</v>
      </c>
      <c r="C51" s="107" t="n">
        <v>5.7066</v>
      </c>
      <c r="D51" s="107" t="n">
        <v>1.8188</v>
      </c>
      <c r="E51" s="107" t="n">
        <v>-1638.20661912</v>
      </c>
      <c r="F51" s="108" t="s">
        <v>358</v>
      </c>
      <c r="G51" s="107" t="n">
        <v>1.8188</v>
      </c>
      <c r="H51" s="107" t="n">
        <v>-1638.20661912</v>
      </c>
      <c r="I51" s="109" t="n">
        <v>47021</v>
      </c>
      <c r="J51" s="107" t="n">
        <v>2</v>
      </c>
      <c r="K51" s="107" t="s">
        <v>359</v>
      </c>
      <c r="L51" s="107" t="s">
        <v>298</v>
      </c>
      <c r="M51" s="107" t="n">
        <v>16369200</v>
      </c>
      <c r="N51" s="107" t="n">
        <v>100.652</v>
      </c>
      <c r="O51" s="107" t="n">
        <v>9007074</v>
      </c>
      <c r="P51" s="107" t="s">
        <v>472</v>
      </c>
      <c r="Q51" s="107" t="s">
        <v>377</v>
      </c>
      <c r="R51" s="107" t="n">
        <v>-0.000774199980848139</v>
      </c>
      <c r="S51" s="107" t="n">
        <v>-0.00569685649564844</v>
      </c>
      <c r="T51" s="107" t="n">
        <v>-1684.95333318</v>
      </c>
      <c r="U51" s="107" t="n">
        <v>21069</v>
      </c>
      <c r="V51" s="108" t="s">
        <v>362</v>
      </c>
      <c r="W51" s="107" t="n">
        <v>28096</v>
      </c>
      <c r="X51" s="108" t="s">
        <v>372</v>
      </c>
      <c r="Y51" s="107" t="s">
        <v>471</v>
      </c>
      <c r="Z51" s="107" t="s">
        <v>473</v>
      </c>
      <c r="AA51" s="109" t="n">
        <v>46282</v>
      </c>
      <c r="AB51" s="107" t="n">
        <v>260917000001</v>
      </c>
      <c r="AC51" s="109" t="n">
        <v>45194</v>
      </c>
      <c r="AD51" s="109" t="n">
        <v>47021</v>
      </c>
      <c r="AE51" s="107" t="n">
        <v>5.75</v>
      </c>
      <c r="AF51" s="107" t="n">
        <v>1.8683</v>
      </c>
      <c r="AG51" s="107" t="n">
        <v>726</v>
      </c>
      <c r="AH51" s="107" t="n">
        <v>9000000</v>
      </c>
      <c r="AI51" s="107" t="n">
        <v>5.40446</v>
      </c>
      <c r="AJ51" s="107" t="n">
        <v>100.652</v>
      </c>
      <c r="AK51" s="107" t="n">
        <v>5.398845</v>
      </c>
      <c r="AL51" s="107" t="n">
        <v>100.731861</v>
      </c>
      <c r="AM51" s="107" t="n">
        <v>5.6533</v>
      </c>
      <c r="AN51" s="107" t="n">
        <v>100.177</v>
      </c>
      <c r="AO51" s="107" t="n">
        <v>1358.4</v>
      </c>
      <c r="AP51" s="107" t="n">
        <v>1</v>
      </c>
      <c r="AQ51" s="107" t="n">
        <v>9015930</v>
      </c>
      <c r="AR51" s="107" t="n">
        <v>12247239312</v>
      </c>
      <c r="AS51" s="107" t="n">
        <v>9058680</v>
      </c>
      <c r="AT51" s="107" t="n">
        <v>12259111644</v>
      </c>
      <c r="AU51" s="107" t="n">
        <v>-42750</v>
      </c>
      <c r="AV51" s="107" t="n">
        <v>-58071600</v>
      </c>
      <c r="AW51" s="107" t="n">
        <v>0</v>
      </c>
      <c r="AX51" s="107" t="n">
        <v>0</v>
      </c>
      <c r="AY51" s="107" t="n">
        <v>0</v>
      </c>
      <c r="AZ51" s="107" t="n">
        <v>0</v>
      </c>
      <c r="BA51" s="107" t="n">
        <v>0</v>
      </c>
      <c r="BB51" s="107" t="n">
        <v>0</v>
      </c>
      <c r="BC51" s="107" t="n">
        <v>0</v>
      </c>
      <c r="BD51" s="107" t="n">
        <v>0</v>
      </c>
      <c r="BE51" s="107" t="n">
        <v>7187.5</v>
      </c>
      <c r="BF51" s="107" t="n">
        <v>9763500</v>
      </c>
      <c r="BG51" s="107" t="n">
        <v>0</v>
      </c>
      <c r="BH51" s="107" t="n">
        <v>0</v>
      </c>
      <c r="BI51" s="107" t="n">
        <v>9058680</v>
      </c>
      <c r="BJ51" s="107" t="n">
        <v>12259111644</v>
      </c>
      <c r="BK51" s="107" t="n">
        <v>0</v>
      </c>
      <c r="BL51" s="107" t="n">
        <v>0</v>
      </c>
      <c r="BM51" s="107" t="n">
        <v>0</v>
      </c>
      <c r="BN51" s="107" t="n">
        <v>0</v>
      </c>
      <c r="BO51" s="107" t="s">
        <v>107</v>
      </c>
      <c r="BP51" s="2"/>
      <c r="BQ51" s="107" t="s">
        <v>369</v>
      </c>
      <c r="BR51" s="107" t="n">
        <v>46199268</v>
      </c>
      <c r="BS51" s="107" t="n">
        <v>0</v>
      </c>
      <c r="BT51" s="107" t="n">
        <v>0</v>
      </c>
      <c r="BU51" s="107" t="n">
        <v>0</v>
      </c>
      <c r="BV51" s="107" t="n">
        <v>0</v>
      </c>
      <c r="BW51" s="107" t="n">
        <v>7187.5</v>
      </c>
      <c r="BX51" s="107" t="n">
        <v>9763500</v>
      </c>
      <c r="BY51" s="107" t="n">
        <v>0</v>
      </c>
      <c r="BZ51" s="107" t="n">
        <v>0</v>
      </c>
      <c r="CA51" s="107" t="n">
        <v>1353.3</v>
      </c>
      <c r="CB51" s="2"/>
      <c r="CC51" s="107" t="n">
        <v>0</v>
      </c>
      <c r="CD51" s="107" t="n">
        <v>100.17</v>
      </c>
      <c r="CE51" s="107" t="n">
        <v>100.18</v>
      </c>
      <c r="CF51" s="107" t="n">
        <v>100.18</v>
      </c>
      <c r="CG51" s="107" t="n">
        <v>9000000</v>
      </c>
      <c r="CH51" s="107" t="n">
        <v>1.8169</v>
      </c>
      <c r="CI51" s="107" t="n">
        <v>99</v>
      </c>
      <c r="CJ51" s="107" t="n">
        <v>98.97</v>
      </c>
      <c r="CK51" s="107" t="n">
        <v>99</v>
      </c>
      <c r="CL51" s="107" t="n">
        <v>2000000</v>
      </c>
    </row>
    <row r="52" customFormat="false" ht="15" hidden="false" customHeight="false" outlineLevel="0" collapsed="false">
      <c r="A52" s="107" t="s">
        <v>474</v>
      </c>
      <c r="B52" s="107" t="n">
        <v>100.0443</v>
      </c>
      <c r="C52" s="107" t="n">
        <v>5.2988</v>
      </c>
      <c r="D52" s="107" t="n">
        <v>0.7109</v>
      </c>
      <c r="E52" s="107" t="n">
        <v>-14.224298574</v>
      </c>
      <c r="F52" s="108" t="s">
        <v>358</v>
      </c>
      <c r="G52" s="107" t="n">
        <v>0.7109</v>
      </c>
      <c r="H52" s="107" t="n">
        <v>-14.224298574</v>
      </c>
      <c r="I52" s="109" t="n">
        <v>46570</v>
      </c>
      <c r="J52" s="107" t="n">
        <v>2</v>
      </c>
      <c r="K52" s="107" t="s">
        <v>359</v>
      </c>
      <c r="L52" s="107" t="s">
        <v>298</v>
      </c>
      <c r="M52" s="107" t="n">
        <v>142180</v>
      </c>
      <c r="N52" s="107" t="n">
        <v>100.84</v>
      </c>
      <c r="O52" s="107" t="n">
        <v>200088.6</v>
      </c>
      <c r="P52" s="107" t="s">
        <v>472</v>
      </c>
      <c r="Q52" s="107" t="s">
        <v>377</v>
      </c>
      <c r="R52" s="107" t="n">
        <v>-0.104784618124948</v>
      </c>
      <c r="S52" s="107" t="n">
        <v>-0.00789071796905982</v>
      </c>
      <c r="T52" s="107" t="n">
        <v>-14.600465142</v>
      </c>
      <c r="U52" s="107" t="n">
        <v>21069</v>
      </c>
      <c r="V52" s="108" t="s">
        <v>362</v>
      </c>
      <c r="W52" s="107" t="n">
        <v>28096</v>
      </c>
      <c r="X52" s="108" t="s">
        <v>372</v>
      </c>
      <c r="Y52" s="107" t="s">
        <v>474</v>
      </c>
      <c r="Z52" s="107" t="s">
        <v>475</v>
      </c>
      <c r="AA52" s="109" t="n">
        <v>46119</v>
      </c>
      <c r="AB52" s="107" t="n">
        <v>260407000001</v>
      </c>
      <c r="AC52" s="109" t="n">
        <v>45475</v>
      </c>
      <c r="AD52" s="109" t="n">
        <v>46570</v>
      </c>
      <c r="AE52" s="107" t="n">
        <v>5.375</v>
      </c>
      <c r="AF52" s="107" t="n">
        <v>0.7271</v>
      </c>
      <c r="AG52" s="107" t="n">
        <v>275</v>
      </c>
      <c r="AH52" s="107" t="n">
        <v>200000</v>
      </c>
      <c r="AI52" s="107" t="n">
        <v>4.6587</v>
      </c>
      <c r="AJ52" s="107" t="n">
        <v>100.84</v>
      </c>
      <c r="AK52" s="107" t="n">
        <v>4.224165</v>
      </c>
      <c r="AL52" s="107" t="n">
        <v>102.15389</v>
      </c>
      <c r="AM52" s="107" t="n">
        <v>5.2427</v>
      </c>
      <c r="AN52" s="107" t="n">
        <v>100.0852</v>
      </c>
      <c r="AO52" s="107" t="n">
        <v>1358.4</v>
      </c>
      <c r="AP52" s="107" t="n">
        <v>1</v>
      </c>
      <c r="AQ52" s="107" t="n">
        <v>200170.4</v>
      </c>
      <c r="AR52" s="107" t="n">
        <v>271911471</v>
      </c>
      <c r="AS52" s="107" t="n">
        <v>201680</v>
      </c>
      <c r="AT52" s="107" t="n">
        <v>303972096</v>
      </c>
      <c r="AU52" s="107" t="n">
        <v>-1509.6</v>
      </c>
      <c r="AV52" s="107" t="n">
        <v>-2050641</v>
      </c>
      <c r="AW52" s="107" t="n">
        <v>0</v>
      </c>
      <c r="AX52" s="107" t="n">
        <v>0</v>
      </c>
      <c r="AY52" s="107" t="n">
        <v>0</v>
      </c>
      <c r="AZ52" s="107" t="n">
        <v>0</v>
      </c>
      <c r="BA52" s="107" t="n">
        <v>0</v>
      </c>
      <c r="BB52" s="107" t="n">
        <v>0</v>
      </c>
      <c r="BC52" s="107" t="n">
        <v>0</v>
      </c>
      <c r="BD52" s="107" t="n">
        <v>0</v>
      </c>
      <c r="BE52" s="107" t="n">
        <v>2627.78</v>
      </c>
      <c r="BF52" s="107" t="n">
        <v>3569576</v>
      </c>
      <c r="BG52" s="107" t="n">
        <v>0</v>
      </c>
      <c r="BH52" s="107" t="n">
        <v>0</v>
      </c>
      <c r="BI52" s="107" t="n">
        <v>201680</v>
      </c>
      <c r="BJ52" s="107" t="n">
        <v>303972096</v>
      </c>
      <c r="BK52" s="107" t="n">
        <v>0</v>
      </c>
      <c r="BL52" s="107" t="n">
        <v>0</v>
      </c>
      <c r="BM52" s="107" t="n">
        <v>0</v>
      </c>
      <c r="BN52" s="107" t="n">
        <v>0</v>
      </c>
      <c r="BO52" s="107" t="s">
        <v>107</v>
      </c>
      <c r="BP52" s="2"/>
      <c r="BQ52" s="107" t="s">
        <v>369</v>
      </c>
      <c r="BR52" s="107" t="n">
        <v>-30009984</v>
      </c>
      <c r="BS52" s="107" t="n">
        <v>0</v>
      </c>
      <c r="BT52" s="107" t="n">
        <v>0</v>
      </c>
      <c r="BU52" s="107" t="n">
        <v>0</v>
      </c>
      <c r="BV52" s="107" t="n">
        <v>0</v>
      </c>
      <c r="BW52" s="107" t="n">
        <v>2627.78</v>
      </c>
      <c r="BX52" s="107" t="n">
        <v>3569576</v>
      </c>
      <c r="BY52" s="107" t="n">
        <v>0</v>
      </c>
      <c r="BZ52" s="107" t="n">
        <v>0</v>
      </c>
      <c r="CA52" s="107" t="n">
        <v>1507.2</v>
      </c>
      <c r="CB52" s="2"/>
      <c r="CC52" s="107" t="n">
        <v>0</v>
      </c>
      <c r="CD52" s="107" t="n">
        <v>100.07</v>
      </c>
      <c r="CE52" s="107" t="n">
        <v>100.11</v>
      </c>
      <c r="CF52" s="107" t="n">
        <v>100.08</v>
      </c>
      <c r="CG52" s="107" t="n">
        <v>200000</v>
      </c>
      <c r="CH52" s="107" t="n">
        <v>0.7085</v>
      </c>
      <c r="CI52" s="107" t="n">
        <v>100.25</v>
      </c>
      <c r="CJ52" s="107" t="n">
        <v>100.2</v>
      </c>
      <c r="CK52" s="107" t="n">
        <v>100.23</v>
      </c>
      <c r="CL52" s="107" t="n">
        <v>0</v>
      </c>
    </row>
    <row r="53" customFormat="false" ht="15" hidden="false" customHeight="false" outlineLevel="0" collapsed="false">
      <c r="A53" s="107" t="s">
        <v>476</v>
      </c>
      <c r="B53" s="107" t="n">
        <v>99.4679</v>
      </c>
      <c r="C53" s="107" t="n">
        <v>5.6223</v>
      </c>
      <c r="D53" s="107" t="n">
        <v>1.3573</v>
      </c>
      <c r="E53" s="107" t="n">
        <v>-675.03890335</v>
      </c>
      <c r="F53" s="108" t="s">
        <v>358</v>
      </c>
      <c r="G53" s="107" t="n">
        <v>1.3573</v>
      </c>
      <c r="H53" s="107" t="n">
        <v>-675.03890335</v>
      </c>
      <c r="I53" s="109" t="n">
        <v>46845</v>
      </c>
      <c r="J53" s="107" t="n">
        <v>2</v>
      </c>
      <c r="K53" s="107" t="s">
        <v>359</v>
      </c>
      <c r="L53" s="107" t="s">
        <v>298</v>
      </c>
      <c r="M53" s="107" t="n">
        <v>6786500</v>
      </c>
      <c r="N53" s="107" t="n">
        <v>100.5</v>
      </c>
      <c r="O53" s="107" t="n">
        <v>4973395</v>
      </c>
      <c r="P53" s="107" t="s">
        <v>472</v>
      </c>
      <c r="Q53" s="107" t="s">
        <v>377</v>
      </c>
      <c r="R53" s="107" t="n">
        <v>-0.0250374665856578</v>
      </c>
      <c r="S53" s="107" t="n">
        <v>-0.0102696517412936</v>
      </c>
      <c r="T53" s="107" t="n">
        <v>-694.03727225</v>
      </c>
      <c r="U53" s="107" t="n">
        <v>21069</v>
      </c>
      <c r="V53" s="108" t="s">
        <v>362</v>
      </c>
      <c r="W53" s="107" t="n">
        <v>28096</v>
      </c>
      <c r="X53" s="108" t="s">
        <v>372</v>
      </c>
      <c r="Y53" s="107" t="s">
        <v>476</v>
      </c>
      <c r="Z53" s="107" t="s">
        <v>477</v>
      </c>
      <c r="AA53" s="109" t="n">
        <v>46260</v>
      </c>
      <c r="AB53" s="107" t="n">
        <v>260826000001</v>
      </c>
      <c r="AC53" s="109" t="n">
        <v>45749</v>
      </c>
      <c r="AD53" s="109" t="n">
        <v>46845</v>
      </c>
      <c r="AE53" s="107" t="n">
        <v>5.25</v>
      </c>
      <c r="AF53" s="107" t="n">
        <v>1.393</v>
      </c>
      <c r="AG53" s="107" t="n">
        <v>550</v>
      </c>
      <c r="AH53" s="107" t="n">
        <v>5000000</v>
      </c>
      <c r="AI53" s="107" t="n">
        <v>4.91786</v>
      </c>
      <c r="AJ53" s="107" t="n">
        <v>100.5</v>
      </c>
      <c r="AK53" s="107" t="n">
        <v>4.901198</v>
      </c>
      <c r="AL53" s="107" t="n">
        <v>103.095833</v>
      </c>
      <c r="AM53" s="107" t="n">
        <v>5.5664</v>
      </c>
      <c r="AN53" s="107" t="n">
        <v>99.5484</v>
      </c>
      <c r="AO53" s="107" t="n">
        <v>1358.4</v>
      </c>
      <c r="AP53" s="107" t="n">
        <v>1</v>
      </c>
      <c r="AQ53" s="107" t="n">
        <v>4977420</v>
      </c>
      <c r="AR53" s="107" t="n">
        <v>6761327328</v>
      </c>
      <c r="AS53" s="107" t="n">
        <v>5025000</v>
      </c>
      <c r="AT53" s="107" t="n">
        <v>6937515000</v>
      </c>
      <c r="AU53" s="107" t="n">
        <v>-47580</v>
      </c>
      <c r="AV53" s="107" t="n">
        <v>-64632672</v>
      </c>
      <c r="AW53" s="107" t="n">
        <v>105000</v>
      </c>
      <c r="AX53" s="107" t="n">
        <v>144963000</v>
      </c>
      <c r="AY53" s="107" t="n">
        <v>0</v>
      </c>
      <c r="AZ53" s="107" t="n">
        <v>0</v>
      </c>
      <c r="BA53" s="107" t="n">
        <v>0</v>
      </c>
      <c r="BB53" s="107" t="n">
        <v>0</v>
      </c>
      <c r="BC53" s="107" t="n">
        <v>0</v>
      </c>
      <c r="BD53" s="107" t="n">
        <v>0</v>
      </c>
      <c r="BE53" s="107" t="n">
        <v>24791.67</v>
      </c>
      <c r="BF53" s="107" t="n">
        <v>33677004</v>
      </c>
      <c r="BG53" s="107" t="n">
        <v>0</v>
      </c>
      <c r="BH53" s="107" t="n">
        <v>0</v>
      </c>
      <c r="BI53" s="107" t="n">
        <v>5025000</v>
      </c>
      <c r="BJ53" s="107" t="n">
        <v>6937515000</v>
      </c>
      <c r="BK53" s="107" t="n">
        <v>0</v>
      </c>
      <c r="BL53" s="107" t="n">
        <v>0</v>
      </c>
      <c r="BM53" s="107" t="n">
        <v>0</v>
      </c>
      <c r="BN53" s="107" t="n">
        <v>0</v>
      </c>
      <c r="BO53" s="107" t="s">
        <v>107</v>
      </c>
      <c r="BP53" s="2"/>
      <c r="BQ53" s="107" t="s">
        <v>369</v>
      </c>
      <c r="BR53" s="107" t="n">
        <v>-111555000</v>
      </c>
      <c r="BS53" s="107" t="n">
        <v>-2331000</v>
      </c>
      <c r="BT53" s="107" t="n">
        <v>0</v>
      </c>
      <c r="BU53" s="107" t="n">
        <v>0</v>
      </c>
      <c r="BV53" s="107" t="n">
        <v>0</v>
      </c>
      <c r="BW53" s="107" t="n">
        <v>129791.67</v>
      </c>
      <c r="BX53" s="107" t="n">
        <v>176309004</v>
      </c>
      <c r="BY53" s="107" t="n">
        <v>0</v>
      </c>
      <c r="BZ53" s="107" t="n">
        <v>0</v>
      </c>
      <c r="CA53" s="107" t="n">
        <v>1380.6</v>
      </c>
      <c r="CB53" s="2"/>
      <c r="CC53" s="107" t="n">
        <v>0</v>
      </c>
      <c r="CD53" s="107" t="n">
        <v>99.53</v>
      </c>
      <c r="CE53" s="107" t="n">
        <v>99.6</v>
      </c>
      <c r="CF53" s="107" t="n">
        <v>99.51</v>
      </c>
      <c r="CG53" s="107" t="n">
        <v>0</v>
      </c>
      <c r="CH53" s="107" t="n">
        <v>1.3553</v>
      </c>
      <c r="CI53" s="107" t="n">
        <v>99.71</v>
      </c>
      <c r="CJ53" s="107" t="n">
        <v>99.72</v>
      </c>
      <c r="CK53" s="107" t="n">
        <v>99.72</v>
      </c>
      <c r="CL53" s="107" t="n">
        <v>0</v>
      </c>
    </row>
    <row r="54" customFormat="false" ht="15" hidden="false" customHeight="false" outlineLevel="0" collapsed="false">
      <c r="A54" s="107" t="s">
        <v>478</v>
      </c>
      <c r="B54" s="107" t="n">
        <v>100.1116</v>
      </c>
      <c r="C54" s="107" t="n">
        <v>5.5759</v>
      </c>
      <c r="D54" s="107" t="n">
        <v>2.248</v>
      </c>
      <c r="E54" s="107" t="n">
        <v>-2925.6613984</v>
      </c>
      <c r="F54" s="108" t="s">
        <v>358</v>
      </c>
      <c r="G54" s="107" t="n">
        <v>2.248</v>
      </c>
      <c r="H54" s="107" t="n">
        <v>-2925.6613984</v>
      </c>
      <c r="I54" s="109" t="n">
        <v>47232</v>
      </c>
      <c r="J54" s="107" t="n">
        <v>3</v>
      </c>
      <c r="K54" s="107" t="s">
        <v>359</v>
      </c>
      <c r="L54" s="107" t="s">
        <v>298</v>
      </c>
      <c r="M54" s="107" t="n">
        <v>29224000</v>
      </c>
      <c r="N54" s="107" t="n">
        <v>102.225</v>
      </c>
      <c r="O54" s="107" t="n">
        <v>13014508</v>
      </c>
      <c r="P54" s="107" t="s">
        <v>479</v>
      </c>
      <c r="Q54" s="107" t="s">
        <v>107</v>
      </c>
      <c r="R54" s="107" t="n">
        <v>-0.0881791752138457</v>
      </c>
      <c r="S54" s="107" t="n">
        <v>-0.02067400342382</v>
      </c>
      <c r="T54" s="107" t="n">
        <v>-3007.26236356</v>
      </c>
      <c r="U54" s="107" t="n">
        <v>21069</v>
      </c>
      <c r="V54" s="108" t="s">
        <v>362</v>
      </c>
      <c r="W54" s="107" t="n">
        <v>28096</v>
      </c>
      <c r="X54" s="108" t="s">
        <v>372</v>
      </c>
      <c r="Y54" s="107" t="s">
        <v>478</v>
      </c>
      <c r="Z54" s="107" t="s">
        <v>480</v>
      </c>
      <c r="AA54" s="109" t="n">
        <v>45806</v>
      </c>
      <c r="AB54" s="107" t="n">
        <v>250529000001</v>
      </c>
      <c r="AC54" s="109" t="n">
        <v>45406</v>
      </c>
      <c r="AD54" s="109" t="n">
        <v>47232</v>
      </c>
      <c r="AE54" s="107" t="n">
        <v>5.625</v>
      </c>
      <c r="AF54" s="107" t="n">
        <v>2.3085</v>
      </c>
      <c r="AG54" s="107" t="n">
        <v>937</v>
      </c>
      <c r="AH54" s="107" t="n">
        <v>13000000</v>
      </c>
      <c r="AI54" s="107" t="n">
        <v>4.98899</v>
      </c>
      <c r="AJ54" s="107" t="n">
        <v>102.225</v>
      </c>
      <c r="AK54" s="107" t="n">
        <v>3.944091</v>
      </c>
      <c r="AL54" s="107" t="n">
        <v>106.4995</v>
      </c>
      <c r="AM54" s="107" t="n">
        <v>5.52</v>
      </c>
      <c r="AN54" s="107" t="n">
        <v>100.2439</v>
      </c>
      <c r="AO54" s="107" t="n">
        <v>1358.4</v>
      </c>
      <c r="AP54" s="107" t="n">
        <v>1</v>
      </c>
      <c r="AQ54" s="107" t="n">
        <v>13031707</v>
      </c>
      <c r="AR54" s="107" t="n">
        <v>17702270789</v>
      </c>
      <c r="AS54" s="107" t="n">
        <v>13528060</v>
      </c>
      <c r="AT54" s="107" t="n">
        <v>19411413294</v>
      </c>
      <c r="AU54" s="107" t="n">
        <v>-496353</v>
      </c>
      <c r="AV54" s="107" t="n">
        <v>-674245915</v>
      </c>
      <c r="AW54" s="107" t="n">
        <v>0</v>
      </c>
      <c r="AX54" s="107" t="n">
        <v>0</v>
      </c>
      <c r="AY54" s="107" t="n">
        <v>0</v>
      </c>
      <c r="AZ54" s="107" t="n">
        <v>0</v>
      </c>
      <c r="BA54" s="107" t="n">
        <v>0</v>
      </c>
      <c r="BB54" s="107" t="n">
        <v>0</v>
      </c>
      <c r="BC54" s="107" t="n">
        <v>0</v>
      </c>
      <c r="BD54" s="107" t="n">
        <v>0</v>
      </c>
      <c r="BE54" s="107" t="n">
        <v>316875</v>
      </c>
      <c r="BF54" s="107" t="n">
        <v>430443000</v>
      </c>
      <c r="BG54" s="107" t="n">
        <v>0</v>
      </c>
      <c r="BH54" s="107" t="n">
        <v>0</v>
      </c>
      <c r="BI54" s="107" t="n">
        <v>13289250</v>
      </c>
      <c r="BJ54" s="107" t="n">
        <v>19068744825</v>
      </c>
      <c r="BK54" s="107" t="n">
        <v>0</v>
      </c>
      <c r="BL54" s="107" t="n">
        <v>0</v>
      </c>
      <c r="BM54" s="107" t="n">
        <v>0</v>
      </c>
      <c r="BN54" s="107" t="n">
        <v>0</v>
      </c>
      <c r="BO54" s="107" t="s">
        <v>107</v>
      </c>
      <c r="BP54" s="107" t="s">
        <v>481</v>
      </c>
      <c r="BQ54" s="107" t="s">
        <v>107</v>
      </c>
      <c r="BR54" s="107" t="n">
        <v>-1034896590</v>
      </c>
      <c r="BS54" s="107" t="n">
        <v>0</v>
      </c>
      <c r="BT54" s="107" t="n">
        <v>0</v>
      </c>
      <c r="BU54" s="107" t="n">
        <v>238810</v>
      </c>
      <c r="BV54" s="107" t="n">
        <v>342668469</v>
      </c>
      <c r="BW54" s="107" t="n">
        <v>316875</v>
      </c>
      <c r="BX54" s="107" t="n">
        <v>430443000</v>
      </c>
      <c r="BY54" s="107" t="n">
        <v>0</v>
      </c>
      <c r="BZ54" s="107" t="n">
        <v>0</v>
      </c>
      <c r="CA54" s="107" t="n">
        <v>1434.9</v>
      </c>
      <c r="CB54" s="2"/>
      <c r="CC54" s="107" t="n">
        <v>0</v>
      </c>
      <c r="CD54" s="107" t="n">
        <v>100.21</v>
      </c>
      <c r="CE54" s="107" t="n">
        <v>100.31</v>
      </c>
      <c r="CF54" s="107" t="n">
        <v>100.22</v>
      </c>
      <c r="CG54" s="107" t="n">
        <v>0</v>
      </c>
      <c r="CH54" s="107" t="n">
        <v>2.2465</v>
      </c>
      <c r="CI54" s="107" t="n">
        <v>97.41</v>
      </c>
      <c r="CJ54" s="107" t="n">
        <v>97.41</v>
      </c>
      <c r="CK54" s="107" t="n">
        <v>97.42</v>
      </c>
      <c r="CL54" s="107" t="n">
        <v>0</v>
      </c>
    </row>
    <row r="55" customFormat="false" ht="15" hidden="false" customHeight="false" outlineLevel="0" collapsed="false">
      <c r="A55" s="107" t="s">
        <v>482</v>
      </c>
      <c r="B55" s="107" t="n">
        <v>100.3926</v>
      </c>
      <c r="C55" s="107" t="n">
        <v>5.4246</v>
      </c>
      <c r="D55" s="107" t="n">
        <v>1.2016</v>
      </c>
      <c r="E55" s="107" t="n">
        <v>-603.1587408</v>
      </c>
      <c r="F55" s="108" t="s">
        <v>358</v>
      </c>
      <c r="G55" s="107" t="n">
        <v>1.2016</v>
      </c>
      <c r="H55" s="107" t="n">
        <v>-603.1587408</v>
      </c>
      <c r="I55" s="109" t="n">
        <v>46769</v>
      </c>
      <c r="J55" s="107" t="n">
        <v>2</v>
      </c>
      <c r="K55" s="107" t="s">
        <v>359</v>
      </c>
      <c r="L55" s="107" t="s">
        <v>298</v>
      </c>
      <c r="M55" s="107" t="n">
        <v>6008000</v>
      </c>
      <c r="N55" s="107" t="n">
        <v>102.02</v>
      </c>
      <c r="O55" s="107" t="n">
        <v>5019630</v>
      </c>
      <c r="P55" s="107" t="s">
        <v>483</v>
      </c>
      <c r="Q55" s="107" t="s">
        <v>377</v>
      </c>
      <c r="R55" s="107" t="n">
        <v>-0.0772848585415472</v>
      </c>
      <c r="S55" s="107" t="n">
        <v>-0.0159517741619289</v>
      </c>
      <c r="T55" s="107" t="n">
        <v>-619.5227346</v>
      </c>
      <c r="U55" s="107" t="n">
        <v>21069</v>
      </c>
      <c r="V55" s="108" t="s">
        <v>362</v>
      </c>
      <c r="W55" s="107" t="n">
        <v>28096</v>
      </c>
      <c r="X55" s="108" t="s">
        <v>372</v>
      </c>
      <c r="Y55" s="107" t="s">
        <v>482</v>
      </c>
      <c r="Z55" s="107" t="s">
        <v>484</v>
      </c>
      <c r="AA55" s="109" t="n">
        <v>45786</v>
      </c>
      <c r="AB55" s="107" t="n">
        <v>250509000001</v>
      </c>
      <c r="AC55" s="109" t="n">
        <v>44943</v>
      </c>
      <c r="AD55" s="109" t="n">
        <v>46769</v>
      </c>
      <c r="AE55" s="107" t="n">
        <v>5.75</v>
      </c>
      <c r="AF55" s="107" t="n">
        <v>1.2316</v>
      </c>
      <c r="AG55" s="107" t="n">
        <v>474</v>
      </c>
      <c r="AH55" s="107" t="n">
        <v>5000000</v>
      </c>
      <c r="AI55" s="107" t="n">
        <v>4.934</v>
      </c>
      <c r="AJ55" s="107" t="n">
        <v>102.02</v>
      </c>
      <c r="AK55" s="107" t="n">
        <v>3.267886</v>
      </c>
      <c r="AL55" s="107" t="n">
        <v>104.287972</v>
      </c>
      <c r="AM55" s="107" t="n">
        <v>5.3803</v>
      </c>
      <c r="AN55" s="107" t="n">
        <v>100.4466</v>
      </c>
      <c r="AO55" s="107" t="n">
        <v>1358.4</v>
      </c>
      <c r="AP55" s="107" t="n">
        <v>1</v>
      </c>
      <c r="AQ55" s="107" t="n">
        <v>5022330</v>
      </c>
      <c r="AR55" s="107" t="n">
        <v>6822333072</v>
      </c>
      <c r="AS55" s="107" t="n">
        <v>5156100</v>
      </c>
      <c r="AT55" s="107" t="n">
        <v>7398487890</v>
      </c>
      <c r="AU55" s="107" t="n">
        <v>-133770</v>
      </c>
      <c r="AV55" s="107" t="n">
        <v>-181713168</v>
      </c>
      <c r="AW55" s="107" t="n">
        <v>0</v>
      </c>
      <c r="AX55" s="107" t="n">
        <v>0</v>
      </c>
      <c r="AY55" s="107" t="n">
        <v>0</v>
      </c>
      <c r="AZ55" s="107" t="n">
        <v>0</v>
      </c>
      <c r="BA55" s="107" t="n">
        <v>0</v>
      </c>
      <c r="BB55" s="107" t="n">
        <v>0</v>
      </c>
      <c r="BC55" s="107" t="n">
        <v>0</v>
      </c>
      <c r="BD55" s="107" t="n">
        <v>0</v>
      </c>
      <c r="BE55" s="107" t="n">
        <v>58298.61</v>
      </c>
      <c r="BF55" s="107" t="n">
        <v>79192831</v>
      </c>
      <c r="BG55" s="107" t="n">
        <v>0</v>
      </c>
      <c r="BH55" s="107" t="n">
        <v>0</v>
      </c>
      <c r="BI55" s="107" t="n">
        <v>5101000</v>
      </c>
      <c r="BJ55" s="107" t="n">
        <v>7319424900</v>
      </c>
      <c r="BK55" s="107" t="n">
        <v>0</v>
      </c>
      <c r="BL55" s="107" t="n">
        <v>0</v>
      </c>
      <c r="BM55" s="107" t="n">
        <v>0</v>
      </c>
      <c r="BN55" s="107" t="n">
        <v>0</v>
      </c>
      <c r="BO55" s="107" t="s">
        <v>377</v>
      </c>
      <c r="BP55" s="2"/>
      <c r="BQ55" s="107" t="s">
        <v>369</v>
      </c>
      <c r="BR55" s="107" t="n">
        <v>-394441650</v>
      </c>
      <c r="BS55" s="107" t="n">
        <v>0</v>
      </c>
      <c r="BT55" s="107" t="n">
        <v>0</v>
      </c>
      <c r="BU55" s="107" t="n">
        <v>55100</v>
      </c>
      <c r="BV55" s="107" t="n">
        <v>79062990</v>
      </c>
      <c r="BW55" s="107" t="n">
        <v>58298.61</v>
      </c>
      <c r="BX55" s="107" t="n">
        <v>79192831</v>
      </c>
      <c r="BY55" s="107" t="n">
        <v>0</v>
      </c>
      <c r="BZ55" s="107" t="n">
        <v>0</v>
      </c>
      <c r="CA55" s="107" t="n">
        <v>1434.9</v>
      </c>
      <c r="CB55" s="2"/>
      <c r="CC55" s="107" t="n">
        <v>0</v>
      </c>
      <c r="CD55" s="107" t="n">
        <v>100.42</v>
      </c>
      <c r="CE55" s="107" t="n">
        <v>100.46</v>
      </c>
      <c r="CF55" s="107" t="n">
        <v>100.46</v>
      </c>
      <c r="CG55" s="107" t="n">
        <v>0</v>
      </c>
      <c r="CH55" s="107" t="n">
        <v>1.1993</v>
      </c>
      <c r="CI55" s="107" t="n">
        <v>97.41</v>
      </c>
      <c r="CJ55" s="107" t="n">
        <v>97.41</v>
      </c>
      <c r="CK55" s="107" t="n">
        <v>97.42</v>
      </c>
      <c r="CL55" s="107" t="n">
        <v>550000</v>
      </c>
    </row>
    <row r="56" customFormat="false" ht="15" hidden="false" customHeight="false" outlineLevel="0" collapsed="false">
      <c r="A56" s="107" t="s">
        <v>485</v>
      </c>
      <c r="B56" s="107" t="n">
        <v>96.1648</v>
      </c>
      <c r="C56" s="107" t="n">
        <v>6.0636</v>
      </c>
      <c r="D56" s="107" t="n">
        <v>4.0456</v>
      </c>
      <c r="E56" s="107" t="n">
        <v>-77.808862976</v>
      </c>
      <c r="F56" s="108" t="s">
        <v>358</v>
      </c>
      <c r="G56" s="107" t="n">
        <v>4.0456</v>
      </c>
      <c r="H56" s="107" t="n">
        <v>-77.808862976</v>
      </c>
      <c r="I56" s="109" t="n">
        <v>48028</v>
      </c>
      <c r="J56" s="107" t="n">
        <v>5</v>
      </c>
      <c r="K56" s="107" t="s">
        <v>359</v>
      </c>
      <c r="L56" s="107" t="s">
        <v>298</v>
      </c>
      <c r="M56" s="107" t="n">
        <v>809120</v>
      </c>
      <c r="N56" s="107" t="n">
        <v>99.791</v>
      </c>
      <c r="O56" s="107" t="n">
        <v>192329.6</v>
      </c>
      <c r="P56" s="107" t="s">
        <v>486</v>
      </c>
      <c r="Q56" s="107" t="s">
        <v>107</v>
      </c>
      <c r="R56" s="107" t="n">
        <v>-0.146201698357385</v>
      </c>
      <c r="S56" s="107" t="n">
        <v>-0.0363379463077832</v>
      </c>
      <c r="T56" s="107" t="n">
        <v>-80.168747168</v>
      </c>
      <c r="U56" s="107" t="n">
        <v>21069</v>
      </c>
      <c r="V56" s="108" t="s">
        <v>362</v>
      </c>
      <c r="W56" s="107" t="n">
        <v>28096</v>
      </c>
      <c r="X56" s="108" t="s">
        <v>372</v>
      </c>
      <c r="Y56" s="107" t="s">
        <v>485</v>
      </c>
      <c r="Z56" s="107" t="s">
        <v>487</v>
      </c>
      <c r="AA56" s="109" t="n">
        <v>46202</v>
      </c>
      <c r="AB56" s="107" t="n">
        <v>260629000001</v>
      </c>
      <c r="AC56" s="109" t="n">
        <v>46202</v>
      </c>
      <c r="AD56" s="109" t="n">
        <v>48028</v>
      </c>
      <c r="AE56" s="107" t="n">
        <v>5.125</v>
      </c>
      <c r="AF56" s="107" t="n">
        <v>4.1663</v>
      </c>
      <c r="AG56" s="107" t="n">
        <v>1733</v>
      </c>
      <c r="AH56" s="107" t="n">
        <v>200000</v>
      </c>
      <c r="AI56" s="107" t="n">
        <v>5.172974</v>
      </c>
      <c r="AJ56" s="107" t="n">
        <v>99.791</v>
      </c>
      <c r="AK56" s="107" t="n">
        <v>5.170693</v>
      </c>
      <c r="AL56" s="107" t="n">
        <v>101.097125</v>
      </c>
      <c r="AM56" s="107" t="n">
        <v>6.0275</v>
      </c>
      <c r="AN56" s="107" t="n">
        <v>96.3101</v>
      </c>
      <c r="AO56" s="107" t="n">
        <v>1358.4</v>
      </c>
      <c r="AP56" s="107" t="n">
        <v>1</v>
      </c>
      <c r="AQ56" s="107" t="n">
        <v>192620.2</v>
      </c>
      <c r="AR56" s="107" t="n">
        <v>261655280</v>
      </c>
      <c r="AS56" s="107" t="n">
        <v>199582</v>
      </c>
      <c r="AT56" s="107" t="n">
        <v>306358370</v>
      </c>
      <c r="AU56" s="107" t="n">
        <v>-6961.8</v>
      </c>
      <c r="AV56" s="107" t="n">
        <v>-9456909</v>
      </c>
      <c r="AW56" s="107" t="n">
        <v>0</v>
      </c>
      <c r="AX56" s="107" t="n">
        <v>0</v>
      </c>
      <c r="AY56" s="107" t="n">
        <v>0</v>
      </c>
      <c r="AZ56" s="107" t="n">
        <v>0</v>
      </c>
      <c r="BA56" s="107" t="n">
        <v>0</v>
      </c>
      <c r="BB56" s="107" t="n">
        <v>0</v>
      </c>
      <c r="BC56" s="107" t="n">
        <v>0</v>
      </c>
      <c r="BD56" s="107" t="n">
        <v>0</v>
      </c>
      <c r="BE56" s="107" t="n">
        <v>2590.97</v>
      </c>
      <c r="BF56" s="107" t="n">
        <v>3519573</v>
      </c>
      <c r="BG56" s="107" t="n">
        <v>21.28</v>
      </c>
      <c r="BH56" s="107" t="n">
        <v>28906</v>
      </c>
      <c r="BI56" s="107" t="n">
        <v>199582</v>
      </c>
      <c r="BJ56" s="107" t="n">
        <v>306358370</v>
      </c>
      <c r="BK56" s="107" t="n">
        <v>0</v>
      </c>
      <c r="BL56" s="107" t="n">
        <v>0</v>
      </c>
      <c r="BM56" s="107" t="n">
        <v>0</v>
      </c>
      <c r="BN56" s="107" t="n">
        <v>0</v>
      </c>
      <c r="BO56" s="107" t="s">
        <v>107</v>
      </c>
      <c r="BP56" s="2"/>
      <c r="BQ56" s="107" t="s">
        <v>369</v>
      </c>
      <c r="BR56" s="107" t="n">
        <v>-35246181</v>
      </c>
      <c r="BS56" s="107" t="n">
        <v>0</v>
      </c>
      <c r="BT56" s="107" t="n">
        <v>0</v>
      </c>
      <c r="BU56" s="107" t="n">
        <v>0</v>
      </c>
      <c r="BV56" s="107" t="n">
        <v>0</v>
      </c>
      <c r="BW56" s="107" t="n">
        <v>2590.97</v>
      </c>
      <c r="BX56" s="107" t="n">
        <v>3519573</v>
      </c>
      <c r="BY56" s="107" t="n">
        <v>21.28</v>
      </c>
      <c r="BZ56" s="107" t="n">
        <v>28906</v>
      </c>
      <c r="CA56" s="107" t="n">
        <v>1535</v>
      </c>
      <c r="CB56" s="2"/>
      <c r="CC56" s="107" t="n">
        <v>0</v>
      </c>
      <c r="CD56" s="107" t="n">
        <v>96.16</v>
      </c>
      <c r="CE56" s="107" t="n">
        <v>96.19</v>
      </c>
      <c r="CF56" s="107" t="n">
        <v>96.59</v>
      </c>
      <c r="CG56" s="107" t="n">
        <v>0</v>
      </c>
      <c r="CH56" s="107" t="n">
        <v>4.0444</v>
      </c>
      <c r="CI56" s="107" t="n">
        <v>100.51</v>
      </c>
      <c r="CJ56" s="107" t="n">
        <v>100.56</v>
      </c>
      <c r="CK56" s="107" t="n">
        <v>100.61</v>
      </c>
      <c r="CL56" s="107" t="n">
        <v>1000000</v>
      </c>
    </row>
    <row r="57" customFormat="false" ht="15" hidden="false" customHeight="false" outlineLevel="0" collapsed="false">
      <c r="A57" s="107" t="s">
        <v>485</v>
      </c>
      <c r="B57" s="107" t="n">
        <v>96.1648</v>
      </c>
      <c r="C57" s="107" t="n">
        <v>6.0636</v>
      </c>
      <c r="D57" s="107" t="n">
        <v>4.0456</v>
      </c>
      <c r="E57" s="107" t="n">
        <v>-311.235451904</v>
      </c>
      <c r="F57" s="108" t="s">
        <v>358</v>
      </c>
      <c r="G57" s="107" t="n">
        <v>4.0456</v>
      </c>
      <c r="H57" s="107" t="n">
        <v>-311.235451904</v>
      </c>
      <c r="I57" s="109" t="n">
        <v>48028</v>
      </c>
      <c r="J57" s="107" t="n">
        <v>5</v>
      </c>
      <c r="K57" s="107" t="s">
        <v>359</v>
      </c>
      <c r="L57" s="107" t="s">
        <v>298</v>
      </c>
      <c r="M57" s="107" t="n">
        <v>3236480</v>
      </c>
      <c r="N57" s="107" t="n">
        <v>99.664</v>
      </c>
      <c r="O57" s="107" t="n">
        <v>769318.4</v>
      </c>
      <c r="P57" s="107" t="s">
        <v>486</v>
      </c>
      <c r="Q57" s="107" t="s">
        <v>107</v>
      </c>
      <c r="R57" s="107" t="n">
        <v>-0.145503391344616</v>
      </c>
      <c r="S57" s="107" t="n">
        <v>-0.0351099694975117</v>
      </c>
      <c r="T57" s="107" t="n">
        <v>-320.674988672</v>
      </c>
      <c r="U57" s="107" t="n">
        <v>21069</v>
      </c>
      <c r="V57" s="108" t="s">
        <v>362</v>
      </c>
      <c r="W57" s="107" t="n">
        <v>28096</v>
      </c>
      <c r="X57" s="108" t="s">
        <v>372</v>
      </c>
      <c r="Y57" s="107" t="s">
        <v>485</v>
      </c>
      <c r="Z57" s="107" t="s">
        <v>487</v>
      </c>
      <c r="AA57" s="109" t="n">
        <v>46202</v>
      </c>
      <c r="AB57" s="107" t="n">
        <v>260629000002</v>
      </c>
      <c r="AC57" s="109" t="n">
        <v>46202</v>
      </c>
      <c r="AD57" s="109" t="n">
        <v>48028</v>
      </c>
      <c r="AE57" s="107" t="n">
        <v>5.125</v>
      </c>
      <c r="AF57" s="107" t="n">
        <v>4.1663</v>
      </c>
      <c r="AG57" s="107" t="n">
        <v>1733</v>
      </c>
      <c r="AH57" s="107" t="n">
        <v>800000</v>
      </c>
      <c r="AI57" s="107" t="n">
        <v>5.20218</v>
      </c>
      <c r="AJ57" s="107" t="n">
        <v>99.664</v>
      </c>
      <c r="AK57" s="107" t="n">
        <v>5.201251</v>
      </c>
      <c r="AL57" s="107" t="n">
        <v>100.97013</v>
      </c>
      <c r="AM57" s="107" t="n">
        <v>6.0275</v>
      </c>
      <c r="AN57" s="107" t="n">
        <v>96.3101</v>
      </c>
      <c r="AO57" s="107" t="n">
        <v>1358.4</v>
      </c>
      <c r="AP57" s="107" t="n">
        <v>1</v>
      </c>
      <c r="AQ57" s="107" t="n">
        <v>770480.8</v>
      </c>
      <c r="AR57" s="107" t="n">
        <v>1046621119</v>
      </c>
      <c r="AS57" s="107" t="n">
        <v>797312</v>
      </c>
      <c r="AT57" s="107" t="n">
        <v>1224432038</v>
      </c>
      <c r="AU57" s="107" t="n">
        <v>-26831.2</v>
      </c>
      <c r="AV57" s="107" t="n">
        <v>-36447502</v>
      </c>
      <c r="AW57" s="107" t="n">
        <v>0</v>
      </c>
      <c r="AX57" s="107" t="n">
        <v>0</v>
      </c>
      <c r="AY57" s="107" t="n">
        <v>0</v>
      </c>
      <c r="AZ57" s="107" t="n">
        <v>0</v>
      </c>
      <c r="BA57" s="107" t="n">
        <v>0</v>
      </c>
      <c r="BB57" s="107" t="n">
        <v>0</v>
      </c>
      <c r="BC57" s="107" t="n">
        <v>0</v>
      </c>
      <c r="BD57" s="107" t="n">
        <v>0</v>
      </c>
      <c r="BE57" s="107" t="n">
        <v>10363.89</v>
      </c>
      <c r="BF57" s="107" t="n">
        <v>14078308</v>
      </c>
      <c r="BG57" s="107" t="n">
        <v>85.15</v>
      </c>
      <c r="BH57" s="107" t="n">
        <v>115667</v>
      </c>
      <c r="BI57" s="107" t="n">
        <v>797312</v>
      </c>
      <c r="BJ57" s="107" t="n">
        <v>1224432038</v>
      </c>
      <c r="BK57" s="107" t="n">
        <v>0</v>
      </c>
      <c r="BL57" s="107" t="n">
        <v>0</v>
      </c>
      <c r="BM57" s="107" t="n">
        <v>0</v>
      </c>
      <c r="BN57" s="107" t="n">
        <v>0</v>
      </c>
      <c r="BO57" s="107" t="s">
        <v>107</v>
      </c>
      <c r="BP57" s="2"/>
      <c r="BQ57" s="107" t="s">
        <v>369</v>
      </c>
      <c r="BR57" s="107" t="n">
        <v>-141363417</v>
      </c>
      <c r="BS57" s="107" t="n">
        <v>0</v>
      </c>
      <c r="BT57" s="107" t="n">
        <v>0</v>
      </c>
      <c r="BU57" s="107" t="n">
        <v>0</v>
      </c>
      <c r="BV57" s="107" t="n">
        <v>0</v>
      </c>
      <c r="BW57" s="107" t="n">
        <v>10363.89</v>
      </c>
      <c r="BX57" s="107" t="n">
        <v>14078308</v>
      </c>
      <c r="BY57" s="107" t="n">
        <v>85.15</v>
      </c>
      <c r="BZ57" s="107" t="n">
        <v>115667</v>
      </c>
      <c r="CA57" s="107" t="n">
        <v>1535.7</v>
      </c>
      <c r="CB57" s="2"/>
      <c r="CC57" s="107" t="n">
        <v>0</v>
      </c>
      <c r="CD57" s="107" t="n">
        <v>96.16</v>
      </c>
      <c r="CE57" s="107" t="n">
        <v>96.19</v>
      </c>
      <c r="CF57" s="107" t="n">
        <v>96.59</v>
      </c>
      <c r="CG57" s="107" t="n">
        <v>0</v>
      </c>
      <c r="CH57" s="107" t="n">
        <v>4.0444</v>
      </c>
      <c r="CI57" s="107" t="n">
        <v>97.27</v>
      </c>
      <c r="CJ57" s="107" t="n">
        <v>97.23</v>
      </c>
      <c r="CK57" s="107" t="n">
        <v>97.24</v>
      </c>
      <c r="CL57" s="107" t="n">
        <v>0</v>
      </c>
    </row>
    <row r="58" customFormat="false" ht="15" hidden="false" customHeight="false" outlineLevel="0" collapsed="false">
      <c r="A58" s="107" t="s">
        <v>485</v>
      </c>
      <c r="B58" s="107" t="n">
        <v>96.1648</v>
      </c>
      <c r="C58" s="107" t="n">
        <v>6.0636</v>
      </c>
      <c r="D58" s="107" t="n">
        <v>4.0456</v>
      </c>
      <c r="E58" s="107" t="n">
        <v>-1167.13294464</v>
      </c>
      <c r="F58" s="108" t="s">
        <v>358</v>
      </c>
      <c r="G58" s="107" t="n">
        <v>4.0456</v>
      </c>
      <c r="H58" s="107" t="n">
        <v>-1167.13294464</v>
      </c>
      <c r="I58" s="109" t="n">
        <v>48028</v>
      </c>
      <c r="J58" s="107" t="n">
        <v>5</v>
      </c>
      <c r="K58" s="107" t="s">
        <v>359</v>
      </c>
      <c r="L58" s="107" t="s">
        <v>298</v>
      </c>
      <c r="M58" s="107" t="n">
        <v>12136800</v>
      </c>
      <c r="N58" s="107" t="n">
        <v>99.332</v>
      </c>
      <c r="O58" s="107" t="n">
        <v>2884944</v>
      </c>
      <c r="P58" s="107" t="s">
        <v>486</v>
      </c>
      <c r="Q58" s="107" t="s">
        <v>107</v>
      </c>
      <c r="R58" s="107" t="n">
        <v>-0.127986555999609</v>
      </c>
      <c r="S58" s="107" t="n">
        <v>-0.0318849917448556</v>
      </c>
      <c r="T58" s="107" t="n">
        <v>-1202.53120752</v>
      </c>
      <c r="U58" s="107" t="n">
        <v>21069</v>
      </c>
      <c r="V58" s="108" t="s">
        <v>362</v>
      </c>
      <c r="W58" s="107" t="n">
        <v>28096</v>
      </c>
      <c r="X58" s="108" t="s">
        <v>372</v>
      </c>
      <c r="Y58" s="107" t="s">
        <v>485</v>
      </c>
      <c r="Z58" s="107" t="s">
        <v>487</v>
      </c>
      <c r="AA58" s="109" t="n">
        <v>46213</v>
      </c>
      <c r="AB58" s="107" t="n">
        <v>260710000001</v>
      </c>
      <c r="AC58" s="109" t="n">
        <v>46202</v>
      </c>
      <c r="AD58" s="109" t="n">
        <v>48028</v>
      </c>
      <c r="AE58" s="107" t="n">
        <v>5.125</v>
      </c>
      <c r="AF58" s="107" t="n">
        <v>4.1663</v>
      </c>
      <c r="AG58" s="107" t="n">
        <v>1733</v>
      </c>
      <c r="AH58" s="107" t="n">
        <v>3000000</v>
      </c>
      <c r="AI58" s="107" t="n">
        <v>5.27914</v>
      </c>
      <c r="AJ58" s="107" t="n">
        <v>99.332</v>
      </c>
      <c r="AK58" s="107" t="n">
        <v>5.281659</v>
      </c>
      <c r="AL58" s="107" t="n">
        <v>100.636871</v>
      </c>
      <c r="AM58" s="107" t="n">
        <v>6.0275</v>
      </c>
      <c r="AN58" s="107" t="n">
        <v>96.3101</v>
      </c>
      <c r="AO58" s="107" t="n">
        <v>1358.4</v>
      </c>
      <c r="AP58" s="107" t="n">
        <v>1</v>
      </c>
      <c r="AQ58" s="107" t="n">
        <v>2889303</v>
      </c>
      <c r="AR58" s="107" t="n">
        <v>3924829195</v>
      </c>
      <c r="AS58" s="107" t="n">
        <v>2979922.23</v>
      </c>
      <c r="AT58" s="107" t="n">
        <v>4499384576</v>
      </c>
      <c r="AU58" s="107" t="n">
        <v>-90619.23</v>
      </c>
      <c r="AV58" s="107" t="n">
        <v>-123097162</v>
      </c>
      <c r="AW58" s="107" t="n">
        <v>4697.92</v>
      </c>
      <c r="AX58" s="107" t="n">
        <v>7093389</v>
      </c>
      <c r="AY58" s="107" t="n">
        <v>37.77</v>
      </c>
      <c r="AZ58" s="107" t="n">
        <v>57028</v>
      </c>
      <c r="BA58" s="107" t="n">
        <v>0</v>
      </c>
      <c r="BB58" s="107" t="n">
        <v>0</v>
      </c>
      <c r="BC58" s="107" t="n">
        <v>0</v>
      </c>
      <c r="BD58" s="107" t="n">
        <v>0</v>
      </c>
      <c r="BE58" s="107" t="n">
        <v>34166.66</v>
      </c>
      <c r="BF58" s="107" t="n">
        <v>46411990</v>
      </c>
      <c r="BG58" s="107" t="n">
        <v>281.56</v>
      </c>
      <c r="BH58" s="107" t="n">
        <v>382470</v>
      </c>
      <c r="BI58" s="107" t="n">
        <v>2979922.23</v>
      </c>
      <c r="BJ58" s="107" t="n">
        <v>4499384576</v>
      </c>
      <c r="BK58" s="107" t="n">
        <v>0</v>
      </c>
      <c r="BL58" s="107" t="n">
        <v>0</v>
      </c>
      <c r="BM58" s="107" t="n">
        <v>0</v>
      </c>
      <c r="BN58" s="107" t="n">
        <v>0</v>
      </c>
      <c r="BO58" s="107" t="s">
        <v>107</v>
      </c>
      <c r="BP58" s="2"/>
      <c r="BQ58" s="107" t="s">
        <v>369</v>
      </c>
      <c r="BR58" s="107" t="n">
        <v>-451458219</v>
      </c>
      <c r="BS58" s="107" t="n">
        <v>-717455</v>
      </c>
      <c r="BT58" s="107" t="n">
        <v>0</v>
      </c>
      <c r="BU58" s="107" t="n">
        <v>0</v>
      </c>
      <c r="BV58" s="107" t="n">
        <v>0</v>
      </c>
      <c r="BW58" s="107" t="n">
        <v>38864.58</v>
      </c>
      <c r="BX58" s="107" t="n">
        <v>52793645</v>
      </c>
      <c r="BY58" s="107" t="n">
        <v>319.33</v>
      </c>
      <c r="BZ58" s="107" t="n">
        <v>433777</v>
      </c>
      <c r="CA58" s="107" t="n">
        <v>1509.9</v>
      </c>
      <c r="CB58" s="2"/>
      <c r="CC58" s="107" t="n">
        <v>0</v>
      </c>
      <c r="CD58" s="107" t="n">
        <v>96.16</v>
      </c>
      <c r="CE58" s="107" t="n">
        <v>96.19</v>
      </c>
      <c r="CF58" s="107" t="n">
        <v>96.59</v>
      </c>
      <c r="CG58" s="107" t="n">
        <v>0</v>
      </c>
      <c r="CH58" s="107" t="n">
        <v>4.0444</v>
      </c>
      <c r="CI58" s="107" t="n">
        <v>99.73</v>
      </c>
      <c r="CJ58" s="107" t="n">
        <v>99.74</v>
      </c>
      <c r="CK58" s="107" t="n">
        <v>99.75</v>
      </c>
      <c r="CL58" s="107" t="n">
        <v>0</v>
      </c>
    </row>
    <row r="59" customFormat="false" ht="15" hidden="false" customHeight="false" outlineLevel="0" collapsed="false">
      <c r="A59" s="107" t="s">
        <v>485</v>
      </c>
      <c r="B59" s="107" t="n">
        <v>96.1648</v>
      </c>
      <c r="C59" s="107" t="n">
        <v>6.0636</v>
      </c>
      <c r="D59" s="107" t="n">
        <v>4.0456</v>
      </c>
      <c r="E59" s="107" t="n">
        <v>-389.04431488</v>
      </c>
      <c r="F59" s="108" t="s">
        <v>358</v>
      </c>
      <c r="G59" s="107" t="n">
        <v>4.0456</v>
      </c>
      <c r="H59" s="107" t="n">
        <v>-389.04431488</v>
      </c>
      <c r="I59" s="109" t="n">
        <v>48028</v>
      </c>
      <c r="J59" s="107" t="n">
        <v>5</v>
      </c>
      <c r="K59" s="107" t="s">
        <v>359</v>
      </c>
      <c r="L59" s="107" t="s">
        <v>298</v>
      </c>
      <c r="M59" s="107" t="n">
        <v>4045600</v>
      </c>
      <c r="N59" s="107" t="n">
        <v>99.344</v>
      </c>
      <c r="O59" s="107" t="n">
        <v>961648</v>
      </c>
      <c r="P59" s="107" t="s">
        <v>486</v>
      </c>
      <c r="Q59" s="107" t="s">
        <v>107</v>
      </c>
      <c r="R59" s="107" t="n">
        <v>-0.128091890123363</v>
      </c>
      <c r="S59" s="107" t="n">
        <v>-0.03200193267837</v>
      </c>
      <c r="T59" s="107" t="n">
        <v>-400.84373584</v>
      </c>
      <c r="U59" s="107" t="n">
        <v>21069</v>
      </c>
      <c r="V59" s="108" t="s">
        <v>362</v>
      </c>
      <c r="W59" s="107" t="n">
        <v>28096</v>
      </c>
      <c r="X59" s="108" t="s">
        <v>372</v>
      </c>
      <c r="Y59" s="107" t="s">
        <v>485</v>
      </c>
      <c r="Z59" s="107" t="s">
        <v>487</v>
      </c>
      <c r="AA59" s="109" t="n">
        <v>46213</v>
      </c>
      <c r="AB59" s="107" t="n">
        <v>260710000002</v>
      </c>
      <c r="AC59" s="109" t="n">
        <v>46202</v>
      </c>
      <c r="AD59" s="109" t="n">
        <v>48028</v>
      </c>
      <c r="AE59" s="107" t="n">
        <v>5.125</v>
      </c>
      <c r="AF59" s="107" t="n">
        <v>4.1663</v>
      </c>
      <c r="AG59" s="107" t="n">
        <v>1733</v>
      </c>
      <c r="AH59" s="107" t="n">
        <v>1000000</v>
      </c>
      <c r="AI59" s="107" t="n">
        <v>5.27635</v>
      </c>
      <c r="AJ59" s="107" t="n">
        <v>99.344</v>
      </c>
      <c r="AK59" s="107" t="n">
        <v>5.278758</v>
      </c>
      <c r="AL59" s="107" t="n">
        <v>100.648871</v>
      </c>
      <c r="AM59" s="107" t="n">
        <v>6.0275</v>
      </c>
      <c r="AN59" s="107" t="n">
        <v>96.3101</v>
      </c>
      <c r="AO59" s="107" t="n">
        <v>1358.4</v>
      </c>
      <c r="AP59" s="107" t="n">
        <v>1</v>
      </c>
      <c r="AQ59" s="107" t="n">
        <v>963101</v>
      </c>
      <c r="AR59" s="107" t="n">
        <v>1308276398</v>
      </c>
      <c r="AS59" s="107" t="n">
        <v>993427.41</v>
      </c>
      <c r="AT59" s="107" t="n">
        <v>1499976047</v>
      </c>
      <c r="AU59" s="107" t="n">
        <v>-30326.41</v>
      </c>
      <c r="AV59" s="107" t="n">
        <v>-41195396</v>
      </c>
      <c r="AW59" s="107" t="n">
        <v>1565.97</v>
      </c>
      <c r="AX59" s="107" t="n">
        <v>2364458</v>
      </c>
      <c r="AY59" s="107" t="n">
        <v>12.59</v>
      </c>
      <c r="AZ59" s="107" t="n">
        <v>19009</v>
      </c>
      <c r="BA59" s="107" t="n">
        <v>0</v>
      </c>
      <c r="BB59" s="107" t="n">
        <v>0</v>
      </c>
      <c r="BC59" s="107" t="n">
        <v>0</v>
      </c>
      <c r="BD59" s="107" t="n">
        <v>0</v>
      </c>
      <c r="BE59" s="107" t="n">
        <v>11388.89</v>
      </c>
      <c r="BF59" s="107" t="n">
        <v>15470667</v>
      </c>
      <c r="BG59" s="107" t="n">
        <v>93.85</v>
      </c>
      <c r="BH59" s="107" t="n">
        <v>127486</v>
      </c>
      <c r="BI59" s="107" t="n">
        <v>993427.41</v>
      </c>
      <c r="BJ59" s="107" t="n">
        <v>1499976047</v>
      </c>
      <c r="BK59" s="107" t="n">
        <v>0</v>
      </c>
      <c r="BL59" s="107" t="n">
        <v>0</v>
      </c>
      <c r="BM59" s="107" t="n">
        <v>0</v>
      </c>
      <c r="BN59" s="107" t="n">
        <v>0</v>
      </c>
      <c r="BO59" s="107" t="s">
        <v>107</v>
      </c>
      <c r="BP59" s="2"/>
      <c r="BQ59" s="107" t="s">
        <v>369</v>
      </c>
      <c r="BR59" s="107" t="n">
        <v>-150504253</v>
      </c>
      <c r="BS59" s="107" t="n">
        <v>-239151</v>
      </c>
      <c r="BT59" s="107" t="n">
        <v>0</v>
      </c>
      <c r="BU59" s="107" t="n">
        <v>0</v>
      </c>
      <c r="BV59" s="107" t="n">
        <v>0</v>
      </c>
      <c r="BW59" s="107" t="n">
        <v>12954.86</v>
      </c>
      <c r="BX59" s="107" t="n">
        <v>17597881</v>
      </c>
      <c r="BY59" s="107" t="n">
        <v>106.44</v>
      </c>
      <c r="BZ59" s="107" t="n">
        <v>144588</v>
      </c>
      <c r="CA59" s="107" t="n">
        <v>1509.9</v>
      </c>
      <c r="CB59" s="2"/>
      <c r="CC59" s="107" t="n">
        <v>0</v>
      </c>
      <c r="CD59" s="107" t="n">
        <v>96.16</v>
      </c>
      <c r="CE59" s="107" t="n">
        <v>96.19</v>
      </c>
      <c r="CF59" s="107" t="n">
        <v>96.59</v>
      </c>
      <c r="CG59" s="107" t="n">
        <v>0</v>
      </c>
      <c r="CH59" s="107" t="n">
        <v>4.0444</v>
      </c>
      <c r="CI59" s="107" t="n">
        <v>99.73</v>
      </c>
      <c r="CJ59" s="107" t="n">
        <v>99.74</v>
      </c>
      <c r="CK59" s="107" t="n">
        <v>99.75</v>
      </c>
      <c r="CL59" s="107" t="n">
        <v>0</v>
      </c>
    </row>
    <row r="60" customFormat="false" ht="15" hidden="false" customHeight="false" outlineLevel="0" collapsed="false">
      <c r="A60" s="107" t="s">
        <v>485</v>
      </c>
      <c r="B60" s="107" t="n">
        <v>96.1648</v>
      </c>
      <c r="C60" s="107" t="n">
        <v>6.0636</v>
      </c>
      <c r="D60" s="107" t="n">
        <v>4.0456</v>
      </c>
      <c r="E60" s="107" t="n">
        <v>-778.08862976</v>
      </c>
      <c r="F60" s="108" t="s">
        <v>358</v>
      </c>
      <c r="G60" s="107" t="n">
        <v>4.0456</v>
      </c>
      <c r="H60" s="107" t="n">
        <v>-778.08862976</v>
      </c>
      <c r="I60" s="109" t="n">
        <v>48028</v>
      </c>
      <c r="J60" s="107" t="n">
        <v>5</v>
      </c>
      <c r="K60" s="107" t="s">
        <v>359</v>
      </c>
      <c r="L60" s="107" t="s">
        <v>298</v>
      </c>
      <c r="M60" s="107" t="n">
        <v>8091200</v>
      </c>
      <c r="N60" s="107" t="n">
        <v>99.158</v>
      </c>
      <c r="O60" s="107" t="n">
        <v>1923296</v>
      </c>
      <c r="P60" s="107" t="s">
        <v>486</v>
      </c>
      <c r="Q60" s="107" t="s">
        <v>107</v>
      </c>
      <c r="R60" s="107" t="n">
        <v>-0.116088533410146</v>
      </c>
      <c r="S60" s="107" t="n">
        <v>-0.0301861675306078</v>
      </c>
      <c r="T60" s="107" t="n">
        <v>-801.68747168</v>
      </c>
      <c r="U60" s="107" t="n">
        <v>21069</v>
      </c>
      <c r="V60" s="108" t="s">
        <v>362</v>
      </c>
      <c r="W60" s="107" t="n">
        <v>28096</v>
      </c>
      <c r="X60" s="108" t="s">
        <v>372</v>
      </c>
      <c r="Y60" s="107" t="s">
        <v>485</v>
      </c>
      <c r="Z60" s="107" t="s">
        <v>487</v>
      </c>
      <c r="AA60" s="109" t="n">
        <v>46219</v>
      </c>
      <c r="AB60" s="107" t="n">
        <v>260716000001</v>
      </c>
      <c r="AC60" s="109" t="n">
        <v>46202</v>
      </c>
      <c r="AD60" s="109" t="n">
        <v>48028</v>
      </c>
      <c r="AE60" s="107" t="n">
        <v>5.125</v>
      </c>
      <c r="AF60" s="107" t="n">
        <v>4.1663</v>
      </c>
      <c r="AG60" s="107" t="n">
        <v>1733</v>
      </c>
      <c r="AH60" s="107" t="n">
        <v>2000000</v>
      </c>
      <c r="AI60" s="107" t="n">
        <v>5.319957</v>
      </c>
      <c r="AJ60" s="107" t="n">
        <v>99.158</v>
      </c>
      <c r="AK60" s="107" t="n">
        <v>5.323934</v>
      </c>
      <c r="AL60" s="107" t="n">
        <v>100.462185</v>
      </c>
      <c r="AM60" s="107" t="n">
        <v>6.0275</v>
      </c>
      <c r="AN60" s="107" t="n">
        <v>96.3101</v>
      </c>
      <c r="AO60" s="107" t="n">
        <v>1358.4</v>
      </c>
      <c r="AP60" s="107" t="n">
        <v>1</v>
      </c>
      <c r="AQ60" s="107" t="n">
        <v>1926202</v>
      </c>
      <c r="AR60" s="107" t="n">
        <v>2616552797</v>
      </c>
      <c r="AS60" s="107" t="n">
        <v>1983121.09</v>
      </c>
      <c r="AT60" s="107" t="n">
        <v>2959213291</v>
      </c>
      <c r="AU60" s="107" t="n">
        <v>-56919.09</v>
      </c>
      <c r="AV60" s="107" t="n">
        <v>-77318892</v>
      </c>
      <c r="AW60" s="107" t="n">
        <v>4840.28</v>
      </c>
      <c r="AX60" s="107" t="n">
        <v>7222665</v>
      </c>
      <c r="AY60" s="107" t="n">
        <v>38.91</v>
      </c>
      <c r="AZ60" s="107" t="n">
        <v>58061</v>
      </c>
      <c r="BA60" s="107" t="n">
        <v>0</v>
      </c>
      <c r="BB60" s="107" t="n">
        <v>0</v>
      </c>
      <c r="BC60" s="107" t="n">
        <v>0</v>
      </c>
      <c r="BD60" s="107" t="n">
        <v>0</v>
      </c>
      <c r="BE60" s="107" t="n">
        <v>21069.44</v>
      </c>
      <c r="BF60" s="107" t="n">
        <v>28620727</v>
      </c>
      <c r="BG60" s="107" t="n">
        <v>173.98</v>
      </c>
      <c r="BH60" s="107" t="n">
        <v>236334</v>
      </c>
      <c r="BI60" s="107" t="n">
        <v>1983121.09</v>
      </c>
      <c r="BJ60" s="107" t="n">
        <v>2959213291</v>
      </c>
      <c r="BK60" s="107" t="n">
        <v>0</v>
      </c>
      <c r="BL60" s="107" t="n">
        <v>0</v>
      </c>
      <c r="BM60" s="107" t="n">
        <v>0</v>
      </c>
      <c r="BN60" s="107" t="n">
        <v>0</v>
      </c>
      <c r="BO60" s="107" t="s">
        <v>107</v>
      </c>
      <c r="BP60" s="2"/>
      <c r="BQ60" s="107" t="s">
        <v>369</v>
      </c>
      <c r="BR60" s="107" t="n">
        <v>-265341602</v>
      </c>
      <c r="BS60" s="107" t="n">
        <v>-652835</v>
      </c>
      <c r="BT60" s="107" t="n">
        <v>0</v>
      </c>
      <c r="BU60" s="107" t="n">
        <v>0</v>
      </c>
      <c r="BV60" s="107" t="n">
        <v>0</v>
      </c>
      <c r="BW60" s="107" t="n">
        <v>25909.72</v>
      </c>
      <c r="BX60" s="107" t="n">
        <v>35195763</v>
      </c>
      <c r="BY60" s="107" t="n">
        <v>212.89</v>
      </c>
      <c r="BZ60" s="107" t="n">
        <v>289189</v>
      </c>
      <c r="CA60" s="107" t="n">
        <v>1492.2</v>
      </c>
      <c r="CB60" s="2"/>
      <c r="CC60" s="107" t="n">
        <v>0</v>
      </c>
      <c r="CD60" s="107" t="n">
        <v>96.16</v>
      </c>
      <c r="CE60" s="107" t="n">
        <v>96.19</v>
      </c>
      <c r="CF60" s="107" t="n">
        <v>96.59</v>
      </c>
      <c r="CG60" s="107" t="n">
        <v>0</v>
      </c>
      <c r="CH60" s="107" t="n">
        <v>4.0444</v>
      </c>
      <c r="CI60" s="107" t="n">
        <v>99.73</v>
      </c>
      <c r="CJ60" s="107" t="n">
        <v>99.74</v>
      </c>
      <c r="CK60" s="107" t="n">
        <v>99.75</v>
      </c>
      <c r="CL60" s="107" t="n">
        <v>0</v>
      </c>
    </row>
    <row r="61" customFormat="false" ht="15" hidden="false" customHeight="false" outlineLevel="0" collapsed="false">
      <c r="A61" s="107" t="s">
        <v>485</v>
      </c>
      <c r="B61" s="107" t="n">
        <v>96.1648</v>
      </c>
      <c r="C61" s="107" t="n">
        <v>6.0636</v>
      </c>
      <c r="D61" s="107" t="n">
        <v>4.0456</v>
      </c>
      <c r="E61" s="107" t="n">
        <v>-778.08862976</v>
      </c>
      <c r="F61" s="108" t="s">
        <v>358</v>
      </c>
      <c r="G61" s="107" t="n">
        <v>4.0456</v>
      </c>
      <c r="H61" s="107" t="n">
        <v>-778.08862976</v>
      </c>
      <c r="I61" s="109" t="n">
        <v>48028</v>
      </c>
      <c r="J61" s="107" t="n">
        <v>5</v>
      </c>
      <c r="K61" s="107" t="s">
        <v>359</v>
      </c>
      <c r="L61" s="107" t="s">
        <v>298</v>
      </c>
      <c r="M61" s="107" t="n">
        <v>8091200</v>
      </c>
      <c r="N61" s="107" t="n">
        <v>99.05</v>
      </c>
      <c r="O61" s="107" t="n">
        <v>1923296</v>
      </c>
      <c r="P61" s="107" t="s">
        <v>486</v>
      </c>
      <c r="Q61" s="107" t="s">
        <v>107</v>
      </c>
      <c r="R61" s="107" t="n">
        <v>-0.0754495775432781</v>
      </c>
      <c r="S61" s="107" t="n">
        <v>-0.0291287228672388</v>
      </c>
      <c r="T61" s="107" t="n">
        <v>-801.68747168</v>
      </c>
      <c r="U61" s="107" t="n">
        <v>21069</v>
      </c>
      <c r="V61" s="108" t="s">
        <v>362</v>
      </c>
      <c r="W61" s="107" t="n">
        <v>28096</v>
      </c>
      <c r="X61" s="108" t="s">
        <v>372</v>
      </c>
      <c r="Y61" s="107" t="s">
        <v>485</v>
      </c>
      <c r="Z61" s="107" t="s">
        <v>487</v>
      </c>
      <c r="AA61" s="109" t="n">
        <v>46240</v>
      </c>
      <c r="AB61" s="107" t="n">
        <v>260806000001</v>
      </c>
      <c r="AC61" s="109" t="n">
        <v>46202</v>
      </c>
      <c r="AD61" s="109" t="n">
        <v>48028</v>
      </c>
      <c r="AE61" s="107" t="n">
        <v>5.125</v>
      </c>
      <c r="AF61" s="107" t="n">
        <v>4.1663</v>
      </c>
      <c r="AG61" s="107" t="n">
        <v>1733</v>
      </c>
      <c r="AH61" s="107" t="n">
        <v>2000000</v>
      </c>
      <c r="AI61" s="107" t="n">
        <v>5.346766</v>
      </c>
      <c r="AJ61" s="107" t="n">
        <v>99.05</v>
      </c>
      <c r="AK61" s="107" t="n">
        <v>5.350698</v>
      </c>
      <c r="AL61" s="107" t="n">
        <v>100.351781</v>
      </c>
      <c r="AM61" s="107" t="n">
        <v>6.0275</v>
      </c>
      <c r="AN61" s="107" t="n">
        <v>96.3101</v>
      </c>
      <c r="AO61" s="107" t="n">
        <v>1358.4</v>
      </c>
      <c r="AP61" s="107" t="n">
        <v>1</v>
      </c>
      <c r="AQ61" s="107" t="n">
        <v>1926202</v>
      </c>
      <c r="AR61" s="107" t="n">
        <v>2616552797</v>
      </c>
      <c r="AS61" s="107" t="n">
        <v>1980913.02</v>
      </c>
      <c r="AT61" s="107" t="n">
        <v>2829139976</v>
      </c>
      <c r="AU61" s="107" t="n">
        <v>-54711.02</v>
      </c>
      <c r="AV61" s="107" t="n">
        <v>-74319449</v>
      </c>
      <c r="AW61" s="107" t="n">
        <v>10534.72</v>
      </c>
      <c r="AX61" s="107" t="n">
        <v>15045687</v>
      </c>
      <c r="AY61" s="107" t="n">
        <v>86.98</v>
      </c>
      <c r="AZ61" s="107" t="n">
        <v>124224</v>
      </c>
      <c r="BA61" s="107" t="n">
        <v>0</v>
      </c>
      <c r="BB61" s="107" t="n">
        <v>0</v>
      </c>
      <c r="BC61" s="107" t="n">
        <v>0</v>
      </c>
      <c r="BD61" s="107" t="n">
        <v>0</v>
      </c>
      <c r="BE61" s="107" t="n">
        <v>15375</v>
      </c>
      <c r="BF61" s="107" t="n">
        <v>20885399</v>
      </c>
      <c r="BG61" s="107" t="n">
        <v>125.91</v>
      </c>
      <c r="BH61" s="107" t="n">
        <v>171035</v>
      </c>
      <c r="BI61" s="107" t="n">
        <v>1980913.02</v>
      </c>
      <c r="BJ61" s="107" t="n">
        <v>2829139976</v>
      </c>
      <c r="BK61" s="107" t="n">
        <v>0</v>
      </c>
      <c r="BL61" s="107" t="n">
        <v>0</v>
      </c>
      <c r="BM61" s="107" t="n">
        <v>0</v>
      </c>
      <c r="BN61" s="107" t="n">
        <v>0</v>
      </c>
      <c r="BO61" s="107" t="s">
        <v>107</v>
      </c>
      <c r="BP61" s="2"/>
      <c r="BQ61" s="107" t="s">
        <v>369</v>
      </c>
      <c r="BR61" s="107" t="n">
        <v>-138267730</v>
      </c>
      <c r="BS61" s="107" t="n">
        <v>-741393</v>
      </c>
      <c r="BT61" s="107" t="n">
        <v>0</v>
      </c>
      <c r="BU61" s="107" t="n">
        <v>0</v>
      </c>
      <c r="BV61" s="107" t="n">
        <v>0</v>
      </c>
      <c r="BW61" s="107" t="n">
        <v>25909.72</v>
      </c>
      <c r="BX61" s="107" t="n">
        <v>35195763</v>
      </c>
      <c r="BY61" s="107" t="n">
        <v>212.89</v>
      </c>
      <c r="BZ61" s="107" t="n">
        <v>289189</v>
      </c>
      <c r="CA61" s="107" t="n">
        <v>1428.2</v>
      </c>
      <c r="CB61" s="2"/>
      <c r="CC61" s="107" t="n">
        <v>0</v>
      </c>
      <c r="CD61" s="107" t="n">
        <v>96.16</v>
      </c>
      <c r="CE61" s="107" t="n">
        <v>96.19</v>
      </c>
      <c r="CF61" s="107" t="n">
        <v>96.59</v>
      </c>
      <c r="CG61" s="107" t="n">
        <v>0</v>
      </c>
      <c r="CH61" s="107" t="n">
        <v>4.0444</v>
      </c>
      <c r="CI61" s="107" t="n">
        <v>101.11</v>
      </c>
      <c r="CJ61" s="107" t="n">
        <v>101.18</v>
      </c>
      <c r="CK61" s="107" t="n">
        <v>101.21</v>
      </c>
      <c r="CL61" s="107" t="n">
        <v>0</v>
      </c>
    </row>
    <row r="62" customFormat="false" ht="15" hidden="false" customHeight="false" outlineLevel="0" collapsed="false">
      <c r="A62" s="107" t="s">
        <v>485</v>
      </c>
      <c r="B62" s="107" t="n">
        <v>96.1648</v>
      </c>
      <c r="C62" s="107" t="n">
        <v>6.0636</v>
      </c>
      <c r="D62" s="107" t="n">
        <v>4.0456</v>
      </c>
      <c r="E62" s="107" t="n">
        <v>-389.04431488</v>
      </c>
      <c r="F62" s="108" t="s">
        <v>358</v>
      </c>
      <c r="G62" s="107" t="n">
        <v>4.0456</v>
      </c>
      <c r="H62" s="107" t="n">
        <v>-389.04431488</v>
      </c>
      <c r="I62" s="109" t="n">
        <v>48028</v>
      </c>
      <c r="J62" s="107" t="n">
        <v>5</v>
      </c>
      <c r="K62" s="107" t="s">
        <v>359</v>
      </c>
      <c r="L62" s="107" t="s">
        <v>298</v>
      </c>
      <c r="M62" s="107" t="n">
        <v>4045600</v>
      </c>
      <c r="N62" s="107" t="n">
        <v>98.895</v>
      </c>
      <c r="O62" s="107" t="n">
        <v>961648</v>
      </c>
      <c r="P62" s="107" t="s">
        <v>486</v>
      </c>
      <c r="Q62" s="107" t="s">
        <v>107</v>
      </c>
      <c r="R62" s="107" t="n">
        <v>-0.0687133234131955</v>
      </c>
      <c r="S62" s="107" t="n">
        <v>-0.0276070579907983</v>
      </c>
      <c r="T62" s="107" t="n">
        <v>-400.84373584</v>
      </c>
      <c r="U62" s="107" t="n">
        <v>21069</v>
      </c>
      <c r="V62" s="108" t="s">
        <v>362</v>
      </c>
      <c r="W62" s="107" t="n">
        <v>28096</v>
      </c>
      <c r="X62" s="108" t="s">
        <v>372</v>
      </c>
      <c r="Y62" s="107" t="s">
        <v>485</v>
      </c>
      <c r="Z62" s="107" t="s">
        <v>487</v>
      </c>
      <c r="AA62" s="109" t="n">
        <v>46245</v>
      </c>
      <c r="AB62" s="107" t="n">
        <v>260811000001</v>
      </c>
      <c r="AC62" s="109" t="n">
        <v>46202</v>
      </c>
      <c r="AD62" s="109" t="n">
        <v>48028</v>
      </c>
      <c r="AE62" s="107" t="n">
        <v>5.125</v>
      </c>
      <c r="AF62" s="107" t="n">
        <v>4.1663</v>
      </c>
      <c r="AG62" s="107" t="n">
        <v>1733</v>
      </c>
      <c r="AH62" s="107" t="n">
        <v>1000000</v>
      </c>
      <c r="AI62" s="107" t="n">
        <v>5.38391</v>
      </c>
      <c r="AJ62" s="107" t="n">
        <v>98.895</v>
      </c>
      <c r="AK62" s="107" t="n">
        <v>5.388472</v>
      </c>
      <c r="AL62" s="107" t="n">
        <v>100.196209</v>
      </c>
      <c r="AM62" s="107" t="n">
        <v>6.0275</v>
      </c>
      <c r="AN62" s="107" t="n">
        <v>96.3101</v>
      </c>
      <c r="AO62" s="107" t="n">
        <v>1358.4</v>
      </c>
      <c r="AP62" s="107" t="n">
        <v>1</v>
      </c>
      <c r="AQ62" s="107" t="n">
        <v>963101</v>
      </c>
      <c r="AR62" s="107" t="n">
        <v>1308276398</v>
      </c>
      <c r="AS62" s="107" t="n">
        <v>988900.79</v>
      </c>
      <c r="AT62" s="107" t="n">
        <v>1404338012</v>
      </c>
      <c r="AU62" s="107" t="n">
        <v>-25799.79</v>
      </c>
      <c r="AV62" s="107" t="n">
        <v>-35046435</v>
      </c>
      <c r="AW62" s="107" t="n">
        <v>5979.17</v>
      </c>
      <c r="AX62" s="107" t="n">
        <v>8491019</v>
      </c>
      <c r="AY62" s="107" t="n">
        <v>49.21</v>
      </c>
      <c r="AZ62" s="107" t="n">
        <v>69883</v>
      </c>
      <c r="BA62" s="107" t="n">
        <v>0</v>
      </c>
      <c r="BB62" s="107" t="n">
        <v>0</v>
      </c>
      <c r="BC62" s="107" t="n">
        <v>0</v>
      </c>
      <c r="BD62" s="107" t="n">
        <v>0</v>
      </c>
      <c r="BE62" s="107" t="n">
        <v>6975.69</v>
      </c>
      <c r="BF62" s="107" t="n">
        <v>9475776</v>
      </c>
      <c r="BG62" s="107" t="n">
        <v>57.23</v>
      </c>
      <c r="BH62" s="107" t="n">
        <v>77741</v>
      </c>
      <c r="BI62" s="107" t="n">
        <v>988900.79</v>
      </c>
      <c r="BJ62" s="107" t="n">
        <v>1404338012</v>
      </c>
      <c r="BK62" s="107" t="n">
        <v>0</v>
      </c>
      <c r="BL62" s="107" t="n">
        <v>0</v>
      </c>
      <c r="BM62" s="107" t="n">
        <v>0</v>
      </c>
      <c r="BN62" s="107" t="n">
        <v>0</v>
      </c>
      <c r="BO62" s="107" t="s">
        <v>107</v>
      </c>
      <c r="BP62" s="2"/>
      <c r="BQ62" s="107" t="s">
        <v>369</v>
      </c>
      <c r="BR62" s="107" t="n">
        <v>-61015179</v>
      </c>
      <c r="BS62" s="107" t="n">
        <v>-371950</v>
      </c>
      <c r="BT62" s="107" t="n">
        <v>0</v>
      </c>
      <c r="BU62" s="107" t="n">
        <v>0</v>
      </c>
      <c r="BV62" s="107" t="n">
        <v>0</v>
      </c>
      <c r="BW62" s="107" t="n">
        <v>12954.86</v>
      </c>
      <c r="BX62" s="107" t="n">
        <v>17597881</v>
      </c>
      <c r="BY62" s="107" t="n">
        <v>106.44</v>
      </c>
      <c r="BZ62" s="107" t="n">
        <v>144588</v>
      </c>
      <c r="CA62" s="107" t="n">
        <v>1420.1</v>
      </c>
      <c r="CB62" s="2"/>
      <c r="CC62" s="107" t="n">
        <v>0</v>
      </c>
      <c r="CD62" s="107" t="n">
        <v>96.16</v>
      </c>
      <c r="CE62" s="107" t="n">
        <v>96.19</v>
      </c>
      <c r="CF62" s="107" t="n">
        <v>96.59</v>
      </c>
      <c r="CG62" s="107" t="n">
        <v>0</v>
      </c>
      <c r="CH62" s="107" t="n">
        <v>4.0444</v>
      </c>
      <c r="CI62" s="107" t="n">
        <v>100.25</v>
      </c>
      <c r="CJ62" s="107" t="n">
        <v>100.34</v>
      </c>
      <c r="CK62" s="107" t="n">
        <v>100.38</v>
      </c>
      <c r="CL62" s="107" t="n">
        <v>290000</v>
      </c>
    </row>
    <row r="63" customFormat="false" ht="15" hidden="false" customHeight="false" outlineLevel="0" collapsed="false">
      <c r="A63" s="107" t="s">
        <v>485</v>
      </c>
      <c r="B63" s="107" t="n">
        <v>96.1648</v>
      </c>
      <c r="C63" s="107" t="n">
        <v>6.0636</v>
      </c>
      <c r="D63" s="107" t="n">
        <v>4.0456</v>
      </c>
      <c r="E63" s="107" t="n">
        <v>-778.08862976</v>
      </c>
      <c r="F63" s="108" t="s">
        <v>358</v>
      </c>
      <c r="G63" s="107" t="n">
        <v>4.0456</v>
      </c>
      <c r="H63" s="107" t="n">
        <v>-778.08862976</v>
      </c>
      <c r="I63" s="109" t="n">
        <v>48028</v>
      </c>
      <c r="J63" s="107" t="n">
        <v>5</v>
      </c>
      <c r="K63" s="107" t="s">
        <v>359</v>
      </c>
      <c r="L63" s="107" t="s">
        <v>298</v>
      </c>
      <c r="M63" s="107" t="n">
        <v>8091200</v>
      </c>
      <c r="N63" s="107" t="n">
        <v>98.741</v>
      </c>
      <c r="O63" s="107" t="n">
        <v>1923296</v>
      </c>
      <c r="P63" s="107" t="s">
        <v>486</v>
      </c>
      <c r="Q63" s="107" t="s">
        <v>107</v>
      </c>
      <c r="R63" s="107" t="n">
        <v>-0.0638967908198613</v>
      </c>
      <c r="S63" s="107" t="n">
        <v>-0.0260904791322754</v>
      </c>
      <c r="T63" s="107" t="n">
        <v>-801.68747168</v>
      </c>
      <c r="U63" s="107" t="n">
        <v>21069</v>
      </c>
      <c r="V63" s="108" t="s">
        <v>362</v>
      </c>
      <c r="W63" s="107" t="n">
        <v>28096</v>
      </c>
      <c r="X63" s="108" t="s">
        <v>372</v>
      </c>
      <c r="Y63" s="107" t="s">
        <v>485</v>
      </c>
      <c r="Z63" s="107" t="s">
        <v>487</v>
      </c>
      <c r="AA63" s="109" t="n">
        <v>46247</v>
      </c>
      <c r="AB63" s="107" t="n">
        <v>260813000001</v>
      </c>
      <c r="AC63" s="109" t="n">
        <v>46202</v>
      </c>
      <c r="AD63" s="109" t="n">
        <v>48028</v>
      </c>
      <c r="AE63" s="107" t="n">
        <v>5.125</v>
      </c>
      <c r="AF63" s="107" t="n">
        <v>4.1663</v>
      </c>
      <c r="AG63" s="107" t="n">
        <v>1733</v>
      </c>
      <c r="AH63" s="107" t="n">
        <v>2000000</v>
      </c>
      <c r="AI63" s="107" t="n">
        <v>5.420707</v>
      </c>
      <c r="AJ63" s="107" t="n">
        <v>98.741</v>
      </c>
      <c r="AK63" s="107" t="n">
        <v>5.425989</v>
      </c>
      <c r="AL63" s="107" t="n">
        <v>100.04198</v>
      </c>
      <c r="AM63" s="107" t="n">
        <v>6.0275</v>
      </c>
      <c r="AN63" s="107" t="n">
        <v>96.3101</v>
      </c>
      <c r="AO63" s="107" t="n">
        <v>1358.4</v>
      </c>
      <c r="AP63" s="107" t="n">
        <v>1</v>
      </c>
      <c r="AQ63" s="107" t="n">
        <v>1926202</v>
      </c>
      <c r="AR63" s="107" t="n">
        <v>2616552797</v>
      </c>
      <c r="AS63" s="107" t="n">
        <v>1974716.99</v>
      </c>
      <c r="AT63" s="107" t="n">
        <v>2794224541</v>
      </c>
      <c r="AU63" s="107" t="n">
        <v>-48514.99</v>
      </c>
      <c r="AV63" s="107" t="n">
        <v>-65902762</v>
      </c>
      <c r="AW63" s="107" t="n">
        <v>12527.78</v>
      </c>
      <c r="AX63" s="107" t="n">
        <v>17726808</v>
      </c>
      <c r="AY63" s="107" t="n">
        <v>103.01</v>
      </c>
      <c r="AZ63" s="107" t="n">
        <v>145759</v>
      </c>
      <c r="BA63" s="107" t="n">
        <v>0</v>
      </c>
      <c r="BB63" s="107" t="n">
        <v>0</v>
      </c>
      <c r="BC63" s="107" t="n">
        <v>0</v>
      </c>
      <c r="BD63" s="107" t="n">
        <v>0</v>
      </c>
      <c r="BE63" s="107" t="n">
        <v>13381.94</v>
      </c>
      <c r="BF63" s="107" t="n">
        <v>18178027</v>
      </c>
      <c r="BG63" s="107" t="n">
        <v>109.88</v>
      </c>
      <c r="BH63" s="107" t="n">
        <v>149260</v>
      </c>
      <c r="BI63" s="107" t="n">
        <v>1974716.99</v>
      </c>
      <c r="BJ63" s="107" t="n">
        <v>2794224541</v>
      </c>
      <c r="BK63" s="107" t="n">
        <v>0</v>
      </c>
      <c r="BL63" s="107" t="n">
        <v>0</v>
      </c>
      <c r="BM63" s="107" t="n">
        <v>0</v>
      </c>
      <c r="BN63" s="107" t="n">
        <v>0</v>
      </c>
      <c r="BO63" s="107" t="s">
        <v>107</v>
      </c>
      <c r="BP63" s="2"/>
      <c r="BQ63" s="107" t="s">
        <v>369</v>
      </c>
      <c r="BR63" s="107" t="n">
        <v>-111768982</v>
      </c>
      <c r="BS63" s="107" t="n">
        <v>-714902</v>
      </c>
      <c r="BT63" s="107" t="n">
        <v>0</v>
      </c>
      <c r="BU63" s="107" t="n">
        <v>0</v>
      </c>
      <c r="BV63" s="107" t="n">
        <v>0</v>
      </c>
      <c r="BW63" s="107" t="n">
        <v>25909.72</v>
      </c>
      <c r="BX63" s="107" t="n">
        <v>35195763</v>
      </c>
      <c r="BY63" s="107" t="n">
        <v>212.89</v>
      </c>
      <c r="BZ63" s="107" t="n">
        <v>289189</v>
      </c>
      <c r="CA63" s="107" t="n">
        <v>1415</v>
      </c>
      <c r="CB63" s="2"/>
      <c r="CC63" s="107" t="n">
        <v>0</v>
      </c>
      <c r="CD63" s="107" t="n">
        <v>96.16</v>
      </c>
      <c r="CE63" s="107" t="n">
        <v>96.19</v>
      </c>
      <c r="CF63" s="107" t="n">
        <v>96.59</v>
      </c>
      <c r="CG63" s="107" t="n">
        <v>0</v>
      </c>
      <c r="CH63" s="107" t="n">
        <v>4.0444</v>
      </c>
      <c r="CI63" s="107" t="n">
        <v>100.23</v>
      </c>
      <c r="CJ63" s="107" t="n">
        <v>100.2</v>
      </c>
      <c r="CK63" s="107" t="n">
        <v>100.21</v>
      </c>
      <c r="CL63" s="107" t="n">
        <v>0</v>
      </c>
    </row>
    <row r="64" customFormat="false" ht="15" hidden="false" customHeight="false" outlineLevel="0" collapsed="false">
      <c r="A64" s="107" t="s">
        <v>485</v>
      </c>
      <c r="B64" s="107" t="n">
        <v>96.1648</v>
      </c>
      <c r="C64" s="107" t="n">
        <v>6.0636</v>
      </c>
      <c r="D64" s="107" t="n">
        <v>4.0456</v>
      </c>
      <c r="E64" s="107" t="n">
        <v>-1167.13294464</v>
      </c>
      <c r="F64" s="108" t="s">
        <v>358</v>
      </c>
      <c r="G64" s="107" t="n">
        <v>4.0456</v>
      </c>
      <c r="H64" s="107" t="n">
        <v>-1167.13294464</v>
      </c>
      <c r="I64" s="109" t="n">
        <v>48028</v>
      </c>
      <c r="J64" s="107" t="n">
        <v>5</v>
      </c>
      <c r="K64" s="107" t="s">
        <v>359</v>
      </c>
      <c r="L64" s="107" t="s">
        <v>298</v>
      </c>
      <c r="M64" s="107" t="n">
        <v>12136800</v>
      </c>
      <c r="N64" s="107" t="n">
        <v>98.771</v>
      </c>
      <c r="O64" s="107" t="n">
        <v>2884944</v>
      </c>
      <c r="P64" s="107" t="s">
        <v>486</v>
      </c>
      <c r="Q64" s="107" t="s">
        <v>107</v>
      </c>
      <c r="R64" s="107" t="n">
        <v>-0.0641811326420103</v>
      </c>
      <c r="S64" s="107" t="n">
        <v>-0.0263862874730437</v>
      </c>
      <c r="T64" s="107" t="n">
        <v>-1202.53120752</v>
      </c>
      <c r="U64" s="107" t="n">
        <v>21069</v>
      </c>
      <c r="V64" s="108" t="s">
        <v>362</v>
      </c>
      <c r="W64" s="107" t="n">
        <v>28096</v>
      </c>
      <c r="X64" s="108" t="s">
        <v>372</v>
      </c>
      <c r="Y64" s="107" t="s">
        <v>485</v>
      </c>
      <c r="Z64" s="107" t="s">
        <v>487</v>
      </c>
      <c r="AA64" s="109" t="n">
        <v>46247</v>
      </c>
      <c r="AB64" s="107" t="n">
        <v>260813000002</v>
      </c>
      <c r="AC64" s="109" t="n">
        <v>46202</v>
      </c>
      <c r="AD64" s="109" t="n">
        <v>48028</v>
      </c>
      <c r="AE64" s="107" t="n">
        <v>5.125</v>
      </c>
      <c r="AF64" s="107" t="n">
        <v>4.1663</v>
      </c>
      <c r="AG64" s="107" t="n">
        <v>1733</v>
      </c>
      <c r="AH64" s="107" t="n">
        <v>3000000</v>
      </c>
      <c r="AI64" s="107" t="n">
        <v>5.41357</v>
      </c>
      <c r="AJ64" s="107" t="n">
        <v>98.771</v>
      </c>
      <c r="AK64" s="107" t="n">
        <v>5.418686</v>
      </c>
      <c r="AL64" s="107" t="n">
        <v>100.07198</v>
      </c>
      <c r="AM64" s="107" t="n">
        <v>6.0275</v>
      </c>
      <c r="AN64" s="107" t="n">
        <v>96.3101</v>
      </c>
      <c r="AO64" s="107" t="n">
        <v>1358.4</v>
      </c>
      <c r="AP64" s="107" t="n">
        <v>1</v>
      </c>
      <c r="AQ64" s="107" t="n">
        <v>2889303</v>
      </c>
      <c r="AR64" s="107" t="n">
        <v>3924829195</v>
      </c>
      <c r="AS64" s="107" t="n">
        <v>2962975.49</v>
      </c>
      <c r="AT64" s="107" t="n">
        <v>4192610319</v>
      </c>
      <c r="AU64" s="107" t="n">
        <v>-73672.49</v>
      </c>
      <c r="AV64" s="107" t="n">
        <v>-100076711</v>
      </c>
      <c r="AW64" s="107" t="n">
        <v>18791.67</v>
      </c>
      <c r="AX64" s="107" t="n">
        <v>26590213</v>
      </c>
      <c r="AY64" s="107" t="n">
        <v>154.51</v>
      </c>
      <c r="AZ64" s="107" t="n">
        <v>218631</v>
      </c>
      <c r="BA64" s="107" t="n">
        <v>0</v>
      </c>
      <c r="BB64" s="107" t="n">
        <v>0</v>
      </c>
      <c r="BC64" s="107" t="n">
        <v>0</v>
      </c>
      <c r="BD64" s="107" t="n">
        <v>0</v>
      </c>
      <c r="BE64" s="107" t="n">
        <v>20072.91</v>
      </c>
      <c r="BF64" s="107" t="n">
        <v>27267040</v>
      </c>
      <c r="BG64" s="107" t="n">
        <v>164.82</v>
      </c>
      <c r="BH64" s="107" t="n">
        <v>223891</v>
      </c>
      <c r="BI64" s="107" t="n">
        <v>2962975.49</v>
      </c>
      <c r="BJ64" s="107" t="n">
        <v>4192610319</v>
      </c>
      <c r="BK64" s="107" t="n">
        <v>0</v>
      </c>
      <c r="BL64" s="107" t="n">
        <v>0</v>
      </c>
      <c r="BM64" s="107" t="n">
        <v>0</v>
      </c>
      <c r="BN64" s="107" t="n">
        <v>0</v>
      </c>
      <c r="BO64" s="107" t="s">
        <v>107</v>
      </c>
      <c r="BP64" s="2"/>
      <c r="BQ64" s="107" t="s">
        <v>369</v>
      </c>
      <c r="BR64" s="107" t="n">
        <v>-167704413</v>
      </c>
      <c r="BS64" s="107" t="n">
        <v>-1072353</v>
      </c>
      <c r="BT64" s="107" t="n">
        <v>0</v>
      </c>
      <c r="BU64" s="107" t="n">
        <v>0</v>
      </c>
      <c r="BV64" s="107" t="n">
        <v>0</v>
      </c>
      <c r="BW64" s="107" t="n">
        <v>38864.58</v>
      </c>
      <c r="BX64" s="107" t="n">
        <v>52793645</v>
      </c>
      <c r="BY64" s="107" t="n">
        <v>319.33</v>
      </c>
      <c r="BZ64" s="107" t="n">
        <v>433777</v>
      </c>
      <c r="CA64" s="107" t="n">
        <v>1415</v>
      </c>
      <c r="CB64" s="2"/>
      <c r="CC64" s="107" t="n">
        <v>0</v>
      </c>
      <c r="CD64" s="107" t="n">
        <v>96.16</v>
      </c>
      <c r="CE64" s="107" t="n">
        <v>96.19</v>
      </c>
      <c r="CF64" s="107" t="n">
        <v>96.59</v>
      </c>
      <c r="CG64" s="107" t="n">
        <v>0</v>
      </c>
      <c r="CH64" s="107" t="n">
        <v>4.0444</v>
      </c>
      <c r="CI64" s="107" t="n">
        <v>100.6</v>
      </c>
      <c r="CJ64" s="107" t="n">
        <v>100.62</v>
      </c>
      <c r="CK64" s="107" t="n">
        <v>100.64</v>
      </c>
      <c r="CL64" s="107" t="n">
        <v>0</v>
      </c>
    </row>
    <row r="65" customFormat="false" ht="15" hidden="false" customHeight="false" outlineLevel="0" collapsed="false">
      <c r="A65" s="107" t="s">
        <v>488</v>
      </c>
      <c r="B65" s="107" t="n">
        <v>87.4293</v>
      </c>
      <c r="C65" s="107" t="n">
        <v>5.7079</v>
      </c>
      <c r="D65" s="107" t="n">
        <v>3.8903</v>
      </c>
      <c r="E65" s="107" t="n">
        <v>-11564.29099686</v>
      </c>
      <c r="F65" s="108" t="s">
        <v>358</v>
      </c>
      <c r="G65" s="107" t="n">
        <v>3.8903</v>
      </c>
      <c r="H65" s="107" t="n">
        <v>-11564.29099686</v>
      </c>
      <c r="I65" s="109" t="n">
        <v>47867</v>
      </c>
      <c r="J65" s="107" t="n">
        <v>5</v>
      </c>
      <c r="K65" s="107" t="s">
        <v>359</v>
      </c>
      <c r="L65" s="107" t="s">
        <v>298</v>
      </c>
      <c r="M65" s="107" t="n">
        <v>132270200</v>
      </c>
      <c r="N65" s="107" t="n">
        <v>90.91</v>
      </c>
      <c r="O65" s="107" t="n">
        <v>29725962</v>
      </c>
      <c r="P65" s="107" t="s">
        <v>489</v>
      </c>
      <c r="Q65" s="107" t="s">
        <v>490</v>
      </c>
      <c r="R65" s="107" t="n">
        <v>-0.134566764568575</v>
      </c>
      <c r="S65" s="107" t="n">
        <v>-0.0382873171268288</v>
      </c>
      <c r="T65" s="107" t="n">
        <v>-11894.24917506</v>
      </c>
      <c r="U65" s="107" t="n">
        <v>21069</v>
      </c>
      <c r="V65" s="108" t="s">
        <v>362</v>
      </c>
      <c r="W65" s="107" t="n">
        <v>28096</v>
      </c>
      <c r="X65" s="108" t="s">
        <v>372</v>
      </c>
      <c r="Y65" s="107" t="s">
        <v>488</v>
      </c>
      <c r="Z65" s="107" t="s">
        <v>491</v>
      </c>
      <c r="AA65" s="109" t="n">
        <v>46175</v>
      </c>
      <c r="AB65" s="107" t="n">
        <v>260602000001</v>
      </c>
      <c r="AC65" s="109" t="n">
        <v>44215</v>
      </c>
      <c r="AD65" s="109" t="n">
        <v>47867</v>
      </c>
      <c r="AE65" s="107" t="n">
        <v>2.375</v>
      </c>
      <c r="AF65" s="107" t="n">
        <v>3.999</v>
      </c>
      <c r="AG65" s="107" t="n">
        <v>1572</v>
      </c>
      <c r="AH65" s="107" t="n">
        <v>34000000</v>
      </c>
      <c r="AI65" s="107" t="n">
        <v>4.574973</v>
      </c>
      <c r="AJ65" s="107" t="n">
        <v>90.91</v>
      </c>
      <c r="AK65" s="107" t="n">
        <v>4.734008</v>
      </c>
      <c r="AL65" s="107" t="n">
        <v>91.378402</v>
      </c>
      <c r="AM65" s="107" t="n">
        <v>5.6744</v>
      </c>
      <c r="AN65" s="107" t="n">
        <v>87.5531</v>
      </c>
      <c r="AO65" s="107" t="n">
        <v>1358.4</v>
      </c>
      <c r="AP65" s="107" t="n">
        <v>1</v>
      </c>
      <c r="AQ65" s="107" t="n">
        <v>29768054</v>
      </c>
      <c r="AR65" s="107" t="n">
        <v>40436924554</v>
      </c>
      <c r="AS65" s="107" t="n">
        <v>30909400</v>
      </c>
      <c r="AT65" s="107" t="n">
        <v>46713376220</v>
      </c>
      <c r="AU65" s="107" t="n">
        <v>-1141346</v>
      </c>
      <c r="AV65" s="107" t="n">
        <v>-1550404406</v>
      </c>
      <c r="AW65" s="107" t="n">
        <v>0</v>
      </c>
      <c r="AX65" s="107" t="n">
        <v>0</v>
      </c>
      <c r="AY65" s="107" t="n">
        <v>0</v>
      </c>
      <c r="AZ65" s="107" t="n">
        <v>0</v>
      </c>
      <c r="BA65" s="107" t="n">
        <v>0</v>
      </c>
      <c r="BB65" s="107" t="n">
        <v>0</v>
      </c>
      <c r="BC65" s="107" t="n">
        <v>0</v>
      </c>
      <c r="BD65" s="107" t="n">
        <v>0</v>
      </c>
      <c r="BE65" s="107" t="n">
        <v>159256.94</v>
      </c>
      <c r="BF65" s="107" t="n">
        <v>216334627</v>
      </c>
      <c r="BG65" s="107" t="n">
        <v>0</v>
      </c>
      <c r="BH65" s="107" t="n">
        <v>0</v>
      </c>
      <c r="BI65" s="107" t="n">
        <v>30909400</v>
      </c>
      <c r="BJ65" s="107" t="n">
        <v>46713376220</v>
      </c>
      <c r="BK65" s="107" t="n">
        <v>0</v>
      </c>
      <c r="BL65" s="107" t="n">
        <v>0</v>
      </c>
      <c r="BM65" s="107" t="n">
        <v>0</v>
      </c>
      <c r="BN65" s="107" t="n">
        <v>0</v>
      </c>
      <c r="BO65" s="107" t="s">
        <v>374</v>
      </c>
      <c r="BP65" s="2"/>
      <c r="BQ65" s="107" t="s">
        <v>369</v>
      </c>
      <c r="BR65" s="107" t="n">
        <v>-4726047260</v>
      </c>
      <c r="BS65" s="107" t="n">
        <v>0</v>
      </c>
      <c r="BT65" s="107" t="n">
        <v>0</v>
      </c>
      <c r="BU65" s="107" t="n">
        <v>0</v>
      </c>
      <c r="BV65" s="107" t="n">
        <v>0</v>
      </c>
      <c r="BW65" s="107" t="n">
        <v>159256.94</v>
      </c>
      <c r="BX65" s="107" t="n">
        <v>216334627</v>
      </c>
      <c r="BY65" s="107" t="n">
        <v>0</v>
      </c>
      <c r="BZ65" s="107" t="n">
        <v>0</v>
      </c>
      <c r="CA65" s="107" t="n">
        <v>1511.3</v>
      </c>
      <c r="CB65" s="2"/>
      <c r="CC65" s="107" t="n">
        <v>0</v>
      </c>
      <c r="CD65" s="107" t="n">
        <v>87.55</v>
      </c>
      <c r="CE65" s="107" t="n">
        <v>87.56</v>
      </c>
      <c r="CF65" s="107" t="n">
        <v>87.55</v>
      </c>
      <c r="CG65" s="107" t="n">
        <v>0</v>
      </c>
      <c r="CH65" s="107" t="n">
        <v>3.8887</v>
      </c>
      <c r="CI65" s="107" t="n">
        <v>100.7</v>
      </c>
      <c r="CJ65" s="107" t="n">
        <v>100.72</v>
      </c>
      <c r="CK65" s="107" t="n">
        <v>100.78</v>
      </c>
      <c r="CL65" s="107" t="n">
        <v>0</v>
      </c>
    </row>
    <row r="66" customFormat="false" ht="15" hidden="false" customHeight="false" outlineLevel="0" collapsed="false">
      <c r="A66" s="107" t="s">
        <v>492</v>
      </c>
      <c r="B66" s="107" t="n">
        <v>101.3025</v>
      </c>
      <c r="C66" s="107" t="n">
        <v>5.3157</v>
      </c>
      <c r="D66" s="107" t="n">
        <v>1.1984</v>
      </c>
      <c r="E66" s="107" t="n">
        <v>-971.207328</v>
      </c>
      <c r="F66" s="108" t="s">
        <v>358</v>
      </c>
      <c r="G66" s="107" t="n">
        <v>1.1984</v>
      </c>
      <c r="H66" s="107" t="n">
        <v>-971.207328</v>
      </c>
      <c r="I66" s="109" t="n">
        <v>46769</v>
      </c>
      <c r="J66" s="107" t="n">
        <v>2</v>
      </c>
      <c r="K66" s="107" t="s">
        <v>359</v>
      </c>
      <c r="L66" s="107" t="s">
        <v>298</v>
      </c>
      <c r="M66" s="107" t="n">
        <v>9587200</v>
      </c>
      <c r="N66" s="107" t="n">
        <v>103.828</v>
      </c>
      <c r="O66" s="107" t="n">
        <v>8104200</v>
      </c>
      <c r="P66" s="107" t="s">
        <v>489</v>
      </c>
      <c r="Q66" s="107" t="s">
        <v>490</v>
      </c>
      <c r="R66" s="107" t="n">
        <v>-0.0807466343872274</v>
      </c>
      <c r="S66" s="107" t="n">
        <v>-0.0243238818045229</v>
      </c>
      <c r="T66" s="107" t="n">
        <v>-997.059726</v>
      </c>
      <c r="U66" s="107" t="n">
        <v>21069</v>
      </c>
      <c r="V66" s="108" t="s">
        <v>362</v>
      </c>
      <c r="W66" s="107" t="n">
        <v>28096</v>
      </c>
      <c r="X66" s="108" t="s">
        <v>372</v>
      </c>
      <c r="Y66" s="107" t="s">
        <v>492</v>
      </c>
      <c r="Z66" s="107" t="s">
        <v>493</v>
      </c>
      <c r="AA66" s="109" t="n">
        <v>45764</v>
      </c>
      <c r="AB66" s="107" t="n">
        <v>250417000001</v>
      </c>
      <c r="AC66" s="109" t="n">
        <v>44943</v>
      </c>
      <c r="AD66" s="109" t="n">
        <v>46769</v>
      </c>
      <c r="AE66" s="107" t="n">
        <v>6.375</v>
      </c>
      <c r="AF66" s="107" t="n">
        <v>1.2278</v>
      </c>
      <c r="AG66" s="107" t="n">
        <v>474</v>
      </c>
      <c r="AH66" s="107" t="n">
        <v>8000000</v>
      </c>
      <c r="AI66" s="107" t="n">
        <v>4.867</v>
      </c>
      <c r="AJ66" s="107" t="n">
        <v>103.828</v>
      </c>
      <c r="AK66" s="107" t="n">
        <v>2.853194</v>
      </c>
      <c r="AL66" s="107" t="n">
        <v>105.741208</v>
      </c>
      <c r="AM66" s="107" t="n">
        <v>5.2337</v>
      </c>
      <c r="AN66" s="107" t="n">
        <v>101.4023</v>
      </c>
      <c r="AO66" s="107" t="n">
        <v>1358.4</v>
      </c>
      <c r="AP66" s="107" t="n">
        <v>1</v>
      </c>
      <c r="AQ66" s="107" t="n">
        <v>8112184</v>
      </c>
      <c r="AR66" s="107" t="n">
        <v>11019590746</v>
      </c>
      <c r="AS66" s="107" t="n">
        <v>8355880</v>
      </c>
      <c r="AT66" s="107" t="n">
        <v>11989852213</v>
      </c>
      <c r="AU66" s="107" t="n">
        <v>-243696</v>
      </c>
      <c r="AV66" s="107" t="n">
        <v>-331036646</v>
      </c>
      <c r="AW66" s="107" t="n">
        <v>0</v>
      </c>
      <c r="AX66" s="107" t="n">
        <v>0</v>
      </c>
      <c r="AY66" s="107" t="n">
        <v>0</v>
      </c>
      <c r="AZ66" s="107" t="n">
        <v>0</v>
      </c>
      <c r="BA66" s="107" t="n">
        <v>0</v>
      </c>
      <c r="BB66" s="107" t="n">
        <v>0</v>
      </c>
      <c r="BC66" s="107" t="n">
        <v>0</v>
      </c>
      <c r="BD66" s="107" t="n">
        <v>0</v>
      </c>
      <c r="BE66" s="107" t="n">
        <v>103416.67</v>
      </c>
      <c r="BF66" s="107" t="n">
        <v>140481204</v>
      </c>
      <c r="BG66" s="107" t="n">
        <v>0</v>
      </c>
      <c r="BH66" s="107" t="n">
        <v>0</v>
      </c>
      <c r="BI66" s="107" t="n">
        <v>10382800</v>
      </c>
      <c r="BJ66" s="107" t="n">
        <v>14898279720</v>
      </c>
      <c r="BK66" s="107" t="n">
        <v>0</v>
      </c>
      <c r="BL66" s="107" t="n">
        <v>0</v>
      </c>
      <c r="BM66" s="107" t="n">
        <v>0</v>
      </c>
      <c r="BN66" s="107" t="n">
        <v>0</v>
      </c>
      <c r="BO66" s="107" t="s">
        <v>374</v>
      </c>
      <c r="BP66" s="2"/>
      <c r="BQ66" s="107" t="s">
        <v>107</v>
      </c>
      <c r="BR66" s="107" t="n">
        <v>-639224821</v>
      </c>
      <c r="BS66" s="107" t="n">
        <v>0</v>
      </c>
      <c r="BT66" s="107" t="n">
        <v>0</v>
      </c>
      <c r="BU66" s="107" t="n">
        <v>62050</v>
      </c>
      <c r="BV66" s="107" t="n">
        <v>89035545</v>
      </c>
      <c r="BW66" s="107" t="n">
        <v>103416.67</v>
      </c>
      <c r="BX66" s="107" t="n">
        <v>140481204</v>
      </c>
      <c r="BY66" s="107" t="n">
        <v>0</v>
      </c>
      <c r="BZ66" s="107" t="n">
        <v>0</v>
      </c>
      <c r="CA66" s="107" t="n">
        <v>1434.9</v>
      </c>
      <c r="CB66" s="2"/>
      <c r="CC66" s="107" t="n">
        <v>0</v>
      </c>
      <c r="CD66" s="107" t="n">
        <v>101.36</v>
      </c>
      <c r="CE66" s="107" t="n">
        <v>101.43</v>
      </c>
      <c r="CF66" s="107" t="n">
        <v>101.42</v>
      </c>
      <c r="CG66" s="107" t="n">
        <v>0</v>
      </c>
      <c r="CH66" s="107" t="n">
        <v>1.1965</v>
      </c>
      <c r="CI66" s="107" t="n">
        <v>100.53</v>
      </c>
      <c r="CJ66" s="107" t="n">
        <v>100.55</v>
      </c>
      <c r="CK66" s="107" t="n">
        <v>100.63</v>
      </c>
      <c r="CL66" s="107" t="n">
        <v>10000000</v>
      </c>
    </row>
    <row r="67" customFormat="false" ht="15" hidden="false" customHeight="false" outlineLevel="0" collapsed="false">
      <c r="A67" s="107" t="s">
        <v>492</v>
      </c>
      <c r="B67" s="107" t="n">
        <v>101.3025</v>
      </c>
      <c r="C67" s="107" t="n">
        <v>5.3157</v>
      </c>
      <c r="D67" s="107" t="n">
        <v>1.1984</v>
      </c>
      <c r="E67" s="107" t="n">
        <v>-1068.3280608</v>
      </c>
      <c r="F67" s="108" t="s">
        <v>358</v>
      </c>
      <c r="G67" s="107" t="n">
        <v>1.1984</v>
      </c>
      <c r="H67" s="107" t="n">
        <v>-1068.3280608</v>
      </c>
      <c r="I67" s="109" t="n">
        <v>46769</v>
      </c>
      <c r="J67" s="107" t="n">
        <v>2</v>
      </c>
      <c r="K67" s="107" t="s">
        <v>359</v>
      </c>
      <c r="L67" s="107" t="s">
        <v>298</v>
      </c>
      <c r="M67" s="107" t="n">
        <v>10545920</v>
      </c>
      <c r="N67" s="107" t="n">
        <v>103.627</v>
      </c>
      <c r="O67" s="107" t="n">
        <v>8914620</v>
      </c>
      <c r="P67" s="107" t="s">
        <v>489</v>
      </c>
      <c r="Q67" s="107" t="s">
        <v>490</v>
      </c>
      <c r="R67" s="107" t="n">
        <v>-0.0807466342966182</v>
      </c>
      <c r="S67" s="107" t="n">
        <v>-0.0224314126627231</v>
      </c>
      <c r="T67" s="107" t="n">
        <v>-1096.7656986</v>
      </c>
      <c r="U67" s="107" t="n">
        <v>21069</v>
      </c>
      <c r="V67" s="108" t="s">
        <v>362</v>
      </c>
      <c r="W67" s="107" t="n">
        <v>28096</v>
      </c>
      <c r="X67" s="108" t="s">
        <v>372</v>
      </c>
      <c r="Y67" s="107" t="s">
        <v>492</v>
      </c>
      <c r="Z67" s="107" t="s">
        <v>493</v>
      </c>
      <c r="AA67" s="109" t="n">
        <v>45805</v>
      </c>
      <c r="AB67" s="107" t="n">
        <v>250528000001</v>
      </c>
      <c r="AC67" s="109" t="n">
        <v>44943</v>
      </c>
      <c r="AD67" s="109" t="n">
        <v>46769</v>
      </c>
      <c r="AE67" s="107" t="n">
        <v>6.375</v>
      </c>
      <c r="AF67" s="107" t="n">
        <v>1.2278</v>
      </c>
      <c r="AG67" s="107" t="n">
        <v>474</v>
      </c>
      <c r="AH67" s="107" t="n">
        <v>8800000</v>
      </c>
      <c r="AI67" s="107" t="n">
        <v>4.8887</v>
      </c>
      <c r="AJ67" s="107" t="n">
        <v>103.627</v>
      </c>
      <c r="AK67" s="107" t="n">
        <v>2.853194</v>
      </c>
      <c r="AL67" s="107" t="n">
        <v>105.741208</v>
      </c>
      <c r="AM67" s="107" t="n">
        <v>5.2337</v>
      </c>
      <c r="AN67" s="107" t="n">
        <v>101.4023</v>
      </c>
      <c r="AO67" s="107" t="n">
        <v>1358.4</v>
      </c>
      <c r="AP67" s="107" t="n">
        <v>1</v>
      </c>
      <c r="AQ67" s="107" t="n">
        <v>8923402.4</v>
      </c>
      <c r="AR67" s="107" t="n">
        <v>12121549820</v>
      </c>
      <c r="AS67" s="107" t="n">
        <v>9191468</v>
      </c>
      <c r="AT67" s="107" t="n">
        <v>13188837433</v>
      </c>
      <c r="AU67" s="107" t="n">
        <v>-268065.6</v>
      </c>
      <c r="AV67" s="107" t="n">
        <v>-364140311</v>
      </c>
      <c r="AW67" s="107" t="n">
        <v>0</v>
      </c>
      <c r="AX67" s="107" t="n">
        <v>0</v>
      </c>
      <c r="AY67" s="107" t="n">
        <v>0</v>
      </c>
      <c r="AZ67" s="107" t="n">
        <v>0</v>
      </c>
      <c r="BA67" s="107" t="n">
        <v>0</v>
      </c>
      <c r="BB67" s="107" t="n">
        <v>0</v>
      </c>
      <c r="BC67" s="107" t="n">
        <v>0</v>
      </c>
      <c r="BD67" s="107" t="n">
        <v>0</v>
      </c>
      <c r="BE67" s="107" t="n">
        <v>113758.33</v>
      </c>
      <c r="BF67" s="107" t="n">
        <v>154529315</v>
      </c>
      <c r="BG67" s="107" t="n">
        <v>0</v>
      </c>
      <c r="BH67" s="107" t="n">
        <v>0</v>
      </c>
      <c r="BI67" s="107" t="n">
        <v>9119176</v>
      </c>
      <c r="BJ67" s="107" t="n">
        <v>13085105642</v>
      </c>
      <c r="BK67" s="107" t="n">
        <v>0</v>
      </c>
      <c r="BL67" s="107" t="n">
        <v>0</v>
      </c>
      <c r="BM67" s="107" t="n">
        <v>0</v>
      </c>
      <c r="BN67" s="107" t="n">
        <v>0</v>
      </c>
      <c r="BO67" s="107" t="s">
        <v>374</v>
      </c>
      <c r="BP67" s="2"/>
      <c r="BQ67" s="107" t="s">
        <v>107</v>
      </c>
      <c r="BR67" s="107" t="n">
        <v>-703147302</v>
      </c>
      <c r="BS67" s="107" t="n">
        <v>0</v>
      </c>
      <c r="BT67" s="107" t="n">
        <v>0</v>
      </c>
      <c r="BU67" s="107" t="n">
        <v>72292</v>
      </c>
      <c r="BV67" s="107" t="n">
        <v>103731791</v>
      </c>
      <c r="BW67" s="107" t="n">
        <v>113758.33</v>
      </c>
      <c r="BX67" s="107" t="n">
        <v>154529315</v>
      </c>
      <c r="BY67" s="107" t="n">
        <v>0</v>
      </c>
      <c r="BZ67" s="107" t="n">
        <v>0</v>
      </c>
      <c r="CA67" s="107" t="n">
        <v>1434.9</v>
      </c>
      <c r="CB67" s="2"/>
      <c r="CC67" s="107" t="n">
        <v>0</v>
      </c>
      <c r="CD67" s="107" t="n">
        <v>101.36</v>
      </c>
      <c r="CE67" s="107" t="n">
        <v>101.43</v>
      </c>
      <c r="CF67" s="107" t="n">
        <v>101.42</v>
      </c>
      <c r="CG67" s="107" t="n">
        <v>0</v>
      </c>
      <c r="CH67" s="107" t="n">
        <v>1.1965</v>
      </c>
      <c r="CI67" s="107" t="n">
        <v>87.21</v>
      </c>
      <c r="CJ67" s="107" t="n">
        <v>87.37</v>
      </c>
      <c r="CK67" s="107" t="n">
        <v>87.27</v>
      </c>
      <c r="CL67" s="107" t="n">
        <v>1200000</v>
      </c>
    </row>
    <row r="68" customFormat="false" ht="15" hidden="false" customHeight="false" outlineLevel="0" collapsed="false">
      <c r="A68" s="107" t="s">
        <v>494</v>
      </c>
      <c r="B68" s="107" t="n">
        <v>98.4914</v>
      </c>
      <c r="C68" s="107" t="n">
        <v>5.567</v>
      </c>
      <c r="D68" s="107" t="n">
        <v>1.3916</v>
      </c>
      <c r="E68" s="107" t="n">
        <v>-411.18189672</v>
      </c>
      <c r="F68" s="108" t="s">
        <v>358</v>
      </c>
      <c r="G68" s="107" t="n">
        <v>1.3916</v>
      </c>
      <c r="H68" s="107" t="n">
        <v>-411.18189672</v>
      </c>
      <c r="I68" s="109" t="n">
        <v>46838</v>
      </c>
      <c r="J68" s="107" t="n">
        <v>2</v>
      </c>
      <c r="K68" s="107" t="s">
        <v>359</v>
      </c>
      <c r="L68" s="107" t="s">
        <v>298</v>
      </c>
      <c r="M68" s="107" t="n">
        <v>4174800</v>
      </c>
      <c r="N68" s="107" t="n">
        <v>98.73</v>
      </c>
      <c r="O68" s="107" t="n">
        <v>2954742</v>
      </c>
      <c r="P68" s="107" t="s">
        <v>495</v>
      </c>
      <c r="Q68" s="107" t="s">
        <v>377</v>
      </c>
      <c r="R68" s="107" t="n">
        <v>-0.0727147368071016</v>
      </c>
      <c r="S68" s="107" t="n">
        <v>-0.00241669198825079</v>
      </c>
      <c r="T68" s="107" t="n">
        <v>-422.61674826</v>
      </c>
      <c r="U68" s="107" t="n">
        <v>21069</v>
      </c>
      <c r="V68" s="108" t="s">
        <v>362</v>
      </c>
      <c r="W68" s="107" t="n">
        <v>28096</v>
      </c>
      <c r="X68" s="108" t="s">
        <v>372</v>
      </c>
      <c r="Y68" s="107" t="s">
        <v>494</v>
      </c>
      <c r="Z68" s="107" t="s">
        <v>496</v>
      </c>
      <c r="AA68" s="109" t="n">
        <v>45800</v>
      </c>
      <c r="AB68" s="107" t="n">
        <v>250523000001</v>
      </c>
      <c r="AC68" s="109" t="n">
        <v>43185</v>
      </c>
      <c r="AD68" s="109" t="n">
        <v>46838</v>
      </c>
      <c r="AE68" s="107" t="n">
        <v>4.5</v>
      </c>
      <c r="AF68" s="107" t="n">
        <v>1.4278</v>
      </c>
      <c r="AG68" s="107" t="n">
        <v>543</v>
      </c>
      <c r="AH68" s="107" t="n">
        <v>3000000</v>
      </c>
      <c r="AI68" s="107" t="n">
        <v>4.982558</v>
      </c>
      <c r="AJ68" s="107" t="n">
        <v>98.73</v>
      </c>
      <c r="AK68" s="107" t="n">
        <v>4.031153</v>
      </c>
      <c r="AL68" s="107" t="n">
        <v>100.7205</v>
      </c>
      <c r="AM68" s="107" t="n">
        <v>5.5091</v>
      </c>
      <c r="AN68" s="107" t="n">
        <v>98.5748</v>
      </c>
      <c r="AO68" s="107" t="n">
        <v>1358.4</v>
      </c>
      <c r="AP68" s="107" t="n">
        <v>1</v>
      </c>
      <c r="AQ68" s="107" t="n">
        <v>2957244</v>
      </c>
      <c r="AR68" s="107" t="n">
        <v>4017120250</v>
      </c>
      <c r="AS68" s="107" t="n">
        <v>3020115</v>
      </c>
      <c r="AT68" s="107" t="n">
        <v>4333563014</v>
      </c>
      <c r="AU68" s="107" t="n">
        <v>-62871</v>
      </c>
      <c r="AV68" s="107" t="n">
        <v>-85403966</v>
      </c>
      <c r="AW68" s="107" t="n">
        <v>0</v>
      </c>
      <c r="AX68" s="107" t="n">
        <v>0</v>
      </c>
      <c r="AY68" s="107" t="n">
        <v>0</v>
      </c>
      <c r="AZ68" s="107" t="n">
        <v>0</v>
      </c>
      <c r="BA68" s="107" t="n">
        <v>0</v>
      </c>
      <c r="BB68" s="107" t="n">
        <v>0</v>
      </c>
      <c r="BC68" s="107" t="n">
        <v>0</v>
      </c>
      <c r="BD68" s="107" t="n">
        <v>0</v>
      </c>
      <c r="BE68" s="107" t="n">
        <v>1500</v>
      </c>
      <c r="BF68" s="107" t="n">
        <v>2037600</v>
      </c>
      <c r="BG68" s="107" t="n">
        <v>0</v>
      </c>
      <c r="BH68" s="107" t="n">
        <v>0</v>
      </c>
      <c r="BI68" s="107" t="n">
        <v>2961900</v>
      </c>
      <c r="BJ68" s="107" t="n">
        <v>4250030310</v>
      </c>
      <c r="BK68" s="107" t="n">
        <v>0</v>
      </c>
      <c r="BL68" s="107" t="n">
        <v>0</v>
      </c>
      <c r="BM68" s="107" t="n">
        <v>0</v>
      </c>
      <c r="BN68" s="107" t="n">
        <v>0</v>
      </c>
      <c r="BO68" s="107" t="s">
        <v>377</v>
      </c>
      <c r="BP68" s="2"/>
      <c r="BQ68" s="107" t="s">
        <v>377</v>
      </c>
      <c r="BR68" s="107" t="n">
        <v>-231038798</v>
      </c>
      <c r="BS68" s="107" t="n">
        <v>0</v>
      </c>
      <c r="BT68" s="107" t="n">
        <v>0</v>
      </c>
      <c r="BU68" s="107" t="n">
        <v>58215</v>
      </c>
      <c r="BV68" s="107" t="n">
        <v>83532704</v>
      </c>
      <c r="BW68" s="107" t="n">
        <v>1500</v>
      </c>
      <c r="BX68" s="107" t="n">
        <v>2037600</v>
      </c>
      <c r="BY68" s="107" t="n">
        <v>0</v>
      </c>
      <c r="BZ68" s="107" t="n">
        <v>0</v>
      </c>
      <c r="CA68" s="107" t="n">
        <v>1434.9</v>
      </c>
      <c r="CB68" s="2"/>
      <c r="CC68" s="107" t="n">
        <v>0</v>
      </c>
      <c r="CD68" s="107" t="n">
        <v>98.57</v>
      </c>
      <c r="CE68" s="107" t="n">
        <v>98.54</v>
      </c>
      <c r="CF68" s="107" t="n">
        <v>98.61</v>
      </c>
      <c r="CG68" s="107" t="n">
        <v>0</v>
      </c>
      <c r="CH68" s="107" t="n">
        <v>1.3895</v>
      </c>
      <c r="CI68" s="107" t="n">
        <v>121.96</v>
      </c>
      <c r="CJ68" s="107" t="n">
        <v>140.65</v>
      </c>
      <c r="CK68" s="107" t="n">
        <v>142.99</v>
      </c>
      <c r="CL68" s="107" t="n">
        <v>260000</v>
      </c>
    </row>
    <row r="69" customFormat="false" ht="15" hidden="false" customHeight="false" outlineLevel="0" collapsed="false">
      <c r="A69" s="107" t="s">
        <v>494</v>
      </c>
      <c r="B69" s="107" t="n">
        <v>98.4914</v>
      </c>
      <c r="C69" s="107" t="n">
        <v>5.567</v>
      </c>
      <c r="D69" s="107" t="n">
        <v>1.3916</v>
      </c>
      <c r="E69" s="107" t="n">
        <v>-383.769770272</v>
      </c>
      <c r="F69" s="108" t="s">
        <v>358</v>
      </c>
      <c r="G69" s="107" t="n">
        <v>1.3916</v>
      </c>
      <c r="H69" s="107" t="n">
        <v>-383.769770272</v>
      </c>
      <c r="I69" s="109" t="n">
        <v>46838</v>
      </c>
      <c r="J69" s="107" t="n">
        <v>2</v>
      </c>
      <c r="K69" s="107" t="s">
        <v>359</v>
      </c>
      <c r="L69" s="107" t="s">
        <v>298</v>
      </c>
      <c r="M69" s="107" t="n">
        <v>3896480</v>
      </c>
      <c r="N69" s="107" t="n">
        <v>98.715</v>
      </c>
      <c r="O69" s="107" t="n">
        <v>2757759.2</v>
      </c>
      <c r="P69" s="107" t="s">
        <v>495</v>
      </c>
      <c r="Q69" s="107" t="s">
        <v>377</v>
      </c>
      <c r="R69" s="107" t="n">
        <v>-0.0727147367918175</v>
      </c>
      <c r="S69" s="107" t="n">
        <v>-0.00226510662006796</v>
      </c>
      <c r="T69" s="107" t="n">
        <v>-394.442298376</v>
      </c>
      <c r="U69" s="107" t="n">
        <v>21069</v>
      </c>
      <c r="V69" s="108" t="s">
        <v>362</v>
      </c>
      <c r="W69" s="107" t="n">
        <v>28096</v>
      </c>
      <c r="X69" s="108" t="s">
        <v>372</v>
      </c>
      <c r="Y69" s="107" t="s">
        <v>494</v>
      </c>
      <c r="Z69" s="107" t="s">
        <v>496</v>
      </c>
      <c r="AA69" s="109" t="n">
        <v>45800</v>
      </c>
      <c r="AB69" s="107" t="n">
        <v>250523000002</v>
      </c>
      <c r="AC69" s="109" t="n">
        <v>43185</v>
      </c>
      <c r="AD69" s="109" t="n">
        <v>46838</v>
      </c>
      <c r="AE69" s="107" t="n">
        <v>4.5</v>
      </c>
      <c r="AF69" s="107" t="n">
        <v>1.4278</v>
      </c>
      <c r="AG69" s="107" t="n">
        <v>543</v>
      </c>
      <c r="AH69" s="107" t="n">
        <v>2800000</v>
      </c>
      <c r="AI69" s="107" t="n">
        <v>4.988327</v>
      </c>
      <c r="AJ69" s="107" t="n">
        <v>98.715</v>
      </c>
      <c r="AK69" s="107" t="n">
        <v>4.031153</v>
      </c>
      <c r="AL69" s="107" t="n">
        <v>100.7205</v>
      </c>
      <c r="AM69" s="107" t="n">
        <v>5.5091</v>
      </c>
      <c r="AN69" s="107" t="n">
        <v>98.5748</v>
      </c>
      <c r="AO69" s="107" t="n">
        <v>1358.4</v>
      </c>
      <c r="AP69" s="107" t="n">
        <v>1</v>
      </c>
      <c r="AQ69" s="107" t="n">
        <v>2760094.4</v>
      </c>
      <c r="AR69" s="107" t="n">
        <v>3749312233</v>
      </c>
      <c r="AS69" s="107" t="n">
        <v>2818774</v>
      </c>
      <c r="AT69" s="107" t="n">
        <v>4044658813</v>
      </c>
      <c r="AU69" s="107" t="n">
        <v>-58679.6</v>
      </c>
      <c r="AV69" s="107" t="n">
        <v>-79710369</v>
      </c>
      <c r="AW69" s="107" t="n">
        <v>0</v>
      </c>
      <c r="AX69" s="107" t="n">
        <v>0</v>
      </c>
      <c r="AY69" s="107" t="n">
        <v>0</v>
      </c>
      <c r="AZ69" s="107" t="n">
        <v>0</v>
      </c>
      <c r="BA69" s="107" t="n">
        <v>0</v>
      </c>
      <c r="BB69" s="107" t="n">
        <v>0</v>
      </c>
      <c r="BC69" s="107" t="n">
        <v>0</v>
      </c>
      <c r="BD69" s="107" t="n">
        <v>0</v>
      </c>
      <c r="BE69" s="107" t="n">
        <v>1400</v>
      </c>
      <c r="BF69" s="107" t="n">
        <v>1901760</v>
      </c>
      <c r="BG69" s="107" t="n">
        <v>0</v>
      </c>
      <c r="BH69" s="107" t="n">
        <v>0</v>
      </c>
      <c r="BI69" s="107" t="n">
        <v>2764020</v>
      </c>
      <c r="BJ69" s="107" t="n">
        <v>3966092298</v>
      </c>
      <c r="BK69" s="107" t="n">
        <v>0</v>
      </c>
      <c r="BL69" s="107" t="n">
        <v>0</v>
      </c>
      <c r="BM69" s="107" t="n">
        <v>0</v>
      </c>
      <c r="BN69" s="107" t="n">
        <v>0</v>
      </c>
      <c r="BO69" s="107" t="s">
        <v>377</v>
      </c>
      <c r="BP69" s="2"/>
      <c r="BQ69" s="107" t="s">
        <v>377</v>
      </c>
      <c r="BR69" s="107" t="n">
        <v>-215636211</v>
      </c>
      <c r="BS69" s="107" t="n">
        <v>0</v>
      </c>
      <c r="BT69" s="107" t="n">
        <v>0</v>
      </c>
      <c r="BU69" s="107" t="n">
        <v>54754</v>
      </c>
      <c r="BV69" s="107" t="n">
        <v>78566515</v>
      </c>
      <c r="BW69" s="107" t="n">
        <v>1400</v>
      </c>
      <c r="BX69" s="107" t="n">
        <v>1901760</v>
      </c>
      <c r="BY69" s="107" t="n">
        <v>0</v>
      </c>
      <c r="BZ69" s="107" t="n">
        <v>0</v>
      </c>
      <c r="CA69" s="107" t="n">
        <v>1434.9</v>
      </c>
      <c r="CB69" s="2"/>
      <c r="CC69" s="107" t="n">
        <v>0</v>
      </c>
      <c r="CD69" s="107" t="n">
        <v>98.57</v>
      </c>
      <c r="CE69" s="107" t="n">
        <v>98.54</v>
      </c>
      <c r="CF69" s="107" t="n">
        <v>98.61</v>
      </c>
      <c r="CG69" s="107" t="n">
        <v>0</v>
      </c>
      <c r="CH69" s="107" t="n">
        <v>1.3895</v>
      </c>
      <c r="CI69" s="107" t="n">
        <v>121.96</v>
      </c>
      <c r="CJ69" s="107" t="n">
        <v>140.65</v>
      </c>
      <c r="CK69" s="107" t="n">
        <v>142.99</v>
      </c>
      <c r="CL69" s="107" t="n">
        <v>85000</v>
      </c>
    </row>
    <row r="70" customFormat="false" ht="15" hidden="false" customHeight="false" outlineLevel="0" collapsed="false">
      <c r="A70" s="107" t="s">
        <v>494</v>
      </c>
      <c r="B70" s="107" t="n">
        <v>98.4914</v>
      </c>
      <c r="C70" s="107" t="n">
        <v>5.567</v>
      </c>
      <c r="D70" s="107" t="n">
        <v>1.3916</v>
      </c>
      <c r="E70" s="107" t="n">
        <v>-411.18189672</v>
      </c>
      <c r="F70" s="108" t="s">
        <v>358</v>
      </c>
      <c r="G70" s="107" t="n">
        <v>1.3916</v>
      </c>
      <c r="H70" s="107" t="n">
        <v>-411.18189672</v>
      </c>
      <c r="I70" s="109" t="n">
        <v>46838</v>
      </c>
      <c r="J70" s="107" t="n">
        <v>2</v>
      </c>
      <c r="K70" s="107" t="s">
        <v>359</v>
      </c>
      <c r="L70" s="107" t="s">
        <v>298</v>
      </c>
      <c r="M70" s="107" t="n">
        <v>4174800</v>
      </c>
      <c r="N70" s="107" t="n">
        <v>100.252</v>
      </c>
      <c r="O70" s="107" t="n">
        <v>2954742</v>
      </c>
      <c r="P70" s="107" t="s">
        <v>495</v>
      </c>
      <c r="Q70" s="107" t="s">
        <v>377</v>
      </c>
      <c r="R70" s="107" t="n">
        <v>-0.0727147368071016</v>
      </c>
      <c r="S70" s="107" t="n">
        <v>-0.0175617444041016</v>
      </c>
      <c r="T70" s="107" t="n">
        <v>-422.61674826</v>
      </c>
      <c r="U70" s="107" t="n">
        <v>21069</v>
      </c>
      <c r="V70" s="108" t="s">
        <v>362</v>
      </c>
      <c r="W70" s="107" t="n">
        <v>28096</v>
      </c>
      <c r="X70" s="108" t="s">
        <v>372</v>
      </c>
      <c r="Y70" s="107" t="s">
        <v>494</v>
      </c>
      <c r="Z70" s="107" t="s">
        <v>496</v>
      </c>
      <c r="AA70" s="109" t="n">
        <v>45925</v>
      </c>
      <c r="AB70" s="107" t="n">
        <v>250925000001</v>
      </c>
      <c r="AC70" s="109" t="n">
        <v>43185</v>
      </c>
      <c r="AD70" s="109" t="n">
        <v>46838</v>
      </c>
      <c r="AE70" s="107" t="n">
        <v>4.5</v>
      </c>
      <c r="AF70" s="107" t="n">
        <v>1.4278</v>
      </c>
      <c r="AG70" s="107" t="n">
        <v>543</v>
      </c>
      <c r="AH70" s="107" t="n">
        <v>3000000</v>
      </c>
      <c r="AI70" s="107" t="n">
        <v>4.392518</v>
      </c>
      <c r="AJ70" s="107" t="n">
        <v>100.252</v>
      </c>
      <c r="AK70" s="107" t="n">
        <v>4.031153</v>
      </c>
      <c r="AL70" s="107" t="n">
        <v>100.7205</v>
      </c>
      <c r="AM70" s="107" t="n">
        <v>5.5091</v>
      </c>
      <c r="AN70" s="107" t="n">
        <v>98.5748</v>
      </c>
      <c r="AO70" s="107" t="n">
        <v>1358.4</v>
      </c>
      <c r="AP70" s="107" t="n">
        <v>1</v>
      </c>
      <c r="AQ70" s="107" t="n">
        <v>2957244</v>
      </c>
      <c r="AR70" s="107" t="n">
        <v>4017120250</v>
      </c>
      <c r="AS70" s="107" t="n">
        <v>3020115</v>
      </c>
      <c r="AT70" s="107" t="n">
        <v>4333563014</v>
      </c>
      <c r="AU70" s="107" t="n">
        <v>-62871</v>
      </c>
      <c r="AV70" s="107" t="n">
        <v>-85403966</v>
      </c>
      <c r="AW70" s="107" t="n">
        <v>0</v>
      </c>
      <c r="AX70" s="107" t="n">
        <v>0</v>
      </c>
      <c r="AY70" s="107" t="n">
        <v>0</v>
      </c>
      <c r="AZ70" s="107" t="n">
        <v>0</v>
      </c>
      <c r="BA70" s="107" t="n">
        <v>0</v>
      </c>
      <c r="BB70" s="107" t="n">
        <v>0</v>
      </c>
      <c r="BC70" s="107" t="n">
        <v>0</v>
      </c>
      <c r="BD70" s="107" t="n">
        <v>0</v>
      </c>
      <c r="BE70" s="107" t="n">
        <v>1500</v>
      </c>
      <c r="BF70" s="107" t="n">
        <v>2037600</v>
      </c>
      <c r="BG70" s="107" t="n">
        <v>0</v>
      </c>
      <c r="BH70" s="107" t="n">
        <v>0</v>
      </c>
      <c r="BI70" s="107" t="n">
        <v>3007560</v>
      </c>
      <c r="BJ70" s="107" t="n">
        <v>4315547844</v>
      </c>
      <c r="BK70" s="107" t="n">
        <v>0</v>
      </c>
      <c r="BL70" s="107" t="n">
        <v>0</v>
      </c>
      <c r="BM70" s="107" t="n">
        <v>0</v>
      </c>
      <c r="BN70" s="107" t="n">
        <v>0</v>
      </c>
      <c r="BO70" s="107" t="s">
        <v>377</v>
      </c>
      <c r="BP70" s="2"/>
      <c r="BQ70" s="107" t="s">
        <v>377</v>
      </c>
      <c r="BR70" s="107" t="n">
        <v>-231038798</v>
      </c>
      <c r="BS70" s="107" t="n">
        <v>0</v>
      </c>
      <c r="BT70" s="107" t="n">
        <v>0</v>
      </c>
      <c r="BU70" s="107" t="n">
        <v>12555</v>
      </c>
      <c r="BV70" s="107" t="n">
        <v>18015170</v>
      </c>
      <c r="BW70" s="107" t="n">
        <v>1500</v>
      </c>
      <c r="BX70" s="107" t="n">
        <v>2037600</v>
      </c>
      <c r="BY70" s="107" t="n">
        <v>0</v>
      </c>
      <c r="BZ70" s="107" t="n">
        <v>0</v>
      </c>
      <c r="CA70" s="107" t="n">
        <v>1434.9</v>
      </c>
      <c r="CB70" s="2"/>
      <c r="CC70" s="107" t="n">
        <v>0</v>
      </c>
      <c r="CD70" s="107" t="n">
        <v>98.57</v>
      </c>
      <c r="CE70" s="107" t="n">
        <v>98.54</v>
      </c>
      <c r="CF70" s="107" t="n">
        <v>98.61</v>
      </c>
      <c r="CG70" s="107" t="n">
        <v>0</v>
      </c>
      <c r="CH70" s="107" t="n">
        <v>1.3895</v>
      </c>
      <c r="CI70" s="107" t="n">
        <v>121.96</v>
      </c>
      <c r="CJ70" s="107" t="n">
        <v>140.65</v>
      </c>
      <c r="CK70" s="107" t="n">
        <v>142.99</v>
      </c>
      <c r="CL70" s="107" t="n">
        <v>2500000</v>
      </c>
    </row>
    <row r="71" customFormat="false" ht="15" hidden="false" customHeight="false" outlineLevel="0" collapsed="false">
      <c r="A71" s="107" t="s">
        <v>497</v>
      </c>
      <c r="B71" s="107" t="n">
        <v>97.5495</v>
      </c>
      <c r="C71" s="107" t="n">
        <v>5.6277</v>
      </c>
      <c r="D71" s="107" t="n">
        <v>2.1272</v>
      </c>
      <c r="E71" s="107" t="n">
        <v>-622.5218892</v>
      </c>
      <c r="F71" s="108" t="s">
        <v>358</v>
      </c>
      <c r="G71" s="107" t="n">
        <v>2.1272</v>
      </c>
      <c r="H71" s="107" t="n">
        <v>-622.5218892</v>
      </c>
      <c r="I71" s="109" t="n">
        <v>47150</v>
      </c>
      <c r="J71" s="107" t="n">
        <v>3</v>
      </c>
      <c r="K71" s="107" t="s">
        <v>359</v>
      </c>
      <c r="L71" s="107" t="s">
        <v>298</v>
      </c>
      <c r="M71" s="107" t="n">
        <v>6381600</v>
      </c>
      <c r="N71" s="107" t="n">
        <v>97.667</v>
      </c>
      <c r="O71" s="107" t="n">
        <v>2926485</v>
      </c>
      <c r="P71" s="107" t="s">
        <v>498</v>
      </c>
      <c r="Q71" s="107" t="s">
        <v>377</v>
      </c>
      <c r="R71" s="107" t="n">
        <v>-0.0796691944835229</v>
      </c>
      <c r="S71" s="107" t="n">
        <v>-0.00120306756632238</v>
      </c>
      <c r="T71" s="107" t="n">
        <v>-640.05153435</v>
      </c>
      <c r="U71" s="107" t="n">
        <v>21069</v>
      </c>
      <c r="V71" s="108" t="s">
        <v>362</v>
      </c>
      <c r="W71" s="107" t="n">
        <v>28096</v>
      </c>
      <c r="X71" s="108" t="s">
        <v>372</v>
      </c>
      <c r="Y71" s="107" t="s">
        <v>497</v>
      </c>
      <c r="Z71" s="107" t="s">
        <v>499</v>
      </c>
      <c r="AA71" s="109" t="n">
        <v>45763</v>
      </c>
      <c r="AB71" s="107" t="n">
        <v>250416000002</v>
      </c>
      <c r="AC71" s="109" t="n">
        <v>43497</v>
      </c>
      <c r="AD71" s="109" t="n">
        <v>47150</v>
      </c>
      <c r="AE71" s="107" t="n">
        <v>4.5</v>
      </c>
      <c r="AF71" s="107" t="n">
        <v>2.1848</v>
      </c>
      <c r="AG71" s="107" t="n">
        <v>855</v>
      </c>
      <c r="AH71" s="107" t="n">
        <v>3000000</v>
      </c>
      <c r="AI71" s="107" t="n">
        <v>5.1836</v>
      </c>
      <c r="AJ71" s="107" t="n">
        <v>97.667</v>
      </c>
      <c r="AK71" s="107" t="n">
        <v>4.288031</v>
      </c>
      <c r="AL71" s="107" t="n">
        <v>101.1987</v>
      </c>
      <c r="AM71" s="107" t="n">
        <v>5.5705</v>
      </c>
      <c r="AN71" s="107" t="n">
        <v>97.6739</v>
      </c>
      <c r="AO71" s="107" t="n">
        <v>1358.4</v>
      </c>
      <c r="AP71" s="107" t="n">
        <v>1</v>
      </c>
      <c r="AQ71" s="107" t="n">
        <v>2930217</v>
      </c>
      <c r="AR71" s="107" t="n">
        <v>3980406773</v>
      </c>
      <c r="AS71" s="107" t="n">
        <v>3013836</v>
      </c>
      <c r="AT71" s="107" t="n">
        <v>4324553276</v>
      </c>
      <c r="AU71" s="107" t="n">
        <v>-83619</v>
      </c>
      <c r="AV71" s="107" t="n">
        <v>-113588049</v>
      </c>
      <c r="AW71" s="107" t="n">
        <v>0</v>
      </c>
      <c r="AX71" s="107" t="n">
        <v>0</v>
      </c>
      <c r="AY71" s="107" t="n">
        <v>0</v>
      </c>
      <c r="AZ71" s="107" t="n">
        <v>0</v>
      </c>
      <c r="BA71" s="107" t="n">
        <v>0</v>
      </c>
      <c r="BB71" s="107" t="n">
        <v>0</v>
      </c>
      <c r="BC71" s="107" t="n">
        <v>0</v>
      </c>
      <c r="BD71" s="107" t="n">
        <v>0</v>
      </c>
      <c r="BE71" s="107" t="n">
        <v>22125</v>
      </c>
      <c r="BF71" s="107" t="n">
        <v>30054600</v>
      </c>
      <c r="BG71" s="107" t="n">
        <v>0</v>
      </c>
      <c r="BH71" s="107" t="n">
        <v>0</v>
      </c>
      <c r="BI71" s="107" t="n">
        <v>2930010</v>
      </c>
      <c r="BJ71" s="107" t="n">
        <v>4204271349</v>
      </c>
      <c r="BK71" s="107" t="n">
        <v>0</v>
      </c>
      <c r="BL71" s="107" t="n">
        <v>0</v>
      </c>
      <c r="BM71" s="107" t="n">
        <v>0</v>
      </c>
      <c r="BN71" s="107" t="n">
        <v>0</v>
      </c>
      <c r="BO71" s="107" t="s">
        <v>377</v>
      </c>
      <c r="BP71" s="2"/>
      <c r="BQ71" s="107" t="s">
        <v>369</v>
      </c>
      <c r="BR71" s="107" t="n">
        <v>-230558454</v>
      </c>
      <c r="BS71" s="107" t="n">
        <v>0</v>
      </c>
      <c r="BT71" s="107" t="n">
        <v>0</v>
      </c>
      <c r="BU71" s="107" t="n">
        <v>83826</v>
      </c>
      <c r="BV71" s="107" t="n">
        <v>120281927</v>
      </c>
      <c r="BW71" s="107" t="n">
        <v>22125</v>
      </c>
      <c r="BX71" s="107" t="n">
        <v>30054600</v>
      </c>
      <c r="BY71" s="107" t="n">
        <v>0</v>
      </c>
      <c r="BZ71" s="107" t="n">
        <v>0</v>
      </c>
      <c r="CA71" s="107" t="n">
        <v>1434.9</v>
      </c>
      <c r="CB71" s="2"/>
      <c r="CC71" s="107" t="n">
        <v>0</v>
      </c>
      <c r="CD71" s="107" t="n">
        <v>97.67</v>
      </c>
      <c r="CE71" s="107" t="n">
        <v>97.63</v>
      </c>
      <c r="CF71" s="107" t="n">
        <v>97.73</v>
      </c>
      <c r="CG71" s="107" t="n">
        <v>0</v>
      </c>
      <c r="CH71" s="107" t="n">
        <v>2.1256</v>
      </c>
      <c r="CI71" s="107" t="n">
        <v>100.59</v>
      </c>
      <c r="CJ71" s="107" t="n">
        <v>100.57</v>
      </c>
      <c r="CK71" s="107" t="n">
        <v>100.63</v>
      </c>
      <c r="CL71" s="107" t="n">
        <v>0</v>
      </c>
    </row>
    <row r="72" customFormat="false" ht="15" hidden="false" customHeight="false" outlineLevel="0" collapsed="false">
      <c r="A72" s="107" t="s">
        <v>497</v>
      </c>
      <c r="B72" s="107" t="n">
        <v>97.5495</v>
      </c>
      <c r="C72" s="107" t="n">
        <v>5.6277</v>
      </c>
      <c r="D72" s="107" t="n">
        <v>2.1272</v>
      </c>
      <c r="E72" s="107" t="n">
        <v>-415.0145928</v>
      </c>
      <c r="F72" s="108" t="s">
        <v>358</v>
      </c>
      <c r="G72" s="107" t="n">
        <v>2.1272</v>
      </c>
      <c r="H72" s="107" t="n">
        <v>-415.0145928</v>
      </c>
      <c r="I72" s="109" t="n">
        <v>47150</v>
      </c>
      <c r="J72" s="107" t="n">
        <v>3</v>
      </c>
      <c r="K72" s="107" t="s">
        <v>359</v>
      </c>
      <c r="L72" s="107" t="s">
        <v>298</v>
      </c>
      <c r="M72" s="107" t="n">
        <v>4254400</v>
      </c>
      <c r="N72" s="107" t="n">
        <v>98.01</v>
      </c>
      <c r="O72" s="107" t="n">
        <v>1950990</v>
      </c>
      <c r="P72" s="107" t="s">
        <v>498</v>
      </c>
      <c r="Q72" s="107" t="s">
        <v>377</v>
      </c>
      <c r="R72" s="107" t="n">
        <v>-0.0796691946963381</v>
      </c>
      <c r="S72" s="107" t="n">
        <v>-0.00469850015304574</v>
      </c>
      <c r="T72" s="107" t="n">
        <v>-426.7010229</v>
      </c>
      <c r="U72" s="107" t="n">
        <v>21069</v>
      </c>
      <c r="V72" s="108" t="s">
        <v>362</v>
      </c>
      <c r="W72" s="107" t="n">
        <v>28096</v>
      </c>
      <c r="X72" s="108" t="s">
        <v>372</v>
      </c>
      <c r="Y72" s="107" t="s">
        <v>497</v>
      </c>
      <c r="Z72" s="107" t="s">
        <v>499</v>
      </c>
      <c r="AA72" s="109" t="n">
        <v>45764</v>
      </c>
      <c r="AB72" s="107" t="n">
        <v>250417000001</v>
      </c>
      <c r="AC72" s="109" t="n">
        <v>43497</v>
      </c>
      <c r="AD72" s="109" t="n">
        <v>47150</v>
      </c>
      <c r="AE72" s="107" t="n">
        <v>4.5</v>
      </c>
      <c r="AF72" s="107" t="n">
        <v>2.1848</v>
      </c>
      <c r="AG72" s="107" t="n">
        <v>855</v>
      </c>
      <c r="AH72" s="107" t="n">
        <v>2000000</v>
      </c>
      <c r="AI72" s="107" t="n">
        <v>5.082</v>
      </c>
      <c r="AJ72" s="107" t="n">
        <v>98.01</v>
      </c>
      <c r="AK72" s="107" t="n">
        <v>4.288031</v>
      </c>
      <c r="AL72" s="107" t="n">
        <v>101.1987</v>
      </c>
      <c r="AM72" s="107" t="n">
        <v>5.5705</v>
      </c>
      <c r="AN72" s="107" t="n">
        <v>97.6739</v>
      </c>
      <c r="AO72" s="107" t="n">
        <v>1358.4</v>
      </c>
      <c r="AP72" s="107" t="n">
        <v>1</v>
      </c>
      <c r="AQ72" s="107" t="n">
        <v>1953478</v>
      </c>
      <c r="AR72" s="107" t="n">
        <v>2653604515</v>
      </c>
      <c r="AS72" s="107" t="n">
        <v>2009224</v>
      </c>
      <c r="AT72" s="107" t="n">
        <v>2883035518</v>
      </c>
      <c r="AU72" s="107" t="n">
        <v>-55746</v>
      </c>
      <c r="AV72" s="107" t="n">
        <v>-75725367</v>
      </c>
      <c r="AW72" s="107" t="n">
        <v>0</v>
      </c>
      <c r="AX72" s="107" t="n">
        <v>0</v>
      </c>
      <c r="AY72" s="107" t="n">
        <v>0</v>
      </c>
      <c r="AZ72" s="107" t="n">
        <v>0</v>
      </c>
      <c r="BA72" s="107" t="n">
        <v>0</v>
      </c>
      <c r="BB72" s="107" t="n">
        <v>0</v>
      </c>
      <c r="BC72" s="107" t="n">
        <v>0</v>
      </c>
      <c r="BD72" s="107" t="n">
        <v>0</v>
      </c>
      <c r="BE72" s="107" t="n">
        <v>14750</v>
      </c>
      <c r="BF72" s="107" t="n">
        <v>20036400</v>
      </c>
      <c r="BG72" s="107" t="n">
        <v>0</v>
      </c>
      <c r="BH72" s="107" t="n">
        <v>0</v>
      </c>
      <c r="BI72" s="107" t="n">
        <v>1960200</v>
      </c>
      <c r="BJ72" s="107" t="n">
        <v>2812690980</v>
      </c>
      <c r="BK72" s="107" t="n">
        <v>0</v>
      </c>
      <c r="BL72" s="107" t="n">
        <v>0</v>
      </c>
      <c r="BM72" s="107" t="n">
        <v>0</v>
      </c>
      <c r="BN72" s="107" t="n">
        <v>0</v>
      </c>
      <c r="BO72" s="107" t="s">
        <v>377</v>
      </c>
      <c r="BP72" s="2"/>
      <c r="BQ72" s="107" t="s">
        <v>369</v>
      </c>
      <c r="BR72" s="107" t="n">
        <v>-153705636</v>
      </c>
      <c r="BS72" s="107" t="n">
        <v>0</v>
      </c>
      <c r="BT72" s="107" t="n">
        <v>0</v>
      </c>
      <c r="BU72" s="107" t="n">
        <v>49024</v>
      </c>
      <c r="BV72" s="107" t="n">
        <v>70344538</v>
      </c>
      <c r="BW72" s="107" t="n">
        <v>14750</v>
      </c>
      <c r="BX72" s="107" t="n">
        <v>20036400</v>
      </c>
      <c r="BY72" s="107" t="n">
        <v>0</v>
      </c>
      <c r="BZ72" s="107" t="n">
        <v>0</v>
      </c>
      <c r="CA72" s="107" t="n">
        <v>1434.9</v>
      </c>
      <c r="CB72" s="2"/>
      <c r="CC72" s="107" t="n">
        <v>0</v>
      </c>
      <c r="CD72" s="107" t="n">
        <v>97.67</v>
      </c>
      <c r="CE72" s="107" t="n">
        <v>97.63</v>
      </c>
      <c r="CF72" s="107" t="n">
        <v>97.73</v>
      </c>
      <c r="CG72" s="107" t="n">
        <v>0</v>
      </c>
      <c r="CH72" s="107" t="n">
        <v>2.1256</v>
      </c>
      <c r="CI72" s="107" t="n">
        <v>99.76</v>
      </c>
      <c r="CJ72" s="107" t="n">
        <v>99.74</v>
      </c>
      <c r="CK72" s="107" t="n">
        <v>99.77</v>
      </c>
      <c r="CL72" s="107" t="n">
        <v>0</v>
      </c>
    </row>
    <row r="73" customFormat="false" ht="15" hidden="false" customHeight="false" outlineLevel="0" collapsed="false">
      <c r="A73" s="107" t="s">
        <v>497</v>
      </c>
      <c r="B73" s="107" t="n">
        <v>97.5495</v>
      </c>
      <c r="C73" s="107" t="n">
        <v>5.6277</v>
      </c>
      <c r="D73" s="107" t="n">
        <v>2.1272</v>
      </c>
      <c r="E73" s="107" t="n">
        <v>-871.53064488</v>
      </c>
      <c r="F73" s="108" t="s">
        <v>358</v>
      </c>
      <c r="G73" s="107" t="n">
        <v>2.1272</v>
      </c>
      <c r="H73" s="107" t="n">
        <v>-871.53064488</v>
      </c>
      <c r="I73" s="109" t="n">
        <v>47150</v>
      </c>
      <c r="J73" s="107" t="n">
        <v>3</v>
      </c>
      <c r="K73" s="107" t="s">
        <v>359</v>
      </c>
      <c r="L73" s="107" t="s">
        <v>298</v>
      </c>
      <c r="M73" s="107" t="n">
        <v>8934240</v>
      </c>
      <c r="N73" s="107" t="n">
        <v>98.22</v>
      </c>
      <c r="O73" s="107" t="n">
        <v>4097079</v>
      </c>
      <c r="P73" s="107" t="s">
        <v>498</v>
      </c>
      <c r="Q73" s="107" t="s">
        <v>377</v>
      </c>
      <c r="R73" s="107" t="n">
        <v>-0.0796691945747294</v>
      </c>
      <c r="S73" s="107" t="n">
        <v>-0.00682651191203421</v>
      </c>
      <c r="T73" s="107" t="n">
        <v>-896.07214809</v>
      </c>
      <c r="U73" s="107" t="n">
        <v>21069</v>
      </c>
      <c r="V73" s="108" t="s">
        <v>362</v>
      </c>
      <c r="W73" s="107" t="n">
        <v>28096</v>
      </c>
      <c r="X73" s="108" t="s">
        <v>372</v>
      </c>
      <c r="Y73" s="107" t="s">
        <v>497</v>
      </c>
      <c r="Z73" s="107" t="s">
        <v>499</v>
      </c>
      <c r="AA73" s="109" t="n">
        <v>45797</v>
      </c>
      <c r="AB73" s="107" t="n">
        <v>250520000001</v>
      </c>
      <c r="AC73" s="109" t="n">
        <v>43497</v>
      </c>
      <c r="AD73" s="109" t="n">
        <v>47150</v>
      </c>
      <c r="AE73" s="107" t="n">
        <v>4.5</v>
      </c>
      <c r="AF73" s="107" t="n">
        <v>2.1848</v>
      </c>
      <c r="AG73" s="107" t="n">
        <v>855</v>
      </c>
      <c r="AH73" s="107" t="n">
        <v>4200000</v>
      </c>
      <c r="AI73" s="107" t="n">
        <v>5.0316</v>
      </c>
      <c r="AJ73" s="107" t="n">
        <v>98.22</v>
      </c>
      <c r="AK73" s="107" t="n">
        <v>4.288031</v>
      </c>
      <c r="AL73" s="107" t="n">
        <v>101.1987</v>
      </c>
      <c r="AM73" s="107" t="n">
        <v>5.5705</v>
      </c>
      <c r="AN73" s="107" t="n">
        <v>97.6739</v>
      </c>
      <c r="AO73" s="107" t="n">
        <v>1358.4</v>
      </c>
      <c r="AP73" s="107" t="n">
        <v>1</v>
      </c>
      <c r="AQ73" s="107" t="n">
        <v>4102303.8</v>
      </c>
      <c r="AR73" s="107" t="n">
        <v>5572569482</v>
      </c>
      <c r="AS73" s="107" t="n">
        <v>4219370.4</v>
      </c>
      <c r="AT73" s="107" t="n">
        <v>6054374587</v>
      </c>
      <c r="AU73" s="107" t="n">
        <v>-117066.6</v>
      </c>
      <c r="AV73" s="107" t="n">
        <v>-159023269</v>
      </c>
      <c r="AW73" s="107" t="n">
        <v>0</v>
      </c>
      <c r="AX73" s="107" t="n">
        <v>0</v>
      </c>
      <c r="AY73" s="107" t="n">
        <v>0</v>
      </c>
      <c r="AZ73" s="107" t="n">
        <v>0</v>
      </c>
      <c r="BA73" s="107" t="n">
        <v>0</v>
      </c>
      <c r="BB73" s="107" t="n">
        <v>0</v>
      </c>
      <c r="BC73" s="107" t="n">
        <v>0</v>
      </c>
      <c r="BD73" s="107" t="n">
        <v>0</v>
      </c>
      <c r="BE73" s="107" t="n">
        <v>30975</v>
      </c>
      <c r="BF73" s="107" t="n">
        <v>42076440</v>
      </c>
      <c r="BG73" s="107" t="n">
        <v>0</v>
      </c>
      <c r="BH73" s="107" t="n">
        <v>0</v>
      </c>
      <c r="BI73" s="107" t="n">
        <v>4125240</v>
      </c>
      <c r="BJ73" s="107" t="n">
        <v>5919306876</v>
      </c>
      <c r="BK73" s="107" t="n">
        <v>0</v>
      </c>
      <c r="BL73" s="107" t="n">
        <v>0</v>
      </c>
      <c r="BM73" s="107" t="n">
        <v>0</v>
      </c>
      <c r="BN73" s="107" t="n">
        <v>0</v>
      </c>
      <c r="BO73" s="107" t="s">
        <v>377</v>
      </c>
      <c r="BP73" s="2"/>
      <c r="BQ73" s="107" t="s">
        <v>369</v>
      </c>
      <c r="BR73" s="107" t="n">
        <v>-322781836</v>
      </c>
      <c r="BS73" s="107" t="n">
        <v>0</v>
      </c>
      <c r="BT73" s="107" t="n">
        <v>0</v>
      </c>
      <c r="BU73" s="107" t="n">
        <v>94130.4</v>
      </c>
      <c r="BV73" s="107" t="n">
        <v>135067711</v>
      </c>
      <c r="BW73" s="107" t="n">
        <v>30975</v>
      </c>
      <c r="BX73" s="107" t="n">
        <v>42076440</v>
      </c>
      <c r="BY73" s="107" t="n">
        <v>0</v>
      </c>
      <c r="BZ73" s="107" t="n">
        <v>0</v>
      </c>
      <c r="CA73" s="107" t="n">
        <v>1434.9</v>
      </c>
      <c r="CB73" s="2"/>
      <c r="CC73" s="107" t="n">
        <v>0</v>
      </c>
      <c r="CD73" s="107" t="n">
        <v>97.67</v>
      </c>
      <c r="CE73" s="107" t="n">
        <v>97.63</v>
      </c>
      <c r="CF73" s="107" t="n">
        <v>97.73</v>
      </c>
      <c r="CG73" s="107" t="n">
        <v>0</v>
      </c>
      <c r="CH73" s="107" t="n">
        <v>2.1256</v>
      </c>
      <c r="CI73" s="107" t="n">
        <v>97.37</v>
      </c>
      <c r="CJ73" s="107" t="n">
        <v>97.33</v>
      </c>
      <c r="CK73" s="107" t="n">
        <v>97.39</v>
      </c>
      <c r="CL73" s="107" t="n">
        <v>0</v>
      </c>
    </row>
    <row r="74" customFormat="false" ht="15" hidden="false" customHeight="false" outlineLevel="0" collapsed="false">
      <c r="A74" s="107" t="s">
        <v>497</v>
      </c>
      <c r="B74" s="107" t="n">
        <v>97.5495</v>
      </c>
      <c r="C74" s="107" t="n">
        <v>5.6277</v>
      </c>
      <c r="D74" s="107" t="n">
        <v>2.1272</v>
      </c>
      <c r="E74" s="107" t="n">
        <v>-1867.5656676</v>
      </c>
      <c r="F74" s="108" t="s">
        <v>358</v>
      </c>
      <c r="G74" s="107" t="n">
        <v>2.1272</v>
      </c>
      <c r="H74" s="107" t="n">
        <v>-1867.5656676</v>
      </c>
      <c r="I74" s="109" t="n">
        <v>47150</v>
      </c>
      <c r="J74" s="107" t="n">
        <v>3</v>
      </c>
      <c r="K74" s="107" t="s">
        <v>359</v>
      </c>
      <c r="L74" s="107" t="s">
        <v>298</v>
      </c>
      <c r="M74" s="107" t="n">
        <v>19144800</v>
      </c>
      <c r="N74" s="107" t="n">
        <v>98.242</v>
      </c>
      <c r="O74" s="107" t="n">
        <v>8779455</v>
      </c>
      <c r="P74" s="107" t="s">
        <v>498</v>
      </c>
      <c r="Q74" s="107" t="s">
        <v>377</v>
      </c>
      <c r="R74" s="107" t="n">
        <v>-0.0796691945544613</v>
      </c>
      <c r="S74" s="107" t="n">
        <v>-0.0070489200138435</v>
      </c>
      <c r="T74" s="107" t="n">
        <v>-1920.15460305</v>
      </c>
      <c r="U74" s="107" t="n">
        <v>21069</v>
      </c>
      <c r="V74" s="108" t="s">
        <v>362</v>
      </c>
      <c r="W74" s="107" t="n">
        <v>28096</v>
      </c>
      <c r="X74" s="108" t="s">
        <v>372</v>
      </c>
      <c r="Y74" s="107" t="s">
        <v>497</v>
      </c>
      <c r="Z74" s="107" t="s">
        <v>499</v>
      </c>
      <c r="AA74" s="109" t="n">
        <v>45797</v>
      </c>
      <c r="AB74" s="107" t="n">
        <v>250520000003</v>
      </c>
      <c r="AC74" s="109" t="n">
        <v>43497</v>
      </c>
      <c r="AD74" s="109" t="n">
        <v>47150</v>
      </c>
      <c r="AE74" s="107" t="n">
        <v>4.5</v>
      </c>
      <c r="AF74" s="107" t="n">
        <v>2.1848</v>
      </c>
      <c r="AG74" s="107" t="n">
        <v>855</v>
      </c>
      <c r="AH74" s="107" t="n">
        <v>9000000</v>
      </c>
      <c r="AI74" s="107" t="n">
        <v>5.025</v>
      </c>
      <c r="AJ74" s="107" t="n">
        <v>98.242</v>
      </c>
      <c r="AK74" s="107" t="n">
        <v>4.288031</v>
      </c>
      <c r="AL74" s="107" t="n">
        <v>101.1987</v>
      </c>
      <c r="AM74" s="107" t="n">
        <v>5.5705</v>
      </c>
      <c r="AN74" s="107" t="n">
        <v>97.6739</v>
      </c>
      <c r="AO74" s="107" t="n">
        <v>1358.4</v>
      </c>
      <c r="AP74" s="107" t="n">
        <v>1</v>
      </c>
      <c r="AQ74" s="107" t="n">
        <v>8790651</v>
      </c>
      <c r="AR74" s="107" t="n">
        <v>11941220318</v>
      </c>
      <c r="AS74" s="107" t="n">
        <v>9041508</v>
      </c>
      <c r="AT74" s="107" t="n">
        <v>12973659829</v>
      </c>
      <c r="AU74" s="107" t="n">
        <v>-250857</v>
      </c>
      <c r="AV74" s="107" t="n">
        <v>-340764149</v>
      </c>
      <c r="AW74" s="107" t="n">
        <v>0</v>
      </c>
      <c r="AX74" s="107" t="n">
        <v>0</v>
      </c>
      <c r="AY74" s="107" t="n">
        <v>0</v>
      </c>
      <c r="AZ74" s="107" t="n">
        <v>0</v>
      </c>
      <c r="BA74" s="107" t="n">
        <v>0</v>
      </c>
      <c r="BB74" s="107" t="n">
        <v>0</v>
      </c>
      <c r="BC74" s="107" t="n">
        <v>0</v>
      </c>
      <c r="BD74" s="107" t="n">
        <v>0</v>
      </c>
      <c r="BE74" s="107" t="n">
        <v>66375</v>
      </c>
      <c r="BF74" s="107" t="n">
        <v>90163800</v>
      </c>
      <c r="BG74" s="107" t="n">
        <v>0</v>
      </c>
      <c r="BH74" s="107" t="n">
        <v>0</v>
      </c>
      <c r="BI74" s="107" t="n">
        <v>8841780</v>
      </c>
      <c r="BJ74" s="107" t="n">
        <v>12687070122</v>
      </c>
      <c r="BK74" s="107" t="n">
        <v>0</v>
      </c>
      <c r="BL74" s="107" t="n">
        <v>0</v>
      </c>
      <c r="BM74" s="107" t="n">
        <v>0</v>
      </c>
      <c r="BN74" s="107" t="n">
        <v>0</v>
      </c>
      <c r="BO74" s="107" t="s">
        <v>377</v>
      </c>
      <c r="BP74" s="2"/>
      <c r="BQ74" s="107" t="s">
        <v>369</v>
      </c>
      <c r="BR74" s="107" t="n">
        <v>-691675362</v>
      </c>
      <c r="BS74" s="107" t="n">
        <v>0</v>
      </c>
      <c r="BT74" s="107" t="n">
        <v>0</v>
      </c>
      <c r="BU74" s="107" t="n">
        <v>199728</v>
      </c>
      <c r="BV74" s="107" t="n">
        <v>286589707</v>
      </c>
      <c r="BW74" s="107" t="n">
        <v>66375</v>
      </c>
      <c r="BX74" s="107" t="n">
        <v>90163800</v>
      </c>
      <c r="BY74" s="107" t="n">
        <v>0</v>
      </c>
      <c r="BZ74" s="107" t="n">
        <v>0</v>
      </c>
      <c r="CA74" s="107" t="n">
        <v>1434.9</v>
      </c>
      <c r="CB74" s="2"/>
      <c r="CC74" s="107" t="n">
        <v>0</v>
      </c>
      <c r="CD74" s="107" t="n">
        <v>97.67</v>
      </c>
      <c r="CE74" s="107" t="n">
        <v>97.63</v>
      </c>
      <c r="CF74" s="107" t="n">
        <v>97.73</v>
      </c>
      <c r="CG74" s="107" t="n">
        <v>0</v>
      </c>
      <c r="CH74" s="107" t="n">
        <v>2.1256</v>
      </c>
      <c r="CI74" s="107" t="n">
        <v>100.83</v>
      </c>
      <c r="CJ74" s="107" t="n">
        <v>100.79</v>
      </c>
      <c r="CK74" s="107" t="n">
        <v>100.82</v>
      </c>
      <c r="CL74" s="107" t="n">
        <v>0</v>
      </c>
    </row>
    <row r="75" customFormat="false" ht="15" hidden="false" customHeight="false" outlineLevel="0" collapsed="false">
      <c r="A75" s="107" t="s">
        <v>497</v>
      </c>
      <c r="B75" s="107" t="n">
        <v>97.5495</v>
      </c>
      <c r="C75" s="107" t="n">
        <v>5.6277</v>
      </c>
      <c r="D75" s="107" t="n">
        <v>2.1272</v>
      </c>
      <c r="E75" s="107" t="n">
        <v>-269.75948532</v>
      </c>
      <c r="F75" s="108" t="s">
        <v>358</v>
      </c>
      <c r="G75" s="107" t="n">
        <v>2.1272</v>
      </c>
      <c r="H75" s="107" t="n">
        <v>-269.75948532</v>
      </c>
      <c r="I75" s="109" t="n">
        <v>47150</v>
      </c>
      <c r="J75" s="107" t="n">
        <v>3</v>
      </c>
      <c r="K75" s="107" t="s">
        <v>359</v>
      </c>
      <c r="L75" s="107" t="s">
        <v>298</v>
      </c>
      <c r="M75" s="107" t="n">
        <v>2765360</v>
      </c>
      <c r="N75" s="107" t="n">
        <v>99.343</v>
      </c>
      <c r="O75" s="107" t="n">
        <v>1268143.5</v>
      </c>
      <c r="P75" s="107" t="s">
        <v>498</v>
      </c>
      <c r="Q75" s="107" t="s">
        <v>377</v>
      </c>
      <c r="R75" s="107" t="n">
        <v>-0.117526539455295</v>
      </c>
      <c r="S75" s="107" t="n">
        <v>-0.0180536122323668</v>
      </c>
      <c r="T75" s="107" t="n">
        <v>-277.355664885</v>
      </c>
      <c r="U75" s="107" t="n">
        <v>21069</v>
      </c>
      <c r="V75" s="108" t="s">
        <v>362</v>
      </c>
      <c r="W75" s="107" t="n">
        <v>28096</v>
      </c>
      <c r="X75" s="108" t="s">
        <v>372</v>
      </c>
      <c r="Y75" s="107" t="s">
        <v>497</v>
      </c>
      <c r="Z75" s="107" t="s">
        <v>499</v>
      </c>
      <c r="AA75" s="109" t="n">
        <v>46170</v>
      </c>
      <c r="AB75" s="107" t="n">
        <v>260528000001</v>
      </c>
      <c r="AC75" s="109" t="n">
        <v>43497</v>
      </c>
      <c r="AD75" s="109" t="n">
        <v>47150</v>
      </c>
      <c r="AE75" s="107" t="n">
        <v>4.5</v>
      </c>
      <c r="AF75" s="107" t="n">
        <v>2.1848</v>
      </c>
      <c r="AG75" s="107" t="n">
        <v>855</v>
      </c>
      <c r="AH75" s="107" t="n">
        <v>1300000</v>
      </c>
      <c r="AI75" s="107" t="n">
        <v>4.762064</v>
      </c>
      <c r="AJ75" s="107" t="n">
        <v>99.343</v>
      </c>
      <c r="AK75" s="107" t="n">
        <v>4.797963</v>
      </c>
      <c r="AL75" s="107" t="n">
        <v>100.0805</v>
      </c>
      <c r="AM75" s="107" t="n">
        <v>5.5705</v>
      </c>
      <c r="AN75" s="107" t="n">
        <v>97.6739</v>
      </c>
      <c r="AO75" s="107" t="n">
        <v>1358.4</v>
      </c>
      <c r="AP75" s="107" t="n">
        <v>1</v>
      </c>
      <c r="AQ75" s="107" t="n">
        <v>1269760.7</v>
      </c>
      <c r="AR75" s="107" t="n">
        <v>1724842935</v>
      </c>
      <c r="AS75" s="107" t="n">
        <v>1291459</v>
      </c>
      <c r="AT75" s="107" t="n">
        <v>1954364904</v>
      </c>
      <c r="AU75" s="107" t="n">
        <v>-21698.3</v>
      </c>
      <c r="AV75" s="107" t="n">
        <v>-29474971</v>
      </c>
      <c r="AW75" s="107" t="n">
        <v>0</v>
      </c>
      <c r="AX75" s="107" t="n">
        <v>0</v>
      </c>
      <c r="AY75" s="107" t="n">
        <v>0</v>
      </c>
      <c r="AZ75" s="107" t="n">
        <v>0</v>
      </c>
      <c r="BA75" s="107" t="n">
        <v>0</v>
      </c>
      <c r="BB75" s="107" t="n">
        <v>0</v>
      </c>
      <c r="BC75" s="107" t="n">
        <v>0</v>
      </c>
      <c r="BD75" s="107" t="n">
        <v>0</v>
      </c>
      <c r="BE75" s="107" t="n">
        <v>9587.5</v>
      </c>
      <c r="BF75" s="107" t="n">
        <v>13023660</v>
      </c>
      <c r="BG75" s="107" t="n">
        <v>0</v>
      </c>
      <c r="BH75" s="107" t="n">
        <v>0</v>
      </c>
      <c r="BI75" s="107" t="n">
        <v>1291459</v>
      </c>
      <c r="BJ75" s="107" t="n">
        <v>1954364904</v>
      </c>
      <c r="BK75" s="107" t="n">
        <v>0</v>
      </c>
      <c r="BL75" s="107" t="n">
        <v>0</v>
      </c>
      <c r="BM75" s="107" t="n">
        <v>0</v>
      </c>
      <c r="BN75" s="107" t="n">
        <v>0</v>
      </c>
      <c r="BO75" s="107" t="s">
        <v>377</v>
      </c>
      <c r="BP75" s="2"/>
      <c r="BQ75" s="107" t="s">
        <v>369</v>
      </c>
      <c r="BR75" s="107" t="n">
        <v>-200046998</v>
      </c>
      <c r="BS75" s="107" t="n">
        <v>0</v>
      </c>
      <c r="BT75" s="107" t="n">
        <v>0</v>
      </c>
      <c r="BU75" s="107" t="n">
        <v>0</v>
      </c>
      <c r="BV75" s="107" t="n">
        <v>0</v>
      </c>
      <c r="BW75" s="107" t="n">
        <v>9587.5</v>
      </c>
      <c r="BX75" s="107" t="n">
        <v>13023660</v>
      </c>
      <c r="BY75" s="107" t="n">
        <v>0</v>
      </c>
      <c r="BZ75" s="107" t="n">
        <v>0</v>
      </c>
      <c r="CA75" s="107" t="n">
        <v>1513.3</v>
      </c>
      <c r="CB75" s="2"/>
      <c r="CC75" s="107" t="n">
        <v>0</v>
      </c>
      <c r="CD75" s="107" t="n">
        <v>97.67</v>
      </c>
      <c r="CE75" s="107" t="n">
        <v>97.63</v>
      </c>
      <c r="CF75" s="107" t="n">
        <v>97.73</v>
      </c>
      <c r="CG75" s="107" t="n">
        <v>1300000</v>
      </c>
      <c r="CH75" s="107" t="n">
        <v>2.1256</v>
      </c>
      <c r="CI75" s="107" t="n">
        <v>100.49</v>
      </c>
      <c r="CJ75" s="107" t="n">
        <v>100.56</v>
      </c>
      <c r="CK75" s="107" t="n">
        <v>100.56</v>
      </c>
      <c r="CL75" s="107" t="n">
        <v>0</v>
      </c>
    </row>
    <row r="76" customFormat="false" ht="15" hidden="false" customHeight="false" outlineLevel="0" collapsed="false">
      <c r="A76" s="107" t="s">
        <v>500</v>
      </c>
      <c r="B76" s="107" t="n">
        <v>100.144</v>
      </c>
      <c r="C76" s="107" t="n">
        <v>5.331</v>
      </c>
      <c r="D76" s="107" t="n">
        <v>0.0994</v>
      </c>
      <c r="E76" s="107" t="n">
        <v>-49.771568</v>
      </c>
      <c r="F76" s="108" t="s">
        <v>358</v>
      </c>
      <c r="G76" s="107" t="n">
        <v>0.0994</v>
      </c>
      <c r="H76" s="107" t="n">
        <v>-49.771568</v>
      </c>
      <c r="I76" s="109" t="n">
        <v>46332</v>
      </c>
      <c r="J76" s="107" t="n">
        <v>1</v>
      </c>
      <c r="K76" s="107" t="s">
        <v>359</v>
      </c>
      <c r="L76" s="107" t="s">
        <v>298</v>
      </c>
      <c r="M76" s="107" t="n">
        <v>497000</v>
      </c>
      <c r="N76" s="107" t="n">
        <v>102.64</v>
      </c>
      <c r="O76" s="107" t="n">
        <v>5007200</v>
      </c>
      <c r="P76" s="107" t="s">
        <v>501</v>
      </c>
      <c r="Q76" s="107" t="s">
        <v>107</v>
      </c>
      <c r="R76" s="107" t="n">
        <v>-0.0702207528561035</v>
      </c>
      <c r="S76" s="107" t="n">
        <v>-0.0243180046765393</v>
      </c>
      <c r="T76" s="107" t="n">
        <v>-51.123512</v>
      </c>
      <c r="U76" s="107" t="n">
        <v>21069</v>
      </c>
      <c r="V76" s="108" t="s">
        <v>362</v>
      </c>
      <c r="W76" s="107" t="n">
        <v>28096</v>
      </c>
      <c r="X76" s="108" t="s">
        <v>372</v>
      </c>
      <c r="Y76" s="107" t="s">
        <v>500</v>
      </c>
      <c r="Z76" s="107" t="s">
        <v>502</v>
      </c>
      <c r="AA76" s="109" t="n">
        <v>45768</v>
      </c>
      <c r="AB76" s="107" t="n">
        <v>250421000001</v>
      </c>
      <c r="AC76" s="109" t="n">
        <v>45236</v>
      </c>
      <c r="AD76" s="109" t="n">
        <v>46332</v>
      </c>
      <c r="AE76" s="107" t="n">
        <v>6.875</v>
      </c>
      <c r="AF76" s="107" t="n">
        <v>0.0994</v>
      </c>
      <c r="AG76" s="107" t="n">
        <v>37</v>
      </c>
      <c r="AH76" s="107" t="n">
        <v>5000000</v>
      </c>
      <c r="AI76" s="107" t="n">
        <v>5.0709</v>
      </c>
      <c r="AJ76" s="107" t="n">
        <v>102.64</v>
      </c>
      <c r="AK76" s="107" t="n">
        <v>-12.980657</v>
      </c>
      <c r="AL76" s="107" t="n">
        <v>104.8351</v>
      </c>
      <c r="AM76" s="107" t="n">
        <v>5.2818</v>
      </c>
      <c r="AN76" s="107" t="n">
        <v>100.1449</v>
      </c>
      <c r="AO76" s="107" t="n">
        <v>1358.4</v>
      </c>
      <c r="AP76" s="107" t="n">
        <v>1</v>
      </c>
      <c r="AQ76" s="107" t="n">
        <v>5007245</v>
      </c>
      <c r="AR76" s="107" t="n">
        <v>6801841608</v>
      </c>
      <c r="AS76" s="107" t="n">
        <v>5104255</v>
      </c>
      <c r="AT76" s="107" t="n">
        <v>7324095500</v>
      </c>
      <c r="AU76" s="107" t="n">
        <v>-97010</v>
      </c>
      <c r="AV76" s="107" t="n">
        <v>-131778384</v>
      </c>
      <c r="AW76" s="107" t="n">
        <v>0</v>
      </c>
      <c r="AX76" s="107" t="n">
        <v>0</v>
      </c>
      <c r="AY76" s="107" t="n">
        <v>0</v>
      </c>
      <c r="AZ76" s="107" t="n">
        <v>0</v>
      </c>
      <c r="BA76" s="107" t="n">
        <v>0</v>
      </c>
      <c r="BB76" s="107" t="n">
        <v>0</v>
      </c>
      <c r="BC76" s="107" t="n">
        <v>0</v>
      </c>
      <c r="BD76" s="107" t="n">
        <v>0</v>
      </c>
      <c r="BE76" s="107" t="n">
        <v>137500</v>
      </c>
      <c r="BF76" s="107" t="n">
        <v>186780000</v>
      </c>
      <c r="BG76" s="107" t="n">
        <v>0</v>
      </c>
      <c r="BH76" s="107" t="n">
        <v>0</v>
      </c>
      <c r="BI76" s="107" t="n">
        <v>5132000</v>
      </c>
      <c r="BJ76" s="107" t="n">
        <v>7363906800</v>
      </c>
      <c r="BK76" s="107" t="n">
        <v>0</v>
      </c>
      <c r="BL76" s="107" t="n">
        <v>0</v>
      </c>
      <c r="BM76" s="107" t="n">
        <v>0</v>
      </c>
      <c r="BN76" s="107" t="n">
        <v>0</v>
      </c>
      <c r="BO76" s="107" t="s">
        <v>107</v>
      </c>
      <c r="BP76" s="2"/>
      <c r="BQ76" s="107" t="s">
        <v>369</v>
      </c>
      <c r="BR76" s="107" t="n">
        <v>-390475508</v>
      </c>
      <c r="BS76" s="107" t="n">
        <v>0</v>
      </c>
      <c r="BT76" s="107" t="n">
        <v>0</v>
      </c>
      <c r="BU76" s="107" t="n">
        <v>-27745</v>
      </c>
      <c r="BV76" s="107" t="n">
        <v>-39811300</v>
      </c>
      <c r="BW76" s="107" t="n">
        <v>137500</v>
      </c>
      <c r="BX76" s="107" t="n">
        <v>186780000</v>
      </c>
      <c r="BY76" s="107" t="n">
        <v>0</v>
      </c>
      <c r="BZ76" s="107" t="n">
        <v>0</v>
      </c>
      <c r="CA76" s="107" t="n">
        <v>1434.9</v>
      </c>
      <c r="CB76" s="2"/>
      <c r="CC76" s="107" t="n">
        <v>0</v>
      </c>
      <c r="CD76" s="107" t="n">
        <v>100.14</v>
      </c>
      <c r="CE76" s="107" t="n">
        <v>100.15</v>
      </c>
      <c r="CF76" s="107" t="n">
        <v>100.14</v>
      </c>
      <c r="CG76" s="107" t="n">
        <v>0</v>
      </c>
      <c r="CH76" s="107" t="n">
        <v>0.0968</v>
      </c>
      <c r="CI76" s="107" t="n">
        <v>99.07</v>
      </c>
      <c r="CJ76" s="107" t="n">
        <v>99.15</v>
      </c>
      <c r="CK76" s="107" t="n">
        <v>99.11</v>
      </c>
      <c r="CL76" s="107" t="n">
        <v>0</v>
      </c>
    </row>
    <row r="77" customFormat="false" ht="15" hidden="false" customHeight="false" outlineLevel="0" collapsed="false">
      <c r="A77" s="107" t="s">
        <v>503</v>
      </c>
      <c r="B77" s="107" t="n">
        <v>99.4217</v>
      </c>
      <c r="C77" s="107" t="n">
        <v>5.6702</v>
      </c>
      <c r="D77" s="107" t="n">
        <v>1.332</v>
      </c>
      <c r="E77" s="107" t="n">
        <v>-264.8594088</v>
      </c>
      <c r="F77" s="108" t="s">
        <v>358</v>
      </c>
      <c r="G77" s="107" t="n">
        <v>1.332</v>
      </c>
      <c r="H77" s="107" t="n">
        <v>-264.8594088</v>
      </c>
      <c r="I77" s="109" t="n">
        <v>46818</v>
      </c>
      <c r="J77" s="107" t="n">
        <v>2</v>
      </c>
      <c r="K77" s="107" t="s">
        <v>359</v>
      </c>
      <c r="L77" s="107" t="s">
        <v>298</v>
      </c>
      <c r="M77" s="107" t="n">
        <v>2664000</v>
      </c>
      <c r="N77" s="107" t="n">
        <v>100.192</v>
      </c>
      <c r="O77" s="107" t="n">
        <v>1988434</v>
      </c>
      <c r="P77" s="107" t="s">
        <v>504</v>
      </c>
      <c r="Q77" s="107" t="s">
        <v>505</v>
      </c>
      <c r="R77" s="107" t="n">
        <v>-0.0752083941029951</v>
      </c>
      <c r="S77" s="107" t="n">
        <v>-0.00768823858192258</v>
      </c>
      <c r="T77" s="107" t="n">
        <v>-272.37568932</v>
      </c>
      <c r="U77" s="107" t="n">
        <v>21069</v>
      </c>
      <c r="V77" s="108" t="s">
        <v>362</v>
      </c>
      <c r="W77" s="107" t="n">
        <v>28096</v>
      </c>
      <c r="X77" s="108" t="s">
        <v>372</v>
      </c>
      <c r="Y77" s="107" t="s">
        <v>503</v>
      </c>
      <c r="Z77" s="107" t="s">
        <v>506</v>
      </c>
      <c r="AA77" s="109" t="n">
        <v>45791</v>
      </c>
      <c r="AB77" s="107" t="n">
        <v>250514000001</v>
      </c>
      <c r="AC77" s="109" t="n">
        <v>45722</v>
      </c>
      <c r="AD77" s="109" t="n">
        <v>46818</v>
      </c>
      <c r="AE77" s="107" t="n">
        <v>5.25</v>
      </c>
      <c r="AF77" s="107" t="n">
        <v>1.3672</v>
      </c>
      <c r="AG77" s="107" t="n">
        <v>523</v>
      </c>
      <c r="AH77" s="107" t="n">
        <v>2000000</v>
      </c>
      <c r="AI77" s="107" t="n">
        <v>5.172692</v>
      </c>
      <c r="AJ77" s="107" t="n">
        <v>100.192</v>
      </c>
      <c r="AK77" s="107" t="n">
        <v>3.875687</v>
      </c>
      <c r="AL77" s="107" t="n">
        <v>102.2454</v>
      </c>
      <c r="AM77" s="107" t="n">
        <v>5.6181</v>
      </c>
      <c r="AN77" s="107" t="n">
        <v>99.493</v>
      </c>
      <c r="AO77" s="107" t="n">
        <v>1358.4</v>
      </c>
      <c r="AP77" s="107" t="n">
        <v>1</v>
      </c>
      <c r="AQ77" s="107" t="n">
        <v>1989860</v>
      </c>
      <c r="AR77" s="107" t="n">
        <v>2703025824</v>
      </c>
      <c r="AS77" s="107" t="n">
        <v>2037908</v>
      </c>
      <c r="AT77" s="107" t="n">
        <v>2924194189</v>
      </c>
      <c r="AU77" s="107" t="n">
        <v>-48048</v>
      </c>
      <c r="AV77" s="107" t="n">
        <v>-65268403</v>
      </c>
      <c r="AW77" s="107" t="n">
        <v>0</v>
      </c>
      <c r="AX77" s="107" t="n">
        <v>0</v>
      </c>
      <c r="AY77" s="107" t="n">
        <v>0</v>
      </c>
      <c r="AZ77" s="107" t="n">
        <v>0</v>
      </c>
      <c r="BA77" s="107" t="n">
        <v>0</v>
      </c>
      <c r="BB77" s="107" t="n">
        <v>0</v>
      </c>
      <c r="BC77" s="107" t="n">
        <v>0</v>
      </c>
      <c r="BD77" s="107" t="n">
        <v>0</v>
      </c>
      <c r="BE77" s="107" t="n">
        <v>7000</v>
      </c>
      <c r="BF77" s="107" t="n">
        <v>9508800</v>
      </c>
      <c r="BG77" s="107" t="n">
        <v>0</v>
      </c>
      <c r="BH77" s="107" t="n">
        <v>0</v>
      </c>
      <c r="BI77" s="107" t="n">
        <v>4007680</v>
      </c>
      <c r="BJ77" s="107" t="n">
        <v>5750620032</v>
      </c>
      <c r="BK77" s="107" t="n">
        <v>0</v>
      </c>
      <c r="BL77" s="107" t="n">
        <v>0</v>
      </c>
      <c r="BM77" s="107" t="n">
        <v>0</v>
      </c>
      <c r="BN77" s="107" t="n">
        <v>0</v>
      </c>
      <c r="BO77" s="2"/>
      <c r="BP77" s="2"/>
      <c r="BQ77" s="107" t="s">
        <v>369</v>
      </c>
      <c r="BR77" s="107" t="n">
        <v>-155899962</v>
      </c>
      <c r="BS77" s="107" t="n">
        <v>0</v>
      </c>
      <c r="BT77" s="107" t="n">
        <v>0</v>
      </c>
      <c r="BU77" s="107" t="n">
        <v>68136</v>
      </c>
      <c r="BV77" s="107" t="n">
        <v>97768346</v>
      </c>
      <c r="BW77" s="107" t="n">
        <v>7000</v>
      </c>
      <c r="BX77" s="107" t="n">
        <v>9508800</v>
      </c>
      <c r="BY77" s="107" t="n">
        <v>0</v>
      </c>
      <c r="BZ77" s="107" t="n">
        <v>0</v>
      </c>
      <c r="CA77" s="107" t="n">
        <v>1434.9</v>
      </c>
      <c r="CB77" s="2"/>
      <c r="CC77" s="107" t="n">
        <v>0</v>
      </c>
      <c r="CD77" s="107" t="n">
        <v>99.48</v>
      </c>
      <c r="CE77" s="107" t="n">
        <v>99.53</v>
      </c>
      <c r="CF77" s="107" t="n">
        <v>99.46</v>
      </c>
      <c r="CG77" s="107" t="n">
        <v>0</v>
      </c>
      <c r="CH77" s="107" t="n">
        <v>1.3298</v>
      </c>
      <c r="CI77" s="107" t="n">
        <v>99.07</v>
      </c>
      <c r="CJ77" s="107" t="n">
        <v>99.15</v>
      </c>
      <c r="CK77" s="107" t="n">
        <v>99.11</v>
      </c>
      <c r="CL77" s="107" t="n">
        <v>0</v>
      </c>
    </row>
    <row r="78" customFormat="false" ht="15" hidden="false" customHeight="false" outlineLevel="0" collapsed="false">
      <c r="A78" s="107" t="s">
        <v>503</v>
      </c>
      <c r="B78" s="107" t="n">
        <v>99.4217</v>
      </c>
      <c r="C78" s="107" t="n">
        <v>5.6702</v>
      </c>
      <c r="D78" s="107" t="n">
        <v>1.332</v>
      </c>
      <c r="E78" s="107" t="n">
        <v>-662.148522</v>
      </c>
      <c r="F78" s="108" t="s">
        <v>358</v>
      </c>
      <c r="G78" s="107" t="n">
        <v>1.332</v>
      </c>
      <c r="H78" s="107" t="n">
        <v>-662.148522</v>
      </c>
      <c r="I78" s="109" t="n">
        <v>46818</v>
      </c>
      <c r="J78" s="107" t="n">
        <v>2</v>
      </c>
      <c r="K78" s="107" t="s">
        <v>359</v>
      </c>
      <c r="L78" s="107" t="s">
        <v>298</v>
      </c>
      <c r="M78" s="107" t="n">
        <v>6660000</v>
      </c>
      <c r="N78" s="107" t="n">
        <v>100.408</v>
      </c>
      <c r="O78" s="107" t="n">
        <v>4971085</v>
      </c>
      <c r="P78" s="107" t="s">
        <v>504</v>
      </c>
      <c r="Q78" s="107" t="s">
        <v>505</v>
      </c>
      <c r="R78" s="107" t="n">
        <v>-0.0752083941662461</v>
      </c>
      <c r="S78" s="107" t="n">
        <v>-0.00982292247629668</v>
      </c>
      <c r="T78" s="107" t="n">
        <v>-680.9392233</v>
      </c>
      <c r="U78" s="107" t="n">
        <v>21069</v>
      </c>
      <c r="V78" s="108" t="s">
        <v>362</v>
      </c>
      <c r="W78" s="107" t="n">
        <v>28096</v>
      </c>
      <c r="X78" s="108" t="s">
        <v>372</v>
      </c>
      <c r="Y78" s="107" t="s">
        <v>503</v>
      </c>
      <c r="Z78" s="107" t="s">
        <v>506</v>
      </c>
      <c r="AA78" s="109" t="n">
        <v>45799</v>
      </c>
      <c r="AB78" s="107" t="n">
        <v>250522000001</v>
      </c>
      <c r="AC78" s="109" t="n">
        <v>45722</v>
      </c>
      <c r="AD78" s="109" t="n">
        <v>46818</v>
      </c>
      <c r="AE78" s="107" t="n">
        <v>5.25</v>
      </c>
      <c r="AF78" s="107" t="n">
        <v>1.3672</v>
      </c>
      <c r="AG78" s="107" t="n">
        <v>523</v>
      </c>
      <c r="AH78" s="107" t="n">
        <v>5000000</v>
      </c>
      <c r="AI78" s="107" t="n">
        <v>5.088102</v>
      </c>
      <c r="AJ78" s="107" t="n">
        <v>100.408</v>
      </c>
      <c r="AK78" s="107" t="n">
        <v>3.875687</v>
      </c>
      <c r="AL78" s="107" t="n">
        <v>102.2454</v>
      </c>
      <c r="AM78" s="107" t="n">
        <v>5.6181</v>
      </c>
      <c r="AN78" s="107" t="n">
        <v>99.493</v>
      </c>
      <c r="AO78" s="107" t="n">
        <v>1358.4</v>
      </c>
      <c r="AP78" s="107" t="n">
        <v>1</v>
      </c>
      <c r="AQ78" s="107" t="n">
        <v>4974650</v>
      </c>
      <c r="AR78" s="107" t="n">
        <v>6757564560</v>
      </c>
      <c r="AS78" s="107" t="n">
        <v>5094770</v>
      </c>
      <c r="AT78" s="107" t="n">
        <v>7310485473</v>
      </c>
      <c r="AU78" s="107" t="n">
        <v>-120120</v>
      </c>
      <c r="AV78" s="107" t="n">
        <v>-163171008</v>
      </c>
      <c r="AW78" s="107" t="n">
        <v>0</v>
      </c>
      <c r="AX78" s="107" t="n">
        <v>0</v>
      </c>
      <c r="AY78" s="107" t="n">
        <v>0</v>
      </c>
      <c r="AZ78" s="107" t="n">
        <v>0</v>
      </c>
      <c r="BA78" s="107" t="n">
        <v>0</v>
      </c>
      <c r="BB78" s="107" t="n">
        <v>0</v>
      </c>
      <c r="BC78" s="107" t="n">
        <v>0</v>
      </c>
      <c r="BD78" s="107" t="n">
        <v>0</v>
      </c>
      <c r="BE78" s="107" t="n">
        <v>17500</v>
      </c>
      <c r="BF78" s="107" t="n">
        <v>23772000</v>
      </c>
      <c r="BG78" s="107" t="n">
        <v>0</v>
      </c>
      <c r="BH78" s="107" t="n">
        <v>0</v>
      </c>
      <c r="BI78" s="107" t="n">
        <v>5020400</v>
      </c>
      <c r="BJ78" s="107" t="n">
        <v>7203771960</v>
      </c>
      <c r="BK78" s="107" t="n">
        <v>0</v>
      </c>
      <c r="BL78" s="107" t="n">
        <v>0</v>
      </c>
      <c r="BM78" s="107" t="n">
        <v>0</v>
      </c>
      <c r="BN78" s="107" t="n">
        <v>0</v>
      </c>
      <c r="BO78" s="2"/>
      <c r="BP78" s="2"/>
      <c r="BQ78" s="107" t="s">
        <v>369</v>
      </c>
      <c r="BR78" s="107" t="n">
        <v>-389749905</v>
      </c>
      <c r="BS78" s="107" t="n">
        <v>0</v>
      </c>
      <c r="BT78" s="107" t="n">
        <v>0</v>
      </c>
      <c r="BU78" s="107" t="n">
        <v>74370</v>
      </c>
      <c r="BV78" s="107" t="n">
        <v>106713513</v>
      </c>
      <c r="BW78" s="107" t="n">
        <v>17500</v>
      </c>
      <c r="BX78" s="107" t="n">
        <v>23772000</v>
      </c>
      <c r="BY78" s="107" t="n">
        <v>0</v>
      </c>
      <c r="BZ78" s="107" t="n">
        <v>0</v>
      </c>
      <c r="CA78" s="107" t="n">
        <v>1434.9</v>
      </c>
      <c r="CB78" s="2"/>
      <c r="CC78" s="107" t="n">
        <v>0</v>
      </c>
      <c r="CD78" s="107" t="n">
        <v>99.48</v>
      </c>
      <c r="CE78" s="107" t="n">
        <v>99.53</v>
      </c>
      <c r="CF78" s="107" t="n">
        <v>99.46</v>
      </c>
      <c r="CG78" s="107" t="n">
        <v>0</v>
      </c>
      <c r="CH78" s="107" t="n">
        <v>1.3298</v>
      </c>
      <c r="CI78" s="107" t="n">
        <v>99.07</v>
      </c>
      <c r="CJ78" s="107" t="n">
        <v>99.15</v>
      </c>
      <c r="CK78" s="107" t="n">
        <v>99.11</v>
      </c>
      <c r="CL78" s="107" t="n">
        <v>0</v>
      </c>
    </row>
    <row r="79" customFormat="false" ht="15" hidden="false" customHeight="false" outlineLevel="0" collapsed="false">
      <c r="A79" s="107" t="s">
        <v>503</v>
      </c>
      <c r="B79" s="107" t="n">
        <v>99.4217</v>
      </c>
      <c r="C79" s="107" t="n">
        <v>5.6702</v>
      </c>
      <c r="D79" s="107" t="n">
        <v>1.332</v>
      </c>
      <c r="E79" s="107" t="n">
        <v>-529.7188176</v>
      </c>
      <c r="F79" s="108" t="s">
        <v>358</v>
      </c>
      <c r="G79" s="107" t="n">
        <v>1.332</v>
      </c>
      <c r="H79" s="107" t="n">
        <v>-529.7188176</v>
      </c>
      <c r="I79" s="109" t="n">
        <v>46818</v>
      </c>
      <c r="J79" s="107" t="n">
        <v>2</v>
      </c>
      <c r="K79" s="107" t="s">
        <v>359</v>
      </c>
      <c r="L79" s="107" t="s">
        <v>298</v>
      </c>
      <c r="M79" s="107" t="n">
        <v>5328000</v>
      </c>
      <c r="N79" s="107" t="n">
        <v>100.236</v>
      </c>
      <c r="O79" s="107" t="n">
        <v>3976868</v>
      </c>
      <c r="P79" s="107" t="s">
        <v>504</v>
      </c>
      <c r="Q79" s="107" t="s">
        <v>505</v>
      </c>
      <c r="R79" s="107" t="n">
        <v>-0.0752083941029951</v>
      </c>
      <c r="S79" s="107" t="n">
        <v>-0.00812382776647114</v>
      </c>
      <c r="T79" s="107" t="n">
        <v>-544.75137864</v>
      </c>
      <c r="U79" s="107" t="n">
        <v>21069</v>
      </c>
      <c r="V79" s="108" t="s">
        <v>362</v>
      </c>
      <c r="W79" s="107" t="n">
        <v>28096</v>
      </c>
      <c r="X79" s="108" t="s">
        <v>372</v>
      </c>
      <c r="Y79" s="107" t="s">
        <v>503</v>
      </c>
      <c r="Z79" s="107" t="s">
        <v>506</v>
      </c>
      <c r="AA79" s="109" t="n">
        <v>45804</v>
      </c>
      <c r="AB79" s="107" t="n">
        <v>250527000001</v>
      </c>
      <c r="AC79" s="109" t="n">
        <v>45722</v>
      </c>
      <c r="AD79" s="109" t="n">
        <v>46818</v>
      </c>
      <c r="AE79" s="107" t="n">
        <v>5.25</v>
      </c>
      <c r="AF79" s="107" t="n">
        <v>1.3672</v>
      </c>
      <c r="AG79" s="107" t="n">
        <v>523</v>
      </c>
      <c r="AH79" s="107" t="n">
        <v>4000000</v>
      </c>
      <c r="AI79" s="107" t="n">
        <v>5.154405</v>
      </c>
      <c r="AJ79" s="107" t="n">
        <v>100.236</v>
      </c>
      <c r="AK79" s="107" t="n">
        <v>3.875687</v>
      </c>
      <c r="AL79" s="107" t="n">
        <v>102.2454</v>
      </c>
      <c r="AM79" s="107" t="n">
        <v>5.6181</v>
      </c>
      <c r="AN79" s="107" t="n">
        <v>99.493</v>
      </c>
      <c r="AO79" s="107" t="n">
        <v>1358.4</v>
      </c>
      <c r="AP79" s="107" t="n">
        <v>1</v>
      </c>
      <c r="AQ79" s="107" t="n">
        <v>3979720</v>
      </c>
      <c r="AR79" s="107" t="n">
        <v>5406051648</v>
      </c>
      <c r="AS79" s="107" t="n">
        <v>4075816</v>
      </c>
      <c r="AT79" s="107" t="n">
        <v>5848388378</v>
      </c>
      <c r="AU79" s="107" t="n">
        <v>-96096</v>
      </c>
      <c r="AV79" s="107" t="n">
        <v>-130536806</v>
      </c>
      <c r="AW79" s="107" t="n">
        <v>0</v>
      </c>
      <c r="AX79" s="107" t="n">
        <v>0</v>
      </c>
      <c r="AY79" s="107" t="n">
        <v>0</v>
      </c>
      <c r="AZ79" s="107" t="n">
        <v>0</v>
      </c>
      <c r="BA79" s="107" t="n">
        <v>0</v>
      </c>
      <c r="BB79" s="107" t="n">
        <v>0</v>
      </c>
      <c r="BC79" s="107" t="n">
        <v>0</v>
      </c>
      <c r="BD79" s="107" t="n">
        <v>0</v>
      </c>
      <c r="BE79" s="107" t="n">
        <v>14000</v>
      </c>
      <c r="BF79" s="107" t="n">
        <v>19017600</v>
      </c>
      <c r="BG79" s="107" t="n">
        <v>0</v>
      </c>
      <c r="BH79" s="107" t="n">
        <v>0</v>
      </c>
      <c r="BI79" s="107" t="n">
        <v>4009440</v>
      </c>
      <c r="BJ79" s="107" t="n">
        <v>5753145456</v>
      </c>
      <c r="BK79" s="107" t="n">
        <v>0</v>
      </c>
      <c r="BL79" s="107" t="n">
        <v>0</v>
      </c>
      <c r="BM79" s="107" t="n">
        <v>0</v>
      </c>
      <c r="BN79" s="107" t="n">
        <v>0</v>
      </c>
      <c r="BO79" s="2"/>
      <c r="BP79" s="2"/>
      <c r="BQ79" s="107" t="s">
        <v>369</v>
      </c>
      <c r="BR79" s="107" t="n">
        <v>-311799924</v>
      </c>
      <c r="BS79" s="107" t="n">
        <v>0</v>
      </c>
      <c r="BT79" s="107" t="n">
        <v>0</v>
      </c>
      <c r="BU79" s="107" t="n">
        <v>66376</v>
      </c>
      <c r="BV79" s="107" t="n">
        <v>95242922</v>
      </c>
      <c r="BW79" s="107" t="n">
        <v>14000</v>
      </c>
      <c r="BX79" s="107" t="n">
        <v>19017600</v>
      </c>
      <c r="BY79" s="107" t="n">
        <v>0</v>
      </c>
      <c r="BZ79" s="107" t="n">
        <v>0</v>
      </c>
      <c r="CA79" s="107" t="n">
        <v>1434.9</v>
      </c>
      <c r="CB79" s="2"/>
      <c r="CC79" s="107" t="n">
        <v>0</v>
      </c>
      <c r="CD79" s="107" t="n">
        <v>99.48</v>
      </c>
      <c r="CE79" s="107" t="n">
        <v>99.53</v>
      </c>
      <c r="CF79" s="107" t="n">
        <v>99.46</v>
      </c>
      <c r="CG79" s="107" t="n">
        <v>0</v>
      </c>
      <c r="CH79" s="107" t="n">
        <v>1.3298</v>
      </c>
      <c r="CI79" s="107" t="n">
        <v>99.07</v>
      </c>
      <c r="CJ79" s="107" t="n">
        <v>99.15</v>
      </c>
      <c r="CK79" s="107" t="n">
        <v>99.11</v>
      </c>
      <c r="CL79" s="107" t="n">
        <v>0</v>
      </c>
    </row>
    <row r="80" customFormat="false" ht="15" hidden="false" customHeight="false" outlineLevel="0" collapsed="false">
      <c r="A80" s="107" t="s">
        <v>503</v>
      </c>
      <c r="B80" s="107" t="n">
        <v>99.4217</v>
      </c>
      <c r="C80" s="107" t="n">
        <v>5.6702</v>
      </c>
      <c r="D80" s="107" t="n">
        <v>1.332</v>
      </c>
      <c r="E80" s="107" t="n">
        <v>-1324.297044</v>
      </c>
      <c r="F80" s="108" t="s">
        <v>358</v>
      </c>
      <c r="G80" s="107" t="n">
        <v>1.332</v>
      </c>
      <c r="H80" s="107" t="n">
        <v>-1324.297044</v>
      </c>
      <c r="I80" s="109" t="n">
        <v>46818</v>
      </c>
      <c r="J80" s="107" t="n">
        <v>2</v>
      </c>
      <c r="K80" s="107" t="s">
        <v>359</v>
      </c>
      <c r="L80" s="107" t="s">
        <v>298</v>
      </c>
      <c r="M80" s="107" t="n">
        <v>13320000</v>
      </c>
      <c r="N80" s="107" t="n">
        <v>100.943</v>
      </c>
      <c r="O80" s="107" t="n">
        <v>9942170</v>
      </c>
      <c r="P80" s="107" t="s">
        <v>504</v>
      </c>
      <c r="Q80" s="107" t="s">
        <v>505</v>
      </c>
      <c r="R80" s="107" t="n">
        <v>-0.0752083941662461</v>
      </c>
      <c r="S80" s="107" t="n">
        <v>-0.0150708815866379</v>
      </c>
      <c r="T80" s="107" t="n">
        <v>-1361.8784466</v>
      </c>
      <c r="U80" s="107" t="n">
        <v>21069</v>
      </c>
      <c r="V80" s="108" t="s">
        <v>362</v>
      </c>
      <c r="W80" s="107" t="n">
        <v>28096</v>
      </c>
      <c r="X80" s="108" t="s">
        <v>372</v>
      </c>
      <c r="Y80" s="107" t="s">
        <v>503</v>
      </c>
      <c r="Z80" s="107" t="s">
        <v>506</v>
      </c>
      <c r="AA80" s="109" t="n">
        <v>45825</v>
      </c>
      <c r="AB80" s="107" t="n">
        <v>250617000001</v>
      </c>
      <c r="AC80" s="109" t="n">
        <v>45722</v>
      </c>
      <c r="AD80" s="109" t="n">
        <v>46818</v>
      </c>
      <c r="AE80" s="107" t="n">
        <v>5.25</v>
      </c>
      <c r="AF80" s="107" t="n">
        <v>1.3672</v>
      </c>
      <c r="AG80" s="107" t="n">
        <v>523</v>
      </c>
      <c r="AH80" s="107" t="n">
        <v>10000000</v>
      </c>
      <c r="AI80" s="107" t="n">
        <v>4.872465</v>
      </c>
      <c r="AJ80" s="107" t="n">
        <v>100.943</v>
      </c>
      <c r="AK80" s="107" t="n">
        <v>3.875687</v>
      </c>
      <c r="AL80" s="107" t="n">
        <v>102.2454</v>
      </c>
      <c r="AM80" s="107" t="n">
        <v>5.6181</v>
      </c>
      <c r="AN80" s="107" t="n">
        <v>99.493</v>
      </c>
      <c r="AO80" s="107" t="n">
        <v>1358.4</v>
      </c>
      <c r="AP80" s="107" t="n">
        <v>1</v>
      </c>
      <c r="AQ80" s="107" t="n">
        <v>9949300</v>
      </c>
      <c r="AR80" s="107" t="n">
        <v>13515129120</v>
      </c>
      <c r="AS80" s="107" t="n">
        <v>10189540</v>
      </c>
      <c r="AT80" s="107" t="n">
        <v>14620970946</v>
      </c>
      <c r="AU80" s="107" t="n">
        <v>-240240</v>
      </c>
      <c r="AV80" s="107" t="n">
        <v>-326342016</v>
      </c>
      <c r="AW80" s="107" t="n">
        <v>0</v>
      </c>
      <c r="AX80" s="107" t="n">
        <v>0</v>
      </c>
      <c r="AY80" s="107" t="n">
        <v>0</v>
      </c>
      <c r="AZ80" s="107" t="n">
        <v>0</v>
      </c>
      <c r="BA80" s="107" t="n">
        <v>0</v>
      </c>
      <c r="BB80" s="107" t="n">
        <v>0</v>
      </c>
      <c r="BC80" s="107" t="n">
        <v>0</v>
      </c>
      <c r="BD80" s="107" t="n">
        <v>0</v>
      </c>
      <c r="BE80" s="107" t="n">
        <v>35000</v>
      </c>
      <c r="BF80" s="107" t="n">
        <v>47544000</v>
      </c>
      <c r="BG80" s="107" t="n">
        <v>0</v>
      </c>
      <c r="BH80" s="107" t="n">
        <v>0</v>
      </c>
      <c r="BI80" s="107" t="n">
        <v>10094300</v>
      </c>
      <c r="BJ80" s="107" t="n">
        <v>14484311070</v>
      </c>
      <c r="BK80" s="107" t="n">
        <v>0</v>
      </c>
      <c r="BL80" s="107" t="n">
        <v>0</v>
      </c>
      <c r="BM80" s="107" t="n">
        <v>0</v>
      </c>
      <c r="BN80" s="107" t="n">
        <v>0</v>
      </c>
      <c r="BO80" s="2"/>
      <c r="BP80" s="2"/>
      <c r="BQ80" s="107" t="s">
        <v>369</v>
      </c>
      <c r="BR80" s="107" t="n">
        <v>-779499810</v>
      </c>
      <c r="BS80" s="107" t="n">
        <v>0</v>
      </c>
      <c r="BT80" s="107" t="n">
        <v>0</v>
      </c>
      <c r="BU80" s="107" t="n">
        <v>95240</v>
      </c>
      <c r="BV80" s="107" t="n">
        <v>136659876</v>
      </c>
      <c r="BW80" s="107" t="n">
        <v>35000</v>
      </c>
      <c r="BX80" s="107" t="n">
        <v>47544000</v>
      </c>
      <c r="BY80" s="107" t="n">
        <v>0</v>
      </c>
      <c r="BZ80" s="107" t="n">
        <v>0</v>
      </c>
      <c r="CA80" s="107" t="n">
        <v>1434.9</v>
      </c>
      <c r="CB80" s="2"/>
      <c r="CC80" s="107" t="n">
        <v>0</v>
      </c>
      <c r="CD80" s="107" t="n">
        <v>99.48</v>
      </c>
      <c r="CE80" s="107" t="n">
        <v>99.53</v>
      </c>
      <c r="CF80" s="107" t="n">
        <v>99.46</v>
      </c>
      <c r="CG80" s="107" t="n">
        <v>0</v>
      </c>
      <c r="CH80" s="107" t="n">
        <v>1.3298</v>
      </c>
      <c r="CI80" s="107" t="n">
        <v>99.07</v>
      </c>
      <c r="CJ80" s="107" t="n">
        <v>99.15</v>
      </c>
      <c r="CK80" s="107" t="n">
        <v>99.11</v>
      </c>
      <c r="CL80" s="107" t="n">
        <v>0</v>
      </c>
    </row>
    <row r="81" customFormat="false" ht="15" hidden="false" customHeight="false" outlineLevel="0" collapsed="false">
      <c r="A81" s="107" t="s">
        <v>507</v>
      </c>
      <c r="B81" s="107" t="n">
        <v>98.95</v>
      </c>
      <c r="C81" s="107" t="n">
        <v>5.4541</v>
      </c>
      <c r="D81" s="107" t="n">
        <v>1.5378</v>
      </c>
      <c r="E81" s="107" t="n">
        <v>-76.082655</v>
      </c>
      <c r="F81" s="108" t="s">
        <v>358</v>
      </c>
      <c r="G81" s="107" t="n">
        <v>1.5378</v>
      </c>
      <c r="H81" s="107" t="n">
        <v>-76.082655</v>
      </c>
      <c r="I81" s="109" t="n">
        <v>46871</v>
      </c>
      <c r="J81" s="107" t="n">
        <v>2</v>
      </c>
      <c r="K81" s="108" t="s">
        <v>92</v>
      </c>
      <c r="L81" s="107" t="s">
        <v>298</v>
      </c>
      <c r="M81" s="107" t="n">
        <v>768900</v>
      </c>
      <c r="N81" s="107" t="n">
        <v>100</v>
      </c>
      <c r="O81" s="107" t="n">
        <v>494750</v>
      </c>
      <c r="P81" s="107" t="s">
        <v>508</v>
      </c>
      <c r="Q81" s="107" t="s">
        <v>505</v>
      </c>
      <c r="R81" s="107" t="n">
        <v>-0.0751877512426252</v>
      </c>
      <c r="S81" s="107" t="n">
        <v>-0.0105</v>
      </c>
      <c r="T81" s="107" t="n">
        <v>-78.1556575</v>
      </c>
      <c r="U81" s="107" t="n">
        <v>21069</v>
      </c>
      <c r="V81" s="108" t="s">
        <v>362</v>
      </c>
      <c r="W81" s="107" t="n">
        <v>28096</v>
      </c>
      <c r="X81" s="108" t="s">
        <v>372</v>
      </c>
      <c r="Y81" s="107" t="s">
        <v>507</v>
      </c>
      <c r="Z81" s="107" t="s">
        <v>509</v>
      </c>
      <c r="AA81" s="109" t="n">
        <v>45805</v>
      </c>
      <c r="AB81" s="107" t="n">
        <v>250528000001</v>
      </c>
      <c r="AC81" s="109" t="n">
        <v>45805</v>
      </c>
      <c r="AD81" s="109" t="n">
        <v>46901</v>
      </c>
      <c r="AE81" s="107" t="n">
        <v>4.791</v>
      </c>
      <c r="AF81" s="107" t="n">
        <v>1.5771</v>
      </c>
      <c r="AG81" s="107" t="n">
        <v>606</v>
      </c>
      <c r="AH81" s="107" t="n">
        <v>500000</v>
      </c>
      <c r="AI81" s="107" t="n">
        <v>4.791</v>
      </c>
      <c r="AJ81" s="107" t="n">
        <v>100</v>
      </c>
      <c r="AK81" s="107" t="n">
        <v>3.903115</v>
      </c>
      <c r="AL81" s="107" t="n">
        <v>103.033316</v>
      </c>
      <c r="AM81" s="107" t="n">
        <v>5.4019</v>
      </c>
      <c r="AN81" s="107" t="n">
        <v>99.0331</v>
      </c>
      <c r="AO81" s="107" t="n">
        <v>1358.4</v>
      </c>
      <c r="AP81" s="107" t="n">
        <v>1</v>
      </c>
      <c r="AQ81" s="107" t="n">
        <v>495165.5</v>
      </c>
      <c r="AR81" s="107" t="n">
        <v>672632815</v>
      </c>
      <c r="AS81" s="107" t="n">
        <v>507048.5</v>
      </c>
      <c r="AT81" s="107" t="n">
        <v>727563893</v>
      </c>
      <c r="AU81" s="107" t="n">
        <v>-11883</v>
      </c>
      <c r="AV81" s="107" t="n">
        <v>-16141867</v>
      </c>
      <c r="AW81" s="107" t="n">
        <v>0</v>
      </c>
      <c r="AX81" s="107" t="n">
        <v>0</v>
      </c>
      <c r="AY81" s="107" t="n">
        <v>0</v>
      </c>
      <c r="AZ81" s="107" t="n">
        <v>0</v>
      </c>
      <c r="BA81" s="107" t="n">
        <v>0</v>
      </c>
      <c r="BB81" s="107" t="n">
        <v>0</v>
      </c>
      <c r="BC81" s="107" t="n">
        <v>0</v>
      </c>
      <c r="BD81" s="107" t="n">
        <v>0</v>
      </c>
      <c r="BE81" s="107" t="n">
        <v>8118.08</v>
      </c>
      <c r="BF81" s="107" t="n">
        <v>11027599</v>
      </c>
      <c r="BG81" s="107" t="n">
        <v>0</v>
      </c>
      <c r="BH81" s="107" t="n">
        <v>0</v>
      </c>
      <c r="BI81" s="107" t="n">
        <v>500000</v>
      </c>
      <c r="BJ81" s="107" t="n">
        <v>717450000</v>
      </c>
      <c r="BK81" s="107" t="n">
        <v>0</v>
      </c>
      <c r="BL81" s="107" t="n">
        <v>0</v>
      </c>
      <c r="BM81" s="107" t="n">
        <v>0</v>
      </c>
      <c r="BN81" s="107" t="n">
        <v>0</v>
      </c>
      <c r="BO81" s="107" t="s">
        <v>106</v>
      </c>
      <c r="BP81" s="2"/>
      <c r="BQ81" s="107" t="s">
        <v>369</v>
      </c>
      <c r="BR81" s="107" t="n">
        <v>-38789211</v>
      </c>
      <c r="BS81" s="107" t="n">
        <v>0</v>
      </c>
      <c r="BT81" s="107" t="n">
        <v>0</v>
      </c>
      <c r="BU81" s="107" t="n">
        <v>7048.5</v>
      </c>
      <c r="BV81" s="107" t="n">
        <v>10113893</v>
      </c>
      <c r="BW81" s="107" t="n">
        <v>8118.08</v>
      </c>
      <c r="BX81" s="107" t="n">
        <v>11027599</v>
      </c>
      <c r="BY81" s="107" t="n">
        <v>0</v>
      </c>
      <c r="BZ81" s="107" t="n">
        <v>0</v>
      </c>
      <c r="CA81" s="107" t="n">
        <v>1434.9</v>
      </c>
      <c r="CB81" s="2"/>
      <c r="CC81" s="107" t="n">
        <v>0</v>
      </c>
      <c r="CD81" s="107" t="n">
        <v>99.03</v>
      </c>
      <c r="CE81" s="107" t="n">
        <v>99.03</v>
      </c>
      <c r="CF81" s="107" t="n">
        <v>99.04</v>
      </c>
      <c r="CG81" s="107" t="n">
        <v>500000</v>
      </c>
      <c r="CH81" s="107" t="n">
        <v>1.5356</v>
      </c>
      <c r="CI81" s="107" t="n">
        <v>99.07</v>
      </c>
      <c r="CJ81" s="107" t="n">
        <v>99.15</v>
      </c>
      <c r="CK81" s="107" t="n">
        <v>99.11</v>
      </c>
      <c r="CL81" s="107" t="n">
        <v>0</v>
      </c>
    </row>
    <row r="82" customFormat="false" ht="15" hidden="false" customHeight="false" outlineLevel="0" collapsed="false">
      <c r="A82" s="107" t="s">
        <v>510</v>
      </c>
      <c r="B82" s="107" t="n">
        <v>97.4102</v>
      </c>
      <c r="C82" s="107" t="n">
        <v>5.7359</v>
      </c>
      <c r="D82" s="107" t="n">
        <v>1.8343</v>
      </c>
      <c r="E82" s="107" t="n">
        <v>-3216.23153748</v>
      </c>
      <c r="F82" s="108" t="s">
        <v>358</v>
      </c>
      <c r="G82" s="107" t="n">
        <v>1.8343</v>
      </c>
      <c r="H82" s="107" t="n">
        <v>-3216.23153748</v>
      </c>
      <c r="I82" s="109" t="n">
        <v>47040</v>
      </c>
      <c r="J82" s="107" t="n">
        <v>2</v>
      </c>
      <c r="K82" s="107" t="s">
        <v>359</v>
      </c>
      <c r="L82" s="107" t="s">
        <v>298</v>
      </c>
      <c r="M82" s="107" t="n">
        <v>33017400</v>
      </c>
      <c r="N82" s="107" t="n">
        <v>99.648</v>
      </c>
      <c r="O82" s="107" t="n">
        <v>17533836</v>
      </c>
      <c r="P82" s="107" t="s">
        <v>504</v>
      </c>
      <c r="Q82" s="107" t="s">
        <v>107</v>
      </c>
      <c r="R82" s="107" t="n">
        <v>-0.077899386012156</v>
      </c>
      <c r="S82" s="107" t="n">
        <v>-0.0224570488118175</v>
      </c>
      <c r="T82" s="107" t="n">
        <v>-3308.45951484</v>
      </c>
      <c r="U82" s="107" t="n">
        <v>21069</v>
      </c>
      <c r="V82" s="108" t="s">
        <v>362</v>
      </c>
      <c r="W82" s="107" t="n">
        <v>28096</v>
      </c>
      <c r="X82" s="108" t="s">
        <v>372</v>
      </c>
      <c r="Y82" s="107" t="s">
        <v>510</v>
      </c>
      <c r="Z82" s="107" t="s">
        <v>511</v>
      </c>
      <c r="AA82" s="109" t="n">
        <v>45944</v>
      </c>
      <c r="AB82" s="107" t="n">
        <v>251014000001</v>
      </c>
      <c r="AC82" s="109" t="n">
        <v>45944</v>
      </c>
      <c r="AD82" s="109" t="n">
        <v>47040</v>
      </c>
      <c r="AE82" s="107" t="n">
        <v>4.375</v>
      </c>
      <c r="AF82" s="107" t="n">
        <v>1.8845</v>
      </c>
      <c r="AG82" s="107" t="n">
        <v>745</v>
      </c>
      <c r="AH82" s="107" t="n">
        <v>18000000</v>
      </c>
      <c r="AI82" s="107" t="n">
        <v>4.50175</v>
      </c>
      <c r="AJ82" s="107" t="n">
        <v>99.648</v>
      </c>
      <c r="AK82" s="107" t="n">
        <v>4.30933</v>
      </c>
      <c r="AL82" s="107" t="n">
        <v>102.142561</v>
      </c>
      <c r="AM82" s="107" t="n">
        <v>5.6801</v>
      </c>
      <c r="AN82" s="107" t="n">
        <v>97.518</v>
      </c>
      <c r="AO82" s="107" t="n">
        <v>1358.4</v>
      </c>
      <c r="AP82" s="107" t="n">
        <v>1</v>
      </c>
      <c r="AQ82" s="107" t="n">
        <v>17553240</v>
      </c>
      <c r="AR82" s="107" t="n">
        <v>23844321216</v>
      </c>
      <c r="AS82" s="107" t="n">
        <v>18022536</v>
      </c>
      <c r="AT82" s="107" t="n">
        <v>25860536907</v>
      </c>
      <c r="AU82" s="107" t="n">
        <v>-469296</v>
      </c>
      <c r="AV82" s="107" t="n">
        <v>-637491686</v>
      </c>
      <c r="AW82" s="107" t="n">
        <v>0</v>
      </c>
      <c r="AX82" s="107" t="n">
        <v>0</v>
      </c>
      <c r="AY82" s="107" t="n">
        <v>0</v>
      </c>
      <c r="AZ82" s="107" t="n">
        <v>0</v>
      </c>
      <c r="BA82" s="107" t="n">
        <v>0</v>
      </c>
      <c r="BB82" s="107" t="n">
        <v>0</v>
      </c>
      <c r="BC82" s="107" t="n">
        <v>0</v>
      </c>
      <c r="BD82" s="107" t="n">
        <v>0</v>
      </c>
      <c r="BE82" s="107" t="n">
        <v>363125</v>
      </c>
      <c r="BF82" s="107" t="n">
        <v>493269000</v>
      </c>
      <c r="BG82" s="107" t="n">
        <v>0</v>
      </c>
      <c r="BH82" s="107" t="n">
        <v>0</v>
      </c>
      <c r="BI82" s="107" t="n">
        <v>21424320</v>
      </c>
      <c r="BJ82" s="107" t="n">
        <v>30741756768</v>
      </c>
      <c r="BK82" s="107" t="n">
        <v>0</v>
      </c>
      <c r="BL82" s="107" t="n">
        <v>0</v>
      </c>
      <c r="BM82" s="107" t="n">
        <v>0</v>
      </c>
      <c r="BN82" s="107" t="n">
        <v>0</v>
      </c>
      <c r="BO82" s="2"/>
      <c r="BP82" s="2"/>
      <c r="BQ82" s="107" t="s">
        <v>107</v>
      </c>
      <c r="BR82" s="107" t="n">
        <v>-1378724005</v>
      </c>
      <c r="BS82" s="107" t="n">
        <v>0</v>
      </c>
      <c r="BT82" s="107" t="n">
        <v>0</v>
      </c>
      <c r="BU82" s="107" t="n">
        <v>102598</v>
      </c>
      <c r="BV82" s="107" t="n">
        <v>147217870</v>
      </c>
      <c r="BW82" s="107" t="n">
        <v>363125</v>
      </c>
      <c r="BX82" s="107" t="n">
        <v>493269000</v>
      </c>
      <c r="BY82" s="107" t="n">
        <v>0</v>
      </c>
      <c r="BZ82" s="107" t="n">
        <v>0</v>
      </c>
      <c r="CA82" s="107" t="n">
        <v>1434.9</v>
      </c>
      <c r="CB82" s="2"/>
      <c r="CC82" s="107" t="n">
        <v>0</v>
      </c>
      <c r="CD82" s="107" t="n">
        <v>97.53</v>
      </c>
      <c r="CE82" s="107" t="n">
        <v>97.5</v>
      </c>
      <c r="CF82" s="107" t="n">
        <v>97.52</v>
      </c>
      <c r="CG82" s="107" t="n">
        <v>0</v>
      </c>
      <c r="CH82" s="107" t="n">
        <v>1.8325</v>
      </c>
      <c r="CI82" s="107" t="n">
        <v>99.07</v>
      </c>
      <c r="CJ82" s="107" t="n">
        <v>99.15</v>
      </c>
      <c r="CK82" s="107" t="n">
        <v>99.11</v>
      </c>
      <c r="CL82" s="107" t="n">
        <v>0</v>
      </c>
    </row>
    <row r="83" customFormat="false" ht="15" hidden="false" customHeight="false" outlineLevel="0" collapsed="false">
      <c r="A83" s="107" t="s">
        <v>512</v>
      </c>
      <c r="B83" s="107" t="n">
        <v>93.4712</v>
      </c>
      <c r="C83" s="107" t="n">
        <v>6.0698</v>
      </c>
      <c r="D83" s="107" t="n">
        <v>3.8657</v>
      </c>
      <c r="E83" s="107" t="n">
        <v>-1083.99485352</v>
      </c>
      <c r="F83" s="108" t="s">
        <v>358</v>
      </c>
      <c r="G83" s="107" t="n">
        <v>3.8657</v>
      </c>
      <c r="H83" s="107" t="n">
        <v>-1083.99485352</v>
      </c>
      <c r="I83" s="109" t="n">
        <v>47918</v>
      </c>
      <c r="J83" s="107" t="n">
        <v>5</v>
      </c>
      <c r="K83" s="107" t="s">
        <v>359</v>
      </c>
      <c r="L83" s="107" t="s">
        <v>298</v>
      </c>
      <c r="M83" s="107" t="n">
        <v>11597100</v>
      </c>
      <c r="N83" s="107" t="n">
        <v>97.383</v>
      </c>
      <c r="O83" s="107" t="n">
        <v>2804136</v>
      </c>
      <c r="P83" s="107" t="s">
        <v>504</v>
      </c>
      <c r="Q83" s="107" t="s">
        <v>107</v>
      </c>
      <c r="R83" s="107" t="n">
        <v>-0.137298422352982</v>
      </c>
      <c r="S83" s="107" t="n">
        <v>-0.0401692287154842</v>
      </c>
      <c r="T83" s="107" t="n">
        <v>-1116.8873688</v>
      </c>
      <c r="U83" s="107" t="n">
        <v>21069</v>
      </c>
      <c r="V83" s="108" t="s">
        <v>362</v>
      </c>
      <c r="W83" s="107" t="n">
        <v>28096</v>
      </c>
      <c r="X83" s="108" t="s">
        <v>372</v>
      </c>
      <c r="Y83" s="107" t="s">
        <v>510</v>
      </c>
      <c r="Z83" s="107" t="s">
        <v>511</v>
      </c>
      <c r="AA83" s="109" t="n">
        <v>46297</v>
      </c>
      <c r="AB83" s="107" t="n">
        <v>261002000001</v>
      </c>
      <c r="AC83" s="109" t="n">
        <v>45944</v>
      </c>
      <c r="AD83" s="109" t="n">
        <v>47040</v>
      </c>
      <c r="AE83" s="107" t="n">
        <v>4.375</v>
      </c>
      <c r="AF83" s="107" t="n">
        <v>1.8845</v>
      </c>
      <c r="AG83" s="107" t="n">
        <v>745</v>
      </c>
      <c r="AH83" s="107" t="n">
        <v>3000000</v>
      </c>
      <c r="AI83" s="107" t="n">
        <v>5.666095</v>
      </c>
      <c r="AJ83" s="107" t="n">
        <v>97.551</v>
      </c>
      <c r="AK83" s="107" t="n">
        <v>0</v>
      </c>
      <c r="AL83" s="107" t="n">
        <v>0</v>
      </c>
      <c r="AM83" s="107" t="n">
        <v>5.6801</v>
      </c>
      <c r="AN83" s="107" t="n">
        <v>97.518</v>
      </c>
      <c r="AO83" s="107" t="n">
        <v>1358.4</v>
      </c>
      <c r="AP83" s="107" t="n">
        <v>1</v>
      </c>
      <c r="AQ83" s="107" t="n">
        <v>2925540</v>
      </c>
      <c r="AR83" s="107" t="n">
        <v>3974053536</v>
      </c>
      <c r="AS83" s="107" t="n">
        <v>2926530</v>
      </c>
      <c r="AT83" s="107" t="n">
        <v>3975398352</v>
      </c>
      <c r="AU83" s="107" t="n">
        <v>-990</v>
      </c>
      <c r="AV83" s="107" t="n">
        <v>-1344816</v>
      </c>
      <c r="AW83" s="107" t="n">
        <v>61250</v>
      </c>
      <c r="AX83" s="107" t="n">
        <v>83202000</v>
      </c>
      <c r="AY83" s="107" t="n">
        <v>0</v>
      </c>
      <c r="AZ83" s="107" t="n">
        <v>0</v>
      </c>
      <c r="BA83" s="107" t="n">
        <v>0</v>
      </c>
      <c r="BB83" s="107" t="n">
        <v>0</v>
      </c>
      <c r="BC83" s="107" t="n">
        <v>0</v>
      </c>
      <c r="BD83" s="107" t="n">
        <v>0</v>
      </c>
      <c r="BE83" s="107" t="n">
        <v>0</v>
      </c>
      <c r="BF83" s="107" t="n">
        <v>0</v>
      </c>
      <c r="BG83" s="107" t="n">
        <v>0</v>
      </c>
      <c r="BH83" s="107" t="n">
        <v>0</v>
      </c>
      <c r="BI83" s="107" t="n">
        <v>2926530</v>
      </c>
      <c r="BJ83" s="107" t="n">
        <v>3975398352</v>
      </c>
      <c r="BK83" s="107" t="n">
        <v>0</v>
      </c>
      <c r="BL83" s="107" t="n">
        <v>0</v>
      </c>
      <c r="BM83" s="107" t="n">
        <v>0</v>
      </c>
      <c r="BN83" s="107" t="n">
        <v>0</v>
      </c>
      <c r="BO83" s="2"/>
      <c r="BP83" s="2"/>
      <c r="BQ83" s="107" t="s">
        <v>107</v>
      </c>
      <c r="BR83" s="107" t="n">
        <v>0</v>
      </c>
      <c r="BS83" s="107" t="n">
        <v>0</v>
      </c>
      <c r="BT83" s="107" t="n">
        <v>0</v>
      </c>
      <c r="BU83" s="107" t="n">
        <v>0</v>
      </c>
      <c r="BV83" s="107" t="n">
        <v>0</v>
      </c>
      <c r="BW83" s="107" t="n">
        <v>61250</v>
      </c>
      <c r="BX83" s="107" t="n">
        <v>83202000</v>
      </c>
      <c r="BY83" s="107" t="n">
        <v>0</v>
      </c>
      <c r="BZ83" s="107" t="n">
        <v>0</v>
      </c>
      <c r="CA83" s="107" t="n">
        <v>1358.4</v>
      </c>
      <c r="CB83" s="2"/>
      <c r="CC83" s="107" t="n">
        <v>0</v>
      </c>
      <c r="CD83" s="107" t="n">
        <v>97.53</v>
      </c>
      <c r="CE83" s="107" t="n">
        <v>97.5</v>
      </c>
      <c r="CF83" s="107" t="n">
        <v>97.52</v>
      </c>
      <c r="CG83" s="107" t="n">
        <v>3000000</v>
      </c>
      <c r="CH83" s="107" t="n">
        <v>1.8325</v>
      </c>
      <c r="CI83" s="107" t="n">
        <v>99.07</v>
      </c>
      <c r="CJ83" s="107" t="n">
        <v>99.15</v>
      </c>
      <c r="CK83" s="107" t="n">
        <v>99.11</v>
      </c>
      <c r="CL83" s="107" t="n">
        <v>0</v>
      </c>
    </row>
    <row r="84" customFormat="false" ht="15" hidden="false" customHeight="false" outlineLevel="0" collapsed="false">
      <c r="A84" s="107" t="s">
        <v>513</v>
      </c>
      <c r="B84" s="107" t="n">
        <v>94.1083</v>
      </c>
      <c r="C84" s="107" t="n">
        <v>5.9066</v>
      </c>
      <c r="D84" s="107" t="n">
        <v>4.0373</v>
      </c>
      <c r="E84" s="107" t="n">
        <v>-3799.4343959</v>
      </c>
      <c r="F84" s="108" t="s">
        <v>358</v>
      </c>
      <c r="G84" s="107" t="n">
        <v>4.0373</v>
      </c>
      <c r="H84" s="107" t="n">
        <v>-3799.4343959</v>
      </c>
      <c r="I84" s="109" t="n">
        <v>48004</v>
      </c>
      <c r="J84" s="107" t="n">
        <v>5</v>
      </c>
      <c r="K84" s="108" t="s">
        <v>90</v>
      </c>
      <c r="L84" s="107" t="s">
        <v>298</v>
      </c>
      <c r="M84" s="107" t="n">
        <v>40373000</v>
      </c>
      <c r="N84" s="107" t="n">
        <v>97.948</v>
      </c>
      <c r="O84" s="107" t="n">
        <v>9410830</v>
      </c>
      <c r="P84" s="107" t="s">
        <v>376</v>
      </c>
      <c r="Q84" s="107" t="s">
        <v>106</v>
      </c>
      <c r="R84" s="107" t="n">
        <v>-0.135389348026682</v>
      </c>
      <c r="S84" s="107" t="n">
        <v>-0.0392014129946502</v>
      </c>
      <c r="T84" s="107" t="n">
        <v>-3911.6114895</v>
      </c>
      <c r="U84" s="107" t="n">
        <v>21069</v>
      </c>
      <c r="V84" s="108" t="s">
        <v>362</v>
      </c>
      <c r="W84" s="107" t="n">
        <v>28096</v>
      </c>
      <c r="X84" s="108" t="s">
        <v>372</v>
      </c>
      <c r="Y84" s="107" t="s">
        <v>510</v>
      </c>
      <c r="Z84" s="107" t="s">
        <v>511</v>
      </c>
      <c r="AA84" s="109" t="n">
        <v>46297</v>
      </c>
      <c r="AB84" s="107" t="n">
        <v>261002000002</v>
      </c>
      <c r="AC84" s="109" t="n">
        <v>45944</v>
      </c>
      <c r="AD84" s="109" t="n">
        <v>47040</v>
      </c>
      <c r="AE84" s="107" t="n">
        <v>4.375</v>
      </c>
      <c r="AF84" s="107" t="n">
        <v>1.8845</v>
      </c>
      <c r="AG84" s="107" t="n">
        <v>745</v>
      </c>
      <c r="AH84" s="107" t="n">
        <v>6000000</v>
      </c>
      <c r="AI84" s="107" t="n">
        <v>5.669847</v>
      </c>
      <c r="AJ84" s="107" t="n">
        <v>97.544</v>
      </c>
      <c r="AK84" s="107" t="n">
        <v>0</v>
      </c>
      <c r="AL84" s="107" t="n">
        <v>0</v>
      </c>
      <c r="AM84" s="107" t="n">
        <v>5.6801</v>
      </c>
      <c r="AN84" s="107" t="n">
        <v>97.518</v>
      </c>
      <c r="AO84" s="107" t="n">
        <v>1358.4</v>
      </c>
      <c r="AP84" s="107" t="n">
        <v>1</v>
      </c>
      <c r="AQ84" s="107" t="n">
        <v>5851080</v>
      </c>
      <c r="AR84" s="107" t="n">
        <v>7948107072</v>
      </c>
      <c r="AS84" s="107" t="n">
        <v>5852640</v>
      </c>
      <c r="AT84" s="107" t="n">
        <v>7950226176</v>
      </c>
      <c r="AU84" s="107" t="n">
        <v>-1560</v>
      </c>
      <c r="AV84" s="107" t="n">
        <v>-2119104</v>
      </c>
      <c r="AW84" s="107" t="n">
        <v>122500</v>
      </c>
      <c r="AX84" s="107" t="n">
        <v>166404000</v>
      </c>
      <c r="AY84" s="107" t="n">
        <v>0</v>
      </c>
      <c r="AZ84" s="107" t="n">
        <v>0</v>
      </c>
      <c r="BA84" s="107" t="n">
        <v>0</v>
      </c>
      <c r="BB84" s="107" t="n">
        <v>0</v>
      </c>
      <c r="BC84" s="107" t="n">
        <v>0</v>
      </c>
      <c r="BD84" s="107" t="n">
        <v>0</v>
      </c>
      <c r="BE84" s="107" t="n">
        <v>0</v>
      </c>
      <c r="BF84" s="107" t="n">
        <v>0</v>
      </c>
      <c r="BG84" s="107" t="n">
        <v>0</v>
      </c>
      <c r="BH84" s="107" t="n">
        <v>0</v>
      </c>
      <c r="BI84" s="107" t="n">
        <v>5852640</v>
      </c>
      <c r="BJ84" s="107" t="n">
        <v>7950226176</v>
      </c>
      <c r="BK84" s="107" t="n">
        <v>0</v>
      </c>
      <c r="BL84" s="107" t="n">
        <v>0</v>
      </c>
      <c r="BM84" s="107" t="n">
        <v>0</v>
      </c>
      <c r="BN84" s="107" t="n">
        <v>0</v>
      </c>
      <c r="BO84" s="2"/>
      <c r="BP84" s="2"/>
      <c r="BQ84" s="107" t="s">
        <v>107</v>
      </c>
      <c r="BR84" s="107" t="n">
        <v>0</v>
      </c>
      <c r="BS84" s="107" t="n">
        <v>0</v>
      </c>
      <c r="BT84" s="107" t="n">
        <v>0</v>
      </c>
      <c r="BU84" s="107" t="n">
        <v>0</v>
      </c>
      <c r="BV84" s="107" t="n">
        <v>0</v>
      </c>
      <c r="BW84" s="107" t="n">
        <v>122500</v>
      </c>
      <c r="BX84" s="107" t="n">
        <v>166404000</v>
      </c>
      <c r="BY84" s="107" t="n">
        <v>0</v>
      </c>
      <c r="BZ84" s="107" t="n">
        <v>0</v>
      </c>
      <c r="CA84" s="107" t="n">
        <v>1358.4</v>
      </c>
      <c r="CB84" s="2"/>
      <c r="CC84" s="107" t="n">
        <v>0</v>
      </c>
      <c r="CD84" s="107" t="n">
        <v>97.53</v>
      </c>
      <c r="CE84" s="107" t="n">
        <v>97.5</v>
      </c>
      <c r="CF84" s="107" t="n">
        <v>97.52</v>
      </c>
      <c r="CG84" s="107" t="n">
        <v>6000000</v>
      </c>
      <c r="CH84" s="107" t="n">
        <v>1.8325</v>
      </c>
      <c r="CI84" s="107" t="n">
        <v>99.07</v>
      </c>
      <c r="CJ84" s="107" t="n">
        <v>99.15</v>
      </c>
      <c r="CK84" s="107" t="n">
        <v>99.11</v>
      </c>
      <c r="CL84" s="107" t="n">
        <v>0</v>
      </c>
    </row>
    <row r="85" customFormat="false" ht="15" hidden="false" customHeight="false" outlineLevel="0" collapsed="false">
      <c r="A85" s="107" t="s">
        <v>514</v>
      </c>
      <c r="B85" s="107" t="n">
        <v>96.5376</v>
      </c>
      <c r="C85" s="107" t="n">
        <v>6.0942</v>
      </c>
      <c r="D85" s="107" t="n">
        <v>3.9989</v>
      </c>
      <c r="E85" s="107" t="n">
        <v>-1930.2210432</v>
      </c>
      <c r="F85" s="108" t="s">
        <v>358</v>
      </c>
      <c r="G85" s="107" t="n">
        <v>3.9989</v>
      </c>
      <c r="H85" s="107" t="n">
        <v>-1930.2210432</v>
      </c>
      <c r="I85" s="109" t="n">
        <v>48035</v>
      </c>
      <c r="J85" s="107" t="n">
        <v>5</v>
      </c>
      <c r="K85" s="107" t="s">
        <v>359</v>
      </c>
      <c r="L85" s="107" t="s">
        <v>298</v>
      </c>
      <c r="M85" s="107" t="n">
        <v>19994500</v>
      </c>
      <c r="N85" s="107" t="n">
        <v>99.774</v>
      </c>
      <c r="O85" s="107" t="n">
        <v>4826880</v>
      </c>
      <c r="P85" s="107" t="s">
        <v>504</v>
      </c>
      <c r="Q85" s="107" t="s">
        <v>107</v>
      </c>
      <c r="R85" s="107" t="n">
        <v>-0.144584761952053</v>
      </c>
      <c r="S85" s="107" t="n">
        <v>-0.032437308316796</v>
      </c>
      <c r="T85" s="107" t="n">
        <v>-1989.0124416</v>
      </c>
      <c r="U85" s="107" t="n">
        <v>21069</v>
      </c>
      <c r="V85" s="108" t="s">
        <v>362</v>
      </c>
      <c r="W85" s="107" t="n">
        <v>28096</v>
      </c>
      <c r="X85" s="108" t="s">
        <v>372</v>
      </c>
      <c r="Y85" s="107" t="s">
        <v>512</v>
      </c>
      <c r="Z85" s="107" t="s">
        <v>515</v>
      </c>
      <c r="AA85" s="109" t="n">
        <v>46195</v>
      </c>
      <c r="AB85" s="107" t="n">
        <v>260622000001</v>
      </c>
      <c r="AC85" s="109" t="n">
        <v>46092</v>
      </c>
      <c r="AD85" s="109" t="n">
        <v>47918</v>
      </c>
      <c r="AE85" s="107" t="n">
        <v>4.375</v>
      </c>
      <c r="AF85" s="107" t="n">
        <v>3.9809</v>
      </c>
      <c r="AG85" s="107" t="n">
        <v>1623</v>
      </c>
      <c r="AH85" s="107" t="n">
        <v>3000000</v>
      </c>
      <c r="AI85" s="107" t="n">
        <v>5.002824</v>
      </c>
      <c r="AJ85" s="107" t="n">
        <v>97.383</v>
      </c>
      <c r="AK85" s="107" t="n">
        <v>5.032408</v>
      </c>
      <c r="AL85" s="107" t="n">
        <v>97.637725</v>
      </c>
      <c r="AM85" s="107" t="n">
        <v>6.0355</v>
      </c>
      <c r="AN85" s="107" t="n">
        <v>93.6016</v>
      </c>
      <c r="AO85" s="107" t="n">
        <v>1358.4</v>
      </c>
      <c r="AP85" s="107" t="n">
        <v>1</v>
      </c>
      <c r="AQ85" s="107" t="n">
        <v>2808048</v>
      </c>
      <c r="AR85" s="107" t="n">
        <v>3814452403</v>
      </c>
      <c r="AS85" s="107" t="n">
        <v>2920753.89</v>
      </c>
      <c r="AT85" s="107" t="n">
        <v>4420561013</v>
      </c>
      <c r="AU85" s="107" t="n">
        <v>-112705.89</v>
      </c>
      <c r="AV85" s="107" t="n">
        <v>-153099681</v>
      </c>
      <c r="AW85" s="107" t="n">
        <v>0</v>
      </c>
      <c r="AX85" s="107" t="n">
        <v>0</v>
      </c>
      <c r="AY85" s="107" t="n">
        <v>736.11</v>
      </c>
      <c r="AZ85" s="107" t="n">
        <v>1114102</v>
      </c>
      <c r="BA85" s="107" t="n">
        <v>0</v>
      </c>
      <c r="BB85" s="107" t="n">
        <v>0</v>
      </c>
      <c r="BC85" s="107" t="n">
        <v>0</v>
      </c>
      <c r="BD85" s="107" t="n">
        <v>0</v>
      </c>
      <c r="BE85" s="107" t="n">
        <v>6927.08</v>
      </c>
      <c r="BF85" s="107" t="n">
        <v>9409745</v>
      </c>
      <c r="BG85" s="107" t="n">
        <v>714.68</v>
      </c>
      <c r="BH85" s="107" t="n">
        <v>970821</v>
      </c>
      <c r="BI85" s="107" t="n">
        <v>2920753.89</v>
      </c>
      <c r="BJ85" s="107" t="n">
        <v>4420561013</v>
      </c>
      <c r="BK85" s="107" t="n">
        <v>0</v>
      </c>
      <c r="BL85" s="107" t="n">
        <v>0</v>
      </c>
      <c r="BM85" s="107" t="n">
        <v>0</v>
      </c>
      <c r="BN85" s="107" t="n">
        <v>0</v>
      </c>
      <c r="BO85" s="2"/>
      <c r="BP85" s="2"/>
      <c r="BQ85" s="107" t="s">
        <v>107</v>
      </c>
      <c r="BR85" s="107" t="n">
        <v>-453008929</v>
      </c>
      <c r="BS85" s="107" t="n">
        <v>-114170</v>
      </c>
      <c r="BT85" s="107" t="n">
        <v>0</v>
      </c>
      <c r="BU85" s="107" t="n">
        <v>0</v>
      </c>
      <c r="BV85" s="107" t="n">
        <v>0</v>
      </c>
      <c r="BW85" s="107" t="n">
        <v>6927.08</v>
      </c>
      <c r="BX85" s="107" t="n">
        <v>9409745</v>
      </c>
      <c r="BY85" s="107" t="n">
        <v>1450.79</v>
      </c>
      <c r="BZ85" s="107" t="n">
        <v>1970753</v>
      </c>
      <c r="CA85" s="107" t="n">
        <v>1513.5</v>
      </c>
      <c r="CB85" s="2"/>
      <c r="CC85" s="107" t="n">
        <v>0</v>
      </c>
      <c r="CD85" s="107" t="n">
        <v>93.59</v>
      </c>
      <c r="CE85" s="107" t="n">
        <v>93.61</v>
      </c>
      <c r="CF85" s="107" t="n">
        <v>93.61</v>
      </c>
      <c r="CG85" s="107" t="n">
        <v>3000000</v>
      </c>
      <c r="CH85" s="107" t="n">
        <v>3.8643</v>
      </c>
      <c r="CI85" s="107" t="n">
        <v>95.7</v>
      </c>
      <c r="CJ85" s="107" t="n">
        <v>95.88</v>
      </c>
      <c r="CK85" s="107" t="n">
        <v>96.02</v>
      </c>
      <c r="CL85" s="107" t="n">
        <v>0</v>
      </c>
    </row>
    <row r="86" customFormat="false" ht="15" hidden="false" customHeight="false" outlineLevel="0" collapsed="false">
      <c r="A86" s="107" t="s">
        <v>514</v>
      </c>
      <c r="B86" s="107" t="n">
        <v>96.5376</v>
      </c>
      <c r="C86" s="107" t="n">
        <v>6.0942</v>
      </c>
      <c r="D86" s="107" t="n">
        <v>3.9989</v>
      </c>
      <c r="E86" s="107" t="n">
        <v>-1351.15473024</v>
      </c>
      <c r="F86" s="108" t="s">
        <v>358</v>
      </c>
      <c r="G86" s="107" t="n">
        <v>3.9989</v>
      </c>
      <c r="H86" s="107" t="n">
        <v>-1351.15473024</v>
      </c>
      <c r="I86" s="109" t="n">
        <v>48035</v>
      </c>
      <c r="J86" s="107" t="n">
        <v>5</v>
      </c>
      <c r="K86" s="107" t="s">
        <v>359</v>
      </c>
      <c r="L86" s="107" t="s">
        <v>298</v>
      </c>
      <c r="M86" s="107" t="n">
        <v>13996150</v>
      </c>
      <c r="N86" s="107" t="n">
        <v>99.249</v>
      </c>
      <c r="O86" s="107" t="n">
        <v>3378816</v>
      </c>
      <c r="P86" s="107" t="s">
        <v>504</v>
      </c>
      <c r="Q86" s="107" t="s">
        <v>107</v>
      </c>
      <c r="R86" s="107" t="n">
        <v>-0.120974195572444</v>
      </c>
      <c r="S86" s="107" t="n">
        <v>-0.0273191669437475</v>
      </c>
      <c r="T86" s="107" t="n">
        <v>-1392.30870912</v>
      </c>
      <c r="U86" s="107" t="n">
        <v>21069</v>
      </c>
      <c r="V86" s="108" t="s">
        <v>362</v>
      </c>
      <c r="W86" s="107" t="n">
        <v>28096</v>
      </c>
      <c r="X86" s="108" t="s">
        <v>372</v>
      </c>
      <c r="Y86" s="107" t="s">
        <v>513</v>
      </c>
      <c r="Z86" s="107" t="s">
        <v>516</v>
      </c>
      <c r="AA86" s="109" t="n">
        <v>46177</v>
      </c>
      <c r="AB86" s="107" t="n">
        <v>260604000001</v>
      </c>
      <c r="AC86" s="109" t="n">
        <v>46086</v>
      </c>
      <c r="AD86" s="109" t="n">
        <v>48370</v>
      </c>
      <c r="AE86" s="107" t="n">
        <v>4.529</v>
      </c>
      <c r="AF86" s="107" t="n">
        <v>4.1549</v>
      </c>
      <c r="AG86" s="107" t="n">
        <v>2075</v>
      </c>
      <c r="AH86" s="107" t="n">
        <v>10000000</v>
      </c>
      <c r="AI86" s="107" t="n">
        <v>4.99766</v>
      </c>
      <c r="AJ86" s="107" t="n">
        <v>97.948</v>
      </c>
      <c r="AK86" s="107" t="n">
        <v>4.707936</v>
      </c>
      <c r="AL86" s="107" t="n">
        <v>99.394763</v>
      </c>
      <c r="AM86" s="107" t="n">
        <v>5.8952</v>
      </c>
      <c r="AN86" s="107" t="n">
        <v>94.1618</v>
      </c>
      <c r="AO86" s="107" t="n">
        <v>1358.4</v>
      </c>
      <c r="AP86" s="107" t="n">
        <v>1</v>
      </c>
      <c r="AQ86" s="107" t="n">
        <v>9416180</v>
      </c>
      <c r="AR86" s="107" t="n">
        <v>12790938912</v>
      </c>
      <c r="AS86" s="107" t="n">
        <v>9794800</v>
      </c>
      <c r="AT86" s="107" t="n">
        <v>14802881240</v>
      </c>
      <c r="AU86" s="107" t="n">
        <v>-378620</v>
      </c>
      <c r="AV86" s="107" t="n">
        <v>-514317408</v>
      </c>
      <c r="AW86" s="107" t="n">
        <v>0</v>
      </c>
      <c r="AX86" s="107" t="n">
        <v>0</v>
      </c>
      <c r="AY86" s="107" t="n">
        <v>0</v>
      </c>
      <c r="AZ86" s="107" t="n">
        <v>0</v>
      </c>
      <c r="BA86" s="107" t="n">
        <v>0</v>
      </c>
      <c r="BB86" s="107" t="n">
        <v>0</v>
      </c>
      <c r="BC86" s="107" t="n">
        <v>0</v>
      </c>
      <c r="BD86" s="107" t="n">
        <v>0</v>
      </c>
      <c r="BE86" s="107" t="n">
        <v>144676.39</v>
      </c>
      <c r="BF86" s="107" t="n">
        <v>196528408</v>
      </c>
      <c r="BG86" s="107" t="n">
        <v>0</v>
      </c>
      <c r="BH86" s="107" t="n">
        <v>0</v>
      </c>
      <c r="BI86" s="107" t="n">
        <v>9794800</v>
      </c>
      <c r="BJ86" s="107" t="n">
        <v>14802881240</v>
      </c>
      <c r="BK86" s="107" t="n">
        <v>0</v>
      </c>
      <c r="BL86" s="107" t="n">
        <v>0</v>
      </c>
      <c r="BM86" s="107" t="n">
        <v>0</v>
      </c>
      <c r="BN86" s="107" t="n">
        <v>0</v>
      </c>
      <c r="BO86" s="107" t="s">
        <v>377</v>
      </c>
      <c r="BP86" s="107" t="s">
        <v>517</v>
      </c>
      <c r="BQ86" s="107" t="s">
        <v>106</v>
      </c>
      <c r="BR86" s="107" t="n">
        <v>-1497624920</v>
      </c>
      <c r="BS86" s="107" t="n">
        <v>0</v>
      </c>
      <c r="BT86" s="107" t="n">
        <v>0</v>
      </c>
      <c r="BU86" s="107" t="n">
        <v>0</v>
      </c>
      <c r="BV86" s="107" t="n">
        <v>0</v>
      </c>
      <c r="BW86" s="107" t="n">
        <v>144676.39</v>
      </c>
      <c r="BX86" s="107" t="n">
        <v>196528408</v>
      </c>
      <c r="BY86" s="107" t="n">
        <v>0</v>
      </c>
      <c r="BZ86" s="107" t="n">
        <v>0</v>
      </c>
      <c r="CA86" s="107" t="n">
        <v>1511.3</v>
      </c>
      <c r="CB86" s="2"/>
      <c r="CC86" s="107" t="n">
        <v>0</v>
      </c>
      <c r="CD86" s="107" t="n">
        <v>94.15</v>
      </c>
      <c r="CE86" s="107" t="n">
        <v>94.11</v>
      </c>
      <c r="CF86" s="107" t="n">
        <v>94.22</v>
      </c>
      <c r="CG86" s="107" t="n">
        <v>0</v>
      </c>
      <c r="CH86" s="107" t="n">
        <v>4.0359</v>
      </c>
      <c r="CI86" s="107" t="n">
        <v>95.7</v>
      </c>
      <c r="CJ86" s="107" t="n">
        <v>95.88</v>
      </c>
      <c r="CK86" s="107" t="n">
        <v>96.02</v>
      </c>
      <c r="CL86" s="107" t="n">
        <v>0</v>
      </c>
    </row>
    <row r="87" customFormat="false" ht="15" hidden="false" customHeight="false" outlineLevel="0" collapsed="false">
      <c r="A87" s="107" t="s">
        <v>514</v>
      </c>
      <c r="B87" s="107" t="n">
        <v>96.5376</v>
      </c>
      <c r="C87" s="107" t="n">
        <v>6.0942</v>
      </c>
      <c r="D87" s="107" t="n">
        <v>3.9989</v>
      </c>
      <c r="E87" s="107" t="n">
        <v>-1158.13262592</v>
      </c>
      <c r="F87" s="108" t="s">
        <v>358</v>
      </c>
      <c r="G87" s="107" t="n">
        <v>3.9989</v>
      </c>
      <c r="H87" s="107" t="n">
        <v>-1158.13262592</v>
      </c>
      <c r="I87" s="109" t="n">
        <v>48035</v>
      </c>
      <c r="J87" s="107" t="n">
        <v>5</v>
      </c>
      <c r="K87" s="107" t="s">
        <v>359</v>
      </c>
      <c r="L87" s="107" t="s">
        <v>298</v>
      </c>
      <c r="M87" s="107" t="n">
        <v>11996700</v>
      </c>
      <c r="N87" s="107" t="n">
        <v>99.156</v>
      </c>
      <c r="O87" s="107" t="n">
        <v>2896128</v>
      </c>
      <c r="P87" s="107" t="s">
        <v>504</v>
      </c>
      <c r="Q87" s="107" t="s">
        <v>107</v>
      </c>
      <c r="R87" s="107" t="n">
        <v>-0.102658986713981</v>
      </c>
      <c r="S87" s="107" t="n">
        <v>-0.0264068740167011</v>
      </c>
      <c r="T87" s="107" t="n">
        <v>-1193.40746496</v>
      </c>
      <c r="U87" s="107" t="n">
        <v>21069</v>
      </c>
      <c r="V87" s="108" t="s">
        <v>362</v>
      </c>
      <c r="W87" s="107" t="n">
        <v>28096</v>
      </c>
      <c r="X87" s="108" t="s">
        <v>372</v>
      </c>
      <c r="Y87" s="107" t="s">
        <v>514</v>
      </c>
      <c r="Z87" s="107" t="s">
        <v>518</v>
      </c>
      <c r="AA87" s="109" t="n">
        <v>46209</v>
      </c>
      <c r="AB87" s="107" t="n">
        <v>260706000001</v>
      </c>
      <c r="AC87" s="109" t="n">
        <v>46209</v>
      </c>
      <c r="AD87" s="109" t="n">
        <v>48035</v>
      </c>
      <c r="AE87" s="107" t="n">
        <v>5.25</v>
      </c>
      <c r="AF87" s="107" t="n">
        <v>4.1187</v>
      </c>
      <c r="AG87" s="107" t="n">
        <v>1740</v>
      </c>
      <c r="AH87" s="107" t="n">
        <v>5000000</v>
      </c>
      <c r="AI87" s="107" t="n">
        <v>5.302049</v>
      </c>
      <c r="AJ87" s="107" t="n">
        <v>99.774</v>
      </c>
      <c r="AK87" s="107" t="n">
        <v>5.299668</v>
      </c>
      <c r="AL87" s="107" t="n">
        <v>101.009644</v>
      </c>
      <c r="AM87" s="107" t="n">
        <v>6.0589</v>
      </c>
      <c r="AN87" s="107" t="n">
        <v>96.6805</v>
      </c>
      <c r="AO87" s="107" t="n">
        <v>1358.4</v>
      </c>
      <c r="AP87" s="107" t="n">
        <v>1</v>
      </c>
      <c r="AQ87" s="107" t="n">
        <v>4834025</v>
      </c>
      <c r="AR87" s="107" t="n">
        <v>6566539560</v>
      </c>
      <c r="AS87" s="107" t="n">
        <v>4988700</v>
      </c>
      <c r="AT87" s="107" t="n">
        <v>7674117210</v>
      </c>
      <c r="AU87" s="107" t="n">
        <v>-154675</v>
      </c>
      <c r="AV87" s="107" t="n">
        <v>-210110520</v>
      </c>
      <c r="AW87" s="107" t="n">
        <v>0</v>
      </c>
      <c r="AX87" s="107" t="n">
        <v>0</v>
      </c>
      <c r="AY87" s="107" t="n">
        <v>0</v>
      </c>
      <c r="AZ87" s="107" t="n">
        <v>0</v>
      </c>
      <c r="BA87" s="107" t="n">
        <v>0</v>
      </c>
      <c r="BB87" s="107" t="n">
        <v>0</v>
      </c>
      <c r="BC87" s="107" t="n">
        <v>0</v>
      </c>
      <c r="BD87" s="107" t="n">
        <v>0</v>
      </c>
      <c r="BE87" s="107" t="n">
        <v>61250</v>
      </c>
      <c r="BF87" s="107" t="n">
        <v>83202000</v>
      </c>
      <c r="BG87" s="107" t="n">
        <v>532.2</v>
      </c>
      <c r="BH87" s="107" t="n">
        <v>722940</v>
      </c>
      <c r="BI87" s="107" t="n">
        <v>4988700</v>
      </c>
      <c r="BJ87" s="107" t="n">
        <v>7674117210</v>
      </c>
      <c r="BK87" s="107" t="n">
        <v>0</v>
      </c>
      <c r="BL87" s="107" t="n">
        <v>0</v>
      </c>
      <c r="BM87" s="107" t="n">
        <v>0</v>
      </c>
      <c r="BN87" s="107" t="n">
        <v>0</v>
      </c>
      <c r="BO87" s="2"/>
      <c r="BP87" s="2"/>
      <c r="BQ87" s="107" t="s">
        <v>107</v>
      </c>
      <c r="BR87" s="107" t="n">
        <v>-897467130</v>
      </c>
      <c r="BS87" s="107" t="n">
        <v>0</v>
      </c>
      <c r="BT87" s="107" t="n">
        <v>0</v>
      </c>
      <c r="BU87" s="107" t="n">
        <v>0</v>
      </c>
      <c r="BV87" s="107" t="n">
        <v>0</v>
      </c>
      <c r="BW87" s="107" t="n">
        <v>61250</v>
      </c>
      <c r="BX87" s="107" t="n">
        <v>83202000</v>
      </c>
      <c r="BY87" s="107" t="n">
        <v>532.2</v>
      </c>
      <c r="BZ87" s="107" t="n">
        <v>722940</v>
      </c>
      <c r="CA87" s="107" t="n">
        <v>1538.3</v>
      </c>
      <c r="CB87" s="2"/>
      <c r="CC87" s="107" t="n">
        <v>0</v>
      </c>
      <c r="CD87" s="107" t="n">
        <v>96.7</v>
      </c>
      <c r="CE87" s="107" t="n">
        <v>96.67</v>
      </c>
      <c r="CF87" s="107" t="n">
        <v>96.67</v>
      </c>
      <c r="CG87" s="107" t="n">
        <v>0</v>
      </c>
      <c r="CH87" s="107" t="n">
        <v>3.9976</v>
      </c>
      <c r="CI87" s="107" t="n">
        <v>97.73</v>
      </c>
      <c r="CJ87" s="107" t="n">
        <v>97.76</v>
      </c>
      <c r="CK87" s="107" t="n">
        <v>97.78</v>
      </c>
      <c r="CL87" s="107" t="n">
        <v>0</v>
      </c>
    </row>
    <row r="88" customFormat="false" ht="15" hidden="false" customHeight="false" outlineLevel="0" collapsed="false">
      <c r="A88" s="107" t="s">
        <v>514</v>
      </c>
      <c r="B88" s="107" t="n">
        <v>96.5376</v>
      </c>
      <c r="C88" s="107" t="n">
        <v>6.0942</v>
      </c>
      <c r="D88" s="107" t="n">
        <v>3.9989</v>
      </c>
      <c r="E88" s="107" t="n">
        <v>-772.08841728</v>
      </c>
      <c r="F88" s="108" t="s">
        <v>358</v>
      </c>
      <c r="G88" s="107" t="n">
        <v>3.9989</v>
      </c>
      <c r="H88" s="107" t="n">
        <v>-772.08841728</v>
      </c>
      <c r="I88" s="109" t="n">
        <v>48035</v>
      </c>
      <c r="J88" s="107" t="n">
        <v>5</v>
      </c>
      <c r="K88" s="107" t="s">
        <v>359</v>
      </c>
      <c r="L88" s="107" t="s">
        <v>298</v>
      </c>
      <c r="M88" s="107" t="n">
        <v>7997800</v>
      </c>
      <c r="N88" s="107" t="n">
        <v>99.25</v>
      </c>
      <c r="O88" s="107" t="n">
        <v>1930752</v>
      </c>
      <c r="P88" s="107" t="s">
        <v>504</v>
      </c>
      <c r="Q88" s="107" t="s">
        <v>107</v>
      </c>
      <c r="R88" s="107" t="n">
        <v>-0.0650905044536899</v>
      </c>
      <c r="S88" s="107" t="n">
        <v>-0.027328967254408</v>
      </c>
      <c r="T88" s="107" t="n">
        <v>-795.60497664</v>
      </c>
      <c r="U88" s="107" t="n">
        <v>21069</v>
      </c>
      <c r="V88" s="108" t="s">
        <v>362</v>
      </c>
      <c r="W88" s="107" t="n">
        <v>28096</v>
      </c>
      <c r="X88" s="108" t="s">
        <v>372</v>
      </c>
      <c r="Y88" s="107" t="s">
        <v>514</v>
      </c>
      <c r="Z88" s="107" t="s">
        <v>518</v>
      </c>
      <c r="AA88" s="109" t="n">
        <v>46219</v>
      </c>
      <c r="AB88" s="107" t="n">
        <v>260716000001</v>
      </c>
      <c r="AC88" s="109" t="n">
        <v>46209</v>
      </c>
      <c r="AD88" s="109" t="n">
        <v>48035</v>
      </c>
      <c r="AE88" s="107" t="n">
        <v>5.25</v>
      </c>
      <c r="AF88" s="107" t="n">
        <v>4.1187</v>
      </c>
      <c r="AG88" s="107" t="n">
        <v>1740</v>
      </c>
      <c r="AH88" s="107" t="n">
        <v>3500000</v>
      </c>
      <c r="AI88" s="107" t="n">
        <v>5.423921</v>
      </c>
      <c r="AJ88" s="107" t="n">
        <v>99.249</v>
      </c>
      <c r="AK88" s="107" t="n">
        <v>5.426251</v>
      </c>
      <c r="AL88" s="107" t="n">
        <v>100.484644</v>
      </c>
      <c r="AM88" s="107" t="n">
        <v>6.0589</v>
      </c>
      <c r="AN88" s="107" t="n">
        <v>96.6805</v>
      </c>
      <c r="AO88" s="107" t="n">
        <v>1358.4</v>
      </c>
      <c r="AP88" s="107" t="n">
        <v>1</v>
      </c>
      <c r="AQ88" s="107" t="n">
        <v>3383817.5</v>
      </c>
      <c r="AR88" s="107" t="n">
        <v>4596577692</v>
      </c>
      <c r="AS88" s="107" t="n">
        <v>3473715</v>
      </c>
      <c r="AT88" s="107" t="n">
        <v>5227593703</v>
      </c>
      <c r="AU88" s="107" t="n">
        <v>-89897.5</v>
      </c>
      <c r="AV88" s="107" t="n">
        <v>-122116764</v>
      </c>
      <c r="AW88" s="107" t="n">
        <v>5104.17</v>
      </c>
      <c r="AX88" s="107" t="n">
        <v>7681265</v>
      </c>
      <c r="AY88" s="107" t="n">
        <v>0</v>
      </c>
      <c r="AZ88" s="107" t="n">
        <v>0</v>
      </c>
      <c r="BA88" s="107" t="n">
        <v>0</v>
      </c>
      <c r="BB88" s="107" t="n">
        <v>0</v>
      </c>
      <c r="BC88" s="107" t="n">
        <v>0</v>
      </c>
      <c r="BD88" s="107" t="n">
        <v>0</v>
      </c>
      <c r="BE88" s="107" t="n">
        <v>37770.83</v>
      </c>
      <c r="BF88" s="107" t="n">
        <v>51307895</v>
      </c>
      <c r="BG88" s="107" t="n">
        <v>372.54</v>
      </c>
      <c r="BH88" s="107" t="n">
        <v>506058</v>
      </c>
      <c r="BI88" s="107" t="n">
        <v>3473715</v>
      </c>
      <c r="BJ88" s="107" t="n">
        <v>5227593703</v>
      </c>
      <c r="BK88" s="107" t="n">
        <v>0</v>
      </c>
      <c r="BL88" s="107" t="n">
        <v>0</v>
      </c>
      <c r="BM88" s="107" t="n">
        <v>0</v>
      </c>
      <c r="BN88" s="107" t="n">
        <v>0</v>
      </c>
      <c r="BO88" s="2"/>
      <c r="BP88" s="2"/>
      <c r="BQ88" s="107" t="s">
        <v>107</v>
      </c>
      <c r="BR88" s="107" t="n">
        <v>-508899247</v>
      </c>
      <c r="BS88" s="107" t="n">
        <v>-747760</v>
      </c>
      <c r="BT88" s="107" t="n">
        <v>0</v>
      </c>
      <c r="BU88" s="107" t="n">
        <v>0</v>
      </c>
      <c r="BV88" s="107" t="n">
        <v>0</v>
      </c>
      <c r="BW88" s="107" t="n">
        <v>42875</v>
      </c>
      <c r="BX88" s="107" t="n">
        <v>58241400</v>
      </c>
      <c r="BY88" s="107" t="n">
        <v>372.54</v>
      </c>
      <c r="BZ88" s="107" t="n">
        <v>506058</v>
      </c>
      <c r="CA88" s="107" t="n">
        <v>1504.9</v>
      </c>
      <c r="CB88" s="2"/>
      <c r="CC88" s="107" t="n">
        <v>0</v>
      </c>
      <c r="CD88" s="107" t="n">
        <v>96.7</v>
      </c>
      <c r="CE88" s="107" t="n">
        <v>96.67</v>
      </c>
      <c r="CF88" s="107" t="n">
        <v>96.67</v>
      </c>
      <c r="CG88" s="107" t="n">
        <v>0</v>
      </c>
      <c r="CH88" s="107" t="n">
        <v>3.9976</v>
      </c>
      <c r="CI88" s="107" t="n">
        <v>99.91</v>
      </c>
      <c r="CJ88" s="107" t="n">
        <v>99.96</v>
      </c>
      <c r="CK88" s="107" t="n">
        <v>99.95</v>
      </c>
      <c r="CL88" s="107" t="n">
        <v>0</v>
      </c>
    </row>
    <row r="89" customFormat="false" ht="15" hidden="false" customHeight="false" outlineLevel="0" collapsed="false">
      <c r="A89" s="107" t="s">
        <v>514</v>
      </c>
      <c r="B89" s="107" t="n">
        <v>96.5376</v>
      </c>
      <c r="C89" s="107" t="n">
        <v>6.0942</v>
      </c>
      <c r="D89" s="107" t="n">
        <v>3.9989</v>
      </c>
      <c r="E89" s="107" t="n">
        <v>-1930.2210432</v>
      </c>
      <c r="F89" s="108" t="s">
        <v>358</v>
      </c>
      <c r="G89" s="107" t="n">
        <v>3.9989</v>
      </c>
      <c r="H89" s="107" t="n">
        <v>-1930.2210432</v>
      </c>
      <c r="I89" s="109" t="n">
        <v>48035</v>
      </c>
      <c r="J89" s="107" t="n">
        <v>5</v>
      </c>
      <c r="K89" s="107" t="s">
        <v>359</v>
      </c>
      <c r="L89" s="107" t="s">
        <v>298</v>
      </c>
      <c r="M89" s="107" t="n">
        <v>19994500</v>
      </c>
      <c r="N89" s="107" t="n">
        <v>99.24</v>
      </c>
      <c r="O89" s="107" t="n">
        <v>4826880</v>
      </c>
      <c r="P89" s="107" t="s">
        <v>504</v>
      </c>
      <c r="Q89" s="107" t="s">
        <v>107</v>
      </c>
      <c r="R89" s="107" t="n">
        <v>-0.0414692804593305</v>
      </c>
      <c r="S89" s="107" t="n">
        <v>-0.0272309552599758</v>
      </c>
      <c r="T89" s="107" t="n">
        <v>-1989.0124416</v>
      </c>
      <c r="U89" s="107" t="n">
        <v>21069</v>
      </c>
      <c r="V89" s="108" t="s">
        <v>362</v>
      </c>
      <c r="W89" s="107" t="n">
        <v>28096</v>
      </c>
      <c r="X89" s="108" t="s">
        <v>372</v>
      </c>
      <c r="Y89" s="107" t="s">
        <v>514</v>
      </c>
      <c r="Z89" s="107" t="s">
        <v>518</v>
      </c>
      <c r="AA89" s="109" t="n">
        <v>46227</v>
      </c>
      <c r="AB89" s="107" t="n">
        <v>260724000001</v>
      </c>
      <c r="AC89" s="109" t="n">
        <v>46209</v>
      </c>
      <c r="AD89" s="109" t="n">
        <v>48035</v>
      </c>
      <c r="AE89" s="107" t="n">
        <v>5.25</v>
      </c>
      <c r="AF89" s="107" t="n">
        <v>4.1187</v>
      </c>
      <c r="AG89" s="107" t="n">
        <v>1740</v>
      </c>
      <c r="AH89" s="107" t="n">
        <v>3000000</v>
      </c>
      <c r="AI89" s="107" t="n">
        <v>5.446079</v>
      </c>
      <c r="AJ89" s="107" t="n">
        <v>99.156</v>
      </c>
      <c r="AK89" s="107" t="n">
        <v>5.449296</v>
      </c>
      <c r="AL89" s="107" t="n">
        <v>100.389416</v>
      </c>
      <c r="AM89" s="107" t="n">
        <v>6.0589</v>
      </c>
      <c r="AN89" s="107" t="n">
        <v>96.6805</v>
      </c>
      <c r="AO89" s="107" t="n">
        <v>1358.4</v>
      </c>
      <c r="AP89" s="107" t="n">
        <v>1</v>
      </c>
      <c r="AQ89" s="107" t="n">
        <v>2900415</v>
      </c>
      <c r="AR89" s="107" t="n">
        <v>3939923736</v>
      </c>
      <c r="AS89" s="107" t="n">
        <v>2974613.17</v>
      </c>
      <c r="AT89" s="107" t="n">
        <v>4389339194</v>
      </c>
      <c r="AU89" s="107" t="n">
        <v>-74198.17</v>
      </c>
      <c r="AV89" s="107" t="n">
        <v>-100790794</v>
      </c>
      <c r="AW89" s="107" t="n">
        <v>7875</v>
      </c>
      <c r="AX89" s="107" t="n">
        <v>11620350</v>
      </c>
      <c r="AY89" s="107" t="n">
        <v>66.83</v>
      </c>
      <c r="AZ89" s="107" t="n">
        <v>98614</v>
      </c>
      <c r="BA89" s="107" t="n">
        <v>0</v>
      </c>
      <c r="BB89" s="107" t="n">
        <v>0</v>
      </c>
      <c r="BC89" s="107" t="n">
        <v>0</v>
      </c>
      <c r="BD89" s="107" t="n">
        <v>0</v>
      </c>
      <c r="BE89" s="107" t="n">
        <v>28875</v>
      </c>
      <c r="BF89" s="107" t="n">
        <v>39223800</v>
      </c>
      <c r="BG89" s="107" t="n">
        <v>252.49</v>
      </c>
      <c r="BH89" s="107" t="n">
        <v>342982</v>
      </c>
      <c r="BI89" s="107" t="n">
        <v>2974613.17</v>
      </c>
      <c r="BJ89" s="107" t="n">
        <v>4389339194</v>
      </c>
      <c r="BK89" s="107" t="n">
        <v>0</v>
      </c>
      <c r="BL89" s="107" t="n">
        <v>0</v>
      </c>
      <c r="BM89" s="107" t="n">
        <v>0</v>
      </c>
      <c r="BN89" s="107" t="n">
        <v>0</v>
      </c>
      <c r="BO89" s="2"/>
      <c r="BP89" s="2"/>
      <c r="BQ89" s="107" t="s">
        <v>107</v>
      </c>
      <c r="BR89" s="107" t="n">
        <v>-348624664</v>
      </c>
      <c r="BS89" s="107" t="n">
        <v>-930782</v>
      </c>
      <c r="BT89" s="107" t="n">
        <v>0</v>
      </c>
      <c r="BU89" s="107" t="n">
        <v>0</v>
      </c>
      <c r="BV89" s="107" t="n">
        <v>0</v>
      </c>
      <c r="BW89" s="107" t="n">
        <v>36750</v>
      </c>
      <c r="BX89" s="107" t="n">
        <v>49921200</v>
      </c>
      <c r="BY89" s="107" t="n">
        <v>319.32</v>
      </c>
      <c r="BZ89" s="107" t="n">
        <v>433764</v>
      </c>
      <c r="CA89" s="107" t="n">
        <v>1475.6</v>
      </c>
      <c r="CB89" s="2"/>
      <c r="CC89" s="107" t="n">
        <v>0</v>
      </c>
      <c r="CD89" s="107" t="n">
        <v>96.7</v>
      </c>
      <c r="CE89" s="107" t="n">
        <v>96.67</v>
      </c>
      <c r="CF89" s="107" t="n">
        <v>96.67</v>
      </c>
      <c r="CG89" s="107" t="n">
        <v>0</v>
      </c>
      <c r="CH89" s="107" t="n">
        <v>3.9976</v>
      </c>
      <c r="CI89" s="107" t="n">
        <v>100.74</v>
      </c>
      <c r="CJ89" s="107" t="n">
        <v>100.78</v>
      </c>
      <c r="CK89" s="107" t="n">
        <v>100.85</v>
      </c>
      <c r="CL89" s="107" t="n">
        <v>0</v>
      </c>
    </row>
    <row r="90" customFormat="false" ht="15" hidden="false" customHeight="false" outlineLevel="0" collapsed="false">
      <c r="A90" s="107" t="s">
        <v>514</v>
      </c>
      <c r="B90" s="107" t="n">
        <v>96.5376</v>
      </c>
      <c r="C90" s="107" t="n">
        <v>6.0942</v>
      </c>
      <c r="D90" s="107" t="n">
        <v>3.9989</v>
      </c>
      <c r="E90" s="107" t="n">
        <v>-1544.17683456</v>
      </c>
      <c r="F90" s="108" t="s">
        <v>358</v>
      </c>
      <c r="G90" s="107" t="n">
        <v>3.9989</v>
      </c>
      <c r="H90" s="107" t="n">
        <v>-1544.17683456</v>
      </c>
      <c r="I90" s="109" t="n">
        <v>48035</v>
      </c>
      <c r="J90" s="107" t="n">
        <v>5</v>
      </c>
      <c r="K90" s="107" t="s">
        <v>359</v>
      </c>
      <c r="L90" s="107" t="s">
        <v>298</v>
      </c>
      <c r="M90" s="107" t="n">
        <v>15995600</v>
      </c>
      <c r="N90" s="107" t="n">
        <v>97.404</v>
      </c>
      <c r="O90" s="107" t="n">
        <v>3861504</v>
      </c>
      <c r="P90" s="107" t="s">
        <v>504</v>
      </c>
      <c r="Q90" s="107" t="s">
        <v>107</v>
      </c>
      <c r="R90" s="107" t="n">
        <v>-0.0258456342809549</v>
      </c>
      <c r="S90" s="107" t="n">
        <v>-0.00889491191326841</v>
      </c>
      <c r="T90" s="107" t="n">
        <v>-1591.20995328</v>
      </c>
      <c r="U90" s="107" t="n">
        <v>21069</v>
      </c>
      <c r="V90" s="108" t="s">
        <v>362</v>
      </c>
      <c r="W90" s="107" t="n">
        <v>28096</v>
      </c>
      <c r="X90" s="108" t="s">
        <v>372</v>
      </c>
      <c r="Y90" s="107" t="s">
        <v>514</v>
      </c>
      <c r="Z90" s="107" t="s">
        <v>518</v>
      </c>
      <c r="AA90" s="109" t="n">
        <v>46248</v>
      </c>
      <c r="AB90" s="107" t="n">
        <v>260814000001</v>
      </c>
      <c r="AC90" s="109" t="n">
        <v>46209</v>
      </c>
      <c r="AD90" s="109" t="n">
        <v>48035</v>
      </c>
      <c r="AE90" s="107" t="n">
        <v>5.25</v>
      </c>
      <c r="AF90" s="107" t="n">
        <v>4.1187</v>
      </c>
      <c r="AG90" s="107" t="n">
        <v>1740</v>
      </c>
      <c r="AH90" s="107" t="n">
        <v>2000000</v>
      </c>
      <c r="AI90" s="107" t="n">
        <v>5.425162</v>
      </c>
      <c r="AJ90" s="107" t="n">
        <v>99.25</v>
      </c>
      <c r="AK90" s="107" t="n">
        <v>5.427176</v>
      </c>
      <c r="AL90" s="107" t="n">
        <v>100.480817</v>
      </c>
      <c r="AM90" s="107" t="n">
        <v>6.0589</v>
      </c>
      <c r="AN90" s="107" t="n">
        <v>96.6805</v>
      </c>
      <c r="AO90" s="107" t="n">
        <v>1358.4</v>
      </c>
      <c r="AP90" s="107" t="n">
        <v>1</v>
      </c>
      <c r="AQ90" s="107" t="n">
        <v>1933610</v>
      </c>
      <c r="AR90" s="107" t="n">
        <v>2626615824</v>
      </c>
      <c r="AS90" s="107" t="n">
        <v>1984903.47</v>
      </c>
      <c r="AT90" s="107" t="n">
        <v>2808638411</v>
      </c>
      <c r="AU90" s="107" t="n">
        <v>-51293.47</v>
      </c>
      <c r="AV90" s="107" t="n">
        <v>-69677050</v>
      </c>
      <c r="AW90" s="107" t="n">
        <v>11083.33</v>
      </c>
      <c r="AX90" s="107" t="n">
        <v>15682911</v>
      </c>
      <c r="AY90" s="107" t="n">
        <v>96.53</v>
      </c>
      <c r="AZ90" s="107" t="n">
        <v>136589</v>
      </c>
      <c r="BA90" s="107" t="n">
        <v>0</v>
      </c>
      <c r="BB90" s="107" t="n">
        <v>0</v>
      </c>
      <c r="BC90" s="107" t="n">
        <v>0</v>
      </c>
      <c r="BD90" s="107" t="n">
        <v>0</v>
      </c>
      <c r="BE90" s="107" t="n">
        <v>13416.67</v>
      </c>
      <c r="BF90" s="107" t="n">
        <v>18225205</v>
      </c>
      <c r="BG90" s="107" t="n">
        <v>116.35</v>
      </c>
      <c r="BH90" s="107" t="n">
        <v>158050</v>
      </c>
      <c r="BI90" s="107" t="n">
        <v>1984903.47</v>
      </c>
      <c r="BJ90" s="107" t="n">
        <v>2808638411</v>
      </c>
      <c r="BK90" s="107" t="n">
        <v>0</v>
      </c>
      <c r="BL90" s="107" t="n">
        <v>0</v>
      </c>
      <c r="BM90" s="107" t="n">
        <v>0</v>
      </c>
      <c r="BN90" s="107" t="n">
        <v>0</v>
      </c>
      <c r="BO90" s="2"/>
      <c r="BP90" s="2"/>
      <c r="BQ90" s="107" t="s">
        <v>107</v>
      </c>
      <c r="BR90" s="107" t="n">
        <v>-112345537</v>
      </c>
      <c r="BS90" s="107" t="n">
        <v>-632779</v>
      </c>
      <c r="BT90" s="107" t="n">
        <v>0</v>
      </c>
      <c r="BU90" s="107" t="n">
        <v>0</v>
      </c>
      <c r="BV90" s="107" t="n">
        <v>0</v>
      </c>
      <c r="BW90" s="107" t="n">
        <v>24500</v>
      </c>
      <c r="BX90" s="107" t="n">
        <v>33280800</v>
      </c>
      <c r="BY90" s="107" t="n">
        <v>212.88</v>
      </c>
      <c r="BZ90" s="107" t="n">
        <v>289176</v>
      </c>
      <c r="CA90" s="107" t="n">
        <v>1415</v>
      </c>
      <c r="CB90" s="2"/>
      <c r="CC90" s="107" t="n">
        <v>0</v>
      </c>
      <c r="CD90" s="107" t="n">
        <v>96.7</v>
      </c>
      <c r="CE90" s="107" t="n">
        <v>96.67</v>
      </c>
      <c r="CF90" s="107" t="n">
        <v>96.67</v>
      </c>
      <c r="CG90" s="107" t="n">
        <v>0</v>
      </c>
      <c r="CH90" s="107" t="n">
        <v>3.9976</v>
      </c>
      <c r="CI90" s="107" t="n">
        <v>100.27</v>
      </c>
      <c r="CJ90" s="107" t="n">
        <v>100.26</v>
      </c>
      <c r="CK90" s="107" t="n">
        <v>100.31</v>
      </c>
      <c r="CL90" s="107" t="n">
        <v>0</v>
      </c>
    </row>
    <row r="91" customFormat="false" ht="15" hidden="false" customHeight="false" outlineLevel="0" collapsed="false">
      <c r="A91" s="107" t="s">
        <v>519</v>
      </c>
      <c r="B91" s="107" t="n">
        <v>96.2482</v>
      </c>
      <c r="C91" s="107" t="n">
        <v>5.915</v>
      </c>
      <c r="D91" s="107" t="n">
        <v>4.0061</v>
      </c>
      <c r="E91" s="107" t="n">
        <v>-1156.73974206</v>
      </c>
      <c r="F91" s="108" t="s">
        <v>358</v>
      </c>
      <c r="G91" s="107" t="n">
        <v>4.0061</v>
      </c>
      <c r="H91" s="107" t="n">
        <v>-1156.73974206</v>
      </c>
      <c r="I91" s="109" t="n">
        <v>48028</v>
      </c>
      <c r="J91" s="107" t="n">
        <v>5</v>
      </c>
      <c r="K91" s="107" t="s">
        <v>359</v>
      </c>
      <c r="L91" s="107" t="s">
        <v>298</v>
      </c>
      <c r="M91" s="107" t="n">
        <v>12018300</v>
      </c>
      <c r="N91" s="107" t="n">
        <v>99.834</v>
      </c>
      <c r="O91" s="107" t="n">
        <v>2887446</v>
      </c>
      <c r="P91" s="107" t="s">
        <v>520</v>
      </c>
      <c r="Q91" s="107" t="s">
        <v>374</v>
      </c>
      <c r="R91" s="107" t="n">
        <v>-0.145829294870527</v>
      </c>
      <c r="S91" s="107" t="n">
        <v>-0.0359176232546027</v>
      </c>
      <c r="T91" s="107" t="n">
        <v>-1190.95597716</v>
      </c>
      <c r="U91" s="107" t="n">
        <v>21069</v>
      </c>
      <c r="V91" s="108" t="s">
        <v>362</v>
      </c>
      <c r="W91" s="107" t="n">
        <v>28096</v>
      </c>
      <c r="X91" s="108" t="s">
        <v>372</v>
      </c>
      <c r="Y91" s="107" t="s">
        <v>514</v>
      </c>
      <c r="Z91" s="107" t="s">
        <v>518</v>
      </c>
      <c r="AA91" s="109" t="n">
        <v>46266</v>
      </c>
      <c r="AB91" s="107" t="n">
        <v>260901000001</v>
      </c>
      <c r="AC91" s="109" t="n">
        <v>46209</v>
      </c>
      <c r="AD91" s="109" t="n">
        <v>48035</v>
      </c>
      <c r="AE91" s="107" t="n">
        <v>5.25</v>
      </c>
      <c r="AF91" s="107" t="n">
        <v>4.1187</v>
      </c>
      <c r="AG91" s="107" t="n">
        <v>1740</v>
      </c>
      <c r="AH91" s="107" t="n">
        <v>5000000</v>
      </c>
      <c r="AI91" s="107" t="n">
        <v>5.428662</v>
      </c>
      <c r="AJ91" s="107" t="n">
        <v>99.24</v>
      </c>
      <c r="AK91" s="107" t="n">
        <v>5.430134</v>
      </c>
      <c r="AL91" s="107" t="n">
        <v>100.468589</v>
      </c>
      <c r="AM91" s="107" t="n">
        <v>6.0589</v>
      </c>
      <c r="AN91" s="107" t="n">
        <v>96.6805</v>
      </c>
      <c r="AO91" s="107" t="n">
        <v>1358.4</v>
      </c>
      <c r="AP91" s="107" t="n">
        <v>1</v>
      </c>
      <c r="AQ91" s="107" t="n">
        <v>4834025</v>
      </c>
      <c r="AR91" s="107" t="n">
        <v>6566539560</v>
      </c>
      <c r="AS91" s="107" t="n">
        <v>4961647.27</v>
      </c>
      <c r="AT91" s="107" t="n">
        <v>6848561727</v>
      </c>
      <c r="AU91" s="107" t="n">
        <v>-127622.27</v>
      </c>
      <c r="AV91" s="107" t="n">
        <v>-173362092</v>
      </c>
      <c r="AW91" s="107" t="n">
        <v>40104.17</v>
      </c>
      <c r="AX91" s="107" t="n">
        <v>55355785</v>
      </c>
      <c r="AY91" s="107" t="n">
        <v>352.73</v>
      </c>
      <c r="AZ91" s="107" t="n">
        <v>486873</v>
      </c>
      <c r="BA91" s="107" t="n">
        <v>0</v>
      </c>
      <c r="BB91" s="107" t="n">
        <v>0</v>
      </c>
      <c r="BC91" s="107" t="n">
        <v>0</v>
      </c>
      <c r="BD91" s="107" t="n">
        <v>0</v>
      </c>
      <c r="BE91" s="107" t="n">
        <v>21145.83</v>
      </c>
      <c r="BF91" s="107" t="n">
        <v>28724495</v>
      </c>
      <c r="BG91" s="107" t="n">
        <v>179.47</v>
      </c>
      <c r="BH91" s="107" t="n">
        <v>243792</v>
      </c>
      <c r="BI91" s="107" t="n">
        <v>4961647.27</v>
      </c>
      <c r="BJ91" s="107" t="n">
        <v>6848561727</v>
      </c>
      <c r="BK91" s="107" t="n">
        <v>0</v>
      </c>
      <c r="BL91" s="107" t="n">
        <v>0</v>
      </c>
      <c r="BM91" s="107" t="n">
        <v>0</v>
      </c>
      <c r="BN91" s="107" t="n">
        <v>0</v>
      </c>
      <c r="BO91" s="2"/>
      <c r="BP91" s="2"/>
      <c r="BQ91" s="107" t="s">
        <v>107</v>
      </c>
      <c r="BR91" s="107" t="n">
        <v>-108660075</v>
      </c>
      <c r="BS91" s="107" t="n">
        <v>-886005</v>
      </c>
      <c r="BT91" s="107" t="n">
        <v>0</v>
      </c>
      <c r="BU91" s="107" t="n">
        <v>0</v>
      </c>
      <c r="BV91" s="107" t="n">
        <v>0</v>
      </c>
      <c r="BW91" s="107" t="n">
        <v>61250</v>
      </c>
      <c r="BX91" s="107" t="n">
        <v>83202000</v>
      </c>
      <c r="BY91" s="107" t="n">
        <v>532.2</v>
      </c>
      <c r="BZ91" s="107" t="n">
        <v>722940</v>
      </c>
      <c r="CA91" s="107" t="n">
        <v>1380.3</v>
      </c>
      <c r="CB91" s="2"/>
      <c r="CC91" s="107" t="n">
        <v>0</v>
      </c>
      <c r="CD91" s="107" t="n">
        <v>96.7</v>
      </c>
      <c r="CE91" s="107" t="n">
        <v>96.67</v>
      </c>
      <c r="CF91" s="107" t="n">
        <v>96.67</v>
      </c>
      <c r="CG91" s="107" t="n">
        <v>0</v>
      </c>
      <c r="CH91" s="107" t="n">
        <v>3.9976</v>
      </c>
      <c r="CI91" s="107" t="n">
        <v>0</v>
      </c>
      <c r="CJ91" s="107" t="n">
        <v>100.12</v>
      </c>
      <c r="CK91" s="107" t="n">
        <v>100.17</v>
      </c>
      <c r="CL91" s="107" t="n">
        <v>0</v>
      </c>
    </row>
    <row r="92" customFormat="false" ht="15" hidden="false" customHeight="false" outlineLevel="0" collapsed="false">
      <c r="A92" s="107" t="s">
        <v>519</v>
      </c>
      <c r="B92" s="107" t="n">
        <v>96.2482</v>
      </c>
      <c r="C92" s="107" t="n">
        <v>5.915</v>
      </c>
      <c r="D92" s="107" t="n">
        <v>4.0061</v>
      </c>
      <c r="E92" s="107" t="n">
        <v>-1542.31965608</v>
      </c>
      <c r="F92" s="108" t="s">
        <v>358</v>
      </c>
      <c r="G92" s="107" t="n">
        <v>4.0061</v>
      </c>
      <c r="H92" s="107" t="n">
        <v>-1542.31965608</v>
      </c>
      <c r="I92" s="109" t="n">
        <v>48028</v>
      </c>
      <c r="J92" s="107" t="n">
        <v>5</v>
      </c>
      <c r="K92" s="107" t="s">
        <v>359</v>
      </c>
      <c r="L92" s="107" t="s">
        <v>298</v>
      </c>
      <c r="M92" s="107" t="n">
        <v>16024400</v>
      </c>
      <c r="N92" s="107" t="n">
        <v>98.809</v>
      </c>
      <c r="O92" s="107" t="n">
        <v>3849928</v>
      </c>
      <c r="P92" s="107" t="s">
        <v>520</v>
      </c>
      <c r="Q92" s="107" t="s">
        <v>374</v>
      </c>
      <c r="R92" s="107" t="n">
        <v>-0.0431676129597365</v>
      </c>
      <c r="S92" s="107" t="n">
        <v>-0.0259166675100446</v>
      </c>
      <c r="T92" s="107" t="n">
        <v>-1587.94130288</v>
      </c>
      <c r="U92" s="107" t="n">
        <v>21069</v>
      </c>
      <c r="V92" s="108" t="s">
        <v>362</v>
      </c>
      <c r="W92" s="107" t="n">
        <v>28096</v>
      </c>
      <c r="X92" s="108" t="s">
        <v>372</v>
      </c>
      <c r="Y92" s="107" t="s">
        <v>514</v>
      </c>
      <c r="Z92" s="107" t="s">
        <v>518</v>
      </c>
      <c r="AA92" s="109" t="n">
        <v>46286</v>
      </c>
      <c r="AB92" s="107" t="n">
        <v>260921000001</v>
      </c>
      <c r="AC92" s="109" t="n">
        <v>46209</v>
      </c>
      <c r="AD92" s="109" t="n">
        <v>48035</v>
      </c>
      <c r="AE92" s="107" t="n">
        <v>5.25</v>
      </c>
      <c r="AF92" s="107" t="n">
        <v>4.1187</v>
      </c>
      <c r="AG92" s="107" t="n">
        <v>1740</v>
      </c>
      <c r="AH92" s="107" t="n">
        <v>4000000</v>
      </c>
      <c r="AI92" s="107" t="n">
        <v>5.877269</v>
      </c>
      <c r="AJ92" s="107" t="n">
        <v>97.404</v>
      </c>
      <c r="AK92" s="107" t="n">
        <v>5.879835</v>
      </c>
      <c r="AL92" s="107" t="n">
        <v>98.630114</v>
      </c>
      <c r="AM92" s="107" t="n">
        <v>6.0589</v>
      </c>
      <c r="AN92" s="107" t="n">
        <v>96.6805</v>
      </c>
      <c r="AO92" s="107" t="n">
        <v>1358.4</v>
      </c>
      <c r="AP92" s="107" t="n">
        <v>1</v>
      </c>
      <c r="AQ92" s="107" t="n">
        <v>3867220</v>
      </c>
      <c r="AR92" s="107" t="n">
        <v>5253231648</v>
      </c>
      <c r="AS92" s="107" t="n">
        <v>3895778.8</v>
      </c>
      <c r="AT92" s="107" t="n">
        <v>5390978704</v>
      </c>
      <c r="AU92" s="107" t="n">
        <v>-28558.8</v>
      </c>
      <c r="AV92" s="107" t="n">
        <v>-38794274</v>
      </c>
      <c r="AW92" s="107" t="n">
        <v>43750</v>
      </c>
      <c r="AX92" s="107" t="n">
        <v>60541250</v>
      </c>
      <c r="AY92" s="107" t="n">
        <v>381.2</v>
      </c>
      <c r="AZ92" s="107" t="n">
        <v>527504</v>
      </c>
      <c r="BA92" s="107" t="n">
        <v>0</v>
      </c>
      <c r="BB92" s="107" t="n">
        <v>0</v>
      </c>
      <c r="BC92" s="107" t="n">
        <v>0</v>
      </c>
      <c r="BD92" s="107" t="n">
        <v>0</v>
      </c>
      <c r="BE92" s="107" t="n">
        <v>5250</v>
      </c>
      <c r="BF92" s="107" t="n">
        <v>7131600</v>
      </c>
      <c r="BG92" s="107" t="n">
        <v>44.56</v>
      </c>
      <c r="BH92" s="107" t="n">
        <v>60530</v>
      </c>
      <c r="BI92" s="107" t="n">
        <v>3895778.8</v>
      </c>
      <c r="BJ92" s="107" t="n">
        <v>5390978704</v>
      </c>
      <c r="BK92" s="107" t="n">
        <v>0</v>
      </c>
      <c r="BL92" s="107" t="n">
        <v>0</v>
      </c>
      <c r="BM92" s="107" t="n">
        <v>0</v>
      </c>
      <c r="BN92" s="107" t="n">
        <v>0</v>
      </c>
      <c r="BO92" s="2"/>
      <c r="BP92" s="2"/>
      <c r="BQ92" s="107" t="s">
        <v>107</v>
      </c>
      <c r="BR92" s="107" t="n">
        <v>-98952782</v>
      </c>
      <c r="BS92" s="107" t="n">
        <v>-1120932</v>
      </c>
      <c r="BT92" s="107" t="n">
        <v>0</v>
      </c>
      <c r="BU92" s="107" t="n">
        <v>0</v>
      </c>
      <c r="BV92" s="107" t="n">
        <v>0</v>
      </c>
      <c r="BW92" s="107" t="n">
        <v>49000</v>
      </c>
      <c r="BX92" s="107" t="n">
        <v>66561600</v>
      </c>
      <c r="BY92" s="107" t="n">
        <v>425.76</v>
      </c>
      <c r="BZ92" s="107" t="n">
        <v>578352</v>
      </c>
      <c r="CA92" s="107" t="n">
        <v>1383.8</v>
      </c>
      <c r="CB92" s="2"/>
      <c r="CC92" s="107" t="n">
        <v>0</v>
      </c>
      <c r="CD92" s="107" t="n">
        <v>96.7</v>
      </c>
      <c r="CE92" s="107" t="n">
        <v>96.67</v>
      </c>
      <c r="CF92" s="107" t="n">
        <v>96.67</v>
      </c>
      <c r="CG92" s="107" t="n">
        <v>4000000</v>
      </c>
      <c r="CH92" s="107" t="n">
        <v>3.9976</v>
      </c>
      <c r="CI92" s="107" t="n">
        <v>0</v>
      </c>
      <c r="CJ92" s="107" t="n">
        <v>100.12</v>
      </c>
      <c r="CK92" s="107" t="n">
        <v>100.17</v>
      </c>
      <c r="CL92" s="107" t="n">
        <v>0</v>
      </c>
    </row>
    <row r="93" customFormat="false" ht="15" hidden="false" customHeight="false" outlineLevel="0" collapsed="false">
      <c r="A93" s="107" t="s">
        <v>521</v>
      </c>
      <c r="B93" s="107" t="n">
        <v>98.0015</v>
      </c>
      <c r="C93" s="107" t="n">
        <v>5.6662</v>
      </c>
      <c r="D93" s="107" t="n">
        <v>2.4481</v>
      </c>
      <c r="E93" s="107" t="n">
        <v>-719.75241645</v>
      </c>
      <c r="F93" s="108" t="s">
        <v>358</v>
      </c>
      <c r="G93" s="107" t="n">
        <v>2.4481</v>
      </c>
      <c r="H93" s="107" t="n">
        <v>-719.75241645</v>
      </c>
      <c r="I93" s="109" t="n">
        <v>47298</v>
      </c>
      <c r="J93" s="107" t="n">
        <v>3</v>
      </c>
      <c r="K93" s="107" t="s">
        <v>359</v>
      </c>
      <c r="L93" s="107" t="s">
        <v>298</v>
      </c>
      <c r="M93" s="107" t="n">
        <v>7344300</v>
      </c>
      <c r="N93" s="107" t="n">
        <v>99.73</v>
      </c>
      <c r="O93" s="107" t="n">
        <v>2940045</v>
      </c>
      <c r="P93" s="107" t="s">
        <v>520</v>
      </c>
      <c r="Q93" s="107" t="s">
        <v>374</v>
      </c>
      <c r="R93" s="107" t="n">
        <v>-0.0981923513268331</v>
      </c>
      <c r="S93" s="107" t="n">
        <v>-0.0173317958487919</v>
      </c>
      <c r="T93" s="107" t="n">
        <v>-740.15632875</v>
      </c>
      <c r="U93" s="107" t="n">
        <v>21069</v>
      </c>
      <c r="V93" s="108" t="s">
        <v>362</v>
      </c>
      <c r="W93" s="107" t="n">
        <v>28096</v>
      </c>
      <c r="X93" s="108" t="s">
        <v>372</v>
      </c>
      <c r="Y93" s="107" t="s">
        <v>519</v>
      </c>
      <c r="Z93" s="107" t="s">
        <v>522</v>
      </c>
      <c r="AA93" s="109" t="n">
        <v>46202</v>
      </c>
      <c r="AB93" s="107" t="n">
        <v>260629000002</v>
      </c>
      <c r="AC93" s="109" t="n">
        <v>46202</v>
      </c>
      <c r="AD93" s="109" t="n">
        <v>48028</v>
      </c>
      <c r="AE93" s="107" t="n">
        <v>5</v>
      </c>
      <c r="AF93" s="107" t="n">
        <v>4.1227</v>
      </c>
      <c r="AG93" s="107" t="n">
        <v>1733</v>
      </c>
      <c r="AH93" s="107" t="n">
        <v>3000000</v>
      </c>
      <c r="AI93" s="107" t="n">
        <v>5.03797</v>
      </c>
      <c r="AJ93" s="107" t="n">
        <v>99.834</v>
      </c>
      <c r="AK93" s="107" t="n">
        <v>5.035865</v>
      </c>
      <c r="AL93" s="107" t="n">
        <v>101.106343</v>
      </c>
      <c r="AM93" s="107" t="n">
        <v>5.8819</v>
      </c>
      <c r="AN93" s="107" t="n">
        <v>96.3824</v>
      </c>
      <c r="AO93" s="107" t="n">
        <v>1358.4</v>
      </c>
      <c r="AP93" s="107" t="n">
        <v>1</v>
      </c>
      <c r="AQ93" s="107" t="n">
        <v>2891472</v>
      </c>
      <c r="AR93" s="107" t="n">
        <v>3927775565</v>
      </c>
      <c r="AS93" s="107" t="n">
        <v>2995020</v>
      </c>
      <c r="AT93" s="107" t="n">
        <v>4597355700</v>
      </c>
      <c r="AU93" s="107" t="n">
        <v>-103548</v>
      </c>
      <c r="AV93" s="107" t="n">
        <v>-140659603</v>
      </c>
      <c r="AW93" s="107" t="n">
        <v>0</v>
      </c>
      <c r="AX93" s="107" t="n">
        <v>0</v>
      </c>
      <c r="AY93" s="107" t="n">
        <v>0</v>
      </c>
      <c r="AZ93" s="107" t="n">
        <v>0</v>
      </c>
      <c r="BA93" s="107" t="n">
        <v>0</v>
      </c>
      <c r="BB93" s="107" t="n">
        <v>0</v>
      </c>
      <c r="BC93" s="107" t="n">
        <v>0</v>
      </c>
      <c r="BD93" s="107" t="n">
        <v>0</v>
      </c>
      <c r="BE93" s="107" t="n">
        <v>37916.67</v>
      </c>
      <c r="BF93" s="107" t="n">
        <v>51506004</v>
      </c>
      <c r="BG93" s="107" t="n">
        <v>253.63</v>
      </c>
      <c r="BH93" s="107" t="n">
        <v>344530</v>
      </c>
      <c r="BI93" s="107" t="n">
        <v>2995020</v>
      </c>
      <c r="BJ93" s="107" t="n">
        <v>4597355700</v>
      </c>
      <c r="BK93" s="107" t="n">
        <v>0</v>
      </c>
      <c r="BL93" s="107" t="n">
        <v>0</v>
      </c>
      <c r="BM93" s="107" t="n">
        <v>0</v>
      </c>
      <c r="BN93" s="107" t="n">
        <v>0</v>
      </c>
      <c r="BO93" s="107" t="s">
        <v>374</v>
      </c>
      <c r="BP93" s="2"/>
      <c r="BQ93" s="107" t="s">
        <v>369</v>
      </c>
      <c r="BR93" s="107" t="n">
        <v>-528920532</v>
      </c>
      <c r="BS93" s="107" t="n">
        <v>0</v>
      </c>
      <c r="BT93" s="107" t="n">
        <v>0</v>
      </c>
      <c r="BU93" s="107" t="n">
        <v>0</v>
      </c>
      <c r="BV93" s="107" t="n">
        <v>0</v>
      </c>
      <c r="BW93" s="107" t="n">
        <v>37916.67</v>
      </c>
      <c r="BX93" s="107" t="n">
        <v>51506004</v>
      </c>
      <c r="BY93" s="107" t="n">
        <v>253.63</v>
      </c>
      <c r="BZ93" s="107" t="n">
        <v>344530</v>
      </c>
      <c r="CA93" s="107" t="n">
        <v>1535</v>
      </c>
      <c r="CB93" s="2"/>
      <c r="CC93" s="107" t="n">
        <v>0</v>
      </c>
      <c r="CD93" s="107" t="n">
        <v>96.29</v>
      </c>
      <c r="CE93" s="107" t="n">
        <v>96.29</v>
      </c>
      <c r="CF93" s="107" t="n">
        <v>96.57</v>
      </c>
      <c r="CG93" s="107" t="n">
        <v>3000000</v>
      </c>
      <c r="CH93" s="107" t="n">
        <v>4.0049</v>
      </c>
      <c r="CI93" s="107" t="n">
        <v>0</v>
      </c>
      <c r="CJ93" s="107" t="n">
        <v>100.12</v>
      </c>
      <c r="CK93" s="107" t="n">
        <v>100.17</v>
      </c>
      <c r="CL93" s="107" t="n">
        <v>0</v>
      </c>
    </row>
    <row r="94" customFormat="false" ht="15" hidden="false" customHeight="false" outlineLevel="0" collapsed="false">
      <c r="A94" s="107" t="s">
        <v>523</v>
      </c>
      <c r="B94" s="107" t="n">
        <v>97.3956</v>
      </c>
      <c r="C94" s="107" t="n">
        <v>5.9015</v>
      </c>
      <c r="D94" s="107" t="n">
        <v>2.903</v>
      </c>
      <c r="E94" s="107" t="n">
        <v>-5654.788536</v>
      </c>
      <c r="F94" s="108" t="s">
        <v>358</v>
      </c>
      <c r="G94" s="107" t="n">
        <v>2.903</v>
      </c>
      <c r="H94" s="107" t="n">
        <v>-5654.788536</v>
      </c>
      <c r="I94" s="109" t="n">
        <v>46550</v>
      </c>
      <c r="J94" s="107" t="n">
        <v>1</v>
      </c>
      <c r="K94" s="108" t="s">
        <v>90</v>
      </c>
      <c r="L94" s="107" t="s">
        <v>298</v>
      </c>
      <c r="M94" s="107" t="n">
        <v>58060000</v>
      </c>
      <c r="N94" s="107" t="n">
        <v>100.859</v>
      </c>
      <c r="O94" s="107" t="n">
        <v>19479120</v>
      </c>
      <c r="P94" s="107" t="s">
        <v>524</v>
      </c>
      <c r="Q94" s="107" t="s">
        <v>374</v>
      </c>
      <c r="R94" s="107" t="n">
        <v>-0.0915826781090092</v>
      </c>
      <c r="S94" s="107" t="n">
        <v>-0.0343390277516136</v>
      </c>
      <c r="T94" s="107" t="n">
        <v>-5988.4658616</v>
      </c>
      <c r="U94" s="107" t="n">
        <v>21069</v>
      </c>
      <c r="V94" s="108" t="s">
        <v>362</v>
      </c>
      <c r="W94" s="107" t="n">
        <v>28096</v>
      </c>
      <c r="X94" s="108" t="s">
        <v>372</v>
      </c>
      <c r="Y94" s="107" t="s">
        <v>519</v>
      </c>
      <c r="Z94" s="107" t="s">
        <v>522</v>
      </c>
      <c r="AA94" s="109" t="n">
        <v>46265</v>
      </c>
      <c r="AB94" s="107" t="n">
        <v>260831000001</v>
      </c>
      <c r="AC94" s="109" t="n">
        <v>46202</v>
      </c>
      <c r="AD94" s="109" t="n">
        <v>48028</v>
      </c>
      <c r="AE94" s="107" t="n">
        <v>5</v>
      </c>
      <c r="AF94" s="107" t="n">
        <v>4.1227</v>
      </c>
      <c r="AG94" s="107" t="n">
        <v>1733</v>
      </c>
      <c r="AH94" s="107" t="n">
        <v>4000000</v>
      </c>
      <c r="AI94" s="107" t="n">
        <v>5.28083</v>
      </c>
      <c r="AJ94" s="107" t="n">
        <v>98.809</v>
      </c>
      <c r="AK94" s="107" t="n">
        <v>5.284328</v>
      </c>
      <c r="AL94" s="107" t="n">
        <v>100.075616</v>
      </c>
      <c r="AM94" s="107" t="n">
        <v>5.8819</v>
      </c>
      <c r="AN94" s="107" t="n">
        <v>96.3824</v>
      </c>
      <c r="AO94" s="107" t="n">
        <v>1358.4</v>
      </c>
      <c r="AP94" s="107" t="n">
        <v>1</v>
      </c>
      <c r="AQ94" s="107" t="n">
        <v>3855296</v>
      </c>
      <c r="AR94" s="107" t="n">
        <v>5237034086</v>
      </c>
      <c r="AS94" s="107" t="n">
        <v>3952130.91</v>
      </c>
      <c r="AT94" s="107" t="n">
        <v>5472120458</v>
      </c>
      <c r="AU94" s="107" t="n">
        <v>-96834.91</v>
      </c>
      <c r="AV94" s="107" t="n">
        <v>-131540542</v>
      </c>
      <c r="AW94" s="107" t="n">
        <v>33888.89</v>
      </c>
      <c r="AX94" s="107" t="n">
        <v>46922557</v>
      </c>
      <c r="AY94" s="107" t="n">
        <v>229.09</v>
      </c>
      <c r="AZ94" s="107" t="n">
        <v>317198</v>
      </c>
      <c r="BA94" s="107" t="n">
        <v>0</v>
      </c>
      <c r="BB94" s="107" t="n">
        <v>0</v>
      </c>
      <c r="BC94" s="107" t="n">
        <v>0</v>
      </c>
      <c r="BD94" s="107" t="n">
        <v>0</v>
      </c>
      <c r="BE94" s="107" t="n">
        <v>16666.67</v>
      </c>
      <c r="BF94" s="107" t="n">
        <v>22640004</v>
      </c>
      <c r="BG94" s="107" t="n">
        <v>109.09</v>
      </c>
      <c r="BH94" s="107" t="n">
        <v>148187</v>
      </c>
      <c r="BI94" s="107" t="n">
        <v>3952130.91</v>
      </c>
      <c r="BJ94" s="107" t="n">
        <v>5472120458</v>
      </c>
      <c r="BK94" s="107" t="n">
        <v>0</v>
      </c>
      <c r="BL94" s="107" t="n">
        <v>0</v>
      </c>
      <c r="BM94" s="107" t="n">
        <v>0</v>
      </c>
      <c r="BN94" s="107" t="n">
        <v>0</v>
      </c>
      <c r="BO94" s="107" t="s">
        <v>374</v>
      </c>
      <c r="BP94" s="2"/>
      <c r="BQ94" s="107" t="s">
        <v>369</v>
      </c>
      <c r="BR94" s="107" t="n">
        <v>-103545830</v>
      </c>
      <c r="BS94" s="107" t="n">
        <v>-893891</v>
      </c>
      <c r="BT94" s="107" t="n">
        <v>0</v>
      </c>
      <c r="BU94" s="107" t="n">
        <v>0</v>
      </c>
      <c r="BV94" s="107" t="n">
        <v>0</v>
      </c>
      <c r="BW94" s="107" t="n">
        <v>50555.56</v>
      </c>
      <c r="BX94" s="107" t="n">
        <v>68674672</v>
      </c>
      <c r="BY94" s="107" t="n">
        <v>338.18</v>
      </c>
      <c r="BZ94" s="107" t="n">
        <v>459383</v>
      </c>
      <c r="CA94" s="107" t="n">
        <v>1384.6</v>
      </c>
      <c r="CB94" s="2"/>
      <c r="CC94" s="107" t="n">
        <v>0</v>
      </c>
      <c r="CD94" s="107" t="n">
        <v>96.29</v>
      </c>
      <c r="CE94" s="107" t="n">
        <v>96.29</v>
      </c>
      <c r="CF94" s="107" t="n">
        <v>96.57</v>
      </c>
      <c r="CG94" s="107" t="n">
        <v>4000000</v>
      </c>
      <c r="CH94" s="107" t="n">
        <v>4.0049</v>
      </c>
      <c r="CI94" s="107" t="n">
        <v>106.21</v>
      </c>
      <c r="CJ94" s="107" t="n">
        <v>106.24</v>
      </c>
      <c r="CK94" s="107" t="n">
        <v>106.26</v>
      </c>
      <c r="CL94" s="107" t="n">
        <v>0</v>
      </c>
    </row>
    <row r="95" customFormat="false" ht="15" hidden="false" customHeight="false" outlineLevel="0" collapsed="false">
      <c r="A95" s="107" t="s">
        <v>525</v>
      </c>
      <c r="B95" s="107" t="n">
        <v>91.7833</v>
      </c>
      <c r="C95" s="107" t="n">
        <v>5.9549</v>
      </c>
      <c r="D95" s="107" t="n">
        <v>7.236</v>
      </c>
      <c r="E95" s="107" t="n">
        <v>-332.0719794</v>
      </c>
      <c r="F95" s="108" t="s">
        <v>358</v>
      </c>
      <c r="G95" s="107" t="n">
        <v>7.236</v>
      </c>
      <c r="H95" s="107" t="n">
        <v>-332.0719794</v>
      </c>
      <c r="I95" s="109" t="n">
        <v>49720</v>
      </c>
      <c r="J95" s="107" t="n">
        <v>10</v>
      </c>
      <c r="K95" s="108" t="s">
        <v>384</v>
      </c>
      <c r="L95" s="107" t="s">
        <v>298</v>
      </c>
      <c r="M95" s="107" t="n">
        <v>3618000</v>
      </c>
      <c r="N95" s="107" t="n">
        <v>99.795</v>
      </c>
      <c r="O95" s="107" t="n">
        <v>458916.5</v>
      </c>
      <c r="P95" s="107" t="s">
        <v>526</v>
      </c>
      <c r="Q95" s="107" t="s">
        <v>106</v>
      </c>
      <c r="R95" s="107" t="n">
        <v>-0.149277660467154</v>
      </c>
      <c r="S95" s="107" t="n">
        <v>-0.0802815772333284</v>
      </c>
      <c r="T95" s="107" t="n">
        <v>-341.95704081</v>
      </c>
      <c r="U95" s="107" t="n">
        <v>21069</v>
      </c>
      <c r="V95" s="108" t="s">
        <v>362</v>
      </c>
      <c r="W95" s="107" t="n">
        <v>28096</v>
      </c>
      <c r="X95" s="108" t="s">
        <v>372</v>
      </c>
      <c r="Y95" s="107" t="s">
        <v>521</v>
      </c>
      <c r="Z95" s="107" t="s">
        <v>527</v>
      </c>
      <c r="AA95" s="109" t="n">
        <v>46226</v>
      </c>
      <c r="AB95" s="107" t="n">
        <v>260723000001</v>
      </c>
      <c r="AC95" s="109" t="n">
        <v>46202</v>
      </c>
      <c r="AD95" s="109" t="n">
        <v>47298</v>
      </c>
      <c r="AE95" s="107" t="n">
        <v>4.875</v>
      </c>
      <c r="AF95" s="107" t="n">
        <v>2.5152</v>
      </c>
      <c r="AG95" s="107" t="n">
        <v>1003</v>
      </c>
      <c r="AH95" s="107" t="n">
        <v>3000000</v>
      </c>
      <c r="AI95" s="107" t="n">
        <v>4.97378</v>
      </c>
      <c r="AJ95" s="107" t="n">
        <v>99.73</v>
      </c>
      <c r="AK95" s="107" t="n">
        <v>4.974174</v>
      </c>
      <c r="AL95" s="107" t="n">
        <v>100.973057</v>
      </c>
      <c r="AM95" s="107" t="n">
        <v>5.6143</v>
      </c>
      <c r="AN95" s="107" t="n">
        <v>98.1322</v>
      </c>
      <c r="AO95" s="107" t="n">
        <v>1358.4</v>
      </c>
      <c r="AP95" s="107" t="n">
        <v>1</v>
      </c>
      <c r="AQ95" s="107" t="n">
        <v>2943966</v>
      </c>
      <c r="AR95" s="107" t="n">
        <v>3999083414</v>
      </c>
      <c r="AS95" s="107" t="n">
        <v>2991787.67</v>
      </c>
      <c r="AT95" s="107" t="n">
        <v>4433829327</v>
      </c>
      <c r="AU95" s="107" t="n">
        <v>-47821.67</v>
      </c>
      <c r="AV95" s="107" t="n">
        <v>-64960957</v>
      </c>
      <c r="AW95" s="107" t="n">
        <v>9750</v>
      </c>
      <c r="AX95" s="107" t="n">
        <v>14449500</v>
      </c>
      <c r="AY95" s="107" t="n">
        <v>112.33</v>
      </c>
      <c r="AZ95" s="107" t="n">
        <v>166473</v>
      </c>
      <c r="BA95" s="107" t="n">
        <v>0</v>
      </c>
      <c r="BB95" s="107" t="n">
        <v>0</v>
      </c>
      <c r="BC95" s="107" t="n">
        <v>0</v>
      </c>
      <c r="BD95" s="107" t="n">
        <v>0</v>
      </c>
      <c r="BE95" s="107" t="n">
        <v>27218.75</v>
      </c>
      <c r="BF95" s="107" t="n">
        <v>36973950</v>
      </c>
      <c r="BG95" s="107" t="n">
        <v>322.97</v>
      </c>
      <c r="BH95" s="107" t="n">
        <v>438722</v>
      </c>
      <c r="BI95" s="107" t="n">
        <v>2991787.67</v>
      </c>
      <c r="BJ95" s="107" t="n">
        <v>4433829327</v>
      </c>
      <c r="BK95" s="107" t="n">
        <v>0</v>
      </c>
      <c r="BL95" s="107" t="n">
        <v>0</v>
      </c>
      <c r="BM95" s="107" t="n">
        <v>0</v>
      </c>
      <c r="BN95" s="107" t="n">
        <v>0</v>
      </c>
      <c r="BO95" s="107" t="s">
        <v>374</v>
      </c>
      <c r="BP95" s="2"/>
      <c r="BQ95" s="107" t="s">
        <v>369</v>
      </c>
      <c r="BR95" s="107" t="n">
        <v>-369784956</v>
      </c>
      <c r="BS95" s="107" t="n">
        <v>-1218984</v>
      </c>
      <c r="BT95" s="107" t="n">
        <v>0</v>
      </c>
      <c r="BU95" s="107" t="n">
        <v>0</v>
      </c>
      <c r="BV95" s="107" t="n">
        <v>0</v>
      </c>
      <c r="BW95" s="107" t="n">
        <v>36968.75</v>
      </c>
      <c r="BX95" s="107" t="n">
        <v>50218350</v>
      </c>
      <c r="BY95" s="107" t="n">
        <v>435.3</v>
      </c>
      <c r="BZ95" s="107" t="n">
        <v>591311</v>
      </c>
      <c r="CA95" s="107" t="n">
        <v>1482</v>
      </c>
      <c r="CB95" s="2"/>
      <c r="CC95" s="107" t="n">
        <v>0</v>
      </c>
      <c r="CD95" s="107" t="n">
        <v>98.18</v>
      </c>
      <c r="CE95" s="107" t="n">
        <v>98.04</v>
      </c>
      <c r="CF95" s="107" t="n">
        <v>98.18</v>
      </c>
      <c r="CG95" s="107" t="n">
        <v>3000000</v>
      </c>
      <c r="CH95" s="107" t="n">
        <v>2.4465</v>
      </c>
      <c r="CI95" s="107" t="n">
        <v>98.52</v>
      </c>
      <c r="CJ95" s="107" t="n">
        <v>98.5</v>
      </c>
      <c r="CK95" s="107" t="n">
        <v>98.52</v>
      </c>
      <c r="CL95" s="107" t="n">
        <v>0</v>
      </c>
    </row>
    <row r="96" customFormat="false" ht="15" hidden="false" customHeight="false" outlineLevel="0" collapsed="false">
      <c r="A96" s="107" t="s">
        <v>528</v>
      </c>
      <c r="B96" s="107" t="n">
        <v>98.1041</v>
      </c>
      <c r="C96" s="107" t="n">
        <v>5.904</v>
      </c>
      <c r="D96" s="107" t="n">
        <v>2.7623</v>
      </c>
      <c r="E96" s="107" t="n">
        <v>-1354.96477715</v>
      </c>
      <c r="F96" s="108" t="s">
        <v>358</v>
      </c>
      <c r="G96" s="107" t="n">
        <v>2.7623</v>
      </c>
      <c r="H96" s="107" t="n">
        <v>-1354.96477715</v>
      </c>
      <c r="I96" s="109" t="n">
        <v>47441</v>
      </c>
      <c r="J96" s="107" t="n">
        <v>3</v>
      </c>
      <c r="K96" s="108" t="s">
        <v>90</v>
      </c>
      <c r="L96" s="107" t="s">
        <v>298</v>
      </c>
      <c r="M96" s="107" t="n">
        <v>13811500</v>
      </c>
      <c r="N96" s="107" t="n">
        <v>102.6</v>
      </c>
      <c r="O96" s="107" t="n">
        <v>4905205</v>
      </c>
      <c r="P96" s="107" t="s">
        <v>524</v>
      </c>
      <c r="Q96" s="107" t="s">
        <v>374</v>
      </c>
      <c r="R96" s="107" t="n">
        <v>-0.0978330721204605</v>
      </c>
      <c r="S96" s="107" t="n">
        <v>-0.0438196881091617</v>
      </c>
      <c r="T96" s="107" t="n">
        <v>-1394.9421979</v>
      </c>
      <c r="U96" s="107" t="n">
        <v>21069</v>
      </c>
      <c r="V96" s="108" t="s">
        <v>362</v>
      </c>
      <c r="W96" s="107" t="n">
        <v>34507</v>
      </c>
      <c r="X96" s="108" t="s">
        <v>372</v>
      </c>
      <c r="Y96" s="107" t="s">
        <v>523</v>
      </c>
      <c r="Z96" s="107" t="s">
        <v>529</v>
      </c>
      <c r="AA96" s="109" t="n">
        <v>46031</v>
      </c>
      <c r="AB96" s="107" t="n">
        <v>260109000001</v>
      </c>
      <c r="AC96" s="109" t="n">
        <v>45820</v>
      </c>
      <c r="AD96" s="109" t="n">
        <v>47646</v>
      </c>
      <c r="AE96" s="107" t="n">
        <v>5.11</v>
      </c>
      <c r="AF96" s="107" t="n">
        <v>3.0209</v>
      </c>
      <c r="AG96" s="107" t="n">
        <v>1351</v>
      </c>
      <c r="AH96" s="107" t="n">
        <v>20000000</v>
      </c>
      <c r="AI96" s="107" t="n">
        <v>4.454384</v>
      </c>
      <c r="AJ96" s="107" t="n">
        <v>100.859</v>
      </c>
      <c r="AK96" s="107" t="n">
        <v>4.84322</v>
      </c>
      <c r="AL96" s="107" t="n">
        <v>102.392</v>
      </c>
      <c r="AM96" s="107" t="n">
        <v>5.8669</v>
      </c>
      <c r="AN96" s="107" t="n">
        <v>97.5083</v>
      </c>
      <c r="AO96" s="107" t="n">
        <v>1358.4</v>
      </c>
      <c r="AP96" s="107" t="n">
        <v>1</v>
      </c>
      <c r="AQ96" s="107" t="n">
        <v>19501660</v>
      </c>
      <c r="AR96" s="107" t="n">
        <v>26491054944</v>
      </c>
      <c r="AS96" s="107" t="n">
        <v>20171800</v>
      </c>
      <c r="AT96" s="107" t="n">
        <v>29162371260</v>
      </c>
      <c r="AU96" s="107" t="n">
        <v>-670140</v>
      </c>
      <c r="AV96" s="107" t="n">
        <v>-910318176</v>
      </c>
      <c r="AW96" s="107" t="n">
        <v>0</v>
      </c>
      <c r="AX96" s="107" t="n">
        <v>0</v>
      </c>
      <c r="AY96" s="107" t="n">
        <v>0</v>
      </c>
      <c r="AZ96" s="107" t="n">
        <v>0</v>
      </c>
      <c r="BA96" s="107" t="n">
        <v>0</v>
      </c>
      <c r="BB96" s="107" t="n">
        <v>0</v>
      </c>
      <c r="BC96" s="107" t="n">
        <v>0</v>
      </c>
      <c r="BD96" s="107" t="n">
        <v>0</v>
      </c>
      <c r="BE96" s="107" t="n">
        <v>306600</v>
      </c>
      <c r="BF96" s="107" t="n">
        <v>416485440</v>
      </c>
      <c r="BG96" s="107" t="n">
        <v>0</v>
      </c>
      <c r="BH96" s="107" t="n">
        <v>0</v>
      </c>
      <c r="BI96" s="107" t="n">
        <v>20171800</v>
      </c>
      <c r="BJ96" s="107" t="n">
        <v>29162371260</v>
      </c>
      <c r="BK96" s="107" t="n">
        <v>0</v>
      </c>
      <c r="BL96" s="107" t="n">
        <v>0</v>
      </c>
      <c r="BM96" s="107" t="n">
        <v>0</v>
      </c>
      <c r="BN96" s="107" t="n">
        <v>0</v>
      </c>
      <c r="BO96" s="107" t="s">
        <v>374</v>
      </c>
      <c r="BP96" s="2"/>
      <c r="BQ96" s="107" t="s">
        <v>369</v>
      </c>
      <c r="BR96" s="107" t="n">
        <v>-1760998140</v>
      </c>
      <c r="BS96" s="107" t="n">
        <v>0</v>
      </c>
      <c r="BT96" s="107" t="n">
        <v>0</v>
      </c>
      <c r="BU96" s="107" t="n">
        <v>0</v>
      </c>
      <c r="BV96" s="107" t="n">
        <v>0</v>
      </c>
      <c r="BW96" s="107" t="n">
        <v>306600</v>
      </c>
      <c r="BX96" s="107" t="n">
        <v>416485440</v>
      </c>
      <c r="BY96" s="107" t="n">
        <v>0</v>
      </c>
      <c r="BZ96" s="107" t="n">
        <v>0</v>
      </c>
      <c r="CA96" s="107" t="n">
        <v>1445.7</v>
      </c>
      <c r="CB96" s="2"/>
      <c r="CC96" s="107" t="n">
        <v>0</v>
      </c>
      <c r="CD96" s="107" t="n">
        <v>97.79</v>
      </c>
      <c r="CE96" s="107" t="n">
        <v>98.09</v>
      </c>
      <c r="CF96" s="107" t="n">
        <v>96.64</v>
      </c>
      <c r="CG96" s="107" t="n">
        <v>20000000</v>
      </c>
      <c r="CH96" s="107" t="n">
        <v>2.8535</v>
      </c>
      <c r="CI96" s="107" t="n">
        <v>97.41</v>
      </c>
      <c r="CJ96" s="107" t="n">
        <v>97.41</v>
      </c>
      <c r="CK96" s="107" t="n">
        <v>97.47</v>
      </c>
      <c r="CL96" s="107" t="n">
        <v>7000000</v>
      </c>
    </row>
    <row r="97" customFormat="false" ht="15" hidden="false" customHeight="false" outlineLevel="0" collapsed="false">
      <c r="A97" s="107" t="s">
        <v>530</v>
      </c>
      <c r="B97" s="107" t="n">
        <v>97.974</v>
      </c>
      <c r="C97" s="107" t="n">
        <v>5.8375</v>
      </c>
      <c r="D97" s="107" t="n">
        <v>2.9572</v>
      </c>
      <c r="E97" s="107" t="n">
        <v>-289.7287128</v>
      </c>
      <c r="F97" s="108" t="s">
        <v>358</v>
      </c>
      <c r="G97" s="107" t="n">
        <v>2.9572</v>
      </c>
      <c r="H97" s="107" t="n">
        <v>-289.7287128</v>
      </c>
      <c r="I97" s="109" t="n">
        <v>47511</v>
      </c>
      <c r="J97" s="107" t="n">
        <v>5</v>
      </c>
      <c r="K97" s="108" t="s">
        <v>384</v>
      </c>
      <c r="L97" s="107" t="s">
        <v>298</v>
      </c>
      <c r="M97" s="107" t="n">
        <v>2957200</v>
      </c>
      <c r="N97" s="107" t="n">
        <v>100</v>
      </c>
      <c r="O97" s="107" t="n">
        <v>979740</v>
      </c>
      <c r="P97" s="107" t="s">
        <v>388</v>
      </c>
      <c r="Q97" s="107" t="s">
        <v>374</v>
      </c>
      <c r="R97" s="107" t="n">
        <v>-0.102713808659662</v>
      </c>
      <c r="S97" s="107" t="n">
        <v>-0.0202599999999999</v>
      </c>
      <c r="T97" s="107" t="n">
        <v>-298.183869</v>
      </c>
      <c r="U97" s="107" t="n">
        <v>21069</v>
      </c>
      <c r="V97" s="108" t="s">
        <v>362</v>
      </c>
      <c r="W97" s="107" t="n">
        <v>34507</v>
      </c>
      <c r="X97" s="108" t="s">
        <v>372</v>
      </c>
      <c r="Y97" s="107" t="s">
        <v>525</v>
      </c>
      <c r="Z97" s="107" t="s">
        <v>531</v>
      </c>
      <c r="AA97" s="109" t="n">
        <v>46066</v>
      </c>
      <c r="AB97" s="107" t="n">
        <v>260213000001</v>
      </c>
      <c r="AC97" s="109" t="n">
        <v>46066</v>
      </c>
      <c r="AD97" s="109" t="n">
        <v>49720</v>
      </c>
      <c r="AE97" s="107" t="n">
        <v>4.8</v>
      </c>
      <c r="AF97" s="107" t="n">
        <v>7.4511</v>
      </c>
      <c r="AG97" s="107" t="n">
        <v>3425</v>
      </c>
      <c r="AH97" s="107" t="n">
        <v>500000</v>
      </c>
      <c r="AI97" s="107" t="n">
        <v>4.826033</v>
      </c>
      <c r="AJ97" s="107" t="n">
        <v>99.795</v>
      </c>
      <c r="AK97" s="107" t="n">
        <v>4.830295</v>
      </c>
      <c r="AL97" s="107" t="n">
        <v>100.395</v>
      </c>
      <c r="AM97" s="107" t="n">
        <v>5.9235</v>
      </c>
      <c r="AN97" s="107" t="n">
        <v>91.9962</v>
      </c>
      <c r="AO97" s="107" t="n">
        <v>1358.4</v>
      </c>
      <c r="AP97" s="107" t="n">
        <v>1</v>
      </c>
      <c r="AQ97" s="107" t="n">
        <v>459981</v>
      </c>
      <c r="AR97" s="107" t="n">
        <v>624838190</v>
      </c>
      <c r="AS97" s="107" t="n">
        <v>498975</v>
      </c>
      <c r="AT97" s="107" t="n">
        <v>733642942</v>
      </c>
      <c r="AU97" s="107" t="n">
        <v>-38994</v>
      </c>
      <c r="AV97" s="107" t="n">
        <v>-52969450</v>
      </c>
      <c r="AW97" s="107" t="n">
        <v>0</v>
      </c>
      <c r="AX97" s="107" t="n">
        <v>0</v>
      </c>
      <c r="AY97" s="107" t="n">
        <v>0</v>
      </c>
      <c r="AZ97" s="107" t="n">
        <v>0</v>
      </c>
      <c r="BA97" s="107" t="n">
        <v>0</v>
      </c>
      <c r="BB97" s="107" t="n">
        <v>0</v>
      </c>
      <c r="BC97" s="107" t="n">
        <v>0</v>
      </c>
      <c r="BD97" s="107" t="n">
        <v>0</v>
      </c>
      <c r="BE97" s="107" t="n">
        <v>3000</v>
      </c>
      <c r="BF97" s="107" t="n">
        <v>4075200</v>
      </c>
      <c r="BG97" s="107" t="n">
        <v>0</v>
      </c>
      <c r="BH97" s="107" t="n">
        <v>0</v>
      </c>
      <c r="BI97" s="107" t="n">
        <v>498975</v>
      </c>
      <c r="BJ97" s="107" t="n">
        <v>733642942</v>
      </c>
      <c r="BK97" s="107" t="n">
        <v>0</v>
      </c>
      <c r="BL97" s="107" t="n">
        <v>0</v>
      </c>
      <c r="BM97" s="107" t="n">
        <v>0</v>
      </c>
      <c r="BN97" s="107" t="n">
        <v>0</v>
      </c>
      <c r="BO97" s="107" t="s">
        <v>532</v>
      </c>
      <c r="BP97" s="2"/>
      <c r="BQ97" s="107" t="s">
        <v>369</v>
      </c>
      <c r="BR97" s="107" t="n">
        <v>-55835302</v>
      </c>
      <c r="BS97" s="107" t="n">
        <v>0</v>
      </c>
      <c r="BT97" s="107" t="n">
        <v>0</v>
      </c>
      <c r="BU97" s="107" t="n">
        <v>0</v>
      </c>
      <c r="BV97" s="107" t="n">
        <v>0</v>
      </c>
      <c r="BW97" s="107" t="n">
        <v>3000</v>
      </c>
      <c r="BX97" s="107" t="n">
        <v>4075200</v>
      </c>
      <c r="BY97" s="107" t="n">
        <v>0</v>
      </c>
      <c r="BZ97" s="107" t="n">
        <v>0</v>
      </c>
      <c r="CA97" s="107" t="n">
        <v>1470.3</v>
      </c>
      <c r="CB97" s="2"/>
      <c r="CC97" s="107" t="n">
        <v>0</v>
      </c>
      <c r="CD97" s="107" t="n">
        <v>92.05</v>
      </c>
      <c r="CE97" s="107" t="n">
        <v>91.94</v>
      </c>
      <c r="CF97" s="107" t="n">
        <v>92</v>
      </c>
      <c r="CG97" s="107" t="n">
        <v>150000</v>
      </c>
      <c r="CH97" s="107" t="n">
        <v>7.2368</v>
      </c>
      <c r="CI97" s="107" t="n">
        <v>97.45</v>
      </c>
      <c r="CJ97" s="107" t="n">
        <v>97.42</v>
      </c>
      <c r="CK97" s="107" t="n">
        <v>97.41</v>
      </c>
      <c r="CL97" s="107" t="n">
        <v>0</v>
      </c>
    </row>
    <row r="98" customFormat="false" ht="15" hidden="false" customHeight="false" outlineLevel="0" collapsed="false">
      <c r="A98" s="107" t="s">
        <v>533</v>
      </c>
      <c r="B98" s="107" t="n">
        <v>95.3414</v>
      </c>
      <c r="C98" s="107" t="n">
        <v>5.8307</v>
      </c>
      <c r="D98" s="107" t="n">
        <v>3.4928</v>
      </c>
      <c r="E98" s="107" t="n">
        <v>-166.50422096</v>
      </c>
      <c r="F98" s="108" t="s">
        <v>358</v>
      </c>
      <c r="G98" s="107" t="n">
        <v>3.4928</v>
      </c>
      <c r="H98" s="107" t="n">
        <v>-166.50422096</v>
      </c>
      <c r="I98" s="109" t="n">
        <v>47744</v>
      </c>
      <c r="J98" s="107" t="n">
        <v>5</v>
      </c>
      <c r="K98" s="107" t="s">
        <v>359</v>
      </c>
      <c r="L98" s="107" t="s">
        <v>298</v>
      </c>
      <c r="M98" s="107" t="n">
        <v>1746400</v>
      </c>
      <c r="N98" s="107" t="n">
        <v>99.664</v>
      </c>
      <c r="O98" s="107" t="n">
        <v>476707</v>
      </c>
      <c r="P98" s="107" t="s">
        <v>399</v>
      </c>
      <c r="Q98" s="107" t="s">
        <v>374</v>
      </c>
      <c r="R98" s="107" t="n">
        <v>-0.0976722314090296</v>
      </c>
      <c r="S98" s="107" t="n">
        <v>-0.043371729009472</v>
      </c>
      <c r="T98" s="107" t="n">
        <v>-171.35709822</v>
      </c>
      <c r="U98" s="107" t="n">
        <v>21069</v>
      </c>
      <c r="V98" s="108" t="s">
        <v>362</v>
      </c>
      <c r="W98" s="107" t="n">
        <v>34507</v>
      </c>
      <c r="X98" s="108" t="s">
        <v>372</v>
      </c>
      <c r="Y98" s="107" t="s">
        <v>528</v>
      </c>
      <c r="Z98" s="107" t="s">
        <v>534</v>
      </c>
      <c r="AA98" s="109" t="n">
        <v>45979</v>
      </c>
      <c r="AB98" s="107" t="n">
        <v>251118000001</v>
      </c>
      <c r="AC98" s="109" t="n">
        <v>45615</v>
      </c>
      <c r="AD98" s="109" t="n">
        <v>47806</v>
      </c>
      <c r="AE98" s="107" t="n">
        <v>5.283</v>
      </c>
      <c r="AF98" s="107" t="n">
        <v>2.8405</v>
      </c>
      <c r="AG98" s="107" t="n">
        <v>1511</v>
      </c>
      <c r="AH98" s="107" t="n">
        <v>5000000</v>
      </c>
      <c r="AI98" s="107" t="n">
        <v>4.564891</v>
      </c>
      <c r="AJ98" s="107" t="n">
        <v>102.6</v>
      </c>
      <c r="AK98" s="107" t="n">
        <v>4.461335</v>
      </c>
      <c r="AL98" s="107" t="n">
        <v>104.988925</v>
      </c>
      <c r="AM98" s="107" t="n">
        <v>5.8524</v>
      </c>
      <c r="AN98" s="107" t="n">
        <v>98.2648</v>
      </c>
      <c r="AO98" s="107" t="n">
        <v>1358.4</v>
      </c>
      <c r="AP98" s="107" t="n">
        <v>1</v>
      </c>
      <c r="AQ98" s="107" t="n">
        <v>4913240</v>
      </c>
      <c r="AR98" s="107" t="n">
        <v>6674145216</v>
      </c>
      <c r="AS98" s="107" t="n">
        <v>5153325</v>
      </c>
      <c r="AT98" s="107" t="n">
        <v>7394506043</v>
      </c>
      <c r="AU98" s="107" t="n">
        <v>-240085</v>
      </c>
      <c r="AV98" s="107" t="n">
        <v>-326131464</v>
      </c>
      <c r="AW98" s="107" t="n">
        <v>0</v>
      </c>
      <c r="AX98" s="107" t="n">
        <v>0</v>
      </c>
      <c r="AY98" s="107" t="n">
        <v>0</v>
      </c>
      <c r="AZ98" s="107" t="n">
        <v>0</v>
      </c>
      <c r="BA98" s="107" t="n">
        <v>0</v>
      </c>
      <c r="BB98" s="107" t="n">
        <v>0</v>
      </c>
      <c r="BC98" s="107" t="n">
        <v>0</v>
      </c>
      <c r="BD98" s="107" t="n">
        <v>0</v>
      </c>
      <c r="BE98" s="107" t="n">
        <v>96121.25</v>
      </c>
      <c r="BF98" s="107" t="n">
        <v>130571106</v>
      </c>
      <c r="BG98" s="107" t="n">
        <v>0</v>
      </c>
      <c r="BH98" s="107" t="n">
        <v>0</v>
      </c>
      <c r="BI98" s="107" t="n">
        <v>5130000</v>
      </c>
      <c r="BJ98" s="107" t="n">
        <v>7361037000</v>
      </c>
      <c r="BK98" s="107" t="n">
        <v>0</v>
      </c>
      <c r="BL98" s="107" t="n">
        <v>0</v>
      </c>
      <c r="BM98" s="107" t="n">
        <v>0</v>
      </c>
      <c r="BN98" s="107" t="n">
        <v>0</v>
      </c>
      <c r="BO98" s="107" t="s">
        <v>374</v>
      </c>
      <c r="BP98" s="2"/>
      <c r="BQ98" s="107" t="s">
        <v>367</v>
      </c>
      <c r="BR98" s="107" t="n">
        <v>-394229363</v>
      </c>
      <c r="BS98" s="107" t="n">
        <v>0</v>
      </c>
      <c r="BT98" s="107" t="n">
        <v>0</v>
      </c>
      <c r="BU98" s="107" t="n">
        <v>23325</v>
      </c>
      <c r="BV98" s="107" t="n">
        <v>33469043</v>
      </c>
      <c r="BW98" s="107" t="n">
        <v>96121.25</v>
      </c>
      <c r="BX98" s="107" t="n">
        <v>130571106</v>
      </c>
      <c r="BY98" s="107" t="n">
        <v>0</v>
      </c>
      <c r="BZ98" s="107" t="n">
        <v>0</v>
      </c>
      <c r="CA98" s="107" t="n">
        <v>1434.9</v>
      </c>
      <c r="CB98" s="2"/>
      <c r="CC98" s="107" t="n">
        <v>0</v>
      </c>
      <c r="CD98" s="107" t="n">
        <v>98.29</v>
      </c>
      <c r="CE98" s="107" t="n">
        <v>98.24</v>
      </c>
      <c r="CF98" s="107" t="n">
        <v>98.26</v>
      </c>
      <c r="CG98" s="107" t="n">
        <v>0</v>
      </c>
      <c r="CH98" s="107" t="n">
        <v>2.7597</v>
      </c>
      <c r="CI98" s="107" t="n">
        <v>100.37</v>
      </c>
      <c r="CJ98" s="107" t="n">
        <v>100.43</v>
      </c>
      <c r="CK98" s="107" t="n">
        <v>100.43</v>
      </c>
      <c r="CL98" s="107" t="n">
        <v>0</v>
      </c>
    </row>
    <row r="99" customFormat="false" ht="15" hidden="false" customHeight="false" outlineLevel="0" collapsed="false">
      <c r="A99" s="107" t="s">
        <v>535</v>
      </c>
      <c r="B99" s="107" t="n">
        <v>99.1409</v>
      </c>
      <c r="C99" s="107" t="n">
        <v>5.7174</v>
      </c>
      <c r="D99" s="107" t="n">
        <v>2.6735</v>
      </c>
      <c r="E99" s="107" t="n">
        <v>-265.05319615</v>
      </c>
      <c r="F99" s="108" t="s">
        <v>358</v>
      </c>
      <c r="G99" s="107" t="n">
        <v>2.6735</v>
      </c>
      <c r="H99" s="107" t="n">
        <v>-265.05319615</v>
      </c>
      <c r="I99" s="109" t="n">
        <v>47378</v>
      </c>
      <c r="J99" s="107" t="n">
        <v>3</v>
      </c>
      <c r="K99" s="107" t="s">
        <v>359</v>
      </c>
      <c r="L99" s="107" t="s">
        <v>298</v>
      </c>
      <c r="M99" s="107" t="n">
        <v>2673500</v>
      </c>
      <c r="N99" s="107" t="n">
        <v>99.915</v>
      </c>
      <c r="O99" s="107" t="n">
        <v>991409</v>
      </c>
      <c r="P99" s="107" t="s">
        <v>399</v>
      </c>
      <c r="Q99" s="107" t="s">
        <v>364</v>
      </c>
      <c r="R99" s="107" t="n">
        <v>0.00227516621451466</v>
      </c>
      <c r="S99" s="107" t="n">
        <v>-0.00774758544763055</v>
      </c>
      <c r="T99" s="107" t="n">
        <v>-272.62756091</v>
      </c>
      <c r="U99" s="107" t="n">
        <v>21069</v>
      </c>
      <c r="V99" s="108" t="s">
        <v>362</v>
      </c>
      <c r="W99" s="107" t="n">
        <v>34507</v>
      </c>
      <c r="X99" s="108" t="s">
        <v>372</v>
      </c>
      <c r="Y99" s="107" t="s">
        <v>530</v>
      </c>
      <c r="Z99" s="107" t="s">
        <v>536</v>
      </c>
      <c r="AA99" s="109" t="n">
        <v>45685</v>
      </c>
      <c r="AB99" s="107" t="n">
        <v>250128000001</v>
      </c>
      <c r="AC99" s="109" t="n">
        <v>45685</v>
      </c>
      <c r="AD99" s="109" t="n">
        <v>47876</v>
      </c>
      <c r="AE99" s="107" t="n">
        <v>5.207</v>
      </c>
      <c r="AF99" s="107" t="n">
        <v>3.0411</v>
      </c>
      <c r="AG99" s="107" t="n">
        <v>1581</v>
      </c>
      <c r="AH99" s="107" t="n">
        <v>1000000</v>
      </c>
      <c r="AI99" s="107" t="n">
        <v>5.207</v>
      </c>
      <c r="AJ99" s="107" t="n">
        <v>100</v>
      </c>
      <c r="AK99" s="107" t="n">
        <v>4.312818</v>
      </c>
      <c r="AL99" s="107" t="n">
        <v>104.386461</v>
      </c>
      <c r="AM99" s="107" t="n">
        <v>5.8071</v>
      </c>
      <c r="AN99" s="107" t="n">
        <v>98.0722</v>
      </c>
      <c r="AO99" s="107" t="n">
        <v>1358.4</v>
      </c>
      <c r="AP99" s="107" t="n">
        <v>1</v>
      </c>
      <c r="AQ99" s="107" t="n">
        <v>980722</v>
      </c>
      <c r="AR99" s="107" t="n">
        <v>1332212765</v>
      </c>
      <c r="AS99" s="107" t="n">
        <v>1034897</v>
      </c>
      <c r="AT99" s="107" t="n">
        <v>1484973705</v>
      </c>
      <c r="AU99" s="107" t="n">
        <v>-54175</v>
      </c>
      <c r="AV99" s="107" t="n">
        <v>-73591320</v>
      </c>
      <c r="AW99" s="107" t="n">
        <v>0</v>
      </c>
      <c r="AX99" s="107" t="n">
        <v>0</v>
      </c>
      <c r="AY99" s="107" t="n">
        <v>0</v>
      </c>
      <c r="AZ99" s="107" t="n">
        <v>0</v>
      </c>
      <c r="BA99" s="107" t="n">
        <v>0</v>
      </c>
      <c r="BB99" s="107" t="n">
        <v>0</v>
      </c>
      <c r="BC99" s="107" t="n">
        <v>0</v>
      </c>
      <c r="BD99" s="107" t="n">
        <v>0</v>
      </c>
      <c r="BE99" s="107" t="n">
        <v>8967.61</v>
      </c>
      <c r="BF99" s="107" t="n">
        <v>12181601</v>
      </c>
      <c r="BG99" s="107" t="n">
        <v>0</v>
      </c>
      <c r="BH99" s="107" t="n">
        <v>0</v>
      </c>
      <c r="BI99" s="107" t="n">
        <v>1000000</v>
      </c>
      <c r="BJ99" s="107" t="n">
        <v>1434900000</v>
      </c>
      <c r="BK99" s="107" t="n">
        <v>0</v>
      </c>
      <c r="BL99" s="107" t="n">
        <v>0</v>
      </c>
      <c r="BM99" s="107" t="n">
        <v>0</v>
      </c>
      <c r="BN99" s="107" t="n">
        <v>0</v>
      </c>
      <c r="BO99" s="107" t="s">
        <v>377</v>
      </c>
      <c r="BP99" s="2"/>
      <c r="BQ99" s="107" t="s">
        <v>106</v>
      </c>
      <c r="BR99" s="107" t="n">
        <v>-79169620</v>
      </c>
      <c r="BS99" s="107" t="n">
        <v>0</v>
      </c>
      <c r="BT99" s="107" t="n">
        <v>0</v>
      </c>
      <c r="BU99" s="107" t="n">
        <v>34897</v>
      </c>
      <c r="BV99" s="107" t="n">
        <v>50073705</v>
      </c>
      <c r="BW99" s="107" t="n">
        <v>8967.61</v>
      </c>
      <c r="BX99" s="107" t="n">
        <v>12181601</v>
      </c>
      <c r="BY99" s="107" t="n">
        <v>0</v>
      </c>
      <c r="BZ99" s="107" t="n">
        <v>0</v>
      </c>
      <c r="CA99" s="107" t="n">
        <v>1434.9</v>
      </c>
      <c r="CB99" s="2"/>
      <c r="CC99" s="107" t="n">
        <v>0</v>
      </c>
      <c r="CD99" s="107" t="n">
        <v>98.08</v>
      </c>
      <c r="CE99" s="107" t="n">
        <v>98.06</v>
      </c>
      <c r="CF99" s="107" t="n">
        <v>98.08</v>
      </c>
      <c r="CG99" s="107" t="n">
        <v>200000</v>
      </c>
      <c r="CH99" s="107" t="n">
        <v>2.9553</v>
      </c>
      <c r="CI99" s="107" t="n">
        <v>98.32</v>
      </c>
      <c r="CJ99" s="107" t="n">
        <v>98.33</v>
      </c>
      <c r="CK99" s="107" t="n">
        <v>98.27</v>
      </c>
      <c r="CL99" s="107" t="n">
        <v>300000</v>
      </c>
    </row>
    <row r="100" customFormat="false" ht="15" hidden="false" customHeight="false" outlineLevel="0" collapsed="false">
      <c r="A100" s="107" t="s">
        <v>537</v>
      </c>
      <c r="B100" s="107" t="n">
        <v>98.3145</v>
      </c>
      <c r="C100" s="107" t="n">
        <v>5.5983</v>
      </c>
      <c r="D100" s="107" t="n">
        <v>2.5353</v>
      </c>
      <c r="E100" s="107" t="n">
        <v>-1744.79726295</v>
      </c>
      <c r="F100" s="108" t="s">
        <v>358</v>
      </c>
      <c r="G100" s="107" t="n">
        <v>2.5353</v>
      </c>
      <c r="H100" s="107" t="n">
        <v>-1744.79726295</v>
      </c>
      <c r="I100" s="109" t="n">
        <v>47321</v>
      </c>
      <c r="J100" s="107" t="n">
        <v>3</v>
      </c>
      <c r="K100" s="108" t="s">
        <v>384</v>
      </c>
      <c r="L100" s="107" t="s">
        <v>298</v>
      </c>
      <c r="M100" s="107" t="n">
        <v>17747100</v>
      </c>
      <c r="N100" s="107" t="n">
        <v>100.48</v>
      </c>
      <c r="O100" s="107" t="n">
        <v>6882015</v>
      </c>
      <c r="P100" s="107" t="s">
        <v>538</v>
      </c>
      <c r="Q100" s="107" t="s">
        <v>106</v>
      </c>
      <c r="R100" s="107" t="n">
        <v>-0.094077005679945</v>
      </c>
      <c r="S100" s="107" t="n">
        <v>-0.0215515525477708</v>
      </c>
      <c r="T100" s="107" t="n">
        <v>-1793.65956945</v>
      </c>
      <c r="U100" s="107" t="n">
        <v>21069</v>
      </c>
      <c r="V100" s="108" t="s">
        <v>362</v>
      </c>
      <c r="W100" s="107" t="n">
        <v>34507</v>
      </c>
      <c r="X100" s="108" t="s">
        <v>372</v>
      </c>
      <c r="Y100" s="107" t="s">
        <v>533</v>
      </c>
      <c r="Z100" s="107" t="s">
        <v>539</v>
      </c>
      <c r="AA100" s="109" t="n">
        <v>45918</v>
      </c>
      <c r="AB100" s="107" t="n">
        <v>250918000001</v>
      </c>
      <c r="AC100" s="109" t="n">
        <v>45918</v>
      </c>
      <c r="AD100" s="109" t="n">
        <v>47744</v>
      </c>
      <c r="AE100" s="107" t="n">
        <v>4.5</v>
      </c>
      <c r="AF100" s="107" t="n">
        <v>3.592</v>
      </c>
      <c r="AG100" s="107" t="n">
        <v>1449</v>
      </c>
      <c r="AH100" s="107" t="n">
        <v>500000</v>
      </c>
      <c r="AI100" s="107" t="n">
        <v>4.575943</v>
      </c>
      <c r="AJ100" s="107" t="n">
        <v>99.664</v>
      </c>
      <c r="AK100" s="107" t="n">
        <v>4.458951</v>
      </c>
      <c r="AL100" s="107" t="n">
        <v>100.2962</v>
      </c>
      <c r="AM100" s="107" t="n">
        <v>5.8095</v>
      </c>
      <c r="AN100" s="107" t="n">
        <v>95.4162</v>
      </c>
      <c r="AO100" s="107" t="n">
        <v>1358.4</v>
      </c>
      <c r="AP100" s="107" t="n">
        <v>1</v>
      </c>
      <c r="AQ100" s="107" t="n">
        <v>477081</v>
      </c>
      <c r="AR100" s="107" t="n">
        <v>648066830</v>
      </c>
      <c r="AS100" s="107" t="n">
        <v>500731</v>
      </c>
      <c r="AT100" s="107" t="n">
        <v>718498912</v>
      </c>
      <c r="AU100" s="107" t="n">
        <v>-23650</v>
      </c>
      <c r="AV100" s="107" t="n">
        <v>-32126160</v>
      </c>
      <c r="AW100" s="107" t="n">
        <v>0</v>
      </c>
      <c r="AX100" s="107" t="n">
        <v>0</v>
      </c>
      <c r="AY100" s="107" t="n">
        <v>0</v>
      </c>
      <c r="AZ100" s="107" t="n">
        <v>0</v>
      </c>
      <c r="BA100" s="107" t="n">
        <v>0</v>
      </c>
      <c r="BB100" s="107" t="n">
        <v>0</v>
      </c>
      <c r="BC100" s="107" t="n">
        <v>0</v>
      </c>
      <c r="BD100" s="107" t="n">
        <v>0</v>
      </c>
      <c r="BE100" s="107" t="n">
        <v>750</v>
      </c>
      <c r="BF100" s="107" t="n">
        <v>1018800</v>
      </c>
      <c r="BG100" s="107" t="n">
        <v>0</v>
      </c>
      <c r="BH100" s="107" t="n">
        <v>0</v>
      </c>
      <c r="BI100" s="107" t="n">
        <v>498320</v>
      </c>
      <c r="BJ100" s="107" t="n">
        <v>715039368</v>
      </c>
      <c r="BK100" s="107" t="n">
        <v>0</v>
      </c>
      <c r="BL100" s="107" t="n">
        <v>0</v>
      </c>
      <c r="BM100" s="107" t="n">
        <v>0</v>
      </c>
      <c r="BN100" s="107" t="n">
        <v>0</v>
      </c>
      <c r="BO100" s="107" t="s">
        <v>374</v>
      </c>
      <c r="BP100" s="2"/>
      <c r="BQ100" s="107" t="s">
        <v>374</v>
      </c>
      <c r="BR100" s="107" t="n">
        <v>-38305922</v>
      </c>
      <c r="BS100" s="107" t="n">
        <v>0</v>
      </c>
      <c r="BT100" s="107" t="n">
        <v>0</v>
      </c>
      <c r="BU100" s="107" t="n">
        <v>2411</v>
      </c>
      <c r="BV100" s="107" t="n">
        <v>3459544</v>
      </c>
      <c r="BW100" s="107" t="n">
        <v>750</v>
      </c>
      <c r="BX100" s="107" t="n">
        <v>1018800</v>
      </c>
      <c r="BY100" s="107" t="n">
        <v>0</v>
      </c>
      <c r="BZ100" s="107" t="n">
        <v>0</v>
      </c>
      <c r="CA100" s="107" t="n">
        <v>1434.9</v>
      </c>
      <c r="CB100" s="2"/>
      <c r="CC100" s="107" t="n">
        <v>0</v>
      </c>
      <c r="CD100" s="107" t="n">
        <v>95.31</v>
      </c>
      <c r="CE100" s="107" t="n">
        <v>95.46</v>
      </c>
      <c r="CF100" s="107" t="n">
        <v>95.48</v>
      </c>
      <c r="CG100" s="107" t="n">
        <v>500000</v>
      </c>
      <c r="CH100" s="107" t="n">
        <v>3.4906</v>
      </c>
      <c r="CI100" s="107" t="n">
        <v>99.63</v>
      </c>
      <c r="CJ100" s="107" t="n">
        <v>99.55</v>
      </c>
      <c r="CK100" s="107" t="n">
        <v>99.61</v>
      </c>
      <c r="CL100" s="107" t="n">
        <v>200000</v>
      </c>
    </row>
    <row r="101" customFormat="false" ht="15" hidden="false" customHeight="false" outlineLevel="0" collapsed="false">
      <c r="A101" s="107" t="s">
        <v>540</v>
      </c>
      <c r="B101" s="107" t="n">
        <v>98.2117</v>
      </c>
      <c r="C101" s="107" t="n">
        <v>5.6955</v>
      </c>
      <c r="D101" s="107" t="n">
        <v>2.9519</v>
      </c>
      <c r="E101" s="107" t="n">
        <v>-289.91111723</v>
      </c>
      <c r="F101" s="108" t="s">
        <v>358</v>
      </c>
      <c r="G101" s="107" t="n">
        <v>2.9519</v>
      </c>
      <c r="H101" s="107" t="n">
        <v>-289.91111723</v>
      </c>
      <c r="I101" s="109" t="n">
        <v>47507</v>
      </c>
      <c r="J101" s="107" t="n">
        <v>5</v>
      </c>
      <c r="K101" s="108" t="s">
        <v>384</v>
      </c>
      <c r="L101" s="107" t="s">
        <v>298</v>
      </c>
      <c r="M101" s="107" t="n">
        <v>2951900</v>
      </c>
      <c r="N101" s="107" t="n">
        <v>100</v>
      </c>
      <c r="O101" s="107" t="n">
        <v>982117</v>
      </c>
      <c r="P101" s="107" t="s">
        <v>538</v>
      </c>
      <c r="Q101" s="107" t="s">
        <v>106</v>
      </c>
      <c r="R101" s="107" t="n">
        <v>-0.101118796650961</v>
      </c>
      <c r="S101" s="107" t="n">
        <v>-0.0178830000000001</v>
      </c>
      <c r="T101" s="107" t="n">
        <v>-298.1707212</v>
      </c>
      <c r="U101" s="107" t="n">
        <v>21069</v>
      </c>
      <c r="V101" s="108" t="s">
        <v>362</v>
      </c>
      <c r="W101" s="107" t="n">
        <v>34507</v>
      </c>
      <c r="X101" s="108" t="s">
        <v>372</v>
      </c>
      <c r="Y101" s="107" t="s">
        <v>535</v>
      </c>
      <c r="Z101" s="107" t="s">
        <v>541</v>
      </c>
      <c r="AA101" s="109" t="n">
        <v>46282</v>
      </c>
      <c r="AB101" s="107" t="n">
        <v>260917000001</v>
      </c>
      <c r="AC101" s="109" t="n">
        <v>46282</v>
      </c>
      <c r="AD101" s="109" t="n">
        <v>47378</v>
      </c>
      <c r="AE101" s="107" t="n">
        <v>5.4</v>
      </c>
      <c r="AF101" s="107" t="n">
        <v>2.7476</v>
      </c>
      <c r="AG101" s="107" t="n">
        <v>1083</v>
      </c>
      <c r="AH101" s="107" t="n">
        <v>1000000</v>
      </c>
      <c r="AI101" s="107" t="n">
        <v>5.431086</v>
      </c>
      <c r="AJ101" s="107" t="n">
        <v>99.915</v>
      </c>
      <c r="AK101" s="107" t="n">
        <v>5.430169</v>
      </c>
      <c r="AL101" s="107" t="n">
        <v>100.111008</v>
      </c>
      <c r="AM101" s="107" t="n">
        <v>5.6687</v>
      </c>
      <c r="AN101" s="107" t="n">
        <v>99.2721</v>
      </c>
      <c r="AO101" s="107" t="n">
        <v>1358.4</v>
      </c>
      <c r="AP101" s="107" t="n">
        <v>1</v>
      </c>
      <c r="AQ101" s="107" t="n">
        <v>992721</v>
      </c>
      <c r="AR101" s="107" t="n">
        <v>1348512206</v>
      </c>
      <c r="AS101" s="107" t="n">
        <v>999150</v>
      </c>
      <c r="AT101" s="107" t="n">
        <v>1345255560</v>
      </c>
      <c r="AU101" s="107" t="n">
        <v>-6429</v>
      </c>
      <c r="AV101" s="107" t="n">
        <v>-8733154</v>
      </c>
      <c r="AW101" s="107" t="n">
        <v>0</v>
      </c>
      <c r="AX101" s="107" t="n">
        <v>0</v>
      </c>
      <c r="AY101" s="107" t="n">
        <v>0</v>
      </c>
      <c r="AZ101" s="107" t="n">
        <v>0</v>
      </c>
      <c r="BA101" s="107" t="n">
        <v>0</v>
      </c>
      <c r="BB101" s="107" t="n">
        <v>0</v>
      </c>
      <c r="BC101" s="107" t="n">
        <v>0</v>
      </c>
      <c r="BD101" s="107" t="n">
        <v>0</v>
      </c>
      <c r="BE101" s="107" t="n">
        <v>1950</v>
      </c>
      <c r="BF101" s="107" t="n">
        <v>2648880</v>
      </c>
      <c r="BG101" s="107" t="n">
        <v>10.08</v>
      </c>
      <c r="BH101" s="107" t="n">
        <v>13692</v>
      </c>
      <c r="BI101" s="107" t="n">
        <v>999150</v>
      </c>
      <c r="BJ101" s="107" t="n">
        <v>1345255560</v>
      </c>
      <c r="BK101" s="107" t="n">
        <v>0</v>
      </c>
      <c r="BL101" s="107" t="n">
        <v>0</v>
      </c>
      <c r="BM101" s="107" t="n">
        <v>0</v>
      </c>
      <c r="BN101" s="107" t="n">
        <v>0</v>
      </c>
      <c r="BO101" s="107" t="s">
        <v>374</v>
      </c>
      <c r="BP101" s="2"/>
      <c r="BQ101" s="107" t="s">
        <v>374</v>
      </c>
      <c r="BR101" s="107" t="n">
        <v>11989800</v>
      </c>
      <c r="BS101" s="107" t="n">
        <v>0</v>
      </c>
      <c r="BT101" s="107" t="n">
        <v>0</v>
      </c>
      <c r="BU101" s="107" t="n">
        <v>0</v>
      </c>
      <c r="BV101" s="107" t="n">
        <v>0</v>
      </c>
      <c r="BW101" s="107" t="n">
        <v>1950</v>
      </c>
      <c r="BX101" s="107" t="n">
        <v>2648880</v>
      </c>
      <c r="BY101" s="107" t="n">
        <v>10.08</v>
      </c>
      <c r="BZ101" s="107" t="n">
        <v>13692</v>
      </c>
      <c r="CA101" s="107" t="n">
        <v>1346.4</v>
      </c>
      <c r="CB101" s="2"/>
      <c r="CC101" s="107" t="n">
        <v>0</v>
      </c>
      <c r="CD101" s="107" t="n">
        <v>99.06</v>
      </c>
      <c r="CE101" s="107" t="n">
        <v>99.35</v>
      </c>
      <c r="CF101" s="107" t="n">
        <v>99.41</v>
      </c>
      <c r="CG101" s="107" t="n">
        <v>1000000</v>
      </c>
      <c r="CH101" s="107" t="n">
        <v>2.6719</v>
      </c>
      <c r="CI101" s="107" t="n">
        <v>99.48</v>
      </c>
      <c r="CJ101" s="107" t="n">
        <v>99.43</v>
      </c>
      <c r="CK101" s="107" t="n">
        <v>99.47</v>
      </c>
      <c r="CL101" s="107" t="n">
        <v>500000</v>
      </c>
    </row>
    <row r="102" customFormat="false" ht="15" hidden="false" customHeight="false" outlineLevel="0" collapsed="false">
      <c r="A102" s="107" t="s">
        <v>542</v>
      </c>
      <c r="B102" s="107" t="n">
        <v>94.5099</v>
      </c>
      <c r="C102" s="107" t="n">
        <v>5.698</v>
      </c>
      <c r="D102" s="107" t="n">
        <v>3.5613</v>
      </c>
      <c r="E102" s="107" t="n">
        <v>-168.289053435</v>
      </c>
      <c r="F102" s="108" t="s">
        <v>358</v>
      </c>
      <c r="G102" s="107" t="n">
        <v>3.5613</v>
      </c>
      <c r="H102" s="107" t="n">
        <v>-168.289053435</v>
      </c>
      <c r="I102" s="109" t="n">
        <v>47778</v>
      </c>
      <c r="J102" s="107" t="n">
        <v>5</v>
      </c>
      <c r="K102" s="108" t="s">
        <v>384</v>
      </c>
      <c r="L102" s="107" t="s">
        <v>298</v>
      </c>
      <c r="M102" s="107" t="n">
        <v>1780650</v>
      </c>
      <c r="N102" s="107" t="n">
        <v>100</v>
      </c>
      <c r="O102" s="107" t="n">
        <v>472549.5</v>
      </c>
      <c r="P102" s="107" t="s">
        <v>538</v>
      </c>
      <c r="Q102" s="107" t="s">
        <v>106</v>
      </c>
      <c r="R102" s="107" t="n">
        <v>-0.102590839164345</v>
      </c>
      <c r="S102" s="107" t="n">
        <v>-0.054901</v>
      </c>
      <c r="T102" s="107" t="n">
        <v>-173.08543086</v>
      </c>
      <c r="U102" s="107" t="n">
        <v>21069</v>
      </c>
      <c r="V102" s="108" t="s">
        <v>362</v>
      </c>
      <c r="W102" s="107" t="n">
        <v>34507</v>
      </c>
      <c r="X102" s="108" t="s">
        <v>372</v>
      </c>
      <c r="Y102" s="107" t="s">
        <v>537</v>
      </c>
      <c r="Z102" s="107" t="s">
        <v>543</v>
      </c>
      <c r="AA102" s="109" t="n">
        <v>45805</v>
      </c>
      <c r="AB102" s="107" t="n">
        <v>250528000001</v>
      </c>
      <c r="AC102" s="109" t="n">
        <v>45495</v>
      </c>
      <c r="AD102" s="109" t="n">
        <v>47686</v>
      </c>
      <c r="AE102" s="107" t="n">
        <v>4.995</v>
      </c>
      <c r="AF102" s="107" t="n">
        <v>2.6038</v>
      </c>
      <c r="AG102" s="107" t="n">
        <v>1391</v>
      </c>
      <c r="AH102" s="107" t="n">
        <v>7000000</v>
      </c>
      <c r="AI102" s="107" t="n">
        <v>4.864</v>
      </c>
      <c r="AJ102" s="107" t="n">
        <v>100.48</v>
      </c>
      <c r="AK102" s="107" t="n">
        <v>4.17397</v>
      </c>
      <c r="AL102" s="107" t="n">
        <v>103.8028</v>
      </c>
      <c r="AM102" s="107" t="n">
        <v>5.5661</v>
      </c>
      <c r="AN102" s="107" t="n">
        <v>98.4059</v>
      </c>
      <c r="AO102" s="107" t="n">
        <v>1358.4</v>
      </c>
      <c r="AP102" s="107" t="n">
        <v>1</v>
      </c>
      <c r="AQ102" s="107" t="n">
        <v>6888413</v>
      </c>
      <c r="AR102" s="107" t="n">
        <v>9357220219</v>
      </c>
      <c r="AS102" s="107" t="n">
        <v>7200151</v>
      </c>
      <c r="AT102" s="107" t="n">
        <v>10331496671</v>
      </c>
      <c r="AU102" s="107" t="n">
        <v>-311738</v>
      </c>
      <c r="AV102" s="107" t="n">
        <v>-423464899</v>
      </c>
      <c r="AW102" s="107" t="n">
        <v>0</v>
      </c>
      <c r="AX102" s="107" t="n">
        <v>0</v>
      </c>
      <c r="AY102" s="107" t="n">
        <v>0</v>
      </c>
      <c r="AZ102" s="107" t="n">
        <v>0</v>
      </c>
      <c r="BA102" s="107" t="n">
        <v>0</v>
      </c>
      <c r="BB102" s="107" t="n">
        <v>0</v>
      </c>
      <c r="BC102" s="107" t="n">
        <v>0</v>
      </c>
      <c r="BD102" s="107" t="n">
        <v>0</v>
      </c>
      <c r="BE102" s="107" t="n">
        <v>66045</v>
      </c>
      <c r="BF102" s="107" t="n">
        <v>89715528</v>
      </c>
      <c r="BG102" s="107" t="n">
        <v>0</v>
      </c>
      <c r="BH102" s="107" t="n">
        <v>0</v>
      </c>
      <c r="BI102" s="107" t="n">
        <v>11052800</v>
      </c>
      <c r="BJ102" s="107" t="n">
        <v>15859662720</v>
      </c>
      <c r="BK102" s="107" t="n">
        <v>0</v>
      </c>
      <c r="BL102" s="107" t="n">
        <v>0</v>
      </c>
      <c r="BM102" s="107" t="n">
        <v>0</v>
      </c>
      <c r="BN102" s="107" t="n">
        <v>0</v>
      </c>
      <c r="BO102" s="107" t="s">
        <v>106</v>
      </c>
      <c r="BP102" s="2"/>
      <c r="BQ102" s="107" t="s">
        <v>364</v>
      </c>
      <c r="BR102" s="107" t="n">
        <v>-550811553</v>
      </c>
      <c r="BS102" s="107" t="n">
        <v>0</v>
      </c>
      <c r="BT102" s="107" t="n">
        <v>0</v>
      </c>
      <c r="BU102" s="107" t="n">
        <v>261723</v>
      </c>
      <c r="BV102" s="107" t="n">
        <v>375546333</v>
      </c>
      <c r="BW102" s="107" t="n">
        <v>66045</v>
      </c>
      <c r="BX102" s="107" t="n">
        <v>89715528</v>
      </c>
      <c r="BY102" s="107" t="n">
        <v>0</v>
      </c>
      <c r="BZ102" s="107" t="n">
        <v>0</v>
      </c>
      <c r="CA102" s="107" t="n">
        <v>1434.9</v>
      </c>
      <c r="CB102" s="2"/>
      <c r="CC102" s="107" t="n">
        <v>0</v>
      </c>
      <c r="CD102" s="107" t="n">
        <v>98.38</v>
      </c>
      <c r="CE102" s="107" t="n">
        <v>98.43</v>
      </c>
      <c r="CF102" s="107" t="n">
        <v>98.41</v>
      </c>
      <c r="CG102" s="107" t="n">
        <v>7000000</v>
      </c>
      <c r="CH102" s="107" t="n">
        <v>2.5333</v>
      </c>
      <c r="CI102" s="107" t="n">
        <v>99.3</v>
      </c>
      <c r="CJ102" s="107" t="n">
        <v>99.22</v>
      </c>
      <c r="CK102" s="107" t="n">
        <v>99.28</v>
      </c>
      <c r="CL102" s="107" t="n">
        <v>1000000</v>
      </c>
    </row>
    <row r="103" customFormat="false" ht="15" hidden="false" customHeight="false" outlineLevel="0" collapsed="false">
      <c r="A103" s="107" t="s">
        <v>544</v>
      </c>
      <c r="B103" s="107" t="n">
        <v>91.1614</v>
      </c>
      <c r="C103" s="107" t="n">
        <v>6.0592</v>
      </c>
      <c r="D103" s="107" t="n">
        <v>6.9293</v>
      </c>
      <c r="E103" s="107" t="n">
        <v>-1263.36937804</v>
      </c>
      <c r="F103" s="108" t="s">
        <v>358</v>
      </c>
      <c r="G103" s="107" t="n">
        <v>6.9293</v>
      </c>
      <c r="H103" s="107" t="n">
        <v>-1263.36937804</v>
      </c>
      <c r="I103" s="109" t="n">
        <v>49604</v>
      </c>
      <c r="J103" s="107" t="n">
        <v>10</v>
      </c>
      <c r="K103" s="108" t="s">
        <v>384</v>
      </c>
      <c r="L103" s="107" t="s">
        <v>298</v>
      </c>
      <c r="M103" s="107" t="n">
        <v>13858600</v>
      </c>
      <c r="N103" s="107" t="n">
        <v>100</v>
      </c>
      <c r="O103" s="107" t="n">
        <v>1823228</v>
      </c>
      <c r="P103" s="107" t="s">
        <v>538</v>
      </c>
      <c r="Q103" s="107" t="s">
        <v>106</v>
      </c>
      <c r="R103" s="107" t="n">
        <v>-0.133772635007057</v>
      </c>
      <c r="S103" s="107" t="n">
        <v>-0.088386</v>
      </c>
      <c r="T103" s="107" t="n">
        <v>-1301.63893376</v>
      </c>
      <c r="U103" s="107" t="n">
        <v>21069</v>
      </c>
      <c r="V103" s="108" t="s">
        <v>362</v>
      </c>
      <c r="W103" s="107" t="n">
        <v>34507</v>
      </c>
      <c r="X103" s="108" t="s">
        <v>372</v>
      </c>
      <c r="Y103" s="107" t="s">
        <v>540</v>
      </c>
      <c r="Z103" s="107" t="s">
        <v>545</v>
      </c>
      <c r="AA103" s="109" t="n">
        <v>45681</v>
      </c>
      <c r="AB103" s="107" t="n">
        <v>250124000001</v>
      </c>
      <c r="AC103" s="109" t="n">
        <v>45681</v>
      </c>
      <c r="AD103" s="109" t="n">
        <v>47872</v>
      </c>
      <c r="AE103" s="107" t="n">
        <v>5.14</v>
      </c>
      <c r="AF103" s="107" t="n">
        <v>3.0337</v>
      </c>
      <c r="AG103" s="107" t="n">
        <v>1577</v>
      </c>
      <c r="AH103" s="107" t="n">
        <v>1000000</v>
      </c>
      <c r="AI103" s="107" t="n">
        <v>5.14</v>
      </c>
      <c r="AJ103" s="107" t="n">
        <v>100</v>
      </c>
      <c r="AK103" s="107" t="n">
        <v>4.228322</v>
      </c>
      <c r="AL103" s="107" t="n">
        <v>104.499033</v>
      </c>
      <c r="AM103" s="107" t="n">
        <v>5.6588</v>
      </c>
      <c r="AN103" s="107" t="n">
        <v>98.3287</v>
      </c>
      <c r="AO103" s="107" t="n">
        <v>1358.4</v>
      </c>
      <c r="AP103" s="107" t="n">
        <v>1</v>
      </c>
      <c r="AQ103" s="107" t="n">
        <v>983287</v>
      </c>
      <c r="AR103" s="107" t="n">
        <v>1335697061</v>
      </c>
      <c r="AS103" s="107" t="n">
        <v>1035567</v>
      </c>
      <c r="AT103" s="107" t="n">
        <v>1485935088</v>
      </c>
      <c r="AU103" s="107" t="n">
        <v>-52280</v>
      </c>
      <c r="AV103" s="107" t="n">
        <v>-71017152</v>
      </c>
      <c r="AW103" s="107" t="n">
        <v>0</v>
      </c>
      <c r="AX103" s="107" t="n">
        <v>0</v>
      </c>
      <c r="AY103" s="107" t="n">
        <v>0</v>
      </c>
      <c r="AZ103" s="107" t="n">
        <v>0</v>
      </c>
      <c r="BA103" s="107" t="n">
        <v>0</v>
      </c>
      <c r="BB103" s="107" t="n">
        <v>0</v>
      </c>
      <c r="BC103" s="107" t="n">
        <v>0</v>
      </c>
      <c r="BD103" s="107" t="n">
        <v>0</v>
      </c>
      <c r="BE103" s="107" t="n">
        <v>9423.33</v>
      </c>
      <c r="BF103" s="107" t="n">
        <v>12800651</v>
      </c>
      <c r="BG103" s="107" t="n">
        <v>0</v>
      </c>
      <c r="BH103" s="107" t="n">
        <v>0</v>
      </c>
      <c r="BI103" s="107" t="n">
        <v>1000000</v>
      </c>
      <c r="BJ103" s="107" t="n">
        <v>1434900000</v>
      </c>
      <c r="BK103" s="107" t="n">
        <v>0</v>
      </c>
      <c r="BL103" s="107" t="n">
        <v>0</v>
      </c>
      <c r="BM103" s="107" t="n">
        <v>0</v>
      </c>
      <c r="BN103" s="107" t="n">
        <v>0</v>
      </c>
      <c r="BO103" s="107" t="s">
        <v>106</v>
      </c>
      <c r="BP103" s="2"/>
      <c r="BQ103" s="107" t="s">
        <v>364</v>
      </c>
      <c r="BR103" s="107" t="n">
        <v>-79220875</v>
      </c>
      <c r="BS103" s="107" t="n">
        <v>0</v>
      </c>
      <c r="BT103" s="107" t="n">
        <v>0</v>
      </c>
      <c r="BU103" s="107" t="n">
        <v>35567</v>
      </c>
      <c r="BV103" s="107" t="n">
        <v>51035088</v>
      </c>
      <c r="BW103" s="107" t="n">
        <v>9423.33</v>
      </c>
      <c r="BX103" s="107" t="n">
        <v>12800651</v>
      </c>
      <c r="BY103" s="107" t="n">
        <v>0</v>
      </c>
      <c r="BZ103" s="107" t="n">
        <v>0</v>
      </c>
      <c r="CA103" s="107" t="n">
        <v>1434.9</v>
      </c>
      <c r="CB103" s="2"/>
      <c r="CC103" s="107" t="n">
        <v>0</v>
      </c>
      <c r="CD103" s="107" t="n">
        <v>98.28</v>
      </c>
      <c r="CE103" s="107" t="n">
        <v>98.36</v>
      </c>
      <c r="CF103" s="107" t="n">
        <v>98.35</v>
      </c>
      <c r="CG103" s="107" t="n">
        <v>0</v>
      </c>
      <c r="CH103" s="107" t="n">
        <v>2.9502</v>
      </c>
      <c r="CI103" s="107" t="n">
        <v>99.41</v>
      </c>
      <c r="CJ103" s="107" t="n">
        <v>99.52</v>
      </c>
      <c r="CK103" s="107" t="n">
        <v>99.48</v>
      </c>
      <c r="CL103" s="107" t="n">
        <v>500000</v>
      </c>
    </row>
    <row r="104" customFormat="false" ht="15" hidden="false" customHeight="false" outlineLevel="0" collapsed="false">
      <c r="A104" s="107" t="s">
        <v>546</v>
      </c>
      <c r="B104" s="107" t="n">
        <v>91.4176</v>
      </c>
      <c r="C104" s="107" t="n">
        <v>6.0875</v>
      </c>
      <c r="D104" s="107" t="n">
        <v>7.1656</v>
      </c>
      <c r="E104" s="107" t="n">
        <v>-655.06195456</v>
      </c>
      <c r="F104" s="108" t="s">
        <v>358</v>
      </c>
      <c r="G104" s="107" t="n">
        <v>7.1656</v>
      </c>
      <c r="H104" s="107" t="n">
        <v>-655.06195456</v>
      </c>
      <c r="I104" s="109" t="n">
        <v>49696</v>
      </c>
      <c r="J104" s="107" t="n">
        <v>10</v>
      </c>
      <c r="K104" s="108" t="s">
        <v>384</v>
      </c>
      <c r="L104" s="107" t="s">
        <v>298</v>
      </c>
      <c r="M104" s="107" t="n">
        <v>7165600</v>
      </c>
      <c r="N104" s="107" t="n">
        <v>98.988</v>
      </c>
      <c r="O104" s="107" t="n">
        <v>914176</v>
      </c>
      <c r="P104" s="107" t="s">
        <v>538</v>
      </c>
      <c r="Q104" s="107" t="s">
        <v>106</v>
      </c>
      <c r="R104" s="107" t="n">
        <v>-0.152160133263627</v>
      </c>
      <c r="S104" s="107" t="n">
        <v>-0.0764779569240717</v>
      </c>
      <c r="T104" s="107" t="n">
        <v>-675.00013312</v>
      </c>
      <c r="U104" s="107" t="n">
        <v>21069</v>
      </c>
      <c r="V104" s="108" t="s">
        <v>362</v>
      </c>
      <c r="W104" s="107" t="n">
        <v>34507</v>
      </c>
      <c r="X104" s="108" t="s">
        <v>372</v>
      </c>
      <c r="Y104" s="107" t="s">
        <v>542</v>
      </c>
      <c r="Z104" s="107" t="s">
        <v>547</v>
      </c>
      <c r="AA104" s="109" t="n">
        <v>45952</v>
      </c>
      <c r="AB104" s="107" t="n">
        <v>251022000002</v>
      </c>
      <c r="AC104" s="109" t="n">
        <v>45952</v>
      </c>
      <c r="AD104" s="109" t="n">
        <v>48143</v>
      </c>
      <c r="AE104" s="107" t="n">
        <v>4.255</v>
      </c>
      <c r="AF104" s="107" t="n">
        <v>3.6606</v>
      </c>
      <c r="AG104" s="107" t="n">
        <v>1848</v>
      </c>
      <c r="AH104" s="107" t="n">
        <v>500000</v>
      </c>
      <c r="AI104" s="107" t="n">
        <v>4.255</v>
      </c>
      <c r="AJ104" s="107" t="n">
        <v>100</v>
      </c>
      <c r="AK104" s="107" t="n">
        <v>4.295098</v>
      </c>
      <c r="AL104" s="107" t="n">
        <v>101.684372</v>
      </c>
      <c r="AM104" s="107" t="n">
        <v>5.6682</v>
      </c>
      <c r="AN104" s="107" t="n">
        <v>94.623</v>
      </c>
      <c r="AO104" s="107" t="n">
        <v>1358.4</v>
      </c>
      <c r="AP104" s="107" t="n">
        <v>1</v>
      </c>
      <c r="AQ104" s="107" t="n">
        <v>473115</v>
      </c>
      <c r="AR104" s="107" t="n">
        <v>642679416</v>
      </c>
      <c r="AS104" s="107" t="n">
        <v>499084.5</v>
      </c>
      <c r="AT104" s="107" t="n">
        <v>716136349</v>
      </c>
      <c r="AU104" s="107" t="n">
        <v>-25969.5</v>
      </c>
      <c r="AV104" s="107" t="n">
        <v>-35276969</v>
      </c>
      <c r="AW104" s="107" t="n">
        <v>0</v>
      </c>
      <c r="AX104" s="107" t="n">
        <v>0</v>
      </c>
      <c r="AY104" s="107" t="n">
        <v>0</v>
      </c>
      <c r="AZ104" s="107" t="n">
        <v>0</v>
      </c>
      <c r="BA104" s="107" t="n">
        <v>0</v>
      </c>
      <c r="BB104" s="107" t="n">
        <v>0</v>
      </c>
      <c r="BC104" s="107" t="n">
        <v>0</v>
      </c>
      <c r="BD104" s="107" t="n">
        <v>0</v>
      </c>
      <c r="BE104" s="107" t="n">
        <v>9337.36</v>
      </c>
      <c r="BF104" s="107" t="n">
        <v>12683869</v>
      </c>
      <c r="BG104" s="107" t="n">
        <v>0</v>
      </c>
      <c r="BH104" s="107" t="n">
        <v>0</v>
      </c>
      <c r="BI104" s="107" t="n">
        <v>500000</v>
      </c>
      <c r="BJ104" s="107" t="n">
        <v>717450000</v>
      </c>
      <c r="BK104" s="107" t="n">
        <v>0</v>
      </c>
      <c r="BL104" s="107" t="n">
        <v>0</v>
      </c>
      <c r="BM104" s="107" t="n">
        <v>0</v>
      </c>
      <c r="BN104" s="107" t="n">
        <v>0</v>
      </c>
      <c r="BO104" s="107" t="s">
        <v>106</v>
      </c>
      <c r="BP104" s="2"/>
      <c r="BQ104" s="107" t="s">
        <v>364</v>
      </c>
      <c r="BR104" s="107" t="n">
        <v>-38179964</v>
      </c>
      <c r="BS104" s="107" t="n">
        <v>0</v>
      </c>
      <c r="BT104" s="107" t="n">
        <v>0</v>
      </c>
      <c r="BU104" s="107" t="n">
        <v>-915.5</v>
      </c>
      <c r="BV104" s="107" t="n">
        <v>-1313651</v>
      </c>
      <c r="BW104" s="107" t="n">
        <v>9337.36</v>
      </c>
      <c r="BX104" s="107" t="n">
        <v>12683869</v>
      </c>
      <c r="BY104" s="107" t="n">
        <v>0</v>
      </c>
      <c r="BZ104" s="107" t="n">
        <v>0</v>
      </c>
      <c r="CA104" s="107" t="n">
        <v>1434.9</v>
      </c>
      <c r="CB104" s="2"/>
      <c r="CC104" s="107" t="n">
        <v>0</v>
      </c>
      <c r="CD104" s="107" t="n">
        <v>94.57</v>
      </c>
      <c r="CE104" s="107" t="n">
        <v>94.65</v>
      </c>
      <c r="CF104" s="107" t="n">
        <v>94.64</v>
      </c>
      <c r="CG104" s="107" t="n">
        <v>0</v>
      </c>
      <c r="CH104" s="107" t="n">
        <v>3.5597</v>
      </c>
      <c r="CI104" s="107" t="n">
        <v>99.41</v>
      </c>
      <c r="CJ104" s="107" t="n">
        <v>99.52</v>
      </c>
      <c r="CK104" s="107" t="n">
        <v>99.48</v>
      </c>
      <c r="CL104" s="107" t="n">
        <v>1750000</v>
      </c>
    </row>
    <row r="105" customFormat="false" ht="15" hidden="false" customHeight="false" outlineLevel="0" collapsed="false">
      <c r="A105" s="107" t="s">
        <v>548</v>
      </c>
      <c r="B105" s="107" t="n">
        <v>128.0983</v>
      </c>
      <c r="C105" s="107" t="n">
        <v>6.1861</v>
      </c>
      <c r="D105" s="107" t="n">
        <v>14.8467</v>
      </c>
      <c r="E105" s="107" t="n">
        <v>-494.4776279586</v>
      </c>
      <c r="F105" s="108" t="s">
        <v>358</v>
      </c>
      <c r="G105" s="107" t="n">
        <v>14.8467</v>
      </c>
      <c r="H105" s="107" t="n">
        <v>-494.4776279586</v>
      </c>
      <c r="I105" s="109" t="n">
        <v>71681</v>
      </c>
      <c r="J105" s="107" t="n">
        <v>30</v>
      </c>
      <c r="K105" s="107" t="s">
        <v>359</v>
      </c>
      <c r="L105" s="107" t="s">
        <v>298</v>
      </c>
      <c r="M105" s="107" t="n">
        <v>3860142</v>
      </c>
      <c r="N105" s="107" t="n">
        <v>207.8</v>
      </c>
      <c r="O105" s="107" t="n">
        <v>333055.58</v>
      </c>
      <c r="P105" s="107" t="s">
        <v>549</v>
      </c>
      <c r="Q105" s="107" t="s">
        <v>364</v>
      </c>
      <c r="R105" s="107" t="n">
        <v>-0.165903106526683</v>
      </c>
      <c r="S105" s="107" t="n">
        <v>-0.383550048123196</v>
      </c>
      <c r="T105" s="107" t="n">
        <v>-509.7715401922</v>
      </c>
      <c r="U105" s="107" t="n">
        <v>21069</v>
      </c>
      <c r="V105" s="108" t="s">
        <v>362</v>
      </c>
      <c r="W105" s="107" t="n">
        <v>34507</v>
      </c>
      <c r="X105" s="108" t="s">
        <v>372</v>
      </c>
      <c r="Y105" s="107" t="s">
        <v>544</v>
      </c>
      <c r="Z105" s="107" t="s">
        <v>550</v>
      </c>
      <c r="AA105" s="109" t="n">
        <v>45952</v>
      </c>
      <c r="AB105" s="107" t="n">
        <v>251022000002</v>
      </c>
      <c r="AC105" s="109" t="n">
        <v>45952</v>
      </c>
      <c r="AD105" s="109" t="n">
        <v>49970</v>
      </c>
      <c r="AE105" s="107" t="n">
        <v>4.81</v>
      </c>
      <c r="AF105" s="107" t="n">
        <v>7.1367</v>
      </c>
      <c r="AG105" s="107" t="n">
        <v>3675</v>
      </c>
      <c r="AH105" s="107" t="n">
        <v>2000000</v>
      </c>
      <c r="AI105" s="107" t="n">
        <v>4.81</v>
      </c>
      <c r="AJ105" s="107" t="n">
        <v>100</v>
      </c>
      <c r="AK105" s="107" t="n">
        <v>4.841772</v>
      </c>
      <c r="AL105" s="107" t="n">
        <v>101.857255</v>
      </c>
      <c r="AM105" s="107" t="n">
        <v>6.05</v>
      </c>
      <c r="AN105" s="107" t="n">
        <v>91.2257</v>
      </c>
      <c r="AO105" s="107" t="n">
        <v>1358.4</v>
      </c>
      <c r="AP105" s="107" t="n">
        <v>1</v>
      </c>
      <c r="AQ105" s="107" t="n">
        <v>1824514</v>
      </c>
      <c r="AR105" s="107" t="n">
        <v>2478419818</v>
      </c>
      <c r="AS105" s="107" t="n">
        <v>1994924</v>
      </c>
      <c r="AT105" s="107" t="n">
        <v>2862516448</v>
      </c>
      <c r="AU105" s="107" t="n">
        <v>-170410</v>
      </c>
      <c r="AV105" s="107" t="n">
        <v>-231484944</v>
      </c>
      <c r="AW105" s="107" t="n">
        <v>0</v>
      </c>
      <c r="AX105" s="107" t="n">
        <v>0</v>
      </c>
      <c r="AY105" s="107" t="n">
        <v>0</v>
      </c>
      <c r="AZ105" s="107" t="n">
        <v>0</v>
      </c>
      <c r="BA105" s="107" t="n">
        <v>0</v>
      </c>
      <c r="BB105" s="107" t="n">
        <v>0</v>
      </c>
      <c r="BC105" s="107" t="n">
        <v>0</v>
      </c>
      <c r="BD105" s="107" t="n">
        <v>0</v>
      </c>
      <c r="BE105" s="107" t="n">
        <v>42221.11</v>
      </c>
      <c r="BF105" s="107" t="n">
        <v>57353155</v>
      </c>
      <c r="BG105" s="107" t="n">
        <v>0</v>
      </c>
      <c r="BH105" s="107" t="n">
        <v>0</v>
      </c>
      <c r="BI105" s="107" t="n">
        <v>2000000</v>
      </c>
      <c r="BJ105" s="107" t="n">
        <v>2869800000</v>
      </c>
      <c r="BK105" s="107" t="n">
        <v>0</v>
      </c>
      <c r="BL105" s="107" t="n">
        <v>0</v>
      </c>
      <c r="BM105" s="107" t="n">
        <v>0</v>
      </c>
      <c r="BN105" s="107" t="n">
        <v>0</v>
      </c>
      <c r="BO105" s="107" t="s">
        <v>106</v>
      </c>
      <c r="BP105" s="2"/>
      <c r="BQ105" s="107" t="s">
        <v>364</v>
      </c>
      <c r="BR105" s="107" t="n">
        <v>-152611686</v>
      </c>
      <c r="BS105" s="107" t="n">
        <v>0</v>
      </c>
      <c r="BT105" s="107" t="n">
        <v>0</v>
      </c>
      <c r="BU105" s="107" t="n">
        <v>-5076</v>
      </c>
      <c r="BV105" s="107" t="n">
        <v>-7283552</v>
      </c>
      <c r="BW105" s="107" t="n">
        <v>42221.11</v>
      </c>
      <c r="BX105" s="107" t="n">
        <v>57353155</v>
      </c>
      <c r="BY105" s="107" t="n">
        <v>0</v>
      </c>
      <c r="BZ105" s="107" t="n">
        <v>0</v>
      </c>
      <c r="CA105" s="107" t="n">
        <v>1434.9</v>
      </c>
      <c r="CB105" s="2"/>
      <c r="CC105" s="107" t="n">
        <v>0</v>
      </c>
      <c r="CD105" s="107" t="n">
        <v>91.22</v>
      </c>
      <c r="CE105" s="107" t="n">
        <v>91.21</v>
      </c>
      <c r="CF105" s="107" t="n">
        <v>91.25</v>
      </c>
      <c r="CG105" s="107" t="n">
        <v>0</v>
      </c>
      <c r="CH105" s="107" t="n">
        <v>6.9272</v>
      </c>
      <c r="CI105" s="107" t="n">
        <v>99.57</v>
      </c>
      <c r="CJ105" s="107" t="n">
        <v>99.92</v>
      </c>
      <c r="CK105" s="107" t="n">
        <v>99.8</v>
      </c>
      <c r="CL105" s="107" t="n">
        <v>500000</v>
      </c>
    </row>
    <row r="106" customFormat="false" ht="15" hidden="false" customHeight="false" outlineLevel="0" collapsed="false">
      <c r="A106" s="107" t="s">
        <v>548</v>
      </c>
      <c r="B106" s="107" t="n">
        <v>128.0983</v>
      </c>
      <c r="C106" s="107" t="n">
        <v>6.1861</v>
      </c>
      <c r="D106" s="107" t="n">
        <v>14.8467</v>
      </c>
      <c r="E106" s="107" t="n">
        <v>-161.65614760185</v>
      </c>
      <c r="F106" s="108" t="s">
        <v>358</v>
      </c>
      <c r="G106" s="107" t="n">
        <v>14.8467</v>
      </c>
      <c r="H106" s="107" t="n">
        <v>-161.65614760185</v>
      </c>
      <c r="I106" s="109" t="n">
        <v>71681</v>
      </c>
      <c r="J106" s="107" t="n">
        <v>30</v>
      </c>
      <c r="K106" s="107" t="s">
        <v>359</v>
      </c>
      <c r="L106" s="107" t="s">
        <v>298</v>
      </c>
      <c r="M106" s="107" t="n">
        <v>1261969.5</v>
      </c>
      <c r="N106" s="107" t="n">
        <v>166.23</v>
      </c>
      <c r="O106" s="107" t="n">
        <v>108883.555</v>
      </c>
      <c r="P106" s="107" t="s">
        <v>549</v>
      </c>
      <c r="Q106" s="107" t="s">
        <v>364</v>
      </c>
      <c r="R106" s="107" t="n">
        <v>-0.165903104864936</v>
      </c>
      <c r="S106" s="107" t="n">
        <v>-0.229391204956987</v>
      </c>
      <c r="T106" s="107" t="n">
        <v>-166.65608044745</v>
      </c>
      <c r="U106" s="107" t="n">
        <v>21069</v>
      </c>
      <c r="V106" s="108" t="s">
        <v>362</v>
      </c>
      <c r="W106" s="107" t="n">
        <v>34507</v>
      </c>
      <c r="X106" s="108" t="s">
        <v>372</v>
      </c>
      <c r="Y106" s="107" t="s">
        <v>546</v>
      </c>
      <c r="Z106" s="107" t="s">
        <v>551</v>
      </c>
      <c r="AA106" s="109" t="n">
        <v>46127</v>
      </c>
      <c r="AB106" s="107" t="n">
        <v>260415000001</v>
      </c>
      <c r="AC106" s="109" t="n">
        <v>46044</v>
      </c>
      <c r="AD106" s="109" t="n">
        <v>50062</v>
      </c>
      <c r="AE106" s="107" t="n">
        <v>4.898</v>
      </c>
      <c r="AF106" s="107" t="n">
        <v>7.3774</v>
      </c>
      <c r="AG106" s="107" t="n">
        <v>3767</v>
      </c>
      <c r="AH106" s="107" t="n">
        <v>1000000</v>
      </c>
      <c r="AI106" s="107" t="n">
        <v>5.29396</v>
      </c>
      <c r="AJ106" s="107" t="n">
        <v>98.988</v>
      </c>
      <c r="AK106" s="107" t="n">
        <v>5.024059</v>
      </c>
      <c r="AL106" s="107" t="n">
        <v>99.913178</v>
      </c>
      <c r="AM106" s="107" t="n">
        <v>6.0648</v>
      </c>
      <c r="AN106" s="107" t="n">
        <v>91.5781</v>
      </c>
      <c r="AO106" s="107" t="n">
        <v>1358.4</v>
      </c>
      <c r="AP106" s="107" t="n">
        <v>1</v>
      </c>
      <c r="AQ106" s="107" t="n">
        <v>915781</v>
      </c>
      <c r="AR106" s="107" t="n">
        <v>1243996910</v>
      </c>
      <c r="AS106" s="107" t="n">
        <v>989880</v>
      </c>
      <c r="AT106" s="107" t="n">
        <v>1466408232</v>
      </c>
      <c r="AU106" s="107" t="n">
        <v>-74099</v>
      </c>
      <c r="AV106" s="107" t="n">
        <v>-100656082</v>
      </c>
      <c r="AW106" s="107" t="n">
        <v>0</v>
      </c>
      <c r="AX106" s="107" t="n">
        <v>0</v>
      </c>
      <c r="AY106" s="107" t="n">
        <v>0</v>
      </c>
      <c r="AZ106" s="107" t="n">
        <v>0</v>
      </c>
      <c r="BA106" s="107" t="n">
        <v>0</v>
      </c>
      <c r="BB106" s="107" t="n">
        <v>0</v>
      </c>
      <c r="BC106" s="107" t="n">
        <v>0</v>
      </c>
      <c r="BD106" s="107" t="n">
        <v>0</v>
      </c>
      <c r="BE106" s="107" t="n">
        <v>9251.78</v>
      </c>
      <c r="BF106" s="107" t="n">
        <v>12567617</v>
      </c>
      <c r="BG106" s="107" t="n">
        <v>0</v>
      </c>
      <c r="BH106" s="107" t="n">
        <v>0</v>
      </c>
      <c r="BI106" s="107" t="n">
        <v>989880</v>
      </c>
      <c r="BJ106" s="107" t="n">
        <v>1466408232</v>
      </c>
      <c r="BK106" s="107" t="n">
        <v>0</v>
      </c>
      <c r="BL106" s="107" t="n">
        <v>0</v>
      </c>
      <c r="BM106" s="107" t="n">
        <v>0</v>
      </c>
      <c r="BN106" s="107" t="n">
        <v>0</v>
      </c>
      <c r="BO106" s="107" t="s">
        <v>106</v>
      </c>
      <c r="BP106" s="2"/>
      <c r="BQ106" s="107" t="s">
        <v>364</v>
      </c>
      <c r="BR106" s="107" t="n">
        <v>-121755240</v>
      </c>
      <c r="BS106" s="107" t="n">
        <v>0</v>
      </c>
      <c r="BT106" s="107" t="n">
        <v>0</v>
      </c>
      <c r="BU106" s="107" t="n">
        <v>0</v>
      </c>
      <c r="BV106" s="107" t="n">
        <v>0</v>
      </c>
      <c r="BW106" s="107" t="n">
        <v>9251.78</v>
      </c>
      <c r="BX106" s="107" t="n">
        <v>12567617</v>
      </c>
      <c r="BY106" s="107" t="n">
        <v>0</v>
      </c>
      <c r="BZ106" s="107" t="n">
        <v>0</v>
      </c>
      <c r="CA106" s="107" t="n">
        <v>1481.4</v>
      </c>
      <c r="CB106" s="2"/>
      <c r="CC106" s="107" t="n">
        <v>0</v>
      </c>
      <c r="CD106" s="107" t="n">
        <v>91.64</v>
      </c>
      <c r="CE106" s="107" t="n">
        <v>91.55</v>
      </c>
      <c r="CF106" s="107" t="n">
        <v>91.55</v>
      </c>
      <c r="CG106" s="107" t="n">
        <v>850000</v>
      </c>
      <c r="CH106" s="107" t="n">
        <v>7.1603</v>
      </c>
      <c r="CI106" s="107" t="n">
        <v>99.57</v>
      </c>
      <c r="CJ106" s="107" t="n">
        <v>99.92</v>
      </c>
      <c r="CK106" s="107" t="n">
        <v>99.8</v>
      </c>
      <c r="CL106" s="107" t="n">
        <v>2500000</v>
      </c>
    </row>
    <row r="107" customFormat="false" ht="15" hidden="false" customHeight="false" outlineLevel="0" collapsed="false">
      <c r="A107" s="107" t="s">
        <v>548</v>
      </c>
      <c r="B107" s="107" t="n">
        <v>128.0983</v>
      </c>
      <c r="C107" s="107" t="n">
        <v>6.1861</v>
      </c>
      <c r="D107" s="107" t="n">
        <v>14.8467</v>
      </c>
      <c r="E107" s="107" t="n">
        <v>-4754.592576525</v>
      </c>
      <c r="F107" s="108" t="s">
        <v>358</v>
      </c>
      <c r="G107" s="107" t="n">
        <v>14.8467</v>
      </c>
      <c r="H107" s="107" t="n">
        <v>-4754.592576525</v>
      </c>
      <c r="I107" s="109" t="n">
        <v>71681</v>
      </c>
      <c r="J107" s="107" t="n">
        <v>30</v>
      </c>
      <c r="K107" s="107" t="s">
        <v>359</v>
      </c>
      <c r="L107" s="107" t="s">
        <v>298</v>
      </c>
      <c r="M107" s="107" t="n">
        <v>37116750</v>
      </c>
      <c r="N107" s="107" t="n">
        <v>136.375</v>
      </c>
      <c r="O107" s="107" t="n">
        <v>3202457.5</v>
      </c>
      <c r="P107" s="107" t="s">
        <v>549</v>
      </c>
      <c r="Q107" s="107" t="s">
        <v>364</v>
      </c>
      <c r="R107" s="107" t="n">
        <v>-0.16590310680896</v>
      </c>
      <c r="S107" s="107" t="n">
        <v>-0.0606907424381302</v>
      </c>
      <c r="T107" s="107" t="n">
        <v>-4901.649424925</v>
      </c>
      <c r="U107" s="107" t="n">
        <v>21069</v>
      </c>
      <c r="V107" s="108" t="s">
        <v>362</v>
      </c>
      <c r="W107" s="107" t="n">
        <v>34507</v>
      </c>
      <c r="X107" s="108" t="s">
        <v>372</v>
      </c>
      <c r="Y107" s="107" t="s">
        <v>548</v>
      </c>
      <c r="Z107" s="107" t="s">
        <v>552</v>
      </c>
      <c r="AA107" s="109" t="n">
        <v>43864</v>
      </c>
      <c r="AB107" s="107" t="n">
        <v>200203000001</v>
      </c>
      <c r="AC107" s="109" t="n">
        <v>35156</v>
      </c>
      <c r="AD107" s="109" t="n">
        <v>71681</v>
      </c>
      <c r="AE107" s="107" t="n">
        <v>7.95</v>
      </c>
      <c r="AF107" s="107" t="n">
        <v>15.3025</v>
      </c>
      <c r="AG107" s="107" t="n">
        <v>25386</v>
      </c>
      <c r="AH107" s="107" t="n">
        <v>260000</v>
      </c>
      <c r="AI107" s="107" t="n">
        <v>3.7003523</v>
      </c>
      <c r="AJ107" s="107" t="n">
        <v>207.8</v>
      </c>
      <c r="AK107" s="107" t="n">
        <v>4.540198</v>
      </c>
      <c r="AL107" s="107" t="n">
        <v>175.739746</v>
      </c>
      <c r="AM107" s="107" t="n">
        <v>6.1861</v>
      </c>
      <c r="AN107" s="107" t="n">
        <v>128.0992</v>
      </c>
      <c r="AO107" s="107" t="n">
        <v>1358.4</v>
      </c>
      <c r="AP107" s="107" t="n">
        <v>1</v>
      </c>
      <c r="AQ107" s="107" t="n">
        <v>333057.92</v>
      </c>
      <c r="AR107" s="107" t="n">
        <v>452425879</v>
      </c>
      <c r="AS107" s="107" t="n">
        <v>378457.82</v>
      </c>
      <c r="AT107" s="107" t="n">
        <v>543049126</v>
      </c>
      <c r="AU107" s="107" t="n">
        <v>-45399.9</v>
      </c>
      <c r="AV107" s="107" t="n">
        <v>-61671224</v>
      </c>
      <c r="AW107" s="107" t="n">
        <v>0</v>
      </c>
      <c r="AX107" s="107" t="n">
        <v>0</v>
      </c>
      <c r="AY107" s="107" t="n">
        <v>53306.46</v>
      </c>
      <c r="AZ107" s="107" t="n">
        <v>76489439</v>
      </c>
      <c r="BA107" s="107" t="n">
        <v>0</v>
      </c>
      <c r="BB107" s="107" t="n">
        <v>0</v>
      </c>
      <c r="BC107" s="107" t="n">
        <v>13210.29</v>
      </c>
      <c r="BD107" s="107" t="n">
        <v>18955445</v>
      </c>
      <c r="BE107" s="107" t="n">
        <v>10277.58</v>
      </c>
      <c r="BF107" s="107" t="n">
        <v>13961064</v>
      </c>
      <c r="BG107" s="107" t="n">
        <v>14881.48</v>
      </c>
      <c r="BH107" s="107" t="n">
        <v>21225589</v>
      </c>
      <c r="BI107" s="107" t="n">
        <v>0</v>
      </c>
      <c r="BJ107" s="107" t="n">
        <v>127256212</v>
      </c>
      <c r="BK107" s="107" t="n">
        <v>0</v>
      </c>
      <c r="BL107" s="107" t="n">
        <v>0</v>
      </c>
      <c r="BM107" s="107" t="n">
        <v>0</v>
      </c>
      <c r="BN107" s="107" t="n">
        <v>0</v>
      </c>
      <c r="BO107" s="107" t="s">
        <v>361</v>
      </c>
      <c r="BP107" s="2"/>
      <c r="BQ107" s="107" t="s">
        <v>364</v>
      </c>
      <c r="BR107" s="107" t="n">
        <v>-28952023</v>
      </c>
      <c r="BS107" s="107" t="n">
        <v>-4077944</v>
      </c>
      <c r="BT107" s="107" t="n">
        <v>-1010587</v>
      </c>
      <c r="BU107" s="107" t="n">
        <v>-108515.73</v>
      </c>
      <c r="BV107" s="107" t="n">
        <v>-162634268</v>
      </c>
      <c r="BW107" s="107" t="n">
        <v>10277.58</v>
      </c>
      <c r="BX107" s="107" t="n">
        <v>13961064</v>
      </c>
      <c r="BY107" s="107" t="n">
        <v>68187.94</v>
      </c>
      <c r="BZ107" s="107" t="n">
        <v>92626497</v>
      </c>
      <c r="CA107" s="107" t="n">
        <v>1434.9</v>
      </c>
      <c r="CB107" s="2"/>
      <c r="CC107" s="107" t="n">
        <v>0</v>
      </c>
      <c r="CD107" s="107" t="n">
        <v>128.18</v>
      </c>
      <c r="CE107" s="107" t="n">
        <v>128.24</v>
      </c>
      <c r="CF107" s="107" t="n">
        <v>127.87</v>
      </c>
      <c r="CG107" s="107" t="n">
        <v>0</v>
      </c>
      <c r="CH107" s="107" t="n">
        <v>14.8434</v>
      </c>
      <c r="CI107" s="107" t="n">
        <v>97.39</v>
      </c>
      <c r="CJ107" s="107" t="n">
        <v>97.49</v>
      </c>
      <c r="CK107" s="107" t="n">
        <v>97.51</v>
      </c>
      <c r="CL107" s="107" t="n">
        <v>300000</v>
      </c>
    </row>
    <row r="108" customFormat="false" ht="15" hidden="false" customHeight="false" outlineLevel="0" collapsed="false">
      <c r="A108" s="107" t="s">
        <v>553</v>
      </c>
      <c r="B108" s="107" t="n">
        <v>96.945</v>
      </c>
      <c r="C108" s="107" t="n">
        <v>5.547</v>
      </c>
      <c r="D108" s="107" t="n">
        <v>2.0966</v>
      </c>
      <c r="E108" s="107" t="n">
        <v>-2032.54887</v>
      </c>
      <c r="F108" s="108" t="s">
        <v>358</v>
      </c>
      <c r="G108" s="107" t="n">
        <v>2.0966</v>
      </c>
      <c r="H108" s="107" t="n">
        <v>-2032.54887</v>
      </c>
      <c r="I108" s="109" t="n">
        <v>47127</v>
      </c>
      <c r="J108" s="107" t="n">
        <v>3</v>
      </c>
      <c r="K108" s="108" t="s">
        <v>384</v>
      </c>
      <c r="L108" s="107" t="s">
        <v>298</v>
      </c>
      <c r="M108" s="107" t="n">
        <v>20966000</v>
      </c>
      <c r="N108" s="107" t="n">
        <v>99.406</v>
      </c>
      <c r="O108" s="107" t="n">
        <v>9694500</v>
      </c>
      <c r="P108" s="107" t="s">
        <v>423</v>
      </c>
      <c r="Q108" s="107" t="s">
        <v>374</v>
      </c>
      <c r="R108" s="107" t="n">
        <v>-0.104677735526264</v>
      </c>
      <c r="S108" s="107" t="n">
        <v>-0.0247570569180936</v>
      </c>
      <c r="T108" s="107" t="n">
        <v>-2088.97086</v>
      </c>
      <c r="U108" s="107" t="n">
        <v>21069</v>
      </c>
      <c r="V108" s="108" t="s">
        <v>362</v>
      </c>
      <c r="W108" s="107" t="n">
        <v>34507</v>
      </c>
      <c r="X108" s="108" t="s">
        <v>372</v>
      </c>
      <c r="Y108" s="107" t="s">
        <v>548</v>
      </c>
      <c r="Z108" s="107" t="s">
        <v>552</v>
      </c>
      <c r="AA108" s="109" t="n">
        <v>44698</v>
      </c>
      <c r="AB108" s="107" t="n">
        <v>220517000001</v>
      </c>
      <c r="AC108" s="109" t="n">
        <v>35156</v>
      </c>
      <c r="AD108" s="109" t="n">
        <v>71681</v>
      </c>
      <c r="AE108" s="107" t="n">
        <v>7.95</v>
      </c>
      <c r="AF108" s="107" t="n">
        <v>15.3025</v>
      </c>
      <c r="AG108" s="107" t="n">
        <v>25386</v>
      </c>
      <c r="AH108" s="107" t="n">
        <v>85000</v>
      </c>
      <c r="AI108" s="107" t="n">
        <v>4.720389</v>
      </c>
      <c r="AJ108" s="107" t="n">
        <v>166.23</v>
      </c>
      <c r="AK108" s="107" t="n">
        <v>4.540198</v>
      </c>
      <c r="AL108" s="107" t="n">
        <v>175.739747</v>
      </c>
      <c r="AM108" s="107" t="n">
        <v>6.1861</v>
      </c>
      <c r="AN108" s="107" t="n">
        <v>128.0992</v>
      </c>
      <c r="AO108" s="107" t="n">
        <v>1358.4</v>
      </c>
      <c r="AP108" s="107" t="n">
        <v>1</v>
      </c>
      <c r="AQ108" s="107" t="n">
        <v>108884.32</v>
      </c>
      <c r="AR108" s="107" t="n">
        <v>147908460</v>
      </c>
      <c r="AS108" s="107" t="n">
        <v>123726.6</v>
      </c>
      <c r="AT108" s="107" t="n">
        <v>177535291</v>
      </c>
      <c r="AU108" s="107" t="n">
        <v>-14842.28</v>
      </c>
      <c r="AV108" s="107" t="n">
        <v>-20161747</v>
      </c>
      <c r="AW108" s="107" t="n">
        <v>0</v>
      </c>
      <c r="AX108" s="107" t="n">
        <v>0</v>
      </c>
      <c r="AY108" s="107" t="n">
        <v>19096.17</v>
      </c>
      <c r="AZ108" s="107" t="n">
        <v>27401094</v>
      </c>
      <c r="BA108" s="107" t="n">
        <v>0</v>
      </c>
      <c r="BB108" s="107" t="n">
        <v>0</v>
      </c>
      <c r="BC108" s="107" t="n">
        <v>2649.69</v>
      </c>
      <c r="BD108" s="107" t="n">
        <v>3802040</v>
      </c>
      <c r="BE108" s="107" t="n">
        <v>3359.98</v>
      </c>
      <c r="BF108" s="107" t="n">
        <v>4564196</v>
      </c>
      <c r="BG108" s="107" t="n">
        <v>3196.04</v>
      </c>
      <c r="BH108" s="107" t="n">
        <v>4544202</v>
      </c>
      <c r="BI108" s="107" t="n">
        <v>122199.33</v>
      </c>
      <c r="BJ108" s="107" t="n">
        <v>180069809</v>
      </c>
      <c r="BK108" s="107" t="n">
        <v>0</v>
      </c>
      <c r="BL108" s="107" t="n">
        <v>0</v>
      </c>
      <c r="BM108" s="107" t="n">
        <v>0</v>
      </c>
      <c r="BN108" s="107" t="n">
        <v>0</v>
      </c>
      <c r="BO108" s="107" t="s">
        <v>361</v>
      </c>
      <c r="BP108" s="2"/>
      <c r="BQ108" s="107" t="s">
        <v>364</v>
      </c>
      <c r="BR108" s="107" t="n">
        <v>-9465084</v>
      </c>
      <c r="BS108" s="107" t="n">
        <v>-1460857</v>
      </c>
      <c r="BT108" s="107" t="n">
        <v>-202701</v>
      </c>
      <c r="BU108" s="107" t="n">
        <v>1527.26</v>
      </c>
      <c r="BV108" s="107" t="n">
        <v>-2534518</v>
      </c>
      <c r="BW108" s="107" t="n">
        <v>3359.98</v>
      </c>
      <c r="BX108" s="107" t="n">
        <v>4564196</v>
      </c>
      <c r="BY108" s="107" t="n">
        <v>22292.21</v>
      </c>
      <c r="BZ108" s="107" t="n">
        <v>30281738</v>
      </c>
      <c r="CA108" s="107" t="n">
        <v>1434.9</v>
      </c>
      <c r="CB108" s="2"/>
      <c r="CC108" s="107" t="n">
        <v>0</v>
      </c>
      <c r="CD108" s="107" t="n">
        <v>128.18</v>
      </c>
      <c r="CE108" s="107" t="n">
        <v>128.24</v>
      </c>
      <c r="CF108" s="107" t="n">
        <v>127.87</v>
      </c>
      <c r="CG108" s="107" t="n">
        <v>0</v>
      </c>
      <c r="CH108" s="107" t="n">
        <v>14.8434</v>
      </c>
      <c r="CI108" s="107" t="n">
        <v>98.34</v>
      </c>
      <c r="CJ108" s="107" t="n">
        <v>98.47</v>
      </c>
      <c r="CK108" s="107" t="n">
        <v>98.4</v>
      </c>
      <c r="CL108" s="107" t="n">
        <v>500000</v>
      </c>
    </row>
    <row r="109" customFormat="false" ht="15" hidden="false" customHeight="false" outlineLevel="0" collapsed="false">
      <c r="A109" s="107" t="s">
        <v>554</v>
      </c>
      <c r="B109" s="107" t="n">
        <v>97.3615</v>
      </c>
      <c r="C109" s="107" t="n">
        <v>5.591</v>
      </c>
      <c r="D109" s="107" t="n">
        <v>2.2799</v>
      </c>
      <c r="E109" s="107" t="n">
        <v>-1109.87241925</v>
      </c>
      <c r="F109" s="108" t="s">
        <v>358</v>
      </c>
      <c r="G109" s="107" t="n">
        <v>2.2799</v>
      </c>
      <c r="H109" s="107" t="n">
        <v>-1109.87241925</v>
      </c>
      <c r="I109" s="109" t="n">
        <v>47218</v>
      </c>
      <c r="J109" s="107" t="n">
        <v>3</v>
      </c>
      <c r="K109" s="108" t="s">
        <v>384</v>
      </c>
      <c r="L109" s="107" t="s">
        <v>298</v>
      </c>
      <c r="M109" s="107" t="n">
        <v>11399500</v>
      </c>
      <c r="N109" s="107" t="n">
        <v>99.73</v>
      </c>
      <c r="O109" s="107" t="n">
        <v>4868075</v>
      </c>
      <c r="P109" s="107" t="s">
        <v>555</v>
      </c>
      <c r="Q109" s="107" t="s">
        <v>374</v>
      </c>
      <c r="R109" s="107" t="n">
        <v>-0.097109015150154</v>
      </c>
      <c r="S109" s="107" t="n">
        <v>-0.023749122631104</v>
      </c>
      <c r="T109" s="107" t="n">
        <v>-1140.882057</v>
      </c>
      <c r="U109" s="107" t="n">
        <v>21069</v>
      </c>
      <c r="V109" s="108" t="s">
        <v>362</v>
      </c>
      <c r="W109" s="107" t="n">
        <v>34507</v>
      </c>
      <c r="X109" s="108" t="s">
        <v>372</v>
      </c>
      <c r="Y109" s="107" t="s">
        <v>548</v>
      </c>
      <c r="Z109" s="107" t="s">
        <v>552</v>
      </c>
      <c r="AA109" s="109" t="n">
        <v>44890</v>
      </c>
      <c r="AB109" s="107" t="n">
        <v>221125000001</v>
      </c>
      <c r="AC109" s="109" t="n">
        <v>35156</v>
      </c>
      <c r="AD109" s="109" t="n">
        <v>71681</v>
      </c>
      <c r="AE109" s="107" t="n">
        <v>7.95</v>
      </c>
      <c r="AF109" s="107" t="n">
        <v>15.3025</v>
      </c>
      <c r="AG109" s="107" t="n">
        <v>25386</v>
      </c>
      <c r="AH109" s="107" t="n">
        <v>2500000</v>
      </c>
      <c r="AI109" s="107" t="n">
        <v>5.805368</v>
      </c>
      <c r="AJ109" s="107" t="n">
        <v>136.375</v>
      </c>
      <c r="AK109" s="107" t="n">
        <v>4.540198</v>
      </c>
      <c r="AL109" s="107" t="n">
        <v>175.739748</v>
      </c>
      <c r="AM109" s="107" t="n">
        <v>6.1861</v>
      </c>
      <c r="AN109" s="107" t="n">
        <v>128.0992</v>
      </c>
      <c r="AO109" s="107" t="n">
        <v>1358.4</v>
      </c>
      <c r="AP109" s="107" t="n">
        <v>1</v>
      </c>
      <c r="AQ109" s="107" t="n">
        <v>3202480</v>
      </c>
      <c r="AR109" s="107" t="n">
        <v>4350248832</v>
      </c>
      <c r="AS109" s="107" t="n">
        <v>3639017.5</v>
      </c>
      <c r="AT109" s="107" t="n">
        <v>5221626211</v>
      </c>
      <c r="AU109" s="107" t="n">
        <v>-436537.5</v>
      </c>
      <c r="AV109" s="107" t="n">
        <v>-592992540</v>
      </c>
      <c r="AW109" s="107" t="n">
        <v>0</v>
      </c>
      <c r="AX109" s="107" t="n">
        <v>0</v>
      </c>
      <c r="AY109" s="107" t="n">
        <v>572953.5</v>
      </c>
      <c r="AZ109" s="107" t="n">
        <v>822130977</v>
      </c>
      <c r="BA109" s="107" t="n">
        <v>0</v>
      </c>
      <c r="BB109" s="107" t="n">
        <v>0</v>
      </c>
      <c r="BC109" s="107" t="n">
        <v>66630.71</v>
      </c>
      <c r="BD109" s="107" t="n">
        <v>95608405</v>
      </c>
      <c r="BE109" s="107" t="n">
        <v>98822.92</v>
      </c>
      <c r="BF109" s="107" t="n">
        <v>134241054</v>
      </c>
      <c r="BG109" s="107" t="n">
        <v>82699.78</v>
      </c>
      <c r="BH109" s="107" t="n">
        <v>117436630</v>
      </c>
      <c r="BI109" s="107" t="n">
        <v>2836421.5</v>
      </c>
      <c r="BJ109" s="107" t="n">
        <v>4335967484</v>
      </c>
      <c r="BK109" s="107" t="n">
        <v>0</v>
      </c>
      <c r="BL109" s="107" t="n">
        <v>0</v>
      </c>
      <c r="BM109" s="107" t="n">
        <v>0</v>
      </c>
      <c r="BN109" s="107" t="n">
        <v>0</v>
      </c>
      <c r="BO109" s="107" t="s">
        <v>361</v>
      </c>
      <c r="BP109" s="2"/>
      <c r="BQ109" s="107" t="s">
        <v>364</v>
      </c>
      <c r="BR109" s="107" t="n">
        <v>-278384839</v>
      </c>
      <c r="BS109" s="107" t="n">
        <v>-43830943</v>
      </c>
      <c r="BT109" s="107" t="n">
        <v>-5097249</v>
      </c>
      <c r="BU109" s="107" t="n">
        <v>802596</v>
      </c>
      <c r="BV109" s="107" t="n">
        <v>885658727</v>
      </c>
      <c r="BW109" s="107" t="n">
        <v>98822.92</v>
      </c>
      <c r="BX109" s="107" t="n">
        <v>134241054</v>
      </c>
      <c r="BY109" s="107" t="n">
        <v>655653.28</v>
      </c>
      <c r="BZ109" s="107" t="n">
        <v>890639415</v>
      </c>
      <c r="CA109" s="107" t="n">
        <v>1434.9</v>
      </c>
      <c r="CB109" s="2"/>
      <c r="CC109" s="107" t="n">
        <v>0</v>
      </c>
      <c r="CD109" s="107" t="n">
        <v>128.18</v>
      </c>
      <c r="CE109" s="107" t="n">
        <v>128.24</v>
      </c>
      <c r="CF109" s="107" t="n">
        <v>127.87</v>
      </c>
      <c r="CG109" s="107" t="n">
        <v>0</v>
      </c>
      <c r="CH109" s="107" t="n">
        <v>14.8434</v>
      </c>
      <c r="CI109" s="107" t="n">
        <v>95.95</v>
      </c>
      <c r="CJ109" s="107" t="n">
        <v>96.01</v>
      </c>
      <c r="CK109" s="107" t="n">
        <v>96.06</v>
      </c>
      <c r="CL109" s="107" t="n">
        <v>2700000</v>
      </c>
    </row>
    <row r="110" customFormat="false" ht="15" hidden="false" customHeight="false" outlineLevel="0" collapsed="false">
      <c r="A110" s="107" t="s">
        <v>554</v>
      </c>
      <c r="B110" s="107" t="n">
        <v>97.3615</v>
      </c>
      <c r="C110" s="107" t="n">
        <v>5.591</v>
      </c>
      <c r="D110" s="107" t="n">
        <v>2.2799</v>
      </c>
      <c r="E110" s="107" t="n">
        <v>-1109.87241925</v>
      </c>
      <c r="F110" s="108" t="s">
        <v>358</v>
      </c>
      <c r="G110" s="107" t="n">
        <v>2.2799</v>
      </c>
      <c r="H110" s="107" t="n">
        <v>-1109.87241925</v>
      </c>
      <c r="I110" s="109" t="n">
        <v>47218</v>
      </c>
      <c r="J110" s="107" t="n">
        <v>3</v>
      </c>
      <c r="K110" s="108" t="s">
        <v>384</v>
      </c>
      <c r="L110" s="107" t="s">
        <v>298</v>
      </c>
      <c r="M110" s="107" t="n">
        <v>11399500</v>
      </c>
      <c r="N110" s="107" t="n">
        <v>99.768</v>
      </c>
      <c r="O110" s="107" t="n">
        <v>4868075</v>
      </c>
      <c r="P110" s="107" t="s">
        <v>555</v>
      </c>
      <c r="Q110" s="107" t="s">
        <v>374</v>
      </c>
      <c r="R110" s="107" t="n">
        <v>-0.0974529115640772</v>
      </c>
      <c r="S110" s="107" t="n">
        <v>-0.0241209606286584</v>
      </c>
      <c r="T110" s="107" t="n">
        <v>-1140.882057</v>
      </c>
      <c r="U110" s="107" t="n">
        <v>21069</v>
      </c>
      <c r="V110" s="108" t="s">
        <v>362</v>
      </c>
      <c r="W110" s="107" t="n">
        <v>34507</v>
      </c>
      <c r="X110" s="108" t="s">
        <v>372</v>
      </c>
      <c r="Y110" s="107" t="s">
        <v>553</v>
      </c>
      <c r="Z110" s="107" t="s">
        <v>556</v>
      </c>
      <c r="AA110" s="109" t="n">
        <v>46127</v>
      </c>
      <c r="AB110" s="107" t="n">
        <v>260415000001</v>
      </c>
      <c r="AC110" s="109" t="n">
        <v>46042</v>
      </c>
      <c r="AD110" s="109" t="n">
        <v>47492</v>
      </c>
      <c r="AE110" s="107" t="n">
        <v>4.238</v>
      </c>
      <c r="AF110" s="107" t="n">
        <v>2.1522</v>
      </c>
      <c r="AG110" s="107" t="n">
        <v>1197</v>
      </c>
      <c r="AH110" s="107" t="n">
        <v>10000000</v>
      </c>
      <c r="AI110" s="107" t="n">
        <v>4.47</v>
      </c>
      <c r="AJ110" s="107" t="n">
        <v>99.406</v>
      </c>
      <c r="AK110" s="107" t="n">
        <v>4.388702</v>
      </c>
      <c r="AL110" s="107" t="n">
        <v>100.35955</v>
      </c>
      <c r="AM110" s="107" t="n">
        <v>5.5078</v>
      </c>
      <c r="AN110" s="107" t="n">
        <v>97.0378</v>
      </c>
      <c r="AO110" s="107" t="n">
        <v>1358.4</v>
      </c>
      <c r="AP110" s="107" t="n">
        <v>1</v>
      </c>
      <c r="AQ110" s="107" t="n">
        <v>9703780</v>
      </c>
      <c r="AR110" s="107" t="n">
        <v>13181614752</v>
      </c>
      <c r="AS110" s="107" t="n">
        <v>9940600</v>
      </c>
      <c r="AT110" s="107" t="n">
        <v>14726004840</v>
      </c>
      <c r="AU110" s="107" t="n">
        <v>-236820</v>
      </c>
      <c r="AV110" s="107" t="n">
        <v>-321696288</v>
      </c>
      <c r="AW110" s="107" t="n">
        <v>0</v>
      </c>
      <c r="AX110" s="107" t="n">
        <v>0</v>
      </c>
      <c r="AY110" s="107" t="n">
        <v>0</v>
      </c>
      <c r="AZ110" s="107" t="n">
        <v>0</v>
      </c>
      <c r="BA110" s="107" t="n">
        <v>0</v>
      </c>
      <c r="BB110" s="107" t="n">
        <v>0</v>
      </c>
      <c r="BC110" s="107" t="n">
        <v>0</v>
      </c>
      <c r="BD110" s="107" t="n">
        <v>0</v>
      </c>
      <c r="BE110" s="107" t="n">
        <v>95355</v>
      </c>
      <c r="BF110" s="107" t="n">
        <v>129530232</v>
      </c>
      <c r="BG110" s="107" t="n">
        <v>0</v>
      </c>
      <c r="BH110" s="107" t="n">
        <v>0</v>
      </c>
      <c r="BI110" s="107" t="n">
        <v>9940600</v>
      </c>
      <c r="BJ110" s="107" t="n">
        <v>14726004840</v>
      </c>
      <c r="BK110" s="107" t="n">
        <v>0</v>
      </c>
      <c r="BL110" s="107" t="n">
        <v>0</v>
      </c>
      <c r="BM110" s="107" t="n">
        <v>0</v>
      </c>
      <c r="BN110" s="107" t="n">
        <v>0</v>
      </c>
      <c r="BO110" s="107" t="s">
        <v>374</v>
      </c>
      <c r="BP110" s="2"/>
      <c r="BQ110" s="107" t="s">
        <v>367</v>
      </c>
      <c r="BR110" s="107" t="n">
        <v>-1222693800</v>
      </c>
      <c r="BS110" s="107" t="n">
        <v>0</v>
      </c>
      <c r="BT110" s="107" t="n">
        <v>0</v>
      </c>
      <c r="BU110" s="107" t="n">
        <v>0</v>
      </c>
      <c r="BV110" s="107" t="n">
        <v>0</v>
      </c>
      <c r="BW110" s="107" t="n">
        <v>95355</v>
      </c>
      <c r="BX110" s="107" t="n">
        <v>129530232</v>
      </c>
      <c r="BY110" s="107" t="n">
        <v>0</v>
      </c>
      <c r="BZ110" s="107" t="n">
        <v>0</v>
      </c>
      <c r="CA110" s="107" t="n">
        <v>1481.4</v>
      </c>
      <c r="CB110" s="2"/>
      <c r="CC110" s="107" t="n">
        <v>0</v>
      </c>
      <c r="CD110" s="107" t="n">
        <v>97.08</v>
      </c>
      <c r="CE110" s="107" t="n">
        <v>97.02</v>
      </c>
      <c r="CF110" s="107" t="n">
        <v>97.01</v>
      </c>
      <c r="CG110" s="107" t="n">
        <v>0</v>
      </c>
      <c r="CH110" s="107" t="n">
        <v>2.0945</v>
      </c>
      <c r="CI110" s="107" t="n">
        <v>99.83</v>
      </c>
      <c r="CJ110" s="107" t="n">
        <v>99.88</v>
      </c>
      <c r="CK110" s="107" t="n">
        <v>99.86</v>
      </c>
      <c r="CL110" s="107" t="n">
        <v>1800000</v>
      </c>
    </row>
    <row r="111" customFormat="false" ht="15" hidden="false" customHeight="false" outlineLevel="0" collapsed="false">
      <c r="A111" s="107" t="s">
        <v>557</v>
      </c>
      <c r="B111" s="107" t="n">
        <v>97.9325</v>
      </c>
      <c r="C111" s="107" t="n">
        <v>5.5787</v>
      </c>
      <c r="D111" s="107" t="n">
        <v>2.348</v>
      </c>
      <c r="E111" s="107" t="n">
        <v>-114.972755</v>
      </c>
      <c r="F111" s="108" t="s">
        <v>358</v>
      </c>
      <c r="G111" s="107" t="n">
        <v>2.348</v>
      </c>
      <c r="H111" s="107" t="n">
        <v>-114.972755</v>
      </c>
      <c r="I111" s="109" t="n">
        <v>47248</v>
      </c>
      <c r="J111" s="107" t="n">
        <v>3</v>
      </c>
      <c r="K111" s="108" t="s">
        <v>384</v>
      </c>
      <c r="L111" s="107" t="s">
        <v>298</v>
      </c>
      <c r="M111" s="107" t="n">
        <v>1174000</v>
      </c>
      <c r="N111" s="107" t="n">
        <v>100</v>
      </c>
      <c r="O111" s="107" t="n">
        <v>489662.5</v>
      </c>
      <c r="P111" s="107" t="s">
        <v>555</v>
      </c>
      <c r="Q111" s="107" t="s">
        <v>374</v>
      </c>
      <c r="R111" s="107" t="n">
        <v>-0.102988954741379</v>
      </c>
      <c r="S111" s="107" t="n">
        <v>-0.020675</v>
      </c>
      <c r="T111" s="107" t="n">
        <v>-118.180044375</v>
      </c>
      <c r="U111" s="107" t="n">
        <v>21069</v>
      </c>
      <c r="V111" s="108" t="s">
        <v>362</v>
      </c>
      <c r="W111" s="107" t="n">
        <v>34507</v>
      </c>
      <c r="X111" s="108" t="s">
        <v>372</v>
      </c>
      <c r="Y111" s="107" t="s">
        <v>554</v>
      </c>
      <c r="Z111" s="107" t="s">
        <v>558</v>
      </c>
      <c r="AA111" s="109" t="n">
        <v>46149</v>
      </c>
      <c r="AB111" s="107" t="n">
        <v>260507000001</v>
      </c>
      <c r="AC111" s="109" t="n">
        <v>46129</v>
      </c>
      <c r="AD111" s="109" t="n">
        <v>47583</v>
      </c>
      <c r="AE111" s="107" t="n">
        <v>4.555</v>
      </c>
      <c r="AF111" s="107" t="n">
        <v>2.341</v>
      </c>
      <c r="AG111" s="107" t="n">
        <v>1288</v>
      </c>
      <c r="AH111" s="107" t="n">
        <v>5000000</v>
      </c>
      <c r="AI111" s="107" t="n">
        <v>4.654204</v>
      </c>
      <c r="AJ111" s="107" t="n">
        <v>99.73</v>
      </c>
      <c r="AK111" s="107" t="n">
        <v>4.637733</v>
      </c>
      <c r="AL111" s="107" t="n">
        <v>101.792402</v>
      </c>
      <c r="AM111" s="107" t="n">
        <v>5.5637</v>
      </c>
      <c r="AN111" s="107" t="n">
        <v>97.4348</v>
      </c>
      <c r="AO111" s="107" t="n">
        <v>1358.4</v>
      </c>
      <c r="AP111" s="107" t="n">
        <v>1</v>
      </c>
      <c r="AQ111" s="107" t="n">
        <v>4871740</v>
      </c>
      <c r="AR111" s="107" t="n">
        <v>6617771616</v>
      </c>
      <c r="AS111" s="107" t="n">
        <v>4986500</v>
      </c>
      <c r="AT111" s="107" t="n">
        <v>7332648250</v>
      </c>
      <c r="AU111" s="107" t="n">
        <v>-114760</v>
      </c>
      <c r="AV111" s="107" t="n">
        <v>-155889984</v>
      </c>
      <c r="AW111" s="107" t="n">
        <v>12652.78</v>
      </c>
      <c r="AX111" s="107" t="n">
        <v>18605912</v>
      </c>
      <c r="AY111" s="107" t="n">
        <v>0</v>
      </c>
      <c r="AZ111" s="107" t="n">
        <v>0</v>
      </c>
      <c r="BA111" s="107" t="n">
        <v>0</v>
      </c>
      <c r="BB111" s="107" t="n">
        <v>0</v>
      </c>
      <c r="BC111" s="107" t="n">
        <v>0</v>
      </c>
      <c r="BD111" s="107" t="n">
        <v>0</v>
      </c>
      <c r="BE111" s="107" t="n">
        <v>90467.36</v>
      </c>
      <c r="BF111" s="107" t="n">
        <v>122890862</v>
      </c>
      <c r="BG111" s="107" t="n">
        <v>0</v>
      </c>
      <c r="BH111" s="107" t="n">
        <v>0</v>
      </c>
      <c r="BI111" s="107" t="n">
        <v>4986500</v>
      </c>
      <c r="BJ111" s="107" t="n">
        <v>7332648250</v>
      </c>
      <c r="BK111" s="107" t="n">
        <v>0</v>
      </c>
      <c r="BL111" s="107" t="n">
        <v>0</v>
      </c>
      <c r="BM111" s="107" t="n">
        <v>0</v>
      </c>
      <c r="BN111" s="107" t="n">
        <v>0</v>
      </c>
      <c r="BO111" s="107" t="s">
        <v>374</v>
      </c>
      <c r="BP111" s="107" t="s">
        <v>418</v>
      </c>
      <c r="BQ111" s="107" t="s">
        <v>367</v>
      </c>
      <c r="BR111" s="107" t="n">
        <v>-558986650</v>
      </c>
      <c r="BS111" s="107" t="n">
        <v>-1418376</v>
      </c>
      <c r="BT111" s="107" t="n">
        <v>0</v>
      </c>
      <c r="BU111" s="107" t="n">
        <v>0</v>
      </c>
      <c r="BV111" s="107" t="n">
        <v>0</v>
      </c>
      <c r="BW111" s="107" t="n">
        <v>103120.14</v>
      </c>
      <c r="BX111" s="107" t="n">
        <v>140078398</v>
      </c>
      <c r="BY111" s="107" t="n">
        <v>0</v>
      </c>
      <c r="BZ111" s="107" t="n">
        <v>0</v>
      </c>
      <c r="CA111" s="107" t="n">
        <v>1470.5</v>
      </c>
      <c r="CB111" s="2"/>
      <c r="CC111" s="107" t="n">
        <v>0</v>
      </c>
      <c r="CD111" s="107" t="n">
        <v>97.44</v>
      </c>
      <c r="CE111" s="107" t="n">
        <v>97.44</v>
      </c>
      <c r="CF111" s="107" t="n">
        <v>97.42</v>
      </c>
      <c r="CG111" s="107" t="n">
        <v>0</v>
      </c>
      <c r="CH111" s="107" t="n">
        <v>2.2776</v>
      </c>
      <c r="CI111" s="107" t="n">
        <v>99.83</v>
      </c>
      <c r="CJ111" s="107" t="n">
        <v>99.88</v>
      </c>
      <c r="CK111" s="107" t="n">
        <v>99.86</v>
      </c>
      <c r="CL111" s="107" t="n">
        <v>1100000</v>
      </c>
    </row>
    <row r="112" customFormat="false" ht="15" hidden="false" customHeight="false" outlineLevel="0" collapsed="false">
      <c r="A112" s="107" t="s">
        <v>559</v>
      </c>
      <c r="B112" s="107" t="n">
        <v>95.9301</v>
      </c>
      <c r="C112" s="107" t="n">
        <v>6.0962</v>
      </c>
      <c r="D112" s="107" t="n">
        <v>6.6514</v>
      </c>
      <c r="E112" s="107" t="n">
        <v>-319.03473357</v>
      </c>
      <c r="F112" s="108" t="s">
        <v>358</v>
      </c>
      <c r="G112" s="107" t="n">
        <v>6.6514</v>
      </c>
      <c r="H112" s="107" t="n">
        <v>-319.03473357</v>
      </c>
      <c r="I112" s="109" t="n">
        <v>49489</v>
      </c>
      <c r="J112" s="107" t="n">
        <v>10</v>
      </c>
      <c r="K112" s="108" t="s">
        <v>92</v>
      </c>
      <c r="L112" s="107" t="s">
        <v>298</v>
      </c>
      <c r="M112" s="107" t="n">
        <v>3325700</v>
      </c>
      <c r="N112" s="107" t="n">
        <v>100</v>
      </c>
      <c r="O112" s="107" t="n">
        <v>479650.5</v>
      </c>
      <c r="P112" s="107" t="s">
        <v>431</v>
      </c>
      <c r="Q112" s="107" t="s">
        <v>377</v>
      </c>
      <c r="R112" s="107" t="n">
        <v>-0.120024584420083</v>
      </c>
      <c r="S112" s="107" t="n">
        <v>-0.040699</v>
      </c>
      <c r="T112" s="107" t="n">
        <v>-328.757249205</v>
      </c>
      <c r="U112" s="107" t="n">
        <v>21069</v>
      </c>
      <c r="V112" s="108" t="s">
        <v>362</v>
      </c>
      <c r="W112" s="107" t="n">
        <v>34507</v>
      </c>
      <c r="X112" s="108" t="s">
        <v>372</v>
      </c>
      <c r="Y112" s="107" t="s">
        <v>554</v>
      </c>
      <c r="Z112" s="107" t="s">
        <v>558</v>
      </c>
      <c r="AA112" s="109" t="n">
        <v>46149</v>
      </c>
      <c r="AB112" s="107" t="n">
        <v>260507000002</v>
      </c>
      <c r="AC112" s="109" t="n">
        <v>46129</v>
      </c>
      <c r="AD112" s="109" t="n">
        <v>47583</v>
      </c>
      <c r="AE112" s="107" t="n">
        <v>4.555</v>
      </c>
      <c r="AF112" s="107" t="n">
        <v>2.341</v>
      </c>
      <c r="AG112" s="107" t="n">
        <v>1288</v>
      </c>
      <c r="AH112" s="107" t="n">
        <v>5000000</v>
      </c>
      <c r="AI112" s="107" t="n">
        <v>4.64014</v>
      </c>
      <c r="AJ112" s="107" t="n">
        <v>99.768</v>
      </c>
      <c r="AK112" s="107" t="n">
        <v>4.625977</v>
      </c>
      <c r="AL112" s="107" t="n">
        <v>101.830402</v>
      </c>
      <c r="AM112" s="107" t="n">
        <v>5.5637</v>
      </c>
      <c r="AN112" s="107" t="n">
        <v>97.4348</v>
      </c>
      <c r="AO112" s="107" t="n">
        <v>1358.4</v>
      </c>
      <c r="AP112" s="107" t="n">
        <v>1</v>
      </c>
      <c r="AQ112" s="107" t="n">
        <v>4871740</v>
      </c>
      <c r="AR112" s="107" t="n">
        <v>6617771616</v>
      </c>
      <c r="AS112" s="107" t="n">
        <v>4988400</v>
      </c>
      <c r="AT112" s="107" t="n">
        <v>7335442200</v>
      </c>
      <c r="AU112" s="107" t="n">
        <v>-116660</v>
      </c>
      <c r="AV112" s="107" t="n">
        <v>-158470944</v>
      </c>
      <c r="AW112" s="107" t="n">
        <v>12652.78</v>
      </c>
      <c r="AX112" s="107" t="n">
        <v>18605912</v>
      </c>
      <c r="AY112" s="107" t="n">
        <v>0</v>
      </c>
      <c r="AZ112" s="107" t="n">
        <v>0</v>
      </c>
      <c r="BA112" s="107" t="n">
        <v>0</v>
      </c>
      <c r="BB112" s="107" t="n">
        <v>0</v>
      </c>
      <c r="BC112" s="107" t="n">
        <v>0</v>
      </c>
      <c r="BD112" s="107" t="n">
        <v>0</v>
      </c>
      <c r="BE112" s="107" t="n">
        <v>90467.36</v>
      </c>
      <c r="BF112" s="107" t="n">
        <v>122890862</v>
      </c>
      <c r="BG112" s="107" t="n">
        <v>0</v>
      </c>
      <c r="BH112" s="107" t="n">
        <v>0</v>
      </c>
      <c r="BI112" s="107" t="n">
        <v>4988400</v>
      </c>
      <c r="BJ112" s="107" t="n">
        <v>7335442200</v>
      </c>
      <c r="BK112" s="107" t="n">
        <v>0</v>
      </c>
      <c r="BL112" s="107" t="n">
        <v>0</v>
      </c>
      <c r="BM112" s="107" t="n">
        <v>0</v>
      </c>
      <c r="BN112" s="107" t="n">
        <v>0</v>
      </c>
      <c r="BO112" s="107" t="s">
        <v>374</v>
      </c>
      <c r="BP112" s="107" t="s">
        <v>418</v>
      </c>
      <c r="BQ112" s="107" t="s">
        <v>367</v>
      </c>
      <c r="BR112" s="107" t="n">
        <v>-559199640</v>
      </c>
      <c r="BS112" s="107" t="n">
        <v>-1418376</v>
      </c>
      <c r="BT112" s="107" t="n">
        <v>0</v>
      </c>
      <c r="BU112" s="107" t="n">
        <v>0</v>
      </c>
      <c r="BV112" s="107" t="n">
        <v>0</v>
      </c>
      <c r="BW112" s="107" t="n">
        <v>103120.14</v>
      </c>
      <c r="BX112" s="107" t="n">
        <v>140078398</v>
      </c>
      <c r="BY112" s="107" t="n">
        <v>0</v>
      </c>
      <c r="BZ112" s="107" t="n">
        <v>0</v>
      </c>
      <c r="CA112" s="107" t="n">
        <v>1470.5</v>
      </c>
      <c r="CB112" s="2"/>
      <c r="CC112" s="107" t="n">
        <v>0</v>
      </c>
      <c r="CD112" s="107" t="n">
        <v>97.44</v>
      </c>
      <c r="CE112" s="107" t="n">
        <v>97.44</v>
      </c>
      <c r="CF112" s="107" t="n">
        <v>97.42</v>
      </c>
      <c r="CG112" s="107" t="n">
        <v>700000</v>
      </c>
      <c r="CH112" s="107" t="n">
        <v>2.2776</v>
      </c>
      <c r="CI112" s="107" t="n">
        <v>99.83</v>
      </c>
      <c r="CJ112" s="107" t="n">
        <v>99.88</v>
      </c>
      <c r="CK112" s="107" t="n">
        <v>99.86</v>
      </c>
      <c r="CL112" s="107" t="n">
        <v>2000000</v>
      </c>
    </row>
    <row r="113" customFormat="false" ht="15" hidden="false" customHeight="false" outlineLevel="0" collapsed="false">
      <c r="A113" s="107" t="s">
        <v>560</v>
      </c>
      <c r="B113" s="107" t="n">
        <v>98.1669</v>
      </c>
      <c r="C113" s="107" t="n">
        <v>5.7218</v>
      </c>
      <c r="D113" s="107" t="n">
        <v>2.4759</v>
      </c>
      <c r="E113" s="107" t="n">
        <v>-243.05142771</v>
      </c>
      <c r="F113" s="108" t="s">
        <v>358</v>
      </c>
      <c r="G113" s="107" t="n">
        <v>2.4759</v>
      </c>
      <c r="H113" s="107" t="n">
        <v>-243.05142771</v>
      </c>
      <c r="I113" s="109" t="n">
        <v>47298</v>
      </c>
      <c r="J113" s="107" t="n">
        <v>3</v>
      </c>
      <c r="K113" s="108" t="s">
        <v>92</v>
      </c>
      <c r="L113" s="107" t="s">
        <v>298</v>
      </c>
      <c r="M113" s="107" t="n">
        <v>2475900</v>
      </c>
      <c r="N113" s="107" t="n">
        <v>100</v>
      </c>
      <c r="O113" s="107" t="n">
        <v>981669</v>
      </c>
      <c r="P113" s="107" t="s">
        <v>431</v>
      </c>
      <c r="Q113" s="107" t="s">
        <v>377</v>
      </c>
      <c r="R113" s="107" t="n">
        <v>-0.130644110177769</v>
      </c>
      <c r="S113" s="107" t="n">
        <v>-0.018331</v>
      </c>
      <c r="T113" s="107" t="n">
        <v>-250.00164423</v>
      </c>
      <c r="U113" s="107" t="n">
        <v>21069</v>
      </c>
      <c r="V113" s="108" t="s">
        <v>362</v>
      </c>
      <c r="W113" s="107" t="n">
        <v>34507</v>
      </c>
      <c r="X113" s="108" t="s">
        <v>372</v>
      </c>
      <c r="Y113" s="107" t="s">
        <v>557</v>
      </c>
      <c r="Z113" s="107" t="s">
        <v>561</v>
      </c>
      <c r="AA113" s="109" t="n">
        <v>46148</v>
      </c>
      <c r="AB113" s="107" t="n">
        <v>260506000001</v>
      </c>
      <c r="AC113" s="109" t="n">
        <v>46148</v>
      </c>
      <c r="AD113" s="109" t="n">
        <v>47613</v>
      </c>
      <c r="AE113" s="107" t="n">
        <v>4.788</v>
      </c>
      <c r="AF113" s="107" t="n">
        <v>2.411</v>
      </c>
      <c r="AG113" s="107" t="n">
        <v>1318</v>
      </c>
      <c r="AH113" s="107" t="n">
        <v>500000</v>
      </c>
      <c r="AI113" s="107" t="n">
        <v>4.787773</v>
      </c>
      <c r="AJ113" s="107" t="n">
        <v>100</v>
      </c>
      <c r="AK113" s="107" t="n">
        <v>4.786612</v>
      </c>
      <c r="AL113" s="107" t="n">
        <v>101.9152</v>
      </c>
      <c r="AM113" s="107" t="n">
        <v>5.5533</v>
      </c>
      <c r="AN113" s="107" t="n">
        <v>98.0028</v>
      </c>
      <c r="AO113" s="107" t="n">
        <v>1358.4</v>
      </c>
      <c r="AP113" s="107" t="n">
        <v>1</v>
      </c>
      <c r="AQ113" s="107" t="n">
        <v>490014</v>
      </c>
      <c r="AR113" s="107" t="n">
        <v>665635018</v>
      </c>
      <c r="AS113" s="107" t="n">
        <v>500000</v>
      </c>
      <c r="AT113" s="107" t="n">
        <v>742400000</v>
      </c>
      <c r="AU113" s="107" t="n">
        <v>-9986</v>
      </c>
      <c r="AV113" s="107" t="n">
        <v>-13564982</v>
      </c>
      <c r="AW113" s="107" t="n">
        <v>0</v>
      </c>
      <c r="AX113" s="107" t="n">
        <v>0</v>
      </c>
      <c r="AY113" s="107" t="n">
        <v>0</v>
      </c>
      <c r="AZ113" s="107" t="n">
        <v>0</v>
      </c>
      <c r="BA113" s="107" t="n">
        <v>0</v>
      </c>
      <c r="BB113" s="107" t="n">
        <v>0</v>
      </c>
      <c r="BC113" s="107" t="n">
        <v>0</v>
      </c>
      <c r="BD113" s="107" t="n">
        <v>0</v>
      </c>
      <c r="BE113" s="107" t="n">
        <v>9576</v>
      </c>
      <c r="BF113" s="107" t="n">
        <v>13008038</v>
      </c>
      <c r="BG113" s="107" t="n">
        <v>0</v>
      </c>
      <c r="BH113" s="107" t="n">
        <v>0</v>
      </c>
      <c r="BI113" s="107" t="n">
        <v>500000</v>
      </c>
      <c r="BJ113" s="107" t="n">
        <v>742400000</v>
      </c>
      <c r="BK113" s="107" t="n">
        <v>0</v>
      </c>
      <c r="BL113" s="107" t="n">
        <v>0</v>
      </c>
      <c r="BM113" s="107" t="n">
        <v>0</v>
      </c>
      <c r="BN113" s="107" t="n">
        <v>0</v>
      </c>
      <c r="BO113" s="107" t="s">
        <v>367</v>
      </c>
      <c r="BP113" s="2"/>
      <c r="BQ113" s="107" t="s">
        <v>364</v>
      </c>
      <c r="BR113" s="107" t="n">
        <v>-63200000</v>
      </c>
      <c r="BS113" s="107" t="n">
        <v>0</v>
      </c>
      <c r="BT113" s="107" t="n">
        <v>0</v>
      </c>
      <c r="BU113" s="107" t="n">
        <v>0</v>
      </c>
      <c r="BV113" s="107" t="n">
        <v>0</v>
      </c>
      <c r="BW113" s="107" t="n">
        <v>9576</v>
      </c>
      <c r="BX113" s="107" t="n">
        <v>13008038</v>
      </c>
      <c r="BY113" s="107" t="n">
        <v>0</v>
      </c>
      <c r="BZ113" s="107" t="n">
        <v>0</v>
      </c>
      <c r="CA113" s="107" t="n">
        <v>1484.8</v>
      </c>
      <c r="CB113" s="2"/>
      <c r="CC113" s="107" t="n">
        <v>0</v>
      </c>
      <c r="CD113" s="107" t="n">
        <v>98.06</v>
      </c>
      <c r="CE113" s="107" t="n">
        <v>97.99</v>
      </c>
      <c r="CF113" s="107" t="n">
        <v>97.95</v>
      </c>
      <c r="CG113" s="107" t="n">
        <v>500000</v>
      </c>
      <c r="CH113" s="107" t="n">
        <v>2.3459</v>
      </c>
      <c r="CI113" s="107" t="n">
        <v>99.83</v>
      </c>
      <c r="CJ113" s="107" t="n">
        <v>99.88</v>
      </c>
      <c r="CK113" s="107" t="n">
        <v>99.86</v>
      </c>
      <c r="CL113" s="107" t="n">
        <v>11100000</v>
      </c>
    </row>
    <row r="114" customFormat="false" ht="15" hidden="false" customHeight="false" outlineLevel="0" collapsed="false">
      <c r="A114" s="107" t="s">
        <v>562</v>
      </c>
      <c r="B114" s="107" t="n">
        <v>96.8827</v>
      </c>
      <c r="C114" s="107" t="n">
        <v>5.634</v>
      </c>
      <c r="D114" s="107" t="n">
        <v>2.3411</v>
      </c>
      <c r="E114" s="107" t="n">
        <v>-1134.06044485</v>
      </c>
      <c r="F114" s="108" t="s">
        <v>358</v>
      </c>
      <c r="G114" s="107" t="n">
        <v>2.3411</v>
      </c>
      <c r="H114" s="107" t="n">
        <v>-1134.06044485</v>
      </c>
      <c r="I114" s="109" t="n">
        <v>47246</v>
      </c>
      <c r="J114" s="107" t="n">
        <v>3</v>
      </c>
      <c r="K114" s="108" t="s">
        <v>90</v>
      </c>
      <c r="L114" s="107" t="s">
        <v>298</v>
      </c>
      <c r="M114" s="107" t="n">
        <v>11705500</v>
      </c>
      <c r="N114" s="107" t="n">
        <v>100.27</v>
      </c>
      <c r="O114" s="107" t="n">
        <v>4844135</v>
      </c>
      <c r="P114" s="107" t="s">
        <v>436</v>
      </c>
      <c r="Q114" s="107" t="s">
        <v>377</v>
      </c>
      <c r="R114" s="107" t="n">
        <v>-0.0867182997054879</v>
      </c>
      <c r="S114" s="107" t="n">
        <v>-0.033781789169243</v>
      </c>
      <c r="T114" s="107" t="n">
        <v>-1166.03173585</v>
      </c>
      <c r="U114" s="107" t="n">
        <v>21069</v>
      </c>
      <c r="V114" s="108" t="s">
        <v>362</v>
      </c>
      <c r="W114" s="107" t="n">
        <v>34507</v>
      </c>
      <c r="X114" s="108" t="s">
        <v>372</v>
      </c>
      <c r="Y114" s="107" t="s">
        <v>559</v>
      </c>
      <c r="Z114" s="107" t="s">
        <v>563</v>
      </c>
      <c r="AA114" s="109" t="n">
        <v>45839</v>
      </c>
      <c r="AB114" s="107" t="n">
        <v>250701000001</v>
      </c>
      <c r="AC114" s="109" t="n">
        <v>45837</v>
      </c>
      <c r="AD114" s="109" t="n">
        <v>49489</v>
      </c>
      <c r="AE114" s="107" t="n">
        <v>5.491</v>
      </c>
      <c r="AF114" s="107" t="n">
        <v>6.8526</v>
      </c>
      <c r="AG114" s="107" t="n">
        <v>3194</v>
      </c>
      <c r="AH114" s="107" t="n">
        <v>500000</v>
      </c>
      <c r="AI114" s="107" t="n">
        <v>5.491052</v>
      </c>
      <c r="AJ114" s="107" t="n">
        <v>100</v>
      </c>
      <c r="AK114" s="107" t="n">
        <v>5.01566</v>
      </c>
      <c r="AL114" s="107" t="n">
        <v>104.712102</v>
      </c>
      <c r="AM114" s="107" t="n">
        <v>6.0797</v>
      </c>
      <c r="AN114" s="107" t="n">
        <v>96.0392</v>
      </c>
      <c r="AO114" s="107" t="n">
        <v>1358.4</v>
      </c>
      <c r="AP114" s="107" t="n">
        <v>1</v>
      </c>
      <c r="AQ114" s="107" t="n">
        <v>480196</v>
      </c>
      <c r="AR114" s="107" t="n">
        <v>652298246</v>
      </c>
      <c r="AS114" s="107" t="n">
        <v>516620.5</v>
      </c>
      <c r="AT114" s="107" t="n">
        <v>741298755</v>
      </c>
      <c r="AU114" s="107" t="n">
        <v>-36424.5</v>
      </c>
      <c r="AV114" s="107" t="n">
        <v>-49479041</v>
      </c>
      <c r="AW114" s="107" t="n">
        <v>0</v>
      </c>
      <c r="AX114" s="107" t="n">
        <v>0</v>
      </c>
      <c r="AY114" s="107" t="n">
        <v>0</v>
      </c>
      <c r="AZ114" s="107" t="n">
        <v>0</v>
      </c>
      <c r="BA114" s="107" t="n">
        <v>0</v>
      </c>
      <c r="BB114" s="107" t="n">
        <v>0</v>
      </c>
      <c r="BC114" s="107" t="n">
        <v>0</v>
      </c>
      <c r="BD114" s="107" t="n">
        <v>0</v>
      </c>
      <c r="BE114" s="107" t="n">
        <v>6940.01</v>
      </c>
      <c r="BF114" s="107" t="n">
        <v>9427309</v>
      </c>
      <c r="BG114" s="107" t="n">
        <v>0</v>
      </c>
      <c r="BH114" s="107" t="n">
        <v>0</v>
      </c>
      <c r="BI114" s="107" t="n">
        <v>500000</v>
      </c>
      <c r="BJ114" s="107" t="n">
        <v>717450000</v>
      </c>
      <c r="BK114" s="107" t="n">
        <v>0</v>
      </c>
      <c r="BL114" s="107" t="n">
        <v>0</v>
      </c>
      <c r="BM114" s="107" t="n">
        <v>0</v>
      </c>
      <c r="BN114" s="107" t="n">
        <v>0</v>
      </c>
      <c r="BO114" s="107" t="s">
        <v>377</v>
      </c>
      <c r="BP114" s="2"/>
      <c r="BQ114" s="107" t="s">
        <v>374</v>
      </c>
      <c r="BR114" s="107" t="n">
        <v>-39521468</v>
      </c>
      <c r="BS114" s="107" t="n">
        <v>0</v>
      </c>
      <c r="BT114" s="107" t="n">
        <v>0</v>
      </c>
      <c r="BU114" s="107" t="n">
        <v>16620.5</v>
      </c>
      <c r="BV114" s="107" t="n">
        <v>23848755</v>
      </c>
      <c r="BW114" s="107" t="n">
        <v>6940.01</v>
      </c>
      <c r="BX114" s="107" t="n">
        <v>9427309</v>
      </c>
      <c r="BY114" s="107" t="n">
        <v>0</v>
      </c>
      <c r="BZ114" s="107" t="n">
        <v>0</v>
      </c>
      <c r="CA114" s="107" t="n">
        <v>1434.9</v>
      </c>
      <c r="CB114" s="2"/>
      <c r="CC114" s="107" t="n">
        <v>0</v>
      </c>
      <c r="CD114" s="107" t="n">
        <v>96.05</v>
      </c>
      <c r="CE114" s="107" t="n">
        <v>96.04</v>
      </c>
      <c r="CF114" s="107" t="n">
        <v>96.03</v>
      </c>
      <c r="CG114" s="107" t="n">
        <v>500000</v>
      </c>
      <c r="CH114" s="107" t="n">
        <v>6.6504</v>
      </c>
      <c r="CI114" s="107" t="n">
        <v>99.83</v>
      </c>
      <c r="CJ114" s="107" t="n">
        <v>99.88</v>
      </c>
      <c r="CK114" s="107" t="n">
        <v>99.86</v>
      </c>
      <c r="CL114" s="107" t="n">
        <v>2000000</v>
      </c>
    </row>
    <row r="115" customFormat="false" ht="15" hidden="false" customHeight="false" outlineLevel="0" collapsed="false">
      <c r="A115" s="107" t="s">
        <v>564</v>
      </c>
      <c r="B115" s="107" t="n">
        <v>98.2495</v>
      </c>
      <c r="C115" s="107" t="n">
        <v>4.8437</v>
      </c>
      <c r="D115" s="107" t="n">
        <v>1.4046</v>
      </c>
      <c r="E115" s="107" t="n">
        <v>-138.0012477</v>
      </c>
      <c r="F115" s="108" t="s">
        <v>358</v>
      </c>
      <c r="G115" s="107" t="n">
        <v>1.4046</v>
      </c>
      <c r="H115" s="107" t="n">
        <v>-138.0012477</v>
      </c>
      <c r="I115" s="109" t="n">
        <v>46843</v>
      </c>
      <c r="J115" s="107" t="n">
        <v>2</v>
      </c>
      <c r="K115" s="108" t="s">
        <v>384</v>
      </c>
      <c r="L115" s="107" t="s">
        <v>565</v>
      </c>
      <c r="M115" s="107" t="n">
        <v>1404600</v>
      </c>
      <c r="N115" s="107" t="n">
        <v>99.250748</v>
      </c>
      <c r="O115" s="107" t="n">
        <v>982495</v>
      </c>
      <c r="P115" s="107" t="s">
        <v>566</v>
      </c>
      <c r="Q115" s="107" t="s">
        <v>532</v>
      </c>
      <c r="R115" s="107" t="n">
        <v>-0.072044361088822</v>
      </c>
      <c r="S115" s="107" t="n">
        <v>-0.0100880650289911</v>
      </c>
      <c r="T115" s="107" t="n">
        <v>-141.3417307</v>
      </c>
      <c r="U115" s="107" t="n">
        <v>21069</v>
      </c>
      <c r="V115" s="108" t="s">
        <v>362</v>
      </c>
      <c r="W115" s="107" t="n">
        <v>34507</v>
      </c>
      <c r="X115" s="108" t="s">
        <v>372</v>
      </c>
      <c r="Y115" s="107" t="s">
        <v>560</v>
      </c>
      <c r="Z115" s="107" t="s">
        <v>567</v>
      </c>
      <c r="AA115" s="109" t="n">
        <v>46203</v>
      </c>
      <c r="AB115" s="107" t="n">
        <v>260630000001</v>
      </c>
      <c r="AC115" s="109" t="n">
        <v>46203</v>
      </c>
      <c r="AD115" s="109" t="n">
        <v>47298</v>
      </c>
      <c r="AE115" s="107" t="n">
        <v>4.996</v>
      </c>
      <c r="AF115" s="107" t="n">
        <v>2.5444</v>
      </c>
      <c r="AG115" s="107" t="n">
        <v>1003</v>
      </c>
      <c r="AH115" s="107" t="n">
        <v>1000000</v>
      </c>
      <c r="AI115" s="107" t="n">
        <v>4.996061</v>
      </c>
      <c r="AJ115" s="107" t="n">
        <v>100</v>
      </c>
      <c r="AK115" s="107" t="n">
        <v>4.992969</v>
      </c>
      <c r="AL115" s="107" t="n">
        <v>101.249</v>
      </c>
      <c r="AM115" s="107" t="n">
        <v>5.6659</v>
      </c>
      <c r="AN115" s="107" t="n">
        <v>98.3078</v>
      </c>
      <c r="AO115" s="107" t="n">
        <v>1358.4</v>
      </c>
      <c r="AP115" s="107" t="n">
        <v>1</v>
      </c>
      <c r="AQ115" s="107" t="n">
        <v>983078</v>
      </c>
      <c r="AR115" s="107" t="n">
        <v>1335413155</v>
      </c>
      <c r="AS115" s="107" t="n">
        <v>1000000</v>
      </c>
      <c r="AT115" s="107" t="n">
        <v>1535700000</v>
      </c>
      <c r="AU115" s="107" t="n">
        <v>-16922</v>
      </c>
      <c r="AV115" s="107" t="n">
        <v>-22986845</v>
      </c>
      <c r="AW115" s="107" t="n">
        <v>0</v>
      </c>
      <c r="AX115" s="107" t="n">
        <v>0</v>
      </c>
      <c r="AY115" s="107" t="n">
        <v>0</v>
      </c>
      <c r="AZ115" s="107" t="n">
        <v>0</v>
      </c>
      <c r="BA115" s="107" t="n">
        <v>0</v>
      </c>
      <c r="BB115" s="107" t="n">
        <v>0</v>
      </c>
      <c r="BC115" s="107" t="n">
        <v>0</v>
      </c>
      <c r="BD115" s="107" t="n">
        <v>0</v>
      </c>
      <c r="BE115" s="107" t="n">
        <v>12490</v>
      </c>
      <c r="BF115" s="107" t="n">
        <v>16966416</v>
      </c>
      <c r="BG115" s="107" t="n">
        <v>0</v>
      </c>
      <c r="BH115" s="107" t="n">
        <v>0</v>
      </c>
      <c r="BI115" s="107" t="n">
        <v>1000000</v>
      </c>
      <c r="BJ115" s="107" t="n">
        <v>1535700000</v>
      </c>
      <c r="BK115" s="107" t="n">
        <v>0</v>
      </c>
      <c r="BL115" s="107" t="n">
        <v>0</v>
      </c>
      <c r="BM115" s="107" t="n">
        <v>0</v>
      </c>
      <c r="BN115" s="107" t="n">
        <v>0</v>
      </c>
      <c r="BO115" s="107" t="s">
        <v>377</v>
      </c>
      <c r="BP115" s="2"/>
      <c r="BQ115" s="107" t="s">
        <v>374</v>
      </c>
      <c r="BR115" s="107" t="n">
        <v>-177300000</v>
      </c>
      <c r="BS115" s="107" t="n">
        <v>0</v>
      </c>
      <c r="BT115" s="107" t="n">
        <v>0</v>
      </c>
      <c r="BU115" s="107" t="n">
        <v>0</v>
      </c>
      <c r="BV115" s="107" t="n">
        <v>0</v>
      </c>
      <c r="BW115" s="107" t="n">
        <v>12490</v>
      </c>
      <c r="BX115" s="107" t="n">
        <v>16966416</v>
      </c>
      <c r="BY115" s="107" t="n">
        <v>0</v>
      </c>
      <c r="BZ115" s="107" t="n">
        <v>0</v>
      </c>
      <c r="CA115" s="107" t="n">
        <v>1535.7</v>
      </c>
      <c r="CB115" s="2"/>
      <c r="CC115" s="107" t="n">
        <v>0</v>
      </c>
      <c r="CD115" s="107" t="n">
        <v>98.3</v>
      </c>
      <c r="CE115" s="107" t="n">
        <v>98.33</v>
      </c>
      <c r="CF115" s="107" t="n">
        <v>98.3</v>
      </c>
      <c r="CG115" s="107" t="n">
        <v>1000000</v>
      </c>
      <c r="CH115" s="107" t="n">
        <v>2.4743</v>
      </c>
      <c r="CI115" s="107" t="n">
        <v>99.83</v>
      </c>
      <c r="CJ115" s="107" t="n">
        <v>99.88</v>
      </c>
      <c r="CK115" s="107" t="n">
        <v>99.86</v>
      </c>
      <c r="CL115" s="107" t="n">
        <v>3000000</v>
      </c>
    </row>
    <row r="116" customFormat="false" ht="15" hidden="false" customHeight="false" outlineLevel="0" collapsed="false">
      <c r="A116" s="107" t="s">
        <v>568</v>
      </c>
      <c r="B116" s="107" t="n">
        <v>94.9681</v>
      </c>
      <c r="C116" s="107" t="n">
        <v>5.1805</v>
      </c>
      <c r="D116" s="107" t="n">
        <v>6.2088</v>
      </c>
      <c r="E116" s="107" t="n">
        <v>-1179.27587856</v>
      </c>
      <c r="F116" s="108" t="s">
        <v>358</v>
      </c>
      <c r="G116" s="107" t="n">
        <v>6.2088</v>
      </c>
      <c r="H116" s="107" t="n">
        <v>-1179.27587856</v>
      </c>
      <c r="I116" s="109" t="n">
        <v>49079</v>
      </c>
      <c r="J116" s="107" t="n">
        <v>10</v>
      </c>
      <c r="K116" s="108" t="s">
        <v>384</v>
      </c>
      <c r="L116" s="107" t="s">
        <v>565</v>
      </c>
      <c r="M116" s="107" t="n">
        <v>12417600</v>
      </c>
      <c r="N116" s="107" t="n">
        <v>100.179457</v>
      </c>
      <c r="O116" s="107" t="n">
        <v>1899362</v>
      </c>
      <c r="P116" s="107" t="s">
        <v>566</v>
      </c>
      <c r="Q116" s="107" t="s">
        <v>532</v>
      </c>
      <c r="R116" s="107" t="n">
        <v>-0.12274027692474</v>
      </c>
      <c r="S116" s="107" t="n">
        <v>-0.0520202160808277</v>
      </c>
      <c r="T116" s="107" t="n">
        <v>-1209.81761952</v>
      </c>
      <c r="U116" s="107" t="n">
        <v>21069</v>
      </c>
      <c r="V116" s="108" t="s">
        <v>362</v>
      </c>
      <c r="W116" s="107" t="n">
        <v>34507</v>
      </c>
      <c r="X116" s="108" t="s">
        <v>372</v>
      </c>
      <c r="Y116" s="107" t="s">
        <v>562</v>
      </c>
      <c r="Z116" s="107" t="s">
        <v>569</v>
      </c>
      <c r="AA116" s="109" t="n">
        <v>45903</v>
      </c>
      <c r="AB116" s="107" t="n">
        <v>250903000001</v>
      </c>
      <c r="AC116" s="109" t="n">
        <v>43593</v>
      </c>
      <c r="AD116" s="109" t="n">
        <v>47611</v>
      </c>
      <c r="AE116" s="107" t="n">
        <v>4.445</v>
      </c>
      <c r="AF116" s="107" t="n">
        <v>2.4049</v>
      </c>
      <c r="AG116" s="107" t="n">
        <v>1316</v>
      </c>
      <c r="AH116" s="107" t="n">
        <v>5000000</v>
      </c>
      <c r="AI116" s="107" t="n">
        <v>4.363153</v>
      </c>
      <c r="AJ116" s="107" t="n">
        <v>100.27</v>
      </c>
      <c r="AK116" s="107" t="n">
        <v>4.27921</v>
      </c>
      <c r="AL116" s="107" t="n">
        <v>102.297905</v>
      </c>
      <c r="AM116" s="107" t="n">
        <v>5.5991</v>
      </c>
      <c r="AN116" s="107" t="n">
        <v>96.9753</v>
      </c>
      <c r="AO116" s="107" t="n">
        <v>1358.4</v>
      </c>
      <c r="AP116" s="107" t="n">
        <v>1</v>
      </c>
      <c r="AQ116" s="107" t="n">
        <v>4848765</v>
      </c>
      <c r="AR116" s="107" t="n">
        <v>6586562376</v>
      </c>
      <c r="AS116" s="107" t="n">
        <v>5027230</v>
      </c>
      <c r="AT116" s="107" t="n">
        <v>7213572327</v>
      </c>
      <c r="AU116" s="107" t="n">
        <v>-178465</v>
      </c>
      <c r="AV116" s="107" t="n">
        <v>-242426856</v>
      </c>
      <c r="AW116" s="107" t="n">
        <v>0</v>
      </c>
      <c r="AX116" s="107" t="n">
        <v>0</v>
      </c>
      <c r="AY116" s="107" t="n">
        <v>0</v>
      </c>
      <c r="AZ116" s="107" t="n">
        <v>0</v>
      </c>
      <c r="BA116" s="107" t="n">
        <v>0</v>
      </c>
      <c r="BB116" s="107" t="n">
        <v>0</v>
      </c>
      <c r="BC116" s="107" t="n">
        <v>0</v>
      </c>
      <c r="BD116" s="107" t="n">
        <v>0</v>
      </c>
      <c r="BE116" s="107" t="n">
        <v>87665.28</v>
      </c>
      <c r="BF116" s="107" t="n">
        <v>119084516</v>
      </c>
      <c r="BG116" s="107" t="n">
        <v>0</v>
      </c>
      <c r="BH116" s="107" t="n">
        <v>0</v>
      </c>
      <c r="BI116" s="107" t="n">
        <v>5013500</v>
      </c>
      <c r="BJ116" s="107" t="n">
        <v>7193871150</v>
      </c>
      <c r="BK116" s="107" t="n">
        <v>0</v>
      </c>
      <c r="BL116" s="107" t="n">
        <v>0</v>
      </c>
      <c r="BM116" s="107" t="n">
        <v>0</v>
      </c>
      <c r="BN116" s="107" t="n">
        <v>0</v>
      </c>
      <c r="BO116" s="107" t="s">
        <v>374</v>
      </c>
      <c r="BP116" s="2"/>
      <c r="BQ116" s="107" t="s">
        <v>106</v>
      </c>
      <c r="BR116" s="107" t="n">
        <v>-384583095</v>
      </c>
      <c r="BS116" s="107" t="n">
        <v>0</v>
      </c>
      <c r="BT116" s="107" t="n">
        <v>0</v>
      </c>
      <c r="BU116" s="107" t="n">
        <v>13730</v>
      </c>
      <c r="BV116" s="107" t="n">
        <v>19701177</v>
      </c>
      <c r="BW116" s="107" t="n">
        <v>87665.28</v>
      </c>
      <c r="BX116" s="107" t="n">
        <v>119084516</v>
      </c>
      <c r="BY116" s="107" t="n">
        <v>0</v>
      </c>
      <c r="BZ116" s="107" t="n">
        <v>0</v>
      </c>
      <c r="CA116" s="107" t="n">
        <v>1434.9</v>
      </c>
      <c r="CB116" s="2"/>
      <c r="CC116" s="107" t="n">
        <v>0</v>
      </c>
      <c r="CD116" s="107" t="n">
        <v>97.02</v>
      </c>
      <c r="CE116" s="107" t="n">
        <v>96.93</v>
      </c>
      <c r="CF116" s="107" t="n">
        <v>96.98</v>
      </c>
      <c r="CG116" s="107" t="n">
        <v>5000000</v>
      </c>
      <c r="CH116" s="107" t="n">
        <v>2.3394</v>
      </c>
      <c r="CI116" s="107" t="n">
        <v>100.39</v>
      </c>
      <c r="CJ116" s="107" t="n">
        <v>100.47</v>
      </c>
      <c r="CK116" s="107" t="n">
        <v>100.45</v>
      </c>
      <c r="CL116" s="107" t="n">
        <v>0</v>
      </c>
    </row>
    <row r="117" customFormat="false" ht="15" hidden="false" customHeight="false" outlineLevel="0" collapsed="false">
      <c r="A117" s="107" t="s">
        <v>570</v>
      </c>
      <c r="B117" s="107" t="n">
        <v>93.3444</v>
      </c>
      <c r="C117" s="107" t="n">
        <v>5.2165</v>
      </c>
      <c r="D117" s="107" t="n">
        <v>6.8949</v>
      </c>
      <c r="E117" s="107" t="n">
        <v>-9654.0045534</v>
      </c>
      <c r="F117" s="108" t="s">
        <v>358</v>
      </c>
      <c r="G117" s="107" t="n">
        <v>6.8949</v>
      </c>
      <c r="H117" s="107" t="n">
        <v>-9654.0045534</v>
      </c>
      <c r="I117" s="109" t="n">
        <v>49444</v>
      </c>
      <c r="J117" s="107" t="n">
        <v>10</v>
      </c>
      <c r="K117" s="108" t="s">
        <v>384</v>
      </c>
      <c r="L117" s="107" t="s">
        <v>565</v>
      </c>
      <c r="M117" s="107" t="n">
        <v>103423500</v>
      </c>
      <c r="N117" s="107" t="n">
        <v>98.8024</v>
      </c>
      <c r="O117" s="107" t="n">
        <v>14001660</v>
      </c>
      <c r="P117" s="107" t="s">
        <v>566</v>
      </c>
      <c r="Q117" s="107" t="s">
        <v>532</v>
      </c>
      <c r="R117" s="107" t="n">
        <v>-0.126182367679881</v>
      </c>
      <c r="S117" s="107" t="n">
        <v>-0.0552415730791965</v>
      </c>
      <c r="T117" s="107" t="n">
        <v>-9905.7544002</v>
      </c>
      <c r="U117" s="107" t="n">
        <v>21069</v>
      </c>
      <c r="V117" s="108" t="s">
        <v>362</v>
      </c>
      <c r="W117" s="107" t="n">
        <v>34507</v>
      </c>
      <c r="X117" s="108" t="s">
        <v>372</v>
      </c>
      <c r="Y117" s="107" t="s">
        <v>564</v>
      </c>
      <c r="Z117" s="107" t="s">
        <v>571</v>
      </c>
      <c r="AA117" s="109" t="n">
        <v>45826</v>
      </c>
      <c r="AB117" s="107" t="n">
        <v>250618000001</v>
      </c>
      <c r="AC117" s="109" t="n">
        <v>45016</v>
      </c>
      <c r="AD117" s="109" t="n">
        <v>46843</v>
      </c>
      <c r="AE117" s="107" t="n">
        <v>3.625</v>
      </c>
      <c r="AF117" s="107" t="n">
        <v>1.462</v>
      </c>
      <c r="AG117" s="107" t="n">
        <v>548</v>
      </c>
      <c r="AH117" s="107" t="n">
        <v>1000000</v>
      </c>
      <c r="AI117" s="107" t="n">
        <v>3.91</v>
      </c>
      <c r="AJ117" s="107" t="n">
        <v>99.250748</v>
      </c>
      <c r="AK117" s="107" t="n">
        <v>1.667209</v>
      </c>
      <c r="AL117" s="107" t="n">
        <v>102.888398</v>
      </c>
      <c r="AM117" s="107" t="n">
        <v>4.7866</v>
      </c>
      <c r="AN117" s="107" t="n">
        <v>98.3335</v>
      </c>
      <c r="AO117" s="107" t="n">
        <v>1358.4</v>
      </c>
      <c r="AP117" s="107" t="n">
        <v>1</v>
      </c>
      <c r="AQ117" s="107" t="n">
        <v>983335</v>
      </c>
      <c r="AR117" s="107" t="n">
        <v>1335762264</v>
      </c>
      <c r="AS117" s="107" t="n">
        <v>1003507</v>
      </c>
      <c r="AT117" s="107" t="n">
        <v>1439932195</v>
      </c>
      <c r="AU117" s="107" t="n">
        <v>-20172</v>
      </c>
      <c r="AV117" s="107" t="n">
        <v>-27401645</v>
      </c>
      <c r="AW117" s="107" t="n">
        <v>0</v>
      </c>
      <c r="AX117" s="107" t="n">
        <v>0</v>
      </c>
      <c r="AY117" s="107" t="n">
        <v>16071.43</v>
      </c>
      <c r="AZ117" s="107" t="n">
        <v>23060893</v>
      </c>
      <c r="BA117" s="107" t="n">
        <v>0</v>
      </c>
      <c r="BB117" s="107" t="n">
        <v>0</v>
      </c>
      <c r="BC117" s="107" t="n">
        <v>0</v>
      </c>
      <c r="BD117" s="107" t="n">
        <v>0</v>
      </c>
      <c r="BE117" s="107" t="n">
        <v>0</v>
      </c>
      <c r="BF117" s="107" t="n">
        <v>0</v>
      </c>
      <c r="BG117" s="107" t="n">
        <v>9305.55</v>
      </c>
      <c r="BH117" s="107" t="n">
        <v>12640658</v>
      </c>
      <c r="BI117" s="107" t="n">
        <v>11717232.62</v>
      </c>
      <c r="BJ117" s="107" t="n">
        <v>16813057086</v>
      </c>
      <c r="BK117" s="107" t="n">
        <v>0</v>
      </c>
      <c r="BL117" s="107" t="n">
        <v>0</v>
      </c>
      <c r="BM117" s="107" t="n">
        <v>0</v>
      </c>
      <c r="BN117" s="107" t="n">
        <v>0</v>
      </c>
      <c r="BO117" s="2"/>
      <c r="BP117" s="2"/>
      <c r="BQ117" s="107" t="s">
        <v>532</v>
      </c>
      <c r="BR117" s="107" t="n">
        <v>-76768286</v>
      </c>
      <c r="BS117" s="107" t="n">
        <v>-1229462</v>
      </c>
      <c r="BT117" s="107" t="n">
        <v>0</v>
      </c>
      <c r="BU117" s="107" t="n">
        <v>324851.38</v>
      </c>
      <c r="BV117" s="107" t="n">
        <v>466129246</v>
      </c>
      <c r="BW117" s="107" t="n">
        <v>0</v>
      </c>
      <c r="BX117" s="107" t="n">
        <v>0</v>
      </c>
      <c r="BY117" s="107" t="n">
        <v>25376.98</v>
      </c>
      <c r="BZ117" s="107" t="n">
        <v>34472089</v>
      </c>
      <c r="CA117" s="107" t="n">
        <v>1434.9</v>
      </c>
      <c r="CB117" s="2"/>
      <c r="CC117" s="107" t="n">
        <v>0</v>
      </c>
      <c r="CD117" s="107" t="n">
        <v>98.33</v>
      </c>
      <c r="CE117" s="107" t="n">
        <v>98.34</v>
      </c>
      <c r="CF117" s="107" t="n">
        <v>98.33</v>
      </c>
      <c r="CG117" s="107" t="n">
        <v>1000000</v>
      </c>
      <c r="CH117" s="107" t="n">
        <v>1.4278</v>
      </c>
      <c r="CI117" s="107" t="n">
        <v>100.39</v>
      </c>
      <c r="CJ117" s="107" t="n">
        <v>100.47</v>
      </c>
      <c r="CK117" s="107" t="n">
        <v>100.45</v>
      </c>
      <c r="CL117" s="107" t="n">
        <v>0</v>
      </c>
    </row>
    <row r="118" customFormat="false" ht="15" hidden="false" customHeight="false" outlineLevel="0" collapsed="false">
      <c r="A118" s="107" t="s">
        <v>572</v>
      </c>
      <c r="B118" s="107" t="n">
        <v>98.3027</v>
      </c>
      <c r="C118" s="107" t="n">
        <v>5.7728</v>
      </c>
      <c r="D118" s="107" t="n">
        <v>2.9461</v>
      </c>
      <c r="E118" s="107" t="n">
        <v>-1448.04792235</v>
      </c>
      <c r="F118" s="108" t="s">
        <v>358</v>
      </c>
      <c r="G118" s="107" t="n">
        <v>2.9461</v>
      </c>
      <c r="H118" s="107" t="n">
        <v>-1448.04792235</v>
      </c>
      <c r="I118" s="109" t="n">
        <v>47507</v>
      </c>
      <c r="J118" s="107" t="n">
        <v>5</v>
      </c>
      <c r="K118" s="108" t="s">
        <v>384</v>
      </c>
      <c r="L118" s="107" t="s">
        <v>298</v>
      </c>
      <c r="M118" s="107" t="n">
        <v>14730500</v>
      </c>
      <c r="N118" s="107" t="n">
        <v>101.21</v>
      </c>
      <c r="O118" s="107" t="n">
        <v>4915135</v>
      </c>
      <c r="P118" s="107" t="s">
        <v>448</v>
      </c>
      <c r="Q118" s="107" t="s">
        <v>377</v>
      </c>
      <c r="R118" s="107" t="n">
        <v>-0.101955282499064</v>
      </c>
      <c r="S118" s="107" t="n">
        <v>-0.0287254223890919</v>
      </c>
      <c r="T118" s="107" t="n">
        <v>-1489.82656985</v>
      </c>
      <c r="U118" s="107" t="n">
        <v>21069</v>
      </c>
      <c r="V118" s="108" t="s">
        <v>362</v>
      </c>
      <c r="W118" s="107" t="n">
        <v>34507</v>
      </c>
      <c r="X118" s="108" t="s">
        <v>372</v>
      </c>
      <c r="Y118" s="107" t="s">
        <v>568</v>
      </c>
      <c r="Z118" s="107" t="s">
        <v>573</v>
      </c>
      <c r="AA118" s="109" t="n">
        <v>45826</v>
      </c>
      <c r="AB118" s="107" t="n">
        <v>250618000001</v>
      </c>
      <c r="AC118" s="109" t="n">
        <v>45427</v>
      </c>
      <c r="AD118" s="109" t="n">
        <v>49079</v>
      </c>
      <c r="AE118" s="107" t="n">
        <v>4.375</v>
      </c>
      <c r="AF118" s="107" t="n">
        <v>6.368</v>
      </c>
      <c r="AG118" s="107" t="n">
        <v>2784</v>
      </c>
      <c r="AH118" s="107" t="n">
        <v>2000000</v>
      </c>
      <c r="AI118" s="107" t="n">
        <v>4.35</v>
      </c>
      <c r="AJ118" s="107" t="n">
        <v>100.179457</v>
      </c>
      <c r="AK118" s="107" t="n">
        <v>3.943593</v>
      </c>
      <c r="AL118" s="107" t="n">
        <v>104.450103</v>
      </c>
      <c r="AM118" s="107" t="n">
        <v>5.1601</v>
      </c>
      <c r="AN118" s="107" t="n">
        <v>95.0945</v>
      </c>
      <c r="AO118" s="107" t="n">
        <v>1358.4</v>
      </c>
      <c r="AP118" s="107" t="n">
        <v>1</v>
      </c>
      <c r="AQ118" s="107" t="n">
        <v>1901890</v>
      </c>
      <c r="AR118" s="107" t="n">
        <v>2583527376</v>
      </c>
      <c r="AS118" s="107" t="n">
        <v>2052092</v>
      </c>
      <c r="AT118" s="107" t="n">
        <v>2944546811</v>
      </c>
      <c r="AU118" s="107" t="n">
        <v>-150202</v>
      </c>
      <c r="AV118" s="107" t="n">
        <v>-204034397</v>
      </c>
      <c r="AW118" s="107" t="n">
        <v>0</v>
      </c>
      <c r="AX118" s="107" t="n">
        <v>0</v>
      </c>
      <c r="AY118" s="107" t="n">
        <v>1883.55</v>
      </c>
      <c r="AZ118" s="107" t="n">
        <v>2702706</v>
      </c>
      <c r="BA118" s="107" t="n">
        <v>0</v>
      </c>
      <c r="BB118" s="107" t="n">
        <v>0</v>
      </c>
      <c r="BC118" s="107" t="n">
        <v>925.26</v>
      </c>
      <c r="BD118" s="107" t="n">
        <v>1327655</v>
      </c>
      <c r="BE118" s="107" t="n">
        <v>32812.5</v>
      </c>
      <c r="BF118" s="107" t="n">
        <v>44572500</v>
      </c>
      <c r="BG118" s="107" t="n">
        <v>2214.01</v>
      </c>
      <c r="BH118" s="107" t="n">
        <v>3078293</v>
      </c>
      <c r="BI118" s="107" t="n">
        <v>2001705.59</v>
      </c>
      <c r="BJ118" s="107" t="n">
        <v>2872247351</v>
      </c>
      <c r="BK118" s="107" t="n">
        <v>0</v>
      </c>
      <c r="BL118" s="107" t="n">
        <v>0</v>
      </c>
      <c r="BM118" s="107" t="n">
        <v>0</v>
      </c>
      <c r="BN118" s="107" t="n">
        <v>0</v>
      </c>
      <c r="BO118" s="2"/>
      <c r="BP118" s="2"/>
      <c r="BQ118" s="107" t="s">
        <v>532</v>
      </c>
      <c r="BR118" s="107" t="n">
        <v>-156985038</v>
      </c>
      <c r="BS118" s="107" t="n">
        <v>-144092</v>
      </c>
      <c r="BT118" s="107" t="n">
        <v>-70782</v>
      </c>
      <c r="BU118" s="107" t="n">
        <v>50386.41</v>
      </c>
      <c r="BV118" s="107" t="n">
        <v>72299460</v>
      </c>
      <c r="BW118" s="107" t="n">
        <v>32812.5</v>
      </c>
      <c r="BX118" s="107" t="n">
        <v>44572500</v>
      </c>
      <c r="BY118" s="107" t="n">
        <v>4097.56</v>
      </c>
      <c r="BZ118" s="107" t="n">
        <v>5566125</v>
      </c>
      <c r="CA118" s="107" t="n">
        <v>1434.9</v>
      </c>
      <c r="CB118" s="2"/>
      <c r="CC118" s="107" t="n">
        <v>0</v>
      </c>
      <c r="CD118" s="107" t="n">
        <v>95.05</v>
      </c>
      <c r="CE118" s="107" t="n">
        <v>95.14</v>
      </c>
      <c r="CF118" s="107" t="n">
        <v>95.09</v>
      </c>
      <c r="CG118" s="107" t="n">
        <v>2000000</v>
      </c>
      <c r="CH118" s="107" t="n">
        <v>6.2078</v>
      </c>
      <c r="CI118" s="107" t="n">
        <v>100.39</v>
      </c>
      <c r="CJ118" s="107" t="n">
        <v>100.47</v>
      </c>
      <c r="CK118" s="107" t="n">
        <v>100.45</v>
      </c>
      <c r="CL118" s="107" t="n">
        <v>0</v>
      </c>
    </row>
    <row r="119" customFormat="false" ht="15" hidden="false" customHeight="false" outlineLevel="0" collapsed="false">
      <c r="A119" s="107" t="s">
        <v>574</v>
      </c>
      <c r="B119" s="107" t="n">
        <v>102.5698</v>
      </c>
      <c r="C119" s="107" t="n">
        <v>5.7312</v>
      </c>
      <c r="D119" s="107" t="n">
        <v>1.0282</v>
      </c>
      <c r="E119" s="107" t="n">
        <v>-316.38680508</v>
      </c>
      <c r="F119" s="108" t="s">
        <v>358</v>
      </c>
      <c r="G119" s="107" t="n">
        <v>1.0282</v>
      </c>
      <c r="H119" s="107" t="n">
        <v>-316.38680508</v>
      </c>
      <c r="I119" s="109" t="n">
        <v>46707</v>
      </c>
      <c r="J119" s="107" t="n">
        <v>2</v>
      </c>
      <c r="K119" s="108" t="s">
        <v>90</v>
      </c>
      <c r="L119" s="107" t="s">
        <v>298</v>
      </c>
      <c r="M119" s="107" t="n">
        <v>3084600</v>
      </c>
      <c r="N119" s="107" t="n">
        <v>108.468</v>
      </c>
      <c r="O119" s="107" t="n">
        <v>3077094</v>
      </c>
      <c r="P119" s="107" t="s">
        <v>454</v>
      </c>
      <c r="Q119" s="107" t="s">
        <v>374</v>
      </c>
      <c r="R119" s="107" t="n">
        <v>-0.0880397474631014</v>
      </c>
      <c r="S119" s="107" t="n">
        <v>-0.0543773278755024</v>
      </c>
      <c r="T119" s="107" t="n">
        <v>-325.46423238</v>
      </c>
      <c r="U119" s="107" t="n">
        <v>21069</v>
      </c>
      <c r="V119" s="108" t="s">
        <v>362</v>
      </c>
      <c r="W119" s="107" t="n">
        <v>34507</v>
      </c>
      <c r="X119" s="108" t="s">
        <v>372</v>
      </c>
      <c r="Y119" s="107" t="s">
        <v>570</v>
      </c>
      <c r="Z119" s="107" t="s">
        <v>575</v>
      </c>
      <c r="AA119" s="109" t="n">
        <v>45826</v>
      </c>
      <c r="AB119" s="107" t="n">
        <v>250618000001</v>
      </c>
      <c r="AC119" s="109" t="n">
        <v>45792</v>
      </c>
      <c r="AD119" s="109" t="n">
        <v>49444</v>
      </c>
      <c r="AE119" s="107" t="n">
        <v>4.25</v>
      </c>
      <c r="AF119" s="107" t="n">
        <v>7.0731</v>
      </c>
      <c r="AG119" s="107" t="n">
        <v>3149</v>
      </c>
      <c r="AH119" s="107" t="n">
        <v>15000000</v>
      </c>
      <c r="AI119" s="107" t="n">
        <v>4.4</v>
      </c>
      <c r="AJ119" s="107" t="n">
        <v>98.8024</v>
      </c>
      <c r="AK119" s="107" t="n">
        <v>4.061881</v>
      </c>
      <c r="AL119" s="107" t="n">
        <v>102.943134</v>
      </c>
      <c r="AM119" s="107" t="n">
        <v>5.1987</v>
      </c>
      <c r="AN119" s="107" t="n">
        <v>93.4636</v>
      </c>
      <c r="AO119" s="107" t="n">
        <v>1358.4</v>
      </c>
      <c r="AP119" s="107" t="n">
        <v>1</v>
      </c>
      <c r="AQ119" s="107" t="n">
        <v>14019540</v>
      </c>
      <c r="AR119" s="107" t="n">
        <v>19044143136</v>
      </c>
      <c r="AS119" s="107" t="n">
        <v>15187140</v>
      </c>
      <c r="AT119" s="107" t="n">
        <v>21792027187</v>
      </c>
      <c r="AU119" s="107" t="n">
        <v>-1167600</v>
      </c>
      <c r="AV119" s="107" t="n">
        <v>-1586067840</v>
      </c>
      <c r="AW119" s="107" t="n">
        <v>0</v>
      </c>
      <c r="AX119" s="107" t="n">
        <v>0</v>
      </c>
      <c r="AY119" s="107" t="n">
        <v>1032.01</v>
      </c>
      <c r="AZ119" s="107" t="n">
        <v>1480829</v>
      </c>
      <c r="BA119" s="107" t="n">
        <v>0</v>
      </c>
      <c r="BB119" s="107" t="n">
        <v>0</v>
      </c>
      <c r="BC119" s="107" t="n">
        <v>5241</v>
      </c>
      <c r="BD119" s="107" t="n">
        <v>7520311</v>
      </c>
      <c r="BE119" s="107" t="n">
        <v>239062.5</v>
      </c>
      <c r="BF119" s="107" t="n">
        <v>324742500</v>
      </c>
      <c r="BG119" s="107" t="n">
        <v>14235.66</v>
      </c>
      <c r="BH119" s="107" t="n">
        <v>19738657</v>
      </c>
      <c r="BI119" s="107" t="n">
        <v>19759103.99</v>
      </c>
      <c r="BJ119" s="107" t="n">
        <v>28352338315</v>
      </c>
      <c r="BK119" s="107" t="n">
        <v>0</v>
      </c>
      <c r="BL119" s="107" t="n">
        <v>0</v>
      </c>
      <c r="BM119" s="107" t="n">
        <v>0</v>
      </c>
      <c r="BN119" s="107" t="n">
        <v>0</v>
      </c>
      <c r="BO119" s="2"/>
      <c r="BP119" s="2"/>
      <c r="BQ119" s="107" t="s">
        <v>532</v>
      </c>
      <c r="BR119" s="107" t="n">
        <v>-1161816211</v>
      </c>
      <c r="BS119" s="107" t="n">
        <v>-78947</v>
      </c>
      <c r="BT119" s="107" t="n">
        <v>-400937</v>
      </c>
      <c r="BU119" s="107" t="n">
        <v>490416.01</v>
      </c>
      <c r="BV119" s="107" t="n">
        <v>703697933</v>
      </c>
      <c r="BW119" s="107" t="n">
        <v>239062.5</v>
      </c>
      <c r="BX119" s="107" t="n">
        <v>324742500</v>
      </c>
      <c r="BY119" s="107" t="n">
        <v>15267.67</v>
      </c>
      <c r="BZ119" s="107" t="n">
        <v>20739602</v>
      </c>
      <c r="CA119" s="107" t="n">
        <v>1434.9</v>
      </c>
      <c r="CB119" s="2"/>
      <c r="CC119" s="107" t="n">
        <v>0</v>
      </c>
      <c r="CD119" s="107" t="n">
        <v>93.42</v>
      </c>
      <c r="CE119" s="107" t="n">
        <v>93.52</v>
      </c>
      <c r="CF119" s="107" t="n">
        <v>93.45</v>
      </c>
      <c r="CG119" s="107" t="n">
        <v>15000000</v>
      </c>
      <c r="CH119" s="107" t="n">
        <v>6.8939</v>
      </c>
      <c r="CI119" s="107" t="n">
        <v>99.33</v>
      </c>
      <c r="CJ119" s="107" t="n">
        <v>99.33</v>
      </c>
      <c r="CK119" s="107" t="n">
        <v>99.31</v>
      </c>
      <c r="CL119" s="107" t="n">
        <v>0</v>
      </c>
    </row>
    <row r="120" customFormat="false" ht="15" hidden="false" customHeight="false" outlineLevel="0" collapsed="false">
      <c r="A120" s="107" t="s">
        <v>576</v>
      </c>
      <c r="B120" s="107" t="n">
        <v>100.5163</v>
      </c>
      <c r="C120" s="107" t="n">
        <v>5.9771</v>
      </c>
      <c r="D120" s="107" t="n">
        <v>0.6449</v>
      </c>
      <c r="E120" s="107" t="n">
        <v>-129.64592374</v>
      </c>
      <c r="F120" s="108" t="s">
        <v>358</v>
      </c>
      <c r="G120" s="107" t="n">
        <v>0.6449</v>
      </c>
      <c r="H120" s="107" t="n">
        <v>-129.64592374</v>
      </c>
      <c r="I120" s="109" t="n">
        <v>46426</v>
      </c>
      <c r="J120" s="107" t="n">
        <v>1</v>
      </c>
      <c r="K120" s="108" t="s">
        <v>90</v>
      </c>
      <c r="L120" s="107" t="s">
        <v>298</v>
      </c>
      <c r="M120" s="107" t="n">
        <v>1289800</v>
      </c>
      <c r="N120" s="107" t="n">
        <v>101.804</v>
      </c>
      <c r="O120" s="107" t="n">
        <v>2010326</v>
      </c>
      <c r="P120" s="107" t="s">
        <v>454</v>
      </c>
      <c r="Q120" s="107" t="s">
        <v>374</v>
      </c>
      <c r="R120" s="107" t="n">
        <v>-0.0935617584070263</v>
      </c>
      <c r="S120" s="107" t="n">
        <v>-0.0126488153707124</v>
      </c>
      <c r="T120" s="107" t="n">
        <v>-133.52585292</v>
      </c>
      <c r="U120" s="107" t="n">
        <v>21069</v>
      </c>
      <c r="V120" s="108" t="s">
        <v>362</v>
      </c>
      <c r="W120" s="107" t="n">
        <v>34507</v>
      </c>
      <c r="X120" s="108" t="s">
        <v>372</v>
      </c>
      <c r="Y120" s="107" t="s">
        <v>572</v>
      </c>
      <c r="Z120" s="107" t="s">
        <v>577</v>
      </c>
      <c r="AA120" s="109" t="n">
        <v>45812</v>
      </c>
      <c r="AB120" s="107" t="n">
        <v>250604000001</v>
      </c>
      <c r="AC120" s="109" t="n">
        <v>45681</v>
      </c>
      <c r="AD120" s="109" t="n">
        <v>47872</v>
      </c>
      <c r="AE120" s="107" t="n">
        <v>5.244</v>
      </c>
      <c r="AF120" s="107" t="n">
        <v>3.0287</v>
      </c>
      <c r="AG120" s="107" t="n">
        <v>1577</v>
      </c>
      <c r="AH120" s="107" t="n">
        <v>5000000</v>
      </c>
      <c r="AI120" s="107" t="n">
        <v>4.947</v>
      </c>
      <c r="AJ120" s="107" t="n">
        <v>101.21</v>
      </c>
      <c r="AK120" s="107" t="n">
        <v>4.281832</v>
      </c>
      <c r="AL120" s="107" t="n">
        <v>104.7106</v>
      </c>
      <c r="AM120" s="107" t="n">
        <v>5.7476</v>
      </c>
      <c r="AN120" s="107" t="n">
        <v>98.3859</v>
      </c>
      <c r="AO120" s="107" t="n">
        <v>1358.4</v>
      </c>
      <c r="AP120" s="107" t="n">
        <v>1</v>
      </c>
      <c r="AQ120" s="107" t="n">
        <v>4919295</v>
      </c>
      <c r="AR120" s="107" t="n">
        <v>6682370328</v>
      </c>
      <c r="AS120" s="107" t="n">
        <v>5187460</v>
      </c>
      <c r="AT120" s="107" t="n">
        <v>7443486354</v>
      </c>
      <c r="AU120" s="107" t="n">
        <v>-268165</v>
      </c>
      <c r="AV120" s="107" t="n">
        <v>-364275336</v>
      </c>
      <c r="AW120" s="107" t="n">
        <v>0</v>
      </c>
      <c r="AX120" s="107" t="n">
        <v>0</v>
      </c>
      <c r="AY120" s="107" t="n">
        <v>0</v>
      </c>
      <c r="AZ120" s="107" t="n">
        <v>0</v>
      </c>
      <c r="BA120" s="107" t="n">
        <v>0</v>
      </c>
      <c r="BB120" s="107" t="n">
        <v>0</v>
      </c>
      <c r="BC120" s="107" t="n">
        <v>0</v>
      </c>
      <c r="BD120" s="107" t="n">
        <v>0</v>
      </c>
      <c r="BE120" s="107" t="n">
        <v>48070</v>
      </c>
      <c r="BF120" s="107" t="n">
        <v>65298288</v>
      </c>
      <c r="BG120" s="107" t="n">
        <v>0</v>
      </c>
      <c r="BH120" s="107" t="n">
        <v>0</v>
      </c>
      <c r="BI120" s="107" t="n">
        <v>5060500</v>
      </c>
      <c r="BJ120" s="107" t="n">
        <v>7261311450</v>
      </c>
      <c r="BK120" s="107" t="n">
        <v>0</v>
      </c>
      <c r="BL120" s="107" t="n">
        <v>0</v>
      </c>
      <c r="BM120" s="107" t="n">
        <v>0</v>
      </c>
      <c r="BN120" s="107" t="n">
        <v>0</v>
      </c>
      <c r="BO120" s="107" t="s">
        <v>374</v>
      </c>
      <c r="BP120" s="2"/>
      <c r="BQ120" s="107" t="s">
        <v>367</v>
      </c>
      <c r="BR120" s="107" t="n">
        <v>-396840690</v>
      </c>
      <c r="BS120" s="107" t="n">
        <v>0</v>
      </c>
      <c r="BT120" s="107" t="n">
        <v>0</v>
      </c>
      <c r="BU120" s="107" t="n">
        <v>126960</v>
      </c>
      <c r="BV120" s="107" t="n">
        <v>182174904</v>
      </c>
      <c r="BW120" s="107" t="n">
        <v>48070</v>
      </c>
      <c r="BX120" s="107" t="n">
        <v>65298288</v>
      </c>
      <c r="BY120" s="107" t="n">
        <v>0</v>
      </c>
      <c r="BZ120" s="107" t="n">
        <v>0</v>
      </c>
      <c r="CA120" s="107" t="n">
        <v>1434.9</v>
      </c>
      <c r="CB120" s="2"/>
      <c r="CC120" s="107" t="n">
        <v>0</v>
      </c>
      <c r="CD120" s="107" t="n">
        <v>98.4</v>
      </c>
      <c r="CE120" s="107" t="n">
        <v>98.41</v>
      </c>
      <c r="CF120" s="107" t="n">
        <v>98.34</v>
      </c>
      <c r="CG120" s="107" t="n">
        <v>0</v>
      </c>
      <c r="CH120" s="107" t="n">
        <v>2.9441</v>
      </c>
      <c r="CI120" s="107" t="n">
        <v>98.2</v>
      </c>
      <c r="CJ120" s="107" t="n">
        <v>98.21</v>
      </c>
      <c r="CK120" s="107" t="n">
        <v>98.09</v>
      </c>
      <c r="CL120" s="107" t="n">
        <v>0</v>
      </c>
    </row>
    <row r="121" customFormat="false" ht="15" hidden="false" customHeight="false" outlineLevel="0" collapsed="false">
      <c r="A121" s="107" t="s">
        <v>578</v>
      </c>
      <c r="B121" s="107" t="n">
        <v>99.517</v>
      </c>
      <c r="C121" s="107" t="n">
        <v>5.6206</v>
      </c>
      <c r="D121" s="107" t="n">
        <v>2.137</v>
      </c>
      <c r="E121" s="107" t="n">
        <v>-2126.67829</v>
      </c>
      <c r="F121" s="108" t="s">
        <v>358</v>
      </c>
      <c r="G121" s="107" t="n">
        <v>2.137</v>
      </c>
      <c r="H121" s="107" t="n">
        <v>-2126.67829</v>
      </c>
      <c r="I121" s="109" t="n">
        <v>47157</v>
      </c>
      <c r="J121" s="107" t="n">
        <v>3</v>
      </c>
      <c r="K121" s="108" t="s">
        <v>90</v>
      </c>
      <c r="L121" s="107" t="s">
        <v>298</v>
      </c>
      <c r="M121" s="107" t="n">
        <v>21370000</v>
      </c>
      <c r="N121" s="107" t="n">
        <v>103.29</v>
      </c>
      <c r="O121" s="107" t="n">
        <v>9951700</v>
      </c>
      <c r="P121" s="107" t="s">
        <v>457</v>
      </c>
      <c r="Q121" s="107" t="s">
        <v>106</v>
      </c>
      <c r="R121" s="107" t="n">
        <v>-0.088662515398316</v>
      </c>
      <c r="S121" s="107" t="n">
        <v>-0.0365282215122472</v>
      </c>
      <c r="T121" s="107" t="n">
        <v>-2186.488007</v>
      </c>
      <c r="U121" s="107" t="n">
        <v>21069</v>
      </c>
      <c r="V121" s="108" t="s">
        <v>362</v>
      </c>
      <c r="W121" s="107" t="n">
        <v>34507</v>
      </c>
      <c r="X121" s="108" t="s">
        <v>372</v>
      </c>
      <c r="Y121" s="107" t="s">
        <v>574</v>
      </c>
      <c r="Z121" s="107" t="s">
        <v>579</v>
      </c>
      <c r="AA121" s="109" t="n">
        <v>45581</v>
      </c>
      <c r="AB121" s="107" t="n">
        <v>241016000001</v>
      </c>
      <c r="AC121" s="109" t="n">
        <v>44881</v>
      </c>
      <c r="AD121" s="109" t="n">
        <v>47073</v>
      </c>
      <c r="AE121" s="107" t="n">
        <v>7.767</v>
      </c>
      <c r="AF121" s="107" t="n">
        <v>1.0551</v>
      </c>
      <c r="AG121" s="107" t="n">
        <v>778</v>
      </c>
      <c r="AH121" s="107" t="n">
        <v>3000000</v>
      </c>
      <c r="AI121" s="107" t="n">
        <v>4.77846</v>
      </c>
      <c r="AJ121" s="107" t="n">
        <v>108.468</v>
      </c>
      <c r="AK121" s="107" t="n">
        <v>4.476036</v>
      </c>
      <c r="AL121" s="107" t="n">
        <v>109.49195</v>
      </c>
      <c r="AM121" s="107" t="n">
        <v>5.7113</v>
      </c>
      <c r="AN121" s="107" t="n">
        <v>102.5823</v>
      </c>
      <c r="AO121" s="107" t="n">
        <v>1358.4</v>
      </c>
      <c r="AP121" s="107" t="n">
        <v>1</v>
      </c>
      <c r="AQ121" s="107" t="n">
        <v>3077469</v>
      </c>
      <c r="AR121" s="107" t="n">
        <v>4180433890</v>
      </c>
      <c r="AS121" s="107" t="n">
        <v>3198027</v>
      </c>
      <c r="AT121" s="107" t="n">
        <v>4588848942</v>
      </c>
      <c r="AU121" s="107" t="n">
        <v>-120558</v>
      </c>
      <c r="AV121" s="107" t="n">
        <v>-163765987</v>
      </c>
      <c r="AW121" s="107" t="n">
        <v>0</v>
      </c>
      <c r="AX121" s="107" t="n">
        <v>0</v>
      </c>
      <c r="AY121" s="107" t="n">
        <v>0</v>
      </c>
      <c r="AZ121" s="107" t="n">
        <v>0</v>
      </c>
      <c r="BA121" s="107" t="n">
        <v>0</v>
      </c>
      <c r="BB121" s="107" t="n">
        <v>0</v>
      </c>
      <c r="BC121" s="107" t="n">
        <v>0</v>
      </c>
      <c r="BD121" s="107" t="n">
        <v>0</v>
      </c>
      <c r="BE121" s="107" t="n">
        <v>86731.5</v>
      </c>
      <c r="BF121" s="107" t="n">
        <v>117816069</v>
      </c>
      <c r="BG121" s="107" t="n">
        <v>0</v>
      </c>
      <c r="BH121" s="107" t="n">
        <v>0</v>
      </c>
      <c r="BI121" s="107" t="n">
        <v>3254040</v>
      </c>
      <c r="BJ121" s="107" t="n">
        <v>4670825610</v>
      </c>
      <c r="BK121" s="107" t="n">
        <v>0</v>
      </c>
      <c r="BL121" s="107" t="n">
        <v>0</v>
      </c>
      <c r="BM121" s="107" t="n">
        <v>0</v>
      </c>
      <c r="BN121" s="107" t="n">
        <v>0</v>
      </c>
      <c r="BO121" s="107" t="s">
        <v>377</v>
      </c>
      <c r="BP121" s="2"/>
      <c r="BQ121" s="107" t="s">
        <v>106</v>
      </c>
      <c r="BR121" s="107" t="n">
        <v>-244649065</v>
      </c>
      <c r="BS121" s="107" t="n">
        <v>0</v>
      </c>
      <c r="BT121" s="107" t="n">
        <v>0</v>
      </c>
      <c r="BU121" s="107" t="n">
        <v>-56013</v>
      </c>
      <c r="BV121" s="107" t="n">
        <v>-81976668</v>
      </c>
      <c r="BW121" s="107" t="n">
        <v>86731.5</v>
      </c>
      <c r="BX121" s="107" t="n">
        <v>117816069</v>
      </c>
      <c r="BY121" s="107" t="n">
        <v>0</v>
      </c>
      <c r="BZ121" s="107" t="n">
        <v>0</v>
      </c>
      <c r="CA121" s="107" t="n">
        <v>1434.9</v>
      </c>
      <c r="CB121" s="2"/>
      <c r="CC121" s="107" t="n">
        <v>0</v>
      </c>
      <c r="CD121" s="107" t="n">
        <v>102.52</v>
      </c>
      <c r="CE121" s="107" t="n">
        <v>102.62</v>
      </c>
      <c r="CF121" s="107" t="n">
        <v>102.61</v>
      </c>
      <c r="CG121" s="107" t="n">
        <v>0</v>
      </c>
      <c r="CH121" s="107" t="n">
        <v>1.0258</v>
      </c>
      <c r="CI121" s="107" t="n">
        <v>98.2</v>
      </c>
      <c r="CJ121" s="107" t="n">
        <v>98.21</v>
      </c>
      <c r="CK121" s="107" t="n">
        <v>98.09</v>
      </c>
      <c r="CL121" s="107" t="n">
        <v>0</v>
      </c>
    </row>
    <row r="122" customFormat="false" ht="15" hidden="false" customHeight="false" outlineLevel="0" collapsed="false">
      <c r="A122" s="107" t="s">
        <v>580</v>
      </c>
      <c r="B122" s="107" t="n">
        <v>98.0882</v>
      </c>
      <c r="C122" s="107" t="n">
        <v>5.8002</v>
      </c>
      <c r="D122" s="107" t="n">
        <v>3.5362</v>
      </c>
      <c r="E122" s="107" t="n">
        <v>-1734.2974642</v>
      </c>
      <c r="F122" s="108" t="s">
        <v>358</v>
      </c>
      <c r="G122" s="107" t="n">
        <v>3.5362</v>
      </c>
      <c r="H122" s="107" t="n">
        <v>-1734.2974642</v>
      </c>
      <c r="I122" s="109" t="n">
        <v>47767</v>
      </c>
      <c r="J122" s="107" t="n">
        <v>5</v>
      </c>
      <c r="K122" s="108" t="s">
        <v>90</v>
      </c>
      <c r="L122" s="107" t="s">
        <v>298</v>
      </c>
      <c r="M122" s="107" t="n">
        <v>17681000</v>
      </c>
      <c r="N122" s="107" t="n">
        <v>100.088</v>
      </c>
      <c r="O122" s="107" t="n">
        <v>4904410</v>
      </c>
      <c r="P122" s="107" t="s">
        <v>457</v>
      </c>
      <c r="Q122" s="107" t="s">
        <v>106</v>
      </c>
      <c r="R122" s="107" t="n">
        <v>-0.00616909062460349</v>
      </c>
      <c r="S122" s="107" t="n">
        <v>-0.0199804172328351</v>
      </c>
      <c r="T122" s="107" t="n">
        <v>-1784.6167108</v>
      </c>
      <c r="U122" s="107" t="n">
        <v>21069</v>
      </c>
      <c r="V122" s="108" t="s">
        <v>362</v>
      </c>
      <c r="W122" s="107" t="n">
        <v>34507</v>
      </c>
      <c r="X122" s="108" t="s">
        <v>372</v>
      </c>
      <c r="Y122" s="107" t="s">
        <v>576</v>
      </c>
      <c r="Z122" s="107" t="s">
        <v>581</v>
      </c>
      <c r="AA122" s="109" t="n">
        <v>46127</v>
      </c>
      <c r="AB122" s="107" t="n">
        <v>260415000001</v>
      </c>
      <c r="AC122" s="109" t="n">
        <v>45238</v>
      </c>
      <c r="AD122" s="109" t="n">
        <v>46791</v>
      </c>
      <c r="AE122" s="107" t="n">
        <v>6.75</v>
      </c>
      <c r="AF122" s="107" t="n">
        <v>0.6622</v>
      </c>
      <c r="AG122" s="107" t="n">
        <v>496</v>
      </c>
      <c r="AH122" s="107" t="n">
        <v>2000000</v>
      </c>
      <c r="AI122" s="107" t="n">
        <v>4.45</v>
      </c>
      <c r="AJ122" s="107" t="n">
        <v>101.804</v>
      </c>
      <c r="AK122" s="107" t="n">
        <v>6.630216</v>
      </c>
      <c r="AL122" s="107" t="n">
        <v>102.779</v>
      </c>
      <c r="AM122" s="107" t="n">
        <v>5.9665</v>
      </c>
      <c r="AN122" s="107" t="n">
        <v>100.5227</v>
      </c>
      <c r="AO122" s="107" t="n">
        <v>1358.4</v>
      </c>
      <c r="AP122" s="107" t="n">
        <v>1</v>
      </c>
      <c r="AQ122" s="107" t="n">
        <v>2010454</v>
      </c>
      <c r="AR122" s="107" t="n">
        <v>2731000714</v>
      </c>
      <c r="AS122" s="107" t="n">
        <v>2036080</v>
      </c>
      <c r="AT122" s="107" t="n">
        <v>3016248912</v>
      </c>
      <c r="AU122" s="107" t="n">
        <v>-25626</v>
      </c>
      <c r="AV122" s="107" t="n">
        <v>-34810358</v>
      </c>
      <c r="AW122" s="107" t="n">
        <v>0</v>
      </c>
      <c r="AX122" s="107" t="n">
        <v>0</v>
      </c>
      <c r="AY122" s="107" t="n">
        <v>0</v>
      </c>
      <c r="AZ122" s="107" t="n">
        <v>0</v>
      </c>
      <c r="BA122" s="107" t="n">
        <v>0</v>
      </c>
      <c r="BB122" s="107" t="n">
        <v>0</v>
      </c>
      <c r="BC122" s="107" t="n">
        <v>0</v>
      </c>
      <c r="BD122" s="107" t="n">
        <v>0</v>
      </c>
      <c r="BE122" s="107" t="n">
        <v>19500</v>
      </c>
      <c r="BF122" s="107" t="n">
        <v>26488800</v>
      </c>
      <c r="BG122" s="107" t="n">
        <v>0</v>
      </c>
      <c r="BH122" s="107" t="n">
        <v>0</v>
      </c>
      <c r="BI122" s="107" t="n">
        <v>2036080</v>
      </c>
      <c r="BJ122" s="107" t="n">
        <v>3016248912</v>
      </c>
      <c r="BK122" s="107" t="n">
        <v>0</v>
      </c>
      <c r="BL122" s="107" t="n">
        <v>0</v>
      </c>
      <c r="BM122" s="107" t="n">
        <v>0</v>
      </c>
      <c r="BN122" s="107" t="n">
        <v>0</v>
      </c>
      <c r="BO122" s="107" t="s">
        <v>377</v>
      </c>
      <c r="BP122" s="2"/>
      <c r="BQ122" s="107" t="s">
        <v>106</v>
      </c>
      <c r="BR122" s="107" t="n">
        <v>-250437840</v>
      </c>
      <c r="BS122" s="107" t="n">
        <v>0</v>
      </c>
      <c r="BT122" s="107" t="n">
        <v>0</v>
      </c>
      <c r="BU122" s="107" t="n">
        <v>0</v>
      </c>
      <c r="BV122" s="107" t="n">
        <v>0</v>
      </c>
      <c r="BW122" s="107" t="n">
        <v>19500</v>
      </c>
      <c r="BX122" s="107" t="n">
        <v>26488800</v>
      </c>
      <c r="BY122" s="107" t="n">
        <v>0</v>
      </c>
      <c r="BZ122" s="107" t="n">
        <v>0</v>
      </c>
      <c r="CA122" s="107" t="n">
        <v>1481.4</v>
      </c>
      <c r="CB122" s="2"/>
      <c r="CC122" s="107" t="n">
        <v>0</v>
      </c>
      <c r="CD122" s="107" t="n">
        <v>100.55</v>
      </c>
      <c r="CE122" s="107" t="n">
        <v>100.51</v>
      </c>
      <c r="CF122" s="107" t="n">
        <v>100.5</v>
      </c>
      <c r="CG122" s="107" t="n">
        <v>0</v>
      </c>
      <c r="CH122" s="107" t="n">
        <v>0.643</v>
      </c>
      <c r="CI122" s="107" t="n">
        <v>97.68</v>
      </c>
      <c r="CJ122" s="107" t="n">
        <v>97.91</v>
      </c>
      <c r="CK122" s="107" t="n">
        <v>98.01</v>
      </c>
      <c r="CL122" s="107" t="n">
        <v>0</v>
      </c>
    </row>
    <row r="123" customFormat="false" ht="15" hidden="false" customHeight="false" outlineLevel="0" collapsed="false">
      <c r="A123" s="107" t="s">
        <v>582</v>
      </c>
      <c r="B123" s="107" t="n">
        <v>93.7253</v>
      </c>
      <c r="C123" s="107" t="n">
        <v>6.2857</v>
      </c>
      <c r="D123" s="107" t="n">
        <v>6.8416</v>
      </c>
      <c r="E123" s="107" t="n">
        <v>-128.246202496</v>
      </c>
      <c r="F123" s="108" t="s">
        <v>358</v>
      </c>
      <c r="G123" s="107" t="n">
        <v>6.8416</v>
      </c>
      <c r="H123" s="107" t="n">
        <v>-128.246202496</v>
      </c>
      <c r="I123" s="109" t="n">
        <v>49561</v>
      </c>
      <c r="J123" s="107" t="n">
        <v>10</v>
      </c>
      <c r="K123" s="108" t="s">
        <v>92</v>
      </c>
      <c r="L123" s="107" t="s">
        <v>298</v>
      </c>
      <c r="M123" s="107" t="n">
        <v>1368320</v>
      </c>
      <c r="N123" s="107" t="n">
        <v>100</v>
      </c>
      <c r="O123" s="107" t="n">
        <v>187450.6</v>
      </c>
      <c r="P123" s="107" t="s">
        <v>460</v>
      </c>
      <c r="Q123" s="107" t="s">
        <v>377</v>
      </c>
      <c r="R123" s="107" t="n">
        <v>-0.126438868783007</v>
      </c>
      <c r="S123" s="107" t="n">
        <v>-0.062747</v>
      </c>
      <c r="T123" s="107" t="n">
        <v>-132.276390396</v>
      </c>
      <c r="U123" s="107" t="n">
        <v>21069</v>
      </c>
      <c r="V123" s="108" t="s">
        <v>362</v>
      </c>
      <c r="W123" s="107" t="n">
        <v>34507</v>
      </c>
      <c r="X123" s="108" t="s">
        <v>372</v>
      </c>
      <c r="Y123" s="107" t="s">
        <v>578</v>
      </c>
      <c r="Z123" s="107" t="s">
        <v>583</v>
      </c>
      <c r="AA123" s="109" t="n">
        <v>45910</v>
      </c>
      <c r="AB123" s="107" t="n">
        <v>250910000001</v>
      </c>
      <c r="AC123" s="109" t="n">
        <v>45299</v>
      </c>
      <c r="AD123" s="109" t="n">
        <v>47522</v>
      </c>
      <c r="AE123" s="107" t="n">
        <v>5.428</v>
      </c>
      <c r="AF123" s="107" t="n">
        <v>2.1943</v>
      </c>
      <c r="AG123" s="107" t="n">
        <v>1227</v>
      </c>
      <c r="AH123" s="107" t="n">
        <v>10000000</v>
      </c>
      <c r="AI123" s="107" t="n">
        <v>4.377833</v>
      </c>
      <c r="AJ123" s="107" t="n">
        <v>103.29</v>
      </c>
      <c r="AK123" s="107" t="n">
        <v>4.295315</v>
      </c>
      <c r="AL123" s="107" t="n">
        <v>104.282844</v>
      </c>
      <c r="AM123" s="107" t="n">
        <v>5.5727</v>
      </c>
      <c r="AN123" s="107" t="n">
        <v>99.6327</v>
      </c>
      <c r="AO123" s="107" t="n">
        <v>1358.4</v>
      </c>
      <c r="AP123" s="107" t="n">
        <v>1</v>
      </c>
      <c r="AQ123" s="107" t="n">
        <v>9963270</v>
      </c>
      <c r="AR123" s="107" t="n">
        <v>13534105968</v>
      </c>
      <c r="AS123" s="107" t="n">
        <v>10349880</v>
      </c>
      <c r="AT123" s="107" t="n">
        <v>14851042812</v>
      </c>
      <c r="AU123" s="107" t="n">
        <v>-386610</v>
      </c>
      <c r="AV123" s="107" t="n">
        <v>-525171024</v>
      </c>
      <c r="AW123" s="107" t="n">
        <v>0</v>
      </c>
      <c r="AX123" s="107" t="n">
        <v>0</v>
      </c>
      <c r="AY123" s="107" t="n">
        <v>0</v>
      </c>
      <c r="AZ123" s="107" t="n">
        <v>0</v>
      </c>
      <c r="BA123" s="107" t="n">
        <v>0</v>
      </c>
      <c r="BB123" s="107" t="n">
        <v>0</v>
      </c>
      <c r="BC123" s="107" t="n">
        <v>0</v>
      </c>
      <c r="BD123" s="107" t="n">
        <v>0</v>
      </c>
      <c r="BE123" s="107" t="n">
        <v>78404.44</v>
      </c>
      <c r="BF123" s="107" t="n">
        <v>106504591</v>
      </c>
      <c r="BG123" s="107" t="n">
        <v>0</v>
      </c>
      <c r="BH123" s="107" t="n">
        <v>0</v>
      </c>
      <c r="BI123" s="107" t="n">
        <v>10329000</v>
      </c>
      <c r="BJ123" s="107" t="n">
        <v>14821082100</v>
      </c>
      <c r="BK123" s="107" t="n">
        <v>0</v>
      </c>
      <c r="BL123" s="107" t="n">
        <v>0</v>
      </c>
      <c r="BM123" s="107" t="n">
        <v>0</v>
      </c>
      <c r="BN123" s="107" t="n">
        <v>0</v>
      </c>
      <c r="BO123" s="107" t="s">
        <v>374</v>
      </c>
      <c r="BP123" s="2"/>
      <c r="BQ123" s="107" t="s">
        <v>106</v>
      </c>
      <c r="BR123" s="107" t="n">
        <v>-791765820</v>
      </c>
      <c r="BS123" s="107" t="n">
        <v>0</v>
      </c>
      <c r="BT123" s="107" t="n">
        <v>0</v>
      </c>
      <c r="BU123" s="107" t="n">
        <v>20880</v>
      </c>
      <c r="BV123" s="107" t="n">
        <v>29960712</v>
      </c>
      <c r="BW123" s="107" t="n">
        <v>78404.44</v>
      </c>
      <c r="BX123" s="107" t="n">
        <v>106504591</v>
      </c>
      <c r="BY123" s="107" t="n">
        <v>0</v>
      </c>
      <c r="BZ123" s="107" t="n">
        <v>0</v>
      </c>
      <c r="CA123" s="107" t="n">
        <v>1434.9</v>
      </c>
      <c r="CB123" s="2"/>
      <c r="CC123" s="107" t="n">
        <v>0</v>
      </c>
      <c r="CD123" s="107" t="n">
        <v>99.62</v>
      </c>
      <c r="CE123" s="107" t="n">
        <v>99.64</v>
      </c>
      <c r="CF123" s="107" t="n">
        <v>99.63</v>
      </c>
      <c r="CG123" s="107" t="n">
        <v>1000000</v>
      </c>
      <c r="CH123" s="107" t="n">
        <v>2.1348</v>
      </c>
      <c r="CI123" s="107" t="n">
        <v>99.66</v>
      </c>
      <c r="CJ123" s="107" t="n">
        <v>99.74</v>
      </c>
      <c r="CK123" s="107" t="n">
        <v>99.81</v>
      </c>
      <c r="CL123" s="107" t="n">
        <v>3400000</v>
      </c>
    </row>
    <row r="124" customFormat="false" ht="15" hidden="false" customHeight="false" outlineLevel="0" collapsed="false">
      <c r="A124" s="107" t="s">
        <v>459</v>
      </c>
      <c r="B124" s="107" t="n">
        <v>98.195</v>
      </c>
      <c r="C124" s="107" t="n">
        <v>5.7469</v>
      </c>
      <c r="D124" s="107" t="n">
        <v>2.6911</v>
      </c>
      <c r="E124" s="107" t="n">
        <v>-52.8505129</v>
      </c>
      <c r="F124" s="108" t="s">
        <v>358</v>
      </c>
      <c r="G124" s="107" t="n">
        <v>2.6911</v>
      </c>
      <c r="H124" s="107" t="n">
        <v>-52.8505129</v>
      </c>
      <c r="I124" s="109" t="n">
        <v>47407</v>
      </c>
      <c r="J124" s="107" t="n">
        <v>3</v>
      </c>
      <c r="K124" s="108" t="s">
        <v>92</v>
      </c>
      <c r="L124" s="107" t="s">
        <v>298</v>
      </c>
      <c r="M124" s="107" t="n">
        <v>538220</v>
      </c>
      <c r="N124" s="107" t="n">
        <v>100</v>
      </c>
      <c r="O124" s="107" t="n">
        <v>196390</v>
      </c>
      <c r="P124" s="107" t="s">
        <v>460</v>
      </c>
      <c r="Q124" s="107" t="s">
        <v>374</v>
      </c>
      <c r="R124" s="107" t="n">
        <v>-0.0890210664168305</v>
      </c>
      <c r="S124" s="107" t="n">
        <v>-0.0180500000000001</v>
      </c>
      <c r="T124" s="107" t="n">
        <v>-54.3686076</v>
      </c>
      <c r="U124" s="107" t="n">
        <v>21069</v>
      </c>
      <c r="V124" s="108" t="s">
        <v>362</v>
      </c>
      <c r="W124" s="107" t="n">
        <v>34507</v>
      </c>
      <c r="X124" s="108" t="s">
        <v>372</v>
      </c>
      <c r="Y124" s="107" t="s">
        <v>580</v>
      </c>
      <c r="Z124" s="107" t="s">
        <v>584</v>
      </c>
      <c r="AA124" s="109" t="n">
        <v>46276</v>
      </c>
      <c r="AB124" s="107" t="n">
        <v>260911000001</v>
      </c>
      <c r="AC124" s="109" t="n">
        <v>46276</v>
      </c>
      <c r="AD124" s="109" t="n">
        <v>48132</v>
      </c>
      <c r="AE124" s="107" t="n">
        <v>5.3791</v>
      </c>
      <c r="AF124" s="107" t="n">
        <v>3.6364</v>
      </c>
      <c r="AG124" s="107" t="n">
        <v>1837</v>
      </c>
      <c r="AH124" s="107" t="n">
        <v>5000000</v>
      </c>
      <c r="AI124" s="107" t="n">
        <v>5.352963</v>
      </c>
      <c r="AJ124" s="107" t="n">
        <v>100.088</v>
      </c>
      <c r="AK124" s="107" t="n">
        <v>5.927424</v>
      </c>
      <c r="AL124" s="107" t="n">
        <v>100.371968</v>
      </c>
      <c r="AM124" s="107" t="n">
        <v>5.7892</v>
      </c>
      <c r="AN124" s="107" t="n">
        <v>98.1337</v>
      </c>
      <c r="AO124" s="107" t="n">
        <v>1358.4</v>
      </c>
      <c r="AP124" s="107" t="n">
        <v>1</v>
      </c>
      <c r="AQ124" s="107" t="n">
        <v>4906685</v>
      </c>
      <c r="AR124" s="107" t="n">
        <v>6665240904</v>
      </c>
      <c r="AS124" s="107" t="n">
        <v>5004400</v>
      </c>
      <c r="AT124" s="107" t="n">
        <v>6711400840</v>
      </c>
      <c r="AU124" s="107" t="n">
        <v>-97715</v>
      </c>
      <c r="AV124" s="107" t="n">
        <v>-132736056</v>
      </c>
      <c r="AW124" s="107" t="n">
        <v>0</v>
      </c>
      <c r="AX124" s="107" t="n">
        <v>0</v>
      </c>
      <c r="AY124" s="107" t="n">
        <v>0</v>
      </c>
      <c r="AZ124" s="107" t="n">
        <v>0</v>
      </c>
      <c r="BA124" s="107" t="n">
        <v>0</v>
      </c>
      <c r="BB124" s="107" t="n">
        <v>0</v>
      </c>
      <c r="BC124" s="107" t="n">
        <v>0</v>
      </c>
      <c r="BD124" s="107" t="n">
        <v>0</v>
      </c>
      <c r="BE124" s="107" t="n">
        <v>14194.85</v>
      </c>
      <c r="BF124" s="107" t="n">
        <v>19282284</v>
      </c>
      <c r="BG124" s="107" t="n">
        <v>3.58</v>
      </c>
      <c r="BH124" s="107" t="n">
        <v>4863</v>
      </c>
      <c r="BI124" s="107" t="n">
        <v>5004400</v>
      </c>
      <c r="BJ124" s="107" t="n">
        <v>6711400840</v>
      </c>
      <c r="BK124" s="107" t="n">
        <v>0</v>
      </c>
      <c r="BL124" s="107" t="n">
        <v>0</v>
      </c>
      <c r="BM124" s="107" t="n">
        <v>0</v>
      </c>
      <c r="BN124" s="107" t="n">
        <v>0</v>
      </c>
      <c r="BO124" s="107" t="s">
        <v>374</v>
      </c>
      <c r="BP124" s="2"/>
      <c r="BQ124" s="107" t="s">
        <v>367</v>
      </c>
      <c r="BR124" s="107" t="n">
        <v>86576120</v>
      </c>
      <c r="BS124" s="107" t="n">
        <v>0</v>
      </c>
      <c r="BT124" s="107" t="n">
        <v>0</v>
      </c>
      <c r="BU124" s="107" t="n">
        <v>0</v>
      </c>
      <c r="BV124" s="107" t="n">
        <v>0</v>
      </c>
      <c r="BW124" s="107" t="n">
        <v>14194.85</v>
      </c>
      <c r="BX124" s="107" t="n">
        <v>19282284</v>
      </c>
      <c r="BY124" s="107" t="n">
        <v>3.58</v>
      </c>
      <c r="BZ124" s="107" t="n">
        <v>4863</v>
      </c>
      <c r="CA124" s="107" t="n">
        <v>1341.1</v>
      </c>
      <c r="CB124" s="2"/>
      <c r="CC124" s="107" t="n">
        <v>0</v>
      </c>
      <c r="CD124" s="107" t="n">
        <v>98.15</v>
      </c>
      <c r="CE124" s="107" t="n">
        <v>98.17</v>
      </c>
      <c r="CF124" s="107" t="n">
        <v>98.08</v>
      </c>
      <c r="CG124" s="107" t="n">
        <v>5000000</v>
      </c>
      <c r="CH124" s="107" t="n">
        <v>3.5341</v>
      </c>
      <c r="CI124" s="107" t="n">
        <v>102.3</v>
      </c>
      <c r="CJ124" s="107" t="n">
        <v>102.4</v>
      </c>
      <c r="CK124" s="107" t="n">
        <v>102.42</v>
      </c>
      <c r="CL124" s="107" t="n">
        <v>0</v>
      </c>
    </row>
    <row r="125" customFormat="false" ht="15" hidden="false" customHeight="false" outlineLevel="0" collapsed="false">
      <c r="A125" s="107" t="s">
        <v>585</v>
      </c>
      <c r="B125" s="107" t="n">
        <v>98.6301</v>
      </c>
      <c r="C125" s="107" t="n">
        <v>5.6483</v>
      </c>
      <c r="D125" s="107" t="n">
        <v>2.482</v>
      </c>
      <c r="E125" s="107" t="n">
        <v>-489.5998164</v>
      </c>
      <c r="F125" s="108" t="s">
        <v>358</v>
      </c>
      <c r="G125" s="107" t="n">
        <v>2.482</v>
      </c>
      <c r="H125" s="107" t="n">
        <v>-489.5998164</v>
      </c>
      <c r="I125" s="109" t="n">
        <v>47271</v>
      </c>
      <c r="J125" s="107" t="n">
        <v>3</v>
      </c>
      <c r="K125" s="108" t="s">
        <v>92</v>
      </c>
      <c r="L125" s="107" t="s">
        <v>298</v>
      </c>
      <c r="M125" s="107" t="n">
        <v>4964000</v>
      </c>
      <c r="N125" s="107" t="n">
        <v>101.44</v>
      </c>
      <c r="O125" s="107" t="n">
        <v>1972602</v>
      </c>
      <c r="P125" s="107" t="s">
        <v>586</v>
      </c>
      <c r="Q125" s="107" t="s">
        <v>106</v>
      </c>
      <c r="R125" s="107" t="n">
        <v>-0.0906720602321131</v>
      </c>
      <c r="S125" s="107" t="n">
        <v>-0.02770011829653</v>
      </c>
      <c r="T125" s="107" t="n">
        <v>-503.42775642</v>
      </c>
      <c r="U125" s="107" t="n">
        <v>21069</v>
      </c>
      <c r="V125" s="108" t="s">
        <v>362</v>
      </c>
      <c r="W125" s="107" t="n">
        <v>34507</v>
      </c>
      <c r="X125" s="108" t="s">
        <v>372</v>
      </c>
      <c r="Y125" s="107" t="s">
        <v>582</v>
      </c>
      <c r="Z125" s="107" t="s">
        <v>587</v>
      </c>
      <c r="AA125" s="109" t="n">
        <v>45909</v>
      </c>
      <c r="AB125" s="107" t="n">
        <v>250909000001</v>
      </c>
      <c r="AC125" s="109" t="n">
        <v>45909</v>
      </c>
      <c r="AD125" s="109" t="n">
        <v>49561</v>
      </c>
      <c r="AE125" s="107" t="n">
        <v>5.359</v>
      </c>
      <c r="AF125" s="107" t="n">
        <v>7.0552</v>
      </c>
      <c r="AG125" s="107" t="n">
        <v>3266</v>
      </c>
      <c r="AH125" s="107" t="n">
        <v>200000</v>
      </c>
      <c r="AI125" s="107" t="n">
        <v>5.359</v>
      </c>
      <c r="AJ125" s="107" t="n">
        <v>100</v>
      </c>
      <c r="AK125" s="107" t="n">
        <v>5.120496</v>
      </c>
      <c r="AL125" s="107" t="n">
        <v>102.00321</v>
      </c>
      <c r="AM125" s="107" t="n">
        <v>6.2668</v>
      </c>
      <c r="AN125" s="107" t="n">
        <v>93.848</v>
      </c>
      <c r="AO125" s="107" t="n">
        <v>1358.4</v>
      </c>
      <c r="AP125" s="107" t="n">
        <v>1</v>
      </c>
      <c r="AQ125" s="107" t="n">
        <v>187696</v>
      </c>
      <c r="AR125" s="107" t="n">
        <v>254966246</v>
      </c>
      <c r="AS125" s="107" t="n">
        <v>203381.2</v>
      </c>
      <c r="AT125" s="107" t="n">
        <v>291831684</v>
      </c>
      <c r="AU125" s="107" t="n">
        <v>-15685.2</v>
      </c>
      <c r="AV125" s="107" t="n">
        <v>-21306776</v>
      </c>
      <c r="AW125" s="107" t="n">
        <v>0</v>
      </c>
      <c r="AX125" s="107" t="n">
        <v>0</v>
      </c>
      <c r="AY125" s="107" t="n">
        <v>0</v>
      </c>
      <c r="AZ125" s="107" t="n">
        <v>0</v>
      </c>
      <c r="BA125" s="107" t="n">
        <v>0</v>
      </c>
      <c r="BB125" s="107" t="n">
        <v>0</v>
      </c>
      <c r="BC125" s="107" t="n">
        <v>0</v>
      </c>
      <c r="BD125" s="107" t="n">
        <v>0</v>
      </c>
      <c r="BE125" s="107" t="n">
        <v>625.22</v>
      </c>
      <c r="BF125" s="107" t="n">
        <v>849298</v>
      </c>
      <c r="BG125" s="107" t="n">
        <v>0</v>
      </c>
      <c r="BH125" s="107" t="n">
        <v>0</v>
      </c>
      <c r="BI125" s="107" t="n">
        <v>200000</v>
      </c>
      <c r="BJ125" s="107" t="n">
        <v>286980000</v>
      </c>
      <c r="BK125" s="107" t="n">
        <v>0</v>
      </c>
      <c r="BL125" s="107" t="n">
        <v>0</v>
      </c>
      <c r="BM125" s="107" t="n">
        <v>0</v>
      </c>
      <c r="BN125" s="107" t="n">
        <v>0</v>
      </c>
      <c r="BO125" s="107" t="s">
        <v>106</v>
      </c>
      <c r="BP125" s="2"/>
      <c r="BQ125" s="107" t="s">
        <v>369</v>
      </c>
      <c r="BR125" s="107" t="n">
        <v>-15558662</v>
      </c>
      <c r="BS125" s="107" t="n">
        <v>0</v>
      </c>
      <c r="BT125" s="107" t="n">
        <v>0</v>
      </c>
      <c r="BU125" s="107" t="n">
        <v>3381.2</v>
      </c>
      <c r="BV125" s="107" t="n">
        <v>4851684</v>
      </c>
      <c r="BW125" s="107" t="n">
        <v>625.22</v>
      </c>
      <c r="BX125" s="107" t="n">
        <v>849298</v>
      </c>
      <c r="BY125" s="107" t="n">
        <v>0</v>
      </c>
      <c r="BZ125" s="107" t="n">
        <v>0</v>
      </c>
      <c r="CA125" s="107" t="n">
        <v>1434.9</v>
      </c>
      <c r="CB125" s="2"/>
      <c r="CC125" s="107" t="n">
        <v>0</v>
      </c>
      <c r="CD125" s="107" t="n">
        <v>93.81</v>
      </c>
      <c r="CE125" s="107" t="n">
        <v>93.89</v>
      </c>
      <c r="CF125" s="107" t="n">
        <v>93.85</v>
      </c>
      <c r="CG125" s="107" t="n">
        <v>200000</v>
      </c>
      <c r="CH125" s="107" t="n">
        <v>6.8408</v>
      </c>
      <c r="CI125" s="107" t="n">
        <v>102.3</v>
      </c>
      <c r="CJ125" s="107" t="n">
        <v>102.4</v>
      </c>
      <c r="CK125" s="107" t="n">
        <v>102.42</v>
      </c>
      <c r="CL125" s="107" t="n">
        <v>0</v>
      </c>
    </row>
    <row r="126" customFormat="false" ht="15" hidden="false" customHeight="false" outlineLevel="0" collapsed="false">
      <c r="A126" s="107" t="s">
        <v>588</v>
      </c>
      <c r="B126" s="107" t="n">
        <v>94.8053</v>
      </c>
      <c r="C126" s="107" t="n">
        <v>5.6936</v>
      </c>
      <c r="D126" s="107" t="n">
        <v>3.5205</v>
      </c>
      <c r="E126" s="107" t="n">
        <v>-834.405146625</v>
      </c>
      <c r="F126" s="108" t="s">
        <v>358</v>
      </c>
      <c r="G126" s="107" t="n">
        <v>3.5205</v>
      </c>
      <c r="H126" s="107" t="n">
        <v>-834.405146625</v>
      </c>
      <c r="I126" s="109" t="n">
        <v>47784</v>
      </c>
      <c r="J126" s="107" t="n">
        <v>5</v>
      </c>
      <c r="K126" s="107" t="s">
        <v>359</v>
      </c>
      <c r="L126" s="107" t="s">
        <v>298</v>
      </c>
      <c r="M126" s="107" t="n">
        <v>8801250</v>
      </c>
      <c r="N126" s="107" t="n">
        <v>97.089</v>
      </c>
      <c r="O126" s="107" t="n">
        <v>2370132.5</v>
      </c>
      <c r="P126" s="107" t="s">
        <v>466</v>
      </c>
      <c r="Q126" s="107" t="s">
        <v>374</v>
      </c>
      <c r="R126" s="107" t="n">
        <v>-0.0380917973162098</v>
      </c>
      <c r="S126" s="107" t="n">
        <v>-0.0235217171873229</v>
      </c>
      <c r="T126" s="107" t="n">
        <v>-858.153874275</v>
      </c>
      <c r="U126" s="107" t="n">
        <v>21069</v>
      </c>
      <c r="V126" s="108" t="s">
        <v>362</v>
      </c>
      <c r="W126" s="107" t="n">
        <v>34507</v>
      </c>
      <c r="X126" s="108" t="s">
        <v>372</v>
      </c>
      <c r="Y126" s="107" t="s">
        <v>459</v>
      </c>
      <c r="Z126" s="107" t="s">
        <v>461</v>
      </c>
      <c r="AA126" s="109" t="n">
        <v>45581</v>
      </c>
      <c r="AB126" s="107" t="n">
        <v>241016000001</v>
      </c>
      <c r="AC126" s="109" t="n">
        <v>45581</v>
      </c>
      <c r="AD126" s="109" t="n">
        <v>47407</v>
      </c>
      <c r="AE126" s="107" t="n">
        <v>5.094</v>
      </c>
      <c r="AF126" s="107" t="n">
        <v>2.7661</v>
      </c>
      <c r="AG126" s="107" t="n">
        <v>1112</v>
      </c>
      <c r="AH126" s="107" t="n">
        <v>200000</v>
      </c>
      <c r="AI126" s="107" t="n">
        <v>5.094</v>
      </c>
      <c r="AJ126" s="107" t="n">
        <v>100</v>
      </c>
      <c r="AK126" s="107" t="n">
        <v>3.638877</v>
      </c>
      <c r="AL126" s="107" t="n">
        <v>106.476545</v>
      </c>
      <c r="AM126" s="107" t="n">
        <v>5.6988</v>
      </c>
      <c r="AN126" s="107" t="n">
        <v>98.3276</v>
      </c>
      <c r="AO126" s="107" t="n">
        <v>1358.4</v>
      </c>
      <c r="AP126" s="107" t="n">
        <v>1</v>
      </c>
      <c r="AQ126" s="107" t="n">
        <v>196655.2</v>
      </c>
      <c r="AR126" s="107" t="n">
        <v>267136424</v>
      </c>
      <c r="AS126" s="107" t="n">
        <v>204328.2</v>
      </c>
      <c r="AT126" s="107" t="n">
        <v>293190534</v>
      </c>
      <c r="AU126" s="107" t="n">
        <v>-7673</v>
      </c>
      <c r="AV126" s="107" t="n">
        <v>-10423003</v>
      </c>
      <c r="AW126" s="107" t="n">
        <v>0</v>
      </c>
      <c r="AX126" s="107" t="n">
        <v>0</v>
      </c>
      <c r="AY126" s="107" t="n">
        <v>0</v>
      </c>
      <c r="AZ126" s="107" t="n">
        <v>0</v>
      </c>
      <c r="BA126" s="107" t="n">
        <v>0</v>
      </c>
      <c r="BB126" s="107" t="n">
        <v>0</v>
      </c>
      <c r="BC126" s="107" t="n">
        <v>2460.51</v>
      </c>
      <c r="BD126" s="107" t="n">
        <v>3530585</v>
      </c>
      <c r="BE126" s="107" t="n">
        <v>4641.2</v>
      </c>
      <c r="BF126" s="107" t="n">
        <v>6304606</v>
      </c>
      <c r="BG126" s="107" t="n">
        <v>3983.69</v>
      </c>
      <c r="BH126" s="107" t="n">
        <v>5599672</v>
      </c>
      <c r="BI126" s="107" t="n">
        <v>200000</v>
      </c>
      <c r="BJ126" s="107" t="n">
        <v>287015023</v>
      </c>
      <c r="BK126" s="107" t="n">
        <v>0</v>
      </c>
      <c r="BL126" s="107" t="n">
        <v>0</v>
      </c>
      <c r="BM126" s="107" t="n">
        <v>0</v>
      </c>
      <c r="BN126" s="107" t="n">
        <v>0</v>
      </c>
      <c r="BO126" s="107" t="s">
        <v>106</v>
      </c>
      <c r="BP126" s="2"/>
      <c r="BQ126" s="107" t="s">
        <v>369</v>
      </c>
      <c r="BR126" s="107" t="n">
        <v>-15631107</v>
      </c>
      <c r="BS126" s="107" t="n">
        <v>0</v>
      </c>
      <c r="BT126" s="107" t="n">
        <v>-188228</v>
      </c>
      <c r="BU126" s="107" t="n">
        <v>4328.2</v>
      </c>
      <c r="BV126" s="107" t="n">
        <v>6175511</v>
      </c>
      <c r="BW126" s="107" t="n">
        <v>4641.2</v>
      </c>
      <c r="BX126" s="107" t="n">
        <v>6304606</v>
      </c>
      <c r="BY126" s="107" t="n">
        <v>3983.69</v>
      </c>
      <c r="BZ126" s="107" t="n">
        <v>5411444</v>
      </c>
      <c r="CA126" s="107" t="n">
        <v>1434.9</v>
      </c>
      <c r="CB126" s="2"/>
      <c r="CC126" s="107" t="n">
        <v>0</v>
      </c>
      <c r="CD126" s="107" t="n">
        <v>98.33</v>
      </c>
      <c r="CE126" s="107" t="n">
        <v>98.33</v>
      </c>
      <c r="CF126" s="107" t="n">
        <v>98.32</v>
      </c>
      <c r="CG126" s="107" t="n">
        <v>200000</v>
      </c>
      <c r="CH126" s="107" t="n">
        <v>2.6895</v>
      </c>
      <c r="CI126" s="107" t="n">
        <v>99.56</v>
      </c>
      <c r="CJ126" s="107" t="n">
        <v>99.7</v>
      </c>
      <c r="CK126" s="107" t="n">
        <v>99.74</v>
      </c>
      <c r="CL126" s="107" t="n">
        <v>0</v>
      </c>
    </row>
    <row r="127" customFormat="false" ht="15" hidden="false" customHeight="false" outlineLevel="0" collapsed="false">
      <c r="A127" s="107" t="s">
        <v>589</v>
      </c>
      <c r="B127" s="107" t="n">
        <v>96.1325</v>
      </c>
      <c r="C127" s="107" t="n">
        <v>6.4728</v>
      </c>
      <c r="D127" s="107" t="n">
        <v>6.1808</v>
      </c>
      <c r="E127" s="107" t="n">
        <v>-1782.527268</v>
      </c>
      <c r="F127" s="108" t="s">
        <v>358</v>
      </c>
      <c r="G127" s="107" t="n">
        <v>6.1808</v>
      </c>
      <c r="H127" s="107" t="n">
        <v>-1782.527268</v>
      </c>
      <c r="I127" s="109" t="n">
        <v>49401</v>
      </c>
      <c r="J127" s="107" t="n">
        <v>10</v>
      </c>
      <c r="K127" s="107" t="s">
        <v>359</v>
      </c>
      <c r="L127" s="107" t="s">
        <v>298</v>
      </c>
      <c r="M127" s="107" t="n">
        <v>18542400</v>
      </c>
      <c r="N127" s="107" t="n">
        <v>102.1</v>
      </c>
      <c r="O127" s="107" t="n">
        <v>2883975</v>
      </c>
      <c r="P127" s="107" t="s">
        <v>472</v>
      </c>
      <c r="Q127" s="107" t="s">
        <v>377</v>
      </c>
      <c r="R127" s="107" t="n">
        <v>-0.134672750731728</v>
      </c>
      <c r="S127" s="107" t="n">
        <v>-0.0584476003917728</v>
      </c>
      <c r="T127" s="107" t="n">
        <v>-1840.206768</v>
      </c>
      <c r="U127" s="107" t="n">
        <v>21069</v>
      </c>
      <c r="V127" s="108" t="s">
        <v>362</v>
      </c>
      <c r="W127" s="107" t="n">
        <v>34507</v>
      </c>
      <c r="X127" s="108" t="s">
        <v>372</v>
      </c>
      <c r="Y127" s="107" t="s">
        <v>585</v>
      </c>
      <c r="Z127" s="107" t="s">
        <v>590</v>
      </c>
      <c r="AA127" s="109" t="n">
        <v>45826</v>
      </c>
      <c r="AB127" s="107" t="n">
        <v>250618000001</v>
      </c>
      <c r="AC127" s="109" t="n">
        <v>45475</v>
      </c>
      <c r="AD127" s="109" t="n">
        <v>47301</v>
      </c>
      <c r="AE127" s="107" t="n">
        <v>5.11</v>
      </c>
      <c r="AF127" s="107" t="n">
        <v>2.5498</v>
      </c>
      <c r="AG127" s="107" t="n">
        <v>1006</v>
      </c>
      <c r="AH127" s="107" t="n">
        <v>2000000</v>
      </c>
      <c r="AI127" s="107" t="n">
        <v>4.71</v>
      </c>
      <c r="AJ127" s="107" t="n">
        <v>101.44</v>
      </c>
      <c r="AK127" s="107" t="n">
        <v>4.022679</v>
      </c>
      <c r="AL127" s="107" t="n">
        <v>104.052211</v>
      </c>
      <c r="AM127" s="107" t="n">
        <v>5.5965</v>
      </c>
      <c r="AN127" s="107" t="n">
        <v>98.761</v>
      </c>
      <c r="AO127" s="107" t="n">
        <v>1358.4</v>
      </c>
      <c r="AP127" s="107" t="n">
        <v>1</v>
      </c>
      <c r="AQ127" s="107" t="n">
        <v>1975220</v>
      </c>
      <c r="AR127" s="107" t="n">
        <v>2683138848</v>
      </c>
      <c r="AS127" s="107" t="n">
        <v>2056062</v>
      </c>
      <c r="AT127" s="107" t="n">
        <v>2950243364</v>
      </c>
      <c r="AU127" s="107" t="n">
        <v>-80842</v>
      </c>
      <c r="AV127" s="107" t="n">
        <v>-109815773</v>
      </c>
      <c r="AW127" s="107" t="n">
        <v>0</v>
      </c>
      <c r="AX127" s="107" t="n">
        <v>0</v>
      </c>
      <c r="AY127" s="107" t="n">
        <v>0</v>
      </c>
      <c r="AZ127" s="107" t="n">
        <v>0</v>
      </c>
      <c r="BA127" s="107" t="n">
        <v>0</v>
      </c>
      <c r="BB127" s="107" t="n">
        <v>0</v>
      </c>
      <c r="BC127" s="107" t="n">
        <v>0</v>
      </c>
      <c r="BD127" s="107" t="n">
        <v>0</v>
      </c>
      <c r="BE127" s="107" t="n">
        <v>24982.22</v>
      </c>
      <c r="BF127" s="107" t="n">
        <v>33935847</v>
      </c>
      <c r="BG127" s="107" t="n">
        <v>0</v>
      </c>
      <c r="BH127" s="107" t="n">
        <v>0</v>
      </c>
      <c r="BI127" s="107" t="n">
        <v>2028800</v>
      </c>
      <c r="BJ127" s="107" t="n">
        <v>2911125120</v>
      </c>
      <c r="BK127" s="107" t="n">
        <v>0</v>
      </c>
      <c r="BL127" s="107" t="n">
        <v>0</v>
      </c>
      <c r="BM127" s="107" t="n">
        <v>0</v>
      </c>
      <c r="BN127" s="107" t="n">
        <v>0</v>
      </c>
      <c r="BO127" s="107" t="s">
        <v>377</v>
      </c>
      <c r="BP127" s="2"/>
      <c r="BQ127" s="107" t="s">
        <v>369</v>
      </c>
      <c r="BR127" s="107" t="n">
        <v>-157288743</v>
      </c>
      <c r="BS127" s="107" t="n">
        <v>0</v>
      </c>
      <c r="BT127" s="107" t="n">
        <v>0</v>
      </c>
      <c r="BU127" s="107" t="n">
        <v>27262</v>
      </c>
      <c r="BV127" s="107" t="n">
        <v>39118244</v>
      </c>
      <c r="BW127" s="107" t="n">
        <v>24982.22</v>
      </c>
      <c r="BX127" s="107" t="n">
        <v>33935847</v>
      </c>
      <c r="BY127" s="107" t="n">
        <v>0</v>
      </c>
      <c r="BZ127" s="107" t="n">
        <v>0</v>
      </c>
      <c r="CA127" s="107" t="n">
        <v>1434.9</v>
      </c>
      <c r="CB127" s="2"/>
      <c r="CC127" s="107" t="n">
        <v>0</v>
      </c>
      <c r="CD127" s="107" t="n">
        <v>98.75</v>
      </c>
      <c r="CE127" s="107" t="n">
        <v>98.77</v>
      </c>
      <c r="CF127" s="107" t="n">
        <v>98.76</v>
      </c>
      <c r="CG127" s="107" t="n">
        <v>2000000</v>
      </c>
      <c r="CH127" s="107" t="n">
        <v>2.4804</v>
      </c>
      <c r="CI127" s="107" t="n">
        <v>99.56</v>
      </c>
      <c r="CJ127" s="107" t="n">
        <v>99.7</v>
      </c>
      <c r="CK127" s="107" t="n">
        <v>99.74</v>
      </c>
      <c r="CL127" s="107" t="n">
        <v>0</v>
      </c>
    </row>
    <row r="128" customFormat="false" ht="15" hidden="false" customHeight="false" outlineLevel="0" collapsed="false">
      <c r="A128" s="107" t="s">
        <v>589</v>
      </c>
      <c r="B128" s="107" t="n">
        <v>96.1325</v>
      </c>
      <c r="C128" s="107" t="n">
        <v>6.4728</v>
      </c>
      <c r="D128" s="107" t="n">
        <v>6.1808</v>
      </c>
      <c r="E128" s="107" t="n">
        <v>-594.175756</v>
      </c>
      <c r="F128" s="108" t="s">
        <v>358</v>
      </c>
      <c r="G128" s="107" t="n">
        <v>6.1808</v>
      </c>
      <c r="H128" s="107" t="n">
        <v>-594.175756</v>
      </c>
      <c r="I128" s="109" t="n">
        <v>49401</v>
      </c>
      <c r="J128" s="107" t="n">
        <v>10</v>
      </c>
      <c r="K128" s="107" t="s">
        <v>359</v>
      </c>
      <c r="L128" s="107" t="s">
        <v>298</v>
      </c>
      <c r="M128" s="107" t="n">
        <v>6180800</v>
      </c>
      <c r="N128" s="107" t="n">
        <v>102.064</v>
      </c>
      <c r="O128" s="107" t="n">
        <v>961325</v>
      </c>
      <c r="P128" s="107" t="s">
        <v>472</v>
      </c>
      <c r="Q128" s="107" t="s">
        <v>377</v>
      </c>
      <c r="R128" s="107" t="n">
        <v>-0.135302467109903</v>
      </c>
      <c r="S128" s="107" t="n">
        <v>-0.0581154961592726</v>
      </c>
      <c r="T128" s="107" t="n">
        <v>-613.402256</v>
      </c>
      <c r="U128" s="107" t="n">
        <v>21069</v>
      </c>
      <c r="V128" s="108" t="s">
        <v>362</v>
      </c>
      <c r="W128" s="107" t="n">
        <v>34507</v>
      </c>
      <c r="X128" s="108" t="s">
        <v>372</v>
      </c>
      <c r="Y128" s="107" t="s">
        <v>588</v>
      </c>
      <c r="Z128" s="107" t="s">
        <v>591</v>
      </c>
      <c r="AA128" s="109" t="n">
        <v>46259</v>
      </c>
      <c r="AB128" s="107" t="n">
        <v>260825000001</v>
      </c>
      <c r="AC128" s="109" t="n">
        <v>45958</v>
      </c>
      <c r="AD128" s="109" t="n">
        <v>47784</v>
      </c>
      <c r="AE128" s="107" t="n">
        <v>4.25</v>
      </c>
      <c r="AF128" s="107" t="n">
        <v>3.6186</v>
      </c>
      <c r="AG128" s="107" t="n">
        <v>1489</v>
      </c>
      <c r="AH128" s="107" t="n">
        <v>2500000</v>
      </c>
      <c r="AI128" s="107" t="n">
        <v>5.0309</v>
      </c>
      <c r="AJ128" s="107" t="n">
        <v>97.089</v>
      </c>
      <c r="AK128" s="107" t="n">
        <v>5.047842</v>
      </c>
      <c r="AL128" s="107" t="n">
        <v>98.883444</v>
      </c>
      <c r="AM128" s="107" t="n">
        <v>5.6584</v>
      </c>
      <c r="AN128" s="107" t="n">
        <v>94.9314</v>
      </c>
      <c r="AO128" s="107" t="n">
        <v>1358.4</v>
      </c>
      <c r="AP128" s="107" t="n">
        <v>1</v>
      </c>
      <c r="AQ128" s="107" t="n">
        <v>2373285</v>
      </c>
      <c r="AR128" s="107" t="n">
        <v>3223870344</v>
      </c>
      <c r="AS128" s="107" t="n">
        <v>2427225</v>
      </c>
      <c r="AT128" s="107" t="n">
        <v>3351026835</v>
      </c>
      <c r="AU128" s="107" t="n">
        <v>-53940</v>
      </c>
      <c r="AV128" s="107" t="n">
        <v>-73272096</v>
      </c>
      <c r="AW128" s="107" t="n">
        <v>34531.25</v>
      </c>
      <c r="AX128" s="107" t="n">
        <v>47673843</v>
      </c>
      <c r="AY128" s="107" t="n">
        <v>0</v>
      </c>
      <c r="AZ128" s="107" t="n">
        <v>0</v>
      </c>
      <c r="BA128" s="107" t="n">
        <v>0</v>
      </c>
      <c r="BB128" s="107" t="n">
        <v>0</v>
      </c>
      <c r="BC128" s="107" t="n">
        <v>0</v>
      </c>
      <c r="BD128" s="107" t="n">
        <v>0</v>
      </c>
      <c r="BE128" s="107" t="n">
        <v>10329.86</v>
      </c>
      <c r="BF128" s="107" t="n">
        <v>14032081</v>
      </c>
      <c r="BG128" s="107" t="n">
        <v>0</v>
      </c>
      <c r="BH128" s="107" t="n">
        <v>0</v>
      </c>
      <c r="BI128" s="107" t="n">
        <v>2427225</v>
      </c>
      <c r="BJ128" s="107" t="n">
        <v>3351026835</v>
      </c>
      <c r="BK128" s="107" t="n">
        <v>0</v>
      </c>
      <c r="BL128" s="107" t="n">
        <v>0</v>
      </c>
      <c r="BM128" s="107" t="n">
        <v>0</v>
      </c>
      <c r="BN128" s="107" t="n">
        <v>0</v>
      </c>
      <c r="BO128" s="107" t="s">
        <v>377</v>
      </c>
      <c r="BP128" s="2"/>
      <c r="BQ128" s="107" t="s">
        <v>369</v>
      </c>
      <c r="BR128" s="107" t="n">
        <v>-53884395</v>
      </c>
      <c r="BS128" s="107" t="n">
        <v>-766593</v>
      </c>
      <c r="BT128" s="107" t="n">
        <v>0</v>
      </c>
      <c r="BU128" s="107" t="n">
        <v>0</v>
      </c>
      <c r="BV128" s="107" t="n">
        <v>0</v>
      </c>
      <c r="BW128" s="107" t="n">
        <v>44861.11</v>
      </c>
      <c r="BX128" s="107" t="n">
        <v>60939331</v>
      </c>
      <c r="BY128" s="107" t="n">
        <v>0</v>
      </c>
      <c r="BZ128" s="107" t="n">
        <v>0</v>
      </c>
      <c r="CA128" s="107" t="n">
        <v>1380.6</v>
      </c>
      <c r="CB128" s="2"/>
      <c r="CC128" s="107" t="n">
        <v>0</v>
      </c>
      <c r="CD128" s="107" t="n">
        <v>94.9</v>
      </c>
      <c r="CE128" s="107" t="n">
        <v>94.98</v>
      </c>
      <c r="CF128" s="107" t="n">
        <v>94.91</v>
      </c>
      <c r="CG128" s="107" t="n">
        <v>0</v>
      </c>
      <c r="CH128" s="107" t="n">
        <v>3.519</v>
      </c>
      <c r="CI128" s="107" t="n">
        <v>103.55</v>
      </c>
      <c r="CJ128" s="107" t="n">
        <v>103.97</v>
      </c>
      <c r="CK128" s="107" t="n">
        <v>104.01</v>
      </c>
      <c r="CL128" s="107" t="n">
        <v>0</v>
      </c>
    </row>
    <row r="129" customFormat="false" ht="15" hidden="false" customHeight="false" outlineLevel="0" collapsed="false">
      <c r="A129" s="107" t="s">
        <v>592</v>
      </c>
      <c r="B129" s="107" t="n">
        <v>95.1747</v>
      </c>
      <c r="C129" s="107" t="n">
        <v>6.5651</v>
      </c>
      <c r="D129" s="107" t="n">
        <v>6.7033</v>
      </c>
      <c r="E129" s="107" t="n">
        <v>-3189.92283255</v>
      </c>
      <c r="F129" s="108" t="s">
        <v>358</v>
      </c>
      <c r="G129" s="107" t="n">
        <v>6.7033</v>
      </c>
      <c r="H129" s="107" t="n">
        <v>-3189.92283255</v>
      </c>
      <c r="I129" s="109" t="n">
        <v>49767</v>
      </c>
      <c r="J129" s="107" t="n">
        <v>10</v>
      </c>
      <c r="K129" s="107" t="s">
        <v>359</v>
      </c>
      <c r="L129" s="107" t="s">
        <v>298</v>
      </c>
      <c r="M129" s="107" t="n">
        <v>33516500</v>
      </c>
      <c r="N129" s="107" t="n">
        <v>99.594</v>
      </c>
      <c r="O129" s="107" t="n">
        <v>4758735</v>
      </c>
      <c r="P129" s="107" t="s">
        <v>472</v>
      </c>
      <c r="Q129" s="107" t="s">
        <v>107</v>
      </c>
      <c r="R129" s="107" t="n">
        <v>-0.139131940658872</v>
      </c>
      <c r="S129" s="107" t="n">
        <v>-0.0443731550093378</v>
      </c>
      <c r="T129" s="107" t="n">
        <v>-3294.61500255</v>
      </c>
      <c r="U129" s="107" t="n">
        <v>21069</v>
      </c>
      <c r="V129" s="108" t="s">
        <v>362</v>
      </c>
      <c r="W129" s="107" t="n">
        <v>34507</v>
      </c>
      <c r="X129" s="108" t="s">
        <v>372</v>
      </c>
      <c r="Y129" s="107" t="s">
        <v>589</v>
      </c>
      <c r="Z129" s="107" t="s">
        <v>593</v>
      </c>
      <c r="AA129" s="109" t="n">
        <v>46097</v>
      </c>
      <c r="AB129" s="107" t="n">
        <v>260316000001</v>
      </c>
      <c r="AC129" s="109" t="n">
        <v>45749</v>
      </c>
      <c r="AD129" s="109" t="n">
        <v>49401</v>
      </c>
      <c r="AE129" s="107" t="n">
        <v>5.875</v>
      </c>
      <c r="AF129" s="107" t="n">
        <v>6.3789</v>
      </c>
      <c r="AG129" s="107" t="n">
        <v>3106</v>
      </c>
      <c r="AH129" s="107" t="n">
        <v>3000000</v>
      </c>
      <c r="AI129" s="107" t="n">
        <v>5.575746</v>
      </c>
      <c r="AJ129" s="107" t="n">
        <v>102.1</v>
      </c>
      <c r="AK129" s="107" t="n">
        <v>5.561696</v>
      </c>
      <c r="AL129" s="107" t="n">
        <v>105.004861</v>
      </c>
      <c r="AM129" s="107" t="n">
        <v>6.4614</v>
      </c>
      <c r="AN129" s="107" t="n">
        <v>96.2059</v>
      </c>
      <c r="AO129" s="107" t="n">
        <v>1358.4</v>
      </c>
      <c r="AP129" s="107" t="n">
        <v>1</v>
      </c>
      <c r="AQ129" s="107" t="n">
        <v>2886177</v>
      </c>
      <c r="AR129" s="107" t="n">
        <v>3920582837</v>
      </c>
      <c r="AS129" s="107" t="n">
        <v>3063000</v>
      </c>
      <c r="AT129" s="107" t="n">
        <v>4532627400</v>
      </c>
      <c r="AU129" s="107" t="n">
        <v>-176823</v>
      </c>
      <c r="AV129" s="107" t="n">
        <v>-240196363</v>
      </c>
      <c r="AW129" s="107" t="n">
        <v>0</v>
      </c>
      <c r="AX129" s="107" t="n">
        <v>0</v>
      </c>
      <c r="AY129" s="107" t="n">
        <v>0</v>
      </c>
      <c r="AZ129" s="107" t="n">
        <v>0</v>
      </c>
      <c r="BA129" s="107" t="n">
        <v>0</v>
      </c>
      <c r="BB129" s="107" t="n">
        <v>0</v>
      </c>
      <c r="BC129" s="107" t="n">
        <v>0</v>
      </c>
      <c r="BD129" s="107" t="n">
        <v>0</v>
      </c>
      <c r="BE129" s="107" t="n">
        <v>87145.83</v>
      </c>
      <c r="BF129" s="107" t="n">
        <v>118378895</v>
      </c>
      <c r="BG129" s="107" t="n">
        <v>0</v>
      </c>
      <c r="BH129" s="107" t="n">
        <v>0</v>
      </c>
      <c r="BI129" s="107" t="n">
        <v>3063000</v>
      </c>
      <c r="BJ129" s="107" t="n">
        <v>4532627400</v>
      </c>
      <c r="BK129" s="107" t="n">
        <v>0</v>
      </c>
      <c r="BL129" s="107" t="n">
        <v>0</v>
      </c>
      <c r="BM129" s="107" t="n">
        <v>0</v>
      </c>
      <c r="BN129" s="107" t="n">
        <v>0</v>
      </c>
      <c r="BO129" s="107" t="s">
        <v>107</v>
      </c>
      <c r="BP129" s="2"/>
      <c r="BQ129" s="107" t="s">
        <v>369</v>
      </c>
      <c r="BR129" s="107" t="n">
        <v>-371848200</v>
      </c>
      <c r="BS129" s="107" t="n">
        <v>0</v>
      </c>
      <c r="BT129" s="107" t="n">
        <v>0</v>
      </c>
      <c r="BU129" s="107" t="n">
        <v>0</v>
      </c>
      <c r="BV129" s="107" t="n">
        <v>0</v>
      </c>
      <c r="BW129" s="107" t="n">
        <v>87145.83</v>
      </c>
      <c r="BX129" s="107" t="n">
        <v>118378895</v>
      </c>
      <c r="BY129" s="107" t="n">
        <v>0</v>
      </c>
      <c r="BZ129" s="107" t="n">
        <v>0</v>
      </c>
      <c r="CA129" s="107" t="n">
        <v>1479.8</v>
      </c>
      <c r="CB129" s="2"/>
      <c r="CC129" s="107" t="n">
        <v>0</v>
      </c>
      <c r="CD129" s="107" t="n">
        <v>96.22</v>
      </c>
      <c r="CE129" s="107" t="n">
        <v>96.22</v>
      </c>
      <c r="CF129" s="107" t="n">
        <v>96.19</v>
      </c>
      <c r="CG129" s="107" t="n">
        <v>0</v>
      </c>
      <c r="CH129" s="107" t="n">
        <v>6.1793</v>
      </c>
      <c r="CI129" s="107" t="n">
        <v>101.24</v>
      </c>
      <c r="CJ129" s="107" t="n">
        <v>101.7</v>
      </c>
      <c r="CK129" s="107" t="n">
        <v>101.57</v>
      </c>
      <c r="CL129" s="107" t="n">
        <v>0</v>
      </c>
    </row>
    <row r="130" customFormat="false" ht="15" hidden="false" customHeight="false" outlineLevel="0" collapsed="false">
      <c r="A130" s="107" t="s">
        <v>592</v>
      </c>
      <c r="B130" s="107" t="n">
        <v>95.1747</v>
      </c>
      <c r="C130" s="107" t="n">
        <v>6.5651</v>
      </c>
      <c r="D130" s="107" t="n">
        <v>6.7033</v>
      </c>
      <c r="E130" s="107" t="n">
        <v>-1275.96913302</v>
      </c>
      <c r="F130" s="108" t="s">
        <v>358</v>
      </c>
      <c r="G130" s="107" t="n">
        <v>6.7033</v>
      </c>
      <c r="H130" s="107" t="n">
        <v>-1275.96913302</v>
      </c>
      <c r="I130" s="109" t="n">
        <v>49767</v>
      </c>
      <c r="J130" s="107" t="n">
        <v>10</v>
      </c>
      <c r="K130" s="107" t="s">
        <v>359</v>
      </c>
      <c r="L130" s="107" t="s">
        <v>298</v>
      </c>
      <c r="M130" s="107" t="n">
        <v>13406600</v>
      </c>
      <c r="N130" s="107" t="n">
        <v>101.385</v>
      </c>
      <c r="O130" s="107" t="n">
        <v>1903494</v>
      </c>
      <c r="P130" s="107" t="s">
        <v>472</v>
      </c>
      <c r="Q130" s="107" t="s">
        <v>107</v>
      </c>
      <c r="R130" s="107" t="n">
        <v>-0.152149214977031</v>
      </c>
      <c r="S130" s="107" t="n">
        <v>-0.0612546234650097</v>
      </c>
      <c r="T130" s="107" t="n">
        <v>-1317.84600102</v>
      </c>
      <c r="U130" s="107" t="n">
        <v>21069</v>
      </c>
      <c r="V130" s="108" t="s">
        <v>362</v>
      </c>
      <c r="W130" s="107" t="n">
        <v>34507</v>
      </c>
      <c r="X130" s="108" t="s">
        <v>372</v>
      </c>
      <c r="Y130" s="107" t="s">
        <v>589</v>
      </c>
      <c r="Z130" s="107" t="s">
        <v>593</v>
      </c>
      <c r="AA130" s="109" t="n">
        <v>46127</v>
      </c>
      <c r="AB130" s="107" t="n">
        <v>260415000001</v>
      </c>
      <c r="AC130" s="109" t="n">
        <v>45749</v>
      </c>
      <c r="AD130" s="109" t="n">
        <v>49401</v>
      </c>
      <c r="AE130" s="107" t="n">
        <v>5.875</v>
      </c>
      <c r="AF130" s="107" t="n">
        <v>6.3789</v>
      </c>
      <c r="AG130" s="107" t="n">
        <v>3106</v>
      </c>
      <c r="AH130" s="107" t="n">
        <v>1000000</v>
      </c>
      <c r="AI130" s="107" t="n">
        <v>5.578872</v>
      </c>
      <c r="AJ130" s="107" t="n">
        <v>102.064</v>
      </c>
      <c r="AK130" s="107" t="n">
        <v>5.566999</v>
      </c>
      <c r="AL130" s="107" t="n">
        <v>104.968861</v>
      </c>
      <c r="AM130" s="107" t="n">
        <v>6.4614</v>
      </c>
      <c r="AN130" s="107" t="n">
        <v>96.2059</v>
      </c>
      <c r="AO130" s="107" t="n">
        <v>1358.4</v>
      </c>
      <c r="AP130" s="107" t="n">
        <v>1</v>
      </c>
      <c r="AQ130" s="107" t="n">
        <v>962059</v>
      </c>
      <c r="AR130" s="107" t="n">
        <v>1306860946</v>
      </c>
      <c r="AS130" s="107" t="n">
        <v>1020640</v>
      </c>
      <c r="AT130" s="107" t="n">
        <v>1511976096</v>
      </c>
      <c r="AU130" s="107" t="n">
        <v>-58581</v>
      </c>
      <c r="AV130" s="107" t="n">
        <v>-79576430</v>
      </c>
      <c r="AW130" s="107" t="n">
        <v>2121.53</v>
      </c>
      <c r="AX130" s="107" t="n">
        <v>3142834</v>
      </c>
      <c r="AY130" s="107" t="n">
        <v>0</v>
      </c>
      <c r="AZ130" s="107" t="n">
        <v>0</v>
      </c>
      <c r="BA130" s="107" t="n">
        <v>0</v>
      </c>
      <c r="BB130" s="107" t="n">
        <v>0</v>
      </c>
      <c r="BC130" s="107" t="n">
        <v>0</v>
      </c>
      <c r="BD130" s="107" t="n">
        <v>0</v>
      </c>
      <c r="BE130" s="107" t="n">
        <v>26927.08</v>
      </c>
      <c r="BF130" s="107" t="n">
        <v>36577745</v>
      </c>
      <c r="BG130" s="107" t="n">
        <v>0</v>
      </c>
      <c r="BH130" s="107" t="n">
        <v>0</v>
      </c>
      <c r="BI130" s="107" t="n">
        <v>1020640</v>
      </c>
      <c r="BJ130" s="107" t="n">
        <v>1511976096</v>
      </c>
      <c r="BK130" s="107" t="n">
        <v>0</v>
      </c>
      <c r="BL130" s="107" t="n">
        <v>0</v>
      </c>
      <c r="BM130" s="107" t="n">
        <v>0</v>
      </c>
      <c r="BN130" s="107" t="n">
        <v>0</v>
      </c>
      <c r="BO130" s="107" t="s">
        <v>107</v>
      </c>
      <c r="BP130" s="2"/>
      <c r="BQ130" s="107" t="s">
        <v>369</v>
      </c>
      <c r="BR130" s="107" t="n">
        <v>-125538720</v>
      </c>
      <c r="BS130" s="107" t="n">
        <v>-260948</v>
      </c>
      <c r="BT130" s="107" t="n">
        <v>0</v>
      </c>
      <c r="BU130" s="107" t="n">
        <v>0</v>
      </c>
      <c r="BV130" s="107" t="n">
        <v>0</v>
      </c>
      <c r="BW130" s="107" t="n">
        <v>29048.61</v>
      </c>
      <c r="BX130" s="107" t="n">
        <v>39459631</v>
      </c>
      <c r="BY130" s="107" t="n">
        <v>0</v>
      </c>
      <c r="BZ130" s="107" t="n">
        <v>0</v>
      </c>
      <c r="CA130" s="107" t="n">
        <v>1481.4</v>
      </c>
      <c r="CB130" s="2"/>
      <c r="CC130" s="107" t="n">
        <v>0</v>
      </c>
      <c r="CD130" s="107" t="n">
        <v>96.22</v>
      </c>
      <c r="CE130" s="107" t="n">
        <v>96.22</v>
      </c>
      <c r="CF130" s="107" t="n">
        <v>96.19</v>
      </c>
      <c r="CG130" s="107" t="n">
        <v>0</v>
      </c>
      <c r="CH130" s="107" t="n">
        <v>6.1793</v>
      </c>
      <c r="CI130" s="107" t="n">
        <v>101.24</v>
      </c>
      <c r="CJ130" s="107" t="n">
        <v>101.7</v>
      </c>
      <c r="CK130" s="107" t="n">
        <v>101.57</v>
      </c>
      <c r="CL130" s="107" t="n">
        <v>2000000</v>
      </c>
    </row>
    <row r="131" customFormat="false" ht="15" hidden="false" customHeight="false" outlineLevel="0" collapsed="false">
      <c r="A131" s="107" t="s">
        <v>594</v>
      </c>
      <c r="B131" s="107" t="n">
        <v>97.8312</v>
      </c>
      <c r="C131" s="107" t="n">
        <v>5.7972</v>
      </c>
      <c r="D131" s="107" t="n">
        <v>3.0963</v>
      </c>
      <c r="E131" s="107" t="n">
        <v>-908.74423368</v>
      </c>
      <c r="F131" s="108" t="s">
        <v>358</v>
      </c>
      <c r="G131" s="107" t="n">
        <v>3.0963</v>
      </c>
      <c r="H131" s="107" t="n">
        <v>-908.74423368</v>
      </c>
      <c r="I131" s="109" t="n">
        <v>47610</v>
      </c>
      <c r="J131" s="107" t="n">
        <v>5</v>
      </c>
      <c r="K131" s="107" t="s">
        <v>359</v>
      </c>
      <c r="L131" s="107" t="s">
        <v>298</v>
      </c>
      <c r="M131" s="107" t="n">
        <v>9288900</v>
      </c>
      <c r="N131" s="107" t="n">
        <v>101.138</v>
      </c>
      <c r="O131" s="107" t="n">
        <v>2934936</v>
      </c>
      <c r="P131" s="107" t="s">
        <v>595</v>
      </c>
      <c r="Q131" s="107" t="s">
        <v>377</v>
      </c>
      <c r="R131" s="107" t="n">
        <v>-0.148687278702361</v>
      </c>
      <c r="S131" s="107" t="n">
        <v>-0.0326959204255573</v>
      </c>
      <c r="T131" s="107" t="n">
        <v>-935.09995896</v>
      </c>
      <c r="U131" s="107" t="n">
        <v>21069</v>
      </c>
      <c r="V131" s="108" t="s">
        <v>362</v>
      </c>
      <c r="W131" s="107" t="n">
        <v>34507</v>
      </c>
      <c r="X131" s="108" t="s">
        <v>372</v>
      </c>
      <c r="Y131" s="107" t="s">
        <v>592</v>
      </c>
      <c r="Z131" s="107" t="s">
        <v>596</v>
      </c>
      <c r="AA131" s="109" t="n">
        <v>46164</v>
      </c>
      <c r="AB131" s="107" t="n">
        <v>260522000001</v>
      </c>
      <c r="AC131" s="109" t="n">
        <v>46114</v>
      </c>
      <c r="AD131" s="109" t="n">
        <v>49767</v>
      </c>
      <c r="AE131" s="107" t="n">
        <v>5.875</v>
      </c>
      <c r="AF131" s="107" t="n">
        <v>6.9216</v>
      </c>
      <c r="AG131" s="107" t="n">
        <v>3472</v>
      </c>
      <c r="AH131" s="107" t="n">
        <v>5000000</v>
      </c>
      <c r="AI131" s="107" t="n">
        <v>5.9288</v>
      </c>
      <c r="AJ131" s="107" t="n">
        <v>99.594</v>
      </c>
      <c r="AK131" s="107" t="n">
        <v>5.931426</v>
      </c>
      <c r="AL131" s="107" t="n">
        <v>102.498861</v>
      </c>
      <c r="AM131" s="107" t="n">
        <v>6.5537</v>
      </c>
      <c r="AN131" s="107" t="n">
        <v>95.2528</v>
      </c>
      <c r="AO131" s="107" t="n">
        <v>1358.4</v>
      </c>
      <c r="AP131" s="107" t="n">
        <v>1</v>
      </c>
      <c r="AQ131" s="107" t="n">
        <v>4762640</v>
      </c>
      <c r="AR131" s="107" t="n">
        <v>6469570176</v>
      </c>
      <c r="AS131" s="107" t="n">
        <v>4979700</v>
      </c>
      <c r="AT131" s="107" t="n">
        <v>7517853090</v>
      </c>
      <c r="AU131" s="107" t="n">
        <v>-217060</v>
      </c>
      <c r="AV131" s="107" t="n">
        <v>-294854304</v>
      </c>
      <c r="AW131" s="107" t="n">
        <v>40798.61</v>
      </c>
      <c r="AX131" s="107" t="n">
        <v>61593661</v>
      </c>
      <c r="AY131" s="107" t="n">
        <v>0</v>
      </c>
      <c r="AZ131" s="107" t="n">
        <v>0</v>
      </c>
      <c r="BA131" s="107" t="n">
        <v>0</v>
      </c>
      <c r="BB131" s="107" t="n">
        <v>0</v>
      </c>
      <c r="BC131" s="107" t="n">
        <v>0</v>
      </c>
      <c r="BD131" s="107" t="n">
        <v>0</v>
      </c>
      <c r="BE131" s="107" t="n">
        <v>104444.45</v>
      </c>
      <c r="BF131" s="107" t="n">
        <v>141877340</v>
      </c>
      <c r="BG131" s="107" t="n">
        <v>0</v>
      </c>
      <c r="BH131" s="107" t="n">
        <v>0</v>
      </c>
      <c r="BI131" s="107" t="n">
        <v>4979700</v>
      </c>
      <c r="BJ131" s="107" t="n">
        <v>7517853090</v>
      </c>
      <c r="BK131" s="107" t="n">
        <v>0</v>
      </c>
      <c r="BL131" s="107" t="n">
        <v>0</v>
      </c>
      <c r="BM131" s="107" t="n">
        <v>0</v>
      </c>
      <c r="BN131" s="107" t="n">
        <v>0</v>
      </c>
      <c r="BO131" s="107" t="s">
        <v>107</v>
      </c>
      <c r="BP131" s="2"/>
      <c r="BQ131" s="107" t="s">
        <v>369</v>
      </c>
      <c r="BR131" s="107" t="n">
        <v>-753428610</v>
      </c>
      <c r="BS131" s="107" t="n">
        <v>-6172829</v>
      </c>
      <c r="BT131" s="107" t="n">
        <v>0</v>
      </c>
      <c r="BU131" s="107" t="n">
        <v>0</v>
      </c>
      <c r="BV131" s="107" t="n">
        <v>0</v>
      </c>
      <c r="BW131" s="107" t="n">
        <v>145243.06</v>
      </c>
      <c r="BX131" s="107" t="n">
        <v>197298172</v>
      </c>
      <c r="BY131" s="107" t="n">
        <v>0</v>
      </c>
      <c r="BZ131" s="107" t="n">
        <v>0</v>
      </c>
      <c r="CA131" s="107" t="n">
        <v>1509.7</v>
      </c>
      <c r="CB131" s="2"/>
      <c r="CC131" s="107" t="n">
        <v>0</v>
      </c>
      <c r="CD131" s="107" t="n">
        <v>95.28</v>
      </c>
      <c r="CE131" s="107" t="n">
        <v>95.27</v>
      </c>
      <c r="CF131" s="107" t="n">
        <v>95.21</v>
      </c>
      <c r="CG131" s="107" t="n">
        <v>0</v>
      </c>
      <c r="CH131" s="107" t="n">
        <v>6.702</v>
      </c>
      <c r="CI131" s="107" t="n">
        <v>100.73</v>
      </c>
      <c r="CJ131" s="107" t="n">
        <v>101.31</v>
      </c>
      <c r="CK131" s="107" t="n">
        <v>101.7</v>
      </c>
      <c r="CL131" s="107" t="n">
        <v>0</v>
      </c>
    </row>
    <row r="132" customFormat="false" ht="15" hidden="false" customHeight="false" outlineLevel="0" collapsed="false">
      <c r="A132" s="107" t="s">
        <v>594</v>
      </c>
      <c r="B132" s="107" t="n">
        <v>97.8312</v>
      </c>
      <c r="C132" s="107" t="n">
        <v>5.7972</v>
      </c>
      <c r="D132" s="107" t="n">
        <v>3.0963</v>
      </c>
      <c r="E132" s="107" t="n">
        <v>-3029.1474456</v>
      </c>
      <c r="F132" s="108" t="s">
        <v>358</v>
      </c>
      <c r="G132" s="107" t="n">
        <v>3.0963</v>
      </c>
      <c r="H132" s="107" t="n">
        <v>-3029.1474456</v>
      </c>
      <c r="I132" s="109" t="n">
        <v>47610</v>
      </c>
      <c r="J132" s="107" t="n">
        <v>5</v>
      </c>
      <c r="K132" s="107" t="s">
        <v>359</v>
      </c>
      <c r="L132" s="107" t="s">
        <v>298</v>
      </c>
      <c r="M132" s="107" t="n">
        <v>30963000</v>
      </c>
      <c r="N132" s="107" t="n">
        <v>98.56</v>
      </c>
      <c r="O132" s="107" t="n">
        <v>9783120</v>
      </c>
      <c r="P132" s="107" t="s">
        <v>595</v>
      </c>
      <c r="Q132" s="107" t="s">
        <v>377</v>
      </c>
      <c r="R132" s="107" t="n">
        <v>-0.0244663199208654</v>
      </c>
      <c r="S132" s="107" t="n">
        <v>-0.00739448051948055</v>
      </c>
      <c r="T132" s="107" t="n">
        <v>-3116.9998632</v>
      </c>
      <c r="U132" s="107" t="n">
        <v>21069</v>
      </c>
      <c r="V132" s="108" t="s">
        <v>362</v>
      </c>
      <c r="W132" s="107" t="n">
        <v>34507</v>
      </c>
      <c r="X132" s="108" t="s">
        <v>372</v>
      </c>
      <c r="Y132" s="107" t="s">
        <v>592</v>
      </c>
      <c r="Z132" s="107" t="s">
        <v>596</v>
      </c>
      <c r="AA132" s="109" t="n">
        <v>46174</v>
      </c>
      <c r="AB132" s="107" t="n">
        <v>260601000001</v>
      </c>
      <c r="AC132" s="109" t="n">
        <v>46114</v>
      </c>
      <c r="AD132" s="109" t="n">
        <v>49767</v>
      </c>
      <c r="AE132" s="107" t="n">
        <v>5.875</v>
      </c>
      <c r="AF132" s="107" t="n">
        <v>6.9216</v>
      </c>
      <c r="AG132" s="107" t="n">
        <v>3472</v>
      </c>
      <c r="AH132" s="107" t="n">
        <v>2000000</v>
      </c>
      <c r="AI132" s="107" t="n">
        <v>5.68799</v>
      </c>
      <c r="AJ132" s="107" t="n">
        <v>101.385</v>
      </c>
      <c r="AK132" s="107" t="n">
        <v>5.684329</v>
      </c>
      <c r="AL132" s="107" t="n">
        <v>104.289861</v>
      </c>
      <c r="AM132" s="107" t="n">
        <v>6.5537</v>
      </c>
      <c r="AN132" s="107" t="n">
        <v>95.2528</v>
      </c>
      <c r="AO132" s="107" t="n">
        <v>1358.4</v>
      </c>
      <c r="AP132" s="107" t="n">
        <v>1</v>
      </c>
      <c r="AQ132" s="107" t="n">
        <v>1905056</v>
      </c>
      <c r="AR132" s="107" t="n">
        <v>2587828070</v>
      </c>
      <c r="AS132" s="107" t="n">
        <v>2027700</v>
      </c>
      <c r="AT132" s="107" t="n">
        <v>3053310660</v>
      </c>
      <c r="AU132" s="107" t="n">
        <v>-122644</v>
      </c>
      <c r="AV132" s="107" t="n">
        <v>-166599610</v>
      </c>
      <c r="AW132" s="107" t="n">
        <v>19256.94</v>
      </c>
      <c r="AX132" s="107" t="n">
        <v>28997100</v>
      </c>
      <c r="AY132" s="107" t="n">
        <v>0</v>
      </c>
      <c r="AZ132" s="107" t="n">
        <v>0</v>
      </c>
      <c r="BA132" s="107" t="n">
        <v>0</v>
      </c>
      <c r="BB132" s="107" t="n">
        <v>0</v>
      </c>
      <c r="BC132" s="107" t="n">
        <v>0</v>
      </c>
      <c r="BD132" s="107" t="n">
        <v>0</v>
      </c>
      <c r="BE132" s="107" t="n">
        <v>38840.28</v>
      </c>
      <c r="BF132" s="107" t="n">
        <v>52760636</v>
      </c>
      <c r="BG132" s="107" t="n">
        <v>0</v>
      </c>
      <c r="BH132" s="107" t="n">
        <v>0</v>
      </c>
      <c r="BI132" s="107" t="n">
        <v>2027700</v>
      </c>
      <c r="BJ132" s="107" t="n">
        <v>3053310660</v>
      </c>
      <c r="BK132" s="107" t="n">
        <v>0</v>
      </c>
      <c r="BL132" s="107" t="n">
        <v>0</v>
      </c>
      <c r="BM132" s="107" t="n">
        <v>0</v>
      </c>
      <c r="BN132" s="107" t="n">
        <v>0</v>
      </c>
      <c r="BO132" s="107" t="s">
        <v>107</v>
      </c>
      <c r="BP132" s="2"/>
      <c r="BQ132" s="107" t="s">
        <v>369</v>
      </c>
      <c r="BR132" s="107" t="n">
        <v>-298882980</v>
      </c>
      <c r="BS132" s="107" t="n">
        <v>-2838473</v>
      </c>
      <c r="BT132" s="107" t="n">
        <v>0</v>
      </c>
      <c r="BU132" s="107" t="n">
        <v>0</v>
      </c>
      <c r="BV132" s="107" t="n">
        <v>0</v>
      </c>
      <c r="BW132" s="107" t="n">
        <v>58097.22</v>
      </c>
      <c r="BX132" s="107" t="n">
        <v>78919263</v>
      </c>
      <c r="BY132" s="107" t="n">
        <v>0</v>
      </c>
      <c r="BZ132" s="107" t="n">
        <v>0</v>
      </c>
      <c r="CA132" s="107" t="n">
        <v>1505.8</v>
      </c>
      <c r="CB132" s="2"/>
      <c r="CC132" s="107" t="n">
        <v>0</v>
      </c>
      <c r="CD132" s="107" t="n">
        <v>95.28</v>
      </c>
      <c r="CE132" s="107" t="n">
        <v>95.27</v>
      </c>
      <c r="CF132" s="107" t="n">
        <v>95.21</v>
      </c>
      <c r="CG132" s="107" t="n">
        <v>0</v>
      </c>
      <c r="CH132" s="107" t="n">
        <v>6.702</v>
      </c>
      <c r="CI132" s="107" t="n">
        <v>100.73</v>
      </c>
      <c r="CJ132" s="107" t="n">
        <v>101.31</v>
      </c>
      <c r="CK132" s="107" t="n">
        <v>101.7</v>
      </c>
      <c r="CL132" s="107" t="n">
        <v>0</v>
      </c>
    </row>
    <row r="133" customFormat="false" ht="15" hidden="false" customHeight="false" outlineLevel="0" collapsed="false">
      <c r="A133" s="107" t="s">
        <v>597</v>
      </c>
      <c r="B133" s="107" t="n">
        <v>95.1798</v>
      </c>
      <c r="C133" s="107" t="n">
        <v>5.7804</v>
      </c>
      <c r="D133" s="107" t="n">
        <v>3.7186</v>
      </c>
      <c r="E133" s="107" t="n">
        <v>-70.787120856</v>
      </c>
      <c r="F133" s="108" t="s">
        <v>358</v>
      </c>
      <c r="G133" s="107" t="n">
        <v>3.7186</v>
      </c>
      <c r="H133" s="107" t="n">
        <v>-70.787120856</v>
      </c>
      <c r="I133" s="109" t="n">
        <v>47864</v>
      </c>
      <c r="J133" s="107" t="n">
        <v>5</v>
      </c>
      <c r="K133" s="107" t="s">
        <v>359</v>
      </c>
      <c r="L133" s="107" t="s">
        <v>298</v>
      </c>
      <c r="M133" s="107" t="n">
        <v>743720</v>
      </c>
      <c r="N133" s="107" t="n">
        <v>99.947</v>
      </c>
      <c r="O133" s="107" t="n">
        <v>190359.6</v>
      </c>
      <c r="P133" s="107" t="s">
        <v>483</v>
      </c>
      <c r="Q133" s="107" t="s">
        <v>377</v>
      </c>
      <c r="R133" s="107" t="n">
        <v>-0.110303150812964</v>
      </c>
      <c r="S133" s="107" t="n">
        <v>-0.0476972795581658</v>
      </c>
      <c r="T133" s="107" t="n">
        <v>-72.833486556</v>
      </c>
      <c r="U133" s="107" t="n">
        <v>21069</v>
      </c>
      <c r="V133" s="108" t="s">
        <v>362</v>
      </c>
      <c r="W133" s="107" t="n">
        <v>34507</v>
      </c>
      <c r="X133" s="108" t="s">
        <v>372</v>
      </c>
      <c r="Y133" s="107" t="s">
        <v>594</v>
      </c>
      <c r="Z133" s="107" t="s">
        <v>598</v>
      </c>
      <c r="AA133" s="109" t="n">
        <v>46199</v>
      </c>
      <c r="AB133" s="107" t="n">
        <v>260626000001</v>
      </c>
      <c r="AC133" s="109" t="n">
        <v>45784</v>
      </c>
      <c r="AD133" s="109" t="n">
        <v>47610</v>
      </c>
      <c r="AE133" s="107" t="n">
        <v>5.125</v>
      </c>
      <c r="AF133" s="107" t="n">
        <v>3.1834</v>
      </c>
      <c r="AG133" s="107" t="n">
        <v>1315</v>
      </c>
      <c r="AH133" s="107" t="n">
        <v>3000000</v>
      </c>
      <c r="AI133" s="107" t="n">
        <v>4.797</v>
      </c>
      <c r="AJ133" s="107" t="n">
        <v>101.138</v>
      </c>
      <c r="AK133" s="107" t="n">
        <v>4.775919</v>
      </c>
      <c r="AL133" s="107" t="n">
        <v>103.173764</v>
      </c>
      <c r="AM133" s="107" t="n">
        <v>5.7836</v>
      </c>
      <c r="AN133" s="107" t="n">
        <v>97.8758</v>
      </c>
      <c r="AO133" s="107" t="n">
        <v>1358.4</v>
      </c>
      <c r="AP133" s="107" t="n">
        <v>1</v>
      </c>
      <c r="AQ133" s="107" t="n">
        <v>2936274</v>
      </c>
      <c r="AR133" s="107" t="n">
        <v>3988634602</v>
      </c>
      <c r="AS133" s="107" t="n">
        <v>3034140</v>
      </c>
      <c r="AT133" s="107" t="n">
        <v>4688656542</v>
      </c>
      <c r="AU133" s="107" t="n">
        <v>-97866</v>
      </c>
      <c r="AV133" s="107" t="n">
        <v>-132941174</v>
      </c>
      <c r="AW133" s="107" t="n">
        <v>20927.08</v>
      </c>
      <c r="AX133" s="107" t="n">
        <v>32338616</v>
      </c>
      <c r="AY133" s="107" t="n">
        <v>0</v>
      </c>
      <c r="AZ133" s="107" t="n">
        <v>0</v>
      </c>
      <c r="BA133" s="107" t="n">
        <v>0</v>
      </c>
      <c r="BB133" s="107" t="n">
        <v>0</v>
      </c>
      <c r="BC133" s="107" t="n">
        <v>0</v>
      </c>
      <c r="BD133" s="107" t="n">
        <v>0</v>
      </c>
      <c r="BE133" s="107" t="n">
        <v>40145.84</v>
      </c>
      <c r="BF133" s="107" t="n">
        <v>54534109</v>
      </c>
      <c r="BG133" s="107" t="n">
        <v>0</v>
      </c>
      <c r="BH133" s="107" t="n">
        <v>0</v>
      </c>
      <c r="BI133" s="107" t="n">
        <v>3034140</v>
      </c>
      <c r="BJ133" s="107" t="n">
        <v>4688656542</v>
      </c>
      <c r="BK133" s="107" t="n">
        <v>0</v>
      </c>
      <c r="BL133" s="107" t="n">
        <v>0</v>
      </c>
      <c r="BM133" s="107" t="n">
        <v>0</v>
      </c>
      <c r="BN133" s="107" t="n">
        <v>0</v>
      </c>
      <c r="BO133" s="107" t="s">
        <v>377</v>
      </c>
      <c r="BP133" s="2"/>
      <c r="BQ133" s="107" t="s">
        <v>369</v>
      </c>
      <c r="BR133" s="107" t="n">
        <v>-567080766</v>
      </c>
      <c r="BS133" s="107" t="n">
        <v>-3911271</v>
      </c>
      <c r="BT133" s="107" t="n">
        <v>0</v>
      </c>
      <c r="BU133" s="107" t="n">
        <v>0</v>
      </c>
      <c r="BV133" s="107" t="n">
        <v>0</v>
      </c>
      <c r="BW133" s="107" t="n">
        <v>61072.92</v>
      </c>
      <c r="BX133" s="107" t="n">
        <v>82961454</v>
      </c>
      <c r="BY133" s="107" t="n">
        <v>0</v>
      </c>
      <c r="BZ133" s="107" t="n">
        <v>0</v>
      </c>
      <c r="CA133" s="107" t="n">
        <v>1545.3</v>
      </c>
      <c r="CB133" s="2"/>
      <c r="CC133" s="107" t="n">
        <v>0</v>
      </c>
      <c r="CD133" s="107" t="n">
        <v>97.87</v>
      </c>
      <c r="CE133" s="107" t="n">
        <v>97.88</v>
      </c>
      <c r="CF133" s="107" t="n">
        <v>97.87</v>
      </c>
      <c r="CG133" s="107" t="n">
        <v>3000000</v>
      </c>
      <c r="CH133" s="107" t="n">
        <v>3.0939</v>
      </c>
      <c r="CI133" s="107" t="n">
        <v>103.03</v>
      </c>
      <c r="CJ133" s="107" t="n">
        <v>103.51</v>
      </c>
      <c r="CK133" s="107" t="n">
        <v>103.82</v>
      </c>
      <c r="CL133" s="107" t="n">
        <v>2400000</v>
      </c>
    </row>
    <row r="134" customFormat="false" ht="15" hidden="false" customHeight="false" outlineLevel="0" collapsed="false">
      <c r="A134" s="107" t="s">
        <v>599</v>
      </c>
      <c r="B134" s="107" t="n">
        <v>91.7442</v>
      </c>
      <c r="C134" s="107" t="n">
        <v>6.1789</v>
      </c>
      <c r="D134" s="107" t="n">
        <v>6.9893</v>
      </c>
      <c r="E134" s="107" t="n">
        <v>-128.245547412</v>
      </c>
      <c r="F134" s="108" t="s">
        <v>358</v>
      </c>
      <c r="G134" s="107" t="n">
        <v>6.9893</v>
      </c>
      <c r="H134" s="107" t="n">
        <v>-128.245547412</v>
      </c>
      <c r="I134" s="109" t="n">
        <v>49690</v>
      </c>
      <c r="J134" s="107" t="n">
        <v>10</v>
      </c>
      <c r="K134" s="107" t="s">
        <v>359</v>
      </c>
      <c r="L134" s="107" t="s">
        <v>298</v>
      </c>
      <c r="M134" s="107" t="n">
        <v>1397860</v>
      </c>
      <c r="N134" s="107" t="n">
        <v>99.34</v>
      </c>
      <c r="O134" s="107" t="n">
        <v>183488.4</v>
      </c>
      <c r="P134" s="107" t="s">
        <v>483</v>
      </c>
      <c r="Q134" s="107" t="s">
        <v>377</v>
      </c>
      <c r="R134" s="107" t="n">
        <v>-0.137177446436721</v>
      </c>
      <c r="S134" s="107" t="n">
        <v>-0.076462653513187</v>
      </c>
      <c r="T134" s="107" t="n">
        <v>-132.207061968</v>
      </c>
      <c r="U134" s="107" t="n">
        <v>21069</v>
      </c>
      <c r="V134" s="108" t="s">
        <v>362</v>
      </c>
      <c r="W134" s="107" t="n">
        <v>34507</v>
      </c>
      <c r="X134" s="108" t="s">
        <v>372</v>
      </c>
      <c r="Y134" s="107" t="s">
        <v>594</v>
      </c>
      <c r="Z134" s="107" t="s">
        <v>598</v>
      </c>
      <c r="AA134" s="109" t="n">
        <v>46286</v>
      </c>
      <c r="AB134" s="107" t="n">
        <v>260921000001</v>
      </c>
      <c r="AC134" s="109" t="n">
        <v>45784</v>
      </c>
      <c r="AD134" s="109" t="n">
        <v>47610</v>
      </c>
      <c r="AE134" s="107" t="n">
        <v>5.125</v>
      </c>
      <c r="AF134" s="107" t="n">
        <v>3.1834</v>
      </c>
      <c r="AG134" s="107" t="n">
        <v>1315</v>
      </c>
      <c r="AH134" s="107" t="n">
        <v>10000000</v>
      </c>
      <c r="AI134" s="107" t="n">
        <v>5.566779</v>
      </c>
      <c r="AJ134" s="107" t="n">
        <v>98.56</v>
      </c>
      <c r="AK134" s="107" t="n">
        <v>5.569869</v>
      </c>
      <c r="AL134" s="107" t="n">
        <v>100.595763</v>
      </c>
      <c r="AM134" s="107" t="n">
        <v>5.7836</v>
      </c>
      <c r="AN134" s="107" t="n">
        <v>97.8758</v>
      </c>
      <c r="AO134" s="107" t="n">
        <v>1358.4</v>
      </c>
      <c r="AP134" s="107" t="n">
        <v>1</v>
      </c>
      <c r="AQ134" s="107" t="n">
        <v>9787580</v>
      </c>
      <c r="AR134" s="107" t="n">
        <v>13295448672</v>
      </c>
      <c r="AS134" s="107" t="n">
        <v>9856000</v>
      </c>
      <c r="AT134" s="107" t="n">
        <v>13638732800</v>
      </c>
      <c r="AU134" s="107" t="n">
        <v>-68420</v>
      </c>
      <c r="AV134" s="107" t="n">
        <v>-92941728</v>
      </c>
      <c r="AW134" s="107" t="n">
        <v>190763.89</v>
      </c>
      <c r="AX134" s="107" t="n">
        <v>263979070</v>
      </c>
      <c r="AY134" s="107" t="n">
        <v>0</v>
      </c>
      <c r="AZ134" s="107" t="n">
        <v>0</v>
      </c>
      <c r="BA134" s="107" t="n">
        <v>0</v>
      </c>
      <c r="BB134" s="107" t="n">
        <v>0</v>
      </c>
      <c r="BC134" s="107" t="n">
        <v>0</v>
      </c>
      <c r="BD134" s="107" t="n">
        <v>0</v>
      </c>
      <c r="BE134" s="107" t="n">
        <v>12812.5</v>
      </c>
      <c r="BF134" s="107" t="n">
        <v>17404500</v>
      </c>
      <c r="BG134" s="107" t="n">
        <v>0</v>
      </c>
      <c r="BH134" s="107" t="n">
        <v>0</v>
      </c>
      <c r="BI134" s="107" t="n">
        <v>9856000</v>
      </c>
      <c r="BJ134" s="107" t="n">
        <v>13638732800</v>
      </c>
      <c r="BK134" s="107" t="n">
        <v>0</v>
      </c>
      <c r="BL134" s="107" t="n">
        <v>0</v>
      </c>
      <c r="BM134" s="107" t="n">
        <v>0</v>
      </c>
      <c r="BN134" s="107" t="n">
        <v>0</v>
      </c>
      <c r="BO134" s="107" t="s">
        <v>377</v>
      </c>
      <c r="BP134" s="2"/>
      <c r="BQ134" s="107" t="s">
        <v>369</v>
      </c>
      <c r="BR134" s="107" t="n">
        <v>-250342400</v>
      </c>
      <c r="BS134" s="107" t="n">
        <v>-4845402</v>
      </c>
      <c r="BT134" s="107" t="n">
        <v>0</v>
      </c>
      <c r="BU134" s="107" t="n">
        <v>0</v>
      </c>
      <c r="BV134" s="107" t="n">
        <v>0</v>
      </c>
      <c r="BW134" s="107" t="n">
        <v>203576.39</v>
      </c>
      <c r="BX134" s="107" t="n">
        <v>276538168</v>
      </c>
      <c r="BY134" s="107" t="n">
        <v>0</v>
      </c>
      <c r="BZ134" s="107" t="n">
        <v>0</v>
      </c>
      <c r="CA134" s="107" t="n">
        <v>1383.8</v>
      </c>
      <c r="CB134" s="2"/>
      <c r="CC134" s="107" t="n">
        <v>0</v>
      </c>
      <c r="CD134" s="107" t="n">
        <v>97.87</v>
      </c>
      <c r="CE134" s="107" t="n">
        <v>97.88</v>
      </c>
      <c r="CF134" s="107" t="n">
        <v>97.87</v>
      </c>
      <c r="CG134" s="107" t="n">
        <v>400000</v>
      </c>
      <c r="CH134" s="107" t="n">
        <v>3.0939</v>
      </c>
      <c r="CI134" s="107" t="n">
        <v>103.03</v>
      </c>
      <c r="CJ134" s="107" t="n">
        <v>103.51</v>
      </c>
      <c r="CK134" s="107" t="n">
        <v>103.82</v>
      </c>
      <c r="CL134" s="107" t="n">
        <v>5000000</v>
      </c>
    </row>
    <row r="135" customFormat="false" ht="15" hidden="false" customHeight="false" outlineLevel="0" collapsed="false">
      <c r="A135" s="107" t="s">
        <v>599</v>
      </c>
      <c r="B135" s="107" t="n">
        <v>91.7442</v>
      </c>
      <c r="C135" s="107" t="n">
        <v>6.1789</v>
      </c>
      <c r="D135" s="107" t="n">
        <v>6.9893</v>
      </c>
      <c r="E135" s="107" t="n">
        <v>-3206.1386853</v>
      </c>
      <c r="F135" s="108" t="s">
        <v>358</v>
      </c>
      <c r="G135" s="107" t="n">
        <v>6.9893</v>
      </c>
      <c r="H135" s="107" t="n">
        <v>-3206.1386853</v>
      </c>
      <c r="I135" s="109" t="n">
        <v>49690</v>
      </c>
      <c r="J135" s="107" t="n">
        <v>10</v>
      </c>
      <c r="K135" s="107" t="s">
        <v>359</v>
      </c>
      <c r="L135" s="107" t="s">
        <v>298</v>
      </c>
      <c r="M135" s="107" t="n">
        <v>34946500</v>
      </c>
      <c r="N135" s="107" t="n">
        <v>98.14</v>
      </c>
      <c r="O135" s="107" t="n">
        <v>4587210</v>
      </c>
      <c r="P135" s="107" t="s">
        <v>483</v>
      </c>
      <c r="Q135" s="107" t="s">
        <v>377</v>
      </c>
      <c r="R135" s="107" t="n">
        <v>-0.150154695518462</v>
      </c>
      <c r="S135" s="107" t="n">
        <v>-0.0651701650703077</v>
      </c>
      <c r="T135" s="107" t="n">
        <v>-3305.1765492</v>
      </c>
      <c r="U135" s="107" t="n">
        <v>21069</v>
      </c>
      <c r="V135" s="108" t="s">
        <v>362</v>
      </c>
      <c r="W135" s="107" t="n">
        <v>34507</v>
      </c>
      <c r="X135" s="108" t="s">
        <v>372</v>
      </c>
      <c r="Y135" s="107" t="s">
        <v>597</v>
      </c>
      <c r="Z135" s="107" t="s">
        <v>600</v>
      </c>
      <c r="AA135" s="109" t="n">
        <v>46038</v>
      </c>
      <c r="AB135" s="107" t="n">
        <v>260116000001</v>
      </c>
      <c r="AC135" s="109" t="n">
        <v>46038</v>
      </c>
      <c r="AD135" s="109" t="n">
        <v>47864</v>
      </c>
      <c r="AE135" s="107" t="n">
        <v>4.5</v>
      </c>
      <c r="AF135" s="107" t="n">
        <v>3.8239</v>
      </c>
      <c r="AG135" s="107" t="n">
        <v>1569</v>
      </c>
      <c r="AH135" s="107" t="n">
        <v>200000</v>
      </c>
      <c r="AI135" s="107" t="n">
        <v>4.511959</v>
      </c>
      <c r="AJ135" s="107" t="n">
        <v>99.947</v>
      </c>
      <c r="AK135" s="107" t="n">
        <v>4.512142</v>
      </c>
      <c r="AL135" s="107" t="n">
        <v>100.872</v>
      </c>
      <c r="AM135" s="107" t="n">
        <v>5.7484</v>
      </c>
      <c r="AN135" s="107" t="n">
        <v>95.2993</v>
      </c>
      <c r="AO135" s="107" t="n">
        <v>1358.4</v>
      </c>
      <c r="AP135" s="107" t="n">
        <v>1</v>
      </c>
      <c r="AQ135" s="107" t="n">
        <v>190598.6</v>
      </c>
      <c r="AR135" s="107" t="n">
        <v>258909138</v>
      </c>
      <c r="AS135" s="107" t="n">
        <v>199894</v>
      </c>
      <c r="AT135" s="107" t="n">
        <v>290985695</v>
      </c>
      <c r="AU135" s="107" t="n">
        <v>-9295.4</v>
      </c>
      <c r="AV135" s="107" t="n">
        <v>-12626872</v>
      </c>
      <c r="AW135" s="107" t="n">
        <v>0</v>
      </c>
      <c r="AX135" s="107" t="n">
        <v>0</v>
      </c>
      <c r="AY135" s="107" t="n">
        <v>0</v>
      </c>
      <c r="AZ135" s="107" t="n">
        <v>0</v>
      </c>
      <c r="BA135" s="107" t="n">
        <v>0</v>
      </c>
      <c r="BB135" s="107" t="n">
        <v>0</v>
      </c>
      <c r="BC135" s="107" t="n">
        <v>0</v>
      </c>
      <c r="BD135" s="107" t="n">
        <v>0</v>
      </c>
      <c r="BE135" s="107" t="n">
        <v>1850</v>
      </c>
      <c r="BF135" s="107" t="n">
        <v>2513040</v>
      </c>
      <c r="BG135" s="107" t="n">
        <v>0</v>
      </c>
      <c r="BH135" s="107" t="n">
        <v>0</v>
      </c>
      <c r="BI135" s="107" t="n">
        <v>199894</v>
      </c>
      <c r="BJ135" s="107" t="n">
        <v>290985695</v>
      </c>
      <c r="BK135" s="107" t="n">
        <v>0</v>
      </c>
      <c r="BL135" s="107" t="n">
        <v>0</v>
      </c>
      <c r="BM135" s="107" t="n">
        <v>0</v>
      </c>
      <c r="BN135" s="107" t="n">
        <v>0</v>
      </c>
      <c r="BO135" s="107" t="s">
        <v>377</v>
      </c>
      <c r="BP135" s="2"/>
      <c r="BQ135" s="107" t="s">
        <v>369</v>
      </c>
      <c r="BR135" s="107" t="n">
        <v>-19449685</v>
      </c>
      <c r="BS135" s="107" t="n">
        <v>0</v>
      </c>
      <c r="BT135" s="107" t="n">
        <v>0</v>
      </c>
      <c r="BU135" s="107" t="n">
        <v>0</v>
      </c>
      <c r="BV135" s="107" t="n">
        <v>0</v>
      </c>
      <c r="BW135" s="107" t="n">
        <v>1850</v>
      </c>
      <c r="BX135" s="107" t="n">
        <v>2513040</v>
      </c>
      <c r="BY135" s="107" t="n">
        <v>0</v>
      </c>
      <c r="BZ135" s="107" t="n">
        <v>0</v>
      </c>
      <c r="CA135" s="107" t="n">
        <v>1455.7</v>
      </c>
      <c r="CB135" s="2"/>
      <c r="CC135" s="107" t="n">
        <v>0</v>
      </c>
      <c r="CD135" s="107" t="n">
        <v>95.31</v>
      </c>
      <c r="CE135" s="107" t="n">
        <v>95.3</v>
      </c>
      <c r="CF135" s="107" t="n">
        <v>95.28</v>
      </c>
      <c r="CG135" s="107" t="n">
        <v>200000</v>
      </c>
      <c r="CH135" s="107" t="n">
        <v>3.7171</v>
      </c>
      <c r="CI135" s="107" t="n">
        <v>99.95</v>
      </c>
      <c r="CJ135" s="107" t="n">
        <v>100.04</v>
      </c>
      <c r="CK135" s="107" t="n">
        <v>100.01</v>
      </c>
      <c r="CL135" s="107" t="n">
        <v>1000000</v>
      </c>
    </row>
    <row r="136" customFormat="false" ht="15" hidden="false" customHeight="false" outlineLevel="0" collapsed="false">
      <c r="A136" s="107" t="s">
        <v>599</v>
      </c>
      <c r="B136" s="107" t="n">
        <v>91.7442</v>
      </c>
      <c r="C136" s="107" t="n">
        <v>6.1789</v>
      </c>
      <c r="D136" s="107" t="n">
        <v>6.9893</v>
      </c>
      <c r="E136" s="107" t="n">
        <v>-1282.45547412</v>
      </c>
      <c r="F136" s="108" t="s">
        <v>358</v>
      </c>
      <c r="G136" s="107" t="n">
        <v>6.9893</v>
      </c>
      <c r="H136" s="107" t="n">
        <v>-1282.45547412</v>
      </c>
      <c r="I136" s="109" t="n">
        <v>49690</v>
      </c>
      <c r="J136" s="107" t="n">
        <v>10</v>
      </c>
      <c r="K136" s="107" t="s">
        <v>359</v>
      </c>
      <c r="L136" s="107" t="s">
        <v>298</v>
      </c>
      <c r="M136" s="107" t="n">
        <v>13978600</v>
      </c>
      <c r="N136" s="107" t="n">
        <v>97.751</v>
      </c>
      <c r="O136" s="107" t="n">
        <v>1834884</v>
      </c>
      <c r="P136" s="107" t="s">
        <v>483</v>
      </c>
      <c r="Q136" s="107" t="s">
        <v>377</v>
      </c>
      <c r="R136" s="107" t="n">
        <v>-0.140047170119616</v>
      </c>
      <c r="S136" s="107" t="n">
        <v>-0.0614500107415781</v>
      </c>
      <c r="T136" s="107" t="n">
        <v>-1322.07061968</v>
      </c>
      <c r="U136" s="107" t="n">
        <v>21069</v>
      </c>
      <c r="V136" s="108" t="s">
        <v>362</v>
      </c>
      <c r="W136" s="107" t="n">
        <v>34507</v>
      </c>
      <c r="X136" s="108" t="s">
        <v>372</v>
      </c>
      <c r="Y136" s="107" t="s">
        <v>599</v>
      </c>
      <c r="Z136" s="107" t="s">
        <v>601</v>
      </c>
      <c r="AA136" s="109" t="n">
        <v>46038</v>
      </c>
      <c r="AB136" s="107" t="n">
        <v>260116000001</v>
      </c>
      <c r="AC136" s="109" t="n">
        <v>46038</v>
      </c>
      <c r="AD136" s="109" t="n">
        <v>49690</v>
      </c>
      <c r="AE136" s="107" t="n">
        <v>5</v>
      </c>
      <c r="AF136" s="107" t="n">
        <v>7.2032</v>
      </c>
      <c r="AG136" s="107" t="n">
        <v>3395</v>
      </c>
      <c r="AH136" s="107" t="n">
        <v>200000</v>
      </c>
      <c r="AI136" s="107" t="n">
        <v>5.085015</v>
      </c>
      <c r="AJ136" s="107" t="n">
        <v>99.34</v>
      </c>
      <c r="AK136" s="107" t="n">
        <v>5.088969</v>
      </c>
      <c r="AL136" s="107" t="n">
        <v>100.36778</v>
      </c>
      <c r="AM136" s="107" t="n">
        <v>6.1687</v>
      </c>
      <c r="AN136" s="107" t="n">
        <v>91.8135</v>
      </c>
      <c r="AO136" s="107" t="n">
        <v>1358.4</v>
      </c>
      <c r="AP136" s="107" t="n">
        <v>1</v>
      </c>
      <c r="AQ136" s="107" t="n">
        <v>183627</v>
      </c>
      <c r="AR136" s="107" t="n">
        <v>249438917</v>
      </c>
      <c r="AS136" s="107" t="n">
        <v>198680</v>
      </c>
      <c r="AT136" s="107" t="n">
        <v>289218476</v>
      </c>
      <c r="AU136" s="107" t="n">
        <v>-15053</v>
      </c>
      <c r="AV136" s="107" t="n">
        <v>-20447995</v>
      </c>
      <c r="AW136" s="107" t="n">
        <v>0</v>
      </c>
      <c r="AX136" s="107" t="n">
        <v>0</v>
      </c>
      <c r="AY136" s="107" t="n">
        <v>0</v>
      </c>
      <c r="AZ136" s="107" t="n">
        <v>0</v>
      </c>
      <c r="BA136" s="107" t="n">
        <v>0</v>
      </c>
      <c r="BB136" s="107" t="n">
        <v>0</v>
      </c>
      <c r="BC136" s="107" t="n">
        <v>0</v>
      </c>
      <c r="BD136" s="107" t="n">
        <v>0</v>
      </c>
      <c r="BE136" s="107" t="n">
        <v>2055.56</v>
      </c>
      <c r="BF136" s="107" t="n">
        <v>2792272</v>
      </c>
      <c r="BG136" s="107" t="n">
        <v>0</v>
      </c>
      <c r="BH136" s="107" t="n">
        <v>0</v>
      </c>
      <c r="BI136" s="107" t="n">
        <v>198680</v>
      </c>
      <c r="BJ136" s="107" t="n">
        <v>289218476</v>
      </c>
      <c r="BK136" s="107" t="n">
        <v>0</v>
      </c>
      <c r="BL136" s="107" t="n">
        <v>0</v>
      </c>
      <c r="BM136" s="107" t="n">
        <v>0</v>
      </c>
      <c r="BN136" s="107" t="n">
        <v>0</v>
      </c>
      <c r="BO136" s="107" t="s">
        <v>377</v>
      </c>
      <c r="BP136" s="2"/>
      <c r="BQ136" s="107" t="s">
        <v>369</v>
      </c>
      <c r="BR136" s="107" t="n">
        <v>-19331564</v>
      </c>
      <c r="BS136" s="107" t="n">
        <v>0</v>
      </c>
      <c r="BT136" s="107" t="n">
        <v>0</v>
      </c>
      <c r="BU136" s="107" t="n">
        <v>0</v>
      </c>
      <c r="BV136" s="107" t="n">
        <v>0</v>
      </c>
      <c r="BW136" s="107" t="n">
        <v>2055.56</v>
      </c>
      <c r="BX136" s="107" t="n">
        <v>2792272</v>
      </c>
      <c r="BY136" s="107" t="n">
        <v>0</v>
      </c>
      <c r="BZ136" s="107" t="n">
        <v>0</v>
      </c>
      <c r="CA136" s="107" t="n">
        <v>1455.7</v>
      </c>
      <c r="CB136" s="2"/>
      <c r="CC136" s="107" t="n">
        <v>0</v>
      </c>
      <c r="CD136" s="107" t="n">
        <v>91.8</v>
      </c>
      <c r="CE136" s="107" t="n">
        <v>91.83</v>
      </c>
      <c r="CF136" s="107" t="n">
        <v>91.81</v>
      </c>
      <c r="CG136" s="107" t="n">
        <v>0</v>
      </c>
      <c r="CH136" s="107" t="n">
        <v>6.9877</v>
      </c>
      <c r="CI136" s="107" t="n">
        <v>100.33</v>
      </c>
      <c r="CJ136" s="107" t="n">
        <v>100.43</v>
      </c>
      <c r="CK136" s="107" t="n">
        <v>100.36</v>
      </c>
      <c r="CL136" s="107" t="n">
        <v>0</v>
      </c>
    </row>
    <row r="137" customFormat="false" ht="15" hidden="false" customHeight="false" outlineLevel="0" collapsed="false">
      <c r="A137" s="107" t="s">
        <v>599</v>
      </c>
      <c r="B137" s="107" t="n">
        <v>91.7442</v>
      </c>
      <c r="C137" s="107" t="n">
        <v>6.1789</v>
      </c>
      <c r="D137" s="107" t="n">
        <v>6.9893</v>
      </c>
      <c r="E137" s="107" t="n">
        <v>-1923.68321118</v>
      </c>
      <c r="F137" s="108" t="s">
        <v>358</v>
      </c>
      <c r="G137" s="107" t="n">
        <v>6.9893</v>
      </c>
      <c r="H137" s="107" t="n">
        <v>-1923.68321118</v>
      </c>
      <c r="I137" s="109" t="n">
        <v>49690</v>
      </c>
      <c r="J137" s="107" t="n">
        <v>10</v>
      </c>
      <c r="K137" s="107" t="s">
        <v>359</v>
      </c>
      <c r="L137" s="107" t="s">
        <v>298</v>
      </c>
      <c r="M137" s="107" t="n">
        <v>20967900</v>
      </c>
      <c r="N137" s="107" t="n">
        <v>97.933</v>
      </c>
      <c r="O137" s="107" t="n">
        <v>2752326</v>
      </c>
      <c r="P137" s="107" t="s">
        <v>483</v>
      </c>
      <c r="Q137" s="107" t="s">
        <v>377</v>
      </c>
      <c r="R137" s="107" t="n">
        <v>-0.15390101307426</v>
      </c>
      <c r="S137" s="107" t="n">
        <v>-0.0631942246229565</v>
      </c>
      <c r="T137" s="107" t="n">
        <v>-1983.10592952</v>
      </c>
      <c r="U137" s="107" t="n">
        <v>21069</v>
      </c>
      <c r="V137" s="108" t="s">
        <v>362</v>
      </c>
      <c r="W137" s="107" t="n">
        <v>34507</v>
      </c>
      <c r="X137" s="108" t="s">
        <v>372</v>
      </c>
      <c r="Y137" s="107" t="s">
        <v>599</v>
      </c>
      <c r="Z137" s="107" t="s">
        <v>601</v>
      </c>
      <c r="AA137" s="109" t="n">
        <v>46099</v>
      </c>
      <c r="AB137" s="107" t="n">
        <v>260318000001</v>
      </c>
      <c r="AC137" s="109" t="n">
        <v>46038</v>
      </c>
      <c r="AD137" s="109" t="n">
        <v>49690</v>
      </c>
      <c r="AE137" s="107" t="n">
        <v>5</v>
      </c>
      <c r="AF137" s="107" t="n">
        <v>7.2032</v>
      </c>
      <c r="AG137" s="107" t="n">
        <v>3395</v>
      </c>
      <c r="AH137" s="107" t="n">
        <v>5000000</v>
      </c>
      <c r="AI137" s="107" t="n">
        <v>5.243653</v>
      </c>
      <c r="AJ137" s="107" t="n">
        <v>98.14</v>
      </c>
      <c r="AK137" s="107" t="n">
        <v>5.254436</v>
      </c>
      <c r="AL137" s="107" t="n">
        <v>99.167777</v>
      </c>
      <c r="AM137" s="107" t="n">
        <v>6.1687</v>
      </c>
      <c r="AN137" s="107" t="n">
        <v>91.8135</v>
      </c>
      <c r="AO137" s="107" t="n">
        <v>1358.4</v>
      </c>
      <c r="AP137" s="107" t="n">
        <v>1</v>
      </c>
      <c r="AQ137" s="107" t="n">
        <v>4590675</v>
      </c>
      <c r="AR137" s="107" t="n">
        <v>6235972920</v>
      </c>
      <c r="AS137" s="107" t="n">
        <v>4907000</v>
      </c>
      <c r="AT137" s="107" t="n">
        <v>7340872000</v>
      </c>
      <c r="AU137" s="107" t="n">
        <v>-316325</v>
      </c>
      <c r="AV137" s="107" t="n">
        <v>-429695880</v>
      </c>
      <c r="AW137" s="107" t="n">
        <v>0</v>
      </c>
      <c r="AX137" s="107" t="n">
        <v>0</v>
      </c>
      <c r="AY137" s="107" t="n">
        <v>0</v>
      </c>
      <c r="AZ137" s="107" t="n">
        <v>0</v>
      </c>
      <c r="BA137" s="107" t="n">
        <v>0</v>
      </c>
      <c r="BB137" s="107" t="n">
        <v>0</v>
      </c>
      <c r="BC137" s="107" t="n">
        <v>0</v>
      </c>
      <c r="BD137" s="107" t="n">
        <v>0</v>
      </c>
      <c r="BE137" s="107" t="n">
        <v>51388.89</v>
      </c>
      <c r="BF137" s="107" t="n">
        <v>69806668</v>
      </c>
      <c r="BG137" s="107" t="n">
        <v>0</v>
      </c>
      <c r="BH137" s="107" t="n">
        <v>0</v>
      </c>
      <c r="BI137" s="107" t="n">
        <v>4907000</v>
      </c>
      <c r="BJ137" s="107" t="n">
        <v>7340872000</v>
      </c>
      <c r="BK137" s="107" t="n">
        <v>0</v>
      </c>
      <c r="BL137" s="107" t="n">
        <v>0</v>
      </c>
      <c r="BM137" s="107" t="n">
        <v>0</v>
      </c>
      <c r="BN137" s="107" t="n">
        <v>0</v>
      </c>
      <c r="BO137" s="107" t="s">
        <v>377</v>
      </c>
      <c r="BP137" s="2"/>
      <c r="BQ137" s="107" t="s">
        <v>369</v>
      </c>
      <c r="BR137" s="107" t="n">
        <v>-675203200</v>
      </c>
      <c r="BS137" s="107" t="n">
        <v>0</v>
      </c>
      <c r="BT137" s="107" t="n">
        <v>0</v>
      </c>
      <c r="BU137" s="107" t="n">
        <v>0</v>
      </c>
      <c r="BV137" s="107" t="n">
        <v>0</v>
      </c>
      <c r="BW137" s="107" t="n">
        <v>51388.89</v>
      </c>
      <c r="BX137" s="107" t="n">
        <v>69806668</v>
      </c>
      <c r="BY137" s="107" t="n">
        <v>0</v>
      </c>
      <c r="BZ137" s="107" t="n">
        <v>0</v>
      </c>
      <c r="CA137" s="107" t="n">
        <v>1496</v>
      </c>
      <c r="CB137" s="2"/>
      <c r="CC137" s="107" t="n">
        <v>0</v>
      </c>
      <c r="CD137" s="107" t="n">
        <v>91.8</v>
      </c>
      <c r="CE137" s="107" t="n">
        <v>91.83</v>
      </c>
      <c r="CF137" s="107" t="n">
        <v>91.81</v>
      </c>
      <c r="CG137" s="107" t="n">
        <v>0</v>
      </c>
      <c r="CH137" s="107" t="n">
        <v>6.9877</v>
      </c>
      <c r="CI137" s="107" t="n">
        <v>99.14</v>
      </c>
      <c r="CJ137" s="107" t="n">
        <v>99.64</v>
      </c>
      <c r="CK137" s="107" t="n">
        <v>99.72</v>
      </c>
      <c r="CL137" s="107" t="n">
        <v>5000000</v>
      </c>
    </row>
    <row r="138" customFormat="false" ht="15" hidden="false" customHeight="false" outlineLevel="0" collapsed="false">
      <c r="A138" s="107" t="s">
        <v>599</v>
      </c>
      <c r="B138" s="107" t="n">
        <v>91.7442</v>
      </c>
      <c r="C138" s="107" t="n">
        <v>6.1789</v>
      </c>
      <c r="D138" s="107" t="n">
        <v>6.9893</v>
      </c>
      <c r="E138" s="107" t="n">
        <v>-1282.45547412</v>
      </c>
      <c r="F138" s="108" t="s">
        <v>358</v>
      </c>
      <c r="G138" s="107" t="n">
        <v>6.9893</v>
      </c>
      <c r="H138" s="107" t="n">
        <v>-1282.45547412</v>
      </c>
      <c r="I138" s="109" t="n">
        <v>49690</v>
      </c>
      <c r="J138" s="107" t="n">
        <v>10</v>
      </c>
      <c r="K138" s="107" t="s">
        <v>359</v>
      </c>
      <c r="L138" s="107" t="s">
        <v>298</v>
      </c>
      <c r="M138" s="107" t="n">
        <v>13978600</v>
      </c>
      <c r="N138" s="107" t="n">
        <v>98.024</v>
      </c>
      <c r="O138" s="107" t="n">
        <v>1834884</v>
      </c>
      <c r="P138" s="107" t="s">
        <v>483</v>
      </c>
      <c r="Q138" s="107" t="s">
        <v>377</v>
      </c>
      <c r="R138" s="107" t="n">
        <v>-0.154686484059021</v>
      </c>
      <c r="S138" s="107" t="n">
        <v>-0.0640639027177017</v>
      </c>
      <c r="T138" s="107" t="n">
        <v>-1322.07061968</v>
      </c>
      <c r="U138" s="107" t="n">
        <v>21069</v>
      </c>
      <c r="V138" s="108" t="s">
        <v>362</v>
      </c>
      <c r="W138" s="107" t="n">
        <v>34507</v>
      </c>
      <c r="X138" s="108" t="s">
        <v>372</v>
      </c>
      <c r="Y138" s="107" t="s">
        <v>599</v>
      </c>
      <c r="Z138" s="107" t="s">
        <v>601</v>
      </c>
      <c r="AA138" s="109" t="n">
        <v>46156</v>
      </c>
      <c r="AB138" s="107" t="n">
        <v>260514000001</v>
      </c>
      <c r="AC138" s="109" t="n">
        <v>46038</v>
      </c>
      <c r="AD138" s="109" t="n">
        <v>49690</v>
      </c>
      <c r="AE138" s="107" t="n">
        <v>5</v>
      </c>
      <c r="AF138" s="107" t="n">
        <v>7.2032</v>
      </c>
      <c r="AG138" s="107" t="n">
        <v>3395</v>
      </c>
      <c r="AH138" s="107" t="n">
        <v>2000000</v>
      </c>
      <c r="AI138" s="107" t="n">
        <v>5.299194</v>
      </c>
      <c r="AJ138" s="107" t="n">
        <v>97.751</v>
      </c>
      <c r="AK138" s="107" t="n">
        <v>5.308599</v>
      </c>
      <c r="AL138" s="107" t="n">
        <v>98.778778</v>
      </c>
      <c r="AM138" s="107" t="n">
        <v>6.1687</v>
      </c>
      <c r="AN138" s="107" t="n">
        <v>91.8135</v>
      </c>
      <c r="AO138" s="107" t="n">
        <v>1358.4</v>
      </c>
      <c r="AP138" s="107" t="n">
        <v>1</v>
      </c>
      <c r="AQ138" s="107" t="n">
        <v>1836270</v>
      </c>
      <c r="AR138" s="107" t="n">
        <v>2494389168</v>
      </c>
      <c r="AS138" s="107" t="n">
        <v>1955020</v>
      </c>
      <c r="AT138" s="107" t="n">
        <v>2901836186</v>
      </c>
      <c r="AU138" s="107" t="n">
        <v>-118750</v>
      </c>
      <c r="AV138" s="107" t="n">
        <v>-161310000</v>
      </c>
      <c r="AW138" s="107" t="n">
        <v>0</v>
      </c>
      <c r="AX138" s="107" t="n">
        <v>0</v>
      </c>
      <c r="AY138" s="107" t="n">
        <v>0</v>
      </c>
      <c r="AZ138" s="107" t="n">
        <v>0</v>
      </c>
      <c r="BA138" s="107" t="n">
        <v>0</v>
      </c>
      <c r="BB138" s="107" t="n">
        <v>0</v>
      </c>
      <c r="BC138" s="107" t="n">
        <v>0</v>
      </c>
      <c r="BD138" s="107" t="n">
        <v>0</v>
      </c>
      <c r="BE138" s="107" t="n">
        <v>20555.56</v>
      </c>
      <c r="BF138" s="107" t="n">
        <v>27922672</v>
      </c>
      <c r="BG138" s="107" t="n">
        <v>0</v>
      </c>
      <c r="BH138" s="107" t="n">
        <v>0</v>
      </c>
      <c r="BI138" s="107" t="n">
        <v>1955020</v>
      </c>
      <c r="BJ138" s="107" t="n">
        <v>2901836186</v>
      </c>
      <c r="BK138" s="107" t="n">
        <v>0</v>
      </c>
      <c r="BL138" s="107" t="n">
        <v>0</v>
      </c>
      <c r="BM138" s="107" t="n">
        <v>0</v>
      </c>
      <c r="BN138" s="107" t="n">
        <v>0</v>
      </c>
      <c r="BO138" s="107" t="s">
        <v>377</v>
      </c>
      <c r="BP138" s="2"/>
      <c r="BQ138" s="107" t="s">
        <v>369</v>
      </c>
      <c r="BR138" s="107" t="n">
        <v>-246137018</v>
      </c>
      <c r="BS138" s="107" t="n">
        <v>0</v>
      </c>
      <c r="BT138" s="107" t="n">
        <v>0</v>
      </c>
      <c r="BU138" s="107" t="n">
        <v>0</v>
      </c>
      <c r="BV138" s="107" t="n">
        <v>0</v>
      </c>
      <c r="BW138" s="107" t="n">
        <v>20555.56</v>
      </c>
      <c r="BX138" s="107" t="n">
        <v>27922672</v>
      </c>
      <c r="BY138" s="107" t="n">
        <v>0</v>
      </c>
      <c r="BZ138" s="107" t="n">
        <v>0</v>
      </c>
      <c r="CA138" s="107" t="n">
        <v>1484.3</v>
      </c>
      <c r="CB138" s="2"/>
      <c r="CC138" s="107" t="n">
        <v>0</v>
      </c>
      <c r="CD138" s="107" t="n">
        <v>91.8</v>
      </c>
      <c r="CE138" s="107" t="n">
        <v>91.83</v>
      </c>
      <c r="CF138" s="107" t="n">
        <v>91.81</v>
      </c>
      <c r="CG138" s="107" t="n">
        <v>0</v>
      </c>
      <c r="CH138" s="107" t="n">
        <v>6.9877</v>
      </c>
      <c r="CI138" s="107" t="n">
        <v>95.47</v>
      </c>
      <c r="CJ138" s="107" t="n">
        <v>96.17</v>
      </c>
      <c r="CK138" s="107" t="n">
        <v>96.05</v>
      </c>
      <c r="CL138" s="107" t="n">
        <v>1000000</v>
      </c>
    </row>
    <row r="139" customFormat="false" ht="15" hidden="false" customHeight="false" outlineLevel="0" collapsed="false">
      <c r="A139" s="107" t="s">
        <v>602</v>
      </c>
      <c r="B139" s="107" t="n">
        <v>103.4012</v>
      </c>
      <c r="C139" s="107" t="n">
        <v>5.8442</v>
      </c>
      <c r="D139" s="107" t="n">
        <v>4.9631</v>
      </c>
      <c r="E139" s="107" t="n">
        <v>-2565.9524786</v>
      </c>
      <c r="F139" s="108" t="s">
        <v>358</v>
      </c>
      <c r="G139" s="107" t="n">
        <v>4.9631</v>
      </c>
      <c r="H139" s="107" t="n">
        <v>-2565.9524786</v>
      </c>
      <c r="I139" s="109" t="n">
        <v>48596</v>
      </c>
      <c r="J139" s="107" t="n">
        <v>10</v>
      </c>
      <c r="K139" s="107" t="s">
        <v>359</v>
      </c>
      <c r="L139" s="107" t="s">
        <v>298</v>
      </c>
      <c r="M139" s="107" t="n">
        <v>24815500</v>
      </c>
      <c r="N139" s="107" t="n">
        <v>109.502</v>
      </c>
      <c r="O139" s="107" t="n">
        <v>5170060</v>
      </c>
      <c r="P139" s="107" t="s">
        <v>489</v>
      </c>
      <c r="Q139" s="107" t="s">
        <v>490</v>
      </c>
      <c r="R139" s="107" t="n">
        <v>-0.145669976851706</v>
      </c>
      <c r="S139" s="107" t="n">
        <v>-0.0557140508849153</v>
      </c>
      <c r="T139" s="107" t="n">
        <v>-2640.9183486</v>
      </c>
      <c r="U139" s="107" t="n">
        <v>21069</v>
      </c>
      <c r="V139" s="108" t="s">
        <v>362</v>
      </c>
      <c r="W139" s="107" t="n">
        <v>34507</v>
      </c>
      <c r="X139" s="108" t="s">
        <v>372</v>
      </c>
      <c r="Y139" s="107" t="s">
        <v>599</v>
      </c>
      <c r="Z139" s="107" t="s">
        <v>601</v>
      </c>
      <c r="AA139" s="109" t="n">
        <v>46174</v>
      </c>
      <c r="AB139" s="107" t="n">
        <v>260601000001</v>
      </c>
      <c r="AC139" s="109" t="n">
        <v>46038</v>
      </c>
      <c r="AD139" s="109" t="n">
        <v>49690</v>
      </c>
      <c r="AE139" s="107" t="n">
        <v>5</v>
      </c>
      <c r="AF139" s="107" t="n">
        <v>7.2032</v>
      </c>
      <c r="AG139" s="107" t="n">
        <v>3395</v>
      </c>
      <c r="AH139" s="107" t="n">
        <v>3000000</v>
      </c>
      <c r="AI139" s="107" t="n">
        <v>5.27582</v>
      </c>
      <c r="AJ139" s="107" t="n">
        <v>97.933</v>
      </c>
      <c r="AK139" s="107" t="n">
        <v>5.283226</v>
      </c>
      <c r="AL139" s="107" t="n">
        <v>98.960777</v>
      </c>
      <c r="AM139" s="107" t="n">
        <v>6.1687</v>
      </c>
      <c r="AN139" s="107" t="n">
        <v>91.8135</v>
      </c>
      <c r="AO139" s="107" t="n">
        <v>1358.4</v>
      </c>
      <c r="AP139" s="107" t="n">
        <v>1</v>
      </c>
      <c r="AQ139" s="107" t="n">
        <v>2754405</v>
      </c>
      <c r="AR139" s="107" t="n">
        <v>3741583752</v>
      </c>
      <c r="AS139" s="107" t="n">
        <v>2937990</v>
      </c>
      <c r="AT139" s="107" t="n">
        <v>4424025342</v>
      </c>
      <c r="AU139" s="107" t="n">
        <v>-183585</v>
      </c>
      <c r="AV139" s="107" t="n">
        <v>-249381864</v>
      </c>
      <c r="AW139" s="107" t="n">
        <v>0</v>
      </c>
      <c r="AX139" s="107" t="n">
        <v>0</v>
      </c>
      <c r="AY139" s="107" t="n">
        <v>0</v>
      </c>
      <c r="AZ139" s="107" t="n">
        <v>0</v>
      </c>
      <c r="BA139" s="107" t="n">
        <v>0</v>
      </c>
      <c r="BB139" s="107" t="n">
        <v>0</v>
      </c>
      <c r="BC139" s="107" t="n">
        <v>0</v>
      </c>
      <c r="BD139" s="107" t="n">
        <v>0</v>
      </c>
      <c r="BE139" s="107" t="n">
        <v>30833.33</v>
      </c>
      <c r="BF139" s="107" t="n">
        <v>41883995</v>
      </c>
      <c r="BG139" s="107" t="n">
        <v>0</v>
      </c>
      <c r="BH139" s="107" t="n">
        <v>0</v>
      </c>
      <c r="BI139" s="107" t="n">
        <v>2937990</v>
      </c>
      <c r="BJ139" s="107" t="n">
        <v>4424025342</v>
      </c>
      <c r="BK139" s="107" t="n">
        <v>0</v>
      </c>
      <c r="BL139" s="107" t="n">
        <v>0</v>
      </c>
      <c r="BM139" s="107" t="n">
        <v>0</v>
      </c>
      <c r="BN139" s="107" t="n">
        <v>0</v>
      </c>
      <c r="BO139" s="107" t="s">
        <v>377</v>
      </c>
      <c r="BP139" s="2"/>
      <c r="BQ139" s="107" t="s">
        <v>369</v>
      </c>
      <c r="BR139" s="107" t="n">
        <v>-433059726</v>
      </c>
      <c r="BS139" s="107" t="n">
        <v>0</v>
      </c>
      <c r="BT139" s="107" t="n">
        <v>0</v>
      </c>
      <c r="BU139" s="107" t="n">
        <v>0</v>
      </c>
      <c r="BV139" s="107" t="n">
        <v>0</v>
      </c>
      <c r="BW139" s="107" t="n">
        <v>30833.33</v>
      </c>
      <c r="BX139" s="107" t="n">
        <v>41883995</v>
      </c>
      <c r="BY139" s="107" t="n">
        <v>0</v>
      </c>
      <c r="BZ139" s="107" t="n">
        <v>0</v>
      </c>
      <c r="CA139" s="107" t="n">
        <v>1505.8</v>
      </c>
      <c r="CB139" s="2"/>
      <c r="CC139" s="107" t="n">
        <v>0</v>
      </c>
      <c r="CD139" s="107" t="n">
        <v>91.8</v>
      </c>
      <c r="CE139" s="107" t="n">
        <v>91.83</v>
      </c>
      <c r="CF139" s="107" t="n">
        <v>91.81</v>
      </c>
      <c r="CG139" s="107" t="n">
        <v>0</v>
      </c>
      <c r="CH139" s="107" t="n">
        <v>6.9877</v>
      </c>
      <c r="CI139" s="107" t="n">
        <v>99.51</v>
      </c>
      <c r="CJ139" s="107" t="n">
        <v>99.6</v>
      </c>
      <c r="CK139" s="107" t="n">
        <v>99.54</v>
      </c>
      <c r="CL139" s="107" t="n">
        <v>0</v>
      </c>
    </row>
    <row r="140" customFormat="false" ht="15" hidden="false" customHeight="false" outlineLevel="0" collapsed="false">
      <c r="A140" s="107" t="s">
        <v>602</v>
      </c>
      <c r="B140" s="107" t="n">
        <v>103.4012</v>
      </c>
      <c r="C140" s="107" t="n">
        <v>5.8442</v>
      </c>
      <c r="D140" s="107" t="n">
        <v>4.9631</v>
      </c>
      <c r="E140" s="107" t="n">
        <v>-2052.76198288</v>
      </c>
      <c r="F140" s="108" t="s">
        <v>358</v>
      </c>
      <c r="G140" s="107" t="n">
        <v>4.9631</v>
      </c>
      <c r="H140" s="107" t="n">
        <v>-2052.76198288</v>
      </c>
      <c r="I140" s="109" t="n">
        <v>48596</v>
      </c>
      <c r="J140" s="107" t="n">
        <v>10</v>
      </c>
      <c r="K140" s="107" t="s">
        <v>359</v>
      </c>
      <c r="L140" s="107" t="s">
        <v>298</v>
      </c>
      <c r="M140" s="107" t="n">
        <v>19852400</v>
      </c>
      <c r="N140" s="107" t="n">
        <v>109.43</v>
      </c>
      <c r="O140" s="107" t="n">
        <v>4136048</v>
      </c>
      <c r="P140" s="107" t="s">
        <v>489</v>
      </c>
      <c r="Q140" s="107" t="s">
        <v>490</v>
      </c>
      <c r="R140" s="107" t="n">
        <v>-0.145107866263507</v>
      </c>
      <c r="S140" s="107" t="n">
        <v>-0.0550927533583113</v>
      </c>
      <c r="T140" s="107" t="n">
        <v>-2112.73467888</v>
      </c>
      <c r="U140" s="107" t="n">
        <v>21069</v>
      </c>
      <c r="V140" s="108" t="s">
        <v>362</v>
      </c>
      <c r="W140" s="107" t="n">
        <v>34507</v>
      </c>
      <c r="X140" s="108" t="s">
        <v>372</v>
      </c>
      <c r="Y140" s="107" t="s">
        <v>599</v>
      </c>
      <c r="Z140" s="107" t="s">
        <v>601</v>
      </c>
      <c r="AA140" s="109" t="n">
        <v>46174</v>
      </c>
      <c r="AB140" s="107" t="n">
        <v>260601000002</v>
      </c>
      <c r="AC140" s="109" t="n">
        <v>46038</v>
      </c>
      <c r="AD140" s="109" t="n">
        <v>49690</v>
      </c>
      <c r="AE140" s="107" t="n">
        <v>5</v>
      </c>
      <c r="AF140" s="107" t="n">
        <v>7.2032</v>
      </c>
      <c r="AG140" s="107" t="n">
        <v>3395</v>
      </c>
      <c r="AH140" s="107" t="n">
        <v>2000000</v>
      </c>
      <c r="AI140" s="107" t="n">
        <v>5.263492</v>
      </c>
      <c r="AJ140" s="107" t="n">
        <v>98.024</v>
      </c>
      <c r="AK140" s="107" t="n">
        <v>5.270561</v>
      </c>
      <c r="AL140" s="107" t="n">
        <v>99.051778</v>
      </c>
      <c r="AM140" s="107" t="n">
        <v>6.1687</v>
      </c>
      <c r="AN140" s="107" t="n">
        <v>91.8135</v>
      </c>
      <c r="AO140" s="107" t="n">
        <v>1358.4</v>
      </c>
      <c r="AP140" s="107" t="n">
        <v>1</v>
      </c>
      <c r="AQ140" s="107" t="n">
        <v>1836270</v>
      </c>
      <c r="AR140" s="107" t="n">
        <v>2494389168</v>
      </c>
      <c r="AS140" s="107" t="n">
        <v>1960480</v>
      </c>
      <c r="AT140" s="107" t="n">
        <v>2952090784</v>
      </c>
      <c r="AU140" s="107" t="n">
        <v>-124210</v>
      </c>
      <c r="AV140" s="107" t="n">
        <v>-168726864</v>
      </c>
      <c r="AW140" s="107" t="n">
        <v>0</v>
      </c>
      <c r="AX140" s="107" t="n">
        <v>0</v>
      </c>
      <c r="AY140" s="107" t="n">
        <v>0</v>
      </c>
      <c r="AZ140" s="107" t="n">
        <v>0</v>
      </c>
      <c r="BA140" s="107" t="n">
        <v>0</v>
      </c>
      <c r="BB140" s="107" t="n">
        <v>0</v>
      </c>
      <c r="BC140" s="107" t="n">
        <v>0</v>
      </c>
      <c r="BD140" s="107" t="n">
        <v>0</v>
      </c>
      <c r="BE140" s="107" t="n">
        <v>20555.56</v>
      </c>
      <c r="BF140" s="107" t="n">
        <v>27922672</v>
      </c>
      <c r="BG140" s="107" t="n">
        <v>0</v>
      </c>
      <c r="BH140" s="107" t="n">
        <v>0</v>
      </c>
      <c r="BI140" s="107" t="n">
        <v>1960480</v>
      </c>
      <c r="BJ140" s="107" t="n">
        <v>2952090784</v>
      </c>
      <c r="BK140" s="107" t="n">
        <v>0</v>
      </c>
      <c r="BL140" s="107" t="n">
        <v>0</v>
      </c>
      <c r="BM140" s="107" t="n">
        <v>0</v>
      </c>
      <c r="BN140" s="107" t="n">
        <v>0</v>
      </c>
      <c r="BO140" s="107" t="s">
        <v>377</v>
      </c>
      <c r="BP140" s="2"/>
      <c r="BQ140" s="107" t="s">
        <v>369</v>
      </c>
      <c r="BR140" s="107" t="n">
        <v>-288974752</v>
      </c>
      <c r="BS140" s="107" t="n">
        <v>0</v>
      </c>
      <c r="BT140" s="107" t="n">
        <v>0</v>
      </c>
      <c r="BU140" s="107" t="n">
        <v>0</v>
      </c>
      <c r="BV140" s="107" t="n">
        <v>0</v>
      </c>
      <c r="BW140" s="107" t="n">
        <v>20555.56</v>
      </c>
      <c r="BX140" s="107" t="n">
        <v>27922672</v>
      </c>
      <c r="BY140" s="107" t="n">
        <v>0</v>
      </c>
      <c r="BZ140" s="107" t="n">
        <v>0</v>
      </c>
      <c r="CA140" s="107" t="n">
        <v>1505.8</v>
      </c>
      <c r="CB140" s="2"/>
      <c r="CC140" s="107" t="n">
        <v>0</v>
      </c>
      <c r="CD140" s="107" t="n">
        <v>91.8</v>
      </c>
      <c r="CE140" s="107" t="n">
        <v>91.83</v>
      </c>
      <c r="CF140" s="107" t="n">
        <v>91.81</v>
      </c>
      <c r="CG140" s="107" t="n">
        <v>0</v>
      </c>
      <c r="CH140" s="107" t="n">
        <v>6.9877</v>
      </c>
      <c r="CI140" s="107" t="n">
        <v>99.51</v>
      </c>
      <c r="CJ140" s="107" t="n">
        <v>99.6</v>
      </c>
      <c r="CK140" s="107" t="n">
        <v>99.54</v>
      </c>
      <c r="CL140" s="107" t="n">
        <v>0</v>
      </c>
    </row>
    <row r="141" customFormat="false" ht="15" hidden="false" customHeight="false" outlineLevel="0" collapsed="false">
      <c r="A141" s="107" t="s">
        <v>602</v>
      </c>
      <c r="B141" s="107" t="n">
        <v>103.4012</v>
      </c>
      <c r="C141" s="107" t="n">
        <v>5.8442</v>
      </c>
      <c r="D141" s="107" t="n">
        <v>4.9631</v>
      </c>
      <c r="E141" s="107" t="n">
        <v>-2052.76198288</v>
      </c>
      <c r="F141" s="108" t="s">
        <v>358</v>
      </c>
      <c r="G141" s="107" t="n">
        <v>4.9631</v>
      </c>
      <c r="H141" s="107" t="n">
        <v>-2052.76198288</v>
      </c>
      <c r="I141" s="109" t="n">
        <v>48596</v>
      </c>
      <c r="J141" s="107" t="n">
        <v>10</v>
      </c>
      <c r="K141" s="107" t="s">
        <v>359</v>
      </c>
      <c r="L141" s="107" t="s">
        <v>298</v>
      </c>
      <c r="M141" s="107" t="n">
        <v>19852400</v>
      </c>
      <c r="N141" s="107" t="n">
        <v>106.7</v>
      </c>
      <c r="O141" s="107" t="n">
        <v>4136048</v>
      </c>
      <c r="P141" s="107" t="s">
        <v>489</v>
      </c>
      <c r="Q141" s="107" t="s">
        <v>490</v>
      </c>
      <c r="R141" s="107" t="n">
        <v>-0.0782897828168819</v>
      </c>
      <c r="S141" s="107" t="n">
        <v>-0.0309165885660732</v>
      </c>
      <c r="T141" s="107" t="n">
        <v>-2112.73467888</v>
      </c>
      <c r="U141" s="107" t="n">
        <v>21069</v>
      </c>
      <c r="V141" s="108" t="s">
        <v>362</v>
      </c>
      <c r="W141" s="107" t="n">
        <v>34507</v>
      </c>
      <c r="X141" s="108" t="s">
        <v>372</v>
      </c>
      <c r="Y141" s="107" t="s">
        <v>602</v>
      </c>
      <c r="Z141" s="107" t="s">
        <v>603</v>
      </c>
      <c r="AA141" s="109" t="n">
        <v>46175</v>
      </c>
      <c r="AB141" s="107" t="n">
        <v>260602000001</v>
      </c>
      <c r="AC141" s="109" t="n">
        <v>44943</v>
      </c>
      <c r="AD141" s="109" t="n">
        <v>48596</v>
      </c>
      <c r="AE141" s="107" t="n">
        <v>6.5</v>
      </c>
      <c r="AF141" s="107" t="n">
        <v>5.1057</v>
      </c>
      <c r="AG141" s="107" t="n">
        <v>2301</v>
      </c>
      <c r="AH141" s="107" t="n">
        <v>5000000</v>
      </c>
      <c r="AI141" s="107" t="n">
        <v>4.806941</v>
      </c>
      <c r="AJ141" s="107" t="n">
        <v>109.502</v>
      </c>
      <c r="AK141" s="107" t="n">
        <v>4.735564</v>
      </c>
      <c r="AL141" s="107" t="n">
        <v>110.820055</v>
      </c>
      <c r="AM141" s="107" t="n">
        <v>5.8327</v>
      </c>
      <c r="AN141" s="107" t="n">
        <v>103.4611</v>
      </c>
      <c r="AO141" s="107" t="n">
        <v>1358.4</v>
      </c>
      <c r="AP141" s="107" t="n">
        <v>1</v>
      </c>
      <c r="AQ141" s="107" t="n">
        <v>5173055</v>
      </c>
      <c r="AR141" s="107" t="n">
        <v>7027077912</v>
      </c>
      <c r="AS141" s="107" t="n">
        <v>5475100</v>
      </c>
      <c r="AT141" s="107" t="n">
        <v>8230170320</v>
      </c>
      <c r="AU141" s="107" t="n">
        <v>-302045</v>
      </c>
      <c r="AV141" s="107" t="n">
        <v>-410297928</v>
      </c>
      <c r="AW141" s="107" t="n">
        <v>0</v>
      </c>
      <c r="AX141" s="107" t="n">
        <v>0</v>
      </c>
      <c r="AY141" s="107" t="n">
        <v>0</v>
      </c>
      <c r="AZ141" s="107" t="n">
        <v>0</v>
      </c>
      <c r="BA141" s="107" t="n">
        <v>0</v>
      </c>
      <c r="BB141" s="107" t="n">
        <v>0</v>
      </c>
      <c r="BC141" s="107" t="n">
        <v>0</v>
      </c>
      <c r="BD141" s="107" t="n">
        <v>0</v>
      </c>
      <c r="BE141" s="107" t="n">
        <v>65902.78</v>
      </c>
      <c r="BF141" s="107" t="n">
        <v>89522336</v>
      </c>
      <c r="BG141" s="107" t="n">
        <v>0</v>
      </c>
      <c r="BH141" s="107" t="n">
        <v>0</v>
      </c>
      <c r="BI141" s="107" t="n">
        <v>5475100</v>
      </c>
      <c r="BJ141" s="107" t="n">
        <v>8230170320</v>
      </c>
      <c r="BK141" s="107" t="n">
        <v>0</v>
      </c>
      <c r="BL141" s="107" t="n">
        <v>0</v>
      </c>
      <c r="BM141" s="107" t="n">
        <v>0</v>
      </c>
      <c r="BN141" s="107" t="n">
        <v>0</v>
      </c>
      <c r="BO141" s="107" t="s">
        <v>374</v>
      </c>
      <c r="BP141" s="2"/>
      <c r="BQ141" s="107" t="s">
        <v>107</v>
      </c>
      <c r="BR141" s="107" t="n">
        <v>-792794480</v>
      </c>
      <c r="BS141" s="107" t="n">
        <v>0</v>
      </c>
      <c r="BT141" s="107" t="n">
        <v>0</v>
      </c>
      <c r="BU141" s="107" t="n">
        <v>0</v>
      </c>
      <c r="BV141" s="107" t="n">
        <v>0</v>
      </c>
      <c r="BW141" s="107" t="n">
        <v>65902.78</v>
      </c>
      <c r="BX141" s="107" t="n">
        <v>89522336</v>
      </c>
      <c r="BY141" s="107" t="n">
        <v>0</v>
      </c>
      <c r="BZ141" s="107" t="n">
        <v>0</v>
      </c>
      <c r="CA141" s="107" t="n">
        <v>1503.2</v>
      </c>
      <c r="CB141" s="2"/>
      <c r="CC141" s="107" t="n">
        <v>0</v>
      </c>
      <c r="CD141" s="107" t="n">
        <v>103.44</v>
      </c>
      <c r="CE141" s="107" t="n">
        <v>103.49</v>
      </c>
      <c r="CF141" s="107" t="n">
        <v>103.45</v>
      </c>
      <c r="CG141" s="107" t="n">
        <v>4000000</v>
      </c>
      <c r="CH141" s="107" t="n">
        <v>4.961</v>
      </c>
      <c r="CI141" s="107" t="n">
        <v>99.51</v>
      </c>
      <c r="CJ141" s="107" t="n">
        <v>99.6</v>
      </c>
      <c r="CK141" s="107" t="n">
        <v>99.54</v>
      </c>
      <c r="CL141" s="107" t="n">
        <v>0</v>
      </c>
    </row>
    <row r="142" customFormat="false" ht="15" hidden="false" customHeight="false" outlineLevel="0" collapsed="false">
      <c r="A142" s="107" t="s">
        <v>604</v>
      </c>
      <c r="B142" s="107" t="n">
        <v>99.9927</v>
      </c>
      <c r="C142" s="107" t="n">
        <v>5.4984</v>
      </c>
      <c r="D142" s="107" t="n">
        <v>2.0661</v>
      </c>
      <c r="E142" s="107" t="n">
        <v>-805.720178133</v>
      </c>
      <c r="F142" s="108" t="s">
        <v>358</v>
      </c>
      <c r="G142" s="107" t="n">
        <v>2.0661</v>
      </c>
      <c r="H142" s="107" t="n">
        <v>-805.720178133</v>
      </c>
      <c r="I142" s="109" t="n">
        <v>47134</v>
      </c>
      <c r="J142" s="107" t="n">
        <v>3</v>
      </c>
      <c r="K142" s="107" t="s">
        <v>359</v>
      </c>
      <c r="L142" s="107" t="s">
        <v>298</v>
      </c>
      <c r="M142" s="107" t="n">
        <v>8057790</v>
      </c>
      <c r="N142" s="107" t="n">
        <v>101.9</v>
      </c>
      <c r="O142" s="107" t="n">
        <v>3899715.3</v>
      </c>
      <c r="P142" s="107" t="s">
        <v>489</v>
      </c>
      <c r="Q142" s="107" t="s">
        <v>490</v>
      </c>
      <c r="R142" s="107" t="n">
        <v>-0.0633461701010393</v>
      </c>
      <c r="S142" s="107" t="n">
        <v>-0.0187173699705594</v>
      </c>
      <c r="T142" s="107" t="n">
        <v>-827.870561037</v>
      </c>
      <c r="U142" s="107" t="n">
        <v>21069</v>
      </c>
      <c r="V142" s="108" t="s">
        <v>362</v>
      </c>
      <c r="W142" s="107" t="n">
        <v>34507</v>
      </c>
      <c r="X142" s="108" t="s">
        <v>372</v>
      </c>
      <c r="Y142" s="107" t="s">
        <v>602</v>
      </c>
      <c r="Z142" s="107" t="s">
        <v>603</v>
      </c>
      <c r="AA142" s="109" t="n">
        <v>46175</v>
      </c>
      <c r="AB142" s="107" t="n">
        <v>260602000002</v>
      </c>
      <c r="AC142" s="109" t="n">
        <v>44943</v>
      </c>
      <c r="AD142" s="109" t="n">
        <v>48596</v>
      </c>
      <c r="AE142" s="107" t="n">
        <v>6.5</v>
      </c>
      <c r="AF142" s="107" t="n">
        <v>5.1057</v>
      </c>
      <c r="AG142" s="107" t="n">
        <v>2301</v>
      </c>
      <c r="AH142" s="107" t="n">
        <v>4000000</v>
      </c>
      <c r="AI142" s="107" t="n">
        <v>4.81908</v>
      </c>
      <c r="AJ142" s="107" t="n">
        <v>109.43</v>
      </c>
      <c r="AK142" s="107" t="n">
        <v>4.748214</v>
      </c>
      <c r="AL142" s="107" t="n">
        <v>110.748055</v>
      </c>
      <c r="AM142" s="107" t="n">
        <v>5.8327</v>
      </c>
      <c r="AN142" s="107" t="n">
        <v>103.4611</v>
      </c>
      <c r="AO142" s="107" t="n">
        <v>1358.4</v>
      </c>
      <c r="AP142" s="107" t="n">
        <v>1</v>
      </c>
      <c r="AQ142" s="107" t="n">
        <v>4138444</v>
      </c>
      <c r="AR142" s="107" t="n">
        <v>5621662330</v>
      </c>
      <c r="AS142" s="107" t="n">
        <v>4377200</v>
      </c>
      <c r="AT142" s="107" t="n">
        <v>6579807040</v>
      </c>
      <c r="AU142" s="107" t="n">
        <v>-238756</v>
      </c>
      <c r="AV142" s="107" t="n">
        <v>-324326150</v>
      </c>
      <c r="AW142" s="107" t="n">
        <v>0</v>
      </c>
      <c r="AX142" s="107" t="n">
        <v>0</v>
      </c>
      <c r="AY142" s="107" t="n">
        <v>0</v>
      </c>
      <c r="AZ142" s="107" t="n">
        <v>0</v>
      </c>
      <c r="BA142" s="107" t="n">
        <v>0</v>
      </c>
      <c r="BB142" s="107" t="n">
        <v>0</v>
      </c>
      <c r="BC142" s="107" t="n">
        <v>0</v>
      </c>
      <c r="BD142" s="107" t="n">
        <v>0</v>
      </c>
      <c r="BE142" s="107" t="n">
        <v>52722.22</v>
      </c>
      <c r="BF142" s="107" t="n">
        <v>71617863</v>
      </c>
      <c r="BG142" s="107" t="n">
        <v>0</v>
      </c>
      <c r="BH142" s="107" t="n">
        <v>0</v>
      </c>
      <c r="BI142" s="107" t="n">
        <v>4377200</v>
      </c>
      <c r="BJ142" s="107" t="n">
        <v>6579807040</v>
      </c>
      <c r="BK142" s="107" t="n">
        <v>0</v>
      </c>
      <c r="BL142" s="107" t="n">
        <v>0</v>
      </c>
      <c r="BM142" s="107" t="n">
        <v>0</v>
      </c>
      <c r="BN142" s="107" t="n">
        <v>0</v>
      </c>
      <c r="BO142" s="107" t="s">
        <v>374</v>
      </c>
      <c r="BP142" s="2"/>
      <c r="BQ142" s="107" t="s">
        <v>107</v>
      </c>
      <c r="BR142" s="107" t="n">
        <v>-633818560</v>
      </c>
      <c r="BS142" s="107" t="n">
        <v>0</v>
      </c>
      <c r="BT142" s="107" t="n">
        <v>0</v>
      </c>
      <c r="BU142" s="107" t="n">
        <v>0</v>
      </c>
      <c r="BV142" s="107" t="n">
        <v>0</v>
      </c>
      <c r="BW142" s="107" t="n">
        <v>52722.22</v>
      </c>
      <c r="BX142" s="107" t="n">
        <v>71617863</v>
      </c>
      <c r="BY142" s="107" t="n">
        <v>0</v>
      </c>
      <c r="BZ142" s="107" t="n">
        <v>0</v>
      </c>
      <c r="CA142" s="107" t="n">
        <v>1503.2</v>
      </c>
      <c r="CB142" s="2"/>
      <c r="CC142" s="107" t="n">
        <v>0</v>
      </c>
      <c r="CD142" s="107" t="n">
        <v>103.44</v>
      </c>
      <c r="CE142" s="107" t="n">
        <v>103.49</v>
      </c>
      <c r="CF142" s="107" t="n">
        <v>103.45</v>
      </c>
      <c r="CG142" s="107" t="n">
        <v>0</v>
      </c>
      <c r="CH142" s="107" t="n">
        <v>4.961</v>
      </c>
      <c r="CI142" s="107" t="n">
        <v>99.51</v>
      </c>
      <c r="CJ142" s="107" t="n">
        <v>99.6</v>
      </c>
      <c r="CK142" s="107" t="n">
        <v>99.54</v>
      </c>
      <c r="CL142" s="107" t="n">
        <v>0</v>
      </c>
    </row>
    <row r="143" customFormat="false" ht="15" hidden="false" customHeight="false" outlineLevel="0" collapsed="false">
      <c r="A143" s="107" t="s">
        <v>605</v>
      </c>
      <c r="B143" s="107" t="n">
        <v>97.8523</v>
      </c>
      <c r="C143" s="107" t="n">
        <v>5.4231</v>
      </c>
      <c r="D143" s="107" t="n">
        <v>1.8044</v>
      </c>
      <c r="E143" s="107" t="n">
        <v>-35.312938024</v>
      </c>
      <c r="F143" s="108" t="s">
        <v>358</v>
      </c>
      <c r="G143" s="107" t="n">
        <v>1.8044</v>
      </c>
      <c r="H143" s="107" t="n">
        <v>-35.312938024</v>
      </c>
      <c r="I143" s="109" t="n">
        <v>47007</v>
      </c>
      <c r="J143" s="107" t="n">
        <v>2</v>
      </c>
      <c r="K143" s="107" t="s">
        <v>359</v>
      </c>
      <c r="L143" s="107" t="s">
        <v>298</v>
      </c>
      <c r="M143" s="107" t="n">
        <v>360880</v>
      </c>
      <c r="N143" s="107" t="n">
        <v>99.905</v>
      </c>
      <c r="O143" s="107" t="n">
        <v>195704.6</v>
      </c>
      <c r="P143" s="107" t="s">
        <v>489</v>
      </c>
      <c r="Q143" s="107" t="s">
        <v>377</v>
      </c>
      <c r="R143" s="107" t="n">
        <v>-0.0771743523159355</v>
      </c>
      <c r="S143" s="107" t="n">
        <v>-0.0205465191932336</v>
      </c>
      <c r="T143" s="107" t="n">
        <v>-36.269933518</v>
      </c>
      <c r="U143" s="107" t="n">
        <v>21069</v>
      </c>
      <c r="V143" s="108" t="s">
        <v>362</v>
      </c>
      <c r="W143" s="107" t="n">
        <v>34507</v>
      </c>
      <c r="X143" s="108" t="s">
        <v>372</v>
      </c>
      <c r="Y143" s="107" t="s">
        <v>602</v>
      </c>
      <c r="Z143" s="107" t="s">
        <v>603</v>
      </c>
      <c r="AA143" s="109" t="n">
        <v>46238</v>
      </c>
      <c r="AB143" s="107" t="n">
        <v>260804000001</v>
      </c>
      <c r="AC143" s="109" t="n">
        <v>44943</v>
      </c>
      <c r="AD143" s="109" t="n">
        <v>48596</v>
      </c>
      <c r="AE143" s="107" t="n">
        <v>6.5</v>
      </c>
      <c r="AF143" s="107" t="n">
        <v>5.1057</v>
      </c>
      <c r="AG143" s="107" t="n">
        <v>2301</v>
      </c>
      <c r="AH143" s="107" t="n">
        <v>4000000</v>
      </c>
      <c r="AI143" s="107" t="n">
        <v>5.261344</v>
      </c>
      <c r="AJ143" s="107" t="n">
        <v>106.7</v>
      </c>
      <c r="AK143" s="107" t="n">
        <v>5.235385</v>
      </c>
      <c r="AL143" s="107" t="n">
        <v>108.018055</v>
      </c>
      <c r="AM143" s="107" t="n">
        <v>5.8327</v>
      </c>
      <c r="AN143" s="107" t="n">
        <v>103.4611</v>
      </c>
      <c r="AO143" s="107" t="n">
        <v>1358.4</v>
      </c>
      <c r="AP143" s="107" t="n">
        <v>1</v>
      </c>
      <c r="AQ143" s="107" t="n">
        <v>4138444</v>
      </c>
      <c r="AR143" s="107" t="n">
        <v>5621662330</v>
      </c>
      <c r="AS143" s="107" t="n">
        <v>4268000</v>
      </c>
      <c r="AT143" s="107" t="n">
        <v>6102813200</v>
      </c>
      <c r="AU143" s="107" t="n">
        <v>-129556</v>
      </c>
      <c r="AV143" s="107" t="n">
        <v>-175988870</v>
      </c>
      <c r="AW143" s="107" t="n">
        <v>12277.78</v>
      </c>
      <c r="AX143" s="107" t="n">
        <v>17555997</v>
      </c>
      <c r="AY143" s="107" t="n">
        <v>0</v>
      </c>
      <c r="AZ143" s="107" t="n">
        <v>0</v>
      </c>
      <c r="BA143" s="107" t="n">
        <v>0</v>
      </c>
      <c r="BB143" s="107" t="n">
        <v>0</v>
      </c>
      <c r="BC143" s="107" t="n">
        <v>0</v>
      </c>
      <c r="BD143" s="107" t="n">
        <v>0</v>
      </c>
      <c r="BE143" s="107" t="n">
        <v>40444.44</v>
      </c>
      <c r="BF143" s="107" t="n">
        <v>54939727</v>
      </c>
      <c r="BG143" s="107" t="n">
        <v>0</v>
      </c>
      <c r="BH143" s="107" t="n">
        <v>0</v>
      </c>
      <c r="BI143" s="107" t="n">
        <v>4268000</v>
      </c>
      <c r="BJ143" s="107" t="n">
        <v>6102813200</v>
      </c>
      <c r="BK143" s="107" t="n">
        <v>0</v>
      </c>
      <c r="BL143" s="107" t="n">
        <v>0</v>
      </c>
      <c r="BM143" s="107" t="n">
        <v>0</v>
      </c>
      <c r="BN143" s="107" t="n">
        <v>0</v>
      </c>
      <c r="BO143" s="107" t="s">
        <v>374</v>
      </c>
      <c r="BP143" s="2"/>
      <c r="BQ143" s="107" t="s">
        <v>107</v>
      </c>
      <c r="BR143" s="107" t="n">
        <v>-305162000</v>
      </c>
      <c r="BS143" s="107" t="n">
        <v>-877861</v>
      </c>
      <c r="BT143" s="107" t="n">
        <v>0</v>
      </c>
      <c r="BU143" s="107" t="n">
        <v>0</v>
      </c>
      <c r="BV143" s="107" t="n">
        <v>0</v>
      </c>
      <c r="BW143" s="107" t="n">
        <v>52722.22</v>
      </c>
      <c r="BX143" s="107" t="n">
        <v>71617863</v>
      </c>
      <c r="BY143" s="107" t="n">
        <v>0</v>
      </c>
      <c r="BZ143" s="107" t="n">
        <v>0</v>
      </c>
      <c r="CA143" s="107" t="n">
        <v>1429.9</v>
      </c>
      <c r="CB143" s="2"/>
      <c r="CC143" s="107" t="n">
        <v>0</v>
      </c>
      <c r="CD143" s="107" t="n">
        <v>103.44</v>
      </c>
      <c r="CE143" s="107" t="n">
        <v>103.49</v>
      </c>
      <c r="CF143" s="107" t="n">
        <v>103.45</v>
      </c>
      <c r="CG143" s="107" t="n">
        <v>0</v>
      </c>
      <c r="CH143" s="107" t="n">
        <v>4.961</v>
      </c>
      <c r="CI143" s="107" t="n">
        <v>99.51</v>
      </c>
      <c r="CJ143" s="107" t="n">
        <v>99.6</v>
      </c>
      <c r="CK143" s="107" t="n">
        <v>99.54</v>
      </c>
      <c r="CL143" s="107" t="n">
        <v>0</v>
      </c>
    </row>
    <row r="144" customFormat="false" ht="15" hidden="false" customHeight="false" outlineLevel="0" collapsed="false">
      <c r="A144" s="107" t="s">
        <v>606</v>
      </c>
      <c r="B144" s="107" t="n">
        <v>95.4848</v>
      </c>
      <c r="C144" s="107" t="n">
        <v>5.6652</v>
      </c>
      <c r="D144" s="107" t="n">
        <v>3.4859</v>
      </c>
      <c r="E144" s="107" t="n">
        <v>-2496.3784824</v>
      </c>
      <c r="F144" s="108" t="s">
        <v>358</v>
      </c>
      <c r="G144" s="107" t="n">
        <v>3.4859</v>
      </c>
      <c r="H144" s="107" t="n">
        <v>-2496.3784824</v>
      </c>
      <c r="I144" s="109" t="n">
        <v>47737</v>
      </c>
      <c r="J144" s="107" t="n">
        <v>5</v>
      </c>
      <c r="K144" s="107" t="s">
        <v>359</v>
      </c>
      <c r="L144" s="107" t="s">
        <v>298</v>
      </c>
      <c r="M144" s="107" t="n">
        <v>26144250</v>
      </c>
      <c r="N144" s="107" t="n">
        <v>97.834</v>
      </c>
      <c r="O144" s="107" t="n">
        <v>7161360</v>
      </c>
      <c r="P144" s="107" t="s">
        <v>489</v>
      </c>
      <c r="Q144" s="107" t="s">
        <v>377</v>
      </c>
      <c r="R144" s="107" t="n">
        <v>-0.0385748652033674</v>
      </c>
      <c r="S144" s="107" t="n">
        <v>-0.0240121021321831</v>
      </c>
      <c r="T144" s="107" t="n">
        <v>-2567.0611056</v>
      </c>
      <c r="U144" s="107" t="n">
        <v>21069</v>
      </c>
      <c r="V144" s="108" t="s">
        <v>362</v>
      </c>
      <c r="W144" s="107" t="n">
        <v>34507</v>
      </c>
      <c r="X144" s="108" t="s">
        <v>372</v>
      </c>
      <c r="Y144" s="107" t="s">
        <v>604</v>
      </c>
      <c r="Z144" s="107" t="s">
        <v>607</v>
      </c>
      <c r="AA144" s="109" t="n">
        <v>46240</v>
      </c>
      <c r="AB144" s="107" t="n">
        <v>260806000001</v>
      </c>
      <c r="AC144" s="109" t="n">
        <v>45307</v>
      </c>
      <c r="AD144" s="109" t="n">
        <v>47134</v>
      </c>
      <c r="AE144" s="107" t="n">
        <v>5.5</v>
      </c>
      <c r="AF144" s="107" t="n">
        <v>2.1206</v>
      </c>
      <c r="AG144" s="107" t="n">
        <v>839</v>
      </c>
      <c r="AH144" s="107" t="n">
        <v>3900000</v>
      </c>
      <c r="AI144" s="107" t="n">
        <v>4.667155</v>
      </c>
      <c r="AJ144" s="107" t="n">
        <v>101.9</v>
      </c>
      <c r="AK144" s="107" t="n">
        <v>4.614273</v>
      </c>
      <c r="AL144" s="107" t="n">
        <v>103.030555</v>
      </c>
      <c r="AM144" s="107" t="n">
        <v>5.4429</v>
      </c>
      <c r="AN144" s="107" t="n">
        <v>100.1109</v>
      </c>
      <c r="AO144" s="107" t="n">
        <v>1358.4</v>
      </c>
      <c r="AP144" s="107" t="n">
        <v>1</v>
      </c>
      <c r="AQ144" s="107" t="n">
        <v>3904325.1</v>
      </c>
      <c r="AR144" s="107" t="n">
        <v>5303635216</v>
      </c>
      <c r="AS144" s="107" t="n">
        <v>3974100</v>
      </c>
      <c r="AT144" s="107" t="n">
        <v>5662297680</v>
      </c>
      <c r="AU144" s="107" t="n">
        <v>-69774.9</v>
      </c>
      <c r="AV144" s="107" t="n">
        <v>-94782224</v>
      </c>
      <c r="AW144" s="107" t="n">
        <v>11916.67</v>
      </c>
      <c r="AX144" s="107" t="n">
        <v>16978871</v>
      </c>
      <c r="AY144" s="107" t="n">
        <v>0</v>
      </c>
      <c r="AZ144" s="107" t="n">
        <v>0</v>
      </c>
      <c r="BA144" s="107" t="n">
        <v>0</v>
      </c>
      <c r="BB144" s="107" t="n">
        <v>0</v>
      </c>
      <c r="BC144" s="107" t="n">
        <v>0</v>
      </c>
      <c r="BD144" s="107" t="n">
        <v>0</v>
      </c>
      <c r="BE144" s="107" t="n">
        <v>32175</v>
      </c>
      <c r="BF144" s="107" t="n">
        <v>43706519</v>
      </c>
      <c r="BG144" s="107" t="n">
        <v>0</v>
      </c>
      <c r="BH144" s="107" t="n">
        <v>0</v>
      </c>
      <c r="BI144" s="107" t="n">
        <v>3974100</v>
      </c>
      <c r="BJ144" s="107" t="n">
        <v>5662297680</v>
      </c>
      <c r="BK144" s="107" t="n">
        <v>0</v>
      </c>
      <c r="BL144" s="107" t="n">
        <v>0</v>
      </c>
      <c r="BM144" s="107" t="n">
        <v>0</v>
      </c>
      <c r="BN144" s="107" t="n">
        <v>0</v>
      </c>
      <c r="BO144" s="107" t="s">
        <v>374</v>
      </c>
      <c r="BP144" s="2"/>
      <c r="BQ144" s="107" t="s">
        <v>107</v>
      </c>
      <c r="BR144" s="107" t="n">
        <v>-263880240</v>
      </c>
      <c r="BS144" s="107" t="n">
        <v>-791266</v>
      </c>
      <c r="BT144" s="107" t="n">
        <v>0</v>
      </c>
      <c r="BU144" s="107" t="n">
        <v>0</v>
      </c>
      <c r="BV144" s="107" t="n">
        <v>0</v>
      </c>
      <c r="BW144" s="107" t="n">
        <v>44091.67</v>
      </c>
      <c r="BX144" s="107" t="n">
        <v>59894124</v>
      </c>
      <c r="BY144" s="107" t="n">
        <v>0</v>
      </c>
      <c r="BZ144" s="107" t="n">
        <v>0</v>
      </c>
      <c r="CA144" s="107" t="n">
        <v>1424.8</v>
      </c>
      <c r="CB144" s="2"/>
      <c r="CC144" s="107" t="n">
        <v>0</v>
      </c>
      <c r="CD144" s="107" t="n">
        <v>100.14</v>
      </c>
      <c r="CE144" s="107" t="n">
        <v>100.07</v>
      </c>
      <c r="CF144" s="107" t="n">
        <v>100.13</v>
      </c>
      <c r="CG144" s="107" t="n">
        <v>3900000</v>
      </c>
      <c r="CH144" s="107" t="n">
        <v>2.0644</v>
      </c>
      <c r="CI144" s="107" t="n">
        <v>99.51</v>
      </c>
      <c r="CJ144" s="107" t="n">
        <v>99.6</v>
      </c>
      <c r="CK144" s="107" t="n">
        <v>99.54</v>
      </c>
      <c r="CL144" s="107" t="n">
        <v>0</v>
      </c>
    </row>
    <row r="145" customFormat="false" ht="15" hidden="false" customHeight="false" outlineLevel="0" collapsed="false">
      <c r="A145" s="107" t="s">
        <v>608</v>
      </c>
      <c r="B145" s="107" t="n">
        <v>100.531</v>
      </c>
      <c r="C145" s="107" t="n">
        <v>4.963</v>
      </c>
      <c r="D145" s="107" t="n">
        <v>0.004</v>
      </c>
      <c r="E145" s="107" t="n">
        <v>-4.02124</v>
      </c>
      <c r="F145" s="108" t="s">
        <v>358</v>
      </c>
      <c r="G145" s="107" t="n">
        <v>0.004</v>
      </c>
      <c r="H145" s="107" t="n">
        <v>-4.02124</v>
      </c>
      <c r="I145" s="109" t="n">
        <v>46500</v>
      </c>
      <c r="J145" s="107" t="n">
        <v>1</v>
      </c>
      <c r="K145" s="108" t="s">
        <v>90</v>
      </c>
      <c r="L145" s="107" t="s">
        <v>298</v>
      </c>
      <c r="M145" s="107" t="n">
        <v>40000</v>
      </c>
      <c r="N145" s="107" t="n">
        <v>100.92</v>
      </c>
      <c r="O145" s="107" t="n">
        <v>10053100</v>
      </c>
      <c r="P145" s="107" t="s">
        <v>609</v>
      </c>
      <c r="Q145" s="107" t="s">
        <v>364</v>
      </c>
      <c r="R145" s="107" t="n">
        <v>-0.0570256744562415</v>
      </c>
      <c r="S145" s="107" t="n">
        <v>-0.00385453824811732</v>
      </c>
      <c r="T145" s="107" t="n">
        <v>-4.02124</v>
      </c>
      <c r="U145" s="107" t="n">
        <v>21069</v>
      </c>
      <c r="V145" s="108" t="s">
        <v>362</v>
      </c>
      <c r="W145" s="107" t="n">
        <v>34507</v>
      </c>
      <c r="X145" s="108" t="s">
        <v>372</v>
      </c>
      <c r="Y145" s="107" t="s">
        <v>605</v>
      </c>
      <c r="Z145" s="107" t="s">
        <v>610</v>
      </c>
      <c r="AA145" s="109" t="n">
        <v>45911</v>
      </c>
      <c r="AB145" s="107" t="n">
        <v>250911000002</v>
      </c>
      <c r="AC145" s="109" t="n">
        <v>45911</v>
      </c>
      <c r="AD145" s="109" t="n">
        <v>47007</v>
      </c>
      <c r="AE145" s="107" t="n">
        <v>4.25</v>
      </c>
      <c r="AF145" s="107" t="n">
        <v>1.8509</v>
      </c>
      <c r="AG145" s="107" t="n">
        <v>712</v>
      </c>
      <c r="AH145" s="107" t="n">
        <v>200000</v>
      </c>
      <c r="AI145" s="107" t="n">
        <v>4.284083</v>
      </c>
      <c r="AJ145" s="107" t="n">
        <v>99.905</v>
      </c>
      <c r="AK145" s="107" t="n">
        <v>3.979217</v>
      </c>
      <c r="AL145" s="107" t="n">
        <v>100.724905</v>
      </c>
      <c r="AM145" s="107" t="n">
        <v>5.3686</v>
      </c>
      <c r="AN145" s="107" t="n">
        <v>97.9532</v>
      </c>
      <c r="AO145" s="107" t="n">
        <v>1358.4</v>
      </c>
      <c r="AP145" s="107" t="n">
        <v>1</v>
      </c>
      <c r="AQ145" s="107" t="n">
        <v>195906.4</v>
      </c>
      <c r="AR145" s="107" t="n">
        <v>266119254</v>
      </c>
      <c r="AS145" s="107" t="n">
        <v>201001.2</v>
      </c>
      <c r="AT145" s="107" t="n">
        <v>288416622</v>
      </c>
      <c r="AU145" s="107" t="n">
        <v>-5094.8</v>
      </c>
      <c r="AV145" s="107" t="n">
        <v>-6920776</v>
      </c>
      <c r="AW145" s="107" t="n">
        <v>0</v>
      </c>
      <c r="AX145" s="107" t="n">
        <v>0</v>
      </c>
      <c r="AY145" s="107" t="n">
        <v>0</v>
      </c>
      <c r="AZ145" s="107" t="n">
        <v>0</v>
      </c>
      <c r="BA145" s="107" t="n">
        <v>0</v>
      </c>
      <c r="BB145" s="107" t="n">
        <v>0</v>
      </c>
      <c r="BC145" s="107" t="n">
        <v>0</v>
      </c>
      <c r="BD145" s="107" t="n">
        <v>0</v>
      </c>
      <c r="BE145" s="107" t="n">
        <v>448.61</v>
      </c>
      <c r="BF145" s="107" t="n">
        <v>609391</v>
      </c>
      <c r="BG145" s="107" t="n">
        <v>0</v>
      </c>
      <c r="BH145" s="107" t="n">
        <v>0</v>
      </c>
      <c r="BI145" s="107" t="n">
        <v>199810</v>
      </c>
      <c r="BJ145" s="107" t="n">
        <v>286707369</v>
      </c>
      <c r="BK145" s="107" t="n">
        <v>0</v>
      </c>
      <c r="BL145" s="107" t="n">
        <v>0</v>
      </c>
      <c r="BM145" s="107" t="n">
        <v>0</v>
      </c>
      <c r="BN145" s="107" t="n">
        <v>0</v>
      </c>
      <c r="BO145" s="107" t="s">
        <v>374</v>
      </c>
      <c r="BP145" s="2"/>
      <c r="BQ145" s="107" t="s">
        <v>107</v>
      </c>
      <c r="BR145" s="107" t="n">
        <v>-15376592</v>
      </c>
      <c r="BS145" s="107" t="n">
        <v>0</v>
      </c>
      <c r="BT145" s="107" t="n">
        <v>0</v>
      </c>
      <c r="BU145" s="107" t="n">
        <v>1191.2</v>
      </c>
      <c r="BV145" s="107" t="n">
        <v>1709253</v>
      </c>
      <c r="BW145" s="107" t="n">
        <v>448.61</v>
      </c>
      <c r="BX145" s="107" t="n">
        <v>609391</v>
      </c>
      <c r="BY145" s="107" t="n">
        <v>0</v>
      </c>
      <c r="BZ145" s="107" t="n">
        <v>0</v>
      </c>
      <c r="CA145" s="107" t="n">
        <v>1434.9</v>
      </c>
      <c r="CB145" s="2"/>
      <c r="CC145" s="107" t="n">
        <v>0</v>
      </c>
      <c r="CD145" s="107" t="n">
        <v>98.01</v>
      </c>
      <c r="CE145" s="107" t="n">
        <v>97.86</v>
      </c>
      <c r="CF145" s="107" t="n">
        <v>97.99</v>
      </c>
      <c r="CG145" s="107" t="n">
        <v>200000</v>
      </c>
      <c r="CH145" s="107" t="n">
        <v>1.8025</v>
      </c>
      <c r="CI145" s="107" t="n">
        <v>99.51</v>
      </c>
      <c r="CJ145" s="107" t="n">
        <v>99.6</v>
      </c>
      <c r="CK145" s="107" t="n">
        <v>99.54</v>
      </c>
      <c r="CL145" s="107" t="n">
        <v>0</v>
      </c>
    </row>
    <row r="146" customFormat="false" ht="15" hidden="false" customHeight="false" outlineLevel="0" collapsed="false">
      <c r="A146" s="107" t="s">
        <v>500</v>
      </c>
      <c r="B146" s="107" t="n">
        <v>100.144</v>
      </c>
      <c r="C146" s="107" t="n">
        <v>5.331</v>
      </c>
      <c r="D146" s="107" t="n">
        <v>0.0994</v>
      </c>
      <c r="E146" s="107" t="n">
        <v>-19.9086272</v>
      </c>
      <c r="F146" s="108" t="s">
        <v>358</v>
      </c>
      <c r="G146" s="107" t="n">
        <v>0.0994</v>
      </c>
      <c r="H146" s="107" t="n">
        <v>-19.9086272</v>
      </c>
      <c r="I146" s="109" t="n">
        <v>46332</v>
      </c>
      <c r="J146" s="107" t="n">
        <v>1</v>
      </c>
      <c r="K146" s="107" t="s">
        <v>359</v>
      </c>
      <c r="L146" s="107" t="s">
        <v>298</v>
      </c>
      <c r="M146" s="107" t="n">
        <v>198800</v>
      </c>
      <c r="N146" s="107" t="n">
        <v>102.85</v>
      </c>
      <c r="O146" s="107" t="n">
        <v>2002880</v>
      </c>
      <c r="P146" s="107" t="s">
        <v>501</v>
      </c>
      <c r="Q146" s="107" t="s">
        <v>107</v>
      </c>
      <c r="R146" s="107" t="n">
        <v>-0.0702207528561035</v>
      </c>
      <c r="S146" s="107" t="n">
        <v>-0.0263101604278074</v>
      </c>
      <c r="T146" s="107" t="n">
        <v>-20.4494048</v>
      </c>
      <c r="U146" s="107" t="n">
        <v>21069</v>
      </c>
      <c r="V146" s="108" t="s">
        <v>362</v>
      </c>
      <c r="W146" s="107" t="n">
        <v>34507</v>
      </c>
      <c r="X146" s="108" t="s">
        <v>372</v>
      </c>
      <c r="Y146" s="107" t="s">
        <v>606</v>
      </c>
      <c r="Z146" s="107" t="s">
        <v>611</v>
      </c>
      <c r="AA146" s="109" t="n">
        <v>46259</v>
      </c>
      <c r="AB146" s="107" t="n">
        <v>260825000001</v>
      </c>
      <c r="AC146" s="109" t="n">
        <v>45911</v>
      </c>
      <c r="AD146" s="109" t="n">
        <v>47737</v>
      </c>
      <c r="AE146" s="107" t="n">
        <v>4.375</v>
      </c>
      <c r="AF146" s="107" t="n">
        <v>3.5823</v>
      </c>
      <c r="AG146" s="107" t="n">
        <v>1442</v>
      </c>
      <c r="AH146" s="107" t="n">
        <v>7500000</v>
      </c>
      <c r="AI146" s="107" t="n">
        <v>4.9726</v>
      </c>
      <c r="AJ146" s="107" t="n">
        <v>97.834</v>
      </c>
      <c r="AK146" s="107" t="n">
        <v>4.985578</v>
      </c>
      <c r="AL146" s="107" t="n">
        <v>98.064902</v>
      </c>
      <c r="AM146" s="107" t="n">
        <v>5.631</v>
      </c>
      <c r="AN146" s="107" t="n">
        <v>95.6037</v>
      </c>
      <c r="AO146" s="107" t="n">
        <v>1358.4</v>
      </c>
      <c r="AP146" s="107" t="n">
        <v>1</v>
      </c>
      <c r="AQ146" s="107" t="n">
        <v>7170277.5</v>
      </c>
      <c r="AR146" s="107" t="n">
        <v>9740104956</v>
      </c>
      <c r="AS146" s="107" t="n">
        <v>7337550</v>
      </c>
      <c r="AT146" s="107" t="n">
        <v>10130221530</v>
      </c>
      <c r="AU146" s="107" t="n">
        <v>-167272.5</v>
      </c>
      <c r="AV146" s="107" t="n">
        <v>-227222964</v>
      </c>
      <c r="AW146" s="107" t="n">
        <v>0</v>
      </c>
      <c r="AX146" s="107" t="n">
        <v>0</v>
      </c>
      <c r="AY146" s="107" t="n">
        <v>0</v>
      </c>
      <c r="AZ146" s="107" t="n">
        <v>0</v>
      </c>
      <c r="BA146" s="107" t="n">
        <v>0</v>
      </c>
      <c r="BB146" s="107" t="n">
        <v>0</v>
      </c>
      <c r="BC146" s="107" t="n">
        <v>0</v>
      </c>
      <c r="BD146" s="107" t="n">
        <v>0</v>
      </c>
      <c r="BE146" s="107" t="n">
        <v>17317.71</v>
      </c>
      <c r="BF146" s="107" t="n">
        <v>23524377</v>
      </c>
      <c r="BG146" s="107" t="n">
        <v>0</v>
      </c>
      <c r="BH146" s="107" t="n">
        <v>0</v>
      </c>
      <c r="BI146" s="107" t="n">
        <v>7337550</v>
      </c>
      <c r="BJ146" s="107" t="n">
        <v>10130221530</v>
      </c>
      <c r="BK146" s="107" t="n">
        <v>0</v>
      </c>
      <c r="BL146" s="107" t="n">
        <v>0</v>
      </c>
      <c r="BM146" s="107" t="n">
        <v>0</v>
      </c>
      <c r="BN146" s="107" t="n">
        <v>0</v>
      </c>
      <c r="BO146" s="107" t="s">
        <v>374</v>
      </c>
      <c r="BP146" s="2"/>
      <c r="BQ146" s="107" t="s">
        <v>107</v>
      </c>
      <c r="BR146" s="107" t="n">
        <v>-162893610</v>
      </c>
      <c r="BS146" s="107" t="n">
        <v>0</v>
      </c>
      <c r="BT146" s="107" t="n">
        <v>0</v>
      </c>
      <c r="BU146" s="107" t="n">
        <v>0</v>
      </c>
      <c r="BV146" s="107" t="n">
        <v>0</v>
      </c>
      <c r="BW146" s="107" t="n">
        <v>17317.71</v>
      </c>
      <c r="BX146" s="107" t="n">
        <v>23524377</v>
      </c>
      <c r="BY146" s="107" t="n">
        <v>0</v>
      </c>
      <c r="BZ146" s="107" t="n">
        <v>0</v>
      </c>
      <c r="CA146" s="107" t="n">
        <v>1380.6</v>
      </c>
      <c r="CB146" s="2"/>
      <c r="CC146" s="107" t="n">
        <v>0</v>
      </c>
      <c r="CD146" s="107" t="n">
        <v>95.55</v>
      </c>
      <c r="CE146" s="107" t="n">
        <v>95.6</v>
      </c>
      <c r="CF146" s="107" t="n">
        <v>95.66</v>
      </c>
      <c r="CG146" s="107" t="n">
        <v>0</v>
      </c>
      <c r="CH146" s="107" t="n">
        <v>3.4842</v>
      </c>
      <c r="CI146" s="107" t="n">
        <v>99.51</v>
      </c>
      <c r="CJ146" s="107" t="n">
        <v>99.6</v>
      </c>
      <c r="CK146" s="107" t="n">
        <v>99.54</v>
      </c>
      <c r="CL146" s="107" t="n">
        <v>0</v>
      </c>
    </row>
    <row r="147" customFormat="false" ht="15" hidden="false" customHeight="false" outlineLevel="0" collapsed="false">
      <c r="A147" s="107" t="s">
        <v>500</v>
      </c>
      <c r="B147" s="107" t="n">
        <v>100.144</v>
      </c>
      <c r="C147" s="107" t="n">
        <v>5.331</v>
      </c>
      <c r="D147" s="107" t="n">
        <v>0.0994</v>
      </c>
      <c r="E147" s="107" t="n">
        <v>-233.9263696</v>
      </c>
      <c r="F147" s="108" t="s">
        <v>358</v>
      </c>
      <c r="G147" s="107" t="n">
        <v>0.0994</v>
      </c>
      <c r="H147" s="107" t="n">
        <v>-233.9263696</v>
      </c>
      <c r="I147" s="109" t="n">
        <v>46332</v>
      </c>
      <c r="J147" s="107" t="n">
        <v>1</v>
      </c>
      <c r="K147" s="107" t="s">
        <v>359</v>
      </c>
      <c r="L147" s="107" t="s">
        <v>298</v>
      </c>
      <c r="M147" s="107" t="n">
        <v>2335900</v>
      </c>
      <c r="N147" s="107" t="n">
        <v>103.24</v>
      </c>
      <c r="O147" s="107" t="n">
        <v>23533840</v>
      </c>
      <c r="P147" s="107" t="s">
        <v>501</v>
      </c>
      <c r="Q147" s="107" t="s">
        <v>107</v>
      </c>
      <c r="R147" s="107" t="n">
        <v>-0.0702207528020831</v>
      </c>
      <c r="S147" s="107" t="n">
        <v>-0.0299883765982176</v>
      </c>
      <c r="T147" s="107" t="n">
        <v>-240.2805064</v>
      </c>
      <c r="U147" s="107" t="n">
        <v>21069</v>
      </c>
      <c r="V147" s="108" t="s">
        <v>362</v>
      </c>
      <c r="W147" s="107" t="n">
        <v>34507</v>
      </c>
      <c r="X147" s="108" t="s">
        <v>372</v>
      </c>
      <c r="Y147" s="107" t="s">
        <v>608</v>
      </c>
      <c r="Z147" s="107" t="s">
        <v>612</v>
      </c>
      <c r="AA147" s="109" t="n">
        <v>45826</v>
      </c>
      <c r="AB147" s="107" t="n">
        <v>250618000001</v>
      </c>
      <c r="AC147" s="109" t="n">
        <v>45140</v>
      </c>
      <c r="AD147" s="109" t="n">
        <v>46500</v>
      </c>
      <c r="AE147" s="107" t="n">
        <v>5.55</v>
      </c>
      <c r="AF147" s="107" t="n">
        <v>0.004</v>
      </c>
      <c r="AG147" s="107" t="n">
        <v>205</v>
      </c>
      <c r="AH147" s="107" t="n">
        <v>10000000</v>
      </c>
      <c r="AI147" s="107" t="n">
        <v>5.82</v>
      </c>
      <c r="AJ147" s="107" t="n">
        <v>100.92</v>
      </c>
      <c r="AK147" s="107" t="n">
        <v>3.660004</v>
      </c>
      <c r="AL147" s="107" t="n">
        <v>102.10935</v>
      </c>
      <c r="AM147" s="107" t="n">
        <v>4.969</v>
      </c>
      <c r="AN147" s="107" t="n">
        <v>100.5285</v>
      </c>
      <c r="AO147" s="107" t="n">
        <v>1358.4</v>
      </c>
      <c r="AP147" s="107" t="n">
        <v>1</v>
      </c>
      <c r="AQ147" s="107" t="n">
        <v>10052850</v>
      </c>
      <c r="AR147" s="107" t="n">
        <v>13655791440</v>
      </c>
      <c r="AS147" s="107" t="n">
        <v>10104560</v>
      </c>
      <c r="AT147" s="107" t="n">
        <v>14499033144</v>
      </c>
      <c r="AU147" s="107" t="n">
        <v>-51710</v>
      </c>
      <c r="AV147" s="107" t="n">
        <v>-70242864</v>
      </c>
      <c r="AW147" s="107" t="n">
        <v>0</v>
      </c>
      <c r="AX147" s="107" t="n">
        <v>0</v>
      </c>
      <c r="AY147" s="107" t="n">
        <v>0</v>
      </c>
      <c r="AZ147" s="107" t="n">
        <v>0</v>
      </c>
      <c r="BA147" s="107" t="n">
        <v>0</v>
      </c>
      <c r="BB147" s="107" t="n">
        <v>0</v>
      </c>
      <c r="BC147" s="107" t="n">
        <v>0</v>
      </c>
      <c r="BD147" s="107" t="n">
        <v>0</v>
      </c>
      <c r="BE147" s="107" t="n">
        <v>106375</v>
      </c>
      <c r="BF147" s="107" t="n">
        <v>144499800</v>
      </c>
      <c r="BG147" s="107" t="n">
        <v>0</v>
      </c>
      <c r="BH147" s="107" t="n">
        <v>0</v>
      </c>
      <c r="BI147" s="107" t="n">
        <v>10092000</v>
      </c>
      <c r="BJ147" s="107" t="n">
        <v>14481010800</v>
      </c>
      <c r="BK147" s="107" t="n">
        <v>0</v>
      </c>
      <c r="BL147" s="107" t="n">
        <v>0</v>
      </c>
      <c r="BM147" s="107" t="n">
        <v>0</v>
      </c>
      <c r="BN147" s="107" t="n">
        <v>0</v>
      </c>
      <c r="BO147" s="2"/>
      <c r="BP147" s="2"/>
      <c r="BQ147" s="107" t="s">
        <v>364</v>
      </c>
      <c r="BR147" s="107" t="n">
        <v>-772998840</v>
      </c>
      <c r="BS147" s="107" t="n">
        <v>0</v>
      </c>
      <c r="BT147" s="107" t="n">
        <v>0</v>
      </c>
      <c r="BU147" s="107" t="n">
        <v>12560</v>
      </c>
      <c r="BV147" s="107" t="n">
        <v>18022344</v>
      </c>
      <c r="BW147" s="107" t="n">
        <v>106375</v>
      </c>
      <c r="BX147" s="107" t="n">
        <v>144499800</v>
      </c>
      <c r="BY147" s="107" t="n">
        <v>0</v>
      </c>
      <c r="BZ147" s="107" t="n">
        <v>0</v>
      </c>
      <c r="CA147" s="107" t="n">
        <v>1434.9</v>
      </c>
      <c r="CB147" s="2"/>
      <c r="CC147" s="107" t="n">
        <v>0</v>
      </c>
      <c r="CD147" s="107" t="n">
        <v>100.24</v>
      </c>
      <c r="CE147" s="107" t="n">
        <v>100.82</v>
      </c>
      <c r="CF147" s="107" t="n">
        <v>0</v>
      </c>
      <c r="CG147" s="107" t="n">
        <v>10000000</v>
      </c>
      <c r="CH147" s="107" t="n">
        <v>0.004</v>
      </c>
      <c r="CI147" s="107" t="n">
        <v>99.51</v>
      </c>
      <c r="CJ147" s="107" t="n">
        <v>99.6</v>
      </c>
      <c r="CK147" s="107" t="n">
        <v>99.54</v>
      </c>
      <c r="CL147" s="107" t="n">
        <v>0</v>
      </c>
    </row>
    <row r="148" customFormat="false" ht="15" hidden="false" customHeight="false" outlineLevel="0" collapsed="false">
      <c r="A148" s="107" t="s">
        <v>500</v>
      </c>
      <c r="B148" s="107" t="n">
        <v>100.144</v>
      </c>
      <c r="C148" s="107" t="n">
        <v>5.331</v>
      </c>
      <c r="D148" s="107" t="n">
        <v>0.0994</v>
      </c>
      <c r="E148" s="107" t="n">
        <v>-29.8629408</v>
      </c>
      <c r="F148" s="108" t="s">
        <v>358</v>
      </c>
      <c r="G148" s="107" t="n">
        <v>0.0994</v>
      </c>
      <c r="H148" s="107" t="n">
        <v>-29.8629408</v>
      </c>
      <c r="I148" s="109" t="n">
        <v>46332</v>
      </c>
      <c r="J148" s="107" t="n">
        <v>1</v>
      </c>
      <c r="K148" s="107" t="s">
        <v>359</v>
      </c>
      <c r="L148" s="107" t="s">
        <v>298</v>
      </c>
      <c r="M148" s="107" t="n">
        <v>298200</v>
      </c>
      <c r="N148" s="107" t="n">
        <v>100.9</v>
      </c>
      <c r="O148" s="107" t="n">
        <v>3004320</v>
      </c>
      <c r="P148" s="107" t="s">
        <v>501</v>
      </c>
      <c r="Q148" s="107" t="s">
        <v>107</v>
      </c>
      <c r="R148" s="107" t="n">
        <v>-0.125204077110285</v>
      </c>
      <c r="S148" s="107" t="n">
        <v>-0.00749256689791877</v>
      </c>
      <c r="T148" s="107" t="n">
        <v>-30.6741072</v>
      </c>
      <c r="U148" s="107" t="n">
        <v>21069</v>
      </c>
      <c r="V148" s="108" t="s">
        <v>362</v>
      </c>
      <c r="W148" s="107" t="n">
        <v>34507</v>
      </c>
      <c r="X148" s="108" t="s">
        <v>372</v>
      </c>
      <c r="Y148" s="107" t="s">
        <v>500</v>
      </c>
      <c r="Z148" s="107" t="s">
        <v>502</v>
      </c>
      <c r="AA148" s="109" t="n">
        <v>45496</v>
      </c>
      <c r="AB148" s="107" t="n">
        <v>240723000001</v>
      </c>
      <c r="AC148" s="109" t="n">
        <v>45236</v>
      </c>
      <c r="AD148" s="109" t="n">
        <v>46332</v>
      </c>
      <c r="AE148" s="107" t="n">
        <v>6.875</v>
      </c>
      <c r="AF148" s="107" t="n">
        <v>0.0994</v>
      </c>
      <c r="AG148" s="107" t="n">
        <v>37</v>
      </c>
      <c r="AH148" s="107" t="n">
        <v>2000000</v>
      </c>
      <c r="AI148" s="107" t="n">
        <v>5.525423</v>
      </c>
      <c r="AJ148" s="107" t="n">
        <v>102.85</v>
      </c>
      <c r="AK148" s="107" t="n">
        <v>-12.980657</v>
      </c>
      <c r="AL148" s="107" t="n">
        <v>104.8351</v>
      </c>
      <c r="AM148" s="107" t="n">
        <v>5.2818</v>
      </c>
      <c r="AN148" s="107" t="n">
        <v>100.1449</v>
      </c>
      <c r="AO148" s="107" t="n">
        <v>1358.4</v>
      </c>
      <c r="AP148" s="107" t="n">
        <v>1</v>
      </c>
      <c r="AQ148" s="107" t="n">
        <v>2002898</v>
      </c>
      <c r="AR148" s="107" t="n">
        <v>2720736643</v>
      </c>
      <c r="AS148" s="107" t="n">
        <v>2041702</v>
      </c>
      <c r="AT148" s="107" t="n">
        <v>2929638200</v>
      </c>
      <c r="AU148" s="107" t="n">
        <v>-38804</v>
      </c>
      <c r="AV148" s="107" t="n">
        <v>-52711354</v>
      </c>
      <c r="AW148" s="107" t="n">
        <v>0</v>
      </c>
      <c r="AX148" s="107" t="n">
        <v>0</v>
      </c>
      <c r="AY148" s="107" t="n">
        <v>0</v>
      </c>
      <c r="AZ148" s="107" t="n">
        <v>0</v>
      </c>
      <c r="BA148" s="107" t="n">
        <v>0</v>
      </c>
      <c r="BB148" s="107" t="n">
        <v>0</v>
      </c>
      <c r="BC148" s="107" t="n">
        <v>0</v>
      </c>
      <c r="BD148" s="107" t="n">
        <v>0</v>
      </c>
      <c r="BE148" s="107" t="n">
        <v>55000</v>
      </c>
      <c r="BF148" s="107" t="n">
        <v>74712000</v>
      </c>
      <c r="BG148" s="107" t="n">
        <v>0</v>
      </c>
      <c r="BH148" s="107" t="n">
        <v>0</v>
      </c>
      <c r="BI148" s="107" t="n">
        <v>5142500</v>
      </c>
      <c r="BJ148" s="107" t="n">
        <v>7379308982</v>
      </c>
      <c r="BK148" s="107" t="n">
        <v>0</v>
      </c>
      <c r="BL148" s="107" t="n">
        <v>0</v>
      </c>
      <c r="BM148" s="107" t="n">
        <v>0</v>
      </c>
      <c r="BN148" s="107" t="n">
        <v>0</v>
      </c>
      <c r="BO148" s="107" t="s">
        <v>107</v>
      </c>
      <c r="BP148" s="2"/>
      <c r="BQ148" s="107" t="s">
        <v>369</v>
      </c>
      <c r="BR148" s="107" t="n">
        <v>-156190203</v>
      </c>
      <c r="BS148" s="107" t="n">
        <v>0</v>
      </c>
      <c r="BT148" s="107" t="n">
        <v>0</v>
      </c>
      <c r="BU148" s="107" t="n">
        <v>-38245</v>
      </c>
      <c r="BV148" s="107" t="n">
        <v>-55213482</v>
      </c>
      <c r="BW148" s="107" t="n">
        <v>55000</v>
      </c>
      <c r="BX148" s="107" t="n">
        <v>74712000</v>
      </c>
      <c r="BY148" s="107" t="n">
        <v>0</v>
      </c>
      <c r="BZ148" s="107" t="n">
        <v>0</v>
      </c>
      <c r="CA148" s="107" t="n">
        <v>1434.9</v>
      </c>
      <c r="CB148" s="2"/>
      <c r="CC148" s="107" t="n">
        <v>0</v>
      </c>
      <c r="CD148" s="107" t="n">
        <v>100.14</v>
      </c>
      <c r="CE148" s="107" t="n">
        <v>100.15</v>
      </c>
      <c r="CF148" s="107" t="n">
        <v>100.14</v>
      </c>
      <c r="CG148" s="107" t="n">
        <v>2000000</v>
      </c>
      <c r="CH148" s="107" t="n">
        <v>0.0968</v>
      </c>
      <c r="CI148" s="107" t="n">
        <v>99.51</v>
      </c>
      <c r="CJ148" s="107" t="n">
        <v>99.6</v>
      </c>
      <c r="CK148" s="107" t="n">
        <v>99.54</v>
      </c>
      <c r="CL148" s="107" t="n">
        <v>200000</v>
      </c>
    </row>
    <row r="149" customFormat="false" ht="15" hidden="false" customHeight="false" outlineLevel="0" collapsed="false">
      <c r="A149" s="107" t="s">
        <v>500</v>
      </c>
      <c r="B149" s="107" t="n">
        <v>100.144</v>
      </c>
      <c r="C149" s="107" t="n">
        <v>5.331</v>
      </c>
      <c r="D149" s="107" t="n">
        <v>0.0994</v>
      </c>
      <c r="E149" s="107" t="n">
        <v>-39.8172544</v>
      </c>
      <c r="F149" s="108" t="s">
        <v>358</v>
      </c>
      <c r="G149" s="107" t="n">
        <v>0.0994</v>
      </c>
      <c r="H149" s="107" t="n">
        <v>-39.8172544</v>
      </c>
      <c r="I149" s="109" t="n">
        <v>46332</v>
      </c>
      <c r="J149" s="107" t="n">
        <v>1</v>
      </c>
      <c r="K149" s="107" t="s">
        <v>359</v>
      </c>
      <c r="L149" s="107" t="s">
        <v>298</v>
      </c>
      <c r="M149" s="107" t="n">
        <v>397600</v>
      </c>
      <c r="N149" s="107" t="n">
        <v>100.859489</v>
      </c>
      <c r="O149" s="107" t="n">
        <v>4005760</v>
      </c>
      <c r="P149" s="107" t="s">
        <v>501</v>
      </c>
      <c r="Q149" s="107" t="s">
        <v>107</v>
      </c>
      <c r="R149" s="107" t="n">
        <v>-0.107382158346847</v>
      </c>
      <c r="S149" s="107" t="n">
        <v>-0.00709391855039032</v>
      </c>
      <c r="T149" s="107" t="n">
        <v>-40.8988096</v>
      </c>
      <c r="U149" s="107" t="n">
        <v>21069</v>
      </c>
      <c r="V149" s="108" t="s">
        <v>362</v>
      </c>
      <c r="W149" s="107" t="n">
        <v>34507</v>
      </c>
      <c r="X149" s="108" t="s">
        <v>372</v>
      </c>
      <c r="Y149" s="107" t="s">
        <v>500</v>
      </c>
      <c r="Z149" s="107" t="s">
        <v>502</v>
      </c>
      <c r="AA149" s="109" t="n">
        <v>45722</v>
      </c>
      <c r="AB149" s="107" t="n">
        <v>250306000001</v>
      </c>
      <c r="AC149" s="109" t="n">
        <v>45236</v>
      </c>
      <c r="AD149" s="109" t="n">
        <v>46332</v>
      </c>
      <c r="AE149" s="107" t="n">
        <v>6.875</v>
      </c>
      <c r="AF149" s="107" t="n">
        <v>0.0994</v>
      </c>
      <c r="AG149" s="107" t="n">
        <v>37</v>
      </c>
      <c r="AH149" s="107" t="n">
        <v>23500000</v>
      </c>
      <c r="AI149" s="107" t="n">
        <v>4.82274</v>
      </c>
      <c r="AJ149" s="107" t="n">
        <v>103.24</v>
      </c>
      <c r="AK149" s="107" t="n">
        <v>-12.980657</v>
      </c>
      <c r="AL149" s="107" t="n">
        <v>104.8351</v>
      </c>
      <c r="AM149" s="107" t="n">
        <v>5.2818</v>
      </c>
      <c r="AN149" s="107" t="n">
        <v>100.1449</v>
      </c>
      <c r="AO149" s="107" t="n">
        <v>1358.4</v>
      </c>
      <c r="AP149" s="107" t="n">
        <v>1</v>
      </c>
      <c r="AQ149" s="107" t="n">
        <v>23534051.5</v>
      </c>
      <c r="AR149" s="107" t="n">
        <v>31968655558</v>
      </c>
      <c r="AS149" s="107" t="n">
        <v>23989998.5</v>
      </c>
      <c r="AT149" s="107" t="n">
        <v>34423248848</v>
      </c>
      <c r="AU149" s="107" t="n">
        <v>-455947</v>
      </c>
      <c r="AV149" s="107" t="n">
        <v>-619358404</v>
      </c>
      <c r="AW149" s="107" t="n">
        <v>0</v>
      </c>
      <c r="AX149" s="107" t="n">
        <v>0</v>
      </c>
      <c r="AY149" s="107" t="n">
        <v>0</v>
      </c>
      <c r="AZ149" s="107" t="n">
        <v>0</v>
      </c>
      <c r="BA149" s="107" t="n">
        <v>0</v>
      </c>
      <c r="BB149" s="107" t="n">
        <v>0</v>
      </c>
      <c r="BC149" s="107" t="n">
        <v>0</v>
      </c>
      <c r="BD149" s="107" t="n">
        <v>0</v>
      </c>
      <c r="BE149" s="107" t="n">
        <v>646250</v>
      </c>
      <c r="BF149" s="107" t="n">
        <v>877866000</v>
      </c>
      <c r="BG149" s="107" t="n">
        <v>0</v>
      </c>
      <c r="BH149" s="107" t="n">
        <v>0</v>
      </c>
      <c r="BI149" s="107" t="n">
        <v>24261400</v>
      </c>
      <c r="BJ149" s="107" t="n">
        <v>34812682860</v>
      </c>
      <c r="BK149" s="107" t="n">
        <v>0</v>
      </c>
      <c r="BL149" s="107" t="n">
        <v>0</v>
      </c>
      <c r="BM149" s="107" t="n">
        <v>0</v>
      </c>
      <c r="BN149" s="107" t="n">
        <v>0</v>
      </c>
      <c r="BO149" s="107" t="s">
        <v>107</v>
      </c>
      <c r="BP149" s="2"/>
      <c r="BQ149" s="107" t="s">
        <v>369</v>
      </c>
      <c r="BR149" s="107" t="n">
        <v>-1835234886</v>
      </c>
      <c r="BS149" s="107" t="n">
        <v>0</v>
      </c>
      <c r="BT149" s="107" t="n">
        <v>0</v>
      </c>
      <c r="BU149" s="107" t="n">
        <v>-271401.5</v>
      </c>
      <c r="BV149" s="107" t="n">
        <v>-389434012</v>
      </c>
      <c r="BW149" s="107" t="n">
        <v>646250</v>
      </c>
      <c r="BX149" s="107" t="n">
        <v>877866000</v>
      </c>
      <c r="BY149" s="107" t="n">
        <v>0</v>
      </c>
      <c r="BZ149" s="107" t="n">
        <v>0</v>
      </c>
      <c r="CA149" s="107" t="n">
        <v>1434.9</v>
      </c>
      <c r="CB149" s="2"/>
      <c r="CC149" s="107" t="n">
        <v>0</v>
      </c>
      <c r="CD149" s="107" t="n">
        <v>100.14</v>
      </c>
      <c r="CE149" s="107" t="n">
        <v>100.15</v>
      </c>
      <c r="CF149" s="107" t="n">
        <v>100.14</v>
      </c>
      <c r="CG149" s="107" t="n">
        <v>23500000</v>
      </c>
      <c r="CH149" s="107" t="n">
        <v>0.0968</v>
      </c>
      <c r="CI149" s="107" t="n">
        <v>99.59</v>
      </c>
      <c r="CJ149" s="107" t="n">
        <v>99.68</v>
      </c>
      <c r="CK149" s="107" t="n">
        <v>99.69</v>
      </c>
      <c r="CL149" s="107" t="n">
        <v>0</v>
      </c>
    </row>
    <row r="150" customFormat="false" ht="15" hidden="false" customHeight="false" outlineLevel="0" collapsed="false">
      <c r="A150" s="107" t="s">
        <v>500</v>
      </c>
      <c r="B150" s="107" t="n">
        <v>100.144</v>
      </c>
      <c r="C150" s="107" t="n">
        <v>5.331</v>
      </c>
      <c r="D150" s="107" t="n">
        <v>0.0994</v>
      </c>
      <c r="E150" s="107" t="n">
        <v>-49.771568</v>
      </c>
      <c r="F150" s="108" t="s">
        <v>358</v>
      </c>
      <c r="G150" s="107" t="n">
        <v>0.0994</v>
      </c>
      <c r="H150" s="107" t="n">
        <v>-49.771568</v>
      </c>
      <c r="I150" s="109" t="n">
        <v>46332</v>
      </c>
      <c r="J150" s="107" t="n">
        <v>1</v>
      </c>
      <c r="K150" s="107" t="s">
        <v>359</v>
      </c>
      <c r="L150" s="107" t="s">
        <v>298</v>
      </c>
      <c r="M150" s="107" t="n">
        <v>497000</v>
      </c>
      <c r="N150" s="107" t="n">
        <v>100.47</v>
      </c>
      <c r="O150" s="107" t="n">
        <v>5007200</v>
      </c>
      <c r="P150" s="107" t="s">
        <v>501</v>
      </c>
      <c r="Q150" s="107" t="s">
        <v>107</v>
      </c>
      <c r="R150" s="107" t="n">
        <v>-0.0419878866148888</v>
      </c>
      <c r="S150" s="107" t="n">
        <v>-0.00324474967652033</v>
      </c>
      <c r="T150" s="107" t="n">
        <v>-51.123512</v>
      </c>
      <c r="U150" s="107" t="n">
        <v>21069</v>
      </c>
      <c r="V150" s="108" t="s">
        <v>362</v>
      </c>
      <c r="W150" s="107" t="n">
        <v>34507</v>
      </c>
      <c r="X150" s="108" t="s">
        <v>372</v>
      </c>
      <c r="Y150" s="107" t="s">
        <v>500</v>
      </c>
      <c r="Z150" s="107" t="s">
        <v>502</v>
      </c>
      <c r="AA150" s="109" t="n">
        <v>46181</v>
      </c>
      <c r="AB150" s="107" t="n">
        <v>260608000001</v>
      </c>
      <c r="AC150" s="109" t="n">
        <v>45236</v>
      </c>
      <c r="AD150" s="109" t="n">
        <v>46332</v>
      </c>
      <c r="AE150" s="107" t="n">
        <v>6.875</v>
      </c>
      <c r="AF150" s="107" t="n">
        <v>0.0994</v>
      </c>
      <c r="AG150" s="107" t="n">
        <v>37</v>
      </c>
      <c r="AH150" s="107" t="n">
        <v>3000000</v>
      </c>
      <c r="AI150" s="107" t="n">
        <v>4.69</v>
      </c>
      <c r="AJ150" s="107" t="n">
        <v>100.9</v>
      </c>
      <c r="AK150" s="107" t="n">
        <v>-2.041769</v>
      </c>
      <c r="AL150" s="107" t="n">
        <v>103.65</v>
      </c>
      <c r="AM150" s="107" t="n">
        <v>5.2818</v>
      </c>
      <c r="AN150" s="107" t="n">
        <v>100.1449</v>
      </c>
      <c r="AO150" s="107" t="n">
        <v>1358.4</v>
      </c>
      <c r="AP150" s="107" t="n">
        <v>1</v>
      </c>
      <c r="AQ150" s="107" t="n">
        <v>3004347</v>
      </c>
      <c r="AR150" s="107" t="n">
        <v>4081104965</v>
      </c>
      <c r="AS150" s="107" t="n">
        <v>3027000</v>
      </c>
      <c r="AT150" s="107" t="n">
        <v>4670661000</v>
      </c>
      <c r="AU150" s="107" t="n">
        <v>-22653</v>
      </c>
      <c r="AV150" s="107" t="n">
        <v>-30771835</v>
      </c>
      <c r="AW150" s="107" t="n">
        <v>18333.33</v>
      </c>
      <c r="AX150" s="107" t="n">
        <v>28288328</v>
      </c>
      <c r="AY150" s="107" t="n">
        <v>0</v>
      </c>
      <c r="AZ150" s="107" t="n">
        <v>0</v>
      </c>
      <c r="BA150" s="107" t="n">
        <v>0</v>
      </c>
      <c r="BB150" s="107" t="n">
        <v>0</v>
      </c>
      <c r="BC150" s="107" t="n">
        <v>0</v>
      </c>
      <c r="BD150" s="107" t="n">
        <v>0</v>
      </c>
      <c r="BE150" s="107" t="n">
        <v>64166.67</v>
      </c>
      <c r="BF150" s="107" t="n">
        <v>87164005</v>
      </c>
      <c r="BG150" s="107" t="n">
        <v>0</v>
      </c>
      <c r="BH150" s="107" t="n">
        <v>0</v>
      </c>
      <c r="BI150" s="107" t="n">
        <v>3027000</v>
      </c>
      <c r="BJ150" s="107" t="n">
        <v>4670661000</v>
      </c>
      <c r="BK150" s="107" t="n">
        <v>0</v>
      </c>
      <c r="BL150" s="107" t="n">
        <v>0</v>
      </c>
      <c r="BM150" s="107" t="n">
        <v>0</v>
      </c>
      <c r="BN150" s="107" t="n">
        <v>0</v>
      </c>
      <c r="BO150" s="107" t="s">
        <v>107</v>
      </c>
      <c r="BP150" s="2"/>
      <c r="BQ150" s="107" t="s">
        <v>369</v>
      </c>
      <c r="BR150" s="107" t="n">
        <v>-558784200</v>
      </c>
      <c r="BS150" s="107" t="n">
        <v>-3384333</v>
      </c>
      <c r="BT150" s="107" t="n">
        <v>0</v>
      </c>
      <c r="BU150" s="107" t="n">
        <v>0</v>
      </c>
      <c r="BV150" s="107" t="n">
        <v>0</v>
      </c>
      <c r="BW150" s="107" t="n">
        <v>82500</v>
      </c>
      <c r="BX150" s="107" t="n">
        <v>112068000</v>
      </c>
      <c r="BY150" s="107" t="n">
        <v>0</v>
      </c>
      <c r="BZ150" s="107" t="n">
        <v>0</v>
      </c>
      <c r="CA150" s="107" t="n">
        <v>1543</v>
      </c>
      <c r="CB150" s="2"/>
      <c r="CC150" s="107" t="n">
        <v>0</v>
      </c>
      <c r="CD150" s="107" t="n">
        <v>100.14</v>
      </c>
      <c r="CE150" s="107" t="n">
        <v>100.15</v>
      </c>
      <c r="CF150" s="107" t="n">
        <v>100.14</v>
      </c>
      <c r="CG150" s="107" t="n">
        <v>3000000</v>
      </c>
      <c r="CH150" s="107" t="n">
        <v>0.0968</v>
      </c>
      <c r="CI150" s="107" t="n">
        <v>99.27</v>
      </c>
      <c r="CJ150" s="107" t="n">
        <v>100.05</v>
      </c>
      <c r="CK150" s="107" t="n">
        <v>99.96</v>
      </c>
      <c r="CL150" s="107" t="n">
        <v>0</v>
      </c>
    </row>
    <row r="151" customFormat="false" ht="15" hidden="false" customHeight="false" outlineLevel="0" collapsed="false">
      <c r="A151" s="107" t="s">
        <v>500</v>
      </c>
      <c r="B151" s="107" t="n">
        <v>100.144</v>
      </c>
      <c r="C151" s="107" t="n">
        <v>5.331</v>
      </c>
      <c r="D151" s="107" t="n">
        <v>0.0994</v>
      </c>
      <c r="E151" s="107" t="n">
        <v>-69.6801952</v>
      </c>
      <c r="F151" s="108" t="s">
        <v>358</v>
      </c>
      <c r="G151" s="107" t="n">
        <v>0.0994</v>
      </c>
      <c r="H151" s="107" t="n">
        <v>-69.6801952</v>
      </c>
      <c r="I151" s="109" t="n">
        <v>46332</v>
      </c>
      <c r="J151" s="107" t="n">
        <v>1</v>
      </c>
      <c r="K151" s="107" t="s">
        <v>359</v>
      </c>
      <c r="L151" s="107" t="s">
        <v>298</v>
      </c>
      <c r="M151" s="107" t="n">
        <v>695800</v>
      </c>
      <c r="N151" s="107" t="n">
        <v>100.46926</v>
      </c>
      <c r="O151" s="107" t="n">
        <v>7010080</v>
      </c>
      <c r="P151" s="107" t="s">
        <v>501</v>
      </c>
      <c r="Q151" s="107" t="s">
        <v>107</v>
      </c>
      <c r="R151" s="107" t="n">
        <v>-0.0419808304370698</v>
      </c>
      <c r="S151" s="107" t="n">
        <v>-0.00323740813856899</v>
      </c>
      <c r="T151" s="107" t="n">
        <v>-71.5729168</v>
      </c>
      <c r="U151" s="107" t="n">
        <v>21069</v>
      </c>
      <c r="V151" s="108" t="s">
        <v>362</v>
      </c>
      <c r="W151" s="107" t="n">
        <v>34507</v>
      </c>
      <c r="X151" s="108" t="s">
        <v>372</v>
      </c>
      <c r="Y151" s="107" t="s">
        <v>500</v>
      </c>
      <c r="Z151" s="107" t="s">
        <v>502</v>
      </c>
      <c r="AA151" s="109" t="n">
        <v>46191</v>
      </c>
      <c r="AB151" s="107" t="n">
        <v>260618000001</v>
      </c>
      <c r="AC151" s="109" t="n">
        <v>45236</v>
      </c>
      <c r="AD151" s="109" t="n">
        <v>46332</v>
      </c>
      <c r="AE151" s="107" t="n">
        <v>6.875</v>
      </c>
      <c r="AF151" s="107" t="n">
        <v>0.0994</v>
      </c>
      <c r="AG151" s="107" t="n">
        <v>37</v>
      </c>
      <c r="AH151" s="107" t="n">
        <v>4000000</v>
      </c>
      <c r="AI151" s="107" t="n">
        <v>4.5692</v>
      </c>
      <c r="AJ151" s="107" t="n">
        <v>100.859489</v>
      </c>
      <c r="AK151" s="107" t="n">
        <v>-1.654461</v>
      </c>
      <c r="AL151" s="107" t="n">
        <v>103.609489</v>
      </c>
      <c r="AM151" s="107" t="n">
        <v>5.2818</v>
      </c>
      <c r="AN151" s="107" t="n">
        <v>100.1449</v>
      </c>
      <c r="AO151" s="107" t="n">
        <v>1358.4</v>
      </c>
      <c r="AP151" s="107" t="n">
        <v>1</v>
      </c>
      <c r="AQ151" s="107" t="n">
        <v>4005796</v>
      </c>
      <c r="AR151" s="107" t="n">
        <v>5441473286</v>
      </c>
      <c r="AS151" s="107" t="n">
        <v>4034379.56</v>
      </c>
      <c r="AT151" s="107" t="n">
        <v>6103209398</v>
      </c>
      <c r="AU151" s="107" t="n">
        <v>-28583.56</v>
      </c>
      <c r="AV151" s="107" t="n">
        <v>-38827908</v>
      </c>
      <c r="AW151" s="107" t="n">
        <v>32083.33</v>
      </c>
      <c r="AX151" s="107" t="n">
        <v>48535661</v>
      </c>
      <c r="AY151" s="107" t="n">
        <v>0</v>
      </c>
      <c r="AZ151" s="107" t="n">
        <v>0</v>
      </c>
      <c r="BA151" s="107" t="n">
        <v>0</v>
      </c>
      <c r="BB151" s="107" t="n">
        <v>0</v>
      </c>
      <c r="BC151" s="107" t="n">
        <v>0</v>
      </c>
      <c r="BD151" s="107" t="n">
        <v>0</v>
      </c>
      <c r="BE151" s="107" t="n">
        <v>77916.67</v>
      </c>
      <c r="BF151" s="107" t="n">
        <v>105842005</v>
      </c>
      <c r="BG151" s="107" t="n">
        <v>0</v>
      </c>
      <c r="BH151" s="107" t="n">
        <v>0</v>
      </c>
      <c r="BI151" s="107" t="n">
        <v>4034379.56</v>
      </c>
      <c r="BJ151" s="107" t="n">
        <v>6103209398</v>
      </c>
      <c r="BK151" s="107" t="n">
        <v>0</v>
      </c>
      <c r="BL151" s="107" t="n">
        <v>0</v>
      </c>
      <c r="BM151" s="107" t="n">
        <v>0</v>
      </c>
      <c r="BN151" s="107" t="n">
        <v>0</v>
      </c>
      <c r="BO151" s="107" t="s">
        <v>107</v>
      </c>
      <c r="BP151" s="2"/>
      <c r="BQ151" s="107" t="s">
        <v>369</v>
      </c>
      <c r="BR151" s="107" t="n">
        <v>-622908204</v>
      </c>
      <c r="BS151" s="107" t="n">
        <v>-4953666</v>
      </c>
      <c r="BT151" s="107" t="n">
        <v>0</v>
      </c>
      <c r="BU151" s="107" t="n">
        <v>0</v>
      </c>
      <c r="BV151" s="107" t="n">
        <v>0</v>
      </c>
      <c r="BW151" s="107" t="n">
        <v>110000</v>
      </c>
      <c r="BX151" s="107" t="n">
        <v>149424000</v>
      </c>
      <c r="BY151" s="107" t="n">
        <v>0</v>
      </c>
      <c r="BZ151" s="107" t="n">
        <v>0</v>
      </c>
      <c r="CA151" s="107" t="n">
        <v>1512.8</v>
      </c>
      <c r="CB151" s="2"/>
      <c r="CC151" s="107" t="n">
        <v>0</v>
      </c>
      <c r="CD151" s="107" t="n">
        <v>100.14</v>
      </c>
      <c r="CE151" s="107" t="n">
        <v>100.15</v>
      </c>
      <c r="CF151" s="107" t="n">
        <v>100.14</v>
      </c>
      <c r="CG151" s="107" t="n">
        <v>4000000</v>
      </c>
      <c r="CH151" s="107" t="n">
        <v>0.0968</v>
      </c>
      <c r="CI151" s="107" t="n">
        <v>99.27</v>
      </c>
      <c r="CJ151" s="107" t="n">
        <v>100.05</v>
      </c>
      <c r="CK151" s="107" t="n">
        <v>99.96</v>
      </c>
      <c r="CL151" s="107" t="n">
        <v>0</v>
      </c>
    </row>
    <row r="152" customFormat="false" ht="15" hidden="false" customHeight="false" outlineLevel="0" collapsed="false">
      <c r="A152" s="107" t="s">
        <v>500</v>
      </c>
      <c r="B152" s="107" t="n">
        <v>100.144</v>
      </c>
      <c r="C152" s="107" t="n">
        <v>5.331</v>
      </c>
      <c r="D152" s="107" t="n">
        <v>0.0994</v>
      </c>
      <c r="E152" s="107" t="n">
        <v>-89.5888224</v>
      </c>
      <c r="F152" s="108" t="s">
        <v>358</v>
      </c>
      <c r="G152" s="107" t="n">
        <v>0.0994</v>
      </c>
      <c r="H152" s="107" t="n">
        <v>-89.5888224</v>
      </c>
      <c r="I152" s="109" t="n">
        <v>46332</v>
      </c>
      <c r="J152" s="107" t="n">
        <v>1</v>
      </c>
      <c r="K152" s="107" t="s">
        <v>359</v>
      </c>
      <c r="L152" s="107" t="s">
        <v>298</v>
      </c>
      <c r="M152" s="107" t="n">
        <v>894600</v>
      </c>
      <c r="N152" s="107" t="n">
        <v>100.4</v>
      </c>
      <c r="O152" s="107" t="n">
        <v>9012960</v>
      </c>
      <c r="P152" s="107" t="s">
        <v>501</v>
      </c>
      <c r="Q152" s="107" t="s">
        <v>107</v>
      </c>
      <c r="R152" s="107" t="n">
        <v>-0.0192088273325612</v>
      </c>
      <c r="S152" s="107" t="n">
        <v>-0.00254980079681277</v>
      </c>
      <c r="T152" s="107" t="n">
        <v>-92.0223216</v>
      </c>
      <c r="U152" s="107" t="n">
        <v>21069</v>
      </c>
      <c r="V152" s="108" t="s">
        <v>362</v>
      </c>
      <c r="W152" s="107" t="n">
        <v>34507</v>
      </c>
      <c r="X152" s="108" t="s">
        <v>372</v>
      </c>
      <c r="Y152" s="107" t="s">
        <v>500</v>
      </c>
      <c r="Z152" s="107" t="s">
        <v>502</v>
      </c>
      <c r="AA152" s="109" t="n">
        <v>46246</v>
      </c>
      <c r="AB152" s="107" t="n">
        <v>260812000001</v>
      </c>
      <c r="AC152" s="109" t="n">
        <v>45236</v>
      </c>
      <c r="AD152" s="109" t="n">
        <v>46332</v>
      </c>
      <c r="AE152" s="107" t="n">
        <v>6.875</v>
      </c>
      <c r="AF152" s="107" t="n">
        <v>0.0994</v>
      </c>
      <c r="AG152" s="107" t="n">
        <v>37</v>
      </c>
      <c r="AH152" s="107" t="n">
        <v>5000000</v>
      </c>
      <c r="AI152" s="107" t="n">
        <v>4.8</v>
      </c>
      <c r="AJ152" s="107" t="n">
        <v>100.47</v>
      </c>
      <c r="AK152" s="107" t="n">
        <v>2.116058</v>
      </c>
      <c r="AL152" s="107" t="n">
        <v>103.22</v>
      </c>
      <c r="AM152" s="107" t="n">
        <v>5.2818</v>
      </c>
      <c r="AN152" s="107" t="n">
        <v>100.1449</v>
      </c>
      <c r="AO152" s="107" t="n">
        <v>1358.4</v>
      </c>
      <c r="AP152" s="107" t="n">
        <v>1</v>
      </c>
      <c r="AQ152" s="107" t="n">
        <v>5007245</v>
      </c>
      <c r="AR152" s="107" t="n">
        <v>6801841608</v>
      </c>
      <c r="AS152" s="107" t="n">
        <v>5023500</v>
      </c>
      <c r="AT152" s="107" t="n">
        <v>7108252500</v>
      </c>
      <c r="AU152" s="107" t="n">
        <v>-16255</v>
      </c>
      <c r="AV152" s="107" t="n">
        <v>-22080792</v>
      </c>
      <c r="AW152" s="107" t="n">
        <v>91666.67</v>
      </c>
      <c r="AX152" s="107" t="n">
        <v>129708338</v>
      </c>
      <c r="AY152" s="107" t="n">
        <v>0</v>
      </c>
      <c r="AZ152" s="107" t="n">
        <v>0</v>
      </c>
      <c r="BA152" s="107" t="n">
        <v>0</v>
      </c>
      <c r="BB152" s="107" t="n">
        <v>0</v>
      </c>
      <c r="BC152" s="107" t="n">
        <v>0</v>
      </c>
      <c r="BD152" s="107" t="n">
        <v>0</v>
      </c>
      <c r="BE152" s="107" t="n">
        <v>45833.33</v>
      </c>
      <c r="BF152" s="107" t="n">
        <v>62259995</v>
      </c>
      <c r="BG152" s="107" t="n">
        <v>0</v>
      </c>
      <c r="BH152" s="107" t="n">
        <v>0</v>
      </c>
      <c r="BI152" s="107" t="n">
        <v>5023500</v>
      </c>
      <c r="BJ152" s="107" t="n">
        <v>7108252500</v>
      </c>
      <c r="BK152" s="107" t="n">
        <v>0</v>
      </c>
      <c r="BL152" s="107" t="n">
        <v>0</v>
      </c>
      <c r="BM152" s="107" t="n">
        <v>0</v>
      </c>
      <c r="BN152" s="107" t="n">
        <v>0</v>
      </c>
      <c r="BO152" s="107" t="s">
        <v>107</v>
      </c>
      <c r="BP152" s="2"/>
      <c r="BQ152" s="107" t="s">
        <v>369</v>
      </c>
      <c r="BR152" s="107" t="n">
        <v>-284330100</v>
      </c>
      <c r="BS152" s="107" t="n">
        <v>-5188333</v>
      </c>
      <c r="BT152" s="107" t="n">
        <v>0</v>
      </c>
      <c r="BU152" s="107" t="n">
        <v>0</v>
      </c>
      <c r="BV152" s="107" t="n">
        <v>0</v>
      </c>
      <c r="BW152" s="107" t="n">
        <v>137500</v>
      </c>
      <c r="BX152" s="107" t="n">
        <v>186780000</v>
      </c>
      <c r="BY152" s="107" t="n">
        <v>0</v>
      </c>
      <c r="BZ152" s="107" t="n">
        <v>0</v>
      </c>
      <c r="CA152" s="107" t="n">
        <v>1415</v>
      </c>
      <c r="CB152" s="2"/>
      <c r="CC152" s="107" t="n">
        <v>0</v>
      </c>
      <c r="CD152" s="107" t="n">
        <v>100.14</v>
      </c>
      <c r="CE152" s="107" t="n">
        <v>100.15</v>
      </c>
      <c r="CF152" s="107" t="n">
        <v>100.14</v>
      </c>
      <c r="CG152" s="107" t="n">
        <v>4000000</v>
      </c>
      <c r="CH152" s="107" t="n">
        <v>0.0968</v>
      </c>
      <c r="CI152" s="107" t="n">
        <v>99.27</v>
      </c>
      <c r="CJ152" s="107" t="n">
        <v>100.05</v>
      </c>
      <c r="CK152" s="107" t="n">
        <v>99.96</v>
      </c>
      <c r="CL152" s="107" t="n">
        <v>0</v>
      </c>
    </row>
    <row r="153" customFormat="false" ht="15" hidden="false" customHeight="false" outlineLevel="0" collapsed="false">
      <c r="A153" s="107" t="s">
        <v>613</v>
      </c>
      <c r="B153" s="107" t="n">
        <v>100.4578</v>
      </c>
      <c r="C153" s="107" t="n">
        <v>5.782</v>
      </c>
      <c r="D153" s="107" t="n">
        <v>2.0778</v>
      </c>
      <c r="E153" s="107" t="n">
        <v>-2087.3121684</v>
      </c>
      <c r="F153" s="108" t="s">
        <v>358</v>
      </c>
      <c r="G153" s="107" t="n">
        <v>2.0778</v>
      </c>
      <c r="H153" s="107" t="n">
        <v>-2087.3121684</v>
      </c>
      <c r="I153" s="109" t="n">
        <v>47144</v>
      </c>
      <c r="J153" s="107" t="n">
        <v>3</v>
      </c>
      <c r="K153" s="107" t="s">
        <v>359</v>
      </c>
      <c r="L153" s="107" t="s">
        <v>298</v>
      </c>
      <c r="M153" s="107" t="n">
        <v>20778000</v>
      </c>
      <c r="N153" s="107" t="n">
        <v>101.074</v>
      </c>
      <c r="O153" s="107" t="n">
        <v>10045780</v>
      </c>
      <c r="P153" s="107" t="s">
        <v>504</v>
      </c>
      <c r="Q153" s="107" t="s">
        <v>107</v>
      </c>
      <c r="R153" s="107" t="n">
        <v>-0.00117584551946821</v>
      </c>
      <c r="S153" s="107" t="n">
        <v>-0.00609652333933541</v>
      </c>
      <c r="T153" s="107" t="n">
        <v>-2147.6873062</v>
      </c>
      <c r="U153" s="107" t="n">
        <v>21069</v>
      </c>
      <c r="V153" s="108" t="s">
        <v>362</v>
      </c>
      <c r="W153" s="107" t="n">
        <v>34507</v>
      </c>
      <c r="X153" s="108" t="s">
        <v>372</v>
      </c>
      <c r="Y153" s="107" t="s">
        <v>500</v>
      </c>
      <c r="Z153" s="107" t="s">
        <v>502</v>
      </c>
      <c r="AA153" s="109" t="n">
        <v>46247</v>
      </c>
      <c r="AB153" s="107" t="n">
        <v>260813000001</v>
      </c>
      <c r="AC153" s="109" t="n">
        <v>45236</v>
      </c>
      <c r="AD153" s="109" t="n">
        <v>46332</v>
      </c>
      <c r="AE153" s="107" t="n">
        <v>6.875</v>
      </c>
      <c r="AF153" s="107" t="n">
        <v>0.0994</v>
      </c>
      <c r="AG153" s="107" t="n">
        <v>37</v>
      </c>
      <c r="AH153" s="107" t="n">
        <v>7000000</v>
      </c>
      <c r="AI153" s="107" t="n">
        <v>4.76</v>
      </c>
      <c r="AJ153" s="107" t="n">
        <v>100.46926</v>
      </c>
      <c r="AK153" s="107" t="n">
        <v>2.123303</v>
      </c>
      <c r="AL153" s="107" t="n">
        <v>103.21926</v>
      </c>
      <c r="AM153" s="107" t="n">
        <v>5.2818</v>
      </c>
      <c r="AN153" s="107" t="n">
        <v>100.1449</v>
      </c>
      <c r="AO153" s="107" t="n">
        <v>1358.4</v>
      </c>
      <c r="AP153" s="107" t="n">
        <v>1</v>
      </c>
      <c r="AQ153" s="107" t="n">
        <v>7010143</v>
      </c>
      <c r="AR153" s="107" t="n">
        <v>9522578251</v>
      </c>
      <c r="AS153" s="107" t="n">
        <v>7032848.2</v>
      </c>
      <c r="AT153" s="107" t="n">
        <v>9951480203</v>
      </c>
      <c r="AU153" s="107" t="n">
        <v>-22705.2</v>
      </c>
      <c r="AV153" s="107" t="n">
        <v>-30842744</v>
      </c>
      <c r="AW153" s="107" t="n">
        <v>129670.14</v>
      </c>
      <c r="AX153" s="107" t="n">
        <v>183483248</v>
      </c>
      <c r="AY153" s="107" t="n">
        <v>0</v>
      </c>
      <c r="AZ153" s="107" t="n">
        <v>0</v>
      </c>
      <c r="BA153" s="107" t="n">
        <v>0</v>
      </c>
      <c r="BB153" s="107" t="n">
        <v>0</v>
      </c>
      <c r="BC153" s="107" t="n">
        <v>0</v>
      </c>
      <c r="BD153" s="107" t="n">
        <v>0</v>
      </c>
      <c r="BE153" s="107" t="n">
        <v>62829.86</v>
      </c>
      <c r="BF153" s="107" t="n">
        <v>85348082</v>
      </c>
      <c r="BG153" s="107" t="n">
        <v>0</v>
      </c>
      <c r="BH153" s="107" t="n">
        <v>0</v>
      </c>
      <c r="BI153" s="107" t="n">
        <v>7032848.2</v>
      </c>
      <c r="BJ153" s="107" t="n">
        <v>9951480203</v>
      </c>
      <c r="BK153" s="107" t="n">
        <v>0</v>
      </c>
      <c r="BL153" s="107" t="n">
        <v>0</v>
      </c>
      <c r="BM153" s="107" t="n">
        <v>0</v>
      </c>
      <c r="BN153" s="107" t="n">
        <v>0</v>
      </c>
      <c r="BO153" s="107" t="s">
        <v>107</v>
      </c>
      <c r="BP153" s="2"/>
      <c r="BQ153" s="107" t="s">
        <v>369</v>
      </c>
      <c r="BR153" s="107" t="n">
        <v>-398059208</v>
      </c>
      <c r="BS153" s="107" t="n">
        <v>-7339330</v>
      </c>
      <c r="BT153" s="107" t="n">
        <v>0</v>
      </c>
      <c r="BU153" s="107" t="n">
        <v>0</v>
      </c>
      <c r="BV153" s="107" t="n">
        <v>0</v>
      </c>
      <c r="BW153" s="107" t="n">
        <v>192500</v>
      </c>
      <c r="BX153" s="107" t="n">
        <v>261492000</v>
      </c>
      <c r="BY153" s="107" t="n">
        <v>0</v>
      </c>
      <c r="BZ153" s="107" t="n">
        <v>0</v>
      </c>
      <c r="CA153" s="107" t="n">
        <v>1415</v>
      </c>
      <c r="CB153" s="2"/>
      <c r="CC153" s="107" t="n">
        <v>0</v>
      </c>
      <c r="CD153" s="107" t="n">
        <v>100.14</v>
      </c>
      <c r="CE153" s="107" t="n">
        <v>100.15</v>
      </c>
      <c r="CF153" s="107" t="n">
        <v>100.14</v>
      </c>
      <c r="CG153" s="107" t="n">
        <v>0</v>
      </c>
      <c r="CH153" s="107" t="n">
        <v>0.0968</v>
      </c>
      <c r="CI153" s="107" t="n">
        <v>99.27</v>
      </c>
      <c r="CJ153" s="107" t="n">
        <v>100.05</v>
      </c>
      <c r="CK153" s="107" t="n">
        <v>99.96</v>
      </c>
      <c r="CL153" s="107" t="n">
        <v>0</v>
      </c>
    </row>
    <row r="154" customFormat="false" ht="15" hidden="false" customHeight="false" outlineLevel="0" collapsed="false">
      <c r="A154" s="107" t="s">
        <v>614</v>
      </c>
      <c r="B154" s="107" t="n">
        <v>97.9441</v>
      </c>
      <c r="C154" s="107" t="n">
        <v>5.7649</v>
      </c>
      <c r="D154" s="107" t="n">
        <v>2.7081</v>
      </c>
      <c r="E154" s="107" t="n">
        <v>-6631.06043025</v>
      </c>
      <c r="F154" s="108" t="s">
        <v>358</v>
      </c>
      <c r="G154" s="107" t="n">
        <v>2.7081</v>
      </c>
      <c r="H154" s="107" t="n">
        <v>-6631.06043025</v>
      </c>
      <c r="I154" s="109" t="n">
        <v>47664</v>
      </c>
      <c r="J154" s="107" t="n">
        <v>5</v>
      </c>
      <c r="K154" s="108" t="s">
        <v>92</v>
      </c>
      <c r="L154" s="107" t="s">
        <v>298</v>
      </c>
      <c r="M154" s="107" t="n">
        <v>67702500</v>
      </c>
      <c r="N154" s="107" t="n">
        <v>100.85</v>
      </c>
      <c r="O154" s="107" t="n">
        <v>24486025</v>
      </c>
      <c r="P154" s="107" t="s">
        <v>615</v>
      </c>
      <c r="Q154" s="107" t="s">
        <v>106</v>
      </c>
      <c r="R154" s="107" t="n">
        <v>-0.0863852453700851</v>
      </c>
      <c r="S154" s="107" t="n">
        <v>-0.0288140803173028</v>
      </c>
      <c r="T154" s="107" t="n">
        <v>-7013.2872805</v>
      </c>
      <c r="U154" s="107" t="n">
        <v>21069</v>
      </c>
      <c r="V154" s="108" t="s">
        <v>362</v>
      </c>
      <c r="W154" s="107" t="n">
        <v>34507</v>
      </c>
      <c r="X154" s="108" t="s">
        <v>372</v>
      </c>
      <c r="Y154" s="107" t="s">
        <v>500</v>
      </c>
      <c r="Z154" s="107" t="s">
        <v>502</v>
      </c>
      <c r="AA154" s="109" t="n">
        <v>46260</v>
      </c>
      <c r="AB154" s="107" t="n">
        <v>260826000001</v>
      </c>
      <c r="AC154" s="109" t="n">
        <v>45236</v>
      </c>
      <c r="AD154" s="109" t="n">
        <v>46332</v>
      </c>
      <c r="AE154" s="107" t="n">
        <v>6.875</v>
      </c>
      <c r="AF154" s="107" t="n">
        <v>0.0994</v>
      </c>
      <c r="AG154" s="107" t="n">
        <v>37</v>
      </c>
      <c r="AH154" s="107" t="n">
        <v>9000000</v>
      </c>
      <c r="AI154" s="107" t="n">
        <v>4.75</v>
      </c>
      <c r="AJ154" s="107" t="n">
        <v>100.4</v>
      </c>
      <c r="AK154" s="107" t="n">
        <v>2.802793</v>
      </c>
      <c r="AL154" s="107" t="n">
        <v>103.15</v>
      </c>
      <c r="AM154" s="107" t="n">
        <v>5.2818</v>
      </c>
      <c r="AN154" s="107" t="n">
        <v>100.1449</v>
      </c>
      <c r="AO154" s="107" t="n">
        <v>1358.4</v>
      </c>
      <c r="AP154" s="107" t="n">
        <v>1</v>
      </c>
      <c r="AQ154" s="107" t="n">
        <v>9013041</v>
      </c>
      <c r="AR154" s="107" t="n">
        <v>12243314894</v>
      </c>
      <c r="AS154" s="107" t="n">
        <v>9036000</v>
      </c>
      <c r="AT154" s="107" t="n">
        <v>12497691600</v>
      </c>
      <c r="AU154" s="107" t="n">
        <v>-22959</v>
      </c>
      <c r="AV154" s="107" t="n">
        <v>-31187506</v>
      </c>
      <c r="AW154" s="107" t="n">
        <v>189062.5</v>
      </c>
      <c r="AX154" s="107" t="n">
        <v>261492343</v>
      </c>
      <c r="AY154" s="107" t="n">
        <v>0</v>
      </c>
      <c r="AZ154" s="107" t="n">
        <v>0</v>
      </c>
      <c r="BA154" s="107" t="n">
        <v>0</v>
      </c>
      <c r="BB154" s="107" t="n">
        <v>0</v>
      </c>
      <c r="BC154" s="107" t="n">
        <v>0</v>
      </c>
      <c r="BD154" s="107" t="n">
        <v>0</v>
      </c>
      <c r="BE154" s="107" t="n">
        <v>58437.5</v>
      </c>
      <c r="BF154" s="107" t="n">
        <v>79381500</v>
      </c>
      <c r="BG154" s="107" t="n">
        <v>0</v>
      </c>
      <c r="BH154" s="107" t="n">
        <v>0</v>
      </c>
      <c r="BI154" s="107" t="n">
        <v>9036000</v>
      </c>
      <c r="BJ154" s="107" t="n">
        <v>12497691600</v>
      </c>
      <c r="BK154" s="107" t="n">
        <v>0</v>
      </c>
      <c r="BL154" s="107" t="n">
        <v>0</v>
      </c>
      <c r="BM154" s="107" t="n">
        <v>0</v>
      </c>
      <c r="BN154" s="107" t="n">
        <v>0</v>
      </c>
      <c r="BO154" s="107" t="s">
        <v>107</v>
      </c>
      <c r="BP154" s="2"/>
      <c r="BQ154" s="107" t="s">
        <v>369</v>
      </c>
      <c r="BR154" s="107" t="n">
        <v>-223189200</v>
      </c>
      <c r="BS154" s="107" t="n">
        <v>-4669843</v>
      </c>
      <c r="BT154" s="107" t="n">
        <v>0</v>
      </c>
      <c r="BU154" s="107" t="n">
        <v>0</v>
      </c>
      <c r="BV154" s="107" t="n">
        <v>0</v>
      </c>
      <c r="BW154" s="107" t="n">
        <v>247500</v>
      </c>
      <c r="BX154" s="107" t="n">
        <v>336204000</v>
      </c>
      <c r="BY154" s="107" t="n">
        <v>0</v>
      </c>
      <c r="BZ154" s="107" t="n">
        <v>0</v>
      </c>
      <c r="CA154" s="107" t="n">
        <v>1383.1</v>
      </c>
      <c r="CB154" s="2"/>
      <c r="CC154" s="107" t="n">
        <v>0</v>
      </c>
      <c r="CD154" s="107" t="n">
        <v>100.14</v>
      </c>
      <c r="CE154" s="107" t="n">
        <v>100.15</v>
      </c>
      <c r="CF154" s="107" t="n">
        <v>100.14</v>
      </c>
      <c r="CG154" s="107" t="n">
        <v>0</v>
      </c>
      <c r="CH154" s="107" t="n">
        <v>0.0968</v>
      </c>
      <c r="CI154" s="107" t="n">
        <v>99.27</v>
      </c>
      <c r="CJ154" s="107" t="n">
        <v>100.05</v>
      </c>
      <c r="CK154" s="107" t="n">
        <v>99.96</v>
      </c>
      <c r="CL154" s="107" t="n">
        <v>0</v>
      </c>
    </row>
    <row r="155" customFormat="false" ht="15" hidden="false" customHeight="false" outlineLevel="0" collapsed="false">
      <c r="A155" s="107" t="s">
        <v>616</v>
      </c>
      <c r="B155" s="107" t="n">
        <v>97.9715</v>
      </c>
      <c r="C155" s="107" t="n">
        <v>5.5816</v>
      </c>
      <c r="D155" s="107" t="n">
        <v>2.0617</v>
      </c>
      <c r="E155" s="107" t="n">
        <v>-4039.756831</v>
      </c>
      <c r="F155" s="108" t="s">
        <v>358</v>
      </c>
      <c r="G155" s="107" t="n">
        <v>2.0617</v>
      </c>
      <c r="H155" s="107" t="n">
        <v>-4039.756831</v>
      </c>
      <c r="I155" s="109" t="n">
        <v>47197</v>
      </c>
      <c r="J155" s="107" t="n">
        <v>3</v>
      </c>
      <c r="K155" s="108" t="s">
        <v>384</v>
      </c>
      <c r="L155" s="107" t="s">
        <v>298</v>
      </c>
      <c r="M155" s="107" t="n">
        <v>41234000</v>
      </c>
      <c r="N155" s="107" t="n">
        <v>100</v>
      </c>
      <c r="O155" s="107" t="n">
        <v>19594300</v>
      </c>
      <c r="P155" s="107" t="s">
        <v>388</v>
      </c>
      <c r="Q155" s="107" t="s">
        <v>374</v>
      </c>
      <c r="R155" s="107" t="n">
        <v>-0.0995996756318422</v>
      </c>
      <c r="S155" s="107" t="n">
        <v>-0.0202849999999999</v>
      </c>
      <c r="T155" s="107" t="n">
        <v>-4265.287224</v>
      </c>
      <c r="U155" s="107" t="n">
        <v>21069</v>
      </c>
      <c r="V155" s="108" t="s">
        <v>362</v>
      </c>
      <c r="W155" s="107" t="n">
        <v>34507</v>
      </c>
      <c r="X155" s="108" t="s">
        <v>372</v>
      </c>
      <c r="Y155" s="107" t="s">
        <v>613</v>
      </c>
      <c r="Z155" s="107" t="s">
        <v>617</v>
      </c>
      <c r="AA155" s="109" t="n">
        <v>46283</v>
      </c>
      <c r="AB155" s="107" t="n">
        <v>260918000001</v>
      </c>
      <c r="AC155" s="109" t="n">
        <v>45317</v>
      </c>
      <c r="AD155" s="109" t="n">
        <v>47144</v>
      </c>
      <c r="AE155" s="107" t="n">
        <v>6</v>
      </c>
      <c r="AF155" s="107" t="n">
        <v>2.1356</v>
      </c>
      <c r="AG155" s="107" t="n">
        <v>849</v>
      </c>
      <c r="AH155" s="107" t="n">
        <v>10000000</v>
      </c>
      <c r="AI155" s="107" t="n">
        <v>5.5038</v>
      </c>
      <c r="AJ155" s="107" t="n">
        <v>101.074</v>
      </c>
      <c r="AK155" s="107" t="n">
        <v>5.496725</v>
      </c>
      <c r="AL155" s="107" t="n">
        <v>102.140666</v>
      </c>
      <c r="AM155" s="107" t="n">
        <v>5.726</v>
      </c>
      <c r="AN155" s="107" t="n">
        <v>100.5778</v>
      </c>
      <c r="AO155" s="107" t="n">
        <v>1358.4</v>
      </c>
      <c r="AP155" s="107" t="n">
        <v>1</v>
      </c>
      <c r="AQ155" s="107" t="n">
        <v>10057780</v>
      </c>
      <c r="AR155" s="107" t="n">
        <v>13662488352</v>
      </c>
      <c r="AS155" s="107" t="n">
        <v>10107400</v>
      </c>
      <c r="AT155" s="107" t="n">
        <v>13678344420</v>
      </c>
      <c r="AU155" s="107" t="n">
        <v>-49620</v>
      </c>
      <c r="AV155" s="107" t="n">
        <v>-67403808</v>
      </c>
      <c r="AW155" s="107" t="n">
        <v>86666.67</v>
      </c>
      <c r="AX155" s="107" t="n">
        <v>117286004</v>
      </c>
      <c r="AY155" s="107" t="n">
        <v>0</v>
      </c>
      <c r="AZ155" s="107" t="n">
        <v>0</v>
      </c>
      <c r="BA155" s="107" t="n">
        <v>0</v>
      </c>
      <c r="BB155" s="107" t="n">
        <v>0</v>
      </c>
      <c r="BC155" s="107" t="n">
        <v>0</v>
      </c>
      <c r="BD155" s="107" t="n">
        <v>0</v>
      </c>
      <c r="BE155" s="107" t="n">
        <v>20000</v>
      </c>
      <c r="BF155" s="107" t="n">
        <v>27167999</v>
      </c>
      <c r="BG155" s="107" t="n">
        <v>0</v>
      </c>
      <c r="BH155" s="107" t="n">
        <v>0</v>
      </c>
      <c r="BI155" s="107" t="n">
        <v>10107400</v>
      </c>
      <c r="BJ155" s="107" t="n">
        <v>13678344420</v>
      </c>
      <c r="BK155" s="107" t="n">
        <v>0</v>
      </c>
      <c r="BL155" s="107" t="n">
        <v>0</v>
      </c>
      <c r="BM155" s="107" t="n">
        <v>0</v>
      </c>
      <c r="BN155" s="107" t="n">
        <v>0</v>
      </c>
      <c r="BO155" s="107" t="s">
        <v>369</v>
      </c>
      <c r="BP155" s="2"/>
      <c r="BQ155" s="107" t="s">
        <v>107</v>
      </c>
      <c r="BR155" s="107" t="n">
        <v>51547740</v>
      </c>
      <c r="BS155" s="107" t="n">
        <v>442001</v>
      </c>
      <c r="BT155" s="107" t="n">
        <v>0</v>
      </c>
      <c r="BU155" s="107" t="n">
        <v>0</v>
      </c>
      <c r="BV155" s="107" t="n">
        <v>0</v>
      </c>
      <c r="BW155" s="107" t="n">
        <v>106666.67</v>
      </c>
      <c r="BX155" s="107" t="n">
        <v>144896004</v>
      </c>
      <c r="BY155" s="107" t="n">
        <v>0</v>
      </c>
      <c r="BZ155" s="107" t="n">
        <v>0</v>
      </c>
      <c r="CA155" s="107" t="n">
        <v>1353.3</v>
      </c>
      <c r="CB155" s="2"/>
      <c r="CC155" s="107" t="n">
        <v>0</v>
      </c>
      <c r="CD155" s="107" t="n">
        <v>100.61</v>
      </c>
      <c r="CE155" s="107" t="n">
        <v>100.57</v>
      </c>
      <c r="CF155" s="107" t="n">
        <v>100.55</v>
      </c>
      <c r="CG155" s="107" t="n">
        <v>10000000</v>
      </c>
      <c r="CH155" s="107" t="n">
        <v>2.0762</v>
      </c>
      <c r="CI155" s="107" t="n">
        <v>99.27</v>
      </c>
      <c r="CJ155" s="107" t="n">
        <v>100.05</v>
      </c>
      <c r="CK155" s="107" t="n">
        <v>99.96</v>
      </c>
      <c r="CL155" s="107" t="n">
        <v>0</v>
      </c>
    </row>
    <row r="156" customFormat="false" ht="15" hidden="false" customHeight="false" outlineLevel="0" collapsed="false">
      <c r="A156" s="107" t="s">
        <v>618</v>
      </c>
      <c r="B156" s="107" t="n">
        <v>98.4405</v>
      </c>
      <c r="C156" s="107" t="n">
        <v>5.692</v>
      </c>
      <c r="D156" s="107" t="n">
        <v>2.3917</v>
      </c>
      <c r="E156" s="107" t="n">
        <v>-4708.802877</v>
      </c>
      <c r="F156" s="108" t="s">
        <v>358</v>
      </c>
      <c r="G156" s="107" t="n">
        <v>2.3917</v>
      </c>
      <c r="H156" s="107" t="n">
        <v>-4708.802877</v>
      </c>
      <c r="I156" s="109" t="n">
        <v>47562</v>
      </c>
      <c r="J156" s="107" t="n">
        <v>5</v>
      </c>
      <c r="K156" s="108" t="s">
        <v>384</v>
      </c>
      <c r="L156" s="107" t="s">
        <v>298</v>
      </c>
      <c r="M156" s="107" t="n">
        <v>47834000</v>
      </c>
      <c r="N156" s="107" t="n">
        <v>101.093</v>
      </c>
      <c r="O156" s="107" t="n">
        <v>19688100</v>
      </c>
      <c r="P156" s="107" t="s">
        <v>448</v>
      </c>
      <c r="Q156" s="107" t="s">
        <v>106</v>
      </c>
      <c r="R156" s="107" t="n">
        <v>-0.0839620766150688</v>
      </c>
      <c r="S156" s="107" t="n">
        <v>-0.026238216295886</v>
      </c>
      <c r="T156" s="107" t="n">
        <v>-4976.757918</v>
      </c>
      <c r="U156" s="107" t="n">
        <v>21069</v>
      </c>
      <c r="V156" s="108" t="s">
        <v>362</v>
      </c>
      <c r="W156" s="107" t="n">
        <v>34507</v>
      </c>
      <c r="X156" s="108" t="s">
        <v>372</v>
      </c>
      <c r="Y156" s="107" t="s">
        <v>614</v>
      </c>
      <c r="Z156" s="107" t="s">
        <v>619</v>
      </c>
      <c r="AA156" s="109" t="n">
        <v>46031</v>
      </c>
      <c r="AB156" s="107" t="n">
        <v>260109000001</v>
      </c>
      <c r="AC156" s="109" t="n">
        <v>45838</v>
      </c>
      <c r="AD156" s="109" t="n">
        <v>47664</v>
      </c>
      <c r="AE156" s="107" t="n">
        <v>5.15</v>
      </c>
      <c r="AF156" s="107" t="n">
        <v>2.8528</v>
      </c>
      <c r="AG156" s="107" t="n">
        <v>1369</v>
      </c>
      <c r="AH156" s="107" t="n">
        <v>25000000</v>
      </c>
      <c r="AI156" s="107" t="n">
        <v>4.521037</v>
      </c>
      <c r="AJ156" s="107" t="n">
        <v>100.85</v>
      </c>
      <c r="AK156" s="107" t="n">
        <v>4.889587</v>
      </c>
      <c r="AL156" s="107" t="n">
        <v>102.1375</v>
      </c>
      <c r="AM156" s="107" t="n">
        <v>5.7549</v>
      </c>
      <c r="AN156" s="107" t="n">
        <v>97.978</v>
      </c>
      <c r="AO156" s="107" t="n">
        <v>1358.4</v>
      </c>
      <c r="AP156" s="107" t="n">
        <v>1</v>
      </c>
      <c r="AQ156" s="107" t="n">
        <v>24494500</v>
      </c>
      <c r="AR156" s="107" t="n">
        <v>33273328800</v>
      </c>
      <c r="AS156" s="107" t="n">
        <v>25212500</v>
      </c>
      <c r="AT156" s="107" t="n">
        <v>36449711250</v>
      </c>
      <c r="AU156" s="107" t="n">
        <v>-718000</v>
      </c>
      <c r="AV156" s="107" t="n">
        <v>-975331200</v>
      </c>
      <c r="AW156" s="107" t="n">
        <v>0</v>
      </c>
      <c r="AX156" s="107" t="n">
        <v>0</v>
      </c>
      <c r="AY156" s="107" t="n">
        <v>0</v>
      </c>
      <c r="AZ156" s="107" t="n">
        <v>0</v>
      </c>
      <c r="BA156" s="107" t="n">
        <v>0</v>
      </c>
      <c r="BB156" s="107" t="n">
        <v>0</v>
      </c>
      <c r="BC156" s="107" t="n">
        <v>0</v>
      </c>
      <c r="BD156" s="107" t="n">
        <v>0</v>
      </c>
      <c r="BE156" s="107" t="n">
        <v>321875</v>
      </c>
      <c r="BF156" s="107" t="n">
        <v>437235000</v>
      </c>
      <c r="BG156" s="107" t="n">
        <v>0</v>
      </c>
      <c r="BH156" s="107" t="n">
        <v>0</v>
      </c>
      <c r="BI156" s="107" t="n">
        <v>25212500</v>
      </c>
      <c r="BJ156" s="107" t="n">
        <v>36449711250</v>
      </c>
      <c r="BK156" s="107" t="n">
        <v>0</v>
      </c>
      <c r="BL156" s="107" t="n">
        <v>0</v>
      </c>
      <c r="BM156" s="107" t="n">
        <v>0</v>
      </c>
      <c r="BN156" s="107" t="n">
        <v>0</v>
      </c>
      <c r="BO156" s="107" t="s">
        <v>374</v>
      </c>
      <c r="BP156" s="2"/>
      <c r="BQ156" s="107" t="s">
        <v>364</v>
      </c>
      <c r="BR156" s="107" t="n">
        <v>-2201051250</v>
      </c>
      <c r="BS156" s="107" t="n">
        <v>0</v>
      </c>
      <c r="BT156" s="107" t="n">
        <v>0</v>
      </c>
      <c r="BU156" s="107" t="n">
        <v>0</v>
      </c>
      <c r="BV156" s="107" t="n">
        <v>0</v>
      </c>
      <c r="BW156" s="107" t="n">
        <v>321875</v>
      </c>
      <c r="BX156" s="107" t="n">
        <v>437235000</v>
      </c>
      <c r="BY156" s="107" t="n">
        <v>0</v>
      </c>
      <c r="BZ156" s="107" t="n">
        <v>0</v>
      </c>
      <c r="CA156" s="107" t="n">
        <v>1445.7</v>
      </c>
      <c r="CB156" s="2"/>
      <c r="CC156" s="107" t="n">
        <v>0</v>
      </c>
      <c r="CD156" s="107" t="n">
        <v>98.6</v>
      </c>
      <c r="CE156" s="107" t="n">
        <v>98.12</v>
      </c>
      <c r="CF156" s="107" t="n">
        <v>97.22</v>
      </c>
      <c r="CG156" s="107" t="n">
        <v>25000000</v>
      </c>
      <c r="CH156" s="107" t="n">
        <v>2.6976</v>
      </c>
      <c r="CI156" s="107" t="n">
        <v>99.27</v>
      </c>
      <c r="CJ156" s="107" t="n">
        <v>100.05</v>
      </c>
      <c r="CK156" s="107" t="n">
        <v>99.96</v>
      </c>
      <c r="CL156" s="107" t="n">
        <v>0</v>
      </c>
    </row>
    <row r="157" customFormat="false" ht="15" hidden="false" customHeight="false" outlineLevel="0" collapsed="false">
      <c r="A157" s="107" t="s">
        <v>620</v>
      </c>
      <c r="B157" s="107" t="n">
        <v>98.1742</v>
      </c>
      <c r="C157" s="107" t="n">
        <v>5.8438</v>
      </c>
      <c r="D157" s="107" t="n">
        <v>2.4561</v>
      </c>
      <c r="E157" s="107" t="n">
        <v>-723.37695786</v>
      </c>
      <c r="F157" s="108" t="s">
        <v>358</v>
      </c>
      <c r="G157" s="107" t="n">
        <v>2.4561</v>
      </c>
      <c r="H157" s="107" t="n">
        <v>-723.37695786</v>
      </c>
      <c r="I157" s="109" t="n">
        <v>47305</v>
      </c>
      <c r="J157" s="107" t="n">
        <v>3</v>
      </c>
      <c r="K157" s="107" t="s">
        <v>359</v>
      </c>
      <c r="L157" s="107" t="s">
        <v>298</v>
      </c>
      <c r="M157" s="107" t="n">
        <v>7368300</v>
      </c>
      <c r="N157" s="107" t="n">
        <v>99.925</v>
      </c>
      <c r="O157" s="107" t="n">
        <v>2945226</v>
      </c>
      <c r="P157" s="107" t="s">
        <v>504</v>
      </c>
      <c r="Q157" s="107" t="s">
        <v>107</v>
      </c>
      <c r="R157" s="107" t="n">
        <v>-0.137063259857707</v>
      </c>
      <c r="S157" s="107" t="n">
        <v>-0.0175211408556417</v>
      </c>
      <c r="T157" s="107" t="n">
        <v>-744.52368054</v>
      </c>
      <c r="U157" s="107" t="n">
        <v>21069</v>
      </c>
      <c r="V157" s="108" t="s">
        <v>362</v>
      </c>
      <c r="W157" s="107" t="n">
        <v>34507</v>
      </c>
      <c r="X157" s="108" t="s">
        <v>372</v>
      </c>
      <c r="Y157" s="107" t="s">
        <v>616</v>
      </c>
      <c r="Z157" s="107" t="s">
        <v>621</v>
      </c>
      <c r="AA157" s="109" t="n">
        <v>46101</v>
      </c>
      <c r="AB157" s="107" t="n">
        <v>260320000001</v>
      </c>
      <c r="AC157" s="109" t="n">
        <v>46101</v>
      </c>
      <c r="AD157" s="109" t="n">
        <v>47197</v>
      </c>
      <c r="AE157" s="107" t="n">
        <v>4.7</v>
      </c>
      <c r="AF157" s="107" t="n">
        <v>2.1531</v>
      </c>
      <c r="AG157" s="107" t="n">
        <v>902</v>
      </c>
      <c r="AH157" s="107" t="n">
        <v>20000000</v>
      </c>
      <c r="AI157" s="107" t="n">
        <v>4.7</v>
      </c>
      <c r="AJ157" s="107" t="n">
        <v>100</v>
      </c>
      <c r="AK157" s="107" t="n">
        <v>4.688248</v>
      </c>
      <c r="AL157" s="107" t="n">
        <v>102.480555</v>
      </c>
      <c r="AM157" s="107" t="n">
        <v>5.5402</v>
      </c>
      <c r="AN157" s="107" t="n">
        <v>98.0648</v>
      </c>
      <c r="AO157" s="107" t="n">
        <v>1358.4</v>
      </c>
      <c r="AP157" s="107" t="n">
        <v>1</v>
      </c>
      <c r="AQ157" s="107" t="n">
        <v>19612960</v>
      </c>
      <c r="AR157" s="107" t="n">
        <v>26642244864</v>
      </c>
      <c r="AS157" s="107" t="n">
        <v>20000000</v>
      </c>
      <c r="AT157" s="107" t="n">
        <v>29596000000</v>
      </c>
      <c r="AU157" s="107" t="n">
        <v>-387040</v>
      </c>
      <c r="AV157" s="107" t="n">
        <v>-525755136</v>
      </c>
      <c r="AW157" s="107" t="n">
        <v>0</v>
      </c>
      <c r="AX157" s="107" t="n">
        <v>0</v>
      </c>
      <c r="AY157" s="107" t="n">
        <v>0</v>
      </c>
      <c r="AZ157" s="107" t="n">
        <v>0</v>
      </c>
      <c r="BA157" s="107" t="n">
        <v>0</v>
      </c>
      <c r="BB157" s="107" t="n">
        <v>0</v>
      </c>
      <c r="BC157" s="107" t="n">
        <v>0</v>
      </c>
      <c r="BD157" s="107" t="n">
        <v>0</v>
      </c>
      <c r="BE157" s="107" t="n">
        <v>496111.11</v>
      </c>
      <c r="BF157" s="107" t="n">
        <v>673917331</v>
      </c>
      <c r="BG157" s="107" t="n">
        <v>0</v>
      </c>
      <c r="BH157" s="107" t="n">
        <v>0</v>
      </c>
      <c r="BI157" s="107" t="n">
        <v>20000000</v>
      </c>
      <c r="BJ157" s="107" t="n">
        <v>29596000000</v>
      </c>
      <c r="BK157" s="107" t="n">
        <v>0</v>
      </c>
      <c r="BL157" s="107" t="n">
        <v>0</v>
      </c>
      <c r="BM157" s="107" t="n">
        <v>0</v>
      </c>
      <c r="BN157" s="107" t="n">
        <v>0</v>
      </c>
      <c r="BO157" s="2"/>
      <c r="BP157" s="2"/>
      <c r="BQ157" s="107" t="s">
        <v>106</v>
      </c>
      <c r="BR157" s="107" t="n">
        <v>-2428000000</v>
      </c>
      <c r="BS157" s="107" t="n">
        <v>0</v>
      </c>
      <c r="BT157" s="107" t="n">
        <v>0</v>
      </c>
      <c r="BU157" s="107" t="n">
        <v>0</v>
      </c>
      <c r="BV157" s="107" t="n">
        <v>0</v>
      </c>
      <c r="BW157" s="107" t="n">
        <v>496111.11</v>
      </c>
      <c r="BX157" s="107" t="n">
        <v>673917331</v>
      </c>
      <c r="BY157" s="107" t="n">
        <v>0</v>
      </c>
      <c r="BZ157" s="107" t="n">
        <v>0</v>
      </c>
      <c r="CA157" s="107" t="n">
        <v>1479.8</v>
      </c>
      <c r="CB157" s="2"/>
      <c r="CC157" s="107" t="n">
        <v>0</v>
      </c>
      <c r="CD157" s="107" t="n">
        <v>98.23</v>
      </c>
      <c r="CE157" s="107" t="n">
        <v>97.91</v>
      </c>
      <c r="CF157" s="107" t="n">
        <v>98.06</v>
      </c>
      <c r="CG157" s="107" t="n">
        <v>20000000</v>
      </c>
      <c r="CH157" s="107" t="n">
        <v>2.0401</v>
      </c>
      <c r="CI157" s="107" t="n">
        <v>99.27</v>
      </c>
      <c r="CJ157" s="107" t="n">
        <v>100.05</v>
      </c>
      <c r="CK157" s="107" t="n">
        <v>99.96</v>
      </c>
      <c r="CL157" s="107" t="n">
        <v>0</v>
      </c>
    </row>
    <row r="158" customFormat="false" ht="15" hidden="false" customHeight="false" outlineLevel="0" collapsed="false">
      <c r="A158" s="107" t="s">
        <v>620</v>
      </c>
      <c r="B158" s="107" t="n">
        <v>98.1742</v>
      </c>
      <c r="C158" s="107" t="n">
        <v>5.8438</v>
      </c>
      <c r="D158" s="107" t="n">
        <v>2.4561</v>
      </c>
      <c r="E158" s="107" t="n">
        <v>-482.25130524</v>
      </c>
      <c r="F158" s="108" t="s">
        <v>358</v>
      </c>
      <c r="G158" s="107" t="n">
        <v>2.4561</v>
      </c>
      <c r="H158" s="107" t="n">
        <v>-482.25130524</v>
      </c>
      <c r="I158" s="109" t="n">
        <v>47305</v>
      </c>
      <c r="J158" s="107" t="n">
        <v>3</v>
      </c>
      <c r="K158" s="107" t="s">
        <v>359</v>
      </c>
      <c r="L158" s="107" t="s">
        <v>298</v>
      </c>
      <c r="M158" s="107" t="n">
        <v>4912200</v>
      </c>
      <c r="N158" s="107" t="n">
        <v>99.939</v>
      </c>
      <c r="O158" s="107" t="n">
        <v>1963484</v>
      </c>
      <c r="P158" s="107" t="s">
        <v>504</v>
      </c>
      <c r="Q158" s="107" t="s">
        <v>107</v>
      </c>
      <c r="R158" s="107" t="n">
        <v>-0.14051462282368</v>
      </c>
      <c r="S158" s="107" t="n">
        <v>-0.017658771850829</v>
      </c>
      <c r="T158" s="107" t="n">
        <v>-496.34912036</v>
      </c>
      <c r="U158" s="107" t="n">
        <v>21069</v>
      </c>
      <c r="V158" s="108" t="s">
        <v>362</v>
      </c>
      <c r="W158" s="107" t="n">
        <v>34507</v>
      </c>
      <c r="X158" s="108" t="s">
        <v>372</v>
      </c>
      <c r="Y158" s="107" t="s">
        <v>618</v>
      </c>
      <c r="Z158" s="107" t="s">
        <v>622</v>
      </c>
      <c r="AA158" s="109" t="n">
        <v>46031</v>
      </c>
      <c r="AB158" s="107" t="n">
        <v>260109000001</v>
      </c>
      <c r="AC158" s="109" t="n">
        <v>45736</v>
      </c>
      <c r="AD158" s="109" t="n">
        <v>47562</v>
      </c>
      <c r="AE158" s="107" t="n">
        <v>5.2</v>
      </c>
      <c r="AF158" s="107" t="n">
        <v>2.4757</v>
      </c>
      <c r="AG158" s="107" t="n">
        <v>1267</v>
      </c>
      <c r="AH158" s="107" t="n">
        <v>20000000</v>
      </c>
      <c r="AI158" s="107" t="n">
        <v>4.229605</v>
      </c>
      <c r="AJ158" s="107" t="n">
        <v>101.093</v>
      </c>
      <c r="AK158" s="107" t="n">
        <v>4.84068</v>
      </c>
      <c r="AL158" s="107" t="n">
        <v>103.837444</v>
      </c>
      <c r="AM158" s="107" t="n">
        <v>5.6652</v>
      </c>
      <c r="AN158" s="107" t="n">
        <v>98.5226</v>
      </c>
      <c r="AO158" s="107" t="n">
        <v>1358.4</v>
      </c>
      <c r="AP158" s="107" t="n">
        <v>1</v>
      </c>
      <c r="AQ158" s="107" t="n">
        <v>19704520</v>
      </c>
      <c r="AR158" s="107" t="n">
        <v>26766619968</v>
      </c>
      <c r="AS158" s="107" t="n">
        <v>20218600</v>
      </c>
      <c r="AT158" s="107" t="n">
        <v>29230030020</v>
      </c>
      <c r="AU158" s="107" t="n">
        <v>-514080</v>
      </c>
      <c r="AV158" s="107" t="n">
        <v>-698326272</v>
      </c>
      <c r="AW158" s="107" t="n">
        <v>0</v>
      </c>
      <c r="AX158" s="107" t="n">
        <v>0</v>
      </c>
      <c r="AY158" s="107" t="n">
        <v>0</v>
      </c>
      <c r="AZ158" s="107" t="n">
        <v>0</v>
      </c>
      <c r="BA158" s="107" t="n">
        <v>0</v>
      </c>
      <c r="BB158" s="107" t="n">
        <v>0</v>
      </c>
      <c r="BC158" s="107" t="n">
        <v>0</v>
      </c>
      <c r="BD158" s="107" t="n">
        <v>0</v>
      </c>
      <c r="BE158" s="107" t="n">
        <v>548888.89</v>
      </c>
      <c r="BF158" s="107" t="n">
        <v>745610668</v>
      </c>
      <c r="BG158" s="107" t="n">
        <v>0</v>
      </c>
      <c r="BH158" s="107" t="n">
        <v>0</v>
      </c>
      <c r="BI158" s="107" t="n">
        <v>20218600</v>
      </c>
      <c r="BJ158" s="107" t="n">
        <v>29230030020</v>
      </c>
      <c r="BK158" s="107" t="n">
        <v>0</v>
      </c>
      <c r="BL158" s="107" t="n">
        <v>0</v>
      </c>
      <c r="BM158" s="107" t="n">
        <v>0</v>
      </c>
      <c r="BN158" s="107" t="n">
        <v>0</v>
      </c>
      <c r="BO158" s="2"/>
      <c r="BP158" s="2"/>
      <c r="BQ158" s="107" t="s">
        <v>367</v>
      </c>
      <c r="BR158" s="107" t="n">
        <v>-1765083780</v>
      </c>
      <c r="BS158" s="107" t="n">
        <v>0</v>
      </c>
      <c r="BT158" s="107" t="n">
        <v>0</v>
      </c>
      <c r="BU158" s="107" t="n">
        <v>0</v>
      </c>
      <c r="BV158" s="107" t="n">
        <v>0</v>
      </c>
      <c r="BW158" s="107" t="n">
        <v>548888.89</v>
      </c>
      <c r="BX158" s="107" t="n">
        <v>745610668</v>
      </c>
      <c r="BY158" s="107" t="n">
        <v>0</v>
      </c>
      <c r="BZ158" s="107" t="n">
        <v>0</v>
      </c>
      <c r="CA158" s="107" t="n">
        <v>1445.7</v>
      </c>
      <c r="CB158" s="2"/>
      <c r="CC158" s="107" t="n">
        <v>0</v>
      </c>
      <c r="CD158" s="107" t="n">
        <v>99.02</v>
      </c>
      <c r="CE158" s="107" t="n">
        <v>98.35</v>
      </c>
      <c r="CF158" s="107" t="n">
        <v>98.2</v>
      </c>
      <c r="CG158" s="107" t="n">
        <v>20000000</v>
      </c>
      <c r="CH158" s="107" t="n">
        <v>2.343</v>
      </c>
      <c r="CI158" s="107" t="n">
        <v>99.27</v>
      </c>
      <c r="CJ158" s="107" t="n">
        <v>100.05</v>
      </c>
      <c r="CK158" s="107" t="n">
        <v>99.96</v>
      </c>
      <c r="CL158" s="107" t="n">
        <v>0</v>
      </c>
    </row>
    <row r="159" customFormat="false" ht="15" hidden="false" customHeight="false" outlineLevel="0" collapsed="false">
      <c r="A159" s="107" t="s">
        <v>620</v>
      </c>
      <c r="B159" s="107" t="n">
        <v>98.1742</v>
      </c>
      <c r="C159" s="107" t="n">
        <v>5.8438</v>
      </c>
      <c r="D159" s="107" t="n">
        <v>2.4561</v>
      </c>
      <c r="E159" s="107" t="n">
        <v>-1205.6282631</v>
      </c>
      <c r="F159" s="108" t="s">
        <v>358</v>
      </c>
      <c r="G159" s="107" t="n">
        <v>2.4561</v>
      </c>
      <c r="H159" s="107" t="n">
        <v>-1205.6282631</v>
      </c>
      <c r="I159" s="109" t="n">
        <v>47305</v>
      </c>
      <c r="J159" s="107" t="n">
        <v>3</v>
      </c>
      <c r="K159" s="107" t="s">
        <v>359</v>
      </c>
      <c r="L159" s="107" t="s">
        <v>298</v>
      </c>
      <c r="M159" s="107" t="n">
        <v>12280500</v>
      </c>
      <c r="N159" s="107" t="n">
        <v>98.654</v>
      </c>
      <c r="O159" s="107" t="n">
        <v>4908710</v>
      </c>
      <c r="P159" s="107" t="s">
        <v>504</v>
      </c>
      <c r="Q159" s="107" t="s">
        <v>107</v>
      </c>
      <c r="R159" s="107" t="n">
        <v>-0.00486346220122854</v>
      </c>
      <c r="S159" s="107" t="n">
        <v>-0.00486346220122846</v>
      </c>
      <c r="T159" s="107" t="n">
        <v>-1240.8728009</v>
      </c>
      <c r="U159" s="107" t="n">
        <v>21069</v>
      </c>
      <c r="V159" s="108" t="s">
        <v>362</v>
      </c>
      <c r="W159" s="107" t="n">
        <v>34507</v>
      </c>
      <c r="X159" s="108" t="s">
        <v>372</v>
      </c>
      <c r="Y159" s="107" t="s">
        <v>620</v>
      </c>
      <c r="Z159" s="107" t="s">
        <v>623</v>
      </c>
      <c r="AA159" s="109" t="n">
        <v>46209</v>
      </c>
      <c r="AB159" s="107" t="n">
        <v>260706000002</v>
      </c>
      <c r="AC159" s="109" t="n">
        <v>46209</v>
      </c>
      <c r="AD159" s="109" t="n">
        <v>47305</v>
      </c>
      <c r="AE159" s="107" t="n">
        <v>5.125</v>
      </c>
      <c r="AF159" s="107" t="n">
        <v>2.5257</v>
      </c>
      <c r="AG159" s="107" t="n">
        <v>1010</v>
      </c>
      <c r="AH159" s="107" t="n">
        <v>3000000</v>
      </c>
      <c r="AI159" s="107" t="n">
        <v>5.152302</v>
      </c>
      <c r="AJ159" s="107" t="n">
        <v>99.925</v>
      </c>
      <c r="AK159" s="107" t="n">
        <v>5.151251</v>
      </c>
      <c r="AL159" s="107" t="n">
        <v>101.120833</v>
      </c>
      <c r="AM159" s="107" t="n">
        <v>5.7885</v>
      </c>
      <c r="AN159" s="107" t="n">
        <v>98.3138</v>
      </c>
      <c r="AO159" s="107" t="n">
        <v>1358.4</v>
      </c>
      <c r="AP159" s="107" t="n">
        <v>1</v>
      </c>
      <c r="AQ159" s="107" t="n">
        <v>2949414</v>
      </c>
      <c r="AR159" s="107" t="n">
        <v>4006483978</v>
      </c>
      <c r="AS159" s="107" t="n">
        <v>2997750</v>
      </c>
      <c r="AT159" s="107" t="n">
        <v>4641716100</v>
      </c>
      <c r="AU159" s="107" t="n">
        <v>-48336</v>
      </c>
      <c r="AV159" s="107" t="n">
        <v>-65659622</v>
      </c>
      <c r="AW159" s="107" t="n">
        <v>0</v>
      </c>
      <c r="AX159" s="107" t="n">
        <v>0</v>
      </c>
      <c r="AY159" s="107" t="n">
        <v>0</v>
      </c>
      <c r="AZ159" s="107" t="n">
        <v>0</v>
      </c>
      <c r="BA159" s="107" t="n">
        <v>0</v>
      </c>
      <c r="BB159" s="107" t="n">
        <v>0</v>
      </c>
      <c r="BC159" s="107" t="n">
        <v>0</v>
      </c>
      <c r="BD159" s="107" t="n">
        <v>0</v>
      </c>
      <c r="BE159" s="107" t="n">
        <v>35875</v>
      </c>
      <c r="BF159" s="107" t="n">
        <v>48732600</v>
      </c>
      <c r="BG159" s="107" t="n">
        <v>0</v>
      </c>
      <c r="BH159" s="107" t="n">
        <v>0</v>
      </c>
      <c r="BI159" s="107" t="n">
        <v>2997750</v>
      </c>
      <c r="BJ159" s="107" t="n">
        <v>4641716100</v>
      </c>
      <c r="BK159" s="107" t="n">
        <v>0</v>
      </c>
      <c r="BL159" s="107" t="n">
        <v>0</v>
      </c>
      <c r="BM159" s="107" t="n">
        <v>0</v>
      </c>
      <c r="BN159" s="107" t="n">
        <v>0</v>
      </c>
      <c r="BO159" s="2"/>
      <c r="BP159" s="2"/>
      <c r="BQ159" s="107" t="s">
        <v>107</v>
      </c>
      <c r="BR159" s="107" t="n">
        <v>-569572500</v>
      </c>
      <c r="BS159" s="107" t="n">
        <v>0</v>
      </c>
      <c r="BT159" s="107" t="n">
        <v>0</v>
      </c>
      <c r="BU159" s="107" t="n">
        <v>0</v>
      </c>
      <c r="BV159" s="107" t="n">
        <v>0</v>
      </c>
      <c r="BW159" s="107" t="n">
        <v>35875</v>
      </c>
      <c r="BX159" s="107" t="n">
        <v>48732600</v>
      </c>
      <c r="BY159" s="107" t="n">
        <v>0</v>
      </c>
      <c r="BZ159" s="107" t="n">
        <v>0</v>
      </c>
      <c r="CA159" s="107" t="n">
        <v>1548.4</v>
      </c>
      <c r="CB159" s="2"/>
      <c r="CC159" s="107" t="n">
        <v>0</v>
      </c>
      <c r="CD159" s="107" t="n">
        <v>98.3</v>
      </c>
      <c r="CE159" s="107" t="n">
        <v>98.33</v>
      </c>
      <c r="CF159" s="107" t="n">
        <v>98.31</v>
      </c>
      <c r="CG159" s="107" t="n">
        <v>0</v>
      </c>
      <c r="CH159" s="107" t="n">
        <v>2.4547</v>
      </c>
      <c r="CI159" s="107" t="n">
        <v>99.27</v>
      </c>
      <c r="CJ159" s="107" t="n">
        <v>100.05</v>
      </c>
      <c r="CK159" s="107" t="n">
        <v>99.96</v>
      </c>
      <c r="CL159" s="107" t="n">
        <v>500000</v>
      </c>
    </row>
    <row r="160" customFormat="false" ht="15" hidden="false" customHeight="false" outlineLevel="0" collapsed="false">
      <c r="A160" s="107" t="s">
        <v>521</v>
      </c>
      <c r="B160" s="107" t="n">
        <v>98.0015</v>
      </c>
      <c r="C160" s="107" t="n">
        <v>5.6662</v>
      </c>
      <c r="D160" s="107" t="n">
        <v>2.4481</v>
      </c>
      <c r="E160" s="107" t="n">
        <v>-239.91747215</v>
      </c>
      <c r="F160" s="108" t="s">
        <v>358</v>
      </c>
      <c r="G160" s="107" t="n">
        <v>2.4481</v>
      </c>
      <c r="H160" s="107" t="n">
        <v>-239.91747215</v>
      </c>
      <c r="I160" s="109" t="n">
        <v>47298</v>
      </c>
      <c r="J160" s="107" t="n">
        <v>3</v>
      </c>
      <c r="K160" s="107" t="s">
        <v>359</v>
      </c>
      <c r="L160" s="107" t="s">
        <v>298</v>
      </c>
      <c r="M160" s="107" t="n">
        <v>2448100</v>
      </c>
      <c r="N160" s="107" t="n">
        <v>99.829</v>
      </c>
      <c r="O160" s="107" t="n">
        <v>980015</v>
      </c>
      <c r="P160" s="107" t="s">
        <v>520</v>
      </c>
      <c r="Q160" s="107" t="s">
        <v>374</v>
      </c>
      <c r="R160" s="107" t="n">
        <v>-0.130225780547277</v>
      </c>
      <c r="S160" s="107" t="n">
        <v>-0.0183063037794629</v>
      </c>
      <c r="T160" s="107" t="n">
        <v>-246.71877625</v>
      </c>
      <c r="U160" s="107" t="n">
        <v>21069</v>
      </c>
      <c r="V160" s="108" t="s">
        <v>362</v>
      </c>
      <c r="W160" s="107" t="n">
        <v>34507</v>
      </c>
      <c r="X160" s="108" t="s">
        <v>372</v>
      </c>
      <c r="Y160" s="107" t="s">
        <v>620</v>
      </c>
      <c r="Z160" s="107" t="s">
        <v>623</v>
      </c>
      <c r="AA160" s="109" t="n">
        <v>46210</v>
      </c>
      <c r="AB160" s="107" t="n">
        <v>260707000001</v>
      </c>
      <c r="AC160" s="109" t="n">
        <v>46209</v>
      </c>
      <c r="AD160" s="109" t="n">
        <v>47305</v>
      </c>
      <c r="AE160" s="107" t="n">
        <v>5.125</v>
      </c>
      <c r="AF160" s="107" t="n">
        <v>2.5257</v>
      </c>
      <c r="AG160" s="107" t="n">
        <v>1010</v>
      </c>
      <c r="AH160" s="107" t="n">
        <v>2000000</v>
      </c>
      <c r="AI160" s="107" t="n">
        <v>5.147157</v>
      </c>
      <c r="AJ160" s="107" t="n">
        <v>99.939</v>
      </c>
      <c r="AK160" s="107" t="n">
        <v>5.145758</v>
      </c>
      <c r="AL160" s="107" t="n">
        <v>101.134833</v>
      </c>
      <c r="AM160" s="107" t="n">
        <v>5.7885</v>
      </c>
      <c r="AN160" s="107" t="n">
        <v>98.3138</v>
      </c>
      <c r="AO160" s="107" t="n">
        <v>1358.4</v>
      </c>
      <c r="AP160" s="107" t="n">
        <v>1</v>
      </c>
      <c r="AQ160" s="107" t="n">
        <v>1966276</v>
      </c>
      <c r="AR160" s="107" t="n">
        <v>2670989318</v>
      </c>
      <c r="AS160" s="107" t="n">
        <v>1998780</v>
      </c>
      <c r="AT160" s="107" t="n">
        <v>3106903632</v>
      </c>
      <c r="AU160" s="107" t="n">
        <v>-32504</v>
      </c>
      <c r="AV160" s="107" t="n">
        <v>-44153434</v>
      </c>
      <c r="AW160" s="107" t="n">
        <v>284.72</v>
      </c>
      <c r="AX160" s="107" t="n">
        <v>442568</v>
      </c>
      <c r="AY160" s="107" t="n">
        <v>0</v>
      </c>
      <c r="AZ160" s="107" t="n">
        <v>0</v>
      </c>
      <c r="BA160" s="107" t="n">
        <v>0</v>
      </c>
      <c r="BB160" s="107" t="n">
        <v>0</v>
      </c>
      <c r="BC160" s="107" t="n">
        <v>0</v>
      </c>
      <c r="BD160" s="107" t="n">
        <v>0</v>
      </c>
      <c r="BE160" s="107" t="n">
        <v>23631.95</v>
      </c>
      <c r="BF160" s="107" t="n">
        <v>32101640</v>
      </c>
      <c r="BG160" s="107" t="n">
        <v>0</v>
      </c>
      <c r="BH160" s="107" t="n">
        <v>0</v>
      </c>
      <c r="BI160" s="107" t="n">
        <v>1998780</v>
      </c>
      <c r="BJ160" s="107" t="n">
        <v>3106903632</v>
      </c>
      <c r="BK160" s="107" t="n">
        <v>0</v>
      </c>
      <c r="BL160" s="107" t="n">
        <v>0</v>
      </c>
      <c r="BM160" s="107" t="n">
        <v>0</v>
      </c>
      <c r="BN160" s="107" t="n">
        <v>0</v>
      </c>
      <c r="BO160" s="2"/>
      <c r="BP160" s="2"/>
      <c r="BQ160" s="107" t="s">
        <v>107</v>
      </c>
      <c r="BR160" s="107" t="n">
        <v>-391760880</v>
      </c>
      <c r="BS160" s="107" t="n">
        <v>-55804</v>
      </c>
      <c r="BT160" s="107" t="n">
        <v>0</v>
      </c>
      <c r="BU160" s="107" t="n">
        <v>0</v>
      </c>
      <c r="BV160" s="107" t="n">
        <v>0</v>
      </c>
      <c r="BW160" s="107" t="n">
        <v>23916.67</v>
      </c>
      <c r="BX160" s="107" t="n">
        <v>32488404</v>
      </c>
      <c r="BY160" s="107" t="n">
        <v>0</v>
      </c>
      <c r="BZ160" s="107" t="n">
        <v>0</v>
      </c>
      <c r="CA160" s="107" t="n">
        <v>1554.4</v>
      </c>
      <c r="CB160" s="2"/>
      <c r="CC160" s="107" t="n">
        <v>0</v>
      </c>
      <c r="CD160" s="107" t="n">
        <v>98.3</v>
      </c>
      <c r="CE160" s="107" t="n">
        <v>98.33</v>
      </c>
      <c r="CF160" s="107" t="n">
        <v>98.31</v>
      </c>
      <c r="CG160" s="107" t="n">
        <v>0</v>
      </c>
      <c r="CH160" s="107" t="n">
        <v>2.4547</v>
      </c>
      <c r="CI160" s="107" t="n">
        <v>99.5</v>
      </c>
      <c r="CJ160" s="107" t="n">
        <v>99.69</v>
      </c>
      <c r="CK160" s="107" t="n">
        <v>99.6</v>
      </c>
      <c r="CL160" s="107" t="n">
        <v>3000000</v>
      </c>
    </row>
    <row r="161" customFormat="false" ht="15" hidden="false" customHeight="false" outlineLevel="0" collapsed="false">
      <c r="A161" s="107" t="s">
        <v>624</v>
      </c>
      <c r="B161" s="107" t="n">
        <v>98.3013</v>
      </c>
      <c r="C161" s="107" t="n">
        <v>5.6553</v>
      </c>
      <c r="D161" s="107" t="n">
        <v>2.5215</v>
      </c>
      <c r="E161" s="107" t="n">
        <v>-49.57334559</v>
      </c>
      <c r="F161" s="108" t="s">
        <v>358</v>
      </c>
      <c r="G161" s="107" t="n">
        <v>2.5215</v>
      </c>
      <c r="H161" s="107" t="n">
        <v>-49.57334559</v>
      </c>
      <c r="I161" s="109" t="n">
        <v>47326</v>
      </c>
      <c r="J161" s="107" t="n">
        <v>3</v>
      </c>
      <c r="K161" s="107" t="s">
        <v>359</v>
      </c>
      <c r="L161" s="107" t="s">
        <v>298</v>
      </c>
      <c r="M161" s="107" t="n">
        <v>504300</v>
      </c>
      <c r="N161" s="107" t="n">
        <v>99.791</v>
      </c>
      <c r="O161" s="107" t="n">
        <v>196602.6</v>
      </c>
      <c r="P161" s="107" t="s">
        <v>625</v>
      </c>
      <c r="Q161" s="107" t="s">
        <v>374</v>
      </c>
      <c r="R161" s="107" t="n">
        <v>-0.0974212417988925</v>
      </c>
      <c r="S161" s="107" t="n">
        <v>-0.0149281999378701</v>
      </c>
      <c r="T161" s="107" t="n">
        <v>-50.975122128</v>
      </c>
      <c r="U161" s="107" t="n">
        <v>21069</v>
      </c>
      <c r="V161" s="108" t="s">
        <v>362</v>
      </c>
      <c r="W161" s="107" t="n">
        <v>34507</v>
      </c>
      <c r="X161" s="108" t="s">
        <v>372</v>
      </c>
      <c r="Y161" s="107" t="s">
        <v>620</v>
      </c>
      <c r="Z161" s="107" t="s">
        <v>623</v>
      </c>
      <c r="AA161" s="109" t="n">
        <v>46293</v>
      </c>
      <c r="AB161" s="107" t="n">
        <v>260928000001</v>
      </c>
      <c r="AC161" s="109" t="n">
        <v>46209</v>
      </c>
      <c r="AD161" s="109" t="n">
        <v>47305</v>
      </c>
      <c r="AE161" s="107" t="n">
        <v>5.125</v>
      </c>
      <c r="AF161" s="107" t="n">
        <v>2.5257</v>
      </c>
      <c r="AG161" s="107" t="n">
        <v>1010</v>
      </c>
      <c r="AH161" s="107" t="n">
        <v>5000000</v>
      </c>
      <c r="AI161" s="107" t="n">
        <v>5.652889</v>
      </c>
      <c r="AJ161" s="107" t="n">
        <v>98.654</v>
      </c>
      <c r="AK161" s="107" t="n">
        <v>5.653863</v>
      </c>
      <c r="AL161" s="107" t="n">
        <v>99.849833</v>
      </c>
      <c r="AM161" s="107" t="n">
        <v>5.7885</v>
      </c>
      <c r="AN161" s="107" t="n">
        <v>98.3138</v>
      </c>
      <c r="AO161" s="107" t="n">
        <v>1358.4</v>
      </c>
      <c r="AP161" s="107" t="n">
        <v>1</v>
      </c>
      <c r="AQ161" s="107" t="n">
        <v>4915690</v>
      </c>
      <c r="AR161" s="107" t="n">
        <v>6677473296</v>
      </c>
      <c r="AS161" s="107" t="n">
        <v>4932700</v>
      </c>
      <c r="AT161" s="107" t="n">
        <v>6708472000</v>
      </c>
      <c r="AU161" s="107" t="n">
        <v>-17010</v>
      </c>
      <c r="AV161" s="107" t="n">
        <v>-23106384</v>
      </c>
      <c r="AW161" s="107" t="n">
        <v>58368.06</v>
      </c>
      <c r="AX161" s="107" t="n">
        <v>79380561</v>
      </c>
      <c r="AY161" s="107" t="n">
        <v>0</v>
      </c>
      <c r="AZ161" s="107" t="n">
        <v>0</v>
      </c>
      <c r="BA161" s="107" t="n">
        <v>0</v>
      </c>
      <c r="BB161" s="107" t="n">
        <v>0</v>
      </c>
      <c r="BC161" s="107" t="n">
        <v>0</v>
      </c>
      <c r="BD161" s="107" t="n">
        <v>0</v>
      </c>
      <c r="BE161" s="107" t="n">
        <v>1423.61</v>
      </c>
      <c r="BF161" s="107" t="n">
        <v>1933831</v>
      </c>
      <c r="BG161" s="107" t="n">
        <v>0</v>
      </c>
      <c r="BH161" s="107" t="n">
        <v>0</v>
      </c>
      <c r="BI161" s="107" t="n">
        <v>4932700</v>
      </c>
      <c r="BJ161" s="107" t="n">
        <v>6708472000</v>
      </c>
      <c r="BK161" s="107" t="n">
        <v>0</v>
      </c>
      <c r="BL161" s="107" t="n">
        <v>0</v>
      </c>
      <c r="BM161" s="107" t="n">
        <v>0</v>
      </c>
      <c r="BN161" s="107" t="n">
        <v>0</v>
      </c>
      <c r="BO161" s="2"/>
      <c r="BP161" s="2"/>
      <c r="BQ161" s="107" t="s">
        <v>107</v>
      </c>
      <c r="BR161" s="107" t="n">
        <v>-7892320</v>
      </c>
      <c r="BS161" s="107" t="n">
        <v>-93388</v>
      </c>
      <c r="BT161" s="107" t="n">
        <v>0</v>
      </c>
      <c r="BU161" s="107" t="n">
        <v>0</v>
      </c>
      <c r="BV161" s="107" t="n">
        <v>0</v>
      </c>
      <c r="BW161" s="107" t="n">
        <v>59791.67</v>
      </c>
      <c r="BX161" s="107" t="n">
        <v>81221004</v>
      </c>
      <c r="BY161" s="107" t="n">
        <v>0</v>
      </c>
      <c r="BZ161" s="107" t="n">
        <v>0</v>
      </c>
      <c r="CA161" s="107" t="n">
        <v>1360</v>
      </c>
      <c r="CB161" s="2"/>
      <c r="CC161" s="107" t="n">
        <v>0</v>
      </c>
      <c r="CD161" s="107" t="n">
        <v>98.3</v>
      </c>
      <c r="CE161" s="107" t="n">
        <v>98.33</v>
      </c>
      <c r="CF161" s="107" t="n">
        <v>98.31</v>
      </c>
      <c r="CG161" s="107" t="n">
        <v>5000000</v>
      </c>
      <c r="CH161" s="107" t="n">
        <v>2.4547</v>
      </c>
      <c r="CI161" s="107" t="n">
        <v>97.98</v>
      </c>
      <c r="CJ161" s="107" t="n">
        <v>99.25</v>
      </c>
      <c r="CK161" s="107" t="n">
        <v>99.19</v>
      </c>
      <c r="CL161" s="107" t="n">
        <v>0</v>
      </c>
    </row>
    <row r="162" customFormat="false" ht="15" hidden="false" customHeight="false" outlineLevel="0" collapsed="false">
      <c r="A162" s="107" t="s">
        <v>626</v>
      </c>
      <c r="B162" s="107" t="n">
        <v>98.3572</v>
      </c>
      <c r="C162" s="107" t="n">
        <v>5.4813</v>
      </c>
      <c r="D162" s="107" t="n">
        <v>2.6676</v>
      </c>
      <c r="E162" s="107" t="n">
        <v>-52.475533344</v>
      </c>
      <c r="F162" s="108" t="s">
        <v>358</v>
      </c>
      <c r="G162" s="107" t="n">
        <v>2.6676</v>
      </c>
      <c r="H162" s="107" t="n">
        <v>-52.475533344</v>
      </c>
      <c r="I162" s="109" t="n">
        <v>47378</v>
      </c>
      <c r="J162" s="107" t="n">
        <v>3</v>
      </c>
      <c r="K162" s="107" t="s">
        <v>359</v>
      </c>
      <c r="L162" s="107" t="s">
        <v>298</v>
      </c>
      <c r="M162" s="107" t="n">
        <v>533520</v>
      </c>
      <c r="N162" s="107" t="n">
        <v>99.719</v>
      </c>
      <c r="O162" s="107" t="n">
        <v>196714.4</v>
      </c>
      <c r="P162" s="107" t="s">
        <v>627</v>
      </c>
      <c r="Q162" s="107" t="s">
        <v>364</v>
      </c>
      <c r="R162" s="107" t="n">
        <v>0.000244079346653843</v>
      </c>
      <c r="S162" s="107" t="n">
        <v>-0.0136563744120979</v>
      </c>
      <c r="T162" s="107" t="n">
        <v>-53.913515608</v>
      </c>
      <c r="U162" s="107" t="n">
        <v>21069</v>
      </c>
      <c r="V162" s="108" t="s">
        <v>362</v>
      </c>
      <c r="W162" s="107" t="n">
        <v>34507</v>
      </c>
      <c r="X162" s="108" t="s">
        <v>372</v>
      </c>
      <c r="Y162" s="107" t="s">
        <v>521</v>
      </c>
      <c r="Z162" s="107" t="s">
        <v>527</v>
      </c>
      <c r="AA162" s="109" t="n">
        <v>46202</v>
      </c>
      <c r="AB162" s="107" t="n">
        <v>260629000002</v>
      </c>
      <c r="AC162" s="109" t="n">
        <v>46202</v>
      </c>
      <c r="AD162" s="109" t="n">
        <v>47298</v>
      </c>
      <c r="AE162" s="107" t="n">
        <v>4.875</v>
      </c>
      <c r="AF162" s="107" t="n">
        <v>2.5152</v>
      </c>
      <c r="AG162" s="107" t="n">
        <v>1003</v>
      </c>
      <c r="AH162" s="107" t="n">
        <v>1000000</v>
      </c>
      <c r="AI162" s="107" t="n">
        <v>4.93702</v>
      </c>
      <c r="AJ162" s="107" t="n">
        <v>99.829</v>
      </c>
      <c r="AK162" s="107" t="n">
        <v>4.933685</v>
      </c>
      <c r="AL162" s="107" t="n">
        <v>101.075802</v>
      </c>
      <c r="AM162" s="107" t="n">
        <v>5.6143</v>
      </c>
      <c r="AN162" s="107" t="n">
        <v>98.1322</v>
      </c>
      <c r="AO162" s="107" t="n">
        <v>1358.4</v>
      </c>
      <c r="AP162" s="107" t="n">
        <v>1</v>
      </c>
      <c r="AQ162" s="107" t="n">
        <v>981322</v>
      </c>
      <c r="AR162" s="107" t="n">
        <v>1333027805</v>
      </c>
      <c r="AS162" s="107" t="n">
        <v>998290</v>
      </c>
      <c r="AT162" s="107" t="n">
        <v>1532375150</v>
      </c>
      <c r="AU162" s="107" t="n">
        <v>-16968</v>
      </c>
      <c r="AV162" s="107" t="n">
        <v>-23049331</v>
      </c>
      <c r="AW162" s="107" t="n">
        <v>0</v>
      </c>
      <c r="AX162" s="107" t="n">
        <v>0</v>
      </c>
      <c r="AY162" s="107" t="n">
        <v>0</v>
      </c>
      <c r="AZ162" s="107" t="n">
        <v>0</v>
      </c>
      <c r="BA162" s="107" t="n">
        <v>0</v>
      </c>
      <c r="BB162" s="107" t="n">
        <v>0</v>
      </c>
      <c r="BC162" s="107" t="n">
        <v>0</v>
      </c>
      <c r="BD162" s="107" t="n">
        <v>0</v>
      </c>
      <c r="BE162" s="107" t="n">
        <v>12322.92</v>
      </c>
      <c r="BF162" s="107" t="n">
        <v>16739454</v>
      </c>
      <c r="BG162" s="107" t="n">
        <v>145.1</v>
      </c>
      <c r="BH162" s="107" t="n">
        <v>197103</v>
      </c>
      <c r="BI162" s="107" t="n">
        <v>998290</v>
      </c>
      <c r="BJ162" s="107" t="n">
        <v>1532375150</v>
      </c>
      <c r="BK162" s="107" t="n">
        <v>0</v>
      </c>
      <c r="BL162" s="107" t="n">
        <v>0</v>
      </c>
      <c r="BM162" s="107" t="n">
        <v>0</v>
      </c>
      <c r="BN162" s="107" t="n">
        <v>0</v>
      </c>
      <c r="BO162" s="107" t="s">
        <v>374</v>
      </c>
      <c r="BP162" s="2"/>
      <c r="BQ162" s="107" t="s">
        <v>369</v>
      </c>
      <c r="BR162" s="107" t="n">
        <v>-176298014</v>
      </c>
      <c r="BS162" s="107" t="n">
        <v>0</v>
      </c>
      <c r="BT162" s="107" t="n">
        <v>0</v>
      </c>
      <c r="BU162" s="107" t="n">
        <v>0</v>
      </c>
      <c r="BV162" s="107" t="n">
        <v>0</v>
      </c>
      <c r="BW162" s="107" t="n">
        <v>12322.92</v>
      </c>
      <c r="BX162" s="107" t="n">
        <v>16739454</v>
      </c>
      <c r="BY162" s="107" t="n">
        <v>145.1</v>
      </c>
      <c r="BZ162" s="107" t="n">
        <v>197103</v>
      </c>
      <c r="CA162" s="107" t="n">
        <v>1535</v>
      </c>
      <c r="CB162" s="2"/>
      <c r="CC162" s="107" t="n">
        <v>0</v>
      </c>
      <c r="CD162" s="107" t="n">
        <v>98.18</v>
      </c>
      <c r="CE162" s="107" t="n">
        <v>98.04</v>
      </c>
      <c r="CF162" s="107" t="n">
        <v>98.18</v>
      </c>
      <c r="CG162" s="107" t="n">
        <v>1000000</v>
      </c>
      <c r="CH162" s="107" t="n">
        <v>2.4465</v>
      </c>
      <c r="CI162" s="107" t="n">
        <v>99.6</v>
      </c>
      <c r="CJ162" s="107" t="n">
        <v>99.75</v>
      </c>
      <c r="CK162" s="107" t="n">
        <v>99.93</v>
      </c>
      <c r="CL162" s="107" t="n">
        <v>0</v>
      </c>
    </row>
    <row r="163" customFormat="false" ht="15" hidden="false" customHeight="false" outlineLevel="0" collapsed="false">
      <c r="A163" s="107" t="s">
        <v>628</v>
      </c>
      <c r="B163" s="107" t="n">
        <v>96.9419</v>
      </c>
      <c r="C163" s="107" t="n">
        <v>5.6442</v>
      </c>
      <c r="D163" s="107" t="n">
        <v>2.3424</v>
      </c>
      <c r="E163" s="107" t="n">
        <v>-18166.1365248</v>
      </c>
      <c r="F163" s="108" t="s">
        <v>358</v>
      </c>
      <c r="G163" s="107" t="n">
        <v>2.3424</v>
      </c>
      <c r="H163" s="107" t="n">
        <v>-18166.1365248</v>
      </c>
      <c r="I163" s="109" t="n">
        <v>47220</v>
      </c>
      <c r="J163" s="107" t="n">
        <v>3</v>
      </c>
      <c r="K163" s="107" t="s">
        <v>359</v>
      </c>
      <c r="L163" s="107" t="s">
        <v>298</v>
      </c>
      <c r="M163" s="107" t="n">
        <v>187392000</v>
      </c>
      <c r="N163" s="107" t="n">
        <v>100</v>
      </c>
      <c r="O163" s="107" t="n">
        <v>77553520</v>
      </c>
      <c r="P163" s="107" t="s">
        <v>629</v>
      </c>
      <c r="Q163" s="107" t="s">
        <v>377</v>
      </c>
      <c r="R163" s="107" t="n">
        <v>-0.0935025852585259</v>
      </c>
      <c r="S163" s="107" t="n">
        <v>-0.030581</v>
      </c>
      <c r="T163" s="107" t="n">
        <v>-18422.838676</v>
      </c>
      <c r="U163" s="107" t="n">
        <v>21069</v>
      </c>
      <c r="V163" s="108" t="s">
        <v>362</v>
      </c>
      <c r="W163" s="107" t="n">
        <v>34507</v>
      </c>
      <c r="X163" s="108" t="s">
        <v>372</v>
      </c>
      <c r="Y163" s="107" t="s">
        <v>624</v>
      </c>
      <c r="Z163" s="107" t="s">
        <v>630</v>
      </c>
      <c r="AA163" s="109" t="n">
        <v>46230</v>
      </c>
      <c r="AB163" s="107" t="n">
        <v>260727000001</v>
      </c>
      <c r="AC163" s="109" t="n">
        <v>46230</v>
      </c>
      <c r="AD163" s="109" t="n">
        <v>47326</v>
      </c>
      <c r="AE163" s="107" t="n">
        <v>5</v>
      </c>
      <c r="AF163" s="107" t="n">
        <v>2.5906</v>
      </c>
      <c r="AG163" s="107" t="n">
        <v>1031</v>
      </c>
      <c r="AH163" s="107" t="n">
        <v>200000</v>
      </c>
      <c r="AI163" s="107" t="n">
        <v>5.075984</v>
      </c>
      <c r="AJ163" s="107" t="n">
        <v>99.791</v>
      </c>
      <c r="AK163" s="107" t="n">
        <v>5.072843</v>
      </c>
      <c r="AL163" s="107" t="n">
        <v>100.678395</v>
      </c>
      <c r="AM163" s="107" t="n">
        <v>5.6005</v>
      </c>
      <c r="AN163" s="107" t="n">
        <v>98.4426</v>
      </c>
      <c r="AO163" s="107" t="n">
        <v>1358.4</v>
      </c>
      <c r="AP163" s="107" t="n">
        <v>1</v>
      </c>
      <c r="AQ163" s="107" t="n">
        <v>196885.2</v>
      </c>
      <c r="AR163" s="107" t="n">
        <v>267448856</v>
      </c>
      <c r="AS163" s="107" t="n">
        <v>199582</v>
      </c>
      <c r="AT163" s="107" t="n">
        <v>296239562</v>
      </c>
      <c r="AU163" s="107" t="n">
        <v>-2696.8</v>
      </c>
      <c r="AV163" s="107" t="n">
        <v>-3663333</v>
      </c>
      <c r="AW163" s="107" t="n">
        <v>0</v>
      </c>
      <c r="AX163" s="107" t="n">
        <v>0</v>
      </c>
      <c r="AY163" s="107" t="n">
        <v>0</v>
      </c>
      <c r="AZ163" s="107" t="n">
        <v>0</v>
      </c>
      <c r="BA163" s="107" t="n">
        <v>0</v>
      </c>
      <c r="BB163" s="107" t="n">
        <v>0</v>
      </c>
      <c r="BC163" s="107" t="n">
        <v>0</v>
      </c>
      <c r="BD163" s="107" t="n">
        <v>0</v>
      </c>
      <c r="BE163" s="107" t="n">
        <v>1750</v>
      </c>
      <c r="BF163" s="107" t="n">
        <v>2377200</v>
      </c>
      <c r="BG163" s="107" t="n">
        <v>24.79</v>
      </c>
      <c r="BH163" s="107" t="n">
        <v>33674</v>
      </c>
      <c r="BI163" s="107" t="n">
        <v>199582</v>
      </c>
      <c r="BJ163" s="107" t="n">
        <v>296239562</v>
      </c>
      <c r="BK163" s="107" t="n">
        <v>0</v>
      </c>
      <c r="BL163" s="107" t="n">
        <v>0</v>
      </c>
      <c r="BM163" s="107" t="n">
        <v>0</v>
      </c>
      <c r="BN163" s="107" t="n">
        <v>0</v>
      </c>
      <c r="BO163" s="107" t="s">
        <v>374</v>
      </c>
      <c r="BP163" s="2"/>
      <c r="BQ163" s="107" t="s">
        <v>369</v>
      </c>
      <c r="BR163" s="107" t="n">
        <v>-25127373</v>
      </c>
      <c r="BS163" s="107" t="n">
        <v>0</v>
      </c>
      <c r="BT163" s="107" t="n">
        <v>0</v>
      </c>
      <c r="BU163" s="107" t="n">
        <v>0</v>
      </c>
      <c r="BV163" s="107" t="n">
        <v>0</v>
      </c>
      <c r="BW163" s="107" t="n">
        <v>1750</v>
      </c>
      <c r="BX163" s="107" t="n">
        <v>2377200</v>
      </c>
      <c r="BY163" s="107" t="n">
        <v>24.79</v>
      </c>
      <c r="BZ163" s="107" t="n">
        <v>33674</v>
      </c>
      <c r="CA163" s="107" t="n">
        <v>1484.3</v>
      </c>
      <c r="CB163" s="2"/>
      <c r="CC163" s="107" t="n">
        <v>0</v>
      </c>
      <c r="CD163" s="107" t="n">
        <v>98.45</v>
      </c>
      <c r="CE163" s="107" t="n">
        <v>98.44</v>
      </c>
      <c r="CF163" s="107" t="n">
        <v>98.44</v>
      </c>
      <c r="CG163" s="107" t="n">
        <v>200000</v>
      </c>
      <c r="CH163" s="107" t="n">
        <v>2.52</v>
      </c>
      <c r="CI163" s="107" t="n">
        <v>99.68</v>
      </c>
      <c r="CJ163" s="107" t="n">
        <v>99.73</v>
      </c>
      <c r="CK163" s="107" t="n">
        <v>99.93</v>
      </c>
      <c r="CL163" s="107" t="n">
        <v>0</v>
      </c>
    </row>
    <row r="164" customFormat="false" ht="15" hidden="false" customHeight="false" outlineLevel="0" collapsed="false">
      <c r="A164" s="107" t="s">
        <v>631</v>
      </c>
      <c r="B164" s="107" t="n">
        <v>98.711</v>
      </c>
      <c r="C164" s="107" t="n">
        <v>5.1011</v>
      </c>
      <c r="D164" s="107" t="n">
        <v>2.0812</v>
      </c>
      <c r="E164" s="107" t="n">
        <v>-205.4373332</v>
      </c>
      <c r="F164" s="108" t="s">
        <v>358</v>
      </c>
      <c r="G164" s="107" t="n">
        <v>2.0812</v>
      </c>
      <c r="H164" s="107" t="n">
        <v>-205.4373332</v>
      </c>
      <c r="I164" s="109" t="n">
        <v>47129</v>
      </c>
      <c r="J164" s="107" t="n">
        <v>3</v>
      </c>
      <c r="K164" s="107" t="s">
        <v>359</v>
      </c>
      <c r="L164" s="107" t="s">
        <v>298</v>
      </c>
      <c r="M164" s="107" t="n">
        <v>2081200</v>
      </c>
      <c r="N164" s="107" t="n">
        <v>99.175</v>
      </c>
      <c r="O164" s="107" t="n">
        <v>987110</v>
      </c>
      <c r="P164" s="107" t="s">
        <v>360</v>
      </c>
      <c r="Q164" s="107" t="s">
        <v>364</v>
      </c>
      <c r="R164" s="107" t="n">
        <v>-0.0804329364699342</v>
      </c>
      <c r="S164" s="107" t="n">
        <v>-0.00467859843710616</v>
      </c>
      <c r="T164" s="107" t="n">
        <v>-210.6788873</v>
      </c>
      <c r="U164" s="107" t="n">
        <v>21069</v>
      </c>
      <c r="V164" s="108" t="s">
        <v>362</v>
      </c>
      <c r="W164" s="107" t="n">
        <v>34507</v>
      </c>
      <c r="X164" s="108" t="s">
        <v>372</v>
      </c>
      <c r="Y164" s="107" t="s">
        <v>626</v>
      </c>
      <c r="Z164" s="107" t="s">
        <v>632</v>
      </c>
      <c r="AA164" s="109" t="n">
        <v>46282</v>
      </c>
      <c r="AB164" s="107" t="n">
        <v>260917000001</v>
      </c>
      <c r="AC164" s="109" t="n">
        <v>46282</v>
      </c>
      <c r="AD164" s="109" t="n">
        <v>47378</v>
      </c>
      <c r="AE164" s="107" t="n">
        <v>4.875</v>
      </c>
      <c r="AF164" s="107" t="n">
        <v>2.7387</v>
      </c>
      <c r="AG164" s="107" t="n">
        <v>1083</v>
      </c>
      <c r="AH164" s="107" t="n">
        <v>200000</v>
      </c>
      <c r="AI164" s="107" t="n">
        <v>4.976992</v>
      </c>
      <c r="AJ164" s="107" t="n">
        <v>99.719</v>
      </c>
      <c r="AK164" s="107" t="n">
        <v>4.976187</v>
      </c>
      <c r="AL164" s="107" t="n">
        <v>99.89837</v>
      </c>
      <c r="AM164" s="107" t="n">
        <v>5.418</v>
      </c>
      <c r="AN164" s="107" t="n">
        <v>98.5278</v>
      </c>
      <c r="AO164" s="107" t="n">
        <v>1358.4</v>
      </c>
      <c r="AP164" s="107" t="n">
        <v>1</v>
      </c>
      <c r="AQ164" s="107" t="n">
        <v>197055.6</v>
      </c>
      <c r="AR164" s="107" t="n">
        <v>267680327</v>
      </c>
      <c r="AS164" s="107" t="n">
        <v>199438</v>
      </c>
      <c r="AT164" s="107" t="n">
        <v>267466301</v>
      </c>
      <c r="AU164" s="107" t="n">
        <v>-2382.4</v>
      </c>
      <c r="AV164" s="107" t="n">
        <v>-3236252</v>
      </c>
      <c r="AW164" s="107" t="n">
        <v>0</v>
      </c>
      <c r="AX164" s="107" t="n">
        <v>0</v>
      </c>
      <c r="AY164" s="107" t="n">
        <v>0</v>
      </c>
      <c r="AZ164" s="107" t="n">
        <v>0</v>
      </c>
      <c r="BA164" s="107" t="n">
        <v>0</v>
      </c>
      <c r="BB164" s="107" t="n">
        <v>0</v>
      </c>
      <c r="BC164" s="107" t="n">
        <v>0</v>
      </c>
      <c r="BD164" s="107" t="n">
        <v>0</v>
      </c>
      <c r="BE164" s="107" t="n">
        <v>352.08</v>
      </c>
      <c r="BF164" s="107" t="n">
        <v>478265</v>
      </c>
      <c r="BG164" s="107" t="n">
        <v>6.66</v>
      </c>
      <c r="BH164" s="107" t="n">
        <v>9046</v>
      </c>
      <c r="BI164" s="107" t="n">
        <v>199438</v>
      </c>
      <c r="BJ164" s="107" t="n">
        <v>267466301</v>
      </c>
      <c r="BK164" s="107" t="n">
        <v>0</v>
      </c>
      <c r="BL164" s="107" t="n">
        <v>0</v>
      </c>
      <c r="BM164" s="107" t="n">
        <v>0</v>
      </c>
      <c r="BN164" s="107" t="n">
        <v>0</v>
      </c>
      <c r="BO164" s="2"/>
      <c r="BP164" s="2"/>
      <c r="BQ164" s="107" t="s">
        <v>369</v>
      </c>
      <c r="BR164" s="107" t="n">
        <v>3450278</v>
      </c>
      <c r="BS164" s="107" t="n">
        <v>0</v>
      </c>
      <c r="BT164" s="107" t="n">
        <v>0</v>
      </c>
      <c r="BU164" s="107" t="n">
        <v>0</v>
      </c>
      <c r="BV164" s="107" t="n">
        <v>0</v>
      </c>
      <c r="BW164" s="107" t="n">
        <v>352.08</v>
      </c>
      <c r="BX164" s="107" t="n">
        <v>478265</v>
      </c>
      <c r="BY164" s="107" t="n">
        <v>6.66</v>
      </c>
      <c r="BZ164" s="107" t="n">
        <v>9046</v>
      </c>
      <c r="CA164" s="107" t="n">
        <v>1341.1</v>
      </c>
      <c r="CB164" s="2"/>
      <c r="CC164" s="107" t="n">
        <v>0</v>
      </c>
      <c r="CD164" s="107" t="n">
        <v>98.52</v>
      </c>
      <c r="CE164" s="107" t="n">
        <v>98.53</v>
      </c>
      <c r="CF164" s="107" t="n">
        <v>98.53</v>
      </c>
      <c r="CG164" s="107" t="n">
        <v>200000</v>
      </c>
      <c r="CH164" s="107" t="n">
        <v>2.6665</v>
      </c>
      <c r="CI164" s="107" t="n">
        <v>99.68</v>
      </c>
      <c r="CJ164" s="107" t="n">
        <v>99.73</v>
      </c>
      <c r="CK164" s="107" t="n">
        <v>99.93</v>
      </c>
      <c r="CL164" s="107" t="n">
        <v>0</v>
      </c>
    </row>
    <row r="165" customFormat="false" ht="15" hidden="false" customHeight="false" outlineLevel="0" collapsed="false">
      <c r="A165" s="107" t="s">
        <v>631</v>
      </c>
      <c r="B165" s="107" t="n">
        <v>98.711</v>
      </c>
      <c r="C165" s="107" t="n">
        <v>5.1011</v>
      </c>
      <c r="D165" s="107" t="n">
        <v>2.0812</v>
      </c>
      <c r="E165" s="107" t="n">
        <v>-205.4373332</v>
      </c>
      <c r="F165" s="108" t="s">
        <v>358</v>
      </c>
      <c r="G165" s="107" t="n">
        <v>2.0812</v>
      </c>
      <c r="H165" s="107" t="n">
        <v>-205.4373332</v>
      </c>
      <c r="I165" s="109" t="n">
        <v>47129</v>
      </c>
      <c r="J165" s="107" t="n">
        <v>3</v>
      </c>
      <c r="K165" s="107" t="s">
        <v>359</v>
      </c>
      <c r="L165" s="107" t="s">
        <v>298</v>
      </c>
      <c r="M165" s="107" t="n">
        <v>2081200</v>
      </c>
      <c r="N165" s="107" t="n">
        <v>98.036</v>
      </c>
      <c r="O165" s="107" t="n">
        <v>987110</v>
      </c>
      <c r="P165" s="107" t="s">
        <v>360</v>
      </c>
      <c r="Q165" s="107" t="s">
        <v>364</v>
      </c>
      <c r="R165" s="107" t="n">
        <v>-0.0804329364699342</v>
      </c>
      <c r="S165" s="107" t="n">
        <v>0.00688522583540729</v>
      </c>
      <c r="T165" s="107" t="n">
        <v>-210.6788873</v>
      </c>
      <c r="U165" s="107" t="n">
        <v>21069</v>
      </c>
      <c r="V165" s="108" t="s">
        <v>362</v>
      </c>
      <c r="W165" s="107" t="n">
        <v>34578</v>
      </c>
      <c r="X165" s="108" t="s">
        <v>372</v>
      </c>
      <c r="Y165" s="107" t="s">
        <v>628</v>
      </c>
      <c r="Z165" s="108" t="s">
        <v>633</v>
      </c>
      <c r="AA165" s="109" t="n">
        <v>46065</v>
      </c>
      <c r="AB165" s="107" t="n">
        <v>260212000001</v>
      </c>
      <c r="AC165" s="109" t="n">
        <v>46065</v>
      </c>
      <c r="AD165" s="109" t="n">
        <v>47220</v>
      </c>
      <c r="AE165" s="107" t="n">
        <v>4.345</v>
      </c>
      <c r="AF165" s="107" t="n">
        <v>2.3731</v>
      </c>
      <c r="AG165" s="107" t="n">
        <v>925</v>
      </c>
      <c r="AH165" s="107" t="n">
        <v>80000000</v>
      </c>
      <c r="AI165" s="107" t="n">
        <v>4.345</v>
      </c>
      <c r="AJ165" s="107" t="n">
        <v>100</v>
      </c>
      <c r="AK165" s="107" t="n">
        <v>4.567875</v>
      </c>
      <c r="AL165" s="107" t="n">
        <v>100.591402</v>
      </c>
      <c r="AM165" s="107" t="n">
        <v>5.5896</v>
      </c>
      <c r="AN165" s="107" t="n">
        <v>97.0711</v>
      </c>
      <c r="AO165" s="107" t="n">
        <v>1358.4</v>
      </c>
      <c r="AP165" s="107" t="n">
        <v>1</v>
      </c>
      <c r="AQ165" s="107" t="n">
        <v>77656880</v>
      </c>
      <c r="AR165" s="107" t="n">
        <v>105489105792</v>
      </c>
      <c r="AS165" s="107" t="n">
        <v>80000000</v>
      </c>
      <c r="AT165" s="107" t="n">
        <v>116352000000</v>
      </c>
      <c r="AU165" s="107" t="n">
        <v>-2343120</v>
      </c>
      <c r="AV165" s="107" t="n">
        <v>-3182894208</v>
      </c>
      <c r="AW165" s="107" t="n">
        <v>0</v>
      </c>
      <c r="AX165" s="107" t="n">
        <v>0</v>
      </c>
      <c r="AY165" s="107" t="n">
        <v>0</v>
      </c>
      <c r="AZ165" s="107" t="n">
        <v>0</v>
      </c>
      <c r="BA165" s="107" t="n">
        <v>0</v>
      </c>
      <c r="BB165" s="107" t="n">
        <v>0</v>
      </c>
      <c r="BC165" s="107" t="n">
        <v>0</v>
      </c>
      <c r="BD165" s="107" t="n">
        <v>0</v>
      </c>
      <c r="BE165" s="107" t="n">
        <v>473122.22</v>
      </c>
      <c r="BF165" s="107" t="n">
        <v>642689223</v>
      </c>
      <c r="BG165" s="107" t="n">
        <v>0</v>
      </c>
      <c r="BH165" s="107" t="n">
        <v>0</v>
      </c>
      <c r="BI165" s="107" t="n">
        <v>80000000</v>
      </c>
      <c r="BJ165" s="107" t="n">
        <v>116352000000</v>
      </c>
      <c r="BK165" s="107" t="n">
        <v>0</v>
      </c>
      <c r="BL165" s="107" t="n">
        <v>0</v>
      </c>
      <c r="BM165" s="107" t="n">
        <v>0</v>
      </c>
      <c r="BN165" s="107" t="n">
        <v>0</v>
      </c>
      <c r="BO165" s="2"/>
      <c r="BP165" s="2"/>
      <c r="BQ165" s="107" t="s">
        <v>369</v>
      </c>
      <c r="BR165" s="107" t="n">
        <v>-7680000000</v>
      </c>
      <c r="BS165" s="107" t="n">
        <v>0</v>
      </c>
      <c r="BT165" s="107" t="n">
        <v>0</v>
      </c>
      <c r="BU165" s="107" t="n">
        <v>0</v>
      </c>
      <c r="BV165" s="107" t="n">
        <v>0</v>
      </c>
      <c r="BW165" s="107" t="n">
        <v>473122.22</v>
      </c>
      <c r="BX165" s="107" t="n">
        <v>642689223</v>
      </c>
      <c r="BY165" s="107" t="n">
        <v>0</v>
      </c>
      <c r="BZ165" s="107" t="n">
        <v>0</v>
      </c>
      <c r="CA165" s="107" t="n">
        <v>1454.4</v>
      </c>
      <c r="CB165" s="2"/>
      <c r="CC165" s="107" t="n">
        <v>0</v>
      </c>
      <c r="CD165" s="107" t="n">
        <v>97.25</v>
      </c>
      <c r="CE165" s="107" t="n">
        <v>97</v>
      </c>
      <c r="CF165" s="107" t="n">
        <v>96.96</v>
      </c>
      <c r="CG165" s="107" t="n">
        <v>0</v>
      </c>
      <c r="CH165" s="107" t="n">
        <v>2.3404</v>
      </c>
      <c r="CI165" s="107" t="n">
        <v>99.68</v>
      </c>
      <c r="CJ165" s="107" t="n">
        <v>99.73</v>
      </c>
      <c r="CK165" s="107" t="n">
        <v>99.93</v>
      </c>
      <c r="CL165" s="107" t="n">
        <v>0</v>
      </c>
    </row>
    <row r="166" customFormat="false" ht="15" hidden="false" customHeight="false" outlineLevel="0" collapsed="false">
      <c r="A166" s="107" t="s">
        <v>634</v>
      </c>
      <c r="B166" s="107" t="n">
        <v>98.5748</v>
      </c>
      <c r="C166" s="107" t="n">
        <v>5.3546</v>
      </c>
      <c r="D166" s="107" t="n">
        <v>1.5936</v>
      </c>
      <c r="E166" s="107" t="n">
        <v>-1570.8880128</v>
      </c>
      <c r="F166" s="108" t="s">
        <v>358</v>
      </c>
      <c r="G166" s="107" t="n">
        <v>1.5936</v>
      </c>
      <c r="H166" s="107" t="n">
        <v>-1570.8880128</v>
      </c>
      <c r="I166" s="109" t="n">
        <v>46923</v>
      </c>
      <c r="J166" s="107" t="n">
        <v>2</v>
      </c>
      <c r="K166" s="108" t="s">
        <v>90</v>
      </c>
      <c r="L166" s="107" t="s">
        <v>298</v>
      </c>
      <c r="M166" s="107" t="n">
        <v>15936000</v>
      </c>
      <c r="N166" s="107" t="n">
        <v>100.74</v>
      </c>
      <c r="O166" s="107" t="n">
        <v>9857480</v>
      </c>
      <c r="P166" s="107" t="s">
        <v>394</v>
      </c>
      <c r="Q166" s="107" t="s">
        <v>374</v>
      </c>
      <c r="R166" s="107" t="n">
        <v>-0.0754753502246328</v>
      </c>
      <c r="S166" s="107" t="n">
        <v>-0.02149295215406</v>
      </c>
      <c r="T166" s="107" t="n">
        <v>-1612.9794524</v>
      </c>
      <c r="U166" s="107" t="n">
        <v>21069</v>
      </c>
      <c r="V166" s="108" t="s">
        <v>362</v>
      </c>
      <c r="W166" s="107" t="n">
        <v>34578</v>
      </c>
      <c r="X166" s="108" t="s">
        <v>372</v>
      </c>
      <c r="Y166" s="107" t="s">
        <v>631</v>
      </c>
      <c r="Z166" s="107" t="s">
        <v>635</v>
      </c>
      <c r="AA166" s="109" t="n">
        <v>45391</v>
      </c>
      <c r="AB166" s="107" t="n">
        <v>240409000002</v>
      </c>
      <c r="AC166" s="109" t="n">
        <v>45302</v>
      </c>
      <c r="AD166" s="109" t="n">
        <v>47129</v>
      </c>
      <c r="AE166" s="107" t="n">
        <v>4.5</v>
      </c>
      <c r="AF166" s="107" t="n">
        <v>2.132</v>
      </c>
      <c r="AG166" s="107" t="n">
        <v>834</v>
      </c>
      <c r="AH166" s="107" t="n">
        <v>1000000</v>
      </c>
      <c r="AI166" s="107" t="n">
        <v>4.694038</v>
      </c>
      <c r="AJ166" s="107" t="n">
        <v>99.175</v>
      </c>
      <c r="AK166" s="107" t="n">
        <v>3.694247</v>
      </c>
      <c r="AL166" s="107" t="n">
        <v>102.7293</v>
      </c>
      <c r="AM166" s="107" t="n">
        <v>5.0461</v>
      </c>
      <c r="AN166" s="107" t="n">
        <v>98.8286</v>
      </c>
      <c r="AO166" s="107" t="n">
        <v>1358.4</v>
      </c>
      <c r="AP166" s="107" t="n">
        <v>1</v>
      </c>
      <c r="AQ166" s="107" t="n">
        <v>988286</v>
      </c>
      <c r="AR166" s="107" t="n">
        <v>1342487702</v>
      </c>
      <c r="AS166" s="107" t="n">
        <v>1017418</v>
      </c>
      <c r="AT166" s="107" t="n">
        <v>1459893088</v>
      </c>
      <c r="AU166" s="107" t="n">
        <v>-29132</v>
      </c>
      <c r="AV166" s="107" t="n">
        <v>-39572909</v>
      </c>
      <c r="AW166" s="107" t="n">
        <v>0</v>
      </c>
      <c r="AX166" s="107" t="n">
        <v>0</v>
      </c>
      <c r="AY166" s="107" t="n">
        <v>0</v>
      </c>
      <c r="AZ166" s="107" t="n">
        <v>0</v>
      </c>
      <c r="BA166" s="107" t="n">
        <v>0</v>
      </c>
      <c r="BB166" s="107" t="n">
        <v>0</v>
      </c>
      <c r="BC166" s="107" t="n">
        <v>0</v>
      </c>
      <c r="BD166" s="107" t="n">
        <v>0</v>
      </c>
      <c r="BE166" s="107" t="n">
        <v>9875</v>
      </c>
      <c r="BF166" s="107" t="n">
        <v>13414200</v>
      </c>
      <c r="BG166" s="107" t="n">
        <v>0</v>
      </c>
      <c r="BH166" s="107" t="n">
        <v>0</v>
      </c>
      <c r="BI166" s="107" t="n">
        <v>991750</v>
      </c>
      <c r="BJ166" s="107" t="n">
        <v>1423057793</v>
      </c>
      <c r="BK166" s="107" t="n">
        <v>0</v>
      </c>
      <c r="BL166" s="107" t="n">
        <v>0</v>
      </c>
      <c r="BM166" s="107" t="n">
        <v>0</v>
      </c>
      <c r="BN166" s="107" t="n">
        <v>0</v>
      </c>
      <c r="BO166" s="107" t="s">
        <v>361</v>
      </c>
      <c r="BP166" s="2"/>
      <c r="BQ166" s="107" t="s">
        <v>364</v>
      </c>
      <c r="BR166" s="107" t="n">
        <v>-77832477</v>
      </c>
      <c r="BS166" s="107" t="n">
        <v>0</v>
      </c>
      <c r="BT166" s="107" t="n">
        <v>0</v>
      </c>
      <c r="BU166" s="107" t="n">
        <v>25668</v>
      </c>
      <c r="BV166" s="107" t="n">
        <v>36835295</v>
      </c>
      <c r="BW166" s="107" t="n">
        <v>9875</v>
      </c>
      <c r="BX166" s="107" t="n">
        <v>13414200</v>
      </c>
      <c r="BY166" s="107" t="n">
        <v>0</v>
      </c>
      <c r="BZ166" s="107" t="n">
        <v>0</v>
      </c>
      <c r="CA166" s="107" t="n">
        <v>1434.9</v>
      </c>
      <c r="CB166" s="2"/>
      <c r="CC166" s="107" t="n">
        <v>0</v>
      </c>
      <c r="CD166" s="107" t="n">
        <v>98.83</v>
      </c>
      <c r="CE166" s="107" t="n">
        <v>98.8</v>
      </c>
      <c r="CF166" s="107" t="n">
        <v>98.85</v>
      </c>
      <c r="CG166" s="107" t="n">
        <v>0</v>
      </c>
      <c r="CH166" s="107" t="n">
        <v>2.0795</v>
      </c>
      <c r="CI166" s="107" t="n">
        <v>99.68</v>
      </c>
      <c r="CJ166" s="107" t="n">
        <v>99.73</v>
      </c>
      <c r="CK166" s="107" t="n">
        <v>99.93</v>
      </c>
      <c r="CL166" s="107" t="n">
        <v>0</v>
      </c>
    </row>
    <row r="167" customFormat="false" ht="15" hidden="false" customHeight="false" outlineLevel="0" collapsed="false">
      <c r="A167" s="107" t="s">
        <v>636</v>
      </c>
      <c r="B167" s="107" t="n">
        <v>95.7179</v>
      </c>
      <c r="C167" s="107" t="n">
        <v>5.5847</v>
      </c>
      <c r="D167" s="107" t="n">
        <v>2.4016</v>
      </c>
      <c r="E167" s="107" t="n">
        <v>-1149.3805432</v>
      </c>
      <c r="F167" s="108" t="s">
        <v>358</v>
      </c>
      <c r="G167" s="107" t="n">
        <v>2.4016</v>
      </c>
      <c r="H167" s="107" t="n">
        <v>-1149.3805432</v>
      </c>
      <c r="I167" s="109" t="n">
        <v>47260</v>
      </c>
      <c r="J167" s="107" t="n">
        <v>3</v>
      </c>
      <c r="K167" s="108" t="s">
        <v>90</v>
      </c>
      <c r="L167" s="107" t="s">
        <v>298</v>
      </c>
      <c r="M167" s="107" t="n">
        <v>12008000</v>
      </c>
      <c r="N167" s="107" t="n">
        <v>98.74</v>
      </c>
      <c r="O167" s="107" t="n">
        <v>4785895</v>
      </c>
      <c r="P167" s="107" t="s">
        <v>394</v>
      </c>
      <c r="Q167" s="107" t="s">
        <v>374</v>
      </c>
      <c r="R167" s="107" t="n">
        <v>-0.0833420630706551</v>
      </c>
      <c r="S167" s="107" t="n">
        <v>-0.0306066437107555</v>
      </c>
      <c r="T167" s="107" t="n">
        <v>-1181.49389865</v>
      </c>
      <c r="U167" s="107" t="n">
        <v>21069</v>
      </c>
      <c r="V167" s="108" t="s">
        <v>362</v>
      </c>
      <c r="W167" s="107" t="n">
        <v>34578</v>
      </c>
      <c r="X167" s="108" t="s">
        <v>372</v>
      </c>
      <c r="Y167" s="107" t="s">
        <v>631</v>
      </c>
      <c r="Z167" s="107" t="s">
        <v>635</v>
      </c>
      <c r="AA167" s="109" t="n">
        <v>45405</v>
      </c>
      <c r="AB167" s="107" t="n">
        <v>240423000001</v>
      </c>
      <c r="AC167" s="109" t="n">
        <v>45302</v>
      </c>
      <c r="AD167" s="109" t="n">
        <v>47129</v>
      </c>
      <c r="AE167" s="107" t="n">
        <v>4.5</v>
      </c>
      <c r="AF167" s="107" t="n">
        <v>2.132</v>
      </c>
      <c r="AG167" s="107" t="n">
        <v>834</v>
      </c>
      <c r="AH167" s="107" t="n">
        <v>1000000</v>
      </c>
      <c r="AI167" s="107" t="n">
        <v>4.970611</v>
      </c>
      <c r="AJ167" s="107" t="n">
        <v>98.036</v>
      </c>
      <c r="AK167" s="107" t="n">
        <v>3.694247</v>
      </c>
      <c r="AL167" s="107" t="n">
        <v>102.7293</v>
      </c>
      <c r="AM167" s="107" t="n">
        <v>5.0461</v>
      </c>
      <c r="AN167" s="107" t="n">
        <v>98.8286</v>
      </c>
      <c r="AO167" s="107" t="n">
        <v>1358.4</v>
      </c>
      <c r="AP167" s="107" t="n">
        <v>1</v>
      </c>
      <c r="AQ167" s="107" t="n">
        <v>988286</v>
      </c>
      <c r="AR167" s="107" t="n">
        <v>1342487702</v>
      </c>
      <c r="AS167" s="107" t="n">
        <v>1017418</v>
      </c>
      <c r="AT167" s="107" t="n">
        <v>1459893088</v>
      </c>
      <c r="AU167" s="107" t="n">
        <v>-29132</v>
      </c>
      <c r="AV167" s="107" t="n">
        <v>-39572909</v>
      </c>
      <c r="AW167" s="107" t="n">
        <v>0</v>
      </c>
      <c r="AX167" s="107" t="n">
        <v>0</v>
      </c>
      <c r="AY167" s="107" t="n">
        <v>0</v>
      </c>
      <c r="AZ167" s="107" t="n">
        <v>0</v>
      </c>
      <c r="BA167" s="107" t="n">
        <v>0</v>
      </c>
      <c r="BB167" s="107" t="n">
        <v>0</v>
      </c>
      <c r="BC167" s="107" t="n">
        <v>0</v>
      </c>
      <c r="BD167" s="107" t="n">
        <v>0</v>
      </c>
      <c r="BE167" s="107" t="n">
        <v>9875</v>
      </c>
      <c r="BF167" s="107" t="n">
        <v>13414200</v>
      </c>
      <c r="BG167" s="107" t="n">
        <v>0</v>
      </c>
      <c r="BH167" s="107" t="n">
        <v>0</v>
      </c>
      <c r="BI167" s="107" t="n">
        <v>980360</v>
      </c>
      <c r="BJ167" s="107" t="n">
        <v>1406314493</v>
      </c>
      <c r="BK167" s="107" t="n">
        <v>0</v>
      </c>
      <c r="BL167" s="107" t="n">
        <v>0</v>
      </c>
      <c r="BM167" s="107" t="n">
        <v>0</v>
      </c>
      <c r="BN167" s="107" t="n">
        <v>0</v>
      </c>
      <c r="BO167" s="107" t="s">
        <v>361</v>
      </c>
      <c r="BP167" s="2"/>
      <c r="BQ167" s="107" t="s">
        <v>364</v>
      </c>
      <c r="BR167" s="107" t="n">
        <v>-77832477</v>
      </c>
      <c r="BS167" s="107" t="n">
        <v>0</v>
      </c>
      <c r="BT167" s="107" t="n">
        <v>0</v>
      </c>
      <c r="BU167" s="107" t="n">
        <v>37058</v>
      </c>
      <c r="BV167" s="107" t="n">
        <v>53578595</v>
      </c>
      <c r="BW167" s="107" t="n">
        <v>9875</v>
      </c>
      <c r="BX167" s="107" t="n">
        <v>13414200</v>
      </c>
      <c r="BY167" s="107" t="n">
        <v>0</v>
      </c>
      <c r="BZ167" s="107" t="n">
        <v>0</v>
      </c>
      <c r="CA167" s="107" t="n">
        <v>1434.9</v>
      </c>
      <c r="CB167" s="2"/>
      <c r="CC167" s="107" t="n">
        <v>0</v>
      </c>
      <c r="CD167" s="107" t="n">
        <v>98.83</v>
      </c>
      <c r="CE167" s="107" t="n">
        <v>98.8</v>
      </c>
      <c r="CF167" s="107" t="n">
        <v>98.85</v>
      </c>
      <c r="CG167" s="107" t="n">
        <v>0</v>
      </c>
      <c r="CH167" s="107" t="n">
        <v>2.0795</v>
      </c>
      <c r="CI167" s="107" t="n">
        <v>99.68</v>
      </c>
      <c r="CJ167" s="107" t="n">
        <v>99.73</v>
      </c>
      <c r="CK167" s="107" t="n">
        <v>99.93</v>
      </c>
      <c r="CL167" s="107" t="n">
        <v>0</v>
      </c>
    </row>
    <row r="168" customFormat="false" ht="15" hidden="false" customHeight="false" outlineLevel="0" collapsed="false">
      <c r="A168" s="107" t="s">
        <v>637</v>
      </c>
      <c r="B168" s="107" t="n">
        <v>97.9577</v>
      </c>
      <c r="C168" s="107" t="n">
        <v>5.6</v>
      </c>
      <c r="D168" s="107" t="n">
        <v>3.0613</v>
      </c>
      <c r="E168" s="107" t="n">
        <v>-1499.38953505</v>
      </c>
      <c r="F168" s="108" t="s">
        <v>358</v>
      </c>
      <c r="G168" s="107" t="n">
        <v>3.0613</v>
      </c>
      <c r="H168" s="107" t="n">
        <v>-1499.38953505</v>
      </c>
      <c r="I168" s="109" t="n">
        <v>47573</v>
      </c>
      <c r="J168" s="107" t="n">
        <v>3</v>
      </c>
      <c r="K168" s="108" t="s">
        <v>90</v>
      </c>
      <c r="L168" s="107" t="s">
        <v>298</v>
      </c>
      <c r="M168" s="107" t="n">
        <v>15306500</v>
      </c>
      <c r="N168" s="107" t="n">
        <v>102.721</v>
      </c>
      <c r="O168" s="107" t="n">
        <v>4897885</v>
      </c>
      <c r="P168" s="107" t="s">
        <v>394</v>
      </c>
      <c r="Q168" s="107" t="s">
        <v>106</v>
      </c>
      <c r="R168" s="107" t="n">
        <v>-0.114175865373231</v>
      </c>
      <c r="S168" s="107" t="n">
        <v>-0.0463712385977551</v>
      </c>
      <c r="T168" s="107" t="n">
        <v>-1541.3644095</v>
      </c>
      <c r="U168" s="107" t="n">
        <v>21069</v>
      </c>
      <c r="V168" s="108" t="s">
        <v>362</v>
      </c>
      <c r="W168" s="107" t="n">
        <v>34578</v>
      </c>
      <c r="X168" s="108" t="s">
        <v>372</v>
      </c>
      <c r="Y168" s="107" t="s">
        <v>634</v>
      </c>
      <c r="Z168" s="107" t="s">
        <v>638</v>
      </c>
      <c r="AA168" s="109" t="n">
        <v>45967</v>
      </c>
      <c r="AB168" s="107" t="n">
        <v>251106000001</v>
      </c>
      <c r="AC168" s="109" t="n">
        <v>43270</v>
      </c>
      <c r="AD168" s="109" t="n">
        <v>47288</v>
      </c>
      <c r="AE168" s="107" t="n">
        <v>4.583</v>
      </c>
      <c r="AF168" s="107" t="n">
        <v>1.6339</v>
      </c>
      <c r="AG168" s="107" t="n">
        <v>993</v>
      </c>
      <c r="AH168" s="107" t="n">
        <v>10000000</v>
      </c>
      <c r="AI168" s="107" t="n">
        <v>4.279557</v>
      </c>
      <c r="AJ168" s="107" t="n">
        <v>100.74</v>
      </c>
      <c r="AK168" s="107" t="n">
        <v>4.165728</v>
      </c>
      <c r="AL168" s="107" t="n">
        <v>102.342386</v>
      </c>
      <c r="AM168" s="107" t="n">
        <v>5.3199</v>
      </c>
      <c r="AN168" s="107" t="n">
        <v>98.6388</v>
      </c>
      <c r="AO168" s="107" t="n">
        <v>1358.4</v>
      </c>
      <c r="AP168" s="107" t="n">
        <v>1</v>
      </c>
      <c r="AQ168" s="107" t="n">
        <v>9863880</v>
      </c>
      <c r="AR168" s="107" t="n">
        <v>13399094592</v>
      </c>
      <c r="AS168" s="107" t="n">
        <v>10105660</v>
      </c>
      <c r="AT168" s="107" t="n">
        <v>14500611534</v>
      </c>
      <c r="AU168" s="107" t="n">
        <v>-241780</v>
      </c>
      <c r="AV168" s="107" t="n">
        <v>-328433952</v>
      </c>
      <c r="AW168" s="107" t="n">
        <v>0</v>
      </c>
      <c r="AX168" s="107" t="n">
        <v>0</v>
      </c>
      <c r="AY168" s="107" t="n">
        <v>0</v>
      </c>
      <c r="AZ168" s="107" t="n">
        <v>0</v>
      </c>
      <c r="BA168" s="107" t="n">
        <v>0</v>
      </c>
      <c r="BB168" s="107" t="n">
        <v>0</v>
      </c>
      <c r="BC168" s="107" t="n">
        <v>0</v>
      </c>
      <c r="BD168" s="107" t="n">
        <v>0</v>
      </c>
      <c r="BE168" s="107" t="n">
        <v>128578.61</v>
      </c>
      <c r="BF168" s="107" t="n">
        <v>174661183</v>
      </c>
      <c r="BG168" s="107" t="n">
        <v>0</v>
      </c>
      <c r="BH168" s="107" t="n">
        <v>0</v>
      </c>
      <c r="BI168" s="107" t="n">
        <v>10074000</v>
      </c>
      <c r="BJ168" s="107" t="n">
        <v>14455182600</v>
      </c>
      <c r="BK168" s="107" t="n">
        <v>0</v>
      </c>
      <c r="BL168" s="107" t="n">
        <v>0</v>
      </c>
      <c r="BM168" s="107" t="n">
        <v>0</v>
      </c>
      <c r="BN168" s="107" t="n">
        <v>0</v>
      </c>
      <c r="BO168" s="107" t="s">
        <v>374</v>
      </c>
      <c r="BP168" s="2"/>
      <c r="BQ168" s="107" t="s">
        <v>367</v>
      </c>
      <c r="BR168" s="107" t="n">
        <v>-773082990</v>
      </c>
      <c r="BS168" s="107" t="n">
        <v>0</v>
      </c>
      <c r="BT168" s="107" t="n">
        <v>0</v>
      </c>
      <c r="BU168" s="107" t="n">
        <v>31660</v>
      </c>
      <c r="BV168" s="107" t="n">
        <v>45428934</v>
      </c>
      <c r="BW168" s="107" t="n">
        <v>128578.61</v>
      </c>
      <c r="BX168" s="107" t="n">
        <v>174661183</v>
      </c>
      <c r="BY168" s="107" t="n">
        <v>0</v>
      </c>
      <c r="BZ168" s="107" t="n">
        <v>0</v>
      </c>
      <c r="CA168" s="107" t="n">
        <v>1434.9</v>
      </c>
      <c r="CB168" s="2"/>
      <c r="CC168" s="107" t="n">
        <v>0</v>
      </c>
      <c r="CD168" s="107" t="n">
        <v>98.67</v>
      </c>
      <c r="CE168" s="107" t="n">
        <v>98.6</v>
      </c>
      <c r="CF168" s="107" t="n">
        <v>98.64</v>
      </c>
      <c r="CG168" s="107" t="n">
        <v>0</v>
      </c>
      <c r="CH168" s="107" t="n">
        <v>1.5916</v>
      </c>
      <c r="CI168" s="107" t="n">
        <v>99.68</v>
      </c>
      <c r="CJ168" s="107" t="n">
        <v>99.73</v>
      </c>
      <c r="CK168" s="107" t="n">
        <v>99.93</v>
      </c>
      <c r="CL168" s="107" t="n">
        <v>0</v>
      </c>
    </row>
    <row r="169" customFormat="false" ht="15" hidden="false" customHeight="false" outlineLevel="0" collapsed="false">
      <c r="A169" s="107" t="s">
        <v>637</v>
      </c>
      <c r="B169" s="107" t="n">
        <v>97.9577</v>
      </c>
      <c r="C169" s="107" t="n">
        <v>5.6</v>
      </c>
      <c r="D169" s="107" t="n">
        <v>3.0613</v>
      </c>
      <c r="E169" s="107" t="n">
        <v>-1499.38953505</v>
      </c>
      <c r="F169" s="108" t="s">
        <v>358</v>
      </c>
      <c r="G169" s="107" t="n">
        <v>3.0613</v>
      </c>
      <c r="H169" s="107" t="n">
        <v>-1499.38953505</v>
      </c>
      <c r="I169" s="109" t="n">
        <v>47573</v>
      </c>
      <c r="J169" s="107" t="n">
        <v>3</v>
      </c>
      <c r="K169" s="108" t="s">
        <v>90</v>
      </c>
      <c r="L169" s="107" t="s">
        <v>298</v>
      </c>
      <c r="M169" s="107" t="n">
        <v>15306500</v>
      </c>
      <c r="N169" s="107" t="n">
        <v>100.386</v>
      </c>
      <c r="O169" s="107" t="n">
        <v>4897885</v>
      </c>
      <c r="P169" s="107" t="s">
        <v>394</v>
      </c>
      <c r="Q169" s="107" t="s">
        <v>106</v>
      </c>
      <c r="R169" s="107" t="n">
        <v>-0.110640593840412</v>
      </c>
      <c r="S169" s="107" t="n">
        <v>-0.0241896280357818</v>
      </c>
      <c r="T169" s="107" t="n">
        <v>-1541.3644095</v>
      </c>
      <c r="U169" s="107" t="n">
        <v>21069</v>
      </c>
      <c r="V169" s="108" t="s">
        <v>362</v>
      </c>
      <c r="W169" s="107" t="n">
        <v>34578</v>
      </c>
      <c r="X169" s="108" t="s">
        <v>372</v>
      </c>
      <c r="Y169" s="107" t="s">
        <v>636</v>
      </c>
      <c r="Z169" s="107" t="s">
        <v>639</v>
      </c>
      <c r="AA169" s="109" t="n">
        <v>45967</v>
      </c>
      <c r="AB169" s="107" t="n">
        <v>251106000001</v>
      </c>
      <c r="AC169" s="109" t="n">
        <v>43607</v>
      </c>
      <c r="AD169" s="109" t="n">
        <v>47625</v>
      </c>
      <c r="AE169" s="107" t="n">
        <v>3.973</v>
      </c>
      <c r="AF169" s="107" t="n">
        <v>2.4663</v>
      </c>
      <c r="AG169" s="107" t="n">
        <v>1330</v>
      </c>
      <c r="AH169" s="107" t="n">
        <v>5000000</v>
      </c>
      <c r="AI169" s="107" t="n">
        <v>4.36</v>
      </c>
      <c r="AJ169" s="107" t="n">
        <v>98.74</v>
      </c>
      <c r="AK169" s="107" t="n">
        <v>4.279978</v>
      </c>
      <c r="AL169" s="107" t="n">
        <v>100.382522</v>
      </c>
      <c r="AM169" s="107" t="n">
        <v>5.5529</v>
      </c>
      <c r="AN169" s="107" t="n">
        <v>95.8058</v>
      </c>
      <c r="AO169" s="107" t="n">
        <v>1358.4</v>
      </c>
      <c r="AP169" s="107" t="n">
        <v>1</v>
      </c>
      <c r="AQ169" s="107" t="n">
        <v>4790290</v>
      </c>
      <c r="AR169" s="107" t="n">
        <v>6507129936</v>
      </c>
      <c r="AS169" s="107" t="n">
        <v>4948495</v>
      </c>
      <c r="AT169" s="107" t="n">
        <v>7100595476</v>
      </c>
      <c r="AU169" s="107" t="n">
        <v>-158205</v>
      </c>
      <c r="AV169" s="107" t="n">
        <v>-214905672</v>
      </c>
      <c r="AW169" s="107" t="n">
        <v>0</v>
      </c>
      <c r="AX169" s="107" t="n">
        <v>0</v>
      </c>
      <c r="AY169" s="107" t="n">
        <v>0</v>
      </c>
      <c r="AZ169" s="107" t="n">
        <v>0</v>
      </c>
      <c r="BA169" s="107" t="n">
        <v>0</v>
      </c>
      <c r="BB169" s="107" t="n">
        <v>0</v>
      </c>
      <c r="BC169" s="107" t="n">
        <v>0</v>
      </c>
      <c r="BD169" s="107" t="n">
        <v>0</v>
      </c>
      <c r="BE169" s="107" t="n">
        <v>70631.11</v>
      </c>
      <c r="BF169" s="107" t="n">
        <v>95945299</v>
      </c>
      <c r="BG169" s="107" t="n">
        <v>0</v>
      </c>
      <c r="BH169" s="107" t="n">
        <v>0</v>
      </c>
      <c r="BI169" s="107" t="n">
        <v>4937000</v>
      </c>
      <c r="BJ169" s="107" t="n">
        <v>7084101300</v>
      </c>
      <c r="BK169" s="107" t="n">
        <v>0</v>
      </c>
      <c r="BL169" s="107" t="n">
        <v>0</v>
      </c>
      <c r="BM169" s="107" t="n">
        <v>0</v>
      </c>
      <c r="BN169" s="107" t="n">
        <v>0</v>
      </c>
      <c r="BO169" s="107" t="s">
        <v>374</v>
      </c>
      <c r="BP169" s="2"/>
      <c r="BQ169" s="107" t="s">
        <v>367</v>
      </c>
      <c r="BR169" s="107" t="n">
        <v>-378559868</v>
      </c>
      <c r="BS169" s="107" t="n">
        <v>0</v>
      </c>
      <c r="BT169" s="107" t="n">
        <v>0</v>
      </c>
      <c r="BU169" s="107" t="n">
        <v>11495</v>
      </c>
      <c r="BV169" s="107" t="n">
        <v>16494176</v>
      </c>
      <c r="BW169" s="107" t="n">
        <v>70631.11</v>
      </c>
      <c r="BX169" s="107" t="n">
        <v>95945299</v>
      </c>
      <c r="BY169" s="107" t="n">
        <v>0</v>
      </c>
      <c r="BZ169" s="107" t="n">
        <v>0</v>
      </c>
      <c r="CA169" s="107" t="n">
        <v>1434.9</v>
      </c>
      <c r="CB169" s="2"/>
      <c r="CC169" s="107" t="n">
        <v>0</v>
      </c>
      <c r="CD169" s="107" t="n">
        <v>95.85</v>
      </c>
      <c r="CE169" s="107" t="n">
        <v>95.75</v>
      </c>
      <c r="CF169" s="107" t="n">
        <v>95.82</v>
      </c>
      <c r="CG169" s="107" t="n">
        <v>0</v>
      </c>
      <c r="CH169" s="107" t="n">
        <v>2.3997</v>
      </c>
      <c r="CI169" s="107" t="n">
        <v>99.68</v>
      </c>
      <c r="CJ169" s="107" t="n">
        <v>99.73</v>
      </c>
      <c r="CK169" s="107" t="n">
        <v>99.93</v>
      </c>
      <c r="CL169" s="107" t="n">
        <v>0</v>
      </c>
    </row>
    <row r="170" customFormat="false" ht="15" hidden="false" customHeight="false" outlineLevel="0" collapsed="false">
      <c r="A170" s="107" t="s">
        <v>640</v>
      </c>
      <c r="B170" s="107" t="n">
        <v>99.0131</v>
      </c>
      <c r="C170" s="107" t="n">
        <v>5.968</v>
      </c>
      <c r="D170" s="107" t="n">
        <v>3.8657</v>
      </c>
      <c r="E170" s="107" t="n">
        <v>-4593.05928804</v>
      </c>
      <c r="F170" s="108" t="s">
        <v>358</v>
      </c>
      <c r="G170" s="107" t="n">
        <v>3.8657</v>
      </c>
      <c r="H170" s="107" t="n">
        <v>-4593.05928804</v>
      </c>
      <c r="I170" s="109" t="n">
        <v>47985</v>
      </c>
      <c r="J170" s="107" t="n">
        <v>5</v>
      </c>
      <c r="K170" s="108" t="s">
        <v>90</v>
      </c>
      <c r="L170" s="107" t="s">
        <v>298</v>
      </c>
      <c r="M170" s="107" t="n">
        <v>46388400</v>
      </c>
      <c r="N170" s="107" t="n">
        <v>105.42</v>
      </c>
      <c r="O170" s="107" t="n">
        <v>11881572</v>
      </c>
      <c r="P170" s="107" t="s">
        <v>394</v>
      </c>
      <c r="Q170" s="107" t="s">
        <v>374</v>
      </c>
      <c r="R170" s="107" t="n">
        <v>-0.111630025405847</v>
      </c>
      <c r="S170" s="107" t="n">
        <v>-0.0607749952570671</v>
      </c>
      <c r="T170" s="107" t="n">
        <v>-4730.17262892</v>
      </c>
      <c r="U170" s="107" t="n">
        <v>21069</v>
      </c>
      <c r="V170" s="108" t="s">
        <v>362</v>
      </c>
      <c r="W170" s="107" t="n">
        <v>34578</v>
      </c>
      <c r="X170" s="108" t="s">
        <v>372</v>
      </c>
      <c r="Y170" s="107" t="s">
        <v>637</v>
      </c>
      <c r="Z170" s="107" t="s">
        <v>139</v>
      </c>
      <c r="AA170" s="109" t="n">
        <v>46062</v>
      </c>
      <c r="AB170" s="107" t="n">
        <v>260209000001</v>
      </c>
      <c r="AC170" s="109" t="n">
        <v>43921</v>
      </c>
      <c r="AD170" s="109" t="n">
        <v>47573</v>
      </c>
      <c r="AE170" s="107" t="n">
        <v>4.95</v>
      </c>
      <c r="AF170" s="107" t="n">
        <v>3.2233</v>
      </c>
      <c r="AG170" s="107" t="n">
        <v>1278</v>
      </c>
      <c r="AH170" s="107" t="n">
        <v>5000000</v>
      </c>
      <c r="AI170" s="107" t="n">
        <v>4.225557</v>
      </c>
      <c r="AJ170" s="107" t="n">
        <v>102.721</v>
      </c>
      <c r="AK170" s="107" t="n">
        <v>4.107409</v>
      </c>
      <c r="AL170" s="107" t="n">
        <v>102.721</v>
      </c>
      <c r="AM170" s="107" t="n">
        <v>5.5614</v>
      </c>
      <c r="AN170" s="107" t="n">
        <v>98.0794</v>
      </c>
      <c r="AO170" s="107" t="n">
        <v>1358.4</v>
      </c>
      <c r="AP170" s="107" t="n">
        <v>1</v>
      </c>
      <c r="AQ170" s="107" t="n">
        <v>4903970</v>
      </c>
      <c r="AR170" s="107" t="n">
        <v>6661552848</v>
      </c>
      <c r="AS170" s="107" t="n">
        <v>5136050</v>
      </c>
      <c r="AT170" s="107" t="n">
        <v>7519690805</v>
      </c>
      <c r="AU170" s="107" t="n">
        <v>-232080</v>
      </c>
      <c r="AV170" s="107" t="n">
        <v>-315257472</v>
      </c>
      <c r="AW170" s="107" t="n">
        <v>0</v>
      </c>
      <c r="AX170" s="107" t="n">
        <v>0</v>
      </c>
      <c r="AY170" s="107" t="n">
        <v>0</v>
      </c>
      <c r="AZ170" s="107" t="n">
        <v>0</v>
      </c>
      <c r="BA170" s="107" t="n">
        <v>0</v>
      </c>
      <c r="BB170" s="107" t="n">
        <v>0</v>
      </c>
      <c r="BC170" s="107" t="n">
        <v>0</v>
      </c>
      <c r="BD170" s="107" t="n">
        <v>0</v>
      </c>
      <c r="BE170" s="107" t="n">
        <v>0</v>
      </c>
      <c r="BF170" s="107" t="n">
        <v>0</v>
      </c>
      <c r="BG170" s="107" t="n">
        <v>0</v>
      </c>
      <c r="BH170" s="107" t="n">
        <v>0</v>
      </c>
      <c r="BI170" s="107" t="n">
        <v>5136050</v>
      </c>
      <c r="BJ170" s="107" t="n">
        <v>7519690805</v>
      </c>
      <c r="BK170" s="107" t="n">
        <v>0</v>
      </c>
      <c r="BL170" s="107" t="n">
        <v>0</v>
      </c>
      <c r="BM170" s="107" t="n">
        <v>0</v>
      </c>
      <c r="BN170" s="107" t="n">
        <v>0</v>
      </c>
      <c r="BO170" s="107" t="s">
        <v>374</v>
      </c>
      <c r="BP170" s="2"/>
      <c r="BQ170" s="107" t="s">
        <v>367</v>
      </c>
      <c r="BR170" s="107" t="n">
        <v>-542880485</v>
      </c>
      <c r="BS170" s="107" t="n">
        <v>0</v>
      </c>
      <c r="BT170" s="107" t="n">
        <v>0</v>
      </c>
      <c r="BU170" s="107" t="n">
        <v>0</v>
      </c>
      <c r="BV170" s="107" t="n">
        <v>0</v>
      </c>
      <c r="BW170" s="107" t="n">
        <v>0</v>
      </c>
      <c r="BX170" s="107" t="n">
        <v>0</v>
      </c>
      <c r="BY170" s="107" t="n">
        <v>0</v>
      </c>
      <c r="BZ170" s="107" t="n">
        <v>0</v>
      </c>
      <c r="CA170" s="107" t="n">
        <v>1464.1</v>
      </c>
      <c r="CB170" s="2"/>
      <c r="CC170" s="107" t="n">
        <v>0</v>
      </c>
      <c r="CD170" s="107" t="n">
        <v>98.12</v>
      </c>
      <c r="CE170" s="107" t="n">
        <v>98.03</v>
      </c>
      <c r="CF170" s="107" t="n">
        <v>98.09</v>
      </c>
      <c r="CG170" s="107" t="n">
        <v>0</v>
      </c>
      <c r="CH170" s="107" t="n">
        <v>3.1361</v>
      </c>
      <c r="CI170" s="107" t="n">
        <v>99.68</v>
      </c>
      <c r="CJ170" s="107" t="n">
        <v>99.73</v>
      </c>
      <c r="CK170" s="107" t="n">
        <v>99.93</v>
      </c>
      <c r="CL170" s="107" t="n">
        <v>0</v>
      </c>
    </row>
    <row r="171" customFormat="false" ht="15" hidden="false" customHeight="false" outlineLevel="0" collapsed="false">
      <c r="A171" s="107" t="s">
        <v>641</v>
      </c>
      <c r="B171" s="107" t="n">
        <v>98.5567</v>
      </c>
      <c r="C171" s="107" t="n">
        <v>5.7575</v>
      </c>
      <c r="D171" s="107" t="n">
        <v>2.7642</v>
      </c>
      <c r="E171" s="107" t="n">
        <v>-544.86086028</v>
      </c>
      <c r="F171" s="108" t="s">
        <v>358</v>
      </c>
      <c r="G171" s="107" t="n">
        <v>2.7642</v>
      </c>
      <c r="H171" s="107" t="n">
        <v>-544.86086028</v>
      </c>
      <c r="I171" s="109" t="n">
        <v>47441</v>
      </c>
      <c r="J171" s="107" t="n">
        <v>3</v>
      </c>
      <c r="K171" s="108" t="s">
        <v>90</v>
      </c>
      <c r="L171" s="107" t="s">
        <v>298</v>
      </c>
      <c r="M171" s="107" t="n">
        <v>5528400</v>
      </c>
      <c r="N171" s="107" t="n">
        <v>102.19</v>
      </c>
      <c r="O171" s="107" t="n">
        <v>1971134</v>
      </c>
      <c r="P171" s="107" t="s">
        <v>394</v>
      </c>
      <c r="Q171" s="107" t="s">
        <v>374</v>
      </c>
      <c r="R171" s="107" t="n">
        <v>-0.11375265469991</v>
      </c>
      <c r="S171" s="107" t="n">
        <v>-0.0355543595263723</v>
      </c>
      <c r="T171" s="107" t="n">
        <v>-560.55108692</v>
      </c>
      <c r="U171" s="107" t="n">
        <v>21069</v>
      </c>
      <c r="V171" s="108" t="s">
        <v>362</v>
      </c>
      <c r="W171" s="107" t="n">
        <v>34578</v>
      </c>
      <c r="X171" s="108" t="s">
        <v>372</v>
      </c>
      <c r="Y171" s="107" t="s">
        <v>637</v>
      </c>
      <c r="Z171" s="107" t="s">
        <v>139</v>
      </c>
      <c r="AA171" s="109" t="n">
        <v>46219</v>
      </c>
      <c r="AB171" s="107" t="n">
        <v>260716000001</v>
      </c>
      <c r="AC171" s="109" t="n">
        <v>43921</v>
      </c>
      <c r="AD171" s="109" t="n">
        <v>47573</v>
      </c>
      <c r="AE171" s="107" t="n">
        <v>4.95</v>
      </c>
      <c r="AF171" s="107" t="n">
        <v>3.2233</v>
      </c>
      <c r="AG171" s="107" t="n">
        <v>1278</v>
      </c>
      <c r="AH171" s="107" t="n">
        <v>5000000</v>
      </c>
      <c r="AI171" s="107" t="n">
        <v>4.832843</v>
      </c>
      <c r="AJ171" s="107" t="n">
        <v>100.386</v>
      </c>
      <c r="AK171" s="107" t="n">
        <v>4.828809</v>
      </c>
      <c r="AL171" s="107" t="n">
        <v>100.386</v>
      </c>
      <c r="AM171" s="107" t="n">
        <v>5.5614</v>
      </c>
      <c r="AN171" s="107" t="n">
        <v>98.0794</v>
      </c>
      <c r="AO171" s="107" t="n">
        <v>1358.4</v>
      </c>
      <c r="AP171" s="107" t="n">
        <v>1</v>
      </c>
      <c r="AQ171" s="107" t="n">
        <v>4903970</v>
      </c>
      <c r="AR171" s="107" t="n">
        <v>6661552848</v>
      </c>
      <c r="AS171" s="107" t="n">
        <v>5019300</v>
      </c>
      <c r="AT171" s="107" t="n">
        <v>7489799460</v>
      </c>
      <c r="AU171" s="107" t="n">
        <v>-115330</v>
      </c>
      <c r="AV171" s="107" t="n">
        <v>-156664272</v>
      </c>
      <c r="AW171" s="107" t="n">
        <v>0</v>
      </c>
      <c r="AX171" s="107" t="n">
        <v>0</v>
      </c>
      <c r="AY171" s="107" t="n">
        <v>0</v>
      </c>
      <c r="AZ171" s="107" t="n">
        <v>0</v>
      </c>
      <c r="BA171" s="107" t="n">
        <v>0</v>
      </c>
      <c r="BB171" s="107" t="n">
        <v>0</v>
      </c>
      <c r="BC171" s="107" t="n">
        <v>0</v>
      </c>
      <c r="BD171" s="107" t="n">
        <v>0</v>
      </c>
      <c r="BE171" s="107" t="n">
        <v>0</v>
      </c>
      <c r="BF171" s="107" t="n">
        <v>0</v>
      </c>
      <c r="BG171" s="107" t="n">
        <v>0</v>
      </c>
      <c r="BH171" s="107" t="n">
        <v>0</v>
      </c>
      <c r="BI171" s="107" t="n">
        <v>5019300</v>
      </c>
      <c r="BJ171" s="107" t="n">
        <v>7489799460</v>
      </c>
      <c r="BK171" s="107" t="n">
        <v>0</v>
      </c>
      <c r="BL171" s="107" t="n">
        <v>0</v>
      </c>
      <c r="BM171" s="107" t="n">
        <v>0</v>
      </c>
      <c r="BN171" s="107" t="n">
        <v>0</v>
      </c>
      <c r="BO171" s="107" t="s">
        <v>374</v>
      </c>
      <c r="BP171" s="2"/>
      <c r="BQ171" s="107" t="s">
        <v>367</v>
      </c>
      <c r="BR171" s="107" t="n">
        <v>-671582340</v>
      </c>
      <c r="BS171" s="107" t="n">
        <v>0</v>
      </c>
      <c r="BT171" s="107" t="n">
        <v>0</v>
      </c>
      <c r="BU171" s="107" t="n">
        <v>0</v>
      </c>
      <c r="BV171" s="107" t="n">
        <v>0</v>
      </c>
      <c r="BW171" s="107" t="n">
        <v>0</v>
      </c>
      <c r="BX171" s="107" t="n">
        <v>0</v>
      </c>
      <c r="BY171" s="107" t="n">
        <v>0</v>
      </c>
      <c r="BZ171" s="107" t="n">
        <v>0</v>
      </c>
      <c r="CA171" s="107" t="n">
        <v>1492.2</v>
      </c>
      <c r="CB171" s="2"/>
      <c r="CC171" s="107" t="n">
        <v>0</v>
      </c>
      <c r="CD171" s="107" t="n">
        <v>98.12</v>
      </c>
      <c r="CE171" s="107" t="n">
        <v>98.03</v>
      </c>
      <c r="CF171" s="107" t="n">
        <v>98.09</v>
      </c>
      <c r="CG171" s="107" t="n">
        <v>0</v>
      </c>
      <c r="CH171" s="107" t="n">
        <v>3.1361</v>
      </c>
      <c r="CI171" s="107" t="n">
        <v>99.68</v>
      </c>
      <c r="CJ171" s="107" t="n">
        <v>99.73</v>
      </c>
      <c r="CK171" s="107" t="n">
        <v>99.93</v>
      </c>
      <c r="CL171" s="107" t="n">
        <v>0</v>
      </c>
    </row>
    <row r="172" customFormat="false" ht="15" hidden="false" customHeight="false" outlineLevel="0" collapsed="false">
      <c r="A172" s="107" t="s">
        <v>641</v>
      </c>
      <c r="B172" s="107" t="n">
        <v>98.5567</v>
      </c>
      <c r="C172" s="107" t="n">
        <v>5.7575</v>
      </c>
      <c r="D172" s="107" t="n">
        <v>2.7642</v>
      </c>
      <c r="E172" s="107" t="n">
        <v>-1362.1521507</v>
      </c>
      <c r="F172" s="108" t="s">
        <v>358</v>
      </c>
      <c r="G172" s="107" t="n">
        <v>2.7642</v>
      </c>
      <c r="H172" s="107" t="n">
        <v>-1362.1521507</v>
      </c>
      <c r="I172" s="109" t="n">
        <v>47441</v>
      </c>
      <c r="J172" s="107" t="n">
        <v>3</v>
      </c>
      <c r="K172" s="108" t="s">
        <v>90</v>
      </c>
      <c r="L172" s="107" t="s">
        <v>298</v>
      </c>
      <c r="M172" s="107" t="n">
        <v>13821000</v>
      </c>
      <c r="N172" s="107" t="n">
        <v>100.943</v>
      </c>
      <c r="O172" s="107" t="n">
        <v>4927835</v>
      </c>
      <c r="P172" s="107" t="s">
        <v>394</v>
      </c>
      <c r="Q172" s="107" t="s">
        <v>374</v>
      </c>
      <c r="R172" s="107" t="n">
        <v>-0.105403557756294</v>
      </c>
      <c r="S172" s="107" t="n">
        <v>-0.0236400741012254</v>
      </c>
      <c r="T172" s="107" t="n">
        <v>-1401.3777173</v>
      </c>
      <c r="U172" s="107" t="n">
        <v>21069</v>
      </c>
      <c r="V172" s="108" t="s">
        <v>362</v>
      </c>
      <c r="W172" s="107" t="n">
        <v>34578</v>
      </c>
      <c r="X172" s="108" t="s">
        <v>372</v>
      </c>
      <c r="Y172" s="107" t="s">
        <v>640</v>
      </c>
      <c r="Z172" s="107" t="s">
        <v>642</v>
      </c>
      <c r="AA172" s="109" t="n">
        <v>45967</v>
      </c>
      <c r="AB172" s="107" t="n">
        <v>251106000001</v>
      </c>
      <c r="AC172" s="109" t="n">
        <v>45429</v>
      </c>
      <c r="AD172" s="109" t="n">
        <v>48351</v>
      </c>
      <c r="AE172" s="107" t="n">
        <v>5.733</v>
      </c>
      <c r="AF172" s="107" t="n">
        <v>3.9773</v>
      </c>
      <c r="AG172" s="107" t="n">
        <v>2056</v>
      </c>
      <c r="AH172" s="107" t="n">
        <v>12000000</v>
      </c>
      <c r="AI172" s="107" t="n">
        <v>4.611139</v>
      </c>
      <c r="AJ172" s="107" t="n">
        <v>105.42</v>
      </c>
      <c r="AK172" s="107" t="n">
        <v>4.584444</v>
      </c>
      <c r="AL172" s="107" t="n">
        <v>107.755025</v>
      </c>
      <c r="AM172" s="107" t="n">
        <v>5.9334</v>
      </c>
      <c r="AN172" s="107" t="n">
        <v>99.163</v>
      </c>
      <c r="AO172" s="107" t="n">
        <v>1358.4</v>
      </c>
      <c r="AP172" s="107" t="n">
        <v>1</v>
      </c>
      <c r="AQ172" s="107" t="n">
        <v>11899560</v>
      </c>
      <c r="AR172" s="107" t="n">
        <v>16164362304</v>
      </c>
      <c r="AS172" s="107" t="n">
        <v>12676440</v>
      </c>
      <c r="AT172" s="107" t="n">
        <v>18189423756</v>
      </c>
      <c r="AU172" s="107" t="n">
        <v>-776880</v>
      </c>
      <c r="AV172" s="107" t="n">
        <v>-1055313792</v>
      </c>
      <c r="AW172" s="107" t="n">
        <v>0</v>
      </c>
      <c r="AX172" s="107" t="n">
        <v>0</v>
      </c>
      <c r="AY172" s="107" t="n">
        <v>0</v>
      </c>
      <c r="AZ172" s="107" t="n">
        <v>0</v>
      </c>
      <c r="BA172" s="107" t="n">
        <v>0</v>
      </c>
      <c r="BB172" s="107" t="n">
        <v>0</v>
      </c>
      <c r="BC172" s="107" t="n">
        <v>0</v>
      </c>
      <c r="BD172" s="107" t="n">
        <v>0</v>
      </c>
      <c r="BE172" s="107" t="n">
        <v>254163</v>
      </c>
      <c r="BF172" s="107" t="n">
        <v>345255019</v>
      </c>
      <c r="BG172" s="107" t="n">
        <v>0</v>
      </c>
      <c r="BH172" s="107" t="n">
        <v>0</v>
      </c>
      <c r="BI172" s="107" t="n">
        <v>12650400</v>
      </c>
      <c r="BJ172" s="107" t="n">
        <v>18152058960</v>
      </c>
      <c r="BK172" s="107" t="n">
        <v>0</v>
      </c>
      <c r="BL172" s="107" t="n">
        <v>0</v>
      </c>
      <c r="BM172" s="107" t="n">
        <v>0</v>
      </c>
      <c r="BN172" s="107" t="n">
        <v>0</v>
      </c>
      <c r="BO172" s="107" t="s">
        <v>374</v>
      </c>
      <c r="BP172" s="2"/>
      <c r="BQ172" s="107" t="s">
        <v>367</v>
      </c>
      <c r="BR172" s="107" t="n">
        <v>-969747660</v>
      </c>
      <c r="BS172" s="107" t="n">
        <v>0</v>
      </c>
      <c r="BT172" s="107" t="n">
        <v>0</v>
      </c>
      <c r="BU172" s="107" t="n">
        <v>26040</v>
      </c>
      <c r="BV172" s="107" t="n">
        <v>37364796</v>
      </c>
      <c r="BW172" s="107" t="n">
        <v>254163</v>
      </c>
      <c r="BX172" s="107" t="n">
        <v>345255019</v>
      </c>
      <c r="BY172" s="107" t="n">
        <v>0</v>
      </c>
      <c r="BZ172" s="107" t="n">
        <v>0</v>
      </c>
      <c r="CA172" s="107" t="n">
        <v>1434.9</v>
      </c>
      <c r="CB172" s="2"/>
      <c r="CC172" s="107" t="n">
        <v>0</v>
      </c>
      <c r="CD172" s="107" t="n">
        <v>99.21</v>
      </c>
      <c r="CE172" s="107" t="n">
        <v>99.09</v>
      </c>
      <c r="CF172" s="107" t="n">
        <v>99.19</v>
      </c>
      <c r="CG172" s="107" t="n">
        <v>0</v>
      </c>
      <c r="CH172" s="107" t="n">
        <v>3.8627</v>
      </c>
      <c r="CI172" s="107" t="n">
        <v>99.68</v>
      </c>
      <c r="CJ172" s="107" t="n">
        <v>99.73</v>
      </c>
      <c r="CK172" s="107" t="n">
        <v>99.93</v>
      </c>
      <c r="CL172" s="107" t="n">
        <v>0</v>
      </c>
    </row>
    <row r="173" customFormat="false" ht="15" hidden="false" customHeight="false" outlineLevel="0" collapsed="false">
      <c r="A173" s="107" t="s">
        <v>643</v>
      </c>
      <c r="B173" s="107" t="n">
        <v>97.7646</v>
      </c>
      <c r="C173" s="107" t="n">
        <v>5.8113</v>
      </c>
      <c r="D173" s="107" t="n">
        <v>3.0478</v>
      </c>
      <c r="E173" s="107" t="n">
        <v>-2383.73558304</v>
      </c>
      <c r="F173" s="108" t="s">
        <v>358</v>
      </c>
      <c r="G173" s="107" t="n">
        <v>3.0478</v>
      </c>
      <c r="H173" s="107" t="n">
        <v>-2383.73558304</v>
      </c>
      <c r="I173" s="109" t="n">
        <v>47545</v>
      </c>
      <c r="J173" s="107" t="n">
        <v>3</v>
      </c>
      <c r="K173" s="108" t="s">
        <v>90</v>
      </c>
      <c r="L173" s="107" t="s">
        <v>298</v>
      </c>
      <c r="M173" s="107" t="n">
        <v>24382400</v>
      </c>
      <c r="N173" s="107" t="n">
        <v>101.6</v>
      </c>
      <c r="O173" s="107" t="n">
        <v>7821168</v>
      </c>
      <c r="P173" s="107" t="s">
        <v>394</v>
      </c>
      <c r="Q173" s="107" t="s">
        <v>374</v>
      </c>
      <c r="R173" s="107" t="n">
        <v>-0.11577027027027</v>
      </c>
      <c r="S173" s="107" t="n">
        <v>-0.03775</v>
      </c>
      <c r="T173" s="107" t="n">
        <v>-2453.03113152</v>
      </c>
      <c r="U173" s="107" t="n">
        <v>21069</v>
      </c>
      <c r="V173" s="108" t="s">
        <v>362</v>
      </c>
      <c r="W173" s="107" t="n">
        <v>34578</v>
      </c>
      <c r="X173" s="108" t="s">
        <v>372</v>
      </c>
      <c r="Y173" s="107" t="s">
        <v>641</v>
      </c>
      <c r="Z173" s="107" t="s">
        <v>644</v>
      </c>
      <c r="AA173" s="109" t="n">
        <v>46132</v>
      </c>
      <c r="AB173" s="107" t="n">
        <v>260420000001</v>
      </c>
      <c r="AC173" s="109" t="n">
        <v>45615</v>
      </c>
      <c r="AD173" s="109" t="n">
        <v>47806</v>
      </c>
      <c r="AE173" s="107" t="n">
        <v>5.286</v>
      </c>
      <c r="AF173" s="107" t="n">
        <v>2.8415</v>
      </c>
      <c r="AG173" s="107" t="n">
        <v>1511</v>
      </c>
      <c r="AH173" s="107" t="n">
        <v>2000000</v>
      </c>
      <c r="AI173" s="107" t="n">
        <v>4.614184</v>
      </c>
      <c r="AJ173" s="107" t="n">
        <v>102.19</v>
      </c>
      <c r="AK173" s="107" t="n">
        <v>4.695628</v>
      </c>
      <c r="AL173" s="107" t="n">
        <v>104.113516</v>
      </c>
      <c r="AM173" s="107" t="n">
        <v>5.7299</v>
      </c>
      <c r="AN173" s="107" t="n">
        <v>98.6426</v>
      </c>
      <c r="AO173" s="107" t="n">
        <v>1358.4</v>
      </c>
      <c r="AP173" s="107" t="n">
        <v>1</v>
      </c>
      <c r="AQ173" s="107" t="n">
        <v>1972852</v>
      </c>
      <c r="AR173" s="107" t="n">
        <v>2679922157</v>
      </c>
      <c r="AS173" s="107" t="n">
        <v>2043800</v>
      </c>
      <c r="AT173" s="107" t="n">
        <v>3024824000</v>
      </c>
      <c r="AU173" s="107" t="n">
        <v>-70948</v>
      </c>
      <c r="AV173" s="107" t="n">
        <v>-96375763</v>
      </c>
      <c r="AW173" s="107" t="n">
        <v>0</v>
      </c>
      <c r="AX173" s="107" t="n">
        <v>0</v>
      </c>
      <c r="AY173" s="107" t="n">
        <v>0</v>
      </c>
      <c r="AZ173" s="107" t="n">
        <v>0</v>
      </c>
      <c r="BA173" s="107" t="n">
        <v>0</v>
      </c>
      <c r="BB173" s="107" t="n">
        <v>0</v>
      </c>
      <c r="BC173" s="107" t="n">
        <v>0</v>
      </c>
      <c r="BD173" s="107" t="n">
        <v>0</v>
      </c>
      <c r="BE173" s="107" t="n">
        <v>38470.33</v>
      </c>
      <c r="BF173" s="107" t="n">
        <v>52258096</v>
      </c>
      <c r="BG173" s="107" t="n">
        <v>0</v>
      </c>
      <c r="BH173" s="107" t="n">
        <v>0</v>
      </c>
      <c r="BI173" s="107" t="n">
        <v>2043800</v>
      </c>
      <c r="BJ173" s="107" t="n">
        <v>3024824000</v>
      </c>
      <c r="BK173" s="107" t="n">
        <v>0</v>
      </c>
      <c r="BL173" s="107" t="n">
        <v>0</v>
      </c>
      <c r="BM173" s="107" t="n">
        <v>0</v>
      </c>
      <c r="BN173" s="107" t="n">
        <v>0</v>
      </c>
      <c r="BO173" s="107" t="s">
        <v>374</v>
      </c>
      <c r="BP173" s="2"/>
      <c r="BQ173" s="107" t="s">
        <v>367</v>
      </c>
      <c r="BR173" s="107" t="n">
        <v>-248526080</v>
      </c>
      <c r="BS173" s="107" t="n">
        <v>0</v>
      </c>
      <c r="BT173" s="107" t="n">
        <v>0</v>
      </c>
      <c r="BU173" s="107" t="n">
        <v>0</v>
      </c>
      <c r="BV173" s="107" t="n">
        <v>0</v>
      </c>
      <c r="BW173" s="107" t="n">
        <v>38470.33</v>
      </c>
      <c r="BX173" s="107" t="n">
        <v>52258096</v>
      </c>
      <c r="BY173" s="107" t="n">
        <v>0</v>
      </c>
      <c r="BZ173" s="107" t="n">
        <v>0</v>
      </c>
      <c r="CA173" s="107" t="n">
        <v>1480</v>
      </c>
      <c r="CB173" s="2"/>
      <c r="CC173" s="107" t="n">
        <v>0</v>
      </c>
      <c r="CD173" s="107" t="n">
        <v>98.64</v>
      </c>
      <c r="CE173" s="107" t="n">
        <v>98.61</v>
      </c>
      <c r="CF173" s="107" t="n">
        <v>98.68</v>
      </c>
      <c r="CG173" s="107" t="n">
        <v>700000</v>
      </c>
      <c r="CH173" s="107" t="n">
        <v>2.7624</v>
      </c>
      <c r="CI173" s="107" t="n">
        <v>99.68</v>
      </c>
      <c r="CJ173" s="107" t="n">
        <v>99.73</v>
      </c>
      <c r="CK173" s="107" t="n">
        <v>99.93</v>
      </c>
      <c r="CL173" s="107" t="n">
        <v>0</v>
      </c>
    </row>
    <row r="174" customFormat="false" ht="15" hidden="false" customHeight="false" outlineLevel="0" collapsed="false">
      <c r="A174" s="107" t="s">
        <v>643</v>
      </c>
      <c r="B174" s="107" t="n">
        <v>97.7646</v>
      </c>
      <c r="C174" s="107" t="n">
        <v>5.8113</v>
      </c>
      <c r="D174" s="107" t="n">
        <v>3.0478</v>
      </c>
      <c r="E174" s="107" t="n">
        <v>-1489.8347394</v>
      </c>
      <c r="F174" s="108" t="s">
        <v>358</v>
      </c>
      <c r="G174" s="107" t="n">
        <v>3.0478</v>
      </c>
      <c r="H174" s="107" t="n">
        <v>-1489.8347394</v>
      </c>
      <c r="I174" s="109" t="n">
        <v>47545</v>
      </c>
      <c r="J174" s="107" t="n">
        <v>3</v>
      </c>
      <c r="K174" s="108" t="s">
        <v>90</v>
      </c>
      <c r="L174" s="107" t="s">
        <v>298</v>
      </c>
      <c r="M174" s="107" t="n">
        <v>15239000</v>
      </c>
      <c r="N174" s="107" t="n">
        <v>100.398</v>
      </c>
      <c r="O174" s="107" t="n">
        <v>4888230</v>
      </c>
      <c r="P174" s="107" t="s">
        <v>394</v>
      </c>
      <c r="Q174" s="107" t="s">
        <v>374</v>
      </c>
      <c r="R174" s="107" t="n">
        <v>-0.116997109206385</v>
      </c>
      <c r="S174" s="107" t="n">
        <v>-0.0262296061674535</v>
      </c>
      <c r="T174" s="107" t="n">
        <v>-1533.1444572</v>
      </c>
      <c r="U174" s="107" t="n">
        <v>21069</v>
      </c>
      <c r="V174" s="108" t="s">
        <v>362</v>
      </c>
      <c r="W174" s="107" t="n">
        <v>34578</v>
      </c>
      <c r="X174" s="108" t="s">
        <v>372</v>
      </c>
      <c r="Y174" s="107" t="s">
        <v>641</v>
      </c>
      <c r="Z174" s="107" t="s">
        <v>644</v>
      </c>
      <c r="AA174" s="109" t="n">
        <v>46224</v>
      </c>
      <c r="AB174" s="107" t="n">
        <v>260721000001</v>
      </c>
      <c r="AC174" s="109" t="n">
        <v>45615</v>
      </c>
      <c r="AD174" s="109" t="n">
        <v>47806</v>
      </c>
      <c r="AE174" s="107" t="n">
        <v>5.286</v>
      </c>
      <c r="AF174" s="107" t="n">
        <v>2.8415</v>
      </c>
      <c r="AG174" s="107" t="n">
        <v>1511</v>
      </c>
      <c r="AH174" s="107" t="n">
        <v>5000000</v>
      </c>
      <c r="AI174" s="107" t="n">
        <v>4.972622</v>
      </c>
      <c r="AJ174" s="107" t="n">
        <v>100.943</v>
      </c>
      <c r="AK174" s="107" t="n">
        <v>5.028867</v>
      </c>
      <c r="AL174" s="107" t="n">
        <v>102.866516</v>
      </c>
      <c r="AM174" s="107" t="n">
        <v>5.7299</v>
      </c>
      <c r="AN174" s="107" t="n">
        <v>98.6426</v>
      </c>
      <c r="AO174" s="107" t="n">
        <v>1358.4</v>
      </c>
      <c r="AP174" s="107" t="n">
        <v>1</v>
      </c>
      <c r="AQ174" s="107" t="n">
        <v>4932130</v>
      </c>
      <c r="AR174" s="107" t="n">
        <v>6699805392</v>
      </c>
      <c r="AS174" s="107" t="n">
        <v>5047150</v>
      </c>
      <c r="AT174" s="107" t="n">
        <v>7491484745</v>
      </c>
      <c r="AU174" s="107" t="n">
        <v>-115020</v>
      </c>
      <c r="AV174" s="107" t="n">
        <v>-156243168</v>
      </c>
      <c r="AW174" s="107" t="n">
        <v>45518.33</v>
      </c>
      <c r="AX174" s="107" t="n">
        <v>67562857</v>
      </c>
      <c r="AY174" s="107" t="n">
        <v>0</v>
      </c>
      <c r="AZ174" s="107" t="n">
        <v>0</v>
      </c>
      <c r="BA174" s="107" t="n">
        <v>0</v>
      </c>
      <c r="BB174" s="107" t="n">
        <v>0</v>
      </c>
      <c r="BC174" s="107" t="n">
        <v>0</v>
      </c>
      <c r="BD174" s="107" t="n">
        <v>0</v>
      </c>
      <c r="BE174" s="107" t="n">
        <v>50657.5</v>
      </c>
      <c r="BF174" s="107" t="n">
        <v>68813148</v>
      </c>
      <c r="BG174" s="107" t="n">
        <v>0</v>
      </c>
      <c r="BH174" s="107" t="n">
        <v>0</v>
      </c>
      <c r="BI174" s="107" t="n">
        <v>5047150</v>
      </c>
      <c r="BJ174" s="107" t="n">
        <v>7491484745</v>
      </c>
      <c r="BK174" s="107" t="n">
        <v>0</v>
      </c>
      <c r="BL174" s="107" t="n">
        <v>0</v>
      </c>
      <c r="BM174" s="107" t="n">
        <v>0</v>
      </c>
      <c r="BN174" s="107" t="n">
        <v>0</v>
      </c>
      <c r="BO174" s="107" t="s">
        <v>374</v>
      </c>
      <c r="BP174" s="2"/>
      <c r="BQ174" s="107" t="s">
        <v>367</v>
      </c>
      <c r="BR174" s="107" t="n">
        <v>-635436185</v>
      </c>
      <c r="BS174" s="107" t="n">
        <v>-5730758</v>
      </c>
      <c r="BT174" s="107" t="n">
        <v>0</v>
      </c>
      <c r="BU174" s="107" t="n">
        <v>0</v>
      </c>
      <c r="BV174" s="107" t="n">
        <v>0</v>
      </c>
      <c r="BW174" s="107" t="n">
        <v>96175.83</v>
      </c>
      <c r="BX174" s="107" t="n">
        <v>130645247</v>
      </c>
      <c r="BY174" s="107" t="n">
        <v>0</v>
      </c>
      <c r="BZ174" s="107" t="n">
        <v>0</v>
      </c>
      <c r="CA174" s="107" t="n">
        <v>1484.3</v>
      </c>
      <c r="CB174" s="2"/>
      <c r="CC174" s="107" t="n">
        <v>0</v>
      </c>
      <c r="CD174" s="107" t="n">
        <v>98.64</v>
      </c>
      <c r="CE174" s="107" t="n">
        <v>98.61</v>
      </c>
      <c r="CF174" s="107" t="n">
        <v>98.68</v>
      </c>
      <c r="CG174" s="107" t="n">
        <v>0</v>
      </c>
      <c r="CH174" s="107" t="n">
        <v>2.7624</v>
      </c>
      <c r="CI174" s="107" t="n">
        <v>99.68</v>
      </c>
      <c r="CJ174" s="107" t="n">
        <v>99.73</v>
      </c>
      <c r="CK174" s="107" t="n">
        <v>99.93</v>
      </c>
      <c r="CL174" s="107" t="n">
        <v>0</v>
      </c>
    </row>
    <row r="175" customFormat="false" ht="15" hidden="false" customHeight="false" outlineLevel="0" collapsed="false">
      <c r="A175" s="107" t="s">
        <v>645</v>
      </c>
      <c r="B175" s="107" t="n">
        <v>98.0232</v>
      </c>
      <c r="C175" s="107" t="n">
        <v>5.8147</v>
      </c>
      <c r="D175" s="107" t="n">
        <v>3.1399</v>
      </c>
      <c r="E175" s="107" t="n">
        <v>-3077.8304568</v>
      </c>
      <c r="F175" s="108" t="s">
        <v>358</v>
      </c>
      <c r="G175" s="107" t="n">
        <v>3.1399</v>
      </c>
      <c r="H175" s="107" t="n">
        <v>-3077.8304568</v>
      </c>
      <c r="I175" s="109" t="n">
        <v>47616</v>
      </c>
      <c r="J175" s="107" t="n">
        <v>3</v>
      </c>
      <c r="K175" s="108" t="s">
        <v>90</v>
      </c>
      <c r="L175" s="107" t="s">
        <v>298</v>
      </c>
      <c r="M175" s="107" t="n">
        <v>31399000</v>
      </c>
      <c r="N175" s="107" t="n">
        <v>102.198</v>
      </c>
      <c r="O175" s="107" t="n">
        <v>9802320</v>
      </c>
      <c r="P175" s="107" t="s">
        <v>394</v>
      </c>
      <c r="Q175" s="107" t="s">
        <v>374</v>
      </c>
      <c r="R175" s="107" t="n">
        <v>-0.115990888925023</v>
      </c>
      <c r="S175" s="107" t="n">
        <v>-0.0408501144836493</v>
      </c>
      <c r="T175" s="107" t="n">
        <v>-3167.3256384</v>
      </c>
      <c r="U175" s="107" t="n">
        <v>21069</v>
      </c>
      <c r="V175" s="108" t="s">
        <v>362</v>
      </c>
      <c r="W175" s="107" t="n">
        <v>34578</v>
      </c>
      <c r="X175" s="108" t="s">
        <v>372</v>
      </c>
      <c r="Y175" s="107" t="s">
        <v>643</v>
      </c>
      <c r="Z175" s="107" t="s">
        <v>646</v>
      </c>
      <c r="AA175" s="109" t="n">
        <v>46132</v>
      </c>
      <c r="AB175" s="107" t="n">
        <v>260420000001</v>
      </c>
      <c r="AC175" s="109" t="n">
        <v>45719</v>
      </c>
      <c r="AD175" s="109" t="n">
        <v>47910</v>
      </c>
      <c r="AE175" s="107" t="n">
        <v>5.13</v>
      </c>
      <c r="AF175" s="107" t="n">
        <v>3.1338</v>
      </c>
      <c r="AG175" s="107" t="n">
        <v>1615</v>
      </c>
      <c r="AH175" s="107" t="n">
        <v>8000000</v>
      </c>
      <c r="AI175" s="107" t="n">
        <v>4.671</v>
      </c>
      <c r="AJ175" s="107" t="n">
        <v>101.6</v>
      </c>
      <c r="AK175" s="107" t="n">
        <v>4.724107</v>
      </c>
      <c r="AL175" s="107" t="n">
        <v>101.98475</v>
      </c>
      <c r="AM175" s="107" t="n">
        <v>5.7904</v>
      </c>
      <c r="AN175" s="107" t="n">
        <v>97.8365</v>
      </c>
      <c r="AO175" s="107" t="n">
        <v>1358.4</v>
      </c>
      <c r="AP175" s="107" t="n">
        <v>1</v>
      </c>
      <c r="AQ175" s="107" t="n">
        <v>7826920</v>
      </c>
      <c r="AR175" s="107" t="n">
        <v>10632088128</v>
      </c>
      <c r="AS175" s="107" t="n">
        <v>8128000</v>
      </c>
      <c r="AT175" s="107" t="n">
        <v>12029440000</v>
      </c>
      <c r="AU175" s="107" t="n">
        <v>-301080</v>
      </c>
      <c r="AV175" s="107" t="n">
        <v>-408987072</v>
      </c>
      <c r="AW175" s="107" t="n">
        <v>0</v>
      </c>
      <c r="AX175" s="107" t="n">
        <v>0</v>
      </c>
      <c r="AY175" s="107" t="n">
        <v>0</v>
      </c>
      <c r="AZ175" s="107" t="n">
        <v>0</v>
      </c>
      <c r="BA175" s="107" t="n">
        <v>0</v>
      </c>
      <c r="BB175" s="107" t="n">
        <v>0</v>
      </c>
      <c r="BC175" s="107" t="n">
        <v>0</v>
      </c>
      <c r="BD175" s="107" t="n">
        <v>0</v>
      </c>
      <c r="BE175" s="107" t="n">
        <v>30780</v>
      </c>
      <c r="BF175" s="107" t="n">
        <v>41811552</v>
      </c>
      <c r="BG175" s="107" t="n">
        <v>0</v>
      </c>
      <c r="BH175" s="107" t="n">
        <v>0</v>
      </c>
      <c r="BI175" s="107" t="n">
        <v>8128000</v>
      </c>
      <c r="BJ175" s="107" t="n">
        <v>12029440000</v>
      </c>
      <c r="BK175" s="107" t="n">
        <v>0</v>
      </c>
      <c r="BL175" s="107" t="n">
        <v>0</v>
      </c>
      <c r="BM175" s="107" t="n">
        <v>0</v>
      </c>
      <c r="BN175" s="107" t="n">
        <v>0</v>
      </c>
      <c r="BO175" s="107" t="s">
        <v>374</v>
      </c>
      <c r="BP175" s="2"/>
      <c r="BQ175" s="107" t="s">
        <v>367</v>
      </c>
      <c r="BR175" s="107" t="n">
        <v>-988364800</v>
      </c>
      <c r="BS175" s="107" t="n">
        <v>0</v>
      </c>
      <c r="BT175" s="107" t="n">
        <v>0</v>
      </c>
      <c r="BU175" s="107" t="n">
        <v>0</v>
      </c>
      <c r="BV175" s="107" t="n">
        <v>0</v>
      </c>
      <c r="BW175" s="107" t="n">
        <v>30780</v>
      </c>
      <c r="BX175" s="107" t="n">
        <v>41811552</v>
      </c>
      <c r="BY175" s="107" t="n">
        <v>0</v>
      </c>
      <c r="BZ175" s="107" t="n">
        <v>0</v>
      </c>
      <c r="CA175" s="107" t="n">
        <v>1480</v>
      </c>
      <c r="CB175" s="2"/>
      <c r="CC175" s="107" t="n">
        <v>0</v>
      </c>
      <c r="CD175" s="107" t="n">
        <v>97.85</v>
      </c>
      <c r="CE175" s="107" t="n">
        <v>97.8</v>
      </c>
      <c r="CF175" s="107" t="n">
        <v>97.87</v>
      </c>
      <c r="CG175" s="107" t="n">
        <v>0</v>
      </c>
      <c r="CH175" s="107" t="n">
        <v>3.0456</v>
      </c>
      <c r="CI175" s="107" t="n">
        <v>99.68</v>
      </c>
      <c r="CJ175" s="107" t="n">
        <v>99.73</v>
      </c>
      <c r="CK175" s="107" t="n">
        <v>99.93</v>
      </c>
      <c r="CL175" s="107" t="n">
        <v>0</v>
      </c>
    </row>
    <row r="176" customFormat="false" ht="15" hidden="false" customHeight="false" outlineLevel="0" collapsed="false">
      <c r="A176" s="107" t="s">
        <v>645</v>
      </c>
      <c r="B176" s="107" t="n">
        <v>98.0232</v>
      </c>
      <c r="C176" s="107" t="n">
        <v>5.8147</v>
      </c>
      <c r="D176" s="107" t="n">
        <v>3.1399</v>
      </c>
      <c r="E176" s="107" t="n">
        <v>-1538.9152284</v>
      </c>
      <c r="F176" s="108" t="s">
        <v>358</v>
      </c>
      <c r="G176" s="107" t="n">
        <v>3.1399</v>
      </c>
      <c r="H176" s="107" t="n">
        <v>-1538.9152284</v>
      </c>
      <c r="I176" s="109" t="n">
        <v>47616</v>
      </c>
      <c r="J176" s="107" t="n">
        <v>3</v>
      </c>
      <c r="K176" s="108" t="s">
        <v>90</v>
      </c>
      <c r="L176" s="107" t="s">
        <v>298</v>
      </c>
      <c r="M176" s="107" t="n">
        <v>15699500</v>
      </c>
      <c r="N176" s="107" t="n">
        <v>101.618</v>
      </c>
      <c r="O176" s="107" t="n">
        <v>4901160</v>
      </c>
      <c r="P176" s="107" t="s">
        <v>394</v>
      </c>
      <c r="Q176" s="107" t="s">
        <v>374</v>
      </c>
      <c r="R176" s="107" t="n">
        <v>-0.107861847333269</v>
      </c>
      <c r="S176" s="107" t="n">
        <v>-0.0353756224290971</v>
      </c>
      <c r="T176" s="107" t="n">
        <v>-1583.6628192</v>
      </c>
      <c r="U176" s="107" t="n">
        <v>21069</v>
      </c>
      <c r="V176" s="108" t="s">
        <v>362</v>
      </c>
      <c r="W176" s="107" t="n">
        <v>34578</v>
      </c>
      <c r="X176" s="108" t="s">
        <v>372</v>
      </c>
      <c r="Y176" s="107" t="s">
        <v>643</v>
      </c>
      <c r="Z176" s="107" t="s">
        <v>646</v>
      </c>
      <c r="AA176" s="109" t="n">
        <v>46161</v>
      </c>
      <c r="AB176" s="107" t="n">
        <v>260519000001</v>
      </c>
      <c r="AC176" s="109" t="n">
        <v>45719</v>
      </c>
      <c r="AD176" s="109" t="n">
        <v>47910</v>
      </c>
      <c r="AE176" s="107" t="n">
        <v>5.13</v>
      </c>
      <c r="AF176" s="107" t="n">
        <v>3.1338</v>
      </c>
      <c r="AG176" s="107" t="n">
        <v>1615</v>
      </c>
      <c r="AH176" s="107" t="n">
        <v>5000000</v>
      </c>
      <c r="AI176" s="107" t="n">
        <v>5.011094</v>
      </c>
      <c r="AJ176" s="107" t="n">
        <v>100.398</v>
      </c>
      <c r="AK176" s="107" t="n">
        <v>5.027528</v>
      </c>
      <c r="AL176" s="107" t="n">
        <v>100.78275</v>
      </c>
      <c r="AM176" s="107" t="n">
        <v>5.7904</v>
      </c>
      <c r="AN176" s="107" t="n">
        <v>97.8365</v>
      </c>
      <c r="AO176" s="107" t="n">
        <v>1358.4</v>
      </c>
      <c r="AP176" s="107" t="n">
        <v>1</v>
      </c>
      <c r="AQ176" s="107" t="n">
        <v>4891825</v>
      </c>
      <c r="AR176" s="107" t="n">
        <v>6645055080</v>
      </c>
      <c r="AS176" s="107" t="n">
        <v>5019900</v>
      </c>
      <c r="AT176" s="107" t="n">
        <v>7528846020</v>
      </c>
      <c r="AU176" s="107" t="n">
        <v>-128075</v>
      </c>
      <c r="AV176" s="107" t="n">
        <v>-173977080</v>
      </c>
      <c r="AW176" s="107" t="n">
        <v>0</v>
      </c>
      <c r="AX176" s="107" t="n">
        <v>0</v>
      </c>
      <c r="AY176" s="107" t="n">
        <v>0</v>
      </c>
      <c r="AZ176" s="107" t="n">
        <v>0</v>
      </c>
      <c r="BA176" s="107" t="n">
        <v>0</v>
      </c>
      <c r="BB176" s="107" t="n">
        <v>0</v>
      </c>
      <c r="BC176" s="107" t="n">
        <v>0</v>
      </c>
      <c r="BD176" s="107" t="n">
        <v>0</v>
      </c>
      <c r="BE176" s="107" t="n">
        <v>19237.5</v>
      </c>
      <c r="BF176" s="107" t="n">
        <v>26132220</v>
      </c>
      <c r="BG176" s="107" t="n">
        <v>0</v>
      </c>
      <c r="BH176" s="107" t="n">
        <v>0</v>
      </c>
      <c r="BI176" s="107" t="n">
        <v>5019900</v>
      </c>
      <c r="BJ176" s="107" t="n">
        <v>7528846020</v>
      </c>
      <c r="BK176" s="107" t="n">
        <v>0</v>
      </c>
      <c r="BL176" s="107" t="n">
        <v>0</v>
      </c>
      <c r="BM176" s="107" t="n">
        <v>0</v>
      </c>
      <c r="BN176" s="107" t="n">
        <v>0</v>
      </c>
      <c r="BO176" s="107" t="s">
        <v>374</v>
      </c>
      <c r="BP176" s="2"/>
      <c r="BQ176" s="107" t="s">
        <v>367</v>
      </c>
      <c r="BR176" s="107" t="n">
        <v>-709813860</v>
      </c>
      <c r="BS176" s="107" t="n">
        <v>0</v>
      </c>
      <c r="BT176" s="107" t="n">
        <v>0</v>
      </c>
      <c r="BU176" s="107" t="n">
        <v>0</v>
      </c>
      <c r="BV176" s="107" t="n">
        <v>0</v>
      </c>
      <c r="BW176" s="107" t="n">
        <v>19237.5</v>
      </c>
      <c r="BX176" s="107" t="n">
        <v>26132220</v>
      </c>
      <c r="BY176" s="107" t="n">
        <v>0</v>
      </c>
      <c r="BZ176" s="107" t="n">
        <v>0</v>
      </c>
      <c r="CA176" s="107" t="n">
        <v>1499.8</v>
      </c>
      <c r="CB176" s="2"/>
      <c r="CC176" s="107" t="n">
        <v>0</v>
      </c>
      <c r="CD176" s="107" t="n">
        <v>97.85</v>
      </c>
      <c r="CE176" s="107" t="n">
        <v>97.8</v>
      </c>
      <c r="CF176" s="107" t="n">
        <v>97.87</v>
      </c>
      <c r="CG176" s="107" t="n">
        <v>0</v>
      </c>
      <c r="CH176" s="107" t="n">
        <v>3.0456</v>
      </c>
      <c r="CI176" s="107" t="n">
        <v>99.68</v>
      </c>
      <c r="CJ176" s="107" t="n">
        <v>99.73</v>
      </c>
      <c r="CK176" s="107" t="n">
        <v>99.93</v>
      </c>
      <c r="CL176" s="107" t="n">
        <v>0</v>
      </c>
    </row>
    <row r="177" customFormat="false" ht="15" hidden="false" customHeight="false" outlineLevel="0" collapsed="false">
      <c r="A177" s="107" t="s">
        <v>645</v>
      </c>
      <c r="B177" s="107" t="n">
        <v>98.0232</v>
      </c>
      <c r="C177" s="107" t="n">
        <v>5.8147</v>
      </c>
      <c r="D177" s="107" t="n">
        <v>3.1399</v>
      </c>
      <c r="E177" s="107" t="n">
        <v>-923.34913704</v>
      </c>
      <c r="F177" s="108" t="s">
        <v>358</v>
      </c>
      <c r="G177" s="107" t="n">
        <v>3.1399</v>
      </c>
      <c r="H177" s="107" t="n">
        <v>-923.34913704</v>
      </c>
      <c r="I177" s="109" t="n">
        <v>47616</v>
      </c>
      <c r="J177" s="107" t="n">
        <v>3</v>
      </c>
      <c r="K177" s="108" t="s">
        <v>90</v>
      </c>
      <c r="L177" s="107" t="s">
        <v>298</v>
      </c>
      <c r="M177" s="107" t="n">
        <v>9419700</v>
      </c>
      <c r="N177" s="107" t="n">
        <v>100.755</v>
      </c>
      <c r="O177" s="107" t="n">
        <v>2940696</v>
      </c>
      <c r="P177" s="107" t="s">
        <v>394</v>
      </c>
      <c r="Q177" s="107" t="s">
        <v>374</v>
      </c>
      <c r="R177" s="107" t="n">
        <v>-0.0735709849396335</v>
      </c>
      <c r="S177" s="107" t="n">
        <v>-0.0271132946255769</v>
      </c>
      <c r="T177" s="107" t="n">
        <v>-950.19769152</v>
      </c>
      <c r="U177" s="107" t="n">
        <v>21069</v>
      </c>
      <c r="V177" s="108" t="s">
        <v>362</v>
      </c>
      <c r="W177" s="107" t="n">
        <v>34578</v>
      </c>
      <c r="X177" s="108" t="s">
        <v>372</v>
      </c>
      <c r="Y177" s="107" t="s">
        <v>645</v>
      </c>
      <c r="Z177" s="107" t="s">
        <v>647</v>
      </c>
      <c r="AA177" s="109" t="n">
        <v>46134</v>
      </c>
      <c r="AB177" s="107" t="n">
        <v>260422000001</v>
      </c>
      <c r="AC177" s="109" t="n">
        <v>45790</v>
      </c>
      <c r="AD177" s="109" t="n">
        <v>47981</v>
      </c>
      <c r="AE177" s="107" t="n">
        <v>5.24</v>
      </c>
      <c r="AF177" s="107" t="n">
        <v>3.2287</v>
      </c>
      <c r="AG177" s="107" t="n">
        <v>1686</v>
      </c>
      <c r="AH177" s="107" t="n">
        <v>10000000</v>
      </c>
      <c r="AI177" s="107" t="n">
        <v>4.638733</v>
      </c>
      <c r="AJ177" s="107" t="n">
        <v>102.198</v>
      </c>
      <c r="AK177" s="107" t="n">
        <v>4.703718</v>
      </c>
      <c r="AL177" s="107" t="n">
        <v>104.192111</v>
      </c>
      <c r="AM177" s="107" t="n">
        <v>5.7964</v>
      </c>
      <c r="AN177" s="107" t="n">
        <v>98.0886</v>
      </c>
      <c r="AO177" s="107" t="n">
        <v>1358.4</v>
      </c>
      <c r="AP177" s="107" t="n">
        <v>1</v>
      </c>
      <c r="AQ177" s="107" t="n">
        <v>9808860</v>
      </c>
      <c r="AR177" s="107" t="n">
        <v>13324355424</v>
      </c>
      <c r="AS177" s="107" t="n">
        <v>10219800</v>
      </c>
      <c r="AT177" s="107" t="n">
        <v>15080336880</v>
      </c>
      <c r="AU177" s="107" t="n">
        <v>-410940</v>
      </c>
      <c r="AV177" s="107" t="n">
        <v>-558220896</v>
      </c>
      <c r="AW177" s="107" t="n">
        <v>0</v>
      </c>
      <c r="AX177" s="107" t="n">
        <v>0</v>
      </c>
      <c r="AY177" s="107" t="n">
        <v>0</v>
      </c>
      <c r="AZ177" s="107" t="n">
        <v>0</v>
      </c>
      <c r="BA177" s="107" t="n">
        <v>0</v>
      </c>
      <c r="BB177" s="107" t="n">
        <v>0</v>
      </c>
      <c r="BC177" s="107" t="n">
        <v>0</v>
      </c>
      <c r="BD177" s="107" t="n">
        <v>0</v>
      </c>
      <c r="BE177" s="107" t="n">
        <v>199411.11</v>
      </c>
      <c r="BF177" s="107" t="n">
        <v>270880051</v>
      </c>
      <c r="BG177" s="107" t="n">
        <v>0</v>
      </c>
      <c r="BH177" s="107" t="n">
        <v>0</v>
      </c>
      <c r="BI177" s="107" t="n">
        <v>10219800</v>
      </c>
      <c r="BJ177" s="107" t="n">
        <v>15080336880</v>
      </c>
      <c r="BK177" s="107" t="n">
        <v>0</v>
      </c>
      <c r="BL177" s="107" t="n">
        <v>0</v>
      </c>
      <c r="BM177" s="107" t="n">
        <v>0</v>
      </c>
      <c r="BN177" s="107" t="n">
        <v>0</v>
      </c>
      <c r="BO177" s="107" t="s">
        <v>374</v>
      </c>
      <c r="BP177" s="2"/>
      <c r="BQ177" s="107" t="s">
        <v>367</v>
      </c>
      <c r="BR177" s="107" t="n">
        <v>-1197760560</v>
      </c>
      <c r="BS177" s="107" t="n">
        <v>0</v>
      </c>
      <c r="BT177" s="107" t="n">
        <v>0</v>
      </c>
      <c r="BU177" s="107" t="n">
        <v>0</v>
      </c>
      <c r="BV177" s="107" t="n">
        <v>0</v>
      </c>
      <c r="BW177" s="107" t="n">
        <v>199411.11</v>
      </c>
      <c r="BX177" s="107" t="n">
        <v>270880051</v>
      </c>
      <c r="BY177" s="107" t="n">
        <v>0</v>
      </c>
      <c r="BZ177" s="107" t="n">
        <v>0</v>
      </c>
      <c r="CA177" s="107" t="n">
        <v>1475.6</v>
      </c>
      <c r="CB177" s="2"/>
      <c r="CC177" s="107" t="n">
        <v>0</v>
      </c>
      <c r="CD177" s="107" t="n">
        <v>98.1</v>
      </c>
      <c r="CE177" s="107" t="n">
        <v>98.04</v>
      </c>
      <c r="CF177" s="107" t="n">
        <v>98.12</v>
      </c>
      <c r="CG177" s="107" t="n">
        <v>2870000</v>
      </c>
      <c r="CH177" s="107" t="n">
        <v>3.1378</v>
      </c>
      <c r="CI177" s="107" t="n">
        <v>99.68</v>
      </c>
      <c r="CJ177" s="107" t="n">
        <v>99.73</v>
      </c>
      <c r="CK177" s="107" t="n">
        <v>99.93</v>
      </c>
      <c r="CL177" s="107" t="n">
        <v>0</v>
      </c>
    </row>
    <row r="178" customFormat="false" ht="15" hidden="false" customHeight="false" outlineLevel="0" collapsed="false">
      <c r="A178" s="107" t="s">
        <v>648</v>
      </c>
      <c r="B178" s="107" t="n">
        <v>101.7258</v>
      </c>
      <c r="C178" s="107" t="n">
        <v>5.8257</v>
      </c>
      <c r="D178" s="107" t="n">
        <v>2.9495</v>
      </c>
      <c r="E178" s="107" t="n">
        <v>-600.0804942</v>
      </c>
      <c r="F178" s="108" t="s">
        <v>358</v>
      </c>
      <c r="G178" s="107" t="n">
        <v>2.9495</v>
      </c>
      <c r="H178" s="107" t="n">
        <v>-600.0804942</v>
      </c>
      <c r="I178" s="109" t="n">
        <v>47581</v>
      </c>
      <c r="J178" s="107" t="n">
        <v>3</v>
      </c>
      <c r="K178" s="107" t="s">
        <v>359</v>
      </c>
      <c r="L178" s="107" t="s">
        <v>298</v>
      </c>
      <c r="M178" s="107" t="n">
        <v>5899000</v>
      </c>
      <c r="N178" s="107" t="n">
        <v>104.986</v>
      </c>
      <c r="O178" s="107" t="n">
        <v>2034516</v>
      </c>
      <c r="P178" s="107" t="s">
        <v>399</v>
      </c>
      <c r="Q178" s="107" t="s">
        <v>374</v>
      </c>
      <c r="R178" s="107" t="n">
        <v>-0.10036185440097</v>
      </c>
      <c r="S178" s="107" t="n">
        <v>-0.0310536642980969</v>
      </c>
      <c r="T178" s="107" t="n">
        <v>-617.55698664</v>
      </c>
      <c r="U178" s="107" t="n">
        <v>21069</v>
      </c>
      <c r="V178" s="108" t="s">
        <v>362</v>
      </c>
      <c r="W178" s="107" t="n">
        <v>34578</v>
      </c>
      <c r="X178" s="108" t="s">
        <v>372</v>
      </c>
      <c r="Y178" s="107" t="s">
        <v>645</v>
      </c>
      <c r="Z178" s="107" t="s">
        <v>647</v>
      </c>
      <c r="AA178" s="109" t="n">
        <v>46149</v>
      </c>
      <c r="AB178" s="107" t="n">
        <v>260507000001</v>
      </c>
      <c r="AC178" s="109" t="n">
        <v>45790</v>
      </c>
      <c r="AD178" s="109" t="n">
        <v>47981</v>
      </c>
      <c r="AE178" s="107" t="n">
        <v>5.24</v>
      </c>
      <c r="AF178" s="107" t="n">
        <v>3.2287</v>
      </c>
      <c r="AG178" s="107" t="n">
        <v>1686</v>
      </c>
      <c r="AH178" s="107" t="n">
        <v>5000000</v>
      </c>
      <c r="AI178" s="107" t="n">
        <v>4.792098</v>
      </c>
      <c r="AJ178" s="107" t="n">
        <v>101.618</v>
      </c>
      <c r="AK178" s="107" t="n">
        <v>4.843495</v>
      </c>
      <c r="AL178" s="107" t="n">
        <v>103.612111</v>
      </c>
      <c r="AM178" s="107" t="n">
        <v>5.7964</v>
      </c>
      <c r="AN178" s="107" t="n">
        <v>98.0886</v>
      </c>
      <c r="AO178" s="107" t="n">
        <v>1358.4</v>
      </c>
      <c r="AP178" s="107" t="n">
        <v>1</v>
      </c>
      <c r="AQ178" s="107" t="n">
        <v>4904430</v>
      </c>
      <c r="AR178" s="107" t="n">
        <v>6662177712</v>
      </c>
      <c r="AS178" s="107" t="n">
        <v>5080900</v>
      </c>
      <c r="AT178" s="107" t="n">
        <v>7471463450</v>
      </c>
      <c r="AU178" s="107" t="n">
        <v>-176470</v>
      </c>
      <c r="AV178" s="107" t="n">
        <v>-239716848</v>
      </c>
      <c r="AW178" s="107" t="n">
        <v>0</v>
      </c>
      <c r="AX178" s="107" t="n">
        <v>0</v>
      </c>
      <c r="AY178" s="107" t="n">
        <v>0</v>
      </c>
      <c r="AZ178" s="107" t="n">
        <v>0</v>
      </c>
      <c r="BA178" s="107" t="n">
        <v>0</v>
      </c>
      <c r="BB178" s="107" t="n">
        <v>0</v>
      </c>
      <c r="BC178" s="107" t="n">
        <v>0</v>
      </c>
      <c r="BD178" s="107" t="n">
        <v>0</v>
      </c>
      <c r="BE178" s="107" t="n">
        <v>99705.56</v>
      </c>
      <c r="BF178" s="107" t="n">
        <v>135440032</v>
      </c>
      <c r="BG178" s="107" t="n">
        <v>0</v>
      </c>
      <c r="BH178" s="107" t="n">
        <v>0</v>
      </c>
      <c r="BI178" s="107" t="n">
        <v>5080900</v>
      </c>
      <c r="BJ178" s="107" t="n">
        <v>7471463450</v>
      </c>
      <c r="BK178" s="107" t="n">
        <v>0</v>
      </c>
      <c r="BL178" s="107" t="n">
        <v>0</v>
      </c>
      <c r="BM178" s="107" t="n">
        <v>0</v>
      </c>
      <c r="BN178" s="107" t="n">
        <v>0</v>
      </c>
      <c r="BO178" s="107" t="s">
        <v>374</v>
      </c>
      <c r="BP178" s="2"/>
      <c r="BQ178" s="107" t="s">
        <v>367</v>
      </c>
      <c r="BR178" s="107" t="n">
        <v>-569568890</v>
      </c>
      <c r="BS178" s="107" t="n">
        <v>0</v>
      </c>
      <c r="BT178" s="107" t="n">
        <v>0</v>
      </c>
      <c r="BU178" s="107" t="n">
        <v>0</v>
      </c>
      <c r="BV178" s="107" t="n">
        <v>0</v>
      </c>
      <c r="BW178" s="107" t="n">
        <v>99705.56</v>
      </c>
      <c r="BX178" s="107" t="n">
        <v>135440032</v>
      </c>
      <c r="BY178" s="107" t="n">
        <v>0</v>
      </c>
      <c r="BZ178" s="107" t="n">
        <v>0</v>
      </c>
      <c r="CA178" s="107" t="n">
        <v>1470.5</v>
      </c>
      <c r="CB178" s="2"/>
      <c r="CC178" s="107" t="n">
        <v>0</v>
      </c>
      <c r="CD178" s="107" t="n">
        <v>98.1</v>
      </c>
      <c r="CE178" s="107" t="n">
        <v>98.04</v>
      </c>
      <c r="CF178" s="107" t="n">
        <v>98.12</v>
      </c>
      <c r="CG178" s="107" t="n">
        <v>0</v>
      </c>
      <c r="CH178" s="107" t="n">
        <v>3.1378</v>
      </c>
      <c r="CI178" s="107" t="n">
        <v>99.68</v>
      </c>
      <c r="CJ178" s="107" t="n">
        <v>99.73</v>
      </c>
      <c r="CK178" s="107" t="n">
        <v>99.93</v>
      </c>
      <c r="CL178" s="107" t="n">
        <v>0</v>
      </c>
    </row>
    <row r="179" customFormat="false" ht="15" hidden="false" customHeight="false" outlineLevel="0" collapsed="false">
      <c r="A179" s="107" t="s">
        <v>648</v>
      </c>
      <c r="B179" s="107" t="n">
        <v>101.7258</v>
      </c>
      <c r="C179" s="107" t="n">
        <v>5.8257</v>
      </c>
      <c r="D179" s="107" t="n">
        <v>2.9495</v>
      </c>
      <c r="E179" s="107" t="n">
        <v>-1500.2012355</v>
      </c>
      <c r="F179" s="108" t="s">
        <v>358</v>
      </c>
      <c r="G179" s="107" t="n">
        <v>2.9495</v>
      </c>
      <c r="H179" s="107" t="n">
        <v>-1500.2012355</v>
      </c>
      <c r="I179" s="109" t="n">
        <v>47581</v>
      </c>
      <c r="J179" s="107" t="n">
        <v>3</v>
      </c>
      <c r="K179" s="107" t="s">
        <v>359</v>
      </c>
      <c r="L179" s="107" t="s">
        <v>298</v>
      </c>
      <c r="M179" s="107" t="n">
        <v>14747500</v>
      </c>
      <c r="N179" s="107" t="n">
        <v>104.39</v>
      </c>
      <c r="O179" s="107" t="n">
        <v>5086290</v>
      </c>
      <c r="P179" s="107" t="s">
        <v>399</v>
      </c>
      <c r="Q179" s="107" t="s">
        <v>374</v>
      </c>
      <c r="R179" s="107" t="n">
        <v>-0.100361854225466</v>
      </c>
      <c r="S179" s="107" t="n">
        <v>-0.0255216016859852</v>
      </c>
      <c r="T179" s="107" t="n">
        <v>-1543.8924666</v>
      </c>
      <c r="U179" s="107" t="n">
        <v>21069</v>
      </c>
      <c r="V179" s="108" t="s">
        <v>362</v>
      </c>
      <c r="W179" s="107" t="n">
        <v>34578</v>
      </c>
      <c r="X179" s="108" t="s">
        <v>372</v>
      </c>
      <c r="Y179" s="107" t="s">
        <v>645</v>
      </c>
      <c r="Z179" s="107" t="s">
        <v>647</v>
      </c>
      <c r="AA179" s="109" t="n">
        <v>46240</v>
      </c>
      <c r="AB179" s="107" t="n">
        <v>260806000001</v>
      </c>
      <c r="AC179" s="109" t="n">
        <v>45790</v>
      </c>
      <c r="AD179" s="109" t="n">
        <v>47981</v>
      </c>
      <c r="AE179" s="107" t="n">
        <v>5.24</v>
      </c>
      <c r="AF179" s="107" t="n">
        <v>3.2287</v>
      </c>
      <c r="AG179" s="107" t="n">
        <v>1686</v>
      </c>
      <c r="AH179" s="107" t="n">
        <v>3000000</v>
      </c>
      <c r="AI179" s="107" t="n">
        <v>5.015309</v>
      </c>
      <c r="AJ179" s="107" t="n">
        <v>100.755</v>
      </c>
      <c r="AK179" s="107" t="n">
        <v>5.053234</v>
      </c>
      <c r="AL179" s="107" t="n">
        <v>102.749111</v>
      </c>
      <c r="AM179" s="107" t="n">
        <v>5.7964</v>
      </c>
      <c r="AN179" s="107" t="n">
        <v>98.0886</v>
      </c>
      <c r="AO179" s="107" t="n">
        <v>1358.4</v>
      </c>
      <c r="AP179" s="107" t="n">
        <v>1</v>
      </c>
      <c r="AQ179" s="107" t="n">
        <v>2942658</v>
      </c>
      <c r="AR179" s="107" t="n">
        <v>3997306627</v>
      </c>
      <c r="AS179" s="107" t="n">
        <v>3022650</v>
      </c>
      <c r="AT179" s="107" t="n">
        <v>4316948730</v>
      </c>
      <c r="AU179" s="107" t="n">
        <v>-79992</v>
      </c>
      <c r="AV179" s="107" t="n">
        <v>-108661133</v>
      </c>
      <c r="AW179" s="107" t="n">
        <v>36243.33</v>
      </c>
      <c r="AX179" s="107" t="n">
        <v>51762723</v>
      </c>
      <c r="AY179" s="107" t="n">
        <v>0</v>
      </c>
      <c r="AZ179" s="107" t="n">
        <v>0</v>
      </c>
      <c r="BA179" s="107" t="n">
        <v>0</v>
      </c>
      <c r="BB179" s="107" t="n">
        <v>0</v>
      </c>
      <c r="BC179" s="107" t="n">
        <v>0</v>
      </c>
      <c r="BD179" s="107" t="n">
        <v>0</v>
      </c>
      <c r="BE179" s="107" t="n">
        <v>23580</v>
      </c>
      <c r="BF179" s="107" t="n">
        <v>32031072</v>
      </c>
      <c r="BG179" s="107" t="n">
        <v>0</v>
      </c>
      <c r="BH179" s="107" t="n">
        <v>0</v>
      </c>
      <c r="BI179" s="107" t="n">
        <v>3022650</v>
      </c>
      <c r="BJ179" s="107" t="n">
        <v>4316948730</v>
      </c>
      <c r="BK179" s="107" t="n">
        <v>0</v>
      </c>
      <c r="BL179" s="107" t="n">
        <v>0</v>
      </c>
      <c r="BM179" s="107" t="n">
        <v>0</v>
      </c>
      <c r="BN179" s="107" t="n">
        <v>0</v>
      </c>
      <c r="BO179" s="107" t="s">
        <v>374</v>
      </c>
      <c r="BP179" s="2"/>
      <c r="BQ179" s="107" t="s">
        <v>367</v>
      </c>
      <c r="BR179" s="107" t="n">
        <v>-210980970</v>
      </c>
      <c r="BS179" s="107" t="n">
        <v>-2529784</v>
      </c>
      <c r="BT179" s="107" t="n">
        <v>0</v>
      </c>
      <c r="BU179" s="107" t="n">
        <v>0</v>
      </c>
      <c r="BV179" s="107" t="n">
        <v>0</v>
      </c>
      <c r="BW179" s="107" t="n">
        <v>59823.33</v>
      </c>
      <c r="BX179" s="107" t="n">
        <v>81264011</v>
      </c>
      <c r="BY179" s="107" t="n">
        <v>0</v>
      </c>
      <c r="BZ179" s="107" t="n">
        <v>0</v>
      </c>
      <c r="CA179" s="107" t="n">
        <v>1428.2</v>
      </c>
      <c r="CB179" s="2"/>
      <c r="CC179" s="107" t="n">
        <v>0</v>
      </c>
      <c r="CD179" s="107" t="n">
        <v>98.1</v>
      </c>
      <c r="CE179" s="107" t="n">
        <v>98.04</v>
      </c>
      <c r="CF179" s="107" t="n">
        <v>98.12</v>
      </c>
      <c r="CG179" s="107" t="n">
        <v>0</v>
      </c>
      <c r="CH179" s="107" t="n">
        <v>3.1378</v>
      </c>
      <c r="CI179" s="107" t="n">
        <v>99.68</v>
      </c>
      <c r="CJ179" s="107" t="n">
        <v>99.73</v>
      </c>
      <c r="CK179" s="107" t="n">
        <v>99.93</v>
      </c>
      <c r="CL179" s="107" t="n">
        <v>0</v>
      </c>
    </row>
    <row r="180" customFormat="false" ht="15" hidden="false" customHeight="false" outlineLevel="0" collapsed="false">
      <c r="A180" s="107" t="s">
        <v>648</v>
      </c>
      <c r="B180" s="107" t="n">
        <v>101.7258</v>
      </c>
      <c r="C180" s="107" t="n">
        <v>5.8257</v>
      </c>
      <c r="D180" s="107" t="n">
        <v>2.9495</v>
      </c>
      <c r="E180" s="107" t="n">
        <v>-1050.14086485</v>
      </c>
      <c r="F180" s="108" t="s">
        <v>358</v>
      </c>
      <c r="G180" s="107" t="n">
        <v>2.9495</v>
      </c>
      <c r="H180" s="107" t="n">
        <v>-1050.14086485</v>
      </c>
      <c r="I180" s="109" t="n">
        <v>47581</v>
      </c>
      <c r="J180" s="107" t="n">
        <v>3</v>
      </c>
      <c r="K180" s="107" t="s">
        <v>359</v>
      </c>
      <c r="L180" s="107" t="s">
        <v>298</v>
      </c>
      <c r="M180" s="107" t="n">
        <v>10323250</v>
      </c>
      <c r="N180" s="107" t="n">
        <v>106.641</v>
      </c>
      <c r="O180" s="107" t="n">
        <v>3560403</v>
      </c>
      <c r="P180" s="107" t="s">
        <v>399</v>
      </c>
      <c r="Q180" s="107" t="s">
        <v>374</v>
      </c>
      <c r="R180" s="107" t="n">
        <v>-0.10036185427561</v>
      </c>
      <c r="S180" s="107" t="n">
        <v>-0.0460910906686921</v>
      </c>
      <c r="T180" s="107" t="n">
        <v>-1080.72472662</v>
      </c>
      <c r="U180" s="107" t="n">
        <v>21069</v>
      </c>
      <c r="V180" s="108" t="s">
        <v>362</v>
      </c>
      <c r="W180" s="107" t="n">
        <v>34578</v>
      </c>
      <c r="X180" s="108" t="s">
        <v>372</v>
      </c>
      <c r="Y180" s="107" t="s">
        <v>648</v>
      </c>
      <c r="Z180" s="107" t="s">
        <v>649</v>
      </c>
      <c r="AA180" s="109" t="n">
        <v>45709</v>
      </c>
      <c r="AB180" s="107" t="n">
        <v>250221000001</v>
      </c>
      <c r="AC180" s="109" t="n">
        <v>43928</v>
      </c>
      <c r="AD180" s="109" t="n">
        <v>47581</v>
      </c>
      <c r="AE180" s="107" t="n">
        <v>6.375</v>
      </c>
      <c r="AF180" s="107" t="n">
        <v>3.0328</v>
      </c>
      <c r="AG180" s="107" t="n">
        <v>1286</v>
      </c>
      <c r="AH180" s="107" t="n">
        <v>2000000</v>
      </c>
      <c r="AI180" s="107" t="n">
        <v>5.204992</v>
      </c>
      <c r="AJ180" s="107" t="n">
        <v>104.986</v>
      </c>
      <c r="AK180" s="107" t="n">
        <v>4.164344</v>
      </c>
      <c r="AL180" s="107" t="n">
        <v>110.217633</v>
      </c>
      <c r="AM180" s="107" t="n">
        <v>5.8044</v>
      </c>
      <c r="AN180" s="107" t="n">
        <v>101.7924</v>
      </c>
      <c r="AO180" s="107" t="n">
        <v>1358.4</v>
      </c>
      <c r="AP180" s="107" t="n">
        <v>1</v>
      </c>
      <c r="AQ180" s="107" t="n">
        <v>2035848</v>
      </c>
      <c r="AR180" s="107" t="n">
        <v>2765495923</v>
      </c>
      <c r="AS180" s="107" t="n">
        <v>2143436</v>
      </c>
      <c r="AT180" s="107" t="n">
        <v>3075616317</v>
      </c>
      <c r="AU180" s="107" t="n">
        <v>-107588</v>
      </c>
      <c r="AV180" s="107" t="n">
        <v>-146147539</v>
      </c>
      <c r="AW180" s="107" t="n">
        <v>0</v>
      </c>
      <c r="AX180" s="107" t="n">
        <v>0</v>
      </c>
      <c r="AY180" s="107" t="n">
        <v>0</v>
      </c>
      <c r="AZ180" s="107" t="n">
        <v>0</v>
      </c>
      <c r="BA180" s="107" t="n">
        <v>0</v>
      </c>
      <c r="BB180" s="107" t="n">
        <v>0</v>
      </c>
      <c r="BC180" s="107" t="n">
        <v>0</v>
      </c>
      <c r="BD180" s="107" t="n">
        <v>0</v>
      </c>
      <c r="BE180" s="107" t="n">
        <v>60916.67</v>
      </c>
      <c r="BF180" s="107" t="n">
        <v>82749204</v>
      </c>
      <c r="BG180" s="107" t="n">
        <v>0</v>
      </c>
      <c r="BH180" s="107" t="n">
        <v>0</v>
      </c>
      <c r="BI180" s="107" t="n">
        <v>3149580</v>
      </c>
      <c r="BJ180" s="107" t="n">
        <v>4519332342</v>
      </c>
      <c r="BK180" s="107" t="n">
        <v>0</v>
      </c>
      <c r="BL180" s="107" t="n">
        <v>0</v>
      </c>
      <c r="BM180" s="107" t="n">
        <v>0</v>
      </c>
      <c r="BN180" s="107" t="n">
        <v>0</v>
      </c>
      <c r="BO180" s="107" t="s">
        <v>374</v>
      </c>
      <c r="BP180" s="2"/>
      <c r="BQ180" s="107" t="s">
        <v>374</v>
      </c>
      <c r="BR180" s="107" t="n">
        <v>-163972855</v>
      </c>
      <c r="BS180" s="107" t="n">
        <v>0</v>
      </c>
      <c r="BT180" s="107" t="n">
        <v>0</v>
      </c>
      <c r="BU180" s="107" t="n">
        <v>65574</v>
      </c>
      <c r="BV180" s="107" t="n">
        <v>94092133</v>
      </c>
      <c r="BW180" s="107" t="n">
        <v>60916.67</v>
      </c>
      <c r="BX180" s="107" t="n">
        <v>82749204</v>
      </c>
      <c r="BY180" s="107" t="n">
        <v>0</v>
      </c>
      <c r="BZ180" s="107" t="n">
        <v>0</v>
      </c>
      <c r="CA180" s="107" t="n">
        <v>1434.9</v>
      </c>
      <c r="CB180" s="2"/>
      <c r="CC180" s="107" t="n">
        <v>0</v>
      </c>
      <c r="CD180" s="107" t="n">
        <v>101.72</v>
      </c>
      <c r="CE180" s="107" t="n">
        <v>101.93</v>
      </c>
      <c r="CF180" s="107" t="n">
        <v>101.73</v>
      </c>
      <c r="CG180" s="107" t="n">
        <v>0</v>
      </c>
      <c r="CH180" s="107" t="n">
        <v>2.9473</v>
      </c>
      <c r="CI180" s="107" t="n">
        <v>99.68</v>
      </c>
      <c r="CJ180" s="107" t="n">
        <v>99.73</v>
      </c>
      <c r="CK180" s="107" t="n">
        <v>99.93</v>
      </c>
      <c r="CL180" s="107" t="n">
        <v>0</v>
      </c>
    </row>
    <row r="181" customFormat="false" ht="15" hidden="false" customHeight="false" outlineLevel="0" collapsed="false">
      <c r="A181" s="107" t="s">
        <v>650</v>
      </c>
      <c r="B181" s="107" t="n">
        <v>100.0237</v>
      </c>
      <c r="C181" s="107" t="n">
        <v>5.7922</v>
      </c>
      <c r="D181" s="107" t="n">
        <v>2.9603</v>
      </c>
      <c r="E181" s="107" t="n">
        <v>-384.930206843</v>
      </c>
      <c r="F181" s="108" t="s">
        <v>358</v>
      </c>
      <c r="G181" s="107" t="n">
        <v>2.9603</v>
      </c>
      <c r="H181" s="107" t="n">
        <v>-384.930206843</v>
      </c>
      <c r="I181" s="109" t="n">
        <v>47574</v>
      </c>
      <c r="J181" s="107" t="n">
        <v>3</v>
      </c>
      <c r="K181" s="107" t="s">
        <v>359</v>
      </c>
      <c r="L181" s="107" t="s">
        <v>298</v>
      </c>
      <c r="M181" s="107" t="n">
        <v>3848390</v>
      </c>
      <c r="N181" s="107" t="n">
        <v>102.493</v>
      </c>
      <c r="O181" s="107" t="n">
        <v>1300308.1</v>
      </c>
      <c r="P181" s="107" t="s">
        <v>399</v>
      </c>
      <c r="Q181" s="107" t="s">
        <v>374</v>
      </c>
      <c r="R181" s="107" t="n">
        <v>-0.0970864025221682</v>
      </c>
      <c r="S181" s="107" t="n">
        <v>-0.0240923770403831</v>
      </c>
      <c r="T181" s="107" t="n">
        <v>-396.07384726</v>
      </c>
      <c r="U181" s="107" t="n">
        <v>21069</v>
      </c>
      <c r="V181" s="108" t="s">
        <v>362</v>
      </c>
      <c r="W181" s="107" t="n">
        <v>34578</v>
      </c>
      <c r="X181" s="108" t="s">
        <v>372</v>
      </c>
      <c r="Y181" s="107" t="s">
        <v>648</v>
      </c>
      <c r="Z181" s="107" t="s">
        <v>649</v>
      </c>
      <c r="AA181" s="109" t="n">
        <v>45798</v>
      </c>
      <c r="AB181" s="107" t="n">
        <v>250521000001</v>
      </c>
      <c r="AC181" s="109" t="n">
        <v>43928</v>
      </c>
      <c r="AD181" s="109" t="n">
        <v>47581</v>
      </c>
      <c r="AE181" s="107" t="n">
        <v>6.375</v>
      </c>
      <c r="AF181" s="107" t="n">
        <v>3.0328</v>
      </c>
      <c r="AG181" s="107" t="n">
        <v>1286</v>
      </c>
      <c r="AH181" s="107" t="n">
        <v>5000000</v>
      </c>
      <c r="AI181" s="107" t="n">
        <v>5.293732</v>
      </c>
      <c r="AJ181" s="107" t="n">
        <v>104.39</v>
      </c>
      <c r="AK181" s="107" t="n">
        <v>4.164344</v>
      </c>
      <c r="AL181" s="107" t="n">
        <v>110.217633</v>
      </c>
      <c r="AM181" s="107" t="n">
        <v>5.8044</v>
      </c>
      <c r="AN181" s="107" t="n">
        <v>101.7924</v>
      </c>
      <c r="AO181" s="107" t="n">
        <v>1358.4</v>
      </c>
      <c r="AP181" s="107" t="n">
        <v>1</v>
      </c>
      <c r="AQ181" s="107" t="n">
        <v>5089620</v>
      </c>
      <c r="AR181" s="107" t="n">
        <v>6913739808</v>
      </c>
      <c r="AS181" s="107" t="n">
        <v>5358590</v>
      </c>
      <c r="AT181" s="107" t="n">
        <v>7689040791</v>
      </c>
      <c r="AU181" s="107" t="n">
        <v>-268970</v>
      </c>
      <c r="AV181" s="107" t="n">
        <v>-365368848</v>
      </c>
      <c r="AW181" s="107" t="n">
        <v>0</v>
      </c>
      <c r="AX181" s="107" t="n">
        <v>0</v>
      </c>
      <c r="AY181" s="107" t="n">
        <v>0</v>
      </c>
      <c r="AZ181" s="107" t="n">
        <v>0</v>
      </c>
      <c r="BA181" s="107" t="n">
        <v>0</v>
      </c>
      <c r="BB181" s="107" t="n">
        <v>0</v>
      </c>
      <c r="BC181" s="107" t="n">
        <v>0</v>
      </c>
      <c r="BD181" s="107" t="n">
        <v>0</v>
      </c>
      <c r="BE181" s="107" t="n">
        <v>152291.67</v>
      </c>
      <c r="BF181" s="107" t="n">
        <v>206873004</v>
      </c>
      <c r="BG181" s="107" t="n">
        <v>0</v>
      </c>
      <c r="BH181" s="107" t="n">
        <v>0</v>
      </c>
      <c r="BI181" s="107" t="n">
        <v>5219500</v>
      </c>
      <c r="BJ181" s="107" t="n">
        <v>7489460550</v>
      </c>
      <c r="BK181" s="107" t="n">
        <v>0</v>
      </c>
      <c r="BL181" s="107" t="n">
        <v>0</v>
      </c>
      <c r="BM181" s="107" t="n">
        <v>0</v>
      </c>
      <c r="BN181" s="107" t="n">
        <v>0</v>
      </c>
      <c r="BO181" s="107" t="s">
        <v>374</v>
      </c>
      <c r="BP181" s="2"/>
      <c r="BQ181" s="107" t="s">
        <v>374</v>
      </c>
      <c r="BR181" s="107" t="n">
        <v>-409932135</v>
      </c>
      <c r="BS181" s="107" t="n">
        <v>0</v>
      </c>
      <c r="BT181" s="107" t="n">
        <v>0</v>
      </c>
      <c r="BU181" s="107" t="n">
        <v>139090</v>
      </c>
      <c r="BV181" s="107" t="n">
        <v>199580241</v>
      </c>
      <c r="BW181" s="107" t="n">
        <v>152291.67</v>
      </c>
      <c r="BX181" s="107" t="n">
        <v>206873004</v>
      </c>
      <c r="BY181" s="107" t="n">
        <v>0</v>
      </c>
      <c r="BZ181" s="107" t="n">
        <v>0</v>
      </c>
      <c r="CA181" s="107" t="n">
        <v>1434.9</v>
      </c>
      <c r="CB181" s="2"/>
      <c r="CC181" s="107" t="n">
        <v>0</v>
      </c>
      <c r="CD181" s="107" t="n">
        <v>101.72</v>
      </c>
      <c r="CE181" s="107" t="n">
        <v>101.93</v>
      </c>
      <c r="CF181" s="107" t="n">
        <v>101.73</v>
      </c>
      <c r="CG181" s="107" t="n">
        <v>0</v>
      </c>
      <c r="CH181" s="107" t="n">
        <v>2.9473</v>
      </c>
      <c r="CI181" s="107" t="n">
        <v>101.71</v>
      </c>
      <c r="CJ181" s="107" t="n">
        <v>101.79</v>
      </c>
      <c r="CK181" s="107" t="n">
        <v>101.91</v>
      </c>
      <c r="CL181" s="107" t="n">
        <v>0</v>
      </c>
    </row>
    <row r="182" customFormat="false" ht="15" hidden="false" customHeight="false" outlineLevel="0" collapsed="false">
      <c r="A182" s="107" t="s">
        <v>650</v>
      </c>
      <c r="B182" s="107" t="n">
        <v>100.0237</v>
      </c>
      <c r="C182" s="107" t="n">
        <v>5.7922</v>
      </c>
      <c r="D182" s="107" t="n">
        <v>2.9603</v>
      </c>
      <c r="E182" s="107" t="n">
        <v>-799.470429597</v>
      </c>
      <c r="F182" s="108" t="s">
        <v>358</v>
      </c>
      <c r="G182" s="107" t="n">
        <v>2.9603</v>
      </c>
      <c r="H182" s="107" t="n">
        <v>-799.470429597</v>
      </c>
      <c r="I182" s="109" t="n">
        <v>47574</v>
      </c>
      <c r="J182" s="107" t="n">
        <v>3</v>
      </c>
      <c r="K182" s="107" t="s">
        <v>359</v>
      </c>
      <c r="L182" s="107" t="s">
        <v>298</v>
      </c>
      <c r="M182" s="107" t="n">
        <v>7992810</v>
      </c>
      <c r="N182" s="107" t="n">
        <v>102.617</v>
      </c>
      <c r="O182" s="107" t="n">
        <v>2700639.9</v>
      </c>
      <c r="P182" s="107" t="s">
        <v>399</v>
      </c>
      <c r="Q182" s="107" t="s">
        <v>374</v>
      </c>
      <c r="R182" s="107" t="n">
        <v>-0.0970864025563168</v>
      </c>
      <c r="S182" s="107" t="n">
        <v>-0.0252716411510763</v>
      </c>
      <c r="T182" s="107" t="n">
        <v>-822.61491354</v>
      </c>
      <c r="U182" s="107" t="n">
        <v>21069</v>
      </c>
      <c r="V182" s="108" t="s">
        <v>362</v>
      </c>
      <c r="W182" s="107" t="n">
        <v>34578</v>
      </c>
      <c r="X182" s="108" t="s">
        <v>372</v>
      </c>
      <c r="Y182" s="107" t="s">
        <v>648</v>
      </c>
      <c r="Z182" s="107" t="s">
        <v>649</v>
      </c>
      <c r="AA182" s="109" t="n">
        <v>45877</v>
      </c>
      <c r="AB182" s="107" t="n">
        <v>250808000001</v>
      </c>
      <c r="AC182" s="109" t="n">
        <v>43928</v>
      </c>
      <c r="AD182" s="109" t="n">
        <v>47581</v>
      </c>
      <c r="AE182" s="107" t="n">
        <v>6.375</v>
      </c>
      <c r="AF182" s="107" t="n">
        <v>3.0328</v>
      </c>
      <c r="AG182" s="107" t="n">
        <v>1286</v>
      </c>
      <c r="AH182" s="107" t="n">
        <v>3500000</v>
      </c>
      <c r="AI182" s="107" t="n">
        <v>4.692499</v>
      </c>
      <c r="AJ182" s="107" t="n">
        <v>106.641</v>
      </c>
      <c r="AK182" s="107" t="n">
        <v>4.164344</v>
      </c>
      <c r="AL182" s="107" t="n">
        <v>110.217633</v>
      </c>
      <c r="AM182" s="107" t="n">
        <v>5.8044</v>
      </c>
      <c r="AN182" s="107" t="n">
        <v>101.7924</v>
      </c>
      <c r="AO182" s="107" t="n">
        <v>1358.4</v>
      </c>
      <c r="AP182" s="107" t="n">
        <v>1</v>
      </c>
      <c r="AQ182" s="107" t="n">
        <v>3562734</v>
      </c>
      <c r="AR182" s="107" t="n">
        <v>4839617866</v>
      </c>
      <c r="AS182" s="107" t="n">
        <v>3751013</v>
      </c>
      <c r="AT182" s="107" t="n">
        <v>5382328554</v>
      </c>
      <c r="AU182" s="107" t="n">
        <v>-188279</v>
      </c>
      <c r="AV182" s="107" t="n">
        <v>-255758193</v>
      </c>
      <c r="AW182" s="107" t="n">
        <v>0</v>
      </c>
      <c r="AX182" s="107" t="n">
        <v>0</v>
      </c>
      <c r="AY182" s="107" t="n">
        <v>0</v>
      </c>
      <c r="AZ182" s="107" t="n">
        <v>0</v>
      </c>
      <c r="BA182" s="107" t="n">
        <v>0</v>
      </c>
      <c r="BB182" s="107" t="n">
        <v>0</v>
      </c>
      <c r="BC182" s="107" t="n">
        <v>0</v>
      </c>
      <c r="BD182" s="107" t="n">
        <v>0</v>
      </c>
      <c r="BE182" s="107" t="n">
        <v>106604.17</v>
      </c>
      <c r="BF182" s="107" t="n">
        <v>144811104</v>
      </c>
      <c r="BG182" s="107" t="n">
        <v>0</v>
      </c>
      <c r="BH182" s="107" t="n">
        <v>0</v>
      </c>
      <c r="BI182" s="107" t="n">
        <v>3732435</v>
      </c>
      <c r="BJ182" s="107" t="n">
        <v>5355670982</v>
      </c>
      <c r="BK182" s="107" t="n">
        <v>0</v>
      </c>
      <c r="BL182" s="107" t="n">
        <v>0</v>
      </c>
      <c r="BM182" s="107" t="n">
        <v>0</v>
      </c>
      <c r="BN182" s="107" t="n">
        <v>0</v>
      </c>
      <c r="BO182" s="107" t="s">
        <v>374</v>
      </c>
      <c r="BP182" s="2"/>
      <c r="BQ182" s="107" t="s">
        <v>374</v>
      </c>
      <c r="BR182" s="107" t="n">
        <v>-286952495</v>
      </c>
      <c r="BS182" s="107" t="n">
        <v>0</v>
      </c>
      <c r="BT182" s="107" t="n">
        <v>0</v>
      </c>
      <c r="BU182" s="107" t="n">
        <v>18578</v>
      </c>
      <c r="BV182" s="107" t="n">
        <v>26657572</v>
      </c>
      <c r="BW182" s="107" t="n">
        <v>106604.17</v>
      </c>
      <c r="BX182" s="107" t="n">
        <v>144811104</v>
      </c>
      <c r="BY182" s="107" t="n">
        <v>0</v>
      </c>
      <c r="BZ182" s="107" t="n">
        <v>0</v>
      </c>
      <c r="CA182" s="107" t="n">
        <v>1434.9</v>
      </c>
      <c r="CB182" s="2"/>
      <c r="CC182" s="107" t="n">
        <v>0</v>
      </c>
      <c r="CD182" s="107" t="n">
        <v>101.72</v>
      </c>
      <c r="CE182" s="107" t="n">
        <v>101.93</v>
      </c>
      <c r="CF182" s="107" t="n">
        <v>101.73</v>
      </c>
      <c r="CG182" s="107" t="n">
        <v>0</v>
      </c>
      <c r="CH182" s="107" t="n">
        <v>2.9473</v>
      </c>
      <c r="CI182" s="107" t="n">
        <v>101.71</v>
      </c>
      <c r="CJ182" s="107" t="n">
        <v>101.79</v>
      </c>
      <c r="CK182" s="107" t="n">
        <v>101.91</v>
      </c>
      <c r="CL182" s="107" t="n">
        <v>0</v>
      </c>
    </row>
    <row r="183" customFormat="false" ht="15" hidden="false" customHeight="false" outlineLevel="0" collapsed="false">
      <c r="A183" s="107" t="s">
        <v>650</v>
      </c>
      <c r="B183" s="107" t="n">
        <v>100.0237</v>
      </c>
      <c r="C183" s="107" t="n">
        <v>5.7922</v>
      </c>
      <c r="D183" s="107" t="n">
        <v>2.9603</v>
      </c>
      <c r="E183" s="107" t="n">
        <v>-3257.10175021</v>
      </c>
      <c r="F183" s="108" t="s">
        <v>358</v>
      </c>
      <c r="G183" s="107" t="n">
        <v>2.9603</v>
      </c>
      <c r="H183" s="107" t="n">
        <v>-3257.10175021</v>
      </c>
      <c r="I183" s="109" t="n">
        <v>47574</v>
      </c>
      <c r="J183" s="107" t="n">
        <v>3</v>
      </c>
      <c r="K183" s="107" t="s">
        <v>359</v>
      </c>
      <c r="L183" s="107" t="s">
        <v>298</v>
      </c>
      <c r="M183" s="107" t="n">
        <v>32563300</v>
      </c>
      <c r="N183" s="107" t="n">
        <v>103.139481</v>
      </c>
      <c r="O183" s="107" t="n">
        <v>11002607</v>
      </c>
      <c r="P183" s="107" t="s">
        <v>399</v>
      </c>
      <c r="Q183" s="107" t="s">
        <v>374</v>
      </c>
      <c r="R183" s="107" t="n">
        <v>-0.097086402681425</v>
      </c>
      <c r="S183" s="107" t="n">
        <v>-0.0302093918816597</v>
      </c>
      <c r="T183" s="107" t="n">
        <v>-3351.3940922</v>
      </c>
      <c r="U183" s="107" t="n">
        <v>21069</v>
      </c>
      <c r="V183" s="108" t="s">
        <v>362</v>
      </c>
      <c r="W183" s="107" t="n">
        <v>34578</v>
      </c>
      <c r="X183" s="108" t="s">
        <v>372</v>
      </c>
      <c r="Y183" s="107" t="s">
        <v>650</v>
      </c>
      <c r="Z183" s="107" t="s">
        <v>651</v>
      </c>
      <c r="AA183" s="109" t="n">
        <v>45708</v>
      </c>
      <c r="AB183" s="107" t="n">
        <v>250220000001</v>
      </c>
      <c r="AC183" s="109" t="n">
        <v>45015</v>
      </c>
      <c r="AD183" s="109" t="n">
        <v>47574</v>
      </c>
      <c r="AE183" s="107" t="n">
        <v>5.8</v>
      </c>
      <c r="AF183" s="107" t="n">
        <v>3.0434</v>
      </c>
      <c r="AG183" s="107" t="n">
        <v>1279</v>
      </c>
      <c r="AH183" s="107" t="n">
        <v>1300000</v>
      </c>
      <c r="AI183" s="107" t="n">
        <v>5.221646</v>
      </c>
      <c r="AJ183" s="107" t="n">
        <v>102.493</v>
      </c>
      <c r="AK183" s="107" t="n">
        <v>3.664098</v>
      </c>
      <c r="AL183" s="107" t="n">
        <v>107.880189</v>
      </c>
      <c r="AM183" s="107" t="n">
        <v>5.7699</v>
      </c>
      <c r="AN183" s="107" t="n">
        <v>100.0939</v>
      </c>
      <c r="AO183" s="107" t="n">
        <v>1358.4</v>
      </c>
      <c r="AP183" s="107" t="n">
        <v>1</v>
      </c>
      <c r="AQ183" s="107" t="n">
        <v>1301220.7</v>
      </c>
      <c r="AR183" s="107" t="n">
        <v>1767578199</v>
      </c>
      <c r="AS183" s="107" t="n">
        <v>1364951.9</v>
      </c>
      <c r="AT183" s="107" t="n">
        <v>1958569481</v>
      </c>
      <c r="AU183" s="107" t="n">
        <v>-63731.2</v>
      </c>
      <c r="AV183" s="107" t="n">
        <v>-86572462</v>
      </c>
      <c r="AW183" s="107" t="n">
        <v>0</v>
      </c>
      <c r="AX183" s="107" t="n">
        <v>0</v>
      </c>
      <c r="AY183" s="107" t="n">
        <v>0</v>
      </c>
      <c r="AZ183" s="107" t="n">
        <v>0</v>
      </c>
      <c r="BA183" s="107" t="n">
        <v>0</v>
      </c>
      <c r="BB183" s="107" t="n">
        <v>0</v>
      </c>
      <c r="BC183" s="107" t="n">
        <v>0</v>
      </c>
      <c r="BD183" s="107" t="n">
        <v>0</v>
      </c>
      <c r="BE183" s="107" t="n">
        <v>37490.56</v>
      </c>
      <c r="BF183" s="107" t="n">
        <v>50927176</v>
      </c>
      <c r="BG183" s="107" t="n">
        <v>0</v>
      </c>
      <c r="BH183" s="107" t="n">
        <v>0</v>
      </c>
      <c r="BI183" s="107" t="n">
        <v>1332409</v>
      </c>
      <c r="BJ183" s="107" t="n">
        <v>1911873674</v>
      </c>
      <c r="BK183" s="107" t="n">
        <v>0</v>
      </c>
      <c r="BL183" s="107" t="n">
        <v>0</v>
      </c>
      <c r="BM183" s="107" t="n">
        <v>0</v>
      </c>
      <c r="BN183" s="107" t="n">
        <v>0</v>
      </c>
      <c r="BO183" s="107" t="s">
        <v>374</v>
      </c>
      <c r="BP183" s="2"/>
      <c r="BQ183" s="107" t="s">
        <v>374</v>
      </c>
      <c r="BR183" s="107" t="n">
        <v>-104418820</v>
      </c>
      <c r="BS183" s="107" t="n">
        <v>0</v>
      </c>
      <c r="BT183" s="107" t="n">
        <v>0</v>
      </c>
      <c r="BU183" s="107" t="n">
        <v>32542.9</v>
      </c>
      <c r="BV183" s="107" t="n">
        <v>46695807</v>
      </c>
      <c r="BW183" s="107" t="n">
        <v>37490.56</v>
      </c>
      <c r="BX183" s="107" t="n">
        <v>50927176</v>
      </c>
      <c r="BY183" s="107" t="n">
        <v>0</v>
      </c>
      <c r="BZ183" s="107" t="n">
        <v>0</v>
      </c>
      <c r="CA183" s="107" t="n">
        <v>1434.9</v>
      </c>
      <c r="CB183" s="2"/>
      <c r="CC183" s="107" t="n">
        <v>0</v>
      </c>
      <c r="CD183" s="107" t="n">
        <v>100.03</v>
      </c>
      <c r="CE183" s="107" t="n">
        <v>100.12</v>
      </c>
      <c r="CF183" s="107" t="n">
        <v>100.13</v>
      </c>
      <c r="CG183" s="107" t="n">
        <v>1300000</v>
      </c>
      <c r="CH183" s="107" t="n">
        <v>2.9581</v>
      </c>
      <c r="CI183" s="107" t="n">
        <v>101.71</v>
      </c>
      <c r="CJ183" s="107" t="n">
        <v>101.79</v>
      </c>
      <c r="CK183" s="107" t="n">
        <v>101.91</v>
      </c>
      <c r="CL183" s="107" t="n">
        <v>0</v>
      </c>
    </row>
    <row r="184" customFormat="false" ht="15" hidden="false" customHeight="false" outlineLevel="0" collapsed="false">
      <c r="A184" s="107" t="s">
        <v>652</v>
      </c>
      <c r="B184" s="107" t="n">
        <v>99.6633</v>
      </c>
      <c r="C184" s="107" t="n">
        <v>5.798</v>
      </c>
      <c r="D184" s="107" t="n">
        <v>3.2021</v>
      </c>
      <c r="E184" s="107" t="n">
        <v>-638.26370586</v>
      </c>
      <c r="F184" s="108" t="s">
        <v>358</v>
      </c>
      <c r="G184" s="107" t="n">
        <v>3.2021</v>
      </c>
      <c r="H184" s="107" t="n">
        <v>-638.26370586</v>
      </c>
      <c r="I184" s="109" t="n">
        <v>47660</v>
      </c>
      <c r="J184" s="107" t="n">
        <v>3</v>
      </c>
      <c r="K184" s="107" t="s">
        <v>359</v>
      </c>
      <c r="L184" s="107" t="s">
        <v>298</v>
      </c>
      <c r="M184" s="107" t="n">
        <v>6404200</v>
      </c>
      <c r="N184" s="107" t="n">
        <v>102.1</v>
      </c>
      <c r="O184" s="107" t="n">
        <v>1993266</v>
      </c>
      <c r="P184" s="107" t="s">
        <v>399</v>
      </c>
      <c r="Q184" s="107" t="s">
        <v>374</v>
      </c>
      <c r="R184" s="107" t="n">
        <v>-0.0988325840199704</v>
      </c>
      <c r="S184" s="107" t="n">
        <v>-0.023865817825661</v>
      </c>
      <c r="T184" s="107" t="n">
        <v>-656.76121434</v>
      </c>
      <c r="U184" s="107" t="n">
        <v>21069</v>
      </c>
      <c r="V184" s="108" t="s">
        <v>362</v>
      </c>
      <c r="W184" s="107" t="n">
        <v>34578</v>
      </c>
      <c r="X184" s="108" t="s">
        <v>372</v>
      </c>
      <c r="Y184" s="107" t="s">
        <v>650</v>
      </c>
      <c r="Z184" s="107" t="s">
        <v>651</v>
      </c>
      <c r="AA184" s="109" t="n">
        <v>45709</v>
      </c>
      <c r="AB184" s="107" t="n">
        <v>250221000001</v>
      </c>
      <c r="AC184" s="109" t="n">
        <v>45015</v>
      </c>
      <c r="AD184" s="109" t="n">
        <v>47574</v>
      </c>
      <c r="AE184" s="107" t="n">
        <v>5.8</v>
      </c>
      <c r="AF184" s="107" t="n">
        <v>3.0434</v>
      </c>
      <c r="AG184" s="107" t="n">
        <v>1279</v>
      </c>
      <c r="AH184" s="107" t="n">
        <v>2700000</v>
      </c>
      <c r="AI184" s="107" t="n">
        <v>5.193053</v>
      </c>
      <c r="AJ184" s="107" t="n">
        <v>102.617</v>
      </c>
      <c r="AK184" s="107" t="n">
        <v>3.664099</v>
      </c>
      <c r="AL184" s="107" t="n">
        <v>107.880188</v>
      </c>
      <c r="AM184" s="107" t="n">
        <v>5.7699</v>
      </c>
      <c r="AN184" s="107" t="n">
        <v>100.0939</v>
      </c>
      <c r="AO184" s="107" t="n">
        <v>1358.4</v>
      </c>
      <c r="AP184" s="107" t="n">
        <v>1</v>
      </c>
      <c r="AQ184" s="107" t="n">
        <v>2702535.3</v>
      </c>
      <c r="AR184" s="107" t="n">
        <v>3671123952</v>
      </c>
      <c r="AS184" s="107" t="n">
        <v>2834900.1</v>
      </c>
      <c r="AT184" s="107" t="n">
        <v>4067798153</v>
      </c>
      <c r="AU184" s="107" t="n">
        <v>-132364.8</v>
      </c>
      <c r="AV184" s="107" t="n">
        <v>-179804344</v>
      </c>
      <c r="AW184" s="107" t="n">
        <v>0</v>
      </c>
      <c r="AX184" s="107" t="n">
        <v>0</v>
      </c>
      <c r="AY184" s="107" t="n">
        <v>0</v>
      </c>
      <c r="AZ184" s="107" t="n">
        <v>0</v>
      </c>
      <c r="BA184" s="107" t="n">
        <v>0</v>
      </c>
      <c r="BB184" s="107" t="n">
        <v>0</v>
      </c>
      <c r="BC184" s="107" t="n">
        <v>0</v>
      </c>
      <c r="BD184" s="107" t="n">
        <v>0</v>
      </c>
      <c r="BE184" s="107" t="n">
        <v>77865</v>
      </c>
      <c r="BF184" s="107" t="n">
        <v>105771816</v>
      </c>
      <c r="BG184" s="107" t="n">
        <v>0</v>
      </c>
      <c r="BH184" s="107" t="n">
        <v>0</v>
      </c>
      <c r="BI184" s="107" t="n">
        <v>2770659</v>
      </c>
      <c r="BJ184" s="107" t="n">
        <v>3975618599</v>
      </c>
      <c r="BK184" s="107" t="n">
        <v>0</v>
      </c>
      <c r="BL184" s="107" t="n">
        <v>0</v>
      </c>
      <c r="BM184" s="107" t="n">
        <v>0</v>
      </c>
      <c r="BN184" s="107" t="n">
        <v>0</v>
      </c>
      <c r="BO184" s="107" t="s">
        <v>374</v>
      </c>
      <c r="BP184" s="2"/>
      <c r="BQ184" s="107" t="s">
        <v>374</v>
      </c>
      <c r="BR184" s="107" t="n">
        <v>-216869857</v>
      </c>
      <c r="BS184" s="107" t="n">
        <v>0</v>
      </c>
      <c r="BT184" s="107" t="n">
        <v>0</v>
      </c>
      <c r="BU184" s="107" t="n">
        <v>64241.1</v>
      </c>
      <c r="BV184" s="107" t="n">
        <v>92179554</v>
      </c>
      <c r="BW184" s="107" t="n">
        <v>77865</v>
      </c>
      <c r="BX184" s="107" t="n">
        <v>105771816</v>
      </c>
      <c r="BY184" s="107" t="n">
        <v>0</v>
      </c>
      <c r="BZ184" s="107" t="n">
        <v>0</v>
      </c>
      <c r="CA184" s="107" t="n">
        <v>1434.9</v>
      </c>
      <c r="CB184" s="2"/>
      <c r="CC184" s="107" t="n">
        <v>0</v>
      </c>
      <c r="CD184" s="107" t="n">
        <v>100.03</v>
      </c>
      <c r="CE184" s="107" t="n">
        <v>100.12</v>
      </c>
      <c r="CF184" s="107" t="n">
        <v>100.13</v>
      </c>
      <c r="CG184" s="107" t="n">
        <v>700000</v>
      </c>
      <c r="CH184" s="107" t="n">
        <v>2.9581</v>
      </c>
      <c r="CI184" s="107" t="n">
        <v>101.71</v>
      </c>
      <c r="CJ184" s="107" t="n">
        <v>101.79</v>
      </c>
      <c r="CK184" s="107" t="n">
        <v>101.91</v>
      </c>
      <c r="CL184" s="107" t="n">
        <v>0</v>
      </c>
    </row>
    <row r="185" customFormat="false" ht="15" hidden="false" customHeight="false" outlineLevel="0" collapsed="false">
      <c r="A185" s="107" t="s">
        <v>652</v>
      </c>
      <c r="B185" s="107" t="n">
        <v>99.6633</v>
      </c>
      <c r="C185" s="107" t="n">
        <v>5.798</v>
      </c>
      <c r="D185" s="107" t="n">
        <v>3.2021</v>
      </c>
      <c r="E185" s="107" t="n">
        <v>-1595.65926465</v>
      </c>
      <c r="F185" s="108" t="s">
        <v>358</v>
      </c>
      <c r="G185" s="107" t="n">
        <v>3.2021</v>
      </c>
      <c r="H185" s="107" t="n">
        <v>-1595.65926465</v>
      </c>
      <c r="I185" s="109" t="n">
        <v>47660</v>
      </c>
      <c r="J185" s="107" t="n">
        <v>3</v>
      </c>
      <c r="K185" s="107" t="s">
        <v>359</v>
      </c>
      <c r="L185" s="107" t="s">
        <v>298</v>
      </c>
      <c r="M185" s="107" t="n">
        <v>16010500</v>
      </c>
      <c r="N185" s="107" t="n">
        <v>101.873</v>
      </c>
      <c r="O185" s="107" t="n">
        <v>4983165</v>
      </c>
      <c r="P185" s="107" t="s">
        <v>399</v>
      </c>
      <c r="Q185" s="107" t="s">
        <v>374</v>
      </c>
      <c r="R185" s="107" t="n">
        <v>-0.0988325839600552</v>
      </c>
      <c r="S185" s="107" t="n">
        <v>-0.0216907325787991</v>
      </c>
      <c r="T185" s="107" t="n">
        <v>-1641.90303585</v>
      </c>
      <c r="U185" s="107" t="n">
        <v>21069</v>
      </c>
      <c r="V185" s="108" t="s">
        <v>362</v>
      </c>
      <c r="W185" s="107" t="n">
        <v>34578</v>
      </c>
      <c r="X185" s="108" t="s">
        <v>372</v>
      </c>
      <c r="Y185" s="107" t="s">
        <v>650</v>
      </c>
      <c r="Z185" s="107" t="s">
        <v>651</v>
      </c>
      <c r="AA185" s="109" t="n">
        <v>45855</v>
      </c>
      <c r="AB185" s="107" t="n">
        <v>250717000001</v>
      </c>
      <c r="AC185" s="109" t="n">
        <v>45015</v>
      </c>
      <c r="AD185" s="109" t="n">
        <v>47574</v>
      </c>
      <c r="AE185" s="107" t="n">
        <v>5.8</v>
      </c>
      <c r="AF185" s="107" t="n">
        <v>3.0434</v>
      </c>
      <c r="AG185" s="107" t="n">
        <v>1279</v>
      </c>
      <c r="AH185" s="107" t="n">
        <v>11000000</v>
      </c>
      <c r="AI185" s="107" t="n">
        <v>5.017387</v>
      </c>
      <c r="AJ185" s="107" t="n">
        <v>103.139481</v>
      </c>
      <c r="AK185" s="107" t="n">
        <v>3.664099</v>
      </c>
      <c r="AL185" s="107" t="n">
        <v>107.880188</v>
      </c>
      <c r="AM185" s="107" t="n">
        <v>5.7699</v>
      </c>
      <c r="AN185" s="107" t="n">
        <v>100.0939</v>
      </c>
      <c r="AO185" s="107" t="n">
        <v>1358.4</v>
      </c>
      <c r="AP185" s="107" t="n">
        <v>1</v>
      </c>
      <c r="AQ185" s="107" t="n">
        <v>11010329</v>
      </c>
      <c r="AR185" s="107" t="n">
        <v>14956430914</v>
      </c>
      <c r="AS185" s="107" t="n">
        <v>11549593</v>
      </c>
      <c r="AT185" s="107" t="n">
        <v>16572510996</v>
      </c>
      <c r="AU185" s="107" t="n">
        <v>-539264</v>
      </c>
      <c r="AV185" s="107" t="n">
        <v>-732536217</v>
      </c>
      <c r="AW185" s="107" t="n">
        <v>0</v>
      </c>
      <c r="AX185" s="107" t="n">
        <v>0</v>
      </c>
      <c r="AY185" s="107" t="n">
        <v>0</v>
      </c>
      <c r="AZ185" s="107" t="n">
        <v>0</v>
      </c>
      <c r="BA185" s="107" t="n">
        <v>0</v>
      </c>
      <c r="BB185" s="107" t="n">
        <v>0</v>
      </c>
      <c r="BC185" s="107" t="n">
        <v>0</v>
      </c>
      <c r="BD185" s="107" t="n">
        <v>0</v>
      </c>
      <c r="BE185" s="107" t="n">
        <v>317227.78</v>
      </c>
      <c r="BF185" s="107" t="n">
        <v>430922216</v>
      </c>
      <c r="BG185" s="107" t="n">
        <v>0</v>
      </c>
      <c r="BH185" s="107" t="n">
        <v>0</v>
      </c>
      <c r="BI185" s="107" t="n">
        <v>11345342.91</v>
      </c>
      <c r="BJ185" s="107" t="n">
        <v>16279432542</v>
      </c>
      <c r="BK185" s="107" t="n">
        <v>0</v>
      </c>
      <c r="BL185" s="107" t="n">
        <v>0</v>
      </c>
      <c r="BM185" s="107" t="n">
        <v>0</v>
      </c>
      <c r="BN185" s="107" t="n">
        <v>0</v>
      </c>
      <c r="BO185" s="107" t="s">
        <v>374</v>
      </c>
      <c r="BP185" s="2"/>
      <c r="BQ185" s="107" t="s">
        <v>374</v>
      </c>
      <c r="BR185" s="107" t="n">
        <v>-883543865</v>
      </c>
      <c r="BS185" s="107" t="n">
        <v>0</v>
      </c>
      <c r="BT185" s="107" t="n">
        <v>0</v>
      </c>
      <c r="BU185" s="107" t="n">
        <v>204250.09</v>
      </c>
      <c r="BV185" s="107" t="n">
        <v>293078454</v>
      </c>
      <c r="BW185" s="107" t="n">
        <v>317227.78</v>
      </c>
      <c r="BX185" s="107" t="n">
        <v>430922216</v>
      </c>
      <c r="BY185" s="107" t="n">
        <v>0</v>
      </c>
      <c r="BZ185" s="107" t="n">
        <v>0</v>
      </c>
      <c r="CA185" s="107" t="n">
        <v>1434.9</v>
      </c>
      <c r="CB185" s="2"/>
      <c r="CC185" s="107" t="n">
        <v>0</v>
      </c>
      <c r="CD185" s="107" t="n">
        <v>100.03</v>
      </c>
      <c r="CE185" s="107" t="n">
        <v>100.12</v>
      </c>
      <c r="CF185" s="107" t="n">
        <v>100.13</v>
      </c>
      <c r="CG185" s="107" t="n">
        <v>0</v>
      </c>
      <c r="CH185" s="107" t="n">
        <v>2.9581</v>
      </c>
      <c r="CI185" s="107" t="n">
        <v>101.71</v>
      </c>
      <c r="CJ185" s="107" t="n">
        <v>101.79</v>
      </c>
      <c r="CK185" s="107" t="n">
        <v>101.91</v>
      </c>
      <c r="CL185" s="107" t="n">
        <v>0</v>
      </c>
    </row>
    <row r="186" customFormat="false" ht="15" hidden="false" customHeight="false" outlineLevel="0" collapsed="false">
      <c r="A186" s="107" t="s">
        <v>652</v>
      </c>
      <c r="B186" s="107" t="n">
        <v>99.6633</v>
      </c>
      <c r="C186" s="107" t="n">
        <v>5.798</v>
      </c>
      <c r="D186" s="107" t="n">
        <v>3.2021</v>
      </c>
      <c r="E186" s="107" t="n">
        <v>-382.958223516</v>
      </c>
      <c r="F186" s="108" t="s">
        <v>358</v>
      </c>
      <c r="G186" s="107" t="n">
        <v>3.2021</v>
      </c>
      <c r="H186" s="107" t="n">
        <v>-382.958223516</v>
      </c>
      <c r="I186" s="109" t="n">
        <v>47660</v>
      </c>
      <c r="J186" s="107" t="n">
        <v>3</v>
      </c>
      <c r="K186" s="107" t="s">
        <v>359</v>
      </c>
      <c r="L186" s="107" t="s">
        <v>298</v>
      </c>
      <c r="M186" s="107" t="n">
        <v>3842520</v>
      </c>
      <c r="N186" s="107" t="n">
        <v>104.174</v>
      </c>
      <c r="O186" s="107" t="n">
        <v>1195959.6</v>
      </c>
      <c r="P186" s="107" t="s">
        <v>399</v>
      </c>
      <c r="Q186" s="107" t="s">
        <v>374</v>
      </c>
      <c r="R186" s="107" t="n">
        <v>-0.0988325838202531</v>
      </c>
      <c r="S186" s="107" t="n">
        <v>-0.0432996717031121</v>
      </c>
      <c r="T186" s="107" t="n">
        <v>-394.056728604</v>
      </c>
      <c r="U186" s="107" t="n">
        <v>21069</v>
      </c>
      <c r="V186" s="108" t="s">
        <v>362</v>
      </c>
      <c r="W186" s="107" t="n">
        <v>34578</v>
      </c>
      <c r="X186" s="108" t="s">
        <v>372</v>
      </c>
      <c r="Y186" s="107" t="s">
        <v>652</v>
      </c>
      <c r="Z186" s="107" t="s">
        <v>653</v>
      </c>
      <c r="AA186" s="109" t="n">
        <v>45708</v>
      </c>
      <c r="AB186" s="107" t="n">
        <v>250220000001</v>
      </c>
      <c r="AC186" s="109" t="n">
        <v>45103</v>
      </c>
      <c r="AD186" s="109" t="n">
        <v>47660</v>
      </c>
      <c r="AE186" s="107" t="n">
        <v>5.7</v>
      </c>
      <c r="AF186" s="107" t="n">
        <v>3.2924</v>
      </c>
      <c r="AG186" s="107" t="n">
        <v>1365</v>
      </c>
      <c r="AH186" s="107" t="n">
        <v>2000000</v>
      </c>
      <c r="AI186" s="107" t="n">
        <v>5.231874</v>
      </c>
      <c r="AJ186" s="107" t="n">
        <v>102.1</v>
      </c>
      <c r="AK186" s="107" t="n">
        <v>4.288577</v>
      </c>
      <c r="AL186" s="107" t="n">
        <v>106.309033</v>
      </c>
      <c r="AM186" s="107" t="n">
        <v>5.7751</v>
      </c>
      <c r="AN186" s="107" t="n">
        <v>99.7393</v>
      </c>
      <c r="AO186" s="107" t="n">
        <v>1358.4</v>
      </c>
      <c r="AP186" s="107" t="n">
        <v>1</v>
      </c>
      <c r="AQ186" s="107" t="n">
        <v>1994786</v>
      </c>
      <c r="AR186" s="107" t="n">
        <v>2709717302</v>
      </c>
      <c r="AS186" s="107" t="n">
        <v>2096414</v>
      </c>
      <c r="AT186" s="107" t="n">
        <v>3008144449</v>
      </c>
      <c r="AU186" s="107" t="n">
        <v>-101628</v>
      </c>
      <c r="AV186" s="107" t="n">
        <v>-138051476</v>
      </c>
      <c r="AW186" s="107" t="n">
        <v>0</v>
      </c>
      <c r="AX186" s="107" t="n">
        <v>0</v>
      </c>
      <c r="AY186" s="107" t="n">
        <v>0</v>
      </c>
      <c r="AZ186" s="107" t="n">
        <v>0</v>
      </c>
      <c r="BA186" s="107" t="n">
        <v>0</v>
      </c>
      <c r="BB186" s="107" t="n">
        <v>0</v>
      </c>
      <c r="BC186" s="107" t="n">
        <v>0</v>
      </c>
      <c r="BD186" s="107" t="n">
        <v>0</v>
      </c>
      <c r="BE186" s="107" t="n">
        <v>29766.67</v>
      </c>
      <c r="BF186" s="107" t="n">
        <v>40435044</v>
      </c>
      <c r="BG186" s="107" t="n">
        <v>0</v>
      </c>
      <c r="BH186" s="107" t="n">
        <v>0</v>
      </c>
      <c r="BI186" s="107" t="n">
        <v>2042000</v>
      </c>
      <c r="BJ186" s="107" t="n">
        <v>2930065800</v>
      </c>
      <c r="BK186" s="107" t="n">
        <v>0</v>
      </c>
      <c r="BL186" s="107" t="n">
        <v>0</v>
      </c>
      <c r="BM186" s="107" t="n">
        <v>0</v>
      </c>
      <c r="BN186" s="107" t="n">
        <v>0</v>
      </c>
      <c r="BO186" s="107" t="s">
        <v>374</v>
      </c>
      <c r="BP186" s="2"/>
      <c r="BQ186" s="107" t="s">
        <v>369</v>
      </c>
      <c r="BR186" s="107" t="n">
        <v>-160375671</v>
      </c>
      <c r="BS186" s="107" t="n">
        <v>0</v>
      </c>
      <c r="BT186" s="107" t="n">
        <v>0</v>
      </c>
      <c r="BU186" s="107" t="n">
        <v>54414</v>
      </c>
      <c r="BV186" s="107" t="n">
        <v>78078649</v>
      </c>
      <c r="BW186" s="107" t="n">
        <v>29766.67</v>
      </c>
      <c r="BX186" s="107" t="n">
        <v>40435044</v>
      </c>
      <c r="BY186" s="107" t="n">
        <v>0</v>
      </c>
      <c r="BZ186" s="107" t="n">
        <v>0</v>
      </c>
      <c r="CA186" s="107" t="n">
        <v>1434.9</v>
      </c>
      <c r="CB186" s="2"/>
      <c r="CC186" s="107" t="n">
        <v>0</v>
      </c>
      <c r="CD186" s="107" t="n">
        <v>99.64</v>
      </c>
      <c r="CE186" s="107" t="n">
        <v>99.75</v>
      </c>
      <c r="CF186" s="107" t="n">
        <v>99.83</v>
      </c>
      <c r="CG186" s="107" t="n">
        <v>0</v>
      </c>
      <c r="CH186" s="107" t="n">
        <v>3.2</v>
      </c>
      <c r="CI186" s="107" t="n">
        <v>101.71</v>
      </c>
      <c r="CJ186" s="107" t="n">
        <v>101.79</v>
      </c>
      <c r="CK186" s="107" t="n">
        <v>101.91</v>
      </c>
      <c r="CL186" s="107" t="n">
        <v>0</v>
      </c>
    </row>
    <row r="187" customFormat="false" ht="15" hidden="false" customHeight="false" outlineLevel="0" collapsed="false">
      <c r="A187" s="107" t="s">
        <v>654</v>
      </c>
      <c r="B187" s="107" t="n">
        <v>101.2738</v>
      </c>
      <c r="C187" s="107" t="n">
        <v>5.8357</v>
      </c>
      <c r="D187" s="107" t="n">
        <v>3.4148</v>
      </c>
      <c r="E187" s="107" t="n">
        <v>-829.991453376</v>
      </c>
      <c r="F187" s="108" t="s">
        <v>358</v>
      </c>
      <c r="G187" s="107" t="n">
        <v>3.4148</v>
      </c>
      <c r="H187" s="107" t="n">
        <v>-829.991453376</v>
      </c>
      <c r="I187" s="109" t="n">
        <v>47685</v>
      </c>
      <c r="J187" s="107" t="n">
        <v>3</v>
      </c>
      <c r="K187" s="107" t="s">
        <v>359</v>
      </c>
      <c r="L187" s="107" t="s">
        <v>298</v>
      </c>
      <c r="M187" s="107" t="n">
        <v>8195520</v>
      </c>
      <c r="N187" s="107" t="n">
        <v>104.683</v>
      </c>
      <c r="O187" s="107" t="n">
        <v>2430571.2</v>
      </c>
      <c r="P187" s="107" t="s">
        <v>399</v>
      </c>
      <c r="Q187" s="107" t="s">
        <v>374</v>
      </c>
      <c r="R187" s="107" t="n">
        <v>-0.102497596755258</v>
      </c>
      <c r="S187" s="107" t="n">
        <v>-0.0325668924276149</v>
      </c>
      <c r="T187" s="107" t="n">
        <v>-854.199942528</v>
      </c>
      <c r="U187" s="107" t="n">
        <v>21069</v>
      </c>
      <c r="V187" s="108" t="s">
        <v>362</v>
      </c>
      <c r="W187" s="107" t="n">
        <v>34578</v>
      </c>
      <c r="X187" s="108" t="s">
        <v>372</v>
      </c>
      <c r="Y187" s="107" t="s">
        <v>652</v>
      </c>
      <c r="Z187" s="107" t="s">
        <v>653</v>
      </c>
      <c r="AA187" s="109" t="n">
        <v>45709</v>
      </c>
      <c r="AB187" s="107" t="n">
        <v>250221000002</v>
      </c>
      <c r="AC187" s="109" t="n">
        <v>45103</v>
      </c>
      <c r="AD187" s="109" t="n">
        <v>47660</v>
      </c>
      <c r="AE187" s="107" t="n">
        <v>5.7</v>
      </c>
      <c r="AF187" s="107" t="n">
        <v>3.2924</v>
      </c>
      <c r="AG187" s="107" t="n">
        <v>1365</v>
      </c>
      <c r="AH187" s="107" t="n">
        <v>5000000</v>
      </c>
      <c r="AI187" s="107" t="n">
        <v>5.281668</v>
      </c>
      <c r="AJ187" s="107" t="n">
        <v>101.873</v>
      </c>
      <c r="AK187" s="107" t="n">
        <v>4.288577</v>
      </c>
      <c r="AL187" s="107" t="n">
        <v>106.309033</v>
      </c>
      <c r="AM187" s="107" t="n">
        <v>5.7751</v>
      </c>
      <c r="AN187" s="107" t="n">
        <v>99.7393</v>
      </c>
      <c r="AO187" s="107" t="n">
        <v>1358.4</v>
      </c>
      <c r="AP187" s="107" t="n">
        <v>1</v>
      </c>
      <c r="AQ187" s="107" t="n">
        <v>4986965</v>
      </c>
      <c r="AR187" s="107" t="n">
        <v>6774293256</v>
      </c>
      <c r="AS187" s="107" t="n">
        <v>5241035</v>
      </c>
      <c r="AT187" s="107" t="n">
        <v>7520361122</v>
      </c>
      <c r="AU187" s="107" t="n">
        <v>-254070</v>
      </c>
      <c r="AV187" s="107" t="n">
        <v>-345128688</v>
      </c>
      <c r="AW187" s="107" t="n">
        <v>0</v>
      </c>
      <c r="AX187" s="107" t="n">
        <v>0</v>
      </c>
      <c r="AY187" s="107" t="n">
        <v>0</v>
      </c>
      <c r="AZ187" s="107" t="n">
        <v>0</v>
      </c>
      <c r="BA187" s="107" t="n">
        <v>0</v>
      </c>
      <c r="BB187" s="107" t="n">
        <v>0</v>
      </c>
      <c r="BC187" s="107" t="n">
        <v>0</v>
      </c>
      <c r="BD187" s="107" t="n">
        <v>0</v>
      </c>
      <c r="BE187" s="107" t="n">
        <v>74416.67</v>
      </c>
      <c r="BF187" s="107" t="n">
        <v>101087604</v>
      </c>
      <c r="BG187" s="107" t="n">
        <v>0</v>
      </c>
      <c r="BH187" s="107" t="n">
        <v>0</v>
      </c>
      <c r="BI187" s="107" t="n">
        <v>5093650</v>
      </c>
      <c r="BJ187" s="107" t="n">
        <v>7308878385</v>
      </c>
      <c r="BK187" s="107" t="n">
        <v>0</v>
      </c>
      <c r="BL187" s="107" t="n">
        <v>0</v>
      </c>
      <c r="BM187" s="107" t="n">
        <v>0</v>
      </c>
      <c r="BN187" s="107" t="n">
        <v>0</v>
      </c>
      <c r="BO187" s="107" t="s">
        <v>374</v>
      </c>
      <c r="BP187" s="2"/>
      <c r="BQ187" s="107" t="s">
        <v>369</v>
      </c>
      <c r="BR187" s="107" t="n">
        <v>-400939178</v>
      </c>
      <c r="BS187" s="107" t="n">
        <v>0</v>
      </c>
      <c r="BT187" s="107" t="n">
        <v>0</v>
      </c>
      <c r="BU187" s="107" t="n">
        <v>147385</v>
      </c>
      <c r="BV187" s="107" t="n">
        <v>211482737</v>
      </c>
      <c r="BW187" s="107" t="n">
        <v>74416.67</v>
      </c>
      <c r="BX187" s="107" t="n">
        <v>101087604</v>
      </c>
      <c r="BY187" s="107" t="n">
        <v>0</v>
      </c>
      <c r="BZ187" s="107" t="n">
        <v>0</v>
      </c>
      <c r="CA187" s="107" t="n">
        <v>1434.9</v>
      </c>
      <c r="CB187" s="2"/>
      <c r="CC187" s="107" t="n">
        <v>0</v>
      </c>
      <c r="CD187" s="107" t="n">
        <v>99.64</v>
      </c>
      <c r="CE187" s="107" t="n">
        <v>99.75</v>
      </c>
      <c r="CF187" s="107" t="n">
        <v>99.83</v>
      </c>
      <c r="CG187" s="107" t="n">
        <v>0</v>
      </c>
      <c r="CH187" s="107" t="n">
        <v>3.2</v>
      </c>
      <c r="CI187" s="107" t="n">
        <v>101.71</v>
      </c>
      <c r="CJ187" s="107" t="n">
        <v>101.79</v>
      </c>
      <c r="CK187" s="107" t="n">
        <v>101.91</v>
      </c>
      <c r="CL187" s="107" t="n">
        <v>0</v>
      </c>
    </row>
    <row r="188" customFormat="false" ht="15" hidden="false" customHeight="false" outlineLevel="0" collapsed="false">
      <c r="A188" s="107" t="s">
        <v>654</v>
      </c>
      <c r="B188" s="107" t="n">
        <v>101.2738</v>
      </c>
      <c r="C188" s="107" t="n">
        <v>5.8357</v>
      </c>
      <c r="D188" s="107" t="n">
        <v>3.4148</v>
      </c>
      <c r="E188" s="107" t="n">
        <v>-1729.1488612</v>
      </c>
      <c r="F188" s="108" t="s">
        <v>358</v>
      </c>
      <c r="G188" s="107" t="n">
        <v>3.4148</v>
      </c>
      <c r="H188" s="107" t="n">
        <v>-1729.1488612</v>
      </c>
      <c r="I188" s="109" t="n">
        <v>47685</v>
      </c>
      <c r="J188" s="107" t="n">
        <v>3</v>
      </c>
      <c r="K188" s="107" t="s">
        <v>359</v>
      </c>
      <c r="L188" s="107" t="s">
        <v>298</v>
      </c>
      <c r="M188" s="107" t="n">
        <v>17074000</v>
      </c>
      <c r="N188" s="107" t="n">
        <v>103.62</v>
      </c>
      <c r="O188" s="107" t="n">
        <v>5063690</v>
      </c>
      <c r="P188" s="107" t="s">
        <v>399</v>
      </c>
      <c r="Q188" s="107" t="s">
        <v>374</v>
      </c>
      <c r="R188" s="107" t="n">
        <v>-0.102497596862478</v>
      </c>
      <c r="S188" s="107" t="n">
        <v>-0.0226423470372515</v>
      </c>
      <c r="T188" s="107" t="n">
        <v>-1779.5832136</v>
      </c>
      <c r="U188" s="107" t="n">
        <v>21069</v>
      </c>
      <c r="V188" s="108" t="s">
        <v>362</v>
      </c>
      <c r="W188" s="107" t="n">
        <v>34578</v>
      </c>
      <c r="X188" s="108" t="s">
        <v>372</v>
      </c>
      <c r="Y188" s="107" t="s">
        <v>652</v>
      </c>
      <c r="Z188" s="107" t="s">
        <v>653</v>
      </c>
      <c r="AA188" s="109" t="n">
        <v>45877</v>
      </c>
      <c r="AB188" s="107" t="n">
        <v>250808000001</v>
      </c>
      <c r="AC188" s="109" t="n">
        <v>45103</v>
      </c>
      <c r="AD188" s="109" t="n">
        <v>47660</v>
      </c>
      <c r="AE188" s="107" t="n">
        <v>5.7</v>
      </c>
      <c r="AF188" s="107" t="n">
        <v>3.2924</v>
      </c>
      <c r="AG188" s="107" t="n">
        <v>1365</v>
      </c>
      <c r="AH188" s="107" t="n">
        <v>1200000</v>
      </c>
      <c r="AI188" s="107" t="n">
        <v>4.703</v>
      </c>
      <c r="AJ188" s="107" t="n">
        <v>104.174</v>
      </c>
      <c r="AK188" s="107" t="n">
        <v>4.288577</v>
      </c>
      <c r="AL188" s="107" t="n">
        <v>106.309033</v>
      </c>
      <c r="AM188" s="107" t="n">
        <v>5.7751</v>
      </c>
      <c r="AN188" s="107" t="n">
        <v>99.7393</v>
      </c>
      <c r="AO188" s="107" t="n">
        <v>1358.4</v>
      </c>
      <c r="AP188" s="107" t="n">
        <v>1</v>
      </c>
      <c r="AQ188" s="107" t="n">
        <v>1196871.6</v>
      </c>
      <c r="AR188" s="107" t="n">
        <v>1625830381</v>
      </c>
      <c r="AS188" s="107" t="n">
        <v>1257848.4</v>
      </c>
      <c r="AT188" s="107" t="n">
        <v>1804886669</v>
      </c>
      <c r="AU188" s="107" t="n">
        <v>-60976.8</v>
      </c>
      <c r="AV188" s="107" t="n">
        <v>-82830886</v>
      </c>
      <c r="AW188" s="107" t="n">
        <v>0</v>
      </c>
      <c r="AX188" s="107" t="n">
        <v>0</v>
      </c>
      <c r="AY188" s="107" t="n">
        <v>0</v>
      </c>
      <c r="AZ188" s="107" t="n">
        <v>0</v>
      </c>
      <c r="BA188" s="107" t="n">
        <v>0</v>
      </c>
      <c r="BB188" s="107" t="n">
        <v>0</v>
      </c>
      <c r="BC188" s="107" t="n">
        <v>0</v>
      </c>
      <c r="BD188" s="107" t="n">
        <v>0</v>
      </c>
      <c r="BE188" s="107" t="n">
        <v>17860</v>
      </c>
      <c r="BF188" s="107" t="n">
        <v>24261024</v>
      </c>
      <c r="BG188" s="107" t="n">
        <v>0</v>
      </c>
      <c r="BH188" s="107" t="n">
        <v>0</v>
      </c>
      <c r="BI188" s="107" t="n">
        <v>1250088</v>
      </c>
      <c r="BJ188" s="107" t="n">
        <v>1793751271</v>
      </c>
      <c r="BK188" s="107" t="n">
        <v>0</v>
      </c>
      <c r="BL188" s="107" t="n">
        <v>0</v>
      </c>
      <c r="BM188" s="107" t="n">
        <v>0</v>
      </c>
      <c r="BN188" s="107" t="n">
        <v>0</v>
      </c>
      <c r="BO188" s="107" t="s">
        <v>374</v>
      </c>
      <c r="BP188" s="2"/>
      <c r="BQ188" s="107" t="s">
        <v>369</v>
      </c>
      <c r="BR188" s="107" t="n">
        <v>-96225402</v>
      </c>
      <c r="BS188" s="107" t="n">
        <v>0</v>
      </c>
      <c r="BT188" s="107" t="n">
        <v>0</v>
      </c>
      <c r="BU188" s="107" t="n">
        <v>7760.4</v>
      </c>
      <c r="BV188" s="107" t="n">
        <v>11135398</v>
      </c>
      <c r="BW188" s="107" t="n">
        <v>17860</v>
      </c>
      <c r="BX188" s="107" t="n">
        <v>24261024</v>
      </c>
      <c r="BY188" s="107" t="n">
        <v>0</v>
      </c>
      <c r="BZ188" s="107" t="n">
        <v>0</v>
      </c>
      <c r="CA188" s="107" t="n">
        <v>1434.9</v>
      </c>
      <c r="CB188" s="2"/>
      <c r="CC188" s="107" t="n">
        <v>0</v>
      </c>
      <c r="CD188" s="107" t="n">
        <v>99.64</v>
      </c>
      <c r="CE188" s="107" t="n">
        <v>99.75</v>
      </c>
      <c r="CF188" s="107" t="n">
        <v>99.83</v>
      </c>
      <c r="CG188" s="107" t="n">
        <v>0</v>
      </c>
      <c r="CH188" s="107" t="n">
        <v>3.2</v>
      </c>
      <c r="CI188" s="107" t="n">
        <v>101.71</v>
      </c>
      <c r="CJ188" s="107" t="n">
        <v>101.79</v>
      </c>
      <c r="CK188" s="107" t="n">
        <v>101.91</v>
      </c>
      <c r="CL188" s="107" t="n">
        <v>0</v>
      </c>
    </row>
    <row r="189" customFormat="false" ht="15" hidden="false" customHeight="false" outlineLevel="0" collapsed="false">
      <c r="A189" s="107" t="s">
        <v>655</v>
      </c>
      <c r="B189" s="107" t="n">
        <v>100.1464</v>
      </c>
      <c r="C189" s="107" t="n">
        <v>5.0574</v>
      </c>
      <c r="D189" s="107" t="n">
        <v>0.6908</v>
      </c>
      <c r="E189" s="107" t="n">
        <v>-691.8113312</v>
      </c>
      <c r="F189" s="108" t="s">
        <v>358</v>
      </c>
      <c r="G189" s="107" t="n">
        <v>0.6908</v>
      </c>
      <c r="H189" s="107" t="n">
        <v>-691.8113312</v>
      </c>
      <c r="I189" s="109" t="n">
        <v>46562</v>
      </c>
      <c r="J189" s="107" t="n">
        <v>1</v>
      </c>
      <c r="K189" s="107" t="s">
        <v>359</v>
      </c>
      <c r="L189" s="107" t="s">
        <v>298</v>
      </c>
      <c r="M189" s="107" t="n">
        <v>6908000</v>
      </c>
      <c r="N189" s="107" t="n">
        <v>100.774</v>
      </c>
      <c r="O189" s="107" t="n">
        <v>10014640</v>
      </c>
      <c r="P189" s="107" t="s">
        <v>399</v>
      </c>
      <c r="Q189" s="107" t="s">
        <v>374</v>
      </c>
      <c r="R189" s="107" t="n">
        <v>-0.0665950560810067</v>
      </c>
      <c r="S189" s="107" t="n">
        <v>-0.00622779685236274</v>
      </c>
      <c r="T189" s="107" t="n">
        <v>-709.3369512</v>
      </c>
      <c r="U189" s="107" t="n">
        <v>21069</v>
      </c>
      <c r="V189" s="108" t="s">
        <v>362</v>
      </c>
      <c r="W189" s="107" t="n">
        <v>34578</v>
      </c>
      <c r="X189" s="108" t="s">
        <v>372</v>
      </c>
      <c r="Y189" s="107" t="s">
        <v>654</v>
      </c>
      <c r="Z189" s="107" t="s">
        <v>656</v>
      </c>
      <c r="AA189" s="109" t="n">
        <v>45709</v>
      </c>
      <c r="AB189" s="107" t="n">
        <v>250221000001</v>
      </c>
      <c r="AC189" s="109" t="n">
        <v>45190</v>
      </c>
      <c r="AD189" s="109" t="n">
        <v>47747</v>
      </c>
      <c r="AE189" s="107" t="n">
        <v>6.2</v>
      </c>
      <c r="AF189" s="107" t="n">
        <v>3.5119</v>
      </c>
      <c r="AG189" s="107" t="n">
        <v>1452</v>
      </c>
      <c r="AH189" s="107" t="n">
        <v>2400000</v>
      </c>
      <c r="AI189" s="107" t="n">
        <v>5.197189</v>
      </c>
      <c r="AJ189" s="107" t="n">
        <v>104.683</v>
      </c>
      <c r="AK189" s="107" t="n">
        <v>4.279748</v>
      </c>
      <c r="AL189" s="107" t="n">
        <v>107.1045</v>
      </c>
      <c r="AM189" s="107" t="n">
        <v>5.8146</v>
      </c>
      <c r="AN189" s="107" t="n">
        <v>101.3473</v>
      </c>
      <c r="AO189" s="107" t="n">
        <v>1358.4</v>
      </c>
      <c r="AP189" s="107" t="n">
        <v>1</v>
      </c>
      <c r="AQ189" s="107" t="n">
        <v>2432335.2</v>
      </c>
      <c r="AR189" s="107" t="n">
        <v>3304084136</v>
      </c>
      <c r="AS189" s="107" t="n">
        <v>2566788</v>
      </c>
      <c r="AT189" s="107" t="n">
        <v>3683084101</v>
      </c>
      <c r="AU189" s="107" t="n">
        <v>-134452.8</v>
      </c>
      <c r="AV189" s="107" t="n">
        <v>-182640683</v>
      </c>
      <c r="AW189" s="107" t="n">
        <v>0</v>
      </c>
      <c r="AX189" s="107" t="n">
        <v>0</v>
      </c>
      <c r="AY189" s="107" t="n">
        <v>0</v>
      </c>
      <c r="AZ189" s="107" t="n">
        <v>0</v>
      </c>
      <c r="BA189" s="107" t="n">
        <v>0</v>
      </c>
      <c r="BB189" s="107" t="n">
        <v>0</v>
      </c>
      <c r="BC189" s="107" t="n">
        <v>0</v>
      </c>
      <c r="BD189" s="107" t="n">
        <v>0</v>
      </c>
      <c r="BE189" s="107" t="n">
        <v>3720</v>
      </c>
      <c r="BF189" s="107" t="n">
        <v>5053248</v>
      </c>
      <c r="BG189" s="107" t="n">
        <v>0</v>
      </c>
      <c r="BH189" s="107" t="n">
        <v>0</v>
      </c>
      <c r="BI189" s="107" t="n">
        <v>2512392</v>
      </c>
      <c r="BJ189" s="107" t="n">
        <v>3605031281</v>
      </c>
      <c r="BK189" s="107" t="n">
        <v>0</v>
      </c>
      <c r="BL189" s="107" t="n">
        <v>0</v>
      </c>
      <c r="BM189" s="107" t="n">
        <v>0</v>
      </c>
      <c r="BN189" s="107" t="n">
        <v>0</v>
      </c>
      <c r="BO189" s="107" t="s">
        <v>374</v>
      </c>
      <c r="BP189" s="2"/>
      <c r="BQ189" s="107" t="s">
        <v>374</v>
      </c>
      <c r="BR189" s="107" t="n">
        <v>-196359282</v>
      </c>
      <c r="BS189" s="107" t="n">
        <v>0</v>
      </c>
      <c r="BT189" s="107" t="n">
        <v>0</v>
      </c>
      <c r="BU189" s="107" t="n">
        <v>54396</v>
      </c>
      <c r="BV189" s="107" t="n">
        <v>78052820</v>
      </c>
      <c r="BW189" s="107" t="n">
        <v>3720</v>
      </c>
      <c r="BX189" s="107" t="n">
        <v>5053248</v>
      </c>
      <c r="BY189" s="107" t="n">
        <v>0</v>
      </c>
      <c r="BZ189" s="107" t="n">
        <v>0</v>
      </c>
      <c r="CA189" s="107" t="n">
        <v>1434.9</v>
      </c>
      <c r="CB189" s="2"/>
      <c r="CC189" s="107" t="n">
        <v>0</v>
      </c>
      <c r="CD189" s="107" t="n">
        <v>101.27</v>
      </c>
      <c r="CE189" s="107" t="n">
        <v>101.41</v>
      </c>
      <c r="CF189" s="107" t="n">
        <v>101.36</v>
      </c>
      <c r="CG189" s="107" t="n">
        <v>200000</v>
      </c>
      <c r="CH189" s="107" t="n">
        <v>3.4127</v>
      </c>
      <c r="CI189" s="107" t="n">
        <v>101.71</v>
      </c>
      <c r="CJ189" s="107" t="n">
        <v>101.79</v>
      </c>
      <c r="CK189" s="107" t="n">
        <v>101.91</v>
      </c>
      <c r="CL189" s="107" t="n">
        <v>0</v>
      </c>
    </row>
    <row r="190" customFormat="false" ht="15" hidden="false" customHeight="false" outlineLevel="0" collapsed="false">
      <c r="A190" s="107" t="s">
        <v>657</v>
      </c>
      <c r="B190" s="107" t="n">
        <v>99.5862</v>
      </c>
      <c r="C190" s="107" t="n">
        <v>5.3323</v>
      </c>
      <c r="D190" s="107" t="n">
        <v>1.1813</v>
      </c>
      <c r="E190" s="107" t="n">
        <v>-1176.4117806</v>
      </c>
      <c r="F190" s="108" t="s">
        <v>358</v>
      </c>
      <c r="G190" s="107" t="n">
        <v>1.1813</v>
      </c>
      <c r="H190" s="107" t="n">
        <v>-1176.4117806</v>
      </c>
      <c r="I190" s="109" t="n">
        <v>46759</v>
      </c>
      <c r="J190" s="107" t="n">
        <v>2</v>
      </c>
      <c r="K190" s="107" t="s">
        <v>359</v>
      </c>
      <c r="L190" s="107" t="s">
        <v>298</v>
      </c>
      <c r="M190" s="107" t="n">
        <v>11813000</v>
      </c>
      <c r="N190" s="107" t="n">
        <v>99.97579</v>
      </c>
      <c r="O190" s="107" t="n">
        <v>9958620</v>
      </c>
      <c r="P190" s="107" t="s">
        <v>399</v>
      </c>
      <c r="Q190" s="107" t="s">
        <v>374</v>
      </c>
      <c r="R190" s="107" t="n">
        <v>-0.0713049254967709</v>
      </c>
      <c r="S190" s="107" t="n">
        <v>-0.00389684342579333</v>
      </c>
      <c r="T190" s="107" t="n">
        <v>-1207.7814336</v>
      </c>
      <c r="U190" s="107" t="n">
        <v>21069</v>
      </c>
      <c r="V190" s="108" t="s">
        <v>362</v>
      </c>
      <c r="W190" s="107" t="n">
        <v>34578</v>
      </c>
      <c r="X190" s="108" t="s">
        <v>372</v>
      </c>
      <c r="Y190" s="107" t="s">
        <v>654</v>
      </c>
      <c r="Z190" s="107" t="s">
        <v>656</v>
      </c>
      <c r="AA190" s="109" t="n">
        <v>45793</v>
      </c>
      <c r="AB190" s="107" t="n">
        <v>250516000001</v>
      </c>
      <c r="AC190" s="109" t="n">
        <v>45190</v>
      </c>
      <c r="AD190" s="109" t="n">
        <v>47747</v>
      </c>
      <c r="AE190" s="107" t="n">
        <v>6.2</v>
      </c>
      <c r="AF190" s="107" t="n">
        <v>3.5119</v>
      </c>
      <c r="AG190" s="107" t="n">
        <v>1452</v>
      </c>
      <c r="AH190" s="107" t="n">
        <v>5000000</v>
      </c>
      <c r="AI190" s="107" t="n">
        <v>5.389442</v>
      </c>
      <c r="AJ190" s="107" t="n">
        <v>103.62</v>
      </c>
      <c r="AK190" s="107" t="n">
        <v>4.279748</v>
      </c>
      <c r="AL190" s="107" t="n">
        <v>107.1045</v>
      </c>
      <c r="AM190" s="107" t="n">
        <v>5.8146</v>
      </c>
      <c r="AN190" s="107" t="n">
        <v>101.3473</v>
      </c>
      <c r="AO190" s="107" t="n">
        <v>1358.4</v>
      </c>
      <c r="AP190" s="107" t="n">
        <v>1</v>
      </c>
      <c r="AQ190" s="107" t="n">
        <v>5067365</v>
      </c>
      <c r="AR190" s="107" t="n">
        <v>6883508616</v>
      </c>
      <c r="AS190" s="107" t="n">
        <v>5347475</v>
      </c>
      <c r="AT190" s="107" t="n">
        <v>7673091878</v>
      </c>
      <c r="AU190" s="107" t="n">
        <v>-280110</v>
      </c>
      <c r="AV190" s="107" t="n">
        <v>-380501424</v>
      </c>
      <c r="AW190" s="107" t="n">
        <v>0</v>
      </c>
      <c r="AX190" s="107" t="n">
        <v>0</v>
      </c>
      <c r="AY190" s="107" t="n">
        <v>0</v>
      </c>
      <c r="AZ190" s="107" t="n">
        <v>0</v>
      </c>
      <c r="BA190" s="107" t="n">
        <v>0</v>
      </c>
      <c r="BB190" s="107" t="n">
        <v>0</v>
      </c>
      <c r="BC190" s="107" t="n">
        <v>0</v>
      </c>
      <c r="BD190" s="107" t="n">
        <v>0</v>
      </c>
      <c r="BE190" s="107" t="n">
        <v>7750</v>
      </c>
      <c r="BF190" s="107" t="n">
        <v>10527600</v>
      </c>
      <c r="BG190" s="107" t="n">
        <v>0</v>
      </c>
      <c r="BH190" s="107" t="n">
        <v>0</v>
      </c>
      <c r="BI190" s="107" t="n">
        <v>5181000</v>
      </c>
      <c r="BJ190" s="107" t="n">
        <v>7434216900</v>
      </c>
      <c r="BK190" s="107" t="n">
        <v>0</v>
      </c>
      <c r="BL190" s="107" t="n">
        <v>0</v>
      </c>
      <c r="BM190" s="107" t="n">
        <v>0</v>
      </c>
      <c r="BN190" s="107" t="n">
        <v>0</v>
      </c>
      <c r="BO190" s="107" t="s">
        <v>374</v>
      </c>
      <c r="BP190" s="2"/>
      <c r="BQ190" s="107" t="s">
        <v>374</v>
      </c>
      <c r="BR190" s="107" t="n">
        <v>-409081838</v>
      </c>
      <c r="BS190" s="107" t="n">
        <v>0</v>
      </c>
      <c r="BT190" s="107" t="n">
        <v>0</v>
      </c>
      <c r="BU190" s="107" t="n">
        <v>166475</v>
      </c>
      <c r="BV190" s="107" t="n">
        <v>238874978</v>
      </c>
      <c r="BW190" s="107" t="n">
        <v>7750</v>
      </c>
      <c r="BX190" s="107" t="n">
        <v>10527600</v>
      </c>
      <c r="BY190" s="107" t="n">
        <v>0</v>
      </c>
      <c r="BZ190" s="107" t="n">
        <v>0</v>
      </c>
      <c r="CA190" s="107" t="n">
        <v>1434.9</v>
      </c>
      <c r="CB190" s="2"/>
      <c r="CC190" s="107" t="n">
        <v>0</v>
      </c>
      <c r="CD190" s="107" t="n">
        <v>101.27</v>
      </c>
      <c r="CE190" s="107" t="n">
        <v>101.41</v>
      </c>
      <c r="CF190" s="107" t="n">
        <v>101.36</v>
      </c>
      <c r="CG190" s="107" t="n">
        <v>0</v>
      </c>
      <c r="CH190" s="107" t="n">
        <v>3.4127</v>
      </c>
      <c r="CI190" s="107" t="n">
        <v>101.71</v>
      </c>
      <c r="CJ190" s="107" t="n">
        <v>101.79</v>
      </c>
      <c r="CK190" s="107" t="n">
        <v>101.91</v>
      </c>
      <c r="CL190" s="107" t="n">
        <v>0</v>
      </c>
    </row>
    <row r="191" customFormat="false" ht="15" hidden="false" customHeight="false" outlineLevel="0" collapsed="false">
      <c r="A191" s="107" t="s">
        <v>658</v>
      </c>
      <c r="B191" s="107" t="n">
        <v>98.7202</v>
      </c>
      <c r="C191" s="107" t="n">
        <v>5.7302</v>
      </c>
      <c r="D191" s="107" t="n">
        <v>2.866</v>
      </c>
      <c r="E191" s="107" t="n">
        <v>-2829.320932</v>
      </c>
      <c r="F191" s="108" t="s">
        <v>358</v>
      </c>
      <c r="G191" s="107" t="n">
        <v>2.866</v>
      </c>
      <c r="H191" s="107" t="n">
        <v>-2829.320932</v>
      </c>
      <c r="I191" s="109" t="n">
        <v>47491</v>
      </c>
      <c r="J191" s="107" t="n">
        <v>3</v>
      </c>
      <c r="K191" s="107" t="s">
        <v>359</v>
      </c>
      <c r="L191" s="107" t="s">
        <v>298</v>
      </c>
      <c r="M191" s="107" t="n">
        <v>28660000</v>
      </c>
      <c r="N191" s="107" t="n">
        <v>99.843501</v>
      </c>
      <c r="O191" s="107" t="n">
        <v>9872020</v>
      </c>
      <c r="P191" s="107" t="s">
        <v>399</v>
      </c>
      <c r="Q191" s="107" t="s">
        <v>374</v>
      </c>
      <c r="R191" s="107" t="n">
        <v>-0.0938650931936717</v>
      </c>
      <c r="S191" s="107" t="n">
        <v>-0.0112506171032604</v>
      </c>
      <c r="T191" s="107" t="n">
        <v>-2910.3702162</v>
      </c>
      <c r="U191" s="107" t="n">
        <v>21069</v>
      </c>
      <c r="V191" s="108" t="s">
        <v>362</v>
      </c>
      <c r="W191" s="107" t="n">
        <v>34578</v>
      </c>
      <c r="X191" s="108" t="s">
        <v>372</v>
      </c>
      <c r="Y191" s="107" t="s">
        <v>655</v>
      </c>
      <c r="Z191" s="107" t="s">
        <v>659</v>
      </c>
      <c r="AA191" s="109" t="n">
        <v>45688</v>
      </c>
      <c r="AB191" s="107" t="n">
        <v>250131000001</v>
      </c>
      <c r="AC191" s="109" t="n">
        <v>45467</v>
      </c>
      <c r="AD191" s="109" t="n">
        <v>46562</v>
      </c>
      <c r="AE191" s="107" t="n">
        <v>5.275</v>
      </c>
      <c r="AF191" s="107" t="n">
        <v>0.7055</v>
      </c>
      <c r="AG191" s="107" t="n">
        <v>267</v>
      </c>
      <c r="AH191" s="107" t="n">
        <v>10000000</v>
      </c>
      <c r="AI191" s="107" t="n">
        <v>4.926391</v>
      </c>
      <c r="AJ191" s="107" t="n">
        <v>100.774</v>
      </c>
      <c r="AK191" s="107" t="n">
        <v>2.920903</v>
      </c>
      <c r="AL191" s="107" t="n">
        <v>103.097666</v>
      </c>
      <c r="AM191" s="107" t="n">
        <v>5.0688</v>
      </c>
      <c r="AN191" s="107" t="n">
        <v>100.1376</v>
      </c>
      <c r="AO191" s="107" t="n">
        <v>1358.4</v>
      </c>
      <c r="AP191" s="107" t="n">
        <v>1</v>
      </c>
      <c r="AQ191" s="107" t="n">
        <v>10013760</v>
      </c>
      <c r="AR191" s="107" t="n">
        <v>13602691584</v>
      </c>
      <c r="AS191" s="107" t="n">
        <v>10169100</v>
      </c>
      <c r="AT191" s="107" t="n">
        <v>14591641590</v>
      </c>
      <c r="AU191" s="107" t="n">
        <v>-155340</v>
      </c>
      <c r="AV191" s="107" t="n">
        <v>-211013856</v>
      </c>
      <c r="AW191" s="107" t="n">
        <v>0</v>
      </c>
      <c r="AX191" s="107" t="n">
        <v>0</v>
      </c>
      <c r="AY191" s="107" t="n">
        <v>0</v>
      </c>
      <c r="AZ191" s="107" t="n">
        <v>0</v>
      </c>
      <c r="BA191" s="107" t="n">
        <v>0</v>
      </c>
      <c r="BB191" s="107" t="n">
        <v>0</v>
      </c>
      <c r="BC191" s="107" t="n">
        <v>0</v>
      </c>
      <c r="BD191" s="107" t="n">
        <v>0</v>
      </c>
      <c r="BE191" s="107" t="n">
        <v>140666.67</v>
      </c>
      <c r="BF191" s="107" t="n">
        <v>191081604</v>
      </c>
      <c r="BG191" s="107" t="n">
        <v>0</v>
      </c>
      <c r="BH191" s="107" t="n">
        <v>0</v>
      </c>
      <c r="BI191" s="107" t="n">
        <v>13705264</v>
      </c>
      <c r="BJ191" s="107" t="n">
        <v>19676566905</v>
      </c>
      <c r="BK191" s="107" t="n">
        <v>0</v>
      </c>
      <c r="BL191" s="107" t="n">
        <v>0</v>
      </c>
      <c r="BM191" s="107" t="n">
        <v>0</v>
      </c>
      <c r="BN191" s="107" t="n">
        <v>0</v>
      </c>
      <c r="BO191" s="107" t="s">
        <v>374</v>
      </c>
      <c r="BP191" s="2"/>
      <c r="BQ191" s="107" t="s">
        <v>374</v>
      </c>
      <c r="BR191" s="107" t="n">
        <v>-777936150</v>
      </c>
      <c r="BS191" s="107" t="n">
        <v>0</v>
      </c>
      <c r="BT191" s="107" t="n">
        <v>0</v>
      </c>
      <c r="BU191" s="107" t="n">
        <v>91700</v>
      </c>
      <c r="BV191" s="107" t="n">
        <v>131580330</v>
      </c>
      <c r="BW191" s="107" t="n">
        <v>140666.67</v>
      </c>
      <c r="BX191" s="107" t="n">
        <v>191081604</v>
      </c>
      <c r="BY191" s="107" t="n">
        <v>0</v>
      </c>
      <c r="BZ191" s="107" t="n">
        <v>0</v>
      </c>
      <c r="CA191" s="107" t="n">
        <v>1434.9</v>
      </c>
      <c r="CB191" s="2"/>
      <c r="CC191" s="107" t="n">
        <v>0</v>
      </c>
      <c r="CD191" s="107" t="n">
        <v>100.19</v>
      </c>
      <c r="CE191" s="107" t="n">
        <v>100.16</v>
      </c>
      <c r="CF191" s="107" t="n">
        <v>100.07</v>
      </c>
      <c r="CG191" s="107" t="n">
        <v>0</v>
      </c>
      <c r="CH191" s="107" t="n">
        <v>0.6881</v>
      </c>
      <c r="CI191" s="107" t="n">
        <v>101.71</v>
      </c>
      <c r="CJ191" s="107" t="n">
        <v>101.79</v>
      </c>
      <c r="CK191" s="107" t="n">
        <v>101.91</v>
      </c>
      <c r="CL191" s="107" t="n">
        <v>0</v>
      </c>
    </row>
    <row r="192" customFormat="false" ht="15" hidden="false" customHeight="false" outlineLevel="0" collapsed="false">
      <c r="A192" s="107" t="s">
        <v>658</v>
      </c>
      <c r="B192" s="107" t="n">
        <v>98.7202</v>
      </c>
      <c r="C192" s="107" t="n">
        <v>5.7302</v>
      </c>
      <c r="D192" s="107" t="n">
        <v>2.866</v>
      </c>
      <c r="E192" s="107" t="n">
        <v>-2829.320932</v>
      </c>
      <c r="F192" s="108" t="s">
        <v>358</v>
      </c>
      <c r="G192" s="107" t="n">
        <v>2.866</v>
      </c>
      <c r="H192" s="107" t="n">
        <v>-2829.320932</v>
      </c>
      <c r="I192" s="109" t="n">
        <v>47491</v>
      </c>
      <c r="J192" s="107" t="n">
        <v>3</v>
      </c>
      <c r="K192" s="107" t="s">
        <v>359</v>
      </c>
      <c r="L192" s="107" t="s">
        <v>298</v>
      </c>
      <c r="M192" s="107" t="n">
        <v>28660000</v>
      </c>
      <c r="N192" s="107" t="n">
        <v>100.468</v>
      </c>
      <c r="O192" s="107" t="n">
        <v>9872020</v>
      </c>
      <c r="P192" s="107" t="s">
        <v>399</v>
      </c>
      <c r="Q192" s="107" t="s">
        <v>374</v>
      </c>
      <c r="R192" s="107" t="n">
        <v>-0.0938650931936717</v>
      </c>
      <c r="S192" s="107" t="n">
        <v>-0.0173965839869411</v>
      </c>
      <c r="T192" s="107" t="n">
        <v>-2910.3702162</v>
      </c>
      <c r="U192" s="107" t="n">
        <v>21069</v>
      </c>
      <c r="V192" s="108" t="s">
        <v>362</v>
      </c>
      <c r="W192" s="107" t="n">
        <v>34578</v>
      </c>
      <c r="X192" s="108" t="s">
        <v>372</v>
      </c>
      <c r="Y192" s="107" t="s">
        <v>657</v>
      </c>
      <c r="Z192" s="107" t="s">
        <v>660</v>
      </c>
      <c r="AA192" s="109" t="n">
        <v>45678</v>
      </c>
      <c r="AB192" s="107" t="n">
        <v>250121000001</v>
      </c>
      <c r="AC192" s="109" t="n">
        <v>45665</v>
      </c>
      <c r="AD192" s="109" t="n">
        <v>46759</v>
      </c>
      <c r="AE192" s="107" t="n">
        <v>5</v>
      </c>
      <c r="AF192" s="107" t="n">
        <v>1.2102</v>
      </c>
      <c r="AG192" s="107" t="n">
        <v>464</v>
      </c>
      <c r="AH192" s="107" t="n">
        <v>10000000</v>
      </c>
      <c r="AI192" s="107" t="n">
        <v>5.008202</v>
      </c>
      <c r="AJ192" s="107" t="n">
        <v>99.97579</v>
      </c>
      <c r="AK192" s="107" t="n">
        <v>3.657175</v>
      </c>
      <c r="AL192" s="107" t="n">
        <v>102.787777</v>
      </c>
      <c r="AM192" s="107" t="n">
        <v>5.2836</v>
      </c>
      <c r="AN192" s="107" t="n">
        <v>99.6459</v>
      </c>
      <c r="AO192" s="107" t="n">
        <v>1358.4</v>
      </c>
      <c r="AP192" s="107" t="n">
        <v>1</v>
      </c>
      <c r="AQ192" s="107" t="n">
        <v>9964590</v>
      </c>
      <c r="AR192" s="107" t="n">
        <v>13535899056</v>
      </c>
      <c r="AS192" s="107" t="n">
        <v>10163500</v>
      </c>
      <c r="AT192" s="107" t="n">
        <v>14583606150</v>
      </c>
      <c r="AU192" s="107" t="n">
        <v>-198910</v>
      </c>
      <c r="AV192" s="107" t="n">
        <v>-270199344</v>
      </c>
      <c r="AW192" s="107" t="n">
        <v>0</v>
      </c>
      <c r="AX192" s="107" t="n">
        <v>0</v>
      </c>
      <c r="AY192" s="107" t="n">
        <v>0</v>
      </c>
      <c r="AZ192" s="107" t="n">
        <v>0</v>
      </c>
      <c r="BA192" s="107" t="n">
        <v>0</v>
      </c>
      <c r="BB192" s="107" t="n">
        <v>0</v>
      </c>
      <c r="BC192" s="107" t="n">
        <v>0</v>
      </c>
      <c r="BD192" s="107" t="n">
        <v>0</v>
      </c>
      <c r="BE192" s="107" t="n">
        <v>115277.78</v>
      </c>
      <c r="BF192" s="107" t="n">
        <v>156593336</v>
      </c>
      <c r="BG192" s="107" t="n">
        <v>0</v>
      </c>
      <c r="BH192" s="107" t="n">
        <v>0</v>
      </c>
      <c r="BI192" s="107" t="n">
        <v>9997579</v>
      </c>
      <c r="BJ192" s="107" t="n">
        <v>14345526107</v>
      </c>
      <c r="BK192" s="107" t="n">
        <v>0</v>
      </c>
      <c r="BL192" s="107" t="n">
        <v>0</v>
      </c>
      <c r="BM192" s="107" t="n">
        <v>0</v>
      </c>
      <c r="BN192" s="107" t="n">
        <v>0</v>
      </c>
      <c r="BO192" s="107" t="s">
        <v>374</v>
      </c>
      <c r="BP192" s="2"/>
      <c r="BQ192" s="107" t="s">
        <v>374</v>
      </c>
      <c r="BR192" s="107" t="n">
        <v>-777507750</v>
      </c>
      <c r="BS192" s="107" t="n">
        <v>0</v>
      </c>
      <c r="BT192" s="107" t="n">
        <v>0</v>
      </c>
      <c r="BU192" s="107" t="n">
        <v>165921</v>
      </c>
      <c r="BV192" s="107" t="n">
        <v>238080043</v>
      </c>
      <c r="BW192" s="107" t="n">
        <v>115277.78</v>
      </c>
      <c r="BX192" s="107" t="n">
        <v>156593336</v>
      </c>
      <c r="BY192" s="107" t="n">
        <v>0</v>
      </c>
      <c r="BZ192" s="107" t="n">
        <v>0</v>
      </c>
      <c r="CA192" s="107" t="n">
        <v>1434.9</v>
      </c>
      <c r="CB192" s="2"/>
      <c r="CC192" s="107" t="n">
        <v>0</v>
      </c>
      <c r="CD192" s="107" t="n">
        <v>99.66</v>
      </c>
      <c r="CE192" s="107" t="n">
        <v>99.7</v>
      </c>
      <c r="CF192" s="107" t="n">
        <v>99.58</v>
      </c>
      <c r="CG192" s="107" t="n">
        <v>0</v>
      </c>
      <c r="CH192" s="107" t="n">
        <v>1.1791</v>
      </c>
      <c r="CI192" s="107" t="n">
        <v>101.71</v>
      </c>
      <c r="CJ192" s="107" t="n">
        <v>101.79</v>
      </c>
      <c r="CK192" s="107" t="n">
        <v>101.91</v>
      </c>
      <c r="CL192" s="107" t="n">
        <v>0</v>
      </c>
    </row>
    <row r="193" customFormat="false" ht="15" hidden="false" customHeight="false" outlineLevel="0" collapsed="false">
      <c r="A193" s="107" t="s">
        <v>658</v>
      </c>
      <c r="B193" s="107" t="n">
        <v>98.7202</v>
      </c>
      <c r="C193" s="107" t="n">
        <v>5.7302</v>
      </c>
      <c r="D193" s="107" t="n">
        <v>2.866</v>
      </c>
      <c r="E193" s="107" t="n">
        <v>-565.8641864</v>
      </c>
      <c r="F193" s="108" t="s">
        <v>358</v>
      </c>
      <c r="G193" s="107" t="n">
        <v>2.866</v>
      </c>
      <c r="H193" s="107" t="n">
        <v>-565.8641864</v>
      </c>
      <c r="I193" s="109" t="n">
        <v>47491</v>
      </c>
      <c r="J193" s="107" t="n">
        <v>3</v>
      </c>
      <c r="K193" s="107" t="s">
        <v>359</v>
      </c>
      <c r="L193" s="107" t="s">
        <v>298</v>
      </c>
      <c r="M193" s="107" t="n">
        <v>5732000</v>
      </c>
      <c r="N193" s="107" t="n">
        <v>100.66</v>
      </c>
      <c r="O193" s="107" t="n">
        <v>1974404</v>
      </c>
      <c r="P193" s="107" t="s">
        <v>399</v>
      </c>
      <c r="Q193" s="107" t="s">
        <v>374</v>
      </c>
      <c r="R193" s="107" t="n">
        <v>-0.093865093254828</v>
      </c>
      <c r="S193" s="107" t="n">
        <v>-0.0192708126365984</v>
      </c>
      <c r="T193" s="107" t="n">
        <v>-582.07404324</v>
      </c>
      <c r="U193" s="107" t="n">
        <v>21069</v>
      </c>
      <c r="V193" s="108" t="s">
        <v>362</v>
      </c>
      <c r="W193" s="107" t="n">
        <v>34578</v>
      </c>
      <c r="X193" s="108" t="s">
        <v>372</v>
      </c>
      <c r="Y193" s="107" t="s">
        <v>658</v>
      </c>
      <c r="Z193" s="107" t="s">
        <v>661</v>
      </c>
      <c r="AA193" s="109" t="n">
        <v>45678</v>
      </c>
      <c r="AB193" s="107" t="n">
        <v>250121000001</v>
      </c>
      <c r="AC193" s="109" t="n">
        <v>45665</v>
      </c>
      <c r="AD193" s="109" t="n">
        <v>47491</v>
      </c>
      <c r="AE193" s="107" t="n">
        <v>5.3</v>
      </c>
      <c r="AF193" s="107" t="n">
        <v>2.9458</v>
      </c>
      <c r="AG193" s="107" t="n">
        <v>1196</v>
      </c>
      <c r="AH193" s="107" t="n">
        <v>10000000</v>
      </c>
      <c r="AI193" s="107" t="n">
        <v>5.336</v>
      </c>
      <c r="AJ193" s="107" t="n">
        <v>99.843501</v>
      </c>
      <c r="AK193" s="107" t="n">
        <v>4.220759</v>
      </c>
      <c r="AL193" s="107" t="n">
        <v>104.466822</v>
      </c>
      <c r="AM193" s="107" t="n">
        <v>5.6945</v>
      </c>
      <c r="AN193" s="107" t="n">
        <v>98.8254</v>
      </c>
      <c r="AO193" s="107" t="n">
        <v>1358.4</v>
      </c>
      <c r="AP193" s="107" t="n">
        <v>1</v>
      </c>
      <c r="AQ193" s="107" t="n">
        <v>9882540</v>
      </c>
      <c r="AR193" s="107" t="n">
        <v>13424442336</v>
      </c>
      <c r="AS193" s="107" t="n">
        <v>10325960</v>
      </c>
      <c r="AT193" s="107" t="n">
        <v>14816720004</v>
      </c>
      <c r="AU193" s="107" t="n">
        <v>-443420</v>
      </c>
      <c r="AV193" s="107" t="n">
        <v>-602341728</v>
      </c>
      <c r="AW193" s="107" t="n">
        <v>0</v>
      </c>
      <c r="AX193" s="107" t="n">
        <v>0</v>
      </c>
      <c r="AY193" s="107" t="n">
        <v>0</v>
      </c>
      <c r="AZ193" s="107" t="n">
        <v>0</v>
      </c>
      <c r="BA193" s="107" t="n">
        <v>0</v>
      </c>
      <c r="BB193" s="107" t="n">
        <v>0</v>
      </c>
      <c r="BC193" s="107" t="n">
        <v>0</v>
      </c>
      <c r="BD193" s="107" t="n">
        <v>0</v>
      </c>
      <c r="BE193" s="107" t="n">
        <v>120722.22</v>
      </c>
      <c r="BF193" s="107" t="n">
        <v>163989063</v>
      </c>
      <c r="BG193" s="107" t="n">
        <v>0</v>
      </c>
      <c r="BH193" s="107" t="n">
        <v>0</v>
      </c>
      <c r="BI193" s="107" t="n">
        <v>9984350.1</v>
      </c>
      <c r="BJ193" s="107" t="n">
        <v>14326543958</v>
      </c>
      <c r="BK193" s="107" t="n">
        <v>0</v>
      </c>
      <c r="BL193" s="107" t="n">
        <v>0</v>
      </c>
      <c r="BM193" s="107" t="n">
        <v>0</v>
      </c>
      <c r="BN193" s="107" t="n">
        <v>0</v>
      </c>
      <c r="BO193" s="107" t="s">
        <v>374</v>
      </c>
      <c r="BP193" s="2"/>
      <c r="BQ193" s="107" t="s">
        <v>374</v>
      </c>
      <c r="BR193" s="107" t="n">
        <v>-789935940</v>
      </c>
      <c r="BS193" s="107" t="n">
        <v>0</v>
      </c>
      <c r="BT193" s="107" t="n">
        <v>0</v>
      </c>
      <c r="BU193" s="107" t="n">
        <v>341609.9</v>
      </c>
      <c r="BV193" s="107" t="n">
        <v>490176046</v>
      </c>
      <c r="BW193" s="107" t="n">
        <v>120722.22</v>
      </c>
      <c r="BX193" s="107" t="n">
        <v>163989063</v>
      </c>
      <c r="BY193" s="107" t="n">
        <v>0</v>
      </c>
      <c r="BZ193" s="107" t="n">
        <v>0</v>
      </c>
      <c r="CA193" s="107" t="n">
        <v>1434.9</v>
      </c>
      <c r="CB193" s="2"/>
      <c r="CC193" s="107" t="n">
        <v>0</v>
      </c>
      <c r="CD193" s="107" t="n">
        <v>98.75</v>
      </c>
      <c r="CE193" s="107" t="n">
        <v>98.78</v>
      </c>
      <c r="CF193" s="107" t="n">
        <v>98.94</v>
      </c>
      <c r="CG193" s="107" t="n">
        <v>0</v>
      </c>
      <c r="CH193" s="107" t="n">
        <v>2.8642</v>
      </c>
      <c r="CI193" s="107" t="n">
        <v>101.71</v>
      </c>
      <c r="CJ193" s="107" t="n">
        <v>101.79</v>
      </c>
      <c r="CK193" s="107" t="n">
        <v>101.91</v>
      </c>
      <c r="CL193" s="107" t="n">
        <v>0</v>
      </c>
    </row>
    <row r="194" customFormat="false" ht="15" hidden="false" customHeight="false" outlineLevel="0" collapsed="false">
      <c r="A194" s="107" t="s">
        <v>658</v>
      </c>
      <c r="B194" s="107" t="n">
        <v>98.7202</v>
      </c>
      <c r="C194" s="107" t="n">
        <v>5.7302</v>
      </c>
      <c r="D194" s="107" t="n">
        <v>2.866</v>
      </c>
      <c r="E194" s="107" t="n">
        <v>-1131.7283728</v>
      </c>
      <c r="F194" s="108" t="s">
        <v>358</v>
      </c>
      <c r="G194" s="107" t="n">
        <v>2.866</v>
      </c>
      <c r="H194" s="107" t="n">
        <v>-1131.7283728</v>
      </c>
      <c r="I194" s="109" t="n">
        <v>47491</v>
      </c>
      <c r="J194" s="107" t="n">
        <v>3</v>
      </c>
      <c r="K194" s="107" t="s">
        <v>359</v>
      </c>
      <c r="L194" s="107" t="s">
        <v>298</v>
      </c>
      <c r="M194" s="107" t="n">
        <v>11464000</v>
      </c>
      <c r="N194" s="107" t="n">
        <v>100.686</v>
      </c>
      <c r="O194" s="107" t="n">
        <v>3948808</v>
      </c>
      <c r="P194" s="107" t="s">
        <v>399</v>
      </c>
      <c r="Q194" s="107" t="s">
        <v>374</v>
      </c>
      <c r="R194" s="107" t="n">
        <v>-0.093865093254828</v>
      </c>
      <c r="S194" s="107" t="n">
        <v>-0.0195240649146853</v>
      </c>
      <c r="T194" s="107" t="n">
        <v>-1164.14808648</v>
      </c>
      <c r="U194" s="107" t="n">
        <v>21069</v>
      </c>
      <c r="V194" s="108" t="s">
        <v>362</v>
      </c>
      <c r="W194" s="107" t="n">
        <v>34578</v>
      </c>
      <c r="X194" s="108" t="s">
        <v>372</v>
      </c>
      <c r="Y194" s="107" t="s">
        <v>658</v>
      </c>
      <c r="Z194" s="107" t="s">
        <v>661</v>
      </c>
      <c r="AA194" s="109" t="n">
        <v>45695</v>
      </c>
      <c r="AB194" s="107" t="n">
        <v>250207000001</v>
      </c>
      <c r="AC194" s="109" t="n">
        <v>45665</v>
      </c>
      <c r="AD194" s="109" t="n">
        <v>47491</v>
      </c>
      <c r="AE194" s="107" t="n">
        <v>5.3</v>
      </c>
      <c r="AF194" s="107" t="n">
        <v>2.9458</v>
      </c>
      <c r="AG194" s="107" t="n">
        <v>1196</v>
      </c>
      <c r="AH194" s="107" t="n">
        <v>10000000</v>
      </c>
      <c r="AI194" s="107" t="n">
        <v>5.18926</v>
      </c>
      <c r="AJ194" s="107" t="n">
        <v>100.468</v>
      </c>
      <c r="AK194" s="107" t="n">
        <v>4.220759</v>
      </c>
      <c r="AL194" s="107" t="n">
        <v>104.466822</v>
      </c>
      <c r="AM194" s="107" t="n">
        <v>5.6945</v>
      </c>
      <c r="AN194" s="107" t="n">
        <v>98.8254</v>
      </c>
      <c r="AO194" s="107" t="n">
        <v>1358.4</v>
      </c>
      <c r="AP194" s="107" t="n">
        <v>1</v>
      </c>
      <c r="AQ194" s="107" t="n">
        <v>9882540</v>
      </c>
      <c r="AR194" s="107" t="n">
        <v>13424442336</v>
      </c>
      <c r="AS194" s="107" t="n">
        <v>10325960</v>
      </c>
      <c r="AT194" s="107" t="n">
        <v>14816720004</v>
      </c>
      <c r="AU194" s="107" t="n">
        <v>-443420</v>
      </c>
      <c r="AV194" s="107" t="n">
        <v>-602341728</v>
      </c>
      <c r="AW194" s="107" t="n">
        <v>0</v>
      </c>
      <c r="AX194" s="107" t="n">
        <v>0</v>
      </c>
      <c r="AY194" s="107" t="n">
        <v>0</v>
      </c>
      <c r="AZ194" s="107" t="n">
        <v>0</v>
      </c>
      <c r="BA194" s="107" t="n">
        <v>0</v>
      </c>
      <c r="BB194" s="107" t="n">
        <v>0</v>
      </c>
      <c r="BC194" s="107" t="n">
        <v>0</v>
      </c>
      <c r="BD194" s="107" t="n">
        <v>0</v>
      </c>
      <c r="BE194" s="107" t="n">
        <v>120722.22</v>
      </c>
      <c r="BF194" s="107" t="n">
        <v>163989063</v>
      </c>
      <c r="BG194" s="107" t="n">
        <v>0</v>
      </c>
      <c r="BH194" s="107" t="n">
        <v>0</v>
      </c>
      <c r="BI194" s="107" t="n">
        <v>10046800</v>
      </c>
      <c r="BJ194" s="107" t="n">
        <v>14416153320</v>
      </c>
      <c r="BK194" s="107" t="n">
        <v>0</v>
      </c>
      <c r="BL194" s="107" t="n">
        <v>0</v>
      </c>
      <c r="BM194" s="107" t="n">
        <v>0</v>
      </c>
      <c r="BN194" s="107" t="n">
        <v>0</v>
      </c>
      <c r="BO194" s="107" t="s">
        <v>374</v>
      </c>
      <c r="BP194" s="2"/>
      <c r="BQ194" s="107" t="s">
        <v>374</v>
      </c>
      <c r="BR194" s="107" t="n">
        <v>-789935940</v>
      </c>
      <c r="BS194" s="107" t="n">
        <v>0</v>
      </c>
      <c r="BT194" s="107" t="n">
        <v>0</v>
      </c>
      <c r="BU194" s="107" t="n">
        <v>279160</v>
      </c>
      <c r="BV194" s="107" t="n">
        <v>400566684</v>
      </c>
      <c r="BW194" s="107" t="n">
        <v>120722.22</v>
      </c>
      <c r="BX194" s="107" t="n">
        <v>163989063</v>
      </c>
      <c r="BY194" s="107" t="n">
        <v>0</v>
      </c>
      <c r="BZ194" s="107" t="n">
        <v>0</v>
      </c>
      <c r="CA194" s="107" t="n">
        <v>1434.9</v>
      </c>
      <c r="CB194" s="2"/>
      <c r="CC194" s="107" t="n">
        <v>0</v>
      </c>
      <c r="CD194" s="107" t="n">
        <v>98.75</v>
      </c>
      <c r="CE194" s="107" t="n">
        <v>98.78</v>
      </c>
      <c r="CF194" s="107" t="n">
        <v>98.94</v>
      </c>
      <c r="CG194" s="107" t="n">
        <v>0</v>
      </c>
      <c r="CH194" s="107" t="n">
        <v>2.8642</v>
      </c>
      <c r="CI194" s="107" t="n">
        <v>101.71</v>
      </c>
      <c r="CJ194" s="107" t="n">
        <v>101.79</v>
      </c>
      <c r="CK194" s="107" t="n">
        <v>101.91</v>
      </c>
      <c r="CL194" s="107" t="n">
        <v>0</v>
      </c>
    </row>
    <row r="195" customFormat="false" ht="15" hidden="false" customHeight="false" outlineLevel="0" collapsed="false">
      <c r="A195" s="107" t="s">
        <v>658</v>
      </c>
      <c r="B195" s="107" t="n">
        <v>98.7202</v>
      </c>
      <c r="C195" s="107" t="n">
        <v>5.7302</v>
      </c>
      <c r="D195" s="107" t="n">
        <v>2.866</v>
      </c>
      <c r="E195" s="107" t="n">
        <v>-565.8641864</v>
      </c>
      <c r="F195" s="108" t="s">
        <v>358</v>
      </c>
      <c r="G195" s="107" t="n">
        <v>2.866</v>
      </c>
      <c r="H195" s="107" t="n">
        <v>-565.8641864</v>
      </c>
      <c r="I195" s="109" t="n">
        <v>47491</v>
      </c>
      <c r="J195" s="107" t="n">
        <v>3</v>
      </c>
      <c r="K195" s="107" t="s">
        <v>359</v>
      </c>
      <c r="L195" s="107" t="s">
        <v>298</v>
      </c>
      <c r="M195" s="107" t="n">
        <v>5732000</v>
      </c>
      <c r="N195" s="107" t="n">
        <v>100.178</v>
      </c>
      <c r="O195" s="107" t="n">
        <v>1974404</v>
      </c>
      <c r="P195" s="107" t="s">
        <v>399</v>
      </c>
      <c r="Q195" s="107" t="s">
        <v>374</v>
      </c>
      <c r="R195" s="107" t="n">
        <v>-0.093865093254828</v>
      </c>
      <c r="S195" s="107" t="n">
        <v>-0.0145520972668649</v>
      </c>
      <c r="T195" s="107" t="n">
        <v>-582.07404324</v>
      </c>
      <c r="U195" s="107" t="n">
        <v>21069</v>
      </c>
      <c r="V195" s="108" t="s">
        <v>362</v>
      </c>
      <c r="W195" s="107" t="n">
        <v>34578</v>
      </c>
      <c r="X195" s="108" t="s">
        <v>372</v>
      </c>
      <c r="Y195" s="107" t="s">
        <v>658</v>
      </c>
      <c r="Z195" s="107" t="s">
        <v>661</v>
      </c>
      <c r="AA195" s="109" t="n">
        <v>45695</v>
      </c>
      <c r="AB195" s="107" t="n">
        <v>250207000002</v>
      </c>
      <c r="AC195" s="109" t="n">
        <v>45665</v>
      </c>
      <c r="AD195" s="109" t="n">
        <v>47491</v>
      </c>
      <c r="AE195" s="107" t="n">
        <v>5.3</v>
      </c>
      <c r="AF195" s="107" t="n">
        <v>2.9458</v>
      </c>
      <c r="AG195" s="107" t="n">
        <v>1196</v>
      </c>
      <c r="AH195" s="107" t="n">
        <v>2000000</v>
      </c>
      <c r="AI195" s="107" t="n">
        <v>5.143905</v>
      </c>
      <c r="AJ195" s="107" t="n">
        <v>100.66</v>
      </c>
      <c r="AK195" s="107" t="n">
        <v>4.220759</v>
      </c>
      <c r="AL195" s="107" t="n">
        <v>104.466822</v>
      </c>
      <c r="AM195" s="107" t="n">
        <v>5.6945</v>
      </c>
      <c r="AN195" s="107" t="n">
        <v>98.8254</v>
      </c>
      <c r="AO195" s="107" t="n">
        <v>1358.4</v>
      </c>
      <c r="AP195" s="107" t="n">
        <v>1</v>
      </c>
      <c r="AQ195" s="107" t="n">
        <v>1976508</v>
      </c>
      <c r="AR195" s="107" t="n">
        <v>2684888467</v>
      </c>
      <c r="AS195" s="107" t="n">
        <v>2065192</v>
      </c>
      <c r="AT195" s="107" t="n">
        <v>2963344001</v>
      </c>
      <c r="AU195" s="107" t="n">
        <v>-88684</v>
      </c>
      <c r="AV195" s="107" t="n">
        <v>-120468346</v>
      </c>
      <c r="AW195" s="107" t="n">
        <v>0</v>
      </c>
      <c r="AX195" s="107" t="n">
        <v>0</v>
      </c>
      <c r="AY195" s="107" t="n">
        <v>0</v>
      </c>
      <c r="AZ195" s="107" t="n">
        <v>0</v>
      </c>
      <c r="BA195" s="107" t="n">
        <v>0</v>
      </c>
      <c r="BB195" s="107" t="n">
        <v>0</v>
      </c>
      <c r="BC195" s="107" t="n">
        <v>0</v>
      </c>
      <c r="BD195" s="107" t="n">
        <v>0</v>
      </c>
      <c r="BE195" s="107" t="n">
        <v>24144.44</v>
      </c>
      <c r="BF195" s="107" t="n">
        <v>32797807</v>
      </c>
      <c r="BG195" s="107" t="n">
        <v>0</v>
      </c>
      <c r="BH195" s="107" t="n">
        <v>0</v>
      </c>
      <c r="BI195" s="107" t="n">
        <v>2013200</v>
      </c>
      <c r="BJ195" s="107" t="n">
        <v>2888740680</v>
      </c>
      <c r="BK195" s="107" t="n">
        <v>0</v>
      </c>
      <c r="BL195" s="107" t="n">
        <v>0</v>
      </c>
      <c r="BM195" s="107" t="n">
        <v>0</v>
      </c>
      <c r="BN195" s="107" t="n">
        <v>0</v>
      </c>
      <c r="BO195" s="107" t="s">
        <v>374</v>
      </c>
      <c r="BP195" s="2"/>
      <c r="BQ195" s="107" t="s">
        <v>374</v>
      </c>
      <c r="BR195" s="107" t="n">
        <v>-157987188</v>
      </c>
      <c r="BS195" s="107" t="n">
        <v>0</v>
      </c>
      <c r="BT195" s="107" t="n">
        <v>0</v>
      </c>
      <c r="BU195" s="107" t="n">
        <v>51992</v>
      </c>
      <c r="BV195" s="107" t="n">
        <v>74603321</v>
      </c>
      <c r="BW195" s="107" t="n">
        <v>24144.44</v>
      </c>
      <c r="BX195" s="107" t="n">
        <v>32797807</v>
      </c>
      <c r="BY195" s="107" t="n">
        <v>0</v>
      </c>
      <c r="BZ195" s="107" t="n">
        <v>0</v>
      </c>
      <c r="CA195" s="107" t="n">
        <v>1434.9</v>
      </c>
      <c r="CB195" s="2"/>
      <c r="CC195" s="107" t="n">
        <v>0</v>
      </c>
      <c r="CD195" s="107" t="n">
        <v>98.75</v>
      </c>
      <c r="CE195" s="107" t="n">
        <v>98.78</v>
      </c>
      <c r="CF195" s="107" t="n">
        <v>98.94</v>
      </c>
      <c r="CG195" s="107" t="n">
        <v>0</v>
      </c>
      <c r="CH195" s="107" t="n">
        <v>2.8642</v>
      </c>
      <c r="CI195" s="107" t="n">
        <v>103.37</v>
      </c>
      <c r="CJ195" s="107" t="n">
        <v>103.47</v>
      </c>
      <c r="CK195" s="107" t="n">
        <v>103.41</v>
      </c>
      <c r="CL195" s="107" t="n">
        <v>0</v>
      </c>
    </row>
    <row r="196" customFormat="false" ht="15" hidden="false" customHeight="false" outlineLevel="0" collapsed="false">
      <c r="A196" s="107" t="s">
        <v>658</v>
      </c>
      <c r="B196" s="107" t="n">
        <v>98.7202</v>
      </c>
      <c r="C196" s="107" t="n">
        <v>5.7302</v>
      </c>
      <c r="D196" s="107" t="n">
        <v>2.866</v>
      </c>
      <c r="E196" s="107" t="n">
        <v>-1414.660466</v>
      </c>
      <c r="F196" s="108" t="s">
        <v>358</v>
      </c>
      <c r="G196" s="107" t="n">
        <v>2.866</v>
      </c>
      <c r="H196" s="107" t="n">
        <v>-1414.660466</v>
      </c>
      <c r="I196" s="109" t="n">
        <v>47491</v>
      </c>
      <c r="J196" s="107" t="n">
        <v>3</v>
      </c>
      <c r="K196" s="107" t="s">
        <v>359</v>
      </c>
      <c r="L196" s="107" t="s">
        <v>298</v>
      </c>
      <c r="M196" s="107" t="n">
        <v>14330000</v>
      </c>
      <c r="N196" s="107" t="n">
        <v>100.246</v>
      </c>
      <c r="O196" s="107" t="n">
        <v>4936010</v>
      </c>
      <c r="P196" s="107" t="s">
        <v>399</v>
      </c>
      <c r="Q196" s="107" t="s">
        <v>374</v>
      </c>
      <c r="R196" s="107" t="n">
        <v>-0.0938650931936717</v>
      </c>
      <c r="S196" s="107" t="n">
        <v>-0.0152205574287252</v>
      </c>
      <c r="T196" s="107" t="n">
        <v>-1455.1851081</v>
      </c>
      <c r="U196" s="107" t="n">
        <v>21069</v>
      </c>
      <c r="V196" s="108" t="s">
        <v>362</v>
      </c>
      <c r="W196" s="107" t="n">
        <v>34578</v>
      </c>
      <c r="X196" s="108" t="s">
        <v>372</v>
      </c>
      <c r="Y196" s="107" t="s">
        <v>658</v>
      </c>
      <c r="Z196" s="107" t="s">
        <v>661</v>
      </c>
      <c r="AA196" s="109" t="n">
        <v>45701</v>
      </c>
      <c r="AB196" s="107" t="n">
        <v>250213000001</v>
      </c>
      <c r="AC196" s="109" t="n">
        <v>45665</v>
      </c>
      <c r="AD196" s="109" t="n">
        <v>47491</v>
      </c>
      <c r="AE196" s="107" t="n">
        <v>5.3</v>
      </c>
      <c r="AF196" s="107" t="n">
        <v>2.9458</v>
      </c>
      <c r="AG196" s="107" t="n">
        <v>1196</v>
      </c>
      <c r="AH196" s="107" t="n">
        <v>4000000</v>
      </c>
      <c r="AI196" s="107" t="n">
        <v>5.137127</v>
      </c>
      <c r="AJ196" s="107" t="n">
        <v>100.686</v>
      </c>
      <c r="AK196" s="107" t="n">
        <v>4.220759</v>
      </c>
      <c r="AL196" s="107" t="n">
        <v>104.466822</v>
      </c>
      <c r="AM196" s="107" t="n">
        <v>5.6945</v>
      </c>
      <c r="AN196" s="107" t="n">
        <v>98.8254</v>
      </c>
      <c r="AO196" s="107" t="n">
        <v>1358.4</v>
      </c>
      <c r="AP196" s="107" t="n">
        <v>1</v>
      </c>
      <c r="AQ196" s="107" t="n">
        <v>3953016</v>
      </c>
      <c r="AR196" s="107" t="n">
        <v>5369776934</v>
      </c>
      <c r="AS196" s="107" t="n">
        <v>4130384</v>
      </c>
      <c r="AT196" s="107" t="n">
        <v>5926688002</v>
      </c>
      <c r="AU196" s="107" t="n">
        <v>-177368</v>
      </c>
      <c r="AV196" s="107" t="n">
        <v>-240936692</v>
      </c>
      <c r="AW196" s="107" t="n">
        <v>0</v>
      </c>
      <c r="AX196" s="107" t="n">
        <v>0</v>
      </c>
      <c r="AY196" s="107" t="n">
        <v>0</v>
      </c>
      <c r="AZ196" s="107" t="n">
        <v>0</v>
      </c>
      <c r="BA196" s="107" t="n">
        <v>0</v>
      </c>
      <c r="BB196" s="107" t="n">
        <v>0</v>
      </c>
      <c r="BC196" s="107" t="n">
        <v>0</v>
      </c>
      <c r="BD196" s="107" t="n">
        <v>0</v>
      </c>
      <c r="BE196" s="107" t="n">
        <v>48288.89</v>
      </c>
      <c r="BF196" s="107" t="n">
        <v>65595628</v>
      </c>
      <c r="BG196" s="107" t="n">
        <v>0</v>
      </c>
      <c r="BH196" s="107" t="n">
        <v>0</v>
      </c>
      <c r="BI196" s="107" t="n">
        <v>4027440</v>
      </c>
      <c r="BJ196" s="107" t="n">
        <v>5778973656</v>
      </c>
      <c r="BK196" s="107" t="n">
        <v>0</v>
      </c>
      <c r="BL196" s="107" t="n">
        <v>0</v>
      </c>
      <c r="BM196" s="107" t="n">
        <v>0</v>
      </c>
      <c r="BN196" s="107" t="n">
        <v>0</v>
      </c>
      <c r="BO196" s="107" t="s">
        <v>374</v>
      </c>
      <c r="BP196" s="2"/>
      <c r="BQ196" s="107" t="s">
        <v>374</v>
      </c>
      <c r="BR196" s="107" t="n">
        <v>-315974376</v>
      </c>
      <c r="BS196" s="107" t="n">
        <v>0</v>
      </c>
      <c r="BT196" s="107" t="n">
        <v>0</v>
      </c>
      <c r="BU196" s="107" t="n">
        <v>102944</v>
      </c>
      <c r="BV196" s="107" t="n">
        <v>147714346</v>
      </c>
      <c r="BW196" s="107" t="n">
        <v>48288.89</v>
      </c>
      <c r="BX196" s="107" t="n">
        <v>65595628</v>
      </c>
      <c r="BY196" s="107" t="n">
        <v>0</v>
      </c>
      <c r="BZ196" s="107" t="n">
        <v>0</v>
      </c>
      <c r="CA196" s="107" t="n">
        <v>1434.9</v>
      </c>
      <c r="CB196" s="2"/>
      <c r="CC196" s="107" t="n">
        <v>0</v>
      </c>
      <c r="CD196" s="107" t="n">
        <v>98.75</v>
      </c>
      <c r="CE196" s="107" t="n">
        <v>98.78</v>
      </c>
      <c r="CF196" s="107" t="n">
        <v>98.94</v>
      </c>
      <c r="CG196" s="107" t="n">
        <v>0</v>
      </c>
      <c r="CH196" s="107" t="n">
        <v>2.8642</v>
      </c>
      <c r="CI196" s="107" t="n">
        <v>103.37</v>
      </c>
      <c r="CJ196" s="107" t="n">
        <v>103.47</v>
      </c>
      <c r="CK196" s="107" t="n">
        <v>103.41</v>
      </c>
      <c r="CL196" s="107" t="n">
        <v>0</v>
      </c>
    </row>
    <row r="197" customFormat="false" ht="15" hidden="false" customHeight="false" outlineLevel="0" collapsed="false">
      <c r="A197" s="107" t="s">
        <v>658</v>
      </c>
      <c r="B197" s="107" t="n">
        <v>98.7202</v>
      </c>
      <c r="C197" s="107" t="n">
        <v>5.7302</v>
      </c>
      <c r="D197" s="107" t="n">
        <v>2.866</v>
      </c>
      <c r="E197" s="107" t="n">
        <v>-1471.24688464</v>
      </c>
      <c r="F197" s="108" t="s">
        <v>358</v>
      </c>
      <c r="G197" s="107" t="n">
        <v>2.866</v>
      </c>
      <c r="H197" s="107" t="n">
        <v>-1471.24688464</v>
      </c>
      <c r="I197" s="109" t="n">
        <v>47491</v>
      </c>
      <c r="J197" s="107" t="n">
        <v>3</v>
      </c>
      <c r="K197" s="107" t="s">
        <v>359</v>
      </c>
      <c r="L197" s="107" t="s">
        <v>298</v>
      </c>
      <c r="M197" s="107" t="n">
        <v>14903200</v>
      </c>
      <c r="N197" s="107" t="n">
        <v>101.294</v>
      </c>
      <c r="O197" s="107" t="n">
        <v>5133450.4</v>
      </c>
      <c r="P197" s="107" t="s">
        <v>399</v>
      </c>
      <c r="Q197" s="107" t="s">
        <v>374</v>
      </c>
      <c r="R197" s="107" t="n">
        <v>-0.0938650931842631</v>
      </c>
      <c r="S197" s="107" t="n">
        <v>-0.0254092048887397</v>
      </c>
      <c r="T197" s="107" t="n">
        <v>-1513.392512424</v>
      </c>
      <c r="U197" s="107" t="n">
        <v>21069</v>
      </c>
      <c r="V197" s="108" t="s">
        <v>362</v>
      </c>
      <c r="W197" s="107" t="n">
        <v>34578</v>
      </c>
      <c r="X197" s="108" t="s">
        <v>372</v>
      </c>
      <c r="Y197" s="107" t="s">
        <v>658</v>
      </c>
      <c r="Z197" s="107" t="s">
        <v>661</v>
      </c>
      <c r="AA197" s="109" t="n">
        <v>45702</v>
      </c>
      <c r="AB197" s="107" t="n">
        <v>250214000001</v>
      </c>
      <c r="AC197" s="109" t="n">
        <v>45665</v>
      </c>
      <c r="AD197" s="109" t="n">
        <v>47491</v>
      </c>
      <c r="AE197" s="107" t="n">
        <v>5.3</v>
      </c>
      <c r="AF197" s="107" t="n">
        <v>2.9458</v>
      </c>
      <c r="AG197" s="107" t="n">
        <v>1196</v>
      </c>
      <c r="AH197" s="107" t="n">
        <v>2000000</v>
      </c>
      <c r="AI197" s="107" t="n">
        <v>5.257037</v>
      </c>
      <c r="AJ197" s="107" t="n">
        <v>100.178</v>
      </c>
      <c r="AK197" s="107" t="n">
        <v>4.220759</v>
      </c>
      <c r="AL197" s="107" t="n">
        <v>104.466822</v>
      </c>
      <c r="AM197" s="107" t="n">
        <v>5.6945</v>
      </c>
      <c r="AN197" s="107" t="n">
        <v>98.8254</v>
      </c>
      <c r="AO197" s="107" t="n">
        <v>1358.4</v>
      </c>
      <c r="AP197" s="107" t="n">
        <v>1</v>
      </c>
      <c r="AQ197" s="107" t="n">
        <v>1976508</v>
      </c>
      <c r="AR197" s="107" t="n">
        <v>2684888467</v>
      </c>
      <c r="AS197" s="107" t="n">
        <v>2065192</v>
      </c>
      <c r="AT197" s="107" t="n">
        <v>2963344001</v>
      </c>
      <c r="AU197" s="107" t="n">
        <v>-88684</v>
      </c>
      <c r="AV197" s="107" t="n">
        <v>-120468346</v>
      </c>
      <c r="AW197" s="107" t="n">
        <v>0</v>
      </c>
      <c r="AX197" s="107" t="n">
        <v>0</v>
      </c>
      <c r="AY197" s="107" t="n">
        <v>0</v>
      </c>
      <c r="AZ197" s="107" t="n">
        <v>0</v>
      </c>
      <c r="BA197" s="107" t="n">
        <v>0</v>
      </c>
      <c r="BB197" s="107" t="n">
        <v>0</v>
      </c>
      <c r="BC197" s="107" t="n">
        <v>0</v>
      </c>
      <c r="BD197" s="107" t="n">
        <v>0</v>
      </c>
      <c r="BE197" s="107" t="n">
        <v>24144.44</v>
      </c>
      <c r="BF197" s="107" t="n">
        <v>32797807</v>
      </c>
      <c r="BG197" s="107" t="n">
        <v>0</v>
      </c>
      <c r="BH197" s="107" t="n">
        <v>0</v>
      </c>
      <c r="BI197" s="107" t="n">
        <v>2003560</v>
      </c>
      <c r="BJ197" s="107" t="n">
        <v>2874908244</v>
      </c>
      <c r="BK197" s="107" t="n">
        <v>0</v>
      </c>
      <c r="BL197" s="107" t="n">
        <v>0</v>
      </c>
      <c r="BM197" s="107" t="n">
        <v>0</v>
      </c>
      <c r="BN197" s="107" t="n">
        <v>0</v>
      </c>
      <c r="BO197" s="107" t="s">
        <v>374</v>
      </c>
      <c r="BP197" s="2"/>
      <c r="BQ197" s="107" t="s">
        <v>374</v>
      </c>
      <c r="BR197" s="107" t="n">
        <v>-157987188</v>
      </c>
      <c r="BS197" s="107" t="n">
        <v>0</v>
      </c>
      <c r="BT197" s="107" t="n">
        <v>0</v>
      </c>
      <c r="BU197" s="107" t="n">
        <v>61632</v>
      </c>
      <c r="BV197" s="107" t="n">
        <v>88435757</v>
      </c>
      <c r="BW197" s="107" t="n">
        <v>24144.44</v>
      </c>
      <c r="BX197" s="107" t="n">
        <v>32797807</v>
      </c>
      <c r="BY197" s="107" t="n">
        <v>0</v>
      </c>
      <c r="BZ197" s="107" t="n">
        <v>0</v>
      </c>
      <c r="CA197" s="107" t="n">
        <v>1434.9</v>
      </c>
      <c r="CB197" s="2"/>
      <c r="CC197" s="107" t="n">
        <v>0</v>
      </c>
      <c r="CD197" s="107" t="n">
        <v>98.75</v>
      </c>
      <c r="CE197" s="107" t="n">
        <v>98.78</v>
      </c>
      <c r="CF197" s="107" t="n">
        <v>98.94</v>
      </c>
      <c r="CG197" s="107" t="n">
        <v>0</v>
      </c>
      <c r="CH197" s="107" t="n">
        <v>2.8642</v>
      </c>
      <c r="CI197" s="107" t="n">
        <v>103.37</v>
      </c>
      <c r="CJ197" s="107" t="n">
        <v>103.47</v>
      </c>
      <c r="CK197" s="107" t="n">
        <v>103.41</v>
      </c>
      <c r="CL197" s="107" t="n">
        <v>0</v>
      </c>
    </row>
    <row r="198" customFormat="false" ht="15" hidden="false" customHeight="false" outlineLevel="0" collapsed="false">
      <c r="A198" s="107" t="s">
        <v>658</v>
      </c>
      <c r="B198" s="107" t="n">
        <v>98.7202</v>
      </c>
      <c r="C198" s="107" t="n">
        <v>5.7302</v>
      </c>
      <c r="D198" s="107" t="n">
        <v>2.866</v>
      </c>
      <c r="E198" s="107" t="n">
        <v>-367.81172116</v>
      </c>
      <c r="F198" s="108" t="s">
        <v>358</v>
      </c>
      <c r="G198" s="107" t="n">
        <v>2.866</v>
      </c>
      <c r="H198" s="107" t="n">
        <v>-367.81172116</v>
      </c>
      <c r="I198" s="109" t="n">
        <v>47491</v>
      </c>
      <c r="J198" s="107" t="n">
        <v>3</v>
      </c>
      <c r="K198" s="107" t="s">
        <v>359</v>
      </c>
      <c r="L198" s="107" t="s">
        <v>298</v>
      </c>
      <c r="M198" s="107" t="n">
        <v>3725800</v>
      </c>
      <c r="N198" s="107" t="n">
        <v>101.059</v>
      </c>
      <c r="O198" s="107" t="n">
        <v>1283362.6</v>
      </c>
      <c r="P198" s="107" t="s">
        <v>399</v>
      </c>
      <c r="Q198" s="107" t="s">
        <v>374</v>
      </c>
      <c r="R198" s="107" t="n">
        <v>-0.0938650934194794</v>
      </c>
      <c r="S198" s="107" t="n">
        <v>-0.0231429165141155</v>
      </c>
      <c r="T198" s="107" t="n">
        <v>-378.348128106</v>
      </c>
      <c r="U198" s="107" t="n">
        <v>21069</v>
      </c>
      <c r="V198" s="108" t="s">
        <v>362</v>
      </c>
      <c r="W198" s="107" t="n">
        <v>34578</v>
      </c>
      <c r="X198" s="108" t="s">
        <v>372</v>
      </c>
      <c r="Y198" s="107" t="s">
        <v>658</v>
      </c>
      <c r="Z198" s="107" t="s">
        <v>661</v>
      </c>
      <c r="AA198" s="109" t="n">
        <v>45709</v>
      </c>
      <c r="AB198" s="107" t="n">
        <v>250221000001</v>
      </c>
      <c r="AC198" s="109" t="n">
        <v>45665</v>
      </c>
      <c r="AD198" s="109" t="n">
        <v>47491</v>
      </c>
      <c r="AE198" s="107" t="n">
        <v>5.3</v>
      </c>
      <c r="AF198" s="107" t="n">
        <v>2.9458</v>
      </c>
      <c r="AG198" s="107" t="n">
        <v>1196</v>
      </c>
      <c r="AH198" s="107" t="n">
        <v>5000000</v>
      </c>
      <c r="AI198" s="107" t="n">
        <v>5.240744</v>
      </c>
      <c r="AJ198" s="107" t="n">
        <v>100.246</v>
      </c>
      <c r="AK198" s="107" t="n">
        <v>4.220759</v>
      </c>
      <c r="AL198" s="107" t="n">
        <v>104.466822</v>
      </c>
      <c r="AM198" s="107" t="n">
        <v>5.6945</v>
      </c>
      <c r="AN198" s="107" t="n">
        <v>98.8254</v>
      </c>
      <c r="AO198" s="107" t="n">
        <v>1358.4</v>
      </c>
      <c r="AP198" s="107" t="n">
        <v>1</v>
      </c>
      <c r="AQ198" s="107" t="n">
        <v>4941270</v>
      </c>
      <c r="AR198" s="107" t="n">
        <v>6712221168</v>
      </c>
      <c r="AS198" s="107" t="n">
        <v>5162980</v>
      </c>
      <c r="AT198" s="107" t="n">
        <v>7408360002</v>
      </c>
      <c r="AU198" s="107" t="n">
        <v>-221710</v>
      </c>
      <c r="AV198" s="107" t="n">
        <v>-301170864</v>
      </c>
      <c r="AW198" s="107" t="n">
        <v>0</v>
      </c>
      <c r="AX198" s="107" t="n">
        <v>0</v>
      </c>
      <c r="AY198" s="107" t="n">
        <v>0</v>
      </c>
      <c r="AZ198" s="107" t="n">
        <v>0</v>
      </c>
      <c r="BA198" s="107" t="n">
        <v>0</v>
      </c>
      <c r="BB198" s="107" t="n">
        <v>0</v>
      </c>
      <c r="BC198" s="107" t="n">
        <v>0</v>
      </c>
      <c r="BD198" s="107" t="n">
        <v>0</v>
      </c>
      <c r="BE198" s="107" t="n">
        <v>60361.11</v>
      </c>
      <c r="BF198" s="107" t="n">
        <v>81994531</v>
      </c>
      <c r="BG198" s="107" t="n">
        <v>0</v>
      </c>
      <c r="BH198" s="107" t="n">
        <v>0</v>
      </c>
      <c r="BI198" s="107" t="n">
        <v>5012300</v>
      </c>
      <c r="BJ198" s="107" t="n">
        <v>7192149270</v>
      </c>
      <c r="BK198" s="107" t="n">
        <v>0</v>
      </c>
      <c r="BL198" s="107" t="n">
        <v>0</v>
      </c>
      <c r="BM198" s="107" t="n">
        <v>0</v>
      </c>
      <c r="BN198" s="107" t="n">
        <v>0</v>
      </c>
      <c r="BO198" s="107" t="s">
        <v>374</v>
      </c>
      <c r="BP198" s="2"/>
      <c r="BQ198" s="107" t="s">
        <v>374</v>
      </c>
      <c r="BR198" s="107" t="n">
        <v>-394967970</v>
      </c>
      <c r="BS198" s="107" t="n">
        <v>0</v>
      </c>
      <c r="BT198" s="107" t="n">
        <v>0</v>
      </c>
      <c r="BU198" s="107" t="n">
        <v>150680</v>
      </c>
      <c r="BV198" s="107" t="n">
        <v>216210732</v>
      </c>
      <c r="BW198" s="107" t="n">
        <v>60361.11</v>
      </c>
      <c r="BX198" s="107" t="n">
        <v>81994531</v>
      </c>
      <c r="BY198" s="107" t="n">
        <v>0</v>
      </c>
      <c r="BZ198" s="107" t="n">
        <v>0</v>
      </c>
      <c r="CA198" s="107" t="n">
        <v>1434.9</v>
      </c>
      <c r="CB198" s="2"/>
      <c r="CC198" s="107" t="n">
        <v>0</v>
      </c>
      <c r="CD198" s="107" t="n">
        <v>98.75</v>
      </c>
      <c r="CE198" s="107" t="n">
        <v>98.78</v>
      </c>
      <c r="CF198" s="107" t="n">
        <v>98.94</v>
      </c>
      <c r="CG198" s="107" t="n">
        <v>0</v>
      </c>
      <c r="CH198" s="107" t="n">
        <v>2.8642</v>
      </c>
      <c r="CI198" s="107" t="n">
        <v>103.37</v>
      </c>
      <c r="CJ198" s="107" t="n">
        <v>103.47</v>
      </c>
      <c r="CK198" s="107" t="n">
        <v>103.41</v>
      </c>
      <c r="CL198" s="107" t="n">
        <v>0</v>
      </c>
    </row>
    <row r="199" customFormat="false" ht="15" hidden="false" customHeight="false" outlineLevel="0" collapsed="false">
      <c r="A199" s="107" t="s">
        <v>658</v>
      </c>
      <c r="B199" s="107" t="n">
        <v>98.7202</v>
      </c>
      <c r="C199" s="107" t="n">
        <v>5.7302</v>
      </c>
      <c r="D199" s="107" t="n">
        <v>2.866</v>
      </c>
      <c r="E199" s="107" t="n">
        <v>-565.8641864</v>
      </c>
      <c r="F199" s="108" t="s">
        <v>358</v>
      </c>
      <c r="G199" s="107" t="n">
        <v>2.866</v>
      </c>
      <c r="H199" s="107" t="n">
        <v>-565.8641864</v>
      </c>
      <c r="I199" s="109" t="n">
        <v>47491</v>
      </c>
      <c r="J199" s="107" t="n">
        <v>3</v>
      </c>
      <c r="K199" s="107" t="s">
        <v>359</v>
      </c>
      <c r="L199" s="107" t="s">
        <v>298</v>
      </c>
      <c r="M199" s="107" t="n">
        <v>5732000</v>
      </c>
      <c r="N199" s="107" t="n">
        <v>100.682</v>
      </c>
      <c r="O199" s="107" t="n">
        <v>1974404</v>
      </c>
      <c r="P199" s="107" t="s">
        <v>399</v>
      </c>
      <c r="Q199" s="107" t="s">
        <v>374</v>
      </c>
      <c r="R199" s="107" t="n">
        <v>-0.093865093254828</v>
      </c>
      <c r="S199" s="107" t="n">
        <v>-0.0194851115393019</v>
      </c>
      <c r="T199" s="107" t="n">
        <v>-582.07404324</v>
      </c>
      <c r="U199" s="107" t="n">
        <v>21069</v>
      </c>
      <c r="V199" s="108" t="s">
        <v>362</v>
      </c>
      <c r="W199" s="107" t="n">
        <v>34578</v>
      </c>
      <c r="X199" s="108" t="s">
        <v>372</v>
      </c>
      <c r="Y199" s="107" t="s">
        <v>658</v>
      </c>
      <c r="Z199" s="107" t="s">
        <v>661</v>
      </c>
      <c r="AA199" s="109" t="n">
        <v>45727</v>
      </c>
      <c r="AB199" s="107" t="n">
        <v>250311000001</v>
      </c>
      <c r="AC199" s="109" t="n">
        <v>45665</v>
      </c>
      <c r="AD199" s="109" t="n">
        <v>47491</v>
      </c>
      <c r="AE199" s="107" t="n">
        <v>5.3</v>
      </c>
      <c r="AF199" s="107" t="n">
        <v>2.9458</v>
      </c>
      <c r="AG199" s="107" t="n">
        <v>1196</v>
      </c>
      <c r="AH199" s="107" t="n">
        <v>5200000</v>
      </c>
      <c r="AI199" s="107" t="n">
        <v>4.989259</v>
      </c>
      <c r="AJ199" s="107" t="n">
        <v>101.294</v>
      </c>
      <c r="AK199" s="107" t="n">
        <v>4.220759</v>
      </c>
      <c r="AL199" s="107" t="n">
        <v>104.466822</v>
      </c>
      <c r="AM199" s="107" t="n">
        <v>5.6945</v>
      </c>
      <c r="AN199" s="107" t="n">
        <v>98.8254</v>
      </c>
      <c r="AO199" s="107" t="n">
        <v>1358.4</v>
      </c>
      <c r="AP199" s="107" t="n">
        <v>1</v>
      </c>
      <c r="AQ199" s="107" t="n">
        <v>5138920.8</v>
      </c>
      <c r="AR199" s="107" t="n">
        <v>6980710015</v>
      </c>
      <c r="AS199" s="107" t="n">
        <v>5369499.2</v>
      </c>
      <c r="AT199" s="107" t="n">
        <v>7704694402</v>
      </c>
      <c r="AU199" s="107" t="n">
        <v>-230578.4</v>
      </c>
      <c r="AV199" s="107" t="n">
        <v>-313217698</v>
      </c>
      <c r="AW199" s="107" t="n">
        <v>0</v>
      </c>
      <c r="AX199" s="107" t="n">
        <v>0</v>
      </c>
      <c r="AY199" s="107" t="n">
        <v>0</v>
      </c>
      <c r="AZ199" s="107" t="n">
        <v>0</v>
      </c>
      <c r="BA199" s="107" t="n">
        <v>0</v>
      </c>
      <c r="BB199" s="107" t="n">
        <v>0</v>
      </c>
      <c r="BC199" s="107" t="n">
        <v>0</v>
      </c>
      <c r="BD199" s="107" t="n">
        <v>0</v>
      </c>
      <c r="BE199" s="107" t="n">
        <v>62775.56</v>
      </c>
      <c r="BF199" s="107" t="n">
        <v>85274320</v>
      </c>
      <c r="BG199" s="107" t="n">
        <v>0</v>
      </c>
      <c r="BH199" s="107" t="n">
        <v>0</v>
      </c>
      <c r="BI199" s="107" t="n">
        <v>5267288</v>
      </c>
      <c r="BJ199" s="107" t="n">
        <v>7558031551</v>
      </c>
      <c r="BK199" s="107" t="n">
        <v>0</v>
      </c>
      <c r="BL199" s="107" t="n">
        <v>0</v>
      </c>
      <c r="BM199" s="107" t="n">
        <v>0</v>
      </c>
      <c r="BN199" s="107" t="n">
        <v>0</v>
      </c>
      <c r="BO199" s="107" t="s">
        <v>374</v>
      </c>
      <c r="BP199" s="2"/>
      <c r="BQ199" s="107" t="s">
        <v>374</v>
      </c>
      <c r="BR199" s="107" t="n">
        <v>-410766689</v>
      </c>
      <c r="BS199" s="107" t="n">
        <v>0</v>
      </c>
      <c r="BT199" s="107" t="n">
        <v>0</v>
      </c>
      <c r="BU199" s="107" t="n">
        <v>102211.2</v>
      </c>
      <c r="BV199" s="107" t="n">
        <v>146662851</v>
      </c>
      <c r="BW199" s="107" t="n">
        <v>62775.56</v>
      </c>
      <c r="BX199" s="107" t="n">
        <v>85274320</v>
      </c>
      <c r="BY199" s="107" t="n">
        <v>0</v>
      </c>
      <c r="BZ199" s="107" t="n">
        <v>0</v>
      </c>
      <c r="CA199" s="107" t="n">
        <v>1434.9</v>
      </c>
      <c r="CB199" s="2"/>
      <c r="CC199" s="107" t="n">
        <v>0</v>
      </c>
      <c r="CD199" s="107" t="n">
        <v>98.75</v>
      </c>
      <c r="CE199" s="107" t="n">
        <v>98.78</v>
      </c>
      <c r="CF199" s="107" t="n">
        <v>98.94</v>
      </c>
      <c r="CG199" s="107" t="n">
        <v>0</v>
      </c>
      <c r="CH199" s="107" t="n">
        <v>2.8642</v>
      </c>
      <c r="CI199" s="107" t="n">
        <v>103.37</v>
      </c>
      <c r="CJ199" s="107" t="n">
        <v>103.47</v>
      </c>
      <c r="CK199" s="107" t="n">
        <v>103.41</v>
      </c>
      <c r="CL199" s="107" t="n">
        <v>0</v>
      </c>
    </row>
    <row r="200" customFormat="false" ht="15" hidden="false" customHeight="false" outlineLevel="0" collapsed="false">
      <c r="A200" s="107" t="s">
        <v>658</v>
      </c>
      <c r="B200" s="107" t="n">
        <v>98.7202</v>
      </c>
      <c r="C200" s="107" t="n">
        <v>5.7302</v>
      </c>
      <c r="D200" s="107" t="n">
        <v>2.866</v>
      </c>
      <c r="E200" s="107" t="n">
        <v>-282.9320932</v>
      </c>
      <c r="F200" s="108" t="s">
        <v>358</v>
      </c>
      <c r="G200" s="107" t="n">
        <v>2.866</v>
      </c>
      <c r="H200" s="107" t="n">
        <v>-282.9320932</v>
      </c>
      <c r="I200" s="109" t="n">
        <v>47491</v>
      </c>
      <c r="J200" s="107" t="n">
        <v>3</v>
      </c>
      <c r="K200" s="107" t="s">
        <v>359</v>
      </c>
      <c r="L200" s="107" t="s">
        <v>298</v>
      </c>
      <c r="M200" s="107" t="n">
        <v>2866000</v>
      </c>
      <c r="N200" s="107" t="n">
        <v>100.687</v>
      </c>
      <c r="O200" s="107" t="n">
        <v>987202</v>
      </c>
      <c r="P200" s="107" t="s">
        <v>399</v>
      </c>
      <c r="Q200" s="107" t="s">
        <v>374</v>
      </c>
      <c r="R200" s="107" t="n">
        <v>-0.0938650929490468</v>
      </c>
      <c r="S200" s="107" t="n">
        <v>-0.0195338027749361</v>
      </c>
      <c r="T200" s="107" t="n">
        <v>-291.03702162</v>
      </c>
      <c r="U200" s="107" t="n">
        <v>21069</v>
      </c>
      <c r="V200" s="108" t="s">
        <v>362</v>
      </c>
      <c r="W200" s="107" t="n">
        <v>34578</v>
      </c>
      <c r="X200" s="108" t="s">
        <v>372</v>
      </c>
      <c r="Y200" s="107" t="s">
        <v>658</v>
      </c>
      <c r="Z200" s="107" t="s">
        <v>661</v>
      </c>
      <c r="AA200" s="109" t="n">
        <v>45744</v>
      </c>
      <c r="AB200" s="107" t="n">
        <v>250328000001</v>
      </c>
      <c r="AC200" s="109" t="n">
        <v>45665</v>
      </c>
      <c r="AD200" s="109" t="n">
        <v>47491</v>
      </c>
      <c r="AE200" s="107" t="n">
        <v>5.3</v>
      </c>
      <c r="AF200" s="107" t="n">
        <v>2.9458</v>
      </c>
      <c r="AG200" s="107" t="n">
        <v>1196</v>
      </c>
      <c r="AH200" s="107" t="n">
        <v>1300000</v>
      </c>
      <c r="AI200" s="107" t="n">
        <v>5.042751</v>
      </c>
      <c r="AJ200" s="107" t="n">
        <v>101.059</v>
      </c>
      <c r="AK200" s="107" t="n">
        <v>4.220759</v>
      </c>
      <c r="AL200" s="107" t="n">
        <v>104.466822</v>
      </c>
      <c r="AM200" s="107" t="n">
        <v>5.6945</v>
      </c>
      <c r="AN200" s="107" t="n">
        <v>98.8254</v>
      </c>
      <c r="AO200" s="107" t="n">
        <v>1358.4</v>
      </c>
      <c r="AP200" s="107" t="n">
        <v>1</v>
      </c>
      <c r="AQ200" s="107" t="n">
        <v>1284730.2</v>
      </c>
      <c r="AR200" s="107" t="n">
        <v>1745177504</v>
      </c>
      <c r="AS200" s="107" t="n">
        <v>1342374.8</v>
      </c>
      <c r="AT200" s="107" t="n">
        <v>1926173601</v>
      </c>
      <c r="AU200" s="107" t="n">
        <v>-57644.6</v>
      </c>
      <c r="AV200" s="107" t="n">
        <v>-78304424</v>
      </c>
      <c r="AW200" s="107" t="n">
        <v>0</v>
      </c>
      <c r="AX200" s="107" t="n">
        <v>0</v>
      </c>
      <c r="AY200" s="107" t="n">
        <v>0</v>
      </c>
      <c r="AZ200" s="107" t="n">
        <v>0</v>
      </c>
      <c r="BA200" s="107" t="n">
        <v>0</v>
      </c>
      <c r="BB200" s="107" t="n">
        <v>0</v>
      </c>
      <c r="BC200" s="107" t="n">
        <v>0</v>
      </c>
      <c r="BD200" s="107" t="n">
        <v>0</v>
      </c>
      <c r="BE200" s="107" t="n">
        <v>15693.89</v>
      </c>
      <c r="BF200" s="107" t="n">
        <v>21318580</v>
      </c>
      <c r="BG200" s="107" t="n">
        <v>0</v>
      </c>
      <c r="BH200" s="107" t="n">
        <v>0</v>
      </c>
      <c r="BI200" s="107" t="n">
        <v>1313767</v>
      </c>
      <c r="BJ200" s="107" t="n">
        <v>1885124268</v>
      </c>
      <c r="BK200" s="107" t="n">
        <v>0</v>
      </c>
      <c r="BL200" s="107" t="n">
        <v>0</v>
      </c>
      <c r="BM200" s="107" t="n">
        <v>0</v>
      </c>
      <c r="BN200" s="107" t="n">
        <v>0</v>
      </c>
      <c r="BO200" s="107" t="s">
        <v>374</v>
      </c>
      <c r="BP200" s="2"/>
      <c r="BQ200" s="107" t="s">
        <v>374</v>
      </c>
      <c r="BR200" s="107" t="n">
        <v>-102691673</v>
      </c>
      <c r="BS200" s="107" t="n">
        <v>0</v>
      </c>
      <c r="BT200" s="107" t="n">
        <v>0</v>
      </c>
      <c r="BU200" s="107" t="n">
        <v>28607.8</v>
      </c>
      <c r="BV200" s="107" t="n">
        <v>41049333</v>
      </c>
      <c r="BW200" s="107" t="n">
        <v>15693.89</v>
      </c>
      <c r="BX200" s="107" t="n">
        <v>21318580</v>
      </c>
      <c r="BY200" s="107" t="n">
        <v>0</v>
      </c>
      <c r="BZ200" s="107" t="n">
        <v>0</v>
      </c>
      <c r="CA200" s="107" t="n">
        <v>1434.9</v>
      </c>
      <c r="CB200" s="2"/>
      <c r="CC200" s="107" t="n">
        <v>0</v>
      </c>
      <c r="CD200" s="107" t="n">
        <v>98.75</v>
      </c>
      <c r="CE200" s="107" t="n">
        <v>98.78</v>
      </c>
      <c r="CF200" s="107" t="n">
        <v>98.94</v>
      </c>
      <c r="CG200" s="107" t="n">
        <v>0</v>
      </c>
      <c r="CH200" s="107" t="n">
        <v>2.8642</v>
      </c>
      <c r="CI200" s="107" t="n">
        <v>103.37</v>
      </c>
      <c r="CJ200" s="107" t="n">
        <v>103.47</v>
      </c>
      <c r="CK200" s="107" t="n">
        <v>103.41</v>
      </c>
      <c r="CL200" s="107" t="n">
        <v>0</v>
      </c>
    </row>
    <row r="201" customFormat="false" ht="15" hidden="false" customHeight="false" outlineLevel="0" collapsed="false">
      <c r="A201" s="107" t="s">
        <v>658</v>
      </c>
      <c r="B201" s="107" t="n">
        <v>98.7202</v>
      </c>
      <c r="C201" s="107" t="n">
        <v>5.7302</v>
      </c>
      <c r="D201" s="107" t="n">
        <v>2.866</v>
      </c>
      <c r="E201" s="107" t="n">
        <v>-1414.660466</v>
      </c>
      <c r="F201" s="108" t="s">
        <v>358</v>
      </c>
      <c r="G201" s="107" t="n">
        <v>2.866</v>
      </c>
      <c r="H201" s="107" t="n">
        <v>-1414.660466</v>
      </c>
      <c r="I201" s="109" t="n">
        <v>47491</v>
      </c>
      <c r="J201" s="107" t="n">
        <v>3</v>
      </c>
      <c r="K201" s="107" t="s">
        <v>359</v>
      </c>
      <c r="L201" s="107" t="s">
        <v>298</v>
      </c>
      <c r="M201" s="107" t="n">
        <v>14330000</v>
      </c>
      <c r="N201" s="107" t="n">
        <v>101.706</v>
      </c>
      <c r="O201" s="107" t="n">
        <v>4936010</v>
      </c>
      <c r="P201" s="107" t="s">
        <v>399</v>
      </c>
      <c r="Q201" s="107" t="s">
        <v>374</v>
      </c>
      <c r="R201" s="107" t="n">
        <v>-0.0938650931936717</v>
      </c>
      <c r="S201" s="107" t="n">
        <v>-0.0293571667354925</v>
      </c>
      <c r="T201" s="107" t="n">
        <v>-1455.1851081</v>
      </c>
      <c r="U201" s="107" t="n">
        <v>21069</v>
      </c>
      <c r="V201" s="108" t="s">
        <v>362</v>
      </c>
      <c r="W201" s="107" t="n">
        <v>34578</v>
      </c>
      <c r="X201" s="108" t="s">
        <v>372</v>
      </c>
      <c r="Y201" s="107" t="s">
        <v>658</v>
      </c>
      <c r="Z201" s="107" t="s">
        <v>661</v>
      </c>
      <c r="AA201" s="109" t="n">
        <v>45749</v>
      </c>
      <c r="AB201" s="107" t="n">
        <v>250402000001</v>
      </c>
      <c r="AC201" s="109" t="n">
        <v>45665</v>
      </c>
      <c r="AD201" s="109" t="n">
        <v>47491</v>
      </c>
      <c r="AE201" s="107" t="n">
        <v>5.3</v>
      </c>
      <c r="AF201" s="107" t="n">
        <v>2.9458</v>
      </c>
      <c r="AG201" s="107" t="n">
        <v>1196</v>
      </c>
      <c r="AH201" s="107" t="n">
        <v>2000000</v>
      </c>
      <c r="AI201" s="107" t="n">
        <v>5.133187</v>
      </c>
      <c r="AJ201" s="107" t="n">
        <v>100.682</v>
      </c>
      <c r="AK201" s="107" t="n">
        <v>4.220759</v>
      </c>
      <c r="AL201" s="107" t="n">
        <v>104.466822</v>
      </c>
      <c r="AM201" s="107" t="n">
        <v>5.6945</v>
      </c>
      <c r="AN201" s="107" t="n">
        <v>98.8254</v>
      </c>
      <c r="AO201" s="107" t="n">
        <v>1358.4</v>
      </c>
      <c r="AP201" s="107" t="n">
        <v>1</v>
      </c>
      <c r="AQ201" s="107" t="n">
        <v>1976508</v>
      </c>
      <c r="AR201" s="107" t="n">
        <v>2684888467</v>
      </c>
      <c r="AS201" s="107" t="n">
        <v>2065192</v>
      </c>
      <c r="AT201" s="107" t="n">
        <v>2963344001</v>
      </c>
      <c r="AU201" s="107" t="n">
        <v>-88684</v>
      </c>
      <c r="AV201" s="107" t="n">
        <v>-120468346</v>
      </c>
      <c r="AW201" s="107" t="n">
        <v>0</v>
      </c>
      <c r="AX201" s="107" t="n">
        <v>0</v>
      </c>
      <c r="AY201" s="107" t="n">
        <v>0</v>
      </c>
      <c r="AZ201" s="107" t="n">
        <v>0</v>
      </c>
      <c r="BA201" s="107" t="n">
        <v>0</v>
      </c>
      <c r="BB201" s="107" t="n">
        <v>0</v>
      </c>
      <c r="BC201" s="107" t="n">
        <v>0</v>
      </c>
      <c r="BD201" s="107" t="n">
        <v>0</v>
      </c>
      <c r="BE201" s="107" t="n">
        <v>24144.44</v>
      </c>
      <c r="BF201" s="107" t="n">
        <v>32797807</v>
      </c>
      <c r="BG201" s="107" t="n">
        <v>0</v>
      </c>
      <c r="BH201" s="107" t="n">
        <v>0</v>
      </c>
      <c r="BI201" s="107" t="n">
        <v>2013640</v>
      </c>
      <c r="BJ201" s="107" t="n">
        <v>2889372036</v>
      </c>
      <c r="BK201" s="107" t="n">
        <v>0</v>
      </c>
      <c r="BL201" s="107" t="n">
        <v>0</v>
      </c>
      <c r="BM201" s="107" t="n">
        <v>0</v>
      </c>
      <c r="BN201" s="107" t="n">
        <v>0</v>
      </c>
      <c r="BO201" s="107" t="s">
        <v>374</v>
      </c>
      <c r="BP201" s="2"/>
      <c r="BQ201" s="107" t="s">
        <v>374</v>
      </c>
      <c r="BR201" s="107" t="n">
        <v>-157987188</v>
      </c>
      <c r="BS201" s="107" t="n">
        <v>0</v>
      </c>
      <c r="BT201" s="107" t="n">
        <v>0</v>
      </c>
      <c r="BU201" s="107" t="n">
        <v>51552</v>
      </c>
      <c r="BV201" s="107" t="n">
        <v>73971965</v>
      </c>
      <c r="BW201" s="107" t="n">
        <v>24144.44</v>
      </c>
      <c r="BX201" s="107" t="n">
        <v>32797807</v>
      </c>
      <c r="BY201" s="107" t="n">
        <v>0</v>
      </c>
      <c r="BZ201" s="107" t="n">
        <v>0</v>
      </c>
      <c r="CA201" s="107" t="n">
        <v>1434.9</v>
      </c>
      <c r="CB201" s="2"/>
      <c r="CC201" s="107" t="n">
        <v>0</v>
      </c>
      <c r="CD201" s="107" t="n">
        <v>98.75</v>
      </c>
      <c r="CE201" s="107" t="n">
        <v>98.78</v>
      </c>
      <c r="CF201" s="107" t="n">
        <v>98.94</v>
      </c>
      <c r="CG201" s="107" t="n">
        <v>0</v>
      </c>
      <c r="CH201" s="107" t="n">
        <v>2.8642</v>
      </c>
      <c r="CI201" s="107" t="n">
        <v>103.37</v>
      </c>
      <c r="CJ201" s="107" t="n">
        <v>103.47</v>
      </c>
      <c r="CK201" s="107" t="n">
        <v>103.41</v>
      </c>
      <c r="CL201" s="107" t="n">
        <v>0</v>
      </c>
    </row>
    <row r="202" customFormat="false" ht="15" hidden="false" customHeight="false" outlineLevel="0" collapsed="false">
      <c r="A202" s="107" t="s">
        <v>658</v>
      </c>
      <c r="B202" s="107" t="n">
        <v>98.7202</v>
      </c>
      <c r="C202" s="107" t="n">
        <v>5.7302</v>
      </c>
      <c r="D202" s="107" t="n">
        <v>2.866</v>
      </c>
      <c r="E202" s="107" t="n">
        <v>-282.9320932</v>
      </c>
      <c r="F202" s="108" t="s">
        <v>358</v>
      </c>
      <c r="G202" s="107" t="n">
        <v>2.866</v>
      </c>
      <c r="H202" s="107" t="n">
        <v>-282.9320932</v>
      </c>
      <c r="I202" s="109" t="n">
        <v>47491</v>
      </c>
      <c r="J202" s="107" t="n">
        <v>3</v>
      </c>
      <c r="K202" s="107" t="s">
        <v>359</v>
      </c>
      <c r="L202" s="107" t="s">
        <v>298</v>
      </c>
      <c r="M202" s="107" t="n">
        <v>2866000</v>
      </c>
      <c r="N202" s="107" t="n">
        <v>101.444</v>
      </c>
      <c r="O202" s="107" t="n">
        <v>987202</v>
      </c>
      <c r="P202" s="107" t="s">
        <v>399</v>
      </c>
      <c r="Q202" s="107" t="s">
        <v>374</v>
      </c>
      <c r="R202" s="107" t="n">
        <v>-0.126759292308899</v>
      </c>
      <c r="S202" s="107" t="n">
        <v>-0.026850281928946</v>
      </c>
      <c r="T202" s="107" t="n">
        <v>-291.03702162</v>
      </c>
      <c r="U202" s="107" t="n">
        <v>21069</v>
      </c>
      <c r="V202" s="108" t="s">
        <v>362</v>
      </c>
      <c r="W202" s="107" t="n">
        <v>34578</v>
      </c>
      <c r="X202" s="108" t="s">
        <v>372</v>
      </c>
      <c r="Y202" s="107" t="s">
        <v>658</v>
      </c>
      <c r="Z202" s="107" t="s">
        <v>661</v>
      </c>
      <c r="AA202" s="109" t="n">
        <v>45749</v>
      </c>
      <c r="AB202" s="107" t="n">
        <v>250402000002</v>
      </c>
      <c r="AC202" s="109" t="n">
        <v>45665</v>
      </c>
      <c r="AD202" s="109" t="n">
        <v>47491</v>
      </c>
      <c r="AE202" s="107" t="n">
        <v>5.3</v>
      </c>
      <c r="AF202" s="107" t="n">
        <v>2.9458</v>
      </c>
      <c r="AG202" s="107" t="n">
        <v>1196</v>
      </c>
      <c r="AH202" s="107" t="n">
        <v>1000000</v>
      </c>
      <c r="AI202" s="107" t="n">
        <v>5.132</v>
      </c>
      <c r="AJ202" s="107" t="n">
        <v>100.687</v>
      </c>
      <c r="AK202" s="107" t="n">
        <v>4.220759</v>
      </c>
      <c r="AL202" s="107" t="n">
        <v>104.466822</v>
      </c>
      <c r="AM202" s="107" t="n">
        <v>5.6945</v>
      </c>
      <c r="AN202" s="107" t="n">
        <v>98.8254</v>
      </c>
      <c r="AO202" s="107" t="n">
        <v>1358.4</v>
      </c>
      <c r="AP202" s="107" t="n">
        <v>1</v>
      </c>
      <c r="AQ202" s="107" t="n">
        <v>988254</v>
      </c>
      <c r="AR202" s="107" t="n">
        <v>1342444234</v>
      </c>
      <c r="AS202" s="107" t="n">
        <v>1032596</v>
      </c>
      <c r="AT202" s="107" t="n">
        <v>1481672000</v>
      </c>
      <c r="AU202" s="107" t="n">
        <v>-44342</v>
      </c>
      <c r="AV202" s="107" t="n">
        <v>-60234172</v>
      </c>
      <c r="AW202" s="107" t="n">
        <v>0</v>
      </c>
      <c r="AX202" s="107" t="n">
        <v>0</v>
      </c>
      <c r="AY202" s="107" t="n">
        <v>0</v>
      </c>
      <c r="AZ202" s="107" t="n">
        <v>0</v>
      </c>
      <c r="BA202" s="107" t="n">
        <v>0</v>
      </c>
      <c r="BB202" s="107" t="n">
        <v>0</v>
      </c>
      <c r="BC202" s="107" t="n">
        <v>0</v>
      </c>
      <c r="BD202" s="107" t="n">
        <v>0</v>
      </c>
      <c r="BE202" s="107" t="n">
        <v>12072.22</v>
      </c>
      <c r="BF202" s="107" t="n">
        <v>16398903</v>
      </c>
      <c r="BG202" s="107" t="n">
        <v>0</v>
      </c>
      <c r="BH202" s="107" t="n">
        <v>0</v>
      </c>
      <c r="BI202" s="107" t="n">
        <v>1006870</v>
      </c>
      <c r="BJ202" s="107" t="n">
        <v>1444757763</v>
      </c>
      <c r="BK202" s="107" t="n">
        <v>0</v>
      </c>
      <c r="BL202" s="107" t="n">
        <v>0</v>
      </c>
      <c r="BM202" s="107" t="n">
        <v>0</v>
      </c>
      <c r="BN202" s="107" t="n">
        <v>0</v>
      </c>
      <c r="BO202" s="107" t="s">
        <v>374</v>
      </c>
      <c r="BP202" s="2"/>
      <c r="BQ202" s="107" t="s">
        <v>374</v>
      </c>
      <c r="BR202" s="107" t="n">
        <v>-78993594</v>
      </c>
      <c r="BS202" s="107" t="n">
        <v>0</v>
      </c>
      <c r="BT202" s="107" t="n">
        <v>0</v>
      </c>
      <c r="BU202" s="107" t="n">
        <v>25726</v>
      </c>
      <c r="BV202" s="107" t="n">
        <v>36914237</v>
      </c>
      <c r="BW202" s="107" t="n">
        <v>12072.22</v>
      </c>
      <c r="BX202" s="107" t="n">
        <v>16398903</v>
      </c>
      <c r="BY202" s="107" t="n">
        <v>0</v>
      </c>
      <c r="BZ202" s="107" t="n">
        <v>0</v>
      </c>
      <c r="CA202" s="107" t="n">
        <v>1434.9</v>
      </c>
      <c r="CB202" s="2"/>
      <c r="CC202" s="107" t="n">
        <v>0</v>
      </c>
      <c r="CD202" s="107" t="n">
        <v>98.75</v>
      </c>
      <c r="CE202" s="107" t="n">
        <v>98.78</v>
      </c>
      <c r="CF202" s="107" t="n">
        <v>98.94</v>
      </c>
      <c r="CG202" s="107" t="n">
        <v>0</v>
      </c>
      <c r="CH202" s="107" t="n">
        <v>2.8642</v>
      </c>
      <c r="CI202" s="107" t="n">
        <v>103.37</v>
      </c>
      <c r="CJ202" s="107" t="n">
        <v>103.47</v>
      </c>
      <c r="CK202" s="107" t="n">
        <v>103.41</v>
      </c>
      <c r="CL202" s="107" t="n">
        <v>0</v>
      </c>
    </row>
    <row r="203" customFormat="false" ht="15" hidden="false" customHeight="false" outlineLevel="0" collapsed="false">
      <c r="A203" s="107" t="s">
        <v>662</v>
      </c>
      <c r="B203" s="107" t="n">
        <v>97.9425</v>
      </c>
      <c r="C203" s="107" t="n">
        <v>5.8086</v>
      </c>
      <c r="D203" s="107" t="n">
        <v>3.0851</v>
      </c>
      <c r="E203" s="107" t="n">
        <v>-604.3248135</v>
      </c>
      <c r="F203" s="108" t="s">
        <v>358</v>
      </c>
      <c r="G203" s="107" t="n">
        <v>3.0851</v>
      </c>
      <c r="H203" s="107" t="n">
        <v>-604.3248135</v>
      </c>
      <c r="I203" s="109" t="n">
        <v>47541</v>
      </c>
      <c r="J203" s="107" t="n">
        <v>3</v>
      </c>
      <c r="K203" s="107" t="s">
        <v>359</v>
      </c>
      <c r="L203" s="107" t="s">
        <v>298</v>
      </c>
      <c r="M203" s="107" t="n">
        <v>6170200</v>
      </c>
      <c r="N203" s="107" t="n">
        <v>99.804</v>
      </c>
      <c r="O203" s="107" t="n">
        <v>1958850</v>
      </c>
      <c r="P203" s="107" t="s">
        <v>399</v>
      </c>
      <c r="Q203" s="107" t="s">
        <v>374</v>
      </c>
      <c r="R203" s="107" t="n">
        <v>-0.0958690000358776</v>
      </c>
      <c r="S203" s="107" t="n">
        <v>-0.0186515570518216</v>
      </c>
      <c r="T203" s="107" t="n">
        <v>-621.8761095</v>
      </c>
      <c r="U203" s="107" t="n">
        <v>21069</v>
      </c>
      <c r="V203" s="108" t="s">
        <v>362</v>
      </c>
      <c r="W203" s="107" t="n">
        <v>34578</v>
      </c>
      <c r="X203" s="108" t="s">
        <v>372</v>
      </c>
      <c r="Y203" s="107" t="s">
        <v>658</v>
      </c>
      <c r="Z203" s="107" t="s">
        <v>661</v>
      </c>
      <c r="AA203" s="109" t="n">
        <v>45848</v>
      </c>
      <c r="AB203" s="107" t="n">
        <v>250710000001</v>
      </c>
      <c r="AC203" s="109" t="n">
        <v>45665</v>
      </c>
      <c r="AD203" s="109" t="n">
        <v>47491</v>
      </c>
      <c r="AE203" s="107" t="n">
        <v>5.3</v>
      </c>
      <c r="AF203" s="107" t="n">
        <v>2.9458</v>
      </c>
      <c r="AG203" s="107" t="n">
        <v>1196</v>
      </c>
      <c r="AH203" s="107" t="n">
        <v>5000000</v>
      </c>
      <c r="AI203" s="107" t="n">
        <v>4.866411</v>
      </c>
      <c r="AJ203" s="107" t="n">
        <v>101.706</v>
      </c>
      <c r="AK203" s="107" t="n">
        <v>4.220759</v>
      </c>
      <c r="AL203" s="107" t="n">
        <v>104.466822</v>
      </c>
      <c r="AM203" s="107" t="n">
        <v>5.6945</v>
      </c>
      <c r="AN203" s="107" t="n">
        <v>98.8254</v>
      </c>
      <c r="AO203" s="107" t="n">
        <v>1358.4</v>
      </c>
      <c r="AP203" s="107" t="n">
        <v>1</v>
      </c>
      <c r="AQ203" s="107" t="n">
        <v>4941270</v>
      </c>
      <c r="AR203" s="107" t="n">
        <v>6712221168</v>
      </c>
      <c r="AS203" s="107" t="n">
        <v>5162980</v>
      </c>
      <c r="AT203" s="107" t="n">
        <v>7408360002</v>
      </c>
      <c r="AU203" s="107" t="n">
        <v>-221710</v>
      </c>
      <c r="AV203" s="107" t="n">
        <v>-301170864</v>
      </c>
      <c r="AW203" s="107" t="n">
        <v>0</v>
      </c>
      <c r="AX203" s="107" t="n">
        <v>0</v>
      </c>
      <c r="AY203" s="107" t="n">
        <v>0</v>
      </c>
      <c r="AZ203" s="107" t="n">
        <v>0</v>
      </c>
      <c r="BA203" s="107" t="n">
        <v>0</v>
      </c>
      <c r="BB203" s="107" t="n">
        <v>0</v>
      </c>
      <c r="BC203" s="107" t="n">
        <v>0</v>
      </c>
      <c r="BD203" s="107" t="n">
        <v>0</v>
      </c>
      <c r="BE203" s="107" t="n">
        <v>60361.11</v>
      </c>
      <c r="BF203" s="107" t="n">
        <v>81994531</v>
      </c>
      <c r="BG203" s="107" t="n">
        <v>0</v>
      </c>
      <c r="BH203" s="107" t="n">
        <v>0</v>
      </c>
      <c r="BI203" s="107" t="n">
        <v>5085300</v>
      </c>
      <c r="BJ203" s="107" t="n">
        <v>7296896970</v>
      </c>
      <c r="BK203" s="107" t="n">
        <v>0</v>
      </c>
      <c r="BL203" s="107" t="n">
        <v>0</v>
      </c>
      <c r="BM203" s="107" t="n">
        <v>0</v>
      </c>
      <c r="BN203" s="107" t="n">
        <v>0</v>
      </c>
      <c r="BO203" s="107" t="s">
        <v>374</v>
      </c>
      <c r="BP203" s="2"/>
      <c r="BQ203" s="107" t="s">
        <v>374</v>
      </c>
      <c r="BR203" s="107" t="n">
        <v>-394967970</v>
      </c>
      <c r="BS203" s="107" t="n">
        <v>0</v>
      </c>
      <c r="BT203" s="107" t="n">
        <v>0</v>
      </c>
      <c r="BU203" s="107" t="n">
        <v>77680</v>
      </c>
      <c r="BV203" s="107" t="n">
        <v>111463032</v>
      </c>
      <c r="BW203" s="107" t="n">
        <v>60361.11</v>
      </c>
      <c r="BX203" s="107" t="n">
        <v>81994531</v>
      </c>
      <c r="BY203" s="107" t="n">
        <v>0</v>
      </c>
      <c r="BZ203" s="107" t="n">
        <v>0</v>
      </c>
      <c r="CA203" s="107" t="n">
        <v>1434.9</v>
      </c>
      <c r="CB203" s="2"/>
      <c r="CC203" s="107" t="n">
        <v>0</v>
      </c>
      <c r="CD203" s="107" t="n">
        <v>98.75</v>
      </c>
      <c r="CE203" s="107" t="n">
        <v>98.78</v>
      </c>
      <c r="CF203" s="107" t="n">
        <v>98.94</v>
      </c>
      <c r="CG203" s="107" t="n">
        <v>0</v>
      </c>
      <c r="CH203" s="107" t="n">
        <v>2.8642</v>
      </c>
      <c r="CI203" s="107" t="n">
        <v>103.37</v>
      </c>
      <c r="CJ203" s="107" t="n">
        <v>103.47</v>
      </c>
      <c r="CK203" s="107" t="n">
        <v>103.41</v>
      </c>
      <c r="CL203" s="107" t="n">
        <v>0</v>
      </c>
    </row>
    <row r="204" customFormat="false" ht="15" hidden="false" customHeight="false" outlineLevel="0" collapsed="false">
      <c r="A204" s="107" t="s">
        <v>662</v>
      </c>
      <c r="B204" s="107" t="n">
        <v>97.9425</v>
      </c>
      <c r="C204" s="107" t="n">
        <v>5.8086</v>
      </c>
      <c r="D204" s="107" t="n">
        <v>3.0851</v>
      </c>
      <c r="E204" s="107" t="n">
        <v>-1510.81203375</v>
      </c>
      <c r="F204" s="108" t="s">
        <v>358</v>
      </c>
      <c r="G204" s="107" t="n">
        <v>3.0851</v>
      </c>
      <c r="H204" s="107" t="n">
        <v>-1510.81203375</v>
      </c>
      <c r="I204" s="109" t="n">
        <v>47541</v>
      </c>
      <c r="J204" s="107" t="n">
        <v>3</v>
      </c>
      <c r="K204" s="107" t="s">
        <v>359</v>
      </c>
      <c r="L204" s="107" t="s">
        <v>298</v>
      </c>
      <c r="M204" s="107" t="n">
        <v>15425500</v>
      </c>
      <c r="N204" s="107" t="n">
        <v>101.888</v>
      </c>
      <c r="O204" s="107" t="n">
        <v>4897125</v>
      </c>
      <c r="P204" s="107" t="s">
        <v>399</v>
      </c>
      <c r="Q204" s="107" t="s">
        <v>374</v>
      </c>
      <c r="R204" s="107" t="n">
        <v>-0.0958689999131386</v>
      </c>
      <c r="S204" s="107" t="n">
        <v>-0.0387238929020102</v>
      </c>
      <c r="T204" s="107" t="n">
        <v>-1554.69027375</v>
      </c>
      <c r="U204" s="107" t="n">
        <v>21069</v>
      </c>
      <c r="V204" s="108" t="s">
        <v>362</v>
      </c>
      <c r="W204" s="107" t="n">
        <v>34578</v>
      </c>
      <c r="X204" s="108" t="s">
        <v>372</v>
      </c>
      <c r="Y204" s="107" t="s">
        <v>658</v>
      </c>
      <c r="Z204" s="107" t="s">
        <v>661</v>
      </c>
      <c r="AA204" s="109" t="n">
        <v>46178</v>
      </c>
      <c r="AB204" s="107" t="n">
        <v>260605000001</v>
      </c>
      <c r="AC204" s="109" t="n">
        <v>45665</v>
      </c>
      <c r="AD204" s="109" t="n">
        <v>47491</v>
      </c>
      <c r="AE204" s="107" t="n">
        <v>5.3</v>
      </c>
      <c r="AF204" s="107" t="n">
        <v>2.9458</v>
      </c>
      <c r="AG204" s="107" t="n">
        <v>1196</v>
      </c>
      <c r="AH204" s="107" t="n">
        <v>1000000</v>
      </c>
      <c r="AI204" s="107" t="n">
        <v>4.847143</v>
      </c>
      <c r="AJ204" s="107" t="n">
        <v>101.444</v>
      </c>
      <c r="AK204" s="107" t="n">
        <v>4.815141</v>
      </c>
      <c r="AL204" s="107" t="n">
        <v>102.651222</v>
      </c>
      <c r="AM204" s="107" t="n">
        <v>5.6945</v>
      </c>
      <c r="AN204" s="107" t="n">
        <v>98.8254</v>
      </c>
      <c r="AO204" s="107" t="n">
        <v>1358.4</v>
      </c>
      <c r="AP204" s="107" t="n">
        <v>1</v>
      </c>
      <c r="AQ204" s="107" t="n">
        <v>988254</v>
      </c>
      <c r="AR204" s="107" t="n">
        <v>1342444234</v>
      </c>
      <c r="AS204" s="107" t="n">
        <v>1014440</v>
      </c>
      <c r="AT204" s="107" t="n">
        <v>1537485264</v>
      </c>
      <c r="AU204" s="107" t="n">
        <v>-26186</v>
      </c>
      <c r="AV204" s="107" t="n">
        <v>-35571062</v>
      </c>
      <c r="AW204" s="107" t="n">
        <v>0</v>
      </c>
      <c r="AX204" s="107" t="n">
        <v>0</v>
      </c>
      <c r="AY204" s="107" t="n">
        <v>0</v>
      </c>
      <c r="AZ204" s="107" t="n">
        <v>0</v>
      </c>
      <c r="BA204" s="107" t="n">
        <v>0</v>
      </c>
      <c r="BB204" s="107" t="n">
        <v>0</v>
      </c>
      <c r="BC204" s="107" t="n">
        <v>0</v>
      </c>
      <c r="BD204" s="107" t="n">
        <v>0</v>
      </c>
      <c r="BE204" s="107" t="n">
        <v>12072.22</v>
      </c>
      <c r="BF204" s="107" t="n">
        <v>16398903</v>
      </c>
      <c r="BG204" s="107" t="n">
        <v>0</v>
      </c>
      <c r="BH204" s="107" t="n">
        <v>0</v>
      </c>
      <c r="BI204" s="107" t="n">
        <v>1014440</v>
      </c>
      <c r="BJ204" s="107" t="n">
        <v>1537485264</v>
      </c>
      <c r="BK204" s="107" t="n">
        <v>0</v>
      </c>
      <c r="BL204" s="107" t="n">
        <v>0</v>
      </c>
      <c r="BM204" s="107" t="n">
        <v>0</v>
      </c>
      <c r="BN204" s="107" t="n">
        <v>0</v>
      </c>
      <c r="BO204" s="107" t="s">
        <v>374</v>
      </c>
      <c r="BP204" s="2"/>
      <c r="BQ204" s="107" t="s">
        <v>374</v>
      </c>
      <c r="BR204" s="107" t="n">
        <v>-159469968</v>
      </c>
      <c r="BS204" s="107" t="n">
        <v>0</v>
      </c>
      <c r="BT204" s="107" t="n">
        <v>0</v>
      </c>
      <c r="BU204" s="107" t="n">
        <v>0</v>
      </c>
      <c r="BV204" s="107" t="n">
        <v>0</v>
      </c>
      <c r="BW204" s="107" t="n">
        <v>12072.22</v>
      </c>
      <c r="BX204" s="107" t="n">
        <v>16398903</v>
      </c>
      <c r="BY204" s="107" t="n">
        <v>0</v>
      </c>
      <c r="BZ204" s="107" t="n">
        <v>0</v>
      </c>
      <c r="CA204" s="107" t="n">
        <v>1515.6</v>
      </c>
      <c r="CB204" s="2"/>
      <c r="CC204" s="107" t="n">
        <v>0</v>
      </c>
      <c r="CD204" s="107" t="n">
        <v>98.75</v>
      </c>
      <c r="CE204" s="107" t="n">
        <v>98.78</v>
      </c>
      <c r="CF204" s="107" t="n">
        <v>98.94</v>
      </c>
      <c r="CG204" s="107" t="n">
        <v>0</v>
      </c>
      <c r="CH204" s="107" t="n">
        <v>2.8642</v>
      </c>
      <c r="CI204" s="107" t="n">
        <v>103.37</v>
      </c>
      <c r="CJ204" s="107" t="n">
        <v>103.47</v>
      </c>
      <c r="CK204" s="107" t="n">
        <v>103.41</v>
      </c>
      <c r="CL204" s="107" t="n">
        <v>0</v>
      </c>
    </row>
    <row r="205" customFormat="false" ht="15" hidden="false" customHeight="false" outlineLevel="0" collapsed="false">
      <c r="A205" s="107" t="s">
        <v>662</v>
      </c>
      <c r="B205" s="107" t="n">
        <v>97.9425</v>
      </c>
      <c r="C205" s="107" t="n">
        <v>5.8086</v>
      </c>
      <c r="D205" s="107" t="n">
        <v>3.0851</v>
      </c>
      <c r="E205" s="107" t="n">
        <v>-3021.6240675</v>
      </c>
      <c r="F205" s="108" t="s">
        <v>358</v>
      </c>
      <c r="G205" s="107" t="n">
        <v>3.0851</v>
      </c>
      <c r="H205" s="107" t="n">
        <v>-3021.6240675</v>
      </c>
      <c r="I205" s="109" t="n">
        <v>47541</v>
      </c>
      <c r="J205" s="107" t="n">
        <v>3</v>
      </c>
      <c r="K205" s="107" t="s">
        <v>359</v>
      </c>
      <c r="L205" s="107" t="s">
        <v>298</v>
      </c>
      <c r="M205" s="107" t="n">
        <v>30851000</v>
      </c>
      <c r="N205" s="107" t="n">
        <v>98.683</v>
      </c>
      <c r="O205" s="107" t="n">
        <v>9794250</v>
      </c>
      <c r="P205" s="107" t="s">
        <v>399</v>
      </c>
      <c r="Q205" s="107" t="s">
        <v>374</v>
      </c>
      <c r="R205" s="107" t="n">
        <v>-0.0245737841575017</v>
      </c>
      <c r="S205" s="107" t="n">
        <v>-0.00750382538025807</v>
      </c>
      <c r="T205" s="107" t="n">
        <v>-3109.3805475</v>
      </c>
      <c r="U205" s="107" t="n">
        <v>21069</v>
      </c>
      <c r="V205" s="108" t="s">
        <v>362</v>
      </c>
      <c r="W205" s="107" t="n">
        <v>34578</v>
      </c>
      <c r="X205" s="108" t="s">
        <v>372</v>
      </c>
      <c r="Y205" s="107" t="s">
        <v>662</v>
      </c>
      <c r="Z205" s="107" t="s">
        <v>663</v>
      </c>
      <c r="AA205" s="109" t="n">
        <v>45743</v>
      </c>
      <c r="AB205" s="107" t="n">
        <v>250327000002</v>
      </c>
      <c r="AC205" s="109" t="n">
        <v>45743</v>
      </c>
      <c r="AD205" s="109" t="n">
        <v>47569</v>
      </c>
      <c r="AE205" s="107" t="n">
        <v>5.15</v>
      </c>
      <c r="AF205" s="107" t="n">
        <v>3.1723</v>
      </c>
      <c r="AG205" s="107" t="n">
        <v>1274</v>
      </c>
      <c r="AH205" s="107" t="n">
        <v>2000000</v>
      </c>
      <c r="AI205" s="107" t="n">
        <v>5.195015</v>
      </c>
      <c r="AJ205" s="107" t="n">
        <v>99.804</v>
      </c>
      <c r="AK205" s="107" t="n">
        <v>4.316899</v>
      </c>
      <c r="AL205" s="107" t="n">
        <v>102.716116</v>
      </c>
      <c r="AM205" s="107" t="n">
        <v>5.7806</v>
      </c>
      <c r="AN205" s="107" t="n">
        <v>98.03</v>
      </c>
      <c r="AO205" s="107" t="n">
        <v>1358.4</v>
      </c>
      <c r="AP205" s="107" t="n">
        <v>1</v>
      </c>
      <c r="AQ205" s="107" t="n">
        <v>1960600</v>
      </c>
      <c r="AR205" s="107" t="n">
        <v>2663279040</v>
      </c>
      <c r="AS205" s="107" t="n">
        <v>2053464</v>
      </c>
      <c r="AT205" s="107" t="n">
        <v>2946515494</v>
      </c>
      <c r="AU205" s="107" t="n">
        <v>-92864</v>
      </c>
      <c r="AV205" s="107" t="n">
        <v>-126146458</v>
      </c>
      <c r="AW205" s="107" t="n">
        <v>0</v>
      </c>
      <c r="AX205" s="107" t="n">
        <v>0</v>
      </c>
      <c r="AY205" s="107" t="n">
        <v>0</v>
      </c>
      <c r="AZ205" s="107" t="n">
        <v>0</v>
      </c>
      <c r="BA205" s="107" t="n">
        <v>0</v>
      </c>
      <c r="BB205" s="107" t="n">
        <v>0</v>
      </c>
      <c r="BC205" s="107" t="n">
        <v>0</v>
      </c>
      <c r="BD205" s="107" t="n">
        <v>0</v>
      </c>
      <c r="BE205" s="107" t="n">
        <v>858.33</v>
      </c>
      <c r="BF205" s="107" t="n">
        <v>1165955</v>
      </c>
      <c r="BG205" s="107" t="n">
        <v>0</v>
      </c>
      <c r="BH205" s="107" t="n">
        <v>0</v>
      </c>
      <c r="BI205" s="107" t="n">
        <v>1996080</v>
      </c>
      <c r="BJ205" s="107" t="n">
        <v>2864175192</v>
      </c>
      <c r="BK205" s="107" t="n">
        <v>0</v>
      </c>
      <c r="BL205" s="107" t="n">
        <v>0</v>
      </c>
      <c r="BM205" s="107" t="n">
        <v>0</v>
      </c>
      <c r="BN205" s="107" t="n">
        <v>0</v>
      </c>
      <c r="BO205" s="107" t="s">
        <v>374</v>
      </c>
      <c r="BP205" s="2"/>
      <c r="BQ205" s="107" t="s">
        <v>374</v>
      </c>
      <c r="BR205" s="107" t="n">
        <v>-157089996</v>
      </c>
      <c r="BS205" s="107" t="n">
        <v>0</v>
      </c>
      <c r="BT205" s="107" t="n">
        <v>0</v>
      </c>
      <c r="BU205" s="107" t="n">
        <v>57384</v>
      </c>
      <c r="BV205" s="107" t="n">
        <v>82340302</v>
      </c>
      <c r="BW205" s="107" t="n">
        <v>858.33</v>
      </c>
      <c r="BX205" s="107" t="n">
        <v>1165955</v>
      </c>
      <c r="BY205" s="107" t="n">
        <v>0</v>
      </c>
      <c r="BZ205" s="107" t="n">
        <v>0</v>
      </c>
      <c r="CA205" s="107" t="n">
        <v>1434.9</v>
      </c>
      <c r="CB205" s="2"/>
      <c r="CC205" s="107" t="n">
        <v>0</v>
      </c>
      <c r="CD205" s="107" t="n">
        <v>97.96</v>
      </c>
      <c r="CE205" s="107" t="n">
        <v>98.1</v>
      </c>
      <c r="CF205" s="107" t="n">
        <v>98.03</v>
      </c>
      <c r="CG205" s="107" t="n">
        <v>0</v>
      </c>
      <c r="CH205" s="107" t="n">
        <v>3.0832</v>
      </c>
      <c r="CI205" s="107" t="n">
        <v>103.37</v>
      </c>
      <c r="CJ205" s="107" t="n">
        <v>103.47</v>
      </c>
      <c r="CK205" s="107" t="n">
        <v>103.41</v>
      </c>
      <c r="CL205" s="107" t="n">
        <v>0</v>
      </c>
    </row>
    <row r="206" customFormat="false" ht="15" hidden="false" customHeight="false" outlineLevel="0" collapsed="false">
      <c r="A206" s="107" t="s">
        <v>664</v>
      </c>
      <c r="B206" s="107" t="n">
        <v>97.6202</v>
      </c>
      <c r="C206" s="107" t="n">
        <v>5.8147</v>
      </c>
      <c r="D206" s="107" t="n">
        <v>3.2274</v>
      </c>
      <c r="E206" s="107" t="n">
        <v>-157.52971674</v>
      </c>
      <c r="F206" s="108" t="s">
        <v>358</v>
      </c>
      <c r="G206" s="107" t="n">
        <v>3.2274</v>
      </c>
      <c r="H206" s="107" t="n">
        <v>-157.52971674</v>
      </c>
      <c r="I206" s="109" t="n">
        <v>47658</v>
      </c>
      <c r="J206" s="107" t="n">
        <v>3</v>
      </c>
      <c r="K206" s="107" t="s">
        <v>359</v>
      </c>
      <c r="L206" s="107" t="s">
        <v>298</v>
      </c>
      <c r="M206" s="107" t="n">
        <v>1613700</v>
      </c>
      <c r="N206" s="107" t="n">
        <v>99.969</v>
      </c>
      <c r="O206" s="107" t="n">
        <v>488101</v>
      </c>
      <c r="P206" s="107" t="s">
        <v>399</v>
      </c>
      <c r="Q206" s="107" t="s">
        <v>374</v>
      </c>
      <c r="R206" s="107" t="n">
        <v>-0.0969364821649946</v>
      </c>
      <c r="S206" s="107" t="n">
        <v>-0.0234952835378968</v>
      </c>
      <c r="T206" s="107" t="n">
        <v>-162.10810412</v>
      </c>
      <c r="U206" s="107" t="n">
        <v>21069</v>
      </c>
      <c r="V206" s="108" t="s">
        <v>362</v>
      </c>
      <c r="W206" s="107" t="n">
        <v>34578</v>
      </c>
      <c r="X206" s="108" t="s">
        <v>372</v>
      </c>
      <c r="Y206" s="107" t="s">
        <v>662</v>
      </c>
      <c r="Z206" s="107" t="s">
        <v>663</v>
      </c>
      <c r="AA206" s="109" t="n">
        <v>45877</v>
      </c>
      <c r="AB206" s="107" t="n">
        <v>250808000001</v>
      </c>
      <c r="AC206" s="109" t="n">
        <v>45743</v>
      </c>
      <c r="AD206" s="109" t="n">
        <v>47569</v>
      </c>
      <c r="AE206" s="107" t="n">
        <v>5.15</v>
      </c>
      <c r="AF206" s="107" t="n">
        <v>3.1723</v>
      </c>
      <c r="AG206" s="107" t="n">
        <v>1274</v>
      </c>
      <c r="AH206" s="107" t="n">
        <v>5000000</v>
      </c>
      <c r="AI206" s="107" t="n">
        <v>4.684</v>
      </c>
      <c r="AJ206" s="107" t="n">
        <v>101.888</v>
      </c>
      <c r="AK206" s="107" t="n">
        <v>4.316899</v>
      </c>
      <c r="AL206" s="107" t="n">
        <v>102.716116</v>
      </c>
      <c r="AM206" s="107" t="n">
        <v>5.7806</v>
      </c>
      <c r="AN206" s="107" t="n">
        <v>98.03</v>
      </c>
      <c r="AO206" s="107" t="n">
        <v>1358.4</v>
      </c>
      <c r="AP206" s="107" t="n">
        <v>1</v>
      </c>
      <c r="AQ206" s="107" t="n">
        <v>4901500</v>
      </c>
      <c r="AR206" s="107" t="n">
        <v>6658197600</v>
      </c>
      <c r="AS206" s="107" t="n">
        <v>5133660</v>
      </c>
      <c r="AT206" s="107" t="n">
        <v>7366288734</v>
      </c>
      <c r="AU206" s="107" t="n">
        <v>-232160</v>
      </c>
      <c r="AV206" s="107" t="n">
        <v>-315366144</v>
      </c>
      <c r="AW206" s="107" t="n">
        <v>0</v>
      </c>
      <c r="AX206" s="107" t="n">
        <v>0</v>
      </c>
      <c r="AY206" s="107" t="n">
        <v>0</v>
      </c>
      <c r="AZ206" s="107" t="n">
        <v>0</v>
      </c>
      <c r="BA206" s="107" t="n">
        <v>0</v>
      </c>
      <c r="BB206" s="107" t="n">
        <v>0</v>
      </c>
      <c r="BC206" s="107" t="n">
        <v>0</v>
      </c>
      <c r="BD206" s="107" t="n">
        <v>0</v>
      </c>
      <c r="BE206" s="107" t="n">
        <v>2145.83</v>
      </c>
      <c r="BF206" s="107" t="n">
        <v>2914895</v>
      </c>
      <c r="BG206" s="107" t="n">
        <v>0</v>
      </c>
      <c r="BH206" s="107" t="n">
        <v>0</v>
      </c>
      <c r="BI206" s="107" t="n">
        <v>5094400</v>
      </c>
      <c r="BJ206" s="107" t="n">
        <v>7309954560</v>
      </c>
      <c r="BK206" s="107" t="n">
        <v>0</v>
      </c>
      <c r="BL206" s="107" t="n">
        <v>0</v>
      </c>
      <c r="BM206" s="107" t="n">
        <v>0</v>
      </c>
      <c r="BN206" s="107" t="n">
        <v>0</v>
      </c>
      <c r="BO206" s="107" t="s">
        <v>374</v>
      </c>
      <c r="BP206" s="2"/>
      <c r="BQ206" s="107" t="s">
        <v>374</v>
      </c>
      <c r="BR206" s="107" t="n">
        <v>-392724990</v>
      </c>
      <c r="BS206" s="107" t="n">
        <v>0</v>
      </c>
      <c r="BT206" s="107" t="n">
        <v>0</v>
      </c>
      <c r="BU206" s="107" t="n">
        <v>39260</v>
      </c>
      <c r="BV206" s="107" t="n">
        <v>56334174</v>
      </c>
      <c r="BW206" s="107" t="n">
        <v>2145.83</v>
      </c>
      <c r="BX206" s="107" t="n">
        <v>2914895</v>
      </c>
      <c r="BY206" s="107" t="n">
        <v>0</v>
      </c>
      <c r="BZ206" s="107" t="n">
        <v>0</v>
      </c>
      <c r="CA206" s="107" t="n">
        <v>1434.9</v>
      </c>
      <c r="CB206" s="2"/>
      <c r="CC206" s="107" t="n">
        <v>0</v>
      </c>
      <c r="CD206" s="107" t="n">
        <v>97.96</v>
      </c>
      <c r="CE206" s="107" t="n">
        <v>98.1</v>
      </c>
      <c r="CF206" s="107" t="n">
        <v>98.03</v>
      </c>
      <c r="CG206" s="107" t="n">
        <v>0</v>
      </c>
      <c r="CH206" s="107" t="n">
        <v>3.0832</v>
      </c>
      <c r="CI206" s="107" t="n">
        <v>103.37</v>
      </c>
      <c r="CJ206" s="107" t="n">
        <v>103.47</v>
      </c>
      <c r="CK206" s="107" t="n">
        <v>103.41</v>
      </c>
      <c r="CL206" s="107" t="n">
        <v>0</v>
      </c>
    </row>
    <row r="207" customFormat="false" ht="15" hidden="false" customHeight="false" outlineLevel="0" collapsed="false">
      <c r="A207" s="107" t="s">
        <v>665</v>
      </c>
      <c r="B207" s="107" t="n">
        <v>95.1673</v>
      </c>
      <c r="C207" s="107" t="n">
        <v>5.841</v>
      </c>
      <c r="D207" s="107" t="n">
        <v>3.6906</v>
      </c>
      <c r="E207" s="107" t="n">
        <v>-1053.67331214</v>
      </c>
      <c r="F207" s="108" t="s">
        <v>358</v>
      </c>
      <c r="G207" s="107" t="n">
        <v>3.6906</v>
      </c>
      <c r="H207" s="107" t="n">
        <v>-1053.67331214</v>
      </c>
      <c r="I207" s="109" t="n">
        <v>47856</v>
      </c>
      <c r="J207" s="107" t="n">
        <v>5</v>
      </c>
      <c r="K207" s="107" t="s">
        <v>359</v>
      </c>
      <c r="L207" s="107" t="s">
        <v>298</v>
      </c>
      <c r="M207" s="107" t="n">
        <v>11071800</v>
      </c>
      <c r="N207" s="107" t="n">
        <v>99.997</v>
      </c>
      <c r="O207" s="107" t="n">
        <v>2855019</v>
      </c>
      <c r="P207" s="107" t="s">
        <v>399</v>
      </c>
      <c r="Q207" s="107" t="s">
        <v>374</v>
      </c>
      <c r="R207" s="107" t="n">
        <v>-0.106753547671993</v>
      </c>
      <c r="S207" s="107" t="n">
        <v>-0.0482984489534686</v>
      </c>
      <c r="T207" s="107" t="n">
        <v>-1084.45041696</v>
      </c>
      <c r="U207" s="107" t="n">
        <v>21069</v>
      </c>
      <c r="V207" s="108" t="s">
        <v>362</v>
      </c>
      <c r="W207" s="107" t="n">
        <v>34578</v>
      </c>
      <c r="X207" s="108" t="s">
        <v>372</v>
      </c>
      <c r="Y207" s="107" t="s">
        <v>662</v>
      </c>
      <c r="Z207" s="107" t="s">
        <v>663</v>
      </c>
      <c r="AA207" s="109" t="n">
        <v>46286</v>
      </c>
      <c r="AB207" s="107" t="n">
        <v>260921000001</v>
      </c>
      <c r="AC207" s="109" t="n">
        <v>45743</v>
      </c>
      <c r="AD207" s="109" t="n">
        <v>47569</v>
      </c>
      <c r="AE207" s="107" t="n">
        <v>5.15</v>
      </c>
      <c r="AF207" s="107" t="n">
        <v>3.1723</v>
      </c>
      <c r="AG207" s="107" t="n">
        <v>1274</v>
      </c>
      <c r="AH207" s="107" t="n">
        <v>10000000</v>
      </c>
      <c r="AI207" s="107" t="n">
        <v>5.567167</v>
      </c>
      <c r="AJ207" s="107" t="n">
        <v>98.683</v>
      </c>
      <c r="AK207" s="107" t="n">
        <v>5.570078</v>
      </c>
      <c r="AL207" s="107" t="n">
        <v>98.725916</v>
      </c>
      <c r="AM207" s="107" t="n">
        <v>5.7806</v>
      </c>
      <c r="AN207" s="107" t="n">
        <v>98.03</v>
      </c>
      <c r="AO207" s="107" t="n">
        <v>1358.4</v>
      </c>
      <c r="AP207" s="107" t="n">
        <v>1</v>
      </c>
      <c r="AQ207" s="107" t="n">
        <v>9803000</v>
      </c>
      <c r="AR207" s="107" t="n">
        <v>13316395200</v>
      </c>
      <c r="AS207" s="107" t="n">
        <v>9868300</v>
      </c>
      <c r="AT207" s="107" t="n">
        <v>13655753540</v>
      </c>
      <c r="AU207" s="107" t="n">
        <v>-65300</v>
      </c>
      <c r="AV207" s="107" t="n">
        <v>-88703520</v>
      </c>
      <c r="AW207" s="107" t="n">
        <v>0</v>
      </c>
      <c r="AX207" s="107" t="n">
        <v>0</v>
      </c>
      <c r="AY207" s="107" t="n">
        <v>0</v>
      </c>
      <c r="AZ207" s="107" t="n">
        <v>0</v>
      </c>
      <c r="BA207" s="107" t="n">
        <v>0</v>
      </c>
      <c r="BB207" s="107" t="n">
        <v>0</v>
      </c>
      <c r="BC207" s="107" t="n">
        <v>0</v>
      </c>
      <c r="BD207" s="107" t="n">
        <v>0</v>
      </c>
      <c r="BE207" s="107" t="n">
        <v>4291.67</v>
      </c>
      <c r="BF207" s="107" t="n">
        <v>5829804</v>
      </c>
      <c r="BG207" s="107" t="n">
        <v>0</v>
      </c>
      <c r="BH207" s="107" t="n">
        <v>0</v>
      </c>
      <c r="BI207" s="107" t="n">
        <v>9868300</v>
      </c>
      <c r="BJ207" s="107" t="n">
        <v>13655753540</v>
      </c>
      <c r="BK207" s="107" t="n">
        <v>0</v>
      </c>
      <c r="BL207" s="107" t="n">
        <v>0</v>
      </c>
      <c r="BM207" s="107" t="n">
        <v>0</v>
      </c>
      <c r="BN207" s="107" t="n">
        <v>0</v>
      </c>
      <c r="BO207" s="107" t="s">
        <v>374</v>
      </c>
      <c r="BP207" s="2"/>
      <c r="BQ207" s="107" t="s">
        <v>374</v>
      </c>
      <c r="BR207" s="107" t="n">
        <v>-250654820</v>
      </c>
      <c r="BS207" s="107" t="n">
        <v>0</v>
      </c>
      <c r="BT207" s="107" t="n">
        <v>0</v>
      </c>
      <c r="BU207" s="107" t="n">
        <v>0</v>
      </c>
      <c r="BV207" s="107" t="n">
        <v>0</v>
      </c>
      <c r="BW207" s="107" t="n">
        <v>4291.67</v>
      </c>
      <c r="BX207" s="107" t="n">
        <v>5829804</v>
      </c>
      <c r="BY207" s="107" t="n">
        <v>0</v>
      </c>
      <c r="BZ207" s="107" t="n">
        <v>0</v>
      </c>
      <c r="CA207" s="107" t="n">
        <v>1383.8</v>
      </c>
      <c r="CB207" s="2"/>
      <c r="CC207" s="107" t="n">
        <v>0</v>
      </c>
      <c r="CD207" s="107" t="n">
        <v>97.96</v>
      </c>
      <c r="CE207" s="107" t="n">
        <v>98.1</v>
      </c>
      <c r="CF207" s="107" t="n">
        <v>98.03</v>
      </c>
      <c r="CG207" s="107" t="n">
        <v>0</v>
      </c>
      <c r="CH207" s="107" t="n">
        <v>3.0832</v>
      </c>
      <c r="CI207" s="107" t="n">
        <v>103.37</v>
      </c>
      <c r="CJ207" s="107" t="n">
        <v>103.47</v>
      </c>
      <c r="CK207" s="107" t="n">
        <v>103.41</v>
      </c>
      <c r="CL207" s="107" t="n">
        <v>0</v>
      </c>
    </row>
    <row r="208" customFormat="false" ht="15" hidden="false" customHeight="false" outlineLevel="0" collapsed="false">
      <c r="A208" s="107" t="s">
        <v>665</v>
      </c>
      <c r="B208" s="107" t="n">
        <v>95.1673</v>
      </c>
      <c r="C208" s="107" t="n">
        <v>5.841</v>
      </c>
      <c r="D208" s="107" t="n">
        <v>3.6906</v>
      </c>
      <c r="E208" s="107" t="n">
        <v>-351.22443738</v>
      </c>
      <c r="F208" s="108" t="s">
        <v>358</v>
      </c>
      <c r="G208" s="107" t="n">
        <v>3.6906</v>
      </c>
      <c r="H208" s="107" t="n">
        <v>-351.22443738</v>
      </c>
      <c r="I208" s="109" t="n">
        <v>47856</v>
      </c>
      <c r="J208" s="107" t="n">
        <v>5</v>
      </c>
      <c r="K208" s="107" t="s">
        <v>359</v>
      </c>
      <c r="L208" s="107" t="s">
        <v>298</v>
      </c>
      <c r="M208" s="107" t="n">
        <v>3690600</v>
      </c>
      <c r="N208" s="107" t="n">
        <v>100.47</v>
      </c>
      <c r="O208" s="107" t="n">
        <v>951673</v>
      </c>
      <c r="P208" s="107" t="s">
        <v>399</v>
      </c>
      <c r="Q208" s="107" t="s">
        <v>374</v>
      </c>
      <c r="R208" s="107" t="n">
        <v>-0.120248143838009</v>
      </c>
      <c r="S208" s="107" t="n">
        <v>-0.0527789389867622</v>
      </c>
      <c r="T208" s="107" t="n">
        <v>-361.48347232</v>
      </c>
      <c r="U208" s="107" t="n">
        <v>21069</v>
      </c>
      <c r="V208" s="108" t="s">
        <v>362</v>
      </c>
      <c r="W208" s="107" t="n">
        <v>34578</v>
      </c>
      <c r="X208" s="108" t="s">
        <v>372</v>
      </c>
      <c r="Y208" s="107" t="s">
        <v>664</v>
      </c>
      <c r="Z208" s="107" t="s">
        <v>666</v>
      </c>
      <c r="AA208" s="109" t="n">
        <v>45831</v>
      </c>
      <c r="AB208" s="107" t="n">
        <v>250623000001</v>
      </c>
      <c r="AC208" s="109" t="n">
        <v>45831</v>
      </c>
      <c r="AD208" s="109" t="n">
        <v>47658</v>
      </c>
      <c r="AE208" s="107" t="n">
        <v>5.1</v>
      </c>
      <c r="AF208" s="107" t="n">
        <v>3.3187</v>
      </c>
      <c r="AG208" s="107" t="n">
        <v>1363</v>
      </c>
      <c r="AH208" s="107" t="n">
        <v>500000</v>
      </c>
      <c r="AI208" s="107" t="n">
        <v>5.10706</v>
      </c>
      <c r="AJ208" s="107" t="n">
        <v>99.969</v>
      </c>
      <c r="AK208" s="107" t="n">
        <v>4.377175</v>
      </c>
      <c r="AL208" s="107" t="n">
        <v>103.830466</v>
      </c>
      <c r="AM208" s="107" t="n">
        <v>5.791</v>
      </c>
      <c r="AN208" s="107" t="n">
        <v>97.699</v>
      </c>
      <c r="AO208" s="107" t="n">
        <v>1358.4</v>
      </c>
      <c r="AP208" s="107" t="n">
        <v>1</v>
      </c>
      <c r="AQ208" s="107" t="n">
        <v>488495</v>
      </c>
      <c r="AR208" s="107" t="n">
        <v>663571608</v>
      </c>
      <c r="AS208" s="107" t="n">
        <v>512281.5</v>
      </c>
      <c r="AT208" s="107" t="n">
        <v>735072724</v>
      </c>
      <c r="AU208" s="107" t="n">
        <v>-23786.5</v>
      </c>
      <c r="AV208" s="107" t="n">
        <v>-32311582</v>
      </c>
      <c r="AW208" s="107" t="n">
        <v>0</v>
      </c>
      <c r="AX208" s="107" t="n">
        <v>0</v>
      </c>
      <c r="AY208" s="107" t="n">
        <v>0</v>
      </c>
      <c r="AZ208" s="107" t="n">
        <v>0</v>
      </c>
      <c r="BA208" s="107" t="n">
        <v>0</v>
      </c>
      <c r="BB208" s="107" t="n">
        <v>0</v>
      </c>
      <c r="BC208" s="107" t="n">
        <v>0</v>
      </c>
      <c r="BD208" s="107" t="n">
        <v>0</v>
      </c>
      <c r="BE208" s="107" t="n">
        <v>6870.83</v>
      </c>
      <c r="BF208" s="107" t="n">
        <v>9333335</v>
      </c>
      <c r="BG208" s="107" t="n">
        <v>0</v>
      </c>
      <c r="BH208" s="107" t="n">
        <v>0</v>
      </c>
      <c r="BI208" s="107" t="n">
        <v>499845</v>
      </c>
      <c r="BJ208" s="107" t="n">
        <v>717227591</v>
      </c>
      <c r="BK208" s="107" t="n">
        <v>0</v>
      </c>
      <c r="BL208" s="107" t="n">
        <v>0</v>
      </c>
      <c r="BM208" s="107" t="n">
        <v>0</v>
      </c>
      <c r="BN208" s="107" t="n">
        <v>0</v>
      </c>
      <c r="BO208" s="107" t="s">
        <v>374</v>
      </c>
      <c r="BP208" s="2"/>
      <c r="BQ208" s="107" t="s">
        <v>374</v>
      </c>
      <c r="BR208" s="107" t="n">
        <v>-39189534</v>
      </c>
      <c r="BS208" s="107" t="n">
        <v>0</v>
      </c>
      <c r="BT208" s="107" t="n">
        <v>0</v>
      </c>
      <c r="BU208" s="107" t="n">
        <v>12436.5</v>
      </c>
      <c r="BV208" s="107" t="n">
        <v>17845133</v>
      </c>
      <c r="BW208" s="107" t="n">
        <v>6870.83</v>
      </c>
      <c r="BX208" s="107" t="n">
        <v>9333335</v>
      </c>
      <c r="BY208" s="107" t="n">
        <v>0</v>
      </c>
      <c r="BZ208" s="107" t="n">
        <v>0</v>
      </c>
      <c r="CA208" s="107" t="n">
        <v>1434.9</v>
      </c>
      <c r="CB208" s="2"/>
      <c r="CC208" s="107" t="n">
        <v>0</v>
      </c>
      <c r="CD208" s="107" t="n">
        <v>97.63</v>
      </c>
      <c r="CE208" s="107" t="n">
        <v>97.75</v>
      </c>
      <c r="CF208" s="107" t="n">
        <v>97.72</v>
      </c>
      <c r="CG208" s="107" t="n">
        <v>500000</v>
      </c>
      <c r="CH208" s="107" t="n">
        <v>3.2253</v>
      </c>
      <c r="CI208" s="107" t="n">
        <v>103.37</v>
      </c>
      <c r="CJ208" s="107" t="n">
        <v>103.47</v>
      </c>
      <c r="CK208" s="107" t="n">
        <v>103.41</v>
      </c>
      <c r="CL208" s="107" t="n">
        <v>0</v>
      </c>
    </row>
    <row r="209" customFormat="false" ht="15" hidden="false" customHeight="false" outlineLevel="0" collapsed="false">
      <c r="A209" s="107" t="s">
        <v>667</v>
      </c>
      <c r="B209" s="107" t="n">
        <v>88.068</v>
      </c>
      <c r="C209" s="107" t="n">
        <v>5.813</v>
      </c>
      <c r="D209" s="107" t="n">
        <v>3.671</v>
      </c>
      <c r="E209" s="107" t="n">
        <v>-2036.7750564</v>
      </c>
      <c r="F209" s="108" t="s">
        <v>358</v>
      </c>
      <c r="G209" s="107" t="n">
        <v>3.671</v>
      </c>
      <c r="H209" s="107" t="n">
        <v>-2036.7750564</v>
      </c>
      <c r="I209" s="109" t="n">
        <v>47791</v>
      </c>
      <c r="J209" s="107" t="n">
        <v>3</v>
      </c>
      <c r="K209" s="107" t="s">
        <v>359</v>
      </c>
      <c r="L209" s="107" t="s">
        <v>298</v>
      </c>
      <c r="M209" s="107" t="n">
        <v>23127300</v>
      </c>
      <c r="N209" s="107" t="n">
        <v>89.07</v>
      </c>
      <c r="O209" s="107" t="n">
        <v>5548284</v>
      </c>
      <c r="P209" s="107" t="s">
        <v>498</v>
      </c>
      <c r="Q209" s="107" t="s">
        <v>377</v>
      </c>
      <c r="R209" s="107" t="n">
        <v>-0.0860550303775207</v>
      </c>
      <c r="S209" s="107" t="n">
        <v>-0.0112495789828224</v>
      </c>
      <c r="T209" s="107" t="n">
        <v>-2095.97524668</v>
      </c>
      <c r="U209" s="107" t="n">
        <v>21069</v>
      </c>
      <c r="V209" s="108" t="s">
        <v>362</v>
      </c>
      <c r="W209" s="107" t="n">
        <v>34578</v>
      </c>
      <c r="X209" s="108" t="s">
        <v>372</v>
      </c>
      <c r="Y209" s="107" t="s">
        <v>665</v>
      </c>
      <c r="Z209" s="107" t="s">
        <v>668</v>
      </c>
      <c r="AA209" s="109" t="n">
        <v>46058</v>
      </c>
      <c r="AB209" s="107" t="n">
        <v>260205000001</v>
      </c>
      <c r="AC209" s="109" t="n">
        <v>46030</v>
      </c>
      <c r="AD209" s="109" t="n">
        <v>47856</v>
      </c>
      <c r="AE209" s="107" t="n">
        <v>4.55</v>
      </c>
      <c r="AF209" s="107" t="n">
        <v>3.7959</v>
      </c>
      <c r="AG209" s="107" t="n">
        <v>1561</v>
      </c>
      <c r="AH209" s="107" t="n">
        <v>3000000</v>
      </c>
      <c r="AI209" s="107" t="n">
        <v>4.55</v>
      </c>
      <c r="AJ209" s="107" t="n">
        <v>99.997</v>
      </c>
      <c r="AK209" s="107" t="n">
        <v>4.54913</v>
      </c>
      <c r="AL209" s="107" t="n">
        <v>101.033389</v>
      </c>
      <c r="AM209" s="107" t="n">
        <v>5.8216</v>
      </c>
      <c r="AN209" s="107" t="n">
        <v>95.2402</v>
      </c>
      <c r="AO209" s="107" t="n">
        <v>1358.4</v>
      </c>
      <c r="AP209" s="107" t="n">
        <v>1</v>
      </c>
      <c r="AQ209" s="107" t="n">
        <v>2857206</v>
      </c>
      <c r="AR209" s="107" t="n">
        <v>3881228630</v>
      </c>
      <c r="AS209" s="107" t="n">
        <v>2999910</v>
      </c>
      <c r="AT209" s="107" t="n">
        <v>4346869590</v>
      </c>
      <c r="AU209" s="107" t="n">
        <v>-142704</v>
      </c>
      <c r="AV209" s="107" t="n">
        <v>-193849114</v>
      </c>
      <c r="AW209" s="107" t="n">
        <v>0</v>
      </c>
      <c r="AX209" s="107" t="n">
        <v>0</v>
      </c>
      <c r="AY209" s="107" t="n">
        <v>0</v>
      </c>
      <c r="AZ209" s="107" t="n">
        <v>0</v>
      </c>
      <c r="BA209" s="107" t="n">
        <v>0</v>
      </c>
      <c r="BB209" s="107" t="n">
        <v>0</v>
      </c>
      <c r="BC209" s="107" t="n">
        <v>0</v>
      </c>
      <c r="BD209" s="107" t="n">
        <v>0</v>
      </c>
      <c r="BE209" s="107" t="n">
        <v>31091.67</v>
      </c>
      <c r="BF209" s="107" t="n">
        <v>42234924</v>
      </c>
      <c r="BG209" s="107" t="n">
        <v>0</v>
      </c>
      <c r="BH209" s="107" t="n">
        <v>0</v>
      </c>
      <c r="BI209" s="107" t="n">
        <v>2999910</v>
      </c>
      <c r="BJ209" s="107" t="n">
        <v>4346869590</v>
      </c>
      <c r="BK209" s="107" t="n">
        <v>0</v>
      </c>
      <c r="BL209" s="107" t="n">
        <v>0</v>
      </c>
      <c r="BM209" s="107" t="n">
        <v>0</v>
      </c>
      <c r="BN209" s="107" t="n">
        <v>0</v>
      </c>
      <c r="BO209" s="107" t="s">
        <v>374</v>
      </c>
      <c r="BP209" s="2"/>
      <c r="BQ209" s="107" t="s">
        <v>374</v>
      </c>
      <c r="BR209" s="107" t="n">
        <v>-271791846</v>
      </c>
      <c r="BS209" s="107" t="n">
        <v>0</v>
      </c>
      <c r="BT209" s="107" t="n">
        <v>0</v>
      </c>
      <c r="BU209" s="107" t="n">
        <v>0</v>
      </c>
      <c r="BV209" s="107" t="n">
        <v>0</v>
      </c>
      <c r="BW209" s="107" t="n">
        <v>31091.67</v>
      </c>
      <c r="BX209" s="107" t="n">
        <v>42234924</v>
      </c>
      <c r="BY209" s="107" t="n">
        <v>0</v>
      </c>
      <c r="BZ209" s="107" t="n">
        <v>0</v>
      </c>
      <c r="CA209" s="107" t="n">
        <v>1449</v>
      </c>
      <c r="CB209" s="2"/>
      <c r="CC209" s="107" t="n">
        <v>0</v>
      </c>
      <c r="CD209" s="107" t="n">
        <v>95.15</v>
      </c>
      <c r="CE209" s="107" t="n">
        <v>95.27</v>
      </c>
      <c r="CF209" s="107" t="n">
        <v>95.29</v>
      </c>
      <c r="CG209" s="107" t="n">
        <v>3000000</v>
      </c>
      <c r="CH209" s="107" t="n">
        <v>3.6885</v>
      </c>
      <c r="CI209" s="107" t="n">
        <v>103.37</v>
      </c>
      <c r="CJ209" s="107" t="n">
        <v>103.47</v>
      </c>
      <c r="CK209" s="107" t="n">
        <v>103.41</v>
      </c>
      <c r="CL209" s="107" t="n">
        <v>0</v>
      </c>
    </row>
    <row r="210" customFormat="false" ht="15" hidden="false" customHeight="false" outlineLevel="0" collapsed="false">
      <c r="A210" s="107" t="s">
        <v>667</v>
      </c>
      <c r="B210" s="107" t="n">
        <v>88.068</v>
      </c>
      <c r="C210" s="107" t="n">
        <v>5.813</v>
      </c>
      <c r="D210" s="107" t="n">
        <v>3.671</v>
      </c>
      <c r="E210" s="107" t="n">
        <v>-1357.8500376</v>
      </c>
      <c r="F210" s="108" t="s">
        <v>358</v>
      </c>
      <c r="G210" s="107" t="n">
        <v>3.671</v>
      </c>
      <c r="H210" s="107" t="n">
        <v>-1357.8500376</v>
      </c>
      <c r="I210" s="109" t="n">
        <v>47791</v>
      </c>
      <c r="J210" s="107" t="n">
        <v>3</v>
      </c>
      <c r="K210" s="107" t="s">
        <v>359</v>
      </c>
      <c r="L210" s="107" t="s">
        <v>298</v>
      </c>
      <c r="M210" s="107" t="n">
        <v>15418200</v>
      </c>
      <c r="N210" s="107" t="n">
        <v>90.775</v>
      </c>
      <c r="O210" s="107" t="n">
        <v>3698856</v>
      </c>
      <c r="P210" s="107" t="s">
        <v>498</v>
      </c>
      <c r="Q210" s="107" t="s">
        <v>377</v>
      </c>
      <c r="R210" s="107" t="n">
        <v>-0.0860550303775207</v>
      </c>
      <c r="S210" s="107" t="n">
        <v>-0.0298209859542826</v>
      </c>
      <c r="T210" s="107" t="n">
        <v>-1397.31683112</v>
      </c>
      <c r="U210" s="107" t="n">
        <v>21069</v>
      </c>
      <c r="V210" s="108" t="s">
        <v>362</v>
      </c>
      <c r="W210" s="107" t="n">
        <v>34578</v>
      </c>
      <c r="X210" s="108" t="s">
        <v>372</v>
      </c>
      <c r="Y210" s="107" t="s">
        <v>665</v>
      </c>
      <c r="Z210" s="107" t="s">
        <v>668</v>
      </c>
      <c r="AA210" s="109" t="n">
        <v>46065</v>
      </c>
      <c r="AB210" s="107" t="n">
        <v>260212000001</v>
      </c>
      <c r="AC210" s="109" t="n">
        <v>46030</v>
      </c>
      <c r="AD210" s="109" t="n">
        <v>47856</v>
      </c>
      <c r="AE210" s="107" t="n">
        <v>4.55</v>
      </c>
      <c r="AF210" s="107" t="n">
        <v>3.7959</v>
      </c>
      <c r="AG210" s="107" t="n">
        <v>1561</v>
      </c>
      <c r="AH210" s="107" t="n">
        <v>1000000</v>
      </c>
      <c r="AI210" s="107" t="n">
        <v>4.44042</v>
      </c>
      <c r="AJ210" s="107" t="n">
        <v>100.47</v>
      </c>
      <c r="AK210" s="107" t="n">
        <v>4.426445</v>
      </c>
      <c r="AL210" s="107" t="n">
        <v>101.506389</v>
      </c>
      <c r="AM210" s="107" t="n">
        <v>5.8216</v>
      </c>
      <c r="AN210" s="107" t="n">
        <v>95.2402</v>
      </c>
      <c r="AO210" s="107" t="n">
        <v>1358.4</v>
      </c>
      <c r="AP210" s="107" t="n">
        <v>1</v>
      </c>
      <c r="AQ210" s="107" t="n">
        <v>952402</v>
      </c>
      <c r="AR210" s="107" t="n">
        <v>1293742877</v>
      </c>
      <c r="AS210" s="107" t="n">
        <v>1004700</v>
      </c>
      <c r="AT210" s="107" t="n">
        <v>1471182210</v>
      </c>
      <c r="AU210" s="107" t="n">
        <v>-52298</v>
      </c>
      <c r="AV210" s="107" t="n">
        <v>-71041603</v>
      </c>
      <c r="AW210" s="107" t="n">
        <v>0</v>
      </c>
      <c r="AX210" s="107" t="n">
        <v>0</v>
      </c>
      <c r="AY210" s="107" t="n">
        <v>0</v>
      </c>
      <c r="AZ210" s="107" t="n">
        <v>0</v>
      </c>
      <c r="BA210" s="107" t="n">
        <v>0</v>
      </c>
      <c r="BB210" s="107" t="n">
        <v>0</v>
      </c>
      <c r="BC210" s="107" t="n">
        <v>0</v>
      </c>
      <c r="BD210" s="107" t="n">
        <v>0</v>
      </c>
      <c r="BE210" s="107" t="n">
        <v>10363.89</v>
      </c>
      <c r="BF210" s="107" t="n">
        <v>14078308</v>
      </c>
      <c r="BG210" s="107" t="n">
        <v>0</v>
      </c>
      <c r="BH210" s="107" t="n">
        <v>0</v>
      </c>
      <c r="BI210" s="107" t="n">
        <v>1004700</v>
      </c>
      <c r="BJ210" s="107" t="n">
        <v>1471182210</v>
      </c>
      <c r="BK210" s="107" t="n">
        <v>0</v>
      </c>
      <c r="BL210" s="107" t="n">
        <v>0</v>
      </c>
      <c r="BM210" s="107" t="n">
        <v>0</v>
      </c>
      <c r="BN210" s="107" t="n">
        <v>0</v>
      </c>
      <c r="BO210" s="107" t="s">
        <v>374</v>
      </c>
      <c r="BP210" s="2"/>
      <c r="BQ210" s="107" t="s">
        <v>374</v>
      </c>
      <c r="BR210" s="107" t="n">
        <v>-106397730</v>
      </c>
      <c r="BS210" s="107" t="n">
        <v>0</v>
      </c>
      <c r="BT210" s="107" t="n">
        <v>0</v>
      </c>
      <c r="BU210" s="107" t="n">
        <v>0</v>
      </c>
      <c r="BV210" s="107" t="n">
        <v>0</v>
      </c>
      <c r="BW210" s="107" t="n">
        <v>10363.89</v>
      </c>
      <c r="BX210" s="107" t="n">
        <v>14078308</v>
      </c>
      <c r="BY210" s="107" t="n">
        <v>0</v>
      </c>
      <c r="BZ210" s="107" t="n">
        <v>0</v>
      </c>
      <c r="CA210" s="107" t="n">
        <v>1464.3</v>
      </c>
      <c r="CB210" s="2"/>
      <c r="CC210" s="107" t="n">
        <v>0</v>
      </c>
      <c r="CD210" s="107" t="n">
        <v>95.15</v>
      </c>
      <c r="CE210" s="107" t="n">
        <v>95.27</v>
      </c>
      <c r="CF210" s="107" t="n">
        <v>95.29</v>
      </c>
      <c r="CG210" s="107" t="n">
        <v>1000000</v>
      </c>
      <c r="CH210" s="107" t="n">
        <v>3.6885</v>
      </c>
      <c r="CI210" s="107" t="n">
        <v>103.37</v>
      </c>
      <c r="CJ210" s="107" t="n">
        <v>103.47</v>
      </c>
      <c r="CK210" s="107" t="n">
        <v>103.41</v>
      </c>
      <c r="CL210" s="107" t="n">
        <v>0</v>
      </c>
    </row>
    <row r="211" customFormat="false" ht="15" hidden="false" customHeight="false" outlineLevel="0" collapsed="false">
      <c r="A211" s="107" t="s">
        <v>669</v>
      </c>
      <c r="B211" s="107" t="n">
        <v>98.6332</v>
      </c>
      <c r="C211" s="107" t="n">
        <v>5.1144</v>
      </c>
      <c r="D211" s="107" t="n">
        <v>2.1748</v>
      </c>
      <c r="E211" s="107" t="n">
        <v>-214.50748336</v>
      </c>
      <c r="F211" s="108" t="s">
        <v>358</v>
      </c>
      <c r="G211" s="107" t="n">
        <v>2.1748</v>
      </c>
      <c r="H211" s="107" t="n">
        <v>-214.50748336</v>
      </c>
      <c r="I211" s="109" t="n">
        <v>47164</v>
      </c>
      <c r="J211" s="107" t="n">
        <v>3</v>
      </c>
      <c r="K211" s="107" t="s">
        <v>359</v>
      </c>
      <c r="L211" s="107" t="s">
        <v>298</v>
      </c>
      <c r="M211" s="107" t="n">
        <v>2174800</v>
      </c>
      <c r="N211" s="107" t="n">
        <v>99.008</v>
      </c>
      <c r="O211" s="107" t="n">
        <v>986332</v>
      </c>
      <c r="P211" s="107" t="s">
        <v>670</v>
      </c>
      <c r="Q211" s="107" t="s">
        <v>361</v>
      </c>
      <c r="R211" s="107" t="n">
        <v>-0.082377088892146</v>
      </c>
      <c r="S211" s="107" t="n">
        <v>-0.00378555268261149</v>
      </c>
      <c r="T211" s="107" t="n">
        <v>-219.99148928</v>
      </c>
      <c r="U211" s="107" t="n">
        <v>21069</v>
      </c>
      <c r="V211" s="108" t="s">
        <v>362</v>
      </c>
      <c r="W211" s="107" t="n">
        <v>34578</v>
      </c>
      <c r="X211" s="108" t="s">
        <v>372</v>
      </c>
      <c r="Y211" s="107" t="s">
        <v>667</v>
      </c>
      <c r="Z211" s="107" t="s">
        <v>671</v>
      </c>
      <c r="AA211" s="109" t="n">
        <v>45852</v>
      </c>
      <c r="AB211" s="107" t="n">
        <v>250714000001</v>
      </c>
      <c r="AC211" s="109" t="n">
        <v>44139</v>
      </c>
      <c r="AD211" s="109" t="n">
        <v>47791</v>
      </c>
      <c r="AE211" s="107" t="n">
        <v>2.5</v>
      </c>
      <c r="AF211" s="107" t="n">
        <v>3.7755</v>
      </c>
      <c r="AG211" s="107" t="n">
        <v>1496</v>
      </c>
      <c r="AH211" s="107" t="n">
        <v>6300000</v>
      </c>
      <c r="AI211" s="107" t="n">
        <v>4.861207</v>
      </c>
      <c r="AJ211" s="107" t="n">
        <v>89.07</v>
      </c>
      <c r="AK211" s="107" t="n">
        <v>4.85997</v>
      </c>
      <c r="AL211" s="107" t="n">
        <v>92.344288</v>
      </c>
      <c r="AM211" s="107" t="n">
        <v>5.7785</v>
      </c>
      <c r="AN211" s="107" t="n">
        <v>88.1904</v>
      </c>
      <c r="AO211" s="107" t="n">
        <v>1358.4</v>
      </c>
      <c r="AP211" s="107" t="n">
        <v>1</v>
      </c>
      <c r="AQ211" s="107" t="n">
        <v>5555995.2</v>
      </c>
      <c r="AR211" s="107" t="n">
        <v>7547263880</v>
      </c>
      <c r="AS211" s="107" t="n">
        <v>5753815.2</v>
      </c>
      <c r="AT211" s="107" t="n">
        <v>8256149430</v>
      </c>
      <c r="AU211" s="107" t="n">
        <v>-197820</v>
      </c>
      <c r="AV211" s="107" t="n">
        <v>-268718688</v>
      </c>
      <c r="AW211" s="107" t="n">
        <v>0</v>
      </c>
      <c r="AX211" s="107" t="n">
        <v>0</v>
      </c>
      <c r="AY211" s="107" t="n">
        <v>0</v>
      </c>
      <c r="AZ211" s="107" t="n">
        <v>0</v>
      </c>
      <c r="BA211" s="107" t="n">
        <v>0</v>
      </c>
      <c r="BB211" s="107" t="n">
        <v>0</v>
      </c>
      <c r="BC211" s="107" t="n">
        <v>0</v>
      </c>
      <c r="BD211" s="107" t="n">
        <v>0</v>
      </c>
      <c r="BE211" s="107" t="n">
        <v>63875</v>
      </c>
      <c r="BF211" s="107" t="n">
        <v>86767800</v>
      </c>
      <c r="BG211" s="107" t="n">
        <v>0</v>
      </c>
      <c r="BH211" s="107" t="n">
        <v>0</v>
      </c>
      <c r="BI211" s="107" t="n">
        <v>5611410</v>
      </c>
      <c r="BJ211" s="107" t="n">
        <v>8051812209</v>
      </c>
      <c r="BK211" s="107" t="n">
        <v>0</v>
      </c>
      <c r="BL211" s="107" t="n">
        <v>0</v>
      </c>
      <c r="BM211" s="107" t="n">
        <v>0</v>
      </c>
      <c r="BN211" s="107" t="n">
        <v>0</v>
      </c>
      <c r="BO211" s="107" t="s">
        <v>377</v>
      </c>
      <c r="BP211" s="2"/>
      <c r="BQ211" s="107" t="s">
        <v>377</v>
      </c>
      <c r="BR211" s="107" t="n">
        <v>-440166862</v>
      </c>
      <c r="BS211" s="107" t="n">
        <v>0</v>
      </c>
      <c r="BT211" s="107" t="n">
        <v>0</v>
      </c>
      <c r="BU211" s="107" t="n">
        <v>142405.2</v>
      </c>
      <c r="BV211" s="107" t="n">
        <v>204337221</v>
      </c>
      <c r="BW211" s="107" t="n">
        <v>63875</v>
      </c>
      <c r="BX211" s="107" t="n">
        <v>86767800</v>
      </c>
      <c r="BY211" s="107" t="n">
        <v>0</v>
      </c>
      <c r="BZ211" s="107" t="n">
        <v>0</v>
      </c>
      <c r="CA211" s="107" t="n">
        <v>1434.9</v>
      </c>
      <c r="CB211" s="2"/>
      <c r="CC211" s="107" t="n">
        <v>0</v>
      </c>
      <c r="CD211" s="107" t="n">
        <v>88.21</v>
      </c>
      <c r="CE211" s="107" t="n">
        <v>88.17</v>
      </c>
      <c r="CF211" s="107" t="n">
        <v>88.19</v>
      </c>
      <c r="CG211" s="107" t="n">
        <v>0</v>
      </c>
      <c r="CH211" s="107" t="n">
        <v>3.6695</v>
      </c>
      <c r="CI211" s="107" t="n">
        <v>103.37</v>
      </c>
      <c r="CJ211" s="107" t="n">
        <v>103.47</v>
      </c>
      <c r="CK211" s="107" t="n">
        <v>103.41</v>
      </c>
      <c r="CL211" s="107" t="n">
        <v>0</v>
      </c>
    </row>
    <row r="212" customFormat="false" ht="15" hidden="false" customHeight="false" outlineLevel="0" collapsed="false">
      <c r="A212" s="107" t="s">
        <v>672</v>
      </c>
      <c r="B212" s="107" t="n">
        <v>94.5138</v>
      </c>
      <c r="C212" s="107" t="n">
        <v>5.1302</v>
      </c>
      <c r="D212" s="107" t="n">
        <v>3.5904</v>
      </c>
      <c r="E212" s="107" t="n">
        <v>-169.67117376</v>
      </c>
      <c r="F212" s="108" t="s">
        <v>358</v>
      </c>
      <c r="G212" s="107" t="n">
        <v>3.5904</v>
      </c>
      <c r="H212" s="107" t="n">
        <v>-169.67117376</v>
      </c>
      <c r="I212" s="109" t="n">
        <v>47785</v>
      </c>
      <c r="J212" s="107" t="n">
        <v>3</v>
      </c>
      <c r="K212" s="107" t="s">
        <v>359</v>
      </c>
      <c r="L212" s="107" t="s">
        <v>298</v>
      </c>
      <c r="M212" s="107" t="n">
        <v>1795200</v>
      </c>
      <c r="N212" s="107" t="n">
        <v>99.475</v>
      </c>
      <c r="O212" s="107" t="n">
        <v>472569</v>
      </c>
      <c r="P212" s="107" t="s">
        <v>673</v>
      </c>
      <c r="Q212" s="107" t="s">
        <v>361</v>
      </c>
      <c r="R212" s="107" t="n">
        <v>-0.0997217478980564</v>
      </c>
      <c r="S212" s="107" t="n">
        <v>-0.0498738376476501</v>
      </c>
      <c r="T212" s="107" t="n">
        <v>-174.02353425</v>
      </c>
      <c r="U212" s="107" t="n">
        <v>21069</v>
      </c>
      <c r="V212" s="108" t="s">
        <v>362</v>
      </c>
      <c r="W212" s="107" t="n">
        <v>34578</v>
      </c>
      <c r="X212" s="108" t="s">
        <v>372</v>
      </c>
      <c r="Y212" s="107" t="s">
        <v>667</v>
      </c>
      <c r="Z212" s="107" t="s">
        <v>671</v>
      </c>
      <c r="AA212" s="109" t="n">
        <v>45924</v>
      </c>
      <c r="AB212" s="107" t="n">
        <v>250924000001</v>
      </c>
      <c r="AC212" s="109" t="n">
        <v>44139</v>
      </c>
      <c r="AD212" s="109" t="n">
        <v>47791</v>
      </c>
      <c r="AE212" s="107" t="n">
        <v>2.5</v>
      </c>
      <c r="AF212" s="107" t="n">
        <v>3.7755</v>
      </c>
      <c r="AG212" s="107" t="n">
        <v>1496</v>
      </c>
      <c r="AH212" s="107" t="n">
        <v>4200000</v>
      </c>
      <c r="AI212" s="107" t="n">
        <v>4.542</v>
      </c>
      <c r="AJ212" s="107" t="n">
        <v>90.775</v>
      </c>
      <c r="AK212" s="107" t="n">
        <v>4.85997</v>
      </c>
      <c r="AL212" s="107" t="n">
        <v>92.344288</v>
      </c>
      <c r="AM212" s="107" t="n">
        <v>5.7785</v>
      </c>
      <c r="AN212" s="107" t="n">
        <v>88.1904</v>
      </c>
      <c r="AO212" s="107" t="n">
        <v>1358.4</v>
      </c>
      <c r="AP212" s="107" t="n">
        <v>1</v>
      </c>
      <c r="AQ212" s="107" t="n">
        <v>3703996.8</v>
      </c>
      <c r="AR212" s="107" t="n">
        <v>5031509253</v>
      </c>
      <c r="AS212" s="107" t="n">
        <v>3835876.8</v>
      </c>
      <c r="AT212" s="107" t="n">
        <v>5504099620</v>
      </c>
      <c r="AU212" s="107" t="n">
        <v>-131880</v>
      </c>
      <c r="AV212" s="107" t="n">
        <v>-179145792</v>
      </c>
      <c r="AW212" s="107" t="n">
        <v>0</v>
      </c>
      <c r="AX212" s="107" t="n">
        <v>0</v>
      </c>
      <c r="AY212" s="107" t="n">
        <v>0</v>
      </c>
      <c r="AZ212" s="107" t="n">
        <v>0</v>
      </c>
      <c r="BA212" s="107" t="n">
        <v>0</v>
      </c>
      <c r="BB212" s="107" t="n">
        <v>0</v>
      </c>
      <c r="BC212" s="107" t="n">
        <v>0</v>
      </c>
      <c r="BD212" s="107" t="n">
        <v>0</v>
      </c>
      <c r="BE212" s="107" t="n">
        <v>42583.33</v>
      </c>
      <c r="BF212" s="107" t="n">
        <v>57845195</v>
      </c>
      <c r="BG212" s="107" t="n">
        <v>0</v>
      </c>
      <c r="BH212" s="107" t="n">
        <v>0</v>
      </c>
      <c r="BI212" s="107" t="n">
        <v>3812550</v>
      </c>
      <c r="BJ212" s="107" t="n">
        <v>5470627995</v>
      </c>
      <c r="BK212" s="107" t="n">
        <v>0</v>
      </c>
      <c r="BL212" s="107" t="n">
        <v>0</v>
      </c>
      <c r="BM212" s="107" t="n">
        <v>0</v>
      </c>
      <c r="BN212" s="107" t="n">
        <v>0</v>
      </c>
      <c r="BO212" s="107" t="s">
        <v>377</v>
      </c>
      <c r="BP212" s="2"/>
      <c r="BQ212" s="107" t="s">
        <v>377</v>
      </c>
      <c r="BR212" s="107" t="n">
        <v>-293444575</v>
      </c>
      <c r="BS212" s="107" t="n">
        <v>0</v>
      </c>
      <c r="BT212" s="107" t="n">
        <v>0</v>
      </c>
      <c r="BU212" s="107" t="n">
        <v>23326.8</v>
      </c>
      <c r="BV212" s="107" t="n">
        <v>33471625</v>
      </c>
      <c r="BW212" s="107" t="n">
        <v>42583.33</v>
      </c>
      <c r="BX212" s="107" t="n">
        <v>57845195</v>
      </c>
      <c r="BY212" s="107" t="n">
        <v>0</v>
      </c>
      <c r="BZ212" s="107" t="n">
        <v>0</v>
      </c>
      <c r="CA212" s="107" t="n">
        <v>1434.9</v>
      </c>
      <c r="CB212" s="2"/>
      <c r="CC212" s="107" t="n">
        <v>0</v>
      </c>
      <c r="CD212" s="107" t="n">
        <v>88.21</v>
      </c>
      <c r="CE212" s="107" t="n">
        <v>88.17</v>
      </c>
      <c r="CF212" s="107" t="n">
        <v>88.19</v>
      </c>
      <c r="CG212" s="107" t="n">
        <v>0</v>
      </c>
      <c r="CH212" s="107" t="n">
        <v>3.6695</v>
      </c>
      <c r="CI212" s="107" t="n">
        <v>103.37</v>
      </c>
      <c r="CJ212" s="107" t="n">
        <v>103.47</v>
      </c>
      <c r="CK212" s="107" t="n">
        <v>103.41</v>
      </c>
      <c r="CL212" s="107" t="n">
        <v>0</v>
      </c>
    </row>
    <row r="213" customFormat="false" ht="15" hidden="false" customHeight="false" outlineLevel="0" collapsed="false">
      <c r="A213" s="107" t="s">
        <v>674</v>
      </c>
      <c r="B213" s="107" t="n">
        <v>95.0744</v>
      </c>
      <c r="C213" s="107" t="n">
        <v>5.1463</v>
      </c>
      <c r="D213" s="107" t="n">
        <v>3.8609</v>
      </c>
      <c r="E213" s="107" t="n">
        <v>-183.53637548</v>
      </c>
      <c r="F213" s="108" t="s">
        <v>358</v>
      </c>
      <c r="G213" s="107" t="n">
        <v>3.8609</v>
      </c>
      <c r="H213" s="107" t="n">
        <v>-183.53637548</v>
      </c>
      <c r="I213" s="109" t="n">
        <v>47891</v>
      </c>
      <c r="J213" s="107" t="n">
        <v>5</v>
      </c>
      <c r="K213" s="107" t="s">
        <v>359</v>
      </c>
      <c r="L213" s="107" t="s">
        <v>565</v>
      </c>
      <c r="M213" s="107" t="n">
        <v>1930450</v>
      </c>
      <c r="N213" s="107" t="n">
        <v>98.798</v>
      </c>
      <c r="O213" s="107" t="n">
        <v>475372</v>
      </c>
      <c r="P213" s="107" t="s">
        <v>673</v>
      </c>
      <c r="Q213" s="107" t="s">
        <v>364</v>
      </c>
      <c r="R213" s="107" t="n">
        <v>-0.124937864389659</v>
      </c>
      <c r="S213" s="107" t="n">
        <v>-0.0376890220449807</v>
      </c>
      <c r="T213" s="107" t="n">
        <v>-188.25681944</v>
      </c>
      <c r="U213" s="107" t="n">
        <v>21069</v>
      </c>
      <c r="V213" s="108" t="s">
        <v>362</v>
      </c>
      <c r="W213" s="107" t="n">
        <v>34578</v>
      </c>
      <c r="X213" s="108" t="s">
        <v>372</v>
      </c>
      <c r="Y213" s="107" t="s">
        <v>669</v>
      </c>
      <c r="Z213" s="107" t="s">
        <v>675</v>
      </c>
      <c r="AA213" s="109" t="n">
        <v>45450</v>
      </c>
      <c r="AB213" s="107" t="n">
        <v>240607000001</v>
      </c>
      <c r="AC213" s="109" t="n">
        <v>45337</v>
      </c>
      <c r="AD213" s="109" t="n">
        <v>47164</v>
      </c>
      <c r="AE213" s="107" t="n">
        <v>4.5</v>
      </c>
      <c r="AF213" s="107" t="n">
        <v>2.228</v>
      </c>
      <c r="AG213" s="107" t="n">
        <v>869</v>
      </c>
      <c r="AH213" s="107" t="n">
        <v>1000000</v>
      </c>
      <c r="AI213" s="107" t="n">
        <v>4.736925</v>
      </c>
      <c r="AJ213" s="107" t="n">
        <v>99.008</v>
      </c>
      <c r="AK213" s="107" t="n">
        <v>3.665867</v>
      </c>
      <c r="AL213" s="107" t="n">
        <v>102.4395</v>
      </c>
      <c r="AM213" s="107" t="n">
        <v>5.0654</v>
      </c>
      <c r="AN213" s="107" t="n">
        <v>98.7419</v>
      </c>
      <c r="AO213" s="107" t="n">
        <v>1358.4</v>
      </c>
      <c r="AP213" s="107" t="n">
        <v>1</v>
      </c>
      <c r="AQ213" s="107" t="n">
        <v>987419</v>
      </c>
      <c r="AR213" s="107" t="n">
        <v>1341309970</v>
      </c>
      <c r="AS213" s="107" t="n">
        <v>1018770</v>
      </c>
      <c r="AT213" s="107" t="n">
        <v>1461833073</v>
      </c>
      <c r="AU213" s="107" t="n">
        <v>-31351</v>
      </c>
      <c r="AV213" s="107" t="n">
        <v>-42587198</v>
      </c>
      <c r="AW213" s="107" t="n">
        <v>0</v>
      </c>
      <c r="AX213" s="107" t="n">
        <v>0</v>
      </c>
      <c r="AY213" s="107" t="n">
        <v>0</v>
      </c>
      <c r="AZ213" s="107" t="n">
        <v>0</v>
      </c>
      <c r="BA213" s="107" t="n">
        <v>0</v>
      </c>
      <c r="BB213" s="107" t="n">
        <v>0</v>
      </c>
      <c r="BC213" s="107" t="n">
        <v>0</v>
      </c>
      <c r="BD213" s="107" t="n">
        <v>0</v>
      </c>
      <c r="BE213" s="107" t="n">
        <v>5625</v>
      </c>
      <c r="BF213" s="107" t="n">
        <v>7641000</v>
      </c>
      <c r="BG213" s="107" t="n">
        <v>0</v>
      </c>
      <c r="BH213" s="107" t="n">
        <v>0</v>
      </c>
      <c r="BI213" s="107" t="n">
        <v>990080</v>
      </c>
      <c r="BJ213" s="107" t="n">
        <v>1420629674</v>
      </c>
      <c r="BK213" s="107" t="n">
        <v>0</v>
      </c>
      <c r="BL213" s="107" t="n">
        <v>0</v>
      </c>
      <c r="BM213" s="107" t="n">
        <v>0</v>
      </c>
      <c r="BN213" s="107" t="n">
        <v>0</v>
      </c>
      <c r="BO213" s="107" t="s">
        <v>361</v>
      </c>
      <c r="BP213" s="2"/>
      <c r="BQ213" s="107" t="s">
        <v>364</v>
      </c>
      <c r="BR213" s="107" t="n">
        <v>-77935905</v>
      </c>
      <c r="BS213" s="107" t="n">
        <v>0</v>
      </c>
      <c r="BT213" s="107" t="n">
        <v>0</v>
      </c>
      <c r="BU213" s="107" t="n">
        <v>28690</v>
      </c>
      <c r="BV213" s="107" t="n">
        <v>41203399</v>
      </c>
      <c r="BW213" s="107" t="n">
        <v>5625</v>
      </c>
      <c r="BX213" s="107" t="n">
        <v>7641000</v>
      </c>
      <c r="BY213" s="107" t="n">
        <v>0</v>
      </c>
      <c r="BZ213" s="107" t="n">
        <v>0</v>
      </c>
      <c r="CA213" s="107" t="n">
        <v>1434.9</v>
      </c>
      <c r="CB213" s="2"/>
      <c r="CC213" s="107" t="n">
        <v>0</v>
      </c>
      <c r="CD213" s="107" t="n">
        <v>98.74</v>
      </c>
      <c r="CE213" s="107" t="n">
        <v>98.72</v>
      </c>
      <c r="CF213" s="107" t="n">
        <v>98.77</v>
      </c>
      <c r="CG213" s="107" t="n">
        <v>0</v>
      </c>
      <c r="CH213" s="107" t="n">
        <v>2.173</v>
      </c>
      <c r="CI213" s="107" t="n">
        <v>103.37</v>
      </c>
      <c r="CJ213" s="107" t="n">
        <v>103.47</v>
      </c>
      <c r="CK213" s="107" t="n">
        <v>103.41</v>
      </c>
      <c r="CL213" s="107" t="n">
        <v>0</v>
      </c>
    </row>
    <row r="214" customFormat="false" ht="15" hidden="false" customHeight="false" outlineLevel="0" collapsed="false">
      <c r="A214" s="107" t="s">
        <v>676</v>
      </c>
      <c r="B214" s="107" t="n">
        <v>98.1586</v>
      </c>
      <c r="C214" s="107" t="n">
        <v>5.3314</v>
      </c>
      <c r="D214" s="107" t="n">
        <v>2.5459</v>
      </c>
      <c r="E214" s="107" t="n">
        <v>-74.970593922</v>
      </c>
      <c r="F214" s="108" t="s">
        <v>358</v>
      </c>
      <c r="G214" s="107" t="n">
        <v>2.5459</v>
      </c>
      <c r="H214" s="107" t="n">
        <v>-74.970593922</v>
      </c>
      <c r="I214" s="109" t="n">
        <v>47328</v>
      </c>
      <c r="J214" s="107" t="n">
        <v>3</v>
      </c>
      <c r="K214" s="107" t="s">
        <v>359</v>
      </c>
      <c r="L214" s="107" t="s">
        <v>298</v>
      </c>
      <c r="M214" s="107" t="n">
        <v>763770</v>
      </c>
      <c r="N214" s="107" t="n">
        <v>100.872</v>
      </c>
      <c r="O214" s="107" t="n">
        <v>294475.8</v>
      </c>
      <c r="P214" s="107" t="s">
        <v>677</v>
      </c>
      <c r="Q214" s="107" t="s">
        <v>364</v>
      </c>
      <c r="R214" s="107" t="n">
        <v>-0.116721107109095</v>
      </c>
      <c r="S214" s="107" t="n">
        <v>-0.0268994369101435</v>
      </c>
      <c r="T214" s="107" t="n">
        <v>-76.970084604</v>
      </c>
      <c r="U214" s="107" t="n">
        <v>21069</v>
      </c>
      <c r="V214" s="108" t="s">
        <v>362</v>
      </c>
      <c r="W214" s="107" t="n">
        <v>34578</v>
      </c>
      <c r="X214" s="108" t="s">
        <v>372</v>
      </c>
      <c r="Y214" s="107" t="s">
        <v>672</v>
      </c>
      <c r="Z214" s="107" t="s">
        <v>678</v>
      </c>
      <c r="AA214" s="109" t="n">
        <v>45959</v>
      </c>
      <c r="AB214" s="107" t="n">
        <v>251029000001</v>
      </c>
      <c r="AC214" s="109" t="n">
        <v>45959</v>
      </c>
      <c r="AD214" s="109" t="n">
        <v>47785</v>
      </c>
      <c r="AE214" s="107" t="n">
        <v>3.625</v>
      </c>
      <c r="AF214" s="107" t="n">
        <v>3.6803</v>
      </c>
      <c r="AG214" s="107" t="n">
        <v>1490</v>
      </c>
      <c r="AH214" s="107" t="n">
        <v>500000</v>
      </c>
      <c r="AI214" s="107" t="n">
        <v>3.741103</v>
      </c>
      <c r="AJ214" s="107" t="n">
        <v>99.475</v>
      </c>
      <c r="AK214" s="107" t="n">
        <v>3.756927</v>
      </c>
      <c r="AL214" s="107" t="n">
        <v>101.023386</v>
      </c>
      <c r="AM214" s="107" t="n">
        <v>5.0965</v>
      </c>
      <c r="AN214" s="107" t="n">
        <v>94.6362</v>
      </c>
      <c r="AO214" s="107" t="n">
        <v>1358.4</v>
      </c>
      <c r="AP214" s="107" t="n">
        <v>1</v>
      </c>
      <c r="AQ214" s="107" t="n">
        <v>473181</v>
      </c>
      <c r="AR214" s="107" t="n">
        <v>642769070</v>
      </c>
      <c r="AS214" s="107" t="n">
        <v>497514.5</v>
      </c>
      <c r="AT214" s="107" t="n">
        <v>713883556</v>
      </c>
      <c r="AU214" s="107" t="n">
        <v>-24333.5</v>
      </c>
      <c r="AV214" s="107" t="n">
        <v>-33054627</v>
      </c>
      <c r="AW214" s="107" t="n">
        <v>0</v>
      </c>
      <c r="AX214" s="107" t="n">
        <v>0</v>
      </c>
      <c r="AY214" s="107" t="n">
        <v>0</v>
      </c>
      <c r="AZ214" s="107" t="n">
        <v>0</v>
      </c>
      <c r="BA214" s="107" t="n">
        <v>0</v>
      </c>
      <c r="BB214" s="107" t="n">
        <v>0</v>
      </c>
      <c r="BC214" s="107" t="n">
        <v>0</v>
      </c>
      <c r="BD214" s="107" t="n">
        <v>0</v>
      </c>
      <c r="BE214" s="107" t="n">
        <v>7602.43</v>
      </c>
      <c r="BF214" s="107" t="n">
        <v>10327140</v>
      </c>
      <c r="BG214" s="107" t="n">
        <v>0</v>
      </c>
      <c r="BH214" s="107" t="n">
        <v>0</v>
      </c>
      <c r="BI214" s="107" t="n">
        <v>497375</v>
      </c>
      <c r="BJ214" s="107" t="n">
        <v>713683388</v>
      </c>
      <c r="BK214" s="107" t="n">
        <v>0</v>
      </c>
      <c r="BL214" s="107" t="n">
        <v>0</v>
      </c>
      <c r="BM214" s="107" t="n">
        <v>0</v>
      </c>
      <c r="BN214" s="107" t="n">
        <v>0</v>
      </c>
      <c r="BO214" s="107" t="s">
        <v>361</v>
      </c>
      <c r="BP214" s="2"/>
      <c r="BQ214" s="107" t="s">
        <v>364</v>
      </c>
      <c r="BR214" s="107" t="n">
        <v>-38059859</v>
      </c>
      <c r="BS214" s="107" t="n">
        <v>0</v>
      </c>
      <c r="BT214" s="107" t="n">
        <v>0</v>
      </c>
      <c r="BU214" s="107" t="n">
        <v>139.5</v>
      </c>
      <c r="BV214" s="107" t="n">
        <v>200168</v>
      </c>
      <c r="BW214" s="107" t="n">
        <v>7602.43</v>
      </c>
      <c r="BX214" s="107" t="n">
        <v>10327140</v>
      </c>
      <c r="BY214" s="107" t="n">
        <v>0</v>
      </c>
      <c r="BZ214" s="107" t="n">
        <v>0</v>
      </c>
      <c r="CA214" s="107" t="n">
        <v>1434.9</v>
      </c>
      <c r="CB214" s="2"/>
      <c r="CC214" s="107" t="n">
        <v>0</v>
      </c>
      <c r="CD214" s="107" t="n">
        <v>94.63</v>
      </c>
      <c r="CE214" s="107" t="n">
        <v>94.66</v>
      </c>
      <c r="CF214" s="107" t="n">
        <v>94.62</v>
      </c>
      <c r="CG214" s="107" t="n">
        <v>500000</v>
      </c>
      <c r="CH214" s="107" t="n">
        <v>3.5888</v>
      </c>
      <c r="CI214" s="107" t="n">
        <v>103.37</v>
      </c>
      <c r="CJ214" s="107" t="n">
        <v>103.47</v>
      </c>
      <c r="CK214" s="107" t="n">
        <v>103.41</v>
      </c>
      <c r="CL214" s="107" t="n">
        <v>0</v>
      </c>
    </row>
    <row r="215" customFormat="false" ht="15" hidden="false" customHeight="false" outlineLevel="0" collapsed="false">
      <c r="A215" s="107" t="s">
        <v>676</v>
      </c>
      <c r="B215" s="107" t="n">
        <v>98.1586</v>
      </c>
      <c r="C215" s="107" t="n">
        <v>5.3314</v>
      </c>
      <c r="D215" s="107" t="n">
        <v>2.5459</v>
      </c>
      <c r="E215" s="107" t="n">
        <v>-1249.5098987</v>
      </c>
      <c r="F215" s="108" t="s">
        <v>358</v>
      </c>
      <c r="G215" s="107" t="n">
        <v>2.5459</v>
      </c>
      <c r="H215" s="107" t="n">
        <v>-1249.5098987</v>
      </c>
      <c r="I215" s="109" t="n">
        <v>47328</v>
      </c>
      <c r="J215" s="107" t="n">
        <v>3</v>
      </c>
      <c r="K215" s="107" t="s">
        <v>359</v>
      </c>
      <c r="L215" s="107" t="s">
        <v>298</v>
      </c>
      <c r="M215" s="107" t="n">
        <v>12729500</v>
      </c>
      <c r="N215" s="107" t="n">
        <v>100.66</v>
      </c>
      <c r="O215" s="107" t="n">
        <v>4907930</v>
      </c>
      <c r="P215" s="107" t="s">
        <v>677</v>
      </c>
      <c r="Q215" s="107" t="s">
        <v>364</v>
      </c>
      <c r="R215" s="107" t="n">
        <v>-0.123692339427231</v>
      </c>
      <c r="S215" s="107" t="n">
        <v>-0.0248499900655672</v>
      </c>
      <c r="T215" s="107" t="n">
        <v>-1282.8347434</v>
      </c>
      <c r="U215" s="107" t="n">
        <v>21069</v>
      </c>
      <c r="V215" s="108" t="s">
        <v>362</v>
      </c>
      <c r="W215" s="107" t="n">
        <v>34578</v>
      </c>
      <c r="X215" s="108" t="s">
        <v>372</v>
      </c>
      <c r="Y215" s="107" t="s">
        <v>674</v>
      </c>
      <c r="Z215" s="107" t="s">
        <v>679</v>
      </c>
      <c r="AA215" s="109" t="n">
        <v>46108</v>
      </c>
      <c r="AB215" s="107" t="n">
        <v>260327000001</v>
      </c>
      <c r="AC215" s="109" t="n">
        <v>46065</v>
      </c>
      <c r="AD215" s="109" t="n">
        <v>47891</v>
      </c>
      <c r="AE215" s="107" t="n">
        <v>3.875</v>
      </c>
      <c r="AF215" s="107" t="n">
        <v>3.958</v>
      </c>
      <c r="AG215" s="107" t="n">
        <v>1596</v>
      </c>
      <c r="AH215" s="107" t="n">
        <v>500000</v>
      </c>
      <c r="AI215" s="107" t="n">
        <v>4.149</v>
      </c>
      <c r="AJ215" s="107" t="n">
        <v>98.798</v>
      </c>
      <c r="AK215" s="107" t="n">
        <v>4.178008</v>
      </c>
      <c r="AL215" s="107" t="n">
        <v>99.314666</v>
      </c>
      <c r="AM215" s="107" t="n">
        <v>5.1132</v>
      </c>
      <c r="AN215" s="107" t="n">
        <v>95.2014</v>
      </c>
      <c r="AO215" s="107" t="n">
        <v>1358.4</v>
      </c>
      <c r="AP215" s="107" t="n">
        <v>1</v>
      </c>
      <c r="AQ215" s="107" t="n">
        <v>476007</v>
      </c>
      <c r="AR215" s="107" t="n">
        <v>646607909</v>
      </c>
      <c r="AS215" s="107" t="n">
        <v>493990</v>
      </c>
      <c r="AT215" s="107" t="n">
        <v>738811444</v>
      </c>
      <c r="AU215" s="107" t="n">
        <v>-17983</v>
      </c>
      <c r="AV215" s="107" t="n">
        <v>-24428107</v>
      </c>
      <c r="AW215" s="107" t="n">
        <v>0</v>
      </c>
      <c r="AX215" s="107" t="n">
        <v>0</v>
      </c>
      <c r="AY215" s="107" t="n">
        <v>0</v>
      </c>
      <c r="AZ215" s="107" t="n">
        <v>0</v>
      </c>
      <c r="BA215" s="107" t="n">
        <v>0</v>
      </c>
      <c r="BB215" s="107" t="n">
        <v>0</v>
      </c>
      <c r="BC215" s="107" t="n">
        <v>0</v>
      </c>
      <c r="BD215" s="107" t="n">
        <v>0</v>
      </c>
      <c r="BE215" s="107" t="n">
        <v>2583.33</v>
      </c>
      <c r="BF215" s="107" t="n">
        <v>3509195</v>
      </c>
      <c r="BG215" s="107" t="n">
        <v>0</v>
      </c>
      <c r="BH215" s="107" t="n">
        <v>0</v>
      </c>
      <c r="BI215" s="107" t="n">
        <v>493990</v>
      </c>
      <c r="BJ215" s="107" t="n">
        <v>738811444</v>
      </c>
      <c r="BK215" s="107" t="n">
        <v>0</v>
      </c>
      <c r="BL215" s="107" t="n">
        <v>0</v>
      </c>
      <c r="BM215" s="107" t="n">
        <v>0</v>
      </c>
      <c r="BN215" s="107" t="n">
        <v>0</v>
      </c>
      <c r="BO215" s="107" t="s">
        <v>361</v>
      </c>
      <c r="BP215" s="2"/>
      <c r="BQ215" s="107" t="s">
        <v>364</v>
      </c>
      <c r="BR215" s="107" t="n">
        <v>-67775428</v>
      </c>
      <c r="BS215" s="107" t="n">
        <v>0</v>
      </c>
      <c r="BT215" s="107" t="n">
        <v>0</v>
      </c>
      <c r="BU215" s="107" t="n">
        <v>0</v>
      </c>
      <c r="BV215" s="107" t="n">
        <v>0</v>
      </c>
      <c r="BW215" s="107" t="n">
        <v>2583.33</v>
      </c>
      <c r="BX215" s="107" t="n">
        <v>3509195</v>
      </c>
      <c r="BY215" s="107" t="n">
        <v>0</v>
      </c>
      <c r="BZ215" s="107" t="n">
        <v>0</v>
      </c>
      <c r="CA215" s="107" t="n">
        <v>1495.6</v>
      </c>
      <c r="CB215" s="2"/>
      <c r="CC215" s="107" t="n">
        <v>0</v>
      </c>
      <c r="CD215" s="107" t="n">
        <v>95.17</v>
      </c>
      <c r="CE215" s="107" t="n">
        <v>95.26</v>
      </c>
      <c r="CF215" s="107" t="n">
        <v>95.17</v>
      </c>
      <c r="CG215" s="107" t="n">
        <v>500000</v>
      </c>
      <c r="CH215" s="107" t="n">
        <v>3.8593</v>
      </c>
      <c r="CI215" s="107" t="n">
        <v>103.37</v>
      </c>
      <c r="CJ215" s="107" t="n">
        <v>103.47</v>
      </c>
      <c r="CK215" s="107" t="n">
        <v>103.41</v>
      </c>
      <c r="CL215" s="107" t="n">
        <v>0</v>
      </c>
    </row>
    <row r="216" customFormat="false" ht="15" hidden="false" customHeight="false" outlineLevel="0" collapsed="false">
      <c r="A216" s="107" t="s">
        <v>676</v>
      </c>
      <c r="B216" s="107" t="n">
        <v>98.1586</v>
      </c>
      <c r="C216" s="107" t="n">
        <v>5.3314</v>
      </c>
      <c r="D216" s="107" t="n">
        <v>2.5459</v>
      </c>
      <c r="E216" s="107" t="n">
        <v>-3948.451279892</v>
      </c>
      <c r="F216" s="108" t="s">
        <v>358</v>
      </c>
      <c r="G216" s="107" t="n">
        <v>2.5459</v>
      </c>
      <c r="H216" s="107" t="n">
        <v>-3948.451279892</v>
      </c>
      <c r="I216" s="109" t="n">
        <v>47328</v>
      </c>
      <c r="J216" s="107" t="n">
        <v>3</v>
      </c>
      <c r="K216" s="107" t="s">
        <v>359</v>
      </c>
      <c r="L216" s="107" t="s">
        <v>298</v>
      </c>
      <c r="M216" s="107" t="n">
        <v>40225220</v>
      </c>
      <c r="N216" s="107" t="n">
        <v>100.57</v>
      </c>
      <c r="O216" s="107" t="n">
        <v>15509058.8</v>
      </c>
      <c r="P216" s="107" t="s">
        <v>677</v>
      </c>
      <c r="Q216" s="107" t="s">
        <v>364</v>
      </c>
      <c r="R216" s="107" t="n">
        <v>-0.120758539937643</v>
      </c>
      <c r="S216" s="107" t="n">
        <v>-0.0239773292234263</v>
      </c>
      <c r="T216" s="107" t="n">
        <v>-4053.757789144</v>
      </c>
      <c r="U216" s="107" t="n">
        <v>21069</v>
      </c>
      <c r="V216" s="108" t="s">
        <v>362</v>
      </c>
      <c r="W216" s="107" t="n">
        <v>34578</v>
      </c>
      <c r="X216" s="108" t="s">
        <v>372</v>
      </c>
      <c r="Y216" s="107" t="s">
        <v>676</v>
      </c>
      <c r="Z216" s="107" t="s">
        <v>680</v>
      </c>
      <c r="AA216" s="109" t="n">
        <v>46107</v>
      </c>
      <c r="AB216" s="107" t="n">
        <v>260326000001</v>
      </c>
      <c r="AC216" s="109" t="n">
        <v>45502</v>
      </c>
      <c r="AD216" s="109" t="n">
        <v>47328</v>
      </c>
      <c r="AE216" s="107" t="n">
        <v>4.625</v>
      </c>
      <c r="AF216" s="107" t="n">
        <v>2.6115</v>
      </c>
      <c r="AG216" s="107" t="n">
        <v>1033</v>
      </c>
      <c r="AH216" s="107" t="n">
        <v>300000</v>
      </c>
      <c r="AI216" s="107" t="n">
        <v>4.34</v>
      </c>
      <c r="AJ216" s="107" t="n">
        <v>100.872</v>
      </c>
      <c r="AK216" s="107" t="n">
        <v>4.292467</v>
      </c>
      <c r="AL216" s="107" t="n">
        <v>101.65568</v>
      </c>
      <c r="AM216" s="107" t="n">
        <v>5.2779</v>
      </c>
      <c r="AN216" s="107" t="n">
        <v>98.2976</v>
      </c>
      <c r="AO216" s="107" t="n">
        <v>1358.4</v>
      </c>
      <c r="AP216" s="107" t="n">
        <v>1</v>
      </c>
      <c r="AQ216" s="107" t="n">
        <v>294892.8</v>
      </c>
      <c r="AR216" s="107" t="n">
        <v>400582380</v>
      </c>
      <c r="AS216" s="107" t="n">
        <v>302616</v>
      </c>
      <c r="AT216" s="107" t="n">
        <v>453409553</v>
      </c>
      <c r="AU216" s="107" t="n">
        <v>-7723.2</v>
      </c>
      <c r="AV216" s="107" t="n">
        <v>-10491194</v>
      </c>
      <c r="AW216" s="107" t="n">
        <v>0</v>
      </c>
      <c r="AX216" s="107" t="n">
        <v>0</v>
      </c>
      <c r="AY216" s="107" t="n">
        <v>0</v>
      </c>
      <c r="AZ216" s="107" t="n">
        <v>0</v>
      </c>
      <c r="BA216" s="107" t="n">
        <v>0</v>
      </c>
      <c r="BB216" s="107" t="n">
        <v>0</v>
      </c>
      <c r="BC216" s="107" t="n">
        <v>0</v>
      </c>
      <c r="BD216" s="107" t="n">
        <v>0</v>
      </c>
      <c r="BE216" s="107" t="n">
        <v>2351.04</v>
      </c>
      <c r="BF216" s="107" t="n">
        <v>3193652</v>
      </c>
      <c r="BG216" s="107" t="n">
        <v>0</v>
      </c>
      <c r="BH216" s="107" t="n">
        <v>0</v>
      </c>
      <c r="BI216" s="107" t="n">
        <v>302616</v>
      </c>
      <c r="BJ216" s="107" t="n">
        <v>453409553</v>
      </c>
      <c r="BK216" s="107" t="n">
        <v>0</v>
      </c>
      <c r="BL216" s="107" t="n">
        <v>0</v>
      </c>
      <c r="BM216" s="107" t="n">
        <v>0</v>
      </c>
      <c r="BN216" s="107" t="n">
        <v>0</v>
      </c>
      <c r="BO216" s="107" t="s">
        <v>361</v>
      </c>
      <c r="BP216" s="2"/>
      <c r="BQ216" s="107" t="s">
        <v>364</v>
      </c>
      <c r="BR216" s="107" t="n">
        <v>-42335979</v>
      </c>
      <c r="BS216" s="107" t="n">
        <v>0</v>
      </c>
      <c r="BT216" s="107" t="n">
        <v>0</v>
      </c>
      <c r="BU216" s="107" t="n">
        <v>0</v>
      </c>
      <c r="BV216" s="107" t="n">
        <v>0</v>
      </c>
      <c r="BW216" s="107" t="n">
        <v>2351.04</v>
      </c>
      <c r="BX216" s="107" t="n">
        <v>3193652</v>
      </c>
      <c r="BY216" s="107" t="n">
        <v>0</v>
      </c>
      <c r="BZ216" s="107" t="n">
        <v>0</v>
      </c>
      <c r="CA216" s="107" t="n">
        <v>1498.3</v>
      </c>
      <c r="CB216" s="2"/>
      <c r="CC216" s="107" t="n">
        <v>0</v>
      </c>
      <c r="CD216" s="107" t="n">
        <v>98.32</v>
      </c>
      <c r="CE216" s="107" t="n">
        <v>98.25</v>
      </c>
      <c r="CF216" s="107" t="n">
        <v>98.32</v>
      </c>
      <c r="CG216" s="107" t="n">
        <v>0</v>
      </c>
      <c r="CH216" s="107" t="n">
        <v>2.5444</v>
      </c>
      <c r="CI216" s="107" t="n">
        <v>97.41</v>
      </c>
      <c r="CJ216" s="107" t="n">
        <v>97.47</v>
      </c>
      <c r="CK216" s="107" t="n">
        <v>97.38</v>
      </c>
      <c r="CL216" s="107" t="n">
        <v>0</v>
      </c>
    </row>
    <row r="217" customFormat="false" ht="15" hidden="false" customHeight="false" outlineLevel="0" collapsed="false">
      <c r="A217" s="107" t="s">
        <v>681</v>
      </c>
      <c r="B217" s="107" t="n">
        <v>98.9959</v>
      </c>
      <c r="C217" s="107" t="n">
        <v>5.7687</v>
      </c>
      <c r="D217" s="107" t="n">
        <v>2.4393</v>
      </c>
      <c r="E217" s="107" t="n">
        <v>-2414.8069887</v>
      </c>
      <c r="F217" s="108" t="s">
        <v>358</v>
      </c>
      <c r="G217" s="107" t="n">
        <v>2.4393</v>
      </c>
      <c r="H217" s="107" t="n">
        <v>-2414.8069887</v>
      </c>
      <c r="I217" s="109" t="n">
        <v>47301</v>
      </c>
      <c r="J217" s="107" t="n">
        <v>3</v>
      </c>
      <c r="K217" s="107" t="s">
        <v>359</v>
      </c>
      <c r="L217" s="107" t="s">
        <v>298</v>
      </c>
      <c r="M217" s="107" t="n">
        <v>24393000</v>
      </c>
      <c r="N217" s="107" t="n">
        <v>100.358</v>
      </c>
      <c r="O217" s="107" t="n">
        <v>9899590</v>
      </c>
      <c r="P217" s="107" t="s">
        <v>472</v>
      </c>
      <c r="Q217" s="107" t="s">
        <v>377</v>
      </c>
      <c r="R217" s="107" t="n">
        <v>-0.0866269678307263</v>
      </c>
      <c r="S217" s="107" t="n">
        <v>-0.0135724107694454</v>
      </c>
      <c r="T217" s="107" t="n">
        <v>-2484.5001023</v>
      </c>
      <c r="U217" s="107" t="n">
        <v>21069</v>
      </c>
      <c r="V217" s="108" t="s">
        <v>362</v>
      </c>
      <c r="W217" s="107" t="n">
        <v>34578</v>
      </c>
      <c r="X217" s="108" t="s">
        <v>372</v>
      </c>
      <c r="Y217" s="107" t="s">
        <v>676</v>
      </c>
      <c r="Z217" s="107" t="s">
        <v>680</v>
      </c>
      <c r="AA217" s="109" t="n">
        <v>46113</v>
      </c>
      <c r="AB217" s="107" t="n">
        <v>260401000001</v>
      </c>
      <c r="AC217" s="109" t="n">
        <v>45502</v>
      </c>
      <c r="AD217" s="109" t="n">
        <v>47328</v>
      </c>
      <c r="AE217" s="107" t="n">
        <v>4.625</v>
      </c>
      <c r="AF217" s="107" t="n">
        <v>2.6115</v>
      </c>
      <c r="AG217" s="107" t="n">
        <v>1033</v>
      </c>
      <c r="AH217" s="107" t="n">
        <v>5000000</v>
      </c>
      <c r="AI217" s="107" t="n">
        <v>4.407739</v>
      </c>
      <c r="AJ217" s="107" t="n">
        <v>100.66</v>
      </c>
      <c r="AK217" s="107" t="n">
        <v>4.372444</v>
      </c>
      <c r="AL217" s="107" t="n">
        <v>101.44368</v>
      </c>
      <c r="AM217" s="107" t="n">
        <v>5.2779</v>
      </c>
      <c r="AN217" s="107" t="n">
        <v>98.2976</v>
      </c>
      <c r="AO217" s="107" t="n">
        <v>1358.4</v>
      </c>
      <c r="AP217" s="107" t="n">
        <v>1</v>
      </c>
      <c r="AQ217" s="107" t="n">
        <v>4914880</v>
      </c>
      <c r="AR217" s="107" t="n">
        <v>6676372992</v>
      </c>
      <c r="AS217" s="107" t="n">
        <v>5033000</v>
      </c>
      <c r="AT217" s="107" t="n">
        <v>7616942200</v>
      </c>
      <c r="AU217" s="107" t="n">
        <v>-118120</v>
      </c>
      <c r="AV217" s="107" t="n">
        <v>-160454208</v>
      </c>
      <c r="AW217" s="107" t="n">
        <v>0</v>
      </c>
      <c r="AX217" s="107" t="n">
        <v>0</v>
      </c>
      <c r="AY217" s="107" t="n">
        <v>0</v>
      </c>
      <c r="AZ217" s="107" t="n">
        <v>0</v>
      </c>
      <c r="BA217" s="107" t="n">
        <v>0</v>
      </c>
      <c r="BB217" s="107" t="n">
        <v>0</v>
      </c>
      <c r="BC217" s="107" t="n">
        <v>0</v>
      </c>
      <c r="BD217" s="107" t="n">
        <v>0</v>
      </c>
      <c r="BE217" s="107" t="n">
        <v>39184.03</v>
      </c>
      <c r="BF217" s="107" t="n">
        <v>53227586</v>
      </c>
      <c r="BG217" s="107" t="n">
        <v>0</v>
      </c>
      <c r="BH217" s="107" t="n">
        <v>0</v>
      </c>
      <c r="BI217" s="107" t="n">
        <v>5033000</v>
      </c>
      <c r="BJ217" s="107" t="n">
        <v>7616942200</v>
      </c>
      <c r="BK217" s="107" t="n">
        <v>0</v>
      </c>
      <c r="BL217" s="107" t="n">
        <v>0</v>
      </c>
      <c r="BM217" s="107" t="n">
        <v>0</v>
      </c>
      <c r="BN217" s="107" t="n">
        <v>0</v>
      </c>
      <c r="BO217" s="107" t="s">
        <v>361</v>
      </c>
      <c r="BP217" s="2"/>
      <c r="BQ217" s="107" t="s">
        <v>364</v>
      </c>
      <c r="BR217" s="107" t="n">
        <v>-780115000</v>
      </c>
      <c r="BS217" s="107" t="n">
        <v>0</v>
      </c>
      <c r="BT217" s="107" t="n">
        <v>0</v>
      </c>
      <c r="BU217" s="107" t="n">
        <v>0</v>
      </c>
      <c r="BV217" s="107" t="n">
        <v>0</v>
      </c>
      <c r="BW217" s="107" t="n">
        <v>39184.03</v>
      </c>
      <c r="BX217" s="107" t="n">
        <v>53227586</v>
      </c>
      <c r="BY217" s="107" t="n">
        <v>0</v>
      </c>
      <c r="BZ217" s="107" t="n">
        <v>0</v>
      </c>
      <c r="CA217" s="107" t="n">
        <v>1513.4</v>
      </c>
      <c r="CB217" s="2"/>
      <c r="CC217" s="107" t="n">
        <v>0</v>
      </c>
      <c r="CD217" s="107" t="n">
        <v>98.32</v>
      </c>
      <c r="CE217" s="107" t="n">
        <v>98.25</v>
      </c>
      <c r="CF217" s="107" t="n">
        <v>98.32</v>
      </c>
      <c r="CG217" s="107" t="n">
        <v>0</v>
      </c>
      <c r="CH217" s="107" t="n">
        <v>2.5444</v>
      </c>
      <c r="CI217" s="107" t="n">
        <v>97.41</v>
      </c>
      <c r="CJ217" s="107" t="n">
        <v>97.47</v>
      </c>
      <c r="CK217" s="107" t="n">
        <v>97.38</v>
      </c>
      <c r="CL217" s="107" t="n">
        <v>0</v>
      </c>
    </row>
    <row r="218" customFormat="false" ht="15" hidden="false" customHeight="false" outlineLevel="0" collapsed="false">
      <c r="A218" s="107" t="s">
        <v>681</v>
      </c>
      <c r="B218" s="107" t="n">
        <v>98.9959</v>
      </c>
      <c r="C218" s="107" t="n">
        <v>5.7687</v>
      </c>
      <c r="D218" s="107" t="n">
        <v>2.4393</v>
      </c>
      <c r="E218" s="107" t="n">
        <v>-724.44209661</v>
      </c>
      <c r="F218" s="108" t="s">
        <v>358</v>
      </c>
      <c r="G218" s="107" t="n">
        <v>2.4393</v>
      </c>
      <c r="H218" s="107" t="n">
        <v>-724.44209661</v>
      </c>
      <c r="I218" s="109" t="n">
        <v>47301</v>
      </c>
      <c r="J218" s="107" t="n">
        <v>3</v>
      </c>
      <c r="K218" s="107" t="s">
        <v>359</v>
      </c>
      <c r="L218" s="107" t="s">
        <v>298</v>
      </c>
      <c r="M218" s="107" t="n">
        <v>7317900</v>
      </c>
      <c r="N218" s="107" t="n">
        <v>100.366</v>
      </c>
      <c r="O218" s="107" t="n">
        <v>2969877</v>
      </c>
      <c r="P218" s="107" t="s">
        <v>472</v>
      </c>
      <c r="Q218" s="107" t="s">
        <v>377</v>
      </c>
      <c r="R218" s="107" t="n">
        <v>-0.0866269678720357</v>
      </c>
      <c r="S218" s="107" t="n">
        <v>-0.0136510372038339</v>
      </c>
      <c r="T218" s="107" t="n">
        <v>-745.35003069</v>
      </c>
      <c r="U218" s="107" t="n">
        <v>21069</v>
      </c>
      <c r="V218" s="108" t="s">
        <v>362</v>
      </c>
      <c r="W218" s="107" t="n">
        <v>34578</v>
      </c>
      <c r="X218" s="108" t="s">
        <v>372</v>
      </c>
      <c r="Y218" s="107" t="s">
        <v>676</v>
      </c>
      <c r="Z218" s="107" t="s">
        <v>680</v>
      </c>
      <c r="AA218" s="109" t="n">
        <v>46164</v>
      </c>
      <c r="AB218" s="107" t="n">
        <v>260522000001</v>
      </c>
      <c r="AC218" s="109" t="n">
        <v>45502</v>
      </c>
      <c r="AD218" s="109" t="n">
        <v>47328</v>
      </c>
      <c r="AE218" s="107" t="n">
        <v>4.625</v>
      </c>
      <c r="AF218" s="107" t="n">
        <v>2.6115</v>
      </c>
      <c r="AG218" s="107" t="n">
        <v>1033</v>
      </c>
      <c r="AH218" s="107" t="n">
        <v>15800000</v>
      </c>
      <c r="AI218" s="107" t="n">
        <v>4.42919</v>
      </c>
      <c r="AJ218" s="107" t="n">
        <v>100.57</v>
      </c>
      <c r="AK218" s="107" t="n">
        <v>4.406458</v>
      </c>
      <c r="AL218" s="107" t="n">
        <v>101.35368</v>
      </c>
      <c r="AM218" s="107" t="n">
        <v>5.2779</v>
      </c>
      <c r="AN218" s="107" t="n">
        <v>98.2976</v>
      </c>
      <c r="AO218" s="107" t="n">
        <v>1358.4</v>
      </c>
      <c r="AP218" s="107" t="n">
        <v>1</v>
      </c>
      <c r="AQ218" s="107" t="n">
        <v>15531020.8</v>
      </c>
      <c r="AR218" s="107" t="n">
        <v>21097338655</v>
      </c>
      <c r="AS218" s="107" t="n">
        <v>15890060</v>
      </c>
      <c r="AT218" s="107" t="n">
        <v>23989223582</v>
      </c>
      <c r="AU218" s="107" t="n">
        <v>-359039.2</v>
      </c>
      <c r="AV218" s="107" t="n">
        <v>-487718849</v>
      </c>
      <c r="AW218" s="107" t="n">
        <v>0</v>
      </c>
      <c r="AX218" s="107" t="n">
        <v>0</v>
      </c>
      <c r="AY218" s="107" t="n">
        <v>0</v>
      </c>
      <c r="AZ218" s="107" t="n">
        <v>0</v>
      </c>
      <c r="BA218" s="107" t="n">
        <v>0</v>
      </c>
      <c r="BB218" s="107" t="n">
        <v>0</v>
      </c>
      <c r="BC218" s="107" t="n">
        <v>0</v>
      </c>
      <c r="BD218" s="107" t="n">
        <v>0</v>
      </c>
      <c r="BE218" s="107" t="n">
        <v>123821.53</v>
      </c>
      <c r="BF218" s="107" t="n">
        <v>168199166</v>
      </c>
      <c r="BG218" s="107" t="n">
        <v>0</v>
      </c>
      <c r="BH218" s="107" t="n">
        <v>0</v>
      </c>
      <c r="BI218" s="107" t="n">
        <v>15890060</v>
      </c>
      <c r="BJ218" s="107" t="n">
        <v>23989223582</v>
      </c>
      <c r="BK218" s="107" t="n">
        <v>0</v>
      </c>
      <c r="BL218" s="107" t="n">
        <v>0</v>
      </c>
      <c r="BM218" s="107" t="n">
        <v>0</v>
      </c>
      <c r="BN218" s="107" t="n">
        <v>0</v>
      </c>
      <c r="BO218" s="107" t="s">
        <v>361</v>
      </c>
      <c r="BP218" s="2"/>
      <c r="BQ218" s="107" t="s">
        <v>364</v>
      </c>
      <c r="BR218" s="107" t="n">
        <v>-2404166078</v>
      </c>
      <c r="BS218" s="107" t="n">
        <v>0</v>
      </c>
      <c r="BT218" s="107" t="n">
        <v>0</v>
      </c>
      <c r="BU218" s="107" t="n">
        <v>0</v>
      </c>
      <c r="BV218" s="107" t="n">
        <v>0</v>
      </c>
      <c r="BW218" s="107" t="n">
        <v>123821.53</v>
      </c>
      <c r="BX218" s="107" t="n">
        <v>168199166</v>
      </c>
      <c r="BY218" s="107" t="n">
        <v>0</v>
      </c>
      <c r="BZ218" s="107" t="n">
        <v>0</v>
      </c>
      <c r="CA218" s="107" t="n">
        <v>1509.7</v>
      </c>
      <c r="CB218" s="2"/>
      <c r="CC218" s="107" t="n">
        <v>0</v>
      </c>
      <c r="CD218" s="107" t="n">
        <v>98.32</v>
      </c>
      <c r="CE218" s="107" t="n">
        <v>98.25</v>
      </c>
      <c r="CF218" s="107" t="n">
        <v>98.32</v>
      </c>
      <c r="CG218" s="107" t="n">
        <v>0</v>
      </c>
      <c r="CH218" s="107" t="n">
        <v>2.5444</v>
      </c>
      <c r="CI218" s="107" t="n">
        <v>97.41</v>
      </c>
      <c r="CJ218" s="107" t="n">
        <v>97.47</v>
      </c>
      <c r="CK218" s="107" t="n">
        <v>97.38</v>
      </c>
      <c r="CL218" s="107" t="n">
        <v>0</v>
      </c>
    </row>
    <row r="219" customFormat="false" ht="15" hidden="false" customHeight="false" outlineLevel="0" collapsed="false">
      <c r="A219" s="107" t="s">
        <v>681</v>
      </c>
      <c r="B219" s="107" t="n">
        <v>98.9959</v>
      </c>
      <c r="C219" s="107" t="n">
        <v>5.7687</v>
      </c>
      <c r="D219" s="107" t="n">
        <v>2.4393</v>
      </c>
      <c r="E219" s="107" t="n">
        <v>-482.96139774</v>
      </c>
      <c r="F219" s="108" t="s">
        <v>358</v>
      </c>
      <c r="G219" s="107" t="n">
        <v>2.4393</v>
      </c>
      <c r="H219" s="107" t="n">
        <v>-482.96139774</v>
      </c>
      <c r="I219" s="109" t="n">
        <v>47301</v>
      </c>
      <c r="J219" s="107" t="n">
        <v>3</v>
      </c>
      <c r="K219" s="107" t="s">
        <v>359</v>
      </c>
      <c r="L219" s="107" t="s">
        <v>298</v>
      </c>
      <c r="M219" s="107" t="n">
        <v>4878600</v>
      </c>
      <c r="N219" s="107" t="n">
        <v>101.22</v>
      </c>
      <c r="O219" s="107" t="n">
        <v>1979918</v>
      </c>
      <c r="P219" s="107" t="s">
        <v>472</v>
      </c>
      <c r="Q219" s="107" t="s">
        <v>377</v>
      </c>
      <c r="R219" s="107" t="n">
        <v>-0.0866269677687622</v>
      </c>
      <c r="S219" s="107" t="n">
        <v>-0.0219729302509385</v>
      </c>
      <c r="T219" s="107" t="n">
        <v>-496.90002046</v>
      </c>
      <c r="U219" s="107" t="n">
        <v>21069</v>
      </c>
      <c r="V219" s="108" t="s">
        <v>362</v>
      </c>
      <c r="W219" s="107" t="n">
        <v>34578</v>
      </c>
      <c r="X219" s="108" t="s">
        <v>372</v>
      </c>
      <c r="Y219" s="107" t="s">
        <v>681</v>
      </c>
      <c r="Z219" s="107" t="s">
        <v>682</v>
      </c>
      <c r="AA219" s="109" t="n">
        <v>45505</v>
      </c>
      <c r="AB219" s="107" t="n">
        <v>240801000001</v>
      </c>
      <c r="AC219" s="109" t="n">
        <v>45475</v>
      </c>
      <c r="AD219" s="109" t="n">
        <v>47301</v>
      </c>
      <c r="AE219" s="107" t="n">
        <v>5.375</v>
      </c>
      <c r="AF219" s="107" t="n">
        <v>2.5074</v>
      </c>
      <c r="AG219" s="107" t="n">
        <v>1006</v>
      </c>
      <c r="AH219" s="107" t="n">
        <v>10000000</v>
      </c>
      <c r="AI219" s="107" t="n">
        <v>5.290291</v>
      </c>
      <c r="AJ219" s="107" t="n">
        <v>100.358</v>
      </c>
      <c r="AK219" s="107" t="n">
        <v>4.311849</v>
      </c>
      <c r="AL219" s="107" t="n">
        <v>104.041288</v>
      </c>
      <c r="AM219" s="107" t="n">
        <v>5.7166</v>
      </c>
      <c r="AN219" s="107" t="n">
        <v>99.1271</v>
      </c>
      <c r="AO219" s="107" t="n">
        <v>1358.4</v>
      </c>
      <c r="AP219" s="107" t="n">
        <v>1</v>
      </c>
      <c r="AQ219" s="107" t="n">
        <v>9912710</v>
      </c>
      <c r="AR219" s="107" t="n">
        <v>13465425264</v>
      </c>
      <c r="AS219" s="107" t="n">
        <v>10272740</v>
      </c>
      <c r="AT219" s="107" t="n">
        <v>14740354626</v>
      </c>
      <c r="AU219" s="107" t="n">
        <v>-360030</v>
      </c>
      <c r="AV219" s="107" t="n">
        <v>-489064752</v>
      </c>
      <c r="AW219" s="107" t="n">
        <v>0</v>
      </c>
      <c r="AX219" s="107" t="n">
        <v>0</v>
      </c>
      <c r="AY219" s="107" t="n">
        <v>0</v>
      </c>
      <c r="AZ219" s="107" t="n">
        <v>0</v>
      </c>
      <c r="BA219" s="107" t="n">
        <v>0</v>
      </c>
      <c r="BB219" s="107" t="n">
        <v>0</v>
      </c>
      <c r="BC219" s="107" t="n">
        <v>0</v>
      </c>
      <c r="BD219" s="107" t="n">
        <v>0</v>
      </c>
      <c r="BE219" s="107" t="n">
        <v>131388.89</v>
      </c>
      <c r="BF219" s="107" t="n">
        <v>178478668</v>
      </c>
      <c r="BG219" s="107" t="n">
        <v>0</v>
      </c>
      <c r="BH219" s="107" t="n">
        <v>0</v>
      </c>
      <c r="BI219" s="107" t="n">
        <v>10035800</v>
      </c>
      <c r="BJ219" s="107" t="n">
        <v>14402037723</v>
      </c>
      <c r="BK219" s="107" t="n">
        <v>0</v>
      </c>
      <c r="BL219" s="107" t="n">
        <v>0</v>
      </c>
      <c r="BM219" s="107" t="n">
        <v>0</v>
      </c>
      <c r="BN219" s="107" t="n">
        <v>0</v>
      </c>
      <c r="BO219" s="107" t="s">
        <v>107</v>
      </c>
      <c r="BP219" s="2"/>
      <c r="BQ219" s="107" t="s">
        <v>369</v>
      </c>
      <c r="BR219" s="107" t="n">
        <v>-785864610</v>
      </c>
      <c r="BS219" s="107" t="n">
        <v>0</v>
      </c>
      <c r="BT219" s="107" t="n">
        <v>0</v>
      </c>
      <c r="BU219" s="107" t="n">
        <v>236940</v>
      </c>
      <c r="BV219" s="107" t="n">
        <v>338316903</v>
      </c>
      <c r="BW219" s="107" t="n">
        <v>131388.89</v>
      </c>
      <c r="BX219" s="107" t="n">
        <v>178478668</v>
      </c>
      <c r="BY219" s="107" t="n">
        <v>0</v>
      </c>
      <c r="BZ219" s="107" t="n">
        <v>0</v>
      </c>
      <c r="CA219" s="107" t="n">
        <v>1434.9</v>
      </c>
      <c r="CB219" s="2"/>
      <c r="CC219" s="107" t="n">
        <v>0</v>
      </c>
      <c r="CD219" s="107" t="n">
        <v>99.13</v>
      </c>
      <c r="CE219" s="107" t="n">
        <v>99.1</v>
      </c>
      <c r="CF219" s="107" t="n">
        <v>99.15</v>
      </c>
      <c r="CG219" s="107" t="n">
        <v>3100000</v>
      </c>
      <c r="CH219" s="107" t="n">
        <v>2.4377</v>
      </c>
      <c r="CI219" s="107" t="n">
        <v>97.41</v>
      </c>
      <c r="CJ219" s="107" t="n">
        <v>97.47</v>
      </c>
      <c r="CK219" s="107" t="n">
        <v>97.38</v>
      </c>
      <c r="CL219" s="107" t="n">
        <v>0</v>
      </c>
    </row>
    <row r="220" customFormat="false" ht="15" hidden="false" customHeight="false" outlineLevel="0" collapsed="false">
      <c r="A220" s="107" t="s">
        <v>681</v>
      </c>
      <c r="B220" s="107" t="n">
        <v>98.9959</v>
      </c>
      <c r="C220" s="107" t="n">
        <v>5.7687</v>
      </c>
      <c r="D220" s="107" t="n">
        <v>2.4393</v>
      </c>
      <c r="E220" s="107" t="n">
        <v>-241.48069887</v>
      </c>
      <c r="F220" s="108" t="s">
        <v>358</v>
      </c>
      <c r="G220" s="107" t="n">
        <v>2.4393</v>
      </c>
      <c r="H220" s="107" t="n">
        <v>-241.48069887</v>
      </c>
      <c r="I220" s="109" t="n">
        <v>47301</v>
      </c>
      <c r="J220" s="107" t="n">
        <v>3</v>
      </c>
      <c r="K220" s="107" t="s">
        <v>359</v>
      </c>
      <c r="L220" s="107" t="s">
        <v>298</v>
      </c>
      <c r="M220" s="107" t="n">
        <v>2439300</v>
      </c>
      <c r="N220" s="107" t="n">
        <v>101.33</v>
      </c>
      <c r="O220" s="107" t="n">
        <v>989959</v>
      </c>
      <c r="P220" s="107" t="s">
        <v>472</v>
      </c>
      <c r="Q220" s="107" t="s">
        <v>377</v>
      </c>
      <c r="R220" s="107" t="n">
        <v>-0.0866269680785828</v>
      </c>
      <c r="S220" s="107" t="n">
        <v>-0.0230346392973453</v>
      </c>
      <c r="T220" s="107" t="n">
        <v>-248.45001023</v>
      </c>
      <c r="U220" s="107" t="n">
        <v>21069</v>
      </c>
      <c r="V220" s="108" t="s">
        <v>362</v>
      </c>
      <c r="W220" s="107" t="n">
        <v>34578</v>
      </c>
      <c r="X220" s="108" t="s">
        <v>372</v>
      </c>
      <c r="Y220" s="107" t="s">
        <v>681</v>
      </c>
      <c r="Z220" s="107" t="s">
        <v>682</v>
      </c>
      <c r="AA220" s="109" t="n">
        <v>45505</v>
      </c>
      <c r="AB220" s="107" t="n">
        <v>240801000002</v>
      </c>
      <c r="AC220" s="109" t="n">
        <v>45475</v>
      </c>
      <c r="AD220" s="109" t="n">
        <v>47301</v>
      </c>
      <c r="AE220" s="107" t="n">
        <v>5.375</v>
      </c>
      <c r="AF220" s="107" t="n">
        <v>2.5074</v>
      </c>
      <c r="AG220" s="107" t="n">
        <v>1006</v>
      </c>
      <c r="AH220" s="107" t="n">
        <v>3000000</v>
      </c>
      <c r="AI220" s="107" t="n">
        <v>5.28843</v>
      </c>
      <c r="AJ220" s="107" t="n">
        <v>100.366</v>
      </c>
      <c r="AK220" s="107" t="n">
        <v>4.311849</v>
      </c>
      <c r="AL220" s="107" t="n">
        <v>104.041289</v>
      </c>
      <c r="AM220" s="107" t="n">
        <v>5.7166</v>
      </c>
      <c r="AN220" s="107" t="n">
        <v>99.1271</v>
      </c>
      <c r="AO220" s="107" t="n">
        <v>1358.4</v>
      </c>
      <c r="AP220" s="107" t="n">
        <v>1</v>
      </c>
      <c r="AQ220" s="107" t="n">
        <v>2973813</v>
      </c>
      <c r="AR220" s="107" t="n">
        <v>4039627579</v>
      </c>
      <c r="AS220" s="107" t="n">
        <v>3081822</v>
      </c>
      <c r="AT220" s="107" t="n">
        <v>4422106388</v>
      </c>
      <c r="AU220" s="107" t="n">
        <v>-108009</v>
      </c>
      <c r="AV220" s="107" t="n">
        <v>-146719426</v>
      </c>
      <c r="AW220" s="107" t="n">
        <v>0</v>
      </c>
      <c r="AX220" s="107" t="n">
        <v>0</v>
      </c>
      <c r="AY220" s="107" t="n">
        <v>0</v>
      </c>
      <c r="AZ220" s="107" t="n">
        <v>0</v>
      </c>
      <c r="BA220" s="107" t="n">
        <v>0</v>
      </c>
      <c r="BB220" s="107" t="n">
        <v>0</v>
      </c>
      <c r="BC220" s="107" t="n">
        <v>0</v>
      </c>
      <c r="BD220" s="107" t="n">
        <v>0</v>
      </c>
      <c r="BE220" s="107" t="n">
        <v>39416.67</v>
      </c>
      <c r="BF220" s="107" t="n">
        <v>53543604</v>
      </c>
      <c r="BG220" s="107" t="n">
        <v>0</v>
      </c>
      <c r="BH220" s="107" t="n">
        <v>0</v>
      </c>
      <c r="BI220" s="107" t="n">
        <v>3010980</v>
      </c>
      <c r="BJ220" s="107" t="n">
        <v>4320964117</v>
      </c>
      <c r="BK220" s="107" t="n">
        <v>0</v>
      </c>
      <c r="BL220" s="107" t="n">
        <v>0</v>
      </c>
      <c r="BM220" s="107" t="n">
        <v>0</v>
      </c>
      <c r="BN220" s="107" t="n">
        <v>0</v>
      </c>
      <c r="BO220" s="107" t="s">
        <v>107</v>
      </c>
      <c r="BP220" s="2"/>
      <c r="BQ220" s="107" t="s">
        <v>369</v>
      </c>
      <c r="BR220" s="107" t="n">
        <v>-235759383</v>
      </c>
      <c r="BS220" s="107" t="n">
        <v>0</v>
      </c>
      <c r="BT220" s="107" t="n">
        <v>0</v>
      </c>
      <c r="BU220" s="107" t="n">
        <v>70842</v>
      </c>
      <c r="BV220" s="107" t="n">
        <v>101142271</v>
      </c>
      <c r="BW220" s="107" t="n">
        <v>39416.67</v>
      </c>
      <c r="BX220" s="107" t="n">
        <v>53543604</v>
      </c>
      <c r="BY220" s="107" t="n">
        <v>0</v>
      </c>
      <c r="BZ220" s="107" t="n">
        <v>0</v>
      </c>
      <c r="CA220" s="107" t="n">
        <v>1434.9</v>
      </c>
      <c r="CB220" s="2"/>
      <c r="CC220" s="107" t="n">
        <v>0</v>
      </c>
      <c r="CD220" s="107" t="n">
        <v>99.13</v>
      </c>
      <c r="CE220" s="107" t="n">
        <v>99.1</v>
      </c>
      <c r="CF220" s="107" t="n">
        <v>99.15</v>
      </c>
      <c r="CG220" s="107" t="n">
        <v>0</v>
      </c>
      <c r="CH220" s="107" t="n">
        <v>2.4377</v>
      </c>
      <c r="CI220" s="107" t="n">
        <v>101.78</v>
      </c>
      <c r="CJ220" s="107" t="n">
        <v>101.78</v>
      </c>
      <c r="CK220" s="107" t="n">
        <v>101.89</v>
      </c>
      <c r="CL220" s="107" t="n">
        <v>0</v>
      </c>
    </row>
    <row r="221" customFormat="false" ht="15" hidden="false" customHeight="false" outlineLevel="0" collapsed="false">
      <c r="A221" s="107" t="s">
        <v>681</v>
      </c>
      <c r="B221" s="107" t="n">
        <v>98.9959</v>
      </c>
      <c r="C221" s="107" t="n">
        <v>5.7687</v>
      </c>
      <c r="D221" s="107" t="n">
        <v>2.4393</v>
      </c>
      <c r="E221" s="107" t="n">
        <v>-14005.88053446</v>
      </c>
      <c r="F221" s="108" t="s">
        <v>358</v>
      </c>
      <c r="G221" s="107" t="n">
        <v>2.4393</v>
      </c>
      <c r="H221" s="107" t="n">
        <v>-14005.88053446</v>
      </c>
      <c r="I221" s="109" t="n">
        <v>47301</v>
      </c>
      <c r="J221" s="107" t="n">
        <v>3</v>
      </c>
      <c r="K221" s="107" t="s">
        <v>359</v>
      </c>
      <c r="L221" s="107" t="s">
        <v>298</v>
      </c>
      <c r="M221" s="107" t="n">
        <v>141479400</v>
      </c>
      <c r="N221" s="107" t="n">
        <v>100.4689</v>
      </c>
      <c r="O221" s="107" t="n">
        <v>57417622</v>
      </c>
      <c r="P221" s="107" t="s">
        <v>472</v>
      </c>
      <c r="Q221" s="107" t="s">
        <v>377</v>
      </c>
      <c r="R221" s="107" t="n">
        <v>-0.086626967832863</v>
      </c>
      <c r="S221" s="107" t="n">
        <v>-0.0146612533828876</v>
      </c>
      <c r="T221" s="107" t="n">
        <v>-14410.10059334</v>
      </c>
      <c r="U221" s="107" t="n">
        <v>21069</v>
      </c>
      <c r="V221" s="108" t="s">
        <v>362</v>
      </c>
      <c r="W221" s="107" t="n">
        <v>34578</v>
      </c>
      <c r="X221" s="108" t="s">
        <v>372</v>
      </c>
      <c r="Y221" s="107" t="s">
        <v>681</v>
      </c>
      <c r="Z221" s="107" t="s">
        <v>682</v>
      </c>
      <c r="AA221" s="109" t="n">
        <v>45509</v>
      </c>
      <c r="AB221" s="107" t="n">
        <v>240805000001</v>
      </c>
      <c r="AC221" s="109" t="n">
        <v>45475</v>
      </c>
      <c r="AD221" s="109" t="n">
        <v>47301</v>
      </c>
      <c r="AE221" s="107" t="n">
        <v>5.375</v>
      </c>
      <c r="AF221" s="107" t="n">
        <v>2.5074</v>
      </c>
      <c r="AG221" s="107" t="n">
        <v>1006</v>
      </c>
      <c r="AH221" s="107" t="n">
        <v>2000000</v>
      </c>
      <c r="AI221" s="107" t="n">
        <v>5.0898</v>
      </c>
      <c r="AJ221" s="107" t="n">
        <v>101.22</v>
      </c>
      <c r="AK221" s="107" t="n">
        <v>4.311849</v>
      </c>
      <c r="AL221" s="107" t="n">
        <v>104.041289</v>
      </c>
      <c r="AM221" s="107" t="n">
        <v>5.7166</v>
      </c>
      <c r="AN221" s="107" t="n">
        <v>99.1271</v>
      </c>
      <c r="AO221" s="107" t="n">
        <v>1358.4</v>
      </c>
      <c r="AP221" s="107" t="n">
        <v>1</v>
      </c>
      <c r="AQ221" s="107" t="n">
        <v>1982542</v>
      </c>
      <c r="AR221" s="107" t="n">
        <v>2693085053</v>
      </c>
      <c r="AS221" s="107" t="n">
        <v>2054548</v>
      </c>
      <c r="AT221" s="107" t="n">
        <v>2948070925</v>
      </c>
      <c r="AU221" s="107" t="n">
        <v>-72006</v>
      </c>
      <c r="AV221" s="107" t="n">
        <v>-97812950</v>
      </c>
      <c r="AW221" s="107" t="n">
        <v>0</v>
      </c>
      <c r="AX221" s="107" t="n">
        <v>0</v>
      </c>
      <c r="AY221" s="107" t="n">
        <v>0</v>
      </c>
      <c r="AZ221" s="107" t="n">
        <v>0</v>
      </c>
      <c r="BA221" s="107" t="n">
        <v>0</v>
      </c>
      <c r="BB221" s="107" t="n">
        <v>0</v>
      </c>
      <c r="BC221" s="107" t="n">
        <v>0</v>
      </c>
      <c r="BD221" s="107" t="n">
        <v>0</v>
      </c>
      <c r="BE221" s="107" t="n">
        <v>26277.78</v>
      </c>
      <c r="BF221" s="107" t="n">
        <v>35695736</v>
      </c>
      <c r="BG221" s="107" t="n">
        <v>0</v>
      </c>
      <c r="BH221" s="107" t="n">
        <v>0</v>
      </c>
      <c r="BI221" s="107" t="n">
        <v>2024400</v>
      </c>
      <c r="BJ221" s="107" t="n">
        <v>2905750345</v>
      </c>
      <c r="BK221" s="107" t="n">
        <v>0</v>
      </c>
      <c r="BL221" s="107" t="n">
        <v>0</v>
      </c>
      <c r="BM221" s="107" t="n">
        <v>0</v>
      </c>
      <c r="BN221" s="107" t="n">
        <v>0</v>
      </c>
      <c r="BO221" s="107" t="s">
        <v>107</v>
      </c>
      <c r="BP221" s="2"/>
      <c r="BQ221" s="107" t="s">
        <v>369</v>
      </c>
      <c r="BR221" s="107" t="n">
        <v>-157172922</v>
      </c>
      <c r="BS221" s="107" t="n">
        <v>0</v>
      </c>
      <c r="BT221" s="107" t="n">
        <v>0</v>
      </c>
      <c r="BU221" s="107" t="n">
        <v>30148</v>
      </c>
      <c r="BV221" s="107" t="n">
        <v>42320580</v>
      </c>
      <c r="BW221" s="107" t="n">
        <v>26277.78</v>
      </c>
      <c r="BX221" s="107" t="n">
        <v>35695736</v>
      </c>
      <c r="BY221" s="107" t="n">
        <v>0</v>
      </c>
      <c r="BZ221" s="107" t="n">
        <v>0</v>
      </c>
      <c r="CA221" s="107" t="n">
        <v>1434.9</v>
      </c>
      <c r="CB221" s="2"/>
      <c r="CC221" s="107" t="n">
        <v>0</v>
      </c>
      <c r="CD221" s="107" t="n">
        <v>99.13</v>
      </c>
      <c r="CE221" s="107" t="n">
        <v>99.1</v>
      </c>
      <c r="CF221" s="107" t="n">
        <v>99.15</v>
      </c>
      <c r="CG221" s="107" t="n">
        <v>0</v>
      </c>
      <c r="CH221" s="107" t="n">
        <v>2.4377</v>
      </c>
      <c r="CI221" s="107" t="n">
        <v>96.86</v>
      </c>
      <c r="CJ221" s="107" t="n">
        <v>96.97</v>
      </c>
      <c r="CK221" s="107" t="n">
        <v>97.03</v>
      </c>
      <c r="CL221" s="107" t="n">
        <v>5000000</v>
      </c>
    </row>
    <row r="222" customFormat="false" ht="15" hidden="false" customHeight="false" outlineLevel="0" collapsed="false">
      <c r="A222" s="107" t="s">
        <v>681</v>
      </c>
      <c r="B222" s="107" t="n">
        <v>98.9959</v>
      </c>
      <c r="C222" s="107" t="n">
        <v>5.7687</v>
      </c>
      <c r="D222" s="107" t="n">
        <v>2.4393</v>
      </c>
      <c r="E222" s="107" t="n">
        <v>-724.44209661</v>
      </c>
      <c r="F222" s="108" t="s">
        <v>358</v>
      </c>
      <c r="G222" s="107" t="n">
        <v>2.4393</v>
      </c>
      <c r="H222" s="107" t="n">
        <v>-724.44209661</v>
      </c>
      <c r="I222" s="109" t="n">
        <v>47301</v>
      </c>
      <c r="J222" s="107" t="n">
        <v>3</v>
      </c>
      <c r="K222" s="107" t="s">
        <v>359</v>
      </c>
      <c r="L222" s="107" t="s">
        <v>298</v>
      </c>
      <c r="M222" s="107" t="n">
        <v>7317900</v>
      </c>
      <c r="N222" s="107" t="n">
        <v>100.383</v>
      </c>
      <c r="O222" s="107" t="n">
        <v>2969877</v>
      </c>
      <c r="P222" s="107" t="s">
        <v>472</v>
      </c>
      <c r="Q222" s="107" t="s">
        <v>377</v>
      </c>
      <c r="R222" s="107" t="n">
        <v>-0.0866269678720357</v>
      </c>
      <c r="S222" s="107" t="n">
        <v>-0.0138180767659861</v>
      </c>
      <c r="T222" s="107" t="n">
        <v>-745.35003069</v>
      </c>
      <c r="U222" s="107" t="n">
        <v>21069</v>
      </c>
      <c r="V222" s="108" t="s">
        <v>362</v>
      </c>
      <c r="W222" s="107" t="n">
        <v>34578</v>
      </c>
      <c r="X222" s="108" t="s">
        <v>372</v>
      </c>
      <c r="Y222" s="107" t="s">
        <v>681</v>
      </c>
      <c r="Z222" s="107" t="s">
        <v>682</v>
      </c>
      <c r="AA222" s="109" t="n">
        <v>45511</v>
      </c>
      <c r="AB222" s="107" t="n">
        <v>240807000001</v>
      </c>
      <c r="AC222" s="109" t="n">
        <v>45475</v>
      </c>
      <c r="AD222" s="109" t="n">
        <v>47301</v>
      </c>
      <c r="AE222" s="107" t="n">
        <v>5.375</v>
      </c>
      <c r="AF222" s="107" t="n">
        <v>2.5074</v>
      </c>
      <c r="AG222" s="107" t="n">
        <v>1006</v>
      </c>
      <c r="AH222" s="107" t="n">
        <v>1000000</v>
      </c>
      <c r="AI222" s="107" t="n">
        <v>5.06403</v>
      </c>
      <c r="AJ222" s="107" t="n">
        <v>101.33</v>
      </c>
      <c r="AK222" s="107" t="n">
        <v>4.311849</v>
      </c>
      <c r="AL222" s="107" t="n">
        <v>104.041289</v>
      </c>
      <c r="AM222" s="107" t="n">
        <v>5.7166</v>
      </c>
      <c r="AN222" s="107" t="n">
        <v>99.1271</v>
      </c>
      <c r="AO222" s="107" t="n">
        <v>1358.4</v>
      </c>
      <c r="AP222" s="107" t="n">
        <v>1</v>
      </c>
      <c r="AQ222" s="107" t="n">
        <v>991271</v>
      </c>
      <c r="AR222" s="107" t="n">
        <v>1346542526</v>
      </c>
      <c r="AS222" s="107" t="n">
        <v>1027274</v>
      </c>
      <c r="AT222" s="107" t="n">
        <v>1474035463</v>
      </c>
      <c r="AU222" s="107" t="n">
        <v>-36003</v>
      </c>
      <c r="AV222" s="107" t="n">
        <v>-48906476</v>
      </c>
      <c r="AW222" s="107" t="n">
        <v>0</v>
      </c>
      <c r="AX222" s="107" t="n">
        <v>0</v>
      </c>
      <c r="AY222" s="107" t="n">
        <v>0</v>
      </c>
      <c r="AZ222" s="107" t="n">
        <v>0</v>
      </c>
      <c r="BA222" s="107" t="n">
        <v>0</v>
      </c>
      <c r="BB222" s="107" t="n">
        <v>0</v>
      </c>
      <c r="BC222" s="107" t="n">
        <v>0</v>
      </c>
      <c r="BD222" s="107" t="n">
        <v>0</v>
      </c>
      <c r="BE222" s="107" t="n">
        <v>13138.89</v>
      </c>
      <c r="BF222" s="107" t="n">
        <v>17847868</v>
      </c>
      <c r="BG222" s="107" t="n">
        <v>0</v>
      </c>
      <c r="BH222" s="107" t="n">
        <v>0</v>
      </c>
      <c r="BI222" s="107" t="n">
        <v>1013300</v>
      </c>
      <c r="BJ222" s="107" t="n">
        <v>1454492172</v>
      </c>
      <c r="BK222" s="107" t="n">
        <v>0</v>
      </c>
      <c r="BL222" s="107" t="n">
        <v>0</v>
      </c>
      <c r="BM222" s="107" t="n">
        <v>0</v>
      </c>
      <c r="BN222" s="107" t="n">
        <v>0</v>
      </c>
      <c r="BO222" s="107" t="s">
        <v>107</v>
      </c>
      <c r="BP222" s="2"/>
      <c r="BQ222" s="107" t="s">
        <v>369</v>
      </c>
      <c r="BR222" s="107" t="n">
        <v>-78586461</v>
      </c>
      <c r="BS222" s="107" t="n">
        <v>0</v>
      </c>
      <c r="BT222" s="107" t="n">
        <v>0</v>
      </c>
      <c r="BU222" s="107" t="n">
        <v>13974</v>
      </c>
      <c r="BV222" s="107" t="n">
        <v>19543291</v>
      </c>
      <c r="BW222" s="107" t="n">
        <v>13138.89</v>
      </c>
      <c r="BX222" s="107" t="n">
        <v>17847868</v>
      </c>
      <c r="BY222" s="107" t="n">
        <v>0</v>
      </c>
      <c r="BZ222" s="107" t="n">
        <v>0</v>
      </c>
      <c r="CA222" s="107" t="n">
        <v>1434.9</v>
      </c>
      <c r="CB222" s="2"/>
      <c r="CC222" s="107" t="n">
        <v>0</v>
      </c>
      <c r="CD222" s="107" t="n">
        <v>99.13</v>
      </c>
      <c r="CE222" s="107" t="n">
        <v>99.1</v>
      </c>
      <c r="CF222" s="107" t="n">
        <v>99.15</v>
      </c>
      <c r="CG222" s="107" t="n">
        <v>0</v>
      </c>
      <c r="CH222" s="107" t="n">
        <v>2.4377</v>
      </c>
      <c r="CI222" s="107" t="n">
        <v>96.86</v>
      </c>
      <c r="CJ222" s="107" t="n">
        <v>96.97</v>
      </c>
      <c r="CK222" s="107" t="n">
        <v>97.03</v>
      </c>
      <c r="CL222" s="107" t="n">
        <v>5000000</v>
      </c>
    </row>
    <row r="223" customFormat="false" ht="15" hidden="false" customHeight="false" outlineLevel="0" collapsed="false">
      <c r="A223" s="107" t="s">
        <v>681</v>
      </c>
      <c r="B223" s="107" t="n">
        <v>98.9959</v>
      </c>
      <c r="C223" s="107" t="n">
        <v>5.7687</v>
      </c>
      <c r="D223" s="107" t="n">
        <v>2.4393</v>
      </c>
      <c r="E223" s="107" t="n">
        <v>-482.96139774</v>
      </c>
      <c r="F223" s="108" t="s">
        <v>358</v>
      </c>
      <c r="G223" s="107" t="n">
        <v>2.4393</v>
      </c>
      <c r="H223" s="107" t="n">
        <v>-482.96139774</v>
      </c>
      <c r="I223" s="109" t="n">
        <v>47301</v>
      </c>
      <c r="J223" s="107" t="n">
        <v>3</v>
      </c>
      <c r="K223" s="107" t="s">
        <v>359</v>
      </c>
      <c r="L223" s="107" t="s">
        <v>298</v>
      </c>
      <c r="M223" s="107" t="n">
        <v>4878600</v>
      </c>
      <c r="N223" s="107" t="n">
        <v>100.73</v>
      </c>
      <c r="O223" s="107" t="n">
        <v>1979918</v>
      </c>
      <c r="P223" s="107" t="s">
        <v>472</v>
      </c>
      <c r="Q223" s="107" t="s">
        <v>377</v>
      </c>
      <c r="R223" s="107" t="n">
        <v>-0.0866269677687622</v>
      </c>
      <c r="S223" s="107" t="n">
        <v>-0.0172153281048347</v>
      </c>
      <c r="T223" s="107" t="n">
        <v>-496.90002046</v>
      </c>
      <c r="U223" s="107" t="n">
        <v>21069</v>
      </c>
      <c r="V223" s="108" t="s">
        <v>362</v>
      </c>
      <c r="W223" s="107" t="n">
        <v>34578</v>
      </c>
      <c r="X223" s="108" t="s">
        <v>372</v>
      </c>
      <c r="Y223" s="107" t="s">
        <v>681</v>
      </c>
      <c r="Z223" s="107" t="s">
        <v>682</v>
      </c>
      <c r="AA223" s="109" t="n">
        <v>45618</v>
      </c>
      <c r="AB223" s="107" t="n">
        <v>241122000001</v>
      </c>
      <c r="AC223" s="109" t="n">
        <v>45475</v>
      </c>
      <c r="AD223" s="109" t="n">
        <v>47301</v>
      </c>
      <c r="AE223" s="107" t="n">
        <v>5.375</v>
      </c>
      <c r="AF223" s="107" t="n">
        <v>2.5074</v>
      </c>
      <c r="AG223" s="107" t="n">
        <v>1006</v>
      </c>
      <c r="AH223" s="107" t="n">
        <v>58000000</v>
      </c>
      <c r="AI223" s="107" t="n">
        <v>5.257</v>
      </c>
      <c r="AJ223" s="107" t="n">
        <v>100.4689</v>
      </c>
      <c r="AK223" s="107" t="n">
        <v>4.311849</v>
      </c>
      <c r="AL223" s="107" t="n">
        <v>104.041288</v>
      </c>
      <c r="AM223" s="107" t="n">
        <v>5.7166</v>
      </c>
      <c r="AN223" s="107" t="n">
        <v>99.1271</v>
      </c>
      <c r="AO223" s="107" t="n">
        <v>1358.4</v>
      </c>
      <c r="AP223" s="107" t="n">
        <v>1</v>
      </c>
      <c r="AQ223" s="107" t="n">
        <v>57493718</v>
      </c>
      <c r="AR223" s="107" t="n">
        <v>78099466531</v>
      </c>
      <c r="AS223" s="107" t="n">
        <v>59581892</v>
      </c>
      <c r="AT223" s="107" t="n">
        <v>85494056831</v>
      </c>
      <c r="AU223" s="107" t="n">
        <v>-2088174</v>
      </c>
      <c r="AV223" s="107" t="n">
        <v>-2836575562</v>
      </c>
      <c r="AW223" s="107" t="n">
        <v>0</v>
      </c>
      <c r="AX223" s="107" t="n">
        <v>0</v>
      </c>
      <c r="AY223" s="107" t="n">
        <v>0</v>
      </c>
      <c r="AZ223" s="107" t="n">
        <v>0</v>
      </c>
      <c r="BA223" s="107" t="n">
        <v>0</v>
      </c>
      <c r="BB223" s="107" t="n">
        <v>0</v>
      </c>
      <c r="BC223" s="107" t="n">
        <v>0</v>
      </c>
      <c r="BD223" s="107" t="n">
        <v>0</v>
      </c>
      <c r="BE223" s="107" t="n">
        <v>762055.56</v>
      </c>
      <c r="BF223" s="107" t="n">
        <v>1035176272</v>
      </c>
      <c r="BG223" s="107" t="n">
        <v>0</v>
      </c>
      <c r="BH223" s="107" t="n">
        <v>0</v>
      </c>
      <c r="BI223" s="107" t="n">
        <v>58271962</v>
      </c>
      <c r="BJ223" s="107" t="n">
        <v>83626372133</v>
      </c>
      <c r="BK223" s="107" t="n">
        <v>0</v>
      </c>
      <c r="BL223" s="107" t="n">
        <v>0</v>
      </c>
      <c r="BM223" s="107" t="n">
        <v>0</v>
      </c>
      <c r="BN223" s="107" t="n">
        <v>0</v>
      </c>
      <c r="BO223" s="107" t="s">
        <v>107</v>
      </c>
      <c r="BP223" s="2"/>
      <c r="BQ223" s="107" t="s">
        <v>369</v>
      </c>
      <c r="BR223" s="107" t="n">
        <v>-4558014738</v>
      </c>
      <c r="BS223" s="107" t="n">
        <v>0</v>
      </c>
      <c r="BT223" s="107" t="n">
        <v>0</v>
      </c>
      <c r="BU223" s="107" t="n">
        <v>1309930</v>
      </c>
      <c r="BV223" s="107" t="n">
        <v>1867684698</v>
      </c>
      <c r="BW223" s="107" t="n">
        <v>762055.56</v>
      </c>
      <c r="BX223" s="107" t="n">
        <v>1035176272</v>
      </c>
      <c r="BY223" s="107" t="n">
        <v>0</v>
      </c>
      <c r="BZ223" s="107" t="n">
        <v>0</v>
      </c>
      <c r="CA223" s="107" t="n">
        <v>1434.9</v>
      </c>
      <c r="CB223" s="2"/>
      <c r="CC223" s="107" t="n">
        <v>0</v>
      </c>
      <c r="CD223" s="107" t="n">
        <v>99.13</v>
      </c>
      <c r="CE223" s="107" t="n">
        <v>99.1</v>
      </c>
      <c r="CF223" s="107" t="n">
        <v>99.15</v>
      </c>
      <c r="CG223" s="107" t="n">
        <v>0</v>
      </c>
      <c r="CH223" s="107" t="n">
        <v>2.4377</v>
      </c>
      <c r="CI223" s="107" t="n">
        <v>89.39</v>
      </c>
      <c r="CJ223" s="107" t="n">
        <v>89.42</v>
      </c>
      <c r="CK223" s="107" t="n">
        <v>89.49</v>
      </c>
      <c r="CL223" s="107" t="n">
        <v>5000000</v>
      </c>
    </row>
    <row r="224" customFormat="false" ht="15" hidden="false" customHeight="false" outlineLevel="0" collapsed="false">
      <c r="A224" s="107" t="s">
        <v>681</v>
      </c>
      <c r="B224" s="107" t="n">
        <v>98.9959</v>
      </c>
      <c r="C224" s="107" t="n">
        <v>5.7687</v>
      </c>
      <c r="D224" s="107" t="n">
        <v>2.4393</v>
      </c>
      <c r="E224" s="107" t="n">
        <v>-2414.8069887</v>
      </c>
      <c r="F224" s="108" t="s">
        <v>358</v>
      </c>
      <c r="G224" s="107" t="n">
        <v>2.4393</v>
      </c>
      <c r="H224" s="107" t="n">
        <v>-2414.8069887</v>
      </c>
      <c r="I224" s="109" t="n">
        <v>47301</v>
      </c>
      <c r="J224" s="107" t="n">
        <v>3</v>
      </c>
      <c r="K224" s="107" t="s">
        <v>359</v>
      </c>
      <c r="L224" s="107" t="s">
        <v>298</v>
      </c>
      <c r="M224" s="107" t="n">
        <v>24393000</v>
      </c>
      <c r="N224" s="107" t="n">
        <v>100.83</v>
      </c>
      <c r="O224" s="107" t="n">
        <v>9899590</v>
      </c>
      <c r="P224" s="107" t="s">
        <v>472</v>
      </c>
      <c r="Q224" s="107" t="s">
        <v>377</v>
      </c>
      <c r="R224" s="107" t="n">
        <v>-0.0866269678307263</v>
      </c>
      <c r="S224" s="107" t="n">
        <v>-0.0181900228106714</v>
      </c>
      <c r="T224" s="107" t="n">
        <v>-2484.5001023</v>
      </c>
      <c r="U224" s="107" t="n">
        <v>21069</v>
      </c>
      <c r="V224" s="108" t="s">
        <v>362</v>
      </c>
      <c r="W224" s="107" t="n">
        <v>34578</v>
      </c>
      <c r="X224" s="108" t="s">
        <v>372</v>
      </c>
      <c r="Y224" s="107" t="s">
        <v>681</v>
      </c>
      <c r="Z224" s="107" t="s">
        <v>682</v>
      </c>
      <c r="AA224" s="109" t="n">
        <v>45621</v>
      </c>
      <c r="AB224" s="107" t="n">
        <v>241125000001</v>
      </c>
      <c r="AC224" s="109" t="n">
        <v>45475</v>
      </c>
      <c r="AD224" s="109" t="n">
        <v>47301</v>
      </c>
      <c r="AE224" s="107" t="n">
        <v>5.375</v>
      </c>
      <c r="AF224" s="107" t="n">
        <v>2.5074</v>
      </c>
      <c r="AG224" s="107" t="n">
        <v>1006</v>
      </c>
      <c r="AH224" s="107" t="n">
        <v>3000000</v>
      </c>
      <c r="AI224" s="107" t="n">
        <v>5.27876</v>
      </c>
      <c r="AJ224" s="107" t="n">
        <v>100.383</v>
      </c>
      <c r="AK224" s="107" t="n">
        <v>4.311849</v>
      </c>
      <c r="AL224" s="107" t="n">
        <v>104.041289</v>
      </c>
      <c r="AM224" s="107" t="n">
        <v>5.7166</v>
      </c>
      <c r="AN224" s="107" t="n">
        <v>99.1271</v>
      </c>
      <c r="AO224" s="107" t="n">
        <v>1358.4</v>
      </c>
      <c r="AP224" s="107" t="n">
        <v>1</v>
      </c>
      <c r="AQ224" s="107" t="n">
        <v>2973813</v>
      </c>
      <c r="AR224" s="107" t="n">
        <v>4039627579</v>
      </c>
      <c r="AS224" s="107" t="n">
        <v>3081822</v>
      </c>
      <c r="AT224" s="107" t="n">
        <v>4422106388</v>
      </c>
      <c r="AU224" s="107" t="n">
        <v>-108009</v>
      </c>
      <c r="AV224" s="107" t="n">
        <v>-146719426</v>
      </c>
      <c r="AW224" s="107" t="n">
        <v>0</v>
      </c>
      <c r="AX224" s="107" t="n">
        <v>0</v>
      </c>
      <c r="AY224" s="107" t="n">
        <v>0</v>
      </c>
      <c r="AZ224" s="107" t="n">
        <v>0</v>
      </c>
      <c r="BA224" s="107" t="n">
        <v>0</v>
      </c>
      <c r="BB224" s="107" t="n">
        <v>0</v>
      </c>
      <c r="BC224" s="107" t="n">
        <v>0</v>
      </c>
      <c r="BD224" s="107" t="n">
        <v>0</v>
      </c>
      <c r="BE224" s="107" t="n">
        <v>39416.67</v>
      </c>
      <c r="BF224" s="107" t="n">
        <v>53543604</v>
      </c>
      <c r="BG224" s="107" t="n">
        <v>0</v>
      </c>
      <c r="BH224" s="107" t="n">
        <v>0</v>
      </c>
      <c r="BI224" s="107" t="n">
        <v>3011490</v>
      </c>
      <c r="BJ224" s="107" t="n">
        <v>4321713817</v>
      </c>
      <c r="BK224" s="107" t="n">
        <v>0</v>
      </c>
      <c r="BL224" s="107" t="n">
        <v>0</v>
      </c>
      <c r="BM224" s="107" t="n">
        <v>0</v>
      </c>
      <c r="BN224" s="107" t="n">
        <v>0</v>
      </c>
      <c r="BO224" s="107" t="s">
        <v>107</v>
      </c>
      <c r="BP224" s="2"/>
      <c r="BQ224" s="107" t="s">
        <v>369</v>
      </c>
      <c r="BR224" s="107" t="n">
        <v>-235759383</v>
      </c>
      <c r="BS224" s="107" t="n">
        <v>0</v>
      </c>
      <c r="BT224" s="107" t="n">
        <v>0</v>
      </c>
      <c r="BU224" s="107" t="n">
        <v>70332</v>
      </c>
      <c r="BV224" s="107" t="n">
        <v>100392571</v>
      </c>
      <c r="BW224" s="107" t="n">
        <v>39416.67</v>
      </c>
      <c r="BX224" s="107" t="n">
        <v>53543604</v>
      </c>
      <c r="BY224" s="107" t="n">
        <v>0</v>
      </c>
      <c r="BZ224" s="107" t="n">
        <v>0</v>
      </c>
      <c r="CA224" s="107" t="n">
        <v>1434.9</v>
      </c>
      <c r="CB224" s="2"/>
      <c r="CC224" s="107" t="n">
        <v>0</v>
      </c>
      <c r="CD224" s="107" t="n">
        <v>99.13</v>
      </c>
      <c r="CE224" s="107" t="n">
        <v>99.1</v>
      </c>
      <c r="CF224" s="107" t="n">
        <v>99.15</v>
      </c>
      <c r="CG224" s="107" t="n">
        <v>0</v>
      </c>
      <c r="CH224" s="107" t="n">
        <v>2.4377</v>
      </c>
      <c r="CI224" s="107" t="n">
        <v>91.17</v>
      </c>
      <c r="CJ224" s="107" t="n">
        <v>91.16</v>
      </c>
      <c r="CK224" s="107" t="n">
        <v>91.16</v>
      </c>
      <c r="CL224" s="107" t="n">
        <v>5000000</v>
      </c>
    </row>
    <row r="225" customFormat="false" ht="15" hidden="false" customHeight="false" outlineLevel="0" collapsed="false">
      <c r="A225" s="107" t="s">
        <v>681</v>
      </c>
      <c r="B225" s="107" t="n">
        <v>98.9959</v>
      </c>
      <c r="C225" s="107" t="n">
        <v>5.7687</v>
      </c>
      <c r="D225" s="107" t="n">
        <v>2.4393</v>
      </c>
      <c r="E225" s="107" t="n">
        <v>-1207.40349435</v>
      </c>
      <c r="F225" s="108" t="s">
        <v>358</v>
      </c>
      <c r="G225" s="107" t="n">
        <v>2.4393</v>
      </c>
      <c r="H225" s="107" t="n">
        <v>-1207.40349435</v>
      </c>
      <c r="I225" s="109" t="n">
        <v>47301</v>
      </c>
      <c r="J225" s="107" t="n">
        <v>3</v>
      </c>
      <c r="K225" s="107" t="s">
        <v>359</v>
      </c>
      <c r="L225" s="107" t="s">
        <v>298</v>
      </c>
      <c r="M225" s="107" t="n">
        <v>12196500</v>
      </c>
      <c r="N225" s="107" t="n">
        <v>99.515</v>
      </c>
      <c r="O225" s="107" t="n">
        <v>4949795</v>
      </c>
      <c r="P225" s="107" t="s">
        <v>472</v>
      </c>
      <c r="Q225" s="107" t="s">
        <v>377</v>
      </c>
      <c r="R225" s="107" t="n">
        <v>-0.0866269678307263</v>
      </c>
      <c r="S225" s="107" t="n">
        <v>-0.00521629905039434</v>
      </c>
      <c r="T225" s="107" t="n">
        <v>-1242.25005115</v>
      </c>
      <c r="U225" s="107" t="n">
        <v>21069</v>
      </c>
      <c r="V225" s="108" t="s">
        <v>362</v>
      </c>
      <c r="W225" s="107" t="n">
        <v>34578</v>
      </c>
      <c r="X225" s="108" t="s">
        <v>372</v>
      </c>
      <c r="Y225" s="107" t="s">
        <v>681</v>
      </c>
      <c r="Z225" s="107" t="s">
        <v>682</v>
      </c>
      <c r="AA225" s="109" t="n">
        <v>45635</v>
      </c>
      <c r="AB225" s="107" t="n">
        <v>241209000001</v>
      </c>
      <c r="AC225" s="109" t="n">
        <v>45475</v>
      </c>
      <c r="AD225" s="109" t="n">
        <v>47301</v>
      </c>
      <c r="AE225" s="107" t="n">
        <v>5.375</v>
      </c>
      <c r="AF225" s="107" t="n">
        <v>2.5074</v>
      </c>
      <c r="AG225" s="107" t="n">
        <v>1006</v>
      </c>
      <c r="AH225" s="107" t="n">
        <v>2000000</v>
      </c>
      <c r="AI225" s="107" t="n">
        <v>5.19233</v>
      </c>
      <c r="AJ225" s="107" t="n">
        <v>100.73</v>
      </c>
      <c r="AK225" s="107" t="n">
        <v>4.311849</v>
      </c>
      <c r="AL225" s="107" t="n">
        <v>104.041289</v>
      </c>
      <c r="AM225" s="107" t="n">
        <v>5.7166</v>
      </c>
      <c r="AN225" s="107" t="n">
        <v>99.1271</v>
      </c>
      <c r="AO225" s="107" t="n">
        <v>1358.4</v>
      </c>
      <c r="AP225" s="107" t="n">
        <v>1</v>
      </c>
      <c r="AQ225" s="107" t="n">
        <v>1982542</v>
      </c>
      <c r="AR225" s="107" t="n">
        <v>2693085053</v>
      </c>
      <c r="AS225" s="107" t="n">
        <v>2054548</v>
      </c>
      <c r="AT225" s="107" t="n">
        <v>2948070925</v>
      </c>
      <c r="AU225" s="107" t="n">
        <v>-72006</v>
      </c>
      <c r="AV225" s="107" t="n">
        <v>-97812950</v>
      </c>
      <c r="AW225" s="107" t="n">
        <v>0</v>
      </c>
      <c r="AX225" s="107" t="n">
        <v>0</v>
      </c>
      <c r="AY225" s="107" t="n">
        <v>0</v>
      </c>
      <c r="AZ225" s="107" t="n">
        <v>0</v>
      </c>
      <c r="BA225" s="107" t="n">
        <v>0</v>
      </c>
      <c r="BB225" s="107" t="n">
        <v>0</v>
      </c>
      <c r="BC225" s="107" t="n">
        <v>0</v>
      </c>
      <c r="BD225" s="107" t="n">
        <v>0</v>
      </c>
      <c r="BE225" s="107" t="n">
        <v>26277.78</v>
      </c>
      <c r="BF225" s="107" t="n">
        <v>35695736</v>
      </c>
      <c r="BG225" s="107" t="n">
        <v>0</v>
      </c>
      <c r="BH225" s="107" t="n">
        <v>0</v>
      </c>
      <c r="BI225" s="107" t="n">
        <v>2014600</v>
      </c>
      <c r="BJ225" s="107" t="n">
        <v>2891344345</v>
      </c>
      <c r="BK225" s="107" t="n">
        <v>0</v>
      </c>
      <c r="BL225" s="107" t="n">
        <v>0</v>
      </c>
      <c r="BM225" s="107" t="n">
        <v>0</v>
      </c>
      <c r="BN225" s="107" t="n">
        <v>0</v>
      </c>
      <c r="BO225" s="107" t="s">
        <v>107</v>
      </c>
      <c r="BP225" s="2"/>
      <c r="BQ225" s="107" t="s">
        <v>369</v>
      </c>
      <c r="BR225" s="107" t="n">
        <v>-157172922</v>
      </c>
      <c r="BS225" s="107" t="n">
        <v>0</v>
      </c>
      <c r="BT225" s="107" t="n">
        <v>0</v>
      </c>
      <c r="BU225" s="107" t="n">
        <v>39948</v>
      </c>
      <c r="BV225" s="107" t="n">
        <v>56726580</v>
      </c>
      <c r="BW225" s="107" t="n">
        <v>26277.78</v>
      </c>
      <c r="BX225" s="107" t="n">
        <v>35695736</v>
      </c>
      <c r="BY225" s="107" t="n">
        <v>0</v>
      </c>
      <c r="BZ225" s="107" t="n">
        <v>0</v>
      </c>
      <c r="CA225" s="107" t="n">
        <v>1434.9</v>
      </c>
      <c r="CB225" s="2"/>
      <c r="CC225" s="107" t="n">
        <v>0</v>
      </c>
      <c r="CD225" s="107" t="n">
        <v>99.13</v>
      </c>
      <c r="CE225" s="107" t="n">
        <v>99.1</v>
      </c>
      <c r="CF225" s="107" t="n">
        <v>99.15</v>
      </c>
      <c r="CG225" s="107" t="n">
        <v>0</v>
      </c>
      <c r="CH225" s="107" t="n">
        <v>2.4377</v>
      </c>
      <c r="CI225" s="107" t="n">
        <v>101.06</v>
      </c>
      <c r="CJ225" s="107" t="n">
        <v>101.04</v>
      </c>
      <c r="CK225" s="107" t="n">
        <v>101.13</v>
      </c>
      <c r="CL225" s="107" t="n">
        <v>0</v>
      </c>
    </row>
    <row r="226" customFormat="false" ht="15" hidden="false" customHeight="false" outlineLevel="0" collapsed="false">
      <c r="A226" s="107" t="s">
        <v>681</v>
      </c>
      <c r="B226" s="107" t="n">
        <v>98.9959</v>
      </c>
      <c r="C226" s="107" t="n">
        <v>5.7687</v>
      </c>
      <c r="D226" s="107" t="n">
        <v>2.4393</v>
      </c>
      <c r="E226" s="107" t="n">
        <v>-724.44209661</v>
      </c>
      <c r="F226" s="108" t="s">
        <v>358</v>
      </c>
      <c r="G226" s="107" t="n">
        <v>2.4393</v>
      </c>
      <c r="H226" s="107" t="n">
        <v>-724.44209661</v>
      </c>
      <c r="I226" s="109" t="n">
        <v>47301</v>
      </c>
      <c r="J226" s="107" t="n">
        <v>3</v>
      </c>
      <c r="K226" s="107" t="s">
        <v>359</v>
      </c>
      <c r="L226" s="107" t="s">
        <v>298</v>
      </c>
      <c r="M226" s="107" t="n">
        <v>7317900</v>
      </c>
      <c r="N226" s="107" t="n">
        <v>99.928</v>
      </c>
      <c r="O226" s="107" t="n">
        <v>2969877</v>
      </c>
      <c r="P226" s="107" t="s">
        <v>472</v>
      </c>
      <c r="Q226" s="107" t="s">
        <v>377</v>
      </c>
      <c r="R226" s="107" t="n">
        <v>-0.0866269678720357</v>
      </c>
      <c r="S226" s="107" t="n">
        <v>-0.00932771595548787</v>
      </c>
      <c r="T226" s="107" t="n">
        <v>-745.35003069</v>
      </c>
      <c r="U226" s="107" t="n">
        <v>21069</v>
      </c>
      <c r="V226" s="108" t="s">
        <v>362</v>
      </c>
      <c r="W226" s="107" t="n">
        <v>34578</v>
      </c>
      <c r="X226" s="108" t="s">
        <v>372</v>
      </c>
      <c r="Y226" s="107" t="s">
        <v>681</v>
      </c>
      <c r="Z226" s="107" t="s">
        <v>682</v>
      </c>
      <c r="AA226" s="109" t="n">
        <v>45637</v>
      </c>
      <c r="AB226" s="107" t="n">
        <v>241211000001</v>
      </c>
      <c r="AC226" s="109" t="n">
        <v>45475</v>
      </c>
      <c r="AD226" s="109" t="n">
        <v>47301</v>
      </c>
      <c r="AE226" s="107" t="n">
        <v>5.375</v>
      </c>
      <c r="AF226" s="107" t="n">
        <v>2.5074</v>
      </c>
      <c r="AG226" s="107" t="n">
        <v>1006</v>
      </c>
      <c r="AH226" s="107" t="n">
        <v>10000000</v>
      </c>
      <c r="AI226" s="107" t="n">
        <v>5.16742</v>
      </c>
      <c r="AJ226" s="107" t="n">
        <v>100.83</v>
      </c>
      <c r="AK226" s="107" t="n">
        <v>4.311849</v>
      </c>
      <c r="AL226" s="107" t="n">
        <v>104.041288</v>
      </c>
      <c r="AM226" s="107" t="n">
        <v>5.7166</v>
      </c>
      <c r="AN226" s="107" t="n">
        <v>99.1271</v>
      </c>
      <c r="AO226" s="107" t="n">
        <v>1358.4</v>
      </c>
      <c r="AP226" s="107" t="n">
        <v>1</v>
      </c>
      <c r="AQ226" s="107" t="n">
        <v>9912710</v>
      </c>
      <c r="AR226" s="107" t="n">
        <v>13465425264</v>
      </c>
      <c r="AS226" s="107" t="n">
        <v>10272740</v>
      </c>
      <c r="AT226" s="107" t="n">
        <v>14740354626</v>
      </c>
      <c r="AU226" s="107" t="n">
        <v>-360030</v>
      </c>
      <c r="AV226" s="107" t="n">
        <v>-489064752</v>
      </c>
      <c r="AW226" s="107" t="n">
        <v>0</v>
      </c>
      <c r="AX226" s="107" t="n">
        <v>0</v>
      </c>
      <c r="AY226" s="107" t="n">
        <v>0</v>
      </c>
      <c r="AZ226" s="107" t="n">
        <v>0</v>
      </c>
      <c r="BA226" s="107" t="n">
        <v>0</v>
      </c>
      <c r="BB226" s="107" t="n">
        <v>0</v>
      </c>
      <c r="BC226" s="107" t="n">
        <v>0</v>
      </c>
      <c r="BD226" s="107" t="n">
        <v>0</v>
      </c>
      <c r="BE226" s="107" t="n">
        <v>131388.89</v>
      </c>
      <c r="BF226" s="107" t="n">
        <v>178478668</v>
      </c>
      <c r="BG226" s="107" t="n">
        <v>0</v>
      </c>
      <c r="BH226" s="107" t="n">
        <v>0</v>
      </c>
      <c r="BI226" s="107" t="n">
        <v>10083000</v>
      </c>
      <c r="BJ226" s="107" t="n">
        <v>14471421723</v>
      </c>
      <c r="BK226" s="107" t="n">
        <v>0</v>
      </c>
      <c r="BL226" s="107" t="n">
        <v>0</v>
      </c>
      <c r="BM226" s="107" t="n">
        <v>0</v>
      </c>
      <c r="BN226" s="107" t="n">
        <v>0</v>
      </c>
      <c r="BO226" s="107" t="s">
        <v>107</v>
      </c>
      <c r="BP226" s="2"/>
      <c r="BQ226" s="107" t="s">
        <v>369</v>
      </c>
      <c r="BR226" s="107" t="n">
        <v>-785864610</v>
      </c>
      <c r="BS226" s="107" t="n">
        <v>0</v>
      </c>
      <c r="BT226" s="107" t="n">
        <v>0</v>
      </c>
      <c r="BU226" s="107" t="n">
        <v>189740</v>
      </c>
      <c r="BV226" s="107" t="n">
        <v>268932903</v>
      </c>
      <c r="BW226" s="107" t="n">
        <v>131388.89</v>
      </c>
      <c r="BX226" s="107" t="n">
        <v>178478668</v>
      </c>
      <c r="BY226" s="107" t="n">
        <v>0</v>
      </c>
      <c r="BZ226" s="107" t="n">
        <v>0</v>
      </c>
      <c r="CA226" s="107" t="n">
        <v>1434.9</v>
      </c>
      <c r="CB226" s="2"/>
      <c r="CC226" s="107" t="n">
        <v>0</v>
      </c>
      <c r="CD226" s="107" t="n">
        <v>99.13</v>
      </c>
      <c r="CE226" s="107" t="n">
        <v>99.1</v>
      </c>
      <c r="CF226" s="107" t="n">
        <v>99.15</v>
      </c>
      <c r="CG226" s="107" t="n">
        <v>0</v>
      </c>
      <c r="CH226" s="107" t="n">
        <v>2.4377</v>
      </c>
      <c r="CI226" s="107" t="n">
        <v>101.06</v>
      </c>
      <c r="CJ226" s="107" t="n">
        <v>101.04</v>
      </c>
      <c r="CK226" s="107" t="n">
        <v>101.13</v>
      </c>
      <c r="CL226" s="107" t="n">
        <v>0</v>
      </c>
    </row>
    <row r="227" customFormat="false" ht="15" hidden="false" customHeight="false" outlineLevel="0" collapsed="false">
      <c r="A227" s="107" t="s">
        <v>681</v>
      </c>
      <c r="B227" s="107" t="n">
        <v>98.9959</v>
      </c>
      <c r="C227" s="107" t="n">
        <v>5.7687</v>
      </c>
      <c r="D227" s="107" t="n">
        <v>2.4393</v>
      </c>
      <c r="E227" s="107" t="n">
        <v>-724.44209661</v>
      </c>
      <c r="F227" s="108" t="s">
        <v>358</v>
      </c>
      <c r="G227" s="107" t="n">
        <v>2.4393</v>
      </c>
      <c r="H227" s="107" t="n">
        <v>-724.44209661</v>
      </c>
      <c r="I227" s="109" t="n">
        <v>47301</v>
      </c>
      <c r="J227" s="107" t="n">
        <v>3</v>
      </c>
      <c r="K227" s="107" t="s">
        <v>359</v>
      </c>
      <c r="L227" s="107" t="s">
        <v>298</v>
      </c>
      <c r="M227" s="107" t="n">
        <v>7317900</v>
      </c>
      <c r="N227" s="107" t="n">
        <v>99.977</v>
      </c>
      <c r="O227" s="107" t="n">
        <v>2969877</v>
      </c>
      <c r="P227" s="107" t="s">
        <v>472</v>
      </c>
      <c r="Q227" s="107" t="s">
        <v>377</v>
      </c>
      <c r="R227" s="107" t="n">
        <v>-0.0866269678720357</v>
      </c>
      <c r="S227" s="107" t="n">
        <v>-0.00981325704912128</v>
      </c>
      <c r="T227" s="107" t="n">
        <v>-745.35003069</v>
      </c>
      <c r="U227" s="107" t="n">
        <v>21069</v>
      </c>
      <c r="V227" s="108" t="s">
        <v>362</v>
      </c>
      <c r="W227" s="107" t="n">
        <v>34578</v>
      </c>
      <c r="X227" s="108" t="s">
        <v>372</v>
      </c>
      <c r="Y227" s="107" t="s">
        <v>681</v>
      </c>
      <c r="Z227" s="107" t="s">
        <v>682</v>
      </c>
      <c r="AA227" s="109" t="n">
        <v>45693</v>
      </c>
      <c r="AB227" s="107" t="n">
        <v>250205000001</v>
      </c>
      <c r="AC227" s="109" t="n">
        <v>45475</v>
      </c>
      <c r="AD227" s="109" t="n">
        <v>47301</v>
      </c>
      <c r="AE227" s="107" t="n">
        <v>5.375</v>
      </c>
      <c r="AF227" s="107" t="n">
        <v>2.5074</v>
      </c>
      <c r="AG227" s="107" t="n">
        <v>1006</v>
      </c>
      <c r="AH227" s="107" t="n">
        <v>5000000</v>
      </c>
      <c r="AI227" s="107" t="n">
        <v>5.49898</v>
      </c>
      <c r="AJ227" s="107" t="n">
        <v>99.515</v>
      </c>
      <c r="AK227" s="107" t="n">
        <v>4.311849</v>
      </c>
      <c r="AL227" s="107" t="n">
        <v>104.041288</v>
      </c>
      <c r="AM227" s="107" t="n">
        <v>5.7166</v>
      </c>
      <c r="AN227" s="107" t="n">
        <v>99.1271</v>
      </c>
      <c r="AO227" s="107" t="n">
        <v>1358.4</v>
      </c>
      <c r="AP227" s="107" t="n">
        <v>1</v>
      </c>
      <c r="AQ227" s="107" t="n">
        <v>4956355</v>
      </c>
      <c r="AR227" s="107" t="n">
        <v>6732712632</v>
      </c>
      <c r="AS227" s="107" t="n">
        <v>5136370</v>
      </c>
      <c r="AT227" s="107" t="n">
        <v>7370177313</v>
      </c>
      <c r="AU227" s="107" t="n">
        <v>-180015</v>
      </c>
      <c r="AV227" s="107" t="n">
        <v>-244532376</v>
      </c>
      <c r="AW227" s="107" t="n">
        <v>0</v>
      </c>
      <c r="AX227" s="107" t="n">
        <v>0</v>
      </c>
      <c r="AY227" s="107" t="n">
        <v>0</v>
      </c>
      <c r="AZ227" s="107" t="n">
        <v>0</v>
      </c>
      <c r="BA227" s="107" t="n">
        <v>0</v>
      </c>
      <c r="BB227" s="107" t="n">
        <v>0</v>
      </c>
      <c r="BC227" s="107" t="n">
        <v>0</v>
      </c>
      <c r="BD227" s="107" t="n">
        <v>0</v>
      </c>
      <c r="BE227" s="107" t="n">
        <v>65694.44</v>
      </c>
      <c r="BF227" s="107" t="n">
        <v>89239327</v>
      </c>
      <c r="BG227" s="107" t="n">
        <v>0</v>
      </c>
      <c r="BH227" s="107" t="n">
        <v>0</v>
      </c>
      <c r="BI227" s="107" t="n">
        <v>4975750</v>
      </c>
      <c r="BJ227" s="107" t="n">
        <v>7139703675</v>
      </c>
      <c r="BK227" s="107" t="n">
        <v>0</v>
      </c>
      <c r="BL227" s="107" t="n">
        <v>0</v>
      </c>
      <c r="BM227" s="107" t="n">
        <v>0</v>
      </c>
      <c r="BN227" s="107" t="n">
        <v>0</v>
      </c>
      <c r="BO227" s="107" t="s">
        <v>107</v>
      </c>
      <c r="BP227" s="2"/>
      <c r="BQ227" s="107" t="s">
        <v>369</v>
      </c>
      <c r="BR227" s="107" t="n">
        <v>-392932305</v>
      </c>
      <c r="BS227" s="107" t="n">
        <v>0</v>
      </c>
      <c r="BT227" s="107" t="n">
        <v>0</v>
      </c>
      <c r="BU227" s="107" t="n">
        <v>160620</v>
      </c>
      <c r="BV227" s="107" t="n">
        <v>230473638</v>
      </c>
      <c r="BW227" s="107" t="n">
        <v>65694.44</v>
      </c>
      <c r="BX227" s="107" t="n">
        <v>89239327</v>
      </c>
      <c r="BY227" s="107" t="n">
        <v>0</v>
      </c>
      <c r="BZ227" s="107" t="n">
        <v>0</v>
      </c>
      <c r="CA227" s="107" t="n">
        <v>1434.9</v>
      </c>
      <c r="CB227" s="2"/>
      <c r="CC227" s="107" t="n">
        <v>0</v>
      </c>
      <c r="CD227" s="107" t="n">
        <v>99.13</v>
      </c>
      <c r="CE227" s="107" t="n">
        <v>99.1</v>
      </c>
      <c r="CF227" s="107" t="n">
        <v>99.15</v>
      </c>
      <c r="CG227" s="107" t="n">
        <v>0</v>
      </c>
      <c r="CH227" s="107" t="n">
        <v>2.4377</v>
      </c>
      <c r="CI227" s="107" t="n">
        <v>101.06</v>
      </c>
      <c r="CJ227" s="107" t="n">
        <v>101.04</v>
      </c>
      <c r="CK227" s="107" t="n">
        <v>101.13</v>
      </c>
      <c r="CL227" s="107" t="n">
        <v>0</v>
      </c>
    </row>
    <row r="228" customFormat="false" ht="15" hidden="false" customHeight="false" outlineLevel="0" collapsed="false">
      <c r="A228" s="107" t="s">
        <v>681</v>
      </c>
      <c r="B228" s="107" t="n">
        <v>98.9959</v>
      </c>
      <c r="C228" s="107" t="n">
        <v>5.7687</v>
      </c>
      <c r="D228" s="107" t="n">
        <v>2.4393</v>
      </c>
      <c r="E228" s="107" t="n">
        <v>-965.92279548</v>
      </c>
      <c r="F228" s="108" t="s">
        <v>358</v>
      </c>
      <c r="G228" s="107" t="n">
        <v>2.4393</v>
      </c>
      <c r="H228" s="107" t="n">
        <v>-965.92279548</v>
      </c>
      <c r="I228" s="109" t="n">
        <v>47301</v>
      </c>
      <c r="J228" s="107" t="n">
        <v>3</v>
      </c>
      <c r="K228" s="107" t="s">
        <v>359</v>
      </c>
      <c r="L228" s="107" t="s">
        <v>298</v>
      </c>
      <c r="M228" s="107" t="n">
        <v>9757200</v>
      </c>
      <c r="N228" s="107" t="n">
        <v>99.95</v>
      </c>
      <c r="O228" s="107" t="n">
        <v>3959836</v>
      </c>
      <c r="P228" s="107" t="s">
        <v>472</v>
      </c>
      <c r="Q228" s="107" t="s">
        <v>377</v>
      </c>
      <c r="R228" s="107" t="n">
        <v>-0.0866269677687622</v>
      </c>
      <c r="S228" s="107" t="n">
        <v>-0.00954577288644321</v>
      </c>
      <c r="T228" s="107" t="n">
        <v>-993.80004092</v>
      </c>
      <c r="U228" s="107" t="n">
        <v>21069</v>
      </c>
      <c r="V228" s="108" t="s">
        <v>362</v>
      </c>
      <c r="W228" s="107" t="n">
        <v>34578</v>
      </c>
      <c r="X228" s="108" t="s">
        <v>372</v>
      </c>
      <c r="Y228" s="107" t="s">
        <v>681</v>
      </c>
      <c r="Z228" s="107" t="s">
        <v>682</v>
      </c>
      <c r="AA228" s="109" t="n">
        <v>45698</v>
      </c>
      <c r="AB228" s="107" t="n">
        <v>250210000001</v>
      </c>
      <c r="AC228" s="109" t="n">
        <v>45475</v>
      </c>
      <c r="AD228" s="109" t="n">
        <v>47301</v>
      </c>
      <c r="AE228" s="107" t="n">
        <v>5.375</v>
      </c>
      <c r="AF228" s="107" t="n">
        <v>2.5074</v>
      </c>
      <c r="AG228" s="107" t="n">
        <v>1006</v>
      </c>
      <c r="AH228" s="107" t="n">
        <v>3000000</v>
      </c>
      <c r="AI228" s="107" t="n">
        <v>5.392085</v>
      </c>
      <c r="AJ228" s="107" t="n">
        <v>99.928</v>
      </c>
      <c r="AK228" s="107" t="n">
        <v>4.311849</v>
      </c>
      <c r="AL228" s="107" t="n">
        <v>104.041289</v>
      </c>
      <c r="AM228" s="107" t="n">
        <v>5.7166</v>
      </c>
      <c r="AN228" s="107" t="n">
        <v>99.1271</v>
      </c>
      <c r="AO228" s="107" t="n">
        <v>1358.4</v>
      </c>
      <c r="AP228" s="107" t="n">
        <v>1</v>
      </c>
      <c r="AQ228" s="107" t="n">
        <v>2973813</v>
      </c>
      <c r="AR228" s="107" t="n">
        <v>4039627579</v>
      </c>
      <c r="AS228" s="107" t="n">
        <v>3081822</v>
      </c>
      <c r="AT228" s="107" t="n">
        <v>4422106388</v>
      </c>
      <c r="AU228" s="107" t="n">
        <v>-108009</v>
      </c>
      <c r="AV228" s="107" t="n">
        <v>-146719426</v>
      </c>
      <c r="AW228" s="107" t="n">
        <v>0</v>
      </c>
      <c r="AX228" s="107" t="n">
        <v>0</v>
      </c>
      <c r="AY228" s="107" t="n">
        <v>0</v>
      </c>
      <c r="AZ228" s="107" t="n">
        <v>0</v>
      </c>
      <c r="BA228" s="107" t="n">
        <v>0</v>
      </c>
      <c r="BB228" s="107" t="n">
        <v>0</v>
      </c>
      <c r="BC228" s="107" t="n">
        <v>0</v>
      </c>
      <c r="BD228" s="107" t="n">
        <v>0</v>
      </c>
      <c r="BE228" s="107" t="n">
        <v>39416.67</v>
      </c>
      <c r="BF228" s="107" t="n">
        <v>53543604</v>
      </c>
      <c r="BG228" s="107" t="n">
        <v>0</v>
      </c>
      <c r="BH228" s="107" t="n">
        <v>0</v>
      </c>
      <c r="BI228" s="107" t="n">
        <v>2997840</v>
      </c>
      <c r="BJ228" s="107" t="n">
        <v>4301600616</v>
      </c>
      <c r="BK228" s="107" t="n">
        <v>0</v>
      </c>
      <c r="BL228" s="107" t="n">
        <v>0</v>
      </c>
      <c r="BM228" s="107" t="n">
        <v>0</v>
      </c>
      <c r="BN228" s="107" t="n">
        <v>0</v>
      </c>
      <c r="BO228" s="107" t="s">
        <v>107</v>
      </c>
      <c r="BP228" s="2"/>
      <c r="BQ228" s="107" t="s">
        <v>369</v>
      </c>
      <c r="BR228" s="107" t="n">
        <v>-235759383</v>
      </c>
      <c r="BS228" s="107" t="n">
        <v>0</v>
      </c>
      <c r="BT228" s="107" t="n">
        <v>0</v>
      </c>
      <c r="BU228" s="107" t="n">
        <v>83982</v>
      </c>
      <c r="BV228" s="107" t="n">
        <v>120505772</v>
      </c>
      <c r="BW228" s="107" t="n">
        <v>39416.67</v>
      </c>
      <c r="BX228" s="107" t="n">
        <v>53543604</v>
      </c>
      <c r="BY228" s="107" t="n">
        <v>0</v>
      </c>
      <c r="BZ228" s="107" t="n">
        <v>0</v>
      </c>
      <c r="CA228" s="107" t="n">
        <v>1434.9</v>
      </c>
      <c r="CB228" s="2"/>
      <c r="CC228" s="107" t="n">
        <v>0</v>
      </c>
      <c r="CD228" s="107" t="n">
        <v>99.13</v>
      </c>
      <c r="CE228" s="107" t="n">
        <v>99.1</v>
      </c>
      <c r="CF228" s="107" t="n">
        <v>99.15</v>
      </c>
      <c r="CG228" s="107" t="n">
        <v>0</v>
      </c>
      <c r="CH228" s="107" t="n">
        <v>2.4377</v>
      </c>
      <c r="CI228" s="107" t="n">
        <v>100.09</v>
      </c>
      <c r="CJ228" s="107" t="n">
        <v>100.06</v>
      </c>
      <c r="CK228" s="107" t="n">
        <v>100.14</v>
      </c>
      <c r="CL228" s="107" t="n">
        <v>0</v>
      </c>
    </row>
    <row r="229" customFormat="false" ht="15" hidden="false" customHeight="false" outlineLevel="0" collapsed="false">
      <c r="A229" s="107" t="s">
        <v>681</v>
      </c>
      <c r="B229" s="107" t="n">
        <v>98.9959</v>
      </c>
      <c r="C229" s="107" t="n">
        <v>5.7687</v>
      </c>
      <c r="D229" s="107" t="n">
        <v>2.4393</v>
      </c>
      <c r="E229" s="107" t="n">
        <v>-482.96139774</v>
      </c>
      <c r="F229" s="108" t="s">
        <v>358</v>
      </c>
      <c r="G229" s="107" t="n">
        <v>2.4393</v>
      </c>
      <c r="H229" s="107" t="n">
        <v>-482.96139774</v>
      </c>
      <c r="I229" s="109" t="n">
        <v>47301</v>
      </c>
      <c r="J229" s="107" t="n">
        <v>3</v>
      </c>
      <c r="K229" s="107" t="s">
        <v>359</v>
      </c>
      <c r="L229" s="107" t="s">
        <v>298</v>
      </c>
      <c r="M229" s="107" t="n">
        <v>4878600</v>
      </c>
      <c r="N229" s="107" t="n">
        <v>101.192</v>
      </c>
      <c r="O229" s="107" t="n">
        <v>1979918</v>
      </c>
      <c r="P229" s="107" t="s">
        <v>472</v>
      </c>
      <c r="Q229" s="107" t="s">
        <v>377</v>
      </c>
      <c r="R229" s="107" t="n">
        <v>-0.0866269677687622</v>
      </c>
      <c r="S229" s="107" t="n">
        <v>-0.0217023084828839</v>
      </c>
      <c r="T229" s="107" t="n">
        <v>-496.90002046</v>
      </c>
      <c r="U229" s="107" t="n">
        <v>21069</v>
      </c>
      <c r="V229" s="108" t="s">
        <v>362</v>
      </c>
      <c r="W229" s="107" t="n">
        <v>34578</v>
      </c>
      <c r="X229" s="108" t="s">
        <v>372</v>
      </c>
      <c r="Y229" s="107" t="s">
        <v>681</v>
      </c>
      <c r="Z229" s="107" t="s">
        <v>682</v>
      </c>
      <c r="AA229" s="109" t="n">
        <v>45698</v>
      </c>
      <c r="AB229" s="107" t="n">
        <v>250210000002</v>
      </c>
      <c r="AC229" s="109" t="n">
        <v>45475</v>
      </c>
      <c r="AD229" s="109" t="n">
        <v>47301</v>
      </c>
      <c r="AE229" s="107" t="n">
        <v>5.375</v>
      </c>
      <c r="AF229" s="107" t="n">
        <v>2.5074</v>
      </c>
      <c r="AG229" s="107" t="n">
        <v>1006</v>
      </c>
      <c r="AH229" s="107" t="n">
        <v>3000000</v>
      </c>
      <c r="AI229" s="107" t="n">
        <v>5.379415</v>
      </c>
      <c r="AJ229" s="107" t="n">
        <v>99.977</v>
      </c>
      <c r="AK229" s="107" t="n">
        <v>4.311849</v>
      </c>
      <c r="AL229" s="107" t="n">
        <v>104.041289</v>
      </c>
      <c r="AM229" s="107" t="n">
        <v>5.7166</v>
      </c>
      <c r="AN229" s="107" t="n">
        <v>99.1271</v>
      </c>
      <c r="AO229" s="107" t="n">
        <v>1358.4</v>
      </c>
      <c r="AP229" s="107" t="n">
        <v>1</v>
      </c>
      <c r="AQ229" s="107" t="n">
        <v>2973813</v>
      </c>
      <c r="AR229" s="107" t="n">
        <v>4039627579</v>
      </c>
      <c r="AS229" s="107" t="n">
        <v>3081822</v>
      </c>
      <c r="AT229" s="107" t="n">
        <v>4422106388</v>
      </c>
      <c r="AU229" s="107" t="n">
        <v>-108009</v>
      </c>
      <c r="AV229" s="107" t="n">
        <v>-146719426</v>
      </c>
      <c r="AW229" s="107" t="n">
        <v>0</v>
      </c>
      <c r="AX229" s="107" t="n">
        <v>0</v>
      </c>
      <c r="AY229" s="107" t="n">
        <v>0</v>
      </c>
      <c r="AZ229" s="107" t="n">
        <v>0</v>
      </c>
      <c r="BA229" s="107" t="n">
        <v>0</v>
      </c>
      <c r="BB229" s="107" t="n">
        <v>0</v>
      </c>
      <c r="BC229" s="107" t="n">
        <v>0</v>
      </c>
      <c r="BD229" s="107" t="n">
        <v>0</v>
      </c>
      <c r="BE229" s="107" t="n">
        <v>39416.67</v>
      </c>
      <c r="BF229" s="107" t="n">
        <v>53543604</v>
      </c>
      <c r="BG229" s="107" t="n">
        <v>0</v>
      </c>
      <c r="BH229" s="107" t="n">
        <v>0</v>
      </c>
      <c r="BI229" s="107" t="n">
        <v>2999310</v>
      </c>
      <c r="BJ229" s="107" t="n">
        <v>4303709919</v>
      </c>
      <c r="BK229" s="107" t="n">
        <v>0</v>
      </c>
      <c r="BL229" s="107" t="n">
        <v>0</v>
      </c>
      <c r="BM229" s="107" t="n">
        <v>0</v>
      </c>
      <c r="BN229" s="107" t="n">
        <v>0</v>
      </c>
      <c r="BO229" s="107" t="s">
        <v>107</v>
      </c>
      <c r="BP229" s="2"/>
      <c r="BQ229" s="107" t="s">
        <v>369</v>
      </c>
      <c r="BR229" s="107" t="n">
        <v>-235759383</v>
      </c>
      <c r="BS229" s="107" t="n">
        <v>0</v>
      </c>
      <c r="BT229" s="107" t="n">
        <v>0</v>
      </c>
      <c r="BU229" s="107" t="n">
        <v>82512</v>
      </c>
      <c r="BV229" s="107" t="n">
        <v>118396469</v>
      </c>
      <c r="BW229" s="107" t="n">
        <v>39416.67</v>
      </c>
      <c r="BX229" s="107" t="n">
        <v>53543604</v>
      </c>
      <c r="BY229" s="107" t="n">
        <v>0</v>
      </c>
      <c r="BZ229" s="107" t="n">
        <v>0</v>
      </c>
      <c r="CA229" s="107" t="n">
        <v>1434.9</v>
      </c>
      <c r="CB229" s="2"/>
      <c r="CC229" s="107" t="n">
        <v>0</v>
      </c>
      <c r="CD229" s="107" t="n">
        <v>99.13</v>
      </c>
      <c r="CE229" s="107" t="n">
        <v>99.1</v>
      </c>
      <c r="CF229" s="107" t="n">
        <v>99.15</v>
      </c>
      <c r="CG229" s="107" t="n">
        <v>0</v>
      </c>
      <c r="CH229" s="107" t="n">
        <v>2.4377</v>
      </c>
      <c r="CI229" s="107" t="n">
        <v>96.43</v>
      </c>
      <c r="CJ229" s="107" t="n">
        <v>96.41</v>
      </c>
      <c r="CK229" s="107" t="n">
        <v>96.5</v>
      </c>
      <c r="CL229" s="107" t="n">
        <v>862000</v>
      </c>
    </row>
    <row r="230" customFormat="false" ht="15" hidden="false" customHeight="false" outlineLevel="0" collapsed="false">
      <c r="A230" s="107" t="s">
        <v>681</v>
      </c>
      <c r="B230" s="107" t="n">
        <v>98.9959</v>
      </c>
      <c r="C230" s="107" t="n">
        <v>5.7687</v>
      </c>
      <c r="D230" s="107" t="n">
        <v>2.4393</v>
      </c>
      <c r="E230" s="107" t="n">
        <v>-482.96139774</v>
      </c>
      <c r="F230" s="108" t="s">
        <v>358</v>
      </c>
      <c r="G230" s="107" t="n">
        <v>2.4393</v>
      </c>
      <c r="H230" s="107" t="n">
        <v>-482.96139774</v>
      </c>
      <c r="I230" s="109" t="n">
        <v>47301</v>
      </c>
      <c r="J230" s="107" t="n">
        <v>3</v>
      </c>
      <c r="K230" s="107" t="s">
        <v>359</v>
      </c>
      <c r="L230" s="107" t="s">
        <v>298</v>
      </c>
      <c r="M230" s="107" t="n">
        <v>4878600</v>
      </c>
      <c r="N230" s="107" t="n">
        <v>100.628</v>
      </c>
      <c r="O230" s="107" t="n">
        <v>1979918</v>
      </c>
      <c r="P230" s="107" t="s">
        <v>472</v>
      </c>
      <c r="Q230" s="107" t="s">
        <v>377</v>
      </c>
      <c r="R230" s="107" t="n">
        <v>-0.0866269677687622</v>
      </c>
      <c r="S230" s="107" t="n">
        <v>-0.0162191437770799</v>
      </c>
      <c r="T230" s="107" t="n">
        <v>-496.90002046</v>
      </c>
      <c r="U230" s="107" t="n">
        <v>21069</v>
      </c>
      <c r="V230" s="108" t="s">
        <v>362</v>
      </c>
      <c r="W230" s="107" t="n">
        <v>34578</v>
      </c>
      <c r="X230" s="108" t="s">
        <v>372</v>
      </c>
      <c r="Y230" s="107" t="s">
        <v>681</v>
      </c>
      <c r="Z230" s="107" t="s">
        <v>682</v>
      </c>
      <c r="AA230" s="109" t="n">
        <v>45698</v>
      </c>
      <c r="AB230" s="107" t="n">
        <v>250210000003</v>
      </c>
      <c r="AC230" s="109" t="n">
        <v>45475</v>
      </c>
      <c r="AD230" s="109" t="n">
        <v>47301</v>
      </c>
      <c r="AE230" s="107" t="n">
        <v>5.375</v>
      </c>
      <c r="AF230" s="107" t="n">
        <v>2.5074</v>
      </c>
      <c r="AG230" s="107" t="n">
        <v>1006</v>
      </c>
      <c r="AH230" s="107" t="n">
        <v>4000000</v>
      </c>
      <c r="AI230" s="107" t="n">
        <v>5.3864</v>
      </c>
      <c r="AJ230" s="107" t="n">
        <v>99.95</v>
      </c>
      <c r="AK230" s="107" t="n">
        <v>4.311849</v>
      </c>
      <c r="AL230" s="107" t="n">
        <v>104.041289</v>
      </c>
      <c r="AM230" s="107" t="n">
        <v>5.7166</v>
      </c>
      <c r="AN230" s="107" t="n">
        <v>99.1271</v>
      </c>
      <c r="AO230" s="107" t="n">
        <v>1358.4</v>
      </c>
      <c r="AP230" s="107" t="n">
        <v>1</v>
      </c>
      <c r="AQ230" s="107" t="n">
        <v>3965084</v>
      </c>
      <c r="AR230" s="107" t="n">
        <v>5386170106</v>
      </c>
      <c r="AS230" s="107" t="n">
        <v>4109096</v>
      </c>
      <c r="AT230" s="107" t="n">
        <v>5896141850</v>
      </c>
      <c r="AU230" s="107" t="n">
        <v>-144012</v>
      </c>
      <c r="AV230" s="107" t="n">
        <v>-195625900</v>
      </c>
      <c r="AW230" s="107" t="n">
        <v>0</v>
      </c>
      <c r="AX230" s="107" t="n">
        <v>0</v>
      </c>
      <c r="AY230" s="107" t="n">
        <v>0</v>
      </c>
      <c r="AZ230" s="107" t="n">
        <v>0</v>
      </c>
      <c r="BA230" s="107" t="n">
        <v>0</v>
      </c>
      <c r="BB230" s="107" t="n">
        <v>0</v>
      </c>
      <c r="BC230" s="107" t="n">
        <v>0</v>
      </c>
      <c r="BD230" s="107" t="n">
        <v>0</v>
      </c>
      <c r="BE230" s="107" t="n">
        <v>52555.56</v>
      </c>
      <c r="BF230" s="107" t="n">
        <v>71391472</v>
      </c>
      <c r="BG230" s="107" t="n">
        <v>0</v>
      </c>
      <c r="BH230" s="107" t="n">
        <v>0</v>
      </c>
      <c r="BI230" s="107" t="n">
        <v>3998000</v>
      </c>
      <c r="BJ230" s="107" t="n">
        <v>5736730200</v>
      </c>
      <c r="BK230" s="107" t="n">
        <v>0</v>
      </c>
      <c r="BL230" s="107" t="n">
        <v>0</v>
      </c>
      <c r="BM230" s="107" t="n">
        <v>0</v>
      </c>
      <c r="BN230" s="107" t="n">
        <v>0</v>
      </c>
      <c r="BO230" s="107" t="s">
        <v>107</v>
      </c>
      <c r="BP230" s="2"/>
      <c r="BQ230" s="107" t="s">
        <v>369</v>
      </c>
      <c r="BR230" s="107" t="n">
        <v>-314345844</v>
      </c>
      <c r="BS230" s="107" t="n">
        <v>0</v>
      </c>
      <c r="BT230" s="107" t="n">
        <v>0</v>
      </c>
      <c r="BU230" s="107" t="n">
        <v>111096</v>
      </c>
      <c r="BV230" s="107" t="n">
        <v>159411650</v>
      </c>
      <c r="BW230" s="107" t="n">
        <v>52555.56</v>
      </c>
      <c r="BX230" s="107" t="n">
        <v>71391472</v>
      </c>
      <c r="BY230" s="107" t="n">
        <v>0</v>
      </c>
      <c r="BZ230" s="107" t="n">
        <v>0</v>
      </c>
      <c r="CA230" s="107" t="n">
        <v>1434.9</v>
      </c>
      <c r="CB230" s="2"/>
      <c r="CC230" s="107" t="n">
        <v>0</v>
      </c>
      <c r="CD230" s="107" t="n">
        <v>99.13</v>
      </c>
      <c r="CE230" s="107" t="n">
        <v>99.1</v>
      </c>
      <c r="CF230" s="107" t="n">
        <v>99.15</v>
      </c>
      <c r="CG230" s="107" t="n">
        <v>0</v>
      </c>
      <c r="CH230" s="107" t="n">
        <v>2.4377</v>
      </c>
      <c r="CI230" s="107" t="n">
        <v>97.93</v>
      </c>
      <c r="CJ230" s="107" t="n">
        <v>97.92</v>
      </c>
      <c r="CK230" s="107" t="n">
        <v>97.99</v>
      </c>
      <c r="CL230" s="107" t="n">
        <v>0</v>
      </c>
    </row>
    <row r="231" customFormat="false" ht="15" hidden="false" customHeight="false" outlineLevel="0" collapsed="false">
      <c r="A231" s="107" t="s">
        <v>681</v>
      </c>
      <c r="B231" s="107" t="n">
        <v>98.9959</v>
      </c>
      <c r="C231" s="107" t="n">
        <v>5.7687</v>
      </c>
      <c r="D231" s="107" t="n">
        <v>2.4393</v>
      </c>
      <c r="E231" s="107" t="n">
        <v>-241.48069887</v>
      </c>
      <c r="F231" s="108" t="s">
        <v>358</v>
      </c>
      <c r="G231" s="107" t="n">
        <v>2.4393</v>
      </c>
      <c r="H231" s="107" t="n">
        <v>-241.48069887</v>
      </c>
      <c r="I231" s="109" t="n">
        <v>47301</v>
      </c>
      <c r="J231" s="107" t="n">
        <v>3</v>
      </c>
      <c r="K231" s="107" t="s">
        <v>359</v>
      </c>
      <c r="L231" s="107" t="s">
        <v>298</v>
      </c>
      <c r="M231" s="107" t="n">
        <v>2439300</v>
      </c>
      <c r="N231" s="107" t="n">
        <v>100.651</v>
      </c>
      <c r="O231" s="107" t="n">
        <v>989959</v>
      </c>
      <c r="P231" s="107" t="s">
        <v>472</v>
      </c>
      <c r="Q231" s="107" t="s">
        <v>377</v>
      </c>
      <c r="R231" s="107" t="n">
        <v>-0.0866269680785828</v>
      </c>
      <c r="S231" s="107" t="n">
        <v>-0.0164439498862404</v>
      </c>
      <c r="T231" s="107" t="n">
        <v>-248.45001023</v>
      </c>
      <c r="U231" s="107" t="n">
        <v>21069</v>
      </c>
      <c r="V231" s="108" t="s">
        <v>362</v>
      </c>
      <c r="W231" s="107" t="n">
        <v>34578</v>
      </c>
      <c r="X231" s="108" t="s">
        <v>372</v>
      </c>
      <c r="Y231" s="107" t="s">
        <v>681</v>
      </c>
      <c r="Z231" s="107" t="s">
        <v>682</v>
      </c>
      <c r="AA231" s="109" t="n">
        <v>45728</v>
      </c>
      <c r="AB231" s="107" t="n">
        <v>250312000001</v>
      </c>
      <c r="AC231" s="109" t="n">
        <v>45475</v>
      </c>
      <c r="AD231" s="109" t="n">
        <v>47301</v>
      </c>
      <c r="AE231" s="107" t="n">
        <v>5.375</v>
      </c>
      <c r="AF231" s="107" t="n">
        <v>2.5074</v>
      </c>
      <c r="AG231" s="107" t="n">
        <v>1006</v>
      </c>
      <c r="AH231" s="107" t="n">
        <v>2000000</v>
      </c>
      <c r="AI231" s="107" t="n">
        <v>5.06133</v>
      </c>
      <c r="AJ231" s="107" t="n">
        <v>101.192</v>
      </c>
      <c r="AK231" s="107" t="n">
        <v>4.311849</v>
      </c>
      <c r="AL231" s="107" t="n">
        <v>104.041289</v>
      </c>
      <c r="AM231" s="107" t="n">
        <v>5.7166</v>
      </c>
      <c r="AN231" s="107" t="n">
        <v>99.1271</v>
      </c>
      <c r="AO231" s="107" t="n">
        <v>1358.4</v>
      </c>
      <c r="AP231" s="107" t="n">
        <v>1</v>
      </c>
      <c r="AQ231" s="107" t="n">
        <v>1982542</v>
      </c>
      <c r="AR231" s="107" t="n">
        <v>2693085053</v>
      </c>
      <c r="AS231" s="107" t="n">
        <v>2054548</v>
      </c>
      <c r="AT231" s="107" t="n">
        <v>2948070925</v>
      </c>
      <c r="AU231" s="107" t="n">
        <v>-72006</v>
      </c>
      <c r="AV231" s="107" t="n">
        <v>-97812950</v>
      </c>
      <c r="AW231" s="107" t="n">
        <v>0</v>
      </c>
      <c r="AX231" s="107" t="n">
        <v>0</v>
      </c>
      <c r="AY231" s="107" t="n">
        <v>0</v>
      </c>
      <c r="AZ231" s="107" t="n">
        <v>0</v>
      </c>
      <c r="BA231" s="107" t="n">
        <v>0</v>
      </c>
      <c r="BB231" s="107" t="n">
        <v>0</v>
      </c>
      <c r="BC231" s="107" t="n">
        <v>0</v>
      </c>
      <c r="BD231" s="107" t="n">
        <v>0</v>
      </c>
      <c r="BE231" s="107" t="n">
        <v>26277.78</v>
      </c>
      <c r="BF231" s="107" t="n">
        <v>35695736</v>
      </c>
      <c r="BG231" s="107" t="n">
        <v>0</v>
      </c>
      <c r="BH231" s="107" t="n">
        <v>0</v>
      </c>
      <c r="BI231" s="107" t="n">
        <v>2023840</v>
      </c>
      <c r="BJ231" s="107" t="n">
        <v>2904008016</v>
      </c>
      <c r="BK231" s="107" t="n">
        <v>0</v>
      </c>
      <c r="BL231" s="107" t="n">
        <v>0</v>
      </c>
      <c r="BM231" s="107" t="n">
        <v>0</v>
      </c>
      <c r="BN231" s="107" t="n">
        <v>0</v>
      </c>
      <c r="BO231" s="107" t="s">
        <v>107</v>
      </c>
      <c r="BP231" s="2"/>
      <c r="BQ231" s="107" t="s">
        <v>369</v>
      </c>
      <c r="BR231" s="107" t="n">
        <v>-157172922</v>
      </c>
      <c r="BS231" s="107" t="n">
        <v>0</v>
      </c>
      <c r="BT231" s="107" t="n">
        <v>0</v>
      </c>
      <c r="BU231" s="107" t="n">
        <v>30708</v>
      </c>
      <c r="BV231" s="107" t="n">
        <v>44062909</v>
      </c>
      <c r="BW231" s="107" t="n">
        <v>26277.78</v>
      </c>
      <c r="BX231" s="107" t="n">
        <v>35695736</v>
      </c>
      <c r="BY231" s="107" t="n">
        <v>0</v>
      </c>
      <c r="BZ231" s="107" t="n">
        <v>0</v>
      </c>
      <c r="CA231" s="107" t="n">
        <v>1434.9</v>
      </c>
      <c r="CB231" s="2"/>
      <c r="CC231" s="107" t="n">
        <v>0</v>
      </c>
      <c r="CD231" s="107" t="n">
        <v>99.13</v>
      </c>
      <c r="CE231" s="107" t="n">
        <v>99.1</v>
      </c>
      <c r="CF231" s="107" t="n">
        <v>99.15</v>
      </c>
      <c r="CG231" s="107" t="n">
        <v>0</v>
      </c>
      <c r="CH231" s="107" t="n">
        <v>2.4377</v>
      </c>
      <c r="CI231" s="107" t="n">
        <v>97.93</v>
      </c>
      <c r="CJ231" s="107" t="n">
        <v>97.92</v>
      </c>
      <c r="CK231" s="107" t="n">
        <v>97.99</v>
      </c>
      <c r="CL231" s="107" t="n">
        <v>0</v>
      </c>
    </row>
    <row r="232" customFormat="false" ht="15" hidden="false" customHeight="false" outlineLevel="0" collapsed="false">
      <c r="A232" s="107" t="s">
        <v>681</v>
      </c>
      <c r="B232" s="107" t="n">
        <v>98.9959</v>
      </c>
      <c r="C232" s="107" t="n">
        <v>5.7687</v>
      </c>
      <c r="D232" s="107" t="n">
        <v>2.4393</v>
      </c>
      <c r="E232" s="107" t="n">
        <v>-241.48069887</v>
      </c>
      <c r="F232" s="108" t="s">
        <v>358</v>
      </c>
      <c r="G232" s="107" t="n">
        <v>2.4393</v>
      </c>
      <c r="H232" s="107" t="n">
        <v>-241.48069887</v>
      </c>
      <c r="I232" s="109" t="n">
        <v>47301</v>
      </c>
      <c r="J232" s="107" t="n">
        <v>3</v>
      </c>
      <c r="K232" s="107" t="s">
        <v>359</v>
      </c>
      <c r="L232" s="107" t="s">
        <v>298</v>
      </c>
      <c r="M232" s="107" t="n">
        <v>2439300</v>
      </c>
      <c r="N232" s="107" t="n">
        <v>100.905</v>
      </c>
      <c r="O232" s="107" t="n">
        <v>989959</v>
      </c>
      <c r="P232" s="107" t="s">
        <v>472</v>
      </c>
      <c r="Q232" s="107" t="s">
        <v>377</v>
      </c>
      <c r="R232" s="107" t="n">
        <v>-0.0866269680785828</v>
      </c>
      <c r="S232" s="107" t="n">
        <v>-0.0189197760269561</v>
      </c>
      <c r="T232" s="107" t="n">
        <v>-248.45001023</v>
      </c>
      <c r="U232" s="107" t="n">
        <v>21069</v>
      </c>
      <c r="V232" s="108" t="s">
        <v>362</v>
      </c>
      <c r="W232" s="107" t="n">
        <v>34578</v>
      </c>
      <c r="X232" s="108" t="s">
        <v>372</v>
      </c>
      <c r="Y232" s="107" t="s">
        <v>681</v>
      </c>
      <c r="Z232" s="107" t="s">
        <v>682</v>
      </c>
      <c r="AA232" s="109" t="n">
        <v>45749</v>
      </c>
      <c r="AB232" s="107" t="n">
        <v>250402000002</v>
      </c>
      <c r="AC232" s="109" t="n">
        <v>45475</v>
      </c>
      <c r="AD232" s="109" t="n">
        <v>47301</v>
      </c>
      <c r="AE232" s="107" t="n">
        <v>5.375</v>
      </c>
      <c r="AF232" s="107" t="n">
        <v>2.5074</v>
      </c>
      <c r="AG232" s="107" t="n">
        <v>1006</v>
      </c>
      <c r="AH232" s="107" t="n">
        <v>2000000</v>
      </c>
      <c r="AI232" s="107" t="n">
        <v>5.206088</v>
      </c>
      <c r="AJ232" s="107" t="n">
        <v>100.628</v>
      </c>
      <c r="AK232" s="107" t="n">
        <v>4.311849</v>
      </c>
      <c r="AL232" s="107" t="n">
        <v>104.041289</v>
      </c>
      <c r="AM232" s="107" t="n">
        <v>5.7166</v>
      </c>
      <c r="AN232" s="107" t="n">
        <v>99.1271</v>
      </c>
      <c r="AO232" s="107" t="n">
        <v>1358.4</v>
      </c>
      <c r="AP232" s="107" t="n">
        <v>1</v>
      </c>
      <c r="AQ232" s="107" t="n">
        <v>1982542</v>
      </c>
      <c r="AR232" s="107" t="n">
        <v>2693085053</v>
      </c>
      <c r="AS232" s="107" t="n">
        <v>2054548</v>
      </c>
      <c r="AT232" s="107" t="n">
        <v>2948070925</v>
      </c>
      <c r="AU232" s="107" t="n">
        <v>-72006</v>
      </c>
      <c r="AV232" s="107" t="n">
        <v>-97812950</v>
      </c>
      <c r="AW232" s="107" t="n">
        <v>0</v>
      </c>
      <c r="AX232" s="107" t="n">
        <v>0</v>
      </c>
      <c r="AY232" s="107" t="n">
        <v>0</v>
      </c>
      <c r="AZ232" s="107" t="n">
        <v>0</v>
      </c>
      <c r="BA232" s="107" t="n">
        <v>0</v>
      </c>
      <c r="BB232" s="107" t="n">
        <v>0</v>
      </c>
      <c r="BC232" s="107" t="n">
        <v>0</v>
      </c>
      <c r="BD232" s="107" t="n">
        <v>0</v>
      </c>
      <c r="BE232" s="107" t="n">
        <v>26277.78</v>
      </c>
      <c r="BF232" s="107" t="n">
        <v>35695736</v>
      </c>
      <c r="BG232" s="107" t="n">
        <v>0</v>
      </c>
      <c r="BH232" s="107" t="n">
        <v>0</v>
      </c>
      <c r="BI232" s="107" t="n">
        <v>2012560</v>
      </c>
      <c r="BJ232" s="107" t="n">
        <v>2887822344</v>
      </c>
      <c r="BK232" s="107" t="n">
        <v>0</v>
      </c>
      <c r="BL232" s="107" t="n">
        <v>0</v>
      </c>
      <c r="BM232" s="107" t="n">
        <v>0</v>
      </c>
      <c r="BN232" s="107" t="n">
        <v>0</v>
      </c>
      <c r="BO232" s="107" t="s">
        <v>107</v>
      </c>
      <c r="BP232" s="2"/>
      <c r="BQ232" s="107" t="s">
        <v>369</v>
      </c>
      <c r="BR232" s="107" t="n">
        <v>-157172922</v>
      </c>
      <c r="BS232" s="107" t="n">
        <v>0</v>
      </c>
      <c r="BT232" s="107" t="n">
        <v>0</v>
      </c>
      <c r="BU232" s="107" t="n">
        <v>41988</v>
      </c>
      <c r="BV232" s="107" t="n">
        <v>60248581</v>
      </c>
      <c r="BW232" s="107" t="n">
        <v>26277.78</v>
      </c>
      <c r="BX232" s="107" t="n">
        <v>35695736</v>
      </c>
      <c r="BY232" s="107" t="n">
        <v>0</v>
      </c>
      <c r="BZ232" s="107" t="n">
        <v>0</v>
      </c>
      <c r="CA232" s="107" t="n">
        <v>1434.9</v>
      </c>
      <c r="CB232" s="2"/>
      <c r="CC232" s="107" t="n">
        <v>0</v>
      </c>
      <c r="CD232" s="107" t="n">
        <v>99.13</v>
      </c>
      <c r="CE232" s="107" t="n">
        <v>99.1</v>
      </c>
      <c r="CF232" s="107" t="n">
        <v>99.15</v>
      </c>
      <c r="CG232" s="107" t="n">
        <v>0</v>
      </c>
      <c r="CH232" s="107" t="n">
        <v>2.4377</v>
      </c>
      <c r="CI232" s="107" t="n">
        <v>99.02</v>
      </c>
      <c r="CJ232" s="107" t="n">
        <v>99.01</v>
      </c>
      <c r="CK232" s="107" t="n">
        <v>99.04</v>
      </c>
      <c r="CL232" s="107" t="n">
        <v>0</v>
      </c>
    </row>
    <row r="233" customFormat="false" ht="15" hidden="false" customHeight="false" outlineLevel="0" collapsed="false">
      <c r="A233" s="107" t="s">
        <v>681</v>
      </c>
      <c r="B233" s="107" t="n">
        <v>98.9959</v>
      </c>
      <c r="C233" s="107" t="n">
        <v>5.7687</v>
      </c>
      <c r="D233" s="107" t="n">
        <v>2.4393</v>
      </c>
      <c r="E233" s="107" t="n">
        <v>-724.44209661</v>
      </c>
      <c r="F233" s="108" t="s">
        <v>358</v>
      </c>
      <c r="G233" s="107" t="n">
        <v>2.4393</v>
      </c>
      <c r="H233" s="107" t="n">
        <v>-724.44209661</v>
      </c>
      <c r="I233" s="109" t="n">
        <v>47301</v>
      </c>
      <c r="J233" s="107" t="n">
        <v>3</v>
      </c>
      <c r="K233" s="107" t="s">
        <v>359</v>
      </c>
      <c r="L233" s="107" t="s">
        <v>298</v>
      </c>
      <c r="M233" s="107" t="n">
        <v>7317900</v>
      </c>
      <c r="N233" s="107" t="n">
        <v>100.958</v>
      </c>
      <c r="O233" s="107" t="n">
        <v>2969877</v>
      </c>
      <c r="P233" s="107" t="s">
        <v>472</v>
      </c>
      <c r="Q233" s="107" t="s">
        <v>377</v>
      </c>
      <c r="R233" s="107" t="n">
        <v>-0.0866269678720357</v>
      </c>
      <c r="S233" s="107" t="n">
        <v>-0.0194348144773073</v>
      </c>
      <c r="T233" s="107" t="n">
        <v>-745.35003069</v>
      </c>
      <c r="U233" s="107" t="n">
        <v>21069</v>
      </c>
      <c r="V233" s="108" t="s">
        <v>362</v>
      </c>
      <c r="W233" s="107" t="n">
        <v>34578</v>
      </c>
      <c r="X233" s="108" t="s">
        <v>372</v>
      </c>
      <c r="Y233" s="107" t="s">
        <v>681</v>
      </c>
      <c r="Z233" s="107" t="s">
        <v>682</v>
      </c>
      <c r="AA233" s="109" t="n">
        <v>45749</v>
      </c>
      <c r="AB233" s="107" t="n">
        <v>250402000003</v>
      </c>
      <c r="AC233" s="109" t="n">
        <v>45475</v>
      </c>
      <c r="AD233" s="109" t="n">
        <v>47301</v>
      </c>
      <c r="AE233" s="107" t="n">
        <v>5.375</v>
      </c>
      <c r="AF233" s="107" t="n">
        <v>2.5074</v>
      </c>
      <c r="AG233" s="107" t="n">
        <v>1006</v>
      </c>
      <c r="AH233" s="107" t="n">
        <v>1000000</v>
      </c>
      <c r="AI233" s="107" t="n">
        <v>5.200012</v>
      </c>
      <c r="AJ233" s="107" t="n">
        <v>100.651</v>
      </c>
      <c r="AK233" s="107" t="n">
        <v>4.311849</v>
      </c>
      <c r="AL233" s="107" t="n">
        <v>104.041289</v>
      </c>
      <c r="AM233" s="107" t="n">
        <v>5.7166</v>
      </c>
      <c r="AN233" s="107" t="n">
        <v>99.1271</v>
      </c>
      <c r="AO233" s="107" t="n">
        <v>1358.4</v>
      </c>
      <c r="AP233" s="107" t="n">
        <v>1</v>
      </c>
      <c r="AQ233" s="107" t="n">
        <v>991271</v>
      </c>
      <c r="AR233" s="107" t="n">
        <v>1346542526</v>
      </c>
      <c r="AS233" s="107" t="n">
        <v>1027274</v>
      </c>
      <c r="AT233" s="107" t="n">
        <v>1474035463</v>
      </c>
      <c r="AU233" s="107" t="n">
        <v>-36003</v>
      </c>
      <c r="AV233" s="107" t="n">
        <v>-48906476</v>
      </c>
      <c r="AW233" s="107" t="n">
        <v>0</v>
      </c>
      <c r="AX233" s="107" t="n">
        <v>0</v>
      </c>
      <c r="AY233" s="107" t="n">
        <v>0</v>
      </c>
      <c r="AZ233" s="107" t="n">
        <v>0</v>
      </c>
      <c r="BA233" s="107" t="n">
        <v>0</v>
      </c>
      <c r="BB233" s="107" t="n">
        <v>0</v>
      </c>
      <c r="BC233" s="107" t="n">
        <v>0</v>
      </c>
      <c r="BD233" s="107" t="n">
        <v>0</v>
      </c>
      <c r="BE233" s="107" t="n">
        <v>13138.89</v>
      </c>
      <c r="BF233" s="107" t="n">
        <v>17847868</v>
      </c>
      <c r="BG233" s="107" t="n">
        <v>0</v>
      </c>
      <c r="BH233" s="107" t="n">
        <v>0</v>
      </c>
      <c r="BI233" s="107" t="n">
        <v>1006510</v>
      </c>
      <c r="BJ233" s="107" t="n">
        <v>1444241199</v>
      </c>
      <c r="BK233" s="107" t="n">
        <v>0</v>
      </c>
      <c r="BL233" s="107" t="n">
        <v>0</v>
      </c>
      <c r="BM233" s="107" t="n">
        <v>0</v>
      </c>
      <c r="BN233" s="107" t="n">
        <v>0</v>
      </c>
      <c r="BO233" s="107" t="s">
        <v>107</v>
      </c>
      <c r="BP233" s="2"/>
      <c r="BQ233" s="107" t="s">
        <v>369</v>
      </c>
      <c r="BR233" s="107" t="n">
        <v>-78586461</v>
      </c>
      <c r="BS233" s="107" t="n">
        <v>0</v>
      </c>
      <c r="BT233" s="107" t="n">
        <v>0</v>
      </c>
      <c r="BU233" s="107" t="n">
        <v>20764</v>
      </c>
      <c r="BV233" s="107" t="n">
        <v>29794264</v>
      </c>
      <c r="BW233" s="107" t="n">
        <v>13138.89</v>
      </c>
      <c r="BX233" s="107" t="n">
        <v>17847868</v>
      </c>
      <c r="BY233" s="107" t="n">
        <v>0</v>
      </c>
      <c r="BZ233" s="107" t="n">
        <v>0</v>
      </c>
      <c r="CA233" s="107" t="n">
        <v>1434.9</v>
      </c>
      <c r="CB233" s="2"/>
      <c r="CC233" s="107" t="n">
        <v>0</v>
      </c>
      <c r="CD233" s="107" t="n">
        <v>99.13</v>
      </c>
      <c r="CE233" s="107" t="n">
        <v>99.1</v>
      </c>
      <c r="CF233" s="107" t="n">
        <v>99.15</v>
      </c>
      <c r="CG233" s="107" t="n">
        <v>0</v>
      </c>
      <c r="CH233" s="107" t="n">
        <v>2.4377</v>
      </c>
      <c r="CI233" s="107" t="n">
        <v>103.94</v>
      </c>
      <c r="CJ233" s="107" t="n">
        <v>103.97</v>
      </c>
      <c r="CK233" s="107" t="n">
        <v>104.02</v>
      </c>
      <c r="CL233" s="107" t="n">
        <v>5000000</v>
      </c>
    </row>
    <row r="234" customFormat="false" ht="15" hidden="false" customHeight="false" outlineLevel="0" collapsed="false">
      <c r="A234" s="107" t="s">
        <v>681</v>
      </c>
      <c r="B234" s="107" t="n">
        <v>98.9959</v>
      </c>
      <c r="C234" s="107" t="n">
        <v>5.7687</v>
      </c>
      <c r="D234" s="107" t="n">
        <v>2.4393</v>
      </c>
      <c r="E234" s="107" t="n">
        <v>-724.44209661</v>
      </c>
      <c r="F234" s="108" t="s">
        <v>358</v>
      </c>
      <c r="G234" s="107" t="n">
        <v>2.4393</v>
      </c>
      <c r="H234" s="107" t="n">
        <v>-724.44209661</v>
      </c>
      <c r="I234" s="109" t="n">
        <v>47301</v>
      </c>
      <c r="J234" s="107" t="n">
        <v>3</v>
      </c>
      <c r="K234" s="107" t="s">
        <v>359</v>
      </c>
      <c r="L234" s="107" t="s">
        <v>298</v>
      </c>
      <c r="M234" s="107" t="n">
        <v>7317900</v>
      </c>
      <c r="N234" s="107" t="n">
        <v>99.085</v>
      </c>
      <c r="O234" s="107" t="n">
        <v>2969877</v>
      </c>
      <c r="P234" s="107" t="s">
        <v>472</v>
      </c>
      <c r="Q234" s="107" t="s">
        <v>377</v>
      </c>
      <c r="R234" s="107" t="n">
        <v>-0.0866269678720357</v>
      </c>
      <c r="S234" s="107" t="n">
        <v>-0.000899227935610703</v>
      </c>
      <c r="T234" s="107" t="n">
        <v>-745.35003069</v>
      </c>
      <c r="U234" s="107" t="n">
        <v>21069</v>
      </c>
      <c r="V234" s="108" t="s">
        <v>362</v>
      </c>
      <c r="W234" s="107" t="n">
        <v>34578</v>
      </c>
      <c r="X234" s="108" t="s">
        <v>372</v>
      </c>
      <c r="Y234" s="107" t="s">
        <v>681</v>
      </c>
      <c r="Z234" s="107" t="s">
        <v>682</v>
      </c>
      <c r="AA234" s="109" t="n">
        <v>45755</v>
      </c>
      <c r="AB234" s="107" t="n">
        <v>250408000001</v>
      </c>
      <c r="AC234" s="109" t="n">
        <v>45475</v>
      </c>
      <c r="AD234" s="109" t="n">
        <v>47301</v>
      </c>
      <c r="AE234" s="107" t="n">
        <v>5.375</v>
      </c>
      <c r="AF234" s="107" t="n">
        <v>2.5074</v>
      </c>
      <c r="AG234" s="107" t="n">
        <v>1006</v>
      </c>
      <c r="AH234" s="107" t="n">
        <v>1000000</v>
      </c>
      <c r="AI234" s="107" t="n">
        <v>5.13218</v>
      </c>
      <c r="AJ234" s="107" t="n">
        <v>100.905</v>
      </c>
      <c r="AK234" s="107" t="n">
        <v>4.311849</v>
      </c>
      <c r="AL234" s="107" t="n">
        <v>104.041289</v>
      </c>
      <c r="AM234" s="107" t="n">
        <v>5.7166</v>
      </c>
      <c r="AN234" s="107" t="n">
        <v>99.1271</v>
      </c>
      <c r="AO234" s="107" t="n">
        <v>1358.4</v>
      </c>
      <c r="AP234" s="107" t="n">
        <v>1</v>
      </c>
      <c r="AQ234" s="107" t="n">
        <v>991271</v>
      </c>
      <c r="AR234" s="107" t="n">
        <v>1346542526</v>
      </c>
      <c r="AS234" s="107" t="n">
        <v>1027274</v>
      </c>
      <c r="AT234" s="107" t="n">
        <v>1474035463</v>
      </c>
      <c r="AU234" s="107" t="n">
        <v>-36003</v>
      </c>
      <c r="AV234" s="107" t="n">
        <v>-48906476</v>
      </c>
      <c r="AW234" s="107" t="n">
        <v>0</v>
      </c>
      <c r="AX234" s="107" t="n">
        <v>0</v>
      </c>
      <c r="AY234" s="107" t="n">
        <v>0</v>
      </c>
      <c r="AZ234" s="107" t="n">
        <v>0</v>
      </c>
      <c r="BA234" s="107" t="n">
        <v>0</v>
      </c>
      <c r="BB234" s="107" t="n">
        <v>0</v>
      </c>
      <c r="BC234" s="107" t="n">
        <v>0</v>
      </c>
      <c r="BD234" s="107" t="n">
        <v>0</v>
      </c>
      <c r="BE234" s="107" t="n">
        <v>13138.89</v>
      </c>
      <c r="BF234" s="107" t="n">
        <v>17847868</v>
      </c>
      <c r="BG234" s="107" t="n">
        <v>0</v>
      </c>
      <c r="BH234" s="107" t="n">
        <v>0</v>
      </c>
      <c r="BI234" s="107" t="n">
        <v>1009050</v>
      </c>
      <c r="BJ234" s="107" t="n">
        <v>1447885845</v>
      </c>
      <c r="BK234" s="107" t="n">
        <v>0</v>
      </c>
      <c r="BL234" s="107" t="n">
        <v>0</v>
      </c>
      <c r="BM234" s="107" t="n">
        <v>0</v>
      </c>
      <c r="BN234" s="107" t="n">
        <v>0</v>
      </c>
      <c r="BO234" s="107" t="s">
        <v>107</v>
      </c>
      <c r="BP234" s="2"/>
      <c r="BQ234" s="107" t="s">
        <v>369</v>
      </c>
      <c r="BR234" s="107" t="n">
        <v>-78586461</v>
      </c>
      <c r="BS234" s="107" t="n">
        <v>0</v>
      </c>
      <c r="BT234" s="107" t="n">
        <v>0</v>
      </c>
      <c r="BU234" s="107" t="n">
        <v>18224</v>
      </c>
      <c r="BV234" s="107" t="n">
        <v>26149618</v>
      </c>
      <c r="BW234" s="107" t="n">
        <v>13138.89</v>
      </c>
      <c r="BX234" s="107" t="n">
        <v>17847868</v>
      </c>
      <c r="BY234" s="107" t="n">
        <v>0</v>
      </c>
      <c r="BZ234" s="107" t="n">
        <v>0</v>
      </c>
      <c r="CA234" s="107" t="n">
        <v>1434.9</v>
      </c>
      <c r="CB234" s="2"/>
      <c r="CC234" s="107" t="n">
        <v>0</v>
      </c>
      <c r="CD234" s="107" t="n">
        <v>99.13</v>
      </c>
      <c r="CE234" s="107" t="n">
        <v>99.1</v>
      </c>
      <c r="CF234" s="107" t="n">
        <v>99.15</v>
      </c>
      <c r="CG234" s="107" t="n">
        <v>0</v>
      </c>
      <c r="CH234" s="107" t="n">
        <v>2.4377</v>
      </c>
      <c r="CI234" s="107" t="n">
        <v>100.11</v>
      </c>
      <c r="CJ234" s="107" t="n">
        <v>100.14</v>
      </c>
      <c r="CK234" s="107" t="n">
        <v>100.2</v>
      </c>
      <c r="CL234" s="107" t="n">
        <v>0</v>
      </c>
    </row>
    <row r="235" customFormat="false" ht="15" hidden="false" customHeight="false" outlineLevel="0" collapsed="false">
      <c r="A235" s="107" t="s">
        <v>681</v>
      </c>
      <c r="B235" s="107" t="n">
        <v>98.9959</v>
      </c>
      <c r="C235" s="107" t="n">
        <v>5.7687</v>
      </c>
      <c r="D235" s="107" t="n">
        <v>2.4393</v>
      </c>
      <c r="E235" s="107" t="n">
        <v>-1207.40349435</v>
      </c>
      <c r="F235" s="108" t="s">
        <v>358</v>
      </c>
      <c r="G235" s="107" t="n">
        <v>2.4393</v>
      </c>
      <c r="H235" s="107" t="n">
        <v>-1207.40349435</v>
      </c>
      <c r="I235" s="109" t="n">
        <v>47301</v>
      </c>
      <c r="J235" s="107" t="n">
        <v>3</v>
      </c>
      <c r="K235" s="107" t="s">
        <v>359</v>
      </c>
      <c r="L235" s="107" t="s">
        <v>298</v>
      </c>
      <c r="M235" s="107" t="n">
        <v>12196500</v>
      </c>
      <c r="N235" s="107" t="n">
        <v>102.727</v>
      </c>
      <c r="O235" s="107" t="n">
        <v>4949795</v>
      </c>
      <c r="P235" s="107" t="s">
        <v>472</v>
      </c>
      <c r="Q235" s="107" t="s">
        <v>377</v>
      </c>
      <c r="R235" s="107" t="n">
        <v>-0.0866269678307263</v>
      </c>
      <c r="S235" s="107" t="n">
        <v>-0.0363205389040856</v>
      </c>
      <c r="T235" s="107" t="n">
        <v>-1242.25005115</v>
      </c>
      <c r="U235" s="107" t="n">
        <v>21069</v>
      </c>
      <c r="V235" s="108" t="s">
        <v>362</v>
      </c>
      <c r="W235" s="107" t="n">
        <v>34578</v>
      </c>
      <c r="X235" s="108" t="s">
        <v>372</v>
      </c>
      <c r="Y235" s="107" t="s">
        <v>681</v>
      </c>
      <c r="Z235" s="107" t="s">
        <v>682</v>
      </c>
      <c r="AA235" s="109" t="n">
        <v>45755</v>
      </c>
      <c r="AB235" s="107" t="n">
        <v>250408000002</v>
      </c>
      <c r="AC235" s="109" t="n">
        <v>45475</v>
      </c>
      <c r="AD235" s="109" t="n">
        <v>47301</v>
      </c>
      <c r="AE235" s="107" t="n">
        <v>5.375</v>
      </c>
      <c r="AF235" s="107" t="n">
        <v>2.5074</v>
      </c>
      <c r="AG235" s="107" t="n">
        <v>1006</v>
      </c>
      <c r="AH235" s="107" t="n">
        <v>3000000</v>
      </c>
      <c r="AI235" s="107" t="n">
        <v>5.11818</v>
      </c>
      <c r="AJ235" s="107" t="n">
        <v>100.958</v>
      </c>
      <c r="AK235" s="107" t="n">
        <v>4.311849</v>
      </c>
      <c r="AL235" s="107" t="n">
        <v>104.041289</v>
      </c>
      <c r="AM235" s="107" t="n">
        <v>5.7166</v>
      </c>
      <c r="AN235" s="107" t="n">
        <v>99.1271</v>
      </c>
      <c r="AO235" s="107" t="n">
        <v>1358.4</v>
      </c>
      <c r="AP235" s="107" t="n">
        <v>1</v>
      </c>
      <c r="AQ235" s="107" t="n">
        <v>2973813</v>
      </c>
      <c r="AR235" s="107" t="n">
        <v>4039627579</v>
      </c>
      <c r="AS235" s="107" t="n">
        <v>3081822</v>
      </c>
      <c r="AT235" s="107" t="n">
        <v>4422106388</v>
      </c>
      <c r="AU235" s="107" t="n">
        <v>-108009</v>
      </c>
      <c r="AV235" s="107" t="n">
        <v>-146719426</v>
      </c>
      <c r="AW235" s="107" t="n">
        <v>0</v>
      </c>
      <c r="AX235" s="107" t="n">
        <v>0</v>
      </c>
      <c r="AY235" s="107" t="n">
        <v>0</v>
      </c>
      <c r="AZ235" s="107" t="n">
        <v>0</v>
      </c>
      <c r="BA235" s="107" t="n">
        <v>0</v>
      </c>
      <c r="BB235" s="107" t="n">
        <v>0</v>
      </c>
      <c r="BC235" s="107" t="n">
        <v>0</v>
      </c>
      <c r="BD235" s="107" t="n">
        <v>0</v>
      </c>
      <c r="BE235" s="107" t="n">
        <v>39416.67</v>
      </c>
      <c r="BF235" s="107" t="n">
        <v>53543604</v>
      </c>
      <c r="BG235" s="107" t="n">
        <v>0</v>
      </c>
      <c r="BH235" s="107" t="n">
        <v>0</v>
      </c>
      <c r="BI235" s="107" t="n">
        <v>3028740</v>
      </c>
      <c r="BJ235" s="107" t="n">
        <v>4345939026</v>
      </c>
      <c r="BK235" s="107" t="n">
        <v>0</v>
      </c>
      <c r="BL235" s="107" t="n">
        <v>0</v>
      </c>
      <c r="BM235" s="107" t="n">
        <v>0</v>
      </c>
      <c r="BN235" s="107" t="n">
        <v>0</v>
      </c>
      <c r="BO235" s="107" t="s">
        <v>107</v>
      </c>
      <c r="BP235" s="2"/>
      <c r="BQ235" s="107" t="s">
        <v>369</v>
      </c>
      <c r="BR235" s="107" t="n">
        <v>-235759383</v>
      </c>
      <c r="BS235" s="107" t="n">
        <v>0</v>
      </c>
      <c r="BT235" s="107" t="n">
        <v>0</v>
      </c>
      <c r="BU235" s="107" t="n">
        <v>53082</v>
      </c>
      <c r="BV235" s="107" t="n">
        <v>76167362</v>
      </c>
      <c r="BW235" s="107" t="n">
        <v>39416.67</v>
      </c>
      <c r="BX235" s="107" t="n">
        <v>53543604</v>
      </c>
      <c r="BY235" s="107" t="n">
        <v>0</v>
      </c>
      <c r="BZ235" s="107" t="n">
        <v>0</v>
      </c>
      <c r="CA235" s="107" t="n">
        <v>1434.9</v>
      </c>
      <c r="CB235" s="2"/>
      <c r="CC235" s="107" t="n">
        <v>0</v>
      </c>
      <c r="CD235" s="107" t="n">
        <v>99.13</v>
      </c>
      <c r="CE235" s="107" t="n">
        <v>99.1</v>
      </c>
      <c r="CF235" s="107" t="n">
        <v>99.15</v>
      </c>
      <c r="CG235" s="107" t="n">
        <v>0</v>
      </c>
      <c r="CH235" s="107" t="n">
        <v>2.4377</v>
      </c>
      <c r="CI235" s="107" t="n">
        <v>98.3</v>
      </c>
      <c r="CJ235" s="107" t="n">
        <v>98.35</v>
      </c>
      <c r="CK235" s="107" t="n">
        <v>98.41</v>
      </c>
      <c r="CL235" s="107" t="n">
        <v>6000000</v>
      </c>
    </row>
    <row r="236" customFormat="false" ht="15" hidden="false" customHeight="false" outlineLevel="0" collapsed="false">
      <c r="A236" s="107" t="s">
        <v>681</v>
      </c>
      <c r="B236" s="107" t="n">
        <v>98.9959</v>
      </c>
      <c r="C236" s="107" t="n">
        <v>5.7687</v>
      </c>
      <c r="D236" s="107" t="n">
        <v>2.4393</v>
      </c>
      <c r="E236" s="107" t="n">
        <v>-1207.40349435</v>
      </c>
      <c r="F236" s="108" t="s">
        <v>358</v>
      </c>
      <c r="G236" s="107" t="n">
        <v>2.4393</v>
      </c>
      <c r="H236" s="107" t="n">
        <v>-1207.40349435</v>
      </c>
      <c r="I236" s="109" t="n">
        <v>47301</v>
      </c>
      <c r="J236" s="107" t="n">
        <v>3</v>
      </c>
      <c r="K236" s="107" t="s">
        <v>359</v>
      </c>
      <c r="L236" s="107" t="s">
        <v>298</v>
      </c>
      <c r="M236" s="107" t="n">
        <v>12196500</v>
      </c>
      <c r="N236" s="107" t="n">
        <v>102.859</v>
      </c>
      <c r="O236" s="107" t="n">
        <v>4949795</v>
      </c>
      <c r="P236" s="107" t="s">
        <v>472</v>
      </c>
      <c r="Q236" s="107" t="s">
        <v>377</v>
      </c>
      <c r="R236" s="107" t="n">
        <v>-0.111752065979784</v>
      </c>
      <c r="S236" s="107" t="n">
        <v>-0.0375572385498594</v>
      </c>
      <c r="T236" s="107" t="n">
        <v>-1242.25005115</v>
      </c>
      <c r="U236" s="107" t="n">
        <v>21069</v>
      </c>
      <c r="V236" s="108" t="s">
        <v>362</v>
      </c>
      <c r="W236" s="107" t="n">
        <v>34578</v>
      </c>
      <c r="X236" s="108" t="s">
        <v>372</v>
      </c>
      <c r="Y236" s="107" t="s">
        <v>681</v>
      </c>
      <c r="Z236" s="107" t="s">
        <v>682</v>
      </c>
      <c r="AA236" s="109" t="n">
        <v>45761</v>
      </c>
      <c r="AB236" s="107" t="n">
        <v>250414000001</v>
      </c>
      <c r="AC236" s="109" t="n">
        <v>45475</v>
      </c>
      <c r="AD236" s="109" t="n">
        <v>47301</v>
      </c>
      <c r="AE236" s="107" t="n">
        <v>5.375</v>
      </c>
      <c r="AF236" s="107" t="n">
        <v>2.5074</v>
      </c>
      <c r="AG236" s="107" t="n">
        <v>1006</v>
      </c>
      <c r="AH236" s="107" t="n">
        <v>3000000</v>
      </c>
      <c r="AI236" s="107" t="n">
        <v>5.61927</v>
      </c>
      <c r="AJ236" s="107" t="n">
        <v>99.085</v>
      </c>
      <c r="AK236" s="107" t="n">
        <v>4.311849</v>
      </c>
      <c r="AL236" s="107" t="n">
        <v>104.041289</v>
      </c>
      <c r="AM236" s="107" t="n">
        <v>5.7166</v>
      </c>
      <c r="AN236" s="107" t="n">
        <v>99.1271</v>
      </c>
      <c r="AO236" s="107" t="n">
        <v>1358.4</v>
      </c>
      <c r="AP236" s="107" t="n">
        <v>1</v>
      </c>
      <c r="AQ236" s="107" t="n">
        <v>2973813</v>
      </c>
      <c r="AR236" s="107" t="n">
        <v>4039627579</v>
      </c>
      <c r="AS236" s="107" t="n">
        <v>3081822</v>
      </c>
      <c r="AT236" s="107" t="n">
        <v>4422106388</v>
      </c>
      <c r="AU236" s="107" t="n">
        <v>-108009</v>
      </c>
      <c r="AV236" s="107" t="n">
        <v>-146719426</v>
      </c>
      <c r="AW236" s="107" t="n">
        <v>0</v>
      </c>
      <c r="AX236" s="107" t="n">
        <v>0</v>
      </c>
      <c r="AY236" s="107" t="n">
        <v>0</v>
      </c>
      <c r="AZ236" s="107" t="n">
        <v>0</v>
      </c>
      <c r="BA236" s="107" t="n">
        <v>0</v>
      </c>
      <c r="BB236" s="107" t="n">
        <v>0</v>
      </c>
      <c r="BC236" s="107" t="n">
        <v>0</v>
      </c>
      <c r="BD236" s="107" t="n">
        <v>0</v>
      </c>
      <c r="BE236" s="107" t="n">
        <v>39416.67</v>
      </c>
      <c r="BF236" s="107" t="n">
        <v>53543604</v>
      </c>
      <c r="BG236" s="107" t="n">
        <v>0</v>
      </c>
      <c r="BH236" s="107" t="n">
        <v>0</v>
      </c>
      <c r="BI236" s="107" t="n">
        <v>2972550</v>
      </c>
      <c r="BJ236" s="107" t="n">
        <v>4265311995</v>
      </c>
      <c r="BK236" s="107" t="n">
        <v>0</v>
      </c>
      <c r="BL236" s="107" t="n">
        <v>0</v>
      </c>
      <c r="BM236" s="107" t="n">
        <v>0</v>
      </c>
      <c r="BN236" s="107" t="n">
        <v>0</v>
      </c>
      <c r="BO236" s="107" t="s">
        <v>107</v>
      </c>
      <c r="BP236" s="2"/>
      <c r="BQ236" s="107" t="s">
        <v>369</v>
      </c>
      <c r="BR236" s="107" t="n">
        <v>-235759383</v>
      </c>
      <c r="BS236" s="107" t="n">
        <v>0</v>
      </c>
      <c r="BT236" s="107" t="n">
        <v>0</v>
      </c>
      <c r="BU236" s="107" t="n">
        <v>109272</v>
      </c>
      <c r="BV236" s="107" t="n">
        <v>156794393</v>
      </c>
      <c r="BW236" s="107" t="n">
        <v>39416.67</v>
      </c>
      <c r="BX236" s="107" t="n">
        <v>53543604</v>
      </c>
      <c r="BY236" s="107" t="n">
        <v>0</v>
      </c>
      <c r="BZ236" s="107" t="n">
        <v>0</v>
      </c>
      <c r="CA236" s="107" t="n">
        <v>1434.9</v>
      </c>
      <c r="CB236" s="2"/>
      <c r="CC236" s="107" t="n">
        <v>0</v>
      </c>
      <c r="CD236" s="107" t="n">
        <v>99.13</v>
      </c>
      <c r="CE236" s="107" t="n">
        <v>99.1</v>
      </c>
      <c r="CF236" s="107" t="n">
        <v>99.15</v>
      </c>
      <c r="CG236" s="107" t="n">
        <v>0</v>
      </c>
      <c r="CH236" s="107" t="n">
        <v>2.4377</v>
      </c>
      <c r="CI236" s="107" t="n">
        <v>98.77</v>
      </c>
      <c r="CJ236" s="107" t="n">
        <v>98.76</v>
      </c>
      <c r="CK236" s="107" t="n">
        <v>98.79</v>
      </c>
      <c r="CL236" s="107" t="n">
        <v>0</v>
      </c>
    </row>
    <row r="237" customFormat="false" ht="15" hidden="false" customHeight="false" outlineLevel="0" collapsed="false">
      <c r="A237" s="107" t="s">
        <v>681</v>
      </c>
      <c r="B237" s="107" t="n">
        <v>98.9959</v>
      </c>
      <c r="C237" s="107" t="n">
        <v>5.7687</v>
      </c>
      <c r="D237" s="107" t="n">
        <v>2.4393</v>
      </c>
      <c r="E237" s="107" t="n">
        <v>-821.034376158</v>
      </c>
      <c r="F237" s="108" t="s">
        <v>358</v>
      </c>
      <c r="G237" s="107" t="n">
        <v>2.4393</v>
      </c>
      <c r="H237" s="107" t="n">
        <v>-821.034376158</v>
      </c>
      <c r="I237" s="109" t="n">
        <v>47301</v>
      </c>
      <c r="J237" s="107" t="n">
        <v>3</v>
      </c>
      <c r="K237" s="107" t="s">
        <v>359</v>
      </c>
      <c r="L237" s="107" t="s">
        <v>298</v>
      </c>
      <c r="M237" s="107" t="n">
        <v>8293620</v>
      </c>
      <c r="N237" s="107" t="n">
        <v>102.242</v>
      </c>
      <c r="O237" s="107" t="n">
        <v>3365860.6</v>
      </c>
      <c r="P237" s="107" t="s">
        <v>472</v>
      </c>
      <c r="Q237" s="107" t="s">
        <v>377</v>
      </c>
      <c r="R237" s="107" t="n">
        <v>-0.110256006285036</v>
      </c>
      <c r="S237" s="107" t="n">
        <v>-0.0317491833101856</v>
      </c>
      <c r="T237" s="107" t="n">
        <v>-844.730034782</v>
      </c>
      <c r="U237" s="107" t="n">
        <v>21069</v>
      </c>
      <c r="V237" s="108" t="s">
        <v>362</v>
      </c>
      <c r="W237" s="107" t="n">
        <v>34578</v>
      </c>
      <c r="X237" s="108" t="s">
        <v>372</v>
      </c>
      <c r="Y237" s="107" t="s">
        <v>681</v>
      </c>
      <c r="Z237" s="107" t="s">
        <v>682</v>
      </c>
      <c r="AA237" s="109" t="n">
        <v>45973</v>
      </c>
      <c r="AB237" s="107" t="n">
        <v>251112000001</v>
      </c>
      <c r="AC237" s="109" t="n">
        <v>45475</v>
      </c>
      <c r="AD237" s="109" t="n">
        <v>47301</v>
      </c>
      <c r="AE237" s="107" t="n">
        <v>5.375</v>
      </c>
      <c r="AF237" s="107" t="n">
        <v>2.5074</v>
      </c>
      <c r="AG237" s="107" t="n">
        <v>1006</v>
      </c>
      <c r="AH237" s="107" t="n">
        <v>5000000</v>
      </c>
      <c r="AI237" s="107" t="n">
        <v>4.551516</v>
      </c>
      <c r="AJ237" s="107" t="n">
        <v>102.727</v>
      </c>
      <c r="AK237" s="107" t="n">
        <v>4.311849</v>
      </c>
      <c r="AL237" s="107" t="n">
        <v>104.041288</v>
      </c>
      <c r="AM237" s="107" t="n">
        <v>5.7166</v>
      </c>
      <c r="AN237" s="107" t="n">
        <v>99.1271</v>
      </c>
      <c r="AO237" s="107" t="n">
        <v>1358.4</v>
      </c>
      <c r="AP237" s="107" t="n">
        <v>1</v>
      </c>
      <c r="AQ237" s="107" t="n">
        <v>4956355</v>
      </c>
      <c r="AR237" s="107" t="n">
        <v>6732712632</v>
      </c>
      <c r="AS237" s="107" t="n">
        <v>5136370</v>
      </c>
      <c r="AT237" s="107" t="n">
        <v>7370177313</v>
      </c>
      <c r="AU237" s="107" t="n">
        <v>-180015</v>
      </c>
      <c r="AV237" s="107" t="n">
        <v>-244532376</v>
      </c>
      <c r="AW237" s="107" t="n">
        <v>0</v>
      </c>
      <c r="AX237" s="107" t="n">
        <v>0</v>
      </c>
      <c r="AY237" s="107" t="n">
        <v>0</v>
      </c>
      <c r="AZ237" s="107" t="n">
        <v>0</v>
      </c>
      <c r="BA237" s="107" t="n">
        <v>0</v>
      </c>
      <c r="BB237" s="107" t="n">
        <v>0</v>
      </c>
      <c r="BC237" s="107" t="n">
        <v>0</v>
      </c>
      <c r="BD237" s="107" t="n">
        <v>0</v>
      </c>
      <c r="BE237" s="107" t="n">
        <v>65694.44</v>
      </c>
      <c r="BF237" s="107" t="n">
        <v>89239327</v>
      </c>
      <c r="BG237" s="107" t="n">
        <v>0</v>
      </c>
      <c r="BH237" s="107" t="n">
        <v>0</v>
      </c>
      <c r="BI237" s="107" t="n">
        <v>5136350</v>
      </c>
      <c r="BJ237" s="107" t="n">
        <v>7370148615</v>
      </c>
      <c r="BK237" s="107" t="n">
        <v>0</v>
      </c>
      <c r="BL237" s="107" t="n">
        <v>0</v>
      </c>
      <c r="BM237" s="107" t="n">
        <v>0</v>
      </c>
      <c r="BN237" s="107" t="n">
        <v>0</v>
      </c>
      <c r="BO237" s="107" t="s">
        <v>107</v>
      </c>
      <c r="BP237" s="2"/>
      <c r="BQ237" s="107" t="s">
        <v>369</v>
      </c>
      <c r="BR237" s="107" t="n">
        <v>-392932305</v>
      </c>
      <c r="BS237" s="107" t="n">
        <v>0</v>
      </c>
      <c r="BT237" s="107" t="n">
        <v>0</v>
      </c>
      <c r="BU237" s="107" t="n">
        <v>20</v>
      </c>
      <c r="BV237" s="107" t="n">
        <v>28698</v>
      </c>
      <c r="BW237" s="107" t="n">
        <v>65694.44</v>
      </c>
      <c r="BX237" s="107" t="n">
        <v>89239327</v>
      </c>
      <c r="BY237" s="107" t="n">
        <v>0</v>
      </c>
      <c r="BZ237" s="107" t="n">
        <v>0</v>
      </c>
      <c r="CA237" s="107" t="n">
        <v>1434.9</v>
      </c>
      <c r="CB237" s="2"/>
      <c r="CC237" s="107" t="n">
        <v>0</v>
      </c>
      <c r="CD237" s="107" t="n">
        <v>99.13</v>
      </c>
      <c r="CE237" s="107" t="n">
        <v>99.1</v>
      </c>
      <c r="CF237" s="107" t="n">
        <v>99.15</v>
      </c>
      <c r="CG237" s="107" t="n">
        <v>0</v>
      </c>
      <c r="CH237" s="107" t="n">
        <v>2.4377</v>
      </c>
      <c r="CI237" s="107" t="n">
        <v>98.77</v>
      </c>
      <c r="CJ237" s="107" t="n">
        <v>98.76</v>
      </c>
      <c r="CK237" s="107" t="n">
        <v>98.79</v>
      </c>
      <c r="CL237" s="107" t="n">
        <v>1000000</v>
      </c>
    </row>
    <row r="238" customFormat="false" ht="15" hidden="false" customHeight="false" outlineLevel="0" collapsed="false">
      <c r="A238" s="107" t="s">
        <v>681</v>
      </c>
      <c r="B238" s="107" t="n">
        <v>98.9959</v>
      </c>
      <c r="C238" s="107" t="n">
        <v>5.7687</v>
      </c>
      <c r="D238" s="107" t="n">
        <v>2.4393</v>
      </c>
      <c r="E238" s="107" t="n">
        <v>-72.444209661</v>
      </c>
      <c r="F238" s="108" t="s">
        <v>358</v>
      </c>
      <c r="G238" s="107" t="n">
        <v>2.4393</v>
      </c>
      <c r="H238" s="107" t="n">
        <v>-72.444209661</v>
      </c>
      <c r="I238" s="109" t="n">
        <v>47301</v>
      </c>
      <c r="J238" s="107" t="n">
        <v>3</v>
      </c>
      <c r="K238" s="107" t="s">
        <v>359</v>
      </c>
      <c r="L238" s="107" t="s">
        <v>298</v>
      </c>
      <c r="M238" s="107" t="n">
        <v>731790</v>
      </c>
      <c r="N238" s="107" t="n">
        <v>101.537</v>
      </c>
      <c r="O238" s="107" t="n">
        <v>296987.7</v>
      </c>
      <c r="P238" s="107" t="s">
        <v>472</v>
      </c>
      <c r="Q238" s="107" t="s">
        <v>377</v>
      </c>
      <c r="R238" s="107" t="n">
        <v>-0.117905687017325</v>
      </c>
      <c r="S238" s="107" t="n">
        <v>-0.0250263450761792</v>
      </c>
      <c r="T238" s="107" t="n">
        <v>-74.535003069</v>
      </c>
      <c r="U238" s="107" t="n">
        <v>21069</v>
      </c>
      <c r="V238" s="108" t="s">
        <v>362</v>
      </c>
      <c r="W238" s="107" t="n">
        <v>34578</v>
      </c>
      <c r="X238" s="108" t="s">
        <v>372</v>
      </c>
      <c r="Y238" s="107" t="s">
        <v>681</v>
      </c>
      <c r="Z238" s="107" t="s">
        <v>682</v>
      </c>
      <c r="AA238" s="109" t="n">
        <v>46043</v>
      </c>
      <c r="AB238" s="107" t="n">
        <v>260121000001</v>
      </c>
      <c r="AC238" s="109" t="n">
        <v>45475</v>
      </c>
      <c r="AD238" s="109" t="n">
        <v>47301</v>
      </c>
      <c r="AE238" s="107" t="n">
        <v>5.375</v>
      </c>
      <c r="AF238" s="107" t="n">
        <v>2.5074</v>
      </c>
      <c r="AG238" s="107" t="n">
        <v>1006</v>
      </c>
      <c r="AH238" s="107" t="n">
        <v>5000000</v>
      </c>
      <c r="AI238" s="107" t="n">
        <v>4.469997</v>
      </c>
      <c r="AJ238" s="107" t="n">
        <v>102.859</v>
      </c>
      <c r="AK238" s="107" t="n">
        <v>4.261595</v>
      </c>
      <c r="AL238" s="107" t="n">
        <v>104.172888</v>
      </c>
      <c r="AM238" s="107" t="n">
        <v>5.7166</v>
      </c>
      <c r="AN238" s="107" t="n">
        <v>99.1271</v>
      </c>
      <c r="AO238" s="107" t="n">
        <v>1358.4</v>
      </c>
      <c r="AP238" s="107" t="n">
        <v>1</v>
      </c>
      <c r="AQ238" s="107" t="n">
        <v>4956355</v>
      </c>
      <c r="AR238" s="107" t="n">
        <v>6732712632</v>
      </c>
      <c r="AS238" s="107" t="n">
        <v>5142950</v>
      </c>
      <c r="AT238" s="107" t="n">
        <v>7578651120</v>
      </c>
      <c r="AU238" s="107" t="n">
        <v>-186595</v>
      </c>
      <c r="AV238" s="107" t="n">
        <v>-253470648</v>
      </c>
      <c r="AW238" s="107" t="n">
        <v>0</v>
      </c>
      <c r="AX238" s="107" t="n">
        <v>0</v>
      </c>
      <c r="AY238" s="107" t="n">
        <v>0</v>
      </c>
      <c r="AZ238" s="107" t="n">
        <v>0</v>
      </c>
      <c r="BA238" s="107" t="n">
        <v>0</v>
      </c>
      <c r="BB238" s="107" t="n">
        <v>0</v>
      </c>
      <c r="BC238" s="107" t="n">
        <v>0</v>
      </c>
      <c r="BD238" s="107" t="n">
        <v>0</v>
      </c>
      <c r="BE238" s="107" t="n">
        <v>65694.44</v>
      </c>
      <c r="BF238" s="107" t="n">
        <v>89239327</v>
      </c>
      <c r="BG238" s="107" t="n">
        <v>0</v>
      </c>
      <c r="BH238" s="107" t="n">
        <v>0</v>
      </c>
      <c r="BI238" s="107" t="n">
        <v>5142950</v>
      </c>
      <c r="BJ238" s="107" t="n">
        <v>7578651120</v>
      </c>
      <c r="BK238" s="107" t="n">
        <v>0</v>
      </c>
      <c r="BL238" s="107" t="n">
        <v>0</v>
      </c>
      <c r="BM238" s="107" t="n">
        <v>0</v>
      </c>
      <c r="BN238" s="107" t="n">
        <v>0</v>
      </c>
      <c r="BO238" s="107" t="s">
        <v>107</v>
      </c>
      <c r="BP238" s="2"/>
      <c r="BQ238" s="107" t="s">
        <v>369</v>
      </c>
      <c r="BR238" s="107" t="n">
        <v>-592467840</v>
      </c>
      <c r="BS238" s="107" t="n">
        <v>0</v>
      </c>
      <c r="BT238" s="107" t="n">
        <v>0</v>
      </c>
      <c r="BU238" s="107" t="n">
        <v>0</v>
      </c>
      <c r="BV238" s="107" t="n">
        <v>0</v>
      </c>
      <c r="BW238" s="107" t="n">
        <v>65694.44</v>
      </c>
      <c r="BX238" s="107" t="n">
        <v>89239327</v>
      </c>
      <c r="BY238" s="107" t="n">
        <v>0</v>
      </c>
      <c r="BZ238" s="107" t="n">
        <v>0</v>
      </c>
      <c r="CA238" s="107" t="n">
        <v>1473.6</v>
      </c>
      <c r="CB238" s="2"/>
      <c r="CC238" s="107" t="n">
        <v>0</v>
      </c>
      <c r="CD238" s="107" t="n">
        <v>99.13</v>
      </c>
      <c r="CE238" s="107" t="n">
        <v>99.1</v>
      </c>
      <c r="CF238" s="107" t="n">
        <v>99.15</v>
      </c>
      <c r="CG238" s="107" t="n">
        <v>0</v>
      </c>
      <c r="CH238" s="107" t="n">
        <v>2.4377</v>
      </c>
      <c r="CI238" s="107" t="n">
        <v>95.64</v>
      </c>
      <c r="CJ238" s="107" t="n">
        <v>95.6</v>
      </c>
      <c r="CK238" s="107" t="n">
        <v>95.62</v>
      </c>
      <c r="CL238" s="107" t="n">
        <v>0</v>
      </c>
    </row>
    <row r="239" customFormat="false" ht="15" hidden="false" customHeight="false" outlineLevel="0" collapsed="false">
      <c r="A239" s="107" t="s">
        <v>681</v>
      </c>
      <c r="B239" s="107" t="n">
        <v>98.9959</v>
      </c>
      <c r="C239" s="107" t="n">
        <v>5.7687</v>
      </c>
      <c r="D239" s="107" t="n">
        <v>2.4393</v>
      </c>
      <c r="E239" s="107" t="n">
        <v>-48.296139774</v>
      </c>
      <c r="F239" s="108" t="s">
        <v>358</v>
      </c>
      <c r="G239" s="107" t="n">
        <v>2.4393</v>
      </c>
      <c r="H239" s="107" t="n">
        <v>-48.296139774</v>
      </c>
      <c r="I239" s="109" t="n">
        <v>47301</v>
      </c>
      <c r="J239" s="107" t="n">
        <v>3</v>
      </c>
      <c r="K239" s="107" t="s">
        <v>359</v>
      </c>
      <c r="L239" s="107" t="s">
        <v>298</v>
      </c>
      <c r="M239" s="107" t="n">
        <v>487860</v>
      </c>
      <c r="N239" s="107" t="n">
        <v>101.537</v>
      </c>
      <c r="O239" s="107" t="n">
        <v>197991.8</v>
      </c>
      <c r="P239" s="107" t="s">
        <v>472</v>
      </c>
      <c r="Q239" s="107" t="s">
        <v>377</v>
      </c>
      <c r="R239" s="107" t="n">
        <v>-0.117905687980538</v>
      </c>
      <c r="S239" s="107" t="n">
        <v>-0.0250263450761792</v>
      </c>
      <c r="T239" s="107" t="n">
        <v>-49.690002046</v>
      </c>
      <c r="U239" s="107" t="n">
        <v>21069</v>
      </c>
      <c r="V239" s="108" t="s">
        <v>362</v>
      </c>
      <c r="W239" s="107" t="n">
        <v>34578</v>
      </c>
      <c r="X239" s="108" t="s">
        <v>372</v>
      </c>
      <c r="Y239" s="107" t="s">
        <v>681</v>
      </c>
      <c r="Z239" s="107" t="s">
        <v>682</v>
      </c>
      <c r="AA239" s="109" t="n">
        <v>46133</v>
      </c>
      <c r="AB239" s="107" t="n">
        <v>260421000001</v>
      </c>
      <c r="AC239" s="109" t="n">
        <v>45475</v>
      </c>
      <c r="AD239" s="109" t="n">
        <v>47301</v>
      </c>
      <c r="AE239" s="107" t="n">
        <v>5.375</v>
      </c>
      <c r="AF239" s="107" t="n">
        <v>2.5074</v>
      </c>
      <c r="AG239" s="107" t="n">
        <v>1006</v>
      </c>
      <c r="AH239" s="107" t="n">
        <v>3400000</v>
      </c>
      <c r="AI239" s="107" t="n">
        <v>4.61</v>
      </c>
      <c r="AJ239" s="107" t="n">
        <v>102.242</v>
      </c>
      <c r="AK239" s="107" t="n">
        <v>4.497893</v>
      </c>
      <c r="AL239" s="107" t="n">
        <v>103.555888</v>
      </c>
      <c r="AM239" s="107" t="n">
        <v>5.7166</v>
      </c>
      <c r="AN239" s="107" t="n">
        <v>99.1271</v>
      </c>
      <c r="AO239" s="107" t="n">
        <v>1358.4</v>
      </c>
      <c r="AP239" s="107" t="n">
        <v>1</v>
      </c>
      <c r="AQ239" s="107" t="n">
        <v>3370321.4</v>
      </c>
      <c r="AR239" s="107" t="n">
        <v>4578244590</v>
      </c>
      <c r="AS239" s="107" t="n">
        <v>3476228</v>
      </c>
      <c r="AT239" s="107" t="n">
        <v>5144817440</v>
      </c>
      <c r="AU239" s="107" t="n">
        <v>-105906.6</v>
      </c>
      <c r="AV239" s="107" t="n">
        <v>-143863525</v>
      </c>
      <c r="AW239" s="107" t="n">
        <v>0</v>
      </c>
      <c r="AX239" s="107" t="n">
        <v>0</v>
      </c>
      <c r="AY239" s="107" t="n">
        <v>0</v>
      </c>
      <c r="AZ239" s="107" t="n">
        <v>0</v>
      </c>
      <c r="BA239" s="107" t="n">
        <v>0</v>
      </c>
      <c r="BB239" s="107" t="n">
        <v>0</v>
      </c>
      <c r="BC239" s="107" t="n">
        <v>0</v>
      </c>
      <c r="BD239" s="107" t="n">
        <v>0</v>
      </c>
      <c r="BE239" s="107" t="n">
        <v>44672.22</v>
      </c>
      <c r="BF239" s="107" t="n">
        <v>60682743</v>
      </c>
      <c r="BG239" s="107" t="n">
        <v>0</v>
      </c>
      <c r="BH239" s="107" t="n">
        <v>0</v>
      </c>
      <c r="BI239" s="107" t="n">
        <v>3476228</v>
      </c>
      <c r="BJ239" s="107" t="n">
        <v>5144817440</v>
      </c>
      <c r="BK239" s="107" t="n">
        <v>0</v>
      </c>
      <c r="BL239" s="107" t="n">
        <v>0</v>
      </c>
      <c r="BM239" s="107" t="n">
        <v>0</v>
      </c>
      <c r="BN239" s="107" t="n">
        <v>0</v>
      </c>
      <c r="BO239" s="107" t="s">
        <v>107</v>
      </c>
      <c r="BP239" s="2"/>
      <c r="BQ239" s="107" t="s">
        <v>369</v>
      </c>
      <c r="BR239" s="107" t="n">
        <v>-422709325</v>
      </c>
      <c r="BS239" s="107" t="n">
        <v>0</v>
      </c>
      <c r="BT239" s="107" t="n">
        <v>0</v>
      </c>
      <c r="BU239" s="107" t="n">
        <v>0</v>
      </c>
      <c r="BV239" s="107" t="n">
        <v>0</v>
      </c>
      <c r="BW239" s="107" t="n">
        <v>44672.22</v>
      </c>
      <c r="BX239" s="107" t="n">
        <v>60682743</v>
      </c>
      <c r="BY239" s="107" t="n">
        <v>0</v>
      </c>
      <c r="BZ239" s="107" t="n">
        <v>0</v>
      </c>
      <c r="CA239" s="107" t="n">
        <v>1480</v>
      </c>
      <c r="CB239" s="2"/>
      <c r="CC239" s="107" t="n">
        <v>0</v>
      </c>
      <c r="CD239" s="107" t="n">
        <v>99.13</v>
      </c>
      <c r="CE239" s="107" t="n">
        <v>99.1</v>
      </c>
      <c r="CF239" s="107" t="n">
        <v>99.15</v>
      </c>
      <c r="CG239" s="107" t="n">
        <v>0</v>
      </c>
      <c r="CH239" s="107" t="n">
        <v>2.4377</v>
      </c>
      <c r="CI239" s="107" t="n">
        <v>91.29</v>
      </c>
      <c r="CJ239" s="107" t="n">
        <v>91.36</v>
      </c>
      <c r="CK239" s="107" t="n">
        <v>91.39</v>
      </c>
      <c r="CL239" s="107" t="n">
        <v>5000000</v>
      </c>
    </row>
    <row r="240" customFormat="false" ht="15" hidden="false" customHeight="false" outlineLevel="0" collapsed="false">
      <c r="A240" s="107" t="s">
        <v>681</v>
      </c>
      <c r="B240" s="107" t="n">
        <v>98.9959</v>
      </c>
      <c r="C240" s="107" t="n">
        <v>5.7687</v>
      </c>
      <c r="D240" s="107" t="n">
        <v>2.4393</v>
      </c>
      <c r="E240" s="107" t="n">
        <v>-748.590166497</v>
      </c>
      <c r="F240" s="108" t="s">
        <v>358</v>
      </c>
      <c r="G240" s="107" t="n">
        <v>2.4393</v>
      </c>
      <c r="H240" s="107" t="n">
        <v>-748.590166497</v>
      </c>
      <c r="I240" s="109" t="n">
        <v>47301</v>
      </c>
      <c r="J240" s="107" t="n">
        <v>3</v>
      </c>
      <c r="K240" s="107" t="s">
        <v>359</v>
      </c>
      <c r="L240" s="107" t="s">
        <v>298</v>
      </c>
      <c r="M240" s="107" t="n">
        <v>7561830</v>
      </c>
      <c r="N240" s="107" t="n">
        <v>100.87</v>
      </c>
      <c r="O240" s="107" t="n">
        <v>3068872.9</v>
      </c>
      <c r="P240" s="107" t="s">
        <v>472</v>
      </c>
      <c r="Q240" s="107" t="s">
        <v>377</v>
      </c>
      <c r="R240" s="107" t="n">
        <v>-0.0592528397360779</v>
      </c>
      <c r="S240" s="107" t="n">
        <v>-0.018579359571726</v>
      </c>
      <c r="T240" s="107" t="n">
        <v>-770.195031713</v>
      </c>
      <c r="U240" s="107" t="n">
        <v>21069</v>
      </c>
      <c r="V240" s="108" t="s">
        <v>362</v>
      </c>
      <c r="W240" s="107" t="n">
        <v>34578</v>
      </c>
      <c r="X240" s="108" t="s">
        <v>372</v>
      </c>
      <c r="Y240" s="107" t="s">
        <v>681</v>
      </c>
      <c r="Z240" s="107" t="s">
        <v>682</v>
      </c>
      <c r="AA240" s="109" t="n">
        <v>46175</v>
      </c>
      <c r="AB240" s="107" t="n">
        <v>260602000001</v>
      </c>
      <c r="AC240" s="109" t="n">
        <v>45475</v>
      </c>
      <c r="AD240" s="109" t="n">
        <v>47301</v>
      </c>
      <c r="AE240" s="107" t="n">
        <v>5.375</v>
      </c>
      <c r="AF240" s="107" t="n">
        <v>2.5074</v>
      </c>
      <c r="AG240" s="107" t="n">
        <v>1006</v>
      </c>
      <c r="AH240" s="107" t="n">
        <v>300000</v>
      </c>
      <c r="AI240" s="107" t="n">
        <v>4.8309</v>
      </c>
      <c r="AJ240" s="107" t="n">
        <v>101.537</v>
      </c>
      <c r="AK240" s="107" t="n">
        <v>4.770042</v>
      </c>
      <c r="AL240" s="107" t="n">
        <v>102.85089</v>
      </c>
      <c r="AM240" s="107" t="n">
        <v>5.7166</v>
      </c>
      <c r="AN240" s="107" t="n">
        <v>99.1271</v>
      </c>
      <c r="AO240" s="107" t="n">
        <v>1358.4</v>
      </c>
      <c r="AP240" s="107" t="n">
        <v>1</v>
      </c>
      <c r="AQ240" s="107" t="n">
        <v>297381.3</v>
      </c>
      <c r="AR240" s="107" t="n">
        <v>403962758</v>
      </c>
      <c r="AS240" s="107" t="n">
        <v>304611</v>
      </c>
      <c r="AT240" s="107" t="n">
        <v>457891255</v>
      </c>
      <c r="AU240" s="107" t="n">
        <v>-7229.7</v>
      </c>
      <c r="AV240" s="107" t="n">
        <v>-9820824</v>
      </c>
      <c r="AW240" s="107" t="n">
        <v>0</v>
      </c>
      <c r="AX240" s="107" t="n">
        <v>0</v>
      </c>
      <c r="AY240" s="107" t="n">
        <v>0</v>
      </c>
      <c r="AZ240" s="107" t="n">
        <v>0</v>
      </c>
      <c r="BA240" s="107" t="n">
        <v>0</v>
      </c>
      <c r="BB240" s="107" t="n">
        <v>0</v>
      </c>
      <c r="BC240" s="107" t="n">
        <v>0</v>
      </c>
      <c r="BD240" s="107" t="n">
        <v>0</v>
      </c>
      <c r="BE240" s="107" t="n">
        <v>3941.67</v>
      </c>
      <c r="BF240" s="107" t="n">
        <v>5354364</v>
      </c>
      <c r="BG240" s="107" t="n">
        <v>0</v>
      </c>
      <c r="BH240" s="107" t="n">
        <v>0</v>
      </c>
      <c r="BI240" s="107" t="n">
        <v>304611</v>
      </c>
      <c r="BJ240" s="107" t="n">
        <v>457891255</v>
      </c>
      <c r="BK240" s="107" t="n">
        <v>0</v>
      </c>
      <c r="BL240" s="107" t="n">
        <v>0</v>
      </c>
      <c r="BM240" s="107" t="n">
        <v>0</v>
      </c>
      <c r="BN240" s="107" t="n">
        <v>0</v>
      </c>
      <c r="BO240" s="107" t="s">
        <v>107</v>
      </c>
      <c r="BP240" s="2"/>
      <c r="BQ240" s="107" t="s">
        <v>369</v>
      </c>
      <c r="BR240" s="107" t="n">
        <v>-44107673</v>
      </c>
      <c r="BS240" s="107" t="n">
        <v>0</v>
      </c>
      <c r="BT240" s="107" t="n">
        <v>0</v>
      </c>
      <c r="BU240" s="107" t="n">
        <v>0</v>
      </c>
      <c r="BV240" s="107" t="n">
        <v>0</v>
      </c>
      <c r="BW240" s="107" t="n">
        <v>3941.67</v>
      </c>
      <c r="BX240" s="107" t="n">
        <v>5354364</v>
      </c>
      <c r="BY240" s="107" t="n">
        <v>0</v>
      </c>
      <c r="BZ240" s="107" t="n">
        <v>0</v>
      </c>
      <c r="CA240" s="107" t="n">
        <v>1503.2</v>
      </c>
      <c r="CB240" s="2"/>
      <c r="CC240" s="107" t="n">
        <v>0</v>
      </c>
      <c r="CD240" s="107" t="n">
        <v>99.13</v>
      </c>
      <c r="CE240" s="107" t="n">
        <v>99.1</v>
      </c>
      <c r="CF240" s="107" t="n">
        <v>99.15</v>
      </c>
      <c r="CG240" s="107" t="n">
        <v>0</v>
      </c>
      <c r="CH240" s="107" t="n">
        <v>2.4377</v>
      </c>
      <c r="CI240" s="107" t="n">
        <v>99.66</v>
      </c>
      <c r="CJ240" s="107" t="n">
        <v>99.61</v>
      </c>
      <c r="CK240" s="107" t="n">
        <v>99.65</v>
      </c>
      <c r="CL240" s="107" t="n">
        <v>2000000</v>
      </c>
    </row>
    <row r="241" customFormat="false" ht="15" hidden="false" customHeight="false" outlineLevel="0" collapsed="false">
      <c r="A241" s="107" t="s">
        <v>476</v>
      </c>
      <c r="B241" s="107" t="n">
        <v>99.4679</v>
      </c>
      <c r="C241" s="107" t="n">
        <v>5.6223</v>
      </c>
      <c r="D241" s="107" t="n">
        <v>1.3573</v>
      </c>
      <c r="E241" s="107" t="n">
        <v>-270.01556134</v>
      </c>
      <c r="F241" s="108" t="s">
        <v>358</v>
      </c>
      <c r="G241" s="107" t="n">
        <v>1.3573</v>
      </c>
      <c r="H241" s="107" t="n">
        <v>-270.01556134</v>
      </c>
      <c r="I241" s="109" t="n">
        <v>46845</v>
      </c>
      <c r="J241" s="107" t="n">
        <v>2</v>
      </c>
      <c r="K241" s="107" t="s">
        <v>359</v>
      </c>
      <c r="L241" s="107" t="s">
        <v>298</v>
      </c>
      <c r="M241" s="107" t="n">
        <v>2714600</v>
      </c>
      <c r="N241" s="107" t="n">
        <v>101.97</v>
      </c>
      <c r="O241" s="107" t="n">
        <v>1989358</v>
      </c>
      <c r="P241" s="107" t="s">
        <v>472</v>
      </c>
      <c r="Q241" s="107" t="s">
        <v>377</v>
      </c>
      <c r="R241" s="107" t="n">
        <v>-0.0758633631291085</v>
      </c>
      <c r="S241" s="107" t="n">
        <v>-0.0245376091007159</v>
      </c>
      <c r="T241" s="107" t="n">
        <v>-277.6149089</v>
      </c>
      <c r="U241" s="107" t="n">
        <v>21069</v>
      </c>
      <c r="V241" s="108" t="s">
        <v>362</v>
      </c>
      <c r="W241" s="107" t="n">
        <v>34578</v>
      </c>
      <c r="X241" s="108" t="s">
        <v>372</v>
      </c>
      <c r="Y241" s="107" t="s">
        <v>681</v>
      </c>
      <c r="Z241" s="107" t="s">
        <v>682</v>
      </c>
      <c r="AA241" s="109" t="n">
        <v>46175</v>
      </c>
      <c r="AB241" s="107" t="n">
        <v>260602000002</v>
      </c>
      <c r="AC241" s="109" t="n">
        <v>45475</v>
      </c>
      <c r="AD241" s="109" t="n">
        <v>47301</v>
      </c>
      <c r="AE241" s="107" t="n">
        <v>5.375</v>
      </c>
      <c r="AF241" s="107" t="n">
        <v>2.5074</v>
      </c>
      <c r="AG241" s="107" t="n">
        <v>1006</v>
      </c>
      <c r="AH241" s="107" t="n">
        <v>200000</v>
      </c>
      <c r="AI241" s="107" t="n">
        <v>4.83</v>
      </c>
      <c r="AJ241" s="107" t="n">
        <v>101.537</v>
      </c>
      <c r="AK241" s="107" t="n">
        <v>4.770042</v>
      </c>
      <c r="AL241" s="107" t="n">
        <v>102.85089</v>
      </c>
      <c r="AM241" s="107" t="n">
        <v>5.7166</v>
      </c>
      <c r="AN241" s="107" t="n">
        <v>99.1271</v>
      </c>
      <c r="AO241" s="107" t="n">
        <v>1358.4</v>
      </c>
      <c r="AP241" s="107" t="n">
        <v>1</v>
      </c>
      <c r="AQ241" s="107" t="n">
        <v>198254.2</v>
      </c>
      <c r="AR241" s="107" t="n">
        <v>269308505</v>
      </c>
      <c r="AS241" s="107" t="n">
        <v>203074</v>
      </c>
      <c r="AT241" s="107" t="n">
        <v>305260837</v>
      </c>
      <c r="AU241" s="107" t="n">
        <v>-4819.8</v>
      </c>
      <c r="AV241" s="107" t="n">
        <v>-6547217</v>
      </c>
      <c r="AW241" s="107" t="n">
        <v>0</v>
      </c>
      <c r="AX241" s="107" t="n">
        <v>0</v>
      </c>
      <c r="AY241" s="107" t="n">
        <v>0</v>
      </c>
      <c r="AZ241" s="107" t="n">
        <v>0</v>
      </c>
      <c r="BA241" s="107" t="n">
        <v>0</v>
      </c>
      <c r="BB241" s="107" t="n">
        <v>0</v>
      </c>
      <c r="BC241" s="107" t="n">
        <v>0</v>
      </c>
      <c r="BD241" s="107" t="n">
        <v>0</v>
      </c>
      <c r="BE241" s="107" t="n">
        <v>2627.78</v>
      </c>
      <c r="BF241" s="107" t="n">
        <v>3569576</v>
      </c>
      <c r="BG241" s="107" t="n">
        <v>0</v>
      </c>
      <c r="BH241" s="107" t="n">
        <v>0</v>
      </c>
      <c r="BI241" s="107" t="n">
        <v>203074</v>
      </c>
      <c r="BJ241" s="107" t="n">
        <v>305260837</v>
      </c>
      <c r="BK241" s="107" t="n">
        <v>0</v>
      </c>
      <c r="BL241" s="107" t="n">
        <v>0</v>
      </c>
      <c r="BM241" s="107" t="n">
        <v>0</v>
      </c>
      <c r="BN241" s="107" t="n">
        <v>0</v>
      </c>
      <c r="BO241" s="107" t="s">
        <v>107</v>
      </c>
      <c r="BP241" s="2"/>
      <c r="BQ241" s="107" t="s">
        <v>369</v>
      </c>
      <c r="BR241" s="107" t="n">
        <v>-29405115</v>
      </c>
      <c r="BS241" s="107" t="n">
        <v>0</v>
      </c>
      <c r="BT241" s="107" t="n">
        <v>0</v>
      </c>
      <c r="BU241" s="107" t="n">
        <v>0</v>
      </c>
      <c r="BV241" s="107" t="n">
        <v>0</v>
      </c>
      <c r="BW241" s="107" t="n">
        <v>2627.78</v>
      </c>
      <c r="BX241" s="107" t="n">
        <v>3569576</v>
      </c>
      <c r="BY241" s="107" t="n">
        <v>0</v>
      </c>
      <c r="BZ241" s="107" t="n">
        <v>0</v>
      </c>
      <c r="CA241" s="107" t="n">
        <v>1503.2</v>
      </c>
      <c r="CB241" s="2"/>
      <c r="CC241" s="107" t="n">
        <v>0</v>
      </c>
      <c r="CD241" s="107" t="n">
        <v>99.13</v>
      </c>
      <c r="CE241" s="107" t="n">
        <v>99.1</v>
      </c>
      <c r="CF241" s="107" t="n">
        <v>99.15</v>
      </c>
      <c r="CG241" s="107" t="n">
        <v>0</v>
      </c>
      <c r="CH241" s="107" t="n">
        <v>2.4377</v>
      </c>
      <c r="CI241" s="107" t="n">
        <v>99.66</v>
      </c>
      <c r="CJ241" s="107" t="n">
        <v>99.61</v>
      </c>
      <c r="CK241" s="107" t="n">
        <v>99.65</v>
      </c>
      <c r="CL241" s="107" t="n">
        <v>10000000</v>
      </c>
    </row>
    <row r="242" customFormat="false" ht="15" hidden="false" customHeight="false" outlineLevel="0" collapsed="false">
      <c r="A242" s="107" t="s">
        <v>683</v>
      </c>
      <c r="B242" s="107" t="n">
        <v>98.07</v>
      </c>
      <c r="C242" s="107" t="n">
        <v>5.9926</v>
      </c>
      <c r="D242" s="107" t="n">
        <v>2.979</v>
      </c>
      <c r="E242" s="107" t="n">
        <v>-584.30106</v>
      </c>
      <c r="F242" s="108" t="s">
        <v>358</v>
      </c>
      <c r="G242" s="107" t="n">
        <v>2.979</v>
      </c>
      <c r="H242" s="107" t="n">
        <v>-584.30106</v>
      </c>
      <c r="I242" s="109" t="n">
        <v>47575</v>
      </c>
      <c r="J242" s="107" t="n">
        <v>3</v>
      </c>
      <c r="K242" s="107" t="s">
        <v>359</v>
      </c>
      <c r="L242" s="107" t="s">
        <v>298</v>
      </c>
      <c r="M242" s="107" t="n">
        <v>5958000</v>
      </c>
      <c r="N242" s="107" t="n">
        <v>103.01</v>
      </c>
      <c r="O242" s="107" t="n">
        <v>1961400</v>
      </c>
      <c r="P242" s="107" t="s">
        <v>472</v>
      </c>
      <c r="Q242" s="107" t="s">
        <v>107</v>
      </c>
      <c r="R242" s="107" t="n">
        <v>-0.096423955902764</v>
      </c>
      <c r="S242" s="107" t="n">
        <v>-0.0479565090767887</v>
      </c>
      <c r="T242" s="107" t="n">
        <v>-601.816362</v>
      </c>
      <c r="U242" s="107" t="n">
        <v>21069</v>
      </c>
      <c r="V242" s="108" t="s">
        <v>362</v>
      </c>
      <c r="W242" s="107" t="n">
        <v>34578</v>
      </c>
      <c r="X242" s="108" t="s">
        <v>372</v>
      </c>
      <c r="Y242" s="107" t="s">
        <v>681</v>
      </c>
      <c r="Z242" s="107" t="s">
        <v>682</v>
      </c>
      <c r="AA242" s="109" t="n">
        <v>46244</v>
      </c>
      <c r="AB242" s="107" t="n">
        <v>260810000001</v>
      </c>
      <c r="AC242" s="109" t="n">
        <v>45475</v>
      </c>
      <c r="AD242" s="109" t="n">
        <v>47301</v>
      </c>
      <c r="AE242" s="107" t="n">
        <v>5.375</v>
      </c>
      <c r="AF242" s="107" t="n">
        <v>2.5074</v>
      </c>
      <c r="AG242" s="107" t="n">
        <v>1006</v>
      </c>
      <c r="AH242" s="107" t="n">
        <v>3100000</v>
      </c>
      <c r="AI242" s="107" t="n">
        <v>5.04608</v>
      </c>
      <c r="AJ242" s="107" t="n">
        <v>100.87</v>
      </c>
      <c r="AK242" s="107" t="n">
        <v>5.029664</v>
      </c>
      <c r="AL242" s="107" t="n">
        <v>102.183889</v>
      </c>
      <c r="AM242" s="107" t="n">
        <v>5.7166</v>
      </c>
      <c r="AN242" s="107" t="n">
        <v>99.1271</v>
      </c>
      <c r="AO242" s="107" t="n">
        <v>1358.4</v>
      </c>
      <c r="AP242" s="107" t="n">
        <v>1</v>
      </c>
      <c r="AQ242" s="107" t="n">
        <v>3072940.1</v>
      </c>
      <c r="AR242" s="107" t="n">
        <v>4174281832</v>
      </c>
      <c r="AS242" s="107" t="n">
        <v>3126970</v>
      </c>
      <c r="AT242" s="107" t="n">
        <v>4436545036</v>
      </c>
      <c r="AU242" s="107" t="n">
        <v>-54029.9</v>
      </c>
      <c r="AV242" s="107" t="n">
        <v>-73394216</v>
      </c>
      <c r="AW242" s="107" t="n">
        <v>17588.19</v>
      </c>
      <c r="AX242" s="107" t="n">
        <v>24954123</v>
      </c>
      <c r="AY242" s="107" t="n">
        <v>0</v>
      </c>
      <c r="AZ242" s="107" t="n">
        <v>0</v>
      </c>
      <c r="BA242" s="107" t="n">
        <v>0</v>
      </c>
      <c r="BB242" s="107" t="n">
        <v>0</v>
      </c>
      <c r="BC242" s="107" t="n">
        <v>0</v>
      </c>
      <c r="BD242" s="107" t="n">
        <v>0</v>
      </c>
      <c r="BE242" s="107" t="n">
        <v>23142.37</v>
      </c>
      <c r="BF242" s="107" t="n">
        <v>31436595</v>
      </c>
      <c r="BG242" s="107" t="n">
        <v>0</v>
      </c>
      <c r="BH242" s="107" t="n">
        <v>0</v>
      </c>
      <c r="BI242" s="107" t="n">
        <v>3126970</v>
      </c>
      <c r="BJ242" s="107" t="n">
        <v>4436545036</v>
      </c>
      <c r="BK242" s="107" t="n">
        <v>0</v>
      </c>
      <c r="BL242" s="107" t="n">
        <v>0</v>
      </c>
      <c r="BM242" s="107" t="n">
        <v>0</v>
      </c>
      <c r="BN242" s="107" t="n">
        <v>0</v>
      </c>
      <c r="BO242" s="107" t="s">
        <v>107</v>
      </c>
      <c r="BP242" s="2"/>
      <c r="BQ242" s="107" t="s">
        <v>369</v>
      </c>
      <c r="BR242" s="107" t="n">
        <v>-188868988</v>
      </c>
      <c r="BS242" s="107" t="n">
        <v>-1062326</v>
      </c>
      <c r="BT242" s="107" t="n">
        <v>0</v>
      </c>
      <c r="BU242" s="107" t="n">
        <v>0</v>
      </c>
      <c r="BV242" s="107" t="n">
        <v>0</v>
      </c>
      <c r="BW242" s="107" t="n">
        <v>40730.56</v>
      </c>
      <c r="BX242" s="107" t="n">
        <v>55328392</v>
      </c>
      <c r="BY242" s="107" t="n">
        <v>0</v>
      </c>
      <c r="BZ242" s="107" t="n">
        <v>0</v>
      </c>
      <c r="CA242" s="107" t="n">
        <v>1418.8</v>
      </c>
      <c r="CB242" s="2"/>
      <c r="CC242" s="107" t="n">
        <v>0</v>
      </c>
      <c r="CD242" s="107" t="n">
        <v>99.13</v>
      </c>
      <c r="CE242" s="107" t="n">
        <v>99.1</v>
      </c>
      <c r="CF242" s="107" t="n">
        <v>99.15</v>
      </c>
      <c r="CG242" s="107" t="n">
        <v>0</v>
      </c>
      <c r="CH242" s="107" t="n">
        <v>2.4377</v>
      </c>
      <c r="CI242" s="107" t="n">
        <v>103.55</v>
      </c>
      <c r="CJ242" s="107" t="n">
        <v>103.97</v>
      </c>
      <c r="CK242" s="107" t="n">
        <v>104.01</v>
      </c>
      <c r="CL242" s="107" t="n">
        <v>0</v>
      </c>
    </row>
    <row r="243" customFormat="false" ht="15" hidden="false" customHeight="false" outlineLevel="0" collapsed="false">
      <c r="A243" s="107" t="s">
        <v>683</v>
      </c>
      <c r="B243" s="107" t="n">
        <v>98.07</v>
      </c>
      <c r="C243" s="107" t="n">
        <v>5.9926</v>
      </c>
      <c r="D243" s="107" t="n">
        <v>2.979</v>
      </c>
      <c r="E243" s="107" t="n">
        <v>-876.45159</v>
      </c>
      <c r="F243" s="108" t="s">
        <v>358</v>
      </c>
      <c r="G243" s="107" t="n">
        <v>2.979</v>
      </c>
      <c r="H243" s="107" t="n">
        <v>-876.45159</v>
      </c>
      <c r="I243" s="109" t="n">
        <v>47575</v>
      </c>
      <c r="J243" s="107" t="n">
        <v>3</v>
      </c>
      <c r="K243" s="107" t="s">
        <v>359</v>
      </c>
      <c r="L243" s="107" t="s">
        <v>298</v>
      </c>
      <c r="M243" s="107" t="n">
        <v>8937000</v>
      </c>
      <c r="N243" s="107" t="n">
        <v>103.051</v>
      </c>
      <c r="O243" s="107" t="n">
        <v>2942100</v>
      </c>
      <c r="P243" s="107" t="s">
        <v>472</v>
      </c>
      <c r="Q243" s="107" t="s">
        <v>107</v>
      </c>
      <c r="R243" s="107" t="n">
        <v>-0.096423955902764</v>
      </c>
      <c r="S243" s="107" t="n">
        <v>-0.0483352902931559</v>
      </c>
      <c r="T243" s="107" t="n">
        <v>-902.724543</v>
      </c>
      <c r="U243" s="107" t="n">
        <v>21069</v>
      </c>
      <c r="V243" s="108" t="s">
        <v>362</v>
      </c>
      <c r="W243" s="107" t="n">
        <v>34578</v>
      </c>
      <c r="X243" s="108" t="s">
        <v>372</v>
      </c>
      <c r="Y243" s="107" t="s">
        <v>476</v>
      </c>
      <c r="Z243" s="107" t="s">
        <v>477</v>
      </c>
      <c r="AA243" s="109" t="n">
        <v>45971</v>
      </c>
      <c r="AB243" s="107" t="n">
        <v>251110000001</v>
      </c>
      <c r="AC243" s="109" t="n">
        <v>45749</v>
      </c>
      <c r="AD243" s="109" t="n">
        <v>46845</v>
      </c>
      <c r="AE243" s="107" t="n">
        <v>5.25</v>
      </c>
      <c r="AF243" s="107" t="n">
        <v>1.393</v>
      </c>
      <c r="AG243" s="107" t="n">
        <v>550</v>
      </c>
      <c r="AH243" s="107" t="n">
        <v>2000000</v>
      </c>
      <c r="AI243" s="107" t="n">
        <v>4.37239</v>
      </c>
      <c r="AJ243" s="107" t="n">
        <v>101.97</v>
      </c>
      <c r="AK243" s="107" t="n">
        <v>3.859305</v>
      </c>
      <c r="AL243" s="107" t="n">
        <v>104.610833</v>
      </c>
      <c r="AM243" s="107" t="n">
        <v>5.5664</v>
      </c>
      <c r="AN243" s="107" t="n">
        <v>99.5484</v>
      </c>
      <c r="AO243" s="107" t="n">
        <v>1358.4</v>
      </c>
      <c r="AP243" s="107" t="n">
        <v>1</v>
      </c>
      <c r="AQ243" s="107" t="n">
        <v>1990968</v>
      </c>
      <c r="AR243" s="107" t="n">
        <v>2704530931</v>
      </c>
      <c r="AS243" s="107" t="n">
        <v>2040300</v>
      </c>
      <c r="AT243" s="107" t="n">
        <v>2927626470</v>
      </c>
      <c r="AU243" s="107" t="n">
        <v>-49332</v>
      </c>
      <c r="AV243" s="107" t="n">
        <v>-67012589</v>
      </c>
      <c r="AW243" s="107" t="n">
        <v>0</v>
      </c>
      <c r="AX243" s="107" t="n">
        <v>0</v>
      </c>
      <c r="AY243" s="107" t="n">
        <v>0</v>
      </c>
      <c r="AZ243" s="107" t="n">
        <v>0</v>
      </c>
      <c r="BA243" s="107" t="n">
        <v>0</v>
      </c>
      <c r="BB243" s="107" t="n">
        <v>0</v>
      </c>
      <c r="BC243" s="107" t="n">
        <v>0</v>
      </c>
      <c r="BD243" s="107" t="n">
        <v>0</v>
      </c>
      <c r="BE243" s="107" t="n">
        <v>51916.67</v>
      </c>
      <c r="BF243" s="107" t="n">
        <v>70523604</v>
      </c>
      <c r="BG243" s="107" t="n">
        <v>0</v>
      </c>
      <c r="BH243" s="107" t="n">
        <v>0</v>
      </c>
      <c r="BI243" s="107" t="n">
        <v>2039400</v>
      </c>
      <c r="BJ243" s="107" t="n">
        <v>2926335060</v>
      </c>
      <c r="BK243" s="107" t="n">
        <v>0</v>
      </c>
      <c r="BL243" s="107" t="n">
        <v>0</v>
      </c>
      <c r="BM243" s="107" t="n">
        <v>0</v>
      </c>
      <c r="BN243" s="107" t="n">
        <v>0</v>
      </c>
      <c r="BO243" s="107" t="s">
        <v>107</v>
      </c>
      <c r="BP243" s="2"/>
      <c r="BQ243" s="107" t="s">
        <v>369</v>
      </c>
      <c r="BR243" s="107" t="n">
        <v>-156082950</v>
      </c>
      <c r="BS243" s="107" t="n">
        <v>0</v>
      </c>
      <c r="BT243" s="107" t="n">
        <v>0</v>
      </c>
      <c r="BU243" s="107" t="n">
        <v>900</v>
      </c>
      <c r="BV243" s="107" t="n">
        <v>1291410</v>
      </c>
      <c r="BW243" s="107" t="n">
        <v>51916.67</v>
      </c>
      <c r="BX243" s="107" t="n">
        <v>70523604</v>
      </c>
      <c r="BY243" s="107" t="n">
        <v>0</v>
      </c>
      <c r="BZ243" s="107" t="n">
        <v>0</v>
      </c>
      <c r="CA243" s="107" t="n">
        <v>1434.9</v>
      </c>
      <c r="CB243" s="2"/>
      <c r="CC243" s="107" t="n">
        <v>0</v>
      </c>
      <c r="CD243" s="107" t="n">
        <v>99.53</v>
      </c>
      <c r="CE243" s="107" t="n">
        <v>99.6</v>
      </c>
      <c r="CF243" s="107" t="n">
        <v>99.51</v>
      </c>
      <c r="CG243" s="107" t="n">
        <v>0</v>
      </c>
      <c r="CH243" s="107" t="n">
        <v>1.3553</v>
      </c>
      <c r="CI243" s="107" t="n">
        <v>103.55</v>
      </c>
      <c r="CJ243" s="107" t="n">
        <v>103.97</v>
      </c>
      <c r="CK243" s="107" t="n">
        <v>104.01</v>
      </c>
      <c r="CL243" s="107" t="n">
        <v>0</v>
      </c>
    </row>
    <row r="244" customFormat="false" ht="15" hidden="false" customHeight="false" outlineLevel="0" collapsed="false">
      <c r="A244" s="107" t="s">
        <v>683</v>
      </c>
      <c r="B244" s="107" t="n">
        <v>98.07</v>
      </c>
      <c r="C244" s="107" t="n">
        <v>5.9926</v>
      </c>
      <c r="D244" s="107" t="n">
        <v>2.979</v>
      </c>
      <c r="E244" s="107" t="n">
        <v>-1460.75265</v>
      </c>
      <c r="F244" s="108" t="s">
        <v>358</v>
      </c>
      <c r="G244" s="107" t="n">
        <v>2.979</v>
      </c>
      <c r="H244" s="107" t="n">
        <v>-1460.75265</v>
      </c>
      <c r="I244" s="109" t="n">
        <v>47575</v>
      </c>
      <c r="J244" s="107" t="n">
        <v>3</v>
      </c>
      <c r="K244" s="107" t="s">
        <v>359</v>
      </c>
      <c r="L244" s="107" t="s">
        <v>298</v>
      </c>
      <c r="M244" s="107" t="n">
        <v>14895000</v>
      </c>
      <c r="N244" s="107" t="n">
        <v>103.146</v>
      </c>
      <c r="O244" s="107" t="n">
        <v>4903500</v>
      </c>
      <c r="P244" s="107" t="s">
        <v>472</v>
      </c>
      <c r="Q244" s="107" t="s">
        <v>107</v>
      </c>
      <c r="R244" s="107" t="n">
        <v>-0.096423955902764</v>
      </c>
      <c r="S244" s="107" t="n">
        <v>-0.0492117968704555</v>
      </c>
      <c r="T244" s="107" t="n">
        <v>-1504.540905</v>
      </c>
      <c r="U244" s="107" t="n">
        <v>21069</v>
      </c>
      <c r="V244" s="108" t="s">
        <v>362</v>
      </c>
      <c r="W244" s="107" t="n">
        <v>34578</v>
      </c>
      <c r="X244" s="108" t="s">
        <v>372</v>
      </c>
      <c r="Y244" s="107" t="s">
        <v>683</v>
      </c>
      <c r="Z244" s="107" t="s">
        <v>684</v>
      </c>
      <c r="AA244" s="109" t="n">
        <v>45944</v>
      </c>
      <c r="AB244" s="107" t="n">
        <v>251014000001</v>
      </c>
      <c r="AC244" s="109" t="n">
        <v>45749</v>
      </c>
      <c r="AD244" s="109" t="n">
        <v>47575</v>
      </c>
      <c r="AE244" s="107" t="n">
        <v>5.375</v>
      </c>
      <c r="AF244" s="107" t="n">
        <v>3.066</v>
      </c>
      <c r="AG244" s="107" t="n">
        <v>1280</v>
      </c>
      <c r="AH244" s="107" t="n">
        <v>2000000</v>
      </c>
      <c r="AI244" s="107" t="n">
        <v>4.620978</v>
      </c>
      <c r="AJ244" s="107" t="n">
        <v>103.01</v>
      </c>
      <c r="AK244" s="107" t="n">
        <v>4.481091</v>
      </c>
      <c r="AL244" s="107" t="n">
        <v>105.527639</v>
      </c>
      <c r="AM244" s="107" t="n">
        <v>5.9586</v>
      </c>
      <c r="AN244" s="107" t="n">
        <v>98.1767</v>
      </c>
      <c r="AO244" s="107" t="n">
        <v>1358.4</v>
      </c>
      <c r="AP244" s="107" t="n">
        <v>1</v>
      </c>
      <c r="AQ244" s="107" t="n">
        <v>1963534</v>
      </c>
      <c r="AR244" s="107" t="n">
        <v>2667264586</v>
      </c>
      <c r="AS244" s="107" t="n">
        <v>2057400</v>
      </c>
      <c r="AT244" s="107" t="n">
        <v>2952163260</v>
      </c>
      <c r="AU244" s="107" t="n">
        <v>-93866</v>
      </c>
      <c r="AV244" s="107" t="n">
        <v>-127507574</v>
      </c>
      <c r="AW244" s="107" t="n">
        <v>0</v>
      </c>
      <c r="AX244" s="107" t="n">
        <v>0</v>
      </c>
      <c r="AY244" s="107" t="n">
        <v>0</v>
      </c>
      <c r="AZ244" s="107" t="n">
        <v>0</v>
      </c>
      <c r="BA244" s="107" t="n">
        <v>0</v>
      </c>
      <c r="BB244" s="107" t="n">
        <v>0</v>
      </c>
      <c r="BC244" s="107" t="n">
        <v>0</v>
      </c>
      <c r="BD244" s="107" t="n">
        <v>0</v>
      </c>
      <c r="BE244" s="107" t="n">
        <v>53152.78</v>
      </c>
      <c r="BF244" s="107" t="n">
        <v>72202736</v>
      </c>
      <c r="BG244" s="107" t="n">
        <v>0</v>
      </c>
      <c r="BH244" s="107" t="n">
        <v>0</v>
      </c>
      <c r="BI244" s="107" t="n">
        <v>2060200</v>
      </c>
      <c r="BJ244" s="107" t="n">
        <v>2956180980</v>
      </c>
      <c r="BK244" s="107" t="n">
        <v>0</v>
      </c>
      <c r="BL244" s="107" t="n">
        <v>0</v>
      </c>
      <c r="BM244" s="107" t="n">
        <v>0</v>
      </c>
      <c r="BN244" s="107" t="n">
        <v>0</v>
      </c>
      <c r="BO244" s="107" t="s">
        <v>107</v>
      </c>
      <c r="BP244" s="2"/>
      <c r="BQ244" s="107" t="s">
        <v>369</v>
      </c>
      <c r="BR244" s="107" t="n">
        <v>-157391100</v>
      </c>
      <c r="BS244" s="107" t="n">
        <v>0</v>
      </c>
      <c r="BT244" s="107" t="n">
        <v>0</v>
      </c>
      <c r="BU244" s="107" t="n">
        <v>-2800</v>
      </c>
      <c r="BV244" s="107" t="n">
        <v>-4017720</v>
      </c>
      <c r="BW244" s="107" t="n">
        <v>53152.78</v>
      </c>
      <c r="BX244" s="107" t="n">
        <v>72202736</v>
      </c>
      <c r="BY244" s="107" t="n">
        <v>0</v>
      </c>
      <c r="BZ244" s="107" t="n">
        <v>0</v>
      </c>
      <c r="CA244" s="107" t="n">
        <v>1434.9</v>
      </c>
      <c r="CB244" s="2"/>
      <c r="CC244" s="107" t="n">
        <v>0</v>
      </c>
      <c r="CD244" s="107" t="n">
        <v>98.17</v>
      </c>
      <c r="CE244" s="107" t="n">
        <v>98.19</v>
      </c>
      <c r="CF244" s="107" t="n">
        <v>98.17</v>
      </c>
      <c r="CG244" s="107" t="n">
        <v>500000</v>
      </c>
      <c r="CH244" s="107" t="n">
        <v>2.9773</v>
      </c>
      <c r="CI244" s="107" t="n">
        <v>103.03</v>
      </c>
      <c r="CJ244" s="107" t="n">
        <v>103.51</v>
      </c>
      <c r="CK244" s="107" t="n">
        <v>103.82</v>
      </c>
      <c r="CL244" s="107" t="n">
        <v>0</v>
      </c>
    </row>
    <row r="245" customFormat="false" ht="15" hidden="false" customHeight="false" outlineLevel="0" collapsed="false">
      <c r="A245" s="107" t="s">
        <v>683</v>
      </c>
      <c r="B245" s="107" t="n">
        <v>98.07</v>
      </c>
      <c r="C245" s="107" t="n">
        <v>5.9926</v>
      </c>
      <c r="D245" s="107" t="n">
        <v>2.979</v>
      </c>
      <c r="E245" s="107" t="n">
        <v>-1898.978445</v>
      </c>
      <c r="F245" s="108" t="s">
        <v>358</v>
      </c>
      <c r="G245" s="107" t="n">
        <v>2.979</v>
      </c>
      <c r="H245" s="107" t="n">
        <v>-1898.978445</v>
      </c>
      <c r="I245" s="109" t="n">
        <v>47575</v>
      </c>
      <c r="J245" s="107" t="n">
        <v>3</v>
      </c>
      <c r="K245" s="107" t="s">
        <v>359</v>
      </c>
      <c r="L245" s="107" t="s">
        <v>298</v>
      </c>
      <c r="M245" s="107" t="n">
        <v>19363500</v>
      </c>
      <c r="N245" s="107" t="n">
        <v>103.232</v>
      </c>
      <c r="O245" s="107" t="n">
        <v>6374550</v>
      </c>
      <c r="P245" s="107" t="s">
        <v>472</v>
      </c>
      <c r="Q245" s="107" t="s">
        <v>107</v>
      </c>
      <c r="R245" s="107" t="n">
        <v>-0.096423955902764</v>
      </c>
      <c r="S245" s="107" t="n">
        <v>-0.050003874767514</v>
      </c>
      <c r="T245" s="107" t="n">
        <v>-1955.9031765</v>
      </c>
      <c r="U245" s="107" t="n">
        <v>21069</v>
      </c>
      <c r="V245" s="108" t="s">
        <v>362</v>
      </c>
      <c r="W245" s="107" t="n">
        <v>34578</v>
      </c>
      <c r="X245" s="108" t="s">
        <v>372</v>
      </c>
      <c r="Y245" s="107" t="s">
        <v>683</v>
      </c>
      <c r="Z245" s="107" t="s">
        <v>684</v>
      </c>
      <c r="AA245" s="109" t="n">
        <v>45944</v>
      </c>
      <c r="AB245" s="107" t="n">
        <v>251014000002</v>
      </c>
      <c r="AC245" s="109" t="n">
        <v>45749</v>
      </c>
      <c r="AD245" s="109" t="n">
        <v>47575</v>
      </c>
      <c r="AE245" s="107" t="n">
        <v>5.375</v>
      </c>
      <c r="AF245" s="107" t="n">
        <v>3.066</v>
      </c>
      <c r="AG245" s="107" t="n">
        <v>1280</v>
      </c>
      <c r="AH245" s="107" t="n">
        <v>3000000</v>
      </c>
      <c r="AI245" s="107" t="n">
        <v>4.6109</v>
      </c>
      <c r="AJ245" s="107" t="n">
        <v>103.051</v>
      </c>
      <c r="AK245" s="107" t="n">
        <v>4.481091</v>
      </c>
      <c r="AL245" s="107" t="n">
        <v>105.527639</v>
      </c>
      <c r="AM245" s="107" t="n">
        <v>5.9586</v>
      </c>
      <c r="AN245" s="107" t="n">
        <v>98.1767</v>
      </c>
      <c r="AO245" s="107" t="n">
        <v>1358.4</v>
      </c>
      <c r="AP245" s="107" t="n">
        <v>1</v>
      </c>
      <c r="AQ245" s="107" t="n">
        <v>2945301</v>
      </c>
      <c r="AR245" s="107" t="n">
        <v>4000896878</v>
      </c>
      <c r="AS245" s="107" t="n">
        <v>3086100</v>
      </c>
      <c r="AT245" s="107" t="n">
        <v>4428244890</v>
      </c>
      <c r="AU245" s="107" t="n">
        <v>-140799</v>
      </c>
      <c r="AV245" s="107" t="n">
        <v>-191261362</v>
      </c>
      <c r="AW245" s="107" t="n">
        <v>0</v>
      </c>
      <c r="AX245" s="107" t="n">
        <v>0</v>
      </c>
      <c r="AY245" s="107" t="n">
        <v>0</v>
      </c>
      <c r="AZ245" s="107" t="n">
        <v>0</v>
      </c>
      <c r="BA245" s="107" t="n">
        <v>0</v>
      </c>
      <c r="BB245" s="107" t="n">
        <v>0</v>
      </c>
      <c r="BC245" s="107" t="n">
        <v>0</v>
      </c>
      <c r="BD245" s="107" t="n">
        <v>0</v>
      </c>
      <c r="BE245" s="107" t="n">
        <v>79729.17</v>
      </c>
      <c r="BF245" s="107" t="n">
        <v>108304104</v>
      </c>
      <c r="BG245" s="107" t="n">
        <v>0</v>
      </c>
      <c r="BH245" s="107" t="n">
        <v>0</v>
      </c>
      <c r="BI245" s="107" t="n">
        <v>3091530</v>
      </c>
      <c r="BJ245" s="107" t="n">
        <v>4436036397</v>
      </c>
      <c r="BK245" s="107" t="n">
        <v>0</v>
      </c>
      <c r="BL245" s="107" t="n">
        <v>0</v>
      </c>
      <c r="BM245" s="107" t="n">
        <v>0</v>
      </c>
      <c r="BN245" s="107" t="n">
        <v>0</v>
      </c>
      <c r="BO245" s="107" t="s">
        <v>107</v>
      </c>
      <c r="BP245" s="2"/>
      <c r="BQ245" s="107" t="s">
        <v>369</v>
      </c>
      <c r="BR245" s="107" t="n">
        <v>-236086650</v>
      </c>
      <c r="BS245" s="107" t="n">
        <v>0</v>
      </c>
      <c r="BT245" s="107" t="n">
        <v>0</v>
      </c>
      <c r="BU245" s="107" t="n">
        <v>-5430</v>
      </c>
      <c r="BV245" s="107" t="n">
        <v>-7791507</v>
      </c>
      <c r="BW245" s="107" t="n">
        <v>79729.17</v>
      </c>
      <c r="BX245" s="107" t="n">
        <v>108304104</v>
      </c>
      <c r="BY245" s="107" t="n">
        <v>0</v>
      </c>
      <c r="BZ245" s="107" t="n">
        <v>0</v>
      </c>
      <c r="CA245" s="107" t="n">
        <v>1434.9</v>
      </c>
      <c r="CB245" s="2"/>
      <c r="CC245" s="107" t="n">
        <v>0</v>
      </c>
      <c r="CD245" s="107" t="n">
        <v>98.17</v>
      </c>
      <c r="CE245" s="107" t="n">
        <v>98.19</v>
      </c>
      <c r="CF245" s="107" t="n">
        <v>98.17</v>
      </c>
      <c r="CG245" s="107" t="n">
        <v>0</v>
      </c>
      <c r="CH245" s="107" t="n">
        <v>2.9773</v>
      </c>
      <c r="CI245" s="107" t="n">
        <v>98.11</v>
      </c>
      <c r="CJ245" s="107" t="n">
        <v>98.4</v>
      </c>
      <c r="CK245" s="107" t="n">
        <v>98.31</v>
      </c>
      <c r="CL245" s="107" t="n">
        <v>0</v>
      </c>
    </row>
    <row r="246" customFormat="false" ht="15" hidden="false" customHeight="false" outlineLevel="0" collapsed="false">
      <c r="A246" s="107" t="s">
        <v>685</v>
      </c>
      <c r="B246" s="107" t="n">
        <v>98.2505</v>
      </c>
      <c r="C246" s="107" t="n">
        <v>5.7585</v>
      </c>
      <c r="D246" s="107" t="n">
        <v>2.2038</v>
      </c>
      <c r="E246" s="107" t="n">
        <v>-324.78667785</v>
      </c>
      <c r="F246" s="108" t="s">
        <v>358</v>
      </c>
      <c r="G246" s="107" t="n">
        <v>2.2038</v>
      </c>
      <c r="H246" s="107" t="n">
        <v>-324.78667785</v>
      </c>
      <c r="I246" s="109" t="n">
        <v>47210</v>
      </c>
      <c r="J246" s="107" t="n">
        <v>3</v>
      </c>
      <c r="K246" s="107" t="s">
        <v>359</v>
      </c>
      <c r="L246" s="107" t="s">
        <v>298</v>
      </c>
      <c r="M246" s="107" t="n">
        <v>3305700</v>
      </c>
      <c r="N246" s="107" t="n">
        <v>100.603</v>
      </c>
      <c r="O246" s="107" t="n">
        <v>1473757.5</v>
      </c>
      <c r="P246" s="107" t="s">
        <v>472</v>
      </c>
      <c r="Q246" s="107" t="s">
        <v>107</v>
      </c>
      <c r="R246" s="107" t="n">
        <v>-0.0939987943641181</v>
      </c>
      <c r="S246" s="107" t="n">
        <v>-0.023383994513086</v>
      </c>
      <c r="T246" s="107" t="n">
        <v>-334.145037975</v>
      </c>
      <c r="U246" s="107" t="n">
        <v>21069</v>
      </c>
      <c r="V246" s="108" t="s">
        <v>362</v>
      </c>
      <c r="W246" s="107" t="n">
        <v>34578</v>
      </c>
      <c r="X246" s="108" t="s">
        <v>372</v>
      </c>
      <c r="Y246" s="107" t="s">
        <v>683</v>
      </c>
      <c r="Z246" s="107" t="s">
        <v>684</v>
      </c>
      <c r="AA246" s="109" t="n">
        <v>45945</v>
      </c>
      <c r="AB246" s="107" t="n">
        <v>251015000001</v>
      </c>
      <c r="AC246" s="109" t="n">
        <v>45749</v>
      </c>
      <c r="AD246" s="109" t="n">
        <v>47575</v>
      </c>
      <c r="AE246" s="107" t="n">
        <v>5.375</v>
      </c>
      <c r="AF246" s="107" t="n">
        <v>3.066</v>
      </c>
      <c r="AG246" s="107" t="n">
        <v>1280</v>
      </c>
      <c r="AH246" s="107" t="n">
        <v>5000000</v>
      </c>
      <c r="AI246" s="107" t="n">
        <v>4.58708</v>
      </c>
      <c r="AJ246" s="107" t="n">
        <v>103.146</v>
      </c>
      <c r="AK246" s="107" t="n">
        <v>4.481091</v>
      </c>
      <c r="AL246" s="107" t="n">
        <v>105.527638</v>
      </c>
      <c r="AM246" s="107" t="n">
        <v>5.9586</v>
      </c>
      <c r="AN246" s="107" t="n">
        <v>98.1767</v>
      </c>
      <c r="AO246" s="107" t="n">
        <v>1358.4</v>
      </c>
      <c r="AP246" s="107" t="n">
        <v>1</v>
      </c>
      <c r="AQ246" s="107" t="n">
        <v>4908835</v>
      </c>
      <c r="AR246" s="107" t="n">
        <v>6668161464</v>
      </c>
      <c r="AS246" s="107" t="n">
        <v>5143500</v>
      </c>
      <c r="AT246" s="107" t="n">
        <v>7380408150</v>
      </c>
      <c r="AU246" s="107" t="n">
        <v>-234665</v>
      </c>
      <c r="AV246" s="107" t="n">
        <v>-318768936</v>
      </c>
      <c r="AW246" s="107" t="n">
        <v>0</v>
      </c>
      <c r="AX246" s="107" t="n">
        <v>0</v>
      </c>
      <c r="AY246" s="107" t="n">
        <v>0</v>
      </c>
      <c r="AZ246" s="107" t="n">
        <v>0</v>
      </c>
      <c r="BA246" s="107" t="n">
        <v>0</v>
      </c>
      <c r="BB246" s="107" t="n">
        <v>0</v>
      </c>
      <c r="BC246" s="107" t="n">
        <v>0</v>
      </c>
      <c r="BD246" s="107" t="n">
        <v>0</v>
      </c>
      <c r="BE246" s="107" t="n">
        <v>132881.94</v>
      </c>
      <c r="BF246" s="107" t="n">
        <v>180506827</v>
      </c>
      <c r="BG246" s="107" t="n">
        <v>0</v>
      </c>
      <c r="BH246" s="107" t="n">
        <v>0</v>
      </c>
      <c r="BI246" s="107" t="n">
        <v>5157300</v>
      </c>
      <c r="BJ246" s="107" t="n">
        <v>7400209770</v>
      </c>
      <c r="BK246" s="107" t="n">
        <v>0</v>
      </c>
      <c r="BL246" s="107" t="n">
        <v>0</v>
      </c>
      <c r="BM246" s="107" t="n">
        <v>0</v>
      </c>
      <c r="BN246" s="107" t="n">
        <v>0</v>
      </c>
      <c r="BO246" s="107" t="s">
        <v>107</v>
      </c>
      <c r="BP246" s="2"/>
      <c r="BQ246" s="107" t="s">
        <v>369</v>
      </c>
      <c r="BR246" s="107" t="n">
        <v>-393477750</v>
      </c>
      <c r="BS246" s="107" t="n">
        <v>0</v>
      </c>
      <c r="BT246" s="107" t="n">
        <v>0</v>
      </c>
      <c r="BU246" s="107" t="n">
        <v>-13800</v>
      </c>
      <c r="BV246" s="107" t="n">
        <v>-19801620</v>
      </c>
      <c r="BW246" s="107" t="n">
        <v>132881.94</v>
      </c>
      <c r="BX246" s="107" t="n">
        <v>180506827</v>
      </c>
      <c r="BY246" s="107" t="n">
        <v>0</v>
      </c>
      <c r="BZ246" s="107" t="n">
        <v>0</v>
      </c>
      <c r="CA246" s="107" t="n">
        <v>1434.9</v>
      </c>
      <c r="CB246" s="2"/>
      <c r="CC246" s="107" t="n">
        <v>0</v>
      </c>
      <c r="CD246" s="107" t="n">
        <v>98.17</v>
      </c>
      <c r="CE246" s="107" t="n">
        <v>98.19</v>
      </c>
      <c r="CF246" s="107" t="n">
        <v>98.17</v>
      </c>
      <c r="CG246" s="107" t="n">
        <v>0</v>
      </c>
      <c r="CH246" s="107" t="n">
        <v>2.9773</v>
      </c>
      <c r="CI246" s="107" t="n">
        <v>96.78</v>
      </c>
      <c r="CJ246" s="107" t="n">
        <v>97.2</v>
      </c>
      <c r="CK246" s="107" t="n">
        <v>97.07</v>
      </c>
      <c r="CL246" s="107" t="n">
        <v>0</v>
      </c>
    </row>
    <row r="247" customFormat="false" ht="15" hidden="false" customHeight="false" outlineLevel="0" collapsed="false">
      <c r="A247" s="107" t="s">
        <v>685</v>
      </c>
      <c r="B247" s="107" t="n">
        <v>98.2505</v>
      </c>
      <c r="C247" s="107" t="n">
        <v>5.7585</v>
      </c>
      <c r="D247" s="107" t="n">
        <v>2.2038</v>
      </c>
      <c r="E247" s="107" t="n">
        <v>-324.78667785</v>
      </c>
      <c r="F247" s="108" t="s">
        <v>358</v>
      </c>
      <c r="G247" s="107" t="n">
        <v>2.2038</v>
      </c>
      <c r="H247" s="107" t="n">
        <v>-324.78667785</v>
      </c>
      <c r="I247" s="109" t="n">
        <v>47210</v>
      </c>
      <c r="J247" s="107" t="n">
        <v>3</v>
      </c>
      <c r="K247" s="107" t="s">
        <v>359</v>
      </c>
      <c r="L247" s="107" t="s">
        <v>298</v>
      </c>
      <c r="M247" s="107" t="n">
        <v>3305700</v>
      </c>
      <c r="N247" s="107" t="n">
        <v>100.616</v>
      </c>
      <c r="O247" s="107" t="n">
        <v>1473757.5</v>
      </c>
      <c r="P247" s="107" t="s">
        <v>472</v>
      </c>
      <c r="Q247" s="107" t="s">
        <v>107</v>
      </c>
      <c r="R247" s="107" t="n">
        <v>-0.094115853436962</v>
      </c>
      <c r="S247" s="107" t="n">
        <v>-0.023510177307784</v>
      </c>
      <c r="T247" s="107" t="n">
        <v>-334.145037975</v>
      </c>
      <c r="U247" s="107" t="n">
        <v>21069</v>
      </c>
      <c r="V247" s="108" t="s">
        <v>362</v>
      </c>
      <c r="W247" s="107" t="n">
        <v>34578</v>
      </c>
      <c r="X247" s="108" t="s">
        <v>372</v>
      </c>
      <c r="Y247" s="107" t="s">
        <v>683</v>
      </c>
      <c r="Z247" s="107" t="s">
        <v>684</v>
      </c>
      <c r="AA247" s="109" t="n">
        <v>45959</v>
      </c>
      <c r="AB247" s="107" t="n">
        <v>251029000001</v>
      </c>
      <c r="AC247" s="109" t="n">
        <v>45749</v>
      </c>
      <c r="AD247" s="109" t="n">
        <v>47575</v>
      </c>
      <c r="AE247" s="107" t="n">
        <v>5.375</v>
      </c>
      <c r="AF247" s="107" t="n">
        <v>3.066</v>
      </c>
      <c r="AG247" s="107" t="n">
        <v>1280</v>
      </c>
      <c r="AH247" s="107" t="n">
        <v>6500000</v>
      </c>
      <c r="AI247" s="107" t="n">
        <v>4.559215</v>
      </c>
      <c r="AJ247" s="107" t="n">
        <v>103.232</v>
      </c>
      <c r="AK247" s="107" t="n">
        <v>4.481091</v>
      </c>
      <c r="AL247" s="107" t="n">
        <v>105.527638</v>
      </c>
      <c r="AM247" s="107" t="n">
        <v>5.9586</v>
      </c>
      <c r="AN247" s="107" t="n">
        <v>98.1767</v>
      </c>
      <c r="AO247" s="107" t="n">
        <v>1358.4</v>
      </c>
      <c r="AP247" s="107" t="n">
        <v>1</v>
      </c>
      <c r="AQ247" s="107" t="n">
        <v>6381485.5</v>
      </c>
      <c r="AR247" s="107" t="n">
        <v>8668609903</v>
      </c>
      <c r="AS247" s="107" t="n">
        <v>6686550</v>
      </c>
      <c r="AT247" s="107" t="n">
        <v>9594530595</v>
      </c>
      <c r="AU247" s="107" t="n">
        <v>-305064.5</v>
      </c>
      <c r="AV247" s="107" t="n">
        <v>-414399617</v>
      </c>
      <c r="AW247" s="107" t="n">
        <v>0</v>
      </c>
      <c r="AX247" s="107" t="n">
        <v>0</v>
      </c>
      <c r="AY247" s="107" t="n">
        <v>0</v>
      </c>
      <c r="AZ247" s="107" t="n">
        <v>0</v>
      </c>
      <c r="BA247" s="107" t="n">
        <v>0</v>
      </c>
      <c r="BB247" s="107" t="n">
        <v>0</v>
      </c>
      <c r="BC247" s="107" t="n">
        <v>0</v>
      </c>
      <c r="BD247" s="107" t="n">
        <v>0</v>
      </c>
      <c r="BE247" s="107" t="n">
        <v>172746.53</v>
      </c>
      <c r="BF247" s="107" t="n">
        <v>234658886</v>
      </c>
      <c r="BG247" s="107" t="n">
        <v>0</v>
      </c>
      <c r="BH247" s="107" t="n">
        <v>0</v>
      </c>
      <c r="BI247" s="107" t="n">
        <v>6710080</v>
      </c>
      <c r="BJ247" s="107" t="n">
        <v>9628293792</v>
      </c>
      <c r="BK247" s="107" t="n">
        <v>0</v>
      </c>
      <c r="BL247" s="107" t="n">
        <v>0</v>
      </c>
      <c r="BM247" s="107" t="n">
        <v>0</v>
      </c>
      <c r="BN247" s="107" t="n">
        <v>0</v>
      </c>
      <c r="BO247" s="107" t="s">
        <v>107</v>
      </c>
      <c r="BP247" s="2"/>
      <c r="BQ247" s="107" t="s">
        <v>369</v>
      </c>
      <c r="BR247" s="107" t="n">
        <v>-511521075</v>
      </c>
      <c r="BS247" s="107" t="n">
        <v>0</v>
      </c>
      <c r="BT247" s="107" t="n">
        <v>0</v>
      </c>
      <c r="BU247" s="107" t="n">
        <v>-23530</v>
      </c>
      <c r="BV247" s="107" t="n">
        <v>-33763197</v>
      </c>
      <c r="BW247" s="107" t="n">
        <v>172746.53</v>
      </c>
      <c r="BX247" s="107" t="n">
        <v>234658886</v>
      </c>
      <c r="BY247" s="107" t="n">
        <v>0</v>
      </c>
      <c r="BZ247" s="107" t="n">
        <v>0</v>
      </c>
      <c r="CA247" s="107" t="n">
        <v>1434.9</v>
      </c>
      <c r="CB247" s="2"/>
      <c r="CC247" s="107" t="n">
        <v>0</v>
      </c>
      <c r="CD247" s="107" t="n">
        <v>98.17</v>
      </c>
      <c r="CE247" s="107" t="n">
        <v>98.19</v>
      </c>
      <c r="CF247" s="107" t="n">
        <v>98.17</v>
      </c>
      <c r="CG247" s="107" t="n">
        <v>0</v>
      </c>
      <c r="CH247" s="107" t="n">
        <v>2.9773</v>
      </c>
      <c r="CI247" s="107" t="n">
        <v>95.47</v>
      </c>
      <c r="CJ247" s="107" t="n">
        <v>96.17</v>
      </c>
      <c r="CK247" s="107" t="n">
        <v>96.05</v>
      </c>
      <c r="CL247" s="107" t="n">
        <v>2000000</v>
      </c>
    </row>
    <row r="248" customFormat="false" ht="15" hidden="false" customHeight="false" outlineLevel="0" collapsed="false">
      <c r="A248" s="107" t="s">
        <v>478</v>
      </c>
      <c r="B248" s="107" t="n">
        <v>100.1116</v>
      </c>
      <c r="C248" s="107" t="n">
        <v>5.5759</v>
      </c>
      <c r="D248" s="107" t="n">
        <v>2.248</v>
      </c>
      <c r="E248" s="107" t="n">
        <v>-1125.254384</v>
      </c>
      <c r="F248" s="108" t="s">
        <v>358</v>
      </c>
      <c r="G248" s="107" t="n">
        <v>2.248</v>
      </c>
      <c r="H248" s="107" t="n">
        <v>-1125.254384</v>
      </c>
      <c r="I248" s="109" t="n">
        <v>47232</v>
      </c>
      <c r="J248" s="107" t="n">
        <v>3</v>
      </c>
      <c r="K248" s="107" t="s">
        <v>359</v>
      </c>
      <c r="L248" s="107" t="s">
        <v>298</v>
      </c>
      <c r="M248" s="107" t="n">
        <v>11240000</v>
      </c>
      <c r="N248" s="107" t="n">
        <v>103.871</v>
      </c>
      <c r="O248" s="107" t="n">
        <v>5005580</v>
      </c>
      <c r="P248" s="107" t="s">
        <v>479</v>
      </c>
      <c r="Q248" s="107" t="s">
        <v>107</v>
      </c>
      <c r="R248" s="107" t="n">
        <v>-0.108132570845692</v>
      </c>
      <c r="S248" s="107" t="n">
        <v>-0.0361929701264068</v>
      </c>
      <c r="T248" s="107" t="n">
        <v>-1156.6393706</v>
      </c>
      <c r="U248" s="107" t="n">
        <v>21069</v>
      </c>
      <c r="V248" s="108" t="s">
        <v>362</v>
      </c>
      <c r="W248" s="107" t="n">
        <v>34578</v>
      </c>
      <c r="X248" s="108" t="s">
        <v>372</v>
      </c>
      <c r="Y248" s="107" t="s">
        <v>685</v>
      </c>
      <c r="Z248" s="107" t="s">
        <v>686</v>
      </c>
      <c r="AA248" s="109" t="n">
        <v>46154</v>
      </c>
      <c r="AB248" s="107" t="n">
        <v>260512000001</v>
      </c>
      <c r="AC248" s="109" t="n">
        <v>46114</v>
      </c>
      <c r="AD248" s="109" t="n">
        <v>47210</v>
      </c>
      <c r="AE248" s="107" t="n">
        <v>5</v>
      </c>
      <c r="AF248" s="107" t="n">
        <v>2.265</v>
      </c>
      <c r="AG248" s="107" t="n">
        <v>915</v>
      </c>
      <c r="AH248" s="107" t="n">
        <v>1500000</v>
      </c>
      <c r="AI248" s="107" t="n">
        <v>4.77217</v>
      </c>
      <c r="AJ248" s="107" t="n">
        <v>100.603</v>
      </c>
      <c r="AK248" s="107" t="n">
        <v>4.741778</v>
      </c>
      <c r="AL248" s="107" t="n">
        <v>103.075222</v>
      </c>
      <c r="AM248" s="107" t="n">
        <v>5.7037</v>
      </c>
      <c r="AN248" s="107" t="n">
        <v>98.3775</v>
      </c>
      <c r="AO248" s="107" t="n">
        <v>1358.4</v>
      </c>
      <c r="AP248" s="107" t="n">
        <v>1</v>
      </c>
      <c r="AQ248" s="107" t="n">
        <v>1475662.5</v>
      </c>
      <c r="AR248" s="107" t="n">
        <v>2004539940</v>
      </c>
      <c r="AS248" s="107" t="n">
        <v>1509045</v>
      </c>
      <c r="AT248" s="107" t="n">
        <v>2212259970</v>
      </c>
      <c r="AU248" s="107" t="n">
        <v>-33382.5</v>
      </c>
      <c r="AV248" s="107" t="n">
        <v>-45346788</v>
      </c>
      <c r="AW248" s="107" t="n">
        <v>8333.33</v>
      </c>
      <c r="AX248" s="107" t="n">
        <v>12216661</v>
      </c>
      <c r="AY248" s="107" t="n">
        <v>0</v>
      </c>
      <c r="AZ248" s="107" t="n">
        <v>0</v>
      </c>
      <c r="BA248" s="107" t="n">
        <v>0</v>
      </c>
      <c r="BB248" s="107" t="n">
        <v>0</v>
      </c>
      <c r="BC248" s="107" t="n">
        <v>0</v>
      </c>
      <c r="BD248" s="107" t="n">
        <v>0</v>
      </c>
      <c r="BE248" s="107" t="n">
        <v>28750</v>
      </c>
      <c r="BF248" s="107" t="n">
        <v>39054000</v>
      </c>
      <c r="BG248" s="107" t="n">
        <v>0</v>
      </c>
      <c r="BH248" s="107" t="n">
        <v>0</v>
      </c>
      <c r="BI248" s="107" t="n">
        <v>1509045</v>
      </c>
      <c r="BJ248" s="107" t="n">
        <v>2212259970</v>
      </c>
      <c r="BK248" s="107" t="n">
        <v>0</v>
      </c>
      <c r="BL248" s="107" t="n">
        <v>0</v>
      </c>
      <c r="BM248" s="107" t="n">
        <v>0</v>
      </c>
      <c r="BN248" s="107" t="n">
        <v>0</v>
      </c>
      <c r="BO248" s="107" t="s">
        <v>107</v>
      </c>
      <c r="BP248" s="2"/>
      <c r="BQ248" s="107" t="s">
        <v>369</v>
      </c>
      <c r="BR248" s="107" t="n">
        <v>-162373242</v>
      </c>
      <c r="BS248" s="107" t="n">
        <v>-896666</v>
      </c>
      <c r="BT248" s="107" t="n">
        <v>0</v>
      </c>
      <c r="BU248" s="107" t="n">
        <v>0</v>
      </c>
      <c r="BV248" s="107" t="n">
        <v>0</v>
      </c>
      <c r="BW248" s="107" t="n">
        <v>37083.33</v>
      </c>
      <c r="BX248" s="107" t="n">
        <v>50373995</v>
      </c>
      <c r="BY248" s="107" t="n">
        <v>0</v>
      </c>
      <c r="BZ248" s="107" t="n">
        <v>0</v>
      </c>
      <c r="CA248" s="107" t="n">
        <v>1466</v>
      </c>
      <c r="CB248" s="2"/>
      <c r="CC248" s="107" t="n">
        <v>0</v>
      </c>
      <c r="CD248" s="107" t="n">
        <v>98.4</v>
      </c>
      <c r="CE248" s="107" t="n">
        <v>98.36</v>
      </c>
      <c r="CF248" s="107" t="n">
        <v>98.37</v>
      </c>
      <c r="CG248" s="107" t="n">
        <v>1500000</v>
      </c>
      <c r="CH248" s="107" t="n">
        <v>2.2022</v>
      </c>
      <c r="CI248" s="107" t="n">
        <v>100.37</v>
      </c>
      <c r="CJ248" s="107" t="n">
        <v>100.34</v>
      </c>
      <c r="CK248" s="107" t="n">
        <v>100.43</v>
      </c>
      <c r="CL248" s="107" t="n">
        <v>0</v>
      </c>
    </row>
    <row r="249" customFormat="false" ht="15" hidden="false" customHeight="false" outlineLevel="0" collapsed="false">
      <c r="A249" s="107" t="s">
        <v>594</v>
      </c>
      <c r="B249" s="107" t="n">
        <v>97.8312</v>
      </c>
      <c r="C249" s="107" t="n">
        <v>5.7972</v>
      </c>
      <c r="D249" s="107" t="n">
        <v>3.0963</v>
      </c>
      <c r="E249" s="107" t="n">
        <v>-2907.981547776</v>
      </c>
      <c r="F249" s="108" t="s">
        <v>358</v>
      </c>
      <c r="G249" s="107" t="n">
        <v>3.0963</v>
      </c>
      <c r="H249" s="107" t="n">
        <v>-2907.981547776</v>
      </c>
      <c r="I249" s="109" t="n">
        <v>47610</v>
      </c>
      <c r="J249" s="107" t="n">
        <v>3</v>
      </c>
      <c r="K249" s="107" t="s">
        <v>359</v>
      </c>
      <c r="L249" s="107" t="s">
        <v>298</v>
      </c>
      <c r="M249" s="107" t="n">
        <v>29724480</v>
      </c>
      <c r="N249" s="107" t="n">
        <v>102.032</v>
      </c>
      <c r="O249" s="107" t="n">
        <v>9391795.2</v>
      </c>
      <c r="P249" s="107" t="s">
        <v>595</v>
      </c>
      <c r="Q249" s="107" t="s">
        <v>377</v>
      </c>
      <c r="R249" s="107" t="n">
        <v>-0.0949200800649884</v>
      </c>
      <c r="S249" s="107" t="n">
        <v>-0.0411713972087189</v>
      </c>
      <c r="T249" s="107" t="n">
        <v>-2992.319868672</v>
      </c>
      <c r="U249" s="107" t="n">
        <v>21069</v>
      </c>
      <c r="V249" s="108" t="s">
        <v>362</v>
      </c>
      <c r="W249" s="107" t="n">
        <v>34578</v>
      </c>
      <c r="X249" s="108" t="s">
        <v>372</v>
      </c>
      <c r="Y249" s="107" t="s">
        <v>685</v>
      </c>
      <c r="Z249" s="107" t="s">
        <v>686</v>
      </c>
      <c r="AA249" s="109" t="n">
        <v>46154</v>
      </c>
      <c r="AB249" s="107" t="n">
        <v>260512000002</v>
      </c>
      <c r="AC249" s="109" t="n">
        <v>46114</v>
      </c>
      <c r="AD249" s="109" t="n">
        <v>47210</v>
      </c>
      <c r="AE249" s="107" t="n">
        <v>5</v>
      </c>
      <c r="AF249" s="107" t="n">
        <v>2.265</v>
      </c>
      <c r="AG249" s="107" t="n">
        <v>915</v>
      </c>
      <c r="AH249" s="107" t="n">
        <v>1500000</v>
      </c>
      <c r="AI249" s="107" t="n">
        <v>4.76732</v>
      </c>
      <c r="AJ249" s="107" t="n">
        <v>100.616</v>
      </c>
      <c r="AK249" s="107" t="n">
        <v>4.736236</v>
      </c>
      <c r="AL249" s="107" t="n">
        <v>103.088222</v>
      </c>
      <c r="AM249" s="107" t="n">
        <v>5.7037</v>
      </c>
      <c r="AN249" s="107" t="n">
        <v>98.3775</v>
      </c>
      <c r="AO249" s="107" t="n">
        <v>1358.4</v>
      </c>
      <c r="AP249" s="107" t="n">
        <v>1</v>
      </c>
      <c r="AQ249" s="107" t="n">
        <v>1475662.5</v>
      </c>
      <c r="AR249" s="107" t="n">
        <v>2004539940</v>
      </c>
      <c r="AS249" s="107" t="n">
        <v>1509240</v>
      </c>
      <c r="AT249" s="107" t="n">
        <v>2212545840</v>
      </c>
      <c r="AU249" s="107" t="n">
        <v>-33577.5</v>
      </c>
      <c r="AV249" s="107" t="n">
        <v>-45611676</v>
      </c>
      <c r="AW249" s="107" t="n">
        <v>8333.33</v>
      </c>
      <c r="AX249" s="107" t="n">
        <v>12216661</v>
      </c>
      <c r="AY249" s="107" t="n">
        <v>0</v>
      </c>
      <c r="AZ249" s="107" t="n">
        <v>0</v>
      </c>
      <c r="BA249" s="107" t="n">
        <v>0</v>
      </c>
      <c r="BB249" s="107" t="n">
        <v>0</v>
      </c>
      <c r="BC249" s="107" t="n">
        <v>0</v>
      </c>
      <c r="BD249" s="107" t="n">
        <v>0</v>
      </c>
      <c r="BE249" s="107" t="n">
        <v>28750</v>
      </c>
      <c r="BF249" s="107" t="n">
        <v>39054000</v>
      </c>
      <c r="BG249" s="107" t="n">
        <v>0</v>
      </c>
      <c r="BH249" s="107" t="n">
        <v>0</v>
      </c>
      <c r="BI249" s="107" t="n">
        <v>1509240</v>
      </c>
      <c r="BJ249" s="107" t="n">
        <v>2212545840</v>
      </c>
      <c r="BK249" s="107" t="n">
        <v>0</v>
      </c>
      <c r="BL249" s="107" t="n">
        <v>0</v>
      </c>
      <c r="BM249" s="107" t="n">
        <v>0</v>
      </c>
      <c r="BN249" s="107" t="n">
        <v>0</v>
      </c>
      <c r="BO249" s="107" t="s">
        <v>107</v>
      </c>
      <c r="BP249" s="2"/>
      <c r="BQ249" s="107" t="s">
        <v>369</v>
      </c>
      <c r="BR249" s="107" t="n">
        <v>-162394224</v>
      </c>
      <c r="BS249" s="107" t="n">
        <v>-896666</v>
      </c>
      <c r="BT249" s="107" t="n">
        <v>0</v>
      </c>
      <c r="BU249" s="107" t="n">
        <v>0</v>
      </c>
      <c r="BV249" s="107" t="n">
        <v>0</v>
      </c>
      <c r="BW249" s="107" t="n">
        <v>37083.33</v>
      </c>
      <c r="BX249" s="107" t="n">
        <v>50373995</v>
      </c>
      <c r="BY249" s="107" t="n">
        <v>0</v>
      </c>
      <c r="BZ249" s="107" t="n">
        <v>0</v>
      </c>
      <c r="CA249" s="107" t="n">
        <v>1466</v>
      </c>
      <c r="CB249" s="2"/>
      <c r="CC249" s="107" t="n">
        <v>0</v>
      </c>
      <c r="CD249" s="107" t="n">
        <v>98.4</v>
      </c>
      <c r="CE249" s="107" t="n">
        <v>98.36</v>
      </c>
      <c r="CF249" s="107" t="n">
        <v>98.37</v>
      </c>
      <c r="CG249" s="107" t="n">
        <v>1500000</v>
      </c>
      <c r="CH249" s="107" t="n">
        <v>2.2022</v>
      </c>
      <c r="CI249" s="107" t="n">
        <v>100.37</v>
      </c>
      <c r="CJ249" s="107" t="n">
        <v>100.34</v>
      </c>
      <c r="CK249" s="107" t="n">
        <v>100.43</v>
      </c>
      <c r="CL249" s="107" t="n">
        <v>0</v>
      </c>
    </row>
    <row r="250" customFormat="false" ht="15" hidden="false" customHeight="false" outlineLevel="0" collapsed="false">
      <c r="A250" s="107" t="s">
        <v>613</v>
      </c>
      <c r="B250" s="107" t="n">
        <v>100.4578</v>
      </c>
      <c r="C250" s="107" t="n">
        <v>5.782</v>
      </c>
      <c r="D250" s="107" t="n">
        <v>2.0778</v>
      </c>
      <c r="E250" s="107" t="n">
        <v>-1878.58095156</v>
      </c>
      <c r="F250" s="108" t="s">
        <v>358</v>
      </c>
      <c r="G250" s="107" t="n">
        <v>2.0778</v>
      </c>
      <c r="H250" s="107" t="n">
        <v>-1878.58095156</v>
      </c>
      <c r="I250" s="109" t="n">
        <v>47144</v>
      </c>
      <c r="J250" s="107" t="n">
        <v>3</v>
      </c>
      <c r="K250" s="107" t="s">
        <v>359</v>
      </c>
      <c r="L250" s="107" t="s">
        <v>298</v>
      </c>
      <c r="M250" s="107" t="n">
        <v>18700200</v>
      </c>
      <c r="N250" s="107" t="n">
        <v>103.537</v>
      </c>
      <c r="O250" s="107" t="n">
        <v>9041202</v>
      </c>
      <c r="P250" s="107" t="s">
        <v>504</v>
      </c>
      <c r="Q250" s="107" t="s">
        <v>107</v>
      </c>
      <c r="R250" s="107" t="n">
        <v>-0.103929462421945</v>
      </c>
      <c r="S250" s="107" t="n">
        <v>-0.0297400929136444</v>
      </c>
      <c r="T250" s="107" t="n">
        <v>-1932.91857558</v>
      </c>
      <c r="U250" s="107" t="n">
        <v>21069</v>
      </c>
      <c r="V250" s="108" t="s">
        <v>362</v>
      </c>
      <c r="W250" s="107" t="n">
        <v>34578</v>
      </c>
      <c r="X250" s="108" t="s">
        <v>372</v>
      </c>
      <c r="Y250" s="107" t="s">
        <v>478</v>
      </c>
      <c r="Z250" s="107" t="s">
        <v>480</v>
      </c>
      <c r="AA250" s="109" t="n">
        <v>46042</v>
      </c>
      <c r="AB250" s="107" t="n">
        <v>260120000001</v>
      </c>
      <c r="AC250" s="109" t="n">
        <v>45406</v>
      </c>
      <c r="AD250" s="109" t="n">
        <v>47232</v>
      </c>
      <c r="AE250" s="107" t="n">
        <v>5.625</v>
      </c>
      <c r="AF250" s="107" t="n">
        <v>2.3085</v>
      </c>
      <c r="AG250" s="107" t="n">
        <v>937</v>
      </c>
      <c r="AH250" s="107" t="n">
        <v>5000000</v>
      </c>
      <c r="AI250" s="107" t="n">
        <v>4.336763</v>
      </c>
      <c r="AJ250" s="107" t="n">
        <v>103.871</v>
      </c>
      <c r="AK250" s="107" t="n">
        <v>4.021208</v>
      </c>
      <c r="AL250" s="107" t="n">
        <v>106.3085</v>
      </c>
      <c r="AM250" s="107" t="n">
        <v>5.52</v>
      </c>
      <c r="AN250" s="107" t="n">
        <v>100.2439</v>
      </c>
      <c r="AO250" s="107" t="n">
        <v>1358.4</v>
      </c>
      <c r="AP250" s="107" t="n">
        <v>1</v>
      </c>
      <c r="AQ250" s="107" t="n">
        <v>5012195</v>
      </c>
      <c r="AR250" s="107" t="n">
        <v>6808565688</v>
      </c>
      <c r="AS250" s="107" t="n">
        <v>5193550</v>
      </c>
      <c r="AT250" s="107" t="n">
        <v>7632960435</v>
      </c>
      <c r="AU250" s="107" t="n">
        <v>-181355</v>
      </c>
      <c r="AV250" s="107" t="n">
        <v>-246352632</v>
      </c>
      <c r="AW250" s="107" t="n">
        <v>0</v>
      </c>
      <c r="AX250" s="107" t="n">
        <v>0</v>
      </c>
      <c r="AY250" s="107" t="n">
        <v>0</v>
      </c>
      <c r="AZ250" s="107" t="n">
        <v>0</v>
      </c>
      <c r="BA250" s="107" t="n">
        <v>0</v>
      </c>
      <c r="BB250" s="107" t="n">
        <v>0</v>
      </c>
      <c r="BC250" s="107" t="n">
        <v>0</v>
      </c>
      <c r="BD250" s="107" t="n">
        <v>0</v>
      </c>
      <c r="BE250" s="107" t="n">
        <v>121875</v>
      </c>
      <c r="BF250" s="107" t="n">
        <v>165555000</v>
      </c>
      <c r="BG250" s="107" t="n">
        <v>0</v>
      </c>
      <c r="BH250" s="107" t="n">
        <v>0</v>
      </c>
      <c r="BI250" s="107" t="n">
        <v>5193550</v>
      </c>
      <c r="BJ250" s="107" t="n">
        <v>7632960435</v>
      </c>
      <c r="BK250" s="107" t="n">
        <v>0</v>
      </c>
      <c r="BL250" s="107" t="n">
        <v>0</v>
      </c>
      <c r="BM250" s="107" t="n">
        <v>0</v>
      </c>
      <c r="BN250" s="107" t="n">
        <v>0</v>
      </c>
      <c r="BO250" s="107" t="s">
        <v>107</v>
      </c>
      <c r="BP250" s="107" t="s">
        <v>481</v>
      </c>
      <c r="BQ250" s="107" t="s">
        <v>107</v>
      </c>
      <c r="BR250" s="107" t="n">
        <v>-578042115</v>
      </c>
      <c r="BS250" s="107" t="n">
        <v>0</v>
      </c>
      <c r="BT250" s="107" t="n">
        <v>0</v>
      </c>
      <c r="BU250" s="107" t="n">
        <v>0</v>
      </c>
      <c r="BV250" s="107" t="n">
        <v>0</v>
      </c>
      <c r="BW250" s="107" t="n">
        <v>121875</v>
      </c>
      <c r="BX250" s="107" t="n">
        <v>165555000</v>
      </c>
      <c r="BY250" s="107" t="n">
        <v>0</v>
      </c>
      <c r="BZ250" s="107" t="n">
        <v>0</v>
      </c>
      <c r="CA250" s="107" t="n">
        <v>1469.7</v>
      </c>
      <c r="CB250" s="2"/>
      <c r="CC250" s="107" t="n">
        <v>0</v>
      </c>
      <c r="CD250" s="107" t="n">
        <v>100.21</v>
      </c>
      <c r="CE250" s="107" t="n">
        <v>100.31</v>
      </c>
      <c r="CF250" s="107" t="n">
        <v>100.22</v>
      </c>
      <c r="CG250" s="107" t="n">
        <v>0</v>
      </c>
      <c r="CH250" s="107" t="n">
        <v>2.2465</v>
      </c>
      <c r="CI250" s="107" t="n">
        <v>94.44</v>
      </c>
      <c r="CJ250" s="107" t="n">
        <v>94.51</v>
      </c>
      <c r="CK250" s="107" t="n">
        <v>94.53</v>
      </c>
      <c r="CL250" s="107" t="n">
        <v>0</v>
      </c>
    </row>
    <row r="251" customFormat="false" ht="15" hidden="false" customHeight="false" outlineLevel="0" collapsed="false">
      <c r="A251" s="107" t="s">
        <v>687</v>
      </c>
      <c r="B251" s="107" t="n">
        <v>100.1325</v>
      </c>
      <c r="C251" s="107" t="n">
        <v>5.6917</v>
      </c>
      <c r="D251" s="107" t="n">
        <v>2.2417</v>
      </c>
      <c r="E251" s="107" t="n">
        <v>-44.89340505</v>
      </c>
      <c r="F251" s="108" t="s">
        <v>358</v>
      </c>
      <c r="G251" s="107" t="n">
        <v>2.2417</v>
      </c>
      <c r="H251" s="107" t="n">
        <v>-44.89340505</v>
      </c>
      <c r="I251" s="109" t="n">
        <v>47232</v>
      </c>
      <c r="J251" s="107" t="n">
        <v>3</v>
      </c>
      <c r="K251" s="107" t="s">
        <v>359</v>
      </c>
      <c r="L251" s="107" t="s">
        <v>298</v>
      </c>
      <c r="M251" s="107" t="n">
        <v>448340</v>
      </c>
      <c r="N251" s="107" t="n">
        <v>104.36</v>
      </c>
      <c r="O251" s="107" t="n">
        <v>200265</v>
      </c>
      <c r="P251" s="107" t="s">
        <v>629</v>
      </c>
      <c r="Q251" s="107" t="s">
        <v>377</v>
      </c>
      <c r="R251" s="107" t="n">
        <v>-0.112488600467877</v>
      </c>
      <c r="S251" s="107" t="n">
        <v>-0.0405088156381757</v>
      </c>
      <c r="T251" s="107" t="n">
        <v>-46.17109575</v>
      </c>
      <c r="U251" s="107" t="n">
        <v>21069</v>
      </c>
      <c r="V251" s="108" t="s">
        <v>362</v>
      </c>
      <c r="W251" s="107" t="n">
        <v>34578</v>
      </c>
      <c r="X251" s="108" t="s">
        <v>372</v>
      </c>
      <c r="Y251" s="107" t="s">
        <v>594</v>
      </c>
      <c r="Z251" s="107" t="s">
        <v>598</v>
      </c>
      <c r="AA251" s="109" t="n">
        <v>45877</v>
      </c>
      <c r="AB251" s="107" t="n">
        <v>250808000001</v>
      </c>
      <c r="AC251" s="109" t="n">
        <v>45784</v>
      </c>
      <c r="AD251" s="109" t="n">
        <v>47610</v>
      </c>
      <c r="AE251" s="107" t="n">
        <v>5.125</v>
      </c>
      <c r="AF251" s="107" t="n">
        <v>3.1834</v>
      </c>
      <c r="AG251" s="107" t="n">
        <v>1315</v>
      </c>
      <c r="AH251" s="107" t="n">
        <v>9600000</v>
      </c>
      <c r="AI251" s="107" t="n">
        <v>4.6414</v>
      </c>
      <c r="AJ251" s="107" t="n">
        <v>102.032</v>
      </c>
      <c r="AK251" s="107" t="n">
        <v>4.381404</v>
      </c>
      <c r="AL251" s="107" t="n">
        <v>104.484763</v>
      </c>
      <c r="AM251" s="107" t="n">
        <v>5.7836</v>
      </c>
      <c r="AN251" s="107" t="n">
        <v>97.8758</v>
      </c>
      <c r="AO251" s="107" t="n">
        <v>1358.4</v>
      </c>
      <c r="AP251" s="107" t="n">
        <v>1</v>
      </c>
      <c r="AQ251" s="107" t="n">
        <v>9396076.8</v>
      </c>
      <c r="AR251" s="107" t="n">
        <v>12763630725</v>
      </c>
      <c r="AS251" s="107" t="n">
        <v>9835104</v>
      </c>
      <c r="AT251" s="107" t="n">
        <v>14112390730</v>
      </c>
      <c r="AU251" s="107" t="n">
        <v>-439027.2</v>
      </c>
      <c r="AV251" s="107" t="n">
        <v>-596374549</v>
      </c>
      <c r="AW251" s="107" t="n">
        <v>0</v>
      </c>
      <c r="AX251" s="107" t="n">
        <v>0</v>
      </c>
      <c r="AY251" s="107" t="n">
        <v>0</v>
      </c>
      <c r="AZ251" s="107" t="n">
        <v>0</v>
      </c>
      <c r="BA251" s="107" t="n">
        <v>0</v>
      </c>
      <c r="BB251" s="107" t="n">
        <v>0</v>
      </c>
      <c r="BC251" s="107" t="n">
        <v>0</v>
      </c>
      <c r="BD251" s="107" t="n">
        <v>0</v>
      </c>
      <c r="BE251" s="107" t="n">
        <v>195433.33</v>
      </c>
      <c r="BF251" s="107" t="n">
        <v>265476635</v>
      </c>
      <c r="BG251" s="107" t="n">
        <v>0</v>
      </c>
      <c r="BH251" s="107" t="n">
        <v>0</v>
      </c>
      <c r="BI251" s="107" t="n">
        <v>9795072</v>
      </c>
      <c r="BJ251" s="107" t="n">
        <v>14054948813</v>
      </c>
      <c r="BK251" s="107" t="n">
        <v>0</v>
      </c>
      <c r="BL251" s="107" t="n">
        <v>0</v>
      </c>
      <c r="BM251" s="107" t="n">
        <v>0</v>
      </c>
      <c r="BN251" s="107" t="n">
        <v>0</v>
      </c>
      <c r="BO251" s="107" t="s">
        <v>377</v>
      </c>
      <c r="BP251" s="2"/>
      <c r="BQ251" s="107" t="s">
        <v>369</v>
      </c>
      <c r="BR251" s="107" t="n">
        <v>-752385456</v>
      </c>
      <c r="BS251" s="107" t="n">
        <v>0</v>
      </c>
      <c r="BT251" s="107" t="n">
        <v>0</v>
      </c>
      <c r="BU251" s="107" t="n">
        <v>40032</v>
      </c>
      <c r="BV251" s="107" t="n">
        <v>57441917</v>
      </c>
      <c r="BW251" s="107" t="n">
        <v>195433.33</v>
      </c>
      <c r="BX251" s="107" t="n">
        <v>265476635</v>
      </c>
      <c r="BY251" s="107" t="n">
        <v>0</v>
      </c>
      <c r="BZ251" s="107" t="n">
        <v>0</v>
      </c>
      <c r="CA251" s="107" t="n">
        <v>1434.9</v>
      </c>
      <c r="CB251" s="2"/>
      <c r="CC251" s="107" t="n">
        <v>0</v>
      </c>
      <c r="CD251" s="107" t="n">
        <v>97.87</v>
      </c>
      <c r="CE251" s="107" t="n">
        <v>97.88</v>
      </c>
      <c r="CF251" s="107" t="n">
        <v>97.87</v>
      </c>
      <c r="CG251" s="107" t="n">
        <v>600000</v>
      </c>
      <c r="CH251" s="107" t="n">
        <v>3.0939</v>
      </c>
      <c r="CI251" s="107" t="n">
        <v>94.44</v>
      </c>
      <c r="CJ251" s="107" t="n">
        <v>94.51</v>
      </c>
      <c r="CK251" s="107" t="n">
        <v>94.53</v>
      </c>
      <c r="CL251" s="107" t="n">
        <v>0</v>
      </c>
    </row>
    <row r="252" customFormat="false" ht="15" hidden="false" customHeight="false" outlineLevel="0" collapsed="false">
      <c r="A252" s="107" t="s">
        <v>688</v>
      </c>
      <c r="B252" s="107" t="n">
        <v>96.4211</v>
      </c>
      <c r="C252" s="107" t="n">
        <v>5.8149</v>
      </c>
      <c r="D252" s="107" t="n">
        <v>3.2911</v>
      </c>
      <c r="E252" s="107" t="n">
        <v>-63.466296442</v>
      </c>
      <c r="F252" s="108" t="s">
        <v>358</v>
      </c>
      <c r="G252" s="107" t="n">
        <v>3.2911</v>
      </c>
      <c r="H252" s="107" t="n">
        <v>-63.466296442</v>
      </c>
      <c r="I252" s="109" t="n">
        <v>47674</v>
      </c>
      <c r="J252" s="107" t="n">
        <v>3</v>
      </c>
      <c r="K252" s="107" t="s">
        <v>359</v>
      </c>
      <c r="L252" s="107" t="s">
        <v>298</v>
      </c>
      <c r="M252" s="107" t="n">
        <v>658220</v>
      </c>
      <c r="N252" s="107" t="n">
        <v>99.46</v>
      </c>
      <c r="O252" s="107" t="n">
        <v>192842.2</v>
      </c>
      <c r="P252" s="107" t="s">
        <v>520</v>
      </c>
      <c r="Q252" s="107" t="s">
        <v>106</v>
      </c>
      <c r="R252" s="107" t="n">
        <v>-0.097568762385873</v>
      </c>
      <c r="S252" s="107" t="n">
        <v>-0.0305539915543938</v>
      </c>
      <c r="T252" s="107" t="n">
        <v>-65.311796296</v>
      </c>
      <c r="U252" s="107" t="n">
        <v>21069</v>
      </c>
      <c r="V252" s="108" t="s">
        <v>362</v>
      </c>
      <c r="W252" s="107" t="n">
        <v>34578</v>
      </c>
      <c r="X252" s="108" t="s">
        <v>372</v>
      </c>
      <c r="Y252" s="107" t="s">
        <v>613</v>
      </c>
      <c r="Z252" s="107" t="s">
        <v>617</v>
      </c>
      <c r="AA252" s="109" t="n">
        <v>46133</v>
      </c>
      <c r="AB252" s="107" t="n">
        <v>260421000001</v>
      </c>
      <c r="AC252" s="109" t="n">
        <v>45317</v>
      </c>
      <c r="AD252" s="109" t="n">
        <v>47144</v>
      </c>
      <c r="AE252" s="107" t="n">
        <v>6</v>
      </c>
      <c r="AF252" s="107" t="n">
        <v>2.1356</v>
      </c>
      <c r="AG252" s="107" t="n">
        <v>849</v>
      </c>
      <c r="AH252" s="107" t="n">
        <v>9000000</v>
      </c>
      <c r="AI252" s="107" t="n">
        <v>4.6188346</v>
      </c>
      <c r="AJ252" s="107" t="n">
        <v>103.537</v>
      </c>
      <c r="AK252" s="107" t="n">
        <v>4.378152</v>
      </c>
      <c r="AL252" s="107" t="n">
        <v>104.603666</v>
      </c>
      <c r="AM252" s="107" t="n">
        <v>5.726</v>
      </c>
      <c r="AN252" s="107" t="n">
        <v>100.5778</v>
      </c>
      <c r="AO252" s="107" t="n">
        <v>1358.4</v>
      </c>
      <c r="AP252" s="107" t="n">
        <v>1</v>
      </c>
      <c r="AQ252" s="107" t="n">
        <v>9052002</v>
      </c>
      <c r="AR252" s="107" t="n">
        <v>12296239517</v>
      </c>
      <c r="AS252" s="107" t="n">
        <v>9318330</v>
      </c>
      <c r="AT252" s="107" t="n">
        <v>13722172758</v>
      </c>
      <c r="AU252" s="107" t="n">
        <v>-266328</v>
      </c>
      <c r="AV252" s="107" t="n">
        <v>-361779955</v>
      </c>
      <c r="AW252" s="107" t="n">
        <v>0</v>
      </c>
      <c r="AX252" s="107" t="n">
        <v>0</v>
      </c>
      <c r="AY252" s="107" t="n">
        <v>0</v>
      </c>
      <c r="AZ252" s="107" t="n">
        <v>0</v>
      </c>
      <c r="BA252" s="107" t="n">
        <v>0</v>
      </c>
      <c r="BB252" s="107" t="n">
        <v>0</v>
      </c>
      <c r="BC252" s="107" t="n">
        <v>0</v>
      </c>
      <c r="BD252" s="107" t="n">
        <v>0</v>
      </c>
      <c r="BE252" s="107" t="n">
        <v>96000</v>
      </c>
      <c r="BF252" s="107" t="n">
        <v>130406400</v>
      </c>
      <c r="BG252" s="107" t="n">
        <v>0</v>
      </c>
      <c r="BH252" s="107" t="n">
        <v>0</v>
      </c>
      <c r="BI252" s="107" t="n">
        <v>9318330</v>
      </c>
      <c r="BJ252" s="107" t="n">
        <v>13722172758</v>
      </c>
      <c r="BK252" s="107" t="n">
        <v>0</v>
      </c>
      <c r="BL252" s="107" t="n">
        <v>0</v>
      </c>
      <c r="BM252" s="107" t="n">
        <v>0</v>
      </c>
      <c r="BN252" s="107" t="n">
        <v>0</v>
      </c>
      <c r="BO252" s="107" t="s">
        <v>369</v>
      </c>
      <c r="BP252" s="2"/>
      <c r="BQ252" s="107" t="s">
        <v>107</v>
      </c>
      <c r="BR252" s="107" t="n">
        <v>-1064153286</v>
      </c>
      <c r="BS252" s="107" t="n">
        <v>0</v>
      </c>
      <c r="BT252" s="107" t="n">
        <v>0</v>
      </c>
      <c r="BU252" s="107" t="n">
        <v>0</v>
      </c>
      <c r="BV252" s="107" t="n">
        <v>0</v>
      </c>
      <c r="BW252" s="107" t="n">
        <v>96000</v>
      </c>
      <c r="BX252" s="107" t="n">
        <v>130406400</v>
      </c>
      <c r="BY252" s="107" t="n">
        <v>0</v>
      </c>
      <c r="BZ252" s="107" t="n">
        <v>0</v>
      </c>
      <c r="CA252" s="107" t="n">
        <v>1472.6</v>
      </c>
      <c r="CB252" s="2"/>
      <c r="CC252" s="107" t="n">
        <v>0</v>
      </c>
      <c r="CD252" s="107" t="n">
        <v>100.61</v>
      </c>
      <c r="CE252" s="107" t="n">
        <v>100.57</v>
      </c>
      <c r="CF252" s="107" t="n">
        <v>100.55</v>
      </c>
      <c r="CG252" s="107" t="n">
        <v>0</v>
      </c>
      <c r="CH252" s="107" t="n">
        <v>2.0762</v>
      </c>
      <c r="CI252" s="107" t="n">
        <v>100.61</v>
      </c>
      <c r="CJ252" s="107" t="n">
        <v>100.58</v>
      </c>
      <c r="CK252" s="107" t="n">
        <v>100.69</v>
      </c>
      <c r="CL252" s="107" t="n">
        <v>0</v>
      </c>
    </row>
    <row r="253" customFormat="false" ht="15" hidden="false" customHeight="false" outlineLevel="0" collapsed="false">
      <c r="A253" s="107" t="s">
        <v>688</v>
      </c>
      <c r="B253" s="107" t="n">
        <v>96.4211</v>
      </c>
      <c r="C253" s="107" t="n">
        <v>5.8149</v>
      </c>
      <c r="D253" s="107" t="n">
        <v>3.2911</v>
      </c>
      <c r="E253" s="107" t="n">
        <v>-444.264075094</v>
      </c>
      <c r="F253" s="108" t="s">
        <v>358</v>
      </c>
      <c r="G253" s="107" t="n">
        <v>3.2911</v>
      </c>
      <c r="H253" s="107" t="n">
        <v>-444.264075094</v>
      </c>
      <c r="I253" s="109" t="n">
        <v>47674</v>
      </c>
      <c r="J253" s="107" t="n">
        <v>3</v>
      </c>
      <c r="K253" s="107" t="s">
        <v>359</v>
      </c>
      <c r="L253" s="107" t="s">
        <v>298</v>
      </c>
      <c r="M253" s="107" t="n">
        <v>4607540</v>
      </c>
      <c r="N253" s="107" t="n">
        <v>99.892</v>
      </c>
      <c r="O253" s="107" t="n">
        <v>1349895.4</v>
      </c>
      <c r="P253" s="107" t="s">
        <v>520</v>
      </c>
      <c r="Q253" s="107" t="s">
        <v>106</v>
      </c>
      <c r="R253" s="107" t="n">
        <v>-0.0975687632730683</v>
      </c>
      <c r="S253" s="107" t="n">
        <v>-0.0347465262483482</v>
      </c>
      <c r="T253" s="107" t="n">
        <v>-457.182574072</v>
      </c>
      <c r="U253" s="107" t="n">
        <v>21069</v>
      </c>
      <c r="V253" s="108" t="s">
        <v>362</v>
      </c>
      <c r="W253" s="107" t="n">
        <v>34578</v>
      </c>
      <c r="X253" s="108" t="s">
        <v>372</v>
      </c>
      <c r="Y253" s="107" t="s">
        <v>687</v>
      </c>
      <c r="Z253" s="107" t="s">
        <v>689</v>
      </c>
      <c r="AA253" s="109" t="n">
        <v>46064</v>
      </c>
      <c r="AB253" s="107" t="n">
        <v>260211000001</v>
      </c>
      <c r="AC253" s="109" t="n">
        <v>45406</v>
      </c>
      <c r="AD253" s="109" t="n">
        <v>47232</v>
      </c>
      <c r="AE253" s="107" t="n">
        <v>5.75</v>
      </c>
      <c r="AF253" s="107" t="n">
        <v>2.3033</v>
      </c>
      <c r="AG253" s="107" t="n">
        <v>937</v>
      </c>
      <c r="AH253" s="107" t="n">
        <v>200000</v>
      </c>
      <c r="AI253" s="107" t="n">
        <v>4.27637</v>
      </c>
      <c r="AJ253" s="107" t="n">
        <v>104.36</v>
      </c>
      <c r="AK253" s="107" t="n">
        <v>3.945796</v>
      </c>
      <c r="AL253" s="107" t="n">
        <v>106.851665</v>
      </c>
      <c r="AM253" s="107" t="n">
        <v>5.6368</v>
      </c>
      <c r="AN253" s="107" t="n">
        <v>100.2622</v>
      </c>
      <c r="AO253" s="107" t="n">
        <v>1358.4</v>
      </c>
      <c r="AP253" s="107" t="n">
        <v>1</v>
      </c>
      <c r="AQ253" s="107" t="n">
        <v>200524.4</v>
      </c>
      <c r="AR253" s="107" t="n">
        <v>272392345</v>
      </c>
      <c r="AS253" s="107" t="n">
        <v>208720</v>
      </c>
      <c r="AT253" s="107" t="n">
        <v>306881016</v>
      </c>
      <c r="AU253" s="107" t="n">
        <v>-8195.6</v>
      </c>
      <c r="AV253" s="107" t="n">
        <v>-11132903</v>
      </c>
      <c r="AW253" s="107" t="n">
        <v>0</v>
      </c>
      <c r="AX253" s="107" t="n">
        <v>0</v>
      </c>
      <c r="AY253" s="107" t="n">
        <v>0</v>
      </c>
      <c r="AZ253" s="107" t="n">
        <v>0</v>
      </c>
      <c r="BA253" s="107" t="n">
        <v>0</v>
      </c>
      <c r="BB253" s="107" t="n">
        <v>0</v>
      </c>
      <c r="BC253" s="107" t="n">
        <v>0</v>
      </c>
      <c r="BD253" s="107" t="n">
        <v>0</v>
      </c>
      <c r="BE253" s="107" t="n">
        <v>4983.33</v>
      </c>
      <c r="BF253" s="107" t="n">
        <v>6769355</v>
      </c>
      <c r="BG253" s="107" t="n">
        <v>0</v>
      </c>
      <c r="BH253" s="107" t="n">
        <v>0</v>
      </c>
      <c r="BI253" s="107" t="n">
        <v>208720</v>
      </c>
      <c r="BJ253" s="107" t="n">
        <v>306881016</v>
      </c>
      <c r="BK253" s="107" t="n">
        <v>0</v>
      </c>
      <c r="BL253" s="107" t="n">
        <v>0</v>
      </c>
      <c r="BM253" s="107" t="n">
        <v>0</v>
      </c>
      <c r="BN253" s="107" t="n">
        <v>0</v>
      </c>
      <c r="BO253" s="2"/>
      <c r="BP253" s="2"/>
      <c r="BQ253" s="107" t="s">
        <v>377</v>
      </c>
      <c r="BR253" s="107" t="n">
        <v>-23355768</v>
      </c>
      <c r="BS253" s="107" t="n">
        <v>0</v>
      </c>
      <c r="BT253" s="107" t="n">
        <v>0</v>
      </c>
      <c r="BU253" s="107" t="n">
        <v>0</v>
      </c>
      <c r="BV253" s="107" t="n">
        <v>0</v>
      </c>
      <c r="BW253" s="107" t="n">
        <v>4983.33</v>
      </c>
      <c r="BX253" s="107" t="n">
        <v>6769355</v>
      </c>
      <c r="BY253" s="107" t="n">
        <v>0</v>
      </c>
      <c r="BZ253" s="107" t="n">
        <v>0</v>
      </c>
      <c r="CA253" s="107" t="n">
        <v>1470.3</v>
      </c>
      <c r="CB253" s="2"/>
      <c r="CC253" s="107" t="n">
        <v>0</v>
      </c>
      <c r="CD253" s="107" t="n">
        <v>100.25</v>
      </c>
      <c r="CE253" s="107" t="n">
        <v>100.28</v>
      </c>
      <c r="CF253" s="107" t="n">
        <v>100.25</v>
      </c>
      <c r="CG253" s="107" t="n">
        <v>200000</v>
      </c>
      <c r="CH253" s="107" t="n">
        <v>2.2402</v>
      </c>
      <c r="CI253" s="107" t="n">
        <v>85.1</v>
      </c>
      <c r="CJ253" s="107" t="n">
        <v>85.06</v>
      </c>
      <c r="CK253" s="107" t="n">
        <v>85.13</v>
      </c>
      <c r="CL253" s="107" t="n">
        <v>0</v>
      </c>
    </row>
    <row r="254" customFormat="false" ht="15" hidden="false" customHeight="false" outlineLevel="0" collapsed="false">
      <c r="A254" s="107" t="s">
        <v>688</v>
      </c>
      <c r="B254" s="107" t="n">
        <v>96.4211</v>
      </c>
      <c r="C254" s="107" t="n">
        <v>5.8149</v>
      </c>
      <c r="D254" s="107" t="n">
        <v>3.2911</v>
      </c>
      <c r="E254" s="107" t="n">
        <v>-951.99444663</v>
      </c>
      <c r="F254" s="108" t="s">
        <v>358</v>
      </c>
      <c r="G254" s="107" t="n">
        <v>3.2911</v>
      </c>
      <c r="H254" s="107" t="n">
        <v>-951.99444663</v>
      </c>
      <c r="I254" s="109" t="n">
        <v>47674</v>
      </c>
      <c r="J254" s="107" t="n">
        <v>3</v>
      </c>
      <c r="K254" s="107" t="s">
        <v>359</v>
      </c>
      <c r="L254" s="107" t="s">
        <v>298</v>
      </c>
      <c r="M254" s="107" t="n">
        <v>9873300</v>
      </c>
      <c r="N254" s="107" t="n">
        <v>99.94</v>
      </c>
      <c r="O254" s="107" t="n">
        <v>2892633</v>
      </c>
      <c r="P254" s="107" t="s">
        <v>520</v>
      </c>
      <c r="Q254" s="107" t="s">
        <v>106</v>
      </c>
      <c r="R254" s="107" t="n">
        <v>-0.0975687632139219</v>
      </c>
      <c r="S254" s="107" t="n">
        <v>-0.0352101260756454</v>
      </c>
      <c r="T254" s="107" t="n">
        <v>-979.67694444</v>
      </c>
      <c r="U254" s="107" t="n">
        <v>21069</v>
      </c>
      <c r="V254" s="108" t="s">
        <v>362</v>
      </c>
      <c r="W254" s="107" t="n">
        <v>34578</v>
      </c>
      <c r="X254" s="108" t="s">
        <v>372</v>
      </c>
      <c r="Y254" s="107" t="s">
        <v>688</v>
      </c>
      <c r="Z254" s="107" t="s">
        <v>690</v>
      </c>
      <c r="AA254" s="109" t="n">
        <v>45848</v>
      </c>
      <c r="AB254" s="107" t="n">
        <v>250710000001</v>
      </c>
      <c r="AC254" s="109" t="n">
        <v>45848</v>
      </c>
      <c r="AD254" s="109" t="n">
        <v>47674</v>
      </c>
      <c r="AE254" s="107" t="n">
        <v>4.75</v>
      </c>
      <c r="AF254" s="107" t="n">
        <v>3.3845</v>
      </c>
      <c r="AG254" s="107" t="n">
        <v>1379</v>
      </c>
      <c r="AH254" s="107" t="n">
        <v>200000</v>
      </c>
      <c r="AI254" s="107" t="n">
        <v>4.873</v>
      </c>
      <c r="AJ254" s="107" t="n">
        <v>99.46</v>
      </c>
      <c r="AK254" s="107" t="n">
        <v>4.380118</v>
      </c>
      <c r="AL254" s="107" t="n">
        <v>102.324255</v>
      </c>
      <c r="AM254" s="107" t="n">
        <v>5.7816</v>
      </c>
      <c r="AN254" s="107" t="n">
        <v>96.5325</v>
      </c>
      <c r="AO254" s="107" t="n">
        <v>1358.4</v>
      </c>
      <c r="AP254" s="107" t="n">
        <v>1</v>
      </c>
      <c r="AQ254" s="107" t="n">
        <v>193065</v>
      </c>
      <c r="AR254" s="107" t="n">
        <v>262259496</v>
      </c>
      <c r="AS254" s="107" t="n">
        <v>202537.4</v>
      </c>
      <c r="AT254" s="107" t="n">
        <v>290620915</v>
      </c>
      <c r="AU254" s="107" t="n">
        <v>-9472.4</v>
      </c>
      <c r="AV254" s="107" t="n">
        <v>-12867308</v>
      </c>
      <c r="AW254" s="107" t="n">
        <v>0</v>
      </c>
      <c r="AX254" s="107" t="n">
        <v>0</v>
      </c>
      <c r="AY254" s="107" t="n">
        <v>0</v>
      </c>
      <c r="AZ254" s="107" t="n">
        <v>0</v>
      </c>
      <c r="BA254" s="107" t="n">
        <v>0</v>
      </c>
      <c r="BB254" s="107" t="n">
        <v>0</v>
      </c>
      <c r="BC254" s="107" t="n">
        <v>0</v>
      </c>
      <c r="BD254" s="107" t="n">
        <v>0</v>
      </c>
      <c r="BE254" s="107" t="n">
        <v>2111.11</v>
      </c>
      <c r="BF254" s="107" t="n">
        <v>2867731</v>
      </c>
      <c r="BG254" s="107" t="n">
        <v>0</v>
      </c>
      <c r="BH254" s="107" t="n">
        <v>0</v>
      </c>
      <c r="BI254" s="107" t="n">
        <v>198920</v>
      </c>
      <c r="BJ254" s="107" t="n">
        <v>285430308</v>
      </c>
      <c r="BK254" s="107" t="n">
        <v>0</v>
      </c>
      <c r="BL254" s="107" t="n">
        <v>0</v>
      </c>
      <c r="BM254" s="107" t="n">
        <v>0</v>
      </c>
      <c r="BN254" s="107" t="n">
        <v>0</v>
      </c>
      <c r="BO254" s="107" t="s">
        <v>374</v>
      </c>
      <c r="BP254" s="107" t="s">
        <v>517</v>
      </c>
      <c r="BQ254" s="107" t="s">
        <v>369</v>
      </c>
      <c r="BR254" s="107" t="n">
        <v>-15494111</v>
      </c>
      <c r="BS254" s="107" t="n">
        <v>0</v>
      </c>
      <c r="BT254" s="107" t="n">
        <v>0</v>
      </c>
      <c r="BU254" s="107" t="n">
        <v>3617.4</v>
      </c>
      <c r="BV254" s="107" t="n">
        <v>5190607</v>
      </c>
      <c r="BW254" s="107" t="n">
        <v>2111.11</v>
      </c>
      <c r="BX254" s="107" t="n">
        <v>2867731</v>
      </c>
      <c r="BY254" s="107" t="n">
        <v>0</v>
      </c>
      <c r="BZ254" s="107" t="n">
        <v>0</v>
      </c>
      <c r="CA254" s="107" t="n">
        <v>1434.9</v>
      </c>
      <c r="CB254" s="2"/>
      <c r="CC254" s="107" t="n">
        <v>0</v>
      </c>
      <c r="CD254" s="107" t="n">
        <v>96.52</v>
      </c>
      <c r="CE254" s="107" t="n">
        <v>96.54</v>
      </c>
      <c r="CF254" s="107" t="n">
        <v>96.53</v>
      </c>
      <c r="CG254" s="107" t="n">
        <v>0</v>
      </c>
      <c r="CH254" s="107" t="n">
        <v>3.2894</v>
      </c>
      <c r="CI254" s="107" t="n">
        <v>101.13</v>
      </c>
      <c r="CJ254" s="107" t="n">
        <v>101.13</v>
      </c>
      <c r="CK254" s="107" t="n">
        <v>101.18</v>
      </c>
      <c r="CL254" s="107" t="n">
        <v>0</v>
      </c>
    </row>
    <row r="255" customFormat="false" ht="15" hidden="false" customHeight="false" outlineLevel="0" collapsed="false">
      <c r="A255" s="107" t="s">
        <v>688</v>
      </c>
      <c r="B255" s="107" t="n">
        <v>96.4211</v>
      </c>
      <c r="C255" s="107" t="n">
        <v>5.8149</v>
      </c>
      <c r="D255" s="107" t="n">
        <v>3.2911</v>
      </c>
      <c r="E255" s="107" t="n">
        <v>-634.66296442</v>
      </c>
      <c r="F255" s="108" t="s">
        <v>358</v>
      </c>
      <c r="G255" s="107" t="n">
        <v>3.2911</v>
      </c>
      <c r="H255" s="107" t="n">
        <v>-634.66296442</v>
      </c>
      <c r="I255" s="109" t="n">
        <v>47674</v>
      </c>
      <c r="J255" s="107" t="n">
        <v>3</v>
      </c>
      <c r="K255" s="107" t="s">
        <v>359</v>
      </c>
      <c r="L255" s="107" t="s">
        <v>298</v>
      </c>
      <c r="M255" s="107" t="n">
        <v>6582200</v>
      </c>
      <c r="N255" s="107" t="n">
        <v>99.837</v>
      </c>
      <c r="O255" s="107" t="n">
        <v>1928422</v>
      </c>
      <c r="P255" s="107" t="s">
        <v>520</v>
      </c>
      <c r="Q255" s="107" t="s">
        <v>106</v>
      </c>
      <c r="R255" s="107" t="n">
        <v>-0.097568763317428</v>
      </c>
      <c r="S255" s="107" t="n">
        <v>-0.0342147700752227</v>
      </c>
      <c r="T255" s="107" t="n">
        <v>-653.11796296</v>
      </c>
      <c r="U255" s="107" t="n">
        <v>21069</v>
      </c>
      <c r="V255" s="108" t="s">
        <v>362</v>
      </c>
      <c r="W255" s="107" t="n">
        <v>34578</v>
      </c>
      <c r="X255" s="108" t="s">
        <v>372</v>
      </c>
      <c r="Y255" s="107" t="s">
        <v>688</v>
      </c>
      <c r="Z255" s="107" t="s">
        <v>690</v>
      </c>
      <c r="AA255" s="109" t="n">
        <v>45848</v>
      </c>
      <c r="AB255" s="107" t="n">
        <v>250710000002</v>
      </c>
      <c r="AC255" s="109" t="n">
        <v>45848</v>
      </c>
      <c r="AD255" s="109" t="n">
        <v>47674</v>
      </c>
      <c r="AE255" s="107" t="n">
        <v>4.75</v>
      </c>
      <c r="AF255" s="107" t="n">
        <v>3.3845</v>
      </c>
      <c r="AG255" s="107" t="n">
        <v>1379</v>
      </c>
      <c r="AH255" s="107" t="n">
        <v>1400000</v>
      </c>
      <c r="AI255" s="107" t="n">
        <v>4.77454</v>
      </c>
      <c r="AJ255" s="107" t="n">
        <v>99.892</v>
      </c>
      <c r="AK255" s="107" t="n">
        <v>4.380118</v>
      </c>
      <c r="AL255" s="107" t="n">
        <v>102.324255</v>
      </c>
      <c r="AM255" s="107" t="n">
        <v>5.7816</v>
      </c>
      <c r="AN255" s="107" t="n">
        <v>96.5325</v>
      </c>
      <c r="AO255" s="107" t="n">
        <v>1358.4</v>
      </c>
      <c r="AP255" s="107" t="n">
        <v>1</v>
      </c>
      <c r="AQ255" s="107" t="n">
        <v>1351455</v>
      </c>
      <c r="AR255" s="107" t="n">
        <v>1835816472</v>
      </c>
      <c r="AS255" s="107" t="n">
        <v>1417761.8</v>
      </c>
      <c r="AT255" s="107" t="n">
        <v>2034346407</v>
      </c>
      <c r="AU255" s="107" t="n">
        <v>-66306.8</v>
      </c>
      <c r="AV255" s="107" t="n">
        <v>-90071157</v>
      </c>
      <c r="AW255" s="107" t="n">
        <v>0</v>
      </c>
      <c r="AX255" s="107" t="n">
        <v>0</v>
      </c>
      <c r="AY255" s="107" t="n">
        <v>0</v>
      </c>
      <c r="AZ255" s="107" t="n">
        <v>0</v>
      </c>
      <c r="BA255" s="107" t="n">
        <v>0</v>
      </c>
      <c r="BB255" s="107" t="n">
        <v>0</v>
      </c>
      <c r="BC255" s="107" t="n">
        <v>0</v>
      </c>
      <c r="BD255" s="107" t="n">
        <v>0</v>
      </c>
      <c r="BE255" s="107" t="n">
        <v>14777.78</v>
      </c>
      <c r="BF255" s="107" t="n">
        <v>20074136</v>
      </c>
      <c r="BG255" s="107" t="n">
        <v>0</v>
      </c>
      <c r="BH255" s="107" t="n">
        <v>0</v>
      </c>
      <c r="BI255" s="107" t="n">
        <v>1398488</v>
      </c>
      <c r="BJ255" s="107" t="n">
        <v>2006690431</v>
      </c>
      <c r="BK255" s="107" t="n">
        <v>0</v>
      </c>
      <c r="BL255" s="107" t="n">
        <v>0</v>
      </c>
      <c r="BM255" s="107" t="n">
        <v>0</v>
      </c>
      <c r="BN255" s="107" t="n">
        <v>0</v>
      </c>
      <c r="BO255" s="107" t="s">
        <v>374</v>
      </c>
      <c r="BP255" s="107" t="s">
        <v>517</v>
      </c>
      <c r="BQ255" s="107" t="s">
        <v>369</v>
      </c>
      <c r="BR255" s="107" t="n">
        <v>-108458778</v>
      </c>
      <c r="BS255" s="107" t="n">
        <v>0</v>
      </c>
      <c r="BT255" s="107" t="n">
        <v>0</v>
      </c>
      <c r="BU255" s="107" t="n">
        <v>19273.8</v>
      </c>
      <c r="BV255" s="107" t="n">
        <v>27655976</v>
      </c>
      <c r="BW255" s="107" t="n">
        <v>14777.78</v>
      </c>
      <c r="BX255" s="107" t="n">
        <v>20074136</v>
      </c>
      <c r="BY255" s="107" t="n">
        <v>0</v>
      </c>
      <c r="BZ255" s="107" t="n">
        <v>0</v>
      </c>
      <c r="CA255" s="107" t="n">
        <v>1434.9</v>
      </c>
      <c r="CB255" s="2"/>
      <c r="CC255" s="107" t="n">
        <v>0</v>
      </c>
      <c r="CD255" s="107" t="n">
        <v>96.52</v>
      </c>
      <c r="CE255" s="107" t="n">
        <v>96.54</v>
      </c>
      <c r="CF255" s="107" t="n">
        <v>96.53</v>
      </c>
      <c r="CG255" s="107" t="n">
        <v>0</v>
      </c>
      <c r="CH255" s="107" t="n">
        <v>3.2894</v>
      </c>
      <c r="CI255" s="107" t="n">
        <v>100.11</v>
      </c>
      <c r="CJ255" s="107" t="n">
        <v>100.09</v>
      </c>
      <c r="CK255" s="107" t="n">
        <v>100.11</v>
      </c>
      <c r="CL255" s="107" t="n">
        <v>0</v>
      </c>
    </row>
    <row r="256" customFormat="false" ht="15" hidden="false" customHeight="false" outlineLevel="0" collapsed="false">
      <c r="A256" s="107" t="s">
        <v>688</v>
      </c>
      <c r="B256" s="107" t="n">
        <v>96.4211</v>
      </c>
      <c r="C256" s="107" t="n">
        <v>5.8149</v>
      </c>
      <c r="D256" s="107" t="n">
        <v>3.2911</v>
      </c>
      <c r="E256" s="107" t="n">
        <v>-951.99444663</v>
      </c>
      <c r="F256" s="108" t="s">
        <v>358</v>
      </c>
      <c r="G256" s="107" t="n">
        <v>3.2911</v>
      </c>
      <c r="H256" s="107" t="n">
        <v>-951.99444663</v>
      </c>
      <c r="I256" s="109" t="n">
        <v>47674</v>
      </c>
      <c r="J256" s="107" t="n">
        <v>3</v>
      </c>
      <c r="K256" s="107" t="s">
        <v>359</v>
      </c>
      <c r="L256" s="107" t="s">
        <v>298</v>
      </c>
      <c r="M256" s="107" t="n">
        <v>9873300</v>
      </c>
      <c r="N256" s="107" t="n">
        <v>99.86</v>
      </c>
      <c r="O256" s="107" t="n">
        <v>2892633</v>
      </c>
      <c r="P256" s="107" t="s">
        <v>520</v>
      </c>
      <c r="Q256" s="107" t="s">
        <v>106</v>
      </c>
      <c r="R256" s="107" t="n">
        <v>-0.0975687632139219</v>
      </c>
      <c r="S256" s="107" t="n">
        <v>-0.0344372120969357</v>
      </c>
      <c r="T256" s="107" t="n">
        <v>-979.67694444</v>
      </c>
      <c r="U256" s="107" t="n">
        <v>21069</v>
      </c>
      <c r="V256" s="108" t="s">
        <v>362</v>
      </c>
      <c r="W256" s="107" t="n">
        <v>34578</v>
      </c>
      <c r="X256" s="108" t="s">
        <v>372</v>
      </c>
      <c r="Y256" s="107" t="s">
        <v>688</v>
      </c>
      <c r="Z256" s="107" t="s">
        <v>690</v>
      </c>
      <c r="AA256" s="109" t="n">
        <v>45848</v>
      </c>
      <c r="AB256" s="107" t="n">
        <v>250710000003</v>
      </c>
      <c r="AC256" s="109" t="n">
        <v>45848</v>
      </c>
      <c r="AD256" s="109" t="n">
        <v>47674</v>
      </c>
      <c r="AE256" s="107" t="n">
        <v>4.75</v>
      </c>
      <c r="AF256" s="107" t="n">
        <v>3.3845</v>
      </c>
      <c r="AG256" s="107" t="n">
        <v>1379</v>
      </c>
      <c r="AH256" s="107" t="n">
        <v>3000000</v>
      </c>
      <c r="AI256" s="107" t="n">
        <v>4.76362</v>
      </c>
      <c r="AJ256" s="107" t="n">
        <v>99.94</v>
      </c>
      <c r="AK256" s="107" t="n">
        <v>4.380118</v>
      </c>
      <c r="AL256" s="107" t="n">
        <v>102.324255</v>
      </c>
      <c r="AM256" s="107" t="n">
        <v>5.7816</v>
      </c>
      <c r="AN256" s="107" t="n">
        <v>96.5325</v>
      </c>
      <c r="AO256" s="107" t="n">
        <v>1358.4</v>
      </c>
      <c r="AP256" s="107" t="n">
        <v>1</v>
      </c>
      <c r="AQ256" s="107" t="n">
        <v>2895975</v>
      </c>
      <c r="AR256" s="107" t="n">
        <v>3933892440</v>
      </c>
      <c r="AS256" s="107" t="n">
        <v>3038061</v>
      </c>
      <c r="AT256" s="107" t="n">
        <v>4359313729</v>
      </c>
      <c r="AU256" s="107" t="n">
        <v>-142086</v>
      </c>
      <c r="AV256" s="107" t="n">
        <v>-193009622</v>
      </c>
      <c r="AW256" s="107" t="n">
        <v>0</v>
      </c>
      <c r="AX256" s="107" t="n">
        <v>0</v>
      </c>
      <c r="AY256" s="107" t="n">
        <v>0</v>
      </c>
      <c r="AZ256" s="107" t="n">
        <v>0</v>
      </c>
      <c r="BA256" s="107" t="n">
        <v>0</v>
      </c>
      <c r="BB256" s="107" t="n">
        <v>0</v>
      </c>
      <c r="BC256" s="107" t="n">
        <v>0</v>
      </c>
      <c r="BD256" s="107" t="n">
        <v>0</v>
      </c>
      <c r="BE256" s="107" t="n">
        <v>31666.67</v>
      </c>
      <c r="BF256" s="107" t="n">
        <v>43016004</v>
      </c>
      <c r="BG256" s="107" t="n">
        <v>0</v>
      </c>
      <c r="BH256" s="107" t="n">
        <v>0</v>
      </c>
      <c r="BI256" s="107" t="n">
        <v>2998200</v>
      </c>
      <c r="BJ256" s="107" t="n">
        <v>4302117180</v>
      </c>
      <c r="BK256" s="107" t="n">
        <v>0</v>
      </c>
      <c r="BL256" s="107" t="n">
        <v>0</v>
      </c>
      <c r="BM256" s="107" t="n">
        <v>0</v>
      </c>
      <c r="BN256" s="107" t="n">
        <v>0</v>
      </c>
      <c r="BO256" s="107" t="s">
        <v>374</v>
      </c>
      <c r="BP256" s="107" t="s">
        <v>517</v>
      </c>
      <c r="BQ256" s="107" t="s">
        <v>369</v>
      </c>
      <c r="BR256" s="107" t="n">
        <v>-232411667</v>
      </c>
      <c r="BS256" s="107" t="n">
        <v>0</v>
      </c>
      <c r="BT256" s="107" t="n">
        <v>0</v>
      </c>
      <c r="BU256" s="107" t="n">
        <v>39861</v>
      </c>
      <c r="BV256" s="107" t="n">
        <v>57196549</v>
      </c>
      <c r="BW256" s="107" t="n">
        <v>31666.67</v>
      </c>
      <c r="BX256" s="107" t="n">
        <v>43016004</v>
      </c>
      <c r="BY256" s="107" t="n">
        <v>0</v>
      </c>
      <c r="BZ256" s="107" t="n">
        <v>0</v>
      </c>
      <c r="CA256" s="107" t="n">
        <v>1434.9</v>
      </c>
      <c r="CB256" s="2"/>
      <c r="CC256" s="107" t="n">
        <v>0</v>
      </c>
      <c r="CD256" s="107" t="n">
        <v>96.52</v>
      </c>
      <c r="CE256" s="107" t="n">
        <v>96.54</v>
      </c>
      <c r="CF256" s="107" t="n">
        <v>96.53</v>
      </c>
      <c r="CG256" s="107" t="n">
        <v>0</v>
      </c>
      <c r="CH256" s="107" t="n">
        <v>3.2894</v>
      </c>
      <c r="CI256" s="107" t="n">
        <v>97.37</v>
      </c>
      <c r="CJ256" s="107" t="n">
        <v>97.33</v>
      </c>
      <c r="CK256" s="107" t="n">
        <v>97.39</v>
      </c>
      <c r="CL256" s="107" t="n">
        <v>0</v>
      </c>
    </row>
    <row r="257" customFormat="false" ht="15" hidden="false" customHeight="false" outlineLevel="0" collapsed="false">
      <c r="A257" s="107" t="s">
        <v>688</v>
      </c>
      <c r="B257" s="107" t="n">
        <v>96.4211</v>
      </c>
      <c r="C257" s="107" t="n">
        <v>5.8149</v>
      </c>
      <c r="D257" s="107" t="n">
        <v>3.2911</v>
      </c>
      <c r="E257" s="107" t="n">
        <v>-951.99444663</v>
      </c>
      <c r="F257" s="108" t="s">
        <v>358</v>
      </c>
      <c r="G257" s="107" t="n">
        <v>3.2911</v>
      </c>
      <c r="H257" s="107" t="n">
        <v>-951.99444663</v>
      </c>
      <c r="I257" s="109" t="n">
        <v>47674</v>
      </c>
      <c r="J257" s="107" t="n">
        <v>3</v>
      </c>
      <c r="K257" s="107" t="s">
        <v>359</v>
      </c>
      <c r="L257" s="107" t="s">
        <v>298</v>
      </c>
      <c r="M257" s="107" t="n">
        <v>9873300</v>
      </c>
      <c r="N257" s="107" t="n">
        <v>99.8</v>
      </c>
      <c r="O257" s="107" t="n">
        <v>2892633</v>
      </c>
      <c r="P257" s="107" t="s">
        <v>520</v>
      </c>
      <c r="Q257" s="107" t="s">
        <v>106</v>
      </c>
      <c r="R257" s="107" t="n">
        <v>-0.0975687632139219</v>
      </c>
      <c r="S257" s="107" t="n">
        <v>-0.0338567134268537</v>
      </c>
      <c r="T257" s="107" t="n">
        <v>-979.67694444</v>
      </c>
      <c r="U257" s="107" t="n">
        <v>21069</v>
      </c>
      <c r="V257" s="108" t="s">
        <v>362</v>
      </c>
      <c r="W257" s="107" t="n">
        <v>34578</v>
      </c>
      <c r="X257" s="108" t="s">
        <v>372</v>
      </c>
      <c r="Y257" s="107" t="s">
        <v>688</v>
      </c>
      <c r="Z257" s="107" t="s">
        <v>690</v>
      </c>
      <c r="AA257" s="109" t="n">
        <v>45848</v>
      </c>
      <c r="AB257" s="107" t="n">
        <v>250710000004</v>
      </c>
      <c r="AC257" s="109" t="n">
        <v>45848</v>
      </c>
      <c r="AD257" s="109" t="n">
        <v>47674</v>
      </c>
      <c r="AE257" s="107" t="n">
        <v>4.75</v>
      </c>
      <c r="AF257" s="107" t="n">
        <v>3.3845</v>
      </c>
      <c r="AG257" s="107" t="n">
        <v>1379</v>
      </c>
      <c r="AH257" s="107" t="n">
        <v>2000000</v>
      </c>
      <c r="AI257" s="107" t="n">
        <v>4.787044</v>
      </c>
      <c r="AJ257" s="107" t="n">
        <v>99.837</v>
      </c>
      <c r="AK257" s="107" t="n">
        <v>4.380118</v>
      </c>
      <c r="AL257" s="107" t="n">
        <v>102.324255</v>
      </c>
      <c r="AM257" s="107" t="n">
        <v>5.7816</v>
      </c>
      <c r="AN257" s="107" t="n">
        <v>96.5325</v>
      </c>
      <c r="AO257" s="107" t="n">
        <v>1358.4</v>
      </c>
      <c r="AP257" s="107" t="n">
        <v>1</v>
      </c>
      <c r="AQ257" s="107" t="n">
        <v>1930650</v>
      </c>
      <c r="AR257" s="107" t="n">
        <v>2622594960</v>
      </c>
      <c r="AS257" s="107" t="n">
        <v>2025374</v>
      </c>
      <c r="AT257" s="107" t="n">
        <v>2906209153</v>
      </c>
      <c r="AU257" s="107" t="n">
        <v>-94724</v>
      </c>
      <c r="AV257" s="107" t="n">
        <v>-128673082</v>
      </c>
      <c r="AW257" s="107" t="n">
        <v>0</v>
      </c>
      <c r="AX257" s="107" t="n">
        <v>0</v>
      </c>
      <c r="AY257" s="107" t="n">
        <v>0</v>
      </c>
      <c r="AZ257" s="107" t="n">
        <v>0</v>
      </c>
      <c r="BA257" s="107" t="n">
        <v>0</v>
      </c>
      <c r="BB257" s="107" t="n">
        <v>0</v>
      </c>
      <c r="BC257" s="107" t="n">
        <v>0</v>
      </c>
      <c r="BD257" s="107" t="n">
        <v>0</v>
      </c>
      <c r="BE257" s="107" t="n">
        <v>21111.11</v>
      </c>
      <c r="BF257" s="107" t="n">
        <v>28677331</v>
      </c>
      <c r="BG257" s="107" t="n">
        <v>0</v>
      </c>
      <c r="BH257" s="107" t="n">
        <v>0</v>
      </c>
      <c r="BI257" s="107" t="n">
        <v>1996740</v>
      </c>
      <c r="BJ257" s="107" t="n">
        <v>2865122226</v>
      </c>
      <c r="BK257" s="107" t="n">
        <v>0</v>
      </c>
      <c r="BL257" s="107" t="n">
        <v>0</v>
      </c>
      <c r="BM257" s="107" t="n">
        <v>0</v>
      </c>
      <c r="BN257" s="107" t="n">
        <v>0</v>
      </c>
      <c r="BO257" s="107" t="s">
        <v>374</v>
      </c>
      <c r="BP257" s="107" t="s">
        <v>517</v>
      </c>
      <c r="BQ257" s="107" t="s">
        <v>369</v>
      </c>
      <c r="BR257" s="107" t="n">
        <v>-154941111</v>
      </c>
      <c r="BS257" s="107" t="n">
        <v>0</v>
      </c>
      <c r="BT257" s="107" t="n">
        <v>0</v>
      </c>
      <c r="BU257" s="107" t="n">
        <v>28634</v>
      </c>
      <c r="BV257" s="107" t="n">
        <v>41086927</v>
      </c>
      <c r="BW257" s="107" t="n">
        <v>21111.11</v>
      </c>
      <c r="BX257" s="107" t="n">
        <v>28677331</v>
      </c>
      <c r="BY257" s="107" t="n">
        <v>0</v>
      </c>
      <c r="BZ257" s="107" t="n">
        <v>0</v>
      </c>
      <c r="CA257" s="107" t="n">
        <v>1434.9</v>
      </c>
      <c r="CB257" s="2"/>
      <c r="CC257" s="107" t="n">
        <v>0</v>
      </c>
      <c r="CD257" s="107" t="n">
        <v>96.52</v>
      </c>
      <c r="CE257" s="107" t="n">
        <v>96.54</v>
      </c>
      <c r="CF257" s="107" t="n">
        <v>96.53</v>
      </c>
      <c r="CG257" s="107" t="n">
        <v>0</v>
      </c>
      <c r="CH257" s="107" t="n">
        <v>3.2894</v>
      </c>
      <c r="CI257" s="107" t="n">
        <v>99.24</v>
      </c>
      <c r="CJ257" s="107" t="n">
        <v>99.31</v>
      </c>
      <c r="CK257" s="107" t="n">
        <v>99.39</v>
      </c>
      <c r="CL257" s="107" t="n">
        <v>0</v>
      </c>
    </row>
    <row r="258" customFormat="false" ht="15" hidden="false" customHeight="false" outlineLevel="0" collapsed="false">
      <c r="A258" s="107" t="s">
        <v>688</v>
      </c>
      <c r="B258" s="107" t="n">
        <v>96.4211</v>
      </c>
      <c r="C258" s="107" t="n">
        <v>5.8149</v>
      </c>
      <c r="D258" s="107" t="n">
        <v>3.2911</v>
      </c>
      <c r="E258" s="107" t="n">
        <v>-1586.65741105</v>
      </c>
      <c r="F258" s="108" t="s">
        <v>358</v>
      </c>
      <c r="G258" s="107" t="n">
        <v>3.2911</v>
      </c>
      <c r="H258" s="107" t="n">
        <v>-1586.65741105</v>
      </c>
      <c r="I258" s="109" t="n">
        <v>47674</v>
      </c>
      <c r="J258" s="107" t="n">
        <v>3</v>
      </c>
      <c r="K258" s="107" t="s">
        <v>359</v>
      </c>
      <c r="L258" s="107" t="s">
        <v>298</v>
      </c>
      <c r="M258" s="107" t="n">
        <v>16455500</v>
      </c>
      <c r="N258" s="107" t="n">
        <v>99.426</v>
      </c>
      <c r="O258" s="107" t="n">
        <v>4821055</v>
      </c>
      <c r="P258" s="107" t="s">
        <v>520</v>
      </c>
      <c r="Q258" s="107" t="s">
        <v>106</v>
      </c>
      <c r="R258" s="107" t="n">
        <v>-0.0975687632553244</v>
      </c>
      <c r="S258" s="107" t="n">
        <v>-0.0302224770180839</v>
      </c>
      <c r="T258" s="107" t="n">
        <v>-1632.7949074</v>
      </c>
      <c r="U258" s="107" t="n">
        <v>21069</v>
      </c>
      <c r="V258" s="108" t="s">
        <v>362</v>
      </c>
      <c r="W258" s="107" t="n">
        <v>34578</v>
      </c>
      <c r="X258" s="108" t="s">
        <v>372</v>
      </c>
      <c r="Y258" s="107" t="s">
        <v>688</v>
      </c>
      <c r="Z258" s="107" t="s">
        <v>690</v>
      </c>
      <c r="AA258" s="109" t="n">
        <v>45848</v>
      </c>
      <c r="AB258" s="107" t="n">
        <v>250710000005</v>
      </c>
      <c r="AC258" s="109" t="n">
        <v>45848</v>
      </c>
      <c r="AD258" s="109" t="n">
        <v>47674</v>
      </c>
      <c r="AE258" s="107" t="n">
        <v>4.75</v>
      </c>
      <c r="AF258" s="107" t="n">
        <v>3.3845</v>
      </c>
      <c r="AG258" s="107" t="n">
        <v>1379</v>
      </c>
      <c r="AH258" s="107" t="n">
        <v>3000000</v>
      </c>
      <c r="AI258" s="107" t="n">
        <v>4.78181</v>
      </c>
      <c r="AJ258" s="107" t="n">
        <v>99.86</v>
      </c>
      <c r="AK258" s="107" t="n">
        <v>4.380118</v>
      </c>
      <c r="AL258" s="107" t="n">
        <v>102.324255</v>
      </c>
      <c r="AM258" s="107" t="n">
        <v>5.7816</v>
      </c>
      <c r="AN258" s="107" t="n">
        <v>96.5325</v>
      </c>
      <c r="AO258" s="107" t="n">
        <v>1358.4</v>
      </c>
      <c r="AP258" s="107" t="n">
        <v>1</v>
      </c>
      <c r="AQ258" s="107" t="n">
        <v>2895975</v>
      </c>
      <c r="AR258" s="107" t="n">
        <v>3933892440</v>
      </c>
      <c r="AS258" s="107" t="n">
        <v>3038061</v>
      </c>
      <c r="AT258" s="107" t="n">
        <v>4359313729</v>
      </c>
      <c r="AU258" s="107" t="n">
        <v>-142086</v>
      </c>
      <c r="AV258" s="107" t="n">
        <v>-193009622</v>
      </c>
      <c r="AW258" s="107" t="n">
        <v>0</v>
      </c>
      <c r="AX258" s="107" t="n">
        <v>0</v>
      </c>
      <c r="AY258" s="107" t="n">
        <v>0</v>
      </c>
      <c r="AZ258" s="107" t="n">
        <v>0</v>
      </c>
      <c r="BA258" s="107" t="n">
        <v>0</v>
      </c>
      <c r="BB258" s="107" t="n">
        <v>0</v>
      </c>
      <c r="BC258" s="107" t="n">
        <v>0</v>
      </c>
      <c r="BD258" s="107" t="n">
        <v>0</v>
      </c>
      <c r="BE258" s="107" t="n">
        <v>31666.67</v>
      </c>
      <c r="BF258" s="107" t="n">
        <v>43016004</v>
      </c>
      <c r="BG258" s="107" t="n">
        <v>0</v>
      </c>
      <c r="BH258" s="107" t="n">
        <v>0</v>
      </c>
      <c r="BI258" s="107" t="n">
        <v>2995800</v>
      </c>
      <c r="BJ258" s="107" t="n">
        <v>4298673420</v>
      </c>
      <c r="BK258" s="107" t="n">
        <v>0</v>
      </c>
      <c r="BL258" s="107" t="n">
        <v>0</v>
      </c>
      <c r="BM258" s="107" t="n">
        <v>0</v>
      </c>
      <c r="BN258" s="107" t="n">
        <v>0</v>
      </c>
      <c r="BO258" s="107" t="s">
        <v>374</v>
      </c>
      <c r="BP258" s="107" t="s">
        <v>517</v>
      </c>
      <c r="BQ258" s="107" t="s">
        <v>369</v>
      </c>
      <c r="BR258" s="107" t="n">
        <v>-232411667</v>
      </c>
      <c r="BS258" s="107" t="n">
        <v>0</v>
      </c>
      <c r="BT258" s="107" t="n">
        <v>0</v>
      </c>
      <c r="BU258" s="107" t="n">
        <v>42261</v>
      </c>
      <c r="BV258" s="107" t="n">
        <v>60640309</v>
      </c>
      <c r="BW258" s="107" t="n">
        <v>31666.67</v>
      </c>
      <c r="BX258" s="107" t="n">
        <v>43016004</v>
      </c>
      <c r="BY258" s="107" t="n">
        <v>0</v>
      </c>
      <c r="BZ258" s="107" t="n">
        <v>0</v>
      </c>
      <c r="CA258" s="107" t="n">
        <v>1434.9</v>
      </c>
      <c r="CB258" s="2"/>
      <c r="CC258" s="107" t="n">
        <v>0</v>
      </c>
      <c r="CD258" s="107" t="n">
        <v>96.52</v>
      </c>
      <c r="CE258" s="107" t="n">
        <v>96.54</v>
      </c>
      <c r="CF258" s="107" t="n">
        <v>96.53</v>
      </c>
      <c r="CG258" s="107" t="n">
        <v>0</v>
      </c>
      <c r="CH258" s="107" t="n">
        <v>3.2894</v>
      </c>
      <c r="CI258" s="107" t="n">
        <v>99.24</v>
      </c>
      <c r="CJ258" s="107" t="n">
        <v>99.31</v>
      </c>
      <c r="CK258" s="107" t="n">
        <v>99.39</v>
      </c>
      <c r="CL258" s="107" t="n">
        <v>0</v>
      </c>
    </row>
    <row r="259" customFormat="false" ht="15" hidden="false" customHeight="false" outlineLevel="0" collapsed="false">
      <c r="A259" s="107" t="s">
        <v>691</v>
      </c>
      <c r="B259" s="107" t="n">
        <v>94.4088</v>
      </c>
      <c r="C259" s="107" t="n">
        <v>5.8352</v>
      </c>
      <c r="D259" s="107" t="n">
        <v>3.4406</v>
      </c>
      <c r="E259" s="107" t="n">
        <v>-64.964583456</v>
      </c>
      <c r="F259" s="108" t="s">
        <v>358</v>
      </c>
      <c r="G259" s="107" t="n">
        <v>3.4406</v>
      </c>
      <c r="H259" s="107" t="n">
        <v>-64.964583456</v>
      </c>
      <c r="I259" s="109" t="n">
        <v>47757</v>
      </c>
      <c r="J259" s="107" t="n">
        <v>3</v>
      </c>
      <c r="K259" s="107" t="s">
        <v>359</v>
      </c>
      <c r="L259" s="107" t="s">
        <v>298</v>
      </c>
      <c r="M259" s="107" t="n">
        <v>688120</v>
      </c>
      <c r="N259" s="107" t="n">
        <v>98.834</v>
      </c>
      <c r="O259" s="107" t="n">
        <v>188817.6</v>
      </c>
      <c r="P259" s="107" t="s">
        <v>692</v>
      </c>
      <c r="Q259" s="107" t="s">
        <v>374</v>
      </c>
      <c r="R259" s="107" t="n">
        <v>-0.0949955360874179</v>
      </c>
      <c r="S259" s="107" t="n">
        <v>-0.0447740656049538</v>
      </c>
      <c r="T259" s="107" t="n">
        <v>-66.86031216</v>
      </c>
      <c r="U259" s="107" t="n">
        <v>21069</v>
      </c>
      <c r="V259" s="108" t="s">
        <v>362</v>
      </c>
      <c r="W259" s="107" t="n">
        <v>34578</v>
      </c>
      <c r="X259" s="108" t="s">
        <v>372</v>
      </c>
      <c r="Y259" s="107" t="s">
        <v>688</v>
      </c>
      <c r="Z259" s="107" t="s">
        <v>690</v>
      </c>
      <c r="AA259" s="109" t="n">
        <v>45848</v>
      </c>
      <c r="AB259" s="107" t="n">
        <v>250710000006</v>
      </c>
      <c r="AC259" s="109" t="n">
        <v>45848</v>
      </c>
      <c r="AD259" s="109" t="n">
        <v>47674</v>
      </c>
      <c r="AE259" s="107" t="n">
        <v>4.75</v>
      </c>
      <c r="AF259" s="107" t="n">
        <v>3.3845</v>
      </c>
      <c r="AG259" s="107" t="n">
        <v>1379</v>
      </c>
      <c r="AH259" s="107" t="n">
        <v>3000000</v>
      </c>
      <c r="AI259" s="107" t="n">
        <v>4.795462</v>
      </c>
      <c r="AJ259" s="107" t="n">
        <v>99.8</v>
      </c>
      <c r="AK259" s="107" t="n">
        <v>4.380118</v>
      </c>
      <c r="AL259" s="107" t="n">
        <v>102.324255</v>
      </c>
      <c r="AM259" s="107" t="n">
        <v>5.7816</v>
      </c>
      <c r="AN259" s="107" t="n">
        <v>96.5325</v>
      </c>
      <c r="AO259" s="107" t="n">
        <v>1358.4</v>
      </c>
      <c r="AP259" s="107" t="n">
        <v>1</v>
      </c>
      <c r="AQ259" s="107" t="n">
        <v>2895975</v>
      </c>
      <c r="AR259" s="107" t="n">
        <v>3933892440</v>
      </c>
      <c r="AS259" s="107" t="n">
        <v>3038061</v>
      </c>
      <c r="AT259" s="107" t="n">
        <v>4359313729</v>
      </c>
      <c r="AU259" s="107" t="n">
        <v>-142086</v>
      </c>
      <c r="AV259" s="107" t="n">
        <v>-193009622</v>
      </c>
      <c r="AW259" s="107" t="n">
        <v>0</v>
      </c>
      <c r="AX259" s="107" t="n">
        <v>0</v>
      </c>
      <c r="AY259" s="107" t="n">
        <v>0</v>
      </c>
      <c r="AZ259" s="107" t="n">
        <v>0</v>
      </c>
      <c r="BA259" s="107" t="n">
        <v>0</v>
      </c>
      <c r="BB259" s="107" t="n">
        <v>0</v>
      </c>
      <c r="BC259" s="107" t="n">
        <v>0</v>
      </c>
      <c r="BD259" s="107" t="n">
        <v>0</v>
      </c>
      <c r="BE259" s="107" t="n">
        <v>31666.67</v>
      </c>
      <c r="BF259" s="107" t="n">
        <v>43016004</v>
      </c>
      <c r="BG259" s="107" t="n">
        <v>0</v>
      </c>
      <c r="BH259" s="107" t="n">
        <v>0</v>
      </c>
      <c r="BI259" s="107" t="n">
        <v>2994000</v>
      </c>
      <c r="BJ259" s="107" t="n">
        <v>4296090600</v>
      </c>
      <c r="BK259" s="107" t="n">
        <v>0</v>
      </c>
      <c r="BL259" s="107" t="n">
        <v>0</v>
      </c>
      <c r="BM259" s="107" t="n">
        <v>0</v>
      </c>
      <c r="BN259" s="107" t="n">
        <v>0</v>
      </c>
      <c r="BO259" s="107" t="s">
        <v>374</v>
      </c>
      <c r="BP259" s="107" t="s">
        <v>517</v>
      </c>
      <c r="BQ259" s="107" t="s">
        <v>369</v>
      </c>
      <c r="BR259" s="107" t="n">
        <v>-232411667</v>
      </c>
      <c r="BS259" s="107" t="n">
        <v>0</v>
      </c>
      <c r="BT259" s="107" t="n">
        <v>0</v>
      </c>
      <c r="BU259" s="107" t="n">
        <v>44061</v>
      </c>
      <c r="BV259" s="107" t="n">
        <v>63223129</v>
      </c>
      <c r="BW259" s="107" t="n">
        <v>31666.67</v>
      </c>
      <c r="BX259" s="107" t="n">
        <v>43016004</v>
      </c>
      <c r="BY259" s="107" t="n">
        <v>0</v>
      </c>
      <c r="BZ259" s="107" t="n">
        <v>0</v>
      </c>
      <c r="CA259" s="107" t="n">
        <v>1434.9</v>
      </c>
      <c r="CB259" s="2"/>
      <c r="CC259" s="107" t="n">
        <v>0</v>
      </c>
      <c r="CD259" s="107" t="n">
        <v>96.52</v>
      </c>
      <c r="CE259" s="107" t="n">
        <v>96.54</v>
      </c>
      <c r="CF259" s="107" t="n">
        <v>96.53</v>
      </c>
      <c r="CG259" s="107" t="n">
        <v>0</v>
      </c>
      <c r="CH259" s="107" t="n">
        <v>3.2894</v>
      </c>
      <c r="CI259" s="107" t="n">
        <v>91.35</v>
      </c>
      <c r="CJ259" s="107" t="n">
        <v>91.27</v>
      </c>
      <c r="CK259" s="107" t="n">
        <v>91.34</v>
      </c>
      <c r="CL259" s="107" t="n">
        <v>0</v>
      </c>
    </row>
    <row r="260" customFormat="false" ht="15" hidden="false" customHeight="false" outlineLevel="0" collapsed="false">
      <c r="A260" s="107" t="s">
        <v>691</v>
      </c>
      <c r="B260" s="107" t="n">
        <v>94.4088</v>
      </c>
      <c r="C260" s="107" t="n">
        <v>5.8352</v>
      </c>
      <c r="D260" s="107" t="n">
        <v>3.4406</v>
      </c>
      <c r="E260" s="107" t="n">
        <v>-1624.1145864</v>
      </c>
      <c r="F260" s="108" t="s">
        <v>358</v>
      </c>
      <c r="G260" s="107" t="n">
        <v>3.4406</v>
      </c>
      <c r="H260" s="107" t="n">
        <v>-1624.1145864</v>
      </c>
      <c r="I260" s="109" t="n">
        <v>47757</v>
      </c>
      <c r="J260" s="107" t="n">
        <v>3</v>
      </c>
      <c r="K260" s="107" t="s">
        <v>359</v>
      </c>
      <c r="L260" s="107" t="s">
        <v>298</v>
      </c>
      <c r="M260" s="107" t="n">
        <v>17203000</v>
      </c>
      <c r="N260" s="107" t="n">
        <v>98.698</v>
      </c>
      <c r="O260" s="107" t="n">
        <v>4720440</v>
      </c>
      <c r="P260" s="107" t="s">
        <v>692</v>
      </c>
      <c r="Q260" s="107" t="s">
        <v>374</v>
      </c>
      <c r="R260" s="107" t="n">
        <v>-0.0949955372356312</v>
      </c>
      <c r="S260" s="107" t="n">
        <v>-0.0434578208271697</v>
      </c>
      <c r="T260" s="107" t="n">
        <v>-1671.507804</v>
      </c>
      <c r="U260" s="107" t="n">
        <v>21069</v>
      </c>
      <c r="V260" s="108" t="s">
        <v>362</v>
      </c>
      <c r="W260" s="107" t="n">
        <v>34578</v>
      </c>
      <c r="X260" s="108" t="s">
        <v>372</v>
      </c>
      <c r="Y260" s="107" t="s">
        <v>688</v>
      </c>
      <c r="Z260" s="107" t="s">
        <v>690</v>
      </c>
      <c r="AA260" s="109" t="n">
        <v>45854</v>
      </c>
      <c r="AB260" s="107" t="n">
        <v>250716000001</v>
      </c>
      <c r="AC260" s="109" t="n">
        <v>45848</v>
      </c>
      <c r="AD260" s="109" t="n">
        <v>47674</v>
      </c>
      <c r="AE260" s="107" t="n">
        <v>4.75</v>
      </c>
      <c r="AF260" s="107" t="n">
        <v>3.3845</v>
      </c>
      <c r="AG260" s="107" t="n">
        <v>1379</v>
      </c>
      <c r="AH260" s="107" t="n">
        <v>5000000</v>
      </c>
      <c r="AI260" s="107" t="n">
        <v>4.88094</v>
      </c>
      <c r="AJ260" s="107" t="n">
        <v>99.426</v>
      </c>
      <c r="AK260" s="107" t="n">
        <v>4.380118</v>
      </c>
      <c r="AL260" s="107" t="n">
        <v>102.324255</v>
      </c>
      <c r="AM260" s="107" t="n">
        <v>5.7816</v>
      </c>
      <c r="AN260" s="107" t="n">
        <v>96.5325</v>
      </c>
      <c r="AO260" s="107" t="n">
        <v>1358.4</v>
      </c>
      <c r="AP260" s="107" t="n">
        <v>1</v>
      </c>
      <c r="AQ260" s="107" t="n">
        <v>4826625</v>
      </c>
      <c r="AR260" s="107" t="n">
        <v>6556487400</v>
      </c>
      <c r="AS260" s="107" t="n">
        <v>5063435</v>
      </c>
      <c r="AT260" s="107" t="n">
        <v>7265522882</v>
      </c>
      <c r="AU260" s="107" t="n">
        <v>-236810</v>
      </c>
      <c r="AV260" s="107" t="n">
        <v>-321682704</v>
      </c>
      <c r="AW260" s="107" t="n">
        <v>0</v>
      </c>
      <c r="AX260" s="107" t="n">
        <v>0</v>
      </c>
      <c r="AY260" s="107" t="n">
        <v>0</v>
      </c>
      <c r="AZ260" s="107" t="n">
        <v>0</v>
      </c>
      <c r="BA260" s="107" t="n">
        <v>0</v>
      </c>
      <c r="BB260" s="107" t="n">
        <v>0</v>
      </c>
      <c r="BC260" s="107" t="n">
        <v>0</v>
      </c>
      <c r="BD260" s="107" t="n">
        <v>0</v>
      </c>
      <c r="BE260" s="107" t="n">
        <v>52777.78</v>
      </c>
      <c r="BF260" s="107" t="n">
        <v>71693336</v>
      </c>
      <c r="BG260" s="107" t="n">
        <v>0</v>
      </c>
      <c r="BH260" s="107" t="n">
        <v>0</v>
      </c>
      <c r="BI260" s="107" t="n">
        <v>4971300</v>
      </c>
      <c r="BJ260" s="107" t="n">
        <v>7133318370</v>
      </c>
      <c r="BK260" s="107" t="n">
        <v>0</v>
      </c>
      <c r="BL260" s="107" t="n">
        <v>0</v>
      </c>
      <c r="BM260" s="107" t="n">
        <v>0</v>
      </c>
      <c r="BN260" s="107" t="n">
        <v>0</v>
      </c>
      <c r="BO260" s="107" t="s">
        <v>374</v>
      </c>
      <c r="BP260" s="107" t="s">
        <v>517</v>
      </c>
      <c r="BQ260" s="107" t="s">
        <v>369</v>
      </c>
      <c r="BR260" s="107" t="n">
        <v>-387352778</v>
      </c>
      <c r="BS260" s="107" t="n">
        <v>0</v>
      </c>
      <c r="BT260" s="107" t="n">
        <v>0</v>
      </c>
      <c r="BU260" s="107" t="n">
        <v>92135</v>
      </c>
      <c r="BV260" s="107" t="n">
        <v>132204512</v>
      </c>
      <c r="BW260" s="107" t="n">
        <v>52777.78</v>
      </c>
      <c r="BX260" s="107" t="n">
        <v>71693336</v>
      </c>
      <c r="BY260" s="107" t="n">
        <v>0</v>
      </c>
      <c r="BZ260" s="107" t="n">
        <v>0</v>
      </c>
      <c r="CA260" s="107" t="n">
        <v>1434.9</v>
      </c>
      <c r="CB260" s="2"/>
      <c r="CC260" s="107" t="n">
        <v>0</v>
      </c>
      <c r="CD260" s="107" t="n">
        <v>96.52</v>
      </c>
      <c r="CE260" s="107" t="n">
        <v>96.54</v>
      </c>
      <c r="CF260" s="107" t="n">
        <v>96.53</v>
      </c>
      <c r="CG260" s="107" t="n">
        <v>0</v>
      </c>
      <c r="CH260" s="107" t="n">
        <v>3.2894</v>
      </c>
      <c r="CI260" s="107" t="n">
        <v>97.59</v>
      </c>
      <c r="CJ260" s="107" t="n">
        <v>97.57</v>
      </c>
      <c r="CK260" s="107" t="n">
        <v>97.64</v>
      </c>
      <c r="CL260" s="107" t="n">
        <v>0</v>
      </c>
    </row>
    <row r="261" customFormat="false" ht="15" hidden="false" customHeight="false" outlineLevel="0" collapsed="false">
      <c r="A261" s="107" t="s">
        <v>693</v>
      </c>
      <c r="B261" s="107" t="n">
        <v>93.9386</v>
      </c>
      <c r="C261" s="107" t="n">
        <v>5.5083</v>
      </c>
      <c r="D261" s="107" t="n">
        <v>3.9554</v>
      </c>
      <c r="E261" s="107" t="n">
        <v>-1560.571901448</v>
      </c>
      <c r="F261" s="108" t="s">
        <v>358</v>
      </c>
      <c r="G261" s="107" t="n">
        <v>3.9554</v>
      </c>
      <c r="H261" s="107" t="n">
        <v>-1560.571901448</v>
      </c>
      <c r="I261" s="109" t="n">
        <v>47972</v>
      </c>
      <c r="J261" s="107" t="n">
        <v>5</v>
      </c>
      <c r="K261" s="107" t="s">
        <v>359</v>
      </c>
      <c r="L261" s="107" t="s">
        <v>298</v>
      </c>
      <c r="M261" s="107" t="n">
        <v>16612680</v>
      </c>
      <c r="N261" s="107" t="n">
        <v>98.862</v>
      </c>
      <c r="O261" s="107" t="n">
        <v>3945421.2</v>
      </c>
      <c r="P261" s="107" t="s">
        <v>694</v>
      </c>
      <c r="Q261" s="107" t="s">
        <v>364</v>
      </c>
      <c r="R261" s="107" t="n">
        <v>-0.117482070567287</v>
      </c>
      <c r="S261" s="107" t="n">
        <v>-0.0498007323339604</v>
      </c>
      <c r="T261" s="107" t="n">
        <v>-1603.537538316</v>
      </c>
      <c r="U261" s="107" t="n">
        <v>21069</v>
      </c>
      <c r="V261" s="108" t="s">
        <v>362</v>
      </c>
      <c r="W261" s="107" t="n">
        <v>34578</v>
      </c>
      <c r="X261" s="108" t="s">
        <v>372</v>
      </c>
      <c r="Y261" s="107" t="s">
        <v>691</v>
      </c>
      <c r="Z261" s="107" t="s">
        <v>695</v>
      </c>
      <c r="AA261" s="109" t="n">
        <v>45931</v>
      </c>
      <c r="AB261" s="107" t="n">
        <v>251001000001</v>
      </c>
      <c r="AC261" s="109" t="n">
        <v>45931</v>
      </c>
      <c r="AD261" s="109" t="n">
        <v>47757</v>
      </c>
      <c r="AE261" s="107" t="n">
        <v>4.25</v>
      </c>
      <c r="AF261" s="107" t="n">
        <v>3.5388</v>
      </c>
      <c r="AG261" s="107" t="n">
        <v>1462</v>
      </c>
      <c r="AH261" s="107" t="n">
        <v>200000</v>
      </c>
      <c r="AI261" s="107" t="n">
        <v>4.51311</v>
      </c>
      <c r="AJ261" s="107" t="n">
        <v>98.834</v>
      </c>
      <c r="AK261" s="107" t="n">
        <v>4.561107</v>
      </c>
      <c r="AL261" s="107" t="n">
        <v>100.986495</v>
      </c>
      <c r="AM261" s="107" t="n">
        <v>5.8009</v>
      </c>
      <c r="AN261" s="107" t="n">
        <v>94.5294</v>
      </c>
      <c r="AO261" s="107" t="n">
        <v>1358.4</v>
      </c>
      <c r="AP261" s="107" t="n">
        <v>1</v>
      </c>
      <c r="AQ261" s="107" t="n">
        <v>189058.8</v>
      </c>
      <c r="AR261" s="107" t="n">
        <v>256817474</v>
      </c>
      <c r="AS261" s="107" t="n">
        <v>197746.6</v>
      </c>
      <c r="AT261" s="107" t="n">
        <v>283746596</v>
      </c>
      <c r="AU261" s="107" t="n">
        <v>-8687.8</v>
      </c>
      <c r="AV261" s="107" t="n">
        <v>-11801507</v>
      </c>
      <c r="AW261" s="107" t="n">
        <v>0</v>
      </c>
      <c r="AX261" s="107" t="n">
        <v>0</v>
      </c>
      <c r="AY261" s="107" t="n">
        <v>0</v>
      </c>
      <c r="AZ261" s="107" t="n">
        <v>0</v>
      </c>
      <c r="BA261" s="107" t="n">
        <v>0</v>
      </c>
      <c r="BB261" s="107" t="n">
        <v>0</v>
      </c>
      <c r="BC261" s="107" t="n">
        <v>0</v>
      </c>
      <c r="BD261" s="107" t="n">
        <v>0</v>
      </c>
      <c r="BE261" s="107" t="n">
        <v>4226.39</v>
      </c>
      <c r="BF261" s="107" t="n">
        <v>5741128</v>
      </c>
      <c r="BG261" s="107" t="n">
        <v>0</v>
      </c>
      <c r="BH261" s="107" t="n">
        <v>0</v>
      </c>
      <c r="BI261" s="107" t="n">
        <v>197668</v>
      </c>
      <c r="BJ261" s="107" t="n">
        <v>283633813</v>
      </c>
      <c r="BK261" s="107" t="n">
        <v>0</v>
      </c>
      <c r="BL261" s="107" t="n">
        <v>0</v>
      </c>
      <c r="BM261" s="107" t="n">
        <v>0</v>
      </c>
      <c r="BN261" s="107" t="n">
        <v>0</v>
      </c>
      <c r="BO261" s="2"/>
      <c r="BP261" s="2"/>
      <c r="BQ261" s="107" t="s">
        <v>369</v>
      </c>
      <c r="BR261" s="107" t="n">
        <v>-15127615</v>
      </c>
      <c r="BS261" s="107" t="n">
        <v>0</v>
      </c>
      <c r="BT261" s="107" t="n">
        <v>0</v>
      </c>
      <c r="BU261" s="107" t="n">
        <v>78.6</v>
      </c>
      <c r="BV261" s="107" t="n">
        <v>112783</v>
      </c>
      <c r="BW261" s="107" t="n">
        <v>4226.39</v>
      </c>
      <c r="BX261" s="107" t="n">
        <v>5741128</v>
      </c>
      <c r="BY261" s="107" t="n">
        <v>0</v>
      </c>
      <c r="BZ261" s="107" t="n">
        <v>0</v>
      </c>
      <c r="CA261" s="107" t="n">
        <v>1434.9</v>
      </c>
      <c r="CB261" s="2"/>
      <c r="CC261" s="107" t="n">
        <v>0</v>
      </c>
      <c r="CD261" s="107" t="n">
        <v>94.52</v>
      </c>
      <c r="CE261" s="107" t="n">
        <v>94.5</v>
      </c>
      <c r="CF261" s="107" t="n">
        <v>94.57</v>
      </c>
      <c r="CG261" s="107" t="n">
        <v>0</v>
      </c>
      <c r="CH261" s="107" t="n">
        <v>3.4391</v>
      </c>
      <c r="CI261" s="107" t="n">
        <v>100.52</v>
      </c>
      <c r="CJ261" s="107" t="n">
        <v>100.58</v>
      </c>
      <c r="CK261" s="107" t="n">
        <v>100.62</v>
      </c>
      <c r="CL261" s="107" t="n">
        <v>18000</v>
      </c>
    </row>
    <row r="262" customFormat="false" ht="15" hidden="false" customHeight="false" outlineLevel="0" collapsed="false">
      <c r="A262" s="107" t="s">
        <v>693</v>
      </c>
      <c r="B262" s="107" t="n">
        <v>93.9386</v>
      </c>
      <c r="C262" s="107" t="n">
        <v>5.5083</v>
      </c>
      <c r="D262" s="107" t="n">
        <v>3.9554</v>
      </c>
      <c r="E262" s="107" t="n">
        <v>-1411.946006072</v>
      </c>
      <c r="F262" s="108" t="s">
        <v>358</v>
      </c>
      <c r="G262" s="107" t="n">
        <v>3.9554</v>
      </c>
      <c r="H262" s="107" t="n">
        <v>-1411.946006072</v>
      </c>
      <c r="I262" s="109" t="n">
        <v>47972</v>
      </c>
      <c r="J262" s="107" t="n">
        <v>5</v>
      </c>
      <c r="K262" s="107" t="s">
        <v>359</v>
      </c>
      <c r="L262" s="107" t="s">
        <v>298</v>
      </c>
      <c r="M262" s="107" t="n">
        <v>15030520</v>
      </c>
      <c r="N262" s="107" t="n">
        <v>98.7</v>
      </c>
      <c r="O262" s="107" t="n">
        <v>3569666.8</v>
      </c>
      <c r="P262" s="107" t="s">
        <v>694</v>
      </c>
      <c r="Q262" s="107" t="s">
        <v>364</v>
      </c>
      <c r="R262" s="107" t="n">
        <v>-0.119640851025241</v>
      </c>
      <c r="S262" s="107" t="n">
        <v>-0.0482411347517732</v>
      </c>
      <c r="T262" s="107" t="n">
        <v>-1450.819677524</v>
      </c>
      <c r="U262" s="107" t="n">
        <v>21069</v>
      </c>
      <c r="V262" s="108" t="s">
        <v>362</v>
      </c>
      <c r="W262" s="107" t="n">
        <v>34578</v>
      </c>
      <c r="X262" s="108" t="s">
        <v>372</v>
      </c>
      <c r="Y262" s="107" t="s">
        <v>691</v>
      </c>
      <c r="Z262" s="107" t="s">
        <v>695</v>
      </c>
      <c r="AA262" s="109" t="n">
        <v>45931</v>
      </c>
      <c r="AB262" s="107" t="n">
        <v>251001000002</v>
      </c>
      <c r="AC262" s="109" t="n">
        <v>45931</v>
      </c>
      <c r="AD262" s="109" t="n">
        <v>47757</v>
      </c>
      <c r="AE262" s="107" t="n">
        <v>4.25</v>
      </c>
      <c r="AF262" s="107" t="n">
        <v>3.5388</v>
      </c>
      <c r="AG262" s="107" t="n">
        <v>1462</v>
      </c>
      <c r="AH262" s="107" t="n">
        <v>5000000</v>
      </c>
      <c r="AI262" s="107" t="n">
        <v>4.54404</v>
      </c>
      <c r="AJ262" s="107" t="n">
        <v>98.698</v>
      </c>
      <c r="AK262" s="107" t="n">
        <v>4.561108</v>
      </c>
      <c r="AL262" s="107" t="n">
        <v>100.986494</v>
      </c>
      <c r="AM262" s="107" t="n">
        <v>5.8009</v>
      </c>
      <c r="AN262" s="107" t="n">
        <v>94.5294</v>
      </c>
      <c r="AO262" s="107" t="n">
        <v>1358.4</v>
      </c>
      <c r="AP262" s="107" t="n">
        <v>1</v>
      </c>
      <c r="AQ262" s="107" t="n">
        <v>4726470</v>
      </c>
      <c r="AR262" s="107" t="n">
        <v>6420436848</v>
      </c>
      <c r="AS262" s="107" t="n">
        <v>4943665</v>
      </c>
      <c r="AT262" s="107" t="n">
        <v>7093664909</v>
      </c>
      <c r="AU262" s="107" t="n">
        <v>-217195</v>
      </c>
      <c r="AV262" s="107" t="n">
        <v>-295037688</v>
      </c>
      <c r="AW262" s="107" t="n">
        <v>0</v>
      </c>
      <c r="AX262" s="107" t="n">
        <v>0</v>
      </c>
      <c r="AY262" s="107" t="n">
        <v>0</v>
      </c>
      <c r="AZ262" s="107" t="n">
        <v>0</v>
      </c>
      <c r="BA262" s="107" t="n">
        <v>0</v>
      </c>
      <c r="BB262" s="107" t="n">
        <v>0</v>
      </c>
      <c r="BC262" s="107" t="n">
        <v>0</v>
      </c>
      <c r="BD262" s="107" t="n">
        <v>0</v>
      </c>
      <c r="BE262" s="107" t="n">
        <v>105659.72</v>
      </c>
      <c r="BF262" s="107" t="n">
        <v>143528163</v>
      </c>
      <c r="BG262" s="107" t="n">
        <v>0</v>
      </c>
      <c r="BH262" s="107" t="n">
        <v>0</v>
      </c>
      <c r="BI262" s="107" t="n">
        <v>4934900</v>
      </c>
      <c r="BJ262" s="107" t="n">
        <v>7081088010</v>
      </c>
      <c r="BK262" s="107" t="n">
        <v>0</v>
      </c>
      <c r="BL262" s="107" t="n">
        <v>0</v>
      </c>
      <c r="BM262" s="107" t="n">
        <v>0</v>
      </c>
      <c r="BN262" s="107" t="n">
        <v>0</v>
      </c>
      <c r="BO262" s="2"/>
      <c r="BP262" s="2"/>
      <c r="BQ262" s="107" t="s">
        <v>369</v>
      </c>
      <c r="BR262" s="107" t="n">
        <v>-378190373</v>
      </c>
      <c r="BS262" s="107" t="n">
        <v>0</v>
      </c>
      <c r="BT262" s="107" t="n">
        <v>0</v>
      </c>
      <c r="BU262" s="107" t="n">
        <v>8765</v>
      </c>
      <c r="BV262" s="107" t="n">
        <v>12576899</v>
      </c>
      <c r="BW262" s="107" t="n">
        <v>105659.72</v>
      </c>
      <c r="BX262" s="107" t="n">
        <v>143528163</v>
      </c>
      <c r="BY262" s="107" t="n">
        <v>0</v>
      </c>
      <c r="BZ262" s="107" t="n">
        <v>0</v>
      </c>
      <c r="CA262" s="107" t="n">
        <v>1434.9</v>
      </c>
      <c r="CB262" s="2"/>
      <c r="CC262" s="107" t="n">
        <v>0</v>
      </c>
      <c r="CD262" s="107" t="n">
        <v>94.52</v>
      </c>
      <c r="CE262" s="107" t="n">
        <v>94.5</v>
      </c>
      <c r="CF262" s="107" t="n">
        <v>94.57</v>
      </c>
      <c r="CG262" s="107" t="n">
        <v>0</v>
      </c>
      <c r="CH262" s="107" t="n">
        <v>3.4391</v>
      </c>
      <c r="CI262" s="107" t="n">
        <v>99.95</v>
      </c>
      <c r="CJ262" s="107" t="n">
        <v>99.97</v>
      </c>
      <c r="CK262" s="107" t="n">
        <v>100.12</v>
      </c>
      <c r="CL262" s="107" t="n">
        <v>0</v>
      </c>
    </row>
    <row r="263" customFormat="false" ht="15" hidden="false" customHeight="false" outlineLevel="0" collapsed="false">
      <c r="A263" s="107" t="s">
        <v>693</v>
      </c>
      <c r="B263" s="107" t="n">
        <v>93.9386</v>
      </c>
      <c r="C263" s="107" t="n">
        <v>5.5083</v>
      </c>
      <c r="D263" s="107" t="n">
        <v>3.9554</v>
      </c>
      <c r="E263" s="107" t="n">
        <v>-1857.8236922</v>
      </c>
      <c r="F263" s="108" t="s">
        <v>358</v>
      </c>
      <c r="G263" s="107" t="n">
        <v>3.9554</v>
      </c>
      <c r="H263" s="107" t="n">
        <v>-1857.8236922</v>
      </c>
      <c r="I263" s="109" t="n">
        <v>47972</v>
      </c>
      <c r="J263" s="107" t="n">
        <v>5</v>
      </c>
      <c r="K263" s="107" t="s">
        <v>359</v>
      </c>
      <c r="L263" s="107" t="s">
        <v>298</v>
      </c>
      <c r="M263" s="107" t="n">
        <v>19777000</v>
      </c>
      <c r="N263" s="107" t="n">
        <v>98.58</v>
      </c>
      <c r="O263" s="107" t="n">
        <v>4696930</v>
      </c>
      <c r="P263" s="107" t="s">
        <v>694</v>
      </c>
      <c r="Q263" s="107" t="s">
        <v>364</v>
      </c>
      <c r="R263" s="107" t="n">
        <v>-0.118569202639392</v>
      </c>
      <c r="S263" s="107" t="n">
        <v>-0.047082572529925</v>
      </c>
      <c r="T263" s="107" t="n">
        <v>-1908.9732599</v>
      </c>
      <c r="U263" s="107" t="n">
        <v>21069</v>
      </c>
      <c r="V263" s="108" t="s">
        <v>362</v>
      </c>
      <c r="W263" s="107" t="n">
        <v>34578</v>
      </c>
      <c r="X263" s="108" t="s">
        <v>372</v>
      </c>
      <c r="Y263" s="107" t="s">
        <v>693</v>
      </c>
      <c r="Z263" s="107" t="s">
        <v>696</v>
      </c>
      <c r="AA263" s="109" t="n">
        <v>46063</v>
      </c>
      <c r="AB263" s="107" t="n">
        <v>260210000001</v>
      </c>
      <c r="AC263" s="109" t="n">
        <v>45965</v>
      </c>
      <c r="AD263" s="109" t="n">
        <v>47972</v>
      </c>
      <c r="AE263" s="107" t="n">
        <v>4</v>
      </c>
      <c r="AF263" s="107" t="n">
        <v>4.0623</v>
      </c>
      <c r="AG263" s="107" t="n">
        <v>1677</v>
      </c>
      <c r="AH263" s="107" t="n">
        <v>4200000</v>
      </c>
      <c r="AI263" s="107" t="n">
        <v>4.243657</v>
      </c>
      <c r="AJ263" s="107" t="n">
        <v>98.862</v>
      </c>
      <c r="AK263" s="107" t="n">
        <v>4.274652</v>
      </c>
      <c r="AL263" s="107" t="n">
        <v>100.484222</v>
      </c>
      <c r="AM263" s="107" t="n">
        <v>5.4747</v>
      </c>
      <c r="AN263" s="107" t="n">
        <v>94.0724</v>
      </c>
      <c r="AO263" s="107" t="n">
        <v>1358.4</v>
      </c>
      <c r="AP263" s="107" t="n">
        <v>1</v>
      </c>
      <c r="AQ263" s="107" t="n">
        <v>3951040.8</v>
      </c>
      <c r="AR263" s="107" t="n">
        <v>5367093823</v>
      </c>
      <c r="AS263" s="107" t="n">
        <v>4152204</v>
      </c>
      <c r="AT263" s="107" t="n">
        <v>6080072317</v>
      </c>
      <c r="AU263" s="107" t="n">
        <v>-201163.2</v>
      </c>
      <c r="AV263" s="107" t="n">
        <v>-273260091</v>
      </c>
      <c r="AW263" s="107" t="n">
        <v>0</v>
      </c>
      <c r="AX263" s="107" t="n">
        <v>0</v>
      </c>
      <c r="AY263" s="107" t="n">
        <v>0</v>
      </c>
      <c r="AZ263" s="107" t="n">
        <v>0</v>
      </c>
      <c r="BA263" s="107" t="n">
        <v>0</v>
      </c>
      <c r="BB263" s="107" t="n">
        <v>0</v>
      </c>
      <c r="BC263" s="107" t="n">
        <v>0</v>
      </c>
      <c r="BD263" s="107" t="n">
        <v>0</v>
      </c>
      <c r="BE263" s="107" t="n">
        <v>68133.33</v>
      </c>
      <c r="BF263" s="107" t="n">
        <v>92552315</v>
      </c>
      <c r="BG263" s="107" t="n">
        <v>0</v>
      </c>
      <c r="BH263" s="107" t="n">
        <v>0</v>
      </c>
      <c r="BI263" s="107" t="n">
        <v>4152204</v>
      </c>
      <c r="BJ263" s="107" t="n">
        <v>6080072317</v>
      </c>
      <c r="BK263" s="107" t="n">
        <v>0</v>
      </c>
      <c r="BL263" s="107" t="n">
        <v>0</v>
      </c>
      <c r="BM263" s="107" t="n">
        <v>0</v>
      </c>
      <c r="BN263" s="107" t="n">
        <v>0</v>
      </c>
      <c r="BO263" s="2"/>
      <c r="BP263" s="2"/>
      <c r="BQ263" s="107" t="s">
        <v>364</v>
      </c>
      <c r="BR263" s="107" t="n">
        <v>-439718403</v>
      </c>
      <c r="BS263" s="107" t="n">
        <v>0</v>
      </c>
      <c r="BT263" s="107" t="n">
        <v>0</v>
      </c>
      <c r="BU263" s="107" t="n">
        <v>0</v>
      </c>
      <c r="BV263" s="107" t="n">
        <v>0</v>
      </c>
      <c r="BW263" s="107" t="n">
        <v>68133.33</v>
      </c>
      <c r="BX263" s="107" t="n">
        <v>92552315</v>
      </c>
      <c r="BY263" s="107" t="n">
        <v>0</v>
      </c>
      <c r="BZ263" s="107" t="n">
        <v>0</v>
      </c>
      <c r="CA263" s="107" t="n">
        <v>1464.3</v>
      </c>
      <c r="CB263" s="2"/>
      <c r="CC263" s="107" t="n">
        <v>0</v>
      </c>
      <c r="CD263" s="107" t="n">
        <v>93.97</v>
      </c>
      <c r="CE263" s="107" t="n">
        <v>93.99</v>
      </c>
      <c r="CF263" s="107" t="n">
        <v>94.26</v>
      </c>
      <c r="CG263" s="107" t="n">
        <v>1450000</v>
      </c>
      <c r="CH263" s="107" t="n">
        <v>3.9541</v>
      </c>
      <c r="CI263" s="107" t="n">
        <v>90.87</v>
      </c>
      <c r="CJ263" s="107" t="n">
        <v>90.79</v>
      </c>
      <c r="CK263" s="107" t="n">
        <v>90.84</v>
      </c>
      <c r="CL263" s="107" t="n">
        <v>0</v>
      </c>
    </row>
    <row r="264" customFormat="false" ht="15" hidden="false" customHeight="false" outlineLevel="0" collapsed="false">
      <c r="A264" s="107" t="s">
        <v>693</v>
      </c>
      <c r="B264" s="107" t="n">
        <v>93.9386</v>
      </c>
      <c r="C264" s="107" t="n">
        <v>5.5083</v>
      </c>
      <c r="D264" s="107" t="n">
        <v>3.9554</v>
      </c>
      <c r="E264" s="107" t="n">
        <v>-928.9118461</v>
      </c>
      <c r="F264" s="108" t="s">
        <v>358</v>
      </c>
      <c r="G264" s="107" t="n">
        <v>3.9554</v>
      </c>
      <c r="H264" s="107" t="n">
        <v>-928.9118461</v>
      </c>
      <c r="I264" s="109" t="n">
        <v>47972</v>
      </c>
      <c r="J264" s="107" t="n">
        <v>5</v>
      </c>
      <c r="K264" s="107" t="s">
        <v>359</v>
      </c>
      <c r="L264" s="107" t="s">
        <v>298</v>
      </c>
      <c r="M264" s="107" t="n">
        <v>9888500</v>
      </c>
      <c r="N264" s="107" t="n">
        <v>98.861</v>
      </c>
      <c r="O264" s="107" t="n">
        <v>2348465</v>
      </c>
      <c r="P264" s="107" t="s">
        <v>694</v>
      </c>
      <c r="Q264" s="107" t="s">
        <v>364</v>
      </c>
      <c r="R264" s="107" t="n">
        <v>-0.117473143862058</v>
      </c>
      <c r="S264" s="107" t="n">
        <v>-0.0497911208666715</v>
      </c>
      <c r="T264" s="107" t="n">
        <v>-954.48662995</v>
      </c>
      <c r="U264" s="107" t="n">
        <v>21069</v>
      </c>
      <c r="V264" s="108" t="s">
        <v>362</v>
      </c>
      <c r="W264" s="107" t="n">
        <v>34578</v>
      </c>
      <c r="X264" s="108" t="s">
        <v>372</v>
      </c>
      <c r="Y264" s="107" t="s">
        <v>693</v>
      </c>
      <c r="Z264" s="107" t="s">
        <v>696</v>
      </c>
      <c r="AA264" s="109" t="n">
        <v>46064</v>
      </c>
      <c r="AB264" s="107" t="n">
        <v>260211000001</v>
      </c>
      <c r="AC264" s="109" t="n">
        <v>45965</v>
      </c>
      <c r="AD264" s="109" t="n">
        <v>47972</v>
      </c>
      <c r="AE264" s="107" t="n">
        <v>4</v>
      </c>
      <c r="AF264" s="107" t="n">
        <v>4.0623</v>
      </c>
      <c r="AG264" s="107" t="n">
        <v>1677</v>
      </c>
      <c r="AH264" s="107" t="n">
        <v>3800000</v>
      </c>
      <c r="AI264" s="107" t="n">
        <v>4.27889</v>
      </c>
      <c r="AJ264" s="107" t="n">
        <v>98.7</v>
      </c>
      <c r="AK264" s="107" t="n">
        <v>4.314155</v>
      </c>
      <c r="AL264" s="107" t="n">
        <v>100.322222</v>
      </c>
      <c r="AM264" s="107" t="n">
        <v>5.4747</v>
      </c>
      <c r="AN264" s="107" t="n">
        <v>94.0724</v>
      </c>
      <c r="AO264" s="107" t="n">
        <v>1358.4</v>
      </c>
      <c r="AP264" s="107" t="n">
        <v>1</v>
      </c>
      <c r="AQ264" s="107" t="n">
        <v>3574751.2</v>
      </c>
      <c r="AR264" s="107" t="n">
        <v>4855942030</v>
      </c>
      <c r="AS264" s="107" t="n">
        <v>3750600</v>
      </c>
      <c r="AT264" s="107" t="n">
        <v>5514507180</v>
      </c>
      <c r="AU264" s="107" t="n">
        <v>-175848.8</v>
      </c>
      <c r="AV264" s="107" t="n">
        <v>-238873010</v>
      </c>
      <c r="AW264" s="107" t="n">
        <v>0</v>
      </c>
      <c r="AX264" s="107" t="n">
        <v>0</v>
      </c>
      <c r="AY264" s="107" t="n">
        <v>0</v>
      </c>
      <c r="AZ264" s="107" t="n">
        <v>0</v>
      </c>
      <c r="BA264" s="107" t="n">
        <v>0</v>
      </c>
      <c r="BB264" s="107" t="n">
        <v>0</v>
      </c>
      <c r="BC264" s="107" t="n">
        <v>0</v>
      </c>
      <c r="BD264" s="107" t="n">
        <v>0</v>
      </c>
      <c r="BE264" s="107" t="n">
        <v>61644.44</v>
      </c>
      <c r="BF264" s="107" t="n">
        <v>83737807</v>
      </c>
      <c r="BG264" s="107" t="n">
        <v>0</v>
      </c>
      <c r="BH264" s="107" t="n">
        <v>0</v>
      </c>
      <c r="BI264" s="107" t="n">
        <v>3750600</v>
      </c>
      <c r="BJ264" s="107" t="n">
        <v>5514507180</v>
      </c>
      <c r="BK264" s="107" t="n">
        <v>0</v>
      </c>
      <c r="BL264" s="107" t="n">
        <v>0</v>
      </c>
      <c r="BM264" s="107" t="n">
        <v>0</v>
      </c>
      <c r="BN264" s="107" t="n">
        <v>0</v>
      </c>
      <c r="BO264" s="2"/>
      <c r="BP264" s="2"/>
      <c r="BQ264" s="107" t="s">
        <v>364</v>
      </c>
      <c r="BR264" s="107" t="n">
        <v>-419692140</v>
      </c>
      <c r="BS264" s="107" t="n">
        <v>0</v>
      </c>
      <c r="BT264" s="107" t="n">
        <v>0</v>
      </c>
      <c r="BU264" s="107" t="n">
        <v>0</v>
      </c>
      <c r="BV264" s="107" t="n">
        <v>0</v>
      </c>
      <c r="BW264" s="107" t="n">
        <v>61644.44</v>
      </c>
      <c r="BX264" s="107" t="n">
        <v>83737807</v>
      </c>
      <c r="BY264" s="107" t="n">
        <v>0</v>
      </c>
      <c r="BZ264" s="107" t="n">
        <v>0</v>
      </c>
      <c r="CA264" s="107" t="n">
        <v>1470.3</v>
      </c>
      <c r="CB264" s="2"/>
      <c r="CC264" s="107" t="n">
        <v>0</v>
      </c>
      <c r="CD264" s="107" t="n">
        <v>93.97</v>
      </c>
      <c r="CE264" s="107" t="n">
        <v>93.99</v>
      </c>
      <c r="CF264" s="107" t="n">
        <v>94.26</v>
      </c>
      <c r="CG264" s="107" t="n">
        <v>0</v>
      </c>
      <c r="CH264" s="107" t="n">
        <v>3.9541</v>
      </c>
      <c r="CI264" s="107" t="n">
        <v>100.8</v>
      </c>
      <c r="CJ264" s="107" t="n">
        <v>100.87</v>
      </c>
      <c r="CK264" s="107" t="n">
        <v>100.86</v>
      </c>
      <c r="CL264" s="107" t="n">
        <v>0</v>
      </c>
    </row>
    <row r="265" customFormat="false" ht="15" hidden="false" customHeight="false" outlineLevel="0" collapsed="false">
      <c r="A265" s="107" t="s">
        <v>693</v>
      </c>
      <c r="B265" s="107" t="n">
        <v>93.9386</v>
      </c>
      <c r="C265" s="107" t="n">
        <v>5.5083</v>
      </c>
      <c r="D265" s="107" t="n">
        <v>3.9554</v>
      </c>
      <c r="E265" s="107" t="n">
        <v>-371.56473844</v>
      </c>
      <c r="F265" s="108" t="s">
        <v>358</v>
      </c>
      <c r="G265" s="107" t="n">
        <v>3.9554</v>
      </c>
      <c r="H265" s="107" t="n">
        <v>-371.56473844</v>
      </c>
      <c r="I265" s="109" t="n">
        <v>47972</v>
      </c>
      <c r="J265" s="107" t="n">
        <v>5</v>
      </c>
      <c r="K265" s="107" t="s">
        <v>359</v>
      </c>
      <c r="L265" s="107" t="s">
        <v>298</v>
      </c>
      <c r="M265" s="107" t="n">
        <v>3955400</v>
      </c>
      <c r="N265" s="107" t="n">
        <v>98.831</v>
      </c>
      <c r="O265" s="107" t="n">
        <v>939386</v>
      </c>
      <c r="P265" s="107" t="s">
        <v>694</v>
      </c>
      <c r="Q265" s="107" t="s">
        <v>364</v>
      </c>
      <c r="R265" s="107" t="n">
        <v>-0.117205254052808</v>
      </c>
      <c r="S265" s="107" t="n">
        <v>-0.0495026864040636</v>
      </c>
      <c r="T265" s="107" t="n">
        <v>-381.79465198</v>
      </c>
      <c r="U265" s="107" t="n">
        <v>21069</v>
      </c>
      <c r="V265" s="108" t="s">
        <v>362</v>
      </c>
      <c r="W265" s="107" t="n">
        <v>34578</v>
      </c>
      <c r="X265" s="108" t="s">
        <v>372</v>
      </c>
      <c r="Y265" s="107" t="s">
        <v>693</v>
      </c>
      <c r="Z265" s="107" t="s">
        <v>696</v>
      </c>
      <c r="AA265" s="109" t="n">
        <v>46064</v>
      </c>
      <c r="AB265" s="107" t="n">
        <v>260211000002</v>
      </c>
      <c r="AC265" s="109" t="n">
        <v>45965</v>
      </c>
      <c r="AD265" s="109" t="n">
        <v>47972</v>
      </c>
      <c r="AE265" s="107" t="n">
        <v>4</v>
      </c>
      <c r="AF265" s="107" t="n">
        <v>4.0623</v>
      </c>
      <c r="AG265" s="107" t="n">
        <v>1677</v>
      </c>
      <c r="AH265" s="107" t="n">
        <v>5000000</v>
      </c>
      <c r="AI265" s="107" t="n">
        <v>4.304951</v>
      </c>
      <c r="AJ265" s="107" t="n">
        <v>98.58</v>
      </c>
      <c r="AK265" s="107" t="n">
        <v>4.343465</v>
      </c>
      <c r="AL265" s="107" t="n">
        <v>100.202222</v>
      </c>
      <c r="AM265" s="107" t="n">
        <v>5.4747</v>
      </c>
      <c r="AN265" s="107" t="n">
        <v>94.0724</v>
      </c>
      <c r="AO265" s="107" t="n">
        <v>1358.4</v>
      </c>
      <c r="AP265" s="107" t="n">
        <v>1</v>
      </c>
      <c r="AQ265" s="107" t="n">
        <v>4703620</v>
      </c>
      <c r="AR265" s="107" t="n">
        <v>6389397408</v>
      </c>
      <c r="AS265" s="107" t="n">
        <v>4929000</v>
      </c>
      <c r="AT265" s="107" t="n">
        <v>7247108700</v>
      </c>
      <c r="AU265" s="107" t="n">
        <v>-225380</v>
      </c>
      <c r="AV265" s="107" t="n">
        <v>-306156192</v>
      </c>
      <c r="AW265" s="107" t="n">
        <v>0</v>
      </c>
      <c r="AX265" s="107" t="n">
        <v>0</v>
      </c>
      <c r="AY265" s="107" t="n">
        <v>0</v>
      </c>
      <c r="AZ265" s="107" t="n">
        <v>0</v>
      </c>
      <c r="BA265" s="107" t="n">
        <v>0</v>
      </c>
      <c r="BB265" s="107" t="n">
        <v>0</v>
      </c>
      <c r="BC265" s="107" t="n">
        <v>0</v>
      </c>
      <c r="BD265" s="107" t="n">
        <v>0</v>
      </c>
      <c r="BE265" s="107" t="n">
        <v>81111.11</v>
      </c>
      <c r="BF265" s="107" t="n">
        <v>110181331</v>
      </c>
      <c r="BG265" s="107" t="n">
        <v>0</v>
      </c>
      <c r="BH265" s="107" t="n">
        <v>0</v>
      </c>
      <c r="BI265" s="107" t="n">
        <v>4929000</v>
      </c>
      <c r="BJ265" s="107" t="n">
        <v>7247108700</v>
      </c>
      <c r="BK265" s="107" t="n">
        <v>0</v>
      </c>
      <c r="BL265" s="107" t="n">
        <v>0</v>
      </c>
      <c r="BM265" s="107" t="n">
        <v>0</v>
      </c>
      <c r="BN265" s="107" t="n">
        <v>0</v>
      </c>
      <c r="BO265" s="2"/>
      <c r="BP265" s="2"/>
      <c r="BQ265" s="107" t="s">
        <v>364</v>
      </c>
      <c r="BR265" s="107" t="n">
        <v>-551555100</v>
      </c>
      <c r="BS265" s="107" t="n">
        <v>0</v>
      </c>
      <c r="BT265" s="107" t="n">
        <v>0</v>
      </c>
      <c r="BU265" s="107" t="n">
        <v>0</v>
      </c>
      <c r="BV265" s="107" t="n">
        <v>0</v>
      </c>
      <c r="BW265" s="107" t="n">
        <v>81111.11</v>
      </c>
      <c r="BX265" s="107" t="n">
        <v>110181331</v>
      </c>
      <c r="BY265" s="107" t="n">
        <v>0</v>
      </c>
      <c r="BZ265" s="107" t="n">
        <v>0</v>
      </c>
      <c r="CA265" s="107" t="n">
        <v>1470.3</v>
      </c>
      <c r="CB265" s="2"/>
      <c r="CC265" s="107" t="n">
        <v>0</v>
      </c>
      <c r="CD265" s="107" t="n">
        <v>93.97</v>
      </c>
      <c r="CE265" s="107" t="n">
        <v>93.99</v>
      </c>
      <c r="CF265" s="107" t="n">
        <v>94.26</v>
      </c>
      <c r="CG265" s="107" t="n">
        <v>0</v>
      </c>
      <c r="CH265" s="107" t="n">
        <v>3.9541</v>
      </c>
      <c r="CI265" s="107" t="n">
        <v>100.8</v>
      </c>
      <c r="CJ265" s="107" t="n">
        <v>100.87</v>
      </c>
      <c r="CK265" s="107" t="n">
        <v>100.86</v>
      </c>
      <c r="CL265" s="107" t="n">
        <v>0</v>
      </c>
    </row>
    <row r="266" customFormat="false" ht="15" hidden="false" customHeight="false" outlineLevel="0" collapsed="false">
      <c r="A266" s="107" t="s">
        <v>693</v>
      </c>
      <c r="B266" s="107" t="n">
        <v>93.9386</v>
      </c>
      <c r="C266" s="107" t="n">
        <v>5.5083</v>
      </c>
      <c r="D266" s="107" t="n">
        <v>3.9554</v>
      </c>
      <c r="E266" s="107" t="n">
        <v>-371.56473844</v>
      </c>
      <c r="F266" s="108" t="s">
        <v>358</v>
      </c>
      <c r="G266" s="107" t="n">
        <v>3.9554</v>
      </c>
      <c r="H266" s="107" t="n">
        <v>-371.56473844</v>
      </c>
      <c r="I266" s="109" t="n">
        <v>47972</v>
      </c>
      <c r="J266" s="107" t="n">
        <v>5</v>
      </c>
      <c r="K266" s="107" t="s">
        <v>359</v>
      </c>
      <c r="L266" s="107" t="s">
        <v>298</v>
      </c>
      <c r="M266" s="107" t="n">
        <v>3955400</v>
      </c>
      <c r="N266" s="107" t="n">
        <v>98.967</v>
      </c>
      <c r="O266" s="107" t="n">
        <v>939386</v>
      </c>
      <c r="P266" s="107" t="s">
        <v>694</v>
      </c>
      <c r="Q266" s="107" t="s">
        <v>364</v>
      </c>
      <c r="R266" s="107" t="n">
        <v>-0.114426866604121</v>
      </c>
      <c r="S266" s="107" t="n">
        <v>-0.0508088554770783</v>
      </c>
      <c r="T266" s="107" t="n">
        <v>-381.79465198</v>
      </c>
      <c r="U266" s="107" t="n">
        <v>21069</v>
      </c>
      <c r="V266" s="108" t="s">
        <v>362</v>
      </c>
      <c r="W266" s="107" t="n">
        <v>34578</v>
      </c>
      <c r="X266" s="108" t="s">
        <v>372</v>
      </c>
      <c r="Y266" s="107" t="s">
        <v>693</v>
      </c>
      <c r="Z266" s="107" t="s">
        <v>696</v>
      </c>
      <c r="AA266" s="109" t="n">
        <v>46065</v>
      </c>
      <c r="AB266" s="107" t="n">
        <v>260212000001</v>
      </c>
      <c r="AC266" s="109" t="n">
        <v>45965</v>
      </c>
      <c r="AD266" s="109" t="n">
        <v>47972</v>
      </c>
      <c r="AE266" s="107" t="n">
        <v>4</v>
      </c>
      <c r="AF266" s="107" t="n">
        <v>4.0623</v>
      </c>
      <c r="AG266" s="107" t="n">
        <v>1677</v>
      </c>
      <c r="AH266" s="107" t="n">
        <v>2500000</v>
      </c>
      <c r="AI266" s="107" t="n">
        <v>4.24411</v>
      </c>
      <c r="AJ266" s="107" t="n">
        <v>98.861</v>
      </c>
      <c r="AK266" s="107" t="n">
        <v>4.274895</v>
      </c>
      <c r="AL266" s="107" t="n">
        <v>100.483222</v>
      </c>
      <c r="AM266" s="107" t="n">
        <v>5.4747</v>
      </c>
      <c r="AN266" s="107" t="n">
        <v>94.0724</v>
      </c>
      <c r="AO266" s="107" t="n">
        <v>1358.4</v>
      </c>
      <c r="AP266" s="107" t="n">
        <v>1</v>
      </c>
      <c r="AQ266" s="107" t="n">
        <v>2351810</v>
      </c>
      <c r="AR266" s="107" t="n">
        <v>3194698704</v>
      </c>
      <c r="AS266" s="107" t="n">
        <v>2471525</v>
      </c>
      <c r="AT266" s="107" t="n">
        <v>3619054058</v>
      </c>
      <c r="AU266" s="107" t="n">
        <v>-119715</v>
      </c>
      <c r="AV266" s="107" t="n">
        <v>-162620856</v>
      </c>
      <c r="AW266" s="107" t="n">
        <v>0</v>
      </c>
      <c r="AX266" s="107" t="n">
        <v>0</v>
      </c>
      <c r="AY266" s="107" t="n">
        <v>0</v>
      </c>
      <c r="AZ266" s="107" t="n">
        <v>0</v>
      </c>
      <c r="BA266" s="107" t="n">
        <v>0</v>
      </c>
      <c r="BB266" s="107" t="n">
        <v>0</v>
      </c>
      <c r="BC266" s="107" t="n">
        <v>0</v>
      </c>
      <c r="BD266" s="107" t="n">
        <v>0</v>
      </c>
      <c r="BE266" s="107" t="n">
        <v>40555.56</v>
      </c>
      <c r="BF266" s="107" t="n">
        <v>55090672</v>
      </c>
      <c r="BG266" s="107" t="n">
        <v>0</v>
      </c>
      <c r="BH266" s="107" t="n">
        <v>0</v>
      </c>
      <c r="BI266" s="107" t="n">
        <v>2471525</v>
      </c>
      <c r="BJ266" s="107" t="n">
        <v>3619054058</v>
      </c>
      <c r="BK266" s="107" t="n">
        <v>0</v>
      </c>
      <c r="BL266" s="107" t="n">
        <v>0</v>
      </c>
      <c r="BM266" s="107" t="n">
        <v>0</v>
      </c>
      <c r="BN266" s="107" t="n">
        <v>0</v>
      </c>
      <c r="BO266" s="2"/>
      <c r="BP266" s="2"/>
      <c r="BQ266" s="107" t="s">
        <v>364</v>
      </c>
      <c r="BR266" s="107" t="n">
        <v>-261734498</v>
      </c>
      <c r="BS266" s="107" t="n">
        <v>0</v>
      </c>
      <c r="BT266" s="107" t="n">
        <v>0</v>
      </c>
      <c r="BU266" s="107" t="n">
        <v>0</v>
      </c>
      <c r="BV266" s="107" t="n">
        <v>0</v>
      </c>
      <c r="BW266" s="107" t="n">
        <v>40555.56</v>
      </c>
      <c r="BX266" s="107" t="n">
        <v>55090672</v>
      </c>
      <c r="BY266" s="107" t="n">
        <v>0</v>
      </c>
      <c r="BZ266" s="107" t="n">
        <v>0</v>
      </c>
      <c r="CA266" s="107" t="n">
        <v>1464.3</v>
      </c>
      <c r="CB266" s="2"/>
      <c r="CC266" s="107" t="n">
        <v>0</v>
      </c>
      <c r="CD266" s="107" t="n">
        <v>93.97</v>
      </c>
      <c r="CE266" s="107" t="n">
        <v>93.99</v>
      </c>
      <c r="CF266" s="107" t="n">
        <v>94.26</v>
      </c>
      <c r="CG266" s="107" t="n">
        <v>0</v>
      </c>
      <c r="CH266" s="107" t="n">
        <v>3.9541</v>
      </c>
      <c r="CI266" s="107" t="n">
        <v>95.99</v>
      </c>
      <c r="CJ266" s="107" t="n">
        <v>95.98</v>
      </c>
      <c r="CK266" s="107" t="n">
        <v>96.1</v>
      </c>
      <c r="CL266" s="107" t="n">
        <v>9000000</v>
      </c>
    </row>
    <row r="267" customFormat="false" ht="15" hidden="false" customHeight="false" outlineLevel="0" collapsed="false">
      <c r="A267" s="107" t="s">
        <v>697</v>
      </c>
      <c r="B267" s="107" t="n">
        <v>96.4898</v>
      </c>
      <c r="C267" s="107" t="n">
        <v>5.8054</v>
      </c>
      <c r="D267" s="107" t="n">
        <v>2.2333</v>
      </c>
      <c r="E267" s="107" t="n">
        <v>-1077.4533517</v>
      </c>
      <c r="F267" s="108" t="s">
        <v>358</v>
      </c>
      <c r="G267" s="107" t="n">
        <v>2.2333</v>
      </c>
      <c r="H267" s="107" t="n">
        <v>-1077.4533517</v>
      </c>
      <c r="I267" s="109" t="n">
        <v>47188</v>
      </c>
      <c r="J267" s="107" t="n">
        <v>3</v>
      </c>
      <c r="K267" s="107" t="s">
        <v>359</v>
      </c>
      <c r="L267" s="107" t="s">
        <v>298</v>
      </c>
      <c r="M267" s="107" t="n">
        <v>11166500</v>
      </c>
      <c r="N267" s="107" t="n">
        <v>98.945</v>
      </c>
      <c r="O267" s="107" t="n">
        <v>4824490</v>
      </c>
      <c r="P267" s="107" t="s">
        <v>504</v>
      </c>
      <c r="Q267" s="107" t="s">
        <v>107</v>
      </c>
      <c r="R267" s="107" t="n">
        <v>-0.133417337429671</v>
      </c>
      <c r="S267" s="107" t="n">
        <v>-0.0248137854363535</v>
      </c>
      <c r="T267" s="107" t="n">
        <v>-1108.7160469</v>
      </c>
      <c r="U267" s="107" t="n">
        <v>21069</v>
      </c>
      <c r="V267" s="108" t="s">
        <v>362</v>
      </c>
      <c r="W267" s="107" t="n">
        <v>34578</v>
      </c>
      <c r="X267" s="108" t="s">
        <v>372</v>
      </c>
      <c r="Y267" s="107" t="s">
        <v>693</v>
      </c>
      <c r="Z267" s="107" t="s">
        <v>696</v>
      </c>
      <c r="AA267" s="109" t="n">
        <v>46065</v>
      </c>
      <c r="AB267" s="107" t="n">
        <v>260212000002</v>
      </c>
      <c r="AC267" s="109" t="n">
        <v>45965</v>
      </c>
      <c r="AD267" s="109" t="n">
        <v>47972</v>
      </c>
      <c r="AE267" s="107" t="n">
        <v>4</v>
      </c>
      <c r="AF267" s="107" t="n">
        <v>4.0623</v>
      </c>
      <c r="AG267" s="107" t="n">
        <v>1677</v>
      </c>
      <c r="AH267" s="107" t="n">
        <v>1000000</v>
      </c>
      <c r="AI267" s="107" t="n">
        <v>4.25061</v>
      </c>
      <c r="AJ267" s="107" t="n">
        <v>98.831</v>
      </c>
      <c r="AK267" s="107" t="n">
        <v>4.282205</v>
      </c>
      <c r="AL267" s="107" t="n">
        <v>100.453222</v>
      </c>
      <c r="AM267" s="107" t="n">
        <v>5.4747</v>
      </c>
      <c r="AN267" s="107" t="n">
        <v>94.0724</v>
      </c>
      <c r="AO267" s="107" t="n">
        <v>1358.4</v>
      </c>
      <c r="AP267" s="107" t="n">
        <v>1</v>
      </c>
      <c r="AQ267" s="107" t="n">
        <v>940724</v>
      </c>
      <c r="AR267" s="107" t="n">
        <v>1277879482</v>
      </c>
      <c r="AS267" s="107" t="n">
        <v>988310</v>
      </c>
      <c r="AT267" s="107" t="n">
        <v>1447182333</v>
      </c>
      <c r="AU267" s="107" t="n">
        <v>-47586</v>
      </c>
      <c r="AV267" s="107" t="n">
        <v>-64640822</v>
      </c>
      <c r="AW267" s="107" t="n">
        <v>0</v>
      </c>
      <c r="AX267" s="107" t="n">
        <v>0</v>
      </c>
      <c r="AY267" s="107" t="n">
        <v>0</v>
      </c>
      <c r="AZ267" s="107" t="n">
        <v>0</v>
      </c>
      <c r="BA267" s="107" t="n">
        <v>0</v>
      </c>
      <c r="BB267" s="107" t="n">
        <v>0</v>
      </c>
      <c r="BC267" s="107" t="n">
        <v>0</v>
      </c>
      <c r="BD267" s="107" t="n">
        <v>0</v>
      </c>
      <c r="BE267" s="107" t="n">
        <v>16222.22</v>
      </c>
      <c r="BF267" s="107" t="n">
        <v>22036263</v>
      </c>
      <c r="BG267" s="107" t="n">
        <v>0</v>
      </c>
      <c r="BH267" s="107" t="n">
        <v>0</v>
      </c>
      <c r="BI267" s="107" t="n">
        <v>988310</v>
      </c>
      <c r="BJ267" s="107" t="n">
        <v>1447182333</v>
      </c>
      <c r="BK267" s="107" t="n">
        <v>0</v>
      </c>
      <c r="BL267" s="107" t="n">
        <v>0</v>
      </c>
      <c r="BM267" s="107" t="n">
        <v>0</v>
      </c>
      <c r="BN267" s="107" t="n">
        <v>0</v>
      </c>
      <c r="BO267" s="2"/>
      <c r="BP267" s="2"/>
      <c r="BQ267" s="107" t="s">
        <v>364</v>
      </c>
      <c r="BR267" s="107" t="n">
        <v>-104662029</v>
      </c>
      <c r="BS267" s="107" t="n">
        <v>0</v>
      </c>
      <c r="BT267" s="107" t="n">
        <v>0</v>
      </c>
      <c r="BU267" s="107" t="n">
        <v>0</v>
      </c>
      <c r="BV267" s="107" t="n">
        <v>0</v>
      </c>
      <c r="BW267" s="107" t="n">
        <v>16222.22</v>
      </c>
      <c r="BX267" s="107" t="n">
        <v>22036263</v>
      </c>
      <c r="BY267" s="107" t="n">
        <v>0</v>
      </c>
      <c r="BZ267" s="107" t="n">
        <v>0</v>
      </c>
      <c r="CA267" s="107" t="n">
        <v>1464.3</v>
      </c>
      <c r="CB267" s="2"/>
      <c r="CC267" s="107" t="n">
        <v>0</v>
      </c>
      <c r="CD267" s="107" t="n">
        <v>93.97</v>
      </c>
      <c r="CE267" s="107" t="n">
        <v>93.99</v>
      </c>
      <c r="CF267" s="107" t="n">
        <v>94.26</v>
      </c>
      <c r="CG267" s="107" t="n">
        <v>0</v>
      </c>
      <c r="CH267" s="107" t="n">
        <v>3.9541</v>
      </c>
      <c r="CI267" s="107" t="n">
        <v>100.21</v>
      </c>
      <c r="CJ267" s="107" t="n">
        <v>100.31</v>
      </c>
      <c r="CK267" s="107" t="n">
        <v>100.33</v>
      </c>
      <c r="CL267" s="107" t="n">
        <v>0</v>
      </c>
    </row>
    <row r="268" customFormat="false" ht="15" hidden="false" customHeight="false" outlineLevel="0" collapsed="false">
      <c r="A268" s="107" t="s">
        <v>697</v>
      </c>
      <c r="B268" s="107" t="n">
        <v>96.4898</v>
      </c>
      <c r="C268" s="107" t="n">
        <v>5.8054</v>
      </c>
      <c r="D268" s="107" t="n">
        <v>2.2333</v>
      </c>
      <c r="E268" s="107" t="n">
        <v>-2154.9067034</v>
      </c>
      <c r="F268" s="108" t="s">
        <v>358</v>
      </c>
      <c r="G268" s="107" t="n">
        <v>2.2333</v>
      </c>
      <c r="H268" s="107" t="n">
        <v>-2154.9067034</v>
      </c>
      <c r="I268" s="109" t="n">
        <v>47188</v>
      </c>
      <c r="J268" s="107" t="n">
        <v>3</v>
      </c>
      <c r="K268" s="107" t="s">
        <v>359</v>
      </c>
      <c r="L268" s="107" t="s">
        <v>298</v>
      </c>
      <c r="M268" s="107" t="n">
        <v>22333000</v>
      </c>
      <c r="N268" s="107" t="n">
        <v>98.972</v>
      </c>
      <c r="O268" s="107" t="n">
        <v>9648980</v>
      </c>
      <c r="P268" s="107" t="s">
        <v>504</v>
      </c>
      <c r="Q268" s="107" t="s">
        <v>107</v>
      </c>
      <c r="R268" s="107" t="n">
        <v>-0.133653754141231</v>
      </c>
      <c r="S268" s="107" t="n">
        <v>-0.0250798205553084</v>
      </c>
      <c r="T268" s="107" t="n">
        <v>-2217.4320938</v>
      </c>
      <c r="U268" s="107" t="n">
        <v>21069</v>
      </c>
      <c r="V268" s="108" t="s">
        <v>362</v>
      </c>
      <c r="W268" s="107" t="n">
        <v>34578</v>
      </c>
      <c r="X268" s="108" t="s">
        <v>372</v>
      </c>
      <c r="Y268" s="107" t="s">
        <v>693</v>
      </c>
      <c r="Z268" s="107" t="s">
        <v>696</v>
      </c>
      <c r="AA268" s="109" t="n">
        <v>46066</v>
      </c>
      <c r="AB268" s="107" t="n">
        <v>260213000001</v>
      </c>
      <c r="AC268" s="109" t="n">
        <v>45965</v>
      </c>
      <c r="AD268" s="109" t="n">
        <v>47972</v>
      </c>
      <c r="AE268" s="107" t="n">
        <v>4</v>
      </c>
      <c r="AF268" s="107" t="n">
        <v>4.0623</v>
      </c>
      <c r="AG268" s="107" t="n">
        <v>1677</v>
      </c>
      <c r="AH268" s="107" t="n">
        <v>1000000</v>
      </c>
      <c r="AI268" s="107" t="n">
        <v>4.22126</v>
      </c>
      <c r="AJ268" s="107" t="n">
        <v>98.967</v>
      </c>
      <c r="AK268" s="107" t="n">
        <v>4.249088</v>
      </c>
      <c r="AL268" s="107" t="n">
        <v>100.589222</v>
      </c>
      <c r="AM268" s="107" t="n">
        <v>5.4747</v>
      </c>
      <c r="AN268" s="107" t="n">
        <v>94.0724</v>
      </c>
      <c r="AO268" s="107" t="n">
        <v>1358.4</v>
      </c>
      <c r="AP268" s="107" t="n">
        <v>1</v>
      </c>
      <c r="AQ268" s="107" t="n">
        <v>940724</v>
      </c>
      <c r="AR268" s="107" t="n">
        <v>1277879482</v>
      </c>
      <c r="AS268" s="107" t="n">
        <v>989670</v>
      </c>
      <c r="AT268" s="107" t="n">
        <v>1442641959</v>
      </c>
      <c r="AU268" s="107" t="n">
        <v>-48946</v>
      </c>
      <c r="AV268" s="107" t="n">
        <v>-66488246</v>
      </c>
      <c r="AW268" s="107" t="n">
        <v>0</v>
      </c>
      <c r="AX268" s="107" t="n">
        <v>0</v>
      </c>
      <c r="AY268" s="107" t="n">
        <v>0</v>
      </c>
      <c r="AZ268" s="107" t="n">
        <v>0</v>
      </c>
      <c r="BA268" s="107" t="n">
        <v>0</v>
      </c>
      <c r="BB268" s="107" t="n">
        <v>0</v>
      </c>
      <c r="BC268" s="107" t="n">
        <v>0</v>
      </c>
      <c r="BD268" s="107" t="n">
        <v>0</v>
      </c>
      <c r="BE268" s="107" t="n">
        <v>16222.22</v>
      </c>
      <c r="BF268" s="107" t="n">
        <v>22036263</v>
      </c>
      <c r="BG268" s="107" t="n">
        <v>0</v>
      </c>
      <c r="BH268" s="107" t="n">
        <v>0</v>
      </c>
      <c r="BI268" s="107" t="n">
        <v>989670</v>
      </c>
      <c r="BJ268" s="107" t="n">
        <v>1442641959</v>
      </c>
      <c r="BK268" s="107" t="n">
        <v>0</v>
      </c>
      <c r="BL268" s="107" t="n">
        <v>0</v>
      </c>
      <c r="BM268" s="107" t="n">
        <v>0</v>
      </c>
      <c r="BN268" s="107" t="n">
        <v>0</v>
      </c>
      <c r="BO268" s="2"/>
      <c r="BP268" s="2"/>
      <c r="BQ268" s="107" t="s">
        <v>364</v>
      </c>
      <c r="BR268" s="107" t="n">
        <v>-98274231</v>
      </c>
      <c r="BS268" s="107" t="n">
        <v>0</v>
      </c>
      <c r="BT268" s="107" t="n">
        <v>0</v>
      </c>
      <c r="BU268" s="107" t="n">
        <v>0</v>
      </c>
      <c r="BV268" s="107" t="n">
        <v>0</v>
      </c>
      <c r="BW268" s="107" t="n">
        <v>16222.22</v>
      </c>
      <c r="BX268" s="107" t="n">
        <v>22036263</v>
      </c>
      <c r="BY268" s="107" t="n">
        <v>0</v>
      </c>
      <c r="BZ268" s="107" t="n">
        <v>0</v>
      </c>
      <c r="CA268" s="107" t="n">
        <v>1457.7</v>
      </c>
      <c r="CB268" s="2"/>
      <c r="CC268" s="107" t="n">
        <v>0</v>
      </c>
      <c r="CD268" s="107" t="n">
        <v>93.97</v>
      </c>
      <c r="CE268" s="107" t="n">
        <v>93.99</v>
      </c>
      <c r="CF268" s="107" t="n">
        <v>94.26</v>
      </c>
      <c r="CG268" s="107" t="n">
        <v>0</v>
      </c>
      <c r="CH268" s="107" t="n">
        <v>3.9541</v>
      </c>
      <c r="CI268" s="107" t="n">
        <v>100.21</v>
      </c>
      <c r="CJ268" s="107" t="n">
        <v>100.31</v>
      </c>
      <c r="CK268" s="107" t="n">
        <v>100.33</v>
      </c>
      <c r="CL268" s="107" t="n">
        <v>1600000</v>
      </c>
    </row>
    <row r="269" customFormat="false" ht="15" hidden="false" customHeight="false" outlineLevel="0" collapsed="false">
      <c r="A269" s="107" t="s">
        <v>697</v>
      </c>
      <c r="B269" s="107" t="n">
        <v>96.4898</v>
      </c>
      <c r="C269" s="107" t="n">
        <v>5.8054</v>
      </c>
      <c r="D269" s="107" t="n">
        <v>2.2333</v>
      </c>
      <c r="E269" s="107" t="n">
        <v>-2047.16136823</v>
      </c>
      <c r="F269" s="108" t="s">
        <v>358</v>
      </c>
      <c r="G269" s="107" t="n">
        <v>2.2333</v>
      </c>
      <c r="H269" s="107" t="n">
        <v>-2047.16136823</v>
      </c>
      <c r="I269" s="109" t="n">
        <v>47188</v>
      </c>
      <c r="J269" s="107" t="n">
        <v>3</v>
      </c>
      <c r="K269" s="107" t="s">
        <v>359</v>
      </c>
      <c r="L269" s="107" t="s">
        <v>298</v>
      </c>
      <c r="M269" s="107" t="n">
        <v>21216350</v>
      </c>
      <c r="N269" s="107" t="n">
        <v>98.864</v>
      </c>
      <c r="O269" s="107" t="n">
        <v>9166531</v>
      </c>
      <c r="P269" s="107" t="s">
        <v>504</v>
      </c>
      <c r="Q269" s="107" t="s">
        <v>107</v>
      </c>
      <c r="R269" s="107" t="n">
        <v>-0.13270731178845</v>
      </c>
      <c r="S269" s="107" t="n">
        <v>-0.024014808221395</v>
      </c>
      <c r="T269" s="107" t="n">
        <v>-2106.56048911</v>
      </c>
      <c r="U269" s="107" t="n">
        <v>21069</v>
      </c>
      <c r="V269" s="108" t="s">
        <v>362</v>
      </c>
      <c r="W269" s="107" t="n">
        <v>34578</v>
      </c>
      <c r="X269" s="108" t="s">
        <v>372</v>
      </c>
      <c r="Y269" s="107" t="s">
        <v>697</v>
      </c>
      <c r="Z269" s="107" t="s">
        <v>698</v>
      </c>
      <c r="AA269" s="109" t="n">
        <v>46118</v>
      </c>
      <c r="AB269" s="107" t="n">
        <v>260406000001</v>
      </c>
      <c r="AC269" s="109" t="n">
        <v>46092</v>
      </c>
      <c r="AD269" s="109" t="n">
        <v>47188</v>
      </c>
      <c r="AE269" s="107" t="n">
        <v>4.25</v>
      </c>
      <c r="AF269" s="107" t="n">
        <v>2.2958</v>
      </c>
      <c r="AG269" s="107" t="n">
        <v>893</v>
      </c>
      <c r="AH269" s="107" t="n">
        <v>5000000</v>
      </c>
      <c r="AI269" s="107" t="n">
        <v>4.6381</v>
      </c>
      <c r="AJ269" s="107" t="n">
        <v>98.945</v>
      </c>
      <c r="AK269" s="107" t="n">
        <v>4.698943</v>
      </c>
      <c r="AL269" s="107" t="n">
        <v>99.195468</v>
      </c>
      <c r="AM269" s="107" t="n">
        <v>5.7501</v>
      </c>
      <c r="AN269" s="107" t="n">
        <v>96.6151</v>
      </c>
      <c r="AO269" s="107" t="n">
        <v>1358.4</v>
      </c>
      <c r="AP269" s="107" t="n">
        <v>1</v>
      </c>
      <c r="AQ269" s="107" t="n">
        <v>4830755</v>
      </c>
      <c r="AR269" s="107" t="n">
        <v>6562097592</v>
      </c>
      <c r="AS269" s="107" t="n">
        <v>4947057.85</v>
      </c>
      <c r="AT269" s="107" t="n">
        <v>7571472040</v>
      </c>
      <c r="AU269" s="107" t="n">
        <v>-116302.85</v>
      </c>
      <c r="AV269" s="107" t="n">
        <v>-157985791</v>
      </c>
      <c r="AW269" s="107" t="n">
        <v>0</v>
      </c>
      <c r="AX269" s="107" t="n">
        <v>0</v>
      </c>
      <c r="AY269" s="107" t="n">
        <v>192.15</v>
      </c>
      <c r="AZ269" s="107" t="n">
        <v>294085</v>
      </c>
      <c r="BA269" s="107" t="n">
        <v>0</v>
      </c>
      <c r="BB269" s="107" t="n">
        <v>0</v>
      </c>
      <c r="BC269" s="107" t="n">
        <v>0</v>
      </c>
      <c r="BD269" s="107" t="n">
        <v>0</v>
      </c>
      <c r="BE269" s="107" t="n">
        <v>11215.28</v>
      </c>
      <c r="BF269" s="107" t="n">
        <v>15234836</v>
      </c>
      <c r="BG269" s="107" t="n">
        <v>1308.12</v>
      </c>
      <c r="BH269" s="107" t="n">
        <v>1776949</v>
      </c>
      <c r="BI269" s="107" t="n">
        <v>4947057.85</v>
      </c>
      <c r="BJ269" s="107" t="n">
        <v>7571472040</v>
      </c>
      <c r="BK269" s="107" t="n">
        <v>0</v>
      </c>
      <c r="BL269" s="107" t="n">
        <v>0</v>
      </c>
      <c r="BM269" s="107" t="n">
        <v>0</v>
      </c>
      <c r="BN269" s="107" t="n">
        <v>0</v>
      </c>
      <c r="BO269" s="2"/>
      <c r="BP269" s="2"/>
      <c r="BQ269" s="107" t="s">
        <v>107</v>
      </c>
      <c r="BR269" s="107" t="n">
        <v>-851388657</v>
      </c>
      <c r="BS269" s="107" t="n">
        <v>-33068</v>
      </c>
      <c r="BT269" s="107" t="n">
        <v>0</v>
      </c>
      <c r="BU269" s="107" t="n">
        <v>0</v>
      </c>
      <c r="BV269" s="107" t="n">
        <v>0</v>
      </c>
      <c r="BW269" s="107" t="n">
        <v>11215.28</v>
      </c>
      <c r="BX269" s="107" t="n">
        <v>15234836</v>
      </c>
      <c r="BY269" s="107" t="n">
        <v>1500.27</v>
      </c>
      <c r="BZ269" s="107" t="n">
        <v>2037966</v>
      </c>
      <c r="CA269" s="107" t="n">
        <v>1530.5</v>
      </c>
      <c r="CB269" s="2"/>
      <c r="CC269" s="107" t="n">
        <v>0</v>
      </c>
      <c r="CD269" s="107" t="n">
        <v>96.59</v>
      </c>
      <c r="CE269" s="107" t="n">
        <v>96.6</v>
      </c>
      <c r="CF269" s="107" t="n">
        <v>96.66</v>
      </c>
      <c r="CG269" s="107" t="n">
        <v>0</v>
      </c>
      <c r="CH269" s="107" t="n">
        <v>2.2316</v>
      </c>
      <c r="CI269" s="107" t="n">
        <v>99.69</v>
      </c>
      <c r="CJ269" s="107" t="n">
        <v>99.78</v>
      </c>
      <c r="CK269" s="107" t="n">
        <v>99.69</v>
      </c>
      <c r="CL269" s="107" t="n">
        <v>2000000</v>
      </c>
    </row>
    <row r="270" customFormat="false" ht="15" hidden="false" customHeight="false" outlineLevel="0" collapsed="false">
      <c r="A270" s="107" t="s">
        <v>697</v>
      </c>
      <c r="B270" s="107" t="n">
        <v>96.4898</v>
      </c>
      <c r="C270" s="107" t="n">
        <v>5.8054</v>
      </c>
      <c r="D270" s="107" t="n">
        <v>2.2333</v>
      </c>
      <c r="E270" s="107" t="n">
        <v>-215.49067034</v>
      </c>
      <c r="F270" s="108" t="s">
        <v>358</v>
      </c>
      <c r="G270" s="107" t="n">
        <v>2.2333</v>
      </c>
      <c r="H270" s="107" t="n">
        <v>-215.49067034</v>
      </c>
      <c r="I270" s="109" t="n">
        <v>47188</v>
      </c>
      <c r="J270" s="107" t="n">
        <v>3</v>
      </c>
      <c r="K270" s="107" t="s">
        <v>359</v>
      </c>
      <c r="L270" s="107" t="s">
        <v>298</v>
      </c>
      <c r="M270" s="107" t="n">
        <v>2233300</v>
      </c>
      <c r="N270" s="107" t="n">
        <v>98.907</v>
      </c>
      <c r="O270" s="107" t="n">
        <v>964898</v>
      </c>
      <c r="P270" s="107" t="s">
        <v>504</v>
      </c>
      <c r="Q270" s="107" t="s">
        <v>107</v>
      </c>
      <c r="R270" s="107" t="n">
        <v>-0.133084384041993</v>
      </c>
      <c r="S270" s="107" t="n">
        <v>-0.0244391195769763</v>
      </c>
      <c r="T270" s="107" t="n">
        <v>-221.74320938</v>
      </c>
      <c r="U270" s="107" t="n">
        <v>21069</v>
      </c>
      <c r="V270" s="108" t="s">
        <v>362</v>
      </c>
      <c r="W270" s="107" t="n">
        <v>34578</v>
      </c>
      <c r="X270" s="108" t="s">
        <v>372</v>
      </c>
      <c r="Y270" s="107" t="s">
        <v>697</v>
      </c>
      <c r="Z270" s="107" t="s">
        <v>698</v>
      </c>
      <c r="AA270" s="109" t="n">
        <v>46118</v>
      </c>
      <c r="AB270" s="107" t="n">
        <v>260406000002</v>
      </c>
      <c r="AC270" s="109" t="n">
        <v>46092</v>
      </c>
      <c r="AD270" s="109" t="n">
        <v>47188</v>
      </c>
      <c r="AE270" s="107" t="n">
        <v>4.25</v>
      </c>
      <c r="AF270" s="107" t="n">
        <v>2.2958</v>
      </c>
      <c r="AG270" s="107" t="n">
        <v>893</v>
      </c>
      <c r="AH270" s="107" t="n">
        <v>10000000</v>
      </c>
      <c r="AI270" s="107" t="n">
        <v>4.62808</v>
      </c>
      <c r="AJ270" s="107" t="n">
        <v>98.972</v>
      </c>
      <c r="AK270" s="107" t="n">
        <v>4.687064</v>
      </c>
      <c r="AL270" s="107" t="n">
        <v>99.222468</v>
      </c>
      <c r="AM270" s="107" t="n">
        <v>5.7501</v>
      </c>
      <c r="AN270" s="107" t="n">
        <v>96.6151</v>
      </c>
      <c r="AO270" s="107" t="n">
        <v>1358.4</v>
      </c>
      <c r="AP270" s="107" t="n">
        <v>1</v>
      </c>
      <c r="AQ270" s="107" t="n">
        <v>9661510</v>
      </c>
      <c r="AR270" s="107" t="n">
        <v>13124195184</v>
      </c>
      <c r="AS270" s="107" t="n">
        <v>9896815.7</v>
      </c>
      <c r="AT270" s="107" t="n">
        <v>15147076429</v>
      </c>
      <c r="AU270" s="107" t="n">
        <v>-235305.7</v>
      </c>
      <c r="AV270" s="107" t="n">
        <v>-319639263</v>
      </c>
      <c r="AW270" s="107" t="n">
        <v>0</v>
      </c>
      <c r="AX270" s="107" t="n">
        <v>0</v>
      </c>
      <c r="AY270" s="107" t="n">
        <v>384.3</v>
      </c>
      <c r="AZ270" s="107" t="n">
        <v>588171</v>
      </c>
      <c r="BA270" s="107" t="n">
        <v>0</v>
      </c>
      <c r="BB270" s="107" t="n">
        <v>0</v>
      </c>
      <c r="BC270" s="107" t="n">
        <v>0</v>
      </c>
      <c r="BD270" s="107" t="n">
        <v>0</v>
      </c>
      <c r="BE270" s="107" t="n">
        <v>22430.56</v>
      </c>
      <c r="BF270" s="107" t="n">
        <v>30469672</v>
      </c>
      <c r="BG270" s="107" t="n">
        <v>2616.24</v>
      </c>
      <c r="BH270" s="107" t="n">
        <v>3553900</v>
      </c>
      <c r="BI270" s="107" t="n">
        <v>9896815.7</v>
      </c>
      <c r="BJ270" s="107" t="n">
        <v>15147076429</v>
      </c>
      <c r="BK270" s="107" t="n">
        <v>0</v>
      </c>
      <c r="BL270" s="107" t="n">
        <v>0</v>
      </c>
      <c r="BM270" s="107" t="n">
        <v>0</v>
      </c>
      <c r="BN270" s="107" t="n">
        <v>0</v>
      </c>
      <c r="BO270" s="2"/>
      <c r="BP270" s="2"/>
      <c r="BQ270" s="107" t="s">
        <v>107</v>
      </c>
      <c r="BR270" s="107" t="n">
        <v>-1703241982</v>
      </c>
      <c r="BS270" s="107" t="n">
        <v>-66138</v>
      </c>
      <c r="BT270" s="107" t="n">
        <v>0</v>
      </c>
      <c r="BU270" s="107" t="n">
        <v>0</v>
      </c>
      <c r="BV270" s="107" t="n">
        <v>0</v>
      </c>
      <c r="BW270" s="107" t="n">
        <v>22430.56</v>
      </c>
      <c r="BX270" s="107" t="n">
        <v>30469672</v>
      </c>
      <c r="BY270" s="107" t="n">
        <v>3000.54</v>
      </c>
      <c r="BZ270" s="107" t="n">
        <v>4075933</v>
      </c>
      <c r="CA270" s="107" t="n">
        <v>1530.5</v>
      </c>
      <c r="CB270" s="2"/>
      <c r="CC270" s="107" t="n">
        <v>0</v>
      </c>
      <c r="CD270" s="107" t="n">
        <v>96.59</v>
      </c>
      <c r="CE270" s="107" t="n">
        <v>96.6</v>
      </c>
      <c r="CF270" s="107" t="n">
        <v>96.66</v>
      </c>
      <c r="CG270" s="107" t="n">
        <v>0</v>
      </c>
      <c r="CH270" s="107" t="n">
        <v>2.2316</v>
      </c>
      <c r="CI270" s="107" t="n">
        <v>96.23</v>
      </c>
      <c r="CJ270" s="107" t="n">
        <v>96.32</v>
      </c>
      <c r="CK270" s="107" t="n">
        <v>96.33</v>
      </c>
      <c r="CL270" s="107" t="n">
        <v>0</v>
      </c>
    </row>
    <row r="271" customFormat="false" ht="15" hidden="false" customHeight="false" outlineLevel="0" collapsed="false">
      <c r="A271" s="107" t="s">
        <v>697</v>
      </c>
      <c r="B271" s="107" t="n">
        <v>96.4898</v>
      </c>
      <c r="C271" s="107" t="n">
        <v>5.8054</v>
      </c>
      <c r="D271" s="107" t="n">
        <v>2.2333</v>
      </c>
      <c r="E271" s="107" t="n">
        <v>-883.511748394</v>
      </c>
      <c r="F271" s="108" t="s">
        <v>358</v>
      </c>
      <c r="G271" s="107" t="n">
        <v>2.2333</v>
      </c>
      <c r="H271" s="107" t="n">
        <v>-883.511748394</v>
      </c>
      <c r="I271" s="109" t="n">
        <v>47188</v>
      </c>
      <c r="J271" s="107" t="n">
        <v>3</v>
      </c>
      <c r="K271" s="107" t="s">
        <v>359</v>
      </c>
      <c r="L271" s="107" t="s">
        <v>298</v>
      </c>
      <c r="M271" s="107" t="n">
        <v>9156530</v>
      </c>
      <c r="N271" s="107" t="n">
        <v>99.147</v>
      </c>
      <c r="O271" s="107" t="n">
        <v>3956081.8</v>
      </c>
      <c r="P271" s="107" t="s">
        <v>504</v>
      </c>
      <c r="Q271" s="107" t="s">
        <v>107</v>
      </c>
      <c r="R271" s="107" t="n">
        <v>-0.101466227556423</v>
      </c>
      <c r="S271" s="107" t="n">
        <v>-0.0268006091964457</v>
      </c>
      <c r="T271" s="107" t="n">
        <v>-909.147158458</v>
      </c>
      <c r="U271" s="107" t="n">
        <v>21069</v>
      </c>
      <c r="V271" s="108" t="s">
        <v>362</v>
      </c>
      <c r="W271" s="107" t="n">
        <v>34578</v>
      </c>
      <c r="X271" s="108" t="s">
        <v>372</v>
      </c>
      <c r="Y271" s="107" t="s">
        <v>697</v>
      </c>
      <c r="Z271" s="107" t="s">
        <v>698</v>
      </c>
      <c r="AA271" s="109" t="n">
        <v>46118</v>
      </c>
      <c r="AB271" s="107" t="n">
        <v>260406000003</v>
      </c>
      <c r="AC271" s="109" t="n">
        <v>46092</v>
      </c>
      <c r="AD271" s="109" t="n">
        <v>47188</v>
      </c>
      <c r="AE271" s="107" t="n">
        <v>4.25</v>
      </c>
      <c r="AF271" s="107" t="n">
        <v>2.2958</v>
      </c>
      <c r="AG271" s="107" t="n">
        <v>893</v>
      </c>
      <c r="AH271" s="107" t="n">
        <v>9500000</v>
      </c>
      <c r="AI271" s="107" t="n">
        <v>4.66818</v>
      </c>
      <c r="AJ271" s="107" t="n">
        <v>98.864</v>
      </c>
      <c r="AK271" s="107" t="n">
        <v>4.734606</v>
      </c>
      <c r="AL271" s="107" t="n">
        <v>99.114468</v>
      </c>
      <c r="AM271" s="107" t="n">
        <v>5.7501</v>
      </c>
      <c r="AN271" s="107" t="n">
        <v>96.6151</v>
      </c>
      <c r="AO271" s="107" t="n">
        <v>1358.4</v>
      </c>
      <c r="AP271" s="107" t="n">
        <v>1</v>
      </c>
      <c r="AQ271" s="107" t="n">
        <v>9178434.5</v>
      </c>
      <c r="AR271" s="107" t="n">
        <v>12467985425</v>
      </c>
      <c r="AS271" s="107" t="n">
        <v>9391714.91</v>
      </c>
      <c r="AT271" s="107" t="n">
        <v>14374019670</v>
      </c>
      <c r="AU271" s="107" t="n">
        <v>-213280.41</v>
      </c>
      <c r="AV271" s="107" t="n">
        <v>-289720109</v>
      </c>
      <c r="AW271" s="107" t="n">
        <v>0</v>
      </c>
      <c r="AX271" s="107" t="n">
        <v>0</v>
      </c>
      <c r="AY271" s="107" t="n">
        <v>365.09</v>
      </c>
      <c r="AZ271" s="107" t="n">
        <v>558770</v>
      </c>
      <c r="BA271" s="107" t="n">
        <v>0</v>
      </c>
      <c r="BB271" s="107" t="n">
        <v>0</v>
      </c>
      <c r="BC271" s="107" t="n">
        <v>0</v>
      </c>
      <c r="BD271" s="107" t="n">
        <v>0</v>
      </c>
      <c r="BE271" s="107" t="n">
        <v>21309.03</v>
      </c>
      <c r="BF271" s="107" t="n">
        <v>28946186</v>
      </c>
      <c r="BG271" s="107" t="n">
        <v>2485.43</v>
      </c>
      <c r="BH271" s="107" t="n">
        <v>3376208</v>
      </c>
      <c r="BI271" s="107" t="n">
        <v>9391714.91</v>
      </c>
      <c r="BJ271" s="107" t="n">
        <v>14374019670</v>
      </c>
      <c r="BK271" s="107" t="n">
        <v>0</v>
      </c>
      <c r="BL271" s="107" t="n">
        <v>0</v>
      </c>
      <c r="BM271" s="107" t="n">
        <v>0</v>
      </c>
      <c r="BN271" s="107" t="n">
        <v>0</v>
      </c>
      <c r="BO271" s="2"/>
      <c r="BP271" s="2"/>
      <c r="BQ271" s="107" t="s">
        <v>107</v>
      </c>
      <c r="BR271" s="107" t="n">
        <v>-1616314136</v>
      </c>
      <c r="BS271" s="107" t="n">
        <v>-62832</v>
      </c>
      <c r="BT271" s="107" t="n">
        <v>0</v>
      </c>
      <c r="BU271" s="107" t="n">
        <v>0</v>
      </c>
      <c r="BV271" s="107" t="n">
        <v>0</v>
      </c>
      <c r="BW271" s="107" t="n">
        <v>21309.03</v>
      </c>
      <c r="BX271" s="107" t="n">
        <v>28946186</v>
      </c>
      <c r="BY271" s="107" t="n">
        <v>2850.52</v>
      </c>
      <c r="BZ271" s="107" t="n">
        <v>3872146</v>
      </c>
      <c r="CA271" s="107" t="n">
        <v>1530.5</v>
      </c>
      <c r="CB271" s="2"/>
      <c r="CC271" s="107" t="n">
        <v>0</v>
      </c>
      <c r="CD271" s="107" t="n">
        <v>96.59</v>
      </c>
      <c r="CE271" s="107" t="n">
        <v>96.6</v>
      </c>
      <c r="CF271" s="107" t="n">
        <v>96.66</v>
      </c>
      <c r="CG271" s="107" t="n">
        <v>0</v>
      </c>
      <c r="CH271" s="107" t="n">
        <v>2.2316</v>
      </c>
      <c r="CI271" s="107" t="n">
        <v>99.66</v>
      </c>
      <c r="CJ271" s="107" t="n">
        <v>99.74</v>
      </c>
      <c r="CK271" s="107" t="n">
        <v>99.81</v>
      </c>
      <c r="CL271" s="107" t="n">
        <v>0</v>
      </c>
    </row>
    <row r="272" customFormat="false" ht="15" hidden="false" customHeight="false" outlineLevel="0" collapsed="false">
      <c r="A272" s="107" t="s">
        <v>697</v>
      </c>
      <c r="B272" s="107" t="n">
        <v>96.4898</v>
      </c>
      <c r="C272" s="107" t="n">
        <v>5.8054</v>
      </c>
      <c r="D272" s="107" t="n">
        <v>2.2333</v>
      </c>
      <c r="E272" s="107" t="n">
        <v>-668.021078054</v>
      </c>
      <c r="F272" s="108" t="s">
        <v>358</v>
      </c>
      <c r="G272" s="107" t="n">
        <v>2.2333</v>
      </c>
      <c r="H272" s="107" t="n">
        <v>-668.021078054</v>
      </c>
      <c r="I272" s="109" t="n">
        <v>47188</v>
      </c>
      <c r="J272" s="107" t="n">
        <v>3</v>
      </c>
      <c r="K272" s="107" t="s">
        <v>359</v>
      </c>
      <c r="L272" s="107" t="s">
        <v>298</v>
      </c>
      <c r="M272" s="107" t="n">
        <v>6923230</v>
      </c>
      <c r="N272" s="107" t="n">
        <v>99.113</v>
      </c>
      <c r="O272" s="107" t="n">
        <v>2991183.8</v>
      </c>
      <c r="P272" s="107" t="s">
        <v>504</v>
      </c>
      <c r="Q272" s="107" t="s">
        <v>107</v>
      </c>
      <c r="R272" s="107" t="n">
        <v>-0.101157973047965</v>
      </c>
      <c r="S272" s="107" t="n">
        <v>-0.0264667601626426</v>
      </c>
      <c r="T272" s="107" t="n">
        <v>-687.403949078</v>
      </c>
      <c r="U272" s="107" t="n">
        <v>21069</v>
      </c>
      <c r="V272" s="108" t="s">
        <v>362</v>
      </c>
      <c r="W272" s="107" t="n">
        <v>34578</v>
      </c>
      <c r="X272" s="108" t="s">
        <v>372</v>
      </c>
      <c r="Y272" s="107" t="s">
        <v>697</v>
      </c>
      <c r="Z272" s="107" t="s">
        <v>698</v>
      </c>
      <c r="AA272" s="109" t="n">
        <v>46118</v>
      </c>
      <c r="AB272" s="107" t="n">
        <v>260406000004</v>
      </c>
      <c r="AC272" s="109" t="n">
        <v>46092</v>
      </c>
      <c r="AD272" s="109" t="n">
        <v>47188</v>
      </c>
      <c r="AE272" s="107" t="n">
        <v>4.25</v>
      </c>
      <c r="AF272" s="107" t="n">
        <v>2.2958</v>
      </c>
      <c r="AG272" s="107" t="n">
        <v>893</v>
      </c>
      <c r="AH272" s="107" t="n">
        <v>1000000</v>
      </c>
      <c r="AI272" s="107" t="n">
        <v>4.652208</v>
      </c>
      <c r="AJ272" s="107" t="n">
        <v>98.907</v>
      </c>
      <c r="AK272" s="107" t="n">
        <v>4.715669</v>
      </c>
      <c r="AL272" s="107" t="n">
        <v>99.157468</v>
      </c>
      <c r="AM272" s="107" t="n">
        <v>5.7501</v>
      </c>
      <c r="AN272" s="107" t="n">
        <v>96.6151</v>
      </c>
      <c r="AO272" s="107" t="n">
        <v>1358.4</v>
      </c>
      <c r="AP272" s="107" t="n">
        <v>1</v>
      </c>
      <c r="AQ272" s="107" t="n">
        <v>966151</v>
      </c>
      <c r="AR272" s="107" t="n">
        <v>1312419518</v>
      </c>
      <c r="AS272" s="107" t="n">
        <v>989031.57</v>
      </c>
      <c r="AT272" s="107" t="n">
        <v>1513712818</v>
      </c>
      <c r="AU272" s="107" t="n">
        <v>-22880.57</v>
      </c>
      <c r="AV272" s="107" t="n">
        <v>-31080967</v>
      </c>
      <c r="AW272" s="107" t="n">
        <v>0</v>
      </c>
      <c r="AX272" s="107" t="n">
        <v>0</v>
      </c>
      <c r="AY272" s="107" t="n">
        <v>38.43</v>
      </c>
      <c r="AZ272" s="107" t="n">
        <v>58817</v>
      </c>
      <c r="BA272" s="107" t="n">
        <v>0</v>
      </c>
      <c r="BB272" s="107" t="n">
        <v>0</v>
      </c>
      <c r="BC272" s="107" t="n">
        <v>0</v>
      </c>
      <c r="BD272" s="107" t="n">
        <v>0</v>
      </c>
      <c r="BE272" s="107" t="n">
        <v>2243.06</v>
      </c>
      <c r="BF272" s="107" t="n">
        <v>3046972</v>
      </c>
      <c r="BG272" s="107" t="n">
        <v>261.62</v>
      </c>
      <c r="BH272" s="107" t="n">
        <v>355384</v>
      </c>
      <c r="BI272" s="107" t="n">
        <v>989031.57</v>
      </c>
      <c r="BJ272" s="107" t="n">
        <v>1513712818</v>
      </c>
      <c r="BK272" s="107" t="n">
        <v>0</v>
      </c>
      <c r="BL272" s="107" t="n">
        <v>0</v>
      </c>
      <c r="BM272" s="107" t="n">
        <v>0</v>
      </c>
      <c r="BN272" s="107" t="n">
        <v>0</v>
      </c>
      <c r="BO272" s="2"/>
      <c r="BP272" s="2"/>
      <c r="BQ272" s="107" t="s">
        <v>107</v>
      </c>
      <c r="BR272" s="107" t="n">
        <v>-170212333</v>
      </c>
      <c r="BS272" s="107" t="n">
        <v>-6614</v>
      </c>
      <c r="BT272" s="107" t="n">
        <v>0</v>
      </c>
      <c r="BU272" s="107" t="n">
        <v>0</v>
      </c>
      <c r="BV272" s="107" t="n">
        <v>0</v>
      </c>
      <c r="BW272" s="107" t="n">
        <v>2243.06</v>
      </c>
      <c r="BX272" s="107" t="n">
        <v>3046972</v>
      </c>
      <c r="BY272" s="107" t="n">
        <v>300.05</v>
      </c>
      <c r="BZ272" s="107" t="n">
        <v>407587</v>
      </c>
      <c r="CA272" s="107" t="n">
        <v>1530.5</v>
      </c>
      <c r="CB272" s="2"/>
      <c r="CC272" s="107" t="n">
        <v>0</v>
      </c>
      <c r="CD272" s="107" t="n">
        <v>96.59</v>
      </c>
      <c r="CE272" s="107" t="n">
        <v>96.6</v>
      </c>
      <c r="CF272" s="107" t="n">
        <v>96.66</v>
      </c>
      <c r="CG272" s="107" t="n">
        <v>0</v>
      </c>
      <c r="CH272" s="107" t="n">
        <v>2.2316</v>
      </c>
      <c r="CI272" s="107" t="n">
        <v>99.66</v>
      </c>
      <c r="CJ272" s="107" t="n">
        <v>99.74</v>
      </c>
      <c r="CK272" s="107" t="n">
        <v>99.81</v>
      </c>
      <c r="CL272" s="107" t="n">
        <v>0</v>
      </c>
    </row>
    <row r="273" customFormat="false" ht="15" hidden="false" customHeight="false" outlineLevel="0" collapsed="false">
      <c r="A273" s="107" t="s">
        <v>697</v>
      </c>
      <c r="B273" s="107" t="n">
        <v>96.4898</v>
      </c>
      <c r="C273" s="107" t="n">
        <v>5.8054</v>
      </c>
      <c r="D273" s="107" t="n">
        <v>2.2333</v>
      </c>
      <c r="E273" s="107" t="n">
        <v>-646.47201102</v>
      </c>
      <c r="F273" s="108" t="s">
        <v>358</v>
      </c>
      <c r="G273" s="107" t="n">
        <v>2.2333</v>
      </c>
      <c r="H273" s="107" t="n">
        <v>-646.47201102</v>
      </c>
      <c r="I273" s="109" t="n">
        <v>47188</v>
      </c>
      <c r="J273" s="107" t="n">
        <v>3</v>
      </c>
      <c r="K273" s="107" t="s">
        <v>359</v>
      </c>
      <c r="L273" s="107" t="s">
        <v>298</v>
      </c>
      <c r="M273" s="107" t="n">
        <v>6699900</v>
      </c>
      <c r="N273" s="107" t="n">
        <v>99.121</v>
      </c>
      <c r="O273" s="107" t="n">
        <v>2894694</v>
      </c>
      <c r="P273" s="107" t="s">
        <v>504</v>
      </c>
      <c r="Q273" s="107" t="s">
        <v>107</v>
      </c>
      <c r="R273" s="107" t="n">
        <v>-0.101230521786109</v>
      </c>
      <c r="S273" s="107" t="n">
        <v>-0.0265453334813006</v>
      </c>
      <c r="T273" s="107" t="n">
        <v>-665.22962814</v>
      </c>
      <c r="U273" s="107" t="n">
        <v>21069</v>
      </c>
      <c r="V273" s="108" t="s">
        <v>362</v>
      </c>
      <c r="W273" s="107" t="n">
        <v>34578</v>
      </c>
      <c r="X273" s="108" t="s">
        <v>372</v>
      </c>
      <c r="Y273" s="107" t="s">
        <v>697</v>
      </c>
      <c r="Z273" s="107" t="s">
        <v>698</v>
      </c>
      <c r="AA273" s="109" t="n">
        <v>46132</v>
      </c>
      <c r="AB273" s="107" t="n">
        <v>260420000001</v>
      </c>
      <c r="AC273" s="109" t="n">
        <v>46092</v>
      </c>
      <c r="AD273" s="109" t="n">
        <v>47188</v>
      </c>
      <c r="AE273" s="107" t="n">
        <v>4.25</v>
      </c>
      <c r="AF273" s="107" t="n">
        <v>2.2958</v>
      </c>
      <c r="AG273" s="107" t="n">
        <v>893</v>
      </c>
      <c r="AH273" s="107" t="n">
        <v>4100000</v>
      </c>
      <c r="AI273" s="107" t="n">
        <v>4.566726</v>
      </c>
      <c r="AJ273" s="107" t="n">
        <v>99.147</v>
      </c>
      <c r="AK273" s="107" t="n">
        <v>4.611073</v>
      </c>
      <c r="AL273" s="107" t="n">
        <v>99.395398</v>
      </c>
      <c r="AM273" s="107" t="n">
        <v>5.7501</v>
      </c>
      <c r="AN273" s="107" t="n">
        <v>96.6151</v>
      </c>
      <c r="AO273" s="107" t="n">
        <v>1358.4</v>
      </c>
      <c r="AP273" s="107" t="n">
        <v>1</v>
      </c>
      <c r="AQ273" s="107" t="n">
        <v>3961219.1</v>
      </c>
      <c r="AR273" s="107" t="n">
        <v>5380920025</v>
      </c>
      <c r="AS273" s="107" t="n">
        <v>4064784.6</v>
      </c>
      <c r="AT273" s="107" t="n">
        <v>5987834195</v>
      </c>
      <c r="AU273" s="107" t="n">
        <v>-103565.5</v>
      </c>
      <c r="AV273" s="107" t="n">
        <v>-140683376</v>
      </c>
      <c r="AW273" s="107" t="n">
        <v>0</v>
      </c>
      <c r="AX273" s="107" t="n">
        <v>0</v>
      </c>
      <c r="AY273" s="107" t="n">
        <v>242.4</v>
      </c>
      <c r="AZ273" s="107" t="n">
        <v>357079</v>
      </c>
      <c r="BA273" s="107" t="n">
        <v>0</v>
      </c>
      <c r="BB273" s="107" t="n">
        <v>0</v>
      </c>
      <c r="BC273" s="107" t="n">
        <v>0</v>
      </c>
      <c r="BD273" s="107" t="n">
        <v>0</v>
      </c>
      <c r="BE273" s="107" t="n">
        <v>9196.53</v>
      </c>
      <c r="BF273" s="107" t="n">
        <v>12492566</v>
      </c>
      <c r="BG273" s="107" t="n">
        <v>987.82</v>
      </c>
      <c r="BH273" s="107" t="n">
        <v>1341854</v>
      </c>
      <c r="BI273" s="107" t="n">
        <v>4064784.6</v>
      </c>
      <c r="BJ273" s="107" t="n">
        <v>5987834195</v>
      </c>
      <c r="BK273" s="107" t="n">
        <v>0</v>
      </c>
      <c r="BL273" s="107" t="n">
        <v>0</v>
      </c>
      <c r="BM273" s="107" t="n">
        <v>0</v>
      </c>
      <c r="BN273" s="107" t="n">
        <v>0</v>
      </c>
      <c r="BO273" s="2"/>
      <c r="BP273" s="2"/>
      <c r="BQ273" s="107" t="s">
        <v>107</v>
      </c>
      <c r="BR273" s="107" t="n">
        <v>-466230794</v>
      </c>
      <c r="BS273" s="107" t="n">
        <v>-27803</v>
      </c>
      <c r="BT273" s="107" t="n">
        <v>0</v>
      </c>
      <c r="BU273" s="107" t="n">
        <v>0</v>
      </c>
      <c r="BV273" s="107" t="n">
        <v>0</v>
      </c>
      <c r="BW273" s="107" t="n">
        <v>9196.53</v>
      </c>
      <c r="BX273" s="107" t="n">
        <v>12492566</v>
      </c>
      <c r="BY273" s="107" t="n">
        <v>1230.22</v>
      </c>
      <c r="BZ273" s="107" t="n">
        <v>1671130</v>
      </c>
      <c r="CA273" s="107" t="n">
        <v>1473.1</v>
      </c>
      <c r="CB273" s="2"/>
      <c r="CC273" s="107" t="n">
        <v>0</v>
      </c>
      <c r="CD273" s="107" t="n">
        <v>96.59</v>
      </c>
      <c r="CE273" s="107" t="n">
        <v>96.6</v>
      </c>
      <c r="CF273" s="107" t="n">
        <v>96.66</v>
      </c>
      <c r="CG273" s="107" t="n">
        <v>0</v>
      </c>
      <c r="CH273" s="107" t="n">
        <v>2.2316</v>
      </c>
      <c r="CI273" s="107" t="n">
        <v>102.04</v>
      </c>
      <c r="CJ273" s="107" t="n">
        <v>102.11</v>
      </c>
      <c r="CK273" s="107" t="n">
        <v>102.01</v>
      </c>
      <c r="CL273" s="107" t="n">
        <v>0</v>
      </c>
    </row>
    <row r="274" customFormat="false" ht="15" hidden="false" customHeight="false" outlineLevel="0" collapsed="false">
      <c r="A274" s="107" t="s">
        <v>697</v>
      </c>
      <c r="B274" s="107" t="n">
        <v>96.4898</v>
      </c>
      <c r="C274" s="107" t="n">
        <v>5.8054</v>
      </c>
      <c r="D274" s="107" t="n">
        <v>2.2333</v>
      </c>
      <c r="E274" s="107" t="n">
        <v>-1077.4533517</v>
      </c>
      <c r="F274" s="108" t="s">
        <v>358</v>
      </c>
      <c r="G274" s="107" t="n">
        <v>2.2333</v>
      </c>
      <c r="H274" s="107" t="n">
        <v>-1077.4533517</v>
      </c>
      <c r="I274" s="109" t="n">
        <v>47188</v>
      </c>
      <c r="J274" s="107" t="n">
        <v>3</v>
      </c>
      <c r="K274" s="107" t="s">
        <v>359</v>
      </c>
      <c r="L274" s="107" t="s">
        <v>298</v>
      </c>
      <c r="M274" s="107" t="n">
        <v>11166500</v>
      </c>
      <c r="N274" s="107" t="n">
        <v>99.142</v>
      </c>
      <c r="O274" s="107" t="n">
        <v>4824490</v>
      </c>
      <c r="P274" s="107" t="s">
        <v>504</v>
      </c>
      <c r="Q274" s="107" t="s">
        <v>107</v>
      </c>
      <c r="R274" s="107" t="n">
        <v>-0.101420907491433</v>
      </c>
      <c r="S274" s="107" t="n">
        <v>-0.026751528111194</v>
      </c>
      <c r="T274" s="107" t="n">
        <v>-1108.7160469</v>
      </c>
      <c r="U274" s="107" t="n">
        <v>21069</v>
      </c>
      <c r="V274" s="108" t="s">
        <v>362</v>
      </c>
      <c r="W274" s="107" t="n">
        <v>34578</v>
      </c>
      <c r="X274" s="108" t="s">
        <v>372</v>
      </c>
      <c r="Y274" s="107" t="s">
        <v>697</v>
      </c>
      <c r="Z274" s="107" t="s">
        <v>698</v>
      </c>
      <c r="AA274" s="109" t="n">
        <v>46132</v>
      </c>
      <c r="AB274" s="107" t="n">
        <v>260420000002</v>
      </c>
      <c r="AC274" s="109" t="n">
        <v>46092</v>
      </c>
      <c r="AD274" s="109" t="n">
        <v>47188</v>
      </c>
      <c r="AE274" s="107" t="n">
        <v>4.25</v>
      </c>
      <c r="AF274" s="107" t="n">
        <v>2.2958</v>
      </c>
      <c r="AG274" s="107" t="n">
        <v>893</v>
      </c>
      <c r="AH274" s="107" t="n">
        <v>3100000</v>
      </c>
      <c r="AI274" s="107" t="n">
        <v>4.5795</v>
      </c>
      <c r="AJ274" s="107" t="n">
        <v>99.113</v>
      </c>
      <c r="AK274" s="107" t="n">
        <v>4.626</v>
      </c>
      <c r="AL274" s="107" t="n">
        <v>99.361398</v>
      </c>
      <c r="AM274" s="107" t="n">
        <v>5.7501</v>
      </c>
      <c r="AN274" s="107" t="n">
        <v>96.6151</v>
      </c>
      <c r="AO274" s="107" t="n">
        <v>1358.4</v>
      </c>
      <c r="AP274" s="107" t="n">
        <v>1</v>
      </c>
      <c r="AQ274" s="107" t="n">
        <v>2995068.1</v>
      </c>
      <c r="AR274" s="107" t="n">
        <v>4068500507</v>
      </c>
      <c r="AS274" s="107" t="n">
        <v>3072319.72</v>
      </c>
      <c r="AT274" s="107" t="n">
        <v>4525834180</v>
      </c>
      <c r="AU274" s="107" t="n">
        <v>-77251.62</v>
      </c>
      <c r="AV274" s="107" t="n">
        <v>-104938601</v>
      </c>
      <c r="AW274" s="107" t="n">
        <v>0</v>
      </c>
      <c r="AX274" s="107" t="n">
        <v>0</v>
      </c>
      <c r="AY274" s="107" t="n">
        <v>183.28</v>
      </c>
      <c r="AZ274" s="107" t="n">
        <v>269989</v>
      </c>
      <c r="BA274" s="107" t="n">
        <v>0</v>
      </c>
      <c r="BB274" s="107" t="n">
        <v>0</v>
      </c>
      <c r="BC274" s="107" t="n">
        <v>0</v>
      </c>
      <c r="BD274" s="107" t="n">
        <v>0</v>
      </c>
      <c r="BE274" s="107" t="n">
        <v>6953.47</v>
      </c>
      <c r="BF274" s="107" t="n">
        <v>9445593</v>
      </c>
      <c r="BG274" s="107" t="n">
        <v>746.88</v>
      </c>
      <c r="BH274" s="107" t="n">
        <v>1014561</v>
      </c>
      <c r="BI274" s="107" t="n">
        <v>3072319.72</v>
      </c>
      <c r="BJ274" s="107" t="n">
        <v>4525834180</v>
      </c>
      <c r="BK274" s="107" t="n">
        <v>0</v>
      </c>
      <c r="BL274" s="107" t="n">
        <v>0</v>
      </c>
      <c r="BM274" s="107" t="n">
        <v>0</v>
      </c>
      <c r="BN274" s="107" t="n">
        <v>0</v>
      </c>
      <c r="BO274" s="2"/>
      <c r="BP274" s="2"/>
      <c r="BQ274" s="107" t="s">
        <v>107</v>
      </c>
      <c r="BR274" s="107" t="n">
        <v>-352395072</v>
      </c>
      <c r="BS274" s="107" t="n">
        <v>-21021</v>
      </c>
      <c r="BT274" s="107" t="n">
        <v>0</v>
      </c>
      <c r="BU274" s="107" t="n">
        <v>0</v>
      </c>
      <c r="BV274" s="107" t="n">
        <v>0</v>
      </c>
      <c r="BW274" s="107" t="n">
        <v>6953.47</v>
      </c>
      <c r="BX274" s="107" t="n">
        <v>9445593</v>
      </c>
      <c r="BY274" s="107" t="n">
        <v>930.16</v>
      </c>
      <c r="BZ274" s="107" t="n">
        <v>1263529</v>
      </c>
      <c r="CA274" s="107" t="n">
        <v>1473.1</v>
      </c>
      <c r="CB274" s="2"/>
      <c r="CC274" s="107" t="n">
        <v>0</v>
      </c>
      <c r="CD274" s="107" t="n">
        <v>96.59</v>
      </c>
      <c r="CE274" s="107" t="n">
        <v>96.6</v>
      </c>
      <c r="CF274" s="107" t="n">
        <v>96.66</v>
      </c>
      <c r="CG274" s="107" t="n">
        <v>0</v>
      </c>
      <c r="CH274" s="107" t="n">
        <v>2.2316</v>
      </c>
      <c r="CI274" s="107" t="n">
        <v>99.75</v>
      </c>
      <c r="CJ274" s="107" t="n">
        <v>98.5</v>
      </c>
      <c r="CK274" s="107" t="n">
        <v>100.26</v>
      </c>
      <c r="CL274" s="107" t="n">
        <v>0</v>
      </c>
    </row>
    <row r="275" customFormat="false" ht="15" hidden="false" customHeight="false" outlineLevel="0" collapsed="false">
      <c r="A275" s="107" t="s">
        <v>697</v>
      </c>
      <c r="B275" s="107" t="n">
        <v>96.4898</v>
      </c>
      <c r="C275" s="107" t="n">
        <v>5.8054</v>
      </c>
      <c r="D275" s="107" t="n">
        <v>2.2333</v>
      </c>
      <c r="E275" s="107" t="n">
        <v>-430.98134068</v>
      </c>
      <c r="F275" s="108" t="s">
        <v>358</v>
      </c>
      <c r="G275" s="107" t="n">
        <v>2.2333</v>
      </c>
      <c r="H275" s="107" t="n">
        <v>-430.98134068</v>
      </c>
      <c r="I275" s="109" t="n">
        <v>47188</v>
      </c>
      <c r="J275" s="107" t="n">
        <v>3</v>
      </c>
      <c r="K275" s="107" t="s">
        <v>359</v>
      </c>
      <c r="L275" s="107" t="s">
        <v>298</v>
      </c>
      <c r="M275" s="107" t="n">
        <v>4466600</v>
      </c>
      <c r="N275" s="107" t="n">
        <v>99.066</v>
      </c>
      <c r="O275" s="107" t="n">
        <v>1929796</v>
      </c>
      <c r="P275" s="107" t="s">
        <v>504</v>
      </c>
      <c r="Q275" s="107" t="s">
        <v>107</v>
      </c>
      <c r="R275" s="107" t="n">
        <v>-0.100424833599725</v>
      </c>
      <c r="S275" s="107" t="n">
        <v>-0.026004885631801</v>
      </c>
      <c r="T275" s="107" t="n">
        <v>-443.48641876</v>
      </c>
      <c r="U275" s="107" t="n">
        <v>21069</v>
      </c>
      <c r="V275" s="108" t="s">
        <v>362</v>
      </c>
      <c r="W275" s="107" t="n">
        <v>34578</v>
      </c>
      <c r="X275" s="108" t="s">
        <v>372</v>
      </c>
      <c r="Y275" s="107" t="s">
        <v>697</v>
      </c>
      <c r="Z275" s="107" t="s">
        <v>698</v>
      </c>
      <c r="AA275" s="109" t="n">
        <v>46132</v>
      </c>
      <c r="AB275" s="107" t="n">
        <v>260420000003</v>
      </c>
      <c r="AC275" s="109" t="n">
        <v>46092</v>
      </c>
      <c r="AD275" s="109" t="n">
        <v>47188</v>
      </c>
      <c r="AE275" s="107" t="n">
        <v>4.25</v>
      </c>
      <c r="AF275" s="107" t="n">
        <v>2.2958</v>
      </c>
      <c r="AG275" s="107" t="n">
        <v>893</v>
      </c>
      <c r="AH275" s="107" t="n">
        <v>3000000</v>
      </c>
      <c r="AI275" s="107" t="n">
        <v>4.576475</v>
      </c>
      <c r="AJ275" s="107" t="n">
        <v>99.121</v>
      </c>
      <c r="AK275" s="107" t="n">
        <v>4.622487</v>
      </c>
      <c r="AL275" s="107" t="n">
        <v>99.369398</v>
      </c>
      <c r="AM275" s="107" t="n">
        <v>5.7501</v>
      </c>
      <c r="AN275" s="107" t="n">
        <v>96.6151</v>
      </c>
      <c r="AO275" s="107" t="n">
        <v>1358.4</v>
      </c>
      <c r="AP275" s="107" t="n">
        <v>1</v>
      </c>
      <c r="AQ275" s="107" t="n">
        <v>2898453</v>
      </c>
      <c r="AR275" s="107" t="n">
        <v>3937258555</v>
      </c>
      <c r="AS275" s="107" t="n">
        <v>2973452.63</v>
      </c>
      <c r="AT275" s="107" t="n">
        <v>4380193070</v>
      </c>
      <c r="AU275" s="107" t="n">
        <v>-74999.63</v>
      </c>
      <c r="AV275" s="107" t="n">
        <v>-101879498</v>
      </c>
      <c r="AW275" s="107" t="n">
        <v>0</v>
      </c>
      <c r="AX275" s="107" t="n">
        <v>0</v>
      </c>
      <c r="AY275" s="107" t="n">
        <v>177.37</v>
      </c>
      <c r="AZ275" s="107" t="n">
        <v>261283</v>
      </c>
      <c r="BA275" s="107" t="n">
        <v>0</v>
      </c>
      <c r="BB275" s="107" t="n">
        <v>0</v>
      </c>
      <c r="BC275" s="107" t="n">
        <v>0</v>
      </c>
      <c r="BD275" s="107" t="n">
        <v>0</v>
      </c>
      <c r="BE275" s="107" t="n">
        <v>6729.17</v>
      </c>
      <c r="BF275" s="107" t="n">
        <v>9140904</v>
      </c>
      <c r="BG275" s="107" t="n">
        <v>722.79</v>
      </c>
      <c r="BH275" s="107" t="n">
        <v>981838</v>
      </c>
      <c r="BI275" s="107" t="n">
        <v>2973452.63</v>
      </c>
      <c r="BJ275" s="107" t="n">
        <v>4380193070</v>
      </c>
      <c r="BK275" s="107" t="n">
        <v>0</v>
      </c>
      <c r="BL275" s="107" t="n">
        <v>0</v>
      </c>
      <c r="BM275" s="107" t="n">
        <v>0</v>
      </c>
      <c r="BN275" s="107" t="n">
        <v>0</v>
      </c>
      <c r="BO275" s="2"/>
      <c r="BP275" s="2"/>
      <c r="BQ275" s="107" t="s">
        <v>107</v>
      </c>
      <c r="BR275" s="107" t="n">
        <v>-341055017</v>
      </c>
      <c r="BS275" s="107" t="n">
        <v>-20344</v>
      </c>
      <c r="BT275" s="107" t="n">
        <v>0</v>
      </c>
      <c r="BU275" s="107" t="n">
        <v>0</v>
      </c>
      <c r="BV275" s="107" t="n">
        <v>0</v>
      </c>
      <c r="BW275" s="107" t="n">
        <v>6729.17</v>
      </c>
      <c r="BX275" s="107" t="n">
        <v>9140904</v>
      </c>
      <c r="BY275" s="107" t="n">
        <v>900.16</v>
      </c>
      <c r="BZ275" s="107" t="n">
        <v>1222777</v>
      </c>
      <c r="CA275" s="107" t="n">
        <v>1473.1</v>
      </c>
      <c r="CB275" s="2"/>
      <c r="CC275" s="107" t="n">
        <v>0</v>
      </c>
      <c r="CD275" s="107" t="n">
        <v>96.59</v>
      </c>
      <c r="CE275" s="107" t="n">
        <v>96.6</v>
      </c>
      <c r="CF275" s="107" t="n">
        <v>96.66</v>
      </c>
      <c r="CG275" s="107" t="n">
        <v>0</v>
      </c>
      <c r="CH275" s="107" t="n">
        <v>2.2316</v>
      </c>
      <c r="CI275" s="107" t="n">
        <v>100.18</v>
      </c>
      <c r="CJ275" s="107" t="n">
        <v>99.98</v>
      </c>
      <c r="CK275" s="107" t="n">
        <v>100.08</v>
      </c>
      <c r="CL275" s="107" t="n">
        <v>0</v>
      </c>
    </row>
    <row r="276" customFormat="false" ht="15" hidden="false" customHeight="false" outlineLevel="0" collapsed="false">
      <c r="A276" s="107" t="s">
        <v>697</v>
      </c>
      <c r="B276" s="107" t="n">
        <v>96.4898</v>
      </c>
      <c r="C276" s="107" t="n">
        <v>5.8054</v>
      </c>
      <c r="D276" s="107" t="n">
        <v>2.2333</v>
      </c>
      <c r="E276" s="107" t="n">
        <v>-215.49067034</v>
      </c>
      <c r="F276" s="108" t="s">
        <v>358</v>
      </c>
      <c r="G276" s="107" t="n">
        <v>2.2333</v>
      </c>
      <c r="H276" s="107" t="n">
        <v>-215.49067034</v>
      </c>
      <c r="I276" s="109" t="n">
        <v>47188</v>
      </c>
      <c r="J276" s="107" t="n">
        <v>3</v>
      </c>
      <c r="K276" s="107" t="s">
        <v>359</v>
      </c>
      <c r="L276" s="107" t="s">
        <v>298</v>
      </c>
      <c r="M276" s="107" t="n">
        <v>2233300</v>
      </c>
      <c r="N276" s="107" t="n">
        <v>99.18</v>
      </c>
      <c r="O276" s="107" t="n">
        <v>964898</v>
      </c>
      <c r="P276" s="107" t="s">
        <v>504</v>
      </c>
      <c r="Q276" s="107" t="s">
        <v>107</v>
      </c>
      <c r="R276" s="107" t="n">
        <v>-0.105950262761565</v>
      </c>
      <c r="S276" s="107" t="n">
        <v>-0.0271244202460174</v>
      </c>
      <c r="T276" s="107" t="n">
        <v>-221.74320938</v>
      </c>
      <c r="U276" s="107" t="n">
        <v>21069</v>
      </c>
      <c r="V276" s="108" t="s">
        <v>362</v>
      </c>
      <c r="W276" s="107" t="n">
        <v>34578</v>
      </c>
      <c r="X276" s="108" t="s">
        <v>372</v>
      </c>
      <c r="Y276" s="107" t="s">
        <v>697</v>
      </c>
      <c r="Z276" s="107" t="s">
        <v>698</v>
      </c>
      <c r="AA276" s="109" t="n">
        <v>46132</v>
      </c>
      <c r="AB276" s="107" t="n">
        <v>260420000004</v>
      </c>
      <c r="AC276" s="109" t="n">
        <v>46092</v>
      </c>
      <c r="AD276" s="109" t="n">
        <v>47188</v>
      </c>
      <c r="AE276" s="107" t="n">
        <v>4.25</v>
      </c>
      <c r="AF276" s="107" t="n">
        <v>2.2958</v>
      </c>
      <c r="AG276" s="107" t="n">
        <v>893</v>
      </c>
      <c r="AH276" s="107" t="n">
        <v>5000000</v>
      </c>
      <c r="AI276" s="107" t="n">
        <v>4.5686</v>
      </c>
      <c r="AJ276" s="107" t="n">
        <v>99.142</v>
      </c>
      <c r="AK276" s="107" t="n">
        <v>4.613267</v>
      </c>
      <c r="AL276" s="107" t="n">
        <v>99.390398</v>
      </c>
      <c r="AM276" s="107" t="n">
        <v>5.7501</v>
      </c>
      <c r="AN276" s="107" t="n">
        <v>96.6151</v>
      </c>
      <c r="AO276" s="107" t="n">
        <v>1358.4</v>
      </c>
      <c r="AP276" s="107" t="n">
        <v>1</v>
      </c>
      <c r="AQ276" s="107" t="n">
        <v>4830755</v>
      </c>
      <c r="AR276" s="107" t="n">
        <v>6562097592</v>
      </c>
      <c r="AS276" s="107" t="n">
        <v>4956804.38</v>
      </c>
      <c r="AT276" s="107" t="n">
        <v>7301868533</v>
      </c>
      <c r="AU276" s="107" t="n">
        <v>-126049.38</v>
      </c>
      <c r="AV276" s="107" t="n">
        <v>-171225478</v>
      </c>
      <c r="AW276" s="107" t="n">
        <v>0</v>
      </c>
      <c r="AX276" s="107" t="n">
        <v>0</v>
      </c>
      <c r="AY276" s="107" t="n">
        <v>295.62</v>
      </c>
      <c r="AZ276" s="107" t="n">
        <v>435477</v>
      </c>
      <c r="BA276" s="107" t="n">
        <v>0</v>
      </c>
      <c r="BB276" s="107" t="n">
        <v>0</v>
      </c>
      <c r="BC276" s="107" t="n">
        <v>0</v>
      </c>
      <c r="BD276" s="107" t="n">
        <v>0</v>
      </c>
      <c r="BE276" s="107" t="n">
        <v>11215.28</v>
      </c>
      <c r="BF276" s="107" t="n">
        <v>15234836</v>
      </c>
      <c r="BG276" s="107" t="n">
        <v>1204.65</v>
      </c>
      <c r="BH276" s="107" t="n">
        <v>1636396</v>
      </c>
      <c r="BI276" s="107" t="n">
        <v>4956804.38</v>
      </c>
      <c r="BJ276" s="107" t="n">
        <v>7301868533</v>
      </c>
      <c r="BK276" s="107" t="n">
        <v>0</v>
      </c>
      <c r="BL276" s="107" t="n">
        <v>0</v>
      </c>
      <c r="BM276" s="107" t="n">
        <v>0</v>
      </c>
      <c r="BN276" s="107" t="n">
        <v>0</v>
      </c>
      <c r="BO276" s="2"/>
      <c r="BP276" s="2"/>
      <c r="BQ276" s="107" t="s">
        <v>107</v>
      </c>
      <c r="BR276" s="107" t="n">
        <v>-568545463</v>
      </c>
      <c r="BS276" s="107" t="n">
        <v>-33907</v>
      </c>
      <c r="BT276" s="107" t="n">
        <v>0</v>
      </c>
      <c r="BU276" s="107" t="n">
        <v>0</v>
      </c>
      <c r="BV276" s="107" t="n">
        <v>0</v>
      </c>
      <c r="BW276" s="107" t="n">
        <v>11215.28</v>
      </c>
      <c r="BX276" s="107" t="n">
        <v>15234836</v>
      </c>
      <c r="BY276" s="107" t="n">
        <v>1500.27</v>
      </c>
      <c r="BZ276" s="107" t="n">
        <v>2037966</v>
      </c>
      <c r="CA276" s="107" t="n">
        <v>1473.1</v>
      </c>
      <c r="CB276" s="2"/>
      <c r="CC276" s="107" t="n">
        <v>0</v>
      </c>
      <c r="CD276" s="107" t="n">
        <v>96.59</v>
      </c>
      <c r="CE276" s="107" t="n">
        <v>96.6</v>
      </c>
      <c r="CF276" s="107" t="n">
        <v>96.66</v>
      </c>
      <c r="CG276" s="107" t="n">
        <v>0</v>
      </c>
      <c r="CH276" s="107" t="n">
        <v>2.2316</v>
      </c>
      <c r="CI276" s="107" t="n">
        <v>99.97</v>
      </c>
      <c r="CJ276" s="107" t="n">
        <v>100.19</v>
      </c>
      <c r="CK276" s="107" t="n">
        <v>100.09</v>
      </c>
      <c r="CL276" s="107" t="n">
        <v>0</v>
      </c>
    </row>
    <row r="277" customFormat="false" ht="15" hidden="false" customHeight="false" outlineLevel="0" collapsed="false">
      <c r="A277" s="107" t="s">
        <v>697</v>
      </c>
      <c r="B277" s="107" t="n">
        <v>96.4898</v>
      </c>
      <c r="C277" s="107" t="n">
        <v>5.8054</v>
      </c>
      <c r="D277" s="107" t="n">
        <v>2.2333</v>
      </c>
      <c r="E277" s="107" t="n">
        <v>-861.96268136</v>
      </c>
      <c r="F277" s="108" t="s">
        <v>358</v>
      </c>
      <c r="G277" s="107" t="n">
        <v>2.2333</v>
      </c>
      <c r="H277" s="107" t="n">
        <v>-861.96268136</v>
      </c>
      <c r="I277" s="109" t="n">
        <v>47188</v>
      </c>
      <c r="J277" s="107" t="n">
        <v>3</v>
      </c>
      <c r="K277" s="107" t="s">
        <v>359</v>
      </c>
      <c r="L277" s="107" t="s">
        <v>298</v>
      </c>
      <c r="M277" s="107" t="n">
        <v>8933200</v>
      </c>
      <c r="N277" s="107" t="n">
        <v>99.213</v>
      </c>
      <c r="O277" s="107" t="n">
        <v>3859592</v>
      </c>
      <c r="P277" s="107" t="s">
        <v>504</v>
      </c>
      <c r="Q277" s="107" t="s">
        <v>107</v>
      </c>
      <c r="R277" s="107" t="n">
        <v>-0.103581298363774</v>
      </c>
      <c r="S277" s="107" t="n">
        <v>-0.027448015885015</v>
      </c>
      <c r="T277" s="107" t="n">
        <v>-886.97283752</v>
      </c>
      <c r="U277" s="107" t="n">
        <v>21069</v>
      </c>
      <c r="V277" s="108" t="s">
        <v>362</v>
      </c>
      <c r="W277" s="107" t="n">
        <v>34578</v>
      </c>
      <c r="X277" s="108" t="s">
        <v>372</v>
      </c>
      <c r="Y277" s="107" t="s">
        <v>697</v>
      </c>
      <c r="Z277" s="107" t="s">
        <v>698</v>
      </c>
      <c r="AA277" s="109" t="n">
        <v>46133</v>
      </c>
      <c r="AB277" s="107" t="n">
        <v>260421000001</v>
      </c>
      <c r="AC277" s="109" t="n">
        <v>46092</v>
      </c>
      <c r="AD277" s="109" t="n">
        <v>47188</v>
      </c>
      <c r="AE277" s="107" t="n">
        <v>4.25</v>
      </c>
      <c r="AF277" s="107" t="n">
        <v>2.2958</v>
      </c>
      <c r="AG277" s="107" t="n">
        <v>893</v>
      </c>
      <c r="AH277" s="107" t="n">
        <v>2000000</v>
      </c>
      <c r="AI277" s="107" t="n">
        <v>4.597393</v>
      </c>
      <c r="AJ277" s="107" t="n">
        <v>99.066</v>
      </c>
      <c r="AK277" s="107" t="n">
        <v>4.646711</v>
      </c>
      <c r="AL277" s="107" t="n">
        <v>99.31425</v>
      </c>
      <c r="AM277" s="107" t="n">
        <v>5.7501</v>
      </c>
      <c r="AN277" s="107" t="n">
        <v>96.6151</v>
      </c>
      <c r="AO277" s="107" t="n">
        <v>1358.4</v>
      </c>
      <c r="AP277" s="107" t="n">
        <v>1</v>
      </c>
      <c r="AQ277" s="107" t="n">
        <v>1932302</v>
      </c>
      <c r="AR277" s="107" t="n">
        <v>2624839037</v>
      </c>
      <c r="AS277" s="107" t="n">
        <v>1981198.8</v>
      </c>
      <c r="AT277" s="107" t="n">
        <v>2917513353</v>
      </c>
      <c r="AU277" s="107" t="n">
        <v>-48896.8</v>
      </c>
      <c r="AV277" s="107" t="n">
        <v>-66421413</v>
      </c>
      <c r="AW277" s="107" t="n">
        <v>0</v>
      </c>
      <c r="AX277" s="107" t="n">
        <v>0</v>
      </c>
      <c r="AY277" s="107" t="n">
        <v>121.2</v>
      </c>
      <c r="AZ277" s="107" t="n">
        <v>178479</v>
      </c>
      <c r="BA277" s="107" t="n">
        <v>0</v>
      </c>
      <c r="BB277" s="107" t="n">
        <v>0</v>
      </c>
      <c r="BC277" s="107" t="n">
        <v>0</v>
      </c>
      <c r="BD277" s="107" t="n">
        <v>0</v>
      </c>
      <c r="BE277" s="107" t="n">
        <v>4486.11</v>
      </c>
      <c r="BF277" s="107" t="n">
        <v>6093931</v>
      </c>
      <c r="BG277" s="107" t="n">
        <v>478.9</v>
      </c>
      <c r="BH277" s="107" t="n">
        <v>650537</v>
      </c>
      <c r="BI277" s="107" t="n">
        <v>1981198.8</v>
      </c>
      <c r="BJ277" s="107" t="n">
        <v>2917513353</v>
      </c>
      <c r="BK277" s="107" t="n">
        <v>0</v>
      </c>
      <c r="BL277" s="107" t="n">
        <v>0</v>
      </c>
      <c r="BM277" s="107" t="n">
        <v>0</v>
      </c>
      <c r="BN277" s="107" t="n">
        <v>0</v>
      </c>
      <c r="BO277" s="2"/>
      <c r="BP277" s="2"/>
      <c r="BQ277" s="107" t="s">
        <v>107</v>
      </c>
      <c r="BR277" s="107" t="n">
        <v>-226252903</v>
      </c>
      <c r="BS277" s="107" t="n">
        <v>-13841</v>
      </c>
      <c r="BT277" s="107" t="n">
        <v>0</v>
      </c>
      <c r="BU277" s="107" t="n">
        <v>0</v>
      </c>
      <c r="BV277" s="107" t="n">
        <v>0</v>
      </c>
      <c r="BW277" s="107" t="n">
        <v>4486.11</v>
      </c>
      <c r="BX277" s="107" t="n">
        <v>6093931</v>
      </c>
      <c r="BY277" s="107" t="n">
        <v>600.1</v>
      </c>
      <c r="BZ277" s="107" t="n">
        <v>815175</v>
      </c>
      <c r="CA277" s="107" t="n">
        <v>1472.6</v>
      </c>
      <c r="CB277" s="2"/>
      <c r="CC277" s="107" t="n">
        <v>0</v>
      </c>
      <c r="CD277" s="107" t="n">
        <v>96.59</v>
      </c>
      <c r="CE277" s="107" t="n">
        <v>96.6</v>
      </c>
      <c r="CF277" s="107" t="n">
        <v>96.66</v>
      </c>
      <c r="CG277" s="107" t="n">
        <v>0</v>
      </c>
      <c r="CH277" s="107" t="n">
        <v>2.2316</v>
      </c>
      <c r="CI277" s="107" t="n">
        <v>96.42</v>
      </c>
      <c r="CJ277" s="107" t="n">
        <v>96.43</v>
      </c>
      <c r="CK277" s="107" t="n">
        <v>96.48</v>
      </c>
      <c r="CL277" s="107" t="n">
        <v>1000000</v>
      </c>
    </row>
    <row r="278" customFormat="false" ht="15" hidden="false" customHeight="false" outlineLevel="0" collapsed="false">
      <c r="A278" s="107" t="s">
        <v>697</v>
      </c>
      <c r="B278" s="107" t="n">
        <v>96.4898</v>
      </c>
      <c r="C278" s="107" t="n">
        <v>5.8054</v>
      </c>
      <c r="D278" s="107" t="n">
        <v>2.2333</v>
      </c>
      <c r="E278" s="107" t="n">
        <v>-366.334139578</v>
      </c>
      <c r="F278" s="108" t="s">
        <v>358</v>
      </c>
      <c r="G278" s="107" t="n">
        <v>2.2333</v>
      </c>
      <c r="H278" s="107" t="n">
        <v>-366.334139578</v>
      </c>
      <c r="I278" s="109" t="n">
        <v>47188</v>
      </c>
      <c r="J278" s="107" t="n">
        <v>3</v>
      </c>
      <c r="K278" s="107" t="s">
        <v>359</v>
      </c>
      <c r="L278" s="107" t="s">
        <v>298</v>
      </c>
      <c r="M278" s="107" t="n">
        <v>3796610</v>
      </c>
      <c r="N278" s="107" t="n">
        <v>98.14</v>
      </c>
      <c r="O278" s="107" t="n">
        <v>1640326.6</v>
      </c>
      <c r="P278" s="107" t="s">
        <v>504</v>
      </c>
      <c r="Q278" s="107" t="s">
        <v>107</v>
      </c>
      <c r="R278" s="107" t="n">
        <v>-0.128766499566677</v>
      </c>
      <c r="S278" s="107" t="n">
        <v>-0.0168147544324434</v>
      </c>
      <c r="T278" s="107" t="n">
        <v>-376.963455946</v>
      </c>
      <c r="U278" s="107" t="n">
        <v>21069</v>
      </c>
      <c r="V278" s="108" t="s">
        <v>362</v>
      </c>
      <c r="W278" s="107" t="n">
        <v>34578</v>
      </c>
      <c r="X278" s="108" t="s">
        <v>372</v>
      </c>
      <c r="Y278" s="107" t="s">
        <v>697</v>
      </c>
      <c r="Z278" s="107" t="s">
        <v>698</v>
      </c>
      <c r="AA278" s="109" t="n">
        <v>46134</v>
      </c>
      <c r="AB278" s="107" t="n">
        <v>260422000001</v>
      </c>
      <c r="AC278" s="109" t="n">
        <v>46092</v>
      </c>
      <c r="AD278" s="109" t="n">
        <v>47188</v>
      </c>
      <c r="AE278" s="107" t="n">
        <v>4.25</v>
      </c>
      <c r="AF278" s="107" t="n">
        <v>2.2958</v>
      </c>
      <c r="AG278" s="107" t="n">
        <v>893</v>
      </c>
      <c r="AH278" s="107" t="n">
        <v>1000000</v>
      </c>
      <c r="AI278" s="107" t="n">
        <v>4.554852</v>
      </c>
      <c r="AJ278" s="107" t="n">
        <v>99.18</v>
      </c>
      <c r="AK278" s="107" t="n">
        <v>4.59672</v>
      </c>
      <c r="AL278" s="107" t="n">
        <v>99.428103</v>
      </c>
      <c r="AM278" s="107" t="n">
        <v>5.7501</v>
      </c>
      <c r="AN278" s="107" t="n">
        <v>96.6151</v>
      </c>
      <c r="AO278" s="107" t="n">
        <v>1358.4</v>
      </c>
      <c r="AP278" s="107" t="n">
        <v>1</v>
      </c>
      <c r="AQ278" s="107" t="n">
        <v>966151</v>
      </c>
      <c r="AR278" s="107" t="n">
        <v>1312419518</v>
      </c>
      <c r="AS278" s="107" t="n">
        <v>991737.92</v>
      </c>
      <c r="AT278" s="107" t="n">
        <v>1467772122</v>
      </c>
      <c r="AU278" s="107" t="n">
        <v>-25586.92</v>
      </c>
      <c r="AV278" s="107" t="n">
        <v>-34757273</v>
      </c>
      <c r="AW278" s="107" t="n">
        <v>0</v>
      </c>
      <c r="AX278" s="107" t="n">
        <v>0</v>
      </c>
      <c r="AY278" s="107" t="n">
        <v>62.08</v>
      </c>
      <c r="AZ278" s="107" t="n">
        <v>91878</v>
      </c>
      <c r="BA278" s="107" t="n">
        <v>0</v>
      </c>
      <c r="BB278" s="107" t="n">
        <v>0</v>
      </c>
      <c r="BC278" s="107" t="n">
        <v>0</v>
      </c>
      <c r="BD278" s="107" t="n">
        <v>0</v>
      </c>
      <c r="BE278" s="107" t="n">
        <v>2243.06</v>
      </c>
      <c r="BF278" s="107" t="n">
        <v>3046972</v>
      </c>
      <c r="BG278" s="107" t="n">
        <v>237.97</v>
      </c>
      <c r="BH278" s="107" t="n">
        <v>323258</v>
      </c>
      <c r="BI278" s="107" t="n">
        <v>991737.92</v>
      </c>
      <c r="BJ278" s="107" t="n">
        <v>1467772122</v>
      </c>
      <c r="BK278" s="107" t="n">
        <v>0</v>
      </c>
      <c r="BL278" s="107" t="n">
        <v>0</v>
      </c>
      <c r="BM278" s="107" t="n">
        <v>0</v>
      </c>
      <c r="BN278" s="107" t="n">
        <v>0</v>
      </c>
      <c r="BO278" s="2"/>
      <c r="BP278" s="2"/>
      <c r="BQ278" s="107" t="s">
        <v>107</v>
      </c>
      <c r="BR278" s="107" t="n">
        <v>-120595331</v>
      </c>
      <c r="BS278" s="107" t="n">
        <v>-7549</v>
      </c>
      <c r="BT278" s="107" t="n">
        <v>0</v>
      </c>
      <c r="BU278" s="107" t="n">
        <v>0</v>
      </c>
      <c r="BV278" s="107" t="n">
        <v>0</v>
      </c>
      <c r="BW278" s="107" t="n">
        <v>2243.06</v>
      </c>
      <c r="BX278" s="107" t="n">
        <v>3046972</v>
      </c>
      <c r="BY278" s="107" t="n">
        <v>300.05</v>
      </c>
      <c r="BZ278" s="107" t="n">
        <v>407587</v>
      </c>
      <c r="CA278" s="107" t="n">
        <v>1480</v>
      </c>
      <c r="CB278" s="2"/>
      <c r="CC278" s="107" t="n">
        <v>0</v>
      </c>
      <c r="CD278" s="107" t="n">
        <v>96.59</v>
      </c>
      <c r="CE278" s="107" t="n">
        <v>96.6</v>
      </c>
      <c r="CF278" s="107" t="n">
        <v>96.66</v>
      </c>
      <c r="CG278" s="107" t="n">
        <v>0</v>
      </c>
      <c r="CH278" s="107" t="n">
        <v>2.2316</v>
      </c>
      <c r="CI278" s="107" t="n">
        <v>96.42</v>
      </c>
      <c r="CJ278" s="107" t="n">
        <v>96.43</v>
      </c>
      <c r="CK278" s="107" t="n">
        <v>96.48</v>
      </c>
      <c r="CL278" s="107" t="n">
        <v>5000000</v>
      </c>
    </row>
    <row r="279" customFormat="false" ht="15" hidden="false" customHeight="false" outlineLevel="0" collapsed="false">
      <c r="A279" s="107" t="s">
        <v>697</v>
      </c>
      <c r="B279" s="107" t="n">
        <v>96.4898</v>
      </c>
      <c r="C279" s="107" t="n">
        <v>5.8054</v>
      </c>
      <c r="D279" s="107" t="n">
        <v>2.2333</v>
      </c>
      <c r="E279" s="107" t="n">
        <v>-1077.4533517</v>
      </c>
      <c r="F279" s="108" t="s">
        <v>358</v>
      </c>
      <c r="G279" s="107" t="n">
        <v>2.2333</v>
      </c>
      <c r="H279" s="107" t="n">
        <v>-1077.4533517</v>
      </c>
      <c r="I279" s="109" t="n">
        <v>47188</v>
      </c>
      <c r="J279" s="107" t="n">
        <v>3</v>
      </c>
      <c r="K279" s="107" t="s">
        <v>359</v>
      </c>
      <c r="L279" s="107" t="s">
        <v>298</v>
      </c>
      <c r="M279" s="107" t="n">
        <v>11166500</v>
      </c>
      <c r="N279" s="107" t="n">
        <v>98.078</v>
      </c>
      <c r="O279" s="107" t="n">
        <v>4824490</v>
      </c>
      <c r="P279" s="107" t="s">
        <v>504</v>
      </c>
      <c r="Q279" s="107" t="s">
        <v>107</v>
      </c>
      <c r="R279" s="107" t="n">
        <v>-0.0542050129013825</v>
      </c>
      <c r="S279" s="107" t="n">
        <v>-0.0161932339566467</v>
      </c>
      <c r="T279" s="107" t="n">
        <v>-1108.7160469</v>
      </c>
      <c r="U279" s="107" t="n">
        <v>21069</v>
      </c>
      <c r="V279" s="108" t="s">
        <v>362</v>
      </c>
      <c r="W279" s="107" t="n">
        <v>34578</v>
      </c>
      <c r="X279" s="108" t="s">
        <v>372</v>
      </c>
      <c r="Y279" s="107" t="s">
        <v>697</v>
      </c>
      <c r="Z279" s="107" t="s">
        <v>698</v>
      </c>
      <c r="AA279" s="109" t="n">
        <v>46135</v>
      </c>
      <c r="AB279" s="107" t="n">
        <v>260423000001</v>
      </c>
      <c r="AC279" s="109" t="n">
        <v>46092</v>
      </c>
      <c r="AD279" s="109" t="n">
        <v>47188</v>
      </c>
      <c r="AE279" s="107" t="n">
        <v>4.25</v>
      </c>
      <c r="AF279" s="107" t="n">
        <v>2.2958</v>
      </c>
      <c r="AG279" s="107" t="n">
        <v>893</v>
      </c>
      <c r="AH279" s="107" t="n">
        <v>4000000</v>
      </c>
      <c r="AI279" s="107" t="n">
        <v>4.542704</v>
      </c>
      <c r="AJ279" s="107" t="n">
        <v>99.213</v>
      </c>
      <c r="AK279" s="107" t="n">
        <v>4.582308</v>
      </c>
      <c r="AL279" s="107" t="n">
        <v>99.460955</v>
      </c>
      <c r="AM279" s="107" t="n">
        <v>5.7501</v>
      </c>
      <c r="AN279" s="107" t="n">
        <v>96.6151</v>
      </c>
      <c r="AO279" s="107" t="n">
        <v>1358.4</v>
      </c>
      <c r="AP279" s="107" t="n">
        <v>1</v>
      </c>
      <c r="AQ279" s="107" t="n">
        <v>3864604</v>
      </c>
      <c r="AR279" s="107" t="n">
        <v>5249678074</v>
      </c>
      <c r="AS279" s="107" t="n">
        <v>3968265.77</v>
      </c>
      <c r="AT279" s="107" t="n">
        <v>5855572971</v>
      </c>
      <c r="AU279" s="107" t="n">
        <v>-103661.77</v>
      </c>
      <c r="AV279" s="107" t="n">
        <v>-140814148</v>
      </c>
      <c r="AW279" s="107" t="n">
        <v>0</v>
      </c>
      <c r="AX279" s="107" t="n">
        <v>0</v>
      </c>
      <c r="AY279" s="107" t="n">
        <v>254.23</v>
      </c>
      <c r="AZ279" s="107" t="n">
        <v>375141</v>
      </c>
      <c r="BA279" s="107" t="n">
        <v>0</v>
      </c>
      <c r="BB279" s="107" t="n">
        <v>0</v>
      </c>
      <c r="BC279" s="107" t="n">
        <v>0</v>
      </c>
      <c r="BD279" s="107" t="n">
        <v>0</v>
      </c>
      <c r="BE279" s="107" t="n">
        <v>8972.22</v>
      </c>
      <c r="BF279" s="107" t="n">
        <v>12187863</v>
      </c>
      <c r="BG279" s="107" t="n">
        <v>945.98</v>
      </c>
      <c r="BH279" s="107" t="n">
        <v>1285019</v>
      </c>
      <c r="BI279" s="107" t="n">
        <v>3968265.77</v>
      </c>
      <c r="BJ279" s="107" t="n">
        <v>5855572971</v>
      </c>
      <c r="BK279" s="107" t="n">
        <v>0</v>
      </c>
      <c r="BL279" s="107" t="n">
        <v>0</v>
      </c>
      <c r="BM279" s="107" t="n">
        <v>0</v>
      </c>
      <c r="BN279" s="107" t="n">
        <v>0</v>
      </c>
      <c r="BO279" s="2"/>
      <c r="BP279" s="2"/>
      <c r="BQ279" s="107" t="s">
        <v>107</v>
      </c>
      <c r="BR279" s="107" t="n">
        <v>-465080749</v>
      </c>
      <c r="BS279" s="107" t="n">
        <v>-29795</v>
      </c>
      <c r="BT279" s="107" t="n">
        <v>0</v>
      </c>
      <c r="BU279" s="107" t="n">
        <v>0</v>
      </c>
      <c r="BV279" s="107" t="n">
        <v>0</v>
      </c>
      <c r="BW279" s="107" t="n">
        <v>8972.22</v>
      </c>
      <c r="BX279" s="107" t="n">
        <v>12187863</v>
      </c>
      <c r="BY279" s="107" t="n">
        <v>1200.21</v>
      </c>
      <c r="BZ279" s="107" t="n">
        <v>1630365</v>
      </c>
      <c r="CA279" s="107" t="n">
        <v>1475.6</v>
      </c>
      <c r="CB279" s="2"/>
      <c r="CC279" s="107" t="n">
        <v>0</v>
      </c>
      <c r="CD279" s="107" t="n">
        <v>96.59</v>
      </c>
      <c r="CE279" s="107" t="n">
        <v>96.6</v>
      </c>
      <c r="CF279" s="107" t="n">
        <v>96.66</v>
      </c>
      <c r="CG279" s="107" t="n">
        <v>0</v>
      </c>
      <c r="CH279" s="107" t="n">
        <v>2.2316</v>
      </c>
      <c r="CI279" s="107" t="n">
        <v>96.42</v>
      </c>
      <c r="CJ279" s="107" t="n">
        <v>96.43</v>
      </c>
      <c r="CK279" s="107" t="n">
        <v>96.48</v>
      </c>
      <c r="CL279" s="107" t="n">
        <v>1500000</v>
      </c>
    </row>
    <row r="280" customFormat="false" ht="15" hidden="false" customHeight="false" outlineLevel="0" collapsed="false">
      <c r="A280" s="107" t="s">
        <v>699</v>
      </c>
      <c r="B280" s="107" t="n">
        <v>98.6402</v>
      </c>
      <c r="C280" s="107" t="n">
        <v>5.765</v>
      </c>
      <c r="D280" s="107" t="n">
        <v>4.0766</v>
      </c>
      <c r="E280" s="107" t="n">
        <v>-4021.1663932</v>
      </c>
      <c r="F280" s="108" t="s">
        <v>358</v>
      </c>
      <c r="G280" s="107" t="n">
        <v>4.0766</v>
      </c>
      <c r="H280" s="107" t="n">
        <v>-4021.1663932</v>
      </c>
      <c r="I280" s="109" t="n">
        <v>48044</v>
      </c>
      <c r="J280" s="107" t="n">
        <v>5</v>
      </c>
      <c r="K280" s="108" t="s">
        <v>90</v>
      </c>
      <c r="L280" s="107" t="s">
        <v>298</v>
      </c>
      <c r="M280" s="107" t="n">
        <v>40766000</v>
      </c>
      <c r="N280" s="107" t="n">
        <v>104.851</v>
      </c>
      <c r="O280" s="107" t="n">
        <v>9864020</v>
      </c>
      <c r="P280" s="107" t="s">
        <v>371</v>
      </c>
      <c r="Q280" s="107" t="s">
        <v>106</v>
      </c>
      <c r="R280" s="107" t="n">
        <v>-0.107954995194042</v>
      </c>
      <c r="S280" s="107" t="n">
        <v>-0.0592345328132302</v>
      </c>
      <c r="T280" s="107" t="n">
        <v>-4137.0686282</v>
      </c>
      <c r="U280" s="107" t="n">
        <v>21069</v>
      </c>
      <c r="V280" s="108" t="s">
        <v>362</v>
      </c>
      <c r="W280" s="107" t="n">
        <v>34578</v>
      </c>
      <c r="X280" s="108" t="s">
        <v>372</v>
      </c>
      <c r="Y280" s="107" t="s">
        <v>697</v>
      </c>
      <c r="Z280" s="107" t="s">
        <v>698</v>
      </c>
      <c r="AA280" s="109" t="n">
        <v>46197</v>
      </c>
      <c r="AB280" s="107" t="n">
        <v>260624000001</v>
      </c>
      <c r="AC280" s="109" t="n">
        <v>46092</v>
      </c>
      <c r="AD280" s="109" t="n">
        <v>47188</v>
      </c>
      <c r="AE280" s="107" t="n">
        <v>4.25</v>
      </c>
      <c r="AF280" s="107" t="n">
        <v>2.2958</v>
      </c>
      <c r="AG280" s="107" t="n">
        <v>893</v>
      </c>
      <c r="AH280" s="107" t="n">
        <v>1700000</v>
      </c>
      <c r="AI280" s="107" t="n">
        <v>4.98875</v>
      </c>
      <c r="AJ280" s="107" t="n">
        <v>98.14</v>
      </c>
      <c r="AK280" s="107" t="n">
        <v>5.060172</v>
      </c>
      <c r="AL280" s="107" t="n">
        <v>98.37879</v>
      </c>
      <c r="AM280" s="107" t="n">
        <v>5.7501</v>
      </c>
      <c r="AN280" s="107" t="n">
        <v>96.6151</v>
      </c>
      <c r="AO280" s="107" t="n">
        <v>1358.4</v>
      </c>
      <c r="AP280" s="107" t="n">
        <v>1</v>
      </c>
      <c r="AQ280" s="107" t="n">
        <v>1642456.7</v>
      </c>
      <c r="AR280" s="107" t="n">
        <v>2231113181</v>
      </c>
      <c r="AS280" s="107" t="n">
        <v>1668116.16</v>
      </c>
      <c r="AT280" s="107" t="n">
        <v>2560558306</v>
      </c>
      <c r="AU280" s="107" t="n">
        <v>-25659.46</v>
      </c>
      <c r="AV280" s="107" t="n">
        <v>-34855811</v>
      </c>
      <c r="AW280" s="107" t="n">
        <v>0</v>
      </c>
      <c r="AX280" s="107" t="n">
        <v>0</v>
      </c>
      <c r="AY280" s="107" t="n">
        <v>263.84</v>
      </c>
      <c r="AZ280" s="107" t="n">
        <v>404994</v>
      </c>
      <c r="BA280" s="107" t="n">
        <v>0</v>
      </c>
      <c r="BB280" s="107" t="n">
        <v>0</v>
      </c>
      <c r="BC280" s="107" t="n">
        <v>0</v>
      </c>
      <c r="BD280" s="107" t="n">
        <v>0</v>
      </c>
      <c r="BE280" s="107" t="n">
        <v>3813.19</v>
      </c>
      <c r="BF280" s="107" t="n">
        <v>5179837</v>
      </c>
      <c r="BG280" s="107" t="n">
        <v>246.25</v>
      </c>
      <c r="BH280" s="107" t="n">
        <v>334506</v>
      </c>
      <c r="BI280" s="107" t="n">
        <v>1668116.16</v>
      </c>
      <c r="BJ280" s="107" t="n">
        <v>2560558306</v>
      </c>
      <c r="BK280" s="107" t="n">
        <v>0</v>
      </c>
      <c r="BL280" s="107" t="n">
        <v>0</v>
      </c>
      <c r="BM280" s="107" t="n">
        <v>0</v>
      </c>
      <c r="BN280" s="107" t="n">
        <v>0</v>
      </c>
      <c r="BO280" s="2"/>
      <c r="BP280" s="2"/>
      <c r="BQ280" s="107" t="s">
        <v>107</v>
      </c>
      <c r="BR280" s="107" t="n">
        <v>-294589314</v>
      </c>
      <c r="BS280" s="107" t="n">
        <v>-46594</v>
      </c>
      <c r="BT280" s="107" t="n">
        <v>0</v>
      </c>
      <c r="BU280" s="107" t="n">
        <v>0</v>
      </c>
      <c r="BV280" s="107" t="n">
        <v>0</v>
      </c>
      <c r="BW280" s="107" t="n">
        <v>3813.19</v>
      </c>
      <c r="BX280" s="107" t="n">
        <v>5179837</v>
      </c>
      <c r="BY280" s="107" t="n">
        <v>510.09</v>
      </c>
      <c r="BZ280" s="107" t="n">
        <v>692906</v>
      </c>
      <c r="CA280" s="107" t="n">
        <v>1535</v>
      </c>
      <c r="CB280" s="2"/>
      <c r="CC280" s="107" t="n">
        <v>0</v>
      </c>
      <c r="CD280" s="107" t="n">
        <v>96.59</v>
      </c>
      <c r="CE280" s="107" t="n">
        <v>96.6</v>
      </c>
      <c r="CF280" s="107" t="n">
        <v>96.66</v>
      </c>
      <c r="CG280" s="107" t="n">
        <v>0</v>
      </c>
      <c r="CH280" s="107" t="n">
        <v>2.2316</v>
      </c>
      <c r="CI280" s="107" t="n">
        <v>95.83</v>
      </c>
      <c r="CJ280" s="107" t="n">
        <v>95.77</v>
      </c>
      <c r="CK280" s="107" t="n">
        <v>95.8</v>
      </c>
      <c r="CL280" s="107" t="n">
        <v>0</v>
      </c>
    </row>
    <row r="281" customFormat="false" ht="15" hidden="false" customHeight="false" outlineLevel="0" collapsed="false">
      <c r="A281" s="107" t="s">
        <v>699</v>
      </c>
      <c r="B281" s="107" t="n">
        <v>98.6402</v>
      </c>
      <c r="C281" s="107" t="n">
        <v>5.765</v>
      </c>
      <c r="D281" s="107" t="n">
        <v>4.0766</v>
      </c>
      <c r="E281" s="107" t="n">
        <v>-1206.34991796</v>
      </c>
      <c r="F281" s="108" t="s">
        <v>358</v>
      </c>
      <c r="G281" s="107" t="n">
        <v>4.0766</v>
      </c>
      <c r="H281" s="107" t="n">
        <v>-1206.34991796</v>
      </c>
      <c r="I281" s="109" t="n">
        <v>48044</v>
      </c>
      <c r="J281" s="107" t="n">
        <v>5</v>
      </c>
      <c r="K281" s="108" t="s">
        <v>90</v>
      </c>
      <c r="L281" s="107" t="s">
        <v>298</v>
      </c>
      <c r="M281" s="107" t="n">
        <v>12229800</v>
      </c>
      <c r="N281" s="107" t="n">
        <v>104.87</v>
      </c>
      <c r="O281" s="107" t="n">
        <v>2959206</v>
      </c>
      <c r="P281" s="107" t="s">
        <v>371</v>
      </c>
      <c r="Q281" s="107" t="s">
        <v>106</v>
      </c>
      <c r="R281" s="107" t="n">
        <v>-0.107909295155035</v>
      </c>
      <c r="S281" s="107" t="n">
        <v>-0.0594049775913036</v>
      </c>
      <c r="T281" s="107" t="n">
        <v>-1241.12058846</v>
      </c>
      <c r="U281" s="107" t="n">
        <v>21069</v>
      </c>
      <c r="V281" s="108" t="s">
        <v>362</v>
      </c>
      <c r="W281" s="107" t="n">
        <v>34578</v>
      </c>
      <c r="X281" s="108" t="s">
        <v>372</v>
      </c>
      <c r="Y281" s="107" t="s">
        <v>697</v>
      </c>
      <c r="Z281" s="107" t="s">
        <v>698</v>
      </c>
      <c r="AA281" s="109" t="n">
        <v>46252</v>
      </c>
      <c r="AB281" s="107" t="n">
        <v>260818000001</v>
      </c>
      <c r="AC281" s="109" t="n">
        <v>46092</v>
      </c>
      <c r="AD281" s="109" t="n">
        <v>47188</v>
      </c>
      <c r="AE281" s="107" t="n">
        <v>4.25</v>
      </c>
      <c r="AF281" s="107" t="n">
        <v>2.2958</v>
      </c>
      <c r="AG281" s="107" t="n">
        <v>893</v>
      </c>
      <c r="AH281" s="107" t="n">
        <v>5000000</v>
      </c>
      <c r="AI281" s="107" t="n">
        <v>5.057472</v>
      </c>
      <c r="AJ281" s="107" t="n">
        <v>98.078</v>
      </c>
      <c r="AK281" s="107" t="n">
        <v>5.091365</v>
      </c>
      <c r="AL281" s="107" t="n">
        <v>98.308661</v>
      </c>
      <c r="AM281" s="107" t="n">
        <v>5.7501</v>
      </c>
      <c r="AN281" s="107" t="n">
        <v>96.6151</v>
      </c>
      <c r="AO281" s="107" t="n">
        <v>1358.4</v>
      </c>
      <c r="AP281" s="107" t="n">
        <v>1</v>
      </c>
      <c r="AQ281" s="107" t="n">
        <v>4830755</v>
      </c>
      <c r="AR281" s="107" t="n">
        <v>6562097592</v>
      </c>
      <c r="AS281" s="107" t="n">
        <v>4902717.52</v>
      </c>
      <c r="AT281" s="107" t="n">
        <v>6937345291</v>
      </c>
      <c r="AU281" s="107" t="n">
        <v>-71962.52</v>
      </c>
      <c r="AV281" s="107" t="n">
        <v>-97753887</v>
      </c>
      <c r="AW281" s="107" t="n">
        <v>0</v>
      </c>
      <c r="AX281" s="107" t="n">
        <v>0</v>
      </c>
      <c r="AY281" s="107" t="n">
        <v>1182.48</v>
      </c>
      <c r="AZ281" s="107" t="n">
        <v>1673209</v>
      </c>
      <c r="BA281" s="107" t="n">
        <v>0</v>
      </c>
      <c r="BB281" s="107" t="n">
        <v>0</v>
      </c>
      <c r="BC281" s="107" t="n">
        <v>0</v>
      </c>
      <c r="BD281" s="107" t="n">
        <v>0</v>
      </c>
      <c r="BE281" s="107" t="n">
        <v>11215.28</v>
      </c>
      <c r="BF281" s="107" t="n">
        <v>15234836</v>
      </c>
      <c r="BG281" s="107" t="n">
        <v>317.79</v>
      </c>
      <c r="BH281" s="107" t="n">
        <v>431685</v>
      </c>
      <c r="BI281" s="107" t="n">
        <v>4902717.52</v>
      </c>
      <c r="BJ281" s="107" t="n">
        <v>6937345291</v>
      </c>
      <c r="BK281" s="107" t="n">
        <v>0</v>
      </c>
      <c r="BL281" s="107" t="n">
        <v>0</v>
      </c>
      <c r="BM281" s="107" t="n">
        <v>0</v>
      </c>
      <c r="BN281" s="107" t="n">
        <v>0</v>
      </c>
      <c r="BO281" s="2"/>
      <c r="BP281" s="2"/>
      <c r="BQ281" s="107" t="s">
        <v>107</v>
      </c>
      <c r="BR281" s="107" t="n">
        <v>-277493812</v>
      </c>
      <c r="BS281" s="107" t="n">
        <v>-66928</v>
      </c>
      <c r="BT281" s="107" t="n">
        <v>0</v>
      </c>
      <c r="BU281" s="107" t="n">
        <v>0</v>
      </c>
      <c r="BV281" s="107" t="n">
        <v>0</v>
      </c>
      <c r="BW281" s="107" t="n">
        <v>11215.28</v>
      </c>
      <c r="BX281" s="107" t="n">
        <v>15234836</v>
      </c>
      <c r="BY281" s="107" t="n">
        <v>1500.27</v>
      </c>
      <c r="BZ281" s="107" t="n">
        <v>2037966</v>
      </c>
      <c r="CA281" s="107" t="n">
        <v>1415</v>
      </c>
      <c r="CB281" s="2"/>
      <c r="CC281" s="107" t="n">
        <v>0</v>
      </c>
      <c r="CD281" s="107" t="n">
        <v>96.59</v>
      </c>
      <c r="CE281" s="107" t="n">
        <v>96.6</v>
      </c>
      <c r="CF281" s="107" t="n">
        <v>96.66</v>
      </c>
      <c r="CG281" s="107" t="n">
        <v>0</v>
      </c>
      <c r="CH281" s="107" t="n">
        <v>2.2316</v>
      </c>
      <c r="CI281" s="107" t="n">
        <v>96.66</v>
      </c>
      <c r="CJ281" s="107" t="n">
        <v>96.7</v>
      </c>
      <c r="CK281" s="107" t="n">
        <v>96.71</v>
      </c>
      <c r="CL281" s="107" t="n">
        <v>2000000</v>
      </c>
    </row>
    <row r="282" customFormat="false" ht="15" hidden="false" customHeight="false" outlineLevel="0" collapsed="false">
      <c r="A282" s="107" t="s">
        <v>700</v>
      </c>
      <c r="B282" s="107" t="n">
        <v>95.7826</v>
      </c>
      <c r="C282" s="107" t="n">
        <v>6.0832</v>
      </c>
      <c r="D282" s="107" t="n">
        <v>6.4698</v>
      </c>
      <c r="E282" s="107" t="n">
        <v>-3098.4713274</v>
      </c>
      <c r="F282" s="108" t="s">
        <v>358</v>
      </c>
      <c r="G282" s="107" t="n">
        <v>6.4698</v>
      </c>
      <c r="H282" s="107" t="n">
        <v>-3098.4713274</v>
      </c>
      <c r="I282" s="109" t="n">
        <v>49438</v>
      </c>
      <c r="J282" s="107" t="n">
        <v>10</v>
      </c>
      <c r="K282" s="108" t="s">
        <v>384</v>
      </c>
      <c r="L282" s="107" t="s">
        <v>298</v>
      </c>
      <c r="M282" s="107" t="n">
        <v>32349000</v>
      </c>
      <c r="N282" s="107" t="n">
        <v>105.097</v>
      </c>
      <c r="O282" s="107" t="n">
        <v>4789130</v>
      </c>
      <c r="P282" s="107" t="s">
        <v>701</v>
      </c>
      <c r="Q282" s="107" t="s">
        <v>106</v>
      </c>
      <c r="R282" s="107" t="n">
        <v>-0.129904911472293</v>
      </c>
      <c r="S282" s="107" t="n">
        <v>-0.0886266972415958</v>
      </c>
      <c r="T282" s="107" t="n">
        <v>-3192.7214058</v>
      </c>
      <c r="U282" s="107" t="n">
        <v>21069</v>
      </c>
      <c r="V282" s="108" t="s">
        <v>362</v>
      </c>
      <c r="W282" s="107" t="n">
        <v>38038</v>
      </c>
      <c r="X282" s="108" t="s">
        <v>111</v>
      </c>
      <c r="Y282" s="107" t="s">
        <v>699</v>
      </c>
      <c r="Z282" s="107" t="s">
        <v>702</v>
      </c>
      <c r="AA282" s="109" t="n">
        <v>45905</v>
      </c>
      <c r="AB282" s="107" t="n">
        <v>250905000001</v>
      </c>
      <c r="AC282" s="109" t="n">
        <v>45488</v>
      </c>
      <c r="AD282" s="109" t="n">
        <v>48044</v>
      </c>
      <c r="AE282" s="107" t="n">
        <v>5.439</v>
      </c>
      <c r="AF282" s="107" t="n">
        <v>4.1919</v>
      </c>
      <c r="AG282" s="107" t="n">
        <v>1749</v>
      </c>
      <c r="AH282" s="107" t="n">
        <v>10000000</v>
      </c>
      <c r="AI282" s="107" t="n">
        <v>4.487353</v>
      </c>
      <c r="AJ282" s="107" t="n">
        <v>104.851</v>
      </c>
      <c r="AK282" s="107" t="n">
        <v>4.316415</v>
      </c>
      <c r="AL282" s="107" t="n">
        <v>105.938716</v>
      </c>
      <c r="AM282" s="107" t="n">
        <v>5.7373</v>
      </c>
      <c r="AN282" s="107" t="n">
        <v>98.7535</v>
      </c>
      <c r="AO282" s="107" t="n">
        <v>1358.4</v>
      </c>
      <c r="AP282" s="107" t="n">
        <v>1</v>
      </c>
      <c r="AQ282" s="107" t="n">
        <v>9875350</v>
      </c>
      <c r="AR282" s="107" t="n">
        <v>13414675440</v>
      </c>
      <c r="AS282" s="107" t="n">
        <v>10480559.1</v>
      </c>
      <c r="AT282" s="107" t="n">
        <v>15038554252</v>
      </c>
      <c r="AU282" s="107" t="n">
        <v>-590274.18</v>
      </c>
      <c r="AV282" s="107" t="n">
        <v>-801828446</v>
      </c>
      <c r="AW282" s="107" t="n">
        <v>0</v>
      </c>
      <c r="AX282" s="107" t="n">
        <v>0</v>
      </c>
      <c r="AY282" s="107" t="n">
        <v>0</v>
      </c>
      <c r="AZ282" s="107" t="n">
        <v>0</v>
      </c>
      <c r="BA282" s="107" t="n">
        <v>0</v>
      </c>
      <c r="BB282" s="107" t="n">
        <v>0</v>
      </c>
      <c r="BC282" s="107" t="n">
        <v>0</v>
      </c>
      <c r="BD282" s="107" t="n">
        <v>0</v>
      </c>
      <c r="BE282" s="107" t="n">
        <v>113312.5</v>
      </c>
      <c r="BF282" s="107" t="n">
        <v>153923700</v>
      </c>
      <c r="BG282" s="107" t="n">
        <v>0</v>
      </c>
      <c r="BH282" s="107" t="n">
        <v>0</v>
      </c>
      <c r="BI282" s="107" t="n">
        <v>10419709.25</v>
      </c>
      <c r="BJ282" s="107" t="n">
        <v>14951240802</v>
      </c>
      <c r="BK282" s="107" t="n">
        <v>98869.54</v>
      </c>
      <c r="BL282" s="107" t="n">
        <v>141867880</v>
      </c>
      <c r="BM282" s="107" t="n">
        <v>-14934.92</v>
      </c>
      <c r="BN282" s="107" t="n">
        <v>-21430101</v>
      </c>
      <c r="BO282" s="107" t="s">
        <v>367</v>
      </c>
      <c r="BP282" s="2"/>
      <c r="BQ282" s="107" t="s">
        <v>367</v>
      </c>
      <c r="BR282" s="107" t="n">
        <v>-800620265</v>
      </c>
      <c r="BS282" s="107" t="n">
        <v>0</v>
      </c>
      <c r="BT282" s="107" t="n">
        <v>0</v>
      </c>
      <c r="BU282" s="107" t="n">
        <v>60849.85</v>
      </c>
      <c r="BV282" s="107" t="n">
        <v>87313450</v>
      </c>
      <c r="BW282" s="107" t="n">
        <v>113312.5</v>
      </c>
      <c r="BX282" s="107" t="n">
        <v>153923700</v>
      </c>
      <c r="BY282" s="107" t="n">
        <v>0</v>
      </c>
      <c r="BZ282" s="107" t="n">
        <v>0</v>
      </c>
      <c r="CA282" s="107" t="n">
        <v>1434.9</v>
      </c>
      <c r="CB282" s="2"/>
      <c r="CC282" s="107" t="n">
        <v>0</v>
      </c>
      <c r="CD282" s="107" t="n">
        <v>98.8</v>
      </c>
      <c r="CE282" s="107" t="n">
        <v>98.69</v>
      </c>
      <c r="CF282" s="107" t="n">
        <v>98.77</v>
      </c>
      <c r="CG282" s="107" t="n">
        <v>0</v>
      </c>
      <c r="CH282" s="107" t="n">
        <v>4.075</v>
      </c>
      <c r="CI282" s="107" t="n">
        <v>96.66</v>
      </c>
      <c r="CJ282" s="107" t="n">
        <v>96.7</v>
      </c>
      <c r="CK282" s="107" t="n">
        <v>96.71</v>
      </c>
      <c r="CL282" s="107" t="n">
        <v>1000000</v>
      </c>
    </row>
    <row r="283" customFormat="false" ht="15" hidden="false" customHeight="false" outlineLevel="0" collapsed="false">
      <c r="A283" s="107" t="s">
        <v>703</v>
      </c>
      <c r="B283" s="107" t="n">
        <v>99.8063</v>
      </c>
      <c r="C283" s="107" t="n">
        <v>4.7935</v>
      </c>
      <c r="D283" s="107" t="n">
        <v>0.2738</v>
      </c>
      <c r="E283" s="107" t="n">
        <v>-136.6348247</v>
      </c>
      <c r="F283" s="108" t="s">
        <v>358</v>
      </c>
      <c r="G283" s="107" t="n">
        <v>0.2738</v>
      </c>
      <c r="H283" s="107" t="n">
        <v>-136.6348247</v>
      </c>
      <c r="I283" s="109" t="n">
        <v>46397</v>
      </c>
      <c r="J283" s="107" t="n">
        <v>1</v>
      </c>
      <c r="K283" s="108" t="s">
        <v>90</v>
      </c>
      <c r="L283" s="107" t="s">
        <v>298</v>
      </c>
      <c r="M283" s="107" t="n">
        <v>1369000</v>
      </c>
      <c r="N283" s="107" t="n">
        <v>115.027</v>
      </c>
      <c r="O283" s="107" t="n">
        <v>4990315</v>
      </c>
      <c r="P283" s="107" t="s">
        <v>704</v>
      </c>
      <c r="Q283" s="107" t="s">
        <v>374</v>
      </c>
      <c r="R283" s="107" t="n">
        <v>-0.0418028033835538</v>
      </c>
      <c r="S283" s="107" t="n">
        <v>-0.132322845940518</v>
      </c>
      <c r="T283" s="107" t="n">
        <v>-139.9284326</v>
      </c>
      <c r="U283" s="107" t="n">
        <v>21069</v>
      </c>
      <c r="V283" s="108" t="s">
        <v>362</v>
      </c>
      <c r="W283" s="107" t="n">
        <v>38038</v>
      </c>
      <c r="X283" s="108" t="s">
        <v>111</v>
      </c>
      <c r="Y283" s="107" t="s">
        <v>699</v>
      </c>
      <c r="Z283" s="107" t="s">
        <v>702</v>
      </c>
      <c r="AA283" s="109" t="n">
        <v>45905</v>
      </c>
      <c r="AB283" s="107" t="n">
        <v>250905000002</v>
      </c>
      <c r="AC283" s="109" t="n">
        <v>45488</v>
      </c>
      <c r="AD283" s="109" t="n">
        <v>48044</v>
      </c>
      <c r="AE283" s="107" t="n">
        <v>5.439</v>
      </c>
      <c r="AF283" s="107" t="n">
        <v>4.1919</v>
      </c>
      <c r="AG283" s="107" t="n">
        <v>1749</v>
      </c>
      <c r="AH283" s="107" t="n">
        <v>3000000</v>
      </c>
      <c r="AI283" s="107" t="n">
        <v>4.483734</v>
      </c>
      <c r="AJ283" s="107" t="n">
        <v>104.87</v>
      </c>
      <c r="AK283" s="107" t="n">
        <v>4.317633</v>
      </c>
      <c r="AL283" s="107" t="n">
        <v>105.933347</v>
      </c>
      <c r="AM283" s="107" t="n">
        <v>5.7373</v>
      </c>
      <c r="AN283" s="107" t="n">
        <v>98.7535</v>
      </c>
      <c r="AO283" s="107" t="n">
        <v>1358.4</v>
      </c>
      <c r="AP283" s="107" t="n">
        <v>1</v>
      </c>
      <c r="AQ283" s="107" t="n">
        <v>2962605</v>
      </c>
      <c r="AR283" s="107" t="n">
        <v>4024402632</v>
      </c>
      <c r="AS283" s="107" t="n">
        <v>3144006.66</v>
      </c>
      <c r="AT283" s="107" t="n">
        <v>4511335157</v>
      </c>
      <c r="AU283" s="107" t="n">
        <v>-176852.5</v>
      </c>
      <c r="AV283" s="107" t="n">
        <v>-240236436</v>
      </c>
      <c r="AW283" s="107" t="n">
        <v>0</v>
      </c>
      <c r="AX283" s="107" t="n">
        <v>0</v>
      </c>
      <c r="AY283" s="107" t="n">
        <v>0</v>
      </c>
      <c r="AZ283" s="107" t="n">
        <v>0</v>
      </c>
      <c r="BA283" s="107" t="n">
        <v>0</v>
      </c>
      <c r="BB283" s="107" t="n">
        <v>0</v>
      </c>
      <c r="BC283" s="107" t="n">
        <v>0</v>
      </c>
      <c r="BD283" s="107" t="n">
        <v>0</v>
      </c>
      <c r="BE283" s="107" t="n">
        <v>33993.75</v>
      </c>
      <c r="BF283" s="107" t="n">
        <v>46177110</v>
      </c>
      <c r="BG283" s="107" t="n">
        <v>0</v>
      </c>
      <c r="BH283" s="107" t="n">
        <v>0</v>
      </c>
      <c r="BI283" s="107" t="n">
        <v>3126293.04</v>
      </c>
      <c r="BJ283" s="107" t="n">
        <v>4485917883</v>
      </c>
      <c r="BK283" s="107" t="n">
        <v>29591.87</v>
      </c>
      <c r="BL283" s="107" t="n">
        <v>42461342</v>
      </c>
      <c r="BM283" s="107" t="n">
        <v>-4549.16</v>
      </c>
      <c r="BN283" s="107" t="n">
        <v>-6527598</v>
      </c>
      <c r="BO283" s="107" t="s">
        <v>367</v>
      </c>
      <c r="BP283" s="2"/>
      <c r="BQ283" s="107" t="s">
        <v>367</v>
      </c>
      <c r="BR283" s="107" t="n">
        <v>-240168491</v>
      </c>
      <c r="BS283" s="107" t="n">
        <v>0</v>
      </c>
      <c r="BT283" s="107" t="n">
        <v>0</v>
      </c>
      <c r="BU283" s="107" t="n">
        <v>17713.62</v>
      </c>
      <c r="BV283" s="107" t="n">
        <v>25417274</v>
      </c>
      <c r="BW283" s="107" t="n">
        <v>33993.75</v>
      </c>
      <c r="BX283" s="107" t="n">
        <v>46177110</v>
      </c>
      <c r="BY283" s="107" t="n">
        <v>0</v>
      </c>
      <c r="BZ283" s="107" t="n">
        <v>0</v>
      </c>
      <c r="CA283" s="107" t="n">
        <v>1434.9</v>
      </c>
      <c r="CB283" s="2"/>
      <c r="CC283" s="107" t="n">
        <v>0</v>
      </c>
      <c r="CD283" s="107" t="n">
        <v>98.8</v>
      </c>
      <c r="CE283" s="107" t="n">
        <v>98.69</v>
      </c>
      <c r="CF283" s="107" t="n">
        <v>98.77</v>
      </c>
      <c r="CG283" s="107" t="n">
        <v>0</v>
      </c>
      <c r="CH283" s="107" t="n">
        <v>4.075</v>
      </c>
      <c r="CI283" s="107" t="n">
        <v>96.29</v>
      </c>
      <c r="CJ283" s="107" t="n">
        <v>96.3</v>
      </c>
      <c r="CK283" s="107" t="n">
        <v>96.33</v>
      </c>
      <c r="CL283" s="107" t="n">
        <v>0</v>
      </c>
    </row>
    <row r="284" customFormat="false" ht="15" hidden="false" customHeight="false" outlineLevel="0" collapsed="false">
      <c r="A284" s="107" t="s">
        <v>705</v>
      </c>
      <c r="B284" s="107" t="n">
        <v>94.422</v>
      </c>
      <c r="C284" s="107" t="n">
        <v>5.841</v>
      </c>
      <c r="D284" s="107" t="n">
        <v>3.7876</v>
      </c>
      <c r="E284" s="107" t="n">
        <v>-3576.327672</v>
      </c>
      <c r="F284" s="108" t="s">
        <v>358</v>
      </c>
      <c r="G284" s="107" t="n">
        <v>3.7876</v>
      </c>
      <c r="H284" s="107" t="n">
        <v>-3576.327672</v>
      </c>
      <c r="I284" s="109" t="n">
        <v>47777</v>
      </c>
      <c r="J284" s="107" t="n">
        <v>3</v>
      </c>
      <c r="K284" s="108" t="s">
        <v>384</v>
      </c>
      <c r="L284" s="107" t="s">
        <v>298</v>
      </c>
      <c r="M284" s="107" t="n">
        <v>37876000</v>
      </c>
      <c r="N284" s="107" t="n">
        <v>100.076</v>
      </c>
      <c r="O284" s="107" t="n">
        <v>9442200</v>
      </c>
      <c r="P284" s="107" t="s">
        <v>388</v>
      </c>
      <c r="Q284" s="107" t="s">
        <v>374</v>
      </c>
      <c r="R284" s="107" t="n">
        <v>-0.114017622617466</v>
      </c>
      <c r="S284" s="107" t="n">
        <v>-0.0564970622327031</v>
      </c>
      <c r="T284" s="107" t="n">
        <v>-3680.758404</v>
      </c>
      <c r="U284" s="107" t="n">
        <v>21069</v>
      </c>
      <c r="V284" s="108" t="s">
        <v>362</v>
      </c>
      <c r="W284" s="107" t="n">
        <v>38038</v>
      </c>
      <c r="X284" s="108" t="s">
        <v>111</v>
      </c>
      <c r="Y284" s="107" t="s">
        <v>700</v>
      </c>
      <c r="Z284" s="107" t="s">
        <v>706</v>
      </c>
      <c r="AA284" s="109" t="n">
        <v>45965</v>
      </c>
      <c r="AB284" s="107" t="n">
        <v>251104000001</v>
      </c>
      <c r="AC284" s="109" t="n">
        <v>45786</v>
      </c>
      <c r="AD284" s="109" t="n">
        <v>49804</v>
      </c>
      <c r="AE284" s="107" t="n">
        <v>5.464</v>
      </c>
      <c r="AF284" s="107" t="n">
        <v>6.664</v>
      </c>
      <c r="AG284" s="107" t="n">
        <v>3509</v>
      </c>
      <c r="AH284" s="107" t="n">
        <v>5000000</v>
      </c>
      <c r="AI284" s="107" t="n">
        <v>4.79053</v>
      </c>
      <c r="AJ284" s="107" t="n">
        <v>105.097</v>
      </c>
      <c r="AK284" s="107" t="n">
        <v>4.892152</v>
      </c>
      <c r="AL284" s="107" t="n">
        <v>106.476786</v>
      </c>
      <c r="AM284" s="107" t="n">
        <v>6.0778</v>
      </c>
      <c r="AN284" s="107" t="n">
        <v>95.8202</v>
      </c>
      <c r="AO284" s="107" t="n">
        <v>1358.4</v>
      </c>
      <c r="AP284" s="107" t="n">
        <v>1</v>
      </c>
      <c r="AQ284" s="107" t="n">
        <v>4791010</v>
      </c>
      <c r="AR284" s="107" t="n">
        <v>6508107984</v>
      </c>
      <c r="AS284" s="107" t="n">
        <v>5216835.97</v>
      </c>
      <c r="AT284" s="107" t="n">
        <v>7485637933</v>
      </c>
      <c r="AU284" s="107" t="n">
        <v>-419062.29</v>
      </c>
      <c r="AV284" s="107" t="n">
        <v>-569254215</v>
      </c>
      <c r="AW284" s="107" t="n">
        <v>0</v>
      </c>
      <c r="AX284" s="107" t="n">
        <v>0</v>
      </c>
      <c r="AY284" s="107" t="n">
        <v>0</v>
      </c>
      <c r="AZ284" s="107" t="n">
        <v>0</v>
      </c>
      <c r="BA284" s="107" t="n">
        <v>0</v>
      </c>
      <c r="BB284" s="107" t="n">
        <v>0</v>
      </c>
      <c r="BC284" s="107" t="n">
        <v>0</v>
      </c>
      <c r="BD284" s="107" t="n">
        <v>0</v>
      </c>
      <c r="BE284" s="107" t="n">
        <v>107003.33</v>
      </c>
      <c r="BF284" s="107" t="n">
        <v>145353323</v>
      </c>
      <c r="BG284" s="107" t="n">
        <v>0</v>
      </c>
      <c r="BH284" s="107" t="n">
        <v>0</v>
      </c>
      <c r="BI284" s="107" t="n">
        <v>5243996.95</v>
      </c>
      <c r="BJ284" s="107" t="n">
        <v>7524611223</v>
      </c>
      <c r="BK284" s="107" t="n">
        <v>100140.48</v>
      </c>
      <c r="BL284" s="107" t="n">
        <v>143691552</v>
      </c>
      <c r="BM284" s="107" t="n">
        <v>-6763.68</v>
      </c>
      <c r="BN284" s="107" t="n">
        <v>-9705168</v>
      </c>
      <c r="BO284" s="107" t="s">
        <v>374</v>
      </c>
      <c r="BP284" s="2"/>
      <c r="BQ284" s="107" t="s">
        <v>364</v>
      </c>
      <c r="BR284" s="107" t="n">
        <v>-398570566</v>
      </c>
      <c r="BS284" s="107" t="n">
        <v>0</v>
      </c>
      <c r="BT284" s="107" t="n">
        <v>0</v>
      </c>
      <c r="BU284" s="107" t="n">
        <v>-27160.98</v>
      </c>
      <c r="BV284" s="107" t="n">
        <v>-38973290</v>
      </c>
      <c r="BW284" s="107" t="n">
        <v>107003.33</v>
      </c>
      <c r="BX284" s="107" t="n">
        <v>145353323</v>
      </c>
      <c r="BY284" s="107" t="n">
        <v>0</v>
      </c>
      <c r="BZ284" s="107" t="n">
        <v>0</v>
      </c>
      <c r="CA284" s="107" t="n">
        <v>1434.9</v>
      </c>
      <c r="CB284" s="2"/>
      <c r="CC284" s="107" t="n">
        <v>0</v>
      </c>
      <c r="CD284" s="107" t="n">
        <v>95.83</v>
      </c>
      <c r="CE284" s="107" t="n">
        <v>95.81</v>
      </c>
      <c r="CF284" s="107" t="n">
        <v>95.82</v>
      </c>
      <c r="CG284" s="107" t="n">
        <v>0</v>
      </c>
      <c r="CH284" s="107" t="n">
        <v>6.4675</v>
      </c>
      <c r="CI284" s="107" t="n">
        <v>96.29</v>
      </c>
      <c r="CJ284" s="107" t="n">
        <v>96.3</v>
      </c>
      <c r="CK284" s="107" t="n">
        <v>96.33</v>
      </c>
      <c r="CL284" s="107" t="n">
        <v>0</v>
      </c>
    </row>
    <row r="285" customFormat="false" ht="15" hidden="false" customHeight="false" outlineLevel="0" collapsed="false">
      <c r="A285" s="107" t="s">
        <v>707</v>
      </c>
      <c r="B285" s="107" t="n">
        <v>94.4575</v>
      </c>
      <c r="C285" s="107" t="n">
        <v>5.9084</v>
      </c>
      <c r="D285" s="107" t="n">
        <v>3.7771</v>
      </c>
      <c r="E285" s="107" t="n">
        <v>-3567.7542325</v>
      </c>
      <c r="F285" s="108" t="s">
        <v>358</v>
      </c>
      <c r="G285" s="107" t="n">
        <v>3.7771</v>
      </c>
      <c r="H285" s="107" t="n">
        <v>-3567.7542325</v>
      </c>
      <c r="I285" s="109" t="n">
        <v>47869</v>
      </c>
      <c r="J285" s="107" t="n">
        <v>5</v>
      </c>
      <c r="K285" s="108" t="s">
        <v>384</v>
      </c>
      <c r="L285" s="107" t="s">
        <v>298</v>
      </c>
      <c r="M285" s="107" t="n">
        <v>37771000</v>
      </c>
      <c r="N285" s="107" t="n">
        <v>100.582</v>
      </c>
      <c r="O285" s="107" t="n">
        <v>9445750</v>
      </c>
      <c r="P285" s="107" t="s">
        <v>388</v>
      </c>
      <c r="Q285" s="107" t="s">
        <v>374</v>
      </c>
      <c r="R285" s="107" t="n">
        <v>-0.117830029772458</v>
      </c>
      <c r="S285" s="107" t="n">
        <v>-0.0608906166113221</v>
      </c>
      <c r="T285" s="107" t="n">
        <v>-3673.1688025</v>
      </c>
      <c r="U285" s="107" t="n">
        <v>21069</v>
      </c>
      <c r="V285" s="108" t="s">
        <v>362</v>
      </c>
      <c r="W285" s="107" t="n">
        <v>38038</v>
      </c>
      <c r="X285" s="108" t="s">
        <v>111</v>
      </c>
      <c r="Y285" s="107" t="s">
        <v>703</v>
      </c>
      <c r="Z285" s="107" t="s">
        <v>708</v>
      </c>
      <c r="AA285" s="109" t="n">
        <v>44165</v>
      </c>
      <c r="AB285" s="107" t="n">
        <v>201130000001</v>
      </c>
      <c r="AC285" s="109" t="n">
        <v>42745</v>
      </c>
      <c r="AD285" s="109" t="n">
        <v>46397</v>
      </c>
      <c r="AE285" s="107" t="n">
        <v>4.125</v>
      </c>
      <c r="AF285" s="107" t="n">
        <v>0.2777</v>
      </c>
      <c r="AG285" s="107" t="n">
        <v>102</v>
      </c>
      <c r="AH285" s="107" t="n">
        <v>5000000</v>
      </c>
      <c r="AI285" s="107" t="n">
        <v>1.538921</v>
      </c>
      <c r="AJ285" s="107" t="n">
        <v>115.027</v>
      </c>
      <c r="AK285" s="107" t="n">
        <v>8.837039</v>
      </c>
      <c r="AL285" s="107" t="n">
        <v>99.640118</v>
      </c>
      <c r="AM285" s="107" t="n">
        <v>4.7849</v>
      </c>
      <c r="AN285" s="107" t="n">
        <v>99.8103</v>
      </c>
      <c r="AO285" s="107" t="n">
        <v>1358.4</v>
      </c>
      <c r="AP285" s="107" t="n">
        <v>1</v>
      </c>
      <c r="AQ285" s="107" t="n">
        <v>4990515</v>
      </c>
      <c r="AR285" s="107" t="n">
        <v>6779115576</v>
      </c>
      <c r="AS285" s="107" t="n">
        <v>4936172.6</v>
      </c>
      <c r="AT285" s="107" t="n">
        <v>7082914064</v>
      </c>
      <c r="AU285" s="107" t="n">
        <v>82798.04</v>
      </c>
      <c r="AV285" s="107" t="n">
        <v>112472858</v>
      </c>
      <c r="AW285" s="107" t="n">
        <v>0</v>
      </c>
      <c r="AX285" s="107" t="n">
        <v>0</v>
      </c>
      <c r="AY285" s="107" t="n">
        <v>0</v>
      </c>
      <c r="AZ285" s="107" t="n">
        <v>0</v>
      </c>
      <c r="BA285" s="107" t="n">
        <v>0</v>
      </c>
      <c r="BB285" s="107" t="n">
        <v>0</v>
      </c>
      <c r="BC285" s="107" t="n">
        <v>0</v>
      </c>
      <c r="BD285" s="107" t="n">
        <v>0</v>
      </c>
      <c r="BE285" s="107" t="n">
        <v>45833.33</v>
      </c>
      <c r="BF285" s="107" t="n">
        <v>62259995</v>
      </c>
      <c r="BG285" s="107" t="n">
        <v>0</v>
      </c>
      <c r="BH285" s="107" t="n">
        <v>0</v>
      </c>
      <c r="BI285" s="107" t="n">
        <v>5063851.35</v>
      </c>
      <c r="BJ285" s="107" t="n">
        <v>7157395878</v>
      </c>
      <c r="BK285" s="107" t="n">
        <v>17502.08</v>
      </c>
      <c r="BL285" s="107" t="n">
        <v>25113730</v>
      </c>
      <c r="BM285" s="107" t="n">
        <v>-28455.64</v>
      </c>
      <c r="BN285" s="107" t="n">
        <v>-40830998</v>
      </c>
      <c r="BO285" s="107" t="s">
        <v>374</v>
      </c>
      <c r="BP285" s="2"/>
      <c r="BQ285" s="107" t="s">
        <v>367</v>
      </c>
      <c r="BR285" s="107" t="n">
        <v>-375440348</v>
      </c>
      <c r="BS285" s="107" t="n">
        <v>0</v>
      </c>
      <c r="BT285" s="107" t="n">
        <v>0</v>
      </c>
      <c r="BU285" s="107" t="n">
        <v>-127678.75</v>
      </c>
      <c r="BV285" s="107" t="n">
        <v>-74481814</v>
      </c>
      <c r="BW285" s="107" t="n">
        <v>45833.33</v>
      </c>
      <c r="BX285" s="107" t="n">
        <v>62259995</v>
      </c>
      <c r="BY285" s="107" t="n">
        <v>0</v>
      </c>
      <c r="BZ285" s="107" t="n">
        <v>0</v>
      </c>
      <c r="CA285" s="107" t="n">
        <v>1434.9</v>
      </c>
      <c r="CB285" s="2"/>
      <c r="CC285" s="107" t="n">
        <v>0</v>
      </c>
      <c r="CD285" s="107" t="n">
        <v>99.8</v>
      </c>
      <c r="CE285" s="107" t="n">
        <v>99.83</v>
      </c>
      <c r="CF285" s="107" t="n">
        <v>99.8</v>
      </c>
      <c r="CG285" s="107" t="n">
        <v>0</v>
      </c>
      <c r="CH285" s="107" t="n">
        <v>0.2712</v>
      </c>
      <c r="CI285" s="107" t="n">
        <v>96.29</v>
      </c>
      <c r="CJ285" s="107" t="n">
        <v>96.3</v>
      </c>
      <c r="CK285" s="107" t="n">
        <v>96.33</v>
      </c>
      <c r="CL285" s="107" t="n">
        <v>0</v>
      </c>
    </row>
    <row r="286" customFormat="false" ht="15" hidden="false" customHeight="false" outlineLevel="0" collapsed="false">
      <c r="A286" s="107" t="s">
        <v>709</v>
      </c>
      <c r="B286" s="107" t="n">
        <v>99.1961</v>
      </c>
      <c r="C286" s="107" t="n">
        <v>5.1453</v>
      </c>
      <c r="D286" s="107" t="n">
        <v>0.935</v>
      </c>
      <c r="E286" s="107" t="n">
        <v>-92.7483535</v>
      </c>
      <c r="F286" s="108" t="s">
        <v>358</v>
      </c>
      <c r="G286" s="107" t="n">
        <v>0.935</v>
      </c>
      <c r="H286" s="107" t="n">
        <v>-92.7483535</v>
      </c>
      <c r="I286" s="109" t="n">
        <v>46654</v>
      </c>
      <c r="J286" s="107" t="n">
        <v>2</v>
      </c>
      <c r="K286" s="107" t="s">
        <v>359</v>
      </c>
      <c r="L286" s="107" t="s">
        <v>298</v>
      </c>
      <c r="M286" s="107" t="n">
        <v>935000</v>
      </c>
      <c r="N286" s="107" t="n">
        <v>99.914</v>
      </c>
      <c r="O286" s="107" t="n">
        <v>991961</v>
      </c>
      <c r="P286" s="107" t="s">
        <v>399</v>
      </c>
      <c r="Q286" s="107" t="s">
        <v>374</v>
      </c>
      <c r="R286" s="107" t="n">
        <v>-0.0631067881570128</v>
      </c>
      <c r="S286" s="107" t="n">
        <v>-0.00718517925415863</v>
      </c>
      <c r="T286" s="107" t="n">
        <v>-95.13897951</v>
      </c>
      <c r="U286" s="107" t="n">
        <v>21069</v>
      </c>
      <c r="V286" s="108" t="s">
        <v>362</v>
      </c>
      <c r="W286" s="107" t="n">
        <v>38038</v>
      </c>
      <c r="X286" s="108" t="s">
        <v>111</v>
      </c>
      <c r="Y286" s="107" t="s">
        <v>705</v>
      </c>
      <c r="Z286" s="107" t="s">
        <v>710</v>
      </c>
      <c r="AA286" s="109" t="n">
        <v>46077</v>
      </c>
      <c r="AB286" s="107" t="n">
        <v>260224000002</v>
      </c>
      <c r="AC286" s="109" t="n">
        <v>45951</v>
      </c>
      <c r="AD286" s="109" t="n">
        <v>48142</v>
      </c>
      <c r="AE286" s="107" t="n">
        <v>4.369</v>
      </c>
      <c r="AF286" s="107" t="n">
        <v>3.8954</v>
      </c>
      <c r="AG286" s="107" t="n">
        <v>1847</v>
      </c>
      <c r="AH286" s="107" t="n">
        <v>10000000</v>
      </c>
      <c r="AI286" s="107" t="n">
        <v>4.349581</v>
      </c>
      <c r="AJ286" s="107" t="n">
        <v>100.076</v>
      </c>
      <c r="AK286" s="107" t="n">
        <v>4.357775</v>
      </c>
      <c r="AL286" s="107" t="n">
        <v>101.977675</v>
      </c>
      <c r="AM286" s="107" t="n">
        <v>5.8126</v>
      </c>
      <c r="AN286" s="107" t="n">
        <v>94.5307</v>
      </c>
      <c r="AO286" s="107" t="n">
        <v>1358.4</v>
      </c>
      <c r="AP286" s="107" t="n">
        <v>1</v>
      </c>
      <c r="AQ286" s="107" t="n">
        <v>9453070</v>
      </c>
      <c r="AR286" s="107" t="n">
        <v>12841050288</v>
      </c>
      <c r="AS286" s="107" t="n">
        <v>10004803.42</v>
      </c>
      <c r="AT286" s="107" t="n">
        <v>14493958715</v>
      </c>
      <c r="AU286" s="107" t="n">
        <v>-551772.3</v>
      </c>
      <c r="AV286" s="107" t="n">
        <v>-749527492</v>
      </c>
      <c r="AW286" s="107" t="n">
        <v>0</v>
      </c>
      <c r="AX286" s="107" t="n">
        <v>0</v>
      </c>
      <c r="AY286" s="107" t="n">
        <v>0</v>
      </c>
      <c r="AZ286" s="107" t="n">
        <v>0</v>
      </c>
      <c r="BA286" s="107" t="n">
        <v>0</v>
      </c>
      <c r="BB286" s="107" t="n">
        <v>0</v>
      </c>
      <c r="BC286" s="107" t="n">
        <v>0</v>
      </c>
      <c r="BD286" s="107" t="n">
        <v>0</v>
      </c>
      <c r="BE286" s="107" t="n">
        <v>192964.17</v>
      </c>
      <c r="BF286" s="107" t="n">
        <v>262122528</v>
      </c>
      <c r="BG286" s="107" t="n">
        <v>0</v>
      </c>
      <c r="BH286" s="107" t="n">
        <v>0</v>
      </c>
      <c r="BI286" s="107" t="n">
        <v>10004803.42</v>
      </c>
      <c r="BJ286" s="107" t="n">
        <v>14493958715</v>
      </c>
      <c r="BK286" s="107" t="n">
        <v>193419.9</v>
      </c>
      <c r="BL286" s="107" t="n">
        <v>280207350</v>
      </c>
      <c r="BM286" s="107" t="n">
        <v>38.88</v>
      </c>
      <c r="BN286" s="107" t="n">
        <v>56376</v>
      </c>
      <c r="BO286" s="107" t="s">
        <v>377</v>
      </c>
      <c r="BP286" s="2"/>
      <c r="BQ286" s="107" t="s">
        <v>106</v>
      </c>
      <c r="BR286" s="107" t="n">
        <v>-903437311</v>
      </c>
      <c r="BS286" s="107" t="n">
        <v>0</v>
      </c>
      <c r="BT286" s="107" t="n">
        <v>0</v>
      </c>
      <c r="BU286" s="107" t="n">
        <v>0</v>
      </c>
      <c r="BV286" s="107" t="n">
        <v>0</v>
      </c>
      <c r="BW286" s="107" t="n">
        <v>192964.17</v>
      </c>
      <c r="BX286" s="107" t="n">
        <v>262122528</v>
      </c>
      <c r="BY286" s="107" t="n">
        <v>0</v>
      </c>
      <c r="BZ286" s="107" t="n">
        <v>0</v>
      </c>
      <c r="CA286" s="107" t="n">
        <v>1448.7</v>
      </c>
      <c r="CB286" s="2"/>
      <c r="CC286" s="107" t="n">
        <v>0</v>
      </c>
      <c r="CD286" s="107" t="n">
        <v>94.51</v>
      </c>
      <c r="CE286" s="107" t="n">
        <v>94.53</v>
      </c>
      <c r="CF286" s="107" t="n">
        <v>94.55</v>
      </c>
      <c r="CG286" s="107" t="n">
        <v>0</v>
      </c>
      <c r="CH286" s="107" t="n">
        <v>3.7854</v>
      </c>
      <c r="CI286" s="107" t="n">
        <v>95.83</v>
      </c>
      <c r="CJ286" s="107" t="n">
        <v>95.88</v>
      </c>
      <c r="CK286" s="107" t="n">
        <v>95.89</v>
      </c>
      <c r="CL286" s="107" t="n">
        <v>0</v>
      </c>
    </row>
    <row r="287" customFormat="false" ht="15" hidden="false" customHeight="false" outlineLevel="0" collapsed="false">
      <c r="A287" s="107" t="s">
        <v>711</v>
      </c>
      <c r="B287" s="107" t="n">
        <v>97.004</v>
      </c>
      <c r="C287" s="107" t="n">
        <v>5.6522</v>
      </c>
      <c r="D287" s="107" t="n">
        <v>2.6977</v>
      </c>
      <c r="E287" s="107" t="n">
        <v>-523.3753816</v>
      </c>
      <c r="F287" s="108" t="s">
        <v>358</v>
      </c>
      <c r="G287" s="107" t="n">
        <v>2.6977</v>
      </c>
      <c r="H287" s="107" t="n">
        <v>-523.3753816</v>
      </c>
      <c r="I287" s="109" t="n">
        <v>47387</v>
      </c>
      <c r="J287" s="107" t="n">
        <v>3</v>
      </c>
      <c r="K287" s="107" t="s">
        <v>359</v>
      </c>
      <c r="L287" s="107" t="s">
        <v>298</v>
      </c>
      <c r="M287" s="107" t="n">
        <v>5395400</v>
      </c>
      <c r="N287" s="107" t="n">
        <v>99.973</v>
      </c>
      <c r="O287" s="107" t="n">
        <v>1940080</v>
      </c>
      <c r="P287" s="107" t="s">
        <v>399</v>
      </c>
      <c r="Q287" s="107" t="s">
        <v>374</v>
      </c>
      <c r="R287" s="107" t="n">
        <v>-0.0864496052892913</v>
      </c>
      <c r="S287" s="107" t="n">
        <v>-0.0296980184649855</v>
      </c>
      <c r="T287" s="107" t="n">
        <v>-538.1587912</v>
      </c>
      <c r="U287" s="107" t="n">
        <v>21069</v>
      </c>
      <c r="V287" s="108" t="s">
        <v>362</v>
      </c>
      <c r="W287" s="107" t="n">
        <v>38038</v>
      </c>
      <c r="X287" s="108" t="s">
        <v>111</v>
      </c>
      <c r="Y287" s="107" t="s">
        <v>707</v>
      </c>
      <c r="Z287" s="107" t="s">
        <v>712</v>
      </c>
      <c r="AA287" s="109" t="n">
        <v>46078</v>
      </c>
      <c r="AB287" s="107" t="n">
        <v>260225000002</v>
      </c>
      <c r="AC287" s="109" t="n">
        <v>46043</v>
      </c>
      <c r="AD287" s="109" t="n">
        <v>48234</v>
      </c>
      <c r="AE287" s="107" t="n">
        <v>4.516</v>
      </c>
      <c r="AF287" s="107" t="n">
        <v>3.8863</v>
      </c>
      <c r="AG287" s="107" t="n">
        <v>1939</v>
      </c>
      <c r="AH287" s="107" t="n">
        <v>10000000</v>
      </c>
      <c r="AI287" s="107" t="n">
        <v>4.382005</v>
      </c>
      <c r="AJ287" s="107" t="n">
        <v>100.582</v>
      </c>
      <c r="AK287" s="107" t="n">
        <v>4.404222</v>
      </c>
      <c r="AL287" s="107" t="n">
        <v>101.383748</v>
      </c>
      <c r="AM287" s="107" t="n">
        <v>5.8823</v>
      </c>
      <c r="AN287" s="107" t="n">
        <v>94.5611</v>
      </c>
      <c r="AO287" s="107" t="n">
        <v>1358.4</v>
      </c>
      <c r="AP287" s="107" t="n">
        <v>1</v>
      </c>
      <c r="AQ287" s="107" t="n">
        <v>9456110</v>
      </c>
      <c r="AR287" s="107" t="n">
        <v>12845179824</v>
      </c>
      <c r="AS287" s="107" t="n">
        <v>10051818.2</v>
      </c>
      <c r="AT287" s="107" t="n">
        <v>14562069027</v>
      </c>
      <c r="AU287" s="107" t="n">
        <v>-594682.25</v>
      </c>
      <c r="AV287" s="107" t="n">
        <v>-807816368</v>
      </c>
      <c r="AW287" s="107" t="n">
        <v>0</v>
      </c>
      <c r="AX287" s="107" t="n">
        <v>0</v>
      </c>
      <c r="AY287" s="107" t="n">
        <v>0</v>
      </c>
      <c r="AZ287" s="107" t="n">
        <v>0</v>
      </c>
      <c r="BA287" s="107" t="n">
        <v>0</v>
      </c>
      <c r="BB287" s="107" t="n">
        <v>0</v>
      </c>
      <c r="BC287" s="107" t="n">
        <v>0</v>
      </c>
      <c r="BD287" s="107" t="n">
        <v>0</v>
      </c>
      <c r="BE287" s="107" t="n">
        <v>86556.67</v>
      </c>
      <c r="BF287" s="107" t="n">
        <v>117578580</v>
      </c>
      <c r="BG287" s="107" t="n">
        <v>0</v>
      </c>
      <c r="BH287" s="107" t="n">
        <v>0</v>
      </c>
      <c r="BI287" s="107" t="n">
        <v>10051818.2</v>
      </c>
      <c r="BJ287" s="107" t="n">
        <v>14562069027</v>
      </c>
      <c r="BK287" s="107" t="n">
        <v>86103.12</v>
      </c>
      <c r="BL287" s="107" t="n">
        <v>124737557</v>
      </c>
      <c r="BM287" s="107" t="n">
        <v>-1025.95</v>
      </c>
      <c r="BN287" s="107" t="n">
        <v>-1486314</v>
      </c>
      <c r="BO287" s="107" t="s">
        <v>377</v>
      </c>
      <c r="BP287" s="2"/>
      <c r="BQ287" s="107" t="s">
        <v>106</v>
      </c>
      <c r="BR287" s="107" t="n">
        <v>-907586521</v>
      </c>
      <c r="BS287" s="107" t="n">
        <v>0</v>
      </c>
      <c r="BT287" s="107" t="n">
        <v>0</v>
      </c>
      <c r="BU287" s="107" t="n">
        <v>0</v>
      </c>
      <c r="BV287" s="107" t="n">
        <v>0</v>
      </c>
      <c r="BW287" s="107" t="n">
        <v>86556.67</v>
      </c>
      <c r="BX287" s="107" t="n">
        <v>117578580</v>
      </c>
      <c r="BY287" s="107" t="n">
        <v>0</v>
      </c>
      <c r="BZ287" s="107" t="n">
        <v>0</v>
      </c>
      <c r="CA287" s="107" t="n">
        <v>1448.7</v>
      </c>
      <c r="CB287" s="2"/>
      <c r="CC287" s="107" t="n">
        <v>0</v>
      </c>
      <c r="CD287" s="107" t="n">
        <v>94.55</v>
      </c>
      <c r="CE287" s="107" t="n">
        <v>94.57</v>
      </c>
      <c r="CF287" s="107" t="n">
        <v>94.56</v>
      </c>
      <c r="CG287" s="107" t="n">
        <v>0</v>
      </c>
      <c r="CH287" s="107" t="n">
        <v>3.7753</v>
      </c>
      <c r="CI287" s="107" t="n">
        <v>95.83</v>
      </c>
      <c r="CJ287" s="107" t="n">
        <v>95.88</v>
      </c>
      <c r="CK287" s="107" t="n">
        <v>95.89</v>
      </c>
      <c r="CL287" s="107" t="n">
        <v>0</v>
      </c>
    </row>
    <row r="288" customFormat="false" ht="15" hidden="false" customHeight="false" outlineLevel="0" collapsed="false">
      <c r="A288" s="107" t="s">
        <v>713</v>
      </c>
      <c r="B288" s="107" t="n">
        <v>99.3496</v>
      </c>
      <c r="C288" s="107" t="n">
        <v>5.6136</v>
      </c>
      <c r="D288" s="107" t="n">
        <v>2.4866</v>
      </c>
      <c r="E288" s="107" t="n">
        <v>-1235.2135768</v>
      </c>
      <c r="F288" s="108" t="s">
        <v>358</v>
      </c>
      <c r="G288" s="107" t="n">
        <v>2.4866</v>
      </c>
      <c r="H288" s="107" t="n">
        <v>-1235.2135768</v>
      </c>
      <c r="I288" s="109" t="n">
        <v>47309</v>
      </c>
      <c r="J288" s="107" t="n">
        <v>3</v>
      </c>
      <c r="K288" s="108" t="s">
        <v>92</v>
      </c>
      <c r="L288" s="107" t="s">
        <v>298</v>
      </c>
      <c r="M288" s="107" t="n">
        <v>12433000</v>
      </c>
      <c r="N288" s="107" t="n">
        <v>104.19</v>
      </c>
      <c r="O288" s="107" t="n">
        <v>4967480</v>
      </c>
      <c r="P288" s="107" t="s">
        <v>420</v>
      </c>
      <c r="Q288" s="107" t="s">
        <v>106</v>
      </c>
      <c r="R288" s="107" t="n">
        <v>-0.0876641312718655</v>
      </c>
      <c r="S288" s="107" t="n">
        <v>-0.0464574335348882</v>
      </c>
      <c r="T288" s="107" t="n">
        <v>-1269.8865872</v>
      </c>
      <c r="U288" s="107" t="n">
        <v>21069</v>
      </c>
      <c r="V288" s="108" t="s">
        <v>362</v>
      </c>
      <c r="W288" s="107" t="n">
        <v>38038</v>
      </c>
      <c r="X288" s="108" t="s">
        <v>111</v>
      </c>
      <c r="Y288" s="107" t="s">
        <v>709</v>
      </c>
      <c r="Z288" s="107" t="s">
        <v>714</v>
      </c>
      <c r="AA288" s="109" t="n">
        <v>45561</v>
      </c>
      <c r="AB288" s="107" t="n">
        <v>240926000001</v>
      </c>
      <c r="AC288" s="109" t="n">
        <v>45561</v>
      </c>
      <c r="AD288" s="109" t="n">
        <v>46654</v>
      </c>
      <c r="AE288" s="107" t="n">
        <v>4.3</v>
      </c>
      <c r="AF288" s="107" t="n">
        <v>0.9564</v>
      </c>
      <c r="AG288" s="107" t="n">
        <v>359</v>
      </c>
      <c r="AH288" s="107" t="n">
        <v>1000000</v>
      </c>
      <c r="AI288" s="107" t="n">
        <v>4.331021</v>
      </c>
      <c r="AJ288" s="107" t="n">
        <v>99.914</v>
      </c>
      <c r="AK288" s="107" t="n">
        <v>3.909344</v>
      </c>
      <c r="AL288" s="107" t="n">
        <v>100.422684</v>
      </c>
      <c r="AM288" s="107" t="n">
        <v>5.1333</v>
      </c>
      <c r="AN288" s="107" t="n">
        <v>99.2094</v>
      </c>
      <c r="AO288" s="107" t="n">
        <v>1358.4</v>
      </c>
      <c r="AP288" s="107" t="n">
        <v>1</v>
      </c>
      <c r="AQ288" s="107" t="n">
        <v>992094</v>
      </c>
      <c r="AR288" s="107" t="n">
        <v>1347660490</v>
      </c>
      <c r="AS288" s="107" t="n">
        <v>1003510.17</v>
      </c>
      <c r="AT288" s="107" t="n">
        <v>1439936743</v>
      </c>
      <c r="AU288" s="107" t="n">
        <v>-11415.93</v>
      </c>
      <c r="AV288" s="107" t="n">
        <v>-15507399</v>
      </c>
      <c r="AW288" s="107" t="n">
        <v>0</v>
      </c>
      <c r="AX288" s="107" t="n">
        <v>0</v>
      </c>
      <c r="AY288" s="107" t="n">
        <v>0</v>
      </c>
      <c r="AZ288" s="107" t="n">
        <v>0</v>
      </c>
      <c r="BA288" s="107" t="n">
        <v>0</v>
      </c>
      <c r="BB288" s="107" t="n">
        <v>0</v>
      </c>
      <c r="BC288" s="107" t="n">
        <v>0</v>
      </c>
      <c r="BD288" s="107" t="n">
        <v>0</v>
      </c>
      <c r="BE288" s="107" t="n">
        <v>716.67</v>
      </c>
      <c r="BF288" s="107" t="n">
        <v>973524</v>
      </c>
      <c r="BG288" s="107" t="n">
        <v>0</v>
      </c>
      <c r="BH288" s="107" t="n">
        <v>0</v>
      </c>
      <c r="BI288" s="107" t="n">
        <v>999765.7</v>
      </c>
      <c r="BJ288" s="107" t="n">
        <v>1435073769</v>
      </c>
      <c r="BK288" s="107" t="n">
        <v>712.44</v>
      </c>
      <c r="BL288" s="107" t="n">
        <v>1022280</v>
      </c>
      <c r="BM288" s="107" t="n">
        <v>-0.24</v>
      </c>
      <c r="BN288" s="107" t="n">
        <v>-342</v>
      </c>
      <c r="BO288" s="107" t="s">
        <v>374</v>
      </c>
      <c r="BP288" s="2"/>
      <c r="BQ288" s="107" t="s">
        <v>374</v>
      </c>
      <c r="BR288" s="107" t="n">
        <v>-76768512</v>
      </c>
      <c r="BS288" s="107" t="n">
        <v>0</v>
      </c>
      <c r="BT288" s="107" t="n">
        <v>0</v>
      </c>
      <c r="BU288" s="107" t="n">
        <v>3744.47</v>
      </c>
      <c r="BV288" s="107" t="n">
        <v>4862974</v>
      </c>
      <c r="BW288" s="107" t="n">
        <v>716.67</v>
      </c>
      <c r="BX288" s="107" t="n">
        <v>973524</v>
      </c>
      <c r="BY288" s="107" t="n">
        <v>0</v>
      </c>
      <c r="BZ288" s="107" t="n">
        <v>0</v>
      </c>
      <c r="CA288" s="107" t="n">
        <v>1434.9</v>
      </c>
      <c r="CB288" s="2"/>
      <c r="CC288" s="107" t="n">
        <v>0</v>
      </c>
      <c r="CD288" s="107" t="n">
        <v>99.24</v>
      </c>
      <c r="CE288" s="107" t="n">
        <v>99.25</v>
      </c>
      <c r="CF288" s="107" t="n">
        <v>99.14</v>
      </c>
      <c r="CG288" s="107" t="n">
        <v>0</v>
      </c>
      <c r="CH288" s="107" t="n">
        <v>0.9325</v>
      </c>
      <c r="CI288" s="107" t="n">
        <v>95.81</v>
      </c>
      <c r="CJ288" s="107" t="n">
        <v>95.91</v>
      </c>
      <c r="CK288" s="107" t="n">
        <v>95.92</v>
      </c>
      <c r="CL288" s="107" t="n">
        <v>500000</v>
      </c>
    </row>
    <row r="289" customFormat="false" ht="15" hidden="false" customHeight="false" outlineLevel="0" collapsed="false">
      <c r="A289" s="107" t="s">
        <v>715</v>
      </c>
      <c r="B289" s="107" t="n">
        <v>94.506</v>
      </c>
      <c r="C289" s="107" t="n">
        <v>5.8757</v>
      </c>
      <c r="D289" s="107" t="n">
        <v>3.7668</v>
      </c>
      <c r="E289" s="107" t="n">
        <v>-3559.852008</v>
      </c>
      <c r="F289" s="108" t="s">
        <v>358</v>
      </c>
      <c r="G289" s="107" t="n">
        <v>3.7668</v>
      </c>
      <c r="H289" s="107" t="n">
        <v>-3559.852008</v>
      </c>
      <c r="I289" s="109" t="n">
        <v>47864</v>
      </c>
      <c r="J289" s="107" t="n">
        <v>5</v>
      </c>
      <c r="K289" s="108" t="s">
        <v>384</v>
      </c>
      <c r="L289" s="107" t="s">
        <v>298</v>
      </c>
      <c r="M289" s="107" t="n">
        <v>37668000</v>
      </c>
      <c r="N289" s="107" t="n">
        <v>100.6</v>
      </c>
      <c r="O289" s="107" t="n">
        <v>9450600</v>
      </c>
      <c r="P289" s="107" t="s">
        <v>423</v>
      </c>
      <c r="Q289" s="107" t="s">
        <v>374</v>
      </c>
      <c r="R289" s="107" t="n">
        <v>-0.117541431684252</v>
      </c>
      <c r="S289" s="107" t="n">
        <v>-0.0605765407554672</v>
      </c>
      <c r="T289" s="107" t="n">
        <v>-3664.47015</v>
      </c>
      <c r="U289" s="107" t="n">
        <v>21069</v>
      </c>
      <c r="V289" s="108" t="s">
        <v>362</v>
      </c>
      <c r="W289" s="107" t="n">
        <v>38038</v>
      </c>
      <c r="X289" s="108" t="s">
        <v>111</v>
      </c>
      <c r="Y289" s="107" t="s">
        <v>711</v>
      </c>
      <c r="Z289" s="107" t="s">
        <v>716</v>
      </c>
      <c r="AA289" s="109" t="n">
        <v>45561</v>
      </c>
      <c r="AB289" s="107" t="n">
        <v>240926000001</v>
      </c>
      <c r="AC289" s="109" t="n">
        <v>45561</v>
      </c>
      <c r="AD289" s="109" t="n">
        <v>47387</v>
      </c>
      <c r="AE289" s="107" t="n">
        <v>4.55</v>
      </c>
      <c r="AF289" s="107" t="n">
        <v>2.7716</v>
      </c>
      <c r="AG289" s="107" t="n">
        <v>1092</v>
      </c>
      <c r="AH289" s="107" t="n">
        <v>2000000</v>
      </c>
      <c r="AI289" s="107" t="n">
        <v>4.556099</v>
      </c>
      <c r="AJ289" s="107" t="n">
        <v>99.973</v>
      </c>
      <c r="AK289" s="107" t="n">
        <v>4.31895</v>
      </c>
      <c r="AL289" s="107" t="n">
        <v>100.691431</v>
      </c>
      <c r="AM289" s="107" t="n">
        <v>5.6069</v>
      </c>
      <c r="AN289" s="107" t="n">
        <v>97.1271</v>
      </c>
      <c r="AO289" s="107" t="n">
        <v>1358.4</v>
      </c>
      <c r="AP289" s="107" t="n">
        <v>1</v>
      </c>
      <c r="AQ289" s="107" t="n">
        <v>1942542</v>
      </c>
      <c r="AR289" s="107" t="n">
        <v>2638749053</v>
      </c>
      <c r="AS289" s="107" t="n">
        <v>2013247.11</v>
      </c>
      <c r="AT289" s="107" t="n">
        <v>2888808278</v>
      </c>
      <c r="AU289" s="107" t="n">
        <v>-70698.07</v>
      </c>
      <c r="AV289" s="107" t="n">
        <v>-96036258</v>
      </c>
      <c r="AW289" s="107" t="n">
        <v>0</v>
      </c>
      <c r="AX289" s="107" t="n">
        <v>0</v>
      </c>
      <c r="AY289" s="107" t="n">
        <v>0</v>
      </c>
      <c r="AZ289" s="107" t="n">
        <v>0</v>
      </c>
      <c r="BA289" s="107" t="n">
        <v>0</v>
      </c>
      <c r="BB289" s="107" t="n">
        <v>0</v>
      </c>
      <c r="BC289" s="107" t="n">
        <v>0</v>
      </c>
      <c r="BD289" s="107" t="n">
        <v>0</v>
      </c>
      <c r="BE289" s="107" t="n">
        <v>1011.11</v>
      </c>
      <c r="BF289" s="107" t="n">
        <v>1373491</v>
      </c>
      <c r="BG289" s="107" t="n">
        <v>0</v>
      </c>
      <c r="BH289" s="107" t="n">
        <v>0</v>
      </c>
      <c r="BI289" s="107" t="n">
        <v>1999646.54</v>
      </c>
      <c r="BJ289" s="107" t="n">
        <v>2871073996</v>
      </c>
      <c r="BK289" s="107" t="n">
        <v>998.48</v>
      </c>
      <c r="BL289" s="107" t="n">
        <v>1432716</v>
      </c>
      <c r="BM289" s="107" t="n">
        <v>-7.04</v>
      </c>
      <c r="BN289" s="107" t="n">
        <v>-10104</v>
      </c>
      <c r="BO289" s="107" t="s">
        <v>374</v>
      </c>
      <c r="BP289" s="2"/>
      <c r="BQ289" s="107" t="s">
        <v>374</v>
      </c>
      <c r="BR289" s="107" t="n">
        <v>-154012863</v>
      </c>
      <c r="BS289" s="107" t="n">
        <v>0</v>
      </c>
      <c r="BT289" s="107" t="n">
        <v>0</v>
      </c>
      <c r="BU289" s="107" t="n">
        <v>13600.57</v>
      </c>
      <c r="BV289" s="107" t="n">
        <v>17734282</v>
      </c>
      <c r="BW289" s="107" t="n">
        <v>1011.11</v>
      </c>
      <c r="BX289" s="107" t="n">
        <v>1373491</v>
      </c>
      <c r="BY289" s="107" t="n">
        <v>0</v>
      </c>
      <c r="BZ289" s="107" t="n">
        <v>0</v>
      </c>
      <c r="CA289" s="107" t="n">
        <v>1434.9</v>
      </c>
      <c r="CB289" s="2"/>
      <c r="CC289" s="107" t="n">
        <v>0</v>
      </c>
      <c r="CD289" s="107" t="n">
        <v>97.11</v>
      </c>
      <c r="CE289" s="107" t="n">
        <v>97.01</v>
      </c>
      <c r="CF289" s="107" t="n">
        <v>97.26</v>
      </c>
      <c r="CG289" s="107" t="n">
        <v>0</v>
      </c>
      <c r="CH289" s="107" t="n">
        <v>2.696</v>
      </c>
      <c r="CI289" s="107" t="n">
        <v>95.81</v>
      </c>
      <c r="CJ289" s="107" t="n">
        <v>95.91</v>
      </c>
      <c r="CK289" s="107" t="n">
        <v>95.92</v>
      </c>
      <c r="CL289" s="107" t="n">
        <v>2000000</v>
      </c>
    </row>
    <row r="290" customFormat="false" ht="15" hidden="false" customHeight="false" outlineLevel="0" collapsed="false">
      <c r="A290" s="107" t="s">
        <v>715</v>
      </c>
      <c r="B290" s="107" t="n">
        <v>94.506</v>
      </c>
      <c r="C290" s="107" t="n">
        <v>5.8757</v>
      </c>
      <c r="D290" s="107" t="n">
        <v>3.7668</v>
      </c>
      <c r="E290" s="107" t="n">
        <v>-3559.852008</v>
      </c>
      <c r="F290" s="108" t="s">
        <v>358</v>
      </c>
      <c r="G290" s="107" t="n">
        <v>3.7668</v>
      </c>
      <c r="H290" s="107" t="n">
        <v>-3559.852008</v>
      </c>
      <c r="I290" s="109" t="n">
        <v>47864</v>
      </c>
      <c r="J290" s="107" t="n">
        <v>5</v>
      </c>
      <c r="K290" s="108" t="s">
        <v>384</v>
      </c>
      <c r="L290" s="107" t="s">
        <v>298</v>
      </c>
      <c r="M290" s="107" t="n">
        <v>37668000</v>
      </c>
      <c r="N290" s="107" t="n">
        <v>100.57</v>
      </c>
      <c r="O290" s="107" t="n">
        <v>9450600</v>
      </c>
      <c r="P290" s="107" t="s">
        <v>423</v>
      </c>
      <c r="Q290" s="107" t="s">
        <v>374</v>
      </c>
      <c r="R290" s="107" t="n">
        <v>-0.117293322352536</v>
      </c>
      <c r="S290" s="107" t="n">
        <v>-0.0602963110271452</v>
      </c>
      <c r="T290" s="107" t="n">
        <v>-3664.47015</v>
      </c>
      <c r="U290" s="107" t="n">
        <v>21069</v>
      </c>
      <c r="V290" s="108" t="s">
        <v>362</v>
      </c>
      <c r="W290" s="107" t="n">
        <v>38038</v>
      </c>
      <c r="X290" s="108" t="s">
        <v>111</v>
      </c>
      <c r="Y290" s="107" t="s">
        <v>713</v>
      </c>
      <c r="Z290" s="107" t="s">
        <v>717</v>
      </c>
      <c r="AA290" s="109" t="n">
        <v>45554</v>
      </c>
      <c r="AB290" s="107" t="n">
        <v>240919000001</v>
      </c>
      <c r="AC290" s="109" t="n">
        <v>45483</v>
      </c>
      <c r="AD290" s="109" t="n">
        <v>47674</v>
      </c>
      <c r="AE290" s="107" t="n">
        <v>5.382</v>
      </c>
      <c r="AF290" s="107" t="n">
        <v>2.5541</v>
      </c>
      <c r="AG290" s="107" t="n">
        <v>1379</v>
      </c>
      <c r="AH290" s="107" t="n">
        <v>5000000</v>
      </c>
      <c r="AI290" s="107" t="n">
        <v>4.403943</v>
      </c>
      <c r="AJ290" s="107" t="n">
        <v>104.19</v>
      </c>
      <c r="AK290" s="107" t="n">
        <v>4.446937</v>
      </c>
      <c r="AL290" s="107" t="n">
        <v>104.407632</v>
      </c>
      <c r="AM290" s="107" t="n">
        <v>5.5659</v>
      </c>
      <c r="AN290" s="107" t="n">
        <v>99.4808</v>
      </c>
      <c r="AO290" s="107" t="n">
        <v>1358.4</v>
      </c>
      <c r="AP290" s="107" t="n">
        <v>1</v>
      </c>
      <c r="AQ290" s="107" t="n">
        <v>4974040</v>
      </c>
      <c r="AR290" s="107" t="n">
        <v>6756735936</v>
      </c>
      <c r="AS290" s="107" t="n">
        <v>5160581.61</v>
      </c>
      <c r="AT290" s="107" t="n">
        <v>7404918552</v>
      </c>
      <c r="AU290" s="107" t="n">
        <v>-179267.39</v>
      </c>
      <c r="AV290" s="107" t="n">
        <v>-243516823</v>
      </c>
      <c r="AW290" s="107" t="n">
        <v>0</v>
      </c>
      <c r="AX290" s="107" t="n">
        <v>0</v>
      </c>
      <c r="AY290" s="107" t="n">
        <v>0</v>
      </c>
      <c r="AZ290" s="107" t="n">
        <v>0</v>
      </c>
      <c r="BA290" s="107" t="n">
        <v>0</v>
      </c>
      <c r="BB290" s="107" t="n">
        <v>0</v>
      </c>
      <c r="BC290" s="107" t="n">
        <v>0</v>
      </c>
      <c r="BD290" s="107" t="n">
        <v>0</v>
      </c>
      <c r="BE290" s="107" t="n">
        <v>59800</v>
      </c>
      <c r="BF290" s="107" t="n">
        <v>81232320</v>
      </c>
      <c r="BG290" s="107" t="n">
        <v>0</v>
      </c>
      <c r="BH290" s="107" t="n">
        <v>0</v>
      </c>
      <c r="BI290" s="107" t="n">
        <v>5149110.63</v>
      </c>
      <c r="BJ290" s="107" t="n">
        <v>7393559921</v>
      </c>
      <c r="BK290" s="107" t="n">
        <v>52688.28</v>
      </c>
      <c r="BL290" s="107" t="n">
        <v>75602360</v>
      </c>
      <c r="BM290" s="107" t="n">
        <v>-7274.22</v>
      </c>
      <c r="BN290" s="107" t="n">
        <v>-10437780</v>
      </c>
      <c r="BO290" s="107" t="s">
        <v>374</v>
      </c>
      <c r="BP290" s="2"/>
      <c r="BQ290" s="107" t="s">
        <v>369</v>
      </c>
      <c r="BR290" s="107" t="n">
        <v>-394228013</v>
      </c>
      <c r="BS290" s="107" t="n">
        <v>0</v>
      </c>
      <c r="BT290" s="107" t="n">
        <v>0</v>
      </c>
      <c r="BU290" s="107" t="n">
        <v>11470.98</v>
      </c>
      <c r="BV290" s="107" t="n">
        <v>11358631</v>
      </c>
      <c r="BW290" s="107" t="n">
        <v>59800</v>
      </c>
      <c r="BX290" s="107" t="n">
        <v>81232320</v>
      </c>
      <c r="BY290" s="107" t="n">
        <v>0</v>
      </c>
      <c r="BZ290" s="107" t="n">
        <v>0</v>
      </c>
      <c r="CA290" s="107" t="n">
        <v>1434.9</v>
      </c>
      <c r="CB290" s="2"/>
      <c r="CC290" s="107" t="n">
        <v>0</v>
      </c>
      <c r="CD290" s="107" t="n">
        <v>99.51</v>
      </c>
      <c r="CE290" s="107" t="n">
        <v>99.47</v>
      </c>
      <c r="CF290" s="107" t="n">
        <v>99.46</v>
      </c>
      <c r="CG290" s="107" t="n">
        <v>0</v>
      </c>
      <c r="CH290" s="107" t="n">
        <v>2.4849</v>
      </c>
      <c r="CI290" s="107" t="n">
        <v>95.81</v>
      </c>
      <c r="CJ290" s="107" t="n">
        <v>95.91</v>
      </c>
      <c r="CK290" s="107" t="n">
        <v>95.92</v>
      </c>
      <c r="CL290" s="107" t="n">
        <v>1000000</v>
      </c>
    </row>
    <row r="291" customFormat="false" ht="15" hidden="false" customHeight="false" outlineLevel="0" collapsed="false">
      <c r="A291" s="107" t="s">
        <v>718</v>
      </c>
      <c r="B291" s="107" t="n">
        <v>93.1434</v>
      </c>
      <c r="C291" s="107" t="n">
        <v>5.2239</v>
      </c>
      <c r="D291" s="107" t="n">
        <v>7.1368</v>
      </c>
      <c r="E291" s="107" t="n">
        <v>-9971.1872568</v>
      </c>
      <c r="F291" s="108" t="s">
        <v>358</v>
      </c>
      <c r="G291" s="107" t="n">
        <v>7.1368</v>
      </c>
      <c r="H291" s="107" t="n">
        <v>-9971.1872568</v>
      </c>
      <c r="I291" s="109" t="n">
        <v>49536</v>
      </c>
      <c r="J291" s="107" t="n">
        <v>10</v>
      </c>
      <c r="K291" s="108" t="s">
        <v>384</v>
      </c>
      <c r="L291" s="107" t="s">
        <v>565</v>
      </c>
      <c r="M291" s="107" t="n">
        <v>107052000</v>
      </c>
      <c r="N291" s="107" t="n">
        <v>101.859375</v>
      </c>
      <c r="O291" s="107" t="n">
        <v>13971510</v>
      </c>
      <c r="P291" s="107" t="s">
        <v>566</v>
      </c>
      <c r="Q291" s="107" t="s">
        <v>532</v>
      </c>
      <c r="R291" s="107" t="n">
        <v>-0.126199868118285</v>
      </c>
      <c r="S291" s="107" t="n">
        <v>-0.0855687068568799</v>
      </c>
      <c r="T291" s="107" t="n">
        <v>-10231.6162032</v>
      </c>
      <c r="U291" s="107" t="n">
        <v>21069</v>
      </c>
      <c r="V291" s="108" t="s">
        <v>362</v>
      </c>
      <c r="W291" s="107" t="n">
        <v>38038</v>
      </c>
      <c r="X291" s="108" t="s">
        <v>111</v>
      </c>
      <c r="Y291" s="107" t="s">
        <v>715</v>
      </c>
      <c r="Z291" s="107" t="s">
        <v>719</v>
      </c>
      <c r="AA291" s="109" t="n">
        <v>46078</v>
      </c>
      <c r="AB291" s="107" t="n">
        <v>260225000005</v>
      </c>
      <c r="AC291" s="109" t="n">
        <v>46042</v>
      </c>
      <c r="AD291" s="109" t="n">
        <v>48229</v>
      </c>
      <c r="AE291" s="107" t="n">
        <v>4.493</v>
      </c>
      <c r="AF291" s="107" t="n">
        <v>3.8737</v>
      </c>
      <c r="AG291" s="107" t="n">
        <v>1934</v>
      </c>
      <c r="AH291" s="107" t="n">
        <v>10000000</v>
      </c>
      <c r="AI291" s="107" t="n">
        <v>4.354741</v>
      </c>
      <c r="AJ291" s="107" t="n">
        <v>100.6</v>
      </c>
      <c r="AK291" s="107" t="n">
        <v>4.366661</v>
      </c>
      <c r="AL291" s="107" t="n">
        <v>101.460464</v>
      </c>
      <c r="AM291" s="107" t="n">
        <v>5.8381</v>
      </c>
      <c r="AN291" s="107" t="n">
        <v>94.6567</v>
      </c>
      <c r="AO291" s="107" t="n">
        <v>1358.4</v>
      </c>
      <c r="AP291" s="107" t="n">
        <v>1</v>
      </c>
      <c r="AQ291" s="107" t="n">
        <v>9465670</v>
      </c>
      <c r="AR291" s="107" t="n">
        <v>12858166128</v>
      </c>
      <c r="AS291" s="107" t="n">
        <v>10053690.37</v>
      </c>
      <c r="AT291" s="107" t="n">
        <v>14564781239</v>
      </c>
      <c r="AU291" s="107" t="n">
        <v>-586853.77</v>
      </c>
      <c r="AV291" s="107" t="n">
        <v>-797182161</v>
      </c>
      <c r="AW291" s="107" t="n">
        <v>0</v>
      </c>
      <c r="AX291" s="107" t="n">
        <v>0</v>
      </c>
      <c r="AY291" s="107" t="n">
        <v>0</v>
      </c>
      <c r="AZ291" s="107" t="n">
        <v>0</v>
      </c>
      <c r="BA291" s="107" t="n">
        <v>0</v>
      </c>
      <c r="BB291" s="107" t="n">
        <v>0</v>
      </c>
      <c r="BC291" s="107" t="n">
        <v>0</v>
      </c>
      <c r="BD291" s="107" t="n">
        <v>0</v>
      </c>
      <c r="BE291" s="107" t="n">
        <v>92356.11</v>
      </c>
      <c r="BF291" s="107" t="n">
        <v>125456539</v>
      </c>
      <c r="BG291" s="107" t="n">
        <v>0</v>
      </c>
      <c r="BH291" s="107" t="n">
        <v>0</v>
      </c>
      <c r="BI291" s="107" t="n">
        <v>10053690.37</v>
      </c>
      <c r="BJ291" s="107" t="n">
        <v>14564781239</v>
      </c>
      <c r="BK291" s="107" t="n">
        <v>91623.32</v>
      </c>
      <c r="BL291" s="107" t="n">
        <v>132734684</v>
      </c>
      <c r="BM291" s="107" t="n">
        <v>-1166.6</v>
      </c>
      <c r="BN291" s="107" t="n">
        <v>-1690012</v>
      </c>
      <c r="BO291" s="107" t="s">
        <v>374</v>
      </c>
      <c r="BP291" s="2"/>
      <c r="BQ291" s="107" t="s">
        <v>367</v>
      </c>
      <c r="BR291" s="107" t="n">
        <v>-907742938</v>
      </c>
      <c r="BS291" s="107" t="n">
        <v>0</v>
      </c>
      <c r="BT291" s="107" t="n">
        <v>0</v>
      </c>
      <c r="BU291" s="107" t="n">
        <v>0</v>
      </c>
      <c r="BV291" s="107" t="n">
        <v>0</v>
      </c>
      <c r="BW291" s="107" t="n">
        <v>92356.11</v>
      </c>
      <c r="BX291" s="107" t="n">
        <v>125456539</v>
      </c>
      <c r="BY291" s="107" t="n">
        <v>0</v>
      </c>
      <c r="BZ291" s="107" t="n">
        <v>0</v>
      </c>
      <c r="CA291" s="107" t="n">
        <v>1448.7</v>
      </c>
      <c r="CB291" s="2"/>
      <c r="CC291" s="107" t="n">
        <v>0</v>
      </c>
      <c r="CD291" s="107" t="n">
        <v>94.7</v>
      </c>
      <c r="CE291" s="107" t="n">
        <v>94.64</v>
      </c>
      <c r="CF291" s="107" t="n">
        <v>94.64</v>
      </c>
      <c r="CG291" s="107" t="n">
        <v>2100000</v>
      </c>
      <c r="CH291" s="107" t="n">
        <v>3.7638</v>
      </c>
      <c r="CI291" s="107" t="n">
        <v>99.07</v>
      </c>
      <c r="CJ291" s="107" t="n">
        <v>99.15</v>
      </c>
      <c r="CK291" s="107" t="n">
        <v>99.11</v>
      </c>
      <c r="CL291" s="107" t="n">
        <v>2500000</v>
      </c>
    </row>
    <row r="292" customFormat="false" ht="15" hidden="false" customHeight="false" outlineLevel="0" collapsed="false">
      <c r="A292" s="107" t="s">
        <v>718</v>
      </c>
      <c r="B292" s="107" t="n">
        <v>93.1434</v>
      </c>
      <c r="C292" s="107" t="n">
        <v>5.2239</v>
      </c>
      <c r="D292" s="107" t="n">
        <v>7.1368</v>
      </c>
      <c r="E292" s="107" t="n">
        <v>-9971.1872568</v>
      </c>
      <c r="F292" s="108" t="s">
        <v>358</v>
      </c>
      <c r="G292" s="107" t="n">
        <v>7.1368</v>
      </c>
      <c r="H292" s="107" t="n">
        <v>-9971.1872568</v>
      </c>
      <c r="I292" s="109" t="n">
        <v>49536</v>
      </c>
      <c r="J292" s="107" t="n">
        <v>10</v>
      </c>
      <c r="K292" s="108" t="s">
        <v>384</v>
      </c>
      <c r="L292" s="107" t="s">
        <v>565</v>
      </c>
      <c r="M292" s="107" t="n">
        <v>107052000</v>
      </c>
      <c r="N292" s="107" t="n">
        <v>101.859375</v>
      </c>
      <c r="O292" s="107" t="n">
        <v>13971510</v>
      </c>
      <c r="P292" s="107" t="s">
        <v>566</v>
      </c>
      <c r="Q292" s="107" t="s">
        <v>532</v>
      </c>
      <c r="R292" s="107" t="n">
        <v>-0.126199868118285</v>
      </c>
      <c r="S292" s="107" t="n">
        <v>-0.0855687068568799</v>
      </c>
      <c r="T292" s="107" t="n">
        <v>-10231.6162032</v>
      </c>
      <c r="U292" s="107" t="n">
        <v>21069</v>
      </c>
      <c r="V292" s="108" t="s">
        <v>362</v>
      </c>
      <c r="W292" s="107" t="n">
        <v>38038</v>
      </c>
      <c r="X292" s="108" t="s">
        <v>111</v>
      </c>
      <c r="Y292" s="107" t="s">
        <v>715</v>
      </c>
      <c r="Z292" s="107" t="s">
        <v>719</v>
      </c>
      <c r="AA292" s="109" t="n">
        <v>46078</v>
      </c>
      <c r="AB292" s="107" t="n">
        <v>260225000006</v>
      </c>
      <c r="AC292" s="109" t="n">
        <v>46042</v>
      </c>
      <c r="AD292" s="109" t="n">
        <v>48229</v>
      </c>
      <c r="AE292" s="107" t="n">
        <v>4.493</v>
      </c>
      <c r="AF292" s="107" t="n">
        <v>3.8737</v>
      </c>
      <c r="AG292" s="107" t="n">
        <v>1934</v>
      </c>
      <c r="AH292" s="107" t="n">
        <v>10000000</v>
      </c>
      <c r="AI292" s="107" t="n">
        <v>4.361593</v>
      </c>
      <c r="AJ292" s="107" t="n">
        <v>100.57</v>
      </c>
      <c r="AK292" s="107" t="n">
        <v>4.372664</v>
      </c>
      <c r="AL292" s="107" t="n">
        <v>101.432206</v>
      </c>
      <c r="AM292" s="107" t="n">
        <v>5.8381</v>
      </c>
      <c r="AN292" s="107" t="n">
        <v>94.6567</v>
      </c>
      <c r="AO292" s="107" t="n">
        <v>1358.4</v>
      </c>
      <c r="AP292" s="107" t="n">
        <v>1</v>
      </c>
      <c r="AQ292" s="107" t="n">
        <v>9465670</v>
      </c>
      <c r="AR292" s="107" t="n">
        <v>12858166128</v>
      </c>
      <c r="AS292" s="107" t="n">
        <v>10050864.5</v>
      </c>
      <c r="AT292" s="107" t="n">
        <v>14560687401</v>
      </c>
      <c r="AU292" s="107" t="n">
        <v>-584123.66</v>
      </c>
      <c r="AV292" s="107" t="n">
        <v>-793473580</v>
      </c>
      <c r="AW292" s="107" t="n">
        <v>0</v>
      </c>
      <c r="AX292" s="107" t="n">
        <v>0</v>
      </c>
      <c r="AY292" s="107" t="n">
        <v>0</v>
      </c>
      <c r="AZ292" s="107" t="n">
        <v>0</v>
      </c>
      <c r="BA292" s="107" t="n">
        <v>0</v>
      </c>
      <c r="BB292" s="107" t="n">
        <v>0</v>
      </c>
      <c r="BC292" s="107" t="n">
        <v>0</v>
      </c>
      <c r="BD292" s="107" t="n">
        <v>0</v>
      </c>
      <c r="BE292" s="107" t="n">
        <v>92356.11</v>
      </c>
      <c r="BF292" s="107" t="n">
        <v>125456539</v>
      </c>
      <c r="BG292" s="107" t="n">
        <v>0</v>
      </c>
      <c r="BH292" s="107" t="n">
        <v>0</v>
      </c>
      <c r="BI292" s="107" t="n">
        <v>10050864.5</v>
      </c>
      <c r="BJ292" s="107" t="n">
        <v>14560687401</v>
      </c>
      <c r="BK292" s="107" t="n">
        <v>91719.08</v>
      </c>
      <c r="BL292" s="107" t="n">
        <v>132873384</v>
      </c>
      <c r="BM292" s="107" t="n">
        <v>-1070.84</v>
      </c>
      <c r="BN292" s="107" t="n">
        <v>-1551312</v>
      </c>
      <c r="BO292" s="107" t="s">
        <v>374</v>
      </c>
      <c r="BP292" s="2"/>
      <c r="BQ292" s="107" t="s">
        <v>367</v>
      </c>
      <c r="BR292" s="107" t="n">
        <v>-907496381</v>
      </c>
      <c r="BS292" s="107" t="n">
        <v>0</v>
      </c>
      <c r="BT292" s="107" t="n">
        <v>0</v>
      </c>
      <c r="BU292" s="107" t="n">
        <v>0</v>
      </c>
      <c r="BV292" s="107" t="n">
        <v>0</v>
      </c>
      <c r="BW292" s="107" t="n">
        <v>92356.11</v>
      </c>
      <c r="BX292" s="107" t="n">
        <v>125456539</v>
      </c>
      <c r="BY292" s="107" t="n">
        <v>0</v>
      </c>
      <c r="BZ292" s="107" t="n">
        <v>0</v>
      </c>
      <c r="CA292" s="107" t="n">
        <v>1448.7</v>
      </c>
      <c r="CB292" s="2"/>
      <c r="CC292" s="107" t="n">
        <v>0</v>
      </c>
      <c r="CD292" s="107" t="n">
        <v>94.7</v>
      </c>
      <c r="CE292" s="107" t="n">
        <v>94.64</v>
      </c>
      <c r="CF292" s="107" t="n">
        <v>94.64</v>
      </c>
      <c r="CG292" s="107" t="n">
        <v>0</v>
      </c>
      <c r="CH292" s="107" t="n">
        <v>3.7638</v>
      </c>
      <c r="CI292" s="107" t="n">
        <v>97.25</v>
      </c>
      <c r="CJ292" s="107" t="n">
        <v>97.44</v>
      </c>
      <c r="CK292" s="107" t="n">
        <v>97.54</v>
      </c>
      <c r="CL292" s="107" t="n">
        <v>0</v>
      </c>
    </row>
    <row r="293" customFormat="false" ht="15" hidden="false" customHeight="false" outlineLevel="0" collapsed="false">
      <c r="A293" s="107" t="s">
        <v>718</v>
      </c>
      <c r="B293" s="107" t="n">
        <v>93.1434</v>
      </c>
      <c r="C293" s="107" t="n">
        <v>5.2239</v>
      </c>
      <c r="D293" s="107" t="n">
        <v>7.1368</v>
      </c>
      <c r="E293" s="107" t="n">
        <v>-3988.47490272</v>
      </c>
      <c r="F293" s="108" t="s">
        <v>358</v>
      </c>
      <c r="G293" s="107" t="n">
        <v>7.1368</v>
      </c>
      <c r="H293" s="107" t="n">
        <v>-3988.47490272</v>
      </c>
      <c r="I293" s="109" t="n">
        <v>49536</v>
      </c>
      <c r="J293" s="107" t="n">
        <v>10</v>
      </c>
      <c r="K293" s="108" t="s">
        <v>384</v>
      </c>
      <c r="L293" s="107" t="s">
        <v>565</v>
      </c>
      <c r="M293" s="107" t="n">
        <v>42820800</v>
      </c>
      <c r="N293" s="107" t="n">
        <v>101.859375</v>
      </c>
      <c r="O293" s="107" t="n">
        <v>5588604</v>
      </c>
      <c r="P293" s="107" t="s">
        <v>566</v>
      </c>
      <c r="Q293" s="107" t="s">
        <v>532</v>
      </c>
      <c r="R293" s="107" t="n">
        <v>-0.126199846459667</v>
      </c>
      <c r="S293" s="107" t="n">
        <v>-0.0855687068568799</v>
      </c>
      <c r="T293" s="107" t="n">
        <v>-4092.64648128</v>
      </c>
      <c r="U293" s="107" t="n">
        <v>21069</v>
      </c>
      <c r="V293" s="108" t="s">
        <v>362</v>
      </c>
      <c r="W293" s="107" t="n">
        <v>38038</v>
      </c>
      <c r="X293" s="108" t="s">
        <v>111</v>
      </c>
      <c r="Y293" s="107" t="s">
        <v>718</v>
      </c>
      <c r="Z293" s="107" t="s">
        <v>720</v>
      </c>
      <c r="AA293" s="109" t="n">
        <v>45945</v>
      </c>
      <c r="AB293" s="107" t="n">
        <v>251015000001</v>
      </c>
      <c r="AC293" s="109" t="n">
        <v>45884</v>
      </c>
      <c r="AD293" s="109" t="n">
        <v>49536</v>
      </c>
      <c r="AE293" s="107" t="n">
        <v>4.25</v>
      </c>
      <c r="AF293" s="107" t="n">
        <v>7.3216</v>
      </c>
      <c r="AG293" s="107" t="n">
        <v>3241</v>
      </c>
      <c r="AH293" s="107" t="n">
        <v>15000000</v>
      </c>
      <c r="AI293" s="107" t="n">
        <v>4.018663</v>
      </c>
      <c r="AJ293" s="107" t="n">
        <v>101.859375</v>
      </c>
      <c r="AK293" s="107" t="n">
        <v>4.108388</v>
      </c>
      <c r="AL293" s="107" t="n">
        <v>101.567582</v>
      </c>
      <c r="AM293" s="107" t="n">
        <v>5.2059</v>
      </c>
      <c r="AN293" s="107" t="n">
        <v>93.2658</v>
      </c>
      <c r="AO293" s="107" t="n">
        <v>1358.4</v>
      </c>
      <c r="AP293" s="107" t="n">
        <v>1</v>
      </c>
      <c r="AQ293" s="107" t="n">
        <v>13989870</v>
      </c>
      <c r="AR293" s="107" t="n">
        <v>19003839408</v>
      </c>
      <c r="AS293" s="107" t="n">
        <v>15154740.8</v>
      </c>
      <c r="AT293" s="107" t="n">
        <v>21745537574</v>
      </c>
      <c r="AU293" s="107" t="n">
        <v>-1162495.82</v>
      </c>
      <c r="AV293" s="107" t="n">
        <v>-1579134322</v>
      </c>
      <c r="AW293" s="107" t="n">
        <v>0</v>
      </c>
      <c r="AX293" s="107" t="n">
        <v>0</v>
      </c>
      <c r="AY293" s="107" t="n">
        <v>105.23</v>
      </c>
      <c r="AZ293" s="107" t="n">
        <v>150995</v>
      </c>
      <c r="BA293" s="107" t="n">
        <v>0</v>
      </c>
      <c r="BB293" s="107" t="n">
        <v>0</v>
      </c>
      <c r="BC293" s="107" t="n">
        <v>132.83</v>
      </c>
      <c r="BD293" s="107" t="n">
        <v>190597</v>
      </c>
      <c r="BE293" s="107" t="n">
        <v>79687.5</v>
      </c>
      <c r="BF293" s="107" t="n">
        <v>108247500</v>
      </c>
      <c r="BG293" s="107" t="n">
        <v>603.77</v>
      </c>
      <c r="BH293" s="107" t="n">
        <v>830322</v>
      </c>
      <c r="BI293" s="107" t="n">
        <v>15257966.96</v>
      </c>
      <c r="BJ293" s="107" t="n">
        <v>21893656791</v>
      </c>
      <c r="BK293" s="107" t="n">
        <v>77098.3</v>
      </c>
      <c r="BL293" s="107" t="n">
        <v>110628344</v>
      </c>
      <c r="BM293" s="107" t="n">
        <v>-2374.98</v>
      </c>
      <c r="BN293" s="107" t="n">
        <v>-3407864</v>
      </c>
      <c r="BO293" s="2"/>
      <c r="BP293" s="2"/>
      <c r="BQ293" s="107" t="s">
        <v>532</v>
      </c>
      <c r="BR293" s="107" t="n">
        <v>-1159155980</v>
      </c>
      <c r="BS293" s="107" t="n">
        <v>-8051</v>
      </c>
      <c r="BT293" s="107" t="n">
        <v>-10161</v>
      </c>
      <c r="BU293" s="107" t="n">
        <v>-103226.16</v>
      </c>
      <c r="BV293" s="107" t="n">
        <v>-148119217</v>
      </c>
      <c r="BW293" s="107" t="n">
        <v>79687.5</v>
      </c>
      <c r="BX293" s="107" t="n">
        <v>108247500</v>
      </c>
      <c r="BY293" s="107" t="n">
        <v>709</v>
      </c>
      <c r="BZ293" s="107" t="n">
        <v>963105</v>
      </c>
      <c r="CA293" s="107" t="n">
        <v>1434.9</v>
      </c>
      <c r="CB293" s="2"/>
      <c r="CC293" s="107" t="n">
        <v>0</v>
      </c>
      <c r="CD293" s="107" t="n">
        <v>93.22</v>
      </c>
      <c r="CE293" s="107" t="n">
        <v>93.32</v>
      </c>
      <c r="CF293" s="107" t="n">
        <v>93.26</v>
      </c>
      <c r="CG293" s="107" t="n">
        <v>0</v>
      </c>
      <c r="CH293" s="107" t="n">
        <v>7.1359</v>
      </c>
      <c r="CI293" s="107" t="n">
        <v>97.68</v>
      </c>
      <c r="CJ293" s="107" t="n">
        <v>97.91</v>
      </c>
      <c r="CK293" s="107" t="n">
        <v>98.01</v>
      </c>
      <c r="CL293" s="107" t="n">
        <v>0</v>
      </c>
    </row>
    <row r="294" customFormat="false" ht="15" hidden="false" customHeight="false" outlineLevel="0" collapsed="false">
      <c r="A294" s="107" t="s">
        <v>718</v>
      </c>
      <c r="B294" s="107" t="n">
        <v>93.1434</v>
      </c>
      <c r="C294" s="107" t="n">
        <v>5.2239</v>
      </c>
      <c r="D294" s="107" t="n">
        <v>7.1368</v>
      </c>
      <c r="E294" s="107" t="n">
        <v>-15289.15379376</v>
      </c>
      <c r="F294" s="108" t="s">
        <v>358</v>
      </c>
      <c r="G294" s="107" t="n">
        <v>7.1368</v>
      </c>
      <c r="H294" s="107" t="n">
        <v>-15289.15379376</v>
      </c>
      <c r="I294" s="109" t="n">
        <v>49536</v>
      </c>
      <c r="J294" s="107" t="n">
        <v>10</v>
      </c>
      <c r="K294" s="108" t="s">
        <v>384</v>
      </c>
      <c r="L294" s="107" t="s">
        <v>565</v>
      </c>
      <c r="M294" s="107" t="n">
        <v>164146400</v>
      </c>
      <c r="N294" s="107" t="n">
        <v>102.140625</v>
      </c>
      <c r="O294" s="107" t="n">
        <v>21422982</v>
      </c>
      <c r="P294" s="107" t="s">
        <v>566</v>
      </c>
      <c r="Q294" s="107" t="s">
        <v>532</v>
      </c>
      <c r="R294" s="107" t="n">
        <v>-0.126074478274845</v>
      </c>
      <c r="S294" s="107" t="n">
        <v>-0.0880866452501148</v>
      </c>
      <c r="T294" s="107" t="n">
        <v>-15688.47817824</v>
      </c>
      <c r="U294" s="107" t="n">
        <v>21069</v>
      </c>
      <c r="V294" s="108" t="s">
        <v>362</v>
      </c>
      <c r="W294" s="107" t="n">
        <v>38038</v>
      </c>
      <c r="X294" s="108" t="s">
        <v>111</v>
      </c>
      <c r="Y294" s="107" t="s">
        <v>718</v>
      </c>
      <c r="Z294" s="107" t="s">
        <v>720</v>
      </c>
      <c r="AA294" s="109" t="n">
        <v>45945</v>
      </c>
      <c r="AB294" s="107" t="n">
        <v>251015000002</v>
      </c>
      <c r="AC294" s="109" t="n">
        <v>45884</v>
      </c>
      <c r="AD294" s="109" t="n">
        <v>49536</v>
      </c>
      <c r="AE294" s="107" t="n">
        <v>4.25</v>
      </c>
      <c r="AF294" s="107" t="n">
        <v>7.3216</v>
      </c>
      <c r="AG294" s="107" t="n">
        <v>3241</v>
      </c>
      <c r="AH294" s="107" t="n">
        <v>15000000</v>
      </c>
      <c r="AI294" s="107" t="n">
        <v>4.018663</v>
      </c>
      <c r="AJ294" s="107" t="n">
        <v>101.859375</v>
      </c>
      <c r="AK294" s="107" t="n">
        <v>4.108388</v>
      </c>
      <c r="AL294" s="107" t="n">
        <v>101.567582</v>
      </c>
      <c r="AM294" s="107" t="n">
        <v>5.2059</v>
      </c>
      <c r="AN294" s="107" t="n">
        <v>93.2658</v>
      </c>
      <c r="AO294" s="107" t="n">
        <v>1358.4</v>
      </c>
      <c r="AP294" s="107" t="n">
        <v>1</v>
      </c>
      <c r="AQ294" s="107" t="n">
        <v>13989870</v>
      </c>
      <c r="AR294" s="107" t="n">
        <v>19003839408</v>
      </c>
      <c r="AS294" s="107" t="n">
        <v>15154740.8</v>
      </c>
      <c r="AT294" s="107" t="n">
        <v>21745537574</v>
      </c>
      <c r="AU294" s="107" t="n">
        <v>-1162495.82</v>
      </c>
      <c r="AV294" s="107" t="n">
        <v>-1579134322</v>
      </c>
      <c r="AW294" s="107" t="n">
        <v>0</v>
      </c>
      <c r="AX294" s="107" t="n">
        <v>0</v>
      </c>
      <c r="AY294" s="107" t="n">
        <v>105.23</v>
      </c>
      <c r="AZ294" s="107" t="n">
        <v>150995</v>
      </c>
      <c r="BA294" s="107" t="n">
        <v>0</v>
      </c>
      <c r="BB294" s="107" t="n">
        <v>0</v>
      </c>
      <c r="BC294" s="107" t="n">
        <v>132.83</v>
      </c>
      <c r="BD294" s="107" t="n">
        <v>190597</v>
      </c>
      <c r="BE294" s="107" t="n">
        <v>79687.5</v>
      </c>
      <c r="BF294" s="107" t="n">
        <v>108247500</v>
      </c>
      <c r="BG294" s="107" t="n">
        <v>603.77</v>
      </c>
      <c r="BH294" s="107" t="n">
        <v>830322</v>
      </c>
      <c r="BI294" s="107" t="n">
        <v>15257966.96</v>
      </c>
      <c r="BJ294" s="107" t="n">
        <v>21893656791</v>
      </c>
      <c r="BK294" s="107" t="n">
        <v>77098.3</v>
      </c>
      <c r="BL294" s="107" t="n">
        <v>110628344</v>
      </c>
      <c r="BM294" s="107" t="n">
        <v>-2374.98</v>
      </c>
      <c r="BN294" s="107" t="n">
        <v>-3407864</v>
      </c>
      <c r="BO294" s="2"/>
      <c r="BP294" s="2"/>
      <c r="BQ294" s="107" t="s">
        <v>532</v>
      </c>
      <c r="BR294" s="107" t="n">
        <v>-1159155980</v>
      </c>
      <c r="BS294" s="107" t="n">
        <v>-8051</v>
      </c>
      <c r="BT294" s="107" t="n">
        <v>-10161</v>
      </c>
      <c r="BU294" s="107" t="n">
        <v>-103226.16</v>
      </c>
      <c r="BV294" s="107" t="n">
        <v>-148119217</v>
      </c>
      <c r="BW294" s="107" t="n">
        <v>79687.5</v>
      </c>
      <c r="BX294" s="107" t="n">
        <v>108247500</v>
      </c>
      <c r="BY294" s="107" t="n">
        <v>709</v>
      </c>
      <c r="BZ294" s="107" t="n">
        <v>963105</v>
      </c>
      <c r="CA294" s="107" t="n">
        <v>1434.9</v>
      </c>
      <c r="CB294" s="2"/>
      <c r="CC294" s="107" t="n">
        <v>0</v>
      </c>
      <c r="CD294" s="107" t="n">
        <v>93.22</v>
      </c>
      <c r="CE294" s="107" t="n">
        <v>93.32</v>
      </c>
      <c r="CF294" s="107" t="n">
        <v>93.26</v>
      </c>
      <c r="CG294" s="107" t="n">
        <v>0</v>
      </c>
      <c r="CH294" s="107" t="n">
        <v>7.1359</v>
      </c>
      <c r="CI294" s="107" t="n">
        <v>99.35</v>
      </c>
      <c r="CJ294" s="107" t="n">
        <v>99.37</v>
      </c>
      <c r="CK294" s="107" t="n">
        <v>99.37</v>
      </c>
      <c r="CL294" s="107" t="n">
        <v>10000000</v>
      </c>
    </row>
    <row r="295" customFormat="false" ht="15" hidden="false" customHeight="false" outlineLevel="0" collapsed="false">
      <c r="A295" s="107" t="s">
        <v>721</v>
      </c>
      <c r="B295" s="107" t="n">
        <v>93.7173</v>
      </c>
      <c r="C295" s="107" t="n">
        <v>5.1153</v>
      </c>
      <c r="D295" s="107" t="n">
        <v>5.1314</v>
      </c>
      <c r="E295" s="107" t="n">
        <v>-9618.0190644</v>
      </c>
      <c r="F295" s="108" t="s">
        <v>358</v>
      </c>
      <c r="G295" s="107" t="n">
        <v>5.1314</v>
      </c>
      <c r="H295" s="107" t="n">
        <v>-9618.0190644</v>
      </c>
      <c r="I295" s="109" t="n">
        <v>48457</v>
      </c>
      <c r="J295" s="107" t="n">
        <v>10</v>
      </c>
      <c r="K295" s="108" t="s">
        <v>384</v>
      </c>
      <c r="L295" s="107" t="s">
        <v>565</v>
      </c>
      <c r="M295" s="107" t="n">
        <v>102628000</v>
      </c>
      <c r="N295" s="107" t="n">
        <v>100.6640625</v>
      </c>
      <c r="O295" s="107" t="n">
        <v>18743460</v>
      </c>
      <c r="P295" s="107" t="s">
        <v>566</v>
      </c>
      <c r="Q295" s="107" t="s">
        <v>532</v>
      </c>
      <c r="R295" s="107" t="n">
        <v>-0.111923192471727</v>
      </c>
      <c r="S295" s="107" t="n">
        <v>-0.0690093597206054</v>
      </c>
      <c r="T295" s="107" t="n">
        <v>-9863.9332596</v>
      </c>
      <c r="U295" s="107" t="n">
        <v>21069</v>
      </c>
      <c r="V295" s="108" t="s">
        <v>362</v>
      </c>
      <c r="W295" s="107" t="n">
        <v>38038</v>
      </c>
      <c r="X295" s="108" t="s">
        <v>111</v>
      </c>
      <c r="Y295" s="107" t="s">
        <v>718</v>
      </c>
      <c r="Z295" s="107" t="s">
        <v>720</v>
      </c>
      <c r="AA295" s="109" t="n">
        <v>45945</v>
      </c>
      <c r="AB295" s="107" t="n">
        <v>251015000003</v>
      </c>
      <c r="AC295" s="109" t="n">
        <v>45884</v>
      </c>
      <c r="AD295" s="109" t="n">
        <v>49536</v>
      </c>
      <c r="AE295" s="107" t="n">
        <v>4.25</v>
      </c>
      <c r="AF295" s="107" t="n">
        <v>7.3216</v>
      </c>
      <c r="AG295" s="107" t="n">
        <v>3241</v>
      </c>
      <c r="AH295" s="107" t="n">
        <v>6000000</v>
      </c>
      <c r="AI295" s="107" t="n">
        <v>4.018663</v>
      </c>
      <c r="AJ295" s="107" t="n">
        <v>101.859375</v>
      </c>
      <c r="AK295" s="107" t="n">
        <v>4.108388</v>
      </c>
      <c r="AL295" s="107" t="n">
        <v>101.567579</v>
      </c>
      <c r="AM295" s="107" t="n">
        <v>5.2059</v>
      </c>
      <c r="AN295" s="107" t="n">
        <v>93.2658</v>
      </c>
      <c r="AO295" s="107" t="n">
        <v>1358.4</v>
      </c>
      <c r="AP295" s="107" t="n">
        <v>1</v>
      </c>
      <c r="AQ295" s="107" t="n">
        <v>5595948</v>
      </c>
      <c r="AR295" s="107" t="n">
        <v>7601535763</v>
      </c>
      <c r="AS295" s="107" t="n">
        <v>6061896.17</v>
      </c>
      <c r="AT295" s="107" t="n">
        <v>8698214814</v>
      </c>
      <c r="AU295" s="107" t="n">
        <v>-464998.27</v>
      </c>
      <c r="AV295" s="107" t="n">
        <v>-631653650</v>
      </c>
      <c r="AW295" s="107" t="n">
        <v>0</v>
      </c>
      <c r="AX295" s="107" t="n">
        <v>0</v>
      </c>
      <c r="AY295" s="107" t="n">
        <v>42.09</v>
      </c>
      <c r="AZ295" s="107" t="n">
        <v>60395</v>
      </c>
      <c r="BA295" s="107" t="n">
        <v>0</v>
      </c>
      <c r="BB295" s="107" t="n">
        <v>0</v>
      </c>
      <c r="BC295" s="107" t="n">
        <v>53.13</v>
      </c>
      <c r="BD295" s="107" t="n">
        <v>76236</v>
      </c>
      <c r="BE295" s="107" t="n">
        <v>31875</v>
      </c>
      <c r="BF295" s="107" t="n">
        <v>43299000</v>
      </c>
      <c r="BG295" s="107" t="n">
        <v>241.51</v>
      </c>
      <c r="BH295" s="107" t="n">
        <v>332131</v>
      </c>
      <c r="BI295" s="107" t="n">
        <v>6103186.79</v>
      </c>
      <c r="BJ295" s="107" t="n">
        <v>8757462724</v>
      </c>
      <c r="BK295" s="107" t="n">
        <v>30839.32</v>
      </c>
      <c r="BL295" s="107" t="n">
        <v>44251310</v>
      </c>
      <c r="BM295" s="107" t="n">
        <v>-949.9</v>
      </c>
      <c r="BN295" s="107" t="n">
        <v>-1363026</v>
      </c>
      <c r="BO295" s="2"/>
      <c r="BP295" s="2"/>
      <c r="BQ295" s="107" t="s">
        <v>532</v>
      </c>
      <c r="BR295" s="107" t="n">
        <v>-463662375</v>
      </c>
      <c r="BS295" s="107" t="n">
        <v>-3220</v>
      </c>
      <c r="BT295" s="107" t="n">
        <v>-4064</v>
      </c>
      <c r="BU295" s="107" t="n">
        <v>-41290.62</v>
      </c>
      <c r="BV295" s="107" t="n">
        <v>-59247910</v>
      </c>
      <c r="BW295" s="107" t="n">
        <v>31875</v>
      </c>
      <c r="BX295" s="107" t="n">
        <v>43299000</v>
      </c>
      <c r="BY295" s="107" t="n">
        <v>283.6</v>
      </c>
      <c r="BZ295" s="107" t="n">
        <v>385242</v>
      </c>
      <c r="CA295" s="107" t="n">
        <v>1434.9</v>
      </c>
      <c r="CB295" s="2"/>
      <c r="CC295" s="107" t="n">
        <v>0</v>
      </c>
      <c r="CD295" s="107" t="n">
        <v>93.22</v>
      </c>
      <c r="CE295" s="107" t="n">
        <v>93.32</v>
      </c>
      <c r="CF295" s="107" t="n">
        <v>93.26</v>
      </c>
      <c r="CG295" s="107" t="n">
        <v>0</v>
      </c>
      <c r="CH295" s="107" t="n">
        <v>7.1359</v>
      </c>
      <c r="CI295" s="107" t="n">
        <v>97.15</v>
      </c>
      <c r="CJ295" s="107" t="n">
        <v>97.2</v>
      </c>
      <c r="CK295" s="107" t="n">
        <v>97.25</v>
      </c>
      <c r="CL295" s="107" t="n">
        <v>0</v>
      </c>
    </row>
    <row r="296" customFormat="false" ht="15" hidden="false" customHeight="false" outlineLevel="0" collapsed="false">
      <c r="A296" s="107" t="s">
        <v>722</v>
      </c>
      <c r="B296" s="107" t="n">
        <v>93.617</v>
      </c>
      <c r="C296" s="107" t="n">
        <v>5.1236</v>
      </c>
      <c r="D296" s="107" t="n">
        <v>5.1065</v>
      </c>
      <c r="E296" s="107" t="n">
        <v>-7648.883368</v>
      </c>
      <c r="F296" s="108" t="s">
        <v>358</v>
      </c>
      <c r="G296" s="107" t="n">
        <v>5.1065</v>
      </c>
      <c r="H296" s="107" t="n">
        <v>-7648.883368</v>
      </c>
      <c r="I296" s="109" t="n">
        <v>48487</v>
      </c>
      <c r="J296" s="107" t="n">
        <v>10</v>
      </c>
      <c r="K296" s="108" t="s">
        <v>384</v>
      </c>
      <c r="L296" s="107" t="s">
        <v>565</v>
      </c>
      <c r="M296" s="107" t="n">
        <v>81704000</v>
      </c>
      <c r="N296" s="107" t="n">
        <v>100.578125</v>
      </c>
      <c r="O296" s="107" t="n">
        <v>14978720</v>
      </c>
      <c r="P296" s="107" t="s">
        <v>566</v>
      </c>
      <c r="Q296" s="107" t="s">
        <v>532</v>
      </c>
      <c r="R296" s="107" t="n">
        <v>-0.11271044938457</v>
      </c>
      <c r="S296" s="107" t="n">
        <v>-0.0692111231940344</v>
      </c>
      <c r="T296" s="107" t="n">
        <v>-7844.8050256</v>
      </c>
      <c r="U296" s="107" t="n">
        <v>21069</v>
      </c>
      <c r="V296" s="108" t="s">
        <v>362</v>
      </c>
      <c r="W296" s="107" t="n">
        <v>38038</v>
      </c>
      <c r="X296" s="108" t="s">
        <v>111</v>
      </c>
      <c r="Y296" s="107" t="s">
        <v>718</v>
      </c>
      <c r="Z296" s="107" t="s">
        <v>720</v>
      </c>
      <c r="AA296" s="109" t="n">
        <v>45957</v>
      </c>
      <c r="AB296" s="107" t="n">
        <v>251027000002</v>
      </c>
      <c r="AC296" s="109" t="n">
        <v>45884</v>
      </c>
      <c r="AD296" s="109" t="n">
        <v>49536</v>
      </c>
      <c r="AE296" s="107" t="n">
        <v>4.25</v>
      </c>
      <c r="AF296" s="107" t="n">
        <v>7.3216</v>
      </c>
      <c r="AG296" s="107" t="n">
        <v>3241</v>
      </c>
      <c r="AH296" s="107" t="n">
        <v>23000000</v>
      </c>
      <c r="AI296" s="107" t="n">
        <v>3.983439</v>
      </c>
      <c r="AJ296" s="107" t="n">
        <v>102.140625</v>
      </c>
      <c r="AK296" s="107" t="n">
        <v>4.110341</v>
      </c>
      <c r="AL296" s="107" t="n">
        <v>101.553086</v>
      </c>
      <c r="AM296" s="107" t="n">
        <v>5.2059</v>
      </c>
      <c r="AN296" s="107" t="n">
        <v>93.2658</v>
      </c>
      <c r="AO296" s="107" t="n">
        <v>1358.4</v>
      </c>
      <c r="AP296" s="107" t="n">
        <v>1</v>
      </c>
      <c r="AQ296" s="107" t="n">
        <v>21451134</v>
      </c>
      <c r="AR296" s="107" t="n">
        <v>29139220426</v>
      </c>
      <c r="AS296" s="107" t="n">
        <v>23233935.17</v>
      </c>
      <c r="AT296" s="107" t="n">
        <v>33338373575</v>
      </c>
      <c r="AU296" s="107" t="n">
        <v>-1778481.31</v>
      </c>
      <c r="AV296" s="107" t="n">
        <v>-2415889011</v>
      </c>
      <c r="AW296" s="107" t="n">
        <v>0</v>
      </c>
      <c r="AX296" s="107" t="n">
        <v>0</v>
      </c>
      <c r="AY296" s="107" t="n">
        <v>193.09</v>
      </c>
      <c r="AZ296" s="107" t="n">
        <v>277065</v>
      </c>
      <c r="BA296" s="107" t="n">
        <v>0</v>
      </c>
      <c r="BB296" s="107" t="n">
        <v>0</v>
      </c>
      <c r="BC296" s="107" t="n">
        <v>171.93</v>
      </c>
      <c r="BD296" s="107" t="n">
        <v>246702</v>
      </c>
      <c r="BE296" s="107" t="n">
        <v>122187.5</v>
      </c>
      <c r="BF296" s="107" t="n">
        <v>165979500</v>
      </c>
      <c r="BG296" s="107" t="n">
        <v>894.05</v>
      </c>
      <c r="BH296" s="107" t="n">
        <v>1227629</v>
      </c>
      <c r="BI296" s="107" t="n">
        <v>23456840.28</v>
      </c>
      <c r="BJ296" s="107" t="n">
        <v>33658220118</v>
      </c>
      <c r="BK296" s="107" t="n">
        <v>117531.84</v>
      </c>
      <c r="BL296" s="107" t="n">
        <v>168646396</v>
      </c>
      <c r="BM296" s="107" t="n">
        <v>-4319.86</v>
      </c>
      <c r="BN296" s="107" t="n">
        <v>-6198592</v>
      </c>
      <c r="BO296" s="2"/>
      <c r="BP296" s="2"/>
      <c r="BQ296" s="107" t="s">
        <v>532</v>
      </c>
      <c r="BR296" s="107" t="n">
        <v>-1777065546</v>
      </c>
      <c r="BS296" s="107" t="n">
        <v>-14772</v>
      </c>
      <c r="BT296" s="107" t="n">
        <v>-13152</v>
      </c>
      <c r="BU296" s="107" t="n">
        <v>-222905.11</v>
      </c>
      <c r="BV296" s="107" t="n">
        <v>-319846543</v>
      </c>
      <c r="BW296" s="107" t="n">
        <v>122187.5</v>
      </c>
      <c r="BX296" s="107" t="n">
        <v>165979500</v>
      </c>
      <c r="BY296" s="107" t="n">
        <v>1087.14</v>
      </c>
      <c r="BZ296" s="107" t="n">
        <v>1476770</v>
      </c>
      <c r="CA296" s="107" t="n">
        <v>1434.9</v>
      </c>
      <c r="CB296" s="2"/>
      <c r="CC296" s="107" t="n">
        <v>0</v>
      </c>
      <c r="CD296" s="107" t="n">
        <v>93.22</v>
      </c>
      <c r="CE296" s="107" t="n">
        <v>93.32</v>
      </c>
      <c r="CF296" s="107" t="n">
        <v>93.26</v>
      </c>
      <c r="CG296" s="107" t="n">
        <v>0</v>
      </c>
      <c r="CH296" s="107" t="n">
        <v>7.1359</v>
      </c>
      <c r="CI296" s="107" t="n">
        <v>97.15</v>
      </c>
      <c r="CJ296" s="107" t="n">
        <v>97.2</v>
      </c>
      <c r="CK296" s="107" t="n">
        <v>97.25</v>
      </c>
      <c r="CL296" s="107" t="n">
        <v>0</v>
      </c>
    </row>
    <row r="297" customFormat="false" ht="15" hidden="false" customHeight="false" outlineLevel="0" collapsed="false">
      <c r="A297" s="107" t="s">
        <v>723</v>
      </c>
      <c r="B297" s="107" t="n">
        <v>92.7868</v>
      </c>
      <c r="C297" s="107" t="n">
        <v>5.1271</v>
      </c>
      <c r="D297" s="107" t="n">
        <v>5.285</v>
      </c>
      <c r="E297" s="107" t="n">
        <v>-12259.45595</v>
      </c>
      <c r="F297" s="108" t="s">
        <v>358</v>
      </c>
      <c r="G297" s="107" t="n">
        <v>5.285</v>
      </c>
      <c r="H297" s="107" t="n">
        <v>-12259.45595</v>
      </c>
      <c r="I297" s="109" t="n">
        <v>48548</v>
      </c>
      <c r="J297" s="107" t="n">
        <v>10</v>
      </c>
      <c r="K297" s="108" t="s">
        <v>384</v>
      </c>
      <c r="L297" s="107" t="s">
        <v>565</v>
      </c>
      <c r="M297" s="107" t="n">
        <v>132125000</v>
      </c>
      <c r="N297" s="107" t="n">
        <v>99.87890625</v>
      </c>
      <c r="O297" s="107" t="n">
        <v>23196700</v>
      </c>
      <c r="P297" s="107" t="s">
        <v>566</v>
      </c>
      <c r="Q297" s="107" t="s">
        <v>532</v>
      </c>
      <c r="R297" s="107" t="n">
        <v>-0.113344242895824</v>
      </c>
      <c r="S297" s="107" t="n">
        <v>-0.0710070475966992</v>
      </c>
      <c r="T297" s="107" t="n">
        <v>-12573.771235</v>
      </c>
      <c r="U297" s="107" t="n">
        <v>21069</v>
      </c>
      <c r="V297" s="108" t="s">
        <v>362</v>
      </c>
      <c r="W297" s="107" t="n">
        <v>38038</v>
      </c>
      <c r="X297" s="108" t="s">
        <v>111</v>
      </c>
      <c r="Y297" s="107" t="s">
        <v>721</v>
      </c>
      <c r="Z297" s="107" t="s">
        <v>724</v>
      </c>
      <c r="AA297" s="109" t="n">
        <v>45918</v>
      </c>
      <c r="AB297" s="107" t="n">
        <v>250918000001</v>
      </c>
      <c r="AC297" s="109" t="n">
        <v>45900</v>
      </c>
      <c r="AD297" s="109" t="n">
        <v>48457</v>
      </c>
      <c r="AE297" s="107" t="n">
        <v>3.875</v>
      </c>
      <c r="AF297" s="107" t="n">
        <v>5.2607</v>
      </c>
      <c r="AG297" s="107" t="n">
        <v>2162</v>
      </c>
      <c r="AH297" s="107" t="n">
        <v>20000000</v>
      </c>
      <c r="AI297" s="107" t="n">
        <v>3.7652511</v>
      </c>
      <c r="AJ297" s="107" t="n">
        <v>100.6640625</v>
      </c>
      <c r="AK297" s="107" t="n">
        <v>3.861317</v>
      </c>
      <c r="AL297" s="107" t="n">
        <v>100.387814</v>
      </c>
      <c r="AM297" s="107" t="n">
        <v>5.0843</v>
      </c>
      <c r="AN297" s="107" t="n">
        <v>93.8709</v>
      </c>
      <c r="AO297" s="107" t="n">
        <v>1358.4</v>
      </c>
      <c r="AP297" s="107" t="n">
        <v>1</v>
      </c>
      <c r="AQ297" s="107" t="n">
        <v>18774180</v>
      </c>
      <c r="AR297" s="107" t="n">
        <v>25502846112</v>
      </c>
      <c r="AS297" s="107" t="n">
        <v>20003984.44</v>
      </c>
      <c r="AT297" s="107" t="n">
        <v>28703717273</v>
      </c>
      <c r="AU297" s="107" t="n">
        <v>-1227880.84</v>
      </c>
      <c r="AV297" s="107" t="n">
        <v>-1667953333</v>
      </c>
      <c r="AW297" s="107" t="n">
        <v>0</v>
      </c>
      <c r="AX297" s="107" t="n">
        <v>0</v>
      </c>
      <c r="AY297" s="107" t="n">
        <v>380.74</v>
      </c>
      <c r="AZ297" s="107" t="n">
        <v>546324</v>
      </c>
      <c r="BA297" s="107" t="n">
        <v>0</v>
      </c>
      <c r="BB297" s="107" t="n">
        <v>0</v>
      </c>
      <c r="BC297" s="107" t="n">
        <v>2474.83</v>
      </c>
      <c r="BD297" s="107" t="n">
        <v>3551133</v>
      </c>
      <c r="BE297" s="107" t="n">
        <v>64226.52</v>
      </c>
      <c r="BF297" s="107" t="n">
        <v>87245304</v>
      </c>
      <c r="BG297" s="107" t="n">
        <v>8971.27</v>
      </c>
      <c r="BH297" s="107" t="n">
        <v>12375897</v>
      </c>
      <c r="BI297" s="107" t="n">
        <v>20116721.48</v>
      </c>
      <c r="BJ297" s="107" t="n">
        <v>28865483652</v>
      </c>
      <c r="BK297" s="107" t="n">
        <v>61991.1</v>
      </c>
      <c r="BL297" s="107" t="n">
        <v>88951020</v>
      </c>
      <c r="BM297" s="107" t="n">
        <v>-1923.6</v>
      </c>
      <c r="BN297" s="107" t="n">
        <v>-2760180</v>
      </c>
      <c r="BO297" s="2"/>
      <c r="BP297" s="2"/>
      <c r="BQ297" s="107" t="s">
        <v>532</v>
      </c>
      <c r="BR297" s="107" t="n">
        <v>-1530157648</v>
      </c>
      <c r="BS297" s="107" t="n">
        <v>-29127</v>
      </c>
      <c r="BT297" s="107" t="n">
        <v>-189324</v>
      </c>
      <c r="BU297" s="107" t="n">
        <v>-112737.04</v>
      </c>
      <c r="BV297" s="107" t="n">
        <v>-161766379</v>
      </c>
      <c r="BW297" s="107" t="n">
        <v>64226.52</v>
      </c>
      <c r="BX297" s="107" t="n">
        <v>87245304</v>
      </c>
      <c r="BY297" s="107" t="n">
        <v>9352.01</v>
      </c>
      <c r="BZ297" s="107" t="n">
        <v>12703770</v>
      </c>
      <c r="CA297" s="107" t="n">
        <v>1434.9</v>
      </c>
      <c r="CB297" s="2"/>
      <c r="CC297" s="107" t="n">
        <v>0</v>
      </c>
      <c r="CD297" s="107" t="n">
        <v>93.84</v>
      </c>
      <c r="CE297" s="107" t="n">
        <v>93.91</v>
      </c>
      <c r="CF297" s="107" t="n">
        <v>93.86</v>
      </c>
      <c r="CG297" s="107" t="n">
        <v>20000000</v>
      </c>
      <c r="CH297" s="107" t="n">
        <v>5.1303</v>
      </c>
      <c r="CI297" s="107" t="n">
        <v>97.15</v>
      </c>
      <c r="CJ297" s="107" t="n">
        <v>97.2</v>
      </c>
      <c r="CK297" s="107" t="n">
        <v>97.25</v>
      </c>
      <c r="CL297" s="107" t="n">
        <v>0</v>
      </c>
    </row>
    <row r="298" customFormat="false" ht="15" hidden="false" customHeight="false" outlineLevel="0" collapsed="false">
      <c r="A298" s="107" t="s">
        <v>723</v>
      </c>
      <c r="B298" s="107" t="n">
        <v>92.7868</v>
      </c>
      <c r="C298" s="107" t="n">
        <v>5.1271</v>
      </c>
      <c r="D298" s="107" t="n">
        <v>5.285</v>
      </c>
      <c r="E298" s="107" t="n">
        <v>-12259.45595</v>
      </c>
      <c r="F298" s="108" t="s">
        <v>358</v>
      </c>
      <c r="G298" s="107" t="n">
        <v>5.285</v>
      </c>
      <c r="H298" s="107" t="n">
        <v>-12259.45595</v>
      </c>
      <c r="I298" s="109" t="n">
        <v>48548</v>
      </c>
      <c r="J298" s="107" t="n">
        <v>10</v>
      </c>
      <c r="K298" s="108" t="s">
        <v>384</v>
      </c>
      <c r="L298" s="107" t="s">
        <v>565</v>
      </c>
      <c r="M298" s="107" t="n">
        <v>132125000</v>
      </c>
      <c r="N298" s="107" t="n">
        <v>99.87890625</v>
      </c>
      <c r="O298" s="107" t="n">
        <v>23196700</v>
      </c>
      <c r="P298" s="107" t="s">
        <v>566</v>
      </c>
      <c r="Q298" s="107" t="s">
        <v>532</v>
      </c>
      <c r="R298" s="107" t="n">
        <v>-0.113344242895824</v>
      </c>
      <c r="S298" s="107" t="n">
        <v>-0.0710070475966992</v>
      </c>
      <c r="T298" s="107" t="n">
        <v>-12573.771235</v>
      </c>
      <c r="U298" s="107" t="n">
        <v>21069</v>
      </c>
      <c r="V298" s="108" t="s">
        <v>362</v>
      </c>
      <c r="W298" s="107" t="n">
        <v>38038</v>
      </c>
      <c r="X298" s="108" t="s">
        <v>111</v>
      </c>
      <c r="Y298" s="107" t="s">
        <v>722</v>
      </c>
      <c r="Z298" s="107" t="s">
        <v>725</v>
      </c>
      <c r="AA298" s="109" t="n">
        <v>45945</v>
      </c>
      <c r="AB298" s="107" t="n">
        <v>251015000001</v>
      </c>
      <c r="AC298" s="109" t="n">
        <v>45930</v>
      </c>
      <c r="AD298" s="109" t="n">
        <v>48487</v>
      </c>
      <c r="AE298" s="107" t="n">
        <v>3.875</v>
      </c>
      <c r="AF298" s="107" t="n">
        <v>5.343</v>
      </c>
      <c r="AG298" s="107" t="n">
        <v>2192</v>
      </c>
      <c r="AH298" s="107" t="n">
        <v>16000000</v>
      </c>
      <c r="AI298" s="107" t="n">
        <v>3.779515</v>
      </c>
      <c r="AJ298" s="107" t="n">
        <v>100.578125</v>
      </c>
      <c r="AK298" s="107" t="n">
        <v>3.874712</v>
      </c>
      <c r="AL298" s="107" t="n">
        <v>100.001525</v>
      </c>
      <c r="AM298" s="107" t="n">
        <v>5.0938</v>
      </c>
      <c r="AN298" s="107" t="n">
        <v>93.7655</v>
      </c>
      <c r="AO298" s="107" t="n">
        <v>1358.4</v>
      </c>
      <c r="AP298" s="107" t="n">
        <v>1</v>
      </c>
      <c r="AQ298" s="107" t="n">
        <v>15002480</v>
      </c>
      <c r="AR298" s="107" t="n">
        <v>20379368832</v>
      </c>
      <c r="AS298" s="107" t="n">
        <v>15995011.12</v>
      </c>
      <c r="AT298" s="107" t="n">
        <v>22951241455</v>
      </c>
      <c r="AU298" s="107" t="n">
        <v>-987298.14</v>
      </c>
      <c r="AV298" s="107" t="n">
        <v>-1341145793</v>
      </c>
      <c r="AW298" s="107" t="n">
        <v>0</v>
      </c>
      <c r="AX298" s="107" t="n">
        <v>0</v>
      </c>
      <c r="AY298" s="107" t="n">
        <v>0</v>
      </c>
      <c r="AZ298" s="107" t="n">
        <v>0</v>
      </c>
      <c r="BA298" s="107" t="n">
        <v>0</v>
      </c>
      <c r="BB298" s="107" t="n">
        <v>0</v>
      </c>
      <c r="BC298" s="107" t="n">
        <v>0</v>
      </c>
      <c r="BD298" s="107" t="n">
        <v>0</v>
      </c>
      <c r="BE298" s="107" t="n">
        <v>0</v>
      </c>
      <c r="BF298" s="107" t="n">
        <v>0</v>
      </c>
      <c r="BG298" s="107" t="n">
        <v>0</v>
      </c>
      <c r="BH298" s="107" t="n">
        <v>0</v>
      </c>
      <c r="BI298" s="107" t="n">
        <v>16080802.45</v>
      </c>
      <c r="BJ298" s="107" t="n">
        <v>23074343435</v>
      </c>
      <c r="BK298" s="107" t="n">
        <v>303567.02</v>
      </c>
      <c r="BL298" s="107" t="n">
        <v>435588316</v>
      </c>
      <c r="BM298" s="107" t="n">
        <v>-5232.98</v>
      </c>
      <c r="BN298" s="107" t="n">
        <v>-7508804</v>
      </c>
      <c r="BO298" s="2"/>
      <c r="BP298" s="2"/>
      <c r="BQ298" s="107" t="s">
        <v>532</v>
      </c>
      <c r="BR298" s="107" t="n">
        <v>-1223218026</v>
      </c>
      <c r="BS298" s="107" t="n">
        <v>0</v>
      </c>
      <c r="BT298" s="107" t="n">
        <v>0</v>
      </c>
      <c r="BU298" s="107" t="n">
        <v>-85791.33</v>
      </c>
      <c r="BV298" s="107" t="n">
        <v>-123101980</v>
      </c>
      <c r="BW298" s="107" t="n">
        <v>0</v>
      </c>
      <c r="BX298" s="107" t="n">
        <v>0</v>
      </c>
      <c r="BY298" s="107" t="n">
        <v>0</v>
      </c>
      <c r="BZ298" s="107" t="n">
        <v>0</v>
      </c>
      <c r="CA298" s="107" t="n">
        <v>1434.9</v>
      </c>
      <c r="CB298" s="2"/>
      <c r="CC298" s="107" t="n">
        <v>0</v>
      </c>
      <c r="CD298" s="107" t="n">
        <v>93.74</v>
      </c>
      <c r="CE298" s="107" t="n">
        <v>93.8</v>
      </c>
      <c r="CF298" s="107" t="n">
        <v>93.76</v>
      </c>
      <c r="CG298" s="107" t="n">
        <v>16000000</v>
      </c>
      <c r="CH298" s="107" t="n">
        <v>5.2103</v>
      </c>
      <c r="CI298" s="107" t="n">
        <v>96.07</v>
      </c>
      <c r="CJ298" s="107" t="n">
        <v>96.19</v>
      </c>
      <c r="CK298" s="107" t="n">
        <v>96.16</v>
      </c>
      <c r="CL298" s="107" t="n">
        <v>0</v>
      </c>
    </row>
    <row r="299" customFormat="false" ht="15" hidden="false" customHeight="false" outlineLevel="0" collapsed="false">
      <c r="A299" s="107" t="s">
        <v>723</v>
      </c>
      <c r="B299" s="107" t="n">
        <v>92.7868</v>
      </c>
      <c r="C299" s="107" t="n">
        <v>5.1271</v>
      </c>
      <c r="D299" s="107" t="n">
        <v>5.285</v>
      </c>
      <c r="E299" s="107" t="n">
        <v>-12259.45595</v>
      </c>
      <c r="F299" s="108" t="s">
        <v>358</v>
      </c>
      <c r="G299" s="107" t="n">
        <v>5.285</v>
      </c>
      <c r="H299" s="107" t="n">
        <v>-12259.45595</v>
      </c>
      <c r="I299" s="109" t="n">
        <v>48548</v>
      </c>
      <c r="J299" s="107" t="n">
        <v>10</v>
      </c>
      <c r="K299" s="108" t="s">
        <v>384</v>
      </c>
      <c r="L299" s="107" t="s">
        <v>565</v>
      </c>
      <c r="M299" s="107" t="n">
        <v>132125000</v>
      </c>
      <c r="N299" s="107" t="n">
        <v>99.875</v>
      </c>
      <c r="O299" s="107" t="n">
        <v>23196700</v>
      </c>
      <c r="P299" s="107" t="s">
        <v>566</v>
      </c>
      <c r="Q299" s="107" t="s">
        <v>532</v>
      </c>
      <c r="R299" s="107" t="n">
        <v>-0.113346061167019</v>
      </c>
      <c r="S299" s="107" t="n">
        <v>-0.0709707133917397</v>
      </c>
      <c r="T299" s="107" t="n">
        <v>-12573.771235</v>
      </c>
      <c r="U299" s="107" t="n">
        <v>21069</v>
      </c>
      <c r="V299" s="108" t="s">
        <v>362</v>
      </c>
      <c r="W299" s="107" t="n">
        <v>38038</v>
      </c>
      <c r="X299" s="108" t="s">
        <v>111</v>
      </c>
      <c r="Y299" s="107" t="s">
        <v>723</v>
      </c>
      <c r="Z299" s="107" t="s">
        <v>726</v>
      </c>
      <c r="AA299" s="109" t="n">
        <v>45992</v>
      </c>
      <c r="AB299" s="107" t="n">
        <v>251201000001</v>
      </c>
      <c r="AC299" s="109" t="n">
        <v>45991</v>
      </c>
      <c r="AD299" s="109" t="n">
        <v>48548</v>
      </c>
      <c r="AE299" s="107" t="n">
        <v>3.75</v>
      </c>
      <c r="AF299" s="107" t="n">
        <v>5.4187</v>
      </c>
      <c r="AG299" s="107" t="n">
        <v>2253</v>
      </c>
      <c r="AH299" s="107" t="n">
        <v>25000000</v>
      </c>
      <c r="AI299" s="107" t="n">
        <v>3.769835</v>
      </c>
      <c r="AJ299" s="107" t="n">
        <v>99.87890625</v>
      </c>
      <c r="AK299" s="107" t="n">
        <v>3.894829</v>
      </c>
      <c r="AL299" s="107" t="n">
        <v>100.458144</v>
      </c>
      <c r="AM299" s="107" t="n">
        <v>5.0992</v>
      </c>
      <c r="AN299" s="107" t="n">
        <v>92.9288</v>
      </c>
      <c r="AO299" s="107" t="n">
        <v>1358.4</v>
      </c>
      <c r="AP299" s="107" t="n">
        <v>1</v>
      </c>
      <c r="AQ299" s="107" t="n">
        <v>23232200</v>
      </c>
      <c r="AR299" s="107" t="n">
        <v>31558620480</v>
      </c>
      <c r="AS299" s="107" t="n">
        <v>24796388.97</v>
      </c>
      <c r="AT299" s="107" t="n">
        <v>35580338533</v>
      </c>
      <c r="AU299" s="107" t="n">
        <v>-1566264.19</v>
      </c>
      <c r="AV299" s="107" t="n">
        <v>-2127613276</v>
      </c>
      <c r="AW299" s="107" t="n">
        <v>0</v>
      </c>
      <c r="AX299" s="107" t="n">
        <v>0</v>
      </c>
      <c r="AY299" s="107" t="n">
        <v>18.57</v>
      </c>
      <c r="AZ299" s="107" t="n">
        <v>26646</v>
      </c>
      <c r="BA299" s="107" t="n">
        <v>0</v>
      </c>
      <c r="BB299" s="107" t="n">
        <v>0</v>
      </c>
      <c r="BC299" s="107" t="n">
        <v>557.3</v>
      </c>
      <c r="BD299" s="107" t="n">
        <v>799669</v>
      </c>
      <c r="BE299" s="107" t="n">
        <v>312500</v>
      </c>
      <c r="BF299" s="107" t="n">
        <v>424500000</v>
      </c>
      <c r="BG299" s="107" t="n">
        <v>5628.67</v>
      </c>
      <c r="BH299" s="107" t="n">
        <v>7688618</v>
      </c>
      <c r="BI299" s="107" t="n">
        <v>24969994.36</v>
      </c>
      <c r="BJ299" s="107" t="n">
        <v>35829444907</v>
      </c>
      <c r="BK299" s="107" t="n">
        <v>313729.1</v>
      </c>
      <c r="BL299" s="107" t="n">
        <v>450169874</v>
      </c>
      <c r="BM299" s="107" t="n">
        <v>2075.22</v>
      </c>
      <c r="BN299" s="107" t="n">
        <v>2977776</v>
      </c>
      <c r="BO299" s="2"/>
      <c r="BP299" s="2"/>
      <c r="BQ299" s="107" t="s">
        <v>532</v>
      </c>
      <c r="BR299" s="107" t="n">
        <v>-1897082553</v>
      </c>
      <c r="BS299" s="107" t="n">
        <v>-1421</v>
      </c>
      <c r="BT299" s="107" t="n">
        <v>-42633</v>
      </c>
      <c r="BU299" s="107" t="n">
        <v>-173605.39</v>
      </c>
      <c r="BV299" s="107" t="n">
        <v>-249106374</v>
      </c>
      <c r="BW299" s="107" t="n">
        <v>312500</v>
      </c>
      <c r="BX299" s="107" t="n">
        <v>424500000</v>
      </c>
      <c r="BY299" s="107" t="n">
        <v>5647.24</v>
      </c>
      <c r="BZ299" s="107" t="n">
        <v>7671210</v>
      </c>
      <c r="CA299" s="107" t="n">
        <v>1434.9</v>
      </c>
      <c r="CB299" s="2"/>
      <c r="CC299" s="107" t="n">
        <v>0</v>
      </c>
      <c r="CD299" s="107" t="n">
        <v>92.9</v>
      </c>
      <c r="CE299" s="107" t="n">
        <v>92.97</v>
      </c>
      <c r="CF299" s="107" t="n">
        <v>92.92</v>
      </c>
      <c r="CG299" s="107" t="n">
        <v>0</v>
      </c>
      <c r="CH299" s="107" t="n">
        <v>5.284</v>
      </c>
      <c r="CI299" s="107" t="n">
        <v>96.07</v>
      </c>
      <c r="CJ299" s="107" t="n">
        <v>96.19</v>
      </c>
      <c r="CK299" s="107" t="n">
        <v>96.16</v>
      </c>
      <c r="CL299" s="107" t="n">
        <v>0</v>
      </c>
    </row>
    <row r="300" customFormat="false" ht="15" hidden="false" customHeight="false" outlineLevel="0" collapsed="false">
      <c r="A300" s="107" t="s">
        <v>723</v>
      </c>
      <c r="B300" s="107" t="n">
        <v>92.7868</v>
      </c>
      <c r="C300" s="107" t="n">
        <v>5.1271</v>
      </c>
      <c r="D300" s="107" t="n">
        <v>5.285</v>
      </c>
      <c r="E300" s="107" t="n">
        <v>-12259.45595</v>
      </c>
      <c r="F300" s="108" t="s">
        <v>358</v>
      </c>
      <c r="G300" s="107" t="n">
        <v>5.285</v>
      </c>
      <c r="H300" s="107" t="n">
        <v>-12259.45595</v>
      </c>
      <c r="I300" s="109" t="n">
        <v>48548</v>
      </c>
      <c r="J300" s="107" t="n">
        <v>10</v>
      </c>
      <c r="K300" s="108" t="s">
        <v>384</v>
      </c>
      <c r="L300" s="107" t="s">
        <v>565</v>
      </c>
      <c r="M300" s="107" t="n">
        <v>132125000</v>
      </c>
      <c r="N300" s="107" t="n">
        <v>99.875</v>
      </c>
      <c r="O300" s="107" t="n">
        <v>23196700</v>
      </c>
      <c r="P300" s="107" t="s">
        <v>566</v>
      </c>
      <c r="Q300" s="107" t="s">
        <v>532</v>
      </c>
      <c r="R300" s="107" t="n">
        <v>-0.113346061167019</v>
      </c>
      <c r="S300" s="107" t="n">
        <v>-0.0709707133917397</v>
      </c>
      <c r="T300" s="107" t="n">
        <v>-12573.771235</v>
      </c>
      <c r="U300" s="107" t="n">
        <v>21069</v>
      </c>
      <c r="V300" s="108" t="s">
        <v>362</v>
      </c>
      <c r="W300" s="107" t="n">
        <v>38038</v>
      </c>
      <c r="X300" s="108" t="s">
        <v>111</v>
      </c>
      <c r="Y300" s="107" t="s">
        <v>723</v>
      </c>
      <c r="Z300" s="107" t="s">
        <v>726</v>
      </c>
      <c r="AA300" s="109" t="n">
        <v>45992</v>
      </c>
      <c r="AB300" s="107" t="n">
        <v>251201000002</v>
      </c>
      <c r="AC300" s="109" t="n">
        <v>45991</v>
      </c>
      <c r="AD300" s="109" t="n">
        <v>48548</v>
      </c>
      <c r="AE300" s="107" t="n">
        <v>3.75</v>
      </c>
      <c r="AF300" s="107" t="n">
        <v>5.4187</v>
      </c>
      <c r="AG300" s="107" t="n">
        <v>2253</v>
      </c>
      <c r="AH300" s="107" t="n">
        <v>25000000</v>
      </c>
      <c r="AI300" s="107" t="n">
        <v>3.769835</v>
      </c>
      <c r="AJ300" s="107" t="n">
        <v>99.87890625</v>
      </c>
      <c r="AK300" s="107" t="n">
        <v>3.894829</v>
      </c>
      <c r="AL300" s="107" t="n">
        <v>100.458144</v>
      </c>
      <c r="AM300" s="107" t="n">
        <v>5.0992</v>
      </c>
      <c r="AN300" s="107" t="n">
        <v>92.9288</v>
      </c>
      <c r="AO300" s="107" t="n">
        <v>1358.4</v>
      </c>
      <c r="AP300" s="107" t="n">
        <v>1</v>
      </c>
      <c r="AQ300" s="107" t="n">
        <v>23232200</v>
      </c>
      <c r="AR300" s="107" t="n">
        <v>31558620480</v>
      </c>
      <c r="AS300" s="107" t="n">
        <v>24796388.97</v>
      </c>
      <c r="AT300" s="107" t="n">
        <v>35580338533</v>
      </c>
      <c r="AU300" s="107" t="n">
        <v>-1566264.19</v>
      </c>
      <c r="AV300" s="107" t="n">
        <v>-2127613276</v>
      </c>
      <c r="AW300" s="107" t="n">
        <v>0</v>
      </c>
      <c r="AX300" s="107" t="n">
        <v>0</v>
      </c>
      <c r="AY300" s="107" t="n">
        <v>18.57</v>
      </c>
      <c r="AZ300" s="107" t="n">
        <v>26646</v>
      </c>
      <c r="BA300" s="107" t="n">
        <v>0</v>
      </c>
      <c r="BB300" s="107" t="n">
        <v>0</v>
      </c>
      <c r="BC300" s="107" t="n">
        <v>557.3</v>
      </c>
      <c r="BD300" s="107" t="n">
        <v>799669</v>
      </c>
      <c r="BE300" s="107" t="n">
        <v>312500</v>
      </c>
      <c r="BF300" s="107" t="n">
        <v>424500000</v>
      </c>
      <c r="BG300" s="107" t="n">
        <v>5628.67</v>
      </c>
      <c r="BH300" s="107" t="n">
        <v>7688618</v>
      </c>
      <c r="BI300" s="107" t="n">
        <v>24969994.36</v>
      </c>
      <c r="BJ300" s="107" t="n">
        <v>35829444907</v>
      </c>
      <c r="BK300" s="107" t="n">
        <v>313729.1</v>
      </c>
      <c r="BL300" s="107" t="n">
        <v>450169874</v>
      </c>
      <c r="BM300" s="107" t="n">
        <v>2075.22</v>
      </c>
      <c r="BN300" s="107" t="n">
        <v>2977776</v>
      </c>
      <c r="BO300" s="2"/>
      <c r="BP300" s="2"/>
      <c r="BQ300" s="107" t="s">
        <v>532</v>
      </c>
      <c r="BR300" s="107" t="n">
        <v>-1897082553</v>
      </c>
      <c r="BS300" s="107" t="n">
        <v>-1421</v>
      </c>
      <c r="BT300" s="107" t="n">
        <v>-42633</v>
      </c>
      <c r="BU300" s="107" t="n">
        <v>-173605.39</v>
      </c>
      <c r="BV300" s="107" t="n">
        <v>-249106374</v>
      </c>
      <c r="BW300" s="107" t="n">
        <v>312500</v>
      </c>
      <c r="BX300" s="107" t="n">
        <v>424500000</v>
      </c>
      <c r="BY300" s="107" t="n">
        <v>5647.24</v>
      </c>
      <c r="BZ300" s="107" t="n">
        <v>7671210</v>
      </c>
      <c r="CA300" s="107" t="n">
        <v>1434.9</v>
      </c>
      <c r="CB300" s="2"/>
      <c r="CC300" s="107" t="n">
        <v>0</v>
      </c>
      <c r="CD300" s="107" t="n">
        <v>92.9</v>
      </c>
      <c r="CE300" s="107" t="n">
        <v>92.97</v>
      </c>
      <c r="CF300" s="107" t="n">
        <v>92.92</v>
      </c>
      <c r="CG300" s="107" t="n">
        <v>0</v>
      </c>
      <c r="CH300" s="107" t="n">
        <v>5.284</v>
      </c>
      <c r="CI300" s="107" t="n">
        <v>96.07</v>
      </c>
      <c r="CJ300" s="107" t="n">
        <v>96.19</v>
      </c>
      <c r="CK300" s="107" t="n">
        <v>96.16</v>
      </c>
      <c r="CL300" s="107" t="n">
        <v>0</v>
      </c>
    </row>
    <row r="301" customFormat="false" ht="15" hidden="false" customHeight="false" outlineLevel="0" collapsed="false">
      <c r="A301" s="107" t="s">
        <v>727</v>
      </c>
      <c r="B301" s="107" t="n">
        <v>91.8613</v>
      </c>
      <c r="C301" s="107" t="n">
        <v>5.233</v>
      </c>
      <c r="D301" s="107" t="n">
        <v>7.4898</v>
      </c>
      <c r="E301" s="107" t="n">
        <v>-6880.2276474</v>
      </c>
      <c r="F301" s="108" t="s">
        <v>358</v>
      </c>
      <c r="G301" s="107" t="n">
        <v>7.4898</v>
      </c>
      <c r="H301" s="107" t="n">
        <v>-6880.2276474</v>
      </c>
      <c r="I301" s="109" t="n">
        <v>49720</v>
      </c>
      <c r="J301" s="107" t="n">
        <v>10</v>
      </c>
      <c r="K301" s="108" t="s">
        <v>384</v>
      </c>
      <c r="L301" s="107" t="s">
        <v>565</v>
      </c>
      <c r="M301" s="107" t="n">
        <v>74898000</v>
      </c>
      <c r="N301" s="107" t="n">
        <v>99.8125</v>
      </c>
      <c r="O301" s="107" t="n">
        <v>9186130</v>
      </c>
      <c r="P301" s="107" t="s">
        <v>566</v>
      </c>
      <c r="Q301" s="107" t="s">
        <v>532</v>
      </c>
      <c r="R301" s="107" t="n">
        <v>-0.145120218424709</v>
      </c>
      <c r="S301" s="107" t="n">
        <v>-0.0796613650594865</v>
      </c>
      <c r="T301" s="107" t="n">
        <v>-7060.2757954</v>
      </c>
      <c r="U301" s="107" t="n">
        <v>21069</v>
      </c>
      <c r="V301" s="108" t="s">
        <v>362</v>
      </c>
      <c r="W301" s="107" t="n">
        <v>38038</v>
      </c>
      <c r="X301" s="108" t="s">
        <v>111</v>
      </c>
      <c r="Y301" s="107" t="s">
        <v>723</v>
      </c>
      <c r="Z301" s="107" t="s">
        <v>726</v>
      </c>
      <c r="AA301" s="109" t="n">
        <v>45992</v>
      </c>
      <c r="AB301" s="107" t="n">
        <v>251201000003</v>
      </c>
      <c r="AC301" s="109" t="n">
        <v>45991</v>
      </c>
      <c r="AD301" s="109" t="n">
        <v>48548</v>
      </c>
      <c r="AE301" s="107" t="n">
        <v>3.75</v>
      </c>
      <c r="AF301" s="107" t="n">
        <v>5.4187</v>
      </c>
      <c r="AG301" s="107" t="n">
        <v>2253</v>
      </c>
      <c r="AH301" s="107" t="n">
        <v>25000000</v>
      </c>
      <c r="AI301" s="107" t="n">
        <v>3.770476</v>
      </c>
      <c r="AJ301" s="107" t="n">
        <v>99.875</v>
      </c>
      <c r="AK301" s="107" t="n">
        <v>3.894791</v>
      </c>
      <c r="AL301" s="107" t="n">
        <v>100.458348</v>
      </c>
      <c r="AM301" s="107" t="n">
        <v>5.0992</v>
      </c>
      <c r="AN301" s="107" t="n">
        <v>92.9288</v>
      </c>
      <c r="AO301" s="107" t="n">
        <v>1358.4</v>
      </c>
      <c r="AP301" s="107" t="n">
        <v>1</v>
      </c>
      <c r="AQ301" s="107" t="n">
        <v>23232200</v>
      </c>
      <c r="AR301" s="107" t="n">
        <v>31558620480</v>
      </c>
      <c r="AS301" s="107" t="n">
        <v>24796439.82</v>
      </c>
      <c r="AT301" s="107" t="n">
        <v>35580411498</v>
      </c>
      <c r="AU301" s="107" t="n">
        <v>-1566357.74</v>
      </c>
      <c r="AV301" s="107" t="n">
        <v>-2127740354</v>
      </c>
      <c r="AW301" s="107" t="n">
        <v>0</v>
      </c>
      <c r="AX301" s="107" t="n">
        <v>0</v>
      </c>
      <c r="AY301" s="107" t="n">
        <v>18.57</v>
      </c>
      <c r="AZ301" s="107" t="n">
        <v>26646</v>
      </c>
      <c r="BA301" s="107" t="n">
        <v>0</v>
      </c>
      <c r="BB301" s="107" t="n">
        <v>0</v>
      </c>
      <c r="BC301" s="107" t="n">
        <v>557.3</v>
      </c>
      <c r="BD301" s="107" t="n">
        <v>799669</v>
      </c>
      <c r="BE301" s="107" t="n">
        <v>312500</v>
      </c>
      <c r="BF301" s="107" t="n">
        <v>424500000</v>
      </c>
      <c r="BG301" s="107" t="n">
        <v>5628.67</v>
      </c>
      <c r="BH301" s="107" t="n">
        <v>7688618</v>
      </c>
      <c r="BI301" s="107" t="n">
        <v>24969078.85</v>
      </c>
      <c r="BJ301" s="107" t="n">
        <v>35828131242</v>
      </c>
      <c r="BK301" s="107" t="n">
        <v>313771.8</v>
      </c>
      <c r="BL301" s="107" t="n">
        <v>450231118</v>
      </c>
      <c r="BM301" s="107" t="n">
        <v>2117.92</v>
      </c>
      <c r="BN301" s="107" t="n">
        <v>3039020</v>
      </c>
      <c r="BO301" s="2"/>
      <c r="BP301" s="2"/>
      <c r="BQ301" s="107" t="s">
        <v>532</v>
      </c>
      <c r="BR301" s="107" t="n">
        <v>-1897089684</v>
      </c>
      <c r="BS301" s="107" t="n">
        <v>-1421</v>
      </c>
      <c r="BT301" s="107" t="n">
        <v>-42633</v>
      </c>
      <c r="BU301" s="107" t="n">
        <v>-172639.03</v>
      </c>
      <c r="BV301" s="107" t="n">
        <v>-247719744</v>
      </c>
      <c r="BW301" s="107" t="n">
        <v>312500</v>
      </c>
      <c r="BX301" s="107" t="n">
        <v>424500000</v>
      </c>
      <c r="BY301" s="107" t="n">
        <v>5647.24</v>
      </c>
      <c r="BZ301" s="107" t="n">
        <v>7671210</v>
      </c>
      <c r="CA301" s="107" t="n">
        <v>1434.9</v>
      </c>
      <c r="CB301" s="2"/>
      <c r="CC301" s="107" t="n">
        <v>0</v>
      </c>
      <c r="CD301" s="107" t="n">
        <v>92.9</v>
      </c>
      <c r="CE301" s="107" t="n">
        <v>92.97</v>
      </c>
      <c r="CF301" s="107" t="n">
        <v>92.92</v>
      </c>
      <c r="CG301" s="107" t="n">
        <v>0</v>
      </c>
      <c r="CH301" s="107" t="n">
        <v>5.284</v>
      </c>
      <c r="CI301" s="107" t="n">
        <v>102.3</v>
      </c>
      <c r="CJ301" s="107" t="n">
        <v>102.4</v>
      </c>
      <c r="CK301" s="107" t="n">
        <v>102.42</v>
      </c>
      <c r="CL301" s="107" t="n">
        <v>0</v>
      </c>
    </row>
    <row r="302" customFormat="false" ht="15" hidden="false" customHeight="false" outlineLevel="0" collapsed="false">
      <c r="A302" s="107" t="s">
        <v>728</v>
      </c>
      <c r="B302" s="107" t="n">
        <v>93.5359</v>
      </c>
      <c r="C302" s="107" t="n">
        <v>5.2373</v>
      </c>
      <c r="D302" s="107" t="n">
        <v>7.4937</v>
      </c>
      <c r="E302" s="107" t="n">
        <v>-7009.2997383</v>
      </c>
      <c r="F302" s="108" t="s">
        <v>358</v>
      </c>
      <c r="G302" s="107" t="n">
        <v>7.4937</v>
      </c>
      <c r="H302" s="107" t="n">
        <v>-7009.2997383</v>
      </c>
      <c r="I302" s="109" t="n">
        <v>49810</v>
      </c>
      <c r="J302" s="107" t="n">
        <v>10</v>
      </c>
      <c r="K302" s="108" t="s">
        <v>384</v>
      </c>
      <c r="L302" s="107" t="s">
        <v>565</v>
      </c>
      <c r="M302" s="107" t="n">
        <v>74937000</v>
      </c>
      <c r="N302" s="107" t="n">
        <v>99.578125</v>
      </c>
      <c r="O302" s="107" t="n">
        <v>9353590</v>
      </c>
      <c r="P302" s="107" t="s">
        <v>566</v>
      </c>
      <c r="Q302" s="107" t="s">
        <v>532</v>
      </c>
      <c r="R302" s="107" t="n">
        <v>-0.155885591658125</v>
      </c>
      <c r="S302" s="107" t="n">
        <v>-0.0606782363094305</v>
      </c>
      <c r="T302" s="107" t="n">
        <v>-7192.8171741</v>
      </c>
      <c r="U302" s="107" t="n">
        <v>21069</v>
      </c>
      <c r="V302" s="108" t="s">
        <v>362</v>
      </c>
      <c r="W302" s="107" t="n">
        <v>38038</v>
      </c>
      <c r="X302" s="108" t="s">
        <v>111</v>
      </c>
      <c r="Y302" s="107" t="s">
        <v>723</v>
      </c>
      <c r="Z302" s="107" t="s">
        <v>726</v>
      </c>
      <c r="AA302" s="109" t="n">
        <v>45992</v>
      </c>
      <c r="AB302" s="107" t="n">
        <v>251201000004</v>
      </c>
      <c r="AC302" s="109" t="n">
        <v>45991</v>
      </c>
      <c r="AD302" s="109" t="n">
        <v>48548</v>
      </c>
      <c r="AE302" s="107" t="n">
        <v>3.75</v>
      </c>
      <c r="AF302" s="107" t="n">
        <v>5.4187</v>
      </c>
      <c r="AG302" s="107" t="n">
        <v>2253</v>
      </c>
      <c r="AH302" s="107" t="n">
        <v>25000000</v>
      </c>
      <c r="AI302" s="107" t="n">
        <v>3.770476</v>
      </c>
      <c r="AJ302" s="107" t="n">
        <v>99.875</v>
      </c>
      <c r="AK302" s="107" t="n">
        <v>3.894791</v>
      </c>
      <c r="AL302" s="107" t="n">
        <v>100.458348</v>
      </c>
      <c r="AM302" s="107" t="n">
        <v>5.0992</v>
      </c>
      <c r="AN302" s="107" t="n">
        <v>92.9288</v>
      </c>
      <c r="AO302" s="107" t="n">
        <v>1358.4</v>
      </c>
      <c r="AP302" s="107" t="n">
        <v>1</v>
      </c>
      <c r="AQ302" s="107" t="n">
        <v>23232200</v>
      </c>
      <c r="AR302" s="107" t="n">
        <v>31558620480</v>
      </c>
      <c r="AS302" s="107" t="n">
        <v>24796439.82</v>
      </c>
      <c r="AT302" s="107" t="n">
        <v>35580411498</v>
      </c>
      <c r="AU302" s="107" t="n">
        <v>-1566357.74</v>
      </c>
      <c r="AV302" s="107" t="n">
        <v>-2127740354</v>
      </c>
      <c r="AW302" s="107" t="n">
        <v>0</v>
      </c>
      <c r="AX302" s="107" t="n">
        <v>0</v>
      </c>
      <c r="AY302" s="107" t="n">
        <v>18.57</v>
      </c>
      <c r="AZ302" s="107" t="n">
        <v>26646</v>
      </c>
      <c r="BA302" s="107" t="n">
        <v>0</v>
      </c>
      <c r="BB302" s="107" t="n">
        <v>0</v>
      </c>
      <c r="BC302" s="107" t="n">
        <v>557.3</v>
      </c>
      <c r="BD302" s="107" t="n">
        <v>799669</v>
      </c>
      <c r="BE302" s="107" t="n">
        <v>312500</v>
      </c>
      <c r="BF302" s="107" t="n">
        <v>424500000</v>
      </c>
      <c r="BG302" s="107" t="n">
        <v>5628.67</v>
      </c>
      <c r="BH302" s="107" t="n">
        <v>7688618</v>
      </c>
      <c r="BI302" s="107" t="n">
        <v>24969078.85</v>
      </c>
      <c r="BJ302" s="107" t="n">
        <v>35828131242</v>
      </c>
      <c r="BK302" s="107" t="n">
        <v>313771.8</v>
      </c>
      <c r="BL302" s="107" t="n">
        <v>450231118</v>
      </c>
      <c r="BM302" s="107" t="n">
        <v>2117.92</v>
      </c>
      <c r="BN302" s="107" t="n">
        <v>3039020</v>
      </c>
      <c r="BO302" s="2"/>
      <c r="BP302" s="2"/>
      <c r="BQ302" s="107" t="s">
        <v>532</v>
      </c>
      <c r="BR302" s="107" t="n">
        <v>-1897089684</v>
      </c>
      <c r="BS302" s="107" t="n">
        <v>-1421</v>
      </c>
      <c r="BT302" s="107" t="n">
        <v>-42633</v>
      </c>
      <c r="BU302" s="107" t="n">
        <v>-172639.03</v>
      </c>
      <c r="BV302" s="107" t="n">
        <v>-247719744</v>
      </c>
      <c r="BW302" s="107" t="n">
        <v>312500</v>
      </c>
      <c r="BX302" s="107" t="n">
        <v>424500000</v>
      </c>
      <c r="BY302" s="107" t="n">
        <v>5647.24</v>
      </c>
      <c r="BZ302" s="107" t="n">
        <v>7671210</v>
      </c>
      <c r="CA302" s="107" t="n">
        <v>1434.9</v>
      </c>
      <c r="CB302" s="2"/>
      <c r="CC302" s="107" t="n">
        <v>0</v>
      </c>
      <c r="CD302" s="107" t="n">
        <v>92.9</v>
      </c>
      <c r="CE302" s="107" t="n">
        <v>92.97</v>
      </c>
      <c r="CF302" s="107" t="n">
        <v>92.92</v>
      </c>
      <c r="CG302" s="107" t="n">
        <v>0</v>
      </c>
      <c r="CH302" s="107" t="n">
        <v>5.284</v>
      </c>
      <c r="CI302" s="107" t="n">
        <v>90.73</v>
      </c>
      <c r="CJ302" s="107" t="n">
        <v>90.64</v>
      </c>
      <c r="CK302" s="107" t="n">
        <v>90.7</v>
      </c>
      <c r="CL302" s="107" t="n">
        <v>3000000</v>
      </c>
    </row>
    <row r="303" customFormat="false" ht="15" hidden="false" customHeight="false" outlineLevel="0" collapsed="false">
      <c r="A303" s="107" t="s">
        <v>582</v>
      </c>
      <c r="B303" s="107" t="n">
        <v>93.7253</v>
      </c>
      <c r="C303" s="107" t="n">
        <v>6.2857</v>
      </c>
      <c r="D303" s="107" t="n">
        <v>6.8416</v>
      </c>
      <c r="E303" s="107" t="n">
        <v>-3206.1550624</v>
      </c>
      <c r="F303" s="108" t="s">
        <v>358</v>
      </c>
      <c r="G303" s="107" t="n">
        <v>6.8416</v>
      </c>
      <c r="H303" s="107" t="n">
        <v>-3206.1550624</v>
      </c>
      <c r="I303" s="109" t="n">
        <v>49561</v>
      </c>
      <c r="J303" s="107" t="n">
        <v>10</v>
      </c>
      <c r="K303" s="108" t="s">
        <v>92</v>
      </c>
      <c r="L303" s="107" t="s">
        <v>298</v>
      </c>
      <c r="M303" s="107" t="n">
        <v>34208000</v>
      </c>
      <c r="N303" s="107" t="n">
        <v>102.604</v>
      </c>
      <c r="O303" s="107" t="n">
        <v>4686265</v>
      </c>
      <c r="P303" s="107" t="s">
        <v>460</v>
      </c>
      <c r="Q303" s="107" t="s">
        <v>377</v>
      </c>
      <c r="R303" s="107" t="n">
        <v>-0.125320007179646</v>
      </c>
      <c r="S303" s="107" t="n">
        <v>-0.0865336634049354</v>
      </c>
      <c r="T303" s="107" t="n">
        <v>-3306.9097599</v>
      </c>
      <c r="U303" s="107" t="n">
        <v>21069</v>
      </c>
      <c r="V303" s="108" t="s">
        <v>362</v>
      </c>
      <c r="W303" s="107" t="n">
        <v>38038</v>
      </c>
      <c r="X303" s="108" t="s">
        <v>111</v>
      </c>
      <c r="Y303" s="107" t="s">
        <v>727</v>
      </c>
      <c r="Z303" s="107" t="s">
        <v>729</v>
      </c>
      <c r="AA303" s="109" t="n">
        <v>46090</v>
      </c>
      <c r="AB303" s="107" t="n">
        <v>260309000001</v>
      </c>
      <c r="AC303" s="109" t="n">
        <v>46068</v>
      </c>
      <c r="AD303" s="109" t="n">
        <v>49720</v>
      </c>
      <c r="AE303" s="107" t="n">
        <v>4.125</v>
      </c>
      <c r="AF303" s="107" t="n">
        <v>7.6843</v>
      </c>
      <c r="AG303" s="107" t="n">
        <v>3425</v>
      </c>
      <c r="AH303" s="107" t="n">
        <v>10000000</v>
      </c>
      <c r="AI303" s="107" t="n">
        <v>4.147933</v>
      </c>
      <c r="AJ303" s="107" t="n">
        <v>99.8125</v>
      </c>
      <c r="AK303" s="107" t="n">
        <v>4.146358</v>
      </c>
      <c r="AL303" s="107" t="n">
        <v>100.343198</v>
      </c>
      <c r="AM303" s="107" t="n">
        <v>5.2164</v>
      </c>
      <c r="AN303" s="107" t="n">
        <v>91.9811</v>
      </c>
      <c r="AO303" s="107" t="n">
        <v>1358.4</v>
      </c>
      <c r="AP303" s="107" t="n">
        <v>1</v>
      </c>
      <c r="AQ303" s="107" t="n">
        <v>9198110</v>
      </c>
      <c r="AR303" s="107" t="n">
        <v>12494712624</v>
      </c>
      <c r="AS303" s="107" t="n">
        <v>9980134.34</v>
      </c>
      <c r="AT303" s="107" t="n">
        <v>14613910715</v>
      </c>
      <c r="AU303" s="107" t="n">
        <v>-782695.94</v>
      </c>
      <c r="AV303" s="107" t="n">
        <v>-1063214165</v>
      </c>
      <c r="AW303" s="107" t="n">
        <v>0</v>
      </c>
      <c r="AX303" s="107" t="n">
        <v>0</v>
      </c>
      <c r="AY303" s="107" t="n">
        <v>254.21</v>
      </c>
      <c r="AZ303" s="107" t="n">
        <v>372239</v>
      </c>
      <c r="BA303" s="107" t="n">
        <v>0</v>
      </c>
      <c r="BB303" s="107" t="n">
        <v>0</v>
      </c>
      <c r="BC303" s="107" t="n">
        <v>0</v>
      </c>
      <c r="BD303" s="107" t="n">
        <v>0</v>
      </c>
      <c r="BE303" s="107" t="n">
        <v>51562.5</v>
      </c>
      <c r="BF303" s="107" t="n">
        <v>70042500</v>
      </c>
      <c r="BG303" s="107" t="n">
        <v>2368.84</v>
      </c>
      <c r="BH303" s="107" t="n">
        <v>3217832</v>
      </c>
      <c r="BI303" s="107" t="n">
        <v>9980134.34</v>
      </c>
      <c r="BJ303" s="107" t="n">
        <v>14613910715</v>
      </c>
      <c r="BK303" s="107" t="n">
        <v>52107.88</v>
      </c>
      <c r="BL303" s="107" t="n">
        <v>76301534</v>
      </c>
      <c r="BM303" s="107" t="n">
        <v>671.6</v>
      </c>
      <c r="BN303" s="107" t="n">
        <v>983434</v>
      </c>
      <c r="BO303" s="2"/>
      <c r="BP303" s="2"/>
      <c r="BQ303" s="107" t="s">
        <v>532</v>
      </c>
      <c r="BR303" s="107" t="n">
        <v>-1056967360</v>
      </c>
      <c r="BS303" s="107" t="n">
        <v>-26920</v>
      </c>
      <c r="BT303" s="107" t="n">
        <v>0</v>
      </c>
      <c r="BU303" s="107" t="n">
        <v>0</v>
      </c>
      <c r="BV303" s="107" t="n">
        <v>0</v>
      </c>
      <c r="BW303" s="107" t="n">
        <v>51562.5</v>
      </c>
      <c r="BX303" s="107" t="n">
        <v>70042500</v>
      </c>
      <c r="BY303" s="107" t="n">
        <v>2623.05</v>
      </c>
      <c r="BZ303" s="107" t="n">
        <v>3563151</v>
      </c>
      <c r="CA303" s="107" t="n">
        <v>1464.3</v>
      </c>
      <c r="CB303" s="2"/>
      <c r="CC303" s="107" t="n">
        <v>0</v>
      </c>
      <c r="CD303" s="107" t="n">
        <v>91.94</v>
      </c>
      <c r="CE303" s="107" t="n">
        <v>92.04</v>
      </c>
      <c r="CF303" s="107" t="n">
        <v>91.97</v>
      </c>
      <c r="CG303" s="107" t="n">
        <v>400000</v>
      </c>
      <c r="CH303" s="107" t="n">
        <v>7.489</v>
      </c>
      <c r="CI303" s="107" t="n">
        <v>0</v>
      </c>
      <c r="CJ303" s="107" t="n">
        <v>91.63</v>
      </c>
      <c r="CK303" s="107" t="n">
        <v>91.64</v>
      </c>
      <c r="CL303" s="107" t="n">
        <v>1000000</v>
      </c>
    </row>
    <row r="304" customFormat="false" ht="15" hidden="false" customHeight="false" outlineLevel="0" collapsed="false">
      <c r="A304" s="107" t="s">
        <v>730</v>
      </c>
      <c r="B304" s="107" t="n">
        <v>97.1397</v>
      </c>
      <c r="C304" s="107" t="n">
        <v>6.1819</v>
      </c>
      <c r="D304" s="107" t="n">
        <v>6.3444</v>
      </c>
      <c r="E304" s="107" t="n">
        <v>-1848.87933804</v>
      </c>
      <c r="F304" s="108" t="s">
        <v>358</v>
      </c>
      <c r="G304" s="107" t="n">
        <v>6.3444</v>
      </c>
      <c r="H304" s="107" t="n">
        <v>-1848.87933804</v>
      </c>
      <c r="I304" s="109" t="n">
        <v>49436</v>
      </c>
      <c r="J304" s="107" t="n">
        <v>10</v>
      </c>
      <c r="K304" s="107" t="s">
        <v>359</v>
      </c>
      <c r="L304" s="107" t="s">
        <v>298</v>
      </c>
      <c r="M304" s="107" t="n">
        <v>19033200</v>
      </c>
      <c r="N304" s="107" t="n">
        <v>105.943</v>
      </c>
      <c r="O304" s="107" t="n">
        <v>2914191</v>
      </c>
      <c r="P304" s="107" t="s">
        <v>595</v>
      </c>
      <c r="Q304" s="107" t="s">
        <v>377</v>
      </c>
      <c r="R304" s="107" t="n">
        <v>-0.12383515022414</v>
      </c>
      <c r="S304" s="107" t="n">
        <v>-0.0830946829899096</v>
      </c>
      <c r="T304" s="107" t="n">
        <v>-1906.02662355</v>
      </c>
      <c r="U304" s="107" t="n">
        <v>21069</v>
      </c>
      <c r="V304" s="108" t="s">
        <v>362</v>
      </c>
      <c r="W304" s="107" t="n">
        <v>38038</v>
      </c>
      <c r="X304" s="108" t="s">
        <v>111</v>
      </c>
      <c r="Y304" s="107" t="s">
        <v>728</v>
      </c>
      <c r="Z304" s="107" t="s">
        <v>731</v>
      </c>
      <c r="AA304" s="109" t="n">
        <v>46191</v>
      </c>
      <c r="AB304" s="107" t="n">
        <v>260618000001</v>
      </c>
      <c r="AC304" s="109" t="n">
        <v>46157</v>
      </c>
      <c r="AD304" s="109" t="n">
        <v>49810</v>
      </c>
      <c r="AE304" s="107" t="n">
        <v>4.375</v>
      </c>
      <c r="AF304" s="107" t="n">
        <v>7.6886</v>
      </c>
      <c r="AG304" s="107" t="n">
        <v>3515</v>
      </c>
      <c r="AH304" s="107" t="n">
        <v>10000000</v>
      </c>
      <c r="AI304" s="107" t="n">
        <v>4.4276106</v>
      </c>
      <c r="AJ304" s="107" t="n">
        <v>99.578125</v>
      </c>
      <c r="AK304" s="107" t="n">
        <v>4.425388</v>
      </c>
      <c r="AL304" s="107" t="n">
        <v>101.240102</v>
      </c>
      <c r="AM304" s="107" t="n">
        <v>5.2206</v>
      </c>
      <c r="AN304" s="107" t="n">
        <v>93.6565</v>
      </c>
      <c r="AO304" s="107" t="n">
        <v>1358.4</v>
      </c>
      <c r="AP304" s="107" t="n">
        <v>1</v>
      </c>
      <c r="AQ304" s="107" t="n">
        <v>9365650</v>
      </c>
      <c r="AR304" s="107" t="n">
        <v>12722298960</v>
      </c>
      <c r="AS304" s="107" t="n">
        <v>9957114.45</v>
      </c>
      <c r="AT304" s="107" t="n">
        <v>15070092720</v>
      </c>
      <c r="AU304" s="107" t="n">
        <v>-593692.13</v>
      </c>
      <c r="AV304" s="107" t="n">
        <v>-806471389</v>
      </c>
      <c r="AW304" s="107" t="n">
        <v>40421.2</v>
      </c>
      <c r="AX304" s="107" t="n">
        <v>61177486</v>
      </c>
      <c r="AY304" s="107" t="n">
        <v>698.05</v>
      </c>
      <c r="AZ304" s="107" t="n">
        <v>1056498</v>
      </c>
      <c r="BA304" s="107" t="n">
        <v>0</v>
      </c>
      <c r="BB304" s="107" t="n">
        <v>0</v>
      </c>
      <c r="BC304" s="107" t="n">
        <v>0</v>
      </c>
      <c r="BD304" s="107" t="n">
        <v>0</v>
      </c>
      <c r="BE304" s="107" t="n">
        <v>123641.3</v>
      </c>
      <c r="BF304" s="107" t="n">
        <v>167954342</v>
      </c>
      <c r="BG304" s="107" t="n">
        <v>2135.23</v>
      </c>
      <c r="BH304" s="107" t="n">
        <v>2900496</v>
      </c>
      <c r="BI304" s="107" t="n">
        <v>9957114.45</v>
      </c>
      <c r="BJ304" s="107" t="n">
        <v>15070092720</v>
      </c>
      <c r="BK304" s="107" t="n">
        <v>124864.48</v>
      </c>
      <c r="BL304" s="107" t="n">
        <v>188982352</v>
      </c>
      <c r="BM304" s="107" t="n">
        <v>2227.68</v>
      </c>
      <c r="BN304" s="107" t="n">
        <v>3371576</v>
      </c>
      <c r="BO304" s="2"/>
      <c r="BP304" s="2"/>
      <c r="BQ304" s="107" t="s">
        <v>532</v>
      </c>
      <c r="BR304" s="107" t="n">
        <v>-1544693947</v>
      </c>
      <c r="BS304" s="107" t="n">
        <v>-6377595</v>
      </c>
      <c r="BT304" s="107" t="n">
        <v>0</v>
      </c>
      <c r="BU304" s="107" t="n">
        <v>0</v>
      </c>
      <c r="BV304" s="107" t="n">
        <v>0</v>
      </c>
      <c r="BW304" s="107" t="n">
        <v>164062.5</v>
      </c>
      <c r="BX304" s="107" t="n">
        <v>222862500</v>
      </c>
      <c r="BY304" s="107" t="n">
        <v>2833.28</v>
      </c>
      <c r="BZ304" s="107" t="n">
        <v>3848727</v>
      </c>
      <c r="CA304" s="107" t="n">
        <v>1513.5</v>
      </c>
      <c r="CB304" s="2"/>
      <c r="CC304" s="107" t="n">
        <v>0</v>
      </c>
      <c r="CD304" s="107" t="n">
        <v>93.61</v>
      </c>
      <c r="CE304" s="107" t="n">
        <v>93.71</v>
      </c>
      <c r="CF304" s="107" t="n">
        <v>93.65</v>
      </c>
      <c r="CG304" s="107" t="n">
        <v>10000000</v>
      </c>
      <c r="CH304" s="107" t="n">
        <v>7.493</v>
      </c>
      <c r="CI304" s="107" t="n">
        <v>94.78</v>
      </c>
      <c r="CJ304" s="107" t="n">
        <v>94.73</v>
      </c>
      <c r="CK304" s="107" t="n">
        <v>94.74</v>
      </c>
      <c r="CL304" s="107" t="n">
        <v>5000000</v>
      </c>
    </row>
    <row r="305" customFormat="false" ht="15" hidden="false" customHeight="false" outlineLevel="0" collapsed="false">
      <c r="A305" s="107" t="s">
        <v>730</v>
      </c>
      <c r="B305" s="107" t="n">
        <v>97.1397</v>
      </c>
      <c r="C305" s="107" t="n">
        <v>6.1819</v>
      </c>
      <c r="D305" s="107" t="n">
        <v>6.3444</v>
      </c>
      <c r="E305" s="107" t="n">
        <v>-1232.58622536</v>
      </c>
      <c r="F305" s="108" t="s">
        <v>358</v>
      </c>
      <c r="G305" s="107" t="n">
        <v>6.3444</v>
      </c>
      <c r="H305" s="107" t="n">
        <v>-1232.58622536</v>
      </c>
      <c r="I305" s="109" t="n">
        <v>49436</v>
      </c>
      <c r="J305" s="107" t="n">
        <v>10</v>
      </c>
      <c r="K305" s="107" t="s">
        <v>359</v>
      </c>
      <c r="L305" s="107" t="s">
        <v>298</v>
      </c>
      <c r="M305" s="107" t="n">
        <v>12688800</v>
      </c>
      <c r="N305" s="107" t="n">
        <v>106.021</v>
      </c>
      <c r="O305" s="107" t="n">
        <v>1942794</v>
      </c>
      <c r="P305" s="107" t="s">
        <v>595</v>
      </c>
      <c r="Q305" s="107" t="s">
        <v>377</v>
      </c>
      <c r="R305" s="107" t="n">
        <v>-0.123810192898699</v>
      </c>
      <c r="S305" s="107" t="n">
        <v>-0.0837692532611464</v>
      </c>
      <c r="T305" s="107" t="n">
        <v>-1270.6844157</v>
      </c>
      <c r="U305" s="107" t="n">
        <v>21069</v>
      </c>
      <c r="V305" s="108" t="s">
        <v>362</v>
      </c>
      <c r="W305" s="107" t="n">
        <v>38038</v>
      </c>
      <c r="X305" s="108" t="s">
        <v>111</v>
      </c>
      <c r="Y305" s="107" t="s">
        <v>582</v>
      </c>
      <c r="Z305" s="107" t="s">
        <v>587</v>
      </c>
      <c r="AA305" s="109" t="n">
        <v>45915</v>
      </c>
      <c r="AB305" s="107" t="n">
        <v>250915000001</v>
      </c>
      <c r="AC305" s="109" t="n">
        <v>45909</v>
      </c>
      <c r="AD305" s="109" t="n">
        <v>49561</v>
      </c>
      <c r="AE305" s="107" t="n">
        <v>5.359</v>
      </c>
      <c r="AF305" s="107" t="n">
        <v>7.0552</v>
      </c>
      <c r="AG305" s="107" t="n">
        <v>3266</v>
      </c>
      <c r="AH305" s="107" t="n">
        <v>5000000</v>
      </c>
      <c r="AI305" s="107" t="n">
        <v>5.024</v>
      </c>
      <c r="AJ305" s="107" t="n">
        <v>102.604</v>
      </c>
      <c r="AK305" s="107" t="n">
        <v>5.138637</v>
      </c>
      <c r="AL305" s="107" t="n">
        <v>101.873129</v>
      </c>
      <c r="AM305" s="107" t="n">
        <v>6.2668</v>
      </c>
      <c r="AN305" s="107" t="n">
        <v>93.848</v>
      </c>
      <c r="AO305" s="107" t="n">
        <v>1358.4</v>
      </c>
      <c r="AP305" s="107" t="n">
        <v>1</v>
      </c>
      <c r="AQ305" s="107" t="n">
        <v>4692400</v>
      </c>
      <c r="AR305" s="107" t="n">
        <v>6374156160</v>
      </c>
      <c r="AS305" s="107" t="n">
        <v>5078026.04</v>
      </c>
      <c r="AT305" s="107" t="n">
        <v>7286459565</v>
      </c>
      <c r="AU305" s="107" t="n">
        <v>-384883.69</v>
      </c>
      <c r="AV305" s="107" t="n">
        <v>-522826004</v>
      </c>
      <c r="AW305" s="107" t="n">
        <v>0</v>
      </c>
      <c r="AX305" s="107" t="n">
        <v>0</v>
      </c>
      <c r="AY305" s="107" t="n">
        <v>0</v>
      </c>
      <c r="AZ305" s="107" t="n">
        <v>0</v>
      </c>
      <c r="BA305" s="107" t="n">
        <v>0</v>
      </c>
      <c r="BB305" s="107" t="n">
        <v>0</v>
      </c>
      <c r="BC305" s="107" t="n">
        <v>0</v>
      </c>
      <c r="BD305" s="107" t="n">
        <v>0</v>
      </c>
      <c r="BE305" s="107" t="n">
        <v>15630.42</v>
      </c>
      <c r="BF305" s="107" t="n">
        <v>21232362</v>
      </c>
      <c r="BG305" s="107" t="n">
        <v>0</v>
      </c>
      <c r="BH305" s="107" t="n">
        <v>0</v>
      </c>
      <c r="BI305" s="107" t="n">
        <v>5119994.91</v>
      </c>
      <c r="BJ305" s="107" t="n">
        <v>7346680697</v>
      </c>
      <c r="BK305" s="107" t="n">
        <v>14801.64</v>
      </c>
      <c r="BL305" s="107" t="n">
        <v>21238854</v>
      </c>
      <c r="BM305" s="107" t="n">
        <v>-742.35</v>
      </c>
      <c r="BN305" s="107" t="n">
        <v>-1065204</v>
      </c>
      <c r="BO305" s="107" t="s">
        <v>106</v>
      </c>
      <c r="BP305" s="2"/>
      <c r="BQ305" s="107" t="s">
        <v>369</v>
      </c>
      <c r="BR305" s="107" t="n">
        <v>-388412197</v>
      </c>
      <c r="BS305" s="107" t="n">
        <v>0</v>
      </c>
      <c r="BT305" s="107" t="n">
        <v>0</v>
      </c>
      <c r="BU305" s="107" t="n">
        <v>-41968.87</v>
      </c>
      <c r="BV305" s="107" t="n">
        <v>-60221132</v>
      </c>
      <c r="BW305" s="107" t="n">
        <v>15630.42</v>
      </c>
      <c r="BX305" s="107" t="n">
        <v>21232362</v>
      </c>
      <c r="BY305" s="107" t="n">
        <v>0</v>
      </c>
      <c r="BZ305" s="107" t="n">
        <v>0</v>
      </c>
      <c r="CA305" s="107" t="n">
        <v>1434.9</v>
      </c>
      <c r="CB305" s="2"/>
      <c r="CC305" s="107" t="n">
        <v>0</v>
      </c>
      <c r="CD305" s="107" t="n">
        <v>93.81</v>
      </c>
      <c r="CE305" s="107" t="n">
        <v>93.89</v>
      </c>
      <c r="CF305" s="107" t="n">
        <v>93.85</v>
      </c>
      <c r="CG305" s="107" t="n">
        <v>0</v>
      </c>
      <c r="CH305" s="107" t="n">
        <v>6.8408</v>
      </c>
      <c r="CI305" s="107" t="n">
        <v>100.09</v>
      </c>
      <c r="CJ305" s="107" t="n">
        <v>100.06</v>
      </c>
      <c r="CK305" s="107" t="n">
        <v>100.14</v>
      </c>
      <c r="CL305" s="107" t="n">
        <v>0</v>
      </c>
    </row>
    <row r="306" customFormat="false" ht="15" hidden="false" customHeight="false" outlineLevel="0" collapsed="false">
      <c r="A306" s="107" t="s">
        <v>730</v>
      </c>
      <c r="B306" s="107" t="n">
        <v>97.1397</v>
      </c>
      <c r="C306" s="107" t="n">
        <v>6.1819</v>
      </c>
      <c r="D306" s="107" t="n">
        <v>6.3444</v>
      </c>
      <c r="E306" s="107" t="n">
        <v>-3081.4655634</v>
      </c>
      <c r="F306" s="108" t="s">
        <v>358</v>
      </c>
      <c r="G306" s="107" t="n">
        <v>6.3444</v>
      </c>
      <c r="H306" s="107" t="n">
        <v>-3081.4655634</v>
      </c>
      <c r="I306" s="109" t="n">
        <v>49436</v>
      </c>
      <c r="J306" s="107" t="n">
        <v>10</v>
      </c>
      <c r="K306" s="107" t="s">
        <v>359</v>
      </c>
      <c r="L306" s="107" t="s">
        <v>298</v>
      </c>
      <c r="M306" s="107" t="n">
        <v>31722000</v>
      </c>
      <c r="N306" s="107" t="n">
        <v>105.814</v>
      </c>
      <c r="O306" s="107" t="n">
        <v>4856985</v>
      </c>
      <c r="P306" s="107" t="s">
        <v>595</v>
      </c>
      <c r="Q306" s="107" t="s">
        <v>377</v>
      </c>
      <c r="R306" s="107" t="n">
        <v>-0.123874839759411</v>
      </c>
      <c r="S306" s="107" t="n">
        <v>-0.0819768650651142</v>
      </c>
      <c r="T306" s="107" t="n">
        <v>-3176.71103925</v>
      </c>
      <c r="U306" s="107" t="n">
        <v>21069</v>
      </c>
      <c r="V306" s="108" t="s">
        <v>362</v>
      </c>
      <c r="W306" s="107" t="n">
        <v>38038</v>
      </c>
      <c r="X306" s="108" t="s">
        <v>111</v>
      </c>
      <c r="Y306" s="107" t="s">
        <v>730</v>
      </c>
      <c r="Z306" s="107" t="s">
        <v>732</v>
      </c>
      <c r="AA306" s="109" t="n">
        <v>45915</v>
      </c>
      <c r="AB306" s="107" t="n">
        <v>250915000001</v>
      </c>
      <c r="AC306" s="109" t="n">
        <v>45784</v>
      </c>
      <c r="AD306" s="109" t="n">
        <v>49436</v>
      </c>
      <c r="AE306" s="107" t="n">
        <v>5.75</v>
      </c>
      <c r="AF306" s="107" t="n">
        <v>6.5389</v>
      </c>
      <c r="AG306" s="107" t="n">
        <v>3141</v>
      </c>
      <c r="AH306" s="107" t="n">
        <v>3000000</v>
      </c>
      <c r="AI306" s="107" t="n">
        <v>4.966057</v>
      </c>
      <c r="AJ306" s="107" t="n">
        <v>105.943</v>
      </c>
      <c r="AK306" s="107" t="n">
        <v>5.014605</v>
      </c>
      <c r="AL306" s="107" t="n">
        <v>107.365997</v>
      </c>
      <c r="AM306" s="107" t="n">
        <v>6.1674</v>
      </c>
      <c r="AN306" s="107" t="n">
        <v>97.2345</v>
      </c>
      <c r="AO306" s="107" t="n">
        <v>1358.4</v>
      </c>
      <c r="AP306" s="107" t="n">
        <v>1</v>
      </c>
      <c r="AQ306" s="107" t="n">
        <v>2917035</v>
      </c>
      <c r="AR306" s="107" t="n">
        <v>3962500344</v>
      </c>
      <c r="AS306" s="107" t="n">
        <v>3152459.09</v>
      </c>
      <c r="AT306" s="107" t="n">
        <v>4523463548</v>
      </c>
      <c r="AU306" s="107" t="n">
        <v>-229954.93</v>
      </c>
      <c r="AV306" s="107" t="n">
        <v>-312370777</v>
      </c>
      <c r="AW306" s="107" t="n">
        <v>0</v>
      </c>
      <c r="AX306" s="107" t="n">
        <v>0</v>
      </c>
      <c r="AY306" s="107" t="n">
        <v>0</v>
      </c>
      <c r="AZ306" s="107" t="n">
        <v>0</v>
      </c>
      <c r="BA306" s="107" t="n">
        <v>0</v>
      </c>
      <c r="BB306" s="107" t="n">
        <v>0</v>
      </c>
      <c r="BC306" s="107" t="n">
        <v>0</v>
      </c>
      <c r="BD306" s="107" t="n">
        <v>0</v>
      </c>
      <c r="BE306" s="107" t="n">
        <v>68520.83</v>
      </c>
      <c r="BF306" s="107" t="n">
        <v>93078695</v>
      </c>
      <c r="BG306" s="107" t="n">
        <v>0</v>
      </c>
      <c r="BH306" s="107" t="n">
        <v>0</v>
      </c>
      <c r="BI306" s="107" t="n">
        <v>3168090.77</v>
      </c>
      <c r="BJ306" s="107" t="n">
        <v>4545893446</v>
      </c>
      <c r="BK306" s="107" t="n">
        <v>62968.34</v>
      </c>
      <c r="BL306" s="107" t="n">
        <v>90353268</v>
      </c>
      <c r="BM306" s="107" t="n">
        <v>-5469.16</v>
      </c>
      <c r="BN306" s="107" t="n">
        <v>-7847646</v>
      </c>
      <c r="BO306" s="107" t="s">
        <v>377</v>
      </c>
      <c r="BP306" s="2"/>
      <c r="BQ306" s="107" t="s">
        <v>369</v>
      </c>
      <c r="BR306" s="107" t="n">
        <v>-240744781</v>
      </c>
      <c r="BS306" s="107" t="n">
        <v>0</v>
      </c>
      <c r="BT306" s="107" t="n">
        <v>0</v>
      </c>
      <c r="BU306" s="107" t="n">
        <v>-15631.68</v>
      </c>
      <c r="BV306" s="107" t="n">
        <v>-22429898</v>
      </c>
      <c r="BW306" s="107" t="n">
        <v>68520.83</v>
      </c>
      <c r="BX306" s="107" t="n">
        <v>93078695</v>
      </c>
      <c r="BY306" s="107" t="n">
        <v>0</v>
      </c>
      <c r="BZ306" s="107" t="n">
        <v>0</v>
      </c>
      <c r="CA306" s="107" t="n">
        <v>1434.9</v>
      </c>
      <c r="CB306" s="2"/>
      <c r="CC306" s="107" t="n">
        <v>0</v>
      </c>
      <c r="CD306" s="107" t="n">
        <v>97.17</v>
      </c>
      <c r="CE306" s="107" t="n">
        <v>97.15</v>
      </c>
      <c r="CF306" s="107" t="n">
        <v>97.38</v>
      </c>
      <c r="CG306" s="107" t="n">
        <v>0</v>
      </c>
      <c r="CH306" s="107" t="n">
        <v>6.3433</v>
      </c>
      <c r="CI306" s="107" t="n">
        <v>99.66</v>
      </c>
      <c r="CJ306" s="107" t="n">
        <v>99.73</v>
      </c>
      <c r="CK306" s="107" t="n">
        <v>99.79</v>
      </c>
      <c r="CL306" s="107" t="n">
        <v>0</v>
      </c>
    </row>
    <row r="307" customFormat="false" ht="15" hidden="false" customHeight="false" outlineLevel="0" collapsed="false">
      <c r="A307" s="107" t="s">
        <v>599</v>
      </c>
      <c r="B307" s="107" t="n">
        <v>91.7442</v>
      </c>
      <c r="C307" s="107" t="n">
        <v>6.1789</v>
      </c>
      <c r="D307" s="107" t="n">
        <v>6.9893</v>
      </c>
      <c r="E307" s="107" t="n">
        <v>-3206.1386853</v>
      </c>
      <c r="F307" s="108" t="s">
        <v>358</v>
      </c>
      <c r="G307" s="107" t="n">
        <v>6.9893</v>
      </c>
      <c r="H307" s="107" t="n">
        <v>-3206.1386853</v>
      </c>
      <c r="I307" s="109" t="n">
        <v>49690</v>
      </c>
      <c r="J307" s="107" t="n">
        <v>10</v>
      </c>
      <c r="K307" s="107" t="s">
        <v>359</v>
      </c>
      <c r="L307" s="107" t="s">
        <v>298</v>
      </c>
      <c r="M307" s="107" t="n">
        <v>34946500</v>
      </c>
      <c r="N307" s="107" t="n">
        <v>99.662</v>
      </c>
      <c r="O307" s="107" t="n">
        <v>4587210</v>
      </c>
      <c r="P307" s="107" t="s">
        <v>483</v>
      </c>
      <c r="Q307" s="107" t="s">
        <v>377</v>
      </c>
      <c r="R307" s="107" t="n">
        <v>-0.15343737699492</v>
      </c>
      <c r="S307" s="107" t="n">
        <v>-0.0794465292689289</v>
      </c>
      <c r="T307" s="107" t="n">
        <v>-3305.1765492</v>
      </c>
      <c r="U307" s="107" t="n">
        <v>21069</v>
      </c>
      <c r="V307" s="108" t="s">
        <v>362</v>
      </c>
      <c r="W307" s="107" t="n">
        <v>38038</v>
      </c>
      <c r="X307" s="108" t="s">
        <v>111</v>
      </c>
      <c r="Y307" s="107" t="s">
        <v>730</v>
      </c>
      <c r="Z307" s="107" t="s">
        <v>732</v>
      </c>
      <c r="AA307" s="109" t="n">
        <v>45915</v>
      </c>
      <c r="AB307" s="107" t="n">
        <v>250915000002</v>
      </c>
      <c r="AC307" s="109" t="n">
        <v>45784</v>
      </c>
      <c r="AD307" s="109" t="n">
        <v>49436</v>
      </c>
      <c r="AE307" s="107" t="n">
        <v>5.75</v>
      </c>
      <c r="AF307" s="107" t="n">
        <v>6.5389</v>
      </c>
      <c r="AG307" s="107" t="n">
        <v>3141</v>
      </c>
      <c r="AH307" s="107" t="n">
        <v>2000000</v>
      </c>
      <c r="AI307" s="107" t="n">
        <v>4.956143</v>
      </c>
      <c r="AJ307" s="107" t="n">
        <v>106.021</v>
      </c>
      <c r="AK307" s="107" t="n">
        <v>5.015024</v>
      </c>
      <c r="AL307" s="107" t="n">
        <v>107.363004</v>
      </c>
      <c r="AM307" s="107" t="n">
        <v>6.1674</v>
      </c>
      <c r="AN307" s="107" t="n">
        <v>97.2345</v>
      </c>
      <c r="AO307" s="107" t="n">
        <v>1358.4</v>
      </c>
      <c r="AP307" s="107" t="n">
        <v>1</v>
      </c>
      <c r="AQ307" s="107" t="n">
        <v>1944690</v>
      </c>
      <c r="AR307" s="107" t="n">
        <v>2641666896</v>
      </c>
      <c r="AS307" s="107" t="n">
        <v>2101579.53</v>
      </c>
      <c r="AT307" s="107" t="n">
        <v>3015556468</v>
      </c>
      <c r="AU307" s="107" t="n">
        <v>-153172.37</v>
      </c>
      <c r="AV307" s="107" t="n">
        <v>-208069347</v>
      </c>
      <c r="AW307" s="107" t="n">
        <v>0</v>
      </c>
      <c r="AX307" s="107" t="n">
        <v>0</v>
      </c>
      <c r="AY307" s="107" t="n">
        <v>0</v>
      </c>
      <c r="AZ307" s="107" t="n">
        <v>0</v>
      </c>
      <c r="BA307" s="107" t="n">
        <v>0</v>
      </c>
      <c r="BB307" s="107" t="n">
        <v>0</v>
      </c>
      <c r="BC307" s="107" t="n">
        <v>0</v>
      </c>
      <c r="BD307" s="107" t="n">
        <v>0</v>
      </c>
      <c r="BE307" s="107" t="n">
        <v>45680.56</v>
      </c>
      <c r="BF307" s="107" t="n">
        <v>62052472</v>
      </c>
      <c r="BG307" s="107" t="n">
        <v>0</v>
      </c>
      <c r="BH307" s="107" t="n">
        <v>0</v>
      </c>
      <c r="BI307" s="107" t="n">
        <v>2113516.42</v>
      </c>
      <c r="BJ307" s="107" t="n">
        <v>3032684711</v>
      </c>
      <c r="BK307" s="107" t="n">
        <v>41907.84</v>
      </c>
      <c r="BL307" s="107" t="n">
        <v>60133458</v>
      </c>
      <c r="BM307" s="107" t="n">
        <v>-3717.16</v>
      </c>
      <c r="BN307" s="107" t="n">
        <v>-5333818</v>
      </c>
      <c r="BO307" s="107" t="s">
        <v>377</v>
      </c>
      <c r="BP307" s="2"/>
      <c r="BQ307" s="107" t="s">
        <v>369</v>
      </c>
      <c r="BR307" s="107" t="n">
        <v>-160486407</v>
      </c>
      <c r="BS307" s="107" t="n">
        <v>0</v>
      </c>
      <c r="BT307" s="107" t="n">
        <v>0</v>
      </c>
      <c r="BU307" s="107" t="n">
        <v>-11936.89</v>
      </c>
      <c r="BV307" s="107" t="n">
        <v>-17128243</v>
      </c>
      <c r="BW307" s="107" t="n">
        <v>45680.56</v>
      </c>
      <c r="BX307" s="107" t="n">
        <v>62052472</v>
      </c>
      <c r="BY307" s="107" t="n">
        <v>0</v>
      </c>
      <c r="BZ307" s="107" t="n">
        <v>0</v>
      </c>
      <c r="CA307" s="107" t="n">
        <v>1434.9</v>
      </c>
      <c r="CB307" s="2"/>
      <c r="CC307" s="107" t="n">
        <v>0</v>
      </c>
      <c r="CD307" s="107" t="n">
        <v>97.17</v>
      </c>
      <c r="CE307" s="107" t="n">
        <v>97.15</v>
      </c>
      <c r="CF307" s="107" t="n">
        <v>97.38</v>
      </c>
      <c r="CG307" s="107" t="n">
        <v>0</v>
      </c>
      <c r="CH307" s="107" t="n">
        <v>6.3433</v>
      </c>
      <c r="CI307" s="107" t="n">
        <v>100.11</v>
      </c>
      <c r="CJ307" s="107" t="n">
        <v>100.14</v>
      </c>
      <c r="CK307" s="107" t="n">
        <v>100.2</v>
      </c>
      <c r="CL307" s="107" t="n">
        <v>0</v>
      </c>
    </row>
    <row r="308" customFormat="false" ht="15" hidden="false" customHeight="false" outlineLevel="0" collapsed="false">
      <c r="A308" s="107" t="s">
        <v>599</v>
      </c>
      <c r="B308" s="107" t="n">
        <v>91.7442</v>
      </c>
      <c r="C308" s="107" t="n">
        <v>6.1789</v>
      </c>
      <c r="D308" s="107" t="n">
        <v>6.9893</v>
      </c>
      <c r="E308" s="107" t="n">
        <v>-1923.68321118</v>
      </c>
      <c r="F308" s="108" t="s">
        <v>358</v>
      </c>
      <c r="G308" s="107" t="n">
        <v>6.9893</v>
      </c>
      <c r="H308" s="107" t="n">
        <v>-1923.68321118</v>
      </c>
      <c r="I308" s="109" t="n">
        <v>49690</v>
      </c>
      <c r="J308" s="107" t="n">
        <v>10</v>
      </c>
      <c r="K308" s="107" t="s">
        <v>359</v>
      </c>
      <c r="L308" s="107" t="s">
        <v>298</v>
      </c>
      <c r="M308" s="107" t="n">
        <v>20967900</v>
      </c>
      <c r="N308" s="107" t="n">
        <v>99.525</v>
      </c>
      <c r="O308" s="107" t="n">
        <v>2752326</v>
      </c>
      <c r="P308" s="107" t="s">
        <v>483</v>
      </c>
      <c r="Q308" s="107" t="s">
        <v>377</v>
      </c>
      <c r="R308" s="107" t="n">
        <v>-0.143911693787845</v>
      </c>
      <c r="S308" s="107" t="n">
        <v>-0.0781793519216277</v>
      </c>
      <c r="T308" s="107" t="n">
        <v>-1983.10592952</v>
      </c>
      <c r="U308" s="107" t="n">
        <v>21069</v>
      </c>
      <c r="V308" s="108" t="s">
        <v>362</v>
      </c>
      <c r="W308" s="107" t="n">
        <v>38038</v>
      </c>
      <c r="X308" s="108" t="s">
        <v>111</v>
      </c>
      <c r="Y308" s="107" t="s">
        <v>730</v>
      </c>
      <c r="Z308" s="107" t="s">
        <v>732</v>
      </c>
      <c r="AA308" s="109" t="n">
        <v>45961</v>
      </c>
      <c r="AB308" s="107" t="n">
        <v>251031000001</v>
      </c>
      <c r="AC308" s="109" t="n">
        <v>45784</v>
      </c>
      <c r="AD308" s="109" t="n">
        <v>49436</v>
      </c>
      <c r="AE308" s="107" t="n">
        <v>5.75</v>
      </c>
      <c r="AF308" s="107" t="n">
        <v>6.5389</v>
      </c>
      <c r="AG308" s="107" t="n">
        <v>3141</v>
      </c>
      <c r="AH308" s="107" t="n">
        <v>5000000</v>
      </c>
      <c r="AI308" s="107" t="n">
        <v>4.975628</v>
      </c>
      <c r="AJ308" s="107" t="n">
        <v>105.814</v>
      </c>
      <c r="AK308" s="107" t="n">
        <v>5.013937</v>
      </c>
      <c r="AL308" s="107" t="n">
        <v>107.370757</v>
      </c>
      <c r="AM308" s="107" t="n">
        <v>6.1674</v>
      </c>
      <c r="AN308" s="107" t="n">
        <v>97.2345</v>
      </c>
      <c r="AO308" s="107" t="n">
        <v>1358.4</v>
      </c>
      <c r="AP308" s="107" t="n">
        <v>1</v>
      </c>
      <c r="AQ308" s="107" t="n">
        <v>4861725</v>
      </c>
      <c r="AR308" s="107" t="n">
        <v>6604167240</v>
      </c>
      <c r="AS308" s="107" t="n">
        <v>5254336.5</v>
      </c>
      <c r="AT308" s="107" t="n">
        <v>7539447444</v>
      </c>
      <c r="AU308" s="107" t="n">
        <v>-383775.58</v>
      </c>
      <c r="AV308" s="107" t="n">
        <v>-521320748</v>
      </c>
      <c r="AW308" s="107" t="n">
        <v>0</v>
      </c>
      <c r="AX308" s="107" t="n">
        <v>0</v>
      </c>
      <c r="AY308" s="107" t="n">
        <v>0</v>
      </c>
      <c r="AZ308" s="107" t="n">
        <v>0</v>
      </c>
      <c r="BA308" s="107" t="n">
        <v>0</v>
      </c>
      <c r="BB308" s="107" t="n">
        <v>0</v>
      </c>
      <c r="BC308" s="107" t="n">
        <v>0</v>
      </c>
      <c r="BD308" s="107" t="n">
        <v>0</v>
      </c>
      <c r="BE308" s="107" t="n">
        <v>114201.39</v>
      </c>
      <c r="BF308" s="107" t="n">
        <v>155131168</v>
      </c>
      <c r="BG308" s="107" t="n">
        <v>0</v>
      </c>
      <c r="BH308" s="107" t="n">
        <v>0</v>
      </c>
      <c r="BI308" s="107" t="n">
        <v>5277096.29</v>
      </c>
      <c r="BJ308" s="107" t="n">
        <v>7572105467</v>
      </c>
      <c r="BK308" s="107" t="n">
        <v>105226.58</v>
      </c>
      <c r="BL308" s="107" t="n">
        <v>150989550</v>
      </c>
      <c r="BM308" s="107" t="n">
        <v>-8835.92</v>
      </c>
      <c r="BN308" s="107" t="n">
        <v>-12678640</v>
      </c>
      <c r="BO308" s="107" t="s">
        <v>377</v>
      </c>
      <c r="BP308" s="2"/>
      <c r="BQ308" s="107" t="s">
        <v>369</v>
      </c>
      <c r="BR308" s="107" t="n">
        <v>-401280816</v>
      </c>
      <c r="BS308" s="107" t="n">
        <v>0</v>
      </c>
      <c r="BT308" s="107" t="n">
        <v>0</v>
      </c>
      <c r="BU308" s="107" t="n">
        <v>-22759.79</v>
      </c>
      <c r="BV308" s="107" t="n">
        <v>-32658023</v>
      </c>
      <c r="BW308" s="107" t="n">
        <v>114201.39</v>
      </c>
      <c r="BX308" s="107" t="n">
        <v>155131168</v>
      </c>
      <c r="BY308" s="107" t="n">
        <v>0</v>
      </c>
      <c r="BZ308" s="107" t="n">
        <v>0</v>
      </c>
      <c r="CA308" s="107" t="n">
        <v>1434.9</v>
      </c>
      <c r="CB308" s="2"/>
      <c r="CC308" s="107" t="n">
        <v>0</v>
      </c>
      <c r="CD308" s="107" t="n">
        <v>97.17</v>
      </c>
      <c r="CE308" s="107" t="n">
        <v>97.15</v>
      </c>
      <c r="CF308" s="107" t="n">
        <v>97.38</v>
      </c>
      <c r="CG308" s="107" t="n">
        <v>0</v>
      </c>
      <c r="CH308" s="107" t="n">
        <v>6.3433</v>
      </c>
      <c r="CI308" s="107" t="n">
        <v>98.8</v>
      </c>
      <c r="CJ308" s="107" t="n">
        <v>98.81</v>
      </c>
      <c r="CK308" s="107" t="n">
        <v>98.83</v>
      </c>
      <c r="CL308" s="107" t="n">
        <v>0</v>
      </c>
    </row>
    <row r="309" customFormat="false" ht="15" hidden="false" customHeight="false" outlineLevel="0" collapsed="false">
      <c r="A309" s="107" t="s">
        <v>500</v>
      </c>
      <c r="B309" s="107" t="n">
        <v>100.144</v>
      </c>
      <c r="C309" s="107" t="n">
        <v>5.331</v>
      </c>
      <c r="D309" s="107" t="n">
        <v>0.0994</v>
      </c>
      <c r="E309" s="107" t="n">
        <v>-79.6345088</v>
      </c>
      <c r="F309" s="108" t="s">
        <v>358</v>
      </c>
      <c r="G309" s="107" t="n">
        <v>0.0994</v>
      </c>
      <c r="H309" s="107" t="n">
        <v>-79.6345088</v>
      </c>
      <c r="I309" s="109" t="n">
        <v>46332</v>
      </c>
      <c r="J309" s="107" t="n">
        <v>1</v>
      </c>
      <c r="K309" s="107" t="s">
        <v>359</v>
      </c>
      <c r="L309" s="107" t="s">
        <v>298</v>
      </c>
      <c r="M309" s="107" t="n">
        <v>795200</v>
      </c>
      <c r="N309" s="107" t="n">
        <v>102.033</v>
      </c>
      <c r="O309" s="107" t="n">
        <v>8011520</v>
      </c>
      <c r="P309" s="107" t="s">
        <v>501</v>
      </c>
      <c r="Q309" s="107" t="s">
        <v>107</v>
      </c>
      <c r="R309" s="107" t="n">
        <v>-0.070220752776761</v>
      </c>
      <c r="S309" s="107" t="n">
        <v>-0.0185136181431498</v>
      </c>
      <c r="T309" s="107" t="n">
        <v>-81.7976192</v>
      </c>
      <c r="U309" s="107" t="n">
        <v>21069</v>
      </c>
      <c r="V309" s="108" t="s">
        <v>362</v>
      </c>
      <c r="W309" s="107" t="n">
        <v>38038</v>
      </c>
      <c r="X309" s="108" t="s">
        <v>111</v>
      </c>
      <c r="Y309" s="107" t="s">
        <v>599</v>
      </c>
      <c r="Z309" s="107" t="s">
        <v>601</v>
      </c>
      <c r="AA309" s="109" t="n">
        <v>46087</v>
      </c>
      <c r="AB309" s="107" t="n">
        <v>260306000002</v>
      </c>
      <c r="AC309" s="109" t="n">
        <v>46038</v>
      </c>
      <c r="AD309" s="109" t="n">
        <v>49690</v>
      </c>
      <c r="AE309" s="107" t="n">
        <v>5</v>
      </c>
      <c r="AF309" s="107" t="n">
        <v>7.2032</v>
      </c>
      <c r="AG309" s="107" t="n">
        <v>3395</v>
      </c>
      <c r="AH309" s="107" t="n">
        <v>5000000</v>
      </c>
      <c r="AI309" s="107" t="n">
        <v>5.04311</v>
      </c>
      <c r="AJ309" s="107" t="n">
        <v>99.662</v>
      </c>
      <c r="AK309" s="107" t="n">
        <v>5.044371</v>
      </c>
      <c r="AL309" s="107" t="n">
        <v>100.694229</v>
      </c>
      <c r="AM309" s="107" t="n">
        <v>6.1687</v>
      </c>
      <c r="AN309" s="107" t="n">
        <v>91.8135</v>
      </c>
      <c r="AO309" s="107" t="n">
        <v>1358.4</v>
      </c>
      <c r="AP309" s="107" t="n">
        <v>1</v>
      </c>
      <c r="AQ309" s="107" t="n">
        <v>4590675</v>
      </c>
      <c r="AR309" s="107" t="n">
        <v>6235972920</v>
      </c>
      <c r="AS309" s="107" t="n">
        <v>4983322.56</v>
      </c>
      <c r="AT309" s="107" t="n">
        <v>7369337401</v>
      </c>
      <c r="AU309" s="107" t="n">
        <v>-393311.8</v>
      </c>
      <c r="AV309" s="107" t="n">
        <v>-534274749</v>
      </c>
      <c r="AW309" s="107" t="n">
        <v>0</v>
      </c>
      <c r="AX309" s="107" t="n">
        <v>0</v>
      </c>
      <c r="AY309" s="107" t="n">
        <v>0</v>
      </c>
      <c r="AZ309" s="107" t="n">
        <v>0</v>
      </c>
      <c r="BA309" s="107" t="n">
        <v>0</v>
      </c>
      <c r="BB309" s="107" t="n">
        <v>0</v>
      </c>
      <c r="BC309" s="107" t="n">
        <v>0</v>
      </c>
      <c r="BD309" s="107" t="n">
        <v>0</v>
      </c>
      <c r="BE309" s="107" t="n">
        <v>51388.89</v>
      </c>
      <c r="BF309" s="107" t="n">
        <v>69806668</v>
      </c>
      <c r="BG309" s="107" t="n">
        <v>0</v>
      </c>
      <c r="BH309" s="107" t="n">
        <v>0</v>
      </c>
      <c r="BI309" s="107" t="n">
        <v>4983322.56</v>
      </c>
      <c r="BJ309" s="107" t="n">
        <v>7369337401</v>
      </c>
      <c r="BK309" s="107" t="n">
        <v>52294.08</v>
      </c>
      <c r="BL309" s="107" t="n">
        <v>77332432</v>
      </c>
      <c r="BM309" s="107" t="n">
        <v>664.24</v>
      </c>
      <c r="BN309" s="107" t="n">
        <v>982300</v>
      </c>
      <c r="BO309" s="107" t="s">
        <v>377</v>
      </c>
      <c r="BP309" s="2"/>
      <c r="BQ309" s="107" t="s">
        <v>369</v>
      </c>
      <c r="BR309" s="107" t="n">
        <v>-600072032</v>
      </c>
      <c r="BS309" s="107" t="n">
        <v>0</v>
      </c>
      <c r="BT309" s="107" t="n">
        <v>0</v>
      </c>
      <c r="BU309" s="107" t="n">
        <v>0</v>
      </c>
      <c r="BV309" s="107" t="n">
        <v>0</v>
      </c>
      <c r="BW309" s="107" t="n">
        <v>51388.89</v>
      </c>
      <c r="BX309" s="107" t="n">
        <v>69806668</v>
      </c>
      <c r="BY309" s="107" t="n">
        <v>0</v>
      </c>
      <c r="BZ309" s="107" t="n">
        <v>0</v>
      </c>
      <c r="CA309" s="107" t="n">
        <v>1478.8</v>
      </c>
      <c r="CB309" s="2"/>
      <c r="CC309" s="107" t="n">
        <v>0</v>
      </c>
      <c r="CD309" s="107" t="n">
        <v>91.8</v>
      </c>
      <c r="CE309" s="107" t="n">
        <v>91.83</v>
      </c>
      <c r="CF309" s="107" t="n">
        <v>91.81</v>
      </c>
      <c r="CG309" s="107" t="n">
        <v>0</v>
      </c>
      <c r="CH309" s="107" t="n">
        <v>6.9877</v>
      </c>
      <c r="CI309" s="107" t="n">
        <v>99.67</v>
      </c>
      <c r="CJ309" s="107" t="n">
        <v>99.65</v>
      </c>
      <c r="CK309" s="107" t="n">
        <v>99.67</v>
      </c>
      <c r="CL309" s="107" t="n">
        <v>2000000</v>
      </c>
    </row>
    <row r="310" customFormat="false" ht="15" hidden="false" customHeight="false" outlineLevel="0" collapsed="false">
      <c r="A310" s="107" t="s">
        <v>733</v>
      </c>
      <c r="B310" s="107" t="n">
        <v>90.3289</v>
      </c>
      <c r="C310" s="107" t="n">
        <v>3.8883</v>
      </c>
      <c r="D310" s="107" t="n">
        <v>2.81</v>
      </c>
      <c r="E310" s="107" t="n">
        <v>-761.472627</v>
      </c>
      <c r="F310" s="108" t="s">
        <v>358</v>
      </c>
      <c r="G310" s="107" t="n">
        <v>2.81</v>
      </c>
      <c r="H310" s="107" t="n">
        <v>-761.472627</v>
      </c>
      <c r="I310" s="109" t="n">
        <v>47378</v>
      </c>
      <c r="J310" s="107" t="n">
        <v>3</v>
      </c>
      <c r="K310" s="108" t="s">
        <v>92</v>
      </c>
      <c r="L310" s="107" t="s">
        <v>298</v>
      </c>
      <c r="M310" s="107" t="n">
        <v>8430000</v>
      </c>
      <c r="N310" s="107" t="n">
        <v>99.268</v>
      </c>
      <c r="O310" s="107" t="n">
        <v>2709867</v>
      </c>
      <c r="P310" s="107" t="s">
        <v>734</v>
      </c>
      <c r="Q310" s="107" t="s">
        <v>367</v>
      </c>
      <c r="R310" s="107" t="n">
        <v>-0.0934019685401548</v>
      </c>
      <c r="S310" s="107" t="n">
        <v>-0.0900501672240802</v>
      </c>
      <c r="T310" s="107" t="n">
        <v>-791.09147331</v>
      </c>
      <c r="U310" s="107" t="n">
        <v>21069</v>
      </c>
      <c r="V310" s="108" t="s">
        <v>362</v>
      </c>
      <c r="W310" s="107" t="n">
        <v>38038</v>
      </c>
      <c r="X310" s="108" t="s">
        <v>111</v>
      </c>
      <c r="Y310" s="107" t="s">
        <v>599</v>
      </c>
      <c r="Z310" s="107" t="s">
        <v>601</v>
      </c>
      <c r="AA310" s="109" t="n">
        <v>46090</v>
      </c>
      <c r="AB310" s="107" t="n">
        <v>260309000002</v>
      </c>
      <c r="AC310" s="109" t="n">
        <v>46038</v>
      </c>
      <c r="AD310" s="109" t="n">
        <v>49690</v>
      </c>
      <c r="AE310" s="107" t="n">
        <v>5</v>
      </c>
      <c r="AF310" s="107" t="n">
        <v>7.2032</v>
      </c>
      <c r="AG310" s="107" t="n">
        <v>3395</v>
      </c>
      <c r="AH310" s="107" t="n">
        <v>3000000</v>
      </c>
      <c r="AI310" s="107" t="n">
        <v>5.06098</v>
      </c>
      <c r="AJ310" s="107" t="n">
        <v>99.525</v>
      </c>
      <c r="AK310" s="107" t="n">
        <v>5.062525</v>
      </c>
      <c r="AL310" s="107" t="n">
        <v>100.561191</v>
      </c>
      <c r="AM310" s="107" t="n">
        <v>6.1687</v>
      </c>
      <c r="AN310" s="107" t="n">
        <v>91.8135</v>
      </c>
      <c r="AO310" s="107" t="n">
        <v>1358.4</v>
      </c>
      <c r="AP310" s="107" t="n">
        <v>1</v>
      </c>
      <c r="AQ310" s="107" t="n">
        <v>2754405</v>
      </c>
      <c r="AR310" s="107" t="n">
        <v>3741583752</v>
      </c>
      <c r="AS310" s="107" t="n">
        <v>2986002.41</v>
      </c>
      <c r="AT310" s="107" t="n">
        <v>4372403329</v>
      </c>
      <c r="AU310" s="107" t="n">
        <v>-232086.85</v>
      </c>
      <c r="AV310" s="107" t="n">
        <v>-315266777</v>
      </c>
      <c r="AW310" s="107" t="n">
        <v>0</v>
      </c>
      <c r="AX310" s="107" t="n">
        <v>0</v>
      </c>
      <c r="AY310" s="107" t="n">
        <v>0</v>
      </c>
      <c r="AZ310" s="107" t="n">
        <v>0</v>
      </c>
      <c r="BA310" s="107" t="n">
        <v>0</v>
      </c>
      <c r="BB310" s="107" t="n">
        <v>0</v>
      </c>
      <c r="BC310" s="107" t="n">
        <v>0</v>
      </c>
      <c r="BD310" s="107" t="n">
        <v>0</v>
      </c>
      <c r="BE310" s="107" t="n">
        <v>30833.33</v>
      </c>
      <c r="BF310" s="107" t="n">
        <v>41883995</v>
      </c>
      <c r="BG310" s="107" t="n">
        <v>0</v>
      </c>
      <c r="BH310" s="107" t="n">
        <v>0</v>
      </c>
      <c r="BI310" s="107" t="n">
        <v>2986002.41</v>
      </c>
      <c r="BJ310" s="107" t="n">
        <v>4372403329</v>
      </c>
      <c r="BK310" s="107" t="n">
        <v>31467.04</v>
      </c>
      <c r="BL310" s="107" t="n">
        <v>46077128</v>
      </c>
      <c r="BM310" s="107" t="n">
        <v>489.44</v>
      </c>
      <c r="BN310" s="107" t="n">
        <v>716680</v>
      </c>
      <c r="BO310" s="107" t="s">
        <v>377</v>
      </c>
      <c r="BP310" s="2"/>
      <c r="BQ310" s="107" t="s">
        <v>369</v>
      </c>
      <c r="BR310" s="107" t="n">
        <v>-316269480</v>
      </c>
      <c r="BS310" s="107" t="n">
        <v>0</v>
      </c>
      <c r="BT310" s="107" t="n">
        <v>0</v>
      </c>
      <c r="BU310" s="107" t="n">
        <v>0</v>
      </c>
      <c r="BV310" s="107" t="n">
        <v>0</v>
      </c>
      <c r="BW310" s="107" t="n">
        <v>30833.33</v>
      </c>
      <c r="BX310" s="107" t="n">
        <v>41883995</v>
      </c>
      <c r="BY310" s="107" t="n">
        <v>0</v>
      </c>
      <c r="BZ310" s="107" t="n">
        <v>0</v>
      </c>
      <c r="CA310" s="107" t="n">
        <v>1464.3</v>
      </c>
      <c r="CB310" s="2"/>
      <c r="CC310" s="107" t="n">
        <v>0</v>
      </c>
      <c r="CD310" s="107" t="n">
        <v>91.8</v>
      </c>
      <c r="CE310" s="107" t="n">
        <v>91.83</v>
      </c>
      <c r="CF310" s="107" t="n">
        <v>91.81</v>
      </c>
      <c r="CG310" s="107" t="n">
        <v>0</v>
      </c>
      <c r="CH310" s="107" t="n">
        <v>6.9877</v>
      </c>
      <c r="CI310" s="107" t="n">
        <v>99.37</v>
      </c>
      <c r="CJ310" s="107" t="n">
        <v>99.33</v>
      </c>
      <c r="CK310" s="107" t="n">
        <v>99.31</v>
      </c>
      <c r="CL310" s="107" t="n">
        <v>0</v>
      </c>
    </row>
    <row r="311" customFormat="false" ht="15" hidden="false" customHeight="false" outlineLevel="0" collapsed="false">
      <c r="A311" s="107" t="s">
        <v>735</v>
      </c>
      <c r="B311" s="107" t="n">
        <v>91.17</v>
      </c>
      <c r="C311" s="107" t="n">
        <v>4.032</v>
      </c>
      <c r="D311" s="107" t="n">
        <v>2.9178</v>
      </c>
      <c r="E311" s="107" t="n">
        <v>-266.015826</v>
      </c>
      <c r="F311" s="108" t="s">
        <v>358</v>
      </c>
      <c r="G311" s="107" t="n">
        <v>2.9178</v>
      </c>
      <c r="H311" s="107" t="n">
        <v>-266.015826</v>
      </c>
      <c r="I311" s="109" t="n">
        <v>47448</v>
      </c>
      <c r="J311" s="107" t="n">
        <v>3</v>
      </c>
      <c r="K311" s="108" t="s">
        <v>92</v>
      </c>
      <c r="L311" s="107" t="s">
        <v>298</v>
      </c>
      <c r="M311" s="107" t="n">
        <v>2917800</v>
      </c>
      <c r="N311" s="107" t="n">
        <v>99.443</v>
      </c>
      <c r="O311" s="107" t="n">
        <v>911700</v>
      </c>
      <c r="P311" s="107" t="s">
        <v>736</v>
      </c>
      <c r="Q311" s="107" t="s">
        <v>106</v>
      </c>
      <c r="R311" s="107" t="n">
        <v>-0.0984454029487537</v>
      </c>
      <c r="S311" s="107" t="n">
        <v>-0.0831933871665175</v>
      </c>
      <c r="T311" s="107" t="n">
        <v>-276.737418</v>
      </c>
      <c r="U311" s="107" t="n">
        <v>21069</v>
      </c>
      <c r="V311" s="108" t="s">
        <v>362</v>
      </c>
      <c r="W311" s="107" t="n">
        <v>38064</v>
      </c>
      <c r="X311" s="108" t="s">
        <v>372</v>
      </c>
      <c r="Y311" s="107" t="s">
        <v>500</v>
      </c>
      <c r="Z311" s="107" t="s">
        <v>502</v>
      </c>
      <c r="AA311" s="109" t="n">
        <v>45308</v>
      </c>
      <c r="AB311" s="107" t="n">
        <v>240117000001</v>
      </c>
      <c r="AC311" s="109" t="n">
        <v>45236</v>
      </c>
      <c r="AD311" s="109" t="n">
        <v>46332</v>
      </c>
      <c r="AE311" s="107" t="n">
        <v>6.875</v>
      </c>
      <c r="AF311" s="107" t="n">
        <v>0.0994</v>
      </c>
      <c r="AG311" s="107" t="n">
        <v>37</v>
      </c>
      <c r="AH311" s="107" t="n">
        <v>8000000</v>
      </c>
      <c r="AI311" s="107" t="n">
        <v>6.07044</v>
      </c>
      <c r="AJ311" s="107" t="n">
        <v>102.033</v>
      </c>
      <c r="AK311" s="107" t="n">
        <v>-12.980657</v>
      </c>
      <c r="AL311" s="107" t="n">
        <v>104.8351</v>
      </c>
      <c r="AM311" s="107" t="n">
        <v>5.2818</v>
      </c>
      <c r="AN311" s="107" t="n">
        <v>100.1449</v>
      </c>
      <c r="AO311" s="107" t="n">
        <v>1358.4</v>
      </c>
      <c r="AP311" s="107" t="n">
        <v>1</v>
      </c>
      <c r="AQ311" s="107" t="n">
        <v>8011592</v>
      </c>
      <c r="AR311" s="107" t="n">
        <v>10882946573</v>
      </c>
      <c r="AS311" s="107" t="n">
        <v>8166808</v>
      </c>
      <c r="AT311" s="107" t="n">
        <v>11718552799</v>
      </c>
      <c r="AU311" s="107" t="n">
        <v>-155216</v>
      </c>
      <c r="AV311" s="107" t="n">
        <v>-210845414</v>
      </c>
      <c r="AW311" s="107" t="n">
        <v>0</v>
      </c>
      <c r="AX311" s="107" t="n">
        <v>0</v>
      </c>
      <c r="AY311" s="107" t="n">
        <v>0</v>
      </c>
      <c r="AZ311" s="107" t="n">
        <v>0</v>
      </c>
      <c r="BA311" s="107" t="n">
        <v>0</v>
      </c>
      <c r="BB311" s="107" t="n">
        <v>0</v>
      </c>
      <c r="BC311" s="107" t="n">
        <v>0</v>
      </c>
      <c r="BD311" s="107" t="n">
        <v>0</v>
      </c>
      <c r="BE311" s="107" t="n">
        <v>220000</v>
      </c>
      <c r="BF311" s="107" t="n">
        <v>298848000</v>
      </c>
      <c r="BG311" s="107" t="n">
        <v>0</v>
      </c>
      <c r="BH311" s="107" t="n">
        <v>0</v>
      </c>
      <c r="BI311" s="107" t="n">
        <v>9182970</v>
      </c>
      <c r="BJ311" s="107" t="n">
        <v>13053569450</v>
      </c>
      <c r="BK311" s="107" t="n">
        <v>0</v>
      </c>
      <c r="BL311" s="107" t="n">
        <v>0</v>
      </c>
      <c r="BM311" s="107" t="n">
        <v>0</v>
      </c>
      <c r="BN311" s="107" t="n">
        <v>0</v>
      </c>
      <c r="BO311" s="107" t="s">
        <v>107</v>
      </c>
      <c r="BP311" s="2"/>
      <c r="BQ311" s="107" t="s">
        <v>369</v>
      </c>
      <c r="BR311" s="107" t="n">
        <v>-624760812</v>
      </c>
      <c r="BS311" s="107" t="n">
        <v>0</v>
      </c>
      <c r="BT311" s="107" t="n">
        <v>0</v>
      </c>
      <c r="BU311" s="107" t="n">
        <v>4168</v>
      </c>
      <c r="BV311" s="107" t="n">
        <v>7737629</v>
      </c>
      <c r="BW311" s="107" t="n">
        <v>220000</v>
      </c>
      <c r="BX311" s="107" t="n">
        <v>298848000</v>
      </c>
      <c r="BY311" s="107" t="n">
        <v>0</v>
      </c>
      <c r="BZ311" s="107" t="n">
        <v>0</v>
      </c>
      <c r="CA311" s="107" t="n">
        <v>1434.9</v>
      </c>
      <c r="CB311" s="2"/>
      <c r="CC311" s="107" t="n">
        <v>0</v>
      </c>
      <c r="CD311" s="107" t="n">
        <v>100.14</v>
      </c>
      <c r="CE311" s="107" t="n">
        <v>100.15</v>
      </c>
      <c r="CF311" s="107" t="n">
        <v>100.14</v>
      </c>
      <c r="CG311" s="107" t="n">
        <v>8000000</v>
      </c>
      <c r="CH311" s="107" t="n">
        <v>0.0968</v>
      </c>
      <c r="CI311" s="107" t="n">
        <v>99.37</v>
      </c>
      <c r="CJ311" s="107" t="n">
        <v>99.33</v>
      </c>
      <c r="CK311" s="107" t="n">
        <v>99.31</v>
      </c>
      <c r="CL311" s="107" t="n">
        <v>0</v>
      </c>
    </row>
    <row r="312" customFormat="false" ht="15" hidden="false" customHeight="false" outlineLevel="0" collapsed="false">
      <c r="A312" s="107" t="s">
        <v>737</v>
      </c>
      <c r="B312" s="107" t="n">
        <v>94.1795</v>
      </c>
      <c r="C312" s="107" t="n">
        <v>3.9348</v>
      </c>
      <c r="D312" s="107" t="n">
        <v>2.387</v>
      </c>
      <c r="E312" s="107" t="n">
        <v>-1124.0323325</v>
      </c>
      <c r="F312" s="108" t="s">
        <v>358</v>
      </c>
      <c r="G312" s="107" t="n">
        <v>2.387</v>
      </c>
      <c r="H312" s="107" t="n">
        <v>-1124.0323325</v>
      </c>
      <c r="I312" s="109" t="n">
        <v>47242</v>
      </c>
      <c r="J312" s="107" t="n">
        <v>3</v>
      </c>
      <c r="K312" s="108" t="s">
        <v>384</v>
      </c>
      <c r="L312" s="107" t="s">
        <v>298</v>
      </c>
      <c r="M312" s="107" t="n">
        <v>11935000</v>
      </c>
      <c r="N312" s="107" t="n">
        <v>94.38</v>
      </c>
      <c r="O312" s="107" t="n">
        <v>4708975</v>
      </c>
      <c r="P312" s="107" t="s">
        <v>448</v>
      </c>
      <c r="Q312" s="107" t="s">
        <v>106</v>
      </c>
      <c r="R312" s="107" t="n">
        <v>-0.10014068463151</v>
      </c>
      <c r="S312" s="107" t="n">
        <v>-0.00212439076075432</v>
      </c>
      <c r="T312" s="107" t="n">
        <v>-1168.24960775</v>
      </c>
      <c r="U312" s="107" t="n">
        <v>21069</v>
      </c>
      <c r="V312" s="108" t="s">
        <v>362</v>
      </c>
      <c r="W312" s="107" t="n">
        <v>38070</v>
      </c>
      <c r="X312" s="108" t="s">
        <v>372</v>
      </c>
      <c r="Y312" s="107" t="s">
        <v>733</v>
      </c>
      <c r="Z312" s="107" t="s">
        <v>738</v>
      </c>
      <c r="AA312" s="109" t="n">
        <v>43725</v>
      </c>
      <c r="AB312" s="107" t="n">
        <v>190917000001</v>
      </c>
      <c r="AC312" s="109" t="n">
        <v>43725</v>
      </c>
      <c r="AD312" s="109" t="n">
        <v>47378</v>
      </c>
      <c r="AE312" s="107" t="n">
        <v>0.375</v>
      </c>
      <c r="AF312" s="107" t="n">
        <v>2.9168</v>
      </c>
      <c r="AG312" s="107" t="n">
        <v>1083</v>
      </c>
      <c r="AH312" s="107" t="n">
        <v>3000000</v>
      </c>
      <c r="AI312" s="107" t="n">
        <v>0.450024</v>
      </c>
      <c r="AJ312" s="107" t="n">
        <v>99.268</v>
      </c>
      <c r="AK312" s="107" t="n">
        <v>3.47606</v>
      </c>
      <c r="AL312" s="107" t="n">
        <v>91.417356</v>
      </c>
      <c r="AM312" s="107" t="n">
        <v>3.8529</v>
      </c>
      <c r="AN312" s="107" t="n">
        <v>90.429</v>
      </c>
      <c r="AO312" s="107" t="n">
        <v>1540.29</v>
      </c>
      <c r="AP312" s="107" t="n">
        <v>1.1339</v>
      </c>
      <c r="AQ312" s="107" t="n">
        <v>2712870</v>
      </c>
      <c r="AR312" s="107" t="n">
        <v>4178606532</v>
      </c>
      <c r="AS312" s="107" t="n">
        <v>2742120</v>
      </c>
      <c r="AT312" s="107" t="n">
        <v>4622446526</v>
      </c>
      <c r="AU312" s="107" t="n">
        <v>-29250</v>
      </c>
      <c r="AV312" s="107" t="n">
        <v>-45053483</v>
      </c>
      <c r="AW312" s="107" t="n">
        <v>0</v>
      </c>
      <c r="AX312" s="107" t="n">
        <v>0</v>
      </c>
      <c r="AY312" s="107" t="n">
        <v>0</v>
      </c>
      <c r="AZ312" s="107" t="n">
        <v>0</v>
      </c>
      <c r="BA312" s="107" t="n">
        <v>0</v>
      </c>
      <c r="BB312" s="107" t="n">
        <v>0</v>
      </c>
      <c r="BC312" s="107" t="n">
        <v>0</v>
      </c>
      <c r="BD312" s="107" t="n">
        <v>0</v>
      </c>
      <c r="BE312" s="107" t="n">
        <v>400.68</v>
      </c>
      <c r="BF312" s="107" t="n">
        <v>617163</v>
      </c>
      <c r="BG312" s="107" t="n">
        <v>0</v>
      </c>
      <c r="BH312" s="107" t="n">
        <v>0</v>
      </c>
      <c r="BI312" s="107" t="n">
        <v>2978040</v>
      </c>
      <c r="BJ312" s="107" t="n">
        <v>4945201283</v>
      </c>
      <c r="BK312" s="107" t="n">
        <v>0</v>
      </c>
      <c r="BL312" s="107" t="n">
        <v>0</v>
      </c>
      <c r="BM312" s="107" t="n">
        <v>0</v>
      </c>
      <c r="BN312" s="107" t="n">
        <v>0</v>
      </c>
      <c r="BO312" s="107" t="s">
        <v>364</v>
      </c>
      <c r="BP312" s="2"/>
      <c r="BQ312" s="107" t="s">
        <v>367</v>
      </c>
      <c r="BR312" s="107" t="n">
        <v>-398786511</v>
      </c>
      <c r="BS312" s="107" t="n">
        <v>0</v>
      </c>
      <c r="BT312" s="107" t="n">
        <v>0</v>
      </c>
      <c r="BU312" s="107" t="n">
        <v>-195255</v>
      </c>
      <c r="BV312" s="107" t="n">
        <v>-212459033</v>
      </c>
      <c r="BW312" s="107" t="n">
        <v>400.68</v>
      </c>
      <c r="BX312" s="107" t="n">
        <v>617163</v>
      </c>
      <c r="BY312" s="107" t="n">
        <v>0</v>
      </c>
      <c r="BZ312" s="107" t="n">
        <v>0</v>
      </c>
      <c r="CA312" s="107" t="n">
        <v>1685.72</v>
      </c>
      <c r="CB312" s="2"/>
      <c r="CC312" s="107" t="n">
        <v>0</v>
      </c>
      <c r="CD312" s="107" t="n">
        <v>90.48</v>
      </c>
      <c r="CE312" s="107" t="n">
        <v>90.4</v>
      </c>
      <c r="CF312" s="107" t="n">
        <v>90.4</v>
      </c>
      <c r="CG312" s="107" t="n">
        <v>0</v>
      </c>
      <c r="CH312" s="107" t="n">
        <v>2.8086</v>
      </c>
      <c r="CI312" s="107" t="n">
        <v>99.37</v>
      </c>
      <c r="CJ312" s="107" t="n">
        <v>99.33</v>
      </c>
      <c r="CK312" s="107" t="n">
        <v>99.31</v>
      </c>
      <c r="CL312" s="107" t="n">
        <v>2500000</v>
      </c>
    </row>
    <row r="313" customFormat="false" ht="15" hidden="false" customHeight="false" outlineLevel="0" collapsed="false">
      <c r="A313" s="107" t="s">
        <v>739</v>
      </c>
      <c r="B313" s="107" t="n">
        <v>97.9329</v>
      </c>
      <c r="C313" s="107" t="n">
        <v>3.8283</v>
      </c>
      <c r="D313" s="107" t="n">
        <v>1.6957</v>
      </c>
      <c r="E313" s="107" t="n">
        <v>-83.032409265</v>
      </c>
      <c r="F313" s="108" t="s">
        <v>358</v>
      </c>
      <c r="G313" s="107" t="n">
        <v>1.6957</v>
      </c>
      <c r="H313" s="107" t="n">
        <v>-83.032409265</v>
      </c>
      <c r="I313" s="109" t="n">
        <v>46957</v>
      </c>
      <c r="J313" s="107" t="n">
        <v>2</v>
      </c>
      <c r="K313" s="108" t="s">
        <v>384</v>
      </c>
      <c r="L313" s="107" t="s">
        <v>298</v>
      </c>
      <c r="M313" s="107" t="n">
        <v>847850</v>
      </c>
      <c r="N313" s="107" t="n">
        <v>100</v>
      </c>
      <c r="O313" s="107" t="n">
        <v>489664.5</v>
      </c>
      <c r="P313" s="107" t="s">
        <v>448</v>
      </c>
      <c r="Q313" s="107" t="s">
        <v>106</v>
      </c>
      <c r="R313" s="107" t="n">
        <v>-0.0985478434454737</v>
      </c>
      <c r="S313" s="107" t="n">
        <v>-0.020671</v>
      </c>
      <c r="T313" s="107" t="n">
        <v>-86.21033187</v>
      </c>
      <c r="U313" s="107" t="n">
        <v>21069</v>
      </c>
      <c r="V313" s="108" t="s">
        <v>362</v>
      </c>
      <c r="W313" s="107" t="n">
        <v>38070</v>
      </c>
      <c r="X313" s="108" t="s">
        <v>372</v>
      </c>
      <c r="Y313" s="107" t="s">
        <v>735</v>
      </c>
      <c r="Z313" s="107" t="s">
        <v>740</v>
      </c>
      <c r="AA313" s="109" t="n">
        <v>43795</v>
      </c>
      <c r="AB313" s="107" t="n">
        <v>191126000001</v>
      </c>
      <c r="AC313" s="109" t="n">
        <v>43795</v>
      </c>
      <c r="AD313" s="109" t="n">
        <v>47448</v>
      </c>
      <c r="AE313" s="107" t="n">
        <v>1</v>
      </c>
      <c r="AF313" s="107" t="n">
        <v>3.0329</v>
      </c>
      <c r="AG313" s="107" t="n">
        <v>1153</v>
      </c>
      <c r="AH313" s="107" t="n">
        <v>1000000</v>
      </c>
      <c r="AI313" s="107" t="n">
        <v>1.0589955</v>
      </c>
      <c r="AJ313" s="107" t="n">
        <v>99.443</v>
      </c>
      <c r="AK313" s="107" t="n">
        <v>3.453556</v>
      </c>
      <c r="AL313" s="107" t="n">
        <v>93.615036</v>
      </c>
      <c r="AM313" s="107" t="n">
        <v>4.0188</v>
      </c>
      <c r="AN313" s="107" t="n">
        <v>91.2136</v>
      </c>
      <c r="AO313" s="107" t="n">
        <v>1540.29</v>
      </c>
      <c r="AP313" s="107" t="n">
        <v>1.1339</v>
      </c>
      <c r="AQ313" s="107" t="n">
        <v>912136</v>
      </c>
      <c r="AR313" s="107" t="n">
        <v>1404953959</v>
      </c>
      <c r="AS313" s="107" t="n">
        <v>927712</v>
      </c>
      <c r="AT313" s="107" t="n">
        <v>1563862673</v>
      </c>
      <c r="AU313" s="107" t="n">
        <v>-15576</v>
      </c>
      <c r="AV313" s="107" t="n">
        <v>-23991557</v>
      </c>
      <c r="AW313" s="107" t="n">
        <v>0</v>
      </c>
      <c r="AX313" s="107" t="n">
        <v>0</v>
      </c>
      <c r="AY313" s="107" t="n">
        <v>0</v>
      </c>
      <c r="AZ313" s="107" t="n">
        <v>0</v>
      </c>
      <c r="BA313" s="107" t="n">
        <v>958.9</v>
      </c>
      <c r="BB313" s="107" t="n">
        <v>1616436</v>
      </c>
      <c r="BC313" s="107" t="n">
        <v>0</v>
      </c>
      <c r="BD313" s="107" t="n">
        <v>0</v>
      </c>
      <c r="BE313" s="107" t="n">
        <v>8438.36</v>
      </c>
      <c r="BF313" s="107" t="n">
        <v>13136973</v>
      </c>
      <c r="BG313" s="107" t="n">
        <v>0</v>
      </c>
      <c r="BH313" s="107" t="n">
        <v>0</v>
      </c>
      <c r="BI313" s="107" t="n">
        <v>994430</v>
      </c>
      <c r="BJ313" s="107" t="n">
        <v>1634414449</v>
      </c>
      <c r="BK313" s="107" t="n">
        <v>0</v>
      </c>
      <c r="BL313" s="107" t="n">
        <v>0</v>
      </c>
      <c r="BM313" s="107" t="n">
        <v>0</v>
      </c>
      <c r="BN313" s="107" t="n">
        <v>0</v>
      </c>
      <c r="BO313" s="107" t="s">
        <v>106</v>
      </c>
      <c r="BP313" s="2"/>
      <c r="BQ313" s="107" t="s">
        <v>369</v>
      </c>
      <c r="BR313" s="107" t="n">
        <v>-134917157</v>
      </c>
      <c r="BS313" s="107" t="n">
        <v>0</v>
      </c>
      <c r="BT313" s="107" t="n">
        <v>-139452</v>
      </c>
      <c r="BU313" s="107" t="n">
        <v>-78339</v>
      </c>
      <c r="BV313" s="107" t="n">
        <v>-88523002</v>
      </c>
      <c r="BW313" s="107" t="n">
        <v>8438.36</v>
      </c>
      <c r="BX313" s="107" t="n">
        <v>12997521</v>
      </c>
      <c r="BY313" s="107" t="n">
        <v>0</v>
      </c>
      <c r="BZ313" s="107" t="n">
        <v>0</v>
      </c>
      <c r="CA313" s="107" t="n">
        <v>1685.72</v>
      </c>
      <c r="CB313" s="2"/>
      <c r="CC313" s="107" t="n">
        <v>0</v>
      </c>
      <c r="CD313" s="107" t="n">
        <v>0</v>
      </c>
      <c r="CE313" s="107" t="n">
        <v>91.17</v>
      </c>
      <c r="CF313" s="107" t="n">
        <v>91.25</v>
      </c>
      <c r="CG313" s="107" t="n">
        <v>0</v>
      </c>
      <c r="CH313" s="107" t="n">
        <v>2.9157</v>
      </c>
      <c r="CI313" s="107" t="n">
        <v>103.55</v>
      </c>
      <c r="CJ313" s="107" t="n">
        <v>103.97</v>
      </c>
      <c r="CK313" s="107" t="n">
        <v>104.01</v>
      </c>
      <c r="CL313" s="107" t="n">
        <v>0</v>
      </c>
    </row>
    <row r="314" customFormat="false" ht="15" hidden="false" customHeight="false" outlineLevel="0" collapsed="false">
      <c r="A314" s="107" t="s">
        <v>739</v>
      </c>
      <c r="B314" s="107" t="n">
        <v>97.9329</v>
      </c>
      <c r="C314" s="107" t="n">
        <v>3.8283</v>
      </c>
      <c r="D314" s="107" t="n">
        <v>1.6957</v>
      </c>
      <c r="E314" s="107" t="n">
        <v>-83.032409265</v>
      </c>
      <c r="F314" s="108" t="s">
        <v>358</v>
      </c>
      <c r="G314" s="107" t="n">
        <v>1.6957</v>
      </c>
      <c r="H314" s="107" t="n">
        <v>-83.032409265</v>
      </c>
      <c r="I314" s="109" t="n">
        <v>46957</v>
      </c>
      <c r="J314" s="107" t="n">
        <v>2</v>
      </c>
      <c r="K314" s="108" t="s">
        <v>384</v>
      </c>
      <c r="L314" s="107" t="s">
        <v>298</v>
      </c>
      <c r="M314" s="107" t="n">
        <v>847850</v>
      </c>
      <c r="N314" s="107" t="n">
        <v>100.03</v>
      </c>
      <c r="O314" s="107" t="n">
        <v>489664.5</v>
      </c>
      <c r="P314" s="107" t="s">
        <v>448</v>
      </c>
      <c r="Q314" s="107" t="s">
        <v>106</v>
      </c>
      <c r="R314" s="107" t="n">
        <v>-0.0985478434454737</v>
      </c>
      <c r="S314" s="107" t="n">
        <v>-0.0209647105868239</v>
      </c>
      <c r="T314" s="107" t="n">
        <v>-86.21033187</v>
      </c>
      <c r="U314" s="107" t="n">
        <v>21069</v>
      </c>
      <c r="V314" s="108" t="s">
        <v>362</v>
      </c>
      <c r="W314" s="107" t="n">
        <v>38070</v>
      </c>
      <c r="X314" s="108" t="s">
        <v>372</v>
      </c>
      <c r="Y314" s="107" t="s">
        <v>737</v>
      </c>
      <c r="Z314" s="107" t="s">
        <v>741</v>
      </c>
      <c r="AA314" s="109" t="n">
        <v>45762</v>
      </c>
      <c r="AB314" s="107" t="n">
        <v>250415000001</v>
      </c>
      <c r="AC314" s="109" t="n">
        <v>43955</v>
      </c>
      <c r="AD314" s="109" t="n">
        <v>47607</v>
      </c>
      <c r="AE314" s="107" t="n">
        <v>1.741</v>
      </c>
      <c r="AF314" s="107" t="n">
        <v>2.4787</v>
      </c>
      <c r="AG314" s="107" t="n">
        <v>1312</v>
      </c>
      <c r="AH314" s="107" t="n">
        <v>5000000</v>
      </c>
      <c r="AI314" s="107" t="n">
        <v>3.243046</v>
      </c>
      <c r="AJ314" s="107" t="n">
        <v>94.38</v>
      </c>
      <c r="AK314" s="107" t="n">
        <v>2.921411</v>
      </c>
      <c r="AL314" s="107" t="n">
        <v>96.724809</v>
      </c>
      <c r="AM314" s="107" t="n">
        <v>3.9147</v>
      </c>
      <c r="AN314" s="107" t="n">
        <v>94.2339</v>
      </c>
      <c r="AO314" s="107" t="n">
        <v>1540.29</v>
      </c>
      <c r="AP314" s="107" t="n">
        <v>1.1339</v>
      </c>
      <c r="AQ314" s="107" t="n">
        <v>4711695</v>
      </c>
      <c r="AR314" s="107" t="n">
        <v>7257376692</v>
      </c>
      <c r="AS314" s="107" t="n">
        <v>4800705</v>
      </c>
      <c r="AT314" s="107" t="n">
        <v>8092644433</v>
      </c>
      <c r="AU314" s="107" t="n">
        <v>-89010</v>
      </c>
      <c r="AV314" s="107" t="n">
        <v>-137101212</v>
      </c>
      <c r="AW314" s="107" t="n">
        <v>0</v>
      </c>
      <c r="AX314" s="107" t="n">
        <v>0</v>
      </c>
      <c r="AY314" s="107" t="n">
        <v>0</v>
      </c>
      <c r="AZ314" s="107" t="n">
        <v>0</v>
      </c>
      <c r="BA314" s="107" t="n">
        <v>0</v>
      </c>
      <c r="BB314" s="107" t="n">
        <v>0</v>
      </c>
      <c r="BC314" s="107" t="n">
        <v>0</v>
      </c>
      <c r="BD314" s="107" t="n">
        <v>0</v>
      </c>
      <c r="BE314" s="107" t="n">
        <v>35535.48</v>
      </c>
      <c r="BF314" s="107" t="n">
        <v>54734944</v>
      </c>
      <c r="BG314" s="107" t="n">
        <v>0</v>
      </c>
      <c r="BH314" s="107" t="n">
        <v>0</v>
      </c>
      <c r="BI314" s="107" t="n">
        <v>4719000</v>
      </c>
      <c r="BJ314" s="107" t="n">
        <v>7954912680</v>
      </c>
      <c r="BK314" s="107" t="n">
        <v>0</v>
      </c>
      <c r="BL314" s="107" t="n">
        <v>0</v>
      </c>
      <c r="BM314" s="107" t="n">
        <v>0</v>
      </c>
      <c r="BN314" s="107" t="n">
        <v>0</v>
      </c>
      <c r="BO314" s="107" t="s">
        <v>374</v>
      </c>
      <c r="BP314" s="2"/>
      <c r="BQ314" s="107" t="s">
        <v>367</v>
      </c>
      <c r="BR314" s="107" t="n">
        <v>-698166529</v>
      </c>
      <c r="BS314" s="107" t="n">
        <v>0</v>
      </c>
      <c r="BT314" s="107" t="n">
        <v>0</v>
      </c>
      <c r="BU314" s="107" t="n">
        <v>81705</v>
      </c>
      <c r="BV314" s="107" t="n">
        <v>137731753</v>
      </c>
      <c r="BW314" s="107" t="n">
        <v>35535.48</v>
      </c>
      <c r="BX314" s="107" t="n">
        <v>54734944</v>
      </c>
      <c r="BY314" s="107" t="n">
        <v>0</v>
      </c>
      <c r="BZ314" s="107" t="n">
        <v>0</v>
      </c>
      <c r="CA314" s="107" t="n">
        <v>1685.72</v>
      </c>
      <c r="CB314" s="2"/>
      <c r="CC314" s="107" t="n">
        <v>0</v>
      </c>
      <c r="CD314" s="107" t="n">
        <v>94.23</v>
      </c>
      <c r="CE314" s="107" t="n">
        <v>94.23</v>
      </c>
      <c r="CF314" s="107" t="n">
        <v>94.24</v>
      </c>
      <c r="CG314" s="107" t="n">
        <v>5000000</v>
      </c>
      <c r="CH314" s="107" t="n">
        <v>2.3853</v>
      </c>
      <c r="CI314" s="107" t="n">
        <v>100.53</v>
      </c>
      <c r="CJ314" s="107" t="n">
        <v>100.55</v>
      </c>
      <c r="CK314" s="107" t="n">
        <v>100.63</v>
      </c>
      <c r="CL314" s="107" t="n">
        <v>0</v>
      </c>
    </row>
    <row r="315" customFormat="false" ht="15" hidden="false" customHeight="false" outlineLevel="0" collapsed="false">
      <c r="A315" s="107" t="s">
        <v>742</v>
      </c>
      <c r="B315" s="107" t="n">
        <v>98.4147</v>
      </c>
      <c r="C315" s="107" t="n">
        <v>5.8456</v>
      </c>
      <c r="D315" s="107" t="n">
        <v>3.0198</v>
      </c>
      <c r="E315" s="107" t="n">
        <v>-4457.8906659</v>
      </c>
      <c r="F315" s="108" t="s">
        <v>358</v>
      </c>
      <c r="G315" s="107" t="n">
        <v>3.0198</v>
      </c>
      <c r="H315" s="107" t="n">
        <v>-4457.8906659</v>
      </c>
      <c r="I315" s="109" t="n">
        <v>47539</v>
      </c>
      <c r="J315" s="107" t="n">
        <v>3</v>
      </c>
      <c r="K315" s="108" t="s">
        <v>90</v>
      </c>
      <c r="L315" s="107" t="s">
        <v>298</v>
      </c>
      <c r="M315" s="107" t="n">
        <v>45297000</v>
      </c>
      <c r="N315" s="107" t="n">
        <v>103.276</v>
      </c>
      <c r="O315" s="107" t="n">
        <v>14762205</v>
      </c>
      <c r="P315" s="107" t="s">
        <v>376</v>
      </c>
      <c r="Q315" s="107" t="s">
        <v>377</v>
      </c>
      <c r="R315" s="107" t="n">
        <v>-0.0957736497180576</v>
      </c>
      <c r="S315" s="107" t="n">
        <v>-0.0470709554978892</v>
      </c>
      <c r="T315" s="107" t="n">
        <v>-4588.24093605</v>
      </c>
      <c r="U315" s="107" t="n">
        <v>21069</v>
      </c>
      <c r="V315" s="108" t="s">
        <v>362</v>
      </c>
      <c r="W315" s="107" t="n">
        <v>38070</v>
      </c>
      <c r="X315" s="108" t="s">
        <v>372</v>
      </c>
      <c r="Y315" s="107" t="s">
        <v>739</v>
      </c>
      <c r="Z315" s="107" t="s">
        <v>743</v>
      </c>
      <c r="AA315" s="109" t="n">
        <v>45861</v>
      </c>
      <c r="AB315" s="107" t="n">
        <v>250723000001</v>
      </c>
      <c r="AC315" s="109" t="n">
        <v>45861</v>
      </c>
      <c r="AD315" s="109" t="n">
        <v>47322</v>
      </c>
      <c r="AE315" s="107" t="n">
        <v>2.766</v>
      </c>
      <c r="AF315" s="107" t="n">
        <v>1.7573</v>
      </c>
      <c r="AG315" s="107" t="n">
        <v>1027</v>
      </c>
      <c r="AH315" s="107" t="n">
        <v>500000</v>
      </c>
      <c r="AI315" s="107" t="n">
        <v>2.766</v>
      </c>
      <c r="AJ315" s="107" t="n">
        <v>100</v>
      </c>
      <c r="AK315" s="107" t="n">
        <v>2.887507</v>
      </c>
      <c r="AL315" s="107" t="n">
        <v>100.187088</v>
      </c>
      <c r="AM315" s="107" t="n">
        <v>3.8185</v>
      </c>
      <c r="AN315" s="107" t="n">
        <v>97.9581</v>
      </c>
      <c r="AO315" s="107" t="n">
        <v>1540.29</v>
      </c>
      <c r="AP315" s="107" t="n">
        <v>1.1339</v>
      </c>
      <c r="AQ315" s="107" t="n">
        <v>489790.5</v>
      </c>
      <c r="AR315" s="107" t="n">
        <v>754419409</v>
      </c>
      <c r="AS315" s="107" t="n">
        <v>498321</v>
      </c>
      <c r="AT315" s="107" t="n">
        <v>840029676</v>
      </c>
      <c r="AU315" s="107" t="n">
        <v>-8530.5</v>
      </c>
      <c r="AV315" s="107" t="n">
        <v>-13139444</v>
      </c>
      <c r="AW315" s="107" t="n">
        <v>0</v>
      </c>
      <c r="AX315" s="107" t="n">
        <v>0</v>
      </c>
      <c r="AY315" s="107" t="n">
        <v>0</v>
      </c>
      <c r="AZ315" s="107" t="n">
        <v>0</v>
      </c>
      <c r="BA315" s="107" t="n">
        <v>0</v>
      </c>
      <c r="BB315" s="107" t="n">
        <v>0</v>
      </c>
      <c r="BC315" s="107" t="n">
        <v>0</v>
      </c>
      <c r="BD315" s="107" t="n">
        <v>0</v>
      </c>
      <c r="BE315" s="107" t="n">
        <v>2614.44</v>
      </c>
      <c r="BF315" s="107" t="n">
        <v>4026995</v>
      </c>
      <c r="BG315" s="107" t="n">
        <v>0</v>
      </c>
      <c r="BH315" s="107" t="n">
        <v>0</v>
      </c>
      <c r="BI315" s="107" t="n">
        <v>500000</v>
      </c>
      <c r="BJ315" s="107" t="n">
        <v>842860000</v>
      </c>
      <c r="BK315" s="107" t="n">
        <v>0</v>
      </c>
      <c r="BL315" s="107" t="n">
        <v>0</v>
      </c>
      <c r="BM315" s="107" t="n">
        <v>0</v>
      </c>
      <c r="BN315" s="107" t="n">
        <v>0</v>
      </c>
      <c r="BO315" s="107" t="s">
        <v>374</v>
      </c>
      <c r="BP315" s="2"/>
      <c r="BQ315" s="107" t="s">
        <v>367</v>
      </c>
      <c r="BR315" s="107" t="n">
        <v>-72470823</v>
      </c>
      <c r="BS315" s="107" t="n">
        <v>0</v>
      </c>
      <c r="BT315" s="107" t="n">
        <v>0</v>
      </c>
      <c r="BU315" s="107" t="n">
        <v>-1679</v>
      </c>
      <c r="BV315" s="107" t="n">
        <v>-2830324</v>
      </c>
      <c r="BW315" s="107" t="n">
        <v>2614.44</v>
      </c>
      <c r="BX315" s="107" t="n">
        <v>4026995</v>
      </c>
      <c r="BY315" s="107" t="n">
        <v>0</v>
      </c>
      <c r="BZ315" s="107" t="n">
        <v>0</v>
      </c>
      <c r="CA315" s="107" t="n">
        <v>1685.72</v>
      </c>
      <c r="CB315" s="2"/>
      <c r="CC315" s="107" t="n">
        <v>0</v>
      </c>
      <c r="CD315" s="107" t="n">
        <v>97.99</v>
      </c>
      <c r="CE315" s="107" t="n">
        <v>97.94</v>
      </c>
      <c r="CF315" s="107" t="n">
        <v>97.94</v>
      </c>
      <c r="CG315" s="107" t="n">
        <v>500000</v>
      </c>
      <c r="CH315" s="107" t="n">
        <v>1.6927</v>
      </c>
      <c r="CI315" s="107" t="n">
        <v>100.53</v>
      </c>
      <c r="CJ315" s="107" t="n">
        <v>100.55</v>
      </c>
      <c r="CK315" s="107" t="n">
        <v>100.63</v>
      </c>
      <c r="CL315" s="107" t="n">
        <v>0</v>
      </c>
    </row>
    <row r="316" customFormat="false" ht="15" hidden="false" customHeight="false" outlineLevel="0" collapsed="false">
      <c r="A316" s="107" t="s">
        <v>744</v>
      </c>
      <c r="B316" s="107" t="n">
        <v>96.8526</v>
      </c>
      <c r="C316" s="107" t="n">
        <v>5.7416</v>
      </c>
      <c r="D316" s="107" t="n">
        <v>2.725</v>
      </c>
      <c r="E316" s="107" t="n">
        <v>-131.9616675</v>
      </c>
      <c r="F316" s="108" t="s">
        <v>358</v>
      </c>
      <c r="G316" s="107" t="n">
        <v>2.725</v>
      </c>
      <c r="H316" s="107" t="n">
        <v>-131.9616675</v>
      </c>
      <c r="I316" s="109" t="n">
        <v>47414</v>
      </c>
      <c r="J316" s="107" t="n">
        <v>3</v>
      </c>
      <c r="K316" s="108" t="s">
        <v>384</v>
      </c>
      <c r="L316" s="107" t="s">
        <v>298</v>
      </c>
      <c r="M316" s="107" t="n">
        <v>1362500</v>
      </c>
      <c r="N316" s="107" t="n">
        <v>100</v>
      </c>
      <c r="O316" s="107" t="n">
        <v>484263</v>
      </c>
      <c r="P316" s="107" t="s">
        <v>388</v>
      </c>
      <c r="Q316" s="107" t="s">
        <v>374</v>
      </c>
      <c r="R316" s="107" t="n">
        <v>-0.0957945211100171</v>
      </c>
      <c r="S316" s="107" t="n">
        <v>-0.031474</v>
      </c>
      <c r="T316" s="107" t="n">
        <v>-135.74860416</v>
      </c>
      <c r="U316" s="107" t="n">
        <v>21069</v>
      </c>
      <c r="V316" s="108" t="s">
        <v>362</v>
      </c>
      <c r="W316" s="107" t="n">
        <v>38070</v>
      </c>
      <c r="X316" s="108" t="s">
        <v>372</v>
      </c>
      <c r="Y316" s="107" t="s">
        <v>739</v>
      </c>
      <c r="Z316" s="107" t="s">
        <v>743</v>
      </c>
      <c r="AA316" s="109" t="n">
        <v>45861</v>
      </c>
      <c r="AB316" s="107" t="n">
        <v>250723000002</v>
      </c>
      <c r="AC316" s="109" t="n">
        <v>45861</v>
      </c>
      <c r="AD316" s="109" t="n">
        <v>47322</v>
      </c>
      <c r="AE316" s="107" t="n">
        <v>2.766</v>
      </c>
      <c r="AF316" s="107" t="n">
        <v>1.7573</v>
      </c>
      <c r="AG316" s="107" t="n">
        <v>1027</v>
      </c>
      <c r="AH316" s="107" t="n">
        <v>500000</v>
      </c>
      <c r="AI316" s="107" t="n">
        <v>2.755444</v>
      </c>
      <c r="AJ316" s="107" t="n">
        <v>100.03</v>
      </c>
      <c r="AK316" s="107" t="n">
        <v>2.887507</v>
      </c>
      <c r="AL316" s="107" t="n">
        <v>100.187088</v>
      </c>
      <c r="AM316" s="107" t="n">
        <v>3.8185</v>
      </c>
      <c r="AN316" s="107" t="n">
        <v>97.9581</v>
      </c>
      <c r="AO316" s="107" t="n">
        <v>1540.29</v>
      </c>
      <c r="AP316" s="107" t="n">
        <v>1.1339</v>
      </c>
      <c r="AQ316" s="107" t="n">
        <v>489790.5</v>
      </c>
      <c r="AR316" s="107" t="n">
        <v>754419409</v>
      </c>
      <c r="AS316" s="107" t="n">
        <v>498321</v>
      </c>
      <c r="AT316" s="107" t="n">
        <v>840029676</v>
      </c>
      <c r="AU316" s="107" t="n">
        <v>-8530.5</v>
      </c>
      <c r="AV316" s="107" t="n">
        <v>-13139444</v>
      </c>
      <c r="AW316" s="107" t="n">
        <v>0</v>
      </c>
      <c r="AX316" s="107" t="n">
        <v>0</v>
      </c>
      <c r="AY316" s="107" t="n">
        <v>0</v>
      </c>
      <c r="AZ316" s="107" t="n">
        <v>0</v>
      </c>
      <c r="BA316" s="107" t="n">
        <v>0</v>
      </c>
      <c r="BB316" s="107" t="n">
        <v>0</v>
      </c>
      <c r="BC316" s="107" t="n">
        <v>0</v>
      </c>
      <c r="BD316" s="107" t="n">
        <v>0</v>
      </c>
      <c r="BE316" s="107" t="n">
        <v>2614.44</v>
      </c>
      <c r="BF316" s="107" t="n">
        <v>4026995</v>
      </c>
      <c r="BG316" s="107" t="n">
        <v>0</v>
      </c>
      <c r="BH316" s="107" t="n">
        <v>0</v>
      </c>
      <c r="BI316" s="107" t="n">
        <v>500150</v>
      </c>
      <c r="BJ316" s="107" t="n">
        <v>843112858</v>
      </c>
      <c r="BK316" s="107" t="n">
        <v>0</v>
      </c>
      <c r="BL316" s="107" t="n">
        <v>0</v>
      </c>
      <c r="BM316" s="107" t="n">
        <v>0</v>
      </c>
      <c r="BN316" s="107" t="n">
        <v>0</v>
      </c>
      <c r="BO316" s="107" t="s">
        <v>374</v>
      </c>
      <c r="BP316" s="2"/>
      <c r="BQ316" s="107" t="s">
        <v>367</v>
      </c>
      <c r="BR316" s="107" t="n">
        <v>-72470823</v>
      </c>
      <c r="BS316" s="107" t="n">
        <v>0</v>
      </c>
      <c r="BT316" s="107" t="n">
        <v>0</v>
      </c>
      <c r="BU316" s="107" t="n">
        <v>-1829</v>
      </c>
      <c r="BV316" s="107" t="n">
        <v>-3083182</v>
      </c>
      <c r="BW316" s="107" t="n">
        <v>2614.44</v>
      </c>
      <c r="BX316" s="107" t="n">
        <v>4026995</v>
      </c>
      <c r="BY316" s="107" t="n">
        <v>0</v>
      </c>
      <c r="BZ316" s="107" t="n">
        <v>0</v>
      </c>
      <c r="CA316" s="107" t="n">
        <v>1685.72</v>
      </c>
      <c r="CB316" s="2"/>
      <c r="CC316" s="107" t="n">
        <v>0</v>
      </c>
      <c r="CD316" s="107" t="n">
        <v>97.99</v>
      </c>
      <c r="CE316" s="107" t="n">
        <v>97.94</v>
      </c>
      <c r="CF316" s="107" t="n">
        <v>97.94</v>
      </c>
      <c r="CG316" s="107" t="n">
        <v>500000</v>
      </c>
      <c r="CH316" s="107" t="n">
        <v>1.6927</v>
      </c>
      <c r="CI316" s="107" t="n">
        <v>103.88</v>
      </c>
      <c r="CJ316" s="107" t="n">
        <v>103.94</v>
      </c>
      <c r="CK316" s="107" t="n">
        <v>103.9</v>
      </c>
      <c r="CL316" s="107" t="n">
        <v>0</v>
      </c>
    </row>
    <row r="317" customFormat="false" ht="15" hidden="false" customHeight="false" outlineLevel="0" collapsed="false">
      <c r="A317" s="107" t="s">
        <v>745</v>
      </c>
      <c r="B317" s="107" t="n">
        <v>100.6895</v>
      </c>
      <c r="C317" s="107" t="n">
        <v>4.8789</v>
      </c>
      <c r="D317" s="107" t="n">
        <v>0.3273</v>
      </c>
      <c r="E317" s="107" t="n">
        <v>-263.6453868</v>
      </c>
      <c r="F317" s="108" t="s">
        <v>358</v>
      </c>
      <c r="G317" s="107" t="n">
        <v>0.3273</v>
      </c>
      <c r="H317" s="107" t="n">
        <v>-263.6453868</v>
      </c>
      <c r="I317" s="109" t="n">
        <v>46419</v>
      </c>
      <c r="J317" s="107" t="n">
        <v>1</v>
      </c>
      <c r="K317" s="107" t="s">
        <v>359</v>
      </c>
      <c r="L317" s="107" t="s">
        <v>298</v>
      </c>
      <c r="M317" s="107" t="n">
        <v>2618400</v>
      </c>
      <c r="N317" s="107" t="n">
        <v>132.2</v>
      </c>
      <c r="O317" s="107" t="n">
        <v>8055160</v>
      </c>
      <c r="P317" s="107" t="s">
        <v>549</v>
      </c>
      <c r="Q317" s="107" t="s">
        <v>364</v>
      </c>
      <c r="R317" s="107" t="n">
        <v>-0.0466237138493088</v>
      </c>
      <c r="S317" s="107" t="n">
        <v>-0.238354765506808</v>
      </c>
      <c r="T317" s="107" t="n">
        <v>-270.0895148</v>
      </c>
      <c r="U317" s="107" t="n">
        <v>21069</v>
      </c>
      <c r="V317" s="108" t="s">
        <v>362</v>
      </c>
      <c r="W317" s="107" t="n">
        <v>38088</v>
      </c>
      <c r="X317" s="108" t="s">
        <v>111</v>
      </c>
      <c r="Y317" s="107" t="s">
        <v>742</v>
      </c>
      <c r="Z317" s="107" t="s">
        <v>746</v>
      </c>
      <c r="AA317" s="109" t="n">
        <v>45902</v>
      </c>
      <c r="AB317" s="107" t="n">
        <v>250902000001</v>
      </c>
      <c r="AC317" s="109" t="n">
        <v>45713</v>
      </c>
      <c r="AD317" s="109" t="n">
        <v>47904</v>
      </c>
      <c r="AE317" s="107" t="n">
        <v>5.367</v>
      </c>
      <c r="AF317" s="107" t="n">
        <v>3.1055</v>
      </c>
      <c r="AG317" s="107" t="n">
        <v>1609</v>
      </c>
      <c r="AH317" s="107" t="n">
        <v>15000000</v>
      </c>
      <c r="AI317" s="107" t="n">
        <v>4.550239</v>
      </c>
      <c r="AJ317" s="107" t="n">
        <v>103.276</v>
      </c>
      <c r="AK317" s="107" t="n">
        <v>4.566054</v>
      </c>
      <c r="AL317" s="107" t="n">
        <v>103.67912</v>
      </c>
      <c r="AM317" s="107" t="n">
        <v>5.8265</v>
      </c>
      <c r="AN317" s="107" t="n">
        <v>98.48</v>
      </c>
      <c r="AO317" s="107" t="n">
        <v>1358.4</v>
      </c>
      <c r="AP317" s="107" t="n">
        <v>1</v>
      </c>
      <c r="AQ317" s="107" t="n">
        <v>14772000</v>
      </c>
      <c r="AR317" s="107" t="n">
        <v>20066284800</v>
      </c>
      <c r="AS317" s="107" t="n">
        <v>15473599.29</v>
      </c>
      <c r="AT317" s="107" t="n">
        <v>22203067621</v>
      </c>
      <c r="AU317" s="107" t="n">
        <v>-694009.41</v>
      </c>
      <c r="AV317" s="107" t="n">
        <v>-942742383</v>
      </c>
      <c r="AW317" s="107" t="n">
        <v>0</v>
      </c>
      <c r="AX317" s="107" t="n">
        <v>0</v>
      </c>
      <c r="AY317" s="107" t="n">
        <v>0</v>
      </c>
      <c r="AZ317" s="107" t="n">
        <v>0</v>
      </c>
      <c r="BA317" s="107" t="n">
        <v>0</v>
      </c>
      <c r="BB317" s="107" t="n">
        <v>0</v>
      </c>
      <c r="BC317" s="107" t="n">
        <v>0</v>
      </c>
      <c r="BD317" s="107" t="n">
        <v>0</v>
      </c>
      <c r="BE317" s="107" t="n">
        <v>78268.75</v>
      </c>
      <c r="BF317" s="107" t="n">
        <v>106320270</v>
      </c>
      <c r="BG317" s="107" t="n">
        <v>0</v>
      </c>
      <c r="BH317" s="107" t="n">
        <v>0</v>
      </c>
      <c r="BI317" s="107" t="n">
        <v>15410127.09</v>
      </c>
      <c r="BJ317" s="107" t="n">
        <v>22111991361</v>
      </c>
      <c r="BK317" s="107" t="n">
        <v>71164.8</v>
      </c>
      <c r="BL317" s="107" t="n">
        <v>102114360</v>
      </c>
      <c r="BM317" s="107" t="n">
        <v>-7589.88</v>
      </c>
      <c r="BN317" s="107" t="n">
        <v>-10890720</v>
      </c>
      <c r="BO317" s="107" t="s">
        <v>377</v>
      </c>
      <c r="BP317" s="2"/>
      <c r="BQ317" s="107" t="s">
        <v>106</v>
      </c>
      <c r="BR317" s="107" t="n">
        <v>-1183149718</v>
      </c>
      <c r="BS317" s="107" t="n">
        <v>0</v>
      </c>
      <c r="BT317" s="107" t="n">
        <v>0</v>
      </c>
      <c r="BU317" s="107" t="n">
        <v>63472.2</v>
      </c>
      <c r="BV317" s="107" t="n">
        <v>91076260</v>
      </c>
      <c r="BW317" s="107" t="n">
        <v>78268.75</v>
      </c>
      <c r="BX317" s="107" t="n">
        <v>106320270</v>
      </c>
      <c r="BY317" s="107" t="n">
        <v>0</v>
      </c>
      <c r="BZ317" s="107" t="n">
        <v>0</v>
      </c>
      <c r="CA317" s="107" t="n">
        <v>1434.9</v>
      </c>
      <c r="CB317" s="2"/>
      <c r="CC317" s="107" t="n">
        <v>0</v>
      </c>
      <c r="CD317" s="107" t="n">
        <v>98.48</v>
      </c>
      <c r="CE317" s="107" t="n">
        <v>98.43</v>
      </c>
      <c r="CF317" s="107" t="n">
        <v>98.52</v>
      </c>
      <c r="CG317" s="107" t="n">
        <v>810000</v>
      </c>
      <c r="CH317" s="107" t="n">
        <v>3.0176</v>
      </c>
      <c r="CI317" s="107" t="n">
        <v>103.88</v>
      </c>
      <c r="CJ317" s="107" t="n">
        <v>103.94</v>
      </c>
      <c r="CK317" s="107" t="n">
        <v>103.9</v>
      </c>
      <c r="CL317" s="107" t="n">
        <v>0</v>
      </c>
    </row>
    <row r="318" customFormat="false" ht="15" hidden="false" customHeight="false" outlineLevel="0" collapsed="false">
      <c r="A318" s="107" t="s">
        <v>745</v>
      </c>
      <c r="B318" s="107" t="n">
        <v>100.6895</v>
      </c>
      <c r="C318" s="107" t="n">
        <v>4.8789</v>
      </c>
      <c r="D318" s="107" t="n">
        <v>0.3273</v>
      </c>
      <c r="E318" s="107" t="n">
        <v>-230.68971345</v>
      </c>
      <c r="F318" s="108" t="s">
        <v>358</v>
      </c>
      <c r="G318" s="107" t="n">
        <v>0.3273</v>
      </c>
      <c r="H318" s="107" t="n">
        <v>-230.68971345</v>
      </c>
      <c r="I318" s="109" t="n">
        <v>46419</v>
      </c>
      <c r="J318" s="107" t="n">
        <v>1</v>
      </c>
      <c r="K318" s="107" t="s">
        <v>359</v>
      </c>
      <c r="L318" s="107" t="s">
        <v>298</v>
      </c>
      <c r="M318" s="107" t="n">
        <v>2291100</v>
      </c>
      <c r="N318" s="107" t="n">
        <v>132.262</v>
      </c>
      <c r="O318" s="107" t="n">
        <v>7048265</v>
      </c>
      <c r="P318" s="107" t="s">
        <v>549</v>
      </c>
      <c r="Q318" s="107" t="s">
        <v>364</v>
      </c>
      <c r="R318" s="107" t="n">
        <v>-0.0464002944084622</v>
      </c>
      <c r="S318" s="107" t="n">
        <v>-0.238711799307435</v>
      </c>
      <c r="T318" s="107" t="n">
        <v>-236.32832545</v>
      </c>
      <c r="U318" s="107" t="n">
        <v>21069</v>
      </c>
      <c r="V318" s="108" t="s">
        <v>362</v>
      </c>
      <c r="W318" s="107" t="n">
        <v>38088</v>
      </c>
      <c r="X318" s="108" t="s">
        <v>111</v>
      </c>
      <c r="Y318" s="107" t="s">
        <v>744</v>
      </c>
      <c r="Z318" s="107" t="s">
        <v>747</v>
      </c>
      <c r="AA318" s="109" t="n">
        <v>45588</v>
      </c>
      <c r="AB318" s="107" t="n">
        <v>241023000001</v>
      </c>
      <c r="AC318" s="109" t="n">
        <v>45588</v>
      </c>
      <c r="AD318" s="109" t="n">
        <v>47779</v>
      </c>
      <c r="AE318" s="107" t="n">
        <v>4.692</v>
      </c>
      <c r="AF318" s="107" t="n">
        <v>2.8008</v>
      </c>
      <c r="AG318" s="107" t="n">
        <v>1484</v>
      </c>
      <c r="AH318" s="107" t="n">
        <v>500000</v>
      </c>
      <c r="AI318" s="107" t="n">
        <v>4.692</v>
      </c>
      <c r="AJ318" s="107" t="n">
        <v>100</v>
      </c>
      <c r="AK318" s="107" t="n">
        <v>4.27916</v>
      </c>
      <c r="AL318" s="107" t="n">
        <v>103.568528</v>
      </c>
      <c r="AM318" s="107" t="n">
        <v>5.7109</v>
      </c>
      <c r="AN318" s="107" t="n">
        <v>96.9468</v>
      </c>
      <c r="AO318" s="107" t="n">
        <v>1358.4</v>
      </c>
      <c r="AP318" s="107" t="n">
        <v>1</v>
      </c>
      <c r="AQ318" s="107" t="n">
        <v>484734</v>
      </c>
      <c r="AR318" s="107" t="n">
        <v>658462666</v>
      </c>
      <c r="AS318" s="107" t="n">
        <v>507611.47</v>
      </c>
      <c r="AT318" s="107" t="n">
        <v>728371698</v>
      </c>
      <c r="AU318" s="107" t="n">
        <v>-22906.27</v>
      </c>
      <c r="AV318" s="107" t="n">
        <v>-31115877</v>
      </c>
      <c r="AW318" s="107" t="n">
        <v>0</v>
      </c>
      <c r="AX318" s="107" t="n">
        <v>0</v>
      </c>
      <c r="AY318" s="107" t="n">
        <v>0</v>
      </c>
      <c r="AZ318" s="107" t="n">
        <v>0</v>
      </c>
      <c r="BA318" s="107" t="n">
        <v>0</v>
      </c>
      <c r="BB318" s="107" t="n">
        <v>0</v>
      </c>
      <c r="BC318" s="107" t="n">
        <v>0</v>
      </c>
      <c r="BD318" s="107" t="n">
        <v>0</v>
      </c>
      <c r="BE318" s="107" t="n">
        <v>10231.17</v>
      </c>
      <c r="BF318" s="107" t="n">
        <v>13898021</v>
      </c>
      <c r="BG318" s="107" t="n">
        <v>0</v>
      </c>
      <c r="BH318" s="107" t="n">
        <v>0</v>
      </c>
      <c r="BI318" s="107" t="n">
        <v>499963.9</v>
      </c>
      <c r="BJ318" s="107" t="n">
        <v>717732248</v>
      </c>
      <c r="BK318" s="107" t="n">
        <v>10283.2</v>
      </c>
      <c r="BL318" s="107" t="n">
        <v>14755360</v>
      </c>
      <c r="BM318" s="107" t="n">
        <v>28.8</v>
      </c>
      <c r="BN318" s="107" t="n">
        <v>41440</v>
      </c>
      <c r="BO318" s="107" t="s">
        <v>377</v>
      </c>
      <c r="BP318" s="2"/>
      <c r="BQ318" s="107" t="s">
        <v>106</v>
      </c>
      <c r="BR318" s="107" t="n">
        <v>-38834595</v>
      </c>
      <c r="BS318" s="107" t="n">
        <v>0</v>
      </c>
      <c r="BT318" s="107" t="n">
        <v>0</v>
      </c>
      <c r="BU318" s="107" t="n">
        <v>7647.57</v>
      </c>
      <c r="BV318" s="107" t="n">
        <v>10639450</v>
      </c>
      <c r="BW318" s="107" t="n">
        <v>10231.17</v>
      </c>
      <c r="BX318" s="107" t="n">
        <v>13898021</v>
      </c>
      <c r="BY318" s="107" t="n">
        <v>0</v>
      </c>
      <c r="BZ318" s="107" t="n">
        <v>0</v>
      </c>
      <c r="CA318" s="107" t="n">
        <v>1434.9</v>
      </c>
      <c r="CB318" s="2"/>
      <c r="CC318" s="107" t="n">
        <v>0</v>
      </c>
      <c r="CD318" s="107" t="n">
        <v>96.92</v>
      </c>
      <c r="CE318" s="107" t="n">
        <v>96.99</v>
      </c>
      <c r="CF318" s="107" t="n">
        <v>96.94</v>
      </c>
      <c r="CG318" s="107" t="n">
        <v>500000</v>
      </c>
      <c r="CH318" s="107" t="n">
        <v>2.723</v>
      </c>
      <c r="CI318" s="107" t="n">
        <v>100.37</v>
      </c>
      <c r="CJ318" s="107" t="n">
        <v>100.45</v>
      </c>
      <c r="CK318" s="107" t="n">
        <v>100.44</v>
      </c>
      <c r="CL318" s="107" t="n">
        <v>2000000</v>
      </c>
    </row>
    <row r="319" customFormat="false" ht="15" hidden="false" customHeight="false" outlineLevel="0" collapsed="false">
      <c r="A319" s="107" t="s">
        <v>748</v>
      </c>
      <c r="B319" s="107" t="n">
        <v>81.2271</v>
      </c>
      <c r="C319" s="107" t="n">
        <v>5.5855</v>
      </c>
      <c r="D319" s="107" t="n">
        <v>14.5947</v>
      </c>
      <c r="E319" s="107" t="n">
        <v>-1185.48515637</v>
      </c>
      <c r="F319" s="108" t="s">
        <v>358</v>
      </c>
      <c r="G319" s="107" t="n">
        <v>14.5947</v>
      </c>
      <c r="H319" s="107" t="n">
        <v>-1185.48515637</v>
      </c>
      <c r="I319" s="109" t="n">
        <v>56476</v>
      </c>
      <c r="J319" s="107" t="n">
        <v>30</v>
      </c>
      <c r="K319" s="108" t="s">
        <v>384</v>
      </c>
      <c r="L319" s="107" t="s">
        <v>565</v>
      </c>
      <c r="M319" s="107" t="n">
        <v>14594700</v>
      </c>
      <c r="N319" s="107" t="n">
        <v>105.053184</v>
      </c>
      <c r="O319" s="107" t="n">
        <v>812271</v>
      </c>
      <c r="P319" s="107" t="s">
        <v>566</v>
      </c>
      <c r="Q319" s="107" t="s">
        <v>532</v>
      </c>
      <c r="R319" s="107" t="n">
        <v>-0.154183132469705</v>
      </c>
      <c r="S319" s="107" t="n">
        <v>-0.226800208168845</v>
      </c>
      <c r="T319" s="107" t="n">
        <v>-1218.59332233</v>
      </c>
      <c r="U319" s="107" t="n">
        <v>21069</v>
      </c>
      <c r="V319" s="108" t="s">
        <v>362</v>
      </c>
      <c r="W319" s="107" t="n">
        <v>38088</v>
      </c>
      <c r="X319" s="108" t="s">
        <v>111</v>
      </c>
      <c r="Y319" s="107" t="s">
        <v>745</v>
      </c>
      <c r="Z319" s="107" t="s">
        <v>749</v>
      </c>
      <c r="AA319" s="109" t="n">
        <v>44204</v>
      </c>
      <c r="AB319" s="107" t="n">
        <v>210108000001</v>
      </c>
      <c r="AC319" s="109" t="n">
        <v>35461</v>
      </c>
      <c r="AD319" s="109" t="n">
        <v>46419</v>
      </c>
      <c r="AE319" s="107" t="n">
        <v>7</v>
      </c>
      <c r="AF319" s="107" t="n">
        <v>0.3327</v>
      </c>
      <c r="AG319" s="107" t="n">
        <v>124</v>
      </c>
      <c r="AH319" s="107" t="n">
        <v>8000000</v>
      </c>
      <c r="AI319" s="107" t="n">
        <v>1.436047</v>
      </c>
      <c r="AJ319" s="107" t="n">
        <v>132.2</v>
      </c>
      <c r="AK319" s="107" t="n">
        <v>6.653569</v>
      </c>
      <c r="AL319" s="107" t="n">
        <v>101.247921</v>
      </c>
      <c r="AM319" s="107" t="n">
        <v>4.807</v>
      </c>
      <c r="AN319" s="107" t="n">
        <v>100.7076</v>
      </c>
      <c r="AO319" s="107" t="n">
        <v>1358.4</v>
      </c>
      <c r="AP319" s="107" t="n">
        <v>1</v>
      </c>
      <c r="AQ319" s="107" t="n">
        <v>8056608</v>
      </c>
      <c r="AR319" s="107" t="n">
        <v>10944096307</v>
      </c>
      <c r="AS319" s="107" t="n">
        <v>8008055.95</v>
      </c>
      <c r="AT319" s="107" t="n">
        <v>11490759482</v>
      </c>
      <c r="AU319" s="107" t="n">
        <v>120457.85</v>
      </c>
      <c r="AV319" s="107" t="n">
        <v>163629943</v>
      </c>
      <c r="AW319" s="107" t="n">
        <v>0</v>
      </c>
      <c r="AX319" s="107" t="n">
        <v>0</v>
      </c>
      <c r="AY319" s="107" t="n">
        <v>0</v>
      </c>
      <c r="AZ319" s="107" t="n">
        <v>0</v>
      </c>
      <c r="BA319" s="107" t="n">
        <v>0</v>
      </c>
      <c r="BB319" s="107" t="n">
        <v>0</v>
      </c>
      <c r="BC319" s="107" t="n">
        <v>0</v>
      </c>
      <c r="BD319" s="107" t="n">
        <v>0</v>
      </c>
      <c r="BE319" s="107" t="n">
        <v>91777.78</v>
      </c>
      <c r="BF319" s="107" t="n">
        <v>124670936</v>
      </c>
      <c r="BG319" s="107" t="n">
        <v>0</v>
      </c>
      <c r="BH319" s="107" t="n">
        <v>0</v>
      </c>
      <c r="BI319" s="107" t="n">
        <v>8220511.65</v>
      </c>
      <c r="BJ319" s="107" t="n">
        <v>11633348896</v>
      </c>
      <c r="BK319" s="107" t="n">
        <v>19398</v>
      </c>
      <c r="BL319" s="107" t="n">
        <v>27834180</v>
      </c>
      <c r="BM319" s="107" t="n">
        <v>-71905.8</v>
      </c>
      <c r="BN319" s="107" t="n">
        <v>-103177620</v>
      </c>
      <c r="BO319" s="107" t="s">
        <v>361</v>
      </c>
      <c r="BP319" s="2"/>
      <c r="BQ319" s="107" t="s">
        <v>364</v>
      </c>
      <c r="BR319" s="107" t="n">
        <v>-607115498</v>
      </c>
      <c r="BS319" s="107" t="n">
        <v>0</v>
      </c>
      <c r="BT319" s="107" t="n">
        <v>0</v>
      </c>
      <c r="BU319" s="107" t="n">
        <v>-212455.7</v>
      </c>
      <c r="BV319" s="107" t="n">
        <v>-142589414</v>
      </c>
      <c r="BW319" s="107" t="n">
        <v>91777.78</v>
      </c>
      <c r="BX319" s="107" t="n">
        <v>124670936</v>
      </c>
      <c r="BY319" s="107" t="n">
        <v>0</v>
      </c>
      <c r="BZ319" s="107" t="n">
        <v>0</v>
      </c>
      <c r="CA319" s="107" t="n">
        <v>1434.9</v>
      </c>
      <c r="CB319" s="2"/>
      <c r="CC319" s="107" t="n">
        <v>0</v>
      </c>
      <c r="CD319" s="107" t="n">
        <v>100.67</v>
      </c>
      <c r="CE319" s="107" t="n">
        <v>100.68</v>
      </c>
      <c r="CF319" s="107" t="n">
        <v>100.78</v>
      </c>
      <c r="CG319" s="107" t="n">
        <v>1200000</v>
      </c>
      <c r="CH319" s="107" t="n">
        <v>0.3249</v>
      </c>
      <c r="CI319" s="107" t="n">
        <v>100.22</v>
      </c>
      <c r="CJ319" s="107" t="n">
        <v>100.23</v>
      </c>
      <c r="CK319" s="107" t="n">
        <v>100.25</v>
      </c>
      <c r="CL319" s="107" t="n">
        <v>0</v>
      </c>
    </row>
    <row r="320" customFormat="false" ht="15" hidden="false" customHeight="false" outlineLevel="0" collapsed="false">
      <c r="A320" s="107" t="s">
        <v>748</v>
      </c>
      <c r="B320" s="107" t="n">
        <v>81.2271</v>
      </c>
      <c r="C320" s="107" t="n">
        <v>5.5855</v>
      </c>
      <c r="D320" s="107" t="n">
        <v>14.5947</v>
      </c>
      <c r="E320" s="107" t="n">
        <v>-1185.48515637</v>
      </c>
      <c r="F320" s="108" t="s">
        <v>358</v>
      </c>
      <c r="G320" s="107" t="n">
        <v>14.5947</v>
      </c>
      <c r="H320" s="107" t="n">
        <v>-1185.48515637</v>
      </c>
      <c r="I320" s="109" t="n">
        <v>56476</v>
      </c>
      <c r="J320" s="107" t="n">
        <v>30</v>
      </c>
      <c r="K320" s="108" t="s">
        <v>384</v>
      </c>
      <c r="L320" s="107" t="s">
        <v>565</v>
      </c>
      <c r="M320" s="107" t="n">
        <v>14594700</v>
      </c>
      <c r="N320" s="107" t="n">
        <v>95.5625</v>
      </c>
      <c r="O320" s="107" t="n">
        <v>812271</v>
      </c>
      <c r="P320" s="107" t="s">
        <v>566</v>
      </c>
      <c r="Q320" s="107" t="s">
        <v>532</v>
      </c>
      <c r="R320" s="107" t="n">
        <v>-0.154968926687748</v>
      </c>
      <c r="S320" s="107" t="n">
        <v>-0.150010725964683</v>
      </c>
      <c r="T320" s="107" t="n">
        <v>-1218.59332233</v>
      </c>
      <c r="U320" s="107" t="n">
        <v>21069</v>
      </c>
      <c r="V320" s="108" t="s">
        <v>362</v>
      </c>
      <c r="W320" s="107" t="n">
        <v>38088</v>
      </c>
      <c r="X320" s="108" t="s">
        <v>111</v>
      </c>
      <c r="Y320" s="107" t="s">
        <v>745</v>
      </c>
      <c r="Z320" s="107" t="s">
        <v>749</v>
      </c>
      <c r="AA320" s="109" t="n">
        <v>44218</v>
      </c>
      <c r="AB320" s="107" t="n">
        <v>210122000001</v>
      </c>
      <c r="AC320" s="109" t="n">
        <v>35461</v>
      </c>
      <c r="AD320" s="109" t="n">
        <v>46419</v>
      </c>
      <c r="AE320" s="107" t="n">
        <v>7</v>
      </c>
      <c r="AF320" s="107" t="n">
        <v>0.3327</v>
      </c>
      <c r="AG320" s="107" t="n">
        <v>124</v>
      </c>
      <c r="AH320" s="107" t="n">
        <v>7000000</v>
      </c>
      <c r="AI320" s="107" t="n">
        <v>1.397874</v>
      </c>
      <c r="AJ320" s="107" t="n">
        <v>132.262</v>
      </c>
      <c r="AK320" s="107" t="n">
        <v>6.724798</v>
      </c>
      <c r="AL320" s="107" t="n">
        <v>101.224469</v>
      </c>
      <c r="AM320" s="107" t="n">
        <v>4.807</v>
      </c>
      <c r="AN320" s="107" t="n">
        <v>100.7076</v>
      </c>
      <c r="AO320" s="107" t="n">
        <v>1358.4</v>
      </c>
      <c r="AP320" s="107" t="n">
        <v>1</v>
      </c>
      <c r="AQ320" s="107" t="n">
        <v>7049532</v>
      </c>
      <c r="AR320" s="107" t="n">
        <v>9576084269</v>
      </c>
      <c r="AS320" s="107" t="n">
        <v>7005407.27</v>
      </c>
      <c r="AT320" s="107" t="n">
        <v>10052058892</v>
      </c>
      <c r="AU320" s="107" t="n">
        <v>107494.93</v>
      </c>
      <c r="AV320" s="107" t="n">
        <v>146021113</v>
      </c>
      <c r="AW320" s="107" t="n">
        <v>0</v>
      </c>
      <c r="AX320" s="107" t="n">
        <v>0</v>
      </c>
      <c r="AY320" s="107" t="n">
        <v>0</v>
      </c>
      <c r="AZ320" s="107" t="n">
        <v>0</v>
      </c>
      <c r="BA320" s="107" t="n">
        <v>0</v>
      </c>
      <c r="BB320" s="107" t="n">
        <v>0</v>
      </c>
      <c r="BC320" s="107" t="n">
        <v>0</v>
      </c>
      <c r="BD320" s="107" t="n">
        <v>0</v>
      </c>
      <c r="BE320" s="107" t="n">
        <v>80305.56</v>
      </c>
      <c r="BF320" s="107" t="n">
        <v>109087072</v>
      </c>
      <c r="BG320" s="107" t="n">
        <v>0</v>
      </c>
      <c r="BH320" s="107" t="n">
        <v>0</v>
      </c>
      <c r="BI320" s="107" t="n">
        <v>7194335.35</v>
      </c>
      <c r="BJ320" s="107" t="n">
        <v>10178255207</v>
      </c>
      <c r="BK320" s="107" t="n">
        <v>16521</v>
      </c>
      <c r="BL320" s="107" t="n">
        <v>23705940</v>
      </c>
      <c r="BM320" s="107" t="n">
        <v>-63370.2</v>
      </c>
      <c r="BN320" s="107" t="n">
        <v>-90929940</v>
      </c>
      <c r="BO320" s="107" t="s">
        <v>361</v>
      </c>
      <c r="BP320" s="2"/>
      <c r="BQ320" s="107" t="s">
        <v>364</v>
      </c>
      <c r="BR320" s="107" t="n">
        <v>-531065796</v>
      </c>
      <c r="BS320" s="107" t="n">
        <v>0</v>
      </c>
      <c r="BT320" s="107" t="n">
        <v>0</v>
      </c>
      <c r="BU320" s="107" t="n">
        <v>-188928.08</v>
      </c>
      <c r="BV320" s="107" t="n">
        <v>-126196315</v>
      </c>
      <c r="BW320" s="107" t="n">
        <v>80305.56</v>
      </c>
      <c r="BX320" s="107" t="n">
        <v>109087072</v>
      </c>
      <c r="BY320" s="107" t="n">
        <v>0</v>
      </c>
      <c r="BZ320" s="107" t="n">
        <v>0</v>
      </c>
      <c r="CA320" s="107" t="n">
        <v>1434.9</v>
      </c>
      <c r="CB320" s="2"/>
      <c r="CC320" s="107" t="n">
        <v>0</v>
      </c>
      <c r="CD320" s="107" t="n">
        <v>100.67</v>
      </c>
      <c r="CE320" s="107" t="n">
        <v>100.68</v>
      </c>
      <c r="CF320" s="107" t="n">
        <v>100.78</v>
      </c>
      <c r="CG320" s="107" t="n">
        <v>0</v>
      </c>
      <c r="CH320" s="107" t="n">
        <v>0.3249</v>
      </c>
      <c r="CI320" s="107" t="n">
        <v>98.6</v>
      </c>
      <c r="CJ320" s="107" t="n">
        <v>98.56</v>
      </c>
      <c r="CK320" s="107" t="n">
        <v>98.66</v>
      </c>
      <c r="CL320" s="107" t="n">
        <v>0</v>
      </c>
    </row>
    <row r="321" customFormat="false" ht="15" hidden="false" customHeight="false" outlineLevel="0" collapsed="false">
      <c r="A321" s="107" t="s">
        <v>748</v>
      </c>
      <c r="B321" s="107" t="n">
        <v>81.2271</v>
      </c>
      <c r="C321" s="107" t="n">
        <v>5.5855</v>
      </c>
      <c r="D321" s="107" t="n">
        <v>14.5947</v>
      </c>
      <c r="E321" s="107" t="n">
        <v>-1185.48515637</v>
      </c>
      <c r="F321" s="108" t="s">
        <v>358</v>
      </c>
      <c r="G321" s="107" t="n">
        <v>14.5947</v>
      </c>
      <c r="H321" s="107" t="n">
        <v>-1185.48515637</v>
      </c>
      <c r="I321" s="109" t="n">
        <v>56476</v>
      </c>
      <c r="J321" s="107" t="n">
        <v>30</v>
      </c>
      <c r="K321" s="108" t="s">
        <v>384</v>
      </c>
      <c r="L321" s="107" t="s">
        <v>565</v>
      </c>
      <c r="M321" s="107" t="n">
        <v>14594700</v>
      </c>
      <c r="N321" s="107" t="n">
        <v>89.65625</v>
      </c>
      <c r="O321" s="107" t="n">
        <v>812271</v>
      </c>
      <c r="P321" s="107" t="s">
        <v>566</v>
      </c>
      <c r="Q321" s="107" t="s">
        <v>532</v>
      </c>
      <c r="R321" s="107" t="n">
        <v>-0.155213808739877</v>
      </c>
      <c r="S321" s="107" t="n">
        <v>-0.0940163123039387</v>
      </c>
      <c r="T321" s="107" t="n">
        <v>-1218.59332233</v>
      </c>
      <c r="U321" s="107" t="n">
        <v>21069</v>
      </c>
      <c r="V321" s="108" t="s">
        <v>362</v>
      </c>
      <c r="W321" s="107" t="n">
        <v>38088</v>
      </c>
      <c r="X321" s="108" t="s">
        <v>111</v>
      </c>
      <c r="Y321" s="107" t="s">
        <v>748</v>
      </c>
      <c r="Z321" s="107" t="s">
        <v>750</v>
      </c>
      <c r="AA321" s="109" t="n">
        <v>45554</v>
      </c>
      <c r="AB321" s="107" t="n">
        <v>240919000001</v>
      </c>
      <c r="AC321" s="109" t="n">
        <v>45519</v>
      </c>
      <c r="AD321" s="109" t="n">
        <v>56476</v>
      </c>
      <c r="AE321" s="107" t="n">
        <v>4.25</v>
      </c>
      <c r="AF321" s="107" t="n">
        <v>14.9911</v>
      </c>
      <c r="AG321" s="107" t="n">
        <v>10181</v>
      </c>
      <c r="AH321" s="107" t="n">
        <v>1000000</v>
      </c>
      <c r="AI321" s="107" t="n">
        <v>3.96</v>
      </c>
      <c r="AJ321" s="107" t="n">
        <v>105.053184</v>
      </c>
      <c r="AK321" s="107" t="n">
        <v>4.839528</v>
      </c>
      <c r="AL321" s="107" t="n">
        <v>91.552308</v>
      </c>
      <c r="AM321" s="107" t="n">
        <v>5.5892</v>
      </c>
      <c r="AN321" s="107" t="n">
        <v>81.184</v>
      </c>
      <c r="AO321" s="107" t="n">
        <v>1358.4</v>
      </c>
      <c r="AP321" s="107" t="n">
        <v>1</v>
      </c>
      <c r="AQ321" s="107" t="n">
        <v>811840</v>
      </c>
      <c r="AR321" s="107" t="n">
        <v>1102803456</v>
      </c>
      <c r="AS321" s="107" t="n">
        <v>910210.58</v>
      </c>
      <c r="AT321" s="107" t="n">
        <v>1306061161</v>
      </c>
      <c r="AU321" s="107" t="n">
        <v>-98334.7</v>
      </c>
      <c r="AV321" s="107" t="n">
        <v>-133577856</v>
      </c>
      <c r="AW321" s="107" t="n">
        <v>0</v>
      </c>
      <c r="AX321" s="107" t="n">
        <v>0</v>
      </c>
      <c r="AY321" s="107" t="n">
        <v>0</v>
      </c>
      <c r="AZ321" s="107" t="n">
        <v>0</v>
      </c>
      <c r="BA321" s="107" t="n">
        <v>0</v>
      </c>
      <c r="BB321" s="107" t="n">
        <v>0</v>
      </c>
      <c r="BC321" s="107" t="n">
        <v>0</v>
      </c>
      <c r="BD321" s="107" t="n">
        <v>0</v>
      </c>
      <c r="BE321" s="107" t="n">
        <v>5312.5</v>
      </c>
      <c r="BF321" s="107" t="n">
        <v>7216500</v>
      </c>
      <c r="BG321" s="107" t="n">
        <v>0</v>
      </c>
      <c r="BH321" s="107" t="n">
        <v>0</v>
      </c>
      <c r="BI321" s="107" t="n">
        <v>1053281.21</v>
      </c>
      <c r="BJ321" s="107" t="n">
        <v>1515817246</v>
      </c>
      <c r="BK321" s="107" t="n">
        <v>5263.78</v>
      </c>
      <c r="BL321" s="107" t="n">
        <v>7552970</v>
      </c>
      <c r="BM321" s="107" t="n">
        <v>-35.88</v>
      </c>
      <c r="BN321" s="107" t="n">
        <v>-51474</v>
      </c>
      <c r="BO321" s="2"/>
      <c r="BP321" s="2"/>
      <c r="BQ321" s="107" t="s">
        <v>532</v>
      </c>
      <c r="BR321" s="107" t="n">
        <v>-69628375</v>
      </c>
      <c r="BS321" s="107" t="n">
        <v>0</v>
      </c>
      <c r="BT321" s="107" t="n">
        <v>0</v>
      </c>
      <c r="BU321" s="107" t="n">
        <v>-143070.64</v>
      </c>
      <c r="BV321" s="107" t="n">
        <v>-209756086</v>
      </c>
      <c r="BW321" s="107" t="n">
        <v>5312.5</v>
      </c>
      <c r="BX321" s="107" t="n">
        <v>7216500</v>
      </c>
      <c r="BY321" s="107" t="n">
        <v>0</v>
      </c>
      <c r="BZ321" s="107" t="n">
        <v>0</v>
      </c>
      <c r="CA321" s="107" t="n">
        <v>1434.9</v>
      </c>
      <c r="CB321" s="2"/>
      <c r="CC321" s="107" t="n">
        <v>0</v>
      </c>
      <c r="CD321" s="107" t="n">
        <v>81.13</v>
      </c>
      <c r="CE321" s="107" t="n">
        <v>81.26</v>
      </c>
      <c r="CF321" s="107" t="n">
        <v>81.16</v>
      </c>
      <c r="CG321" s="107" t="n">
        <v>1000000</v>
      </c>
      <c r="CH321" s="107" t="n">
        <v>14.5835</v>
      </c>
      <c r="CI321" s="107" t="n">
        <v>88.7</v>
      </c>
      <c r="CJ321" s="107" t="n">
        <v>88.8</v>
      </c>
      <c r="CK321" s="107" t="n">
        <v>88.8</v>
      </c>
      <c r="CL321" s="107" t="n">
        <v>6000000</v>
      </c>
    </row>
    <row r="322" customFormat="false" ht="15" hidden="false" customHeight="false" outlineLevel="0" collapsed="false">
      <c r="A322" s="107" t="s">
        <v>748</v>
      </c>
      <c r="B322" s="107" t="n">
        <v>81.2271</v>
      </c>
      <c r="C322" s="107" t="n">
        <v>5.5855</v>
      </c>
      <c r="D322" s="107" t="n">
        <v>14.5947</v>
      </c>
      <c r="E322" s="107" t="n">
        <v>-1185.48515637</v>
      </c>
      <c r="F322" s="108" t="s">
        <v>358</v>
      </c>
      <c r="G322" s="107" t="n">
        <v>14.5947</v>
      </c>
      <c r="H322" s="107" t="n">
        <v>-1185.48515637</v>
      </c>
      <c r="I322" s="109" t="n">
        <v>56476</v>
      </c>
      <c r="J322" s="107" t="n">
        <v>30</v>
      </c>
      <c r="K322" s="108" t="s">
        <v>384</v>
      </c>
      <c r="L322" s="107" t="s">
        <v>565</v>
      </c>
      <c r="M322" s="107" t="n">
        <v>14594700</v>
      </c>
      <c r="N322" s="107" t="n">
        <v>87.375</v>
      </c>
      <c r="O322" s="107" t="n">
        <v>812271</v>
      </c>
      <c r="P322" s="107" t="s">
        <v>566</v>
      </c>
      <c r="Q322" s="107" t="s">
        <v>532</v>
      </c>
      <c r="R322" s="107" t="n">
        <v>-0.162810323838006</v>
      </c>
      <c r="S322" s="107" t="n">
        <v>-0.0703622317596567</v>
      </c>
      <c r="T322" s="107" t="n">
        <v>-1218.59332233</v>
      </c>
      <c r="U322" s="107" t="n">
        <v>21069</v>
      </c>
      <c r="V322" s="108" t="s">
        <v>362</v>
      </c>
      <c r="W322" s="107" t="n">
        <v>38088</v>
      </c>
      <c r="X322" s="108" t="s">
        <v>111</v>
      </c>
      <c r="Y322" s="107" t="s">
        <v>748</v>
      </c>
      <c r="Z322" s="107" t="s">
        <v>750</v>
      </c>
      <c r="AA322" s="109" t="n">
        <v>45728</v>
      </c>
      <c r="AB322" s="107" t="n">
        <v>250312000001</v>
      </c>
      <c r="AC322" s="109" t="n">
        <v>45519</v>
      </c>
      <c r="AD322" s="109" t="n">
        <v>56476</v>
      </c>
      <c r="AE322" s="107" t="n">
        <v>4.25</v>
      </c>
      <c r="AF322" s="107" t="n">
        <v>14.9911</v>
      </c>
      <c r="AG322" s="107" t="n">
        <v>10181</v>
      </c>
      <c r="AH322" s="107" t="n">
        <v>1000000</v>
      </c>
      <c r="AI322" s="107" t="n">
        <v>4.524096</v>
      </c>
      <c r="AJ322" s="107" t="n">
        <v>95.5625</v>
      </c>
      <c r="AK322" s="107" t="n">
        <v>4.833587</v>
      </c>
      <c r="AL322" s="107" t="n">
        <v>91.636949</v>
      </c>
      <c r="AM322" s="107" t="n">
        <v>5.5892</v>
      </c>
      <c r="AN322" s="107" t="n">
        <v>81.184</v>
      </c>
      <c r="AO322" s="107" t="n">
        <v>1358.4</v>
      </c>
      <c r="AP322" s="107" t="n">
        <v>1</v>
      </c>
      <c r="AQ322" s="107" t="n">
        <v>811840</v>
      </c>
      <c r="AR322" s="107" t="n">
        <v>1102803456</v>
      </c>
      <c r="AS322" s="107" t="n">
        <v>911056.99</v>
      </c>
      <c r="AT322" s="107" t="n">
        <v>1307275667</v>
      </c>
      <c r="AU322" s="107" t="n">
        <v>-99357.29</v>
      </c>
      <c r="AV322" s="107" t="n">
        <v>-134966943</v>
      </c>
      <c r="AW322" s="107" t="n">
        <v>0</v>
      </c>
      <c r="AX322" s="107" t="n">
        <v>0</v>
      </c>
      <c r="AY322" s="107" t="n">
        <v>0</v>
      </c>
      <c r="AZ322" s="107" t="n">
        <v>0</v>
      </c>
      <c r="BA322" s="107" t="n">
        <v>0</v>
      </c>
      <c r="BB322" s="107" t="n">
        <v>0</v>
      </c>
      <c r="BC322" s="107" t="n">
        <v>0</v>
      </c>
      <c r="BD322" s="107" t="n">
        <v>0</v>
      </c>
      <c r="BE322" s="107" t="n">
        <v>5312.5</v>
      </c>
      <c r="BF322" s="107" t="n">
        <v>7216500</v>
      </c>
      <c r="BG322" s="107" t="n">
        <v>0</v>
      </c>
      <c r="BH322" s="107" t="n">
        <v>0</v>
      </c>
      <c r="BI322" s="107" t="n">
        <v>956498.38</v>
      </c>
      <c r="BJ322" s="107" t="n">
        <v>1372479518</v>
      </c>
      <c r="BK322" s="107" t="n">
        <v>5439.96</v>
      </c>
      <c r="BL322" s="107" t="n">
        <v>7805786</v>
      </c>
      <c r="BM322" s="107" t="n">
        <v>140.3</v>
      </c>
      <c r="BN322" s="107" t="n">
        <v>201342</v>
      </c>
      <c r="BO322" s="2"/>
      <c r="BP322" s="2"/>
      <c r="BQ322" s="107" t="s">
        <v>532</v>
      </c>
      <c r="BR322" s="107" t="n">
        <v>-69706610</v>
      </c>
      <c r="BS322" s="107" t="n">
        <v>0</v>
      </c>
      <c r="BT322" s="107" t="n">
        <v>0</v>
      </c>
      <c r="BU322" s="107" t="n">
        <v>-45441.39</v>
      </c>
      <c r="BV322" s="107" t="n">
        <v>-65203851</v>
      </c>
      <c r="BW322" s="107" t="n">
        <v>5312.5</v>
      </c>
      <c r="BX322" s="107" t="n">
        <v>7216500</v>
      </c>
      <c r="BY322" s="107" t="n">
        <v>0</v>
      </c>
      <c r="BZ322" s="107" t="n">
        <v>0</v>
      </c>
      <c r="CA322" s="107" t="n">
        <v>1434.9</v>
      </c>
      <c r="CB322" s="2"/>
      <c r="CC322" s="107" t="n">
        <v>0</v>
      </c>
      <c r="CD322" s="107" t="n">
        <v>81.13</v>
      </c>
      <c r="CE322" s="107" t="n">
        <v>81.26</v>
      </c>
      <c r="CF322" s="107" t="n">
        <v>81.16</v>
      </c>
      <c r="CG322" s="107" t="n">
        <v>1000000</v>
      </c>
      <c r="CH322" s="107" t="n">
        <v>14.5835</v>
      </c>
      <c r="CI322" s="107" t="n">
        <v>88.7</v>
      </c>
      <c r="CJ322" s="107" t="n">
        <v>88.8</v>
      </c>
      <c r="CK322" s="107" t="n">
        <v>88.8</v>
      </c>
      <c r="CL322" s="107" t="n">
        <v>2000000</v>
      </c>
    </row>
    <row r="323" customFormat="false" ht="15" hidden="false" customHeight="false" outlineLevel="0" collapsed="false">
      <c r="A323" s="107" t="s">
        <v>748</v>
      </c>
      <c r="B323" s="107" t="n">
        <v>81.2271</v>
      </c>
      <c r="C323" s="107" t="n">
        <v>5.5855</v>
      </c>
      <c r="D323" s="107" t="n">
        <v>14.5947</v>
      </c>
      <c r="E323" s="107" t="n">
        <v>-1185.48515637</v>
      </c>
      <c r="F323" s="108" t="s">
        <v>358</v>
      </c>
      <c r="G323" s="107" t="n">
        <v>14.5947</v>
      </c>
      <c r="H323" s="107" t="n">
        <v>-1185.48515637</v>
      </c>
      <c r="I323" s="109" t="n">
        <v>56476</v>
      </c>
      <c r="J323" s="107" t="n">
        <v>30</v>
      </c>
      <c r="K323" s="108" t="s">
        <v>384</v>
      </c>
      <c r="L323" s="107" t="s">
        <v>565</v>
      </c>
      <c r="M323" s="107" t="n">
        <v>14594700</v>
      </c>
      <c r="N323" s="107" t="n">
        <v>85.515625</v>
      </c>
      <c r="O323" s="107" t="n">
        <v>812271</v>
      </c>
      <c r="P323" s="107" t="s">
        <v>566</v>
      </c>
      <c r="Q323" s="107" t="s">
        <v>532</v>
      </c>
      <c r="R323" s="107" t="n">
        <v>-0.109275000428636</v>
      </c>
      <c r="S323" s="107" t="n">
        <v>-0.0501490224739631</v>
      </c>
      <c r="T323" s="107" t="n">
        <v>-1218.59332233</v>
      </c>
      <c r="U323" s="107" t="n">
        <v>21069</v>
      </c>
      <c r="V323" s="108" t="s">
        <v>362</v>
      </c>
      <c r="W323" s="107" t="n">
        <v>38088</v>
      </c>
      <c r="X323" s="108" t="s">
        <v>111</v>
      </c>
      <c r="Y323" s="107" t="s">
        <v>748</v>
      </c>
      <c r="Z323" s="107" t="s">
        <v>750</v>
      </c>
      <c r="AA323" s="109" t="n">
        <v>46057</v>
      </c>
      <c r="AB323" s="107" t="n">
        <v>260204000001</v>
      </c>
      <c r="AC323" s="109" t="n">
        <v>45519</v>
      </c>
      <c r="AD323" s="109" t="n">
        <v>56476</v>
      </c>
      <c r="AE323" s="107" t="n">
        <v>4.25</v>
      </c>
      <c r="AF323" s="107" t="n">
        <v>14.9911</v>
      </c>
      <c r="AG323" s="107" t="n">
        <v>10181</v>
      </c>
      <c r="AH323" s="107" t="n">
        <v>1000000</v>
      </c>
      <c r="AI323" s="107" t="n">
        <v>4.929044</v>
      </c>
      <c r="AJ323" s="107" t="n">
        <v>89.65625</v>
      </c>
      <c r="AK323" s="107" t="n">
        <v>4.931037</v>
      </c>
      <c r="AL323" s="107" t="n">
        <v>90.262576</v>
      </c>
      <c r="AM323" s="107" t="n">
        <v>5.5892</v>
      </c>
      <c r="AN323" s="107" t="n">
        <v>81.184</v>
      </c>
      <c r="AO323" s="107" t="n">
        <v>1358.4</v>
      </c>
      <c r="AP323" s="107" t="n">
        <v>1</v>
      </c>
      <c r="AQ323" s="107" t="n">
        <v>811840</v>
      </c>
      <c r="AR323" s="107" t="n">
        <v>1102803456</v>
      </c>
      <c r="AS323" s="107" t="n">
        <v>897313.26</v>
      </c>
      <c r="AT323" s="107" t="n">
        <v>1307654613</v>
      </c>
      <c r="AU323" s="107" t="n">
        <v>-85733.62</v>
      </c>
      <c r="AV323" s="107" t="n">
        <v>-116460549</v>
      </c>
      <c r="AW323" s="107" t="n">
        <v>0</v>
      </c>
      <c r="AX323" s="107" t="n">
        <v>0</v>
      </c>
      <c r="AY323" s="107" t="n">
        <v>0</v>
      </c>
      <c r="AZ323" s="107" t="n">
        <v>0</v>
      </c>
      <c r="BA323" s="107" t="n">
        <v>0</v>
      </c>
      <c r="BB323" s="107" t="n">
        <v>0</v>
      </c>
      <c r="BC323" s="107" t="n">
        <v>0</v>
      </c>
      <c r="BD323" s="107" t="n">
        <v>0</v>
      </c>
      <c r="BE323" s="107" t="n">
        <v>5312.5</v>
      </c>
      <c r="BF323" s="107" t="n">
        <v>7216500</v>
      </c>
      <c r="BG323" s="107" t="n">
        <v>0</v>
      </c>
      <c r="BH323" s="107" t="n">
        <v>0</v>
      </c>
      <c r="BI323" s="107" t="n">
        <v>897313.26</v>
      </c>
      <c r="BJ323" s="107" t="n">
        <v>1307654613</v>
      </c>
      <c r="BK323" s="107" t="n">
        <v>5560.02</v>
      </c>
      <c r="BL323" s="107" t="n">
        <v>8102578</v>
      </c>
      <c r="BM323" s="107" t="n">
        <v>260.36</v>
      </c>
      <c r="BN323" s="107" t="n">
        <v>379408</v>
      </c>
      <c r="BO323" s="2"/>
      <c r="BP323" s="2"/>
      <c r="BQ323" s="107" t="s">
        <v>532</v>
      </c>
      <c r="BR323" s="107" t="n">
        <v>-88770016</v>
      </c>
      <c r="BS323" s="107" t="n">
        <v>0</v>
      </c>
      <c r="BT323" s="107" t="n">
        <v>0</v>
      </c>
      <c r="BU323" s="107" t="n">
        <v>0</v>
      </c>
      <c r="BV323" s="107" t="n">
        <v>0</v>
      </c>
      <c r="BW323" s="107" t="n">
        <v>5312.5</v>
      </c>
      <c r="BX323" s="107" t="n">
        <v>7216500</v>
      </c>
      <c r="BY323" s="107" t="n">
        <v>0</v>
      </c>
      <c r="BZ323" s="107" t="n">
        <v>0</v>
      </c>
      <c r="CA323" s="107" t="n">
        <v>1457.3</v>
      </c>
      <c r="CB323" s="2"/>
      <c r="CC323" s="107" t="n">
        <v>0</v>
      </c>
      <c r="CD323" s="107" t="n">
        <v>81.13</v>
      </c>
      <c r="CE323" s="107" t="n">
        <v>81.26</v>
      </c>
      <c r="CF323" s="107" t="n">
        <v>81.16</v>
      </c>
      <c r="CG323" s="107" t="n">
        <v>1000000</v>
      </c>
      <c r="CH323" s="107" t="n">
        <v>14.5835</v>
      </c>
      <c r="CI323" s="107" t="n">
        <v>88.7</v>
      </c>
      <c r="CJ323" s="107" t="n">
        <v>88.8</v>
      </c>
      <c r="CK323" s="107" t="n">
        <v>88.8</v>
      </c>
      <c r="CL323" s="107" t="n">
        <v>3000000</v>
      </c>
    </row>
    <row r="324" customFormat="false" ht="15" hidden="false" customHeight="false" outlineLevel="0" collapsed="false">
      <c r="A324" s="107" t="s">
        <v>748</v>
      </c>
      <c r="B324" s="107" t="n">
        <v>81.2271</v>
      </c>
      <c r="C324" s="107" t="n">
        <v>5.5855</v>
      </c>
      <c r="D324" s="107" t="n">
        <v>14.5947</v>
      </c>
      <c r="E324" s="107" t="n">
        <v>-1185.48515637</v>
      </c>
      <c r="F324" s="108" t="s">
        <v>358</v>
      </c>
      <c r="G324" s="107" t="n">
        <v>14.5947</v>
      </c>
      <c r="H324" s="107" t="n">
        <v>-1185.48515637</v>
      </c>
      <c r="I324" s="109" t="n">
        <v>56476</v>
      </c>
      <c r="J324" s="107" t="n">
        <v>30</v>
      </c>
      <c r="K324" s="108" t="s">
        <v>384</v>
      </c>
      <c r="L324" s="107" t="s">
        <v>565</v>
      </c>
      <c r="M324" s="107" t="n">
        <v>14594700</v>
      </c>
      <c r="N324" s="107" t="n">
        <v>83.484375</v>
      </c>
      <c r="O324" s="107" t="n">
        <v>812271</v>
      </c>
      <c r="P324" s="107" t="s">
        <v>566</v>
      </c>
      <c r="Q324" s="107" t="s">
        <v>532</v>
      </c>
      <c r="R324" s="107" t="n">
        <v>-0.0111882217242692</v>
      </c>
      <c r="S324" s="107" t="n">
        <v>-0.0270382930937676</v>
      </c>
      <c r="T324" s="107" t="n">
        <v>-1218.59332233</v>
      </c>
      <c r="U324" s="107" t="n">
        <v>21069</v>
      </c>
      <c r="V324" s="108" t="s">
        <v>362</v>
      </c>
      <c r="W324" s="107" t="n">
        <v>38088</v>
      </c>
      <c r="X324" s="108" t="s">
        <v>111</v>
      </c>
      <c r="Y324" s="107" t="s">
        <v>748</v>
      </c>
      <c r="Z324" s="107" t="s">
        <v>750</v>
      </c>
      <c r="AA324" s="109" t="n">
        <v>46213</v>
      </c>
      <c r="AB324" s="107" t="n">
        <v>260710000001</v>
      </c>
      <c r="AC324" s="109" t="n">
        <v>45519</v>
      </c>
      <c r="AD324" s="109" t="n">
        <v>56476</v>
      </c>
      <c r="AE324" s="107" t="n">
        <v>4.25</v>
      </c>
      <c r="AF324" s="107" t="n">
        <v>14.9911</v>
      </c>
      <c r="AG324" s="107" t="n">
        <v>10181</v>
      </c>
      <c r="AH324" s="107" t="n">
        <v>1000000</v>
      </c>
      <c r="AI324" s="107" t="n">
        <v>5.100178</v>
      </c>
      <c r="AJ324" s="107" t="n">
        <v>87.375</v>
      </c>
      <c r="AK324" s="107" t="n">
        <v>5.101953</v>
      </c>
      <c r="AL324" s="107" t="n">
        <v>87.922471</v>
      </c>
      <c r="AM324" s="107" t="n">
        <v>5.5892</v>
      </c>
      <c r="AN324" s="107" t="n">
        <v>81.184</v>
      </c>
      <c r="AO324" s="107" t="n">
        <v>1358.4</v>
      </c>
      <c r="AP324" s="107" t="n">
        <v>1</v>
      </c>
      <c r="AQ324" s="107" t="n">
        <v>811840</v>
      </c>
      <c r="AR324" s="107" t="n">
        <v>1102803456</v>
      </c>
      <c r="AS324" s="107" t="n">
        <v>873912.21</v>
      </c>
      <c r="AT324" s="107" t="n">
        <v>1319520046</v>
      </c>
      <c r="AU324" s="107" t="n">
        <v>-62377.19</v>
      </c>
      <c r="AV324" s="107" t="n">
        <v>-84733175</v>
      </c>
      <c r="AW324" s="107" t="n">
        <v>0</v>
      </c>
      <c r="AX324" s="107" t="n">
        <v>0</v>
      </c>
      <c r="AY324" s="107" t="n">
        <v>0</v>
      </c>
      <c r="AZ324" s="107" t="n">
        <v>0</v>
      </c>
      <c r="BA324" s="107" t="n">
        <v>0</v>
      </c>
      <c r="BB324" s="107" t="n">
        <v>0</v>
      </c>
      <c r="BC324" s="107" t="n">
        <v>0</v>
      </c>
      <c r="BD324" s="107" t="n">
        <v>0</v>
      </c>
      <c r="BE324" s="107" t="n">
        <v>5312.5</v>
      </c>
      <c r="BF324" s="107" t="n">
        <v>7216500</v>
      </c>
      <c r="BG324" s="107" t="n">
        <v>0</v>
      </c>
      <c r="BH324" s="107" t="n">
        <v>0</v>
      </c>
      <c r="BI324" s="107" t="n">
        <v>873912.21</v>
      </c>
      <c r="BJ324" s="107" t="n">
        <v>1319520046</v>
      </c>
      <c r="BK324" s="107" t="n">
        <v>5604.64</v>
      </c>
      <c r="BL324" s="107" t="n">
        <v>8462436</v>
      </c>
      <c r="BM324" s="107" t="n">
        <v>304.98</v>
      </c>
      <c r="BN324" s="107" t="n">
        <v>460506</v>
      </c>
      <c r="BO324" s="2"/>
      <c r="BP324" s="2"/>
      <c r="BQ324" s="107" t="s">
        <v>532</v>
      </c>
      <c r="BR324" s="107" t="n">
        <v>-132443921</v>
      </c>
      <c r="BS324" s="107" t="n">
        <v>0</v>
      </c>
      <c r="BT324" s="107" t="n">
        <v>0</v>
      </c>
      <c r="BU324" s="107" t="n">
        <v>0</v>
      </c>
      <c r="BV324" s="107" t="n">
        <v>0</v>
      </c>
      <c r="BW324" s="107" t="n">
        <v>5312.5</v>
      </c>
      <c r="BX324" s="107" t="n">
        <v>7216500</v>
      </c>
      <c r="BY324" s="107" t="n">
        <v>0</v>
      </c>
      <c r="BZ324" s="107" t="n">
        <v>0</v>
      </c>
      <c r="CA324" s="107" t="n">
        <v>1509.9</v>
      </c>
      <c r="CB324" s="2"/>
      <c r="CC324" s="107" t="n">
        <v>0</v>
      </c>
      <c r="CD324" s="107" t="n">
        <v>81.13</v>
      </c>
      <c r="CE324" s="107" t="n">
        <v>81.26</v>
      </c>
      <c r="CF324" s="107" t="n">
        <v>81.16</v>
      </c>
      <c r="CG324" s="107" t="n">
        <v>1000000</v>
      </c>
      <c r="CH324" s="107" t="n">
        <v>14.5835</v>
      </c>
      <c r="CI324" s="107" t="n">
        <v>88.7</v>
      </c>
      <c r="CJ324" s="107" t="n">
        <v>88.8</v>
      </c>
      <c r="CK324" s="107" t="n">
        <v>88.8</v>
      </c>
      <c r="CL324" s="107" t="n">
        <v>1000000</v>
      </c>
    </row>
    <row r="325" customFormat="false" ht="15" hidden="false" customHeight="false" outlineLevel="0" collapsed="false">
      <c r="A325" s="107" t="s">
        <v>748</v>
      </c>
      <c r="B325" s="107" t="n">
        <v>81.2271</v>
      </c>
      <c r="C325" s="107" t="n">
        <v>5.5855</v>
      </c>
      <c r="D325" s="107" t="n">
        <v>14.5947</v>
      </c>
      <c r="E325" s="107" t="n">
        <v>-1185.48515637</v>
      </c>
      <c r="F325" s="108" t="s">
        <v>358</v>
      </c>
      <c r="G325" s="107" t="n">
        <v>14.5947</v>
      </c>
      <c r="H325" s="107" t="n">
        <v>-1185.48515637</v>
      </c>
      <c r="I325" s="109" t="n">
        <v>56476</v>
      </c>
      <c r="J325" s="107" t="n">
        <v>30</v>
      </c>
      <c r="K325" s="108" t="s">
        <v>384</v>
      </c>
      <c r="L325" s="107" t="s">
        <v>565</v>
      </c>
      <c r="M325" s="107" t="n">
        <v>14594700</v>
      </c>
      <c r="N325" s="107" t="n">
        <v>81.703125</v>
      </c>
      <c r="O325" s="107" t="n">
        <v>812271</v>
      </c>
      <c r="P325" s="107" t="s">
        <v>566</v>
      </c>
      <c r="Q325" s="107" t="s">
        <v>532</v>
      </c>
      <c r="R325" s="107" t="n">
        <v>5.6408219522214E-005</v>
      </c>
      <c r="S325" s="107" t="n">
        <v>-0.00582627653471035</v>
      </c>
      <c r="T325" s="107" t="n">
        <v>-1218.59332233</v>
      </c>
      <c r="U325" s="107" t="n">
        <v>21069</v>
      </c>
      <c r="V325" s="108" t="s">
        <v>362</v>
      </c>
      <c r="W325" s="107" t="n">
        <v>38088</v>
      </c>
      <c r="X325" s="108" t="s">
        <v>111</v>
      </c>
      <c r="Y325" s="107" t="s">
        <v>748</v>
      </c>
      <c r="Z325" s="107" t="s">
        <v>750</v>
      </c>
      <c r="AA325" s="109" t="n">
        <v>46234</v>
      </c>
      <c r="AB325" s="107" t="n">
        <v>260731000001</v>
      </c>
      <c r="AC325" s="109" t="n">
        <v>45519</v>
      </c>
      <c r="AD325" s="109" t="n">
        <v>56476</v>
      </c>
      <c r="AE325" s="107" t="n">
        <v>4.25</v>
      </c>
      <c r="AF325" s="107" t="n">
        <v>14.9911</v>
      </c>
      <c r="AG325" s="107" t="n">
        <v>10181</v>
      </c>
      <c r="AH325" s="107" t="n">
        <v>1000000</v>
      </c>
      <c r="AI325" s="107" t="n">
        <v>5.241448</v>
      </c>
      <c r="AJ325" s="107" t="n">
        <v>85.515625</v>
      </c>
      <c r="AK325" s="107" t="n">
        <v>5.242946</v>
      </c>
      <c r="AL325" s="107" t="n">
        <v>86.05727</v>
      </c>
      <c r="AM325" s="107" t="n">
        <v>5.5892</v>
      </c>
      <c r="AN325" s="107" t="n">
        <v>81.184</v>
      </c>
      <c r="AO325" s="107" t="n">
        <v>1358.4</v>
      </c>
      <c r="AP325" s="107" t="n">
        <v>1</v>
      </c>
      <c r="AQ325" s="107" t="n">
        <v>811840</v>
      </c>
      <c r="AR325" s="107" t="n">
        <v>1102803456</v>
      </c>
      <c r="AS325" s="107" t="n">
        <v>855260.2</v>
      </c>
      <c r="AT325" s="107" t="n">
        <v>1240212816</v>
      </c>
      <c r="AU325" s="107" t="n">
        <v>-43756.92</v>
      </c>
      <c r="AV325" s="107" t="n">
        <v>-59439400</v>
      </c>
      <c r="AW325" s="107" t="n">
        <v>0</v>
      </c>
      <c r="AX325" s="107" t="n">
        <v>0</v>
      </c>
      <c r="AY325" s="107" t="n">
        <v>0</v>
      </c>
      <c r="AZ325" s="107" t="n">
        <v>0</v>
      </c>
      <c r="BA325" s="107" t="n">
        <v>0</v>
      </c>
      <c r="BB325" s="107" t="n">
        <v>0</v>
      </c>
      <c r="BC325" s="107" t="n">
        <v>0</v>
      </c>
      <c r="BD325" s="107" t="n">
        <v>0</v>
      </c>
      <c r="BE325" s="107" t="n">
        <v>5312.5</v>
      </c>
      <c r="BF325" s="107" t="n">
        <v>7216500</v>
      </c>
      <c r="BG325" s="107" t="n">
        <v>0</v>
      </c>
      <c r="BH325" s="107" t="n">
        <v>0</v>
      </c>
      <c r="BI325" s="107" t="n">
        <v>855260.2</v>
      </c>
      <c r="BJ325" s="107" t="n">
        <v>1240212816</v>
      </c>
      <c r="BK325" s="107" t="n">
        <v>5636.38</v>
      </c>
      <c r="BL325" s="107" t="n">
        <v>8173280</v>
      </c>
      <c r="BM325" s="107" t="n">
        <v>336.72</v>
      </c>
      <c r="BN325" s="107" t="n">
        <v>488244</v>
      </c>
      <c r="BO325" s="2"/>
      <c r="BP325" s="2"/>
      <c r="BQ325" s="107" t="s">
        <v>532</v>
      </c>
      <c r="BR325" s="107" t="n">
        <v>-78458204</v>
      </c>
      <c r="BS325" s="107" t="n">
        <v>0</v>
      </c>
      <c r="BT325" s="107" t="n">
        <v>0</v>
      </c>
      <c r="BU325" s="107" t="n">
        <v>0</v>
      </c>
      <c r="BV325" s="107" t="n">
        <v>0</v>
      </c>
      <c r="BW325" s="107" t="n">
        <v>5312.5</v>
      </c>
      <c r="BX325" s="107" t="n">
        <v>7216500</v>
      </c>
      <c r="BY325" s="107" t="n">
        <v>0</v>
      </c>
      <c r="BZ325" s="107" t="n">
        <v>0</v>
      </c>
      <c r="CA325" s="107" t="n">
        <v>1450.1</v>
      </c>
      <c r="CB325" s="2"/>
      <c r="CC325" s="107" t="n">
        <v>0</v>
      </c>
      <c r="CD325" s="107" t="n">
        <v>81.13</v>
      </c>
      <c r="CE325" s="107" t="n">
        <v>81.26</v>
      </c>
      <c r="CF325" s="107" t="n">
        <v>81.16</v>
      </c>
      <c r="CG325" s="107" t="n">
        <v>1000000</v>
      </c>
      <c r="CH325" s="107" t="n">
        <v>14.5835</v>
      </c>
      <c r="CI325" s="107" t="n">
        <v>88.7</v>
      </c>
      <c r="CJ325" s="107" t="n">
        <v>88.8</v>
      </c>
      <c r="CK325" s="107" t="n">
        <v>88.8</v>
      </c>
      <c r="CL325" s="107" t="n">
        <v>1000000</v>
      </c>
    </row>
    <row r="326" customFormat="false" ht="15" hidden="false" customHeight="false" outlineLevel="0" collapsed="false">
      <c r="A326" s="107" t="s">
        <v>718</v>
      </c>
      <c r="B326" s="107" t="n">
        <v>93.1434</v>
      </c>
      <c r="C326" s="107" t="n">
        <v>5.2239</v>
      </c>
      <c r="D326" s="107" t="n">
        <v>7.1368</v>
      </c>
      <c r="E326" s="107" t="n">
        <v>-9971.1872568</v>
      </c>
      <c r="F326" s="108" t="s">
        <v>358</v>
      </c>
      <c r="G326" s="107" t="n">
        <v>7.1368</v>
      </c>
      <c r="H326" s="107" t="n">
        <v>-9971.1872568</v>
      </c>
      <c r="I326" s="109" t="n">
        <v>49536</v>
      </c>
      <c r="J326" s="107" t="n">
        <v>10</v>
      </c>
      <c r="K326" s="108" t="s">
        <v>384</v>
      </c>
      <c r="L326" s="107" t="s">
        <v>565</v>
      </c>
      <c r="M326" s="107" t="n">
        <v>107052000</v>
      </c>
      <c r="N326" s="107" t="n">
        <v>101.796875</v>
      </c>
      <c r="O326" s="107" t="n">
        <v>13971510</v>
      </c>
      <c r="P326" s="107" t="s">
        <v>566</v>
      </c>
      <c r="Q326" s="107" t="s">
        <v>532</v>
      </c>
      <c r="R326" s="107" t="n">
        <v>-0.126232666511974</v>
      </c>
      <c r="S326" s="107" t="n">
        <v>-0.0850072755180353</v>
      </c>
      <c r="T326" s="107" t="n">
        <v>-10231.6162032</v>
      </c>
      <c r="U326" s="107" t="n">
        <v>21069</v>
      </c>
      <c r="V326" s="108" t="s">
        <v>362</v>
      </c>
      <c r="W326" s="107" t="n">
        <v>38088</v>
      </c>
      <c r="X326" s="108" t="s">
        <v>111</v>
      </c>
      <c r="Y326" s="107" t="s">
        <v>748</v>
      </c>
      <c r="Z326" s="107" t="s">
        <v>750</v>
      </c>
      <c r="AA326" s="109" t="n">
        <v>46279</v>
      </c>
      <c r="AB326" s="107" t="n">
        <v>260914000001</v>
      </c>
      <c r="AC326" s="109" t="n">
        <v>45519</v>
      </c>
      <c r="AD326" s="109" t="n">
        <v>56476</v>
      </c>
      <c r="AE326" s="107" t="n">
        <v>4.25</v>
      </c>
      <c r="AF326" s="107" t="n">
        <v>14.9911</v>
      </c>
      <c r="AG326" s="107" t="n">
        <v>10181</v>
      </c>
      <c r="AH326" s="107" t="n">
        <v>1000000</v>
      </c>
      <c r="AI326" s="107" t="n">
        <v>5.402113</v>
      </c>
      <c r="AJ326" s="107" t="n">
        <v>83.484375</v>
      </c>
      <c r="AK326" s="107" t="n">
        <v>5.402442</v>
      </c>
      <c r="AL326" s="107" t="n">
        <v>84.015625</v>
      </c>
      <c r="AM326" s="107" t="n">
        <v>5.5892</v>
      </c>
      <c r="AN326" s="107" t="n">
        <v>81.184</v>
      </c>
      <c r="AO326" s="107" t="n">
        <v>1358.4</v>
      </c>
      <c r="AP326" s="107" t="n">
        <v>1</v>
      </c>
      <c r="AQ326" s="107" t="n">
        <v>811840</v>
      </c>
      <c r="AR326" s="107" t="n">
        <v>1102803456</v>
      </c>
      <c r="AS326" s="107" t="n">
        <v>834843.75</v>
      </c>
      <c r="AT326" s="107" t="n">
        <v>1117187906</v>
      </c>
      <c r="AU326" s="107" t="n">
        <v>-23128.55</v>
      </c>
      <c r="AV326" s="107" t="n">
        <v>-31417822</v>
      </c>
      <c r="AW326" s="107" t="n">
        <v>3464.67</v>
      </c>
      <c r="AX326" s="107" t="n">
        <v>4636421</v>
      </c>
      <c r="AY326" s="107" t="n">
        <v>0</v>
      </c>
      <c r="AZ326" s="107" t="n">
        <v>0</v>
      </c>
      <c r="BA326" s="107" t="n">
        <v>0</v>
      </c>
      <c r="BB326" s="107" t="n">
        <v>0</v>
      </c>
      <c r="BC326" s="107" t="n">
        <v>0</v>
      </c>
      <c r="BD326" s="107" t="n">
        <v>0</v>
      </c>
      <c r="BE326" s="107" t="n">
        <v>1847.83</v>
      </c>
      <c r="BF326" s="107" t="n">
        <v>2510092</v>
      </c>
      <c r="BG326" s="107" t="n">
        <v>0</v>
      </c>
      <c r="BH326" s="107" t="n">
        <v>0</v>
      </c>
      <c r="BI326" s="107" t="n">
        <v>834843.75</v>
      </c>
      <c r="BJ326" s="107" t="n">
        <v>1117187906</v>
      </c>
      <c r="BK326" s="107" t="n">
        <v>1967.36</v>
      </c>
      <c r="BL326" s="107" t="n">
        <v>2632720</v>
      </c>
      <c r="BM326" s="107" t="n">
        <v>124.8</v>
      </c>
      <c r="BN326" s="107" t="n">
        <v>167008</v>
      </c>
      <c r="BO326" s="2"/>
      <c r="BP326" s="2"/>
      <c r="BQ326" s="107" t="s">
        <v>532</v>
      </c>
      <c r="BR326" s="107" t="n">
        <v>16866364</v>
      </c>
      <c r="BS326" s="107" t="n">
        <v>69987</v>
      </c>
      <c r="BT326" s="107" t="n">
        <v>0</v>
      </c>
      <c r="BU326" s="107" t="n">
        <v>0</v>
      </c>
      <c r="BV326" s="107" t="n">
        <v>0</v>
      </c>
      <c r="BW326" s="107" t="n">
        <v>5312.5</v>
      </c>
      <c r="BX326" s="107" t="n">
        <v>7216500</v>
      </c>
      <c r="BY326" s="107" t="n">
        <v>0</v>
      </c>
      <c r="BZ326" s="107" t="n">
        <v>0</v>
      </c>
      <c r="CA326" s="107" t="n">
        <v>1338.2</v>
      </c>
      <c r="CB326" s="2"/>
      <c r="CC326" s="107" t="n">
        <v>0</v>
      </c>
      <c r="CD326" s="107" t="n">
        <v>81.13</v>
      </c>
      <c r="CE326" s="107" t="n">
        <v>81.26</v>
      </c>
      <c r="CF326" s="107" t="n">
        <v>81.16</v>
      </c>
      <c r="CG326" s="107" t="n">
        <v>1000000</v>
      </c>
      <c r="CH326" s="107" t="n">
        <v>14.5835</v>
      </c>
      <c r="CI326" s="107" t="n">
        <v>88.7</v>
      </c>
      <c r="CJ326" s="107" t="n">
        <v>88.8</v>
      </c>
      <c r="CK326" s="107" t="n">
        <v>88.8</v>
      </c>
      <c r="CL326" s="107" t="n">
        <v>1000000</v>
      </c>
    </row>
    <row r="327" customFormat="false" ht="15" hidden="false" customHeight="false" outlineLevel="0" collapsed="false">
      <c r="A327" s="107" t="s">
        <v>718</v>
      </c>
      <c r="B327" s="107" t="n">
        <v>93.1434</v>
      </c>
      <c r="C327" s="107" t="n">
        <v>5.2239</v>
      </c>
      <c r="D327" s="107" t="n">
        <v>7.1368</v>
      </c>
      <c r="E327" s="107" t="n">
        <v>-6647.4581712</v>
      </c>
      <c r="F327" s="108" t="s">
        <v>358</v>
      </c>
      <c r="G327" s="107" t="n">
        <v>7.1368</v>
      </c>
      <c r="H327" s="107" t="n">
        <v>-6647.4581712</v>
      </c>
      <c r="I327" s="109" t="n">
        <v>49536</v>
      </c>
      <c r="J327" s="107" t="n">
        <v>10</v>
      </c>
      <c r="K327" s="108" t="s">
        <v>384</v>
      </c>
      <c r="L327" s="107" t="s">
        <v>565</v>
      </c>
      <c r="M327" s="107" t="n">
        <v>71368000</v>
      </c>
      <c r="N327" s="107" t="n">
        <v>101.796875</v>
      </c>
      <c r="O327" s="107" t="n">
        <v>9314340</v>
      </c>
      <c r="P327" s="107" t="s">
        <v>566</v>
      </c>
      <c r="Q327" s="107" t="s">
        <v>532</v>
      </c>
      <c r="R327" s="107" t="n">
        <v>-0.126226827000783</v>
      </c>
      <c r="S327" s="107" t="n">
        <v>-0.0850072755180353</v>
      </c>
      <c r="T327" s="107" t="n">
        <v>-6821.0774688</v>
      </c>
      <c r="U327" s="107" t="n">
        <v>21069</v>
      </c>
      <c r="V327" s="108" t="s">
        <v>362</v>
      </c>
      <c r="W327" s="107" t="n">
        <v>38088</v>
      </c>
      <c r="X327" s="108" t="s">
        <v>111</v>
      </c>
      <c r="Y327" s="107" t="s">
        <v>748</v>
      </c>
      <c r="Z327" s="107" t="s">
        <v>750</v>
      </c>
      <c r="AA327" s="109" t="n">
        <v>46294</v>
      </c>
      <c r="AB327" s="107" t="n">
        <v>260929000001</v>
      </c>
      <c r="AC327" s="109" t="n">
        <v>45519</v>
      </c>
      <c r="AD327" s="109" t="n">
        <v>56476</v>
      </c>
      <c r="AE327" s="107" t="n">
        <v>4.25</v>
      </c>
      <c r="AF327" s="107" t="n">
        <v>14.9911</v>
      </c>
      <c r="AG327" s="107" t="n">
        <v>10181</v>
      </c>
      <c r="AH327" s="107" t="n">
        <v>1000000</v>
      </c>
      <c r="AI327" s="107" t="n">
        <v>5.546696</v>
      </c>
      <c r="AJ327" s="107" t="n">
        <v>81.703125</v>
      </c>
      <c r="AK327" s="107" t="n">
        <v>5.54628</v>
      </c>
      <c r="AL327" s="107" t="n">
        <v>82.234375</v>
      </c>
      <c r="AM327" s="107" t="n">
        <v>5.5892</v>
      </c>
      <c r="AN327" s="107" t="n">
        <v>81.184</v>
      </c>
      <c r="AO327" s="107" t="n">
        <v>1358.4</v>
      </c>
      <c r="AP327" s="107" t="n">
        <v>1</v>
      </c>
      <c r="AQ327" s="107" t="n">
        <v>811840</v>
      </c>
      <c r="AR327" s="107" t="n">
        <v>1102803456</v>
      </c>
      <c r="AS327" s="107" t="n">
        <v>817031.25</v>
      </c>
      <c r="AT327" s="107" t="n">
        <v>1104626250</v>
      </c>
      <c r="AU327" s="107" t="n">
        <v>-5199.55</v>
      </c>
      <c r="AV327" s="107" t="n">
        <v>-7063069</v>
      </c>
      <c r="AW327" s="107" t="n">
        <v>5197.01</v>
      </c>
      <c r="AX327" s="107" t="n">
        <v>7026357</v>
      </c>
      <c r="AY327" s="107" t="n">
        <v>0</v>
      </c>
      <c r="AZ327" s="107" t="n">
        <v>0</v>
      </c>
      <c r="BA327" s="107" t="n">
        <v>0</v>
      </c>
      <c r="BB327" s="107" t="n">
        <v>0</v>
      </c>
      <c r="BC327" s="107" t="n">
        <v>0</v>
      </c>
      <c r="BD327" s="107" t="n">
        <v>0</v>
      </c>
      <c r="BE327" s="107" t="n">
        <v>115.49</v>
      </c>
      <c r="BF327" s="107" t="n">
        <v>156882</v>
      </c>
      <c r="BG327" s="107" t="n">
        <v>0</v>
      </c>
      <c r="BH327" s="107" t="n">
        <v>0</v>
      </c>
      <c r="BI327" s="107" t="n">
        <v>817031.25</v>
      </c>
      <c r="BJ327" s="107" t="n">
        <v>1104626250</v>
      </c>
      <c r="BK327" s="107" t="n">
        <v>123.42</v>
      </c>
      <c r="BL327" s="107" t="n">
        <v>166863</v>
      </c>
      <c r="BM327" s="107" t="n">
        <v>8.3</v>
      </c>
      <c r="BN327" s="107" t="n">
        <v>11221</v>
      </c>
      <c r="BO327" s="2"/>
      <c r="BP327" s="2"/>
      <c r="BQ327" s="107" t="s">
        <v>532</v>
      </c>
      <c r="BR327" s="107" t="n">
        <v>5229054</v>
      </c>
      <c r="BS327" s="107" t="n">
        <v>33261</v>
      </c>
      <c r="BT327" s="107" t="n">
        <v>0</v>
      </c>
      <c r="BU327" s="107" t="n">
        <v>0</v>
      </c>
      <c r="BV327" s="107" t="n">
        <v>0</v>
      </c>
      <c r="BW327" s="107" t="n">
        <v>5312.5</v>
      </c>
      <c r="BX327" s="107" t="n">
        <v>7216500</v>
      </c>
      <c r="BY327" s="107" t="n">
        <v>0</v>
      </c>
      <c r="BZ327" s="107" t="n">
        <v>0</v>
      </c>
      <c r="CA327" s="107" t="n">
        <v>1352</v>
      </c>
      <c r="CB327" s="2"/>
      <c r="CC327" s="107" t="n">
        <v>0</v>
      </c>
      <c r="CD327" s="107" t="n">
        <v>81.13</v>
      </c>
      <c r="CE327" s="107" t="n">
        <v>81.26</v>
      </c>
      <c r="CF327" s="107" t="n">
        <v>81.16</v>
      </c>
      <c r="CG327" s="107" t="n">
        <v>1000000</v>
      </c>
      <c r="CH327" s="107" t="n">
        <v>14.5835</v>
      </c>
      <c r="CI327" s="107" t="n">
        <v>96.97</v>
      </c>
      <c r="CJ327" s="107" t="n">
        <v>97.06</v>
      </c>
      <c r="CK327" s="107" t="n">
        <v>97.06</v>
      </c>
      <c r="CL327" s="107" t="n">
        <v>10000000</v>
      </c>
    </row>
    <row r="328" customFormat="false" ht="15" hidden="false" customHeight="false" outlineLevel="0" collapsed="false">
      <c r="A328" s="107" t="s">
        <v>718</v>
      </c>
      <c r="B328" s="107" t="n">
        <v>93.1434</v>
      </c>
      <c r="C328" s="107" t="n">
        <v>5.2239</v>
      </c>
      <c r="D328" s="107" t="n">
        <v>7.1368</v>
      </c>
      <c r="E328" s="107" t="n">
        <v>-6647.4581712</v>
      </c>
      <c r="F328" s="108" t="s">
        <v>358</v>
      </c>
      <c r="G328" s="107" t="n">
        <v>7.1368</v>
      </c>
      <c r="H328" s="107" t="n">
        <v>-6647.4581712</v>
      </c>
      <c r="I328" s="109" t="n">
        <v>49536</v>
      </c>
      <c r="J328" s="107" t="n">
        <v>10</v>
      </c>
      <c r="K328" s="108" t="s">
        <v>384</v>
      </c>
      <c r="L328" s="107" t="s">
        <v>565</v>
      </c>
      <c r="M328" s="107" t="n">
        <v>71368000</v>
      </c>
      <c r="N328" s="107" t="n">
        <v>101.28125</v>
      </c>
      <c r="O328" s="107" t="n">
        <v>9314340</v>
      </c>
      <c r="P328" s="107" t="s">
        <v>566</v>
      </c>
      <c r="Q328" s="107" t="s">
        <v>532</v>
      </c>
      <c r="R328" s="107" t="n">
        <v>-0.12645927321235</v>
      </c>
      <c r="S328" s="107" t="n">
        <v>-0.0803490280777538</v>
      </c>
      <c r="T328" s="107" t="n">
        <v>-6821.0774688</v>
      </c>
      <c r="U328" s="107" t="n">
        <v>21069</v>
      </c>
      <c r="V328" s="108" t="s">
        <v>362</v>
      </c>
      <c r="W328" s="107" t="n">
        <v>38088</v>
      </c>
      <c r="X328" s="108" t="s">
        <v>111</v>
      </c>
      <c r="Y328" s="107" t="s">
        <v>718</v>
      </c>
      <c r="Z328" s="107" t="s">
        <v>720</v>
      </c>
      <c r="AA328" s="109" t="n">
        <v>45915</v>
      </c>
      <c r="AB328" s="107" t="n">
        <v>250915000001</v>
      </c>
      <c r="AC328" s="109" t="n">
        <v>45884</v>
      </c>
      <c r="AD328" s="109" t="n">
        <v>49536</v>
      </c>
      <c r="AE328" s="107" t="n">
        <v>4.25</v>
      </c>
      <c r="AF328" s="107" t="n">
        <v>7.3216</v>
      </c>
      <c r="AG328" s="107" t="n">
        <v>3241</v>
      </c>
      <c r="AH328" s="107" t="n">
        <v>15000000</v>
      </c>
      <c r="AI328" s="107" t="n">
        <v>4.028034</v>
      </c>
      <c r="AJ328" s="107" t="n">
        <v>101.796875</v>
      </c>
      <c r="AK328" s="107" t="n">
        <v>4.107877</v>
      </c>
      <c r="AL328" s="107" t="n">
        <v>101.571374</v>
      </c>
      <c r="AM328" s="107" t="n">
        <v>5.2059</v>
      </c>
      <c r="AN328" s="107" t="n">
        <v>93.2658</v>
      </c>
      <c r="AO328" s="107" t="n">
        <v>1358.4</v>
      </c>
      <c r="AP328" s="107" t="n">
        <v>1</v>
      </c>
      <c r="AQ328" s="107" t="n">
        <v>13989870</v>
      </c>
      <c r="AR328" s="107" t="n">
        <v>19003839408</v>
      </c>
      <c r="AS328" s="107" t="n">
        <v>15155309.66</v>
      </c>
      <c r="AT328" s="107" t="n">
        <v>21746353831</v>
      </c>
      <c r="AU328" s="107" t="n">
        <v>-1163168.64</v>
      </c>
      <c r="AV328" s="107" t="n">
        <v>-1580048281</v>
      </c>
      <c r="AW328" s="107" t="n">
        <v>0</v>
      </c>
      <c r="AX328" s="107" t="n">
        <v>0</v>
      </c>
      <c r="AY328" s="107" t="n">
        <v>53.47</v>
      </c>
      <c r="AZ328" s="107" t="n">
        <v>76724</v>
      </c>
      <c r="BA328" s="107" t="n">
        <v>0</v>
      </c>
      <c r="BB328" s="107" t="n">
        <v>0</v>
      </c>
      <c r="BC328" s="107" t="n">
        <v>184.59</v>
      </c>
      <c r="BD328" s="107" t="n">
        <v>264868</v>
      </c>
      <c r="BE328" s="107" t="n">
        <v>79687.5</v>
      </c>
      <c r="BF328" s="107" t="n">
        <v>108247500</v>
      </c>
      <c r="BG328" s="107" t="n">
        <v>655.53</v>
      </c>
      <c r="BH328" s="107" t="n">
        <v>904592</v>
      </c>
      <c r="BI328" s="107" t="n">
        <v>15248008.8</v>
      </c>
      <c r="BJ328" s="107" t="n">
        <v>21879367827</v>
      </c>
      <c r="BK328" s="107" t="n">
        <v>77215.6</v>
      </c>
      <c r="BL328" s="107" t="n">
        <v>110796658</v>
      </c>
      <c r="BM328" s="107" t="n">
        <v>-2271.02</v>
      </c>
      <c r="BN328" s="107" t="n">
        <v>-3258686</v>
      </c>
      <c r="BO328" s="2"/>
      <c r="BP328" s="2"/>
      <c r="BQ328" s="107" t="s">
        <v>532</v>
      </c>
      <c r="BR328" s="107" t="n">
        <v>-1159207456</v>
      </c>
      <c r="BS328" s="107" t="n">
        <v>-4090</v>
      </c>
      <c r="BT328" s="107" t="n">
        <v>-14121</v>
      </c>
      <c r="BU328" s="107" t="n">
        <v>-92699.14</v>
      </c>
      <c r="BV328" s="107" t="n">
        <v>-133013996</v>
      </c>
      <c r="BW328" s="107" t="n">
        <v>79687.5</v>
      </c>
      <c r="BX328" s="107" t="n">
        <v>108247500</v>
      </c>
      <c r="BY328" s="107" t="n">
        <v>709</v>
      </c>
      <c r="BZ328" s="107" t="n">
        <v>963105</v>
      </c>
      <c r="CA328" s="107" t="n">
        <v>1434.9</v>
      </c>
      <c r="CB328" s="2"/>
      <c r="CC328" s="107" t="n">
        <v>0</v>
      </c>
      <c r="CD328" s="107" t="n">
        <v>93.22</v>
      </c>
      <c r="CE328" s="107" t="n">
        <v>93.32</v>
      </c>
      <c r="CF328" s="107" t="n">
        <v>93.26</v>
      </c>
      <c r="CG328" s="107" t="n">
        <v>0</v>
      </c>
      <c r="CH328" s="107" t="n">
        <v>7.1359</v>
      </c>
      <c r="CI328" s="107" t="n">
        <v>100.8</v>
      </c>
      <c r="CJ328" s="107" t="n">
        <v>100.87</v>
      </c>
      <c r="CK328" s="107" t="n">
        <v>100.86</v>
      </c>
      <c r="CL328" s="107" t="n">
        <v>1000000</v>
      </c>
    </row>
    <row r="329" customFormat="false" ht="15" hidden="false" customHeight="false" outlineLevel="0" collapsed="false">
      <c r="A329" s="107" t="s">
        <v>727</v>
      </c>
      <c r="B329" s="107" t="n">
        <v>91.8613</v>
      </c>
      <c r="C329" s="107" t="n">
        <v>5.233</v>
      </c>
      <c r="D329" s="107" t="n">
        <v>7.4898</v>
      </c>
      <c r="E329" s="107" t="n">
        <v>-6880.2276474</v>
      </c>
      <c r="F329" s="108" t="s">
        <v>358</v>
      </c>
      <c r="G329" s="107" t="n">
        <v>7.4898</v>
      </c>
      <c r="H329" s="107" t="n">
        <v>-6880.2276474</v>
      </c>
      <c r="I329" s="109" t="n">
        <v>49720</v>
      </c>
      <c r="J329" s="107" t="n">
        <v>10</v>
      </c>
      <c r="K329" s="108" t="s">
        <v>384</v>
      </c>
      <c r="L329" s="107" t="s">
        <v>565</v>
      </c>
      <c r="M329" s="107" t="n">
        <v>74898000</v>
      </c>
      <c r="N329" s="107" t="n">
        <v>99.8125</v>
      </c>
      <c r="O329" s="107" t="n">
        <v>9186130</v>
      </c>
      <c r="P329" s="107" t="s">
        <v>566</v>
      </c>
      <c r="Q329" s="107" t="s">
        <v>532</v>
      </c>
      <c r="R329" s="107" t="n">
        <v>-0.145120218424709</v>
      </c>
      <c r="S329" s="107" t="n">
        <v>-0.0796613650594865</v>
      </c>
      <c r="T329" s="107" t="n">
        <v>-7060.2757954</v>
      </c>
      <c r="U329" s="107" t="n">
        <v>21069</v>
      </c>
      <c r="V329" s="108" t="s">
        <v>362</v>
      </c>
      <c r="W329" s="107" t="n">
        <v>38088</v>
      </c>
      <c r="X329" s="108" t="s">
        <v>111</v>
      </c>
      <c r="Y329" s="107" t="s">
        <v>718</v>
      </c>
      <c r="Z329" s="107" t="s">
        <v>720</v>
      </c>
      <c r="AA329" s="109" t="n">
        <v>45915</v>
      </c>
      <c r="AB329" s="107" t="n">
        <v>250915000002</v>
      </c>
      <c r="AC329" s="109" t="n">
        <v>45884</v>
      </c>
      <c r="AD329" s="109" t="n">
        <v>49536</v>
      </c>
      <c r="AE329" s="107" t="n">
        <v>4.25</v>
      </c>
      <c r="AF329" s="107" t="n">
        <v>7.3216</v>
      </c>
      <c r="AG329" s="107" t="n">
        <v>3241</v>
      </c>
      <c r="AH329" s="107" t="n">
        <v>10000000</v>
      </c>
      <c r="AI329" s="107" t="n">
        <v>4.028034</v>
      </c>
      <c r="AJ329" s="107" t="n">
        <v>101.796875</v>
      </c>
      <c r="AK329" s="107" t="n">
        <v>4.107968</v>
      </c>
      <c r="AL329" s="107" t="n">
        <v>101.570699</v>
      </c>
      <c r="AM329" s="107" t="n">
        <v>5.2059</v>
      </c>
      <c r="AN329" s="107" t="n">
        <v>93.2658</v>
      </c>
      <c r="AO329" s="107" t="n">
        <v>1358.4</v>
      </c>
      <c r="AP329" s="107" t="n">
        <v>1</v>
      </c>
      <c r="AQ329" s="107" t="n">
        <v>9326580</v>
      </c>
      <c r="AR329" s="107" t="n">
        <v>12669226272</v>
      </c>
      <c r="AS329" s="107" t="n">
        <v>10103472.25</v>
      </c>
      <c r="AT329" s="107" t="n">
        <v>14497472332</v>
      </c>
      <c r="AU329" s="107" t="n">
        <v>-775360.45</v>
      </c>
      <c r="AV329" s="107" t="n">
        <v>-1053249635</v>
      </c>
      <c r="AW329" s="107" t="n">
        <v>0</v>
      </c>
      <c r="AX329" s="107" t="n">
        <v>0</v>
      </c>
      <c r="AY329" s="107" t="n">
        <v>35.65</v>
      </c>
      <c r="AZ329" s="107" t="n">
        <v>51154</v>
      </c>
      <c r="BA329" s="107" t="n">
        <v>0</v>
      </c>
      <c r="BB329" s="107" t="n">
        <v>0</v>
      </c>
      <c r="BC329" s="107" t="n">
        <v>123.05</v>
      </c>
      <c r="BD329" s="107" t="n">
        <v>176564</v>
      </c>
      <c r="BE329" s="107" t="n">
        <v>53125</v>
      </c>
      <c r="BF329" s="107" t="n">
        <v>72165000</v>
      </c>
      <c r="BG329" s="107" t="n">
        <v>437.02</v>
      </c>
      <c r="BH329" s="107" t="n">
        <v>603060</v>
      </c>
      <c r="BI329" s="107" t="n">
        <v>10165270.96</v>
      </c>
      <c r="BJ329" s="107" t="n">
        <v>14586147301</v>
      </c>
      <c r="BK329" s="107" t="n">
        <v>51459.28</v>
      </c>
      <c r="BL329" s="107" t="n">
        <v>73838878</v>
      </c>
      <c r="BM329" s="107" t="n">
        <v>-1531.8</v>
      </c>
      <c r="BN329" s="107" t="n">
        <v>-2198018</v>
      </c>
      <c r="BO329" s="2"/>
      <c r="BP329" s="2"/>
      <c r="BQ329" s="107" t="s">
        <v>532</v>
      </c>
      <c r="BR329" s="107" t="n">
        <v>-772798407</v>
      </c>
      <c r="BS329" s="107" t="n">
        <v>-2727</v>
      </c>
      <c r="BT329" s="107" t="n">
        <v>-9413</v>
      </c>
      <c r="BU329" s="107" t="n">
        <v>-61798.71</v>
      </c>
      <c r="BV329" s="107" t="n">
        <v>-88674969</v>
      </c>
      <c r="BW329" s="107" t="n">
        <v>53125</v>
      </c>
      <c r="BX329" s="107" t="n">
        <v>72165000</v>
      </c>
      <c r="BY329" s="107" t="n">
        <v>472.67</v>
      </c>
      <c r="BZ329" s="107" t="n">
        <v>642074</v>
      </c>
      <c r="CA329" s="107" t="n">
        <v>1434.9</v>
      </c>
      <c r="CB329" s="2"/>
      <c r="CC329" s="107" t="n">
        <v>0</v>
      </c>
      <c r="CD329" s="107" t="n">
        <v>93.22</v>
      </c>
      <c r="CE329" s="107" t="n">
        <v>93.32</v>
      </c>
      <c r="CF329" s="107" t="n">
        <v>93.26</v>
      </c>
      <c r="CG329" s="107" t="n">
        <v>0</v>
      </c>
      <c r="CH329" s="107" t="n">
        <v>7.1359</v>
      </c>
      <c r="CI329" s="107" t="n">
        <v>99.29</v>
      </c>
      <c r="CJ329" s="107" t="n">
        <v>99.34</v>
      </c>
      <c r="CK329" s="107" t="n">
        <v>99.34</v>
      </c>
      <c r="CL329" s="107" t="n">
        <v>20000000</v>
      </c>
    </row>
    <row r="330" customFormat="false" ht="15" hidden="false" customHeight="false" outlineLevel="0" collapsed="false">
      <c r="A330" s="107" t="s">
        <v>727</v>
      </c>
      <c r="B330" s="107" t="n">
        <v>91.8613</v>
      </c>
      <c r="C330" s="107" t="n">
        <v>5.233</v>
      </c>
      <c r="D330" s="107" t="n">
        <v>7.4898</v>
      </c>
      <c r="E330" s="107" t="n">
        <v>-6880.2276474</v>
      </c>
      <c r="F330" s="108" t="s">
        <v>358</v>
      </c>
      <c r="G330" s="107" t="n">
        <v>7.4898</v>
      </c>
      <c r="H330" s="107" t="n">
        <v>-6880.2276474</v>
      </c>
      <c r="I330" s="109" t="n">
        <v>49720</v>
      </c>
      <c r="J330" s="107" t="n">
        <v>10</v>
      </c>
      <c r="K330" s="108" t="s">
        <v>384</v>
      </c>
      <c r="L330" s="107" t="s">
        <v>565</v>
      </c>
      <c r="M330" s="107" t="n">
        <v>74898000</v>
      </c>
      <c r="N330" s="107" t="n">
        <v>99.8125</v>
      </c>
      <c r="O330" s="107" t="n">
        <v>9186130</v>
      </c>
      <c r="P330" s="107" t="s">
        <v>566</v>
      </c>
      <c r="Q330" s="107" t="s">
        <v>532</v>
      </c>
      <c r="R330" s="107" t="n">
        <v>-0.145120218424709</v>
      </c>
      <c r="S330" s="107" t="n">
        <v>-0.0796613650594865</v>
      </c>
      <c r="T330" s="107" t="n">
        <v>-7060.2757954</v>
      </c>
      <c r="U330" s="107" t="n">
        <v>21069</v>
      </c>
      <c r="V330" s="108" t="s">
        <v>362</v>
      </c>
      <c r="W330" s="107" t="n">
        <v>38088</v>
      </c>
      <c r="X330" s="108" t="s">
        <v>111</v>
      </c>
      <c r="Y330" s="107" t="s">
        <v>718</v>
      </c>
      <c r="Z330" s="107" t="s">
        <v>720</v>
      </c>
      <c r="AA330" s="109" t="n">
        <v>45980</v>
      </c>
      <c r="AB330" s="107" t="n">
        <v>251119000001</v>
      </c>
      <c r="AC330" s="109" t="n">
        <v>45884</v>
      </c>
      <c r="AD330" s="109" t="n">
        <v>49536</v>
      </c>
      <c r="AE330" s="107" t="n">
        <v>4.25</v>
      </c>
      <c r="AF330" s="107" t="n">
        <v>7.3216</v>
      </c>
      <c r="AG330" s="107" t="n">
        <v>3241</v>
      </c>
      <c r="AH330" s="107" t="n">
        <v>10000000</v>
      </c>
      <c r="AI330" s="107" t="n">
        <v>4.088521</v>
      </c>
      <c r="AJ330" s="107" t="n">
        <v>101.28125</v>
      </c>
      <c r="AK330" s="107" t="n">
        <v>4.104346</v>
      </c>
      <c r="AL330" s="107" t="n">
        <v>101.597584</v>
      </c>
      <c r="AM330" s="107" t="n">
        <v>5.2059</v>
      </c>
      <c r="AN330" s="107" t="n">
        <v>93.2658</v>
      </c>
      <c r="AO330" s="107" t="n">
        <v>1358.4</v>
      </c>
      <c r="AP330" s="107" t="n">
        <v>1</v>
      </c>
      <c r="AQ330" s="107" t="n">
        <v>9326580</v>
      </c>
      <c r="AR330" s="107" t="n">
        <v>12669226272</v>
      </c>
      <c r="AS330" s="107" t="n">
        <v>10106160.75</v>
      </c>
      <c r="AT330" s="107" t="n">
        <v>14501330060</v>
      </c>
      <c r="AU330" s="107" t="n">
        <v>-778617.97</v>
      </c>
      <c r="AV330" s="107" t="n">
        <v>-1057674650</v>
      </c>
      <c r="AW330" s="107" t="n">
        <v>0</v>
      </c>
      <c r="AX330" s="107" t="n">
        <v>0</v>
      </c>
      <c r="AY330" s="107" t="n">
        <v>110.4</v>
      </c>
      <c r="AZ330" s="107" t="n">
        <v>158413</v>
      </c>
      <c r="BA330" s="107" t="n">
        <v>0</v>
      </c>
      <c r="BB330" s="107" t="n">
        <v>0</v>
      </c>
      <c r="BC330" s="107" t="n">
        <v>48.3</v>
      </c>
      <c r="BD330" s="107" t="n">
        <v>69305</v>
      </c>
      <c r="BE330" s="107" t="n">
        <v>53125</v>
      </c>
      <c r="BF330" s="107" t="n">
        <v>72165000</v>
      </c>
      <c r="BG330" s="107" t="n">
        <v>362.27</v>
      </c>
      <c r="BH330" s="107" t="n">
        <v>495801</v>
      </c>
      <c r="BI330" s="107" t="n">
        <v>10118918.75</v>
      </c>
      <c r="BJ330" s="107" t="n">
        <v>14519636514</v>
      </c>
      <c r="BK330" s="107" t="n">
        <v>52009.44</v>
      </c>
      <c r="BL330" s="107" t="n">
        <v>74628330</v>
      </c>
      <c r="BM330" s="107" t="n">
        <v>-962.78</v>
      </c>
      <c r="BN330" s="107" t="n">
        <v>-1381472</v>
      </c>
      <c r="BO330" s="2"/>
      <c r="BP330" s="2"/>
      <c r="BQ330" s="107" t="s">
        <v>532</v>
      </c>
      <c r="BR330" s="107" t="n">
        <v>-773047666</v>
      </c>
      <c r="BS330" s="107" t="n">
        <v>-8446</v>
      </c>
      <c r="BT330" s="107" t="n">
        <v>-3694</v>
      </c>
      <c r="BU330" s="107" t="n">
        <v>-12758</v>
      </c>
      <c r="BV330" s="107" t="n">
        <v>-18306454</v>
      </c>
      <c r="BW330" s="107" t="n">
        <v>53125</v>
      </c>
      <c r="BX330" s="107" t="n">
        <v>72165000</v>
      </c>
      <c r="BY330" s="107" t="n">
        <v>472.67</v>
      </c>
      <c r="BZ330" s="107" t="n">
        <v>642074</v>
      </c>
      <c r="CA330" s="107" t="n">
        <v>1434.9</v>
      </c>
      <c r="CB330" s="2"/>
      <c r="CC330" s="107" t="n">
        <v>0</v>
      </c>
      <c r="CD330" s="107" t="n">
        <v>93.22</v>
      </c>
      <c r="CE330" s="107" t="n">
        <v>93.32</v>
      </c>
      <c r="CF330" s="107" t="n">
        <v>93.26</v>
      </c>
      <c r="CG330" s="107" t="n">
        <v>0</v>
      </c>
      <c r="CH330" s="107" t="n">
        <v>7.1359</v>
      </c>
      <c r="CI330" s="107" t="n">
        <v>99.88</v>
      </c>
      <c r="CJ330" s="107" t="n">
        <v>99.88</v>
      </c>
      <c r="CK330" s="107" t="n">
        <v>99.95</v>
      </c>
      <c r="CL330" s="107" t="n">
        <v>1000000</v>
      </c>
    </row>
    <row r="331" customFormat="false" ht="15" hidden="false" customHeight="false" outlineLevel="0" collapsed="false">
      <c r="A331" s="107" t="s">
        <v>727</v>
      </c>
      <c r="B331" s="107" t="n">
        <v>91.8613</v>
      </c>
      <c r="C331" s="107" t="n">
        <v>5.233</v>
      </c>
      <c r="D331" s="107" t="n">
        <v>7.4898</v>
      </c>
      <c r="E331" s="107" t="n">
        <v>-6880.2276474</v>
      </c>
      <c r="F331" s="108" t="s">
        <v>358</v>
      </c>
      <c r="G331" s="107" t="n">
        <v>7.4898</v>
      </c>
      <c r="H331" s="107" t="n">
        <v>-6880.2276474</v>
      </c>
      <c r="I331" s="109" t="n">
        <v>49720</v>
      </c>
      <c r="J331" s="107" t="n">
        <v>10</v>
      </c>
      <c r="K331" s="108" t="s">
        <v>384</v>
      </c>
      <c r="L331" s="107" t="s">
        <v>565</v>
      </c>
      <c r="M331" s="107" t="n">
        <v>74898000</v>
      </c>
      <c r="N331" s="107" t="n">
        <v>98.625</v>
      </c>
      <c r="O331" s="107" t="n">
        <v>9186130</v>
      </c>
      <c r="P331" s="107" t="s">
        <v>566</v>
      </c>
      <c r="Q331" s="107" t="s">
        <v>532</v>
      </c>
      <c r="R331" s="107" t="n">
        <v>-0.172548707034486</v>
      </c>
      <c r="S331" s="107" t="n">
        <v>-0.0685799746514575</v>
      </c>
      <c r="T331" s="107" t="n">
        <v>-7060.2757954</v>
      </c>
      <c r="U331" s="107" t="n">
        <v>21069</v>
      </c>
      <c r="V331" s="108" t="s">
        <v>362</v>
      </c>
      <c r="W331" s="107" t="n">
        <v>38088</v>
      </c>
      <c r="X331" s="108" t="s">
        <v>111</v>
      </c>
      <c r="Y331" s="107" t="s">
        <v>727</v>
      </c>
      <c r="Z331" s="107" t="s">
        <v>729</v>
      </c>
      <c r="AA331" s="109" t="n">
        <v>46090</v>
      </c>
      <c r="AB331" s="107" t="n">
        <v>260309000001</v>
      </c>
      <c r="AC331" s="109" t="n">
        <v>46068</v>
      </c>
      <c r="AD331" s="109" t="n">
        <v>49720</v>
      </c>
      <c r="AE331" s="107" t="n">
        <v>4.125</v>
      </c>
      <c r="AF331" s="107" t="n">
        <v>7.6843</v>
      </c>
      <c r="AG331" s="107" t="n">
        <v>3425</v>
      </c>
      <c r="AH331" s="107" t="n">
        <v>10000000</v>
      </c>
      <c r="AI331" s="107" t="n">
        <v>4.147933</v>
      </c>
      <c r="AJ331" s="107" t="n">
        <v>99.8125</v>
      </c>
      <c r="AK331" s="107" t="n">
        <v>4.146358</v>
      </c>
      <c r="AL331" s="107" t="n">
        <v>100.343198</v>
      </c>
      <c r="AM331" s="107" t="n">
        <v>5.2164</v>
      </c>
      <c r="AN331" s="107" t="n">
        <v>91.9811</v>
      </c>
      <c r="AO331" s="107" t="n">
        <v>1358.4</v>
      </c>
      <c r="AP331" s="107" t="n">
        <v>1</v>
      </c>
      <c r="AQ331" s="107" t="n">
        <v>9198110</v>
      </c>
      <c r="AR331" s="107" t="n">
        <v>12494712624</v>
      </c>
      <c r="AS331" s="107" t="n">
        <v>9980134.34</v>
      </c>
      <c r="AT331" s="107" t="n">
        <v>14613910715</v>
      </c>
      <c r="AU331" s="107" t="n">
        <v>-782695.94</v>
      </c>
      <c r="AV331" s="107" t="n">
        <v>-1063214165</v>
      </c>
      <c r="AW331" s="107" t="n">
        <v>0</v>
      </c>
      <c r="AX331" s="107" t="n">
        <v>0</v>
      </c>
      <c r="AY331" s="107" t="n">
        <v>254.21</v>
      </c>
      <c r="AZ331" s="107" t="n">
        <v>372239</v>
      </c>
      <c r="BA331" s="107" t="n">
        <v>0</v>
      </c>
      <c r="BB331" s="107" t="n">
        <v>0</v>
      </c>
      <c r="BC331" s="107" t="n">
        <v>0</v>
      </c>
      <c r="BD331" s="107" t="n">
        <v>0</v>
      </c>
      <c r="BE331" s="107" t="n">
        <v>51562.5</v>
      </c>
      <c r="BF331" s="107" t="n">
        <v>70042500</v>
      </c>
      <c r="BG331" s="107" t="n">
        <v>2368.84</v>
      </c>
      <c r="BH331" s="107" t="n">
        <v>3217832</v>
      </c>
      <c r="BI331" s="107" t="n">
        <v>9980134.34</v>
      </c>
      <c r="BJ331" s="107" t="n">
        <v>14613910715</v>
      </c>
      <c r="BK331" s="107" t="n">
        <v>52107.88</v>
      </c>
      <c r="BL331" s="107" t="n">
        <v>76301534</v>
      </c>
      <c r="BM331" s="107" t="n">
        <v>671.6</v>
      </c>
      <c r="BN331" s="107" t="n">
        <v>983434</v>
      </c>
      <c r="BO331" s="2"/>
      <c r="BP331" s="2"/>
      <c r="BQ331" s="107" t="s">
        <v>532</v>
      </c>
      <c r="BR331" s="107" t="n">
        <v>-1056967360</v>
      </c>
      <c r="BS331" s="107" t="n">
        <v>-26920</v>
      </c>
      <c r="BT331" s="107" t="n">
        <v>0</v>
      </c>
      <c r="BU331" s="107" t="n">
        <v>0</v>
      </c>
      <c r="BV331" s="107" t="n">
        <v>0</v>
      </c>
      <c r="BW331" s="107" t="n">
        <v>51562.5</v>
      </c>
      <c r="BX331" s="107" t="n">
        <v>70042500</v>
      </c>
      <c r="BY331" s="107" t="n">
        <v>2623.05</v>
      </c>
      <c r="BZ331" s="107" t="n">
        <v>3563151</v>
      </c>
      <c r="CA331" s="107" t="n">
        <v>1464.3</v>
      </c>
      <c r="CB331" s="2"/>
      <c r="CC331" s="107" t="n">
        <v>0</v>
      </c>
      <c r="CD331" s="107" t="n">
        <v>91.94</v>
      </c>
      <c r="CE331" s="107" t="n">
        <v>92.04</v>
      </c>
      <c r="CF331" s="107" t="n">
        <v>91.97</v>
      </c>
      <c r="CG331" s="107" t="n">
        <v>0</v>
      </c>
      <c r="CH331" s="107" t="n">
        <v>7.489</v>
      </c>
      <c r="CI331" s="107" t="n">
        <v>97.41</v>
      </c>
      <c r="CJ331" s="107" t="n">
        <v>97.41</v>
      </c>
      <c r="CK331" s="107" t="n">
        <v>97.47</v>
      </c>
      <c r="CL331" s="107" t="n">
        <v>0</v>
      </c>
    </row>
    <row r="332" customFormat="false" ht="15" hidden="false" customHeight="false" outlineLevel="0" collapsed="false">
      <c r="A332" s="107" t="s">
        <v>728</v>
      </c>
      <c r="B332" s="107" t="n">
        <v>93.5359</v>
      </c>
      <c r="C332" s="107" t="n">
        <v>5.2373</v>
      </c>
      <c r="D332" s="107" t="n">
        <v>7.4937</v>
      </c>
      <c r="E332" s="107" t="n">
        <v>-7009.2997383</v>
      </c>
      <c r="F332" s="108" t="s">
        <v>358</v>
      </c>
      <c r="G332" s="107" t="n">
        <v>7.4937</v>
      </c>
      <c r="H332" s="107" t="n">
        <v>-7009.2997383</v>
      </c>
      <c r="I332" s="109" t="n">
        <v>49810</v>
      </c>
      <c r="J332" s="107" t="n">
        <v>10</v>
      </c>
      <c r="K332" s="108" t="s">
        <v>384</v>
      </c>
      <c r="L332" s="107" t="s">
        <v>565</v>
      </c>
      <c r="M332" s="107" t="n">
        <v>74937000</v>
      </c>
      <c r="N332" s="107" t="n">
        <v>99.578125</v>
      </c>
      <c r="O332" s="107" t="n">
        <v>9353590</v>
      </c>
      <c r="P332" s="107" t="s">
        <v>566</v>
      </c>
      <c r="Q332" s="107" t="s">
        <v>532</v>
      </c>
      <c r="R332" s="107" t="n">
        <v>-0.155885591658125</v>
      </c>
      <c r="S332" s="107" t="n">
        <v>-0.0606782363094305</v>
      </c>
      <c r="T332" s="107" t="n">
        <v>-7192.8171741</v>
      </c>
      <c r="U332" s="107" t="n">
        <v>21069</v>
      </c>
      <c r="V332" s="108" t="s">
        <v>362</v>
      </c>
      <c r="W332" s="107" t="n">
        <v>38088</v>
      </c>
      <c r="X332" s="108" t="s">
        <v>111</v>
      </c>
      <c r="Y332" s="107" t="s">
        <v>727</v>
      </c>
      <c r="Z332" s="107" t="s">
        <v>729</v>
      </c>
      <c r="AA332" s="109" t="n">
        <v>46090</v>
      </c>
      <c r="AB332" s="107" t="n">
        <v>260309000002</v>
      </c>
      <c r="AC332" s="109" t="n">
        <v>46068</v>
      </c>
      <c r="AD332" s="109" t="n">
        <v>49720</v>
      </c>
      <c r="AE332" s="107" t="n">
        <v>4.125</v>
      </c>
      <c r="AF332" s="107" t="n">
        <v>7.6843</v>
      </c>
      <c r="AG332" s="107" t="n">
        <v>3425</v>
      </c>
      <c r="AH332" s="107" t="n">
        <v>10000000</v>
      </c>
      <c r="AI332" s="107" t="n">
        <v>4.147933</v>
      </c>
      <c r="AJ332" s="107" t="n">
        <v>99.8125</v>
      </c>
      <c r="AK332" s="107" t="n">
        <v>4.146358</v>
      </c>
      <c r="AL332" s="107" t="n">
        <v>100.343198</v>
      </c>
      <c r="AM332" s="107" t="n">
        <v>5.2164</v>
      </c>
      <c r="AN332" s="107" t="n">
        <v>91.9811</v>
      </c>
      <c r="AO332" s="107" t="n">
        <v>1358.4</v>
      </c>
      <c r="AP332" s="107" t="n">
        <v>1</v>
      </c>
      <c r="AQ332" s="107" t="n">
        <v>9198110</v>
      </c>
      <c r="AR332" s="107" t="n">
        <v>12494712624</v>
      </c>
      <c r="AS332" s="107" t="n">
        <v>9980134.34</v>
      </c>
      <c r="AT332" s="107" t="n">
        <v>14613910715</v>
      </c>
      <c r="AU332" s="107" t="n">
        <v>-782695.94</v>
      </c>
      <c r="AV332" s="107" t="n">
        <v>-1063214165</v>
      </c>
      <c r="AW332" s="107" t="n">
        <v>0</v>
      </c>
      <c r="AX332" s="107" t="n">
        <v>0</v>
      </c>
      <c r="AY332" s="107" t="n">
        <v>254.21</v>
      </c>
      <c r="AZ332" s="107" t="n">
        <v>372239</v>
      </c>
      <c r="BA332" s="107" t="n">
        <v>0</v>
      </c>
      <c r="BB332" s="107" t="n">
        <v>0</v>
      </c>
      <c r="BC332" s="107" t="n">
        <v>0</v>
      </c>
      <c r="BD332" s="107" t="n">
        <v>0</v>
      </c>
      <c r="BE332" s="107" t="n">
        <v>51562.5</v>
      </c>
      <c r="BF332" s="107" t="n">
        <v>70042500</v>
      </c>
      <c r="BG332" s="107" t="n">
        <v>2368.84</v>
      </c>
      <c r="BH332" s="107" t="n">
        <v>3217832</v>
      </c>
      <c r="BI332" s="107" t="n">
        <v>9980134.34</v>
      </c>
      <c r="BJ332" s="107" t="n">
        <v>14613910715</v>
      </c>
      <c r="BK332" s="107" t="n">
        <v>52107.88</v>
      </c>
      <c r="BL332" s="107" t="n">
        <v>76301534</v>
      </c>
      <c r="BM332" s="107" t="n">
        <v>671.6</v>
      </c>
      <c r="BN332" s="107" t="n">
        <v>983434</v>
      </c>
      <c r="BO332" s="2"/>
      <c r="BP332" s="2"/>
      <c r="BQ332" s="107" t="s">
        <v>532</v>
      </c>
      <c r="BR332" s="107" t="n">
        <v>-1056967360</v>
      </c>
      <c r="BS332" s="107" t="n">
        <v>-26920</v>
      </c>
      <c r="BT332" s="107" t="n">
        <v>0</v>
      </c>
      <c r="BU332" s="107" t="n">
        <v>0</v>
      </c>
      <c r="BV332" s="107" t="n">
        <v>0</v>
      </c>
      <c r="BW332" s="107" t="n">
        <v>51562.5</v>
      </c>
      <c r="BX332" s="107" t="n">
        <v>70042500</v>
      </c>
      <c r="BY332" s="107" t="n">
        <v>2623.05</v>
      </c>
      <c r="BZ332" s="107" t="n">
        <v>3563151</v>
      </c>
      <c r="CA332" s="107" t="n">
        <v>1464.3</v>
      </c>
      <c r="CB332" s="2"/>
      <c r="CC332" s="107" t="n">
        <v>0</v>
      </c>
      <c r="CD332" s="107" t="n">
        <v>91.94</v>
      </c>
      <c r="CE332" s="107" t="n">
        <v>92.04</v>
      </c>
      <c r="CF332" s="107" t="n">
        <v>91.97</v>
      </c>
      <c r="CG332" s="107" t="n">
        <v>0</v>
      </c>
      <c r="CH332" s="107" t="n">
        <v>7.489</v>
      </c>
      <c r="CI332" s="107" t="n">
        <v>101.18</v>
      </c>
      <c r="CJ332" s="107" t="n">
        <v>101.3</v>
      </c>
      <c r="CK332" s="107" t="n">
        <v>101.3</v>
      </c>
      <c r="CL332" s="107" t="n">
        <v>10000000</v>
      </c>
    </row>
    <row r="333" customFormat="false" ht="15" hidden="false" customHeight="false" outlineLevel="0" collapsed="false">
      <c r="A333" s="107" t="s">
        <v>728</v>
      </c>
      <c r="B333" s="107" t="n">
        <v>93.5359</v>
      </c>
      <c r="C333" s="107" t="n">
        <v>5.2373</v>
      </c>
      <c r="D333" s="107" t="n">
        <v>7.4937</v>
      </c>
      <c r="E333" s="107" t="n">
        <v>-7009.2997383</v>
      </c>
      <c r="F333" s="108" t="s">
        <v>358</v>
      </c>
      <c r="G333" s="107" t="n">
        <v>7.4937</v>
      </c>
      <c r="H333" s="107" t="n">
        <v>-7009.2997383</v>
      </c>
      <c r="I333" s="109" t="n">
        <v>49810</v>
      </c>
      <c r="J333" s="107" t="n">
        <v>10</v>
      </c>
      <c r="K333" s="108" t="s">
        <v>384</v>
      </c>
      <c r="L333" s="107" t="s">
        <v>565</v>
      </c>
      <c r="M333" s="107" t="n">
        <v>74937000</v>
      </c>
      <c r="N333" s="107" t="n">
        <v>98.515625</v>
      </c>
      <c r="O333" s="107" t="n">
        <v>9353590</v>
      </c>
      <c r="P333" s="107" t="s">
        <v>566</v>
      </c>
      <c r="Q333" s="107" t="s">
        <v>532</v>
      </c>
      <c r="R333" s="107" t="n">
        <v>-0.144707579999645</v>
      </c>
      <c r="S333" s="107" t="n">
        <v>-0.0505475654242665</v>
      </c>
      <c r="T333" s="107" t="n">
        <v>-7192.8171741</v>
      </c>
      <c r="U333" s="107" t="n">
        <v>21069</v>
      </c>
      <c r="V333" s="108" t="s">
        <v>362</v>
      </c>
      <c r="W333" s="107" t="n">
        <v>38088</v>
      </c>
      <c r="X333" s="108" t="s">
        <v>111</v>
      </c>
      <c r="Y333" s="107" t="s">
        <v>727</v>
      </c>
      <c r="Z333" s="107" t="s">
        <v>729</v>
      </c>
      <c r="AA333" s="109" t="n">
        <v>46114</v>
      </c>
      <c r="AB333" s="107" t="n">
        <v>260402000001</v>
      </c>
      <c r="AC333" s="109" t="n">
        <v>46068</v>
      </c>
      <c r="AD333" s="109" t="n">
        <v>49720</v>
      </c>
      <c r="AE333" s="107" t="n">
        <v>4.125</v>
      </c>
      <c r="AF333" s="107" t="n">
        <v>7.6843</v>
      </c>
      <c r="AG333" s="107" t="n">
        <v>3425</v>
      </c>
      <c r="AH333" s="107" t="n">
        <v>10000000</v>
      </c>
      <c r="AI333" s="107" t="n">
        <v>4.296842</v>
      </c>
      <c r="AJ333" s="107" t="n">
        <v>98.625</v>
      </c>
      <c r="AK333" s="107" t="n">
        <v>4.296995</v>
      </c>
      <c r="AL333" s="107" t="n">
        <v>99.191545</v>
      </c>
      <c r="AM333" s="107" t="n">
        <v>5.2164</v>
      </c>
      <c r="AN333" s="107" t="n">
        <v>91.9811</v>
      </c>
      <c r="AO333" s="107" t="n">
        <v>1358.4</v>
      </c>
      <c r="AP333" s="107" t="n">
        <v>1</v>
      </c>
      <c r="AQ333" s="107" t="n">
        <v>9198110</v>
      </c>
      <c r="AR333" s="107" t="n">
        <v>12494712624</v>
      </c>
      <c r="AS333" s="107" t="n">
        <v>9864968.95</v>
      </c>
      <c r="AT333" s="107" t="n">
        <v>15098334979</v>
      </c>
      <c r="AU333" s="107" t="n">
        <v>-668851.67</v>
      </c>
      <c r="AV333" s="107" t="n">
        <v>-908568109</v>
      </c>
      <c r="AW333" s="107" t="n">
        <v>0</v>
      </c>
      <c r="AX333" s="107" t="n">
        <v>0</v>
      </c>
      <c r="AY333" s="107" t="n">
        <v>531.54</v>
      </c>
      <c r="AZ333" s="107" t="n">
        <v>813521</v>
      </c>
      <c r="BA333" s="107" t="n">
        <v>0</v>
      </c>
      <c r="BB333" s="107" t="n">
        <v>0</v>
      </c>
      <c r="BC333" s="107" t="n">
        <v>0</v>
      </c>
      <c r="BD333" s="107" t="n">
        <v>0</v>
      </c>
      <c r="BE333" s="107" t="n">
        <v>51562.5</v>
      </c>
      <c r="BF333" s="107" t="n">
        <v>70042500</v>
      </c>
      <c r="BG333" s="107" t="n">
        <v>2091.51</v>
      </c>
      <c r="BH333" s="107" t="n">
        <v>2841107</v>
      </c>
      <c r="BI333" s="107" t="n">
        <v>9864968.95</v>
      </c>
      <c r="BJ333" s="107" t="n">
        <v>15098334979</v>
      </c>
      <c r="BK333" s="107" t="n">
        <v>53359.54</v>
      </c>
      <c r="BL333" s="107" t="n">
        <v>81666744</v>
      </c>
      <c r="BM333" s="107" t="n">
        <v>1992.72</v>
      </c>
      <c r="BN333" s="107" t="n">
        <v>3049846</v>
      </c>
      <c r="BO333" s="2"/>
      <c r="BP333" s="2"/>
      <c r="BQ333" s="107" t="s">
        <v>532</v>
      </c>
      <c r="BR333" s="107" t="n">
        <v>-1698104092</v>
      </c>
      <c r="BS333" s="107" t="n">
        <v>-91477</v>
      </c>
      <c r="BT333" s="107" t="n">
        <v>0</v>
      </c>
      <c r="BU333" s="107" t="n">
        <v>0</v>
      </c>
      <c r="BV333" s="107" t="n">
        <v>0</v>
      </c>
      <c r="BW333" s="107" t="n">
        <v>51562.5</v>
      </c>
      <c r="BX333" s="107" t="n">
        <v>70042500</v>
      </c>
      <c r="BY333" s="107" t="n">
        <v>2623.05</v>
      </c>
      <c r="BZ333" s="107" t="n">
        <v>3563151</v>
      </c>
      <c r="CA333" s="107" t="n">
        <v>1530.5</v>
      </c>
      <c r="CB333" s="2"/>
      <c r="CC333" s="107" t="n">
        <v>0</v>
      </c>
      <c r="CD333" s="107" t="n">
        <v>91.94</v>
      </c>
      <c r="CE333" s="107" t="n">
        <v>92.04</v>
      </c>
      <c r="CF333" s="107" t="n">
        <v>91.97</v>
      </c>
      <c r="CG333" s="107" t="n">
        <v>10000000</v>
      </c>
      <c r="CH333" s="107" t="n">
        <v>7.489</v>
      </c>
      <c r="CI333" s="107" t="n">
        <v>99.23</v>
      </c>
      <c r="CJ333" s="107" t="n">
        <v>99.37</v>
      </c>
      <c r="CK333" s="107" t="n">
        <v>99.43</v>
      </c>
      <c r="CL333" s="107" t="n">
        <v>2000000</v>
      </c>
    </row>
    <row r="334" customFormat="false" ht="15" hidden="false" customHeight="false" outlineLevel="0" collapsed="false">
      <c r="A334" s="107" t="s">
        <v>751</v>
      </c>
      <c r="B334" s="107" t="n">
        <v>94.7169</v>
      </c>
      <c r="C334" s="107" t="n">
        <v>6.2911</v>
      </c>
      <c r="D334" s="107" t="n">
        <v>6.6727</v>
      </c>
      <c r="E334" s="107" t="n">
        <v>-3160.08729315</v>
      </c>
      <c r="F334" s="108" t="s">
        <v>358</v>
      </c>
      <c r="G334" s="107" t="n">
        <v>6.6727</v>
      </c>
      <c r="H334" s="107" t="n">
        <v>-3160.08729315</v>
      </c>
      <c r="I334" s="109" t="n">
        <v>49506</v>
      </c>
      <c r="J334" s="107" t="n">
        <v>10</v>
      </c>
      <c r="K334" s="107" t="s">
        <v>752</v>
      </c>
      <c r="L334" s="107" t="s">
        <v>298</v>
      </c>
      <c r="M334" s="107" t="n">
        <v>33363500</v>
      </c>
      <c r="N334" s="107" t="n">
        <v>104.097</v>
      </c>
      <c r="O334" s="107" t="n">
        <v>4735845</v>
      </c>
      <c r="P334" s="107" t="s">
        <v>586</v>
      </c>
      <c r="Q334" s="107" t="s">
        <v>106</v>
      </c>
      <c r="R334" s="107" t="n">
        <v>-0.13406842554251</v>
      </c>
      <c r="S334" s="107" t="n">
        <v>-0.0901092250497132</v>
      </c>
      <c r="T334" s="107" t="n">
        <v>-3259.4926797</v>
      </c>
      <c r="U334" s="107" t="n">
        <v>21069</v>
      </c>
      <c r="V334" s="108" t="s">
        <v>362</v>
      </c>
      <c r="W334" s="107" t="n">
        <v>38088</v>
      </c>
      <c r="X334" s="108" t="s">
        <v>111</v>
      </c>
      <c r="Y334" s="107" t="s">
        <v>728</v>
      </c>
      <c r="Z334" s="107" t="s">
        <v>731</v>
      </c>
      <c r="AA334" s="109" t="n">
        <v>46191</v>
      </c>
      <c r="AB334" s="107" t="n">
        <v>260618000001</v>
      </c>
      <c r="AC334" s="109" t="n">
        <v>46157</v>
      </c>
      <c r="AD334" s="109" t="n">
        <v>49810</v>
      </c>
      <c r="AE334" s="107" t="n">
        <v>4.375</v>
      </c>
      <c r="AF334" s="107" t="n">
        <v>7.6886</v>
      </c>
      <c r="AG334" s="107" t="n">
        <v>3515</v>
      </c>
      <c r="AH334" s="107" t="n">
        <v>10000000</v>
      </c>
      <c r="AI334" s="107" t="n">
        <v>4.4276106</v>
      </c>
      <c r="AJ334" s="107" t="n">
        <v>99.578125</v>
      </c>
      <c r="AK334" s="107" t="n">
        <v>4.425388</v>
      </c>
      <c r="AL334" s="107" t="n">
        <v>101.240102</v>
      </c>
      <c r="AM334" s="107" t="n">
        <v>5.2206</v>
      </c>
      <c r="AN334" s="107" t="n">
        <v>93.6565</v>
      </c>
      <c r="AO334" s="107" t="n">
        <v>1358.4</v>
      </c>
      <c r="AP334" s="107" t="n">
        <v>1</v>
      </c>
      <c r="AQ334" s="107" t="n">
        <v>9365650</v>
      </c>
      <c r="AR334" s="107" t="n">
        <v>12722298960</v>
      </c>
      <c r="AS334" s="107" t="n">
        <v>9957114.45</v>
      </c>
      <c r="AT334" s="107" t="n">
        <v>15070092720</v>
      </c>
      <c r="AU334" s="107" t="n">
        <v>-593692.13</v>
      </c>
      <c r="AV334" s="107" t="n">
        <v>-806471389</v>
      </c>
      <c r="AW334" s="107" t="n">
        <v>40421.2</v>
      </c>
      <c r="AX334" s="107" t="n">
        <v>61177486</v>
      </c>
      <c r="AY334" s="107" t="n">
        <v>698.05</v>
      </c>
      <c r="AZ334" s="107" t="n">
        <v>1056498</v>
      </c>
      <c r="BA334" s="107" t="n">
        <v>0</v>
      </c>
      <c r="BB334" s="107" t="n">
        <v>0</v>
      </c>
      <c r="BC334" s="107" t="n">
        <v>0</v>
      </c>
      <c r="BD334" s="107" t="n">
        <v>0</v>
      </c>
      <c r="BE334" s="107" t="n">
        <v>123641.3</v>
      </c>
      <c r="BF334" s="107" t="n">
        <v>167954342</v>
      </c>
      <c r="BG334" s="107" t="n">
        <v>2135.23</v>
      </c>
      <c r="BH334" s="107" t="n">
        <v>2900496</v>
      </c>
      <c r="BI334" s="107" t="n">
        <v>9957114.45</v>
      </c>
      <c r="BJ334" s="107" t="n">
        <v>15070092720</v>
      </c>
      <c r="BK334" s="107" t="n">
        <v>124864.48</v>
      </c>
      <c r="BL334" s="107" t="n">
        <v>188982352</v>
      </c>
      <c r="BM334" s="107" t="n">
        <v>2227.68</v>
      </c>
      <c r="BN334" s="107" t="n">
        <v>3371576</v>
      </c>
      <c r="BO334" s="2"/>
      <c r="BP334" s="2"/>
      <c r="BQ334" s="107" t="s">
        <v>532</v>
      </c>
      <c r="BR334" s="107" t="n">
        <v>-1544693947</v>
      </c>
      <c r="BS334" s="107" t="n">
        <v>-6377595</v>
      </c>
      <c r="BT334" s="107" t="n">
        <v>0</v>
      </c>
      <c r="BU334" s="107" t="n">
        <v>0</v>
      </c>
      <c r="BV334" s="107" t="n">
        <v>0</v>
      </c>
      <c r="BW334" s="107" t="n">
        <v>164062.5</v>
      </c>
      <c r="BX334" s="107" t="n">
        <v>222862500</v>
      </c>
      <c r="BY334" s="107" t="n">
        <v>2833.28</v>
      </c>
      <c r="BZ334" s="107" t="n">
        <v>3848727</v>
      </c>
      <c r="CA334" s="107" t="n">
        <v>1513.5</v>
      </c>
      <c r="CB334" s="2"/>
      <c r="CC334" s="107" t="n">
        <v>0</v>
      </c>
      <c r="CD334" s="107" t="n">
        <v>93.61</v>
      </c>
      <c r="CE334" s="107" t="n">
        <v>93.71</v>
      </c>
      <c r="CF334" s="107" t="n">
        <v>93.65</v>
      </c>
      <c r="CG334" s="107" t="n">
        <v>10000000</v>
      </c>
      <c r="CH334" s="107" t="n">
        <v>7.493</v>
      </c>
      <c r="CI334" s="107" t="n">
        <v>99.23</v>
      </c>
      <c r="CJ334" s="107" t="n">
        <v>99.37</v>
      </c>
      <c r="CK334" s="107" t="n">
        <v>99.43</v>
      </c>
      <c r="CL334" s="107" t="n">
        <v>3000000</v>
      </c>
    </row>
    <row r="335" customFormat="false" ht="15" hidden="false" customHeight="false" outlineLevel="0" collapsed="false">
      <c r="A335" s="107" t="s">
        <v>589</v>
      </c>
      <c r="B335" s="107" t="n">
        <v>96.1325</v>
      </c>
      <c r="C335" s="107" t="n">
        <v>6.4728</v>
      </c>
      <c r="D335" s="107" t="n">
        <v>6.1808</v>
      </c>
      <c r="E335" s="107" t="n">
        <v>-1782.527268</v>
      </c>
      <c r="F335" s="108" t="s">
        <v>358</v>
      </c>
      <c r="G335" s="107" t="n">
        <v>6.1808</v>
      </c>
      <c r="H335" s="107" t="n">
        <v>-1782.527268</v>
      </c>
      <c r="I335" s="109" t="n">
        <v>49401</v>
      </c>
      <c r="J335" s="107" t="n">
        <v>10</v>
      </c>
      <c r="K335" s="107" t="s">
        <v>359</v>
      </c>
      <c r="L335" s="107" t="s">
        <v>298</v>
      </c>
      <c r="M335" s="107" t="n">
        <v>18542400</v>
      </c>
      <c r="N335" s="107" t="n">
        <v>104.101</v>
      </c>
      <c r="O335" s="107" t="n">
        <v>2883975</v>
      </c>
      <c r="P335" s="107" t="s">
        <v>472</v>
      </c>
      <c r="Q335" s="107" t="s">
        <v>377</v>
      </c>
      <c r="R335" s="107" t="n">
        <v>-0.120025607265014</v>
      </c>
      <c r="S335" s="107" t="n">
        <v>-0.0765458545066811</v>
      </c>
      <c r="T335" s="107" t="n">
        <v>-1840.206768</v>
      </c>
      <c r="U335" s="107" t="n">
        <v>21069</v>
      </c>
      <c r="V335" s="108" t="s">
        <v>362</v>
      </c>
      <c r="W335" s="107" t="n">
        <v>38088</v>
      </c>
      <c r="X335" s="108" t="s">
        <v>111</v>
      </c>
      <c r="Y335" s="107" t="s">
        <v>728</v>
      </c>
      <c r="Z335" s="107" t="s">
        <v>731</v>
      </c>
      <c r="AA335" s="109" t="n">
        <v>46213</v>
      </c>
      <c r="AB335" s="107" t="n">
        <v>260710000001</v>
      </c>
      <c r="AC335" s="109" t="n">
        <v>46157</v>
      </c>
      <c r="AD335" s="109" t="n">
        <v>49810</v>
      </c>
      <c r="AE335" s="107" t="n">
        <v>4.375</v>
      </c>
      <c r="AF335" s="107" t="n">
        <v>7.6886</v>
      </c>
      <c r="AG335" s="107" t="n">
        <v>3515</v>
      </c>
      <c r="AH335" s="107" t="n">
        <v>10000000</v>
      </c>
      <c r="AI335" s="107" t="n">
        <v>4.563148</v>
      </c>
      <c r="AJ335" s="107" t="n">
        <v>98.515625</v>
      </c>
      <c r="AK335" s="107" t="n">
        <v>4.563887</v>
      </c>
      <c r="AL335" s="107" t="n">
        <v>100.173085</v>
      </c>
      <c r="AM335" s="107" t="n">
        <v>5.2206</v>
      </c>
      <c r="AN335" s="107" t="n">
        <v>93.6565</v>
      </c>
      <c r="AO335" s="107" t="n">
        <v>1358.4</v>
      </c>
      <c r="AP335" s="107" t="n">
        <v>1</v>
      </c>
      <c r="AQ335" s="107" t="n">
        <v>9365650</v>
      </c>
      <c r="AR335" s="107" t="n">
        <v>12722298960</v>
      </c>
      <c r="AS335" s="107" t="n">
        <v>9850412.77</v>
      </c>
      <c r="AT335" s="107" t="n">
        <v>14873138242</v>
      </c>
      <c r="AU335" s="107" t="n">
        <v>-488749.61</v>
      </c>
      <c r="AV335" s="107" t="n">
        <v>-663917470</v>
      </c>
      <c r="AW335" s="107" t="n">
        <v>66576.09</v>
      </c>
      <c r="AX335" s="107" t="n">
        <v>100523238</v>
      </c>
      <c r="AY335" s="107" t="n">
        <v>1149.73</v>
      </c>
      <c r="AZ335" s="107" t="n">
        <v>1735977</v>
      </c>
      <c r="BA335" s="107" t="n">
        <v>0</v>
      </c>
      <c r="BB335" s="107" t="n">
        <v>0</v>
      </c>
      <c r="BC335" s="107" t="n">
        <v>0</v>
      </c>
      <c r="BD335" s="107" t="n">
        <v>0</v>
      </c>
      <c r="BE335" s="107" t="n">
        <v>97486.41</v>
      </c>
      <c r="BF335" s="107" t="n">
        <v>132425539</v>
      </c>
      <c r="BG335" s="107" t="n">
        <v>1683.55</v>
      </c>
      <c r="BH335" s="107" t="n">
        <v>2286934</v>
      </c>
      <c r="BI335" s="107" t="n">
        <v>9850412.77</v>
      </c>
      <c r="BJ335" s="107" t="n">
        <v>14873138242</v>
      </c>
      <c r="BK335" s="107" t="n">
        <v>100255.66</v>
      </c>
      <c r="BL335" s="107" t="n">
        <v>151376018</v>
      </c>
      <c r="BM335" s="107" t="n">
        <v>3986.84</v>
      </c>
      <c r="BN335" s="107" t="n">
        <v>6019784</v>
      </c>
      <c r="BO335" s="2"/>
      <c r="BP335" s="2"/>
      <c r="BQ335" s="107" t="s">
        <v>532</v>
      </c>
      <c r="BR335" s="107" t="n">
        <v>-1492941596</v>
      </c>
      <c r="BS335" s="107" t="n">
        <v>-10260461</v>
      </c>
      <c r="BT335" s="107" t="n">
        <v>0</v>
      </c>
      <c r="BU335" s="107" t="n">
        <v>0</v>
      </c>
      <c r="BV335" s="107" t="n">
        <v>0</v>
      </c>
      <c r="BW335" s="107" t="n">
        <v>164062.5</v>
      </c>
      <c r="BX335" s="107" t="n">
        <v>222862500</v>
      </c>
      <c r="BY335" s="107" t="n">
        <v>2833.28</v>
      </c>
      <c r="BZ335" s="107" t="n">
        <v>3848727</v>
      </c>
      <c r="CA335" s="107" t="n">
        <v>1509.9</v>
      </c>
      <c r="CB335" s="2"/>
      <c r="CC335" s="107" t="n">
        <v>0</v>
      </c>
      <c r="CD335" s="107" t="n">
        <v>93.61</v>
      </c>
      <c r="CE335" s="107" t="n">
        <v>93.71</v>
      </c>
      <c r="CF335" s="107" t="n">
        <v>93.65</v>
      </c>
      <c r="CG335" s="107" t="n">
        <v>10000000</v>
      </c>
      <c r="CH335" s="107" t="n">
        <v>7.493</v>
      </c>
      <c r="CI335" s="107" t="n">
        <v>99.23</v>
      </c>
      <c r="CJ335" s="107" t="n">
        <v>99.37</v>
      </c>
      <c r="CK335" s="107" t="n">
        <v>99.43</v>
      </c>
      <c r="CL335" s="107" t="n">
        <v>4600000</v>
      </c>
    </row>
    <row r="336" customFormat="false" ht="15" hidden="false" customHeight="false" outlineLevel="0" collapsed="false">
      <c r="A336" s="107" t="s">
        <v>589</v>
      </c>
      <c r="B336" s="107" t="n">
        <v>96.1325</v>
      </c>
      <c r="C336" s="107" t="n">
        <v>6.4728</v>
      </c>
      <c r="D336" s="107" t="n">
        <v>6.1808</v>
      </c>
      <c r="E336" s="107" t="n">
        <v>-1188.351512</v>
      </c>
      <c r="F336" s="108" t="s">
        <v>358</v>
      </c>
      <c r="G336" s="107" t="n">
        <v>6.1808</v>
      </c>
      <c r="H336" s="107" t="n">
        <v>-1188.351512</v>
      </c>
      <c r="I336" s="109" t="n">
        <v>49401</v>
      </c>
      <c r="J336" s="107" t="n">
        <v>10</v>
      </c>
      <c r="K336" s="107" t="s">
        <v>359</v>
      </c>
      <c r="L336" s="107" t="s">
        <v>298</v>
      </c>
      <c r="M336" s="107" t="n">
        <v>12361600</v>
      </c>
      <c r="N336" s="107" t="n">
        <v>104.125</v>
      </c>
      <c r="O336" s="107" t="n">
        <v>1922650</v>
      </c>
      <c r="P336" s="107" t="s">
        <v>472</v>
      </c>
      <c r="Q336" s="107" t="s">
        <v>377</v>
      </c>
      <c r="R336" s="107" t="n">
        <v>-0.120017166329397</v>
      </c>
      <c r="S336" s="107" t="n">
        <v>-0.0767587034813926</v>
      </c>
      <c r="T336" s="107" t="n">
        <v>-1226.804512</v>
      </c>
      <c r="U336" s="107" t="n">
        <v>21069</v>
      </c>
      <c r="V336" s="108" t="s">
        <v>362</v>
      </c>
      <c r="W336" s="107" t="n">
        <v>38088</v>
      </c>
      <c r="X336" s="108" t="s">
        <v>111</v>
      </c>
      <c r="Y336" s="107" t="s">
        <v>751</v>
      </c>
      <c r="Z336" s="107" t="s">
        <v>753</v>
      </c>
      <c r="AA336" s="109" t="n">
        <v>45915</v>
      </c>
      <c r="AB336" s="107" t="n">
        <v>250915000001</v>
      </c>
      <c r="AC336" s="109" t="n">
        <v>45854</v>
      </c>
      <c r="AD336" s="109" t="n">
        <v>49506</v>
      </c>
      <c r="AE336" s="107" t="n">
        <v>5.502</v>
      </c>
      <c r="AF336" s="107" t="n">
        <v>6.8811</v>
      </c>
      <c r="AG336" s="107" t="n">
        <v>3211</v>
      </c>
      <c r="AH336" s="107" t="n">
        <v>5000000</v>
      </c>
      <c r="AI336" s="107" t="n">
        <v>4.95953</v>
      </c>
      <c r="AJ336" s="107" t="n">
        <v>104.097</v>
      </c>
      <c r="AK336" s="107" t="n">
        <v>4.980128</v>
      </c>
      <c r="AL336" s="107" t="n">
        <v>104.802894</v>
      </c>
      <c r="AM336" s="107" t="n">
        <v>6.2737</v>
      </c>
      <c r="AN336" s="107" t="n">
        <v>94.8313</v>
      </c>
      <c r="AO336" s="107" t="n">
        <v>1358.4</v>
      </c>
      <c r="AP336" s="107" t="n">
        <v>1</v>
      </c>
      <c r="AQ336" s="107" t="n">
        <v>4741565</v>
      </c>
      <c r="AR336" s="107" t="n">
        <v>6440941896</v>
      </c>
      <c r="AS336" s="107" t="n">
        <v>5183596.37</v>
      </c>
      <c r="AT336" s="107" t="n">
        <v>7437942431</v>
      </c>
      <c r="AU336" s="107" t="n">
        <v>-438929.05</v>
      </c>
      <c r="AV336" s="107" t="n">
        <v>-596241222</v>
      </c>
      <c r="AW336" s="107" t="n">
        <v>0</v>
      </c>
      <c r="AX336" s="107" t="n">
        <v>0</v>
      </c>
      <c r="AY336" s="107" t="n">
        <v>0</v>
      </c>
      <c r="AZ336" s="107" t="n">
        <v>0</v>
      </c>
      <c r="BA336" s="107" t="n">
        <v>0</v>
      </c>
      <c r="BB336" s="107" t="n">
        <v>0</v>
      </c>
      <c r="BC336" s="107" t="n">
        <v>0</v>
      </c>
      <c r="BD336" s="107" t="n">
        <v>0</v>
      </c>
      <c r="BE336" s="107" t="n">
        <v>56548.33</v>
      </c>
      <c r="BF336" s="107" t="n">
        <v>76815251</v>
      </c>
      <c r="BG336" s="107" t="n">
        <v>0</v>
      </c>
      <c r="BH336" s="107" t="n">
        <v>0</v>
      </c>
      <c r="BI336" s="107" t="n">
        <v>5189783.28</v>
      </c>
      <c r="BJ336" s="107" t="n">
        <v>7446820028</v>
      </c>
      <c r="BK336" s="107" t="n">
        <v>53711.48</v>
      </c>
      <c r="BL336" s="107" t="n">
        <v>77070536</v>
      </c>
      <c r="BM336" s="107" t="n">
        <v>-3102.32</v>
      </c>
      <c r="BN336" s="107" t="n">
        <v>-4451548</v>
      </c>
      <c r="BO336" s="107" t="s">
        <v>377</v>
      </c>
      <c r="BP336" s="2"/>
      <c r="BQ336" s="107" t="s">
        <v>369</v>
      </c>
      <c r="BR336" s="107" t="n">
        <v>-396307765</v>
      </c>
      <c r="BS336" s="107" t="n">
        <v>0</v>
      </c>
      <c r="BT336" s="107" t="n">
        <v>0</v>
      </c>
      <c r="BU336" s="107" t="n">
        <v>-6186.91</v>
      </c>
      <c r="BV336" s="107" t="n">
        <v>-8877597</v>
      </c>
      <c r="BW336" s="107" t="n">
        <v>56548.33</v>
      </c>
      <c r="BX336" s="107" t="n">
        <v>76815251</v>
      </c>
      <c r="BY336" s="107" t="n">
        <v>0</v>
      </c>
      <c r="BZ336" s="107" t="n">
        <v>0</v>
      </c>
      <c r="CA336" s="107" t="n">
        <v>1434.9</v>
      </c>
      <c r="CB336" s="2"/>
      <c r="CC336" s="107" t="n">
        <v>0</v>
      </c>
      <c r="CD336" s="107" t="n">
        <v>94.84</v>
      </c>
      <c r="CE336" s="107" t="n">
        <v>94.83</v>
      </c>
      <c r="CF336" s="107" t="n">
        <v>94.82</v>
      </c>
      <c r="CG336" s="107" t="n">
        <v>0</v>
      </c>
      <c r="CH336" s="107" t="n">
        <v>6.6718</v>
      </c>
      <c r="CI336" s="107" t="n">
        <v>97.41</v>
      </c>
      <c r="CJ336" s="107" t="n">
        <v>97.47</v>
      </c>
      <c r="CK336" s="107" t="n">
        <v>97.38</v>
      </c>
      <c r="CL336" s="107" t="n">
        <v>0</v>
      </c>
    </row>
    <row r="337" customFormat="false" ht="15" hidden="false" customHeight="false" outlineLevel="0" collapsed="false">
      <c r="A337" s="107" t="s">
        <v>754</v>
      </c>
      <c r="B337" s="107" t="n">
        <v>98.5902</v>
      </c>
      <c r="C337" s="107" t="n">
        <v>4.1034</v>
      </c>
      <c r="D337" s="107" t="n">
        <v>2.8427</v>
      </c>
      <c r="E337" s="107" t="n">
        <v>-1401.3118077</v>
      </c>
      <c r="F337" s="108" t="s">
        <v>358</v>
      </c>
      <c r="G337" s="107" t="n">
        <v>2.8427</v>
      </c>
      <c r="H337" s="107" t="n">
        <v>-1401.3118077</v>
      </c>
      <c r="I337" s="109" t="n">
        <v>47464</v>
      </c>
      <c r="J337" s="107" t="n">
        <v>3</v>
      </c>
      <c r="K337" s="108" t="s">
        <v>384</v>
      </c>
      <c r="L337" s="107" t="s">
        <v>298</v>
      </c>
      <c r="M337" s="107" t="n">
        <v>14213500</v>
      </c>
      <c r="N337" s="107" t="n">
        <v>102.436</v>
      </c>
      <c r="O337" s="107" t="n">
        <v>4929510</v>
      </c>
      <c r="P337" s="107" t="s">
        <v>615</v>
      </c>
      <c r="Q337" s="107" t="s">
        <v>367</v>
      </c>
      <c r="R337" s="107" t="n">
        <v>-0.137968650232332</v>
      </c>
      <c r="S337" s="107" t="n">
        <v>-0.0375434417587568</v>
      </c>
      <c r="T337" s="107" t="n">
        <v>-1458.7898943</v>
      </c>
      <c r="U337" s="107" t="n">
        <v>21069</v>
      </c>
      <c r="V337" s="108" t="s">
        <v>362</v>
      </c>
      <c r="W337" s="107" t="n">
        <v>38088</v>
      </c>
      <c r="X337" s="108" t="s">
        <v>111</v>
      </c>
      <c r="Y337" s="107" t="s">
        <v>589</v>
      </c>
      <c r="Z337" s="107" t="s">
        <v>593</v>
      </c>
      <c r="AA337" s="109" t="n">
        <v>45915</v>
      </c>
      <c r="AB337" s="107" t="n">
        <v>250915000001</v>
      </c>
      <c r="AC337" s="109" t="n">
        <v>45749</v>
      </c>
      <c r="AD337" s="109" t="n">
        <v>49401</v>
      </c>
      <c r="AE337" s="107" t="n">
        <v>5.875</v>
      </c>
      <c r="AF337" s="107" t="n">
        <v>6.3789</v>
      </c>
      <c r="AG337" s="107" t="n">
        <v>3106</v>
      </c>
      <c r="AH337" s="107" t="n">
        <v>3000000</v>
      </c>
      <c r="AI337" s="107" t="n">
        <v>5.321126</v>
      </c>
      <c r="AJ337" s="107" t="n">
        <v>104.101</v>
      </c>
      <c r="AK337" s="107" t="n">
        <v>5.351085</v>
      </c>
      <c r="AL337" s="107" t="n">
        <v>106.447081</v>
      </c>
      <c r="AM337" s="107" t="n">
        <v>6.4614</v>
      </c>
      <c r="AN337" s="107" t="n">
        <v>96.2059</v>
      </c>
      <c r="AO337" s="107" t="n">
        <v>1358.4</v>
      </c>
      <c r="AP337" s="107" t="n">
        <v>1</v>
      </c>
      <c r="AQ337" s="107" t="n">
        <v>2886177</v>
      </c>
      <c r="AR337" s="107" t="n">
        <v>3920582837</v>
      </c>
      <c r="AS337" s="107" t="n">
        <v>3106266.62</v>
      </c>
      <c r="AT337" s="107" t="n">
        <v>4457181973</v>
      </c>
      <c r="AU337" s="107" t="n">
        <v>-215195.38</v>
      </c>
      <c r="AV337" s="107" t="n">
        <v>-292321404</v>
      </c>
      <c r="AW337" s="107" t="n">
        <v>0</v>
      </c>
      <c r="AX337" s="107" t="n">
        <v>0</v>
      </c>
      <c r="AY337" s="107" t="n">
        <v>0</v>
      </c>
      <c r="AZ337" s="107" t="n">
        <v>0</v>
      </c>
      <c r="BA337" s="107" t="n">
        <v>0</v>
      </c>
      <c r="BB337" s="107" t="n">
        <v>0</v>
      </c>
      <c r="BC337" s="107" t="n">
        <v>0</v>
      </c>
      <c r="BD337" s="107" t="n">
        <v>0</v>
      </c>
      <c r="BE337" s="107" t="n">
        <v>87145.83</v>
      </c>
      <c r="BF337" s="107" t="n">
        <v>118378895</v>
      </c>
      <c r="BG337" s="107" t="n">
        <v>0</v>
      </c>
      <c r="BH337" s="107" t="n">
        <v>0</v>
      </c>
      <c r="BI337" s="107" t="n">
        <v>3117084.81</v>
      </c>
      <c r="BJ337" s="107" t="n">
        <v>4472704994</v>
      </c>
      <c r="BK337" s="107" t="n">
        <v>82266.31</v>
      </c>
      <c r="BL337" s="107" t="n">
        <v>118043856</v>
      </c>
      <c r="BM337" s="107" t="n">
        <v>-4894.24</v>
      </c>
      <c r="BN337" s="107" t="n">
        <v>-7022800</v>
      </c>
      <c r="BO337" s="107" t="s">
        <v>107</v>
      </c>
      <c r="BP337" s="2"/>
      <c r="BQ337" s="107" t="s">
        <v>369</v>
      </c>
      <c r="BR337" s="107" t="n">
        <v>-237254932</v>
      </c>
      <c r="BS337" s="107" t="n">
        <v>0</v>
      </c>
      <c r="BT337" s="107" t="n">
        <v>0</v>
      </c>
      <c r="BU337" s="107" t="n">
        <v>-10818.19</v>
      </c>
      <c r="BV337" s="107" t="n">
        <v>-15523021</v>
      </c>
      <c r="BW337" s="107" t="n">
        <v>87145.83</v>
      </c>
      <c r="BX337" s="107" t="n">
        <v>118378895</v>
      </c>
      <c r="BY337" s="107" t="n">
        <v>0</v>
      </c>
      <c r="BZ337" s="107" t="n">
        <v>0</v>
      </c>
      <c r="CA337" s="107" t="n">
        <v>1434.9</v>
      </c>
      <c r="CB337" s="2"/>
      <c r="CC337" s="107" t="n">
        <v>0</v>
      </c>
      <c r="CD337" s="107" t="n">
        <v>96.22</v>
      </c>
      <c r="CE337" s="107" t="n">
        <v>96.22</v>
      </c>
      <c r="CF337" s="107" t="n">
        <v>96.19</v>
      </c>
      <c r="CG337" s="107" t="n">
        <v>0</v>
      </c>
      <c r="CH337" s="107" t="n">
        <v>6.1793</v>
      </c>
      <c r="CI337" s="107" t="n">
        <v>97.41</v>
      </c>
      <c r="CJ337" s="107" t="n">
        <v>97.47</v>
      </c>
      <c r="CK337" s="107" t="n">
        <v>97.38</v>
      </c>
      <c r="CL337" s="107" t="n">
        <v>0</v>
      </c>
    </row>
    <row r="338" customFormat="false" ht="15" hidden="false" customHeight="false" outlineLevel="0" collapsed="false">
      <c r="A338" s="107" t="s">
        <v>755</v>
      </c>
      <c r="B338" s="107" t="n">
        <v>97.5337</v>
      </c>
      <c r="C338" s="107" t="n">
        <v>4.0659</v>
      </c>
      <c r="D338" s="107" t="n">
        <v>2.58</v>
      </c>
      <c r="E338" s="107" t="n">
        <v>-503.273892</v>
      </c>
      <c r="F338" s="108" t="s">
        <v>358</v>
      </c>
      <c r="G338" s="107" t="n">
        <v>2.58</v>
      </c>
      <c r="H338" s="107" t="n">
        <v>-503.273892</v>
      </c>
      <c r="I338" s="109" t="n">
        <v>47321</v>
      </c>
      <c r="J338" s="107" t="n">
        <v>3</v>
      </c>
      <c r="K338" s="108" t="s">
        <v>90</v>
      </c>
      <c r="L338" s="107" t="s">
        <v>298</v>
      </c>
      <c r="M338" s="107" t="n">
        <v>5160000</v>
      </c>
      <c r="N338" s="107" t="n">
        <v>101.04</v>
      </c>
      <c r="O338" s="107" t="n">
        <v>1950674</v>
      </c>
      <c r="P338" s="107" t="s">
        <v>756</v>
      </c>
      <c r="Q338" s="107" t="s">
        <v>106</v>
      </c>
      <c r="R338" s="107" t="n">
        <v>-0.137965021146495</v>
      </c>
      <c r="S338" s="107" t="n">
        <v>-0.0347020981789391</v>
      </c>
      <c r="T338" s="107" t="n">
        <v>-523.73646226</v>
      </c>
      <c r="U338" s="107" t="n">
        <v>21069</v>
      </c>
      <c r="V338" s="108" t="s">
        <v>362</v>
      </c>
      <c r="W338" s="107" t="n">
        <v>38088</v>
      </c>
      <c r="X338" s="108" t="s">
        <v>111</v>
      </c>
      <c r="Y338" s="107" t="s">
        <v>589</v>
      </c>
      <c r="Z338" s="107" t="s">
        <v>593</v>
      </c>
      <c r="AA338" s="109" t="n">
        <v>45915</v>
      </c>
      <c r="AB338" s="107" t="n">
        <v>250915000002</v>
      </c>
      <c r="AC338" s="109" t="n">
        <v>45749</v>
      </c>
      <c r="AD338" s="109" t="n">
        <v>49401</v>
      </c>
      <c r="AE338" s="107" t="n">
        <v>5.875</v>
      </c>
      <c r="AF338" s="107" t="n">
        <v>6.3789</v>
      </c>
      <c r="AG338" s="107" t="n">
        <v>3106</v>
      </c>
      <c r="AH338" s="107" t="n">
        <v>2000000</v>
      </c>
      <c r="AI338" s="107" t="n">
        <v>5.318</v>
      </c>
      <c r="AJ338" s="107" t="n">
        <v>104.125</v>
      </c>
      <c r="AK338" s="107" t="n">
        <v>5.351229</v>
      </c>
      <c r="AL338" s="107" t="n">
        <v>106.446088</v>
      </c>
      <c r="AM338" s="107" t="n">
        <v>6.4614</v>
      </c>
      <c r="AN338" s="107" t="n">
        <v>96.2059</v>
      </c>
      <c r="AO338" s="107" t="n">
        <v>1358.4</v>
      </c>
      <c r="AP338" s="107" t="n">
        <v>1</v>
      </c>
      <c r="AQ338" s="107" t="n">
        <v>1924118</v>
      </c>
      <c r="AR338" s="107" t="n">
        <v>2613721891</v>
      </c>
      <c r="AS338" s="107" t="n">
        <v>2070824.55</v>
      </c>
      <c r="AT338" s="107" t="n">
        <v>2971426146</v>
      </c>
      <c r="AU338" s="107" t="n">
        <v>-143403.3</v>
      </c>
      <c r="AV338" s="107" t="n">
        <v>-194799043</v>
      </c>
      <c r="AW338" s="107" t="n">
        <v>0</v>
      </c>
      <c r="AX338" s="107" t="n">
        <v>0</v>
      </c>
      <c r="AY338" s="107" t="n">
        <v>0</v>
      </c>
      <c r="AZ338" s="107" t="n">
        <v>0</v>
      </c>
      <c r="BA338" s="107" t="n">
        <v>0</v>
      </c>
      <c r="BB338" s="107" t="n">
        <v>0</v>
      </c>
      <c r="BC338" s="107" t="n">
        <v>0</v>
      </c>
      <c r="BD338" s="107" t="n">
        <v>0</v>
      </c>
      <c r="BE338" s="107" t="n">
        <v>58097.22</v>
      </c>
      <c r="BF338" s="107" t="n">
        <v>78919263</v>
      </c>
      <c r="BG338" s="107" t="n">
        <v>0</v>
      </c>
      <c r="BH338" s="107" t="n">
        <v>0</v>
      </c>
      <c r="BI338" s="107" t="n">
        <v>2078494.16</v>
      </c>
      <c r="BJ338" s="107" t="n">
        <v>2982431269</v>
      </c>
      <c r="BK338" s="107" t="n">
        <v>54803.18</v>
      </c>
      <c r="BL338" s="107" t="n">
        <v>78637079</v>
      </c>
      <c r="BM338" s="107" t="n">
        <v>-3303.25</v>
      </c>
      <c r="BN338" s="107" t="n">
        <v>-4739666</v>
      </c>
      <c r="BO338" s="107" t="s">
        <v>107</v>
      </c>
      <c r="BP338" s="2"/>
      <c r="BQ338" s="107" t="s">
        <v>369</v>
      </c>
      <c r="BR338" s="107" t="n">
        <v>-158165546</v>
      </c>
      <c r="BS338" s="107" t="n">
        <v>0</v>
      </c>
      <c r="BT338" s="107" t="n">
        <v>0</v>
      </c>
      <c r="BU338" s="107" t="n">
        <v>-7669.61</v>
      </c>
      <c r="BV338" s="107" t="n">
        <v>-11005123</v>
      </c>
      <c r="BW338" s="107" t="n">
        <v>58097.22</v>
      </c>
      <c r="BX338" s="107" t="n">
        <v>78919263</v>
      </c>
      <c r="BY338" s="107" t="n">
        <v>0</v>
      </c>
      <c r="BZ338" s="107" t="n">
        <v>0</v>
      </c>
      <c r="CA338" s="107" t="n">
        <v>1434.9</v>
      </c>
      <c r="CB338" s="2"/>
      <c r="CC338" s="107" t="n">
        <v>0</v>
      </c>
      <c r="CD338" s="107" t="n">
        <v>96.22</v>
      </c>
      <c r="CE338" s="107" t="n">
        <v>96.22</v>
      </c>
      <c r="CF338" s="107" t="n">
        <v>96.19</v>
      </c>
      <c r="CG338" s="107" t="n">
        <v>0</v>
      </c>
      <c r="CH338" s="107" t="n">
        <v>6.1793</v>
      </c>
      <c r="CI338" s="107" t="n">
        <v>96.54</v>
      </c>
      <c r="CJ338" s="107" t="n">
        <v>96.64</v>
      </c>
      <c r="CK338" s="107" t="n">
        <v>96.65</v>
      </c>
      <c r="CL338" s="107" t="n">
        <v>0</v>
      </c>
    </row>
    <row r="339" customFormat="false" ht="15" hidden="false" customHeight="false" outlineLevel="0" collapsed="false">
      <c r="A339" s="107" t="s">
        <v>757</v>
      </c>
      <c r="B339" s="107" t="n">
        <v>97.4269</v>
      </c>
      <c r="C339" s="107" t="n">
        <v>4.0406</v>
      </c>
      <c r="D339" s="107" t="n">
        <v>2.0761</v>
      </c>
      <c r="E339" s="107" t="n">
        <v>-606.80396127</v>
      </c>
      <c r="F339" s="108" t="s">
        <v>358</v>
      </c>
      <c r="G339" s="107" t="n">
        <v>2.0761</v>
      </c>
      <c r="H339" s="107" t="n">
        <v>-606.80396127</v>
      </c>
      <c r="I339" s="109" t="n">
        <v>47139</v>
      </c>
      <c r="J339" s="107" t="n">
        <v>3</v>
      </c>
      <c r="K339" s="107" t="s">
        <v>359</v>
      </c>
      <c r="L339" s="107" t="s">
        <v>298</v>
      </c>
      <c r="M339" s="107" t="n">
        <v>6228300</v>
      </c>
      <c r="N339" s="107" t="n">
        <v>100.144</v>
      </c>
      <c r="O339" s="107" t="n">
        <v>2922807</v>
      </c>
      <c r="P339" s="107" t="s">
        <v>469</v>
      </c>
      <c r="Q339" s="107" t="s">
        <v>377</v>
      </c>
      <c r="R339" s="107" t="n">
        <v>-0.128643502598797</v>
      </c>
      <c r="S339" s="107" t="n">
        <v>-0.0271319300207701</v>
      </c>
      <c r="T339" s="107" t="n">
        <v>-631.326312</v>
      </c>
      <c r="U339" s="107" t="n">
        <v>21069</v>
      </c>
      <c r="V339" s="108" t="s">
        <v>362</v>
      </c>
      <c r="W339" s="107" t="n">
        <v>38167</v>
      </c>
      <c r="X339" s="108" t="s">
        <v>372</v>
      </c>
      <c r="Y339" s="107" t="s">
        <v>754</v>
      </c>
      <c r="Z339" s="107" t="s">
        <v>758</v>
      </c>
      <c r="AA339" s="109" t="n">
        <v>46045</v>
      </c>
      <c r="AB339" s="107" t="n">
        <v>260123000001</v>
      </c>
      <c r="AC339" s="109" t="n">
        <v>44908</v>
      </c>
      <c r="AD339" s="109" t="n">
        <v>47464</v>
      </c>
      <c r="AE339" s="107" t="n">
        <v>3.631</v>
      </c>
      <c r="AF339" s="107" t="n">
        <v>2.9569</v>
      </c>
      <c r="AG339" s="107" t="n">
        <v>1169</v>
      </c>
      <c r="AH339" s="107" t="n">
        <v>5000000</v>
      </c>
      <c r="AI339" s="107" t="n">
        <v>2.957</v>
      </c>
      <c r="AJ339" s="107" t="n">
        <v>102.436</v>
      </c>
      <c r="AK339" s="107" t="n">
        <v>2.81997</v>
      </c>
      <c r="AL339" s="107" t="n">
        <v>105.330852</v>
      </c>
      <c r="AM339" s="107" t="n">
        <v>4.0725</v>
      </c>
      <c r="AN339" s="107" t="n">
        <v>98.6829</v>
      </c>
      <c r="AO339" s="107" t="n">
        <v>1540.29</v>
      </c>
      <c r="AP339" s="107" t="n">
        <v>1.1339</v>
      </c>
      <c r="AQ339" s="107" t="n">
        <v>4934145</v>
      </c>
      <c r="AR339" s="107" t="n">
        <v>7600014202</v>
      </c>
      <c r="AS339" s="107" t="n">
        <v>5121800</v>
      </c>
      <c r="AT339" s="107" t="n">
        <v>8843402316</v>
      </c>
      <c r="AU339" s="107" t="n">
        <v>-187655</v>
      </c>
      <c r="AV339" s="107" t="n">
        <v>-289043120</v>
      </c>
      <c r="AW339" s="107" t="n">
        <v>20393.29</v>
      </c>
      <c r="AX339" s="107" t="n">
        <v>35211462</v>
      </c>
      <c r="AY339" s="107" t="n">
        <v>0</v>
      </c>
      <c r="AZ339" s="107" t="n">
        <v>0</v>
      </c>
      <c r="BA339" s="107" t="n">
        <v>0</v>
      </c>
      <c r="BB339" s="107" t="n">
        <v>0</v>
      </c>
      <c r="BC339" s="107" t="n">
        <v>0</v>
      </c>
      <c r="BD339" s="107" t="n">
        <v>0</v>
      </c>
      <c r="BE339" s="107" t="n">
        <v>124349.31</v>
      </c>
      <c r="BF339" s="107" t="n">
        <v>191533998</v>
      </c>
      <c r="BG339" s="107" t="n">
        <v>0</v>
      </c>
      <c r="BH339" s="107" t="n">
        <v>0</v>
      </c>
      <c r="BI339" s="107" t="n">
        <v>5121800</v>
      </c>
      <c r="BJ339" s="107" t="n">
        <v>8843402316</v>
      </c>
      <c r="BK339" s="107" t="n">
        <v>0</v>
      </c>
      <c r="BL339" s="107" t="n">
        <v>0</v>
      </c>
      <c r="BM339" s="107" t="n">
        <v>0</v>
      </c>
      <c r="BN339" s="107" t="n">
        <v>0</v>
      </c>
      <c r="BO339" s="107" t="s">
        <v>374</v>
      </c>
      <c r="BP339" s="2"/>
      <c r="BQ339" s="107" t="s">
        <v>364</v>
      </c>
      <c r="BR339" s="107" t="n">
        <v>-954344994</v>
      </c>
      <c r="BS339" s="107" t="n">
        <v>-3799881</v>
      </c>
      <c r="BT339" s="107" t="n">
        <v>0</v>
      </c>
      <c r="BU339" s="107" t="n">
        <v>0</v>
      </c>
      <c r="BV339" s="107" t="n">
        <v>0</v>
      </c>
      <c r="BW339" s="107" t="n">
        <v>144742.6</v>
      </c>
      <c r="BX339" s="107" t="n">
        <v>222945579</v>
      </c>
      <c r="BY339" s="107" t="n">
        <v>0</v>
      </c>
      <c r="BZ339" s="107" t="n">
        <v>0</v>
      </c>
      <c r="CA339" s="107" t="n">
        <v>1726.62</v>
      </c>
      <c r="CB339" s="2"/>
      <c r="CC339" s="107" t="n">
        <v>0</v>
      </c>
      <c r="CD339" s="107" t="n">
        <v>98.74</v>
      </c>
      <c r="CE339" s="107" t="n">
        <v>98.65</v>
      </c>
      <c r="CF339" s="107" t="n">
        <v>98.66</v>
      </c>
      <c r="CG339" s="107" t="n">
        <v>0</v>
      </c>
      <c r="CH339" s="107" t="n">
        <v>2.8412</v>
      </c>
      <c r="CI339" s="107" t="n">
        <v>96.54</v>
      </c>
      <c r="CJ339" s="107" t="n">
        <v>96.64</v>
      </c>
      <c r="CK339" s="107" t="n">
        <v>96.65</v>
      </c>
      <c r="CL339" s="107" t="n">
        <v>0</v>
      </c>
    </row>
    <row r="340" customFormat="false" ht="15" hidden="false" customHeight="false" outlineLevel="0" collapsed="false">
      <c r="A340" s="107" t="s">
        <v>759</v>
      </c>
      <c r="B340" s="107" t="n">
        <v>94.4802</v>
      </c>
      <c r="C340" s="107" t="n">
        <v>5.7269</v>
      </c>
      <c r="D340" s="107" t="n">
        <v>3.7979</v>
      </c>
      <c r="E340" s="107" t="n">
        <v>-1794.1317579</v>
      </c>
      <c r="F340" s="108" t="s">
        <v>358</v>
      </c>
      <c r="G340" s="107" t="n">
        <v>3.7979</v>
      </c>
      <c r="H340" s="107" t="n">
        <v>-1794.1317579</v>
      </c>
      <c r="I340" s="109" t="n">
        <v>47870</v>
      </c>
      <c r="J340" s="107" t="n">
        <v>5</v>
      </c>
      <c r="K340" s="108" t="s">
        <v>384</v>
      </c>
      <c r="L340" s="107" t="s">
        <v>298</v>
      </c>
      <c r="M340" s="107" t="n">
        <v>18989500</v>
      </c>
      <c r="N340" s="107" t="n">
        <v>100</v>
      </c>
      <c r="O340" s="107" t="n">
        <v>4724010</v>
      </c>
      <c r="P340" s="107" t="s">
        <v>538</v>
      </c>
      <c r="Q340" s="107" t="s">
        <v>106</v>
      </c>
      <c r="R340" s="107" t="n">
        <v>-0.127559261271048</v>
      </c>
      <c r="S340" s="107" t="n">
        <v>-0.0551980000000001</v>
      </c>
      <c r="T340" s="107" t="n">
        <v>-1845.4817466</v>
      </c>
      <c r="U340" s="107" t="n">
        <v>21069</v>
      </c>
      <c r="V340" s="108" t="s">
        <v>362</v>
      </c>
      <c r="W340" s="107" t="n">
        <v>38167</v>
      </c>
      <c r="X340" s="108" t="s">
        <v>372</v>
      </c>
      <c r="Y340" s="107" t="s">
        <v>755</v>
      </c>
      <c r="Z340" s="107" t="s">
        <v>760</v>
      </c>
      <c r="AA340" s="109" t="n">
        <v>46045</v>
      </c>
      <c r="AB340" s="107" t="n">
        <v>260123000001</v>
      </c>
      <c r="AC340" s="109" t="n">
        <v>45679</v>
      </c>
      <c r="AD340" s="109" t="n">
        <v>47321</v>
      </c>
      <c r="AE340" s="107" t="n">
        <v>3.125</v>
      </c>
      <c r="AF340" s="107" t="n">
        <v>2.6824</v>
      </c>
      <c r="AG340" s="107" t="n">
        <v>1026</v>
      </c>
      <c r="AH340" s="107" t="n">
        <v>2000000</v>
      </c>
      <c r="AI340" s="107" t="n">
        <v>2.805007</v>
      </c>
      <c r="AJ340" s="107" t="n">
        <v>101.04</v>
      </c>
      <c r="AK340" s="107" t="n">
        <v>2.730677</v>
      </c>
      <c r="AL340" s="107" t="n">
        <v>101.639315</v>
      </c>
      <c r="AM340" s="107" t="n">
        <v>4.0367</v>
      </c>
      <c r="AN340" s="107" t="n">
        <v>97.6105</v>
      </c>
      <c r="AO340" s="107" t="n">
        <v>1540.29</v>
      </c>
      <c r="AP340" s="107" t="n">
        <v>1.1339</v>
      </c>
      <c r="AQ340" s="107" t="n">
        <v>1952210</v>
      </c>
      <c r="AR340" s="107" t="n">
        <v>3006969541</v>
      </c>
      <c r="AS340" s="107" t="n">
        <v>2020800</v>
      </c>
      <c r="AT340" s="107" t="n">
        <v>3499439568</v>
      </c>
      <c r="AU340" s="107" t="n">
        <v>-68590</v>
      </c>
      <c r="AV340" s="107" t="n">
        <v>-105648491</v>
      </c>
      <c r="AW340" s="107" t="n">
        <v>0</v>
      </c>
      <c r="AX340" s="107" t="n">
        <v>0</v>
      </c>
      <c r="AY340" s="107" t="n">
        <v>0</v>
      </c>
      <c r="AZ340" s="107" t="n">
        <v>0</v>
      </c>
      <c r="BA340" s="107" t="n">
        <v>0</v>
      </c>
      <c r="BB340" s="107" t="n">
        <v>0</v>
      </c>
      <c r="BC340" s="107" t="n">
        <v>0</v>
      </c>
      <c r="BD340" s="107" t="n">
        <v>0</v>
      </c>
      <c r="BE340" s="107" t="n">
        <v>11986.3</v>
      </c>
      <c r="BF340" s="107" t="n">
        <v>18462378</v>
      </c>
      <c r="BG340" s="107" t="n">
        <v>0</v>
      </c>
      <c r="BH340" s="107" t="n">
        <v>0</v>
      </c>
      <c r="BI340" s="107" t="n">
        <v>2020800</v>
      </c>
      <c r="BJ340" s="107" t="n">
        <v>3499439568</v>
      </c>
      <c r="BK340" s="107" t="n">
        <v>0</v>
      </c>
      <c r="BL340" s="107" t="n">
        <v>0</v>
      </c>
      <c r="BM340" s="107" t="n">
        <v>0</v>
      </c>
      <c r="BN340" s="107" t="n">
        <v>0</v>
      </c>
      <c r="BO340" s="107" t="s">
        <v>106</v>
      </c>
      <c r="BP340" s="2"/>
      <c r="BQ340" s="107" t="s">
        <v>369</v>
      </c>
      <c r="BR340" s="107" t="n">
        <v>-386821536</v>
      </c>
      <c r="BS340" s="107" t="n">
        <v>0</v>
      </c>
      <c r="BT340" s="107" t="n">
        <v>0</v>
      </c>
      <c r="BU340" s="107" t="n">
        <v>0</v>
      </c>
      <c r="BV340" s="107" t="n">
        <v>0</v>
      </c>
      <c r="BW340" s="107" t="n">
        <v>11986.3</v>
      </c>
      <c r="BX340" s="107" t="n">
        <v>18462378</v>
      </c>
      <c r="BY340" s="107" t="n">
        <v>0</v>
      </c>
      <c r="BZ340" s="107" t="n">
        <v>0</v>
      </c>
      <c r="CA340" s="107" t="n">
        <v>1731.71</v>
      </c>
      <c r="CB340" s="2"/>
      <c r="CC340" s="107" t="n">
        <v>0</v>
      </c>
      <c r="CD340" s="107" t="n">
        <v>97.63</v>
      </c>
      <c r="CE340" s="107" t="n">
        <v>97.57</v>
      </c>
      <c r="CF340" s="107" t="n">
        <v>97.63</v>
      </c>
      <c r="CG340" s="107" t="n">
        <v>0</v>
      </c>
      <c r="CH340" s="107" t="n">
        <v>2.5783</v>
      </c>
      <c r="CI340" s="107" t="n">
        <v>98.88</v>
      </c>
      <c r="CJ340" s="107" t="n">
        <v>98.9</v>
      </c>
      <c r="CK340" s="107" t="n">
        <v>99.08</v>
      </c>
      <c r="CL340" s="107" t="n">
        <v>0</v>
      </c>
    </row>
    <row r="341" customFormat="false" ht="15" hidden="false" customHeight="false" outlineLevel="0" collapsed="false">
      <c r="A341" s="107" t="s">
        <v>761</v>
      </c>
      <c r="B341" s="107" t="n">
        <v>99.9237</v>
      </c>
      <c r="C341" s="107" t="n">
        <v>5.0896</v>
      </c>
      <c r="D341" s="107" t="n">
        <v>0.3045</v>
      </c>
      <c r="E341" s="107" t="n">
        <v>-6.08535333</v>
      </c>
      <c r="F341" s="108" t="s">
        <v>358</v>
      </c>
      <c r="G341" s="107" t="n">
        <v>0.3045</v>
      </c>
      <c r="H341" s="107" t="n">
        <v>-6.08535333</v>
      </c>
      <c r="I341" s="109" t="n">
        <v>46410</v>
      </c>
      <c r="J341" s="107" t="n">
        <v>1</v>
      </c>
      <c r="K341" s="107" t="s">
        <v>359</v>
      </c>
      <c r="L341" s="107" t="s">
        <v>298</v>
      </c>
      <c r="M341" s="107" t="n">
        <v>60900</v>
      </c>
      <c r="N341" s="107" t="n">
        <v>99.513</v>
      </c>
      <c r="O341" s="107" t="n">
        <v>199847.4</v>
      </c>
      <c r="P341" s="107" t="s">
        <v>483</v>
      </c>
      <c r="Q341" s="107" t="s">
        <v>377</v>
      </c>
      <c r="R341" s="107" t="n">
        <v>-0.0597220210064963</v>
      </c>
      <c r="S341" s="107" t="n">
        <v>0.00412709897199348</v>
      </c>
      <c r="T341" s="107" t="n">
        <v>-6.241234302</v>
      </c>
      <c r="U341" s="107" t="n">
        <v>21069</v>
      </c>
      <c r="V341" s="108" t="s">
        <v>362</v>
      </c>
      <c r="W341" s="107" t="n">
        <v>38167</v>
      </c>
      <c r="X341" s="108" t="s">
        <v>372</v>
      </c>
      <c r="Y341" s="107" t="s">
        <v>757</v>
      </c>
      <c r="Z341" s="107" t="s">
        <v>762</v>
      </c>
      <c r="AA341" s="109" t="n">
        <v>46045</v>
      </c>
      <c r="AB341" s="107" t="n">
        <v>260123000001</v>
      </c>
      <c r="AC341" s="109" t="n">
        <v>46043</v>
      </c>
      <c r="AD341" s="109" t="n">
        <v>47139</v>
      </c>
      <c r="AE341" s="107" t="n">
        <v>2.861</v>
      </c>
      <c r="AF341" s="107" t="n">
        <v>2.1575</v>
      </c>
      <c r="AG341" s="107" t="n">
        <v>844</v>
      </c>
      <c r="AH341" s="107" t="n">
        <v>3000000</v>
      </c>
      <c r="AI341" s="107" t="n">
        <v>2.81</v>
      </c>
      <c r="AJ341" s="107" t="n">
        <v>100.144</v>
      </c>
      <c r="AK341" s="107" t="n">
        <v>2.788188</v>
      </c>
      <c r="AL341" s="107" t="n">
        <v>102.119265</v>
      </c>
      <c r="AM341" s="107" t="n">
        <v>4.0233</v>
      </c>
      <c r="AN341" s="107" t="n">
        <v>97.4667</v>
      </c>
      <c r="AO341" s="107" t="n">
        <v>1540.29</v>
      </c>
      <c r="AP341" s="107" t="n">
        <v>1.1339</v>
      </c>
      <c r="AQ341" s="107" t="n">
        <v>2924001</v>
      </c>
      <c r="AR341" s="107" t="n">
        <v>4503809500</v>
      </c>
      <c r="AS341" s="107" t="n">
        <v>3004320</v>
      </c>
      <c r="AT341" s="107" t="n">
        <v>5187318998</v>
      </c>
      <c r="AU341" s="107" t="n">
        <v>-80319</v>
      </c>
      <c r="AV341" s="107" t="n">
        <v>-123714553</v>
      </c>
      <c r="AW341" s="107" t="n">
        <v>470.3</v>
      </c>
      <c r="AX341" s="107" t="n">
        <v>812029</v>
      </c>
      <c r="AY341" s="107" t="n">
        <v>0</v>
      </c>
      <c r="AZ341" s="107" t="n">
        <v>0</v>
      </c>
      <c r="BA341" s="107" t="n">
        <v>0</v>
      </c>
      <c r="BB341" s="107" t="n">
        <v>0</v>
      </c>
      <c r="BC341" s="107" t="n">
        <v>0</v>
      </c>
      <c r="BD341" s="107" t="n">
        <v>0</v>
      </c>
      <c r="BE341" s="107" t="n">
        <v>58787.67</v>
      </c>
      <c r="BF341" s="107" t="n">
        <v>90550060</v>
      </c>
      <c r="BG341" s="107" t="n">
        <v>0</v>
      </c>
      <c r="BH341" s="107" t="n">
        <v>0</v>
      </c>
      <c r="BI341" s="107" t="n">
        <v>3004320</v>
      </c>
      <c r="BJ341" s="107" t="n">
        <v>5187318998</v>
      </c>
      <c r="BK341" s="107" t="n">
        <v>0</v>
      </c>
      <c r="BL341" s="107" t="n">
        <v>0</v>
      </c>
      <c r="BM341" s="107" t="n">
        <v>0</v>
      </c>
      <c r="BN341" s="107" t="n">
        <v>0</v>
      </c>
      <c r="BO341" s="2"/>
      <c r="BP341" s="2"/>
      <c r="BQ341" s="107" t="s">
        <v>374</v>
      </c>
      <c r="BR341" s="107" t="n">
        <v>-559794945</v>
      </c>
      <c r="BS341" s="107" t="n">
        <v>-87631</v>
      </c>
      <c r="BT341" s="107" t="n">
        <v>0</v>
      </c>
      <c r="BU341" s="107" t="n">
        <v>0</v>
      </c>
      <c r="BV341" s="107" t="n">
        <v>0</v>
      </c>
      <c r="BW341" s="107" t="n">
        <v>59257.97</v>
      </c>
      <c r="BX341" s="107" t="n">
        <v>91274458</v>
      </c>
      <c r="BY341" s="107" t="n">
        <v>0</v>
      </c>
      <c r="BZ341" s="107" t="n">
        <v>0</v>
      </c>
      <c r="CA341" s="107" t="n">
        <v>1726.62</v>
      </c>
      <c r="CB341" s="2"/>
      <c r="CC341" s="107" t="n">
        <v>0</v>
      </c>
      <c r="CD341" s="107" t="n">
        <v>97.45</v>
      </c>
      <c r="CE341" s="107" t="n">
        <v>97.49</v>
      </c>
      <c r="CF341" s="107" t="n">
        <v>97.46</v>
      </c>
      <c r="CG341" s="107" t="n">
        <v>0</v>
      </c>
      <c r="CH341" s="107" t="n">
        <v>2.0741</v>
      </c>
      <c r="CI341" s="107" t="n">
        <v>99.27</v>
      </c>
      <c r="CJ341" s="107" t="n">
        <v>99.23</v>
      </c>
      <c r="CK341" s="107" t="n">
        <v>99.41</v>
      </c>
      <c r="CL341" s="107" t="n">
        <v>1000000</v>
      </c>
    </row>
    <row r="342" customFormat="false" ht="15" hidden="false" customHeight="false" outlineLevel="0" collapsed="false">
      <c r="A342" s="107" t="s">
        <v>763</v>
      </c>
      <c r="B342" s="107" t="n">
        <v>95.3168</v>
      </c>
      <c r="C342" s="107" t="n">
        <v>5.5505</v>
      </c>
      <c r="D342" s="107" t="n">
        <v>3.8839</v>
      </c>
      <c r="E342" s="107" t="n">
        <v>-1110.60275856</v>
      </c>
      <c r="F342" s="108" t="s">
        <v>358</v>
      </c>
      <c r="G342" s="107" t="n">
        <v>3.8839</v>
      </c>
      <c r="H342" s="107" t="n">
        <v>-1110.60275856</v>
      </c>
      <c r="I342" s="109" t="n">
        <v>47959</v>
      </c>
      <c r="J342" s="107" t="n">
        <v>5</v>
      </c>
      <c r="K342" s="107" t="s">
        <v>359</v>
      </c>
      <c r="L342" s="107" t="s">
        <v>298</v>
      </c>
      <c r="M342" s="107" t="n">
        <v>11651700</v>
      </c>
      <c r="N342" s="107" t="n">
        <v>99.579</v>
      </c>
      <c r="O342" s="107" t="n">
        <v>2859504</v>
      </c>
      <c r="P342" s="107" t="s">
        <v>764</v>
      </c>
      <c r="Q342" s="107" t="s">
        <v>106</v>
      </c>
      <c r="R342" s="107" t="n">
        <v>-0.114886182160913</v>
      </c>
      <c r="S342" s="107" t="n">
        <v>-0.0428021972504242</v>
      </c>
      <c r="T342" s="107" t="n">
        <v>-1141.42821168</v>
      </c>
      <c r="U342" s="107" t="n">
        <v>21069</v>
      </c>
      <c r="V342" s="108" t="s">
        <v>362</v>
      </c>
      <c r="W342" s="107" t="n">
        <v>38168</v>
      </c>
      <c r="X342" s="108" t="s">
        <v>372</v>
      </c>
      <c r="Y342" s="107" t="s">
        <v>759</v>
      </c>
      <c r="Z342" s="107" t="s">
        <v>765</v>
      </c>
      <c r="AA342" s="109" t="n">
        <v>46044</v>
      </c>
      <c r="AB342" s="107" t="n">
        <v>260122000001</v>
      </c>
      <c r="AC342" s="109" t="n">
        <v>46044</v>
      </c>
      <c r="AD342" s="109" t="n">
        <v>48235</v>
      </c>
      <c r="AE342" s="107" t="n">
        <v>4.347</v>
      </c>
      <c r="AF342" s="107" t="n">
        <v>3.904</v>
      </c>
      <c r="AG342" s="107" t="n">
        <v>1940</v>
      </c>
      <c r="AH342" s="107" t="n">
        <v>5000000</v>
      </c>
      <c r="AI342" s="107" t="n">
        <v>4.347</v>
      </c>
      <c r="AJ342" s="107" t="n">
        <v>100</v>
      </c>
      <c r="AK342" s="107" t="n">
        <v>4.345832</v>
      </c>
      <c r="AL342" s="107" t="n">
        <v>100.8211</v>
      </c>
      <c r="AM342" s="107" t="n">
        <v>5.707</v>
      </c>
      <c r="AN342" s="107" t="n">
        <v>94.562</v>
      </c>
      <c r="AO342" s="107" t="n">
        <v>1358.4</v>
      </c>
      <c r="AP342" s="107" t="n">
        <v>1</v>
      </c>
      <c r="AQ342" s="107" t="n">
        <v>4728100</v>
      </c>
      <c r="AR342" s="107" t="n">
        <v>6422651040</v>
      </c>
      <c r="AS342" s="107" t="n">
        <v>5000000</v>
      </c>
      <c r="AT342" s="107" t="n">
        <v>7364000000</v>
      </c>
      <c r="AU342" s="107" t="n">
        <v>-271900</v>
      </c>
      <c r="AV342" s="107" t="n">
        <v>-369348960</v>
      </c>
      <c r="AW342" s="107" t="n">
        <v>0</v>
      </c>
      <c r="AX342" s="107" t="n">
        <v>0</v>
      </c>
      <c r="AY342" s="107" t="n">
        <v>0</v>
      </c>
      <c r="AZ342" s="107" t="n">
        <v>0</v>
      </c>
      <c r="BA342" s="107" t="n">
        <v>0</v>
      </c>
      <c r="BB342" s="107" t="n">
        <v>0</v>
      </c>
      <c r="BC342" s="107" t="n">
        <v>0</v>
      </c>
      <c r="BD342" s="107" t="n">
        <v>0</v>
      </c>
      <c r="BE342" s="107" t="n">
        <v>41055</v>
      </c>
      <c r="BF342" s="107" t="n">
        <v>55769112</v>
      </c>
      <c r="BG342" s="107" t="n">
        <v>0</v>
      </c>
      <c r="BH342" s="107" t="n">
        <v>0</v>
      </c>
      <c r="BI342" s="107" t="n">
        <v>5000000</v>
      </c>
      <c r="BJ342" s="107" t="n">
        <v>7364000000</v>
      </c>
      <c r="BK342" s="107" t="n">
        <v>0</v>
      </c>
      <c r="BL342" s="107" t="n">
        <v>0</v>
      </c>
      <c r="BM342" s="107" t="n">
        <v>0</v>
      </c>
      <c r="BN342" s="107" t="n">
        <v>0</v>
      </c>
      <c r="BO342" s="107" t="s">
        <v>106</v>
      </c>
      <c r="BP342" s="2"/>
      <c r="BQ342" s="107" t="s">
        <v>364</v>
      </c>
      <c r="BR342" s="107" t="n">
        <v>-572000000</v>
      </c>
      <c r="BS342" s="107" t="n">
        <v>0</v>
      </c>
      <c r="BT342" s="107" t="n">
        <v>0</v>
      </c>
      <c r="BU342" s="107" t="n">
        <v>0</v>
      </c>
      <c r="BV342" s="107" t="n">
        <v>0</v>
      </c>
      <c r="BW342" s="107" t="n">
        <v>41055</v>
      </c>
      <c r="BX342" s="107" t="n">
        <v>55769112</v>
      </c>
      <c r="BY342" s="107" t="n">
        <v>0</v>
      </c>
      <c r="BZ342" s="107" t="n">
        <v>0</v>
      </c>
      <c r="CA342" s="107" t="n">
        <v>1472.8</v>
      </c>
      <c r="CB342" s="2"/>
      <c r="CC342" s="107" t="n">
        <v>0</v>
      </c>
      <c r="CD342" s="107" t="n">
        <v>94.56</v>
      </c>
      <c r="CE342" s="107" t="n">
        <v>94.57</v>
      </c>
      <c r="CF342" s="107" t="n">
        <v>94.56</v>
      </c>
      <c r="CG342" s="107" t="n">
        <v>0</v>
      </c>
      <c r="CH342" s="107" t="n">
        <v>3.7957</v>
      </c>
      <c r="CI342" s="107" t="n">
        <v>99.27</v>
      </c>
      <c r="CJ342" s="107" t="n">
        <v>99.23</v>
      </c>
      <c r="CK342" s="107" t="n">
        <v>99.41</v>
      </c>
      <c r="CL342" s="107" t="n">
        <v>4000000</v>
      </c>
    </row>
    <row r="343" customFormat="false" ht="15" hidden="false" customHeight="false" outlineLevel="0" collapsed="false">
      <c r="A343" s="107" t="s">
        <v>766</v>
      </c>
      <c r="B343" s="107" t="n">
        <v>95.9266</v>
      </c>
      <c r="C343" s="107" t="n">
        <v>5.6493</v>
      </c>
      <c r="D343" s="107" t="n">
        <v>4.4528</v>
      </c>
      <c r="E343" s="107" t="n">
        <v>-427.14196448</v>
      </c>
      <c r="F343" s="108" t="s">
        <v>358</v>
      </c>
      <c r="G343" s="107" t="n">
        <v>4.4528</v>
      </c>
      <c r="H343" s="107" t="n">
        <v>-427.14196448</v>
      </c>
      <c r="I343" s="109" t="n">
        <v>48226</v>
      </c>
      <c r="J343" s="107" t="n">
        <v>10</v>
      </c>
      <c r="K343" s="107" t="s">
        <v>359</v>
      </c>
      <c r="L343" s="107" t="s">
        <v>298</v>
      </c>
      <c r="M343" s="107" t="n">
        <v>4452800</v>
      </c>
      <c r="N343" s="107" t="n">
        <v>99.86</v>
      </c>
      <c r="O343" s="107" t="n">
        <v>959266</v>
      </c>
      <c r="P343" s="107" t="s">
        <v>694</v>
      </c>
      <c r="Q343" s="107" t="s">
        <v>364</v>
      </c>
      <c r="R343" s="107" t="n">
        <v>-0.124487273350162</v>
      </c>
      <c r="S343" s="107" t="n">
        <v>-0.0393891448027238</v>
      </c>
      <c r="T343" s="107" t="n">
        <v>-439.20953076</v>
      </c>
      <c r="U343" s="107" t="n">
        <v>21069</v>
      </c>
      <c r="V343" s="108" t="s">
        <v>362</v>
      </c>
      <c r="W343" s="107" t="n">
        <v>38168</v>
      </c>
      <c r="X343" s="108" t="s">
        <v>372</v>
      </c>
      <c r="Y343" s="107" t="s">
        <v>761</v>
      </c>
      <c r="Z343" s="107" t="s">
        <v>767</v>
      </c>
      <c r="AA343" s="109" t="n">
        <v>45314</v>
      </c>
      <c r="AB343" s="107" t="n">
        <v>240123000001</v>
      </c>
      <c r="AC343" s="109" t="n">
        <v>45314</v>
      </c>
      <c r="AD343" s="109" t="n">
        <v>46410</v>
      </c>
      <c r="AE343" s="107" t="n">
        <v>4.875</v>
      </c>
      <c r="AF343" s="107" t="n">
        <v>0.3096</v>
      </c>
      <c r="AG343" s="107" t="n">
        <v>115</v>
      </c>
      <c r="AH343" s="107" t="n">
        <v>200000</v>
      </c>
      <c r="AI343" s="107" t="n">
        <v>5.051983</v>
      </c>
      <c r="AJ343" s="107" t="n">
        <v>99.513</v>
      </c>
      <c r="AK343" s="107" t="n">
        <v>2.535709</v>
      </c>
      <c r="AL343" s="107" t="n">
        <v>101.63049</v>
      </c>
      <c r="AM343" s="107" t="n">
        <v>5.0596</v>
      </c>
      <c r="AN343" s="107" t="n">
        <v>99.9334</v>
      </c>
      <c r="AO343" s="107" t="n">
        <v>1358.4</v>
      </c>
      <c r="AP343" s="107" t="n">
        <v>1</v>
      </c>
      <c r="AQ343" s="107" t="n">
        <v>199866.8</v>
      </c>
      <c r="AR343" s="107" t="n">
        <v>271499061</v>
      </c>
      <c r="AS343" s="107" t="n">
        <v>201446.4</v>
      </c>
      <c r="AT343" s="107" t="n">
        <v>289055439</v>
      </c>
      <c r="AU343" s="107" t="n">
        <v>-1579.6</v>
      </c>
      <c r="AV343" s="107" t="n">
        <v>-2145729</v>
      </c>
      <c r="AW343" s="107" t="n">
        <v>0</v>
      </c>
      <c r="AX343" s="107" t="n">
        <v>0</v>
      </c>
      <c r="AY343" s="107" t="n">
        <v>0</v>
      </c>
      <c r="AZ343" s="107" t="n">
        <v>0</v>
      </c>
      <c r="BA343" s="107" t="n">
        <v>0</v>
      </c>
      <c r="BB343" s="107" t="n">
        <v>0</v>
      </c>
      <c r="BC343" s="107" t="n">
        <v>0</v>
      </c>
      <c r="BD343" s="107" t="n">
        <v>0</v>
      </c>
      <c r="BE343" s="107" t="n">
        <v>1814.58</v>
      </c>
      <c r="BF343" s="107" t="n">
        <v>2464925</v>
      </c>
      <c r="BG343" s="107" t="n">
        <v>0</v>
      </c>
      <c r="BH343" s="107" t="n">
        <v>0</v>
      </c>
      <c r="BI343" s="107" t="n">
        <v>199026</v>
      </c>
      <c r="BJ343" s="107" t="n">
        <v>285554959</v>
      </c>
      <c r="BK343" s="107" t="n">
        <v>0</v>
      </c>
      <c r="BL343" s="107" t="n">
        <v>0</v>
      </c>
      <c r="BM343" s="107" t="n">
        <v>0</v>
      </c>
      <c r="BN343" s="107" t="n">
        <v>0</v>
      </c>
      <c r="BO343" s="107" t="s">
        <v>377</v>
      </c>
      <c r="BP343" s="2"/>
      <c r="BQ343" s="107" t="s">
        <v>369</v>
      </c>
      <c r="BR343" s="107" t="n">
        <v>-15410649</v>
      </c>
      <c r="BS343" s="107" t="n">
        <v>0</v>
      </c>
      <c r="BT343" s="107" t="n">
        <v>0</v>
      </c>
      <c r="BU343" s="107" t="n">
        <v>2420.4</v>
      </c>
      <c r="BV343" s="107" t="n">
        <v>3500480</v>
      </c>
      <c r="BW343" s="107" t="n">
        <v>1814.58</v>
      </c>
      <c r="BX343" s="107" t="n">
        <v>2464925</v>
      </c>
      <c r="BY343" s="107" t="n">
        <v>0</v>
      </c>
      <c r="BZ343" s="107" t="n">
        <v>0</v>
      </c>
      <c r="CA343" s="107" t="n">
        <v>1434.9</v>
      </c>
      <c r="CB343" s="2"/>
      <c r="CC343" s="107" t="n">
        <v>0</v>
      </c>
      <c r="CD343" s="107" t="n">
        <v>99.9</v>
      </c>
      <c r="CE343" s="107" t="n">
        <v>99.94</v>
      </c>
      <c r="CF343" s="107" t="n">
        <v>99.96</v>
      </c>
      <c r="CG343" s="107" t="n">
        <v>200000</v>
      </c>
      <c r="CH343" s="107" t="n">
        <v>0.302</v>
      </c>
      <c r="CI343" s="107" t="n">
        <v>100.95</v>
      </c>
      <c r="CJ343" s="107" t="n">
        <v>101</v>
      </c>
      <c r="CK343" s="107" t="n">
        <v>101.03</v>
      </c>
      <c r="CL343" s="107" t="n">
        <v>3500000</v>
      </c>
    </row>
    <row r="344" customFormat="false" ht="15" hidden="false" customHeight="false" outlineLevel="0" collapsed="false">
      <c r="A344" s="107" t="s">
        <v>768</v>
      </c>
      <c r="B344" s="107" t="n">
        <v>97.2688</v>
      </c>
      <c r="C344" s="107" t="n">
        <v>5.3854</v>
      </c>
      <c r="D344" s="107" t="n">
        <v>3.045</v>
      </c>
      <c r="E344" s="107" t="n">
        <v>-1480.91748</v>
      </c>
      <c r="F344" s="108" t="s">
        <v>358</v>
      </c>
      <c r="G344" s="107" t="n">
        <v>3.045</v>
      </c>
      <c r="H344" s="107" t="n">
        <v>-1480.91748</v>
      </c>
      <c r="I344" s="109" t="n">
        <v>47541</v>
      </c>
      <c r="J344" s="107" t="n">
        <v>3</v>
      </c>
      <c r="K344" s="107" t="s">
        <v>359</v>
      </c>
      <c r="L344" s="107" t="s">
        <v>298</v>
      </c>
      <c r="M344" s="107" t="n">
        <v>15225000</v>
      </c>
      <c r="N344" s="107" t="n">
        <v>99.441</v>
      </c>
      <c r="O344" s="107" t="n">
        <v>4863440</v>
      </c>
      <c r="P344" s="107" t="s">
        <v>769</v>
      </c>
      <c r="Q344" s="107" t="s">
        <v>364</v>
      </c>
      <c r="R344" s="107" t="n">
        <v>-0.0391809703443286</v>
      </c>
      <c r="S344" s="107" t="n">
        <v>-0.0218441085668889</v>
      </c>
      <c r="T344" s="107" t="n">
        <v>-1520.797688</v>
      </c>
      <c r="U344" s="107" t="n">
        <v>21069</v>
      </c>
      <c r="V344" s="108" t="s">
        <v>362</v>
      </c>
      <c r="W344" s="107" t="n">
        <v>42003</v>
      </c>
      <c r="X344" s="108" t="s">
        <v>372</v>
      </c>
      <c r="Y344" s="107" t="s">
        <v>763</v>
      </c>
      <c r="Z344" s="107" t="s">
        <v>770</v>
      </c>
      <c r="AA344" s="109" t="n">
        <v>46135</v>
      </c>
      <c r="AB344" s="107" t="n">
        <v>260423000001</v>
      </c>
      <c r="AC344" s="109" t="n">
        <v>46133</v>
      </c>
      <c r="AD344" s="109" t="n">
        <v>47959</v>
      </c>
      <c r="AE344" s="107" t="n">
        <v>4.375</v>
      </c>
      <c r="AF344" s="107" t="n">
        <v>3.9897</v>
      </c>
      <c r="AG344" s="107" t="n">
        <v>1664</v>
      </c>
      <c r="AH344" s="107" t="n">
        <v>3000000</v>
      </c>
      <c r="AI344" s="107" t="n">
        <v>4.47</v>
      </c>
      <c r="AJ344" s="107" t="n">
        <v>99.579</v>
      </c>
      <c r="AK344" s="107" t="n">
        <v>4.465368</v>
      </c>
      <c r="AL344" s="107" t="n">
        <v>101.560784</v>
      </c>
      <c r="AM344" s="107" t="n">
        <v>5.5155</v>
      </c>
      <c r="AN344" s="107" t="n">
        <v>95.4548</v>
      </c>
      <c r="AO344" s="107" t="n">
        <v>1358.4</v>
      </c>
      <c r="AP344" s="107" t="n">
        <v>1</v>
      </c>
      <c r="AQ344" s="107" t="n">
        <v>2863644</v>
      </c>
      <c r="AR344" s="107" t="n">
        <v>3889974010</v>
      </c>
      <c r="AS344" s="107" t="n">
        <v>2987286.49</v>
      </c>
      <c r="AT344" s="107" t="n">
        <v>4393700970</v>
      </c>
      <c r="AU344" s="107" t="n">
        <v>-123642.49</v>
      </c>
      <c r="AV344" s="107" t="n">
        <v>-167955958</v>
      </c>
      <c r="AW344" s="107" t="n">
        <v>729.17</v>
      </c>
      <c r="AX344" s="107" t="n">
        <v>1072463</v>
      </c>
      <c r="AY344" s="107" t="n">
        <v>83.51</v>
      </c>
      <c r="AZ344" s="107" t="n">
        <v>122826</v>
      </c>
      <c r="BA344" s="107" t="n">
        <v>0</v>
      </c>
      <c r="BB344" s="107" t="n">
        <v>0</v>
      </c>
      <c r="BC344" s="107" t="n">
        <v>0</v>
      </c>
      <c r="BD344" s="107" t="n">
        <v>0</v>
      </c>
      <c r="BE344" s="107" t="n">
        <v>57239.58</v>
      </c>
      <c r="BF344" s="107" t="n">
        <v>77754245</v>
      </c>
      <c r="BG344" s="107" t="n">
        <v>1484.78</v>
      </c>
      <c r="BH344" s="107" t="n">
        <v>2016925</v>
      </c>
      <c r="BI344" s="107" t="n">
        <v>2987286.49</v>
      </c>
      <c r="BJ344" s="107" t="n">
        <v>4393700970</v>
      </c>
      <c r="BK344" s="107" t="n">
        <v>0</v>
      </c>
      <c r="BL344" s="107" t="n">
        <v>0</v>
      </c>
      <c r="BM344" s="107" t="n">
        <v>0</v>
      </c>
      <c r="BN344" s="107" t="n">
        <v>0</v>
      </c>
      <c r="BO344" s="107" t="s">
        <v>374</v>
      </c>
      <c r="BP344" s="2"/>
      <c r="BQ344" s="107" t="s">
        <v>369</v>
      </c>
      <c r="BR344" s="107" t="n">
        <v>-335771002</v>
      </c>
      <c r="BS344" s="107" t="n">
        <v>-91344</v>
      </c>
      <c r="BT344" s="107" t="n">
        <v>0</v>
      </c>
      <c r="BU344" s="107" t="n">
        <v>0</v>
      </c>
      <c r="BV344" s="107" t="n">
        <v>0</v>
      </c>
      <c r="BW344" s="107" t="n">
        <v>57968.75</v>
      </c>
      <c r="BX344" s="107" t="n">
        <v>78744750</v>
      </c>
      <c r="BY344" s="107" t="n">
        <v>1568.29</v>
      </c>
      <c r="BZ344" s="107" t="n">
        <v>2130365</v>
      </c>
      <c r="CA344" s="107" t="n">
        <v>1470.8</v>
      </c>
      <c r="CB344" s="2"/>
      <c r="CC344" s="107" t="n">
        <v>0</v>
      </c>
      <c r="CD344" s="107" t="n">
        <v>95.47</v>
      </c>
      <c r="CE344" s="107" t="n">
        <v>95.44</v>
      </c>
      <c r="CF344" s="107" t="n">
        <v>95.45</v>
      </c>
      <c r="CG344" s="107" t="n">
        <v>3000000</v>
      </c>
      <c r="CH344" s="107" t="n">
        <v>3.8826</v>
      </c>
      <c r="CI344" s="107" t="n">
        <v>98.82</v>
      </c>
      <c r="CJ344" s="107" t="n">
        <v>98.83</v>
      </c>
      <c r="CK344" s="107" t="n">
        <v>98.94</v>
      </c>
      <c r="CL344" s="107" t="n">
        <v>0</v>
      </c>
    </row>
    <row r="345" customFormat="false" ht="15" hidden="false" customHeight="false" outlineLevel="0" collapsed="false">
      <c r="A345" s="107" t="s">
        <v>768</v>
      </c>
      <c r="B345" s="107" t="n">
        <v>97.2688</v>
      </c>
      <c r="C345" s="107" t="n">
        <v>5.3854</v>
      </c>
      <c r="D345" s="107" t="n">
        <v>3.045</v>
      </c>
      <c r="E345" s="107" t="n">
        <v>-2961.83496</v>
      </c>
      <c r="F345" s="108" t="s">
        <v>358</v>
      </c>
      <c r="G345" s="107" t="n">
        <v>3.045</v>
      </c>
      <c r="H345" s="107" t="n">
        <v>-2961.83496</v>
      </c>
      <c r="I345" s="109" t="n">
        <v>47541</v>
      </c>
      <c r="J345" s="107" t="n">
        <v>3</v>
      </c>
      <c r="K345" s="107" t="s">
        <v>359</v>
      </c>
      <c r="L345" s="107" t="s">
        <v>298</v>
      </c>
      <c r="M345" s="107" t="n">
        <v>30450000</v>
      </c>
      <c r="N345" s="107" t="n">
        <v>99.489</v>
      </c>
      <c r="O345" s="107" t="n">
        <v>9726880</v>
      </c>
      <c r="P345" s="107" t="s">
        <v>769</v>
      </c>
      <c r="Q345" s="107" t="s">
        <v>364</v>
      </c>
      <c r="R345" s="107" t="n">
        <v>-0.0366527909168111</v>
      </c>
      <c r="S345" s="107" t="n">
        <v>-0.022316034938536</v>
      </c>
      <c r="T345" s="107" t="n">
        <v>-3041.595376</v>
      </c>
      <c r="U345" s="107" t="n">
        <v>21069</v>
      </c>
      <c r="V345" s="108" t="s">
        <v>362</v>
      </c>
      <c r="W345" s="107" t="n">
        <v>42003</v>
      </c>
      <c r="X345" s="108" t="s">
        <v>372</v>
      </c>
      <c r="Y345" s="107" t="s">
        <v>766</v>
      </c>
      <c r="Z345" s="107" t="s">
        <v>771</v>
      </c>
      <c r="AA345" s="109" t="n">
        <v>46219</v>
      </c>
      <c r="AB345" s="107" t="n">
        <v>260716000001</v>
      </c>
      <c r="AC345" s="109" t="n">
        <v>46216</v>
      </c>
      <c r="AD345" s="109" t="n">
        <v>48226</v>
      </c>
      <c r="AE345" s="107" t="n">
        <v>4.75</v>
      </c>
      <c r="AF345" s="107" t="n">
        <v>4.5768</v>
      </c>
      <c r="AG345" s="107" t="n">
        <v>1931</v>
      </c>
      <c r="AH345" s="107" t="n">
        <v>1000000</v>
      </c>
      <c r="AI345" s="107" t="n">
        <v>4.78</v>
      </c>
      <c r="AJ345" s="107" t="n">
        <v>99.86</v>
      </c>
      <c r="AK345" s="107" t="n">
        <v>4.777625</v>
      </c>
      <c r="AL345" s="107" t="n">
        <v>100.881398</v>
      </c>
      <c r="AM345" s="107" t="n">
        <v>5.6153</v>
      </c>
      <c r="AN345" s="107" t="n">
        <v>96.0782</v>
      </c>
      <c r="AO345" s="107" t="n">
        <v>1358.4</v>
      </c>
      <c r="AP345" s="107" t="n">
        <v>1</v>
      </c>
      <c r="AQ345" s="107" t="n">
        <v>960782</v>
      </c>
      <c r="AR345" s="107" t="n">
        <v>1305126269</v>
      </c>
      <c r="AS345" s="107" t="n">
        <v>998592.87</v>
      </c>
      <c r="AT345" s="107" t="n">
        <v>1490100281</v>
      </c>
      <c r="AU345" s="107" t="n">
        <v>-37810.87</v>
      </c>
      <c r="AV345" s="107" t="n">
        <v>-51362286</v>
      </c>
      <c r="AW345" s="107" t="n">
        <v>395.83</v>
      </c>
      <c r="AX345" s="107" t="n">
        <v>590657</v>
      </c>
      <c r="AY345" s="107" t="n">
        <v>7.13</v>
      </c>
      <c r="AZ345" s="107" t="n">
        <v>10639</v>
      </c>
      <c r="BA345" s="107" t="n">
        <v>0</v>
      </c>
      <c r="BB345" s="107" t="n">
        <v>0</v>
      </c>
      <c r="BC345" s="107" t="n">
        <v>0</v>
      </c>
      <c r="BD345" s="107" t="n">
        <v>0</v>
      </c>
      <c r="BE345" s="107" t="n">
        <v>9763.89</v>
      </c>
      <c r="BF345" s="107" t="n">
        <v>13263268</v>
      </c>
      <c r="BG345" s="107" t="n">
        <v>54.26</v>
      </c>
      <c r="BH345" s="107" t="n">
        <v>73707</v>
      </c>
      <c r="BI345" s="107" t="n">
        <v>998592.87</v>
      </c>
      <c r="BJ345" s="107" t="n">
        <v>1490100281</v>
      </c>
      <c r="BK345" s="107" t="n">
        <v>0</v>
      </c>
      <c r="BL345" s="107" t="n">
        <v>0</v>
      </c>
      <c r="BM345" s="107" t="n">
        <v>0</v>
      </c>
      <c r="BN345" s="107" t="n">
        <v>0</v>
      </c>
      <c r="BO345" s="2"/>
      <c r="BP345" s="2"/>
      <c r="BQ345" s="107" t="s">
        <v>369</v>
      </c>
      <c r="BR345" s="107" t="n">
        <v>-133611726</v>
      </c>
      <c r="BS345" s="107" t="n">
        <v>-53916</v>
      </c>
      <c r="BT345" s="107" t="n">
        <v>0</v>
      </c>
      <c r="BU345" s="107" t="n">
        <v>0</v>
      </c>
      <c r="BV345" s="107" t="n">
        <v>0</v>
      </c>
      <c r="BW345" s="107" t="n">
        <v>10159.72</v>
      </c>
      <c r="BX345" s="107" t="n">
        <v>13800963</v>
      </c>
      <c r="BY345" s="107" t="n">
        <v>61.39</v>
      </c>
      <c r="BZ345" s="107" t="n">
        <v>83392</v>
      </c>
      <c r="CA345" s="107" t="n">
        <v>1492.2</v>
      </c>
      <c r="CB345" s="2"/>
      <c r="CC345" s="107" t="n">
        <v>0</v>
      </c>
      <c r="CD345" s="107" t="n">
        <v>96.03</v>
      </c>
      <c r="CE345" s="107" t="n">
        <v>96.04</v>
      </c>
      <c r="CF345" s="107" t="n">
        <v>96.16</v>
      </c>
      <c r="CG345" s="107" t="n">
        <v>1000000</v>
      </c>
      <c r="CH345" s="107" t="n">
        <v>4.4518</v>
      </c>
      <c r="CI345" s="107" t="n">
        <v>97.52</v>
      </c>
      <c r="CJ345" s="107" t="n">
        <v>97.48</v>
      </c>
      <c r="CK345" s="107" t="n">
        <v>97.62</v>
      </c>
      <c r="CL345" s="107" t="n">
        <v>2000000</v>
      </c>
    </row>
    <row r="346" customFormat="false" ht="15" hidden="false" customHeight="false" outlineLevel="0" collapsed="false">
      <c r="A346" s="107" t="s">
        <v>772</v>
      </c>
      <c r="B346" s="107" t="n">
        <v>85.0079</v>
      </c>
      <c r="C346" s="107" t="n">
        <v>5.2661</v>
      </c>
      <c r="D346" s="107" t="n">
        <v>4.048</v>
      </c>
      <c r="E346" s="107" t="n">
        <v>-3441.119792</v>
      </c>
      <c r="F346" s="108" t="s">
        <v>358</v>
      </c>
      <c r="G346" s="107" t="n">
        <v>4.048</v>
      </c>
      <c r="H346" s="107" t="n">
        <v>-3441.119792</v>
      </c>
      <c r="I346" s="109" t="n">
        <v>47888</v>
      </c>
      <c r="J346" s="107" t="n">
        <v>5</v>
      </c>
      <c r="K346" s="107" t="s">
        <v>359</v>
      </c>
      <c r="L346" s="107" t="s">
        <v>298</v>
      </c>
      <c r="M346" s="107" t="n">
        <v>40480000</v>
      </c>
      <c r="N346" s="107" t="n">
        <v>88.077</v>
      </c>
      <c r="O346" s="107" t="n">
        <v>8500790</v>
      </c>
      <c r="P346" s="107" t="s">
        <v>360</v>
      </c>
      <c r="Q346" s="107" t="s">
        <v>364</v>
      </c>
      <c r="R346" s="107" t="n">
        <v>-0.0877330829606734</v>
      </c>
      <c r="S346" s="107" t="n">
        <v>-0.0348456464230161</v>
      </c>
      <c r="T346" s="107" t="n">
        <v>-3531.7382134</v>
      </c>
      <c r="U346" s="107" t="n">
        <v>21069</v>
      </c>
      <c r="V346" s="108" t="s">
        <v>362</v>
      </c>
      <c r="W346" s="107" t="n">
        <v>42003</v>
      </c>
      <c r="X346" s="108" t="s">
        <v>372</v>
      </c>
      <c r="Y346" s="107" t="s">
        <v>768</v>
      </c>
      <c r="Z346" s="107" t="s">
        <v>773</v>
      </c>
      <c r="AA346" s="109" t="n">
        <v>46262</v>
      </c>
      <c r="AB346" s="107" t="n">
        <v>260828000001</v>
      </c>
      <c r="AC346" s="109" t="n">
        <v>46261</v>
      </c>
      <c r="AD346" s="109" t="n">
        <v>47541</v>
      </c>
      <c r="AE346" s="107" t="n">
        <v>4.5</v>
      </c>
      <c r="AF346" s="107" t="n">
        <v>3.1246</v>
      </c>
      <c r="AG346" s="107" t="n">
        <v>1246</v>
      </c>
      <c r="AH346" s="107" t="n">
        <v>5000000</v>
      </c>
      <c r="AI346" s="107" t="n">
        <v>4.675</v>
      </c>
      <c r="AJ346" s="107" t="n">
        <v>99.441</v>
      </c>
      <c r="AK346" s="107" t="n">
        <v>4.673487</v>
      </c>
      <c r="AL346" s="107" t="n">
        <v>99.867811</v>
      </c>
      <c r="AM346" s="107" t="n">
        <v>5.3512</v>
      </c>
      <c r="AN346" s="107" t="n">
        <v>97.3742</v>
      </c>
      <c r="AO346" s="107" t="n">
        <v>1358.4</v>
      </c>
      <c r="AP346" s="107" t="n">
        <v>1</v>
      </c>
      <c r="AQ346" s="107" t="n">
        <v>4868710</v>
      </c>
      <c r="AR346" s="107" t="n">
        <v>6613655664</v>
      </c>
      <c r="AS346" s="107" t="n">
        <v>4971833.17</v>
      </c>
      <c r="AT346" s="107" t="n">
        <v>6884000208</v>
      </c>
      <c r="AU346" s="107" t="n">
        <v>-103123.17</v>
      </c>
      <c r="AV346" s="107" t="n">
        <v>-140082514</v>
      </c>
      <c r="AW346" s="107" t="n">
        <v>625</v>
      </c>
      <c r="AX346" s="107" t="n">
        <v>865375</v>
      </c>
      <c r="AY346" s="107" t="n">
        <v>216.83</v>
      </c>
      <c r="AZ346" s="107" t="n">
        <v>300222</v>
      </c>
      <c r="BA346" s="107" t="n">
        <v>0</v>
      </c>
      <c r="BB346" s="107" t="n">
        <v>0</v>
      </c>
      <c r="BC346" s="107" t="n">
        <v>0</v>
      </c>
      <c r="BD346" s="107" t="n">
        <v>0</v>
      </c>
      <c r="BE346" s="107" t="n">
        <v>20000</v>
      </c>
      <c r="BF346" s="107" t="n">
        <v>27168000</v>
      </c>
      <c r="BG346" s="107" t="n">
        <v>715.55</v>
      </c>
      <c r="BH346" s="107" t="n">
        <v>972002</v>
      </c>
      <c r="BI346" s="107" t="n">
        <v>4971833.17</v>
      </c>
      <c r="BJ346" s="107" t="n">
        <v>6884000208</v>
      </c>
      <c r="BK346" s="107" t="n">
        <v>0</v>
      </c>
      <c r="BL346" s="107" t="n">
        <v>0</v>
      </c>
      <c r="BM346" s="107" t="n">
        <v>0</v>
      </c>
      <c r="BN346" s="107" t="n">
        <v>0</v>
      </c>
      <c r="BO346" s="2"/>
      <c r="BP346" s="2"/>
      <c r="BQ346" s="107" t="s">
        <v>369</v>
      </c>
      <c r="BR346" s="107" t="n">
        <v>-130262030</v>
      </c>
      <c r="BS346" s="107" t="n">
        <v>-22055</v>
      </c>
      <c r="BT346" s="107" t="n">
        <v>0</v>
      </c>
      <c r="BU346" s="107" t="n">
        <v>0</v>
      </c>
      <c r="BV346" s="107" t="n">
        <v>0</v>
      </c>
      <c r="BW346" s="107" t="n">
        <v>20625</v>
      </c>
      <c r="BX346" s="107" t="n">
        <v>28017000</v>
      </c>
      <c r="BY346" s="107" t="n">
        <v>932.38</v>
      </c>
      <c r="BZ346" s="107" t="n">
        <v>1266544</v>
      </c>
      <c r="CA346" s="107" t="n">
        <v>1384.6</v>
      </c>
      <c r="CB346" s="2"/>
      <c r="CC346" s="107" t="n">
        <v>0</v>
      </c>
      <c r="CD346" s="107" t="n">
        <v>97.36</v>
      </c>
      <c r="CE346" s="107" t="n">
        <v>97.37</v>
      </c>
      <c r="CF346" s="107" t="n">
        <v>97.39</v>
      </c>
      <c r="CG346" s="107" t="n">
        <v>5000000</v>
      </c>
      <c r="CH346" s="107" t="n">
        <v>3.0432</v>
      </c>
      <c r="CI346" s="107" t="n">
        <v>99.28</v>
      </c>
      <c r="CJ346" s="107" t="n">
        <v>99.27</v>
      </c>
      <c r="CK346" s="107" t="n">
        <v>99.39</v>
      </c>
      <c r="CL346" s="107" t="n">
        <v>2078000</v>
      </c>
    </row>
    <row r="347" customFormat="false" ht="15" hidden="false" customHeight="false" outlineLevel="0" collapsed="false">
      <c r="A347" s="107" t="s">
        <v>774</v>
      </c>
      <c r="B347" s="107" t="n">
        <v>100.1223</v>
      </c>
      <c r="C347" s="107" t="n">
        <v>5.0574</v>
      </c>
      <c r="D347" s="107" t="n">
        <v>1.8176</v>
      </c>
      <c r="E347" s="107" t="n">
        <v>-90.99114624</v>
      </c>
      <c r="F347" s="108" t="s">
        <v>358</v>
      </c>
      <c r="G347" s="107" t="n">
        <v>1.8176</v>
      </c>
      <c r="H347" s="107" t="n">
        <v>-90.99114624</v>
      </c>
      <c r="I347" s="109" t="n">
        <v>47014</v>
      </c>
      <c r="J347" s="107" t="n">
        <v>2</v>
      </c>
      <c r="K347" s="107" t="s">
        <v>359</v>
      </c>
      <c r="L347" s="107" t="s">
        <v>298</v>
      </c>
      <c r="M347" s="107" t="n">
        <v>908800</v>
      </c>
      <c r="N347" s="107" t="n">
        <v>101.399299</v>
      </c>
      <c r="O347" s="107" t="n">
        <v>500611.5</v>
      </c>
      <c r="P347" s="107" t="s">
        <v>360</v>
      </c>
      <c r="Q347" s="107" t="s">
        <v>361</v>
      </c>
      <c r="R347" s="107" t="n">
        <v>-0.0843129204351537</v>
      </c>
      <c r="S347" s="107" t="n">
        <v>-0.0125937655643951</v>
      </c>
      <c r="T347" s="107" t="n">
        <v>-93.29395914</v>
      </c>
      <c r="U347" s="107" t="n">
        <v>21069</v>
      </c>
      <c r="V347" s="108" t="s">
        <v>362</v>
      </c>
      <c r="W347" s="107" t="n">
        <v>42003</v>
      </c>
      <c r="X347" s="108" t="s">
        <v>372</v>
      </c>
      <c r="Y347" s="107" t="s">
        <v>768</v>
      </c>
      <c r="Z347" s="107" t="s">
        <v>773</v>
      </c>
      <c r="AA347" s="109" t="n">
        <v>46262</v>
      </c>
      <c r="AB347" s="107" t="n">
        <v>260828000002</v>
      </c>
      <c r="AC347" s="109" t="n">
        <v>46261</v>
      </c>
      <c r="AD347" s="109" t="n">
        <v>47541</v>
      </c>
      <c r="AE347" s="107" t="n">
        <v>4.5</v>
      </c>
      <c r="AF347" s="107" t="n">
        <v>3.1246</v>
      </c>
      <c r="AG347" s="107" t="n">
        <v>1246</v>
      </c>
      <c r="AH347" s="107" t="n">
        <v>10000000</v>
      </c>
      <c r="AI347" s="107" t="n">
        <v>4.66</v>
      </c>
      <c r="AJ347" s="107" t="n">
        <v>99.489</v>
      </c>
      <c r="AK347" s="107" t="n">
        <v>4.658047</v>
      </c>
      <c r="AL347" s="107" t="n">
        <v>99.915811</v>
      </c>
      <c r="AM347" s="107" t="n">
        <v>5.3512</v>
      </c>
      <c r="AN347" s="107" t="n">
        <v>97.3742</v>
      </c>
      <c r="AO347" s="107" t="n">
        <v>1358.4</v>
      </c>
      <c r="AP347" s="107" t="n">
        <v>1</v>
      </c>
      <c r="AQ347" s="107" t="n">
        <v>9737420</v>
      </c>
      <c r="AR347" s="107" t="n">
        <v>13227311328</v>
      </c>
      <c r="AS347" s="107" t="n">
        <v>9948466.34</v>
      </c>
      <c r="AT347" s="107" t="n">
        <v>13731868090</v>
      </c>
      <c r="AU347" s="107" t="n">
        <v>-211046.34</v>
      </c>
      <c r="AV347" s="107" t="n">
        <v>-286685348</v>
      </c>
      <c r="AW347" s="107" t="n">
        <v>1250</v>
      </c>
      <c r="AX347" s="107" t="n">
        <v>1725375</v>
      </c>
      <c r="AY347" s="107" t="n">
        <v>433.66</v>
      </c>
      <c r="AZ347" s="107" t="n">
        <v>598580</v>
      </c>
      <c r="BA347" s="107" t="n">
        <v>0</v>
      </c>
      <c r="BB347" s="107" t="n">
        <v>0</v>
      </c>
      <c r="BC347" s="107" t="n">
        <v>0</v>
      </c>
      <c r="BD347" s="107" t="n">
        <v>0</v>
      </c>
      <c r="BE347" s="107" t="n">
        <v>40000</v>
      </c>
      <c r="BF347" s="107" t="n">
        <v>54336000</v>
      </c>
      <c r="BG347" s="107" t="n">
        <v>1431.11</v>
      </c>
      <c r="BH347" s="107" t="n">
        <v>1944019</v>
      </c>
      <c r="BI347" s="107" t="n">
        <v>9948466.34</v>
      </c>
      <c r="BJ347" s="107" t="n">
        <v>13731868090</v>
      </c>
      <c r="BK347" s="107" t="n">
        <v>0</v>
      </c>
      <c r="BL347" s="107" t="n">
        <v>0</v>
      </c>
      <c r="BM347" s="107" t="n">
        <v>0</v>
      </c>
      <c r="BN347" s="107" t="n">
        <v>0</v>
      </c>
      <c r="BO347" s="2"/>
      <c r="BP347" s="2"/>
      <c r="BQ347" s="107" t="s">
        <v>369</v>
      </c>
      <c r="BR347" s="107" t="n">
        <v>-217871414</v>
      </c>
      <c r="BS347" s="107" t="n">
        <v>-36871</v>
      </c>
      <c r="BT347" s="107" t="n">
        <v>0</v>
      </c>
      <c r="BU347" s="107" t="n">
        <v>0</v>
      </c>
      <c r="BV347" s="107" t="n">
        <v>0</v>
      </c>
      <c r="BW347" s="107" t="n">
        <v>41250</v>
      </c>
      <c r="BX347" s="107" t="n">
        <v>56034000</v>
      </c>
      <c r="BY347" s="107" t="n">
        <v>1864.77</v>
      </c>
      <c r="BZ347" s="107" t="n">
        <v>2533103</v>
      </c>
      <c r="CA347" s="107" t="n">
        <v>1380.3</v>
      </c>
      <c r="CB347" s="2"/>
      <c r="CC347" s="107" t="n">
        <v>0</v>
      </c>
      <c r="CD347" s="107" t="n">
        <v>97.36</v>
      </c>
      <c r="CE347" s="107" t="n">
        <v>97.37</v>
      </c>
      <c r="CF347" s="107" t="n">
        <v>97.39</v>
      </c>
      <c r="CG347" s="107" t="n">
        <v>10000000</v>
      </c>
      <c r="CH347" s="107" t="n">
        <v>3.0432</v>
      </c>
      <c r="CI347" s="107" t="n">
        <v>96.34</v>
      </c>
      <c r="CJ347" s="107" t="n">
        <v>96.33</v>
      </c>
      <c r="CK347" s="107" t="n">
        <v>96.38</v>
      </c>
      <c r="CL347" s="107" t="n">
        <v>0</v>
      </c>
    </row>
    <row r="348" customFormat="false" ht="15" hidden="false" customHeight="false" outlineLevel="0" collapsed="false">
      <c r="A348" s="107" t="s">
        <v>774</v>
      </c>
      <c r="B348" s="107" t="n">
        <v>100.1223</v>
      </c>
      <c r="C348" s="107" t="n">
        <v>5.0574</v>
      </c>
      <c r="D348" s="107" t="n">
        <v>1.8176</v>
      </c>
      <c r="E348" s="107" t="n">
        <v>-272.97343872</v>
      </c>
      <c r="F348" s="108" t="s">
        <v>358</v>
      </c>
      <c r="G348" s="107" t="n">
        <v>1.8176</v>
      </c>
      <c r="H348" s="107" t="n">
        <v>-272.97343872</v>
      </c>
      <c r="I348" s="109" t="n">
        <v>47014</v>
      </c>
      <c r="J348" s="107" t="n">
        <v>2</v>
      </c>
      <c r="K348" s="107" t="s">
        <v>359</v>
      </c>
      <c r="L348" s="107" t="s">
        <v>298</v>
      </c>
      <c r="M348" s="107" t="n">
        <v>2726400</v>
      </c>
      <c r="N348" s="107" t="n">
        <v>101.63</v>
      </c>
      <c r="O348" s="107" t="n">
        <v>1501834.5</v>
      </c>
      <c r="P348" s="107" t="s">
        <v>360</v>
      </c>
      <c r="Q348" s="107" t="s">
        <v>361</v>
      </c>
      <c r="R348" s="107" t="n">
        <v>-0.0952635921308255</v>
      </c>
      <c r="S348" s="107" t="n">
        <v>-0.0148351864606907</v>
      </c>
      <c r="T348" s="107" t="n">
        <v>-279.88187742</v>
      </c>
      <c r="U348" s="107" t="n">
        <v>21069</v>
      </c>
      <c r="V348" s="108" t="s">
        <v>362</v>
      </c>
      <c r="W348" s="107" t="n">
        <v>42003</v>
      </c>
      <c r="X348" s="108" t="s">
        <v>372</v>
      </c>
      <c r="Y348" s="107" t="s">
        <v>772</v>
      </c>
      <c r="Z348" s="107" t="s">
        <v>775</v>
      </c>
      <c r="AA348" s="109" t="n">
        <v>45971</v>
      </c>
      <c r="AB348" s="107" t="n">
        <v>251110000001</v>
      </c>
      <c r="AC348" s="109" t="n">
        <v>44236</v>
      </c>
      <c r="AD348" s="109" t="n">
        <v>47888</v>
      </c>
      <c r="AE348" s="107" t="n">
        <v>1.375</v>
      </c>
      <c r="AF348" s="107" t="n">
        <v>4.1523</v>
      </c>
      <c r="AG348" s="107" t="n">
        <v>1593</v>
      </c>
      <c r="AH348" s="107" t="n">
        <v>10000000</v>
      </c>
      <c r="AI348" s="107" t="n">
        <v>3.91</v>
      </c>
      <c r="AJ348" s="107" t="n">
        <v>88.077</v>
      </c>
      <c r="AK348" s="107" t="n">
        <v>4.345476</v>
      </c>
      <c r="AL348" s="107" t="n">
        <v>88.513891</v>
      </c>
      <c r="AM348" s="107" t="n">
        <v>5.2328</v>
      </c>
      <c r="AN348" s="107" t="n">
        <v>85.133</v>
      </c>
      <c r="AO348" s="107" t="n">
        <v>1358.4</v>
      </c>
      <c r="AP348" s="107" t="n">
        <v>1</v>
      </c>
      <c r="AQ348" s="107" t="n">
        <v>8513300</v>
      </c>
      <c r="AR348" s="107" t="n">
        <v>11564466720</v>
      </c>
      <c r="AS348" s="107" t="n">
        <v>8831910</v>
      </c>
      <c r="AT348" s="107" t="n">
        <v>12672907659</v>
      </c>
      <c r="AU348" s="107" t="n">
        <v>-318610</v>
      </c>
      <c r="AV348" s="107" t="n">
        <v>-432799824</v>
      </c>
      <c r="AW348" s="107" t="n">
        <v>0</v>
      </c>
      <c r="AX348" s="107" t="n">
        <v>0</v>
      </c>
      <c r="AY348" s="107" t="n">
        <v>0</v>
      </c>
      <c r="AZ348" s="107" t="n">
        <v>0</v>
      </c>
      <c r="BA348" s="107" t="n">
        <v>0</v>
      </c>
      <c r="BB348" s="107" t="n">
        <v>0</v>
      </c>
      <c r="BC348" s="107" t="n">
        <v>0</v>
      </c>
      <c r="BD348" s="107" t="n">
        <v>0</v>
      </c>
      <c r="BE348" s="107" t="n">
        <v>19479.17</v>
      </c>
      <c r="BF348" s="107" t="n">
        <v>26460504</v>
      </c>
      <c r="BG348" s="107" t="n">
        <v>0</v>
      </c>
      <c r="BH348" s="107" t="n">
        <v>0</v>
      </c>
      <c r="BI348" s="107" t="n">
        <v>8807700</v>
      </c>
      <c r="BJ348" s="107" t="n">
        <v>12638168730</v>
      </c>
      <c r="BK348" s="107" t="n">
        <v>0</v>
      </c>
      <c r="BL348" s="107" t="n">
        <v>0</v>
      </c>
      <c r="BM348" s="107" t="n">
        <v>0</v>
      </c>
      <c r="BN348" s="107" t="n">
        <v>0</v>
      </c>
      <c r="BO348" s="107" t="s">
        <v>361</v>
      </c>
      <c r="BP348" s="2"/>
      <c r="BQ348" s="107" t="s">
        <v>364</v>
      </c>
      <c r="BR348" s="107" t="n">
        <v>-675641115</v>
      </c>
      <c r="BS348" s="107" t="n">
        <v>0</v>
      </c>
      <c r="BT348" s="107" t="n">
        <v>0</v>
      </c>
      <c r="BU348" s="107" t="n">
        <v>24210</v>
      </c>
      <c r="BV348" s="107" t="n">
        <v>34738929</v>
      </c>
      <c r="BW348" s="107" t="n">
        <v>19479.17</v>
      </c>
      <c r="BX348" s="107" t="n">
        <v>26460504</v>
      </c>
      <c r="BY348" s="107" t="n">
        <v>0</v>
      </c>
      <c r="BZ348" s="107" t="n">
        <v>0</v>
      </c>
      <c r="CA348" s="107" t="n">
        <v>1434.9</v>
      </c>
      <c r="CB348" s="2"/>
      <c r="CC348" s="107" t="n">
        <v>0</v>
      </c>
      <c r="CD348" s="107" t="n">
        <v>85.13</v>
      </c>
      <c r="CE348" s="107" t="n">
        <v>85.12</v>
      </c>
      <c r="CF348" s="107" t="n">
        <v>85.15</v>
      </c>
      <c r="CG348" s="107" t="n">
        <v>10000000</v>
      </c>
      <c r="CH348" s="107" t="n">
        <v>4.0464</v>
      </c>
      <c r="CI348" s="107" t="n">
        <v>101.24</v>
      </c>
      <c r="CJ348" s="107" t="n">
        <v>101.7</v>
      </c>
      <c r="CK348" s="107" t="n">
        <v>101.57</v>
      </c>
      <c r="CL348" s="107" t="n">
        <v>0</v>
      </c>
    </row>
    <row r="349" customFormat="false" ht="15" hidden="false" customHeight="false" outlineLevel="0" collapsed="false">
      <c r="A349" s="107" t="s">
        <v>774</v>
      </c>
      <c r="B349" s="107" t="n">
        <v>100.1223</v>
      </c>
      <c r="C349" s="107" t="n">
        <v>5.0574</v>
      </c>
      <c r="D349" s="107" t="n">
        <v>1.8176</v>
      </c>
      <c r="E349" s="107" t="n">
        <v>-2365.76980224</v>
      </c>
      <c r="F349" s="108" t="s">
        <v>358</v>
      </c>
      <c r="G349" s="107" t="n">
        <v>1.8176</v>
      </c>
      <c r="H349" s="107" t="n">
        <v>-2365.76980224</v>
      </c>
      <c r="I349" s="109" t="n">
        <v>47014</v>
      </c>
      <c r="J349" s="107" t="n">
        <v>2</v>
      </c>
      <c r="K349" s="107" t="s">
        <v>359</v>
      </c>
      <c r="L349" s="107" t="s">
        <v>298</v>
      </c>
      <c r="M349" s="107" t="n">
        <v>23628800</v>
      </c>
      <c r="N349" s="107" t="n">
        <v>101.33</v>
      </c>
      <c r="O349" s="107" t="n">
        <v>13015899</v>
      </c>
      <c r="P349" s="107" t="s">
        <v>360</v>
      </c>
      <c r="Q349" s="107" t="s">
        <v>361</v>
      </c>
      <c r="R349" s="107" t="n">
        <v>-0.0834873403754617</v>
      </c>
      <c r="S349" s="107" t="n">
        <v>-0.0119184841606632</v>
      </c>
      <c r="T349" s="107" t="n">
        <v>-2425.64293764</v>
      </c>
      <c r="U349" s="107" t="n">
        <v>21069</v>
      </c>
      <c r="V349" s="108" t="s">
        <v>362</v>
      </c>
      <c r="W349" s="107" t="n">
        <v>42003</v>
      </c>
      <c r="X349" s="108" t="s">
        <v>372</v>
      </c>
      <c r="Y349" s="107" t="s">
        <v>774</v>
      </c>
      <c r="Z349" s="107" t="s">
        <v>776</v>
      </c>
      <c r="AA349" s="109" t="n">
        <v>45664</v>
      </c>
      <c r="AB349" s="107" t="n">
        <v>250107000001</v>
      </c>
      <c r="AC349" s="109" t="n">
        <v>45187</v>
      </c>
      <c r="AD349" s="109" t="n">
        <v>47014</v>
      </c>
      <c r="AE349" s="107" t="n">
        <v>5.125</v>
      </c>
      <c r="AF349" s="107" t="n">
        <v>1.8612</v>
      </c>
      <c r="AG349" s="107" t="n">
        <v>719</v>
      </c>
      <c r="AH349" s="107" t="n">
        <v>500000</v>
      </c>
      <c r="AI349" s="107" t="n">
        <v>4.7061</v>
      </c>
      <c r="AJ349" s="107" t="n">
        <v>101.399299</v>
      </c>
      <c r="AK349" s="107" t="n">
        <v>3.158034</v>
      </c>
      <c r="AL349" s="107" t="n">
        <v>103.891864</v>
      </c>
      <c r="AM349" s="107" t="n">
        <v>5.0035</v>
      </c>
      <c r="AN349" s="107" t="n">
        <v>100.2218</v>
      </c>
      <c r="AO349" s="107" t="n">
        <v>1358.4</v>
      </c>
      <c r="AP349" s="107" t="n">
        <v>1</v>
      </c>
      <c r="AQ349" s="107" t="n">
        <v>501109</v>
      </c>
      <c r="AR349" s="107" t="n">
        <v>680706466</v>
      </c>
      <c r="AS349" s="107" t="n">
        <v>518168.5</v>
      </c>
      <c r="AT349" s="107" t="n">
        <v>743519981</v>
      </c>
      <c r="AU349" s="107" t="n">
        <v>-17059.5</v>
      </c>
      <c r="AV349" s="107" t="n">
        <v>-23173624</v>
      </c>
      <c r="AW349" s="107" t="n">
        <v>0</v>
      </c>
      <c r="AX349" s="107" t="n">
        <v>0</v>
      </c>
      <c r="AY349" s="107" t="n">
        <v>0</v>
      </c>
      <c r="AZ349" s="107" t="n">
        <v>0</v>
      </c>
      <c r="BA349" s="107" t="n">
        <v>0</v>
      </c>
      <c r="BB349" s="107" t="n">
        <v>0</v>
      </c>
      <c r="BC349" s="107" t="n">
        <v>0</v>
      </c>
      <c r="BD349" s="107" t="n">
        <v>0</v>
      </c>
      <c r="BE349" s="107" t="n">
        <v>854.17</v>
      </c>
      <c r="BF349" s="107" t="n">
        <v>1160304</v>
      </c>
      <c r="BG349" s="107" t="n">
        <v>436.65</v>
      </c>
      <c r="BH349" s="107" t="n">
        <v>593145</v>
      </c>
      <c r="BI349" s="107" t="n">
        <v>506996.49</v>
      </c>
      <c r="BJ349" s="107" t="n">
        <v>727489264</v>
      </c>
      <c r="BK349" s="107" t="n">
        <v>0</v>
      </c>
      <c r="BL349" s="107" t="n">
        <v>0</v>
      </c>
      <c r="BM349" s="107" t="n">
        <v>0</v>
      </c>
      <c r="BN349" s="107" t="n">
        <v>0</v>
      </c>
      <c r="BO349" s="107" t="s">
        <v>361</v>
      </c>
      <c r="BP349" s="2"/>
      <c r="BQ349" s="107" t="s">
        <v>364</v>
      </c>
      <c r="BR349" s="107" t="n">
        <v>-39639891</v>
      </c>
      <c r="BS349" s="107" t="n">
        <v>0</v>
      </c>
      <c r="BT349" s="107" t="n">
        <v>0</v>
      </c>
      <c r="BU349" s="107" t="n">
        <v>11172.01</v>
      </c>
      <c r="BV349" s="107" t="n">
        <v>16030717</v>
      </c>
      <c r="BW349" s="107" t="n">
        <v>854.17</v>
      </c>
      <c r="BX349" s="107" t="n">
        <v>1160304</v>
      </c>
      <c r="BY349" s="107" t="n">
        <v>436.65</v>
      </c>
      <c r="BZ349" s="107" t="n">
        <v>593145</v>
      </c>
      <c r="CA349" s="107" t="n">
        <v>1434.9</v>
      </c>
      <c r="CB349" s="2"/>
      <c r="CC349" s="107" t="n">
        <v>0</v>
      </c>
      <c r="CD349" s="107" t="n">
        <v>100.23</v>
      </c>
      <c r="CE349" s="107" t="n">
        <v>100.18</v>
      </c>
      <c r="CF349" s="107" t="n">
        <v>100.25</v>
      </c>
      <c r="CG349" s="107" t="n">
        <v>500000</v>
      </c>
      <c r="CH349" s="107" t="n">
        <v>1.8158</v>
      </c>
      <c r="CI349" s="107" t="n">
        <v>101.11</v>
      </c>
      <c r="CJ349" s="107" t="n">
        <v>101.31</v>
      </c>
      <c r="CK349" s="107" t="n">
        <v>101.32</v>
      </c>
      <c r="CL349" s="107" t="n">
        <v>2000000</v>
      </c>
    </row>
    <row r="350" customFormat="false" ht="15" hidden="false" customHeight="false" outlineLevel="0" collapsed="false">
      <c r="A350" s="107" t="s">
        <v>777</v>
      </c>
      <c r="B350" s="107" t="n">
        <v>98.3988</v>
      </c>
      <c r="C350" s="107" t="n">
        <v>5.4029</v>
      </c>
      <c r="D350" s="107" t="n">
        <v>5.6678</v>
      </c>
      <c r="E350" s="107" t="n">
        <v>-278.85235932</v>
      </c>
      <c r="F350" s="108" t="s">
        <v>358</v>
      </c>
      <c r="G350" s="107" t="n">
        <v>5.6678</v>
      </c>
      <c r="H350" s="107" t="n">
        <v>-278.85235932</v>
      </c>
      <c r="I350" s="109" t="n">
        <v>48840</v>
      </c>
      <c r="J350" s="107" t="n">
        <v>10</v>
      </c>
      <c r="K350" s="107" t="s">
        <v>359</v>
      </c>
      <c r="L350" s="107" t="s">
        <v>298</v>
      </c>
      <c r="M350" s="107" t="n">
        <v>2833900</v>
      </c>
      <c r="N350" s="107" t="n">
        <v>99.751</v>
      </c>
      <c r="O350" s="107" t="n">
        <v>491994</v>
      </c>
      <c r="P350" s="107" t="s">
        <v>360</v>
      </c>
      <c r="Q350" s="107" t="s">
        <v>361</v>
      </c>
      <c r="R350" s="107" t="n">
        <v>-0.116109996511913</v>
      </c>
      <c r="S350" s="107" t="n">
        <v>-0.0135557538270295</v>
      </c>
      <c r="T350" s="107" t="n">
        <v>-286.38478746</v>
      </c>
      <c r="U350" s="107" t="n">
        <v>21069</v>
      </c>
      <c r="V350" s="108" t="s">
        <v>362</v>
      </c>
      <c r="W350" s="107" t="n">
        <v>42003</v>
      </c>
      <c r="X350" s="108" t="s">
        <v>372</v>
      </c>
      <c r="Y350" s="107" t="s">
        <v>774</v>
      </c>
      <c r="Z350" s="107" t="s">
        <v>776</v>
      </c>
      <c r="AA350" s="109" t="n">
        <v>46227</v>
      </c>
      <c r="AB350" s="107" t="n">
        <v>260724000001</v>
      </c>
      <c r="AC350" s="109" t="n">
        <v>45187</v>
      </c>
      <c r="AD350" s="109" t="n">
        <v>47014</v>
      </c>
      <c r="AE350" s="107" t="n">
        <v>5.125</v>
      </c>
      <c r="AF350" s="107" t="n">
        <v>1.8612</v>
      </c>
      <c r="AG350" s="107" t="n">
        <v>719</v>
      </c>
      <c r="AH350" s="107" t="n">
        <v>1500000</v>
      </c>
      <c r="AI350" s="107" t="n">
        <v>4.32</v>
      </c>
      <c r="AJ350" s="107" t="n">
        <v>101.63</v>
      </c>
      <c r="AK350" s="107" t="n">
        <v>4.205147</v>
      </c>
      <c r="AL350" s="107" t="n">
        <v>101.888163</v>
      </c>
      <c r="AM350" s="107" t="n">
        <v>5.0035</v>
      </c>
      <c r="AN350" s="107" t="n">
        <v>100.2218</v>
      </c>
      <c r="AO350" s="107" t="n">
        <v>1358.4</v>
      </c>
      <c r="AP350" s="107" t="n">
        <v>1</v>
      </c>
      <c r="AQ350" s="107" t="n">
        <v>1503327</v>
      </c>
      <c r="AR350" s="107" t="n">
        <v>2042119397</v>
      </c>
      <c r="AS350" s="107" t="n">
        <v>1524450</v>
      </c>
      <c r="AT350" s="107" t="n">
        <v>2257558005</v>
      </c>
      <c r="AU350" s="107" t="n">
        <v>-21123</v>
      </c>
      <c r="AV350" s="107" t="n">
        <v>-28693483</v>
      </c>
      <c r="AW350" s="107" t="n">
        <v>0</v>
      </c>
      <c r="AX350" s="107" t="n">
        <v>0</v>
      </c>
      <c r="AY350" s="107" t="n">
        <v>0</v>
      </c>
      <c r="AZ350" s="107" t="n">
        <v>0</v>
      </c>
      <c r="BA350" s="107" t="n">
        <v>0</v>
      </c>
      <c r="BB350" s="107" t="n">
        <v>0</v>
      </c>
      <c r="BC350" s="107" t="n">
        <v>0</v>
      </c>
      <c r="BD350" s="107" t="n">
        <v>0</v>
      </c>
      <c r="BE350" s="107" t="n">
        <v>2562.5</v>
      </c>
      <c r="BF350" s="107" t="n">
        <v>3480900</v>
      </c>
      <c r="BG350" s="107" t="n">
        <v>1309.95</v>
      </c>
      <c r="BH350" s="107" t="n">
        <v>1779436</v>
      </c>
      <c r="BI350" s="107" t="n">
        <v>1524450</v>
      </c>
      <c r="BJ350" s="107" t="n">
        <v>2257558005</v>
      </c>
      <c r="BK350" s="107" t="n">
        <v>0</v>
      </c>
      <c r="BL350" s="107" t="n">
        <v>0</v>
      </c>
      <c r="BM350" s="107" t="n">
        <v>0</v>
      </c>
      <c r="BN350" s="107" t="n">
        <v>0</v>
      </c>
      <c r="BO350" s="107" t="s">
        <v>361</v>
      </c>
      <c r="BP350" s="2"/>
      <c r="BQ350" s="107" t="s">
        <v>364</v>
      </c>
      <c r="BR350" s="107" t="n">
        <v>-186745125</v>
      </c>
      <c r="BS350" s="107" t="n">
        <v>0</v>
      </c>
      <c r="BT350" s="107" t="n">
        <v>0</v>
      </c>
      <c r="BU350" s="107" t="n">
        <v>0</v>
      </c>
      <c r="BV350" s="107" t="n">
        <v>0</v>
      </c>
      <c r="BW350" s="107" t="n">
        <v>2562.5</v>
      </c>
      <c r="BX350" s="107" t="n">
        <v>3480900</v>
      </c>
      <c r="BY350" s="107" t="n">
        <v>1309.95</v>
      </c>
      <c r="BZ350" s="107" t="n">
        <v>1779436</v>
      </c>
      <c r="CA350" s="107" t="n">
        <v>1480.9</v>
      </c>
      <c r="CB350" s="2"/>
      <c r="CC350" s="107" t="n">
        <v>0</v>
      </c>
      <c r="CD350" s="107" t="n">
        <v>100.23</v>
      </c>
      <c r="CE350" s="107" t="n">
        <v>100.18</v>
      </c>
      <c r="CF350" s="107" t="n">
        <v>100.25</v>
      </c>
      <c r="CG350" s="107" t="n">
        <v>1500000</v>
      </c>
      <c r="CH350" s="107" t="n">
        <v>1.8158</v>
      </c>
      <c r="CI350" s="107" t="n">
        <v>97.72</v>
      </c>
      <c r="CJ350" s="107" t="n">
        <v>97.7</v>
      </c>
      <c r="CK350" s="107" t="n">
        <v>97.71</v>
      </c>
      <c r="CL350" s="107" t="n">
        <v>1000000</v>
      </c>
    </row>
    <row r="351" customFormat="false" ht="15" hidden="false" customHeight="false" outlineLevel="0" collapsed="false">
      <c r="A351" s="107" t="s">
        <v>778</v>
      </c>
      <c r="B351" s="107" t="n">
        <v>99.2082</v>
      </c>
      <c r="C351" s="107" t="n">
        <v>4.8589</v>
      </c>
      <c r="D351" s="107" t="n">
        <v>0.903</v>
      </c>
      <c r="E351" s="107" t="n">
        <v>-17.91700092</v>
      </c>
      <c r="F351" s="108" t="s">
        <v>358</v>
      </c>
      <c r="G351" s="107" t="n">
        <v>0.903</v>
      </c>
      <c r="H351" s="107" t="n">
        <v>-17.91700092</v>
      </c>
      <c r="I351" s="109" t="n">
        <v>46641</v>
      </c>
      <c r="J351" s="107" t="n">
        <v>2</v>
      </c>
      <c r="K351" s="107" t="s">
        <v>359</v>
      </c>
      <c r="L351" s="107" t="s">
        <v>298</v>
      </c>
      <c r="M351" s="107" t="n">
        <v>180600</v>
      </c>
      <c r="N351" s="107" t="n">
        <v>99.72</v>
      </c>
      <c r="O351" s="107" t="n">
        <v>198416.4</v>
      </c>
      <c r="P351" s="107" t="s">
        <v>360</v>
      </c>
      <c r="Q351" s="107" t="s">
        <v>364</v>
      </c>
      <c r="R351" s="107" t="n">
        <v>-0.0637676338320604</v>
      </c>
      <c r="S351" s="107" t="n">
        <v>-0.00513237063778571</v>
      </c>
      <c r="T351" s="107" t="n">
        <v>-18.351532836</v>
      </c>
      <c r="U351" s="107" t="n">
        <v>21069</v>
      </c>
      <c r="V351" s="108" t="s">
        <v>362</v>
      </c>
      <c r="W351" s="107" t="n">
        <v>42003</v>
      </c>
      <c r="X351" s="108" t="s">
        <v>372</v>
      </c>
      <c r="Y351" s="107" t="s">
        <v>774</v>
      </c>
      <c r="Z351" s="107" t="s">
        <v>776</v>
      </c>
      <c r="AA351" s="109" t="n">
        <v>46233</v>
      </c>
      <c r="AB351" s="107" t="n">
        <v>260730000001</v>
      </c>
      <c r="AC351" s="109" t="n">
        <v>45187</v>
      </c>
      <c r="AD351" s="109" t="n">
        <v>47014</v>
      </c>
      <c r="AE351" s="107" t="n">
        <v>5.125</v>
      </c>
      <c r="AF351" s="107" t="n">
        <v>1.8612</v>
      </c>
      <c r="AG351" s="107" t="n">
        <v>719</v>
      </c>
      <c r="AH351" s="107" t="n">
        <v>13000000</v>
      </c>
      <c r="AI351" s="107" t="n">
        <v>4.463</v>
      </c>
      <c r="AJ351" s="107" t="n">
        <v>101.33</v>
      </c>
      <c r="AK351" s="107" t="n">
        <v>4.364204</v>
      </c>
      <c r="AL351" s="107" t="n">
        <v>101.588163</v>
      </c>
      <c r="AM351" s="107" t="n">
        <v>5.0035</v>
      </c>
      <c r="AN351" s="107" t="n">
        <v>100.2218</v>
      </c>
      <c r="AO351" s="107" t="n">
        <v>1358.4</v>
      </c>
      <c r="AP351" s="107" t="n">
        <v>1</v>
      </c>
      <c r="AQ351" s="107" t="n">
        <v>13028834</v>
      </c>
      <c r="AR351" s="107" t="n">
        <v>17698368106</v>
      </c>
      <c r="AS351" s="107" t="n">
        <v>13172900</v>
      </c>
      <c r="AT351" s="107" t="n">
        <v>19314105980</v>
      </c>
      <c r="AU351" s="107" t="n">
        <v>-144066</v>
      </c>
      <c r="AV351" s="107" t="n">
        <v>-195699254</v>
      </c>
      <c r="AW351" s="107" t="n">
        <v>0</v>
      </c>
      <c r="AX351" s="107" t="n">
        <v>0</v>
      </c>
      <c r="AY351" s="107" t="n">
        <v>0</v>
      </c>
      <c r="AZ351" s="107" t="n">
        <v>0</v>
      </c>
      <c r="BA351" s="107" t="n">
        <v>0</v>
      </c>
      <c r="BB351" s="107" t="n">
        <v>0</v>
      </c>
      <c r="BC351" s="107" t="n">
        <v>0</v>
      </c>
      <c r="BD351" s="107" t="n">
        <v>0</v>
      </c>
      <c r="BE351" s="107" t="n">
        <v>22208.33</v>
      </c>
      <c r="BF351" s="107" t="n">
        <v>30167795</v>
      </c>
      <c r="BG351" s="107" t="n">
        <v>11352.9</v>
      </c>
      <c r="BH351" s="107" t="n">
        <v>15421779</v>
      </c>
      <c r="BI351" s="107" t="n">
        <v>13172900</v>
      </c>
      <c r="BJ351" s="107" t="n">
        <v>19314105980</v>
      </c>
      <c r="BK351" s="107" t="n">
        <v>0</v>
      </c>
      <c r="BL351" s="107" t="n">
        <v>0</v>
      </c>
      <c r="BM351" s="107" t="n">
        <v>0</v>
      </c>
      <c r="BN351" s="107" t="n">
        <v>0</v>
      </c>
      <c r="BO351" s="107" t="s">
        <v>361</v>
      </c>
      <c r="BP351" s="2"/>
      <c r="BQ351" s="107" t="s">
        <v>364</v>
      </c>
      <c r="BR351" s="107" t="n">
        <v>-1420038620</v>
      </c>
      <c r="BS351" s="107" t="n">
        <v>0</v>
      </c>
      <c r="BT351" s="107" t="n">
        <v>0</v>
      </c>
      <c r="BU351" s="107" t="n">
        <v>0</v>
      </c>
      <c r="BV351" s="107" t="n">
        <v>0</v>
      </c>
      <c r="BW351" s="107" t="n">
        <v>22208.33</v>
      </c>
      <c r="BX351" s="107" t="n">
        <v>30167795</v>
      </c>
      <c r="BY351" s="107" t="n">
        <v>11352.9</v>
      </c>
      <c r="BZ351" s="107" t="n">
        <v>15421779</v>
      </c>
      <c r="CA351" s="107" t="n">
        <v>1466.2</v>
      </c>
      <c r="CB351" s="2"/>
      <c r="CC351" s="107" t="n">
        <v>0</v>
      </c>
      <c r="CD351" s="107" t="n">
        <v>100.23</v>
      </c>
      <c r="CE351" s="107" t="n">
        <v>100.18</v>
      </c>
      <c r="CF351" s="107" t="n">
        <v>100.25</v>
      </c>
      <c r="CG351" s="107" t="n">
        <v>13000000</v>
      </c>
      <c r="CH351" s="107" t="n">
        <v>1.8158</v>
      </c>
      <c r="CI351" s="107" t="n">
        <v>100.24</v>
      </c>
      <c r="CJ351" s="107" t="n">
        <v>100.18</v>
      </c>
      <c r="CK351" s="107" t="n">
        <v>100.16</v>
      </c>
      <c r="CL351" s="107" t="n">
        <v>0</v>
      </c>
    </row>
    <row r="352" customFormat="false" ht="15" hidden="false" customHeight="false" outlineLevel="0" collapsed="false">
      <c r="A352" s="107" t="s">
        <v>779</v>
      </c>
      <c r="B352" s="107" t="n">
        <v>96.9215</v>
      </c>
      <c r="C352" s="107" t="n">
        <v>5.1365</v>
      </c>
      <c r="D352" s="107" t="n">
        <v>2.6864</v>
      </c>
      <c r="E352" s="107" t="n">
        <v>-208.29593408</v>
      </c>
      <c r="F352" s="108" t="s">
        <v>358</v>
      </c>
      <c r="G352" s="107" t="n">
        <v>2.6864</v>
      </c>
      <c r="H352" s="107" t="n">
        <v>-208.29593408</v>
      </c>
      <c r="I352" s="109" t="n">
        <v>47372</v>
      </c>
      <c r="J352" s="107" t="n">
        <v>3</v>
      </c>
      <c r="K352" s="107" t="s">
        <v>359</v>
      </c>
      <c r="L352" s="107" t="s">
        <v>298</v>
      </c>
      <c r="M352" s="107" t="n">
        <v>2149120</v>
      </c>
      <c r="N352" s="107" t="n">
        <v>99.342</v>
      </c>
      <c r="O352" s="107" t="n">
        <v>775372</v>
      </c>
      <c r="P352" s="107" t="s">
        <v>360</v>
      </c>
      <c r="Q352" s="107" t="s">
        <v>364</v>
      </c>
      <c r="R352" s="107" t="n">
        <v>-0.0847668445473001</v>
      </c>
      <c r="S352" s="107" t="n">
        <v>-0.0243653238308067</v>
      </c>
      <c r="T352" s="107" t="n">
        <v>-213.64600088</v>
      </c>
      <c r="U352" s="107" t="n">
        <v>21069</v>
      </c>
      <c r="V352" s="108" t="s">
        <v>362</v>
      </c>
      <c r="W352" s="107" t="n">
        <v>42003</v>
      </c>
      <c r="X352" s="108" t="s">
        <v>372</v>
      </c>
      <c r="Y352" s="107" t="s">
        <v>777</v>
      </c>
      <c r="Z352" s="107" t="s">
        <v>780</v>
      </c>
      <c r="AA352" s="109" t="n">
        <v>45674</v>
      </c>
      <c r="AB352" s="107" t="n">
        <v>250117000001</v>
      </c>
      <c r="AC352" s="109" t="n">
        <v>45187</v>
      </c>
      <c r="AD352" s="109" t="n">
        <v>48840</v>
      </c>
      <c r="AE352" s="107" t="n">
        <v>5.125</v>
      </c>
      <c r="AF352" s="107" t="n">
        <v>5.8185</v>
      </c>
      <c r="AG352" s="107" t="n">
        <v>2545</v>
      </c>
      <c r="AH352" s="107" t="n">
        <v>500000</v>
      </c>
      <c r="AI352" s="107" t="n">
        <v>5.16</v>
      </c>
      <c r="AJ352" s="107" t="n">
        <v>99.751</v>
      </c>
      <c r="AK352" s="107" t="n">
        <v>4.20352</v>
      </c>
      <c r="AL352" s="107" t="n">
        <v>105.684534</v>
      </c>
      <c r="AM352" s="107" t="n">
        <v>5.3909</v>
      </c>
      <c r="AN352" s="107" t="n">
        <v>98.4674</v>
      </c>
      <c r="AO352" s="107" t="n">
        <v>1358.4</v>
      </c>
      <c r="AP352" s="107" t="n">
        <v>1</v>
      </c>
      <c r="AQ352" s="107" t="n">
        <v>492337</v>
      </c>
      <c r="AR352" s="107" t="n">
        <v>668790581</v>
      </c>
      <c r="AS352" s="107" t="n">
        <v>527568.5</v>
      </c>
      <c r="AT352" s="107" t="n">
        <v>757008041</v>
      </c>
      <c r="AU352" s="107" t="n">
        <v>-35231.5</v>
      </c>
      <c r="AV352" s="107" t="n">
        <v>-47858469</v>
      </c>
      <c r="AW352" s="107" t="n">
        <v>0</v>
      </c>
      <c r="AX352" s="107" t="n">
        <v>0</v>
      </c>
      <c r="AY352" s="107" t="n">
        <v>0</v>
      </c>
      <c r="AZ352" s="107" t="n">
        <v>0</v>
      </c>
      <c r="BA352" s="107" t="n">
        <v>0</v>
      </c>
      <c r="BB352" s="107" t="n">
        <v>0</v>
      </c>
      <c r="BC352" s="107" t="n">
        <v>0</v>
      </c>
      <c r="BD352" s="107" t="n">
        <v>0</v>
      </c>
      <c r="BE352" s="107" t="n">
        <v>854.17</v>
      </c>
      <c r="BF352" s="107" t="n">
        <v>1160304</v>
      </c>
      <c r="BG352" s="107" t="n">
        <v>0</v>
      </c>
      <c r="BH352" s="107" t="n">
        <v>0</v>
      </c>
      <c r="BI352" s="107" t="n">
        <v>498755</v>
      </c>
      <c r="BJ352" s="107" t="n">
        <v>715663550</v>
      </c>
      <c r="BK352" s="107" t="n">
        <v>0</v>
      </c>
      <c r="BL352" s="107" t="n">
        <v>0</v>
      </c>
      <c r="BM352" s="107" t="n">
        <v>0</v>
      </c>
      <c r="BN352" s="107" t="n">
        <v>0</v>
      </c>
      <c r="BO352" s="107" t="s">
        <v>361</v>
      </c>
      <c r="BP352" s="2"/>
      <c r="BQ352" s="107" t="s">
        <v>364</v>
      </c>
      <c r="BR352" s="107" t="n">
        <v>-40358991</v>
      </c>
      <c r="BS352" s="107" t="n">
        <v>0</v>
      </c>
      <c r="BT352" s="107" t="n">
        <v>0</v>
      </c>
      <c r="BU352" s="107" t="n">
        <v>28813.5</v>
      </c>
      <c r="BV352" s="107" t="n">
        <v>41344491</v>
      </c>
      <c r="BW352" s="107" t="n">
        <v>854.17</v>
      </c>
      <c r="BX352" s="107" t="n">
        <v>1160304</v>
      </c>
      <c r="BY352" s="107" t="n">
        <v>0</v>
      </c>
      <c r="BZ352" s="107" t="n">
        <v>0</v>
      </c>
      <c r="CA352" s="107" t="n">
        <v>1434.9</v>
      </c>
      <c r="CB352" s="2"/>
      <c r="CC352" s="107" t="n">
        <v>0</v>
      </c>
      <c r="CD352" s="107" t="n">
        <v>98.43</v>
      </c>
      <c r="CE352" s="107" t="n">
        <v>98.46</v>
      </c>
      <c r="CF352" s="107" t="n">
        <v>98.51</v>
      </c>
      <c r="CG352" s="107" t="n">
        <v>500000</v>
      </c>
      <c r="CH352" s="107" t="n">
        <v>5.6658</v>
      </c>
      <c r="CI352" s="107" t="n">
        <v>99.83</v>
      </c>
      <c r="CJ352" s="107" t="n">
        <v>99.82</v>
      </c>
      <c r="CK352" s="107" t="n">
        <v>99.82</v>
      </c>
      <c r="CL352" s="107" t="n">
        <v>1000000</v>
      </c>
    </row>
    <row r="353" customFormat="false" ht="15" hidden="false" customHeight="false" outlineLevel="0" collapsed="false">
      <c r="A353" s="107" t="s">
        <v>781</v>
      </c>
      <c r="B353" s="107" t="n">
        <v>94.6576</v>
      </c>
      <c r="C353" s="107" t="n">
        <v>5.2542</v>
      </c>
      <c r="D353" s="107" t="n">
        <v>3.5651</v>
      </c>
      <c r="E353" s="107" t="n">
        <v>-3374.6380976</v>
      </c>
      <c r="F353" s="108" t="s">
        <v>358</v>
      </c>
      <c r="G353" s="107" t="n">
        <v>3.5651</v>
      </c>
      <c r="H353" s="107" t="n">
        <v>-3374.6380976</v>
      </c>
      <c r="I353" s="109" t="n">
        <v>47748</v>
      </c>
      <c r="J353" s="107" t="n">
        <v>3</v>
      </c>
      <c r="K353" s="107" t="s">
        <v>359</v>
      </c>
      <c r="L353" s="107" t="s">
        <v>298</v>
      </c>
      <c r="M353" s="107" t="n">
        <v>35651000</v>
      </c>
      <c r="N353" s="107" t="n">
        <v>99.2486</v>
      </c>
      <c r="O353" s="107" t="n">
        <v>9465760</v>
      </c>
      <c r="P353" s="107" t="s">
        <v>360</v>
      </c>
      <c r="Q353" s="107" t="s">
        <v>364</v>
      </c>
      <c r="R353" s="107" t="n">
        <v>-0.0968789125172901</v>
      </c>
      <c r="S353" s="107" t="n">
        <v>-0.0462575794520023</v>
      </c>
      <c r="T353" s="107" t="n">
        <v>-3463.3322688</v>
      </c>
      <c r="U353" s="107" t="n">
        <v>21069</v>
      </c>
      <c r="V353" s="108" t="s">
        <v>362</v>
      </c>
      <c r="W353" s="107" t="n">
        <v>42003</v>
      </c>
      <c r="X353" s="108" t="s">
        <v>372</v>
      </c>
      <c r="Y353" s="107" t="s">
        <v>778</v>
      </c>
      <c r="Z353" s="107" t="s">
        <v>782</v>
      </c>
      <c r="AA353" s="109" t="n">
        <v>45546</v>
      </c>
      <c r="AB353" s="107" t="n">
        <v>240911000001</v>
      </c>
      <c r="AC353" s="109" t="n">
        <v>45546</v>
      </c>
      <c r="AD353" s="109" t="n">
        <v>46641</v>
      </c>
      <c r="AE353" s="107" t="n">
        <v>4</v>
      </c>
      <c r="AF353" s="107" t="n">
        <v>0.9223</v>
      </c>
      <c r="AG353" s="107" t="n">
        <v>346</v>
      </c>
      <c r="AH353" s="107" t="n">
        <v>200000</v>
      </c>
      <c r="AI353" s="107" t="n">
        <v>4.100143</v>
      </c>
      <c r="AJ353" s="107" t="n">
        <v>99.72</v>
      </c>
      <c r="AK353" s="107" t="n">
        <v>3.321322</v>
      </c>
      <c r="AL353" s="107" t="n">
        <v>100.837295</v>
      </c>
      <c r="AM353" s="107" t="n">
        <v>4.8077</v>
      </c>
      <c r="AN353" s="107" t="n">
        <v>99.2569</v>
      </c>
      <c r="AO353" s="107" t="n">
        <v>1358.4</v>
      </c>
      <c r="AP353" s="107" t="n">
        <v>1</v>
      </c>
      <c r="AQ353" s="107" t="n">
        <v>198513.8</v>
      </c>
      <c r="AR353" s="107" t="n">
        <v>269661146</v>
      </c>
      <c r="AS353" s="107" t="n">
        <v>200868.2</v>
      </c>
      <c r="AT353" s="107" t="n">
        <v>288225780</v>
      </c>
      <c r="AU353" s="107" t="n">
        <v>-2354.4</v>
      </c>
      <c r="AV353" s="107" t="n">
        <v>-3198217</v>
      </c>
      <c r="AW353" s="107" t="n">
        <v>0</v>
      </c>
      <c r="AX353" s="107" t="n">
        <v>0</v>
      </c>
      <c r="AY353" s="107" t="n">
        <v>0</v>
      </c>
      <c r="AZ353" s="107" t="n">
        <v>0</v>
      </c>
      <c r="BA353" s="107" t="n">
        <v>0</v>
      </c>
      <c r="BB353" s="107" t="n">
        <v>0</v>
      </c>
      <c r="BC353" s="107" t="n">
        <v>0</v>
      </c>
      <c r="BD353" s="107" t="n">
        <v>0</v>
      </c>
      <c r="BE353" s="107" t="n">
        <v>422.22</v>
      </c>
      <c r="BF353" s="107" t="n">
        <v>573543</v>
      </c>
      <c r="BG353" s="107" t="n">
        <v>384.17</v>
      </c>
      <c r="BH353" s="107" t="n">
        <v>521856</v>
      </c>
      <c r="BI353" s="107" t="n">
        <v>199440</v>
      </c>
      <c r="BJ353" s="107" t="n">
        <v>286238295</v>
      </c>
      <c r="BK353" s="107" t="n">
        <v>0</v>
      </c>
      <c r="BL353" s="107" t="n">
        <v>0</v>
      </c>
      <c r="BM353" s="107" t="n">
        <v>0</v>
      </c>
      <c r="BN353" s="107" t="n">
        <v>0</v>
      </c>
      <c r="BO353" s="107" t="s">
        <v>361</v>
      </c>
      <c r="BP353" s="2"/>
      <c r="BQ353" s="107" t="s">
        <v>364</v>
      </c>
      <c r="BR353" s="107" t="n">
        <v>-15366417</v>
      </c>
      <c r="BS353" s="107" t="n">
        <v>0</v>
      </c>
      <c r="BT353" s="107" t="n">
        <v>0</v>
      </c>
      <c r="BU353" s="107" t="n">
        <v>1428.2</v>
      </c>
      <c r="BV353" s="107" t="n">
        <v>1987485</v>
      </c>
      <c r="BW353" s="107" t="n">
        <v>422.22</v>
      </c>
      <c r="BX353" s="107" t="n">
        <v>573543</v>
      </c>
      <c r="BY353" s="107" t="n">
        <v>384.17</v>
      </c>
      <c r="BZ353" s="107" t="n">
        <v>521856</v>
      </c>
      <c r="CA353" s="107" t="n">
        <v>1434.9</v>
      </c>
      <c r="CB353" s="2"/>
      <c r="CC353" s="107" t="n">
        <v>0</v>
      </c>
      <c r="CD353" s="107" t="n">
        <v>99.19</v>
      </c>
      <c r="CE353" s="107" t="n">
        <v>99.17</v>
      </c>
      <c r="CF353" s="107" t="n">
        <v>99.41</v>
      </c>
      <c r="CG353" s="107" t="n">
        <v>200000</v>
      </c>
      <c r="CH353" s="107" t="n">
        <v>0.9006</v>
      </c>
      <c r="CI353" s="107" t="n">
        <v>96.97</v>
      </c>
      <c r="CJ353" s="107" t="n">
        <v>97.06</v>
      </c>
      <c r="CK353" s="107" t="n">
        <v>97.06</v>
      </c>
      <c r="CL353" s="107" t="n">
        <v>10000000</v>
      </c>
    </row>
    <row r="354" customFormat="false" ht="15" hidden="false" customHeight="false" outlineLevel="0" collapsed="false">
      <c r="A354" s="107" t="s">
        <v>783</v>
      </c>
      <c r="B354" s="107" t="n">
        <v>97.1057</v>
      </c>
      <c r="C354" s="107" t="n">
        <v>5.1023</v>
      </c>
      <c r="D354" s="107" t="n">
        <v>2.1034</v>
      </c>
      <c r="E354" s="107" t="n">
        <v>-755.732878706</v>
      </c>
      <c r="F354" s="108" t="s">
        <v>358</v>
      </c>
      <c r="G354" s="107" t="n">
        <v>2.1034</v>
      </c>
      <c r="H354" s="107" t="n">
        <v>-755.732878706</v>
      </c>
      <c r="I354" s="109" t="n">
        <v>47131</v>
      </c>
      <c r="J354" s="107" t="n">
        <v>3</v>
      </c>
      <c r="K354" s="107" t="s">
        <v>359</v>
      </c>
      <c r="L354" s="107" t="s">
        <v>298</v>
      </c>
      <c r="M354" s="107" t="n">
        <v>7782580</v>
      </c>
      <c r="N354" s="107" t="n">
        <v>99.86</v>
      </c>
      <c r="O354" s="107" t="n">
        <v>3592910.9</v>
      </c>
      <c r="P354" s="107" t="s">
        <v>360</v>
      </c>
      <c r="Q354" s="107" t="s">
        <v>364</v>
      </c>
      <c r="R354" s="107" t="n">
        <v>-0.102057981663193</v>
      </c>
      <c r="S354" s="107" t="n">
        <v>-0.027581614259964</v>
      </c>
      <c r="T354" s="107" t="n">
        <v>-775.026810239</v>
      </c>
      <c r="U354" s="107" t="n">
        <v>21069</v>
      </c>
      <c r="V354" s="108" t="s">
        <v>362</v>
      </c>
      <c r="W354" s="107" t="n">
        <v>42003</v>
      </c>
      <c r="X354" s="108" t="s">
        <v>372</v>
      </c>
      <c r="Y354" s="107" t="s">
        <v>779</v>
      </c>
      <c r="Z354" s="107" t="s">
        <v>784</v>
      </c>
      <c r="AA354" s="109" t="n">
        <v>45546</v>
      </c>
      <c r="AB354" s="107" t="n">
        <v>240911000001</v>
      </c>
      <c r="AC354" s="109" t="n">
        <v>45546</v>
      </c>
      <c r="AD354" s="109" t="n">
        <v>47372</v>
      </c>
      <c r="AE354" s="107" t="n">
        <v>4</v>
      </c>
      <c r="AF354" s="107" t="n">
        <v>2.7532</v>
      </c>
      <c r="AG354" s="107" t="n">
        <v>1077</v>
      </c>
      <c r="AH354" s="107" t="n">
        <v>800000</v>
      </c>
      <c r="AI354" s="107" t="n">
        <v>4.14707</v>
      </c>
      <c r="AJ354" s="107" t="n">
        <v>99.342</v>
      </c>
      <c r="AK354" s="107" t="n">
        <v>3.865165</v>
      </c>
      <c r="AL354" s="107" t="n">
        <v>100.581511</v>
      </c>
      <c r="AM354" s="107" t="n">
        <v>5.0857</v>
      </c>
      <c r="AN354" s="107" t="n">
        <v>97.0589</v>
      </c>
      <c r="AO354" s="107" t="n">
        <v>1358.4</v>
      </c>
      <c r="AP354" s="107" t="n">
        <v>1</v>
      </c>
      <c r="AQ354" s="107" t="n">
        <v>776471.2</v>
      </c>
      <c r="AR354" s="107" t="n">
        <v>1054758478</v>
      </c>
      <c r="AS354" s="107" t="n">
        <v>802963.2</v>
      </c>
      <c r="AT354" s="107" t="n">
        <v>1152171896</v>
      </c>
      <c r="AU354" s="107" t="n">
        <v>-26492</v>
      </c>
      <c r="AV354" s="107" t="n">
        <v>-35986733</v>
      </c>
      <c r="AW354" s="107" t="n">
        <v>0</v>
      </c>
      <c r="AX354" s="107" t="n">
        <v>0</v>
      </c>
      <c r="AY354" s="107" t="n">
        <v>0</v>
      </c>
      <c r="AZ354" s="107" t="n">
        <v>0</v>
      </c>
      <c r="BA354" s="107" t="n">
        <v>0</v>
      </c>
      <c r="BB354" s="107" t="n">
        <v>0</v>
      </c>
      <c r="BC354" s="107" t="n">
        <v>0</v>
      </c>
      <c r="BD354" s="107" t="n">
        <v>0</v>
      </c>
      <c r="BE354" s="107" t="n">
        <v>1688.89</v>
      </c>
      <c r="BF354" s="107" t="n">
        <v>2294188</v>
      </c>
      <c r="BG354" s="107" t="n">
        <v>0</v>
      </c>
      <c r="BH354" s="107" t="n">
        <v>0</v>
      </c>
      <c r="BI354" s="107" t="n">
        <v>794736</v>
      </c>
      <c r="BJ354" s="107" t="n">
        <v>1141040578</v>
      </c>
      <c r="BK354" s="107" t="n">
        <v>0</v>
      </c>
      <c r="BL354" s="107" t="n">
        <v>0</v>
      </c>
      <c r="BM354" s="107" t="n">
        <v>0</v>
      </c>
      <c r="BN354" s="107" t="n">
        <v>0</v>
      </c>
      <c r="BO354" s="107" t="s">
        <v>361</v>
      </c>
      <c r="BP354" s="2"/>
      <c r="BQ354" s="107" t="s">
        <v>364</v>
      </c>
      <c r="BR354" s="107" t="n">
        <v>-61426685</v>
      </c>
      <c r="BS354" s="107" t="n">
        <v>0</v>
      </c>
      <c r="BT354" s="107" t="n">
        <v>0</v>
      </c>
      <c r="BU354" s="107" t="n">
        <v>8227.2</v>
      </c>
      <c r="BV354" s="107" t="n">
        <v>11131318</v>
      </c>
      <c r="BW354" s="107" t="n">
        <v>1688.89</v>
      </c>
      <c r="BX354" s="107" t="n">
        <v>2294188</v>
      </c>
      <c r="BY354" s="107" t="n">
        <v>0</v>
      </c>
      <c r="BZ354" s="107" t="n">
        <v>0</v>
      </c>
      <c r="CA354" s="107" t="n">
        <v>1434.9</v>
      </c>
      <c r="CB354" s="2"/>
      <c r="CC354" s="107" t="n">
        <v>0</v>
      </c>
      <c r="CD354" s="107" t="n">
        <v>97.06</v>
      </c>
      <c r="CE354" s="107" t="n">
        <v>97.06</v>
      </c>
      <c r="CF354" s="107" t="n">
        <v>97.06</v>
      </c>
      <c r="CG354" s="107" t="n">
        <v>800000</v>
      </c>
      <c r="CH354" s="107" t="n">
        <v>2.6849</v>
      </c>
      <c r="CI354" s="107" t="n">
        <v>96.97</v>
      </c>
      <c r="CJ354" s="107" t="n">
        <v>97.06</v>
      </c>
      <c r="CK354" s="107" t="n">
        <v>97.06</v>
      </c>
      <c r="CL354" s="107" t="n">
        <v>10000000</v>
      </c>
    </row>
    <row r="355" customFormat="false" ht="15" hidden="false" customHeight="false" outlineLevel="0" collapsed="false">
      <c r="A355" s="107" t="s">
        <v>785</v>
      </c>
      <c r="B355" s="107" t="n">
        <v>94.7046</v>
      </c>
      <c r="C355" s="107" t="n">
        <v>5.2685</v>
      </c>
      <c r="D355" s="107" t="n">
        <v>3.7745</v>
      </c>
      <c r="E355" s="107" t="n">
        <v>-1787.3125635</v>
      </c>
      <c r="F355" s="108" t="s">
        <v>358</v>
      </c>
      <c r="G355" s="107" t="n">
        <v>3.7745</v>
      </c>
      <c r="H355" s="107" t="n">
        <v>-1787.3125635</v>
      </c>
      <c r="I355" s="109" t="n">
        <v>47861</v>
      </c>
      <c r="J355" s="107" t="n">
        <v>5</v>
      </c>
      <c r="K355" s="107" t="s">
        <v>359</v>
      </c>
      <c r="L355" s="107" t="s">
        <v>298</v>
      </c>
      <c r="M355" s="107" t="n">
        <v>18872500</v>
      </c>
      <c r="N355" s="107" t="n">
        <v>99.44</v>
      </c>
      <c r="O355" s="107" t="n">
        <v>4735230</v>
      </c>
      <c r="P355" s="107" t="s">
        <v>360</v>
      </c>
      <c r="Q355" s="107" t="s">
        <v>364</v>
      </c>
      <c r="R355" s="107" t="n">
        <v>-0.12056227530335</v>
      </c>
      <c r="S355" s="107" t="n">
        <v>-0.0476206757843926</v>
      </c>
      <c r="T355" s="107" t="n">
        <v>-1834.3807497</v>
      </c>
      <c r="U355" s="107" t="n">
        <v>21069</v>
      </c>
      <c r="V355" s="108" t="s">
        <v>362</v>
      </c>
      <c r="W355" s="107" t="n">
        <v>42003</v>
      </c>
      <c r="X355" s="108" t="s">
        <v>372</v>
      </c>
      <c r="Y355" s="107" t="s">
        <v>781</v>
      </c>
      <c r="Z355" s="107" t="s">
        <v>786</v>
      </c>
      <c r="AA355" s="109" t="n">
        <v>45923</v>
      </c>
      <c r="AB355" s="107" t="n">
        <v>250923000001</v>
      </c>
      <c r="AC355" s="109" t="n">
        <v>45922</v>
      </c>
      <c r="AD355" s="109" t="n">
        <v>47748</v>
      </c>
      <c r="AE355" s="107" t="n">
        <v>3.75</v>
      </c>
      <c r="AF355" s="107" t="n">
        <v>3.6565</v>
      </c>
      <c r="AG355" s="107" t="n">
        <v>1453</v>
      </c>
      <c r="AH355" s="107" t="n">
        <v>10000000</v>
      </c>
      <c r="AI355" s="107" t="n">
        <v>3.917</v>
      </c>
      <c r="AJ355" s="107" t="n">
        <v>99.2486</v>
      </c>
      <c r="AK355" s="107" t="n">
        <v>3.930475</v>
      </c>
      <c r="AL355" s="107" t="n">
        <v>99.423933</v>
      </c>
      <c r="AM355" s="107" t="n">
        <v>5.2189</v>
      </c>
      <c r="AN355" s="107" t="n">
        <v>94.7819</v>
      </c>
      <c r="AO355" s="107" t="n">
        <v>1358.4</v>
      </c>
      <c r="AP355" s="107" t="n">
        <v>1</v>
      </c>
      <c r="AQ355" s="107" t="n">
        <v>9478190</v>
      </c>
      <c r="AR355" s="107" t="n">
        <v>12875173296</v>
      </c>
      <c r="AS355" s="107" t="n">
        <v>9934060</v>
      </c>
      <c r="AT355" s="107" t="n">
        <v>14254382694</v>
      </c>
      <c r="AU355" s="107" t="n">
        <v>-455870</v>
      </c>
      <c r="AV355" s="107" t="n">
        <v>-619253808</v>
      </c>
      <c r="AW355" s="107" t="n">
        <v>0</v>
      </c>
      <c r="AX355" s="107" t="n">
        <v>0</v>
      </c>
      <c r="AY355" s="107" t="n">
        <v>0</v>
      </c>
      <c r="AZ355" s="107" t="n">
        <v>0</v>
      </c>
      <c r="BA355" s="107" t="n">
        <v>0</v>
      </c>
      <c r="BB355" s="107" t="n">
        <v>0</v>
      </c>
      <c r="BC355" s="107" t="n">
        <v>0</v>
      </c>
      <c r="BD355" s="107" t="n">
        <v>0</v>
      </c>
      <c r="BE355" s="107" t="n">
        <v>8333.33</v>
      </c>
      <c r="BF355" s="107" t="n">
        <v>11319995</v>
      </c>
      <c r="BG355" s="107" t="n">
        <v>0</v>
      </c>
      <c r="BH355" s="107" t="n">
        <v>0</v>
      </c>
      <c r="BI355" s="107" t="n">
        <v>11413589</v>
      </c>
      <c r="BJ355" s="107" t="n">
        <v>16377358856</v>
      </c>
      <c r="BK355" s="107" t="n">
        <v>0</v>
      </c>
      <c r="BL355" s="107" t="n">
        <v>0</v>
      </c>
      <c r="BM355" s="107" t="n">
        <v>0</v>
      </c>
      <c r="BN355" s="107" t="n">
        <v>0</v>
      </c>
      <c r="BO355" s="107" t="s">
        <v>361</v>
      </c>
      <c r="BP355" s="2"/>
      <c r="BQ355" s="107" t="s">
        <v>787</v>
      </c>
      <c r="BR355" s="107" t="n">
        <v>-759955590</v>
      </c>
      <c r="BS355" s="107" t="n">
        <v>0</v>
      </c>
      <c r="BT355" s="107" t="n">
        <v>0</v>
      </c>
      <c r="BU355" s="107" t="n">
        <v>10580</v>
      </c>
      <c r="BV355" s="107" t="n">
        <v>15181242</v>
      </c>
      <c r="BW355" s="107" t="n">
        <v>8333.33</v>
      </c>
      <c r="BX355" s="107" t="n">
        <v>11319995</v>
      </c>
      <c r="BY355" s="107" t="n">
        <v>0</v>
      </c>
      <c r="BZ355" s="107" t="n">
        <v>0</v>
      </c>
      <c r="CA355" s="107" t="n">
        <v>1434.9</v>
      </c>
      <c r="CB355" s="2"/>
      <c r="CC355" s="107" t="n">
        <v>0</v>
      </c>
      <c r="CD355" s="107" t="n">
        <v>94.78</v>
      </c>
      <c r="CE355" s="107" t="n">
        <v>94.78</v>
      </c>
      <c r="CF355" s="107" t="n">
        <v>94.78</v>
      </c>
      <c r="CG355" s="107" t="n">
        <v>10000000</v>
      </c>
      <c r="CH355" s="107" t="n">
        <v>3.5635</v>
      </c>
      <c r="CI355" s="107" t="n">
        <v>98.89</v>
      </c>
      <c r="CJ355" s="107" t="n">
        <v>98.92</v>
      </c>
      <c r="CK355" s="107" t="n">
        <v>98.91</v>
      </c>
      <c r="CL355" s="107" t="n">
        <v>371000</v>
      </c>
    </row>
    <row r="356" customFormat="false" ht="15" hidden="false" customHeight="false" outlineLevel="0" collapsed="false">
      <c r="A356" s="107" t="s">
        <v>788</v>
      </c>
      <c r="B356" s="107" t="n">
        <v>91.4715</v>
      </c>
      <c r="C356" s="107" t="n">
        <v>5.5617</v>
      </c>
      <c r="D356" s="107" t="n">
        <v>7.2121</v>
      </c>
      <c r="E356" s="107" t="n">
        <v>-3298.50802575</v>
      </c>
      <c r="F356" s="108" t="s">
        <v>358</v>
      </c>
      <c r="G356" s="107" t="n">
        <v>7.2121</v>
      </c>
      <c r="H356" s="107" t="n">
        <v>-3298.50802575</v>
      </c>
      <c r="I356" s="109" t="n">
        <v>49687</v>
      </c>
      <c r="J356" s="107" t="n">
        <v>10</v>
      </c>
      <c r="K356" s="107" t="s">
        <v>359</v>
      </c>
      <c r="L356" s="107" t="s">
        <v>298</v>
      </c>
      <c r="M356" s="107" t="n">
        <v>36060500</v>
      </c>
      <c r="N356" s="107" t="n">
        <v>98.14</v>
      </c>
      <c r="O356" s="107" t="n">
        <v>4573575</v>
      </c>
      <c r="P356" s="107" t="s">
        <v>360</v>
      </c>
      <c r="Q356" s="107" t="s">
        <v>364</v>
      </c>
      <c r="R356" s="107" t="n">
        <v>-0.146843175998446</v>
      </c>
      <c r="S356" s="107" t="n">
        <v>-0.0679488485836559</v>
      </c>
      <c r="T356" s="107" t="n">
        <v>-3390.25394025</v>
      </c>
      <c r="U356" s="107" t="n">
        <v>21069</v>
      </c>
      <c r="V356" s="108" t="s">
        <v>362</v>
      </c>
      <c r="W356" s="107" t="n">
        <v>42003</v>
      </c>
      <c r="X356" s="108" t="s">
        <v>372</v>
      </c>
      <c r="Y356" s="107" t="s">
        <v>783</v>
      </c>
      <c r="Z356" s="107" t="s">
        <v>789</v>
      </c>
      <c r="AA356" s="109" t="n">
        <v>46036</v>
      </c>
      <c r="AB356" s="107" t="n">
        <v>260114000001</v>
      </c>
      <c r="AC356" s="109" t="n">
        <v>46035</v>
      </c>
      <c r="AD356" s="109" t="n">
        <v>47131</v>
      </c>
      <c r="AE356" s="107" t="n">
        <v>3.75</v>
      </c>
      <c r="AF356" s="107" t="n">
        <v>2.1547</v>
      </c>
      <c r="AG356" s="107" t="n">
        <v>836</v>
      </c>
      <c r="AH356" s="107" t="n">
        <v>3700000</v>
      </c>
      <c r="AI356" s="107" t="n">
        <v>3.8</v>
      </c>
      <c r="AJ356" s="107" t="n">
        <v>99.86</v>
      </c>
      <c r="AK356" s="107" t="n">
        <v>3.812531</v>
      </c>
      <c r="AL356" s="107" t="n">
        <v>100.662083</v>
      </c>
      <c r="AM356" s="107" t="n">
        <v>5.0527</v>
      </c>
      <c r="AN356" s="107" t="n">
        <v>97.213</v>
      </c>
      <c r="AO356" s="107" t="n">
        <v>1358.4</v>
      </c>
      <c r="AP356" s="107" t="n">
        <v>1</v>
      </c>
      <c r="AQ356" s="107" t="n">
        <v>3596881</v>
      </c>
      <c r="AR356" s="107" t="n">
        <v>4886003150</v>
      </c>
      <c r="AS356" s="107" t="n">
        <v>3694820</v>
      </c>
      <c r="AT356" s="107" t="n">
        <v>5441730896</v>
      </c>
      <c r="AU356" s="107" t="n">
        <v>-97939</v>
      </c>
      <c r="AV356" s="107" t="n">
        <v>-133040338</v>
      </c>
      <c r="AW356" s="107" t="n">
        <v>0</v>
      </c>
      <c r="AX356" s="107" t="n">
        <v>0</v>
      </c>
      <c r="AY356" s="107" t="n">
        <v>0</v>
      </c>
      <c r="AZ356" s="107" t="n">
        <v>0</v>
      </c>
      <c r="BA356" s="107" t="n">
        <v>0</v>
      </c>
      <c r="BB356" s="107" t="n">
        <v>0</v>
      </c>
      <c r="BC356" s="107" t="n">
        <v>0</v>
      </c>
      <c r="BD356" s="107" t="n">
        <v>0</v>
      </c>
      <c r="BE356" s="107" t="n">
        <v>29677.08</v>
      </c>
      <c r="BF356" s="107" t="n">
        <v>40313345</v>
      </c>
      <c r="BG356" s="107" t="n">
        <v>0</v>
      </c>
      <c r="BH356" s="107" t="n">
        <v>0</v>
      </c>
      <c r="BI356" s="107" t="n">
        <v>3694820</v>
      </c>
      <c r="BJ356" s="107" t="n">
        <v>5441730896</v>
      </c>
      <c r="BK356" s="107" t="n">
        <v>0</v>
      </c>
      <c r="BL356" s="107" t="n">
        <v>0</v>
      </c>
      <c r="BM356" s="107" t="n">
        <v>0</v>
      </c>
      <c r="BN356" s="107" t="n">
        <v>0</v>
      </c>
      <c r="BO356" s="107" t="s">
        <v>361</v>
      </c>
      <c r="BP356" s="2"/>
      <c r="BQ356" s="107" t="s">
        <v>364</v>
      </c>
      <c r="BR356" s="107" t="n">
        <v>-422687408</v>
      </c>
      <c r="BS356" s="107" t="n">
        <v>0</v>
      </c>
      <c r="BT356" s="107" t="n">
        <v>0</v>
      </c>
      <c r="BU356" s="107" t="n">
        <v>0</v>
      </c>
      <c r="BV356" s="107" t="n">
        <v>0</v>
      </c>
      <c r="BW356" s="107" t="n">
        <v>29677.08</v>
      </c>
      <c r="BX356" s="107" t="n">
        <v>40313345</v>
      </c>
      <c r="BY356" s="107" t="n">
        <v>0</v>
      </c>
      <c r="BZ356" s="107" t="n">
        <v>0</v>
      </c>
      <c r="CA356" s="107" t="n">
        <v>1472.8</v>
      </c>
      <c r="CB356" s="2"/>
      <c r="CC356" s="107" t="n">
        <v>0</v>
      </c>
      <c r="CD356" s="107" t="n">
        <v>97.23</v>
      </c>
      <c r="CE356" s="107" t="n">
        <v>97.19</v>
      </c>
      <c r="CF356" s="107" t="n">
        <v>97.21</v>
      </c>
      <c r="CG356" s="107" t="n">
        <v>3700000</v>
      </c>
      <c r="CH356" s="107" t="n">
        <v>2.1016</v>
      </c>
      <c r="CI356" s="107" t="n">
        <v>96.59</v>
      </c>
      <c r="CJ356" s="107" t="n">
        <v>96.67</v>
      </c>
      <c r="CK356" s="107" t="n">
        <v>96.66</v>
      </c>
      <c r="CL356" s="107" t="n">
        <v>0</v>
      </c>
    </row>
    <row r="357" customFormat="false" ht="15" hidden="false" customHeight="false" outlineLevel="0" collapsed="false">
      <c r="A357" s="107" t="s">
        <v>788</v>
      </c>
      <c r="B357" s="107" t="n">
        <v>91.4715</v>
      </c>
      <c r="C357" s="107" t="n">
        <v>5.5617</v>
      </c>
      <c r="D357" s="107" t="n">
        <v>7.2121</v>
      </c>
      <c r="E357" s="107" t="n">
        <v>-3298.50802575</v>
      </c>
      <c r="F357" s="108" t="s">
        <v>358</v>
      </c>
      <c r="G357" s="107" t="n">
        <v>7.2121</v>
      </c>
      <c r="H357" s="107" t="n">
        <v>-3298.50802575</v>
      </c>
      <c r="I357" s="109" t="n">
        <v>49687</v>
      </c>
      <c r="J357" s="107" t="n">
        <v>10</v>
      </c>
      <c r="K357" s="107" t="s">
        <v>359</v>
      </c>
      <c r="L357" s="107" t="s">
        <v>298</v>
      </c>
      <c r="M357" s="107" t="n">
        <v>36060500</v>
      </c>
      <c r="N357" s="107" t="n">
        <v>97</v>
      </c>
      <c r="O357" s="107" t="n">
        <v>4573575</v>
      </c>
      <c r="P357" s="107" t="s">
        <v>360</v>
      </c>
      <c r="Q357" s="107" t="s">
        <v>364</v>
      </c>
      <c r="R357" s="107" t="n">
        <v>-0.141947537642617</v>
      </c>
      <c r="S357" s="107" t="n">
        <v>-0.0569948453608247</v>
      </c>
      <c r="T357" s="107" t="n">
        <v>-3390.25394025</v>
      </c>
      <c r="U357" s="107" t="n">
        <v>21069</v>
      </c>
      <c r="V357" s="108" t="s">
        <v>362</v>
      </c>
      <c r="W357" s="107" t="n">
        <v>42003</v>
      </c>
      <c r="X357" s="108" t="s">
        <v>372</v>
      </c>
      <c r="Y357" s="107" t="s">
        <v>785</v>
      </c>
      <c r="Z357" s="107" t="s">
        <v>790</v>
      </c>
      <c r="AA357" s="109" t="n">
        <v>46036</v>
      </c>
      <c r="AB357" s="107" t="n">
        <v>260114000001</v>
      </c>
      <c r="AC357" s="109" t="n">
        <v>46035</v>
      </c>
      <c r="AD357" s="109" t="n">
        <v>47861</v>
      </c>
      <c r="AE357" s="107" t="n">
        <v>3.875</v>
      </c>
      <c r="AF357" s="107" t="n">
        <v>3.8716</v>
      </c>
      <c r="AG357" s="107" t="n">
        <v>1566</v>
      </c>
      <c r="AH357" s="107" t="n">
        <v>5000000</v>
      </c>
      <c r="AI357" s="107" t="n">
        <v>4</v>
      </c>
      <c r="AJ357" s="107" t="n">
        <v>99.44</v>
      </c>
      <c r="AK357" s="107" t="n">
        <v>4.017322</v>
      </c>
      <c r="AL357" s="107" t="n">
        <v>100.268819</v>
      </c>
      <c r="AM357" s="107" t="n">
        <v>5.2383</v>
      </c>
      <c r="AN357" s="107" t="n">
        <v>94.8188</v>
      </c>
      <c r="AO357" s="107" t="n">
        <v>1358.4</v>
      </c>
      <c r="AP357" s="107" t="n">
        <v>1</v>
      </c>
      <c r="AQ357" s="107" t="n">
        <v>4740940</v>
      </c>
      <c r="AR357" s="107" t="n">
        <v>6440092896</v>
      </c>
      <c r="AS357" s="107" t="n">
        <v>4972000</v>
      </c>
      <c r="AT357" s="107" t="n">
        <v>7322761600</v>
      </c>
      <c r="AU357" s="107" t="n">
        <v>-231060</v>
      </c>
      <c r="AV357" s="107" t="n">
        <v>-313871904</v>
      </c>
      <c r="AW357" s="107" t="n">
        <v>0</v>
      </c>
      <c r="AX357" s="107" t="n">
        <v>0</v>
      </c>
      <c r="AY357" s="107" t="n">
        <v>0</v>
      </c>
      <c r="AZ357" s="107" t="n">
        <v>0</v>
      </c>
      <c r="BA357" s="107" t="n">
        <v>0</v>
      </c>
      <c r="BB357" s="107" t="n">
        <v>0</v>
      </c>
      <c r="BC357" s="107" t="n">
        <v>0</v>
      </c>
      <c r="BD357" s="107" t="n">
        <v>0</v>
      </c>
      <c r="BE357" s="107" t="n">
        <v>41440.97</v>
      </c>
      <c r="BF357" s="107" t="n">
        <v>56293413</v>
      </c>
      <c r="BG357" s="107" t="n">
        <v>0</v>
      </c>
      <c r="BH357" s="107" t="n">
        <v>0</v>
      </c>
      <c r="BI357" s="107" t="n">
        <v>4972000</v>
      </c>
      <c r="BJ357" s="107" t="n">
        <v>7322761600</v>
      </c>
      <c r="BK357" s="107" t="n">
        <v>0</v>
      </c>
      <c r="BL357" s="107" t="n">
        <v>0</v>
      </c>
      <c r="BM357" s="107" t="n">
        <v>0</v>
      </c>
      <c r="BN357" s="107" t="n">
        <v>0</v>
      </c>
      <c r="BO357" s="107" t="s">
        <v>361</v>
      </c>
      <c r="BP357" s="2"/>
      <c r="BQ357" s="107" t="s">
        <v>364</v>
      </c>
      <c r="BR357" s="107" t="n">
        <v>-568796800</v>
      </c>
      <c r="BS357" s="107" t="n">
        <v>0</v>
      </c>
      <c r="BT357" s="107" t="n">
        <v>0</v>
      </c>
      <c r="BU357" s="107" t="n">
        <v>0</v>
      </c>
      <c r="BV357" s="107" t="n">
        <v>0</v>
      </c>
      <c r="BW357" s="107" t="n">
        <v>41440.97</v>
      </c>
      <c r="BX357" s="107" t="n">
        <v>56293413</v>
      </c>
      <c r="BY357" s="107" t="n">
        <v>0</v>
      </c>
      <c r="BZ357" s="107" t="n">
        <v>0</v>
      </c>
      <c r="CA357" s="107" t="n">
        <v>1472.8</v>
      </c>
      <c r="CB357" s="2"/>
      <c r="CC357" s="107" t="n">
        <v>0</v>
      </c>
      <c r="CD357" s="107" t="n">
        <v>94.81</v>
      </c>
      <c r="CE357" s="107" t="n">
        <v>94.83</v>
      </c>
      <c r="CF357" s="107" t="n">
        <v>94.82</v>
      </c>
      <c r="CG357" s="107" t="n">
        <v>5000000</v>
      </c>
      <c r="CH357" s="107" t="n">
        <v>3.7728</v>
      </c>
      <c r="CI357" s="107" t="n">
        <v>99.16</v>
      </c>
      <c r="CJ357" s="107" t="n">
        <v>99.25</v>
      </c>
      <c r="CK357" s="107" t="n">
        <v>99.23</v>
      </c>
      <c r="CL357" s="107" t="n">
        <v>920000</v>
      </c>
    </row>
    <row r="358" customFormat="false" ht="15" hidden="false" customHeight="false" outlineLevel="0" collapsed="false">
      <c r="A358" s="107" t="s">
        <v>791</v>
      </c>
      <c r="B358" s="107" t="n">
        <v>98.1335</v>
      </c>
      <c r="C358" s="107" t="n">
        <v>5.094</v>
      </c>
      <c r="D358" s="107" t="n">
        <v>2.5346</v>
      </c>
      <c r="E358" s="107" t="n">
        <v>-124.36458455</v>
      </c>
      <c r="F358" s="108" t="s">
        <v>358</v>
      </c>
      <c r="G358" s="107" t="n">
        <v>2.5346</v>
      </c>
      <c r="H358" s="107" t="n">
        <v>-124.36458455</v>
      </c>
      <c r="I358" s="109" t="n">
        <v>47319</v>
      </c>
      <c r="J358" s="107" t="n">
        <v>3</v>
      </c>
      <c r="K358" s="107" t="s">
        <v>359</v>
      </c>
      <c r="L358" s="107" t="s">
        <v>298</v>
      </c>
      <c r="M358" s="107" t="n">
        <v>1267300</v>
      </c>
      <c r="N358" s="107" t="n">
        <v>99.71</v>
      </c>
      <c r="O358" s="107" t="n">
        <v>490667.5</v>
      </c>
      <c r="P358" s="107" t="s">
        <v>360</v>
      </c>
      <c r="Q358" s="107" t="s">
        <v>364</v>
      </c>
      <c r="R358" s="107" t="n">
        <v>-0.0968091127546782</v>
      </c>
      <c r="S358" s="107" t="n">
        <v>-0.0158108514692609</v>
      </c>
      <c r="T358" s="107" t="n">
        <v>-127.5342966</v>
      </c>
      <c r="U358" s="107" t="n">
        <v>21069</v>
      </c>
      <c r="V358" s="108" t="s">
        <v>362</v>
      </c>
      <c r="W358" s="107" t="n">
        <v>42003</v>
      </c>
      <c r="X358" s="108" t="s">
        <v>372</v>
      </c>
      <c r="Y358" s="107" t="s">
        <v>788</v>
      </c>
      <c r="Z358" s="107" t="s">
        <v>792</v>
      </c>
      <c r="AA358" s="109" t="n">
        <v>46101</v>
      </c>
      <c r="AB358" s="107" t="n">
        <v>260320000001</v>
      </c>
      <c r="AC358" s="109" t="n">
        <v>46035</v>
      </c>
      <c r="AD358" s="109" t="n">
        <v>49687</v>
      </c>
      <c r="AE358" s="107" t="n">
        <v>4.375</v>
      </c>
      <c r="AF358" s="107" t="n">
        <v>7.4108</v>
      </c>
      <c r="AG358" s="107" t="n">
        <v>3392</v>
      </c>
      <c r="AH358" s="107" t="n">
        <v>5000000</v>
      </c>
      <c r="AI358" s="107" t="n">
        <v>4.61143</v>
      </c>
      <c r="AJ358" s="107" t="n">
        <v>98.14</v>
      </c>
      <c r="AK358" s="107" t="n">
        <v>4.616617</v>
      </c>
      <c r="AL358" s="107" t="n">
        <v>99.121607</v>
      </c>
      <c r="AM358" s="107" t="n">
        <v>5.5501</v>
      </c>
      <c r="AN358" s="107" t="n">
        <v>91.5523</v>
      </c>
      <c r="AO358" s="107" t="n">
        <v>1358.4</v>
      </c>
      <c r="AP358" s="107" t="n">
        <v>1</v>
      </c>
      <c r="AQ358" s="107" t="n">
        <v>4577615</v>
      </c>
      <c r="AR358" s="107" t="n">
        <v>6218232216</v>
      </c>
      <c r="AS358" s="107" t="n">
        <v>4906220.19</v>
      </c>
      <c r="AT358" s="107" t="n">
        <v>7290643203</v>
      </c>
      <c r="AU358" s="107" t="n">
        <v>-328605.19</v>
      </c>
      <c r="AV358" s="107" t="n">
        <v>-446377290</v>
      </c>
      <c r="AW358" s="107" t="n">
        <v>0</v>
      </c>
      <c r="AX358" s="107" t="n">
        <v>0</v>
      </c>
      <c r="AY358" s="107" t="n">
        <v>779.81</v>
      </c>
      <c r="AZ358" s="107" t="n">
        <v>1158797</v>
      </c>
      <c r="BA358" s="107" t="n">
        <v>0</v>
      </c>
      <c r="BB358" s="107" t="n">
        <v>0</v>
      </c>
      <c r="BC358" s="107" t="n">
        <v>0</v>
      </c>
      <c r="BD358" s="107" t="n">
        <v>0</v>
      </c>
      <c r="BE358" s="107" t="n">
        <v>46788.19</v>
      </c>
      <c r="BF358" s="107" t="n">
        <v>63557077</v>
      </c>
      <c r="BG358" s="107" t="n">
        <v>2292.2</v>
      </c>
      <c r="BH358" s="107" t="n">
        <v>3113724</v>
      </c>
      <c r="BI358" s="107" t="n">
        <v>4906220.19</v>
      </c>
      <c r="BJ358" s="107" t="n">
        <v>7290643203</v>
      </c>
      <c r="BK358" s="107" t="n">
        <v>0</v>
      </c>
      <c r="BL358" s="107" t="n">
        <v>0</v>
      </c>
      <c r="BM358" s="107" t="n">
        <v>0</v>
      </c>
      <c r="BN358" s="107" t="n">
        <v>0</v>
      </c>
      <c r="BO358" s="107" t="s">
        <v>361</v>
      </c>
      <c r="BP358" s="2"/>
      <c r="BQ358" s="107" t="s">
        <v>364</v>
      </c>
      <c r="BR358" s="107" t="n">
        <v>-626033697</v>
      </c>
      <c r="BS358" s="107" t="n">
        <v>-99503</v>
      </c>
      <c r="BT358" s="107" t="n">
        <v>0</v>
      </c>
      <c r="BU358" s="107" t="n">
        <v>0</v>
      </c>
      <c r="BV358" s="107" t="n">
        <v>0</v>
      </c>
      <c r="BW358" s="107" t="n">
        <v>46788.19</v>
      </c>
      <c r="BX358" s="107" t="n">
        <v>63557077</v>
      </c>
      <c r="BY358" s="107" t="n">
        <v>3072.01</v>
      </c>
      <c r="BZ358" s="107" t="n">
        <v>4173018</v>
      </c>
      <c r="CA358" s="107" t="n">
        <v>1486</v>
      </c>
      <c r="CB358" s="2"/>
      <c r="CC358" s="107" t="n">
        <v>0</v>
      </c>
      <c r="CD358" s="107" t="n">
        <v>91.56</v>
      </c>
      <c r="CE358" s="107" t="n">
        <v>91.54</v>
      </c>
      <c r="CF358" s="107" t="n">
        <v>91.56</v>
      </c>
      <c r="CG358" s="107" t="n">
        <v>5000000</v>
      </c>
      <c r="CH358" s="107" t="n">
        <v>7.2107</v>
      </c>
      <c r="CI358" s="107" t="n">
        <v>100.8</v>
      </c>
      <c r="CJ358" s="107" t="n">
        <v>100.87</v>
      </c>
      <c r="CK358" s="107" t="n">
        <v>100.86</v>
      </c>
      <c r="CL358" s="107" t="n">
        <v>10000000</v>
      </c>
    </row>
    <row r="359" customFormat="false" ht="15" hidden="false" customHeight="false" outlineLevel="0" collapsed="false">
      <c r="A359" s="107" t="s">
        <v>793</v>
      </c>
      <c r="B359" s="107" t="n">
        <v>96.7962</v>
      </c>
      <c r="C359" s="107" t="n">
        <v>5.261</v>
      </c>
      <c r="D359" s="107" t="n">
        <v>4.1365</v>
      </c>
      <c r="E359" s="107" t="n">
        <v>-200.19874065</v>
      </c>
      <c r="F359" s="108" t="s">
        <v>358</v>
      </c>
      <c r="G359" s="107" t="n">
        <v>4.1365</v>
      </c>
      <c r="H359" s="107" t="n">
        <v>-200.19874065</v>
      </c>
      <c r="I359" s="109" t="n">
        <v>48049</v>
      </c>
      <c r="J359" s="107" t="n">
        <v>5</v>
      </c>
      <c r="K359" s="107" t="s">
        <v>359</v>
      </c>
      <c r="L359" s="107" t="s">
        <v>298</v>
      </c>
      <c r="M359" s="107" t="n">
        <v>2068250</v>
      </c>
      <c r="N359" s="107" t="n">
        <v>99.668</v>
      </c>
      <c r="O359" s="107" t="n">
        <v>483981</v>
      </c>
      <c r="P359" s="107" t="s">
        <v>360</v>
      </c>
      <c r="Q359" s="107" t="s">
        <v>364</v>
      </c>
      <c r="R359" s="107" t="n">
        <v>-0.108748298686256</v>
      </c>
      <c r="S359" s="107" t="n">
        <v>-0.028813661355701</v>
      </c>
      <c r="T359" s="107" t="n">
        <v>-205.46445393</v>
      </c>
      <c r="U359" s="107" t="n">
        <v>21069</v>
      </c>
      <c r="V359" s="108" t="s">
        <v>362</v>
      </c>
      <c r="W359" s="107" t="n">
        <v>42003</v>
      </c>
      <c r="X359" s="108" t="s">
        <v>372</v>
      </c>
      <c r="Y359" s="107" t="s">
        <v>788</v>
      </c>
      <c r="Z359" s="107" t="s">
        <v>792</v>
      </c>
      <c r="AA359" s="109" t="n">
        <v>46104</v>
      </c>
      <c r="AB359" s="107" t="n">
        <v>260323000001</v>
      </c>
      <c r="AC359" s="109" t="n">
        <v>46035</v>
      </c>
      <c r="AD359" s="109" t="n">
        <v>49687</v>
      </c>
      <c r="AE359" s="107" t="n">
        <v>4.375</v>
      </c>
      <c r="AF359" s="107" t="n">
        <v>7.4108</v>
      </c>
      <c r="AG359" s="107" t="n">
        <v>3392</v>
      </c>
      <c r="AH359" s="107" t="n">
        <v>5000000</v>
      </c>
      <c r="AI359" s="107" t="n">
        <v>4.761</v>
      </c>
      <c r="AJ359" s="107" t="n">
        <v>97</v>
      </c>
      <c r="AK359" s="107" t="n">
        <v>4.771763</v>
      </c>
      <c r="AL359" s="107" t="n">
        <v>97.980898</v>
      </c>
      <c r="AM359" s="107" t="n">
        <v>5.5501</v>
      </c>
      <c r="AN359" s="107" t="n">
        <v>91.5523</v>
      </c>
      <c r="AO359" s="107" t="n">
        <v>1358.4</v>
      </c>
      <c r="AP359" s="107" t="n">
        <v>1</v>
      </c>
      <c r="AQ359" s="107" t="n">
        <v>4577615</v>
      </c>
      <c r="AR359" s="107" t="n">
        <v>6218232216</v>
      </c>
      <c r="AS359" s="107" t="n">
        <v>4849184.74</v>
      </c>
      <c r="AT359" s="107" t="n">
        <v>7249046268</v>
      </c>
      <c r="AU359" s="107" t="n">
        <v>-271569.74</v>
      </c>
      <c r="AV359" s="107" t="n">
        <v>-368900335</v>
      </c>
      <c r="AW359" s="107" t="n">
        <v>0</v>
      </c>
      <c r="AX359" s="107" t="n">
        <v>0</v>
      </c>
      <c r="AY359" s="107" t="n">
        <v>815.26</v>
      </c>
      <c r="AZ359" s="107" t="n">
        <v>1218732</v>
      </c>
      <c r="BA359" s="107" t="n">
        <v>0</v>
      </c>
      <c r="BB359" s="107" t="n">
        <v>0</v>
      </c>
      <c r="BC359" s="107" t="n">
        <v>0</v>
      </c>
      <c r="BD359" s="107" t="n">
        <v>0</v>
      </c>
      <c r="BE359" s="107" t="n">
        <v>46788.19</v>
      </c>
      <c r="BF359" s="107" t="n">
        <v>63557077</v>
      </c>
      <c r="BG359" s="107" t="n">
        <v>2256.75</v>
      </c>
      <c r="BH359" s="107" t="n">
        <v>3065569</v>
      </c>
      <c r="BI359" s="107" t="n">
        <v>4849184.74</v>
      </c>
      <c r="BJ359" s="107" t="n">
        <v>7249046268</v>
      </c>
      <c r="BK359" s="107" t="n">
        <v>0</v>
      </c>
      <c r="BL359" s="107" t="n">
        <v>0</v>
      </c>
      <c r="BM359" s="107" t="n">
        <v>0</v>
      </c>
      <c r="BN359" s="107" t="n">
        <v>0</v>
      </c>
      <c r="BO359" s="107" t="s">
        <v>361</v>
      </c>
      <c r="BP359" s="2"/>
      <c r="BQ359" s="107" t="s">
        <v>364</v>
      </c>
      <c r="BR359" s="107" t="n">
        <v>-661913717</v>
      </c>
      <c r="BS359" s="107" t="n">
        <v>-111283</v>
      </c>
      <c r="BT359" s="107" t="n">
        <v>0</v>
      </c>
      <c r="BU359" s="107" t="n">
        <v>0</v>
      </c>
      <c r="BV359" s="107" t="n">
        <v>0</v>
      </c>
      <c r="BW359" s="107" t="n">
        <v>46788.19</v>
      </c>
      <c r="BX359" s="107" t="n">
        <v>63557077</v>
      </c>
      <c r="BY359" s="107" t="n">
        <v>3072.01</v>
      </c>
      <c r="BZ359" s="107" t="n">
        <v>4173018</v>
      </c>
      <c r="CA359" s="107" t="n">
        <v>1494.9</v>
      </c>
      <c r="CB359" s="2"/>
      <c r="CC359" s="107" t="n">
        <v>0</v>
      </c>
      <c r="CD359" s="107" t="n">
        <v>91.56</v>
      </c>
      <c r="CE359" s="107" t="n">
        <v>91.54</v>
      </c>
      <c r="CF359" s="107" t="n">
        <v>91.56</v>
      </c>
      <c r="CG359" s="107" t="n">
        <v>5000000</v>
      </c>
      <c r="CH359" s="107" t="n">
        <v>7.2107</v>
      </c>
      <c r="CI359" s="107" t="n">
        <v>97.77</v>
      </c>
      <c r="CJ359" s="107" t="n">
        <v>97.85</v>
      </c>
      <c r="CK359" s="107" t="n">
        <v>97.84</v>
      </c>
      <c r="CL359" s="107" t="n">
        <v>10000000</v>
      </c>
    </row>
    <row r="360" customFormat="false" ht="15" hidden="false" customHeight="false" outlineLevel="0" collapsed="false">
      <c r="A360" s="107" t="s">
        <v>794</v>
      </c>
      <c r="B360" s="107" t="n">
        <v>100.5294</v>
      </c>
      <c r="C360" s="107" t="n">
        <v>5.0946</v>
      </c>
      <c r="D360" s="107" t="n">
        <v>1.7951</v>
      </c>
      <c r="E360" s="107" t="n">
        <v>-1804.6032594</v>
      </c>
      <c r="F360" s="108" t="s">
        <v>358</v>
      </c>
      <c r="G360" s="107" t="n">
        <v>1.7951</v>
      </c>
      <c r="H360" s="107" t="n">
        <v>-1804.6032594</v>
      </c>
      <c r="I360" s="109" t="n">
        <v>47030</v>
      </c>
      <c r="J360" s="107" t="n">
        <v>2</v>
      </c>
      <c r="K360" s="107" t="s">
        <v>359</v>
      </c>
      <c r="L360" s="107" t="s">
        <v>298</v>
      </c>
      <c r="M360" s="107" t="n">
        <v>17951000</v>
      </c>
      <c r="N360" s="107" t="n">
        <v>101.87</v>
      </c>
      <c r="O360" s="107" t="n">
        <v>10052940</v>
      </c>
      <c r="P360" s="107" t="s">
        <v>795</v>
      </c>
      <c r="Q360" s="107" t="s">
        <v>364</v>
      </c>
      <c r="R360" s="107" t="n">
        <v>-0.0828270913620378</v>
      </c>
      <c r="S360" s="107" t="n">
        <v>-0.0131599096888192</v>
      </c>
      <c r="T360" s="107" t="n">
        <v>-1850.5451952</v>
      </c>
      <c r="U360" s="107" t="n">
        <v>21069</v>
      </c>
      <c r="V360" s="108" t="s">
        <v>362</v>
      </c>
      <c r="W360" s="107" t="n">
        <v>42003</v>
      </c>
      <c r="X360" s="108" t="s">
        <v>372</v>
      </c>
      <c r="Y360" s="107" t="s">
        <v>791</v>
      </c>
      <c r="Z360" s="107" t="s">
        <v>796</v>
      </c>
      <c r="AA360" s="109" t="n">
        <v>46225</v>
      </c>
      <c r="AB360" s="107" t="n">
        <v>260722000001</v>
      </c>
      <c r="AC360" s="109" t="n">
        <v>46223</v>
      </c>
      <c r="AD360" s="109" t="n">
        <v>47319</v>
      </c>
      <c r="AE360" s="107" t="n">
        <v>4.375</v>
      </c>
      <c r="AF360" s="107" t="n">
        <v>2.5969</v>
      </c>
      <c r="AG360" s="107" t="n">
        <v>1024</v>
      </c>
      <c r="AH360" s="107" t="n">
        <v>500000</v>
      </c>
      <c r="AI360" s="107" t="n">
        <v>4.48</v>
      </c>
      <c r="AJ360" s="107" t="n">
        <v>99.71</v>
      </c>
      <c r="AK360" s="107" t="n">
        <v>4.476912</v>
      </c>
      <c r="AL360" s="107" t="n">
        <v>100.579034</v>
      </c>
      <c r="AM360" s="107" t="n">
        <v>5.0424</v>
      </c>
      <c r="AN360" s="107" t="n">
        <v>98.2669</v>
      </c>
      <c r="AO360" s="107" t="n">
        <v>1358.4</v>
      </c>
      <c r="AP360" s="107" t="n">
        <v>1</v>
      </c>
      <c r="AQ360" s="107" t="n">
        <v>491334.5</v>
      </c>
      <c r="AR360" s="107" t="n">
        <v>667428785</v>
      </c>
      <c r="AS360" s="107" t="n">
        <v>498538.21</v>
      </c>
      <c r="AT360" s="107" t="n">
        <v>738833628</v>
      </c>
      <c r="AU360" s="107" t="n">
        <v>-7203.71</v>
      </c>
      <c r="AV360" s="107" t="n">
        <v>-9785519</v>
      </c>
      <c r="AW360" s="107" t="n">
        <v>121.53</v>
      </c>
      <c r="AX360" s="107" t="n">
        <v>180107</v>
      </c>
      <c r="AY360" s="107" t="n">
        <v>11.79</v>
      </c>
      <c r="AZ360" s="107" t="n">
        <v>17472</v>
      </c>
      <c r="BA360" s="107" t="n">
        <v>0</v>
      </c>
      <c r="BB360" s="107" t="n">
        <v>0</v>
      </c>
      <c r="BC360" s="107" t="n">
        <v>0</v>
      </c>
      <c r="BD360" s="107" t="n">
        <v>0</v>
      </c>
      <c r="BE360" s="107" t="n">
        <v>4131.94</v>
      </c>
      <c r="BF360" s="107" t="n">
        <v>5612827</v>
      </c>
      <c r="BG360" s="107" t="n">
        <v>91.7</v>
      </c>
      <c r="BH360" s="107" t="n">
        <v>124564</v>
      </c>
      <c r="BI360" s="107" t="n">
        <v>498538.21</v>
      </c>
      <c r="BJ360" s="107" t="n">
        <v>738833628</v>
      </c>
      <c r="BK360" s="107" t="n">
        <v>0</v>
      </c>
      <c r="BL360" s="107" t="n">
        <v>0</v>
      </c>
      <c r="BM360" s="107" t="n">
        <v>0</v>
      </c>
      <c r="BN360" s="107" t="n">
        <v>0</v>
      </c>
      <c r="BO360" s="107" t="s">
        <v>361</v>
      </c>
      <c r="BP360" s="2"/>
      <c r="BQ360" s="107" t="s">
        <v>369</v>
      </c>
      <c r="BR360" s="107" t="n">
        <v>-61619324</v>
      </c>
      <c r="BS360" s="107" t="n">
        <v>-16477</v>
      </c>
      <c r="BT360" s="107" t="n">
        <v>0</v>
      </c>
      <c r="BU360" s="107" t="n">
        <v>0</v>
      </c>
      <c r="BV360" s="107" t="n">
        <v>0</v>
      </c>
      <c r="BW360" s="107" t="n">
        <v>4253.47</v>
      </c>
      <c r="BX360" s="107" t="n">
        <v>5777913</v>
      </c>
      <c r="BY360" s="107" t="n">
        <v>103.49</v>
      </c>
      <c r="BZ360" s="107" t="n">
        <v>140580</v>
      </c>
      <c r="CA360" s="107" t="n">
        <v>1482</v>
      </c>
      <c r="CB360" s="2"/>
      <c r="CC360" s="107" t="n">
        <v>0</v>
      </c>
      <c r="CD360" s="107" t="n">
        <v>98.24</v>
      </c>
      <c r="CE360" s="107" t="n">
        <v>98.19</v>
      </c>
      <c r="CF360" s="107" t="n">
        <v>98.38</v>
      </c>
      <c r="CG360" s="107" t="n">
        <v>500000</v>
      </c>
      <c r="CH360" s="107" t="n">
        <v>2.533</v>
      </c>
      <c r="CI360" s="107" t="n">
        <v>97.77</v>
      </c>
      <c r="CJ360" s="107" t="n">
        <v>97.85</v>
      </c>
      <c r="CK360" s="107" t="n">
        <v>97.84</v>
      </c>
      <c r="CL360" s="107" t="n">
        <v>10000000</v>
      </c>
    </row>
    <row r="361" customFormat="false" ht="15" hidden="false" customHeight="false" outlineLevel="0" collapsed="false">
      <c r="A361" s="107" t="s">
        <v>797</v>
      </c>
      <c r="B361" s="107" t="n">
        <v>96.7543</v>
      </c>
      <c r="C361" s="107" t="n">
        <v>5.1807</v>
      </c>
      <c r="D361" s="107" t="n">
        <v>2.6659</v>
      </c>
      <c r="E361" s="107" t="n">
        <v>-51.587457674</v>
      </c>
      <c r="F361" s="108" t="s">
        <v>358</v>
      </c>
      <c r="G361" s="107" t="n">
        <v>2.6659</v>
      </c>
      <c r="H361" s="107" t="n">
        <v>-51.587457674</v>
      </c>
      <c r="I361" s="109" t="n">
        <v>47391</v>
      </c>
      <c r="J361" s="107" t="n">
        <v>3</v>
      </c>
      <c r="K361" s="107" t="s">
        <v>359</v>
      </c>
      <c r="L361" s="107" t="s">
        <v>298</v>
      </c>
      <c r="M361" s="107" t="n">
        <v>533180</v>
      </c>
      <c r="N361" s="107" t="n">
        <v>99.628</v>
      </c>
      <c r="O361" s="107" t="n">
        <v>193508.6</v>
      </c>
      <c r="P361" s="107" t="s">
        <v>795</v>
      </c>
      <c r="Q361" s="107" t="s">
        <v>364</v>
      </c>
      <c r="R361" s="107" t="n">
        <v>-0.0856843748882388</v>
      </c>
      <c r="S361" s="107" t="n">
        <v>-0.0288443007989722</v>
      </c>
      <c r="T361" s="107" t="n">
        <v>-52.9246021</v>
      </c>
      <c r="U361" s="107" t="n">
        <v>21069</v>
      </c>
      <c r="V361" s="108" t="s">
        <v>362</v>
      </c>
      <c r="W361" s="107" t="n">
        <v>42003</v>
      </c>
      <c r="X361" s="108" t="s">
        <v>372</v>
      </c>
      <c r="Y361" s="107" t="s">
        <v>793</v>
      </c>
      <c r="Z361" s="107" t="s">
        <v>798</v>
      </c>
      <c r="AA361" s="109" t="n">
        <v>46225</v>
      </c>
      <c r="AB361" s="107" t="n">
        <v>260722000001</v>
      </c>
      <c r="AC361" s="109" t="n">
        <v>46223</v>
      </c>
      <c r="AD361" s="109" t="n">
        <v>48049</v>
      </c>
      <c r="AE361" s="107" t="n">
        <v>4.5</v>
      </c>
      <c r="AF361" s="107" t="n">
        <v>4.2433</v>
      </c>
      <c r="AG361" s="107" t="n">
        <v>1754</v>
      </c>
      <c r="AH361" s="107" t="n">
        <v>500000</v>
      </c>
      <c r="AI361" s="107" t="n">
        <v>4.575</v>
      </c>
      <c r="AJ361" s="107" t="n">
        <v>99.668</v>
      </c>
      <c r="AK361" s="107" t="n">
        <v>4.573357</v>
      </c>
      <c r="AL361" s="107" t="n">
        <v>100.555678</v>
      </c>
      <c r="AM361" s="107" t="n">
        <v>5.2277</v>
      </c>
      <c r="AN361" s="107" t="n">
        <v>96.935</v>
      </c>
      <c r="AO361" s="107" t="n">
        <v>1358.4</v>
      </c>
      <c r="AP361" s="107" t="n">
        <v>1</v>
      </c>
      <c r="AQ361" s="107" t="n">
        <v>484675</v>
      </c>
      <c r="AR361" s="107" t="n">
        <v>658382520</v>
      </c>
      <c r="AS361" s="107" t="n">
        <v>498331.85</v>
      </c>
      <c r="AT361" s="107" t="n">
        <v>738527802</v>
      </c>
      <c r="AU361" s="107" t="n">
        <v>-13656.85</v>
      </c>
      <c r="AV361" s="107" t="n">
        <v>-18551465</v>
      </c>
      <c r="AW361" s="107" t="n">
        <v>125</v>
      </c>
      <c r="AX361" s="107" t="n">
        <v>185250</v>
      </c>
      <c r="AY361" s="107" t="n">
        <v>8.15</v>
      </c>
      <c r="AZ361" s="107" t="n">
        <v>12078</v>
      </c>
      <c r="BA361" s="107" t="n">
        <v>0</v>
      </c>
      <c r="BB361" s="107" t="n">
        <v>0</v>
      </c>
      <c r="BC361" s="107" t="n">
        <v>0</v>
      </c>
      <c r="BD361" s="107" t="n">
        <v>0</v>
      </c>
      <c r="BE361" s="107" t="n">
        <v>4250</v>
      </c>
      <c r="BF361" s="107" t="n">
        <v>5773200</v>
      </c>
      <c r="BG361" s="107" t="n">
        <v>63.39</v>
      </c>
      <c r="BH361" s="107" t="n">
        <v>86108</v>
      </c>
      <c r="BI361" s="107" t="n">
        <v>498331.85</v>
      </c>
      <c r="BJ361" s="107" t="n">
        <v>738527802</v>
      </c>
      <c r="BK361" s="107" t="n">
        <v>0</v>
      </c>
      <c r="BL361" s="107" t="n">
        <v>0</v>
      </c>
      <c r="BM361" s="107" t="n">
        <v>0</v>
      </c>
      <c r="BN361" s="107" t="n">
        <v>0</v>
      </c>
      <c r="BO361" s="107" t="s">
        <v>361</v>
      </c>
      <c r="BP361" s="2"/>
      <c r="BQ361" s="107" t="s">
        <v>369</v>
      </c>
      <c r="BR361" s="107" t="n">
        <v>-61593817</v>
      </c>
      <c r="BS361" s="107" t="n">
        <v>-16457</v>
      </c>
      <c r="BT361" s="107" t="n">
        <v>0</v>
      </c>
      <c r="BU361" s="107" t="n">
        <v>0</v>
      </c>
      <c r="BV361" s="107" t="n">
        <v>0</v>
      </c>
      <c r="BW361" s="107" t="n">
        <v>4375</v>
      </c>
      <c r="BX361" s="107" t="n">
        <v>5943000</v>
      </c>
      <c r="BY361" s="107" t="n">
        <v>71.54</v>
      </c>
      <c r="BZ361" s="107" t="n">
        <v>97179</v>
      </c>
      <c r="CA361" s="107" t="n">
        <v>1482</v>
      </c>
      <c r="CB361" s="2"/>
      <c r="CC361" s="107" t="n">
        <v>0</v>
      </c>
      <c r="CD361" s="107" t="n">
        <v>96.86</v>
      </c>
      <c r="CE361" s="107" t="n">
        <v>96.84</v>
      </c>
      <c r="CF361" s="107" t="n">
        <v>97.1</v>
      </c>
      <c r="CG361" s="107" t="n">
        <v>500000</v>
      </c>
      <c r="CH361" s="107" t="n">
        <v>4.1352</v>
      </c>
      <c r="CI361" s="107" t="n">
        <v>99.72</v>
      </c>
      <c r="CJ361" s="107" t="n">
        <v>99.83</v>
      </c>
      <c r="CK361" s="107" t="n">
        <v>99.88</v>
      </c>
      <c r="CL361" s="107" t="n">
        <v>500000</v>
      </c>
    </row>
    <row r="362" customFormat="false" ht="15" hidden="false" customHeight="false" outlineLevel="0" collapsed="false">
      <c r="A362" s="107" t="s">
        <v>799</v>
      </c>
      <c r="B362" s="107" t="n">
        <v>96.8986</v>
      </c>
      <c r="C362" s="107" t="n">
        <v>5.2982</v>
      </c>
      <c r="D362" s="107" t="n">
        <v>3.2841</v>
      </c>
      <c r="E362" s="107" t="n">
        <v>-1909.34815356</v>
      </c>
      <c r="F362" s="108" t="s">
        <v>358</v>
      </c>
      <c r="G362" s="107" t="n">
        <v>3.2841</v>
      </c>
      <c r="H362" s="107" t="n">
        <v>-1909.34815356</v>
      </c>
      <c r="I362" s="109" t="n">
        <v>47658</v>
      </c>
      <c r="J362" s="107" t="n">
        <v>3</v>
      </c>
      <c r="K362" s="107" t="s">
        <v>359</v>
      </c>
      <c r="L362" s="107" t="s">
        <v>298</v>
      </c>
      <c r="M362" s="107" t="n">
        <v>19704600</v>
      </c>
      <c r="N362" s="107" t="n">
        <v>99.8</v>
      </c>
      <c r="O362" s="107" t="n">
        <v>5813916</v>
      </c>
      <c r="P362" s="107" t="s">
        <v>795</v>
      </c>
      <c r="Q362" s="107" t="s">
        <v>106</v>
      </c>
      <c r="R362" s="107" t="n">
        <v>-0.0980242572563555</v>
      </c>
      <c r="S362" s="107" t="n">
        <v>-0.0290721442885771</v>
      </c>
      <c r="T362" s="107" t="n">
        <v>-1959.92922276</v>
      </c>
      <c r="U362" s="107" t="n">
        <v>21069</v>
      </c>
      <c r="V362" s="108" t="s">
        <v>362</v>
      </c>
      <c r="W362" s="107" t="n">
        <v>42003</v>
      </c>
      <c r="X362" s="108" t="s">
        <v>372</v>
      </c>
      <c r="Y362" s="107" t="s">
        <v>794</v>
      </c>
      <c r="Z362" s="107" t="s">
        <v>800</v>
      </c>
      <c r="AA362" s="109" t="n">
        <v>46233</v>
      </c>
      <c r="AB362" s="107" t="n">
        <v>260730000001</v>
      </c>
      <c r="AC362" s="109" t="n">
        <v>45203</v>
      </c>
      <c r="AD362" s="109" t="n">
        <v>47030</v>
      </c>
      <c r="AE362" s="107" t="n">
        <v>5.375</v>
      </c>
      <c r="AF362" s="107" t="n">
        <v>1.8385</v>
      </c>
      <c r="AG362" s="107" t="n">
        <v>735</v>
      </c>
      <c r="AH362" s="107" t="n">
        <v>10000000</v>
      </c>
      <c r="AI362" s="107" t="n">
        <v>4.463</v>
      </c>
      <c r="AJ362" s="107" t="n">
        <v>101.87</v>
      </c>
      <c r="AK362" s="107" t="n">
        <v>4.386779</v>
      </c>
      <c r="AL362" s="107" t="n">
        <v>104.509739</v>
      </c>
      <c r="AM362" s="107" t="n">
        <v>5.0402</v>
      </c>
      <c r="AN362" s="107" t="n">
        <v>100.6319</v>
      </c>
      <c r="AO362" s="107" t="n">
        <v>1358.4</v>
      </c>
      <c r="AP362" s="107" t="n">
        <v>1</v>
      </c>
      <c r="AQ362" s="107" t="n">
        <v>10063190</v>
      </c>
      <c r="AR362" s="107" t="n">
        <v>13669837296</v>
      </c>
      <c r="AS362" s="107" t="n">
        <v>10166876.91</v>
      </c>
      <c r="AT362" s="107" t="n">
        <v>14906674926</v>
      </c>
      <c r="AU362" s="107" t="n">
        <v>-103686.91</v>
      </c>
      <c r="AV362" s="107" t="n">
        <v>-140848299</v>
      </c>
      <c r="AW362" s="107" t="n">
        <v>173194.44</v>
      </c>
      <c r="AX362" s="107" t="n">
        <v>253937687</v>
      </c>
      <c r="AY362" s="107" t="n">
        <v>20123.09</v>
      </c>
      <c r="AZ362" s="107" t="n">
        <v>29504474</v>
      </c>
      <c r="BA362" s="107" t="n">
        <v>0</v>
      </c>
      <c r="BB362" s="107" t="n">
        <v>0</v>
      </c>
      <c r="BC362" s="107" t="n">
        <v>0</v>
      </c>
      <c r="BD362" s="107" t="n">
        <v>0</v>
      </c>
      <c r="BE362" s="107" t="n">
        <v>89583.34</v>
      </c>
      <c r="BF362" s="107" t="n">
        <v>121690009</v>
      </c>
      <c r="BG362" s="107" t="n">
        <v>1196.2</v>
      </c>
      <c r="BH362" s="107" t="n">
        <v>1624918</v>
      </c>
      <c r="BI362" s="107" t="n">
        <v>10166876.91</v>
      </c>
      <c r="BJ362" s="107" t="n">
        <v>14906674926</v>
      </c>
      <c r="BK362" s="107" t="n">
        <v>0</v>
      </c>
      <c r="BL362" s="107" t="n">
        <v>0</v>
      </c>
      <c r="BM362" s="107" t="n">
        <v>0</v>
      </c>
      <c r="BN362" s="107" t="n">
        <v>0</v>
      </c>
      <c r="BO362" s="2"/>
      <c r="BP362" s="2"/>
      <c r="BQ362" s="107" t="s">
        <v>364</v>
      </c>
      <c r="BR362" s="107" t="n">
        <v>-1095989331</v>
      </c>
      <c r="BS362" s="107" t="n">
        <v>-20839629</v>
      </c>
      <c r="BT362" s="107" t="n">
        <v>0</v>
      </c>
      <c r="BU362" s="107" t="n">
        <v>0</v>
      </c>
      <c r="BV362" s="107" t="n">
        <v>0</v>
      </c>
      <c r="BW362" s="107" t="n">
        <v>262777.78</v>
      </c>
      <c r="BX362" s="107" t="n">
        <v>356957336</v>
      </c>
      <c r="BY362" s="107" t="n">
        <v>21319.29</v>
      </c>
      <c r="BZ362" s="107" t="n">
        <v>28960123</v>
      </c>
      <c r="CA362" s="107" t="n">
        <v>1466.2</v>
      </c>
      <c r="CB362" s="2"/>
      <c r="CC362" s="107" t="n">
        <v>0</v>
      </c>
      <c r="CD362" s="107" t="n">
        <v>100.62</v>
      </c>
      <c r="CE362" s="107" t="n">
        <v>100.64</v>
      </c>
      <c r="CF362" s="107" t="n">
        <v>100.64</v>
      </c>
      <c r="CG362" s="107" t="n">
        <v>10000000</v>
      </c>
      <c r="CH362" s="107" t="n">
        <v>1.7933</v>
      </c>
      <c r="CI362" s="107" t="n">
        <v>102.78</v>
      </c>
      <c r="CJ362" s="107" t="n">
        <v>102.78</v>
      </c>
      <c r="CK362" s="107" t="n">
        <v>102.8</v>
      </c>
      <c r="CL362" s="107" t="n">
        <v>0</v>
      </c>
    </row>
    <row r="363" customFormat="false" ht="15" hidden="false" customHeight="false" outlineLevel="0" collapsed="false">
      <c r="A363" s="107" t="s">
        <v>799</v>
      </c>
      <c r="B363" s="107" t="n">
        <v>96.8986</v>
      </c>
      <c r="C363" s="107" t="n">
        <v>5.2982</v>
      </c>
      <c r="D363" s="107" t="n">
        <v>3.2841</v>
      </c>
      <c r="E363" s="107" t="n">
        <v>-1272.89876904</v>
      </c>
      <c r="F363" s="108" t="s">
        <v>358</v>
      </c>
      <c r="G363" s="107" t="n">
        <v>3.2841</v>
      </c>
      <c r="H363" s="107" t="n">
        <v>-1272.89876904</v>
      </c>
      <c r="I363" s="109" t="n">
        <v>47658</v>
      </c>
      <c r="J363" s="107" t="n">
        <v>3</v>
      </c>
      <c r="K363" s="107" t="s">
        <v>359</v>
      </c>
      <c r="L363" s="107" t="s">
        <v>298</v>
      </c>
      <c r="M363" s="107" t="n">
        <v>13136400</v>
      </c>
      <c r="N363" s="107" t="n">
        <v>99.8</v>
      </c>
      <c r="O363" s="107" t="n">
        <v>3875944</v>
      </c>
      <c r="P363" s="107" t="s">
        <v>795</v>
      </c>
      <c r="Q363" s="107" t="s">
        <v>106</v>
      </c>
      <c r="R363" s="107" t="n">
        <v>-0.0980242573592476</v>
      </c>
      <c r="S363" s="107" t="n">
        <v>-0.0290721442885771</v>
      </c>
      <c r="T363" s="107" t="n">
        <v>-1306.61948184</v>
      </c>
      <c r="U363" s="107" t="n">
        <v>21069</v>
      </c>
      <c r="V363" s="108" t="s">
        <v>362</v>
      </c>
      <c r="W363" s="107" t="n">
        <v>42003</v>
      </c>
      <c r="X363" s="108" t="s">
        <v>372</v>
      </c>
      <c r="Y363" s="107" t="s">
        <v>797</v>
      </c>
      <c r="Z363" s="107" t="s">
        <v>801</v>
      </c>
      <c r="AA363" s="109" t="n">
        <v>45565</v>
      </c>
      <c r="AB363" s="107" t="n">
        <v>240930000001</v>
      </c>
      <c r="AC363" s="109" t="n">
        <v>45565</v>
      </c>
      <c r="AD363" s="109" t="n">
        <v>47391</v>
      </c>
      <c r="AE363" s="107" t="n">
        <v>4</v>
      </c>
      <c r="AF363" s="107" t="n">
        <v>2.8058</v>
      </c>
      <c r="AG363" s="107" t="n">
        <v>1096</v>
      </c>
      <c r="AH363" s="107" t="n">
        <v>200000</v>
      </c>
      <c r="AI363" s="107" t="n">
        <v>4.083007</v>
      </c>
      <c r="AJ363" s="107" t="n">
        <v>99.628</v>
      </c>
      <c r="AK363" s="107" t="n">
        <v>3.89386</v>
      </c>
      <c r="AL363" s="107" t="n">
        <v>100.2978</v>
      </c>
      <c r="AM363" s="107" t="n">
        <v>5.1323</v>
      </c>
      <c r="AN363" s="107" t="n">
        <v>96.8876</v>
      </c>
      <c r="AO363" s="107" t="n">
        <v>1358.4</v>
      </c>
      <c r="AP363" s="107" t="n">
        <v>1</v>
      </c>
      <c r="AQ363" s="107" t="n">
        <v>193775.2</v>
      </c>
      <c r="AR363" s="107" t="n">
        <v>263224232</v>
      </c>
      <c r="AS363" s="107" t="n">
        <v>200595.6</v>
      </c>
      <c r="AT363" s="107" t="n">
        <v>287834626</v>
      </c>
      <c r="AU363" s="107" t="n">
        <v>-6820.4</v>
      </c>
      <c r="AV363" s="107" t="n">
        <v>-9264831</v>
      </c>
      <c r="AW363" s="107" t="n">
        <v>0</v>
      </c>
      <c r="AX363" s="107" t="n">
        <v>0</v>
      </c>
      <c r="AY363" s="107" t="n">
        <v>0</v>
      </c>
      <c r="AZ363" s="107" t="n">
        <v>0</v>
      </c>
      <c r="BA363" s="107" t="n">
        <v>0</v>
      </c>
      <c r="BB363" s="107" t="n">
        <v>0</v>
      </c>
      <c r="BC363" s="107" t="n">
        <v>0</v>
      </c>
      <c r="BD363" s="107" t="n">
        <v>0</v>
      </c>
      <c r="BE363" s="107" t="n">
        <v>0</v>
      </c>
      <c r="BF363" s="107" t="n">
        <v>0</v>
      </c>
      <c r="BG363" s="107" t="n">
        <v>0</v>
      </c>
      <c r="BH363" s="107" t="n">
        <v>0</v>
      </c>
      <c r="BI363" s="107" t="n">
        <v>199256</v>
      </c>
      <c r="BJ363" s="107" t="n">
        <v>286099047</v>
      </c>
      <c r="BK363" s="107" t="n">
        <v>0</v>
      </c>
      <c r="BL363" s="107" t="n">
        <v>0</v>
      </c>
      <c r="BM363" s="107" t="n">
        <v>0</v>
      </c>
      <c r="BN363" s="107" t="n">
        <v>0</v>
      </c>
      <c r="BO363" s="2"/>
      <c r="BP363" s="2"/>
      <c r="BQ363" s="107" t="s">
        <v>364</v>
      </c>
      <c r="BR363" s="107" t="n">
        <v>-15345563</v>
      </c>
      <c r="BS363" s="107" t="n">
        <v>0</v>
      </c>
      <c r="BT363" s="107" t="n">
        <v>0</v>
      </c>
      <c r="BU363" s="107" t="n">
        <v>1339.6</v>
      </c>
      <c r="BV363" s="107" t="n">
        <v>1735579</v>
      </c>
      <c r="BW363" s="107" t="n">
        <v>0</v>
      </c>
      <c r="BX363" s="107" t="n">
        <v>0</v>
      </c>
      <c r="BY363" s="107" t="n">
        <v>0</v>
      </c>
      <c r="BZ363" s="107" t="n">
        <v>0</v>
      </c>
      <c r="CA363" s="107" t="n">
        <v>1434.9</v>
      </c>
      <c r="CB363" s="2"/>
      <c r="CC363" s="107" t="n">
        <v>0</v>
      </c>
      <c r="CD363" s="107" t="n">
        <v>96.88</v>
      </c>
      <c r="CE363" s="107" t="n">
        <v>96.88</v>
      </c>
      <c r="CF363" s="107" t="n">
        <v>96.9</v>
      </c>
      <c r="CG363" s="107" t="n">
        <v>200000</v>
      </c>
      <c r="CH363" s="107" t="n">
        <v>2.7356</v>
      </c>
      <c r="CI363" s="107" t="n">
        <v>95.83</v>
      </c>
      <c r="CJ363" s="107" t="n">
        <v>95.88</v>
      </c>
      <c r="CK363" s="107" t="n">
        <v>95.89</v>
      </c>
      <c r="CL363" s="107" t="n">
        <v>104000</v>
      </c>
    </row>
    <row r="364" customFormat="false" ht="15" hidden="false" customHeight="false" outlineLevel="0" collapsed="false">
      <c r="A364" s="107" t="s">
        <v>802</v>
      </c>
      <c r="B364" s="107" t="n">
        <v>99.4582</v>
      </c>
      <c r="C364" s="107" t="n">
        <v>5.0391</v>
      </c>
      <c r="D364" s="107" t="n">
        <v>1.2578</v>
      </c>
      <c r="E364" s="107" t="n">
        <v>-62.54926198</v>
      </c>
      <c r="F364" s="108" t="s">
        <v>358</v>
      </c>
      <c r="G364" s="107" t="n">
        <v>1.2578</v>
      </c>
      <c r="H364" s="107" t="n">
        <v>-62.54926198</v>
      </c>
      <c r="I364" s="109" t="n">
        <v>46786</v>
      </c>
      <c r="J364" s="107" t="n">
        <v>2</v>
      </c>
      <c r="K364" s="107" t="s">
        <v>359</v>
      </c>
      <c r="L364" s="107" t="s">
        <v>298</v>
      </c>
      <c r="M364" s="107" t="n">
        <v>628900</v>
      </c>
      <c r="N364" s="107" t="n">
        <v>100.12</v>
      </c>
      <c r="O364" s="107" t="n">
        <v>497291</v>
      </c>
      <c r="P364" s="107" t="s">
        <v>670</v>
      </c>
      <c r="Q364" s="107" t="s">
        <v>364</v>
      </c>
      <c r="R364" s="107" t="n">
        <v>-0.0742319902912565</v>
      </c>
      <c r="S364" s="107" t="n">
        <v>-0.00661006791849783</v>
      </c>
      <c r="T364" s="107" t="n">
        <v>-64.12567445</v>
      </c>
      <c r="U364" s="107" t="n">
        <v>21069</v>
      </c>
      <c r="V364" s="108" t="s">
        <v>362</v>
      </c>
      <c r="W364" s="107" t="n">
        <v>42003</v>
      </c>
      <c r="X364" s="108" t="s">
        <v>372</v>
      </c>
      <c r="Y364" s="107" t="s">
        <v>799</v>
      </c>
      <c r="Z364" s="107" t="s">
        <v>803</v>
      </c>
      <c r="AA364" s="109" t="n">
        <v>45834</v>
      </c>
      <c r="AB364" s="107" t="n">
        <v>250626000002</v>
      </c>
      <c r="AC364" s="109" t="n">
        <v>45832</v>
      </c>
      <c r="AD364" s="109" t="n">
        <v>47658</v>
      </c>
      <c r="AE364" s="107" t="n">
        <v>4.375</v>
      </c>
      <c r="AF364" s="107" t="n">
        <v>3.3688</v>
      </c>
      <c r="AG364" s="107" t="n">
        <v>1363</v>
      </c>
      <c r="AH364" s="107" t="n">
        <v>6000000</v>
      </c>
      <c r="AI364" s="107" t="n">
        <v>4.421</v>
      </c>
      <c r="AJ364" s="107" t="n">
        <v>99.8</v>
      </c>
      <c r="AK364" s="107" t="n">
        <v>3.845041</v>
      </c>
      <c r="AL364" s="107" t="n">
        <v>102.988266</v>
      </c>
      <c r="AM364" s="107" t="n">
        <v>5.2639</v>
      </c>
      <c r="AN364" s="107" t="n">
        <v>97.0134</v>
      </c>
      <c r="AO364" s="107" t="n">
        <v>1358.4</v>
      </c>
      <c r="AP364" s="107" t="n">
        <v>1</v>
      </c>
      <c r="AQ364" s="107" t="n">
        <v>5820804</v>
      </c>
      <c r="AR364" s="107" t="n">
        <v>7906980154</v>
      </c>
      <c r="AS364" s="107" t="n">
        <v>6109296</v>
      </c>
      <c r="AT364" s="107" t="n">
        <v>8766228830</v>
      </c>
      <c r="AU364" s="107" t="n">
        <v>-288492</v>
      </c>
      <c r="AV364" s="107" t="n">
        <v>-391887532</v>
      </c>
      <c r="AW364" s="107" t="n">
        <v>0</v>
      </c>
      <c r="AX364" s="107" t="n">
        <v>0</v>
      </c>
      <c r="AY364" s="107" t="n">
        <v>0</v>
      </c>
      <c r="AZ364" s="107" t="n">
        <v>0</v>
      </c>
      <c r="BA364" s="107" t="n">
        <v>0</v>
      </c>
      <c r="BB364" s="107" t="n">
        <v>0</v>
      </c>
      <c r="BC364" s="107" t="n">
        <v>0</v>
      </c>
      <c r="BD364" s="107" t="n">
        <v>0</v>
      </c>
      <c r="BE364" s="107" t="n">
        <v>70000</v>
      </c>
      <c r="BF364" s="107" t="n">
        <v>95088000</v>
      </c>
      <c r="BG364" s="107" t="n">
        <v>0</v>
      </c>
      <c r="BH364" s="107" t="n">
        <v>0</v>
      </c>
      <c r="BI364" s="107" t="n">
        <v>6986000</v>
      </c>
      <c r="BJ364" s="107" t="n">
        <v>9950359400</v>
      </c>
      <c r="BK364" s="107" t="n">
        <v>0</v>
      </c>
      <c r="BL364" s="107" t="n">
        <v>0</v>
      </c>
      <c r="BM364" s="107" t="n">
        <v>0</v>
      </c>
      <c r="BN364" s="107" t="n">
        <v>0</v>
      </c>
      <c r="BO364" s="2"/>
      <c r="BP364" s="2"/>
      <c r="BQ364" s="107" t="s">
        <v>364</v>
      </c>
      <c r="BR364" s="107" t="n">
        <v>-467361144</v>
      </c>
      <c r="BS364" s="107" t="n">
        <v>0</v>
      </c>
      <c r="BT364" s="107" t="n">
        <v>0</v>
      </c>
      <c r="BU364" s="107" t="n">
        <v>121296</v>
      </c>
      <c r="BV364" s="107" t="n">
        <v>174047630</v>
      </c>
      <c r="BW364" s="107" t="n">
        <v>70000</v>
      </c>
      <c r="BX364" s="107" t="n">
        <v>95088000</v>
      </c>
      <c r="BY364" s="107" t="n">
        <v>0</v>
      </c>
      <c r="BZ364" s="107" t="n">
        <v>0</v>
      </c>
      <c r="CA364" s="107" t="n">
        <v>1434.9</v>
      </c>
      <c r="CB364" s="2"/>
      <c r="CC364" s="107" t="n">
        <v>0</v>
      </c>
      <c r="CD364" s="107" t="n">
        <v>97.04</v>
      </c>
      <c r="CE364" s="107" t="n">
        <v>97.02</v>
      </c>
      <c r="CF364" s="107" t="n">
        <v>96.98</v>
      </c>
      <c r="CG364" s="107" t="n">
        <v>6000000</v>
      </c>
      <c r="CH364" s="107" t="n">
        <v>3.2824</v>
      </c>
      <c r="CI364" s="107" t="n">
        <v>100.89</v>
      </c>
      <c r="CJ364" s="107" t="n">
        <v>100.83</v>
      </c>
      <c r="CK364" s="107" t="n">
        <v>100.87</v>
      </c>
      <c r="CL364" s="107" t="n">
        <v>0</v>
      </c>
    </row>
    <row r="365" customFormat="false" ht="15" hidden="false" customHeight="false" outlineLevel="0" collapsed="false">
      <c r="A365" s="107" t="s">
        <v>804</v>
      </c>
      <c r="B365" s="107" t="n">
        <v>98.813</v>
      </c>
      <c r="C365" s="107" t="n">
        <v>5.2632</v>
      </c>
      <c r="D365" s="107" t="n">
        <v>2.9671</v>
      </c>
      <c r="E365" s="107" t="n">
        <v>-146.59402615</v>
      </c>
      <c r="F365" s="108" t="s">
        <v>358</v>
      </c>
      <c r="G365" s="107" t="n">
        <v>2.9671</v>
      </c>
      <c r="H365" s="107" t="n">
        <v>-146.59402615</v>
      </c>
      <c r="I365" s="109" t="n">
        <v>47517</v>
      </c>
      <c r="J365" s="107" t="n">
        <v>3</v>
      </c>
      <c r="K365" s="107" t="s">
        <v>359</v>
      </c>
      <c r="L365" s="107" t="s">
        <v>298</v>
      </c>
      <c r="M365" s="107" t="n">
        <v>1483550</v>
      </c>
      <c r="N365" s="107" t="n">
        <v>100.5</v>
      </c>
      <c r="O365" s="107" t="n">
        <v>494065</v>
      </c>
      <c r="P365" s="107" t="s">
        <v>670</v>
      </c>
      <c r="Q365" s="107" t="s">
        <v>364</v>
      </c>
      <c r="R365" s="107" t="n">
        <v>-0.0964852729518802</v>
      </c>
      <c r="S365" s="107" t="n">
        <v>-0.0167860696517412</v>
      </c>
      <c r="T365" s="107" t="n">
        <v>-150.4526738</v>
      </c>
      <c r="U365" s="107" t="n">
        <v>21069</v>
      </c>
      <c r="V365" s="108" t="s">
        <v>362</v>
      </c>
      <c r="W365" s="107" t="n">
        <v>42003</v>
      </c>
      <c r="X365" s="108" t="s">
        <v>372</v>
      </c>
      <c r="Y365" s="107" t="s">
        <v>799</v>
      </c>
      <c r="Z365" s="107" t="s">
        <v>803</v>
      </c>
      <c r="AA365" s="109" t="n">
        <v>45835</v>
      </c>
      <c r="AB365" s="107" t="n">
        <v>250627000001</v>
      </c>
      <c r="AC365" s="109" t="n">
        <v>45832</v>
      </c>
      <c r="AD365" s="109" t="n">
        <v>47658</v>
      </c>
      <c r="AE365" s="107" t="n">
        <v>4.375</v>
      </c>
      <c r="AF365" s="107" t="n">
        <v>3.3688</v>
      </c>
      <c r="AG365" s="107" t="n">
        <v>1363</v>
      </c>
      <c r="AH365" s="107" t="n">
        <v>4000000</v>
      </c>
      <c r="AI365" s="107" t="n">
        <v>4.421</v>
      </c>
      <c r="AJ365" s="107" t="n">
        <v>99.8</v>
      </c>
      <c r="AK365" s="107" t="n">
        <v>3.845041</v>
      </c>
      <c r="AL365" s="107" t="n">
        <v>102.988266</v>
      </c>
      <c r="AM365" s="107" t="n">
        <v>5.2639</v>
      </c>
      <c r="AN365" s="107" t="n">
        <v>97.0134</v>
      </c>
      <c r="AO365" s="107" t="n">
        <v>1358.4</v>
      </c>
      <c r="AP365" s="107" t="n">
        <v>1</v>
      </c>
      <c r="AQ365" s="107" t="n">
        <v>3880536</v>
      </c>
      <c r="AR365" s="107" t="n">
        <v>5271320102</v>
      </c>
      <c r="AS365" s="107" t="n">
        <v>4072864</v>
      </c>
      <c r="AT365" s="107" t="n">
        <v>5844152554</v>
      </c>
      <c r="AU365" s="107" t="n">
        <v>-192328</v>
      </c>
      <c r="AV365" s="107" t="n">
        <v>-261258356</v>
      </c>
      <c r="AW365" s="107" t="n">
        <v>0</v>
      </c>
      <c r="AX365" s="107" t="n">
        <v>0</v>
      </c>
      <c r="AY365" s="107" t="n">
        <v>0</v>
      </c>
      <c r="AZ365" s="107" t="n">
        <v>0</v>
      </c>
      <c r="BA365" s="107" t="n">
        <v>0</v>
      </c>
      <c r="BB365" s="107" t="n">
        <v>0</v>
      </c>
      <c r="BC365" s="107" t="n">
        <v>0</v>
      </c>
      <c r="BD365" s="107" t="n">
        <v>0</v>
      </c>
      <c r="BE365" s="107" t="n">
        <v>46666.67</v>
      </c>
      <c r="BF365" s="107" t="n">
        <v>63392004</v>
      </c>
      <c r="BG365" s="107" t="n">
        <v>0</v>
      </c>
      <c r="BH365" s="107" t="n">
        <v>0</v>
      </c>
      <c r="BI365" s="107" t="n">
        <v>3992000</v>
      </c>
      <c r="BJ365" s="107" t="n">
        <v>5728120800</v>
      </c>
      <c r="BK365" s="107" t="n">
        <v>0</v>
      </c>
      <c r="BL365" s="107" t="n">
        <v>0</v>
      </c>
      <c r="BM365" s="107" t="n">
        <v>0</v>
      </c>
      <c r="BN365" s="107" t="n">
        <v>0</v>
      </c>
      <c r="BO365" s="2"/>
      <c r="BP365" s="2"/>
      <c r="BQ365" s="107" t="s">
        <v>364</v>
      </c>
      <c r="BR365" s="107" t="n">
        <v>-311574096</v>
      </c>
      <c r="BS365" s="107" t="n">
        <v>0</v>
      </c>
      <c r="BT365" s="107" t="n">
        <v>0</v>
      </c>
      <c r="BU365" s="107" t="n">
        <v>80864</v>
      </c>
      <c r="BV365" s="107" t="n">
        <v>116031754</v>
      </c>
      <c r="BW365" s="107" t="n">
        <v>46666.67</v>
      </c>
      <c r="BX365" s="107" t="n">
        <v>63392004</v>
      </c>
      <c r="BY365" s="107" t="n">
        <v>0</v>
      </c>
      <c r="BZ365" s="107" t="n">
        <v>0</v>
      </c>
      <c r="CA365" s="107" t="n">
        <v>1434.9</v>
      </c>
      <c r="CB365" s="2"/>
      <c r="CC365" s="107" t="n">
        <v>0</v>
      </c>
      <c r="CD365" s="107" t="n">
        <v>97.04</v>
      </c>
      <c r="CE365" s="107" t="n">
        <v>97.02</v>
      </c>
      <c r="CF365" s="107" t="n">
        <v>96.98</v>
      </c>
      <c r="CG365" s="107" t="n">
        <v>4000000</v>
      </c>
      <c r="CH365" s="107" t="n">
        <v>3.2824</v>
      </c>
      <c r="CI365" s="107" t="n">
        <v>99.55</v>
      </c>
      <c r="CJ365" s="107" t="n">
        <v>99.51</v>
      </c>
      <c r="CK365" s="107" t="n">
        <v>99.58</v>
      </c>
      <c r="CL365" s="107" t="n">
        <v>1000000</v>
      </c>
    </row>
    <row r="366" customFormat="false" ht="15" hidden="false" customHeight="false" outlineLevel="0" collapsed="false">
      <c r="A366" s="107" t="s">
        <v>805</v>
      </c>
      <c r="B366" s="107" t="n">
        <v>94.6482</v>
      </c>
      <c r="C366" s="107" t="n">
        <v>5.2626</v>
      </c>
      <c r="D366" s="107" t="n">
        <v>3.5483</v>
      </c>
      <c r="E366" s="107" t="n">
        <v>-4500.258788004</v>
      </c>
      <c r="F366" s="108" t="s">
        <v>358</v>
      </c>
      <c r="G366" s="107" t="n">
        <v>3.5483</v>
      </c>
      <c r="H366" s="107" t="n">
        <v>-4500.258788004</v>
      </c>
      <c r="I366" s="109" t="n">
        <v>47742</v>
      </c>
      <c r="J366" s="107" t="n">
        <v>3</v>
      </c>
      <c r="K366" s="107" t="s">
        <v>359</v>
      </c>
      <c r="L366" s="107" t="s">
        <v>298</v>
      </c>
      <c r="M366" s="107" t="n">
        <v>47547220</v>
      </c>
      <c r="N366" s="107" t="n">
        <v>98.957505</v>
      </c>
      <c r="O366" s="107" t="n">
        <v>12682858.8</v>
      </c>
      <c r="P366" s="107" t="s">
        <v>670</v>
      </c>
      <c r="Q366" s="107" t="s">
        <v>364</v>
      </c>
      <c r="R366" s="107" t="n">
        <v>-0.0971603608577836</v>
      </c>
      <c r="S366" s="107" t="n">
        <v>-0.043547025564155</v>
      </c>
      <c r="T366" s="107" t="n">
        <v>-4618.716689196</v>
      </c>
      <c r="U366" s="107" t="n">
        <v>21069</v>
      </c>
      <c r="V366" s="108" t="s">
        <v>362</v>
      </c>
      <c r="W366" s="107" t="n">
        <v>42003</v>
      </c>
      <c r="X366" s="108" t="s">
        <v>372</v>
      </c>
      <c r="Y366" s="107" t="s">
        <v>802</v>
      </c>
      <c r="Z366" s="107" t="s">
        <v>806</v>
      </c>
      <c r="AA366" s="109" t="n">
        <v>45705</v>
      </c>
      <c r="AB366" s="107" t="n">
        <v>250217000001</v>
      </c>
      <c r="AC366" s="109" t="n">
        <v>45691</v>
      </c>
      <c r="AD366" s="109" t="n">
        <v>46786</v>
      </c>
      <c r="AE366" s="107" t="n">
        <v>4.625</v>
      </c>
      <c r="AF366" s="107" t="n">
        <v>1.287</v>
      </c>
      <c r="AG366" s="107" t="n">
        <v>491</v>
      </c>
      <c r="AH366" s="107" t="n">
        <v>500000</v>
      </c>
      <c r="AI366" s="107" t="n">
        <v>4.58</v>
      </c>
      <c r="AJ366" s="107" t="n">
        <v>100.12</v>
      </c>
      <c r="AK366" s="107" t="n">
        <v>3.122861</v>
      </c>
      <c r="AL366" s="107" t="n">
        <v>102.687216</v>
      </c>
      <c r="AM366" s="107" t="n">
        <v>4.9838</v>
      </c>
      <c r="AN366" s="107" t="n">
        <v>99.5299</v>
      </c>
      <c r="AO366" s="107" t="n">
        <v>1358.4</v>
      </c>
      <c r="AP366" s="107" t="n">
        <v>1</v>
      </c>
      <c r="AQ366" s="107" t="n">
        <v>497649.5</v>
      </c>
      <c r="AR366" s="107" t="n">
        <v>676007081</v>
      </c>
      <c r="AS366" s="107" t="n">
        <v>509126.5</v>
      </c>
      <c r="AT366" s="107" t="n">
        <v>730545615</v>
      </c>
      <c r="AU366" s="107" t="n">
        <v>-11477</v>
      </c>
      <c r="AV366" s="107" t="n">
        <v>-15590357</v>
      </c>
      <c r="AW366" s="107" t="n">
        <v>0</v>
      </c>
      <c r="AX366" s="107" t="n">
        <v>0</v>
      </c>
      <c r="AY366" s="107" t="n">
        <v>0</v>
      </c>
      <c r="AZ366" s="107" t="n">
        <v>0</v>
      </c>
      <c r="BA366" s="107" t="n">
        <v>0</v>
      </c>
      <c r="BB366" s="107" t="n">
        <v>0</v>
      </c>
      <c r="BC366" s="107" t="n">
        <v>0</v>
      </c>
      <c r="BD366" s="107" t="n">
        <v>0</v>
      </c>
      <c r="BE366" s="107" t="n">
        <v>3661.46</v>
      </c>
      <c r="BF366" s="107" t="n">
        <v>4973727</v>
      </c>
      <c r="BG366" s="107" t="n">
        <v>648.12</v>
      </c>
      <c r="BH366" s="107" t="n">
        <v>880406</v>
      </c>
      <c r="BI366" s="107" t="n">
        <v>500600</v>
      </c>
      <c r="BJ366" s="107" t="n">
        <v>718310940</v>
      </c>
      <c r="BK366" s="107" t="n">
        <v>0</v>
      </c>
      <c r="BL366" s="107" t="n">
        <v>0</v>
      </c>
      <c r="BM366" s="107" t="n">
        <v>0</v>
      </c>
      <c r="BN366" s="107" t="n">
        <v>0</v>
      </c>
      <c r="BO366" s="107" t="s">
        <v>361</v>
      </c>
      <c r="BP366" s="2"/>
      <c r="BQ366" s="107" t="s">
        <v>364</v>
      </c>
      <c r="BR366" s="107" t="n">
        <v>-38948177</v>
      </c>
      <c r="BS366" s="107" t="n">
        <v>0</v>
      </c>
      <c r="BT366" s="107" t="n">
        <v>0</v>
      </c>
      <c r="BU366" s="107" t="n">
        <v>8526.5</v>
      </c>
      <c r="BV366" s="107" t="n">
        <v>12234675</v>
      </c>
      <c r="BW366" s="107" t="n">
        <v>3661.46</v>
      </c>
      <c r="BX366" s="107" t="n">
        <v>4973727</v>
      </c>
      <c r="BY366" s="107" t="n">
        <v>648.12</v>
      </c>
      <c r="BZ366" s="107" t="n">
        <v>880406</v>
      </c>
      <c r="CA366" s="107" t="n">
        <v>1434.9</v>
      </c>
      <c r="CB366" s="2"/>
      <c r="CC366" s="107" t="n">
        <v>0</v>
      </c>
      <c r="CD366" s="107" t="n">
        <v>99.52</v>
      </c>
      <c r="CE366" s="107" t="n">
        <v>99.47</v>
      </c>
      <c r="CF366" s="107" t="n">
        <v>99.6</v>
      </c>
      <c r="CG366" s="107" t="n">
        <v>500000</v>
      </c>
      <c r="CH366" s="107" t="n">
        <v>1.2557</v>
      </c>
      <c r="CI366" s="107" t="n">
        <v>98.58</v>
      </c>
      <c r="CJ366" s="107" t="n">
        <v>98.51</v>
      </c>
      <c r="CK366" s="107" t="n">
        <v>98.58</v>
      </c>
      <c r="CL366" s="107" t="n">
        <v>0</v>
      </c>
    </row>
    <row r="367" customFormat="false" ht="15" hidden="false" customHeight="false" outlineLevel="0" collapsed="false">
      <c r="A367" s="107" t="s">
        <v>807</v>
      </c>
      <c r="B367" s="107" t="n">
        <v>97.0356</v>
      </c>
      <c r="C367" s="107" t="n">
        <v>5.1131</v>
      </c>
      <c r="D367" s="107" t="n">
        <v>2.1437</v>
      </c>
      <c r="E367" s="107" t="n">
        <v>-769.656298164</v>
      </c>
      <c r="F367" s="108" t="s">
        <v>358</v>
      </c>
      <c r="G367" s="107" t="n">
        <v>2.1437</v>
      </c>
      <c r="H367" s="107" t="n">
        <v>-769.656298164</v>
      </c>
      <c r="I367" s="109" t="n">
        <v>47146</v>
      </c>
      <c r="J367" s="107" t="n">
        <v>3</v>
      </c>
      <c r="K367" s="107" t="s">
        <v>359</v>
      </c>
      <c r="L367" s="107" t="s">
        <v>298</v>
      </c>
      <c r="M367" s="107" t="n">
        <v>7931690</v>
      </c>
      <c r="N367" s="107" t="n">
        <v>99.69</v>
      </c>
      <c r="O367" s="107" t="n">
        <v>3590317.2</v>
      </c>
      <c r="P367" s="107" t="s">
        <v>670</v>
      </c>
      <c r="Q367" s="107" t="s">
        <v>364</v>
      </c>
      <c r="R367" s="107" t="n">
        <v>-0.0733670009115617</v>
      </c>
      <c r="S367" s="107" t="n">
        <v>-0.0266265422810713</v>
      </c>
      <c r="T367" s="107" t="n">
        <v>-789.33123642</v>
      </c>
      <c r="U367" s="107" t="n">
        <v>21069</v>
      </c>
      <c r="V367" s="108" t="s">
        <v>362</v>
      </c>
      <c r="W367" s="107" t="n">
        <v>42003</v>
      </c>
      <c r="X367" s="108" t="s">
        <v>372</v>
      </c>
      <c r="Y367" s="107" t="s">
        <v>804</v>
      </c>
      <c r="Z367" s="107" t="s">
        <v>808</v>
      </c>
      <c r="AA367" s="109" t="n">
        <v>45705</v>
      </c>
      <c r="AB367" s="107" t="n">
        <v>250217000001</v>
      </c>
      <c r="AC367" s="109" t="n">
        <v>45691</v>
      </c>
      <c r="AD367" s="109" t="n">
        <v>47517</v>
      </c>
      <c r="AE367" s="107" t="n">
        <v>4.875</v>
      </c>
      <c r="AF367" s="107" t="n">
        <v>3.0428</v>
      </c>
      <c r="AG367" s="107" t="n">
        <v>1222</v>
      </c>
      <c r="AH367" s="107" t="n">
        <v>500000</v>
      </c>
      <c r="AI367" s="107" t="n">
        <v>4.76</v>
      </c>
      <c r="AJ367" s="107" t="n">
        <v>100.5</v>
      </c>
      <c r="AK367" s="107" t="n">
        <v>3.700147</v>
      </c>
      <c r="AL367" s="107" t="n">
        <v>104.428276</v>
      </c>
      <c r="AM367" s="107" t="n">
        <v>5.229</v>
      </c>
      <c r="AN367" s="107" t="n">
        <v>98.9167</v>
      </c>
      <c r="AO367" s="107" t="n">
        <v>1358.4</v>
      </c>
      <c r="AP367" s="107" t="n">
        <v>1</v>
      </c>
      <c r="AQ367" s="107" t="n">
        <v>494583.5</v>
      </c>
      <c r="AR367" s="107" t="n">
        <v>671842226</v>
      </c>
      <c r="AS367" s="107" t="n">
        <v>518282</v>
      </c>
      <c r="AT367" s="107" t="n">
        <v>743682842</v>
      </c>
      <c r="AU367" s="107" t="n">
        <v>-23698.5</v>
      </c>
      <c r="AV367" s="107" t="n">
        <v>-32192043</v>
      </c>
      <c r="AW367" s="107" t="n">
        <v>0</v>
      </c>
      <c r="AX367" s="107" t="n">
        <v>0</v>
      </c>
      <c r="AY367" s="107" t="n">
        <v>0</v>
      </c>
      <c r="AZ367" s="107" t="n">
        <v>0</v>
      </c>
      <c r="BA367" s="107" t="n">
        <v>0</v>
      </c>
      <c r="BB367" s="107" t="n">
        <v>0</v>
      </c>
      <c r="BC367" s="107" t="n">
        <v>0</v>
      </c>
      <c r="BD367" s="107" t="n">
        <v>0</v>
      </c>
      <c r="BE367" s="107" t="n">
        <v>3859.38</v>
      </c>
      <c r="BF367" s="107" t="n">
        <v>5242581</v>
      </c>
      <c r="BG367" s="107" t="n">
        <v>0</v>
      </c>
      <c r="BH367" s="107" t="n">
        <v>0</v>
      </c>
      <c r="BI367" s="107" t="n">
        <v>502500</v>
      </c>
      <c r="BJ367" s="107" t="n">
        <v>721037250</v>
      </c>
      <c r="BK367" s="107" t="n">
        <v>0</v>
      </c>
      <c r="BL367" s="107" t="n">
        <v>0</v>
      </c>
      <c r="BM367" s="107" t="n">
        <v>0</v>
      </c>
      <c r="BN367" s="107" t="n">
        <v>0</v>
      </c>
      <c r="BO367" s="107" t="s">
        <v>361</v>
      </c>
      <c r="BP367" s="2"/>
      <c r="BQ367" s="107" t="s">
        <v>364</v>
      </c>
      <c r="BR367" s="107" t="n">
        <v>-39648573</v>
      </c>
      <c r="BS367" s="107" t="n">
        <v>0</v>
      </c>
      <c r="BT367" s="107" t="n">
        <v>0</v>
      </c>
      <c r="BU367" s="107" t="n">
        <v>15782</v>
      </c>
      <c r="BV367" s="107" t="n">
        <v>22645592</v>
      </c>
      <c r="BW367" s="107" t="n">
        <v>3859.38</v>
      </c>
      <c r="BX367" s="107" t="n">
        <v>5242581</v>
      </c>
      <c r="BY367" s="107" t="n">
        <v>0</v>
      </c>
      <c r="BZ367" s="107" t="n">
        <v>0</v>
      </c>
      <c r="CA367" s="107" t="n">
        <v>1434.9</v>
      </c>
      <c r="CB367" s="2"/>
      <c r="CC367" s="107" t="n">
        <v>0</v>
      </c>
      <c r="CD367" s="107" t="n">
        <v>98.9</v>
      </c>
      <c r="CE367" s="107" t="n">
        <v>98.92</v>
      </c>
      <c r="CF367" s="107" t="n">
        <v>98.93</v>
      </c>
      <c r="CG367" s="107" t="n">
        <v>500000</v>
      </c>
      <c r="CH367" s="107" t="n">
        <v>2.9653</v>
      </c>
      <c r="CI367" s="107" t="n">
        <v>100.89</v>
      </c>
      <c r="CJ367" s="107" t="n">
        <v>100.69</v>
      </c>
      <c r="CK367" s="107" t="n">
        <v>100.59</v>
      </c>
      <c r="CL367" s="107" t="n">
        <v>1000000</v>
      </c>
    </row>
    <row r="368" customFormat="false" ht="15" hidden="false" customHeight="false" outlineLevel="0" collapsed="false">
      <c r="A368" s="107" t="s">
        <v>809</v>
      </c>
      <c r="B368" s="107" t="n">
        <v>95.1655</v>
      </c>
      <c r="C368" s="107" t="n">
        <v>5.2615</v>
      </c>
      <c r="D368" s="107" t="n">
        <v>3.8072</v>
      </c>
      <c r="E368" s="107" t="n">
        <v>-181.1570458</v>
      </c>
      <c r="F368" s="108" t="s">
        <v>358</v>
      </c>
      <c r="G368" s="107" t="n">
        <v>3.8072</v>
      </c>
      <c r="H368" s="107" t="n">
        <v>-181.1570458</v>
      </c>
      <c r="I368" s="109" t="n">
        <v>47876</v>
      </c>
      <c r="J368" s="107" t="n">
        <v>5</v>
      </c>
      <c r="K368" s="107" t="s">
        <v>359</v>
      </c>
      <c r="L368" s="107" t="s">
        <v>298</v>
      </c>
      <c r="M368" s="107" t="n">
        <v>1903600</v>
      </c>
      <c r="N368" s="107" t="n">
        <v>99.534</v>
      </c>
      <c r="O368" s="107" t="n">
        <v>475827.5</v>
      </c>
      <c r="P368" s="107" t="s">
        <v>670</v>
      </c>
      <c r="Q368" s="107" t="s">
        <v>364</v>
      </c>
      <c r="R368" s="107" t="n">
        <v>-0.0898010319577401</v>
      </c>
      <c r="S368" s="107" t="n">
        <v>-0.0438895251873733</v>
      </c>
      <c r="T368" s="107" t="n">
        <v>-185.92483735</v>
      </c>
      <c r="U368" s="107" t="n">
        <v>21069</v>
      </c>
      <c r="V368" s="108" t="s">
        <v>362</v>
      </c>
      <c r="W368" s="107" t="n">
        <v>42003</v>
      </c>
      <c r="X368" s="108" t="s">
        <v>372</v>
      </c>
      <c r="Y368" s="107" t="s">
        <v>805</v>
      </c>
      <c r="Z368" s="107" t="s">
        <v>810</v>
      </c>
      <c r="AA368" s="109" t="n">
        <v>45917</v>
      </c>
      <c r="AB368" s="107" t="n">
        <v>250917000001</v>
      </c>
      <c r="AC368" s="109" t="n">
        <v>45916</v>
      </c>
      <c r="AD368" s="109" t="n">
        <v>47742</v>
      </c>
      <c r="AE368" s="107" t="n">
        <v>3.75</v>
      </c>
      <c r="AF368" s="107" t="n">
        <v>3.6394</v>
      </c>
      <c r="AG368" s="107" t="n">
        <v>1447</v>
      </c>
      <c r="AH368" s="107" t="n">
        <v>13400000</v>
      </c>
      <c r="AI368" s="107" t="n">
        <v>3.9821</v>
      </c>
      <c r="AJ368" s="107" t="n">
        <v>98.957505</v>
      </c>
      <c r="AK368" s="107" t="n">
        <v>3.925207</v>
      </c>
      <c r="AL368" s="107" t="n">
        <v>99.507533</v>
      </c>
      <c r="AM368" s="107" t="n">
        <v>5.2267</v>
      </c>
      <c r="AN368" s="107" t="n">
        <v>94.7742</v>
      </c>
      <c r="AO368" s="107" t="n">
        <v>1358.4</v>
      </c>
      <c r="AP368" s="107" t="n">
        <v>1</v>
      </c>
      <c r="AQ368" s="107" t="n">
        <v>12699742.8</v>
      </c>
      <c r="AR368" s="107" t="n">
        <v>17251330620</v>
      </c>
      <c r="AS368" s="107" t="n">
        <v>13314467.8</v>
      </c>
      <c r="AT368" s="107" t="n">
        <v>19104929846</v>
      </c>
      <c r="AU368" s="107" t="n">
        <v>-614725</v>
      </c>
      <c r="AV368" s="107" t="n">
        <v>-835042440</v>
      </c>
      <c r="AW368" s="107" t="n">
        <v>0</v>
      </c>
      <c r="AX368" s="107" t="n">
        <v>0</v>
      </c>
      <c r="AY368" s="107" t="n">
        <v>0</v>
      </c>
      <c r="AZ368" s="107" t="n">
        <v>0</v>
      </c>
      <c r="BA368" s="107" t="n">
        <v>0</v>
      </c>
      <c r="BB368" s="107" t="n">
        <v>0</v>
      </c>
      <c r="BC368" s="107" t="n">
        <v>0</v>
      </c>
      <c r="BD368" s="107" t="n">
        <v>0</v>
      </c>
      <c r="BE368" s="107" t="n">
        <v>19541.67</v>
      </c>
      <c r="BF368" s="107" t="n">
        <v>26545404</v>
      </c>
      <c r="BG368" s="107" t="n">
        <v>0</v>
      </c>
      <c r="BH368" s="107" t="n">
        <v>0</v>
      </c>
      <c r="BI368" s="107" t="n">
        <v>13260305.67</v>
      </c>
      <c r="BJ368" s="107" t="n">
        <v>19027212606</v>
      </c>
      <c r="BK368" s="107" t="n">
        <v>0</v>
      </c>
      <c r="BL368" s="107" t="n">
        <v>0</v>
      </c>
      <c r="BM368" s="107" t="n">
        <v>0</v>
      </c>
      <c r="BN368" s="107" t="n">
        <v>0</v>
      </c>
      <c r="BO368" s="107" t="s">
        <v>361</v>
      </c>
      <c r="BP368" s="2"/>
      <c r="BQ368" s="107" t="s">
        <v>364</v>
      </c>
      <c r="BR368" s="107" t="n">
        <v>-1018556786</v>
      </c>
      <c r="BS368" s="107" t="n">
        <v>0</v>
      </c>
      <c r="BT368" s="107" t="n">
        <v>0</v>
      </c>
      <c r="BU368" s="107" t="n">
        <v>54162.13</v>
      </c>
      <c r="BV368" s="107" t="n">
        <v>77717240</v>
      </c>
      <c r="BW368" s="107" t="n">
        <v>19541.67</v>
      </c>
      <c r="BX368" s="107" t="n">
        <v>26545404</v>
      </c>
      <c r="BY368" s="107" t="n">
        <v>0</v>
      </c>
      <c r="BZ368" s="107" t="n">
        <v>0</v>
      </c>
      <c r="CA368" s="107" t="n">
        <v>1434.9</v>
      </c>
      <c r="CB368" s="2"/>
      <c r="CC368" s="107" t="n">
        <v>0</v>
      </c>
      <c r="CD368" s="107" t="n">
        <v>94.76</v>
      </c>
      <c r="CE368" s="107" t="n">
        <v>94.78</v>
      </c>
      <c r="CF368" s="107" t="n">
        <v>94.78</v>
      </c>
      <c r="CG368" s="107" t="n">
        <v>13400000</v>
      </c>
      <c r="CH368" s="107" t="n">
        <v>3.5467</v>
      </c>
      <c r="CI368" s="107" t="n">
        <v>100.28</v>
      </c>
      <c r="CJ368" s="107" t="n">
        <v>100.73</v>
      </c>
      <c r="CK368" s="107" t="n">
        <v>100.69</v>
      </c>
      <c r="CL368" s="107" t="n">
        <v>0</v>
      </c>
    </row>
    <row r="369" customFormat="false" ht="15" hidden="false" customHeight="false" outlineLevel="0" collapsed="false">
      <c r="A369" s="107" t="s">
        <v>811</v>
      </c>
      <c r="B369" s="107" t="n">
        <v>98.5187</v>
      </c>
      <c r="C369" s="107" t="n">
        <v>5.1714</v>
      </c>
      <c r="D369" s="107" t="n">
        <v>2.6635</v>
      </c>
      <c r="E369" s="107" t="n">
        <v>-4985.68659155</v>
      </c>
      <c r="F369" s="108" t="s">
        <v>358</v>
      </c>
      <c r="G369" s="107" t="n">
        <v>2.6635</v>
      </c>
      <c r="H369" s="107" t="n">
        <v>-4985.68659155</v>
      </c>
      <c r="I369" s="109" t="n">
        <v>47371</v>
      </c>
      <c r="J369" s="107" t="n">
        <v>3</v>
      </c>
      <c r="K369" s="107" t="s">
        <v>359</v>
      </c>
      <c r="L369" s="107" t="s">
        <v>298</v>
      </c>
      <c r="M369" s="107" t="n">
        <v>50606500</v>
      </c>
      <c r="N369" s="107" t="n">
        <v>100.002</v>
      </c>
      <c r="O369" s="107" t="n">
        <v>18718553</v>
      </c>
      <c r="P369" s="107" t="s">
        <v>670</v>
      </c>
      <c r="Q369" s="107" t="s">
        <v>364</v>
      </c>
      <c r="R369" s="107" t="n">
        <v>0.00122012074066157</v>
      </c>
      <c r="S369" s="107" t="n">
        <v>-0.0148327033459331</v>
      </c>
      <c r="T369" s="107" t="n">
        <v>-5114.65742172</v>
      </c>
      <c r="U369" s="107" t="n">
        <v>21069</v>
      </c>
      <c r="V369" s="108" t="s">
        <v>362</v>
      </c>
      <c r="W369" s="107" t="n">
        <v>42003</v>
      </c>
      <c r="X369" s="108" t="s">
        <v>372</v>
      </c>
      <c r="Y369" s="107" t="s">
        <v>807</v>
      </c>
      <c r="Z369" s="107" t="s">
        <v>812</v>
      </c>
      <c r="AA369" s="109" t="n">
        <v>46052</v>
      </c>
      <c r="AB369" s="107" t="n">
        <v>260130000001</v>
      </c>
      <c r="AC369" s="109" t="n">
        <v>46050</v>
      </c>
      <c r="AD369" s="109" t="n">
        <v>47146</v>
      </c>
      <c r="AE369" s="107" t="n">
        <v>3.75</v>
      </c>
      <c r="AF369" s="107" t="n">
        <v>2.1961</v>
      </c>
      <c r="AG369" s="107" t="n">
        <v>851</v>
      </c>
      <c r="AH369" s="107" t="n">
        <v>3700000</v>
      </c>
      <c r="AI369" s="107" t="n">
        <v>3.86</v>
      </c>
      <c r="AJ369" s="107" t="n">
        <v>99.69</v>
      </c>
      <c r="AK369" s="107" t="n">
        <v>3.888735</v>
      </c>
      <c r="AL369" s="107" t="n">
        <v>100.335833</v>
      </c>
      <c r="AM369" s="107" t="n">
        <v>5.0622</v>
      </c>
      <c r="AN369" s="107" t="n">
        <v>97.1471</v>
      </c>
      <c r="AO369" s="107" t="n">
        <v>1358.4</v>
      </c>
      <c r="AP369" s="107" t="n">
        <v>1</v>
      </c>
      <c r="AQ369" s="107" t="n">
        <v>3594442.7</v>
      </c>
      <c r="AR369" s="107" t="n">
        <v>4882690964</v>
      </c>
      <c r="AS369" s="107" t="n">
        <v>3688530</v>
      </c>
      <c r="AT369" s="107" t="n">
        <v>5269433958</v>
      </c>
      <c r="AU369" s="107" t="n">
        <v>-94087.3</v>
      </c>
      <c r="AV369" s="107" t="n">
        <v>-127808188</v>
      </c>
      <c r="AW369" s="107" t="n">
        <v>0</v>
      </c>
      <c r="AX369" s="107" t="n">
        <v>0</v>
      </c>
      <c r="AY369" s="107" t="n">
        <v>0</v>
      </c>
      <c r="AZ369" s="107" t="n">
        <v>0</v>
      </c>
      <c r="BA369" s="107" t="n">
        <v>0</v>
      </c>
      <c r="BB369" s="107" t="n">
        <v>0</v>
      </c>
      <c r="BC369" s="107" t="n">
        <v>0</v>
      </c>
      <c r="BD369" s="107" t="n">
        <v>0</v>
      </c>
      <c r="BE369" s="107" t="n">
        <v>23895.83</v>
      </c>
      <c r="BF369" s="107" t="n">
        <v>32460095</v>
      </c>
      <c r="BG369" s="107" t="n">
        <v>0</v>
      </c>
      <c r="BH369" s="107" t="n">
        <v>0</v>
      </c>
      <c r="BI369" s="107" t="n">
        <v>3688530</v>
      </c>
      <c r="BJ369" s="107" t="n">
        <v>5269433958</v>
      </c>
      <c r="BK369" s="107" t="n">
        <v>0</v>
      </c>
      <c r="BL369" s="107" t="n">
        <v>0</v>
      </c>
      <c r="BM369" s="107" t="n">
        <v>0</v>
      </c>
      <c r="BN369" s="107" t="n">
        <v>0</v>
      </c>
      <c r="BO369" s="107" t="s">
        <v>361</v>
      </c>
      <c r="BP369" s="2"/>
      <c r="BQ369" s="107" t="s">
        <v>369</v>
      </c>
      <c r="BR369" s="107" t="n">
        <v>-258934806</v>
      </c>
      <c r="BS369" s="107" t="n">
        <v>0</v>
      </c>
      <c r="BT369" s="107" t="n">
        <v>0</v>
      </c>
      <c r="BU369" s="107" t="n">
        <v>0</v>
      </c>
      <c r="BV369" s="107" t="n">
        <v>0</v>
      </c>
      <c r="BW369" s="107" t="n">
        <v>23895.83</v>
      </c>
      <c r="BX369" s="107" t="n">
        <v>32460095</v>
      </c>
      <c r="BY369" s="107" t="n">
        <v>0</v>
      </c>
      <c r="BZ369" s="107" t="n">
        <v>0</v>
      </c>
      <c r="CA369" s="107" t="n">
        <v>1428.6</v>
      </c>
      <c r="CB369" s="2"/>
      <c r="CC369" s="107" t="n">
        <v>0</v>
      </c>
      <c r="CD369" s="107" t="n">
        <v>97.15</v>
      </c>
      <c r="CE369" s="107" t="n">
        <v>97.15</v>
      </c>
      <c r="CF369" s="107" t="n">
        <v>97.14</v>
      </c>
      <c r="CG369" s="107" t="n">
        <v>3700000</v>
      </c>
      <c r="CH369" s="107" t="n">
        <v>2.1419</v>
      </c>
      <c r="CI369" s="107" t="n">
        <v>100.28</v>
      </c>
      <c r="CJ369" s="107" t="n">
        <v>100.73</v>
      </c>
      <c r="CK369" s="107" t="n">
        <v>100.69</v>
      </c>
      <c r="CL369" s="107" t="n">
        <v>0</v>
      </c>
    </row>
    <row r="370" customFormat="false" ht="15" hidden="false" customHeight="false" outlineLevel="0" collapsed="false">
      <c r="A370" s="107" t="s">
        <v>813</v>
      </c>
      <c r="B370" s="107" t="n">
        <v>97.6008</v>
      </c>
      <c r="C370" s="107" t="n">
        <v>5.3067</v>
      </c>
      <c r="D370" s="107" t="n">
        <v>4.2555</v>
      </c>
      <c r="E370" s="107" t="n">
        <v>-3738.0618396</v>
      </c>
      <c r="F370" s="108" t="s">
        <v>358</v>
      </c>
      <c r="G370" s="107" t="n">
        <v>4.2555</v>
      </c>
      <c r="H370" s="107" t="n">
        <v>-3738.0618396</v>
      </c>
      <c r="I370" s="109" t="n">
        <v>48101</v>
      </c>
      <c r="J370" s="107" t="n">
        <v>5</v>
      </c>
      <c r="K370" s="107" t="s">
        <v>359</v>
      </c>
      <c r="L370" s="107" t="s">
        <v>298</v>
      </c>
      <c r="M370" s="107" t="n">
        <v>38299500</v>
      </c>
      <c r="N370" s="107" t="n">
        <v>99.933</v>
      </c>
      <c r="O370" s="107" t="n">
        <v>8784072</v>
      </c>
      <c r="P370" s="107" t="s">
        <v>670</v>
      </c>
      <c r="Q370" s="107" t="s">
        <v>364</v>
      </c>
      <c r="R370" s="107" t="n">
        <v>-0.00741987089247319</v>
      </c>
      <c r="S370" s="107" t="n">
        <v>-0.023337636216265</v>
      </c>
      <c r="T370" s="107" t="n">
        <v>-3837.23401248</v>
      </c>
      <c r="U370" s="107" t="n">
        <v>21069</v>
      </c>
      <c r="V370" s="108" t="s">
        <v>362</v>
      </c>
      <c r="W370" s="107" t="n">
        <v>42003</v>
      </c>
      <c r="X370" s="108" t="s">
        <v>372</v>
      </c>
      <c r="Y370" s="107" t="s">
        <v>809</v>
      </c>
      <c r="Z370" s="107" t="s">
        <v>814</v>
      </c>
      <c r="AA370" s="109" t="n">
        <v>46052</v>
      </c>
      <c r="AB370" s="107" t="n">
        <v>260130000001</v>
      </c>
      <c r="AC370" s="109" t="n">
        <v>46050</v>
      </c>
      <c r="AD370" s="109" t="n">
        <v>47876</v>
      </c>
      <c r="AE370" s="107" t="n">
        <v>4</v>
      </c>
      <c r="AF370" s="107" t="n">
        <v>3.9051</v>
      </c>
      <c r="AG370" s="107" t="n">
        <v>1581</v>
      </c>
      <c r="AH370" s="107" t="n">
        <v>500000</v>
      </c>
      <c r="AI370" s="107" t="n">
        <v>4.10404</v>
      </c>
      <c r="AJ370" s="107" t="n">
        <v>99.534</v>
      </c>
      <c r="AK370" s="107" t="n">
        <v>4.10114</v>
      </c>
      <c r="AL370" s="107" t="n">
        <v>100.286952</v>
      </c>
      <c r="AM370" s="107" t="n">
        <v>5.2307</v>
      </c>
      <c r="AN370" s="107" t="n">
        <v>95.2825</v>
      </c>
      <c r="AO370" s="107" t="n">
        <v>1358.4</v>
      </c>
      <c r="AP370" s="107" t="n">
        <v>1</v>
      </c>
      <c r="AQ370" s="107" t="n">
        <v>476412.5</v>
      </c>
      <c r="AR370" s="107" t="n">
        <v>647158740</v>
      </c>
      <c r="AS370" s="107" t="n">
        <v>497670</v>
      </c>
      <c r="AT370" s="107" t="n">
        <v>710971362</v>
      </c>
      <c r="AU370" s="107" t="n">
        <v>-21257.5</v>
      </c>
      <c r="AV370" s="107" t="n">
        <v>-28876188</v>
      </c>
      <c r="AW370" s="107" t="n">
        <v>0</v>
      </c>
      <c r="AX370" s="107" t="n">
        <v>0</v>
      </c>
      <c r="AY370" s="107" t="n">
        <v>0</v>
      </c>
      <c r="AZ370" s="107" t="n">
        <v>0</v>
      </c>
      <c r="BA370" s="107" t="n">
        <v>0</v>
      </c>
      <c r="BB370" s="107" t="n">
        <v>0</v>
      </c>
      <c r="BC370" s="107" t="n">
        <v>0</v>
      </c>
      <c r="BD370" s="107" t="n">
        <v>0</v>
      </c>
      <c r="BE370" s="107" t="n">
        <v>3444.44</v>
      </c>
      <c r="BF370" s="107" t="n">
        <v>4678927</v>
      </c>
      <c r="BG370" s="107" t="n">
        <v>320.32</v>
      </c>
      <c r="BH370" s="107" t="n">
        <v>435122</v>
      </c>
      <c r="BI370" s="107" t="n">
        <v>497670</v>
      </c>
      <c r="BJ370" s="107" t="n">
        <v>710971362</v>
      </c>
      <c r="BK370" s="107" t="n">
        <v>0</v>
      </c>
      <c r="BL370" s="107" t="n">
        <v>0</v>
      </c>
      <c r="BM370" s="107" t="n">
        <v>0</v>
      </c>
      <c r="BN370" s="107" t="n">
        <v>0</v>
      </c>
      <c r="BO370" s="107" t="s">
        <v>361</v>
      </c>
      <c r="BP370" s="2"/>
      <c r="BQ370" s="107" t="s">
        <v>369</v>
      </c>
      <c r="BR370" s="107" t="n">
        <v>-34936434</v>
      </c>
      <c r="BS370" s="107" t="n">
        <v>0</v>
      </c>
      <c r="BT370" s="107" t="n">
        <v>0</v>
      </c>
      <c r="BU370" s="107" t="n">
        <v>0</v>
      </c>
      <c r="BV370" s="107" t="n">
        <v>0</v>
      </c>
      <c r="BW370" s="107" t="n">
        <v>3444.44</v>
      </c>
      <c r="BX370" s="107" t="n">
        <v>4678927</v>
      </c>
      <c r="BY370" s="107" t="n">
        <v>320.32</v>
      </c>
      <c r="BZ370" s="107" t="n">
        <v>435122</v>
      </c>
      <c r="CA370" s="107" t="n">
        <v>1428.6</v>
      </c>
      <c r="CB370" s="2"/>
      <c r="CC370" s="107" t="n">
        <v>0</v>
      </c>
      <c r="CD370" s="107" t="n">
        <v>95.29</v>
      </c>
      <c r="CE370" s="107" t="n">
        <v>95.28</v>
      </c>
      <c r="CF370" s="107" t="n">
        <v>95.28</v>
      </c>
      <c r="CG370" s="107" t="n">
        <v>500000</v>
      </c>
      <c r="CH370" s="107" t="n">
        <v>3.8056</v>
      </c>
      <c r="CI370" s="107" t="n">
        <v>100.64</v>
      </c>
      <c r="CJ370" s="107" t="n">
        <v>100.69</v>
      </c>
      <c r="CK370" s="107" t="n">
        <v>100.69</v>
      </c>
      <c r="CL370" s="107" t="n">
        <v>0</v>
      </c>
    </row>
    <row r="371" customFormat="false" ht="15" hidden="false" customHeight="false" outlineLevel="0" collapsed="false">
      <c r="A371" s="107" t="s">
        <v>815</v>
      </c>
      <c r="B371" s="107" t="n">
        <v>99.4142</v>
      </c>
      <c r="C371" s="107" t="n">
        <v>5.2255</v>
      </c>
      <c r="D371" s="107" t="n">
        <v>2.4794</v>
      </c>
      <c r="E371" s="107" t="n">
        <v>-49.297513496</v>
      </c>
      <c r="F371" s="108" t="s">
        <v>358</v>
      </c>
      <c r="G371" s="107" t="n">
        <v>2.4794</v>
      </c>
      <c r="H371" s="107" t="n">
        <v>-49.297513496</v>
      </c>
      <c r="I371" s="109" t="n">
        <v>47307</v>
      </c>
      <c r="J371" s="107" t="n">
        <v>3</v>
      </c>
      <c r="K371" s="107" t="s">
        <v>359</v>
      </c>
      <c r="L371" s="107" t="s">
        <v>298</v>
      </c>
      <c r="M371" s="107" t="n">
        <v>495880</v>
      </c>
      <c r="N371" s="107" t="n">
        <v>99.694</v>
      </c>
      <c r="O371" s="107" t="n">
        <v>198828.4</v>
      </c>
      <c r="P371" s="107" t="s">
        <v>816</v>
      </c>
      <c r="Q371" s="107" t="s">
        <v>364</v>
      </c>
      <c r="R371" s="107" t="n">
        <v>-0.0875453606904559</v>
      </c>
      <c r="S371" s="107" t="n">
        <v>-0.00280658815976898</v>
      </c>
      <c r="T371" s="107" t="n">
        <v>-50.585921528</v>
      </c>
      <c r="U371" s="107" t="n">
        <v>21069</v>
      </c>
      <c r="V371" s="108" t="s">
        <v>362</v>
      </c>
      <c r="W371" s="107" t="n">
        <v>42003</v>
      </c>
      <c r="X371" s="108" t="s">
        <v>372</v>
      </c>
      <c r="Y371" s="107" t="s">
        <v>811</v>
      </c>
      <c r="Z371" s="107" t="s">
        <v>817</v>
      </c>
      <c r="AA371" s="109" t="n">
        <v>46279</v>
      </c>
      <c r="AB371" s="107" t="n">
        <v>260914000001</v>
      </c>
      <c r="AC371" s="109" t="n">
        <v>46275</v>
      </c>
      <c r="AD371" s="109" t="n">
        <v>47371</v>
      </c>
      <c r="AE371" s="107" t="n">
        <v>4.625</v>
      </c>
      <c r="AF371" s="107" t="n">
        <v>2.7302</v>
      </c>
      <c r="AG371" s="107" t="n">
        <v>1076</v>
      </c>
      <c r="AH371" s="107" t="n">
        <v>19000000</v>
      </c>
      <c r="AI371" s="107" t="n">
        <v>4.624</v>
      </c>
      <c r="AJ371" s="107" t="n">
        <v>100.002</v>
      </c>
      <c r="AK371" s="107" t="n">
        <v>4.623118</v>
      </c>
      <c r="AL371" s="107" t="n">
        <v>100.259466</v>
      </c>
      <c r="AM371" s="107" t="n">
        <v>5.121</v>
      </c>
      <c r="AN371" s="107" t="n">
        <v>98.6547</v>
      </c>
      <c r="AO371" s="107" t="n">
        <v>1358.4</v>
      </c>
      <c r="AP371" s="107" t="n">
        <v>1</v>
      </c>
      <c r="AQ371" s="107" t="n">
        <v>18744393</v>
      </c>
      <c r="AR371" s="107" t="n">
        <v>25462383451</v>
      </c>
      <c r="AS371" s="107" t="n">
        <v>19000305.66</v>
      </c>
      <c r="AT371" s="107" t="n">
        <v>25426209035</v>
      </c>
      <c r="AU371" s="107" t="n">
        <v>-255912.66</v>
      </c>
      <c r="AV371" s="107" t="n">
        <v>-347631758</v>
      </c>
      <c r="AW371" s="107" t="n">
        <v>9763.89</v>
      </c>
      <c r="AX371" s="107" t="n">
        <v>13066037</v>
      </c>
      <c r="AY371" s="107" t="n">
        <v>74.34</v>
      </c>
      <c r="AZ371" s="107" t="n">
        <v>99481</v>
      </c>
      <c r="BA371" s="107" t="n">
        <v>0</v>
      </c>
      <c r="BB371" s="107" t="n">
        <v>0</v>
      </c>
      <c r="BC371" s="107" t="n">
        <v>0</v>
      </c>
      <c r="BD371" s="107" t="n">
        <v>0</v>
      </c>
      <c r="BE371" s="107" t="n">
        <v>39055.55</v>
      </c>
      <c r="BF371" s="107" t="n">
        <v>53053059</v>
      </c>
      <c r="BG371" s="107" t="n">
        <v>99.13</v>
      </c>
      <c r="BH371" s="107" t="n">
        <v>134658</v>
      </c>
      <c r="BI371" s="107" t="n">
        <v>19000305.66</v>
      </c>
      <c r="BJ371" s="107" t="n">
        <v>25426209035</v>
      </c>
      <c r="BK371" s="107" t="n">
        <v>0</v>
      </c>
      <c r="BL371" s="107" t="n">
        <v>0</v>
      </c>
      <c r="BM371" s="107" t="n">
        <v>0</v>
      </c>
      <c r="BN371" s="107" t="n">
        <v>0</v>
      </c>
      <c r="BO371" s="107" t="s">
        <v>361</v>
      </c>
      <c r="BP371" s="2"/>
      <c r="BQ371" s="107" t="s">
        <v>369</v>
      </c>
      <c r="BR371" s="107" t="n">
        <v>383806174</v>
      </c>
      <c r="BS371" s="107" t="n">
        <v>198733</v>
      </c>
      <c r="BT371" s="107" t="n">
        <v>0</v>
      </c>
      <c r="BU371" s="107" t="n">
        <v>0</v>
      </c>
      <c r="BV371" s="107" t="n">
        <v>0</v>
      </c>
      <c r="BW371" s="107" t="n">
        <v>48819.44</v>
      </c>
      <c r="BX371" s="107" t="n">
        <v>66316327</v>
      </c>
      <c r="BY371" s="107" t="n">
        <v>173.47</v>
      </c>
      <c r="BZ371" s="107" t="n">
        <v>235641</v>
      </c>
      <c r="CA371" s="107" t="n">
        <v>1338.2</v>
      </c>
      <c r="CB371" s="2"/>
      <c r="CC371" s="107" t="n">
        <v>0</v>
      </c>
      <c r="CD371" s="107" t="n">
        <v>98.65</v>
      </c>
      <c r="CE371" s="107" t="n">
        <v>98.66</v>
      </c>
      <c r="CF371" s="107" t="n">
        <v>98.66</v>
      </c>
      <c r="CG371" s="107" t="n">
        <v>19000000</v>
      </c>
      <c r="CH371" s="107" t="n">
        <v>2.662</v>
      </c>
      <c r="CI371" s="107" t="n">
        <v>101.2</v>
      </c>
      <c r="CJ371" s="107" t="n">
        <v>101.28</v>
      </c>
      <c r="CK371" s="107" t="n">
        <v>101.4</v>
      </c>
      <c r="CL371" s="107" t="n">
        <v>200000</v>
      </c>
    </row>
    <row r="372" customFormat="false" ht="15" hidden="false" customHeight="false" outlineLevel="0" collapsed="false">
      <c r="A372" s="107" t="s">
        <v>365</v>
      </c>
      <c r="B372" s="107" t="n">
        <v>99.2769</v>
      </c>
      <c r="C372" s="107" t="n">
        <v>5.304</v>
      </c>
      <c r="D372" s="107" t="n">
        <v>1.6136</v>
      </c>
      <c r="E372" s="107" t="n">
        <v>-320.38641168</v>
      </c>
      <c r="F372" s="108" t="s">
        <v>358</v>
      </c>
      <c r="G372" s="107" t="n">
        <v>1.6136</v>
      </c>
      <c r="H372" s="107" t="n">
        <v>-320.38641168</v>
      </c>
      <c r="I372" s="109" t="n">
        <v>46937</v>
      </c>
      <c r="J372" s="107" t="n">
        <v>2</v>
      </c>
      <c r="K372" s="107" t="s">
        <v>359</v>
      </c>
      <c r="L372" s="107" t="s">
        <v>298</v>
      </c>
      <c r="M372" s="107" t="n">
        <v>3227200</v>
      </c>
      <c r="N372" s="107" t="n">
        <v>100.132</v>
      </c>
      <c r="O372" s="107" t="n">
        <v>1985538</v>
      </c>
      <c r="P372" s="107" t="s">
        <v>366</v>
      </c>
      <c r="Q372" s="107" t="s">
        <v>367</v>
      </c>
      <c r="R372" s="107" t="n">
        <v>-0.0807853032135239</v>
      </c>
      <c r="S372" s="107" t="n">
        <v>-0.0085397275596214</v>
      </c>
      <c r="T372" s="107" t="n">
        <v>-328.88451432</v>
      </c>
      <c r="U372" s="107" t="n">
        <v>21069</v>
      </c>
      <c r="V372" s="108" t="s">
        <v>362</v>
      </c>
      <c r="W372" s="107" t="n">
        <v>42003</v>
      </c>
      <c r="X372" s="108" t="s">
        <v>372</v>
      </c>
      <c r="Y372" s="107" t="s">
        <v>813</v>
      </c>
      <c r="Z372" s="107" t="s">
        <v>818</v>
      </c>
      <c r="AA372" s="109" t="n">
        <v>46279</v>
      </c>
      <c r="AB372" s="107" t="n">
        <v>260914000001</v>
      </c>
      <c r="AC372" s="109" t="n">
        <v>46275</v>
      </c>
      <c r="AD372" s="109" t="n">
        <v>48101</v>
      </c>
      <c r="AE372" s="107" t="n">
        <v>4.75</v>
      </c>
      <c r="AF372" s="107" t="n">
        <v>4.3665</v>
      </c>
      <c r="AG372" s="107" t="n">
        <v>1806</v>
      </c>
      <c r="AH372" s="107" t="n">
        <v>9000000</v>
      </c>
      <c r="AI372" s="107" t="n">
        <v>4.765</v>
      </c>
      <c r="AJ372" s="107" t="n">
        <v>99.933</v>
      </c>
      <c r="AK372" s="107" t="n">
        <v>4.764509</v>
      </c>
      <c r="AL372" s="107" t="n">
        <v>100.197883</v>
      </c>
      <c r="AM372" s="107" t="n">
        <v>5.2708</v>
      </c>
      <c r="AN372" s="107" t="n">
        <v>97.7538</v>
      </c>
      <c r="AO372" s="107" t="n">
        <v>1358.4</v>
      </c>
      <c r="AP372" s="107" t="n">
        <v>1</v>
      </c>
      <c r="AQ372" s="107" t="n">
        <v>8797842</v>
      </c>
      <c r="AR372" s="107" t="n">
        <v>11950988573</v>
      </c>
      <c r="AS372" s="107" t="n">
        <v>8993902.87</v>
      </c>
      <c r="AT372" s="107" t="n">
        <v>12035640821</v>
      </c>
      <c r="AU372" s="107" t="n">
        <v>-196060.87</v>
      </c>
      <c r="AV372" s="107" t="n">
        <v>-266329086</v>
      </c>
      <c r="AW372" s="107" t="n">
        <v>4750</v>
      </c>
      <c r="AX372" s="107" t="n">
        <v>6356450</v>
      </c>
      <c r="AY372" s="107" t="n">
        <v>67.13</v>
      </c>
      <c r="AZ372" s="107" t="n">
        <v>89833</v>
      </c>
      <c r="BA372" s="107" t="n">
        <v>0</v>
      </c>
      <c r="BB372" s="107" t="n">
        <v>0</v>
      </c>
      <c r="BC372" s="107" t="n">
        <v>0</v>
      </c>
      <c r="BD372" s="107" t="n">
        <v>0</v>
      </c>
      <c r="BE372" s="107" t="n">
        <v>19000</v>
      </c>
      <c r="BF372" s="107" t="n">
        <v>25809600</v>
      </c>
      <c r="BG372" s="107" t="n">
        <v>89.51</v>
      </c>
      <c r="BH372" s="107" t="n">
        <v>121590</v>
      </c>
      <c r="BI372" s="107" t="n">
        <v>8993902.87</v>
      </c>
      <c r="BJ372" s="107" t="n">
        <v>12035640821</v>
      </c>
      <c r="BK372" s="107" t="n">
        <v>0</v>
      </c>
      <c r="BL372" s="107" t="n">
        <v>0</v>
      </c>
      <c r="BM372" s="107" t="n">
        <v>0</v>
      </c>
      <c r="BN372" s="107" t="n">
        <v>0</v>
      </c>
      <c r="BO372" s="107" t="s">
        <v>361</v>
      </c>
      <c r="BP372" s="2"/>
      <c r="BQ372" s="107" t="s">
        <v>369</v>
      </c>
      <c r="BR372" s="107" t="n">
        <v>181676838</v>
      </c>
      <c r="BS372" s="107" t="n">
        <v>97306</v>
      </c>
      <c r="BT372" s="107" t="n">
        <v>0</v>
      </c>
      <c r="BU372" s="107" t="n">
        <v>0</v>
      </c>
      <c r="BV372" s="107" t="n">
        <v>0</v>
      </c>
      <c r="BW372" s="107" t="n">
        <v>23750</v>
      </c>
      <c r="BX372" s="107" t="n">
        <v>32262000</v>
      </c>
      <c r="BY372" s="107" t="n">
        <v>156.64</v>
      </c>
      <c r="BZ372" s="107" t="n">
        <v>212779</v>
      </c>
      <c r="CA372" s="107" t="n">
        <v>1338.2</v>
      </c>
      <c r="CB372" s="2"/>
      <c r="CC372" s="107" t="n">
        <v>0</v>
      </c>
      <c r="CD372" s="107" t="n">
        <v>97.74</v>
      </c>
      <c r="CE372" s="107" t="n">
        <v>97.78</v>
      </c>
      <c r="CF372" s="107" t="n">
        <v>97.74</v>
      </c>
      <c r="CG372" s="107" t="n">
        <v>9000000</v>
      </c>
      <c r="CH372" s="107" t="n">
        <v>4.2544</v>
      </c>
      <c r="CI372" s="107" t="n">
        <v>100.21</v>
      </c>
      <c r="CJ372" s="107" t="n">
        <v>100.31</v>
      </c>
      <c r="CK372" s="107" t="n">
        <v>100.33</v>
      </c>
      <c r="CL372" s="107" t="n">
        <v>200000</v>
      </c>
    </row>
    <row r="373" customFormat="false" ht="15" hidden="false" customHeight="false" outlineLevel="0" collapsed="false">
      <c r="A373" s="107" t="s">
        <v>819</v>
      </c>
      <c r="B373" s="107" t="n">
        <v>98.7153</v>
      </c>
      <c r="C373" s="107" t="n">
        <v>5.3427</v>
      </c>
      <c r="D373" s="107" t="n">
        <v>2.1066</v>
      </c>
      <c r="E373" s="107" t="n">
        <v>-103.97682549</v>
      </c>
      <c r="F373" s="108" t="s">
        <v>358</v>
      </c>
      <c r="G373" s="107" t="n">
        <v>2.1066</v>
      </c>
      <c r="H373" s="107" t="n">
        <v>-103.97682549</v>
      </c>
      <c r="I373" s="109" t="n">
        <v>47142</v>
      </c>
      <c r="J373" s="107" t="n">
        <v>3</v>
      </c>
      <c r="K373" s="107" t="s">
        <v>359</v>
      </c>
      <c r="L373" s="107" t="s">
        <v>298</v>
      </c>
      <c r="M373" s="107" t="n">
        <v>1053300</v>
      </c>
      <c r="N373" s="107" t="n">
        <v>102.31</v>
      </c>
      <c r="O373" s="107" t="n">
        <v>493576.5</v>
      </c>
      <c r="P373" s="107" t="s">
        <v>451</v>
      </c>
      <c r="Q373" s="107" t="s">
        <v>367</v>
      </c>
      <c r="R373" s="107" t="n">
        <v>-0.0857549690833994</v>
      </c>
      <c r="S373" s="107" t="n">
        <v>-0.035135372886326</v>
      </c>
      <c r="T373" s="107" t="n">
        <v>-106.755661185</v>
      </c>
      <c r="U373" s="107" t="n">
        <v>21069</v>
      </c>
      <c r="V373" s="108" t="s">
        <v>362</v>
      </c>
      <c r="W373" s="107" t="n">
        <v>42003</v>
      </c>
      <c r="X373" s="108" t="s">
        <v>372</v>
      </c>
      <c r="Y373" s="107" t="s">
        <v>815</v>
      </c>
      <c r="Z373" s="107" t="s">
        <v>820</v>
      </c>
      <c r="AA373" s="109" t="n">
        <v>45481</v>
      </c>
      <c r="AB373" s="107" t="n">
        <v>240708000001</v>
      </c>
      <c r="AC373" s="109" t="n">
        <v>45481</v>
      </c>
      <c r="AD373" s="109" t="n">
        <v>47307</v>
      </c>
      <c r="AE373" s="107" t="n">
        <v>5</v>
      </c>
      <c r="AF373" s="107" t="n">
        <v>2.5419</v>
      </c>
      <c r="AG373" s="107" t="n">
        <v>1012</v>
      </c>
      <c r="AH373" s="107" t="n">
        <v>200000</v>
      </c>
      <c r="AI373" s="107" t="n">
        <v>5.07</v>
      </c>
      <c r="AJ373" s="107" t="n">
        <v>99.694</v>
      </c>
      <c r="AK373" s="107" t="n">
        <v>3.746713</v>
      </c>
      <c r="AL373" s="107" t="n">
        <v>104.40419</v>
      </c>
      <c r="AM373" s="107" t="n">
        <v>5.1768</v>
      </c>
      <c r="AN373" s="107" t="n">
        <v>99.5385</v>
      </c>
      <c r="AO373" s="107" t="n">
        <v>1358.4</v>
      </c>
      <c r="AP373" s="107" t="n">
        <v>1</v>
      </c>
      <c r="AQ373" s="107" t="n">
        <v>199077</v>
      </c>
      <c r="AR373" s="107" t="n">
        <v>270426197</v>
      </c>
      <c r="AS373" s="107" t="n">
        <v>206530.6</v>
      </c>
      <c r="AT373" s="107" t="n">
        <v>296350758</v>
      </c>
      <c r="AU373" s="107" t="n">
        <v>-7453.6</v>
      </c>
      <c r="AV373" s="107" t="n">
        <v>-10124970</v>
      </c>
      <c r="AW373" s="107" t="n">
        <v>0</v>
      </c>
      <c r="AX373" s="107" t="n">
        <v>0</v>
      </c>
      <c r="AY373" s="107" t="n">
        <v>0</v>
      </c>
      <c r="AZ373" s="107" t="n">
        <v>0</v>
      </c>
      <c r="BA373" s="107" t="n">
        <v>0</v>
      </c>
      <c r="BB373" s="107" t="n">
        <v>0</v>
      </c>
      <c r="BC373" s="107" t="n">
        <v>0</v>
      </c>
      <c r="BD373" s="107" t="n">
        <v>0</v>
      </c>
      <c r="BE373" s="107" t="n">
        <v>2277.78</v>
      </c>
      <c r="BF373" s="107" t="n">
        <v>3094136</v>
      </c>
      <c r="BG373" s="107" t="n">
        <v>0</v>
      </c>
      <c r="BH373" s="107" t="n">
        <v>0</v>
      </c>
      <c r="BI373" s="107" t="n">
        <v>199388</v>
      </c>
      <c r="BJ373" s="107" t="n">
        <v>286055980</v>
      </c>
      <c r="BK373" s="107" t="n">
        <v>0</v>
      </c>
      <c r="BL373" s="107" t="n">
        <v>0</v>
      </c>
      <c r="BM373" s="107" t="n">
        <v>0</v>
      </c>
      <c r="BN373" s="107" t="n">
        <v>0</v>
      </c>
      <c r="BO373" s="107" t="s">
        <v>361</v>
      </c>
      <c r="BP373" s="2"/>
      <c r="BQ373" s="107" t="s">
        <v>364</v>
      </c>
      <c r="BR373" s="107" t="n">
        <v>-15799591</v>
      </c>
      <c r="BS373" s="107" t="n">
        <v>0</v>
      </c>
      <c r="BT373" s="107" t="n">
        <v>0</v>
      </c>
      <c r="BU373" s="107" t="n">
        <v>7142.6</v>
      </c>
      <c r="BV373" s="107" t="n">
        <v>10294778</v>
      </c>
      <c r="BW373" s="107" t="n">
        <v>2277.78</v>
      </c>
      <c r="BX373" s="107" t="n">
        <v>3094136</v>
      </c>
      <c r="BY373" s="107" t="n">
        <v>0</v>
      </c>
      <c r="BZ373" s="107" t="n">
        <v>0</v>
      </c>
      <c r="CA373" s="107" t="n">
        <v>1434.9</v>
      </c>
      <c r="CB373" s="2"/>
      <c r="CC373" s="107" t="n">
        <v>0</v>
      </c>
      <c r="CD373" s="107" t="n">
        <v>99.51</v>
      </c>
      <c r="CE373" s="107" t="n">
        <v>99.51</v>
      </c>
      <c r="CF373" s="107" t="n">
        <v>99.59</v>
      </c>
      <c r="CG373" s="107" t="n">
        <v>200000</v>
      </c>
      <c r="CH373" s="107" t="n">
        <v>2.4778</v>
      </c>
      <c r="CI373" s="107" t="n">
        <v>98.77</v>
      </c>
      <c r="CJ373" s="107" t="n">
        <v>99.15</v>
      </c>
      <c r="CK373" s="107" t="n">
        <v>99.63</v>
      </c>
      <c r="CL373" s="107" t="n">
        <v>200000</v>
      </c>
    </row>
    <row r="374" customFormat="false" ht="15" hidden="false" customHeight="false" outlineLevel="0" collapsed="false">
      <c r="A374" s="107" t="s">
        <v>821</v>
      </c>
      <c r="B374" s="107" t="n">
        <v>95.1927</v>
      </c>
      <c r="C374" s="107" t="n">
        <v>5.4421</v>
      </c>
      <c r="D374" s="107" t="n">
        <v>3.945</v>
      </c>
      <c r="E374" s="107" t="n">
        <v>-1577.2478463</v>
      </c>
      <c r="F374" s="108" t="s">
        <v>358</v>
      </c>
      <c r="G374" s="107" t="n">
        <v>3.945</v>
      </c>
      <c r="H374" s="107" t="n">
        <v>-1577.2478463</v>
      </c>
      <c r="I374" s="109" t="n">
        <v>47975</v>
      </c>
      <c r="J374" s="107" t="n">
        <v>5</v>
      </c>
      <c r="K374" s="107" t="s">
        <v>359</v>
      </c>
      <c r="L374" s="107" t="s">
        <v>298</v>
      </c>
      <c r="M374" s="107" t="n">
        <v>16569000</v>
      </c>
      <c r="N374" s="107" t="n">
        <v>99.955</v>
      </c>
      <c r="O374" s="107" t="n">
        <v>3998093.4</v>
      </c>
      <c r="P374" s="107" t="s">
        <v>498</v>
      </c>
      <c r="Q374" s="107" t="s">
        <v>106</v>
      </c>
      <c r="R374" s="107" t="n">
        <v>-0.107243268795504</v>
      </c>
      <c r="S374" s="107" t="n">
        <v>-0.0476444399979991</v>
      </c>
      <c r="T374" s="107" t="n">
        <v>-1620.147388482</v>
      </c>
      <c r="U374" s="107" t="n">
        <v>21069</v>
      </c>
      <c r="V374" s="108" t="s">
        <v>362</v>
      </c>
      <c r="W374" s="107" t="n">
        <v>42003</v>
      </c>
      <c r="X374" s="108" t="s">
        <v>372</v>
      </c>
      <c r="Y374" s="107" t="s">
        <v>365</v>
      </c>
      <c r="Z374" s="107" t="s">
        <v>368</v>
      </c>
      <c r="AA374" s="109" t="n">
        <v>45463</v>
      </c>
      <c r="AB374" s="107" t="n">
        <v>240620000001</v>
      </c>
      <c r="AC374" s="109" t="n">
        <v>45110</v>
      </c>
      <c r="AD374" s="109" t="n">
        <v>46937</v>
      </c>
      <c r="AE374" s="107" t="n">
        <v>4.875</v>
      </c>
      <c r="AF374" s="107" t="n">
        <v>1.654</v>
      </c>
      <c r="AG374" s="107" t="n">
        <v>642</v>
      </c>
      <c r="AH374" s="107" t="n">
        <v>2000000</v>
      </c>
      <c r="AI374" s="107" t="n">
        <v>4.838065</v>
      </c>
      <c r="AJ374" s="107" t="n">
        <v>100.132</v>
      </c>
      <c r="AK374" s="107" t="n">
        <v>3.349931</v>
      </c>
      <c r="AL374" s="107" t="n">
        <v>103.756257</v>
      </c>
      <c r="AM374" s="107" t="n">
        <v>5.2408</v>
      </c>
      <c r="AN374" s="107" t="n">
        <v>99.3824</v>
      </c>
      <c r="AO374" s="107" t="n">
        <v>1358.4</v>
      </c>
      <c r="AP374" s="107" t="n">
        <v>1</v>
      </c>
      <c r="AQ374" s="107" t="n">
        <v>1987648</v>
      </c>
      <c r="AR374" s="107" t="n">
        <v>2700021043</v>
      </c>
      <c r="AS374" s="107" t="n">
        <v>2047286</v>
      </c>
      <c r="AT374" s="107" t="n">
        <v>2937650681</v>
      </c>
      <c r="AU374" s="107" t="n">
        <v>-59638</v>
      </c>
      <c r="AV374" s="107" t="n">
        <v>-81012259</v>
      </c>
      <c r="AW374" s="107" t="n">
        <v>0</v>
      </c>
      <c r="AX374" s="107" t="n">
        <v>0</v>
      </c>
      <c r="AY374" s="107" t="n">
        <v>0</v>
      </c>
      <c r="AZ374" s="107" t="n">
        <v>0</v>
      </c>
      <c r="BA374" s="107" t="n">
        <v>0</v>
      </c>
      <c r="BB374" s="107" t="n">
        <v>0</v>
      </c>
      <c r="BC374" s="107" t="n">
        <v>0</v>
      </c>
      <c r="BD374" s="107" t="n">
        <v>0</v>
      </c>
      <c r="BE374" s="107" t="n">
        <v>23562.5</v>
      </c>
      <c r="BF374" s="107" t="n">
        <v>32007300</v>
      </c>
      <c r="BG374" s="107" t="n">
        <v>4276.64</v>
      </c>
      <c r="BH374" s="107" t="n">
        <v>5809387</v>
      </c>
      <c r="BI374" s="107" t="n">
        <v>10013200</v>
      </c>
      <c r="BJ374" s="107" t="n">
        <v>14649260441</v>
      </c>
      <c r="BK374" s="107" t="n">
        <v>0</v>
      </c>
      <c r="BL374" s="107" t="n">
        <v>0</v>
      </c>
      <c r="BM374" s="107" t="n">
        <v>0</v>
      </c>
      <c r="BN374" s="107" t="n">
        <v>0</v>
      </c>
      <c r="BO374" s="107" t="s">
        <v>367</v>
      </c>
      <c r="BP374" s="2"/>
      <c r="BQ374" s="107" t="s">
        <v>369</v>
      </c>
      <c r="BR374" s="107" t="n">
        <v>-156617379</v>
      </c>
      <c r="BS374" s="107" t="n">
        <v>0</v>
      </c>
      <c r="BT374" s="107" t="n">
        <v>0</v>
      </c>
      <c r="BU374" s="107" t="n">
        <v>27654</v>
      </c>
      <c r="BV374" s="107" t="n">
        <v>38935200</v>
      </c>
      <c r="BW374" s="107" t="n">
        <v>23562.5</v>
      </c>
      <c r="BX374" s="107" t="n">
        <v>32007300</v>
      </c>
      <c r="BY374" s="107" t="n">
        <v>4276.64</v>
      </c>
      <c r="BZ374" s="107" t="n">
        <v>5809387</v>
      </c>
      <c r="CA374" s="107" t="n">
        <v>1434.9</v>
      </c>
      <c r="CB374" s="2"/>
      <c r="CC374" s="107" t="n">
        <v>0</v>
      </c>
      <c r="CD374" s="107" t="n">
        <v>99.37</v>
      </c>
      <c r="CE374" s="107" t="n">
        <v>99.41</v>
      </c>
      <c r="CF374" s="107" t="n">
        <v>99.37</v>
      </c>
      <c r="CG374" s="107" t="n">
        <v>2000000</v>
      </c>
      <c r="CH374" s="107" t="n">
        <v>1.6118</v>
      </c>
      <c r="CI374" s="107" t="n">
        <v>98.77</v>
      </c>
      <c r="CJ374" s="107" t="n">
        <v>99.15</v>
      </c>
      <c r="CK374" s="107" t="n">
        <v>99.63</v>
      </c>
      <c r="CL374" s="107" t="n">
        <v>1000000</v>
      </c>
    </row>
    <row r="375" customFormat="false" ht="15" hidden="false" customHeight="false" outlineLevel="0" collapsed="false">
      <c r="A375" s="107" t="s">
        <v>822</v>
      </c>
      <c r="B375" s="107" t="n">
        <v>94.9114</v>
      </c>
      <c r="C375" s="107" t="n">
        <v>5.2778</v>
      </c>
      <c r="D375" s="107" t="n">
        <v>3.8953</v>
      </c>
      <c r="E375" s="107" t="n">
        <v>-1183.066804544</v>
      </c>
      <c r="F375" s="108" t="s">
        <v>358</v>
      </c>
      <c r="G375" s="107" t="n">
        <v>3.8953</v>
      </c>
      <c r="H375" s="107" t="n">
        <v>-1183.066804544</v>
      </c>
      <c r="I375" s="109" t="n">
        <v>47947</v>
      </c>
      <c r="J375" s="107" t="n">
        <v>5</v>
      </c>
      <c r="K375" s="107" t="s">
        <v>359</v>
      </c>
      <c r="L375" s="107" t="s">
        <v>298</v>
      </c>
      <c r="M375" s="107" t="n">
        <v>12464960</v>
      </c>
      <c r="N375" s="107" t="n">
        <v>99.108</v>
      </c>
      <c r="O375" s="107" t="n">
        <v>3037164.8</v>
      </c>
      <c r="P375" s="107" t="s">
        <v>360</v>
      </c>
      <c r="Q375" s="107" t="s">
        <v>364</v>
      </c>
      <c r="R375" s="107" t="n">
        <v>-0.120589352853888</v>
      </c>
      <c r="S375" s="107" t="n">
        <v>-0.0423437058562377</v>
      </c>
      <c r="T375" s="107" t="n">
        <v>-1214.288858688</v>
      </c>
      <c r="U375" s="107" t="n">
        <v>21069</v>
      </c>
      <c r="V375" s="108" t="s">
        <v>362</v>
      </c>
      <c r="W375" s="107" t="n">
        <v>42003</v>
      </c>
      <c r="X375" s="108" t="s">
        <v>372</v>
      </c>
      <c r="Y375" s="107" t="s">
        <v>819</v>
      </c>
      <c r="Z375" s="107" t="s">
        <v>823</v>
      </c>
      <c r="AA375" s="109" t="n">
        <v>46080</v>
      </c>
      <c r="AB375" s="107" t="n">
        <v>260227000001</v>
      </c>
      <c r="AC375" s="109" t="n">
        <v>45315</v>
      </c>
      <c r="AD375" s="109" t="n">
        <v>47142</v>
      </c>
      <c r="AE375" s="107" t="n">
        <v>4.75</v>
      </c>
      <c r="AF375" s="107" t="n">
        <v>2.1607</v>
      </c>
      <c r="AG375" s="107" t="n">
        <v>847</v>
      </c>
      <c r="AH375" s="107" t="n">
        <v>500000</v>
      </c>
      <c r="AI375" s="107" t="n">
        <v>3.9</v>
      </c>
      <c r="AJ375" s="107" t="n">
        <v>102.31</v>
      </c>
      <c r="AK375" s="107" t="n">
        <v>3.698076</v>
      </c>
      <c r="AL375" s="107" t="n">
        <v>103.180834</v>
      </c>
      <c r="AM375" s="107" t="n">
        <v>5.2723</v>
      </c>
      <c r="AN375" s="107" t="n">
        <v>98.8672</v>
      </c>
      <c r="AO375" s="107" t="n">
        <v>1358.4</v>
      </c>
      <c r="AP375" s="107" t="n">
        <v>1</v>
      </c>
      <c r="AQ375" s="107" t="n">
        <v>494336</v>
      </c>
      <c r="AR375" s="107" t="n">
        <v>671506022</v>
      </c>
      <c r="AS375" s="107" t="n">
        <v>511550</v>
      </c>
      <c r="AT375" s="107" t="n">
        <v>734227715</v>
      </c>
      <c r="AU375" s="107" t="n">
        <v>-17214</v>
      </c>
      <c r="AV375" s="107" t="n">
        <v>-23383498</v>
      </c>
      <c r="AW375" s="107" t="n">
        <v>0</v>
      </c>
      <c r="AX375" s="107" t="n">
        <v>0</v>
      </c>
      <c r="AY375" s="107" t="n">
        <v>0</v>
      </c>
      <c r="AZ375" s="107" t="n">
        <v>0</v>
      </c>
      <c r="BA375" s="107" t="n">
        <v>0</v>
      </c>
      <c r="BB375" s="107" t="n">
        <v>0</v>
      </c>
      <c r="BC375" s="107" t="n">
        <v>0</v>
      </c>
      <c r="BD375" s="107" t="n">
        <v>0</v>
      </c>
      <c r="BE375" s="107" t="n">
        <v>4354.17</v>
      </c>
      <c r="BF375" s="107" t="n">
        <v>5914704</v>
      </c>
      <c r="BG375" s="107" t="n">
        <v>0</v>
      </c>
      <c r="BH375" s="107" t="n">
        <v>0</v>
      </c>
      <c r="BI375" s="107" t="n">
        <v>511550</v>
      </c>
      <c r="BJ375" s="107" t="n">
        <v>734227715</v>
      </c>
      <c r="BK375" s="107" t="n">
        <v>0</v>
      </c>
      <c r="BL375" s="107" t="n">
        <v>0</v>
      </c>
      <c r="BM375" s="107" t="n">
        <v>0</v>
      </c>
      <c r="BN375" s="107" t="n">
        <v>0</v>
      </c>
      <c r="BO375" s="107" t="s">
        <v>367</v>
      </c>
      <c r="BP375" s="2"/>
      <c r="BQ375" s="107" t="s">
        <v>369</v>
      </c>
      <c r="BR375" s="107" t="n">
        <v>-39338195</v>
      </c>
      <c r="BS375" s="107" t="n">
        <v>0</v>
      </c>
      <c r="BT375" s="107" t="n">
        <v>0</v>
      </c>
      <c r="BU375" s="107" t="n">
        <v>0</v>
      </c>
      <c r="BV375" s="107" t="n">
        <v>0</v>
      </c>
      <c r="BW375" s="107" t="n">
        <v>4354.17</v>
      </c>
      <c r="BX375" s="107" t="n">
        <v>5914704</v>
      </c>
      <c r="BY375" s="107" t="n">
        <v>0</v>
      </c>
      <c r="BZ375" s="107" t="n">
        <v>0</v>
      </c>
      <c r="CA375" s="107" t="n">
        <v>1435.3</v>
      </c>
      <c r="CB375" s="2"/>
      <c r="CC375" s="107" t="n">
        <v>0</v>
      </c>
      <c r="CD375" s="107" t="n">
        <v>98.85</v>
      </c>
      <c r="CE375" s="107" t="n">
        <v>98.9</v>
      </c>
      <c r="CF375" s="107" t="n">
        <v>98.85</v>
      </c>
      <c r="CG375" s="107" t="n">
        <v>500000</v>
      </c>
      <c r="CH375" s="107" t="n">
        <v>2.1052</v>
      </c>
      <c r="CI375" s="107" t="n">
        <v>98.77</v>
      </c>
      <c r="CJ375" s="107" t="n">
        <v>99.15</v>
      </c>
      <c r="CK375" s="107" t="n">
        <v>99.63</v>
      </c>
      <c r="CL375" s="107" t="n">
        <v>1000000</v>
      </c>
    </row>
    <row r="376" customFormat="false" ht="15" hidden="false" customHeight="false" outlineLevel="0" collapsed="false">
      <c r="A376" s="107" t="s">
        <v>468</v>
      </c>
      <c r="B376" s="107" t="n">
        <v>99.8164</v>
      </c>
      <c r="C376" s="107" t="n">
        <v>5.3895</v>
      </c>
      <c r="D376" s="107" t="n">
        <v>1.219</v>
      </c>
      <c r="E376" s="107" t="n">
        <v>-243.3523832</v>
      </c>
      <c r="F376" s="108" t="s">
        <v>358</v>
      </c>
      <c r="G376" s="107" t="n">
        <v>1.219</v>
      </c>
      <c r="H376" s="107" t="n">
        <v>-243.3523832</v>
      </c>
      <c r="I376" s="109" t="n">
        <v>46774</v>
      </c>
      <c r="J376" s="107" t="n">
        <v>2</v>
      </c>
      <c r="K376" s="107" t="s">
        <v>359</v>
      </c>
      <c r="L376" s="107" t="s">
        <v>298</v>
      </c>
      <c r="M376" s="107" t="n">
        <v>2438000</v>
      </c>
      <c r="N376" s="107" t="n">
        <v>102.035</v>
      </c>
      <c r="O376" s="107" t="n">
        <v>1996328</v>
      </c>
      <c r="P376" s="107" t="s">
        <v>469</v>
      </c>
      <c r="Q376" s="107" t="s">
        <v>374</v>
      </c>
      <c r="R376" s="107" t="n">
        <v>-0.0730656910455113</v>
      </c>
      <c r="S376" s="107" t="n">
        <v>-0.0217435193806046</v>
      </c>
      <c r="T376" s="107" t="n">
        <v>-249.90033904</v>
      </c>
      <c r="U376" s="107" t="n">
        <v>21069</v>
      </c>
      <c r="V376" s="108" t="s">
        <v>362</v>
      </c>
      <c r="W376" s="107" t="n">
        <v>42003</v>
      </c>
      <c r="X376" s="108" t="s">
        <v>372</v>
      </c>
      <c r="Y376" s="107" t="s">
        <v>821</v>
      </c>
      <c r="Z376" s="107" t="s">
        <v>824</v>
      </c>
      <c r="AA376" s="109" t="n">
        <v>46153</v>
      </c>
      <c r="AB376" s="107" t="n">
        <v>260511000001</v>
      </c>
      <c r="AC376" s="109" t="n">
        <v>46149</v>
      </c>
      <c r="AD376" s="109" t="n">
        <v>47975</v>
      </c>
      <c r="AE376" s="107" t="n">
        <v>4.25</v>
      </c>
      <c r="AF376" s="107" t="n">
        <v>4.0503</v>
      </c>
      <c r="AG376" s="107" t="n">
        <v>1680</v>
      </c>
      <c r="AH376" s="107" t="n">
        <v>4200000</v>
      </c>
      <c r="AI376" s="107" t="n">
        <v>4.26</v>
      </c>
      <c r="AJ376" s="107" t="n">
        <v>99.955</v>
      </c>
      <c r="AK376" s="107" t="n">
        <v>4.25849</v>
      </c>
      <c r="AL376" s="107" t="n">
        <v>101.649381</v>
      </c>
      <c r="AM376" s="107" t="n">
        <v>5.4084</v>
      </c>
      <c r="AN376" s="107" t="n">
        <v>95.327</v>
      </c>
      <c r="AO376" s="107" t="n">
        <v>1358.4</v>
      </c>
      <c r="AP376" s="107" t="n">
        <v>1</v>
      </c>
      <c r="AQ376" s="107" t="n">
        <v>4003734</v>
      </c>
      <c r="AR376" s="107" t="n">
        <v>5438672266</v>
      </c>
      <c r="AS376" s="107" t="n">
        <v>4198084.38</v>
      </c>
      <c r="AT376" s="107" t="n">
        <v>6090580820</v>
      </c>
      <c r="AU376" s="107" t="n">
        <v>-194350.38</v>
      </c>
      <c r="AV376" s="107" t="n">
        <v>-264005556</v>
      </c>
      <c r="AW376" s="107" t="n">
        <v>1983.34</v>
      </c>
      <c r="AX376" s="107" t="n">
        <v>2877420</v>
      </c>
      <c r="AY376" s="107" t="n">
        <v>25.62</v>
      </c>
      <c r="AZ376" s="107" t="n">
        <v>37170</v>
      </c>
      <c r="BA376" s="107" t="n">
        <v>0</v>
      </c>
      <c r="BB376" s="107" t="n">
        <v>0</v>
      </c>
      <c r="BC376" s="107" t="n">
        <v>0</v>
      </c>
      <c r="BD376" s="107" t="n">
        <v>0</v>
      </c>
      <c r="BE376" s="107" t="n">
        <v>68920.83</v>
      </c>
      <c r="BF376" s="107" t="n">
        <v>93622055</v>
      </c>
      <c r="BG376" s="107" t="n">
        <v>259.87</v>
      </c>
      <c r="BH376" s="107" t="n">
        <v>353007</v>
      </c>
      <c r="BI376" s="107" t="n">
        <v>17192155.08</v>
      </c>
      <c r="BJ376" s="107" t="n">
        <v>24942378591</v>
      </c>
      <c r="BK376" s="107" t="n">
        <v>0</v>
      </c>
      <c r="BL376" s="107" t="n">
        <v>0</v>
      </c>
      <c r="BM376" s="107" t="n">
        <v>0</v>
      </c>
      <c r="BN376" s="107" t="n">
        <v>0</v>
      </c>
      <c r="BO376" s="107" t="s">
        <v>367</v>
      </c>
      <c r="BP376" s="2"/>
      <c r="BQ376" s="107" t="s">
        <v>369</v>
      </c>
      <c r="BR376" s="107" t="n">
        <v>-387902998</v>
      </c>
      <c r="BS376" s="107" t="n">
        <v>-185619</v>
      </c>
      <c r="BT376" s="107" t="n">
        <v>0</v>
      </c>
      <c r="BU376" s="107" t="n">
        <v>0</v>
      </c>
      <c r="BV376" s="107" t="n">
        <v>0</v>
      </c>
      <c r="BW376" s="107" t="n">
        <v>70904.17</v>
      </c>
      <c r="BX376" s="107" t="n">
        <v>96316224</v>
      </c>
      <c r="BY376" s="107" t="n">
        <v>285.49</v>
      </c>
      <c r="BZ376" s="107" t="n">
        <v>387809</v>
      </c>
      <c r="CA376" s="107" t="n">
        <v>1450.8</v>
      </c>
      <c r="CB376" s="2"/>
      <c r="CC376" s="107" t="n">
        <v>0</v>
      </c>
      <c r="CD376" s="107" t="n">
        <v>95.31</v>
      </c>
      <c r="CE376" s="107" t="n">
        <v>95.33</v>
      </c>
      <c r="CF376" s="107" t="n">
        <v>95.33</v>
      </c>
      <c r="CG376" s="107" t="n">
        <v>4200000</v>
      </c>
      <c r="CH376" s="107" t="n">
        <v>3.9437</v>
      </c>
      <c r="CI376" s="107" t="n">
        <v>100.79</v>
      </c>
      <c r="CJ376" s="107" t="n">
        <v>101.06</v>
      </c>
      <c r="CK376" s="107" t="n">
        <v>101.26</v>
      </c>
      <c r="CL376" s="107" t="n">
        <v>300000</v>
      </c>
    </row>
    <row r="377" customFormat="false" ht="15" hidden="false" customHeight="false" outlineLevel="0" collapsed="false">
      <c r="A377" s="107" t="s">
        <v>825</v>
      </c>
      <c r="B377" s="107" t="n">
        <v>99.9448</v>
      </c>
      <c r="C377" s="107" t="n">
        <v>4.9325</v>
      </c>
      <c r="D377" s="107" t="n">
        <v>0.862</v>
      </c>
      <c r="E377" s="107" t="n">
        <v>-43.0762088</v>
      </c>
      <c r="F377" s="108" t="s">
        <v>358</v>
      </c>
      <c r="G377" s="107" t="n">
        <v>0.862</v>
      </c>
      <c r="H377" s="107" t="n">
        <v>-43.0762088</v>
      </c>
      <c r="I377" s="109" t="n">
        <v>46626</v>
      </c>
      <c r="J377" s="107" t="n">
        <v>2</v>
      </c>
      <c r="K377" s="107" t="s">
        <v>359</v>
      </c>
      <c r="L377" s="107" t="s">
        <v>298</v>
      </c>
      <c r="M377" s="107" t="n">
        <v>431000</v>
      </c>
      <c r="N377" s="107" t="n">
        <v>100.717218</v>
      </c>
      <c r="O377" s="107" t="n">
        <v>499724</v>
      </c>
      <c r="P377" s="107" t="s">
        <v>826</v>
      </c>
      <c r="Q377" s="107" t="s">
        <v>364</v>
      </c>
      <c r="R377" s="107" t="n">
        <v>-0.0683338754832243</v>
      </c>
      <c r="S377" s="107" t="n">
        <v>-0.00766917529433753</v>
      </c>
      <c r="T377" s="107" t="n">
        <v>-44.14062092</v>
      </c>
      <c r="U377" s="107" t="n">
        <v>21069</v>
      </c>
      <c r="V377" s="108" t="s">
        <v>362</v>
      </c>
      <c r="W377" s="107" t="n">
        <v>42003</v>
      </c>
      <c r="X377" s="108" t="s">
        <v>372</v>
      </c>
      <c r="Y377" s="107" t="s">
        <v>822</v>
      </c>
      <c r="Z377" s="107" t="s">
        <v>827</v>
      </c>
      <c r="AA377" s="109" t="n">
        <v>46125</v>
      </c>
      <c r="AB377" s="107" t="n">
        <v>260413000001</v>
      </c>
      <c r="AC377" s="109" t="n">
        <v>46121</v>
      </c>
      <c r="AD377" s="109" t="n">
        <v>47947</v>
      </c>
      <c r="AE377" s="107" t="n">
        <v>4</v>
      </c>
      <c r="AF377" s="107" t="n">
        <v>3.9961</v>
      </c>
      <c r="AG377" s="107" t="n">
        <v>1652</v>
      </c>
      <c r="AH377" s="107" t="n">
        <v>3200000</v>
      </c>
      <c r="AI377" s="107" t="n">
        <v>4.2</v>
      </c>
      <c r="AJ377" s="107" t="n">
        <v>99.108</v>
      </c>
      <c r="AK377" s="107" t="n">
        <v>4.196451</v>
      </c>
      <c r="AL377" s="107" t="n">
        <v>101.096985</v>
      </c>
      <c r="AM377" s="107" t="n">
        <v>5.2441</v>
      </c>
      <c r="AN377" s="107" t="n">
        <v>95.0444</v>
      </c>
      <c r="AO377" s="107" t="n">
        <v>1358.4</v>
      </c>
      <c r="AP377" s="107" t="n">
        <v>1</v>
      </c>
      <c r="AQ377" s="107" t="n">
        <v>3041420.8</v>
      </c>
      <c r="AR377" s="107" t="n">
        <v>4131466015</v>
      </c>
      <c r="AS377" s="107" t="n">
        <v>3171255</v>
      </c>
      <c r="AT377" s="107" t="n">
        <v>4696945780</v>
      </c>
      <c r="AU377" s="107" t="n">
        <v>-129834.2</v>
      </c>
      <c r="AV377" s="107" t="n">
        <v>-176366777</v>
      </c>
      <c r="AW377" s="107" t="n">
        <v>1422.22</v>
      </c>
      <c r="AX377" s="107" t="n">
        <v>2106450</v>
      </c>
      <c r="AY377" s="107" t="n">
        <v>201</v>
      </c>
      <c r="AZ377" s="107" t="n">
        <v>297701</v>
      </c>
      <c r="BA377" s="107" t="n">
        <v>0</v>
      </c>
      <c r="BB377" s="107" t="n">
        <v>0</v>
      </c>
      <c r="BC377" s="107" t="n">
        <v>0</v>
      </c>
      <c r="BD377" s="107" t="n">
        <v>0</v>
      </c>
      <c r="BE377" s="107" t="n">
        <v>59377.78</v>
      </c>
      <c r="BF377" s="107" t="n">
        <v>80658776</v>
      </c>
      <c r="BG377" s="107" t="n">
        <v>2847.54</v>
      </c>
      <c r="BH377" s="107" t="n">
        <v>3868098</v>
      </c>
      <c r="BI377" s="107" t="n">
        <v>3171255</v>
      </c>
      <c r="BJ377" s="107" t="n">
        <v>4696945780</v>
      </c>
      <c r="BK377" s="107" t="n">
        <v>0</v>
      </c>
      <c r="BL377" s="107" t="n">
        <v>0</v>
      </c>
      <c r="BM377" s="107" t="n">
        <v>0</v>
      </c>
      <c r="BN377" s="107" t="n">
        <v>0</v>
      </c>
      <c r="BO377" s="2"/>
      <c r="BP377" s="2"/>
      <c r="BQ377" s="107" t="s">
        <v>369</v>
      </c>
      <c r="BR377" s="107" t="n">
        <v>-389112988</v>
      </c>
      <c r="BS377" s="107" t="n">
        <v>-199169</v>
      </c>
      <c r="BT377" s="107" t="n">
        <v>0</v>
      </c>
      <c r="BU377" s="107" t="n">
        <v>0</v>
      </c>
      <c r="BV377" s="107" t="n">
        <v>0</v>
      </c>
      <c r="BW377" s="107" t="n">
        <v>60800</v>
      </c>
      <c r="BX377" s="107" t="n">
        <v>82590720</v>
      </c>
      <c r="BY377" s="107" t="n">
        <v>3048.54</v>
      </c>
      <c r="BZ377" s="107" t="n">
        <v>4141136</v>
      </c>
      <c r="CA377" s="107" t="n">
        <v>1481.1</v>
      </c>
      <c r="CB377" s="2"/>
      <c r="CC377" s="107" t="n">
        <v>0</v>
      </c>
      <c r="CD377" s="107" t="n">
        <v>95.04</v>
      </c>
      <c r="CE377" s="107" t="n">
        <v>95.05</v>
      </c>
      <c r="CF377" s="107" t="n">
        <v>95.05</v>
      </c>
      <c r="CG377" s="107" t="n">
        <v>3200000</v>
      </c>
      <c r="CH377" s="107" t="n">
        <v>3.894</v>
      </c>
      <c r="CI377" s="107" t="n">
        <v>100.79</v>
      </c>
      <c r="CJ377" s="107" t="n">
        <v>101.06</v>
      </c>
      <c r="CK377" s="107" t="n">
        <v>101.26</v>
      </c>
      <c r="CL377" s="107" t="n">
        <v>1600000</v>
      </c>
    </row>
    <row r="378" customFormat="false" ht="15" hidden="false" customHeight="false" outlineLevel="0" collapsed="false">
      <c r="A378" s="107" t="s">
        <v>828</v>
      </c>
      <c r="B378" s="107" t="n">
        <v>99.4263</v>
      </c>
      <c r="C378" s="107" t="n">
        <v>5.3133</v>
      </c>
      <c r="D378" s="107" t="n">
        <v>2.9207</v>
      </c>
      <c r="E378" s="107" t="n">
        <v>-290.39439441</v>
      </c>
      <c r="F378" s="108" t="s">
        <v>358</v>
      </c>
      <c r="G378" s="107" t="n">
        <v>2.9207</v>
      </c>
      <c r="H378" s="107" t="n">
        <v>-290.39439441</v>
      </c>
      <c r="I378" s="109" t="n">
        <v>47504</v>
      </c>
      <c r="J378" s="107" t="n">
        <v>3</v>
      </c>
      <c r="K378" s="107" t="s">
        <v>359</v>
      </c>
      <c r="L378" s="107" t="s">
        <v>298</v>
      </c>
      <c r="M378" s="107" t="n">
        <v>2920700</v>
      </c>
      <c r="N378" s="107" t="n">
        <v>99.761</v>
      </c>
      <c r="O378" s="107" t="n">
        <v>994263</v>
      </c>
      <c r="P378" s="107" t="s">
        <v>826</v>
      </c>
      <c r="Q378" s="107" t="s">
        <v>364</v>
      </c>
      <c r="R378" s="107" t="n">
        <v>-0.0951791231601646</v>
      </c>
      <c r="S378" s="107" t="n">
        <v>-0.00335501849420117</v>
      </c>
      <c r="T378" s="107" t="n">
        <v>-298.10987529</v>
      </c>
      <c r="U378" s="107" t="n">
        <v>21069</v>
      </c>
      <c r="V378" s="108" t="s">
        <v>362</v>
      </c>
      <c r="W378" s="107" t="n">
        <v>42003</v>
      </c>
      <c r="X378" s="108" t="s">
        <v>372</v>
      </c>
      <c r="Y378" s="107" t="s">
        <v>468</v>
      </c>
      <c r="Z378" s="107" t="s">
        <v>470</v>
      </c>
      <c r="AA378" s="109" t="n">
        <v>46080</v>
      </c>
      <c r="AB378" s="107" t="n">
        <v>260227000001</v>
      </c>
      <c r="AC378" s="109" t="n">
        <v>45679</v>
      </c>
      <c r="AD378" s="109" t="n">
        <v>46774</v>
      </c>
      <c r="AE378" s="107" t="n">
        <v>5.25</v>
      </c>
      <c r="AF378" s="107" t="n">
        <v>1.2493</v>
      </c>
      <c r="AG378" s="107" t="n">
        <v>479</v>
      </c>
      <c r="AH378" s="107" t="n">
        <v>2000000</v>
      </c>
      <c r="AI378" s="107" t="n">
        <v>4.124</v>
      </c>
      <c r="AJ378" s="107" t="n">
        <v>102.035</v>
      </c>
      <c r="AK378" s="107" t="n">
        <v>3.611944</v>
      </c>
      <c r="AL378" s="107" t="n">
        <v>103.065482</v>
      </c>
      <c r="AM378" s="107" t="n">
        <v>5.3348</v>
      </c>
      <c r="AN378" s="107" t="n">
        <v>99.8852</v>
      </c>
      <c r="AO378" s="107" t="n">
        <v>1358.4</v>
      </c>
      <c r="AP378" s="107" t="n">
        <v>1</v>
      </c>
      <c r="AQ378" s="107" t="n">
        <v>1997704</v>
      </c>
      <c r="AR378" s="107" t="n">
        <v>2713681114</v>
      </c>
      <c r="AS378" s="107" t="n">
        <v>2040700</v>
      </c>
      <c r="AT378" s="107" t="n">
        <v>2929016710</v>
      </c>
      <c r="AU378" s="107" t="n">
        <v>-42996</v>
      </c>
      <c r="AV378" s="107" t="n">
        <v>-58405766</v>
      </c>
      <c r="AW378" s="107" t="n">
        <v>0</v>
      </c>
      <c r="AX378" s="107" t="n">
        <v>0</v>
      </c>
      <c r="AY378" s="107" t="n">
        <v>0</v>
      </c>
      <c r="AZ378" s="107" t="n">
        <v>0</v>
      </c>
      <c r="BA378" s="107" t="n">
        <v>0</v>
      </c>
      <c r="BB378" s="107" t="n">
        <v>0</v>
      </c>
      <c r="BC378" s="107" t="n">
        <v>0</v>
      </c>
      <c r="BD378" s="107" t="n">
        <v>0</v>
      </c>
      <c r="BE378" s="107" t="n">
        <v>19833.33</v>
      </c>
      <c r="BF378" s="107" t="n">
        <v>26941595</v>
      </c>
      <c r="BG378" s="107" t="n">
        <v>776.32</v>
      </c>
      <c r="BH378" s="107" t="n">
        <v>1054553</v>
      </c>
      <c r="BI378" s="107" t="n">
        <v>2040700</v>
      </c>
      <c r="BJ378" s="107" t="n">
        <v>2929016710</v>
      </c>
      <c r="BK378" s="107" t="n">
        <v>0</v>
      </c>
      <c r="BL378" s="107" t="n">
        <v>0</v>
      </c>
      <c r="BM378" s="107" t="n">
        <v>0</v>
      </c>
      <c r="BN378" s="107" t="n">
        <v>0</v>
      </c>
      <c r="BO378" s="2"/>
      <c r="BP378" s="2"/>
      <c r="BQ378" s="107" t="s">
        <v>374</v>
      </c>
      <c r="BR378" s="107" t="n">
        <v>-156929830</v>
      </c>
      <c r="BS378" s="107" t="n">
        <v>0</v>
      </c>
      <c r="BT378" s="107" t="n">
        <v>0</v>
      </c>
      <c r="BU378" s="107" t="n">
        <v>0</v>
      </c>
      <c r="BV378" s="107" t="n">
        <v>0</v>
      </c>
      <c r="BW378" s="107" t="n">
        <v>19833.33</v>
      </c>
      <c r="BX378" s="107" t="n">
        <v>26941595</v>
      </c>
      <c r="BY378" s="107" t="n">
        <v>776.32</v>
      </c>
      <c r="BZ378" s="107" t="n">
        <v>1054553</v>
      </c>
      <c r="CA378" s="107" t="n">
        <v>1435.3</v>
      </c>
      <c r="CB378" s="2"/>
      <c r="CC378" s="107" t="n">
        <v>0</v>
      </c>
      <c r="CD378" s="107" t="n">
        <v>99.88</v>
      </c>
      <c r="CE378" s="107" t="n">
        <v>99.94</v>
      </c>
      <c r="CF378" s="107" t="n">
        <v>99.84</v>
      </c>
      <c r="CG378" s="107" t="n">
        <v>2000000</v>
      </c>
      <c r="CH378" s="107" t="n">
        <v>1.2168</v>
      </c>
      <c r="CI378" s="107" t="n">
        <v>99.91</v>
      </c>
      <c r="CJ378" s="107" t="n">
        <v>99.94</v>
      </c>
      <c r="CK378" s="107" t="n">
        <v>99.94</v>
      </c>
      <c r="CL378" s="107" t="n">
        <v>200000</v>
      </c>
    </row>
    <row r="379" customFormat="false" ht="15" hidden="false" customHeight="false" outlineLevel="0" collapsed="false">
      <c r="A379" s="107" t="s">
        <v>828</v>
      </c>
      <c r="B379" s="107" t="n">
        <v>99.4263</v>
      </c>
      <c r="C379" s="107" t="n">
        <v>5.3133</v>
      </c>
      <c r="D379" s="107" t="n">
        <v>2.9207</v>
      </c>
      <c r="E379" s="107" t="n">
        <v>-871.18318323</v>
      </c>
      <c r="F379" s="108" t="s">
        <v>358</v>
      </c>
      <c r="G379" s="107" t="n">
        <v>2.9207</v>
      </c>
      <c r="H379" s="107" t="n">
        <v>-871.18318323</v>
      </c>
      <c r="I379" s="109" t="n">
        <v>47504</v>
      </c>
      <c r="J379" s="107" t="n">
        <v>3</v>
      </c>
      <c r="K379" s="107" t="s">
        <v>359</v>
      </c>
      <c r="L379" s="107" t="s">
        <v>298</v>
      </c>
      <c r="M379" s="107" t="n">
        <v>8762100</v>
      </c>
      <c r="N379" s="107" t="n">
        <v>99.783</v>
      </c>
      <c r="O379" s="107" t="n">
        <v>2982789</v>
      </c>
      <c r="P379" s="107" t="s">
        <v>826</v>
      </c>
      <c r="Q379" s="107" t="s">
        <v>364</v>
      </c>
      <c r="R379" s="107" t="n">
        <v>-0.0951791229583448</v>
      </c>
      <c r="S379" s="107" t="n">
        <v>-0.00357475722317435</v>
      </c>
      <c r="T379" s="107" t="n">
        <v>-894.32962587</v>
      </c>
      <c r="U379" s="107" t="n">
        <v>21069</v>
      </c>
      <c r="V379" s="108" t="s">
        <v>362</v>
      </c>
      <c r="W379" s="107" t="n">
        <v>42003</v>
      </c>
      <c r="X379" s="108" t="s">
        <v>372</v>
      </c>
      <c r="Y379" s="107" t="s">
        <v>825</v>
      </c>
      <c r="Z379" s="107" t="s">
        <v>829</v>
      </c>
      <c r="AA379" s="109" t="n">
        <v>45664</v>
      </c>
      <c r="AB379" s="107" t="n">
        <v>250107000001</v>
      </c>
      <c r="AC379" s="109" t="n">
        <v>45349</v>
      </c>
      <c r="AD379" s="109" t="n">
        <v>46626</v>
      </c>
      <c r="AE379" s="107" t="n">
        <v>4.875</v>
      </c>
      <c r="AF379" s="107" t="n">
        <v>0.8807</v>
      </c>
      <c r="AG379" s="107" t="n">
        <v>331</v>
      </c>
      <c r="AH379" s="107" t="n">
        <v>500000</v>
      </c>
      <c r="AI379" s="107" t="n">
        <v>4.5811</v>
      </c>
      <c r="AJ379" s="107" t="n">
        <v>100.717218</v>
      </c>
      <c r="AK379" s="107" t="n">
        <v>2.813268</v>
      </c>
      <c r="AL379" s="107" t="n">
        <v>102.280624</v>
      </c>
      <c r="AM379" s="107" t="n">
        <v>4.8709</v>
      </c>
      <c r="AN379" s="107" t="n">
        <v>99.9988</v>
      </c>
      <c r="AO379" s="107" t="n">
        <v>1358.4</v>
      </c>
      <c r="AP379" s="107" t="n">
        <v>1</v>
      </c>
      <c r="AQ379" s="107" t="n">
        <v>499994</v>
      </c>
      <c r="AR379" s="107" t="n">
        <v>679191850</v>
      </c>
      <c r="AS379" s="107" t="n">
        <v>508378.5</v>
      </c>
      <c r="AT379" s="107" t="n">
        <v>729472310</v>
      </c>
      <c r="AU379" s="107" t="n">
        <v>-8384.5</v>
      </c>
      <c r="AV379" s="107" t="n">
        <v>-11389504</v>
      </c>
      <c r="AW379" s="107" t="n">
        <v>0</v>
      </c>
      <c r="AX379" s="107" t="n">
        <v>0</v>
      </c>
      <c r="AY379" s="107" t="n">
        <v>0</v>
      </c>
      <c r="AZ379" s="107" t="n">
        <v>0</v>
      </c>
      <c r="BA379" s="107" t="n">
        <v>0</v>
      </c>
      <c r="BB379" s="107" t="n">
        <v>0</v>
      </c>
      <c r="BC379" s="107" t="n">
        <v>0</v>
      </c>
      <c r="BD379" s="107" t="n">
        <v>0</v>
      </c>
      <c r="BE379" s="107" t="n">
        <v>2234.38</v>
      </c>
      <c r="BF379" s="107" t="n">
        <v>3035181</v>
      </c>
      <c r="BG379" s="107" t="n">
        <v>790.24</v>
      </c>
      <c r="BH379" s="107" t="n">
        <v>1073462</v>
      </c>
      <c r="BI379" s="107" t="n">
        <v>503586.09</v>
      </c>
      <c r="BJ379" s="107" t="n">
        <v>722595681</v>
      </c>
      <c r="BK379" s="107" t="n">
        <v>0</v>
      </c>
      <c r="BL379" s="107" t="n">
        <v>0</v>
      </c>
      <c r="BM379" s="107" t="n">
        <v>0</v>
      </c>
      <c r="BN379" s="107" t="n">
        <v>0</v>
      </c>
      <c r="BO379" s="107" t="s">
        <v>361</v>
      </c>
      <c r="BP379" s="2"/>
      <c r="BQ379" s="107" t="s">
        <v>369</v>
      </c>
      <c r="BR379" s="107" t="n">
        <v>-38890956</v>
      </c>
      <c r="BS379" s="107" t="n">
        <v>0</v>
      </c>
      <c r="BT379" s="107" t="n">
        <v>0</v>
      </c>
      <c r="BU379" s="107" t="n">
        <v>4792.41</v>
      </c>
      <c r="BV379" s="107" t="n">
        <v>6876629</v>
      </c>
      <c r="BW379" s="107" t="n">
        <v>2234.38</v>
      </c>
      <c r="BX379" s="107" t="n">
        <v>3035181</v>
      </c>
      <c r="BY379" s="107" t="n">
        <v>790.24</v>
      </c>
      <c r="BZ379" s="107" t="n">
        <v>1073462</v>
      </c>
      <c r="CA379" s="107" t="n">
        <v>1434.9</v>
      </c>
      <c r="CB379" s="2"/>
      <c r="CC379" s="107" t="n">
        <v>0</v>
      </c>
      <c r="CD379" s="107" t="n">
        <v>99.96</v>
      </c>
      <c r="CE379" s="107" t="n">
        <v>99.95</v>
      </c>
      <c r="CF379" s="107" t="n">
        <v>100.09</v>
      </c>
      <c r="CG379" s="107" t="n">
        <v>500000</v>
      </c>
      <c r="CH379" s="107" t="n">
        <v>0.8598</v>
      </c>
      <c r="CI379" s="107" t="n">
        <v>85.7</v>
      </c>
      <c r="CJ379" s="107" t="n">
        <v>85.92</v>
      </c>
      <c r="CK379" s="107" t="n">
        <v>85.94</v>
      </c>
      <c r="CL379" s="107" t="n">
        <v>3000000</v>
      </c>
    </row>
    <row r="380" customFormat="false" ht="15" hidden="false" customHeight="false" outlineLevel="0" collapsed="false">
      <c r="A380" s="107" t="s">
        <v>828</v>
      </c>
      <c r="B380" s="107" t="n">
        <v>99.4263</v>
      </c>
      <c r="C380" s="107" t="n">
        <v>5.3133</v>
      </c>
      <c r="D380" s="107" t="n">
        <v>2.9207</v>
      </c>
      <c r="E380" s="107" t="n">
        <v>-290.39439441</v>
      </c>
      <c r="F380" s="108" t="s">
        <v>358</v>
      </c>
      <c r="G380" s="107" t="n">
        <v>2.9207</v>
      </c>
      <c r="H380" s="107" t="n">
        <v>-290.39439441</v>
      </c>
      <c r="I380" s="109" t="n">
        <v>47504</v>
      </c>
      <c r="J380" s="107" t="n">
        <v>3</v>
      </c>
      <c r="K380" s="107" t="s">
        <v>359</v>
      </c>
      <c r="L380" s="107" t="s">
        <v>298</v>
      </c>
      <c r="M380" s="107" t="n">
        <v>2920700</v>
      </c>
      <c r="N380" s="107" t="n">
        <v>102.953</v>
      </c>
      <c r="O380" s="107" t="n">
        <v>994263</v>
      </c>
      <c r="P380" s="107" t="s">
        <v>826</v>
      </c>
      <c r="Q380" s="107" t="s">
        <v>364</v>
      </c>
      <c r="R380" s="107" t="n">
        <v>-0.0951791231601646</v>
      </c>
      <c r="S380" s="107" t="n">
        <v>-0.0342554369469564</v>
      </c>
      <c r="T380" s="107" t="n">
        <v>-298.10987529</v>
      </c>
      <c r="U380" s="107" t="n">
        <v>21069</v>
      </c>
      <c r="V380" s="108" t="s">
        <v>362</v>
      </c>
      <c r="W380" s="107" t="n">
        <v>42003</v>
      </c>
      <c r="X380" s="108" t="s">
        <v>372</v>
      </c>
      <c r="Y380" s="107" t="s">
        <v>828</v>
      </c>
      <c r="Z380" s="107" t="s">
        <v>830</v>
      </c>
      <c r="AA380" s="109" t="n">
        <v>45678</v>
      </c>
      <c r="AB380" s="107" t="n">
        <v>250121000002</v>
      </c>
      <c r="AC380" s="109" t="n">
        <v>45678</v>
      </c>
      <c r="AD380" s="109" t="n">
        <v>47504</v>
      </c>
      <c r="AE380" s="107" t="n">
        <v>5.125</v>
      </c>
      <c r="AF380" s="107" t="n">
        <v>2.996</v>
      </c>
      <c r="AG380" s="107" t="n">
        <v>1209</v>
      </c>
      <c r="AH380" s="107" t="n">
        <v>1000000</v>
      </c>
      <c r="AI380" s="107" t="n">
        <v>5.17986981</v>
      </c>
      <c r="AJ380" s="107" t="n">
        <v>99.761</v>
      </c>
      <c r="AK380" s="107" t="n">
        <v>3.777212</v>
      </c>
      <c r="AL380" s="107" t="n">
        <v>105.131492</v>
      </c>
      <c r="AM380" s="107" t="n">
        <v>5.2751</v>
      </c>
      <c r="AN380" s="107" t="n">
        <v>99.5408</v>
      </c>
      <c r="AO380" s="107" t="n">
        <v>1358.4</v>
      </c>
      <c r="AP380" s="107" t="n">
        <v>1</v>
      </c>
      <c r="AQ380" s="107" t="n">
        <v>995408</v>
      </c>
      <c r="AR380" s="107" t="n">
        <v>1352162227</v>
      </c>
      <c r="AS380" s="107" t="n">
        <v>1041492</v>
      </c>
      <c r="AT380" s="107" t="n">
        <v>1494436871</v>
      </c>
      <c r="AU380" s="107" t="n">
        <v>-46084</v>
      </c>
      <c r="AV380" s="107" t="n">
        <v>-62600506</v>
      </c>
      <c r="AW380" s="107" t="n">
        <v>0</v>
      </c>
      <c r="AX380" s="107" t="n">
        <v>0</v>
      </c>
      <c r="AY380" s="107" t="n">
        <v>0</v>
      </c>
      <c r="AZ380" s="107" t="n">
        <v>0</v>
      </c>
      <c r="BA380" s="107" t="n">
        <v>0</v>
      </c>
      <c r="BB380" s="107" t="n">
        <v>0</v>
      </c>
      <c r="BC380" s="107" t="n">
        <v>0</v>
      </c>
      <c r="BD380" s="107" t="n">
        <v>0</v>
      </c>
      <c r="BE380" s="107" t="n">
        <v>9822.92</v>
      </c>
      <c r="BF380" s="107" t="n">
        <v>13343454</v>
      </c>
      <c r="BG380" s="107" t="n">
        <v>0</v>
      </c>
      <c r="BH380" s="107" t="n">
        <v>0</v>
      </c>
      <c r="BI380" s="107" t="n">
        <v>3491635</v>
      </c>
      <c r="BJ380" s="107" t="n">
        <v>5080977371</v>
      </c>
      <c r="BK380" s="107" t="n">
        <v>0</v>
      </c>
      <c r="BL380" s="107" t="n">
        <v>0</v>
      </c>
      <c r="BM380" s="107" t="n">
        <v>0</v>
      </c>
      <c r="BN380" s="107" t="n">
        <v>0</v>
      </c>
      <c r="BO380" s="107" t="s">
        <v>361</v>
      </c>
      <c r="BP380" s="2"/>
      <c r="BQ380" s="107" t="s">
        <v>364</v>
      </c>
      <c r="BR380" s="107" t="n">
        <v>-79674138</v>
      </c>
      <c r="BS380" s="107" t="n">
        <v>0</v>
      </c>
      <c r="BT380" s="107" t="n">
        <v>0</v>
      </c>
      <c r="BU380" s="107" t="n">
        <v>43882</v>
      </c>
      <c r="BV380" s="107" t="n">
        <v>62966282</v>
      </c>
      <c r="BW380" s="107" t="n">
        <v>9822.92</v>
      </c>
      <c r="BX380" s="107" t="n">
        <v>13343454</v>
      </c>
      <c r="BY380" s="107" t="n">
        <v>0</v>
      </c>
      <c r="BZ380" s="107" t="n">
        <v>0</v>
      </c>
      <c r="CA380" s="107" t="n">
        <v>1434.9</v>
      </c>
      <c r="CB380" s="2"/>
      <c r="CC380" s="107" t="n">
        <v>0</v>
      </c>
      <c r="CD380" s="107" t="n">
        <v>99.5</v>
      </c>
      <c r="CE380" s="107" t="n">
        <v>99.51</v>
      </c>
      <c r="CF380" s="107" t="n">
        <v>99.61</v>
      </c>
      <c r="CG380" s="107" t="n">
        <v>1000000</v>
      </c>
      <c r="CH380" s="107" t="n">
        <v>2.919</v>
      </c>
      <c r="CI380" s="2"/>
      <c r="CJ380" s="2"/>
      <c r="CK380" s="2"/>
      <c r="CL380" s="2"/>
    </row>
    <row r="381" customFormat="false" ht="15" hidden="false" customHeight="false" outlineLevel="0" collapsed="false">
      <c r="A381" s="107" t="s">
        <v>831</v>
      </c>
      <c r="B381" s="107" t="n">
        <v>94.8095</v>
      </c>
      <c r="C381" s="107" t="n">
        <v>5.3434</v>
      </c>
      <c r="D381" s="107" t="n">
        <v>3.5412</v>
      </c>
      <c r="E381" s="107" t="n">
        <v>-1175.0879049</v>
      </c>
      <c r="F381" s="108" t="s">
        <v>358</v>
      </c>
      <c r="G381" s="107" t="n">
        <v>3.5412</v>
      </c>
      <c r="H381" s="107" t="n">
        <v>-1175.0879049</v>
      </c>
      <c r="I381" s="109" t="n">
        <v>47743</v>
      </c>
      <c r="J381" s="107" t="n">
        <v>3</v>
      </c>
      <c r="K381" s="107" t="s">
        <v>359</v>
      </c>
      <c r="L381" s="107" t="s">
        <v>298</v>
      </c>
      <c r="M381" s="107" t="n">
        <v>12394200</v>
      </c>
      <c r="N381" s="107" t="n">
        <v>99.535</v>
      </c>
      <c r="O381" s="107" t="n">
        <v>3318332.5</v>
      </c>
      <c r="P381" s="107" t="s">
        <v>826</v>
      </c>
      <c r="Q381" s="107" t="s">
        <v>364</v>
      </c>
      <c r="R381" s="107" t="n">
        <v>-0.0967371597514454</v>
      </c>
      <c r="S381" s="107" t="n">
        <v>-0.0474757622946702</v>
      </c>
      <c r="T381" s="107" t="n">
        <v>-1206.47933035</v>
      </c>
      <c r="U381" s="107" t="n">
        <v>21069</v>
      </c>
      <c r="V381" s="108" t="s">
        <v>362</v>
      </c>
      <c r="W381" s="107" t="n">
        <v>42003</v>
      </c>
      <c r="X381" s="108" t="s">
        <v>372</v>
      </c>
      <c r="Y381" s="107" t="s">
        <v>828</v>
      </c>
      <c r="Z381" s="107" t="s">
        <v>830</v>
      </c>
      <c r="AA381" s="109" t="n">
        <v>45678</v>
      </c>
      <c r="AB381" s="107" t="n">
        <v>250121000003</v>
      </c>
      <c r="AC381" s="109" t="n">
        <v>45678</v>
      </c>
      <c r="AD381" s="109" t="n">
        <v>47504</v>
      </c>
      <c r="AE381" s="107" t="n">
        <v>5.125</v>
      </c>
      <c r="AF381" s="107" t="n">
        <v>2.996</v>
      </c>
      <c r="AG381" s="107" t="n">
        <v>1209</v>
      </c>
      <c r="AH381" s="107" t="n">
        <v>3000000</v>
      </c>
      <c r="AI381" s="107" t="n">
        <v>5.17481</v>
      </c>
      <c r="AJ381" s="107" t="n">
        <v>99.783</v>
      </c>
      <c r="AK381" s="107" t="n">
        <v>3.777212</v>
      </c>
      <c r="AL381" s="107" t="n">
        <v>105.131491</v>
      </c>
      <c r="AM381" s="107" t="n">
        <v>5.2751</v>
      </c>
      <c r="AN381" s="107" t="n">
        <v>99.5408</v>
      </c>
      <c r="AO381" s="107" t="n">
        <v>1358.4</v>
      </c>
      <c r="AP381" s="107" t="n">
        <v>1</v>
      </c>
      <c r="AQ381" s="107" t="n">
        <v>2986224</v>
      </c>
      <c r="AR381" s="107" t="n">
        <v>4056486682</v>
      </c>
      <c r="AS381" s="107" t="n">
        <v>3124476</v>
      </c>
      <c r="AT381" s="107" t="n">
        <v>4483310612</v>
      </c>
      <c r="AU381" s="107" t="n">
        <v>-138252</v>
      </c>
      <c r="AV381" s="107" t="n">
        <v>-187801516</v>
      </c>
      <c r="AW381" s="107" t="n">
        <v>0</v>
      </c>
      <c r="AX381" s="107" t="n">
        <v>0</v>
      </c>
      <c r="AY381" s="107" t="n">
        <v>0</v>
      </c>
      <c r="AZ381" s="107" t="n">
        <v>0</v>
      </c>
      <c r="BA381" s="107" t="n">
        <v>0</v>
      </c>
      <c r="BB381" s="107" t="n">
        <v>0</v>
      </c>
      <c r="BC381" s="107" t="n">
        <v>0</v>
      </c>
      <c r="BD381" s="107" t="n">
        <v>0</v>
      </c>
      <c r="BE381" s="107" t="n">
        <v>29468.75</v>
      </c>
      <c r="BF381" s="107" t="n">
        <v>40030350</v>
      </c>
      <c r="BG381" s="107" t="n">
        <v>0</v>
      </c>
      <c r="BH381" s="107" t="n">
        <v>0</v>
      </c>
      <c r="BI381" s="107" t="n">
        <v>2993490</v>
      </c>
      <c r="BJ381" s="107" t="n">
        <v>4295358801</v>
      </c>
      <c r="BK381" s="107" t="n">
        <v>0</v>
      </c>
      <c r="BL381" s="107" t="n">
        <v>0</v>
      </c>
      <c r="BM381" s="107" t="n">
        <v>0</v>
      </c>
      <c r="BN381" s="107" t="n">
        <v>0</v>
      </c>
      <c r="BO381" s="107" t="s">
        <v>361</v>
      </c>
      <c r="BP381" s="2"/>
      <c r="BQ381" s="107" t="s">
        <v>364</v>
      </c>
      <c r="BR381" s="107" t="n">
        <v>-239022414</v>
      </c>
      <c r="BS381" s="107" t="n">
        <v>0</v>
      </c>
      <c r="BT381" s="107" t="n">
        <v>0</v>
      </c>
      <c r="BU381" s="107" t="n">
        <v>130986</v>
      </c>
      <c r="BV381" s="107" t="n">
        <v>187951811</v>
      </c>
      <c r="BW381" s="107" t="n">
        <v>29468.75</v>
      </c>
      <c r="BX381" s="107" t="n">
        <v>40030350</v>
      </c>
      <c r="BY381" s="107" t="n">
        <v>0</v>
      </c>
      <c r="BZ381" s="107" t="n">
        <v>0</v>
      </c>
      <c r="CA381" s="107" t="n">
        <v>1434.9</v>
      </c>
      <c r="CB381" s="2"/>
      <c r="CC381" s="107" t="n">
        <v>0</v>
      </c>
      <c r="CD381" s="107" t="n">
        <v>99.5</v>
      </c>
      <c r="CE381" s="107" t="n">
        <v>99.51</v>
      </c>
      <c r="CF381" s="107" t="n">
        <v>99.61</v>
      </c>
      <c r="CG381" s="107" t="n">
        <v>3000000</v>
      </c>
      <c r="CH381" s="107" t="n">
        <v>2.919</v>
      </c>
      <c r="CI381" s="2"/>
      <c r="CJ381" s="2"/>
      <c r="CK381" s="2"/>
      <c r="CL381" s="2"/>
    </row>
    <row r="382" customFormat="false" ht="15" hidden="false" customHeight="false" outlineLevel="0" collapsed="false">
      <c r="A382" s="107" t="s">
        <v>832</v>
      </c>
      <c r="B382" s="107" t="n">
        <v>94.3425</v>
      </c>
      <c r="C382" s="107" t="n">
        <v>5.3653</v>
      </c>
      <c r="D382" s="107" t="n">
        <v>3.7762</v>
      </c>
      <c r="E382" s="107" t="n">
        <v>-2137.536891</v>
      </c>
      <c r="F382" s="108" t="s">
        <v>358</v>
      </c>
      <c r="G382" s="107" t="n">
        <v>3.7762</v>
      </c>
      <c r="H382" s="107" t="n">
        <v>-2137.536891</v>
      </c>
      <c r="I382" s="109" t="n">
        <v>47863</v>
      </c>
      <c r="J382" s="107" t="n">
        <v>5</v>
      </c>
      <c r="K382" s="107" t="s">
        <v>359</v>
      </c>
      <c r="L382" s="107" t="s">
        <v>298</v>
      </c>
      <c r="M382" s="107" t="n">
        <v>22657200</v>
      </c>
      <c r="N382" s="107" t="n">
        <v>99.016</v>
      </c>
      <c r="O382" s="107" t="n">
        <v>5660550</v>
      </c>
      <c r="P382" s="107" t="s">
        <v>826</v>
      </c>
      <c r="Q382" s="107" t="s">
        <v>364</v>
      </c>
      <c r="R382" s="107" t="n">
        <v>-0.118317508212223</v>
      </c>
      <c r="S382" s="107" t="n">
        <v>-0.0471994425143412</v>
      </c>
      <c r="T382" s="107" t="n">
        <v>-2194.8782625</v>
      </c>
      <c r="U382" s="107" t="n">
        <v>21069</v>
      </c>
      <c r="V382" s="108" t="s">
        <v>362</v>
      </c>
      <c r="W382" s="107" t="n">
        <v>42003</v>
      </c>
      <c r="X382" s="108" t="s">
        <v>372</v>
      </c>
      <c r="Y382" s="107" t="s">
        <v>828</v>
      </c>
      <c r="Z382" s="107" t="s">
        <v>830</v>
      </c>
      <c r="AA382" s="109" t="n">
        <v>45855</v>
      </c>
      <c r="AB382" s="107" t="n">
        <v>250717000001</v>
      </c>
      <c r="AC382" s="109" t="n">
        <v>45678</v>
      </c>
      <c r="AD382" s="109" t="n">
        <v>47504</v>
      </c>
      <c r="AE382" s="107" t="n">
        <v>5.125</v>
      </c>
      <c r="AF382" s="107" t="n">
        <v>2.996</v>
      </c>
      <c r="AG382" s="107" t="n">
        <v>1209</v>
      </c>
      <c r="AH382" s="107" t="n">
        <v>1000000</v>
      </c>
      <c r="AI382" s="107" t="n">
        <v>4.39617</v>
      </c>
      <c r="AJ382" s="107" t="n">
        <v>102.953</v>
      </c>
      <c r="AK382" s="107" t="n">
        <v>3.777212</v>
      </c>
      <c r="AL382" s="107" t="n">
        <v>105.131492</v>
      </c>
      <c r="AM382" s="107" t="n">
        <v>5.2751</v>
      </c>
      <c r="AN382" s="107" t="n">
        <v>99.5408</v>
      </c>
      <c r="AO382" s="107" t="n">
        <v>1358.4</v>
      </c>
      <c r="AP382" s="107" t="n">
        <v>1</v>
      </c>
      <c r="AQ382" s="107" t="n">
        <v>995408</v>
      </c>
      <c r="AR382" s="107" t="n">
        <v>1352162227</v>
      </c>
      <c r="AS382" s="107" t="n">
        <v>1041492</v>
      </c>
      <c r="AT382" s="107" t="n">
        <v>1494436871</v>
      </c>
      <c r="AU382" s="107" t="n">
        <v>-46084</v>
      </c>
      <c r="AV382" s="107" t="n">
        <v>-62600506</v>
      </c>
      <c r="AW382" s="107" t="n">
        <v>0</v>
      </c>
      <c r="AX382" s="107" t="n">
        <v>0</v>
      </c>
      <c r="AY382" s="107" t="n">
        <v>0</v>
      </c>
      <c r="AZ382" s="107" t="n">
        <v>0</v>
      </c>
      <c r="BA382" s="107" t="n">
        <v>0</v>
      </c>
      <c r="BB382" s="107" t="n">
        <v>0</v>
      </c>
      <c r="BC382" s="107" t="n">
        <v>0</v>
      </c>
      <c r="BD382" s="107" t="n">
        <v>0</v>
      </c>
      <c r="BE382" s="107" t="n">
        <v>9822.92</v>
      </c>
      <c r="BF382" s="107" t="n">
        <v>13343454</v>
      </c>
      <c r="BG382" s="107" t="n">
        <v>0</v>
      </c>
      <c r="BH382" s="107" t="n">
        <v>0</v>
      </c>
      <c r="BI382" s="107" t="n">
        <v>1029530</v>
      </c>
      <c r="BJ382" s="107" t="n">
        <v>1477272597</v>
      </c>
      <c r="BK382" s="107" t="n">
        <v>0</v>
      </c>
      <c r="BL382" s="107" t="n">
        <v>0</v>
      </c>
      <c r="BM382" s="107" t="n">
        <v>0</v>
      </c>
      <c r="BN382" s="107" t="n">
        <v>0</v>
      </c>
      <c r="BO382" s="107" t="s">
        <v>361</v>
      </c>
      <c r="BP382" s="2"/>
      <c r="BQ382" s="107" t="s">
        <v>364</v>
      </c>
      <c r="BR382" s="107" t="n">
        <v>-79674138</v>
      </c>
      <c r="BS382" s="107" t="n">
        <v>0</v>
      </c>
      <c r="BT382" s="107" t="n">
        <v>0</v>
      </c>
      <c r="BU382" s="107" t="n">
        <v>11962</v>
      </c>
      <c r="BV382" s="107" t="n">
        <v>17164274</v>
      </c>
      <c r="BW382" s="107" t="n">
        <v>9822.92</v>
      </c>
      <c r="BX382" s="107" t="n">
        <v>13343454</v>
      </c>
      <c r="BY382" s="107" t="n">
        <v>0</v>
      </c>
      <c r="BZ382" s="107" t="n">
        <v>0</v>
      </c>
      <c r="CA382" s="107" t="n">
        <v>1434.9</v>
      </c>
      <c r="CB382" s="2"/>
      <c r="CC382" s="107" t="n">
        <v>0</v>
      </c>
      <c r="CD382" s="107" t="n">
        <v>99.5</v>
      </c>
      <c r="CE382" s="107" t="n">
        <v>99.51</v>
      </c>
      <c r="CF382" s="107" t="n">
        <v>99.61</v>
      </c>
      <c r="CG382" s="107" t="n">
        <v>1000000</v>
      </c>
      <c r="CH382" s="107" t="n">
        <v>2.919</v>
      </c>
      <c r="CI382" s="2"/>
      <c r="CJ382" s="2"/>
      <c r="CK382" s="2"/>
      <c r="CL382" s="2"/>
    </row>
    <row r="383" customFormat="false" ht="15" hidden="false" customHeight="false" outlineLevel="0" collapsed="false">
      <c r="A383" s="107" t="s">
        <v>833</v>
      </c>
      <c r="B383" s="107" t="n">
        <v>100.025</v>
      </c>
      <c r="C383" s="107" t="n">
        <v>4.946</v>
      </c>
      <c r="D383" s="107" t="n">
        <v>0.5846</v>
      </c>
      <c r="E383" s="107" t="n">
        <v>-58.474615</v>
      </c>
      <c r="F383" s="108" t="s">
        <v>358</v>
      </c>
      <c r="G383" s="107" t="n">
        <v>0.5846</v>
      </c>
      <c r="H383" s="107" t="n">
        <v>-58.474615</v>
      </c>
      <c r="I383" s="109" t="n">
        <v>46521</v>
      </c>
      <c r="J383" s="107" t="n">
        <v>1</v>
      </c>
      <c r="K383" s="107" t="s">
        <v>359</v>
      </c>
      <c r="L383" s="107" t="s">
        <v>298</v>
      </c>
      <c r="M383" s="107" t="n">
        <v>584600</v>
      </c>
      <c r="N383" s="107" t="n">
        <v>99.497</v>
      </c>
      <c r="O383" s="107" t="n">
        <v>1000250</v>
      </c>
      <c r="P383" s="107" t="s">
        <v>834</v>
      </c>
      <c r="Q383" s="107" t="s">
        <v>361</v>
      </c>
      <c r="R383" s="107" t="n">
        <v>-0.0668786862468454</v>
      </c>
      <c r="S383" s="107" t="n">
        <v>0.00530669266410055</v>
      </c>
      <c r="T383" s="107" t="n">
        <v>-59.9249775</v>
      </c>
      <c r="U383" s="107" t="n">
        <v>21069</v>
      </c>
      <c r="V383" s="108" t="s">
        <v>362</v>
      </c>
      <c r="W383" s="107" t="n">
        <v>42003</v>
      </c>
      <c r="X383" s="108" t="s">
        <v>372</v>
      </c>
      <c r="Y383" s="107" t="s">
        <v>831</v>
      </c>
      <c r="Z383" s="107" t="s">
        <v>835</v>
      </c>
      <c r="AA383" s="109" t="n">
        <v>45918</v>
      </c>
      <c r="AB383" s="107" t="n">
        <v>250918000001</v>
      </c>
      <c r="AC383" s="109" t="n">
        <v>45917</v>
      </c>
      <c r="AD383" s="109" t="n">
        <v>47743</v>
      </c>
      <c r="AE383" s="107" t="n">
        <v>3.875</v>
      </c>
      <c r="AF383" s="107" t="n">
        <v>3.6336</v>
      </c>
      <c r="AG383" s="107" t="n">
        <v>1448</v>
      </c>
      <c r="AH383" s="107" t="n">
        <v>3500000</v>
      </c>
      <c r="AI383" s="107" t="n">
        <v>3.9785677</v>
      </c>
      <c r="AJ383" s="107" t="n">
        <v>99.535</v>
      </c>
      <c r="AK383" s="107" t="n">
        <v>4.016648</v>
      </c>
      <c r="AL383" s="107" t="n">
        <v>99.62433</v>
      </c>
      <c r="AM383" s="107" t="n">
        <v>5.3083</v>
      </c>
      <c r="AN383" s="107" t="n">
        <v>94.933</v>
      </c>
      <c r="AO383" s="107" t="n">
        <v>1358.4</v>
      </c>
      <c r="AP383" s="107" t="n">
        <v>1</v>
      </c>
      <c r="AQ383" s="107" t="n">
        <v>3322655</v>
      </c>
      <c r="AR383" s="107" t="n">
        <v>4513494552</v>
      </c>
      <c r="AS383" s="107" t="n">
        <v>3481954</v>
      </c>
      <c r="AT383" s="107" t="n">
        <v>4996255795</v>
      </c>
      <c r="AU383" s="107" t="n">
        <v>-159299</v>
      </c>
      <c r="AV383" s="107" t="n">
        <v>-216391762</v>
      </c>
      <c r="AW383" s="107" t="n">
        <v>0</v>
      </c>
      <c r="AX383" s="107" t="n">
        <v>0</v>
      </c>
      <c r="AY383" s="107" t="n">
        <v>0</v>
      </c>
      <c r="AZ383" s="107" t="n">
        <v>0</v>
      </c>
      <c r="BA383" s="107" t="n">
        <v>0</v>
      </c>
      <c r="BB383" s="107" t="n">
        <v>0</v>
      </c>
      <c r="BC383" s="107" t="n">
        <v>0</v>
      </c>
      <c r="BD383" s="107" t="n">
        <v>0</v>
      </c>
      <c r="BE383" s="107" t="n">
        <v>4897.57</v>
      </c>
      <c r="BF383" s="107" t="n">
        <v>6652859</v>
      </c>
      <c r="BG383" s="107" t="n">
        <v>0</v>
      </c>
      <c r="BH383" s="107" t="n">
        <v>0</v>
      </c>
      <c r="BI383" s="107" t="n">
        <v>3483725</v>
      </c>
      <c r="BJ383" s="107" t="n">
        <v>4998797003</v>
      </c>
      <c r="BK383" s="107" t="n">
        <v>0</v>
      </c>
      <c r="BL383" s="107" t="n">
        <v>0</v>
      </c>
      <c r="BM383" s="107" t="n">
        <v>0</v>
      </c>
      <c r="BN383" s="107" t="n">
        <v>0</v>
      </c>
      <c r="BO383" s="107" t="s">
        <v>361</v>
      </c>
      <c r="BP383" s="2"/>
      <c r="BQ383" s="107" t="s">
        <v>787</v>
      </c>
      <c r="BR383" s="107" t="n">
        <v>-266369481</v>
      </c>
      <c r="BS383" s="107" t="n">
        <v>0</v>
      </c>
      <c r="BT383" s="107" t="n">
        <v>0</v>
      </c>
      <c r="BU383" s="107" t="n">
        <v>-1771</v>
      </c>
      <c r="BV383" s="107" t="n">
        <v>-2541208</v>
      </c>
      <c r="BW383" s="107" t="n">
        <v>4897.57</v>
      </c>
      <c r="BX383" s="107" t="n">
        <v>6652859</v>
      </c>
      <c r="BY383" s="107" t="n">
        <v>0</v>
      </c>
      <c r="BZ383" s="107" t="n">
        <v>0</v>
      </c>
      <c r="CA383" s="107" t="n">
        <v>1434.9</v>
      </c>
      <c r="CB383" s="2"/>
      <c r="CC383" s="107" t="n">
        <v>0</v>
      </c>
      <c r="CD383" s="107" t="n">
        <v>94.91</v>
      </c>
      <c r="CE383" s="107" t="n">
        <v>94.94</v>
      </c>
      <c r="CF383" s="107" t="n">
        <v>94.95</v>
      </c>
      <c r="CG383" s="107" t="n">
        <v>3500000</v>
      </c>
      <c r="CH383" s="107" t="n">
        <v>3.5397</v>
      </c>
      <c r="CI383" s="2"/>
      <c r="CJ383" s="2"/>
      <c r="CK383" s="2"/>
      <c r="CL383" s="2"/>
    </row>
    <row r="384" customFormat="false" ht="15" hidden="false" customHeight="false" outlineLevel="0" collapsed="false">
      <c r="A384" s="107" t="s">
        <v>836</v>
      </c>
      <c r="B384" s="107" t="n">
        <v>95.1855</v>
      </c>
      <c r="C384" s="107" t="n">
        <v>5.4445</v>
      </c>
      <c r="D384" s="107" t="n">
        <v>3.9421</v>
      </c>
      <c r="E384" s="107" t="n">
        <v>-1876.15379775</v>
      </c>
      <c r="F384" s="108" t="s">
        <v>358</v>
      </c>
      <c r="G384" s="107" t="n">
        <v>3.9421</v>
      </c>
      <c r="H384" s="107" t="n">
        <v>-1876.15379775</v>
      </c>
      <c r="I384" s="109" t="n">
        <v>47974</v>
      </c>
      <c r="J384" s="107" t="n">
        <v>5</v>
      </c>
      <c r="K384" s="107" t="s">
        <v>359</v>
      </c>
      <c r="L384" s="107" t="s">
        <v>298</v>
      </c>
      <c r="M384" s="107" t="n">
        <v>19710500</v>
      </c>
      <c r="N384" s="107" t="n">
        <v>99.8</v>
      </c>
      <c r="O384" s="107" t="n">
        <v>4759275</v>
      </c>
      <c r="P384" s="107" t="s">
        <v>834</v>
      </c>
      <c r="Q384" s="107" t="s">
        <v>364</v>
      </c>
      <c r="R384" s="107" t="n">
        <v>-0.109599251835862</v>
      </c>
      <c r="S384" s="107" t="n">
        <v>-0.0462374749498997</v>
      </c>
      <c r="T384" s="107" t="n">
        <v>-1927.2208185</v>
      </c>
      <c r="U384" s="107" t="n">
        <v>21069</v>
      </c>
      <c r="V384" s="108" t="s">
        <v>362</v>
      </c>
      <c r="W384" s="107" t="n">
        <v>42003</v>
      </c>
      <c r="X384" s="108" t="s">
        <v>372</v>
      </c>
      <c r="Y384" s="107" t="s">
        <v>832</v>
      </c>
      <c r="Z384" s="107" t="s">
        <v>837</v>
      </c>
      <c r="AA384" s="109" t="n">
        <v>46041</v>
      </c>
      <c r="AB384" s="107" t="n">
        <v>260119000001</v>
      </c>
      <c r="AC384" s="109" t="n">
        <v>46037</v>
      </c>
      <c r="AD384" s="109" t="n">
        <v>47863</v>
      </c>
      <c r="AE384" s="107" t="n">
        <v>3.875</v>
      </c>
      <c r="AF384" s="107" t="n">
        <v>3.8753</v>
      </c>
      <c r="AG384" s="107" t="n">
        <v>1568</v>
      </c>
      <c r="AH384" s="107" t="n">
        <v>6000000</v>
      </c>
      <c r="AI384" s="107" t="n">
        <v>4.095</v>
      </c>
      <c r="AJ384" s="107" t="n">
        <v>99.016</v>
      </c>
      <c r="AK384" s="107" t="n">
        <v>4.090887</v>
      </c>
      <c r="AL384" s="107" t="n">
        <v>99.960634</v>
      </c>
      <c r="AM384" s="107" t="n">
        <v>5.3332</v>
      </c>
      <c r="AN384" s="107" t="n">
        <v>94.4631</v>
      </c>
      <c r="AO384" s="107" t="n">
        <v>1358.4</v>
      </c>
      <c r="AP384" s="107" t="n">
        <v>1</v>
      </c>
      <c r="AQ384" s="107" t="n">
        <v>5667786</v>
      </c>
      <c r="AR384" s="107" t="n">
        <v>7699120502</v>
      </c>
      <c r="AS384" s="107" t="n">
        <v>5940960</v>
      </c>
      <c r="AT384" s="107" t="n">
        <v>8731428912</v>
      </c>
      <c r="AU384" s="107" t="n">
        <v>-273174</v>
      </c>
      <c r="AV384" s="107" t="n">
        <v>-371079562</v>
      </c>
      <c r="AW384" s="107" t="n">
        <v>0</v>
      </c>
      <c r="AX384" s="107" t="n">
        <v>0</v>
      </c>
      <c r="AY384" s="107" t="n">
        <v>0</v>
      </c>
      <c r="AZ384" s="107" t="n">
        <v>0</v>
      </c>
      <c r="BA384" s="107" t="n">
        <v>0</v>
      </c>
      <c r="BB384" s="107" t="n">
        <v>0</v>
      </c>
      <c r="BC384" s="107" t="n">
        <v>0</v>
      </c>
      <c r="BD384" s="107" t="n">
        <v>0</v>
      </c>
      <c r="BE384" s="107" t="n">
        <v>48437.5</v>
      </c>
      <c r="BF384" s="107" t="n">
        <v>65797500</v>
      </c>
      <c r="BG384" s="107" t="n">
        <v>8240.58</v>
      </c>
      <c r="BH384" s="107" t="n">
        <v>11194003</v>
      </c>
      <c r="BI384" s="107" t="n">
        <v>5940960</v>
      </c>
      <c r="BJ384" s="107" t="n">
        <v>8731428912</v>
      </c>
      <c r="BK384" s="107" t="n">
        <v>0</v>
      </c>
      <c r="BL384" s="107" t="n">
        <v>0</v>
      </c>
      <c r="BM384" s="107" t="n">
        <v>0</v>
      </c>
      <c r="BN384" s="107" t="n">
        <v>0</v>
      </c>
      <c r="BO384" s="107" t="s">
        <v>361</v>
      </c>
      <c r="BP384" s="2"/>
      <c r="BQ384" s="107" t="s">
        <v>361</v>
      </c>
      <c r="BR384" s="107" t="n">
        <v>-661228848</v>
      </c>
      <c r="BS384" s="107" t="n">
        <v>0</v>
      </c>
      <c r="BT384" s="107" t="n">
        <v>0</v>
      </c>
      <c r="BU384" s="107" t="n">
        <v>0</v>
      </c>
      <c r="BV384" s="107" t="n">
        <v>0</v>
      </c>
      <c r="BW384" s="107" t="n">
        <v>48437.5</v>
      </c>
      <c r="BX384" s="107" t="n">
        <v>65797500</v>
      </c>
      <c r="BY384" s="107" t="n">
        <v>8240.58</v>
      </c>
      <c r="BZ384" s="107" t="n">
        <v>11194003</v>
      </c>
      <c r="CA384" s="107" t="n">
        <v>1469.7</v>
      </c>
      <c r="CB384" s="2"/>
      <c r="CC384" s="107" t="n">
        <v>0</v>
      </c>
      <c r="CD384" s="107" t="n">
        <v>94.45</v>
      </c>
      <c r="CE384" s="107" t="n">
        <v>94.48</v>
      </c>
      <c r="CF384" s="107" t="n">
        <v>94.46</v>
      </c>
      <c r="CG384" s="107" t="n">
        <v>6000000</v>
      </c>
      <c r="CH384" s="107" t="n">
        <v>3.7746</v>
      </c>
      <c r="CI384" s="2"/>
      <c r="CJ384" s="2"/>
      <c r="CK384" s="2"/>
      <c r="CL384" s="2"/>
    </row>
    <row r="385" customFormat="false" ht="15" hidden="false" customHeight="false" outlineLevel="0" collapsed="false">
      <c r="A385" s="107" t="s">
        <v>838</v>
      </c>
      <c r="B385" s="107" t="n">
        <v>95.9473</v>
      </c>
      <c r="C385" s="107" t="n">
        <v>5.4813</v>
      </c>
      <c r="D385" s="107" t="n">
        <v>4.0506</v>
      </c>
      <c r="E385" s="107" t="n">
        <v>-3886.4413338</v>
      </c>
      <c r="F385" s="108" t="s">
        <v>358</v>
      </c>
      <c r="G385" s="107" t="n">
        <v>4.0506</v>
      </c>
      <c r="H385" s="107" t="n">
        <v>-3886.4413338</v>
      </c>
      <c r="I385" s="109" t="n">
        <v>48022</v>
      </c>
      <c r="J385" s="107" t="n">
        <v>5</v>
      </c>
      <c r="K385" s="107" t="s">
        <v>359</v>
      </c>
      <c r="L385" s="107" t="s">
        <v>298</v>
      </c>
      <c r="M385" s="107" t="n">
        <v>40506000</v>
      </c>
      <c r="N385" s="107" t="n">
        <v>100.013</v>
      </c>
      <c r="O385" s="107" t="n">
        <v>9594730</v>
      </c>
      <c r="P385" s="107" t="s">
        <v>816</v>
      </c>
      <c r="Q385" s="107" t="s">
        <v>364</v>
      </c>
      <c r="R385" s="107" t="n">
        <v>-0.15184562690113</v>
      </c>
      <c r="S385" s="107" t="n">
        <v>-0.0406517152770141</v>
      </c>
      <c r="T385" s="107" t="n">
        <v>-3992.9428368</v>
      </c>
      <c r="U385" s="107" t="n">
        <v>21069</v>
      </c>
      <c r="V385" s="108" t="s">
        <v>362</v>
      </c>
      <c r="W385" s="107" t="n">
        <v>42003</v>
      </c>
      <c r="X385" s="108" t="s">
        <v>372</v>
      </c>
      <c r="Y385" s="107" t="s">
        <v>833</v>
      </c>
      <c r="Z385" s="107" t="s">
        <v>839</v>
      </c>
      <c r="AA385" s="109" t="n">
        <v>45426</v>
      </c>
      <c r="AB385" s="107" t="n">
        <v>240514000001</v>
      </c>
      <c r="AC385" s="109" t="n">
        <v>45426</v>
      </c>
      <c r="AD385" s="109" t="n">
        <v>46521</v>
      </c>
      <c r="AE385" s="107" t="n">
        <v>5</v>
      </c>
      <c r="AF385" s="107" t="n">
        <v>0.5964</v>
      </c>
      <c r="AG385" s="107" t="n">
        <v>226</v>
      </c>
      <c r="AH385" s="107" t="n">
        <v>1000000</v>
      </c>
      <c r="AI385" s="107" t="n">
        <v>5.1832</v>
      </c>
      <c r="AJ385" s="107" t="n">
        <v>99.497</v>
      </c>
      <c r="AK385" s="107" t="n">
        <v>1.625667</v>
      </c>
      <c r="AL385" s="107" t="n">
        <v>103.967619</v>
      </c>
      <c r="AM385" s="107" t="n">
        <v>4.8727</v>
      </c>
      <c r="AN385" s="107" t="n">
        <v>100.0695</v>
      </c>
      <c r="AO385" s="107" t="n">
        <v>1358.4</v>
      </c>
      <c r="AP385" s="107" t="n">
        <v>1</v>
      </c>
      <c r="AQ385" s="107" t="n">
        <v>1000695</v>
      </c>
      <c r="AR385" s="107" t="n">
        <v>1359344088</v>
      </c>
      <c r="AS385" s="107" t="n">
        <v>1015986</v>
      </c>
      <c r="AT385" s="107" t="n">
        <v>1457838311</v>
      </c>
      <c r="AU385" s="107" t="n">
        <v>-15291</v>
      </c>
      <c r="AV385" s="107" t="n">
        <v>-20771294</v>
      </c>
      <c r="AW385" s="107" t="n">
        <v>0</v>
      </c>
      <c r="AX385" s="107" t="n">
        <v>0</v>
      </c>
      <c r="AY385" s="107" t="n">
        <v>0</v>
      </c>
      <c r="AZ385" s="107" t="n">
        <v>0</v>
      </c>
      <c r="BA385" s="107" t="n">
        <v>0</v>
      </c>
      <c r="BB385" s="107" t="n">
        <v>0</v>
      </c>
      <c r="BC385" s="107" t="n">
        <v>0</v>
      </c>
      <c r="BD385" s="107" t="n">
        <v>0</v>
      </c>
      <c r="BE385" s="107" t="n">
        <v>18888.89</v>
      </c>
      <c r="BF385" s="107" t="n">
        <v>25658668</v>
      </c>
      <c r="BG385" s="107" t="n">
        <v>4801.3</v>
      </c>
      <c r="BH385" s="107" t="n">
        <v>6522085</v>
      </c>
      <c r="BI385" s="107" t="n">
        <v>1989940</v>
      </c>
      <c r="BJ385" s="107" t="n">
        <v>2778127728</v>
      </c>
      <c r="BK385" s="107" t="n">
        <v>0</v>
      </c>
      <c r="BL385" s="107" t="n">
        <v>0</v>
      </c>
      <c r="BM385" s="107" t="n">
        <v>0</v>
      </c>
      <c r="BN385" s="107" t="n">
        <v>0</v>
      </c>
      <c r="BO385" s="107" t="s">
        <v>361</v>
      </c>
      <c r="BP385" s="2"/>
      <c r="BQ385" s="107" t="s">
        <v>369</v>
      </c>
      <c r="BR385" s="107" t="n">
        <v>-77722929</v>
      </c>
      <c r="BS385" s="107" t="n">
        <v>0</v>
      </c>
      <c r="BT385" s="107" t="n">
        <v>0</v>
      </c>
      <c r="BU385" s="107" t="n">
        <v>21016</v>
      </c>
      <c r="BV385" s="107" t="n">
        <v>30680849</v>
      </c>
      <c r="BW385" s="107" t="n">
        <v>18888.89</v>
      </c>
      <c r="BX385" s="107" t="n">
        <v>25658668</v>
      </c>
      <c r="BY385" s="107" t="n">
        <v>4801.3</v>
      </c>
      <c r="BZ385" s="107" t="n">
        <v>6522085</v>
      </c>
      <c r="CA385" s="107" t="n">
        <v>1434.9</v>
      </c>
      <c r="CB385" s="2"/>
      <c r="CC385" s="107" t="n">
        <v>0</v>
      </c>
      <c r="CD385" s="107" t="n">
        <v>100.02</v>
      </c>
      <c r="CE385" s="107" t="n">
        <v>100.05</v>
      </c>
      <c r="CF385" s="107" t="n">
        <v>100.15</v>
      </c>
      <c r="CG385" s="107" t="n">
        <v>1000000</v>
      </c>
      <c r="CH385" s="107" t="n">
        <v>0.5822</v>
      </c>
      <c r="CI385" s="2"/>
      <c r="CJ385" s="2"/>
      <c r="CK385" s="2"/>
      <c r="CL385" s="2"/>
    </row>
    <row r="386" customFormat="false" ht="15" hidden="false" customHeight="false" outlineLevel="0" collapsed="false">
      <c r="A386" s="107" t="s">
        <v>840</v>
      </c>
      <c r="B386" s="107" t="n">
        <v>95.8894</v>
      </c>
      <c r="C386" s="107" t="n">
        <v>5.4992</v>
      </c>
      <c r="D386" s="107" t="n">
        <v>4.03</v>
      </c>
      <c r="E386" s="107" t="n">
        <v>-2318.605692</v>
      </c>
      <c r="F386" s="108" t="s">
        <v>358</v>
      </c>
      <c r="G386" s="107" t="n">
        <v>4.03</v>
      </c>
      <c r="H386" s="107" t="n">
        <v>-2318.605692</v>
      </c>
      <c r="I386" s="109" t="n">
        <v>48015</v>
      </c>
      <c r="J386" s="107" t="n">
        <v>5</v>
      </c>
      <c r="K386" s="107" t="s">
        <v>359</v>
      </c>
      <c r="L386" s="107" t="s">
        <v>298</v>
      </c>
      <c r="M386" s="107" t="n">
        <v>24180000</v>
      </c>
      <c r="N386" s="107" t="n">
        <v>99.2326</v>
      </c>
      <c r="O386" s="107" t="n">
        <v>5753364</v>
      </c>
      <c r="P386" s="107" t="s">
        <v>677</v>
      </c>
      <c r="Q386" s="107" t="s">
        <v>364</v>
      </c>
      <c r="R386" s="107" t="n">
        <v>-0.131657055035516</v>
      </c>
      <c r="S386" s="107" t="n">
        <v>-0.0336905412132708</v>
      </c>
      <c r="T386" s="107" t="n">
        <v>-2382.35296512</v>
      </c>
      <c r="U386" s="107" t="n">
        <v>21069</v>
      </c>
      <c r="V386" s="108" t="s">
        <v>362</v>
      </c>
      <c r="W386" s="107" t="n">
        <v>42003</v>
      </c>
      <c r="X386" s="108" t="s">
        <v>372</v>
      </c>
      <c r="Y386" s="107" t="s">
        <v>836</v>
      </c>
      <c r="Z386" s="107" t="s">
        <v>841</v>
      </c>
      <c r="AA386" s="109" t="n">
        <v>46150</v>
      </c>
      <c r="AB386" s="107" t="n">
        <v>260508000001</v>
      </c>
      <c r="AC386" s="109" t="n">
        <v>46148</v>
      </c>
      <c r="AD386" s="109" t="n">
        <v>47974</v>
      </c>
      <c r="AE386" s="107" t="n">
        <v>4.25</v>
      </c>
      <c r="AF386" s="107" t="n">
        <v>4.0474</v>
      </c>
      <c r="AG386" s="107" t="n">
        <v>1679</v>
      </c>
      <c r="AH386" s="107" t="n">
        <v>5000000</v>
      </c>
      <c r="AI386" s="107" t="n">
        <v>4.295</v>
      </c>
      <c r="AJ386" s="107" t="n">
        <v>99.8</v>
      </c>
      <c r="AK386" s="107" t="n">
        <v>4.292894</v>
      </c>
      <c r="AL386" s="107" t="n">
        <v>101.519043</v>
      </c>
      <c r="AM386" s="107" t="n">
        <v>5.4101</v>
      </c>
      <c r="AN386" s="107" t="n">
        <v>95.3226</v>
      </c>
      <c r="AO386" s="107" t="n">
        <v>1358.4</v>
      </c>
      <c r="AP386" s="107" t="n">
        <v>1</v>
      </c>
      <c r="AQ386" s="107" t="n">
        <v>4766130</v>
      </c>
      <c r="AR386" s="107" t="n">
        <v>6474310992</v>
      </c>
      <c r="AS386" s="107" t="n">
        <v>4989927.77</v>
      </c>
      <c r="AT386" s="107" t="n">
        <v>7269326776</v>
      </c>
      <c r="AU386" s="107" t="n">
        <v>-223797.77</v>
      </c>
      <c r="AV386" s="107" t="n">
        <v>-304006891</v>
      </c>
      <c r="AW386" s="107" t="n">
        <v>1180.56</v>
      </c>
      <c r="AX386" s="107" t="n">
        <v>1719839</v>
      </c>
      <c r="AY386" s="107" t="n">
        <v>72.23</v>
      </c>
      <c r="AZ386" s="107" t="n">
        <v>105224</v>
      </c>
      <c r="BA386" s="107" t="n">
        <v>0</v>
      </c>
      <c r="BB386" s="107" t="n">
        <v>0</v>
      </c>
      <c r="BC386" s="107" t="n">
        <v>0</v>
      </c>
      <c r="BD386" s="107" t="n">
        <v>0</v>
      </c>
      <c r="BE386" s="107" t="n">
        <v>83819.44</v>
      </c>
      <c r="BF386" s="107" t="n">
        <v>113860327</v>
      </c>
      <c r="BG386" s="107" t="n">
        <v>952.18</v>
      </c>
      <c r="BH386" s="107" t="n">
        <v>1293441</v>
      </c>
      <c r="BI386" s="107" t="n">
        <v>4989927.77</v>
      </c>
      <c r="BJ386" s="107" t="n">
        <v>7269326776</v>
      </c>
      <c r="BK386" s="107" t="n">
        <v>0</v>
      </c>
      <c r="BL386" s="107" t="n">
        <v>0</v>
      </c>
      <c r="BM386" s="107" t="n">
        <v>0</v>
      </c>
      <c r="BN386" s="107" t="n">
        <v>0</v>
      </c>
      <c r="BO386" s="107" t="s">
        <v>361</v>
      </c>
      <c r="BP386" s="2"/>
      <c r="BQ386" s="107" t="s">
        <v>369</v>
      </c>
      <c r="BR386" s="107" t="n">
        <v>-491008893</v>
      </c>
      <c r="BS386" s="107" t="n">
        <v>-123273</v>
      </c>
      <c r="BT386" s="107" t="n">
        <v>0</v>
      </c>
      <c r="BU386" s="107" t="n">
        <v>0</v>
      </c>
      <c r="BV386" s="107" t="n">
        <v>0</v>
      </c>
      <c r="BW386" s="107" t="n">
        <v>85000</v>
      </c>
      <c r="BX386" s="107" t="n">
        <v>115464000</v>
      </c>
      <c r="BY386" s="107" t="n">
        <v>1024.41</v>
      </c>
      <c r="BZ386" s="107" t="n">
        <v>1391558</v>
      </c>
      <c r="CA386" s="107" t="n">
        <v>1456.8</v>
      </c>
      <c r="CB386" s="2"/>
      <c r="CC386" s="107" t="n">
        <v>0</v>
      </c>
      <c r="CD386" s="107" t="n">
        <v>95.32</v>
      </c>
      <c r="CE386" s="107" t="n">
        <v>95.33</v>
      </c>
      <c r="CF386" s="107" t="n">
        <v>95.33</v>
      </c>
      <c r="CG386" s="107" t="n">
        <v>5000000</v>
      </c>
      <c r="CH386" s="107" t="n">
        <v>3.9408</v>
      </c>
      <c r="CI386" s="2"/>
      <c r="CJ386" s="2"/>
      <c r="CK386" s="2"/>
      <c r="CL386" s="2"/>
    </row>
    <row r="387" customFormat="false" ht="15" hidden="false" customHeight="false" outlineLevel="0" collapsed="false">
      <c r="A387" s="107" t="s">
        <v>842</v>
      </c>
      <c r="B387" s="107" t="n">
        <v>95.2775</v>
      </c>
      <c r="C387" s="107" t="n">
        <v>5.4171</v>
      </c>
      <c r="D387" s="107" t="n">
        <v>3.5807</v>
      </c>
      <c r="E387" s="107" t="n">
        <v>-68.23202885</v>
      </c>
      <c r="F387" s="108" t="s">
        <v>358</v>
      </c>
      <c r="G387" s="107" t="n">
        <v>3.5807</v>
      </c>
      <c r="H387" s="107" t="n">
        <v>-68.23202885</v>
      </c>
      <c r="I387" s="109" t="n">
        <v>47799</v>
      </c>
      <c r="J387" s="107" t="n">
        <v>3</v>
      </c>
      <c r="K387" s="107" t="s">
        <v>359</v>
      </c>
      <c r="L387" s="107" t="s">
        <v>298</v>
      </c>
      <c r="M387" s="107" t="n">
        <v>716140</v>
      </c>
      <c r="N387" s="107" t="n">
        <v>99.513</v>
      </c>
      <c r="O387" s="107" t="n">
        <v>190555</v>
      </c>
      <c r="P387" s="107" t="s">
        <v>549</v>
      </c>
      <c r="Q387" s="107" t="s">
        <v>364</v>
      </c>
      <c r="R387" s="107" t="n">
        <v>-0.0977625660659959</v>
      </c>
      <c r="S387" s="107" t="n">
        <v>-0.0425622782952981</v>
      </c>
      <c r="T387" s="107" t="n">
        <v>-70.08041235</v>
      </c>
      <c r="U387" s="107" t="n">
        <v>21069</v>
      </c>
      <c r="V387" s="108" t="s">
        <v>362</v>
      </c>
      <c r="W387" s="107" t="n">
        <v>42003</v>
      </c>
      <c r="X387" s="108" t="s">
        <v>372</v>
      </c>
      <c r="Y387" s="107" t="s">
        <v>838</v>
      </c>
      <c r="Z387" s="107" t="s">
        <v>843</v>
      </c>
      <c r="AA387" s="109" t="n">
        <v>46198</v>
      </c>
      <c r="AB387" s="107" t="n">
        <v>260625000001</v>
      </c>
      <c r="AC387" s="109" t="n">
        <v>46196</v>
      </c>
      <c r="AD387" s="109" t="n">
        <v>48022</v>
      </c>
      <c r="AE387" s="107" t="n">
        <v>4.5</v>
      </c>
      <c r="AF387" s="107" t="n">
        <v>4.1596</v>
      </c>
      <c r="AG387" s="107" t="n">
        <v>1727</v>
      </c>
      <c r="AH387" s="107" t="n">
        <v>10000000</v>
      </c>
      <c r="AI387" s="107" t="n">
        <v>4.497</v>
      </c>
      <c r="AJ387" s="107" t="n">
        <v>100.013</v>
      </c>
      <c r="AK387" s="107" t="n">
        <v>4.495057</v>
      </c>
      <c r="AL387" s="107" t="n">
        <v>101.227139</v>
      </c>
      <c r="AM387" s="107" t="n">
        <v>5.4471</v>
      </c>
      <c r="AN387" s="107" t="n">
        <v>96.0871</v>
      </c>
      <c r="AO387" s="107" t="n">
        <v>1358.4</v>
      </c>
      <c r="AP387" s="107" t="n">
        <v>1</v>
      </c>
      <c r="AQ387" s="107" t="n">
        <v>9608710</v>
      </c>
      <c r="AR387" s="107" t="n">
        <v>13052471664</v>
      </c>
      <c r="AS387" s="107" t="n">
        <v>10001283.11</v>
      </c>
      <c r="AT387" s="107" t="n">
        <v>15384973790</v>
      </c>
      <c r="AU387" s="107" t="n">
        <v>-392573.11</v>
      </c>
      <c r="AV387" s="107" t="n">
        <v>-533271313</v>
      </c>
      <c r="AW387" s="107" t="n">
        <v>2500</v>
      </c>
      <c r="AX387" s="107" t="n">
        <v>3845751</v>
      </c>
      <c r="AY387" s="107" t="n">
        <v>16.91</v>
      </c>
      <c r="AZ387" s="107" t="n">
        <v>26002</v>
      </c>
      <c r="BA387" s="107" t="n">
        <v>0</v>
      </c>
      <c r="BB387" s="107" t="n">
        <v>0</v>
      </c>
      <c r="BC387" s="107" t="n">
        <v>0</v>
      </c>
      <c r="BD387" s="107" t="n">
        <v>0</v>
      </c>
      <c r="BE387" s="107" t="n">
        <v>118750</v>
      </c>
      <c r="BF387" s="107" t="n">
        <v>161310000</v>
      </c>
      <c r="BG387" s="107" t="n">
        <v>163.95</v>
      </c>
      <c r="BH387" s="107" t="n">
        <v>222709</v>
      </c>
      <c r="BI387" s="107" t="n">
        <v>19502502.04</v>
      </c>
      <c r="BJ387" s="107" t="n">
        <v>30000698889</v>
      </c>
      <c r="BK387" s="107" t="n">
        <v>0</v>
      </c>
      <c r="BL387" s="107" t="n">
        <v>0</v>
      </c>
      <c r="BM387" s="107" t="n">
        <v>0</v>
      </c>
      <c r="BN387" s="107" t="n">
        <v>0</v>
      </c>
      <c r="BO387" s="107" t="s">
        <v>361</v>
      </c>
      <c r="BP387" s="2"/>
      <c r="BQ387" s="107" t="s">
        <v>369</v>
      </c>
      <c r="BR387" s="107" t="n">
        <v>-1799230813</v>
      </c>
      <c r="BS387" s="107" t="n">
        <v>-452782</v>
      </c>
      <c r="BT387" s="107" t="n">
        <v>0</v>
      </c>
      <c r="BU387" s="107" t="n">
        <v>0</v>
      </c>
      <c r="BV387" s="107" t="n">
        <v>0</v>
      </c>
      <c r="BW387" s="107" t="n">
        <v>121250</v>
      </c>
      <c r="BX387" s="107" t="n">
        <v>164706000</v>
      </c>
      <c r="BY387" s="107" t="n">
        <v>180.86</v>
      </c>
      <c r="BZ387" s="107" t="n">
        <v>245680</v>
      </c>
      <c r="CA387" s="107" t="n">
        <v>1538.3</v>
      </c>
      <c r="CB387" s="2"/>
      <c r="CC387" s="107" t="n">
        <v>0</v>
      </c>
      <c r="CD387" s="107" t="n">
        <v>96.06</v>
      </c>
      <c r="CE387" s="107" t="n">
        <v>96.12</v>
      </c>
      <c r="CF387" s="107" t="n">
        <v>96.08</v>
      </c>
      <c r="CG387" s="107" t="n">
        <v>10000000</v>
      </c>
      <c r="CH387" s="107" t="n">
        <v>4.0493</v>
      </c>
      <c r="CI387" s="2"/>
      <c r="CJ387" s="2"/>
      <c r="CK387" s="2"/>
      <c r="CL387" s="2"/>
    </row>
    <row r="388" customFormat="false" ht="15" hidden="false" customHeight="false" outlineLevel="0" collapsed="false">
      <c r="A388" s="107" t="s">
        <v>844</v>
      </c>
      <c r="B388" s="107" t="n">
        <v>100.271</v>
      </c>
      <c r="C388" s="107" t="n">
        <v>4.4543</v>
      </c>
      <c r="D388" s="107" t="n">
        <v>0.0368</v>
      </c>
      <c r="E388" s="107" t="n">
        <v>-0.73799456</v>
      </c>
      <c r="F388" s="107" t="s">
        <v>214</v>
      </c>
      <c r="G388" s="107" t="n">
        <v>4.06905513797948</v>
      </c>
      <c r="H388" s="107" t="n">
        <v>-81.6016455480681</v>
      </c>
      <c r="I388" s="2"/>
      <c r="J388" s="107" t="n">
        <v>0</v>
      </c>
      <c r="K388" s="2"/>
      <c r="L388" s="2"/>
      <c r="M388" s="107" t="n">
        <v>813811.027595896</v>
      </c>
      <c r="N388" s="107" t="n">
        <v>91.32</v>
      </c>
      <c r="O388" s="107" t="n">
        <v>200542</v>
      </c>
      <c r="P388" s="2"/>
      <c r="Q388" s="2"/>
      <c r="R388" s="107" t="n">
        <v>0.0119981187337383</v>
      </c>
      <c r="S388" s="107" t="n">
        <v>0.0980179588261061</v>
      </c>
      <c r="T388" s="107" t="n">
        <v>-0.74601624</v>
      </c>
      <c r="U388" s="107" t="n">
        <v>21069</v>
      </c>
      <c r="V388" s="108" t="s">
        <v>362</v>
      </c>
      <c r="W388" s="107" t="n">
        <v>42003</v>
      </c>
      <c r="X388" s="108" t="s">
        <v>372</v>
      </c>
      <c r="Y388" s="107" t="s">
        <v>840</v>
      </c>
      <c r="Z388" s="107" t="s">
        <v>845</v>
      </c>
      <c r="AA388" s="109" t="n">
        <v>46191</v>
      </c>
      <c r="AB388" s="107" t="n">
        <v>260618000001</v>
      </c>
      <c r="AC388" s="109" t="n">
        <v>46189</v>
      </c>
      <c r="AD388" s="109" t="n">
        <v>48015</v>
      </c>
      <c r="AE388" s="107" t="n">
        <v>4.5</v>
      </c>
      <c r="AF388" s="107" t="n">
        <v>4.1387</v>
      </c>
      <c r="AG388" s="107" t="n">
        <v>1720</v>
      </c>
      <c r="AH388" s="107" t="n">
        <v>6000000</v>
      </c>
      <c r="AI388" s="107" t="n">
        <v>4.674</v>
      </c>
      <c r="AJ388" s="107" t="n">
        <v>99.2326</v>
      </c>
      <c r="AK388" s="107" t="n">
        <v>4.670127</v>
      </c>
      <c r="AL388" s="107" t="n">
        <v>100.581621</v>
      </c>
      <c r="AM388" s="107" t="n">
        <v>5.4649</v>
      </c>
      <c r="AN388" s="107" t="n">
        <v>96.0291</v>
      </c>
      <c r="AO388" s="107" t="n">
        <v>1358.4</v>
      </c>
      <c r="AP388" s="107" t="n">
        <v>1</v>
      </c>
      <c r="AQ388" s="107" t="n">
        <v>5761746</v>
      </c>
      <c r="AR388" s="107" t="n">
        <v>7826755766</v>
      </c>
      <c r="AS388" s="107" t="n">
        <v>5953701.47</v>
      </c>
      <c r="AT388" s="107" t="n">
        <v>9010927175</v>
      </c>
      <c r="AU388" s="107" t="n">
        <v>-191955.47</v>
      </c>
      <c r="AV388" s="107" t="n">
        <v>-260752311</v>
      </c>
      <c r="AW388" s="107" t="n">
        <v>1500</v>
      </c>
      <c r="AX388" s="107" t="n">
        <v>2270250</v>
      </c>
      <c r="AY388" s="107" t="n">
        <v>254.53</v>
      </c>
      <c r="AZ388" s="107" t="n">
        <v>385231</v>
      </c>
      <c r="BA388" s="107" t="n">
        <v>0</v>
      </c>
      <c r="BB388" s="107" t="n">
        <v>0</v>
      </c>
      <c r="BC388" s="107" t="n">
        <v>0</v>
      </c>
      <c r="BD388" s="107" t="n">
        <v>0</v>
      </c>
      <c r="BE388" s="107" t="n">
        <v>76500</v>
      </c>
      <c r="BF388" s="107" t="n">
        <v>103917600</v>
      </c>
      <c r="BG388" s="107" t="n">
        <v>2941.28</v>
      </c>
      <c r="BH388" s="107" t="n">
        <v>3995434</v>
      </c>
      <c r="BI388" s="107" t="n">
        <v>5953701.47</v>
      </c>
      <c r="BJ388" s="107" t="n">
        <v>9010927175</v>
      </c>
      <c r="BK388" s="107" t="n">
        <v>0</v>
      </c>
      <c r="BL388" s="107" t="n">
        <v>0</v>
      </c>
      <c r="BM388" s="107" t="n">
        <v>0</v>
      </c>
      <c r="BN388" s="107" t="n">
        <v>0</v>
      </c>
      <c r="BO388" s="2"/>
      <c r="BP388" s="2"/>
      <c r="BQ388" s="107" t="s">
        <v>364</v>
      </c>
      <c r="BR388" s="107" t="n">
        <v>-923419098</v>
      </c>
      <c r="BS388" s="107" t="n">
        <v>-272127</v>
      </c>
      <c r="BT388" s="107" t="n">
        <v>0</v>
      </c>
      <c r="BU388" s="107" t="n">
        <v>0</v>
      </c>
      <c r="BV388" s="107" t="n">
        <v>0</v>
      </c>
      <c r="BW388" s="107" t="n">
        <v>78000</v>
      </c>
      <c r="BX388" s="107" t="n">
        <v>105955200</v>
      </c>
      <c r="BY388" s="107" t="n">
        <v>3195.81</v>
      </c>
      <c r="BZ388" s="107" t="n">
        <v>4341188</v>
      </c>
      <c r="CA388" s="107" t="n">
        <v>1513.5</v>
      </c>
      <c r="CB388" s="2"/>
      <c r="CC388" s="107" t="n">
        <v>0</v>
      </c>
      <c r="CD388" s="107" t="n">
        <v>95.95</v>
      </c>
      <c r="CE388" s="107" t="n">
        <v>95.94</v>
      </c>
      <c r="CF388" s="107" t="n">
        <v>96.19</v>
      </c>
      <c r="CG388" s="107" t="n">
        <v>6000000</v>
      </c>
      <c r="CH388" s="107" t="n">
        <v>4.0286</v>
      </c>
      <c r="CI388" s="2"/>
      <c r="CJ388" s="2"/>
      <c r="CK388" s="2"/>
      <c r="CL388" s="2"/>
    </row>
    <row r="389" customFormat="false" ht="15" hidden="false" customHeight="false" outlineLevel="0" collapsed="false">
      <c r="A389" s="107" t="s">
        <v>846</v>
      </c>
      <c r="B389" s="107" t="n">
        <v>96.8055</v>
      </c>
      <c r="C389" s="107" t="n">
        <v>5.5128</v>
      </c>
      <c r="D389" s="107" t="n">
        <v>4.1074</v>
      </c>
      <c r="E389" s="107" t="n">
        <v>-79.52378214</v>
      </c>
      <c r="F389" s="108" t="s">
        <v>358</v>
      </c>
      <c r="G389" s="107" t="n">
        <v>4.1074</v>
      </c>
      <c r="H389" s="107" t="n">
        <v>-79.52378214</v>
      </c>
      <c r="I389" s="109" t="n">
        <v>48050</v>
      </c>
      <c r="J389" s="107" t="n">
        <v>5</v>
      </c>
      <c r="K389" s="107" t="s">
        <v>359</v>
      </c>
      <c r="L389" s="107" t="s">
        <v>298</v>
      </c>
      <c r="M389" s="107" t="n">
        <v>821480</v>
      </c>
      <c r="N389" s="107" t="n">
        <v>99.52</v>
      </c>
      <c r="O389" s="107" t="n">
        <v>193611</v>
      </c>
      <c r="P389" s="107" t="s">
        <v>549</v>
      </c>
      <c r="Q389" s="107" t="s">
        <v>364</v>
      </c>
      <c r="R389" s="107" t="n">
        <v>-0.103457232815295</v>
      </c>
      <c r="S389" s="107" t="n">
        <v>-0.0272759244372991</v>
      </c>
      <c r="T389" s="107" t="n">
        <v>-81.71545866</v>
      </c>
      <c r="U389" s="107" t="n">
        <v>21069</v>
      </c>
      <c r="V389" s="108" t="s">
        <v>362</v>
      </c>
      <c r="W389" s="107" t="n">
        <v>42003</v>
      </c>
      <c r="X389" s="108" t="s">
        <v>372</v>
      </c>
      <c r="Y389" s="107" t="s">
        <v>842</v>
      </c>
      <c r="Z389" s="107" t="s">
        <v>847</v>
      </c>
      <c r="AA389" s="109" t="n">
        <v>45975</v>
      </c>
      <c r="AB389" s="107" t="n">
        <v>251114000001</v>
      </c>
      <c r="AC389" s="109" t="n">
        <v>45973</v>
      </c>
      <c r="AD389" s="109" t="n">
        <v>47799</v>
      </c>
      <c r="AE389" s="107" t="n">
        <v>4.125</v>
      </c>
      <c r="AF389" s="107" t="n">
        <v>3.6756</v>
      </c>
      <c r="AG389" s="107" t="n">
        <v>1504</v>
      </c>
      <c r="AH389" s="107" t="n">
        <v>200000</v>
      </c>
      <c r="AI389" s="107" t="n">
        <v>4.2341</v>
      </c>
      <c r="AJ389" s="107" t="n">
        <v>99.513</v>
      </c>
      <c r="AK389" s="107" t="n">
        <v>4.100258</v>
      </c>
      <c r="AL389" s="107" t="n">
        <v>101.67035</v>
      </c>
      <c r="AM389" s="107" t="n">
        <v>5.3826</v>
      </c>
      <c r="AN389" s="107" t="n">
        <v>95.403</v>
      </c>
      <c r="AO389" s="107" t="n">
        <v>1358.4</v>
      </c>
      <c r="AP389" s="107" t="n">
        <v>1</v>
      </c>
      <c r="AQ389" s="107" t="n">
        <v>190806</v>
      </c>
      <c r="AR389" s="107" t="n">
        <v>259190870</v>
      </c>
      <c r="AS389" s="107" t="n">
        <v>200178.2</v>
      </c>
      <c r="AT389" s="107" t="n">
        <v>287235699</v>
      </c>
      <c r="AU389" s="107" t="n">
        <v>-9372.2</v>
      </c>
      <c r="AV389" s="107" t="n">
        <v>-12731197</v>
      </c>
      <c r="AW389" s="107" t="n">
        <v>0</v>
      </c>
      <c r="AX389" s="107" t="n">
        <v>0</v>
      </c>
      <c r="AY389" s="107" t="n">
        <v>0</v>
      </c>
      <c r="AZ389" s="107" t="n">
        <v>0</v>
      </c>
      <c r="BA389" s="107" t="n">
        <v>0</v>
      </c>
      <c r="BB389" s="107" t="n">
        <v>0</v>
      </c>
      <c r="BC389" s="107" t="n">
        <v>0</v>
      </c>
      <c r="BD389" s="107" t="n">
        <v>0</v>
      </c>
      <c r="BE389" s="107" t="n">
        <v>3162.5</v>
      </c>
      <c r="BF389" s="107" t="n">
        <v>4295940</v>
      </c>
      <c r="BG389" s="107" t="n">
        <v>0</v>
      </c>
      <c r="BH389" s="107" t="n">
        <v>0</v>
      </c>
      <c r="BI389" s="107" t="n">
        <v>199026</v>
      </c>
      <c r="BJ389" s="107" t="n">
        <v>285582407</v>
      </c>
      <c r="BK389" s="107" t="n">
        <v>0</v>
      </c>
      <c r="BL389" s="107" t="n">
        <v>0</v>
      </c>
      <c r="BM389" s="107" t="n">
        <v>0</v>
      </c>
      <c r="BN389" s="107" t="n">
        <v>0</v>
      </c>
      <c r="BO389" s="107" t="s">
        <v>361</v>
      </c>
      <c r="BP389" s="2"/>
      <c r="BQ389" s="107" t="s">
        <v>369</v>
      </c>
      <c r="BR389" s="107" t="n">
        <v>-15313632</v>
      </c>
      <c r="BS389" s="107" t="n">
        <v>0</v>
      </c>
      <c r="BT389" s="107" t="n">
        <v>0</v>
      </c>
      <c r="BU389" s="107" t="n">
        <v>1152.2</v>
      </c>
      <c r="BV389" s="107" t="n">
        <v>1653292</v>
      </c>
      <c r="BW389" s="107" t="n">
        <v>3162.5</v>
      </c>
      <c r="BX389" s="107" t="n">
        <v>4295940</v>
      </c>
      <c r="BY389" s="107" t="n">
        <v>0</v>
      </c>
      <c r="BZ389" s="107" t="n">
        <v>0</v>
      </c>
      <c r="CA389" s="107" t="n">
        <v>1434.9</v>
      </c>
      <c r="CB389" s="2"/>
      <c r="CC389" s="107" t="n">
        <v>0</v>
      </c>
      <c r="CD389" s="107" t="n">
        <v>95.4</v>
      </c>
      <c r="CE389" s="107" t="n">
        <v>95.4</v>
      </c>
      <c r="CF389" s="107" t="n">
        <v>95.41</v>
      </c>
      <c r="CG389" s="107" t="n">
        <v>200000</v>
      </c>
      <c r="CH389" s="107" t="n">
        <v>3.5793</v>
      </c>
      <c r="CI389" s="2"/>
      <c r="CJ389" s="2"/>
      <c r="CK389" s="2"/>
      <c r="CL389" s="2"/>
    </row>
    <row r="390" customFormat="false" ht="15" hidden="false" customHeight="false" outlineLevel="0" collapsed="false">
      <c r="A390" s="107" t="s">
        <v>848</v>
      </c>
      <c r="B390" s="107" t="n">
        <v>99.1228</v>
      </c>
      <c r="C390" s="107" t="n">
        <v>5.0326</v>
      </c>
      <c r="D390" s="107" t="n">
        <v>0.9281</v>
      </c>
      <c r="E390" s="107" t="n">
        <v>-18.399174136</v>
      </c>
      <c r="F390" s="108" t="s">
        <v>358</v>
      </c>
      <c r="G390" s="107" t="n">
        <v>0.9281</v>
      </c>
      <c r="H390" s="107" t="n">
        <v>-18.399174136</v>
      </c>
      <c r="I390" s="109" t="n">
        <v>46660</v>
      </c>
      <c r="J390" s="107" t="n">
        <v>2</v>
      </c>
      <c r="K390" s="107" t="s">
        <v>359</v>
      </c>
      <c r="L390" s="107" t="s">
        <v>298</v>
      </c>
      <c r="M390" s="107" t="n">
        <v>185620</v>
      </c>
      <c r="N390" s="107" t="n">
        <v>99.844</v>
      </c>
      <c r="O390" s="107" t="n">
        <v>198245.6</v>
      </c>
      <c r="P390" s="107" t="s">
        <v>849</v>
      </c>
      <c r="Q390" s="107" t="s">
        <v>364</v>
      </c>
      <c r="R390" s="107" t="n">
        <v>-0.0637308282721228</v>
      </c>
      <c r="S390" s="107" t="n">
        <v>-0.00722326829854569</v>
      </c>
      <c r="T390" s="107" t="n">
        <v>-18.86306884</v>
      </c>
      <c r="U390" s="107" t="n">
        <v>21069</v>
      </c>
      <c r="V390" s="108" t="s">
        <v>362</v>
      </c>
      <c r="W390" s="107" t="n">
        <v>42003</v>
      </c>
      <c r="X390" s="108" t="s">
        <v>372</v>
      </c>
      <c r="Y390" s="107" t="s">
        <v>844</v>
      </c>
      <c r="Z390" s="107" t="s">
        <v>850</v>
      </c>
      <c r="AA390" s="109" t="n">
        <v>46226</v>
      </c>
      <c r="AB390" s="107" t="n">
        <v>260723000001</v>
      </c>
      <c r="AC390" s="109" t="n">
        <v>46224</v>
      </c>
      <c r="AD390" s="109" t="n">
        <v>47320</v>
      </c>
      <c r="AE390" s="107" t="n">
        <v>1</v>
      </c>
      <c r="AF390" s="107" t="n">
        <v>0.0363</v>
      </c>
      <c r="AG390" s="107" t="n">
        <v>1025</v>
      </c>
      <c r="AH390" s="107" t="n">
        <v>200000</v>
      </c>
      <c r="AI390" s="107" t="n">
        <v>4.15</v>
      </c>
      <c r="AJ390" s="107" t="n">
        <v>91.32</v>
      </c>
      <c r="AK390" s="107" t="n">
        <v>4.364992</v>
      </c>
      <c r="AL390" s="107" t="n">
        <v>91.51722</v>
      </c>
      <c r="AM390" s="107" t="n">
        <v>4.4482</v>
      </c>
      <c r="AN390" s="107" t="n">
        <v>100.2564</v>
      </c>
      <c r="AO390" s="107" t="n">
        <v>1358.4</v>
      </c>
      <c r="AP390" s="107" t="n">
        <v>1</v>
      </c>
      <c r="AQ390" s="107" t="n">
        <v>200512.8</v>
      </c>
      <c r="AR390" s="107" t="n">
        <v>272376588</v>
      </c>
      <c r="AS390" s="107" t="n">
        <v>182640</v>
      </c>
      <c r="AT390" s="107" t="n">
        <v>269503584</v>
      </c>
      <c r="AU390" s="107" t="n">
        <v>17872.8</v>
      </c>
      <c r="AV390" s="107" t="n">
        <v>24278412</v>
      </c>
      <c r="AW390" s="107" t="n">
        <v>11.11</v>
      </c>
      <c r="AX390" s="107" t="n">
        <v>16393</v>
      </c>
      <c r="AY390" s="107" t="n">
        <v>0</v>
      </c>
      <c r="AZ390" s="107" t="n">
        <v>0</v>
      </c>
      <c r="BA390" s="107" t="n">
        <v>0</v>
      </c>
      <c r="BB390" s="107" t="n">
        <v>0</v>
      </c>
      <c r="BC390" s="107" t="n">
        <v>0</v>
      </c>
      <c r="BD390" s="107" t="n">
        <v>0</v>
      </c>
      <c r="BE390" s="107" t="n">
        <v>383.33</v>
      </c>
      <c r="BF390" s="107" t="n">
        <v>520715</v>
      </c>
      <c r="BG390" s="107" t="n">
        <v>0</v>
      </c>
      <c r="BH390" s="107" t="n">
        <v>0</v>
      </c>
      <c r="BI390" s="107" t="n">
        <v>182640</v>
      </c>
      <c r="BJ390" s="107" t="n">
        <v>269503584</v>
      </c>
      <c r="BK390" s="107" t="n">
        <v>0</v>
      </c>
      <c r="BL390" s="107" t="n">
        <v>0</v>
      </c>
      <c r="BM390" s="107" t="n">
        <v>0</v>
      </c>
      <c r="BN390" s="107" t="n">
        <v>0</v>
      </c>
      <c r="BO390" s="107" t="s">
        <v>361</v>
      </c>
      <c r="BP390" s="2"/>
      <c r="BQ390" s="107" t="s">
        <v>369</v>
      </c>
      <c r="BR390" s="107" t="n">
        <v>-21405408</v>
      </c>
      <c r="BS390" s="107" t="n">
        <v>-1301</v>
      </c>
      <c r="BT390" s="107" t="n">
        <v>0</v>
      </c>
      <c r="BU390" s="107" t="n">
        <v>0</v>
      </c>
      <c r="BV390" s="107" t="n">
        <v>0</v>
      </c>
      <c r="BW390" s="107" t="n">
        <v>394.44</v>
      </c>
      <c r="BX390" s="107" t="n">
        <v>535807</v>
      </c>
      <c r="BY390" s="107" t="n">
        <v>0</v>
      </c>
      <c r="BZ390" s="107" t="n">
        <v>0</v>
      </c>
      <c r="CA390" s="107" t="n">
        <v>1475.6</v>
      </c>
      <c r="CB390" s="2"/>
      <c r="CC390" s="107" t="n">
        <v>0</v>
      </c>
      <c r="CD390" s="107" t="n">
        <v>100.25</v>
      </c>
      <c r="CE390" s="107" t="n">
        <v>100.26</v>
      </c>
      <c r="CF390" s="107" t="n">
        <v>100.26</v>
      </c>
      <c r="CG390" s="107" t="n">
        <v>200000</v>
      </c>
      <c r="CH390" s="107" t="n">
        <v>0.0359</v>
      </c>
      <c r="CI390" s="2"/>
      <c r="CJ390" s="2"/>
      <c r="CK390" s="2"/>
      <c r="CL390" s="2"/>
    </row>
    <row r="391" customFormat="false" ht="15" hidden="false" customHeight="false" outlineLevel="0" collapsed="false">
      <c r="A391" s="107" t="s">
        <v>851</v>
      </c>
      <c r="B391" s="107" t="n">
        <v>97.577</v>
      </c>
      <c r="C391" s="107" t="n">
        <v>5.2924</v>
      </c>
      <c r="D391" s="107" t="n">
        <v>1.8582</v>
      </c>
      <c r="E391" s="107" t="n">
        <v>-90.6587907</v>
      </c>
      <c r="F391" s="108" t="s">
        <v>358</v>
      </c>
      <c r="G391" s="107" t="n">
        <v>1.8582</v>
      </c>
      <c r="H391" s="107" t="n">
        <v>-90.6587907</v>
      </c>
      <c r="I391" s="109" t="n">
        <v>47025</v>
      </c>
      <c r="J391" s="107" t="n">
        <v>2</v>
      </c>
      <c r="K391" s="107" t="s">
        <v>359</v>
      </c>
      <c r="L391" s="107" t="s">
        <v>298</v>
      </c>
      <c r="M391" s="107" t="n">
        <v>929100</v>
      </c>
      <c r="N391" s="107" t="n">
        <v>99.804</v>
      </c>
      <c r="O391" s="107" t="n">
        <v>487885</v>
      </c>
      <c r="P391" s="107" t="s">
        <v>849</v>
      </c>
      <c r="Q391" s="107" t="s">
        <v>361</v>
      </c>
      <c r="R391" s="107" t="n">
        <v>-0.0773193652584061</v>
      </c>
      <c r="S391" s="107" t="n">
        <v>-0.0223137349204441</v>
      </c>
      <c r="T391" s="107" t="n">
        <v>-93.0591849</v>
      </c>
      <c r="U391" s="107" t="n">
        <v>21069</v>
      </c>
      <c r="V391" s="108" t="s">
        <v>362</v>
      </c>
      <c r="W391" s="107" t="n">
        <v>42003</v>
      </c>
      <c r="X391" s="108" t="s">
        <v>372</v>
      </c>
      <c r="Y391" s="107" t="s">
        <v>846</v>
      </c>
      <c r="Z391" s="107" t="s">
        <v>852</v>
      </c>
      <c r="AA391" s="109" t="n">
        <v>46226</v>
      </c>
      <c r="AB391" s="107" t="n">
        <v>260723000001</v>
      </c>
      <c r="AC391" s="109" t="n">
        <v>46224</v>
      </c>
      <c r="AD391" s="109" t="n">
        <v>48050</v>
      </c>
      <c r="AE391" s="107" t="n">
        <v>4.75</v>
      </c>
      <c r="AF391" s="107" t="n">
        <v>4.2186</v>
      </c>
      <c r="AG391" s="107" t="n">
        <v>1755</v>
      </c>
      <c r="AH391" s="107" t="n">
        <v>200000</v>
      </c>
      <c r="AI391" s="107" t="n">
        <v>4.86</v>
      </c>
      <c r="AJ391" s="107" t="n">
        <v>99.52</v>
      </c>
      <c r="AK391" s="107" t="n">
        <v>4.857421</v>
      </c>
      <c r="AL391" s="107" t="n">
        <v>100.447945</v>
      </c>
      <c r="AM391" s="107" t="n">
        <v>5.4783</v>
      </c>
      <c r="AN391" s="107" t="n">
        <v>96.9484</v>
      </c>
      <c r="AO391" s="107" t="n">
        <v>1358.4</v>
      </c>
      <c r="AP391" s="107" t="n">
        <v>1</v>
      </c>
      <c r="AQ391" s="107" t="n">
        <v>193896.8</v>
      </c>
      <c r="AR391" s="107" t="n">
        <v>263389413</v>
      </c>
      <c r="AS391" s="107" t="n">
        <v>199034.92</v>
      </c>
      <c r="AT391" s="107" t="n">
        <v>293695928</v>
      </c>
      <c r="AU391" s="107" t="n">
        <v>-5138.12</v>
      </c>
      <c r="AV391" s="107" t="n">
        <v>-6979622</v>
      </c>
      <c r="AW391" s="107" t="n">
        <v>52.78</v>
      </c>
      <c r="AX391" s="107" t="n">
        <v>77882</v>
      </c>
      <c r="AY391" s="107" t="n">
        <v>5.08</v>
      </c>
      <c r="AZ391" s="107" t="n">
        <v>7496</v>
      </c>
      <c r="BA391" s="107" t="n">
        <v>0</v>
      </c>
      <c r="BB391" s="107" t="n">
        <v>0</v>
      </c>
      <c r="BC391" s="107" t="n">
        <v>0</v>
      </c>
      <c r="BD391" s="107" t="n">
        <v>0</v>
      </c>
      <c r="BE391" s="107" t="n">
        <v>1768.05</v>
      </c>
      <c r="BF391" s="107" t="n">
        <v>2401719</v>
      </c>
      <c r="BG391" s="107" t="n">
        <v>35.06</v>
      </c>
      <c r="BH391" s="107" t="n">
        <v>47625</v>
      </c>
      <c r="BI391" s="107" t="n">
        <v>199034.92</v>
      </c>
      <c r="BJ391" s="107" t="n">
        <v>293695928</v>
      </c>
      <c r="BK391" s="107" t="n">
        <v>0</v>
      </c>
      <c r="BL391" s="107" t="n">
        <v>0</v>
      </c>
      <c r="BM391" s="107" t="n">
        <v>0</v>
      </c>
      <c r="BN391" s="107" t="n">
        <v>0</v>
      </c>
      <c r="BO391" s="107" t="s">
        <v>361</v>
      </c>
      <c r="BP391" s="2"/>
      <c r="BQ391" s="107" t="s">
        <v>369</v>
      </c>
      <c r="BR391" s="107" t="n">
        <v>-23326893</v>
      </c>
      <c r="BS391" s="107" t="n">
        <v>-6781</v>
      </c>
      <c r="BT391" s="107" t="n">
        <v>0</v>
      </c>
      <c r="BU391" s="107" t="n">
        <v>0</v>
      </c>
      <c r="BV391" s="107" t="n">
        <v>0</v>
      </c>
      <c r="BW391" s="107" t="n">
        <v>1820.83</v>
      </c>
      <c r="BX391" s="107" t="n">
        <v>2473415</v>
      </c>
      <c r="BY391" s="107" t="n">
        <v>40.14</v>
      </c>
      <c r="BZ391" s="107" t="n">
        <v>54526</v>
      </c>
      <c r="CA391" s="107" t="n">
        <v>1475.6</v>
      </c>
      <c r="CB391" s="2"/>
      <c r="CC391" s="107" t="n">
        <v>0</v>
      </c>
      <c r="CD391" s="107" t="n">
        <v>96.84</v>
      </c>
      <c r="CE391" s="107" t="n">
        <v>96.98</v>
      </c>
      <c r="CF391" s="107" t="n">
        <v>97.03</v>
      </c>
      <c r="CG391" s="107" t="n">
        <v>200000</v>
      </c>
      <c r="CH391" s="107" t="n">
        <v>4.1061</v>
      </c>
      <c r="CI391" s="2"/>
      <c r="CJ391" s="2"/>
      <c r="CK391" s="2"/>
      <c r="CL391" s="2"/>
    </row>
    <row r="392" customFormat="false" ht="15" hidden="false" customHeight="false" outlineLevel="0" collapsed="false">
      <c r="A392" s="107" t="s">
        <v>853</v>
      </c>
      <c r="B392" s="107" t="n">
        <v>95.1272</v>
      </c>
      <c r="C392" s="107" t="n">
        <v>5.4984</v>
      </c>
      <c r="D392" s="107" t="n">
        <v>3.5551</v>
      </c>
      <c r="E392" s="107" t="n">
        <v>-67.637341744</v>
      </c>
      <c r="F392" s="108" t="s">
        <v>358</v>
      </c>
      <c r="G392" s="107" t="n">
        <v>3.5551</v>
      </c>
      <c r="H392" s="107" t="n">
        <v>-67.637341744</v>
      </c>
      <c r="I392" s="109" t="n">
        <v>47755</v>
      </c>
      <c r="J392" s="107" t="n">
        <v>3</v>
      </c>
      <c r="K392" s="107" t="s">
        <v>359</v>
      </c>
      <c r="L392" s="107" t="s">
        <v>298</v>
      </c>
      <c r="M392" s="107" t="n">
        <v>711020</v>
      </c>
      <c r="N392" s="107" t="n">
        <v>99.71</v>
      </c>
      <c r="O392" s="107" t="n">
        <v>190254.4</v>
      </c>
      <c r="P392" s="107" t="s">
        <v>849</v>
      </c>
      <c r="Q392" s="107" t="s">
        <v>361</v>
      </c>
      <c r="R392" s="107" t="n">
        <v>-0.0968668591209561</v>
      </c>
      <c r="S392" s="107" t="n">
        <v>-0.0459612877344298</v>
      </c>
      <c r="T392" s="107" t="n">
        <v>-69.496127232</v>
      </c>
      <c r="U392" s="107" t="n">
        <v>21069</v>
      </c>
      <c r="V392" s="108" t="s">
        <v>362</v>
      </c>
      <c r="W392" s="107" t="n">
        <v>42003</v>
      </c>
      <c r="X392" s="108" t="s">
        <v>372</v>
      </c>
      <c r="Y392" s="107" t="s">
        <v>848</v>
      </c>
      <c r="Z392" s="107" t="s">
        <v>854</v>
      </c>
      <c r="AA392" s="109" t="n">
        <v>45565</v>
      </c>
      <c r="AB392" s="107" t="n">
        <v>240930000001</v>
      </c>
      <c r="AC392" s="109" t="n">
        <v>45565</v>
      </c>
      <c r="AD392" s="109" t="n">
        <v>46660</v>
      </c>
      <c r="AE392" s="107" t="n">
        <v>4.125</v>
      </c>
      <c r="AF392" s="107" t="n">
        <v>0.9735</v>
      </c>
      <c r="AG392" s="107" t="n">
        <v>365</v>
      </c>
      <c r="AH392" s="107" t="n">
        <v>200000</v>
      </c>
      <c r="AI392" s="107" t="n">
        <v>4.181</v>
      </c>
      <c r="AJ392" s="107" t="n">
        <v>99.844</v>
      </c>
      <c r="AK392" s="107" t="n">
        <v>3.66467</v>
      </c>
      <c r="AL392" s="107" t="n">
        <v>100.44798</v>
      </c>
      <c r="AM392" s="107" t="n">
        <v>4.9874</v>
      </c>
      <c r="AN392" s="107" t="n">
        <v>99.1685</v>
      </c>
      <c r="AO392" s="107" t="n">
        <v>1358.4</v>
      </c>
      <c r="AP392" s="107" t="n">
        <v>1</v>
      </c>
      <c r="AQ392" s="107" t="n">
        <v>198337</v>
      </c>
      <c r="AR392" s="107" t="n">
        <v>269420981</v>
      </c>
      <c r="AS392" s="107" t="n">
        <v>200687.4</v>
      </c>
      <c r="AT392" s="107" t="n">
        <v>287966350</v>
      </c>
      <c r="AU392" s="107" t="n">
        <v>-2350.4</v>
      </c>
      <c r="AV392" s="107" t="n">
        <v>-3192783</v>
      </c>
      <c r="AW392" s="107" t="n">
        <v>0</v>
      </c>
      <c r="AX392" s="107" t="n">
        <v>0</v>
      </c>
      <c r="AY392" s="107" t="n">
        <v>0</v>
      </c>
      <c r="AZ392" s="107" t="n">
        <v>0</v>
      </c>
      <c r="BA392" s="107" t="n">
        <v>0</v>
      </c>
      <c r="BB392" s="107" t="n">
        <v>0</v>
      </c>
      <c r="BC392" s="107" t="n">
        <v>0</v>
      </c>
      <c r="BD392" s="107" t="n">
        <v>0</v>
      </c>
      <c r="BE392" s="107" t="n">
        <v>0</v>
      </c>
      <c r="BF392" s="107" t="n">
        <v>0</v>
      </c>
      <c r="BG392" s="107" t="n">
        <v>208.56</v>
      </c>
      <c r="BH392" s="107" t="n">
        <v>283307</v>
      </c>
      <c r="BI392" s="107" t="n">
        <v>199688</v>
      </c>
      <c r="BJ392" s="107" t="n">
        <v>286621353</v>
      </c>
      <c r="BK392" s="107" t="n">
        <v>0</v>
      </c>
      <c r="BL392" s="107" t="n">
        <v>0</v>
      </c>
      <c r="BM392" s="107" t="n">
        <v>0</v>
      </c>
      <c r="BN392" s="107" t="n">
        <v>0</v>
      </c>
      <c r="BO392" s="107" t="s">
        <v>361</v>
      </c>
      <c r="BP392" s="2"/>
      <c r="BQ392" s="107" t="s">
        <v>369</v>
      </c>
      <c r="BR392" s="107" t="n">
        <v>-15352586</v>
      </c>
      <c r="BS392" s="107" t="n">
        <v>0</v>
      </c>
      <c r="BT392" s="107" t="n">
        <v>0</v>
      </c>
      <c r="BU392" s="107" t="n">
        <v>999.4</v>
      </c>
      <c r="BV392" s="107" t="n">
        <v>1344997</v>
      </c>
      <c r="BW392" s="107" t="n">
        <v>0</v>
      </c>
      <c r="BX392" s="107" t="n">
        <v>0</v>
      </c>
      <c r="BY392" s="107" t="n">
        <v>208.56</v>
      </c>
      <c r="BZ392" s="107" t="n">
        <v>283307</v>
      </c>
      <c r="CA392" s="107" t="n">
        <v>1434.9</v>
      </c>
      <c r="CB392" s="2"/>
      <c r="CC392" s="107" t="n">
        <v>0</v>
      </c>
      <c r="CD392" s="107" t="n">
        <v>99.13</v>
      </c>
      <c r="CE392" s="107" t="n">
        <v>99.16</v>
      </c>
      <c r="CF392" s="107" t="n">
        <v>99.22</v>
      </c>
      <c r="CG392" s="107" t="n">
        <v>200000</v>
      </c>
      <c r="CH392" s="107" t="n">
        <v>0.9498</v>
      </c>
      <c r="CI392" s="2"/>
      <c r="CJ392" s="2"/>
      <c r="CK392" s="2"/>
      <c r="CL392" s="2"/>
    </row>
    <row r="393" customFormat="false" ht="15" hidden="false" customHeight="false" outlineLevel="0" collapsed="false">
      <c r="A393" s="107" t="s">
        <v>853</v>
      </c>
      <c r="B393" s="107" t="n">
        <v>95.1272</v>
      </c>
      <c r="C393" s="107" t="n">
        <v>5.4984</v>
      </c>
      <c r="D393" s="107" t="n">
        <v>3.5551</v>
      </c>
      <c r="E393" s="107" t="n">
        <v>-676.37341744</v>
      </c>
      <c r="F393" s="108" t="s">
        <v>358</v>
      </c>
      <c r="G393" s="107" t="n">
        <v>3.5551</v>
      </c>
      <c r="H393" s="107" t="n">
        <v>-676.37341744</v>
      </c>
      <c r="I393" s="109" t="n">
        <v>47755</v>
      </c>
      <c r="J393" s="107" t="n">
        <v>3</v>
      </c>
      <c r="K393" s="107" t="s">
        <v>359</v>
      </c>
      <c r="L393" s="107" t="s">
        <v>298</v>
      </c>
      <c r="M393" s="107" t="n">
        <v>7110200</v>
      </c>
      <c r="N393" s="107" t="n">
        <v>100.23</v>
      </c>
      <c r="O393" s="107" t="n">
        <v>1902544</v>
      </c>
      <c r="P393" s="107" t="s">
        <v>849</v>
      </c>
      <c r="Q393" s="107" t="s">
        <v>361</v>
      </c>
      <c r="R393" s="107" t="n">
        <v>-0.0968668578600291</v>
      </c>
      <c r="S393" s="107" t="n">
        <v>-0.050910904918687</v>
      </c>
      <c r="T393" s="107" t="n">
        <v>-694.96127232</v>
      </c>
      <c r="U393" s="107" t="n">
        <v>21069</v>
      </c>
      <c r="V393" s="108" t="s">
        <v>362</v>
      </c>
      <c r="W393" s="107" t="n">
        <v>42003</v>
      </c>
      <c r="X393" s="108" t="s">
        <v>372</v>
      </c>
      <c r="Y393" s="107" t="s">
        <v>851</v>
      </c>
      <c r="Z393" s="107" t="s">
        <v>855</v>
      </c>
      <c r="AA393" s="109" t="n">
        <v>45931</v>
      </c>
      <c r="AB393" s="107" t="n">
        <v>251001000001</v>
      </c>
      <c r="AC393" s="109" t="n">
        <v>45929</v>
      </c>
      <c r="AD393" s="109" t="n">
        <v>47025</v>
      </c>
      <c r="AE393" s="107" t="n">
        <v>4</v>
      </c>
      <c r="AF393" s="107" t="n">
        <v>1.9049</v>
      </c>
      <c r="AG393" s="107" t="n">
        <v>730</v>
      </c>
      <c r="AH393" s="107" t="n">
        <v>500000</v>
      </c>
      <c r="AI393" s="107" t="n">
        <v>4.07</v>
      </c>
      <c r="AJ393" s="107" t="n">
        <v>99.804</v>
      </c>
      <c r="AK393" s="107" t="n">
        <v>3.842524</v>
      </c>
      <c r="AL393" s="107" t="n">
        <v>100.310992</v>
      </c>
      <c r="AM393" s="107" t="n">
        <v>5.2423</v>
      </c>
      <c r="AN393" s="107" t="n">
        <v>97.6723</v>
      </c>
      <c r="AO393" s="107" t="n">
        <v>1358.4</v>
      </c>
      <c r="AP393" s="107" t="n">
        <v>1</v>
      </c>
      <c r="AQ393" s="107" t="n">
        <v>488361.5</v>
      </c>
      <c r="AR393" s="107" t="n">
        <v>663390262</v>
      </c>
      <c r="AS393" s="107" t="n">
        <v>501168</v>
      </c>
      <c r="AT393" s="107" t="n">
        <v>719125963</v>
      </c>
      <c r="AU393" s="107" t="n">
        <v>-12806.5</v>
      </c>
      <c r="AV393" s="107" t="n">
        <v>-17396349</v>
      </c>
      <c r="AW393" s="107" t="n">
        <v>0</v>
      </c>
      <c r="AX393" s="107" t="n">
        <v>0</v>
      </c>
      <c r="AY393" s="107" t="n">
        <v>0</v>
      </c>
      <c r="AZ393" s="107" t="n">
        <v>0</v>
      </c>
      <c r="BA393" s="107" t="n">
        <v>0</v>
      </c>
      <c r="BB393" s="107" t="n">
        <v>0</v>
      </c>
      <c r="BC393" s="107" t="n">
        <v>0</v>
      </c>
      <c r="BD393" s="107" t="n">
        <v>0</v>
      </c>
      <c r="BE393" s="107" t="n">
        <v>55.56</v>
      </c>
      <c r="BF393" s="107" t="n">
        <v>75472</v>
      </c>
      <c r="BG393" s="107" t="n">
        <v>331.4</v>
      </c>
      <c r="BH393" s="107" t="n">
        <v>450173</v>
      </c>
      <c r="BI393" s="107" t="n">
        <v>499020</v>
      </c>
      <c r="BJ393" s="107" t="n">
        <v>716043798</v>
      </c>
      <c r="BK393" s="107" t="n">
        <v>0</v>
      </c>
      <c r="BL393" s="107" t="n">
        <v>0</v>
      </c>
      <c r="BM393" s="107" t="n">
        <v>0</v>
      </c>
      <c r="BN393" s="107" t="n">
        <v>0</v>
      </c>
      <c r="BO393" s="107" t="s">
        <v>361</v>
      </c>
      <c r="BP393" s="2"/>
      <c r="BQ393" s="107" t="s">
        <v>369</v>
      </c>
      <c r="BR393" s="107" t="n">
        <v>-38339352</v>
      </c>
      <c r="BS393" s="107" t="n">
        <v>0</v>
      </c>
      <c r="BT393" s="107" t="n">
        <v>0</v>
      </c>
      <c r="BU393" s="107" t="n">
        <v>2148</v>
      </c>
      <c r="BV393" s="107" t="n">
        <v>3082165</v>
      </c>
      <c r="BW393" s="107" t="n">
        <v>55.56</v>
      </c>
      <c r="BX393" s="107" t="n">
        <v>75472</v>
      </c>
      <c r="BY393" s="107" t="n">
        <v>331.4</v>
      </c>
      <c r="BZ393" s="107" t="n">
        <v>450173</v>
      </c>
      <c r="CA393" s="107" t="n">
        <v>1434.9</v>
      </c>
      <c r="CB393" s="2"/>
      <c r="CC393" s="107" t="n">
        <v>0</v>
      </c>
      <c r="CD393" s="107" t="n">
        <v>97.69</v>
      </c>
      <c r="CE393" s="107" t="n">
        <v>97.66</v>
      </c>
      <c r="CF393" s="107" t="n">
        <v>97.66</v>
      </c>
      <c r="CG393" s="107" t="n">
        <v>500000</v>
      </c>
      <c r="CH393" s="107" t="n">
        <v>1.8562</v>
      </c>
      <c r="CI393" s="2"/>
      <c r="CJ393" s="2"/>
      <c r="CK393" s="2"/>
      <c r="CL393" s="2"/>
    </row>
    <row r="394" customFormat="false" ht="15" hidden="false" customHeight="false" outlineLevel="0" collapsed="false">
      <c r="A394" s="107" t="s">
        <v>856</v>
      </c>
      <c r="B394" s="107" t="n">
        <v>98.0403</v>
      </c>
      <c r="C394" s="107" t="n">
        <v>5.3468</v>
      </c>
      <c r="D394" s="107" t="n">
        <v>2.2227</v>
      </c>
      <c r="E394" s="107" t="n">
        <v>-108.957087405</v>
      </c>
      <c r="F394" s="108" t="s">
        <v>358</v>
      </c>
      <c r="G394" s="107" t="n">
        <v>2.2227</v>
      </c>
      <c r="H394" s="107" t="n">
        <v>-108.957087405</v>
      </c>
      <c r="I394" s="109" t="n">
        <v>47207</v>
      </c>
      <c r="J394" s="107" t="n">
        <v>3</v>
      </c>
      <c r="K394" s="107" t="s">
        <v>359</v>
      </c>
      <c r="L394" s="107" t="s">
        <v>298</v>
      </c>
      <c r="M394" s="107" t="n">
        <v>1111350</v>
      </c>
      <c r="N394" s="107" t="n">
        <v>99.7</v>
      </c>
      <c r="O394" s="107" t="n">
        <v>490201.5</v>
      </c>
      <c r="P394" s="107" t="s">
        <v>849</v>
      </c>
      <c r="Q394" s="107" t="s">
        <v>364</v>
      </c>
      <c r="R394" s="107" t="n">
        <v>-0.116320760881826</v>
      </c>
      <c r="S394" s="107" t="n">
        <v>-0.0166469408224674</v>
      </c>
      <c r="T394" s="107" t="n">
        <v>-111.868884315</v>
      </c>
      <c r="U394" s="107" t="n">
        <v>21069</v>
      </c>
      <c r="V394" s="108" t="s">
        <v>362</v>
      </c>
      <c r="W394" s="107" t="n">
        <v>42003</v>
      </c>
      <c r="X394" s="108" t="s">
        <v>372</v>
      </c>
      <c r="Y394" s="107" t="s">
        <v>853</v>
      </c>
      <c r="Z394" s="107" t="s">
        <v>857</v>
      </c>
      <c r="AA394" s="109" t="n">
        <v>45931</v>
      </c>
      <c r="AB394" s="107" t="n">
        <v>251001000001</v>
      </c>
      <c r="AC394" s="109" t="n">
        <v>45929</v>
      </c>
      <c r="AD394" s="109" t="n">
        <v>47755</v>
      </c>
      <c r="AE394" s="107" t="n">
        <v>4.125</v>
      </c>
      <c r="AF394" s="107" t="n">
        <v>3.6505</v>
      </c>
      <c r="AG394" s="107" t="n">
        <v>1460</v>
      </c>
      <c r="AH394" s="107" t="n">
        <v>200000</v>
      </c>
      <c r="AI394" s="107" t="n">
        <v>4.19</v>
      </c>
      <c r="AJ394" s="107" t="n">
        <v>99.71</v>
      </c>
      <c r="AK394" s="107" t="n">
        <v>4.171005</v>
      </c>
      <c r="AL394" s="107" t="n">
        <v>99.84356</v>
      </c>
      <c r="AM394" s="107" t="n">
        <v>5.4651</v>
      </c>
      <c r="AN394" s="107" t="n">
        <v>95.2447</v>
      </c>
      <c r="AO394" s="107" t="n">
        <v>1358.4</v>
      </c>
      <c r="AP394" s="107" t="n">
        <v>1</v>
      </c>
      <c r="AQ394" s="107" t="n">
        <v>190489.4</v>
      </c>
      <c r="AR394" s="107" t="n">
        <v>258760801</v>
      </c>
      <c r="AS394" s="107" t="n">
        <v>199664.2</v>
      </c>
      <c r="AT394" s="107" t="n">
        <v>286498161</v>
      </c>
      <c r="AU394" s="107" t="n">
        <v>-9174.8</v>
      </c>
      <c r="AV394" s="107" t="n">
        <v>-12463048</v>
      </c>
      <c r="AW394" s="107" t="n">
        <v>0</v>
      </c>
      <c r="AX394" s="107" t="n">
        <v>0</v>
      </c>
      <c r="AY394" s="107" t="n">
        <v>0</v>
      </c>
      <c r="AZ394" s="107" t="n">
        <v>0</v>
      </c>
      <c r="BA394" s="107" t="n">
        <v>0</v>
      </c>
      <c r="BB394" s="107" t="n">
        <v>0</v>
      </c>
      <c r="BC394" s="107" t="n">
        <v>0</v>
      </c>
      <c r="BD394" s="107" t="n">
        <v>0</v>
      </c>
      <c r="BE394" s="107" t="n">
        <v>22.92</v>
      </c>
      <c r="BF394" s="107" t="n">
        <v>31134</v>
      </c>
      <c r="BG394" s="107" t="n">
        <v>0</v>
      </c>
      <c r="BH394" s="107" t="n">
        <v>0</v>
      </c>
      <c r="BI394" s="107" t="n">
        <v>199420</v>
      </c>
      <c r="BJ394" s="107" t="n">
        <v>286147758</v>
      </c>
      <c r="BK394" s="107" t="n">
        <v>0</v>
      </c>
      <c r="BL394" s="107" t="n">
        <v>0</v>
      </c>
      <c r="BM394" s="107" t="n">
        <v>0</v>
      </c>
      <c r="BN394" s="107" t="n">
        <v>0</v>
      </c>
      <c r="BO394" s="107" t="s">
        <v>361</v>
      </c>
      <c r="BP394" s="2"/>
      <c r="BQ394" s="107" t="s">
        <v>369</v>
      </c>
      <c r="BR394" s="107" t="n">
        <v>-15274312</v>
      </c>
      <c r="BS394" s="107" t="n">
        <v>0</v>
      </c>
      <c r="BT394" s="107" t="n">
        <v>0</v>
      </c>
      <c r="BU394" s="107" t="n">
        <v>244.2</v>
      </c>
      <c r="BV394" s="107" t="n">
        <v>350403</v>
      </c>
      <c r="BW394" s="107" t="n">
        <v>22.92</v>
      </c>
      <c r="BX394" s="107" t="n">
        <v>31134</v>
      </c>
      <c r="BY394" s="107" t="n">
        <v>0</v>
      </c>
      <c r="BZ394" s="107" t="n">
        <v>0</v>
      </c>
      <c r="CA394" s="107" t="n">
        <v>1434.9</v>
      </c>
      <c r="CB394" s="2"/>
      <c r="CC394" s="107" t="n">
        <v>0</v>
      </c>
      <c r="CD394" s="107" t="n">
        <v>95.23</v>
      </c>
      <c r="CE394" s="107" t="n">
        <v>95.24</v>
      </c>
      <c r="CF394" s="107" t="n">
        <v>95.26</v>
      </c>
      <c r="CG394" s="107" t="n">
        <v>200000</v>
      </c>
      <c r="CH394" s="107" t="n">
        <v>3.5534</v>
      </c>
      <c r="CI394" s="2"/>
      <c r="CJ394" s="2"/>
      <c r="CK394" s="2"/>
      <c r="CL394" s="2"/>
    </row>
    <row r="395" customFormat="false" ht="15" hidden="false" customHeight="false" outlineLevel="0" collapsed="false">
      <c r="A395" s="107" t="s">
        <v>858</v>
      </c>
      <c r="B395" s="107" t="n">
        <v>96.383</v>
      </c>
      <c r="C395" s="107" t="n">
        <v>5.5434</v>
      </c>
      <c r="D395" s="107" t="n">
        <v>3.8045</v>
      </c>
      <c r="E395" s="107" t="n">
        <v>-73.3378247</v>
      </c>
      <c r="F395" s="108" t="s">
        <v>358</v>
      </c>
      <c r="G395" s="107" t="n">
        <v>3.8045</v>
      </c>
      <c r="H395" s="107" t="n">
        <v>-73.3378247</v>
      </c>
      <c r="I395" s="109" t="n">
        <v>47937</v>
      </c>
      <c r="J395" s="107" t="n">
        <v>5</v>
      </c>
      <c r="K395" s="107" t="s">
        <v>359</v>
      </c>
      <c r="L395" s="107" t="s">
        <v>298</v>
      </c>
      <c r="M395" s="107" t="n">
        <v>760900</v>
      </c>
      <c r="N395" s="107" t="n">
        <v>99.42</v>
      </c>
      <c r="O395" s="107" t="n">
        <v>192766</v>
      </c>
      <c r="P395" s="107" t="s">
        <v>849</v>
      </c>
      <c r="Q395" s="107" t="s">
        <v>364</v>
      </c>
      <c r="R395" s="107" t="n">
        <v>-0.128812049759093</v>
      </c>
      <c r="S395" s="107" t="n">
        <v>-0.0305471736069202</v>
      </c>
      <c r="T395" s="107" t="n">
        <v>-75.371506</v>
      </c>
      <c r="U395" s="107" t="n">
        <v>21069</v>
      </c>
      <c r="V395" s="108" t="s">
        <v>362</v>
      </c>
      <c r="W395" s="107" t="n">
        <v>42003</v>
      </c>
      <c r="X395" s="108" t="s">
        <v>372</v>
      </c>
      <c r="Y395" s="107" t="s">
        <v>853</v>
      </c>
      <c r="Z395" s="107" t="s">
        <v>857</v>
      </c>
      <c r="AA395" s="109" t="n">
        <v>45957</v>
      </c>
      <c r="AB395" s="107" t="n">
        <v>251027000001</v>
      </c>
      <c r="AC395" s="109" t="n">
        <v>45929</v>
      </c>
      <c r="AD395" s="109" t="n">
        <v>47755</v>
      </c>
      <c r="AE395" s="107" t="n">
        <v>4.125</v>
      </c>
      <c r="AF395" s="107" t="n">
        <v>3.6505</v>
      </c>
      <c r="AG395" s="107" t="n">
        <v>1460</v>
      </c>
      <c r="AH395" s="107" t="n">
        <v>2000000</v>
      </c>
      <c r="AI395" s="107" t="n">
        <v>4.07234</v>
      </c>
      <c r="AJ395" s="107" t="n">
        <v>100.23</v>
      </c>
      <c r="AK395" s="107" t="n">
        <v>4.171006</v>
      </c>
      <c r="AL395" s="107" t="n">
        <v>99.843558</v>
      </c>
      <c r="AM395" s="107" t="n">
        <v>5.4651</v>
      </c>
      <c r="AN395" s="107" t="n">
        <v>95.2447</v>
      </c>
      <c r="AO395" s="107" t="n">
        <v>1358.4</v>
      </c>
      <c r="AP395" s="107" t="n">
        <v>1</v>
      </c>
      <c r="AQ395" s="107" t="n">
        <v>1904894</v>
      </c>
      <c r="AR395" s="107" t="n">
        <v>2587608010</v>
      </c>
      <c r="AS395" s="107" t="n">
        <v>1996642</v>
      </c>
      <c r="AT395" s="107" t="n">
        <v>2864981606</v>
      </c>
      <c r="AU395" s="107" t="n">
        <v>-91748</v>
      </c>
      <c r="AV395" s="107" t="n">
        <v>-124630483</v>
      </c>
      <c r="AW395" s="107" t="n">
        <v>0</v>
      </c>
      <c r="AX395" s="107" t="n">
        <v>0</v>
      </c>
      <c r="AY395" s="107" t="n">
        <v>0</v>
      </c>
      <c r="AZ395" s="107" t="n">
        <v>0</v>
      </c>
      <c r="BA395" s="107" t="n">
        <v>0</v>
      </c>
      <c r="BB395" s="107" t="n">
        <v>0</v>
      </c>
      <c r="BC395" s="107" t="n">
        <v>0</v>
      </c>
      <c r="BD395" s="107" t="n">
        <v>0</v>
      </c>
      <c r="BE395" s="107" t="n">
        <v>229.17</v>
      </c>
      <c r="BF395" s="107" t="n">
        <v>311304</v>
      </c>
      <c r="BG395" s="107" t="n">
        <v>0</v>
      </c>
      <c r="BH395" s="107" t="n">
        <v>0</v>
      </c>
      <c r="BI395" s="107" t="n">
        <v>2004600</v>
      </c>
      <c r="BJ395" s="107" t="n">
        <v>2876400540</v>
      </c>
      <c r="BK395" s="107" t="n">
        <v>0</v>
      </c>
      <c r="BL395" s="107" t="n">
        <v>0</v>
      </c>
      <c r="BM395" s="107" t="n">
        <v>0</v>
      </c>
      <c r="BN395" s="107" t="n">
        <v>0</v>
      </c>
      <c r="BO395" s="107" t="s">
        <v>361</v>
      </c>
      <c r="BP395" s="2"/>
      <c r="BQ395" s="107" t="s">
        <v>369</v>
      </c>
      <c r="BR395" s="107" t="n">
        <v>-152743113</v>
      </c>
      <c r="BS395" s="107" t="n">
        <v>0</v>
      </c>
      <c r="BT395" s="107" t="n">
        <v>0</v>
      </c>
      <c r="BU395" s="107" t="n">
        <v>-7958</v>
      </c>
      <c r="BV395" s="107" t="n">
        <v>-11418934</v>
      </c>
      <c r="BW395" s="107" t="n">
        <v>229.17</v>
      </c>
      <c r="BX395" s="107" t="n">
        <v>311304</v>
      </c>
      <c r="BY395" s="107" t="n">
        <v>0</v>
      </c>
      <c r="BZ395" s="107" t="n">
        <v>0</v>
      </c>
      <c r="CA395" s="107" t="n">
        <v>1434.9</v>
      </c>
      <c r="CB395" s="2"/>
      <c r="CC395" s="107" t="n">
        <v>0</v>
      </c>
      <c r="CD395" s="107" t="n">
        <v>95.23</v>
      </c>
      <c r="CE395" s="107" t="n">
        <v>95.24</v>
      </c>
      <c r="CF395" s="107" t="n">
        <v>95.26</v>
      </c>
      <c r="CG395" s="107" t="n">
        <v>2000000</v>
      </c>
      <c r="CH395" s="107" t="n">
        <v>3.5534</v>
      </c>
      <c r="CI395" s="2"/>
      <c r="CJ395" s="2"/>
      <c r="CK395" s="2"/>
      <c r="CL395" s="2"/>
    </row>
    <row r="396" customFormat="false" ht="15" hidden="false" customHeight="false" outlineLevel="0" collapsed="false">
      <c r="A396" s="107" t="s">
        <v>859</v>
      </c>
      <c r="B396" s="107" t="n">
        <v>98.5321</v>
      </c>
      <c r="C396" s="107" t="n">
        <v>5.265</v>
      </c>
      <c r="D396" s="107" t="n">
        <v>1.2565</v>
      </c>
      <c r="E396" s="107" t="n">
        <v>-61.902791825</v>
      </c>
      <c r="F396" s="108" t="s">
        <v>358</v>
      </c>
      <c r="G396" s="107" t="n">
        <v>1.2565</v>
      </c>
      <c r="H396" s="107" t="n">
        <v>-61.902791825</v>
      </c>
      <c r="I396" s="109" t="n">
        <v>46785</v>
      </c>
      <c r="J396" s="107" t="n">
        <v>2</v>
      </c>
      <c r="K396" s="107" t="s">
        <v>359</v>
      </c>
      <c r="L396" s="107" t="s">
        <v>298</v>
      </c>
      <c r="M396" s="107" t="n">
        <v>628250</v>
      </c>
      <c r="N396" s="107" t="n">
        <v>100.22</v>
      </c>
      <c r="O396" s="107" t="n">
        <v>492660.5</v>
      </c>
      <c r="P396" s="107" t="s">
        <v>860</v>
      </c>
      <c r="Q396" s="107" t="s">
        <v>364</v>
      </c>
      <c r="R396" s="107" t="n">
        <v>-0.0683688756645806</v>
      </c>
      <c r="S396" s="107" t="n">
        <v>-0.0168419477150269</v>
      </c>
      <c r="T396" s="107" t="n">
        <v>-63.53349808</v>
      </c>
      <c r="U396" s="107" t="n">
        <v>21069</v>
      </c>
      <c r="V396" s="108" t="s">
        <v>362</v>
      </c>
      <c r="W396" s="107" t="n">
        <v>42003</v>
      </c>
      <c r="X396" s="108" t="s">
        <v>372</v>
      </c>
      <c r="Y396" s="107" t="s">
        <v>856</v>
      </c>
      <c r="Z396" s="107" t="s">
        <v>861</v>
      </c>
      <c r="AA396" s="109" t="n">
        <v>46113</v>
      </c>
      <c r="AB396" s="107" t="n">
        <v>260401000001</v>
      </c>
      <c r="AC396" s="109" t="n">
        <v>46111</v>
      </c>
      <c r="AD396" s="109" t="n">
        <v>47207</v>
      </c>
      <c r="AE396" s="107" t="n">
        <v>4.5</v>
      </c>
      <c r="AF396" s="107" t="n">
        <v>2.3474</v>
      </c>
      <c r="AG396" s="107" t="n">
        <v>912</v>
      </c>
      <c r="AH396" s="107" t="n">
        <v>500000</v>
      </c>
      <c r="AI396" s="107" t="n">
        <v>4.61</v>
      </c>
      <c r="AJ396" s="107" t="n">
        <v>99.7</v>
      </c>
      <c r="AK396" s="107" t="n">
        <v>4.628458</v>
      </c>
      <c r="AL396" s="107" t="n">
        <v>99.7</v>
      </c>
      <c r="AM396" s="107" t="n">
        <v>5.3033</v>
      </c>
      <c r="AN396" s="107" t="n">
        <v>98.1418</v>
      </c>
      <c r="AO396" s="107" t="n">
        <v>1358.4</v>
      </c>
      <c r="AP396" s="107" t="n">
        <v>1</v>
      </c>
      <c r="AQ396" s="107" t="n">
        <v>490709</v>
      </c>
      <c r="AR396" s="107" t="n">
        <v>666579106</v>
      </c>
      <c r="AS396" s="107" t="n">
        <v>498500</v>
      </c>
      <c r="AT396" s="107" t="n">
        <v>754429900</v>
      </c>
      <c r="AU396" s="107" t="n">
        <v>-7791</v>
      </c>
      <c r="AV396" s="107" t="n">
        <v>-10583294</v>
      </c>
      <c r="AW396" s="107" t="n">
        <v>0</v>
      </c>
      <c r="AX396" s="107" t="n">
        <v>0</v>
      </c>
      <c r="AY396" s="107" t="n">
        <v>0</v>
      </c>
      <c r="AZ396" s="107" t="n">
        <v>0</v>
      </c>
      <c r="BA396" s="107" t="n">
        <v>0</v>
      </c>
      <c r="BB396" s="107" t="n">
        <v>0</v>
      </c>
      <c r="BC396" s="107" t="n">
        <v>0</v>
      </c>
      <c r="BD396" s="107" t="n">
        <v>0</v>
      </c>
      <c r="BE396" s="107" t="n">
        <v>0</v>
      </c>
      <c r="BF396" s="107" t="n">
        <v>0</v>
      </c>
      <c r="BG396" s="107" t="n">
        <v>0</v>
      </c>
      <c r="BH396" s="107" t="n">
        <v>0</v>
      </c>
      <c r="BI396" s="107" t="n">
        <v>498500</v>
      </c>
      <c r="BJ396" s="107" t="n">
        <v>754429900</v>
      </c>
      <c r="BK396" s="107" t="n">
        <v>0</v>
      </c>
      <c r="BL396" s="107" t="n">
        <v>0</v>
      </c>
      <c r="BM396" s="107" t="n">
        <v>0</v>
      </c>
      <c r="BN396" s="107" t="n">
        <v>0</v>
      </c>
      <c r="BO396" s="107" t="s">
        <v>361</v>
      </c>
      <c r="BP396" s="2"/>
      <c r="BQ396" s="107" t="s">
        <v>369</v>
      </c>
      <c r="BR396" s="107" t="n">
        <v>-77267500</v>
      </c>
      <c r="BS396" s="107" t="n">
        <v>0</v>
      </c>
      <c r="BT396" s="107" t="n">
        <v>0</v>
      </c>
      <c r="BU396" s="107" t="n">
        <v>0</v>
      </c>
      <c r="BV396" s="107" t="n">
        <v>0</v>
      </c>
      <c r="BW396" s="107" t="n">
        <v>0</v>
      </c>
      <c r="BX396" s="107" t="n">
        <v>0</v>
      </c>
      <c r="BY396" s="107" t="n">
        <v>0</v>
      </c>
      <c r="BZ396" s="107" t="n">
        <v>0</v>
      </c>
      <c r="CA396" s="107" t="n">
        <v>1513.4</v>
      </c>
      <c r="CB396" s="2"/>
      <c r="CC396" s="107" t="n">
        <v>0</v>
      </c>
      <c r="CD396" s="107" t="n">
        <v>98.15</v>
      </c>
      <c r="CE396" s="107" t="n">
        <v>98.14</v>
      </c>
      <c r="CF396" s="107" t="n">
        <v>98.13</v>
      </c>
      <c r="CG396" s="107" t="n">
        <v>500000</v>
      </c>
      <c r="CH396" s="107" t="n">
        <v>2.2868</v>
      </c>
      <c r="CI396" s="2"/>
      <c r="CJ396" s="2"/>
      <c r="CK396" s="2"/>
      <c r="CL396" s="2"/>
    </row>
    <row r="397" customFormat="false" ht="15" hidden="false" customHeight="false" outlineLevel="0" collapsed="false">
      <c r="A397" s="107" t="s">
        <v>862</v>
      </c>
      <c r="B397" s="107" t="n">
        <v>97.4512</v>
      </c>
      <c r="C397" s="107" t="n">
        <v>5.4792</v>
      </c>
      <c r="D397" s="107" t="n">
        <v>2.915</v>
      </c>
      <c r="E397" s="107" t="n">
        <v>-56.8140496</v>
      </c>
      <c r="F397" s="108" t="s">
        <v>358</v>
      </c>
      <c r="G397" s="107" t="n">
        <v>2.915</v>
      </c>
      <c r="H397" s="107" t="n">
        <v>-56.8140496</v>
      </c>
      <c r="I397" s="109" t="n">
        <v>47496</v>
      </c>
      <c r="J397" s="107" t="n">
        <v>3</v>
      </c>
      <c r="K397" s="107" t="s">
        <v>359</v>
      </c>
      <c r="L397" s="107" t="s">
        <v>298</v>
      </c>
      <c r="M397" s="107" t="n">
        <v>583000</v>
      </c>
      <c r="N397" s="107" t="n">
        <v>99.73</v>
      </c>
      <c r="O397" s="107" t="n">
        <v>194902.4</v>
      </c>
      <c r="P397" s="107" t="s">
        <v>860</v>
      </c>
      <c r="Q397" s="107" t="s">
        <v>374</v>
      </c>
      <c r="R397" s="107" t="n">
        <v>-0.116918687310849</v>
      </c>
      <c r="S397" s="107" t="n">
        <v>-0.0228496941742705</v>
      </c>
      <c r="T397" s="107" t="n">
        <v>-58.371319776</v>
      </c>
      <c r="U397" s="107" t="n">
        <v>21069</v>
      </c>
      <c r="V397" s="108" t="s">
        <v>362</v>
      </c>
      <c r="W397" s="107" t="n">
        <v>42003</v>
      </c>
      <c r="X397" s="108" t="s">
        <v>372</v>
      </c>
      <c r="Y397" s="107" t="s">
        <v>858</v>
      </c>
      <c r="Z397" s="107" t="s">
        <v>863</v>
      </c>
      <c r="AA397" s="109" t="n">
        <v>46113</v>
      </c>
      <c r="AB397" s="107" t="n">
        <v>260401000001</v>
      </c>
      <c r="AC397" s="109" t="n">
        <v>46111</v>
      </c>
      <c r="AD397" s="109" t="n">
        <v>47937</v>
      </c>
      <c r="AE397" s="107" t="n">
        <v>4.625</v>
      </c>
      <c r="AF397" s="107" t="n">
        <v>4.0307</v>
      </c>
      <c r="AG397" s="107" t="n">
        <v>1642</v>
      </c>
      <c r="AH397" s="107" t="n">
        <v>200000</v>
      </c>
      <c r="AI397" s="107" t="n">
        <v>4.757</v>
      </c>
      <c r="AJ397" s="107" t="n">
        <v>99.42</v>
      </c>
      <c r="AK397" s="107" t="n">
        <v>4.76974</v>
      </c>
      <c r="AL397" s="107" t="n">
        <v>99.42</v>
      </c>
      <c r="AM397" s="107" t="n">
        <v>5.5098</v>
      </c>
      <c r="AN397" s="107" t="n">
        <v>96.5146</v>
      </c>
      <c r="AO397" s="107" t="n">
        <v>1358.4</v>
      </c>
      <c r="AP397" s="107" t="n">
        <v>1</v>
      </c>
      <c r="AQ397" s="107" t="n">
        <v>193029.2</v>
      </c>
      <c r="AR397" s="107" t="n">
        <v>262210865</v>
      </c>
      <c r="AS397" s="107" t="n">
        <v>198840</v>
      </c>
      <c r="AT397" s="107" t="n">
        <v>300924456</v>
      </c>
      <c r="AU397" s="107" t="n">
        <v>-5810.8</v>
      </c>
      <c r="AV397" s="107" t="n">
        <v>-7893391</v>
      </c>
      <c r="AW397" s="107" t="n">
        <v>0</v>
      </c>
      <c r="AX397" s="107" t="n">
        <v>0</v>
      </c>
      <c r="AY397" s="107" t="n">
        <v>0</v>
      </c>
      <c r="AZ397" s="107" t="n">
        <v>0</v>
      </c>
      <c r="BA397" s="107" t="n">
        <v>0</v>
      </c>
      <c r="BB397" s="107" t="n">
        <v>0</v>
      </c>
      <c r="BC397" s="107" t="n">
        <v>0</v>
      </c>
      <c r="BD397" s="107" t="n">
        <v>0</v>
      </c>
      <c r="BE397" s="107" t="n">
        <v>0</v>
      </c>
      <c r="BF397" s="107" t="n">
        <v>0</v>
      </c>
      <c r="BG397" s="107" t="n">
        <v>0</v>
      </c>
      <c r="BH397" s="107" t="n">
        <v>0</v>
      </c>
      <c r="BI397" s="107" t="n">
        <v>198840</v>
      </c>
      <c r="BJ397" s="107" t="n">
        <v>300924456</v>
      </c>
      <c r="BK397" s="107" t="n">
        <v>0</v>
      </c>
      <c r="BL397" s="107" t="n">
        <v>0</v>
      </c>
      <c r="BM397" s="107" t="n">
        <v>0</v>
      </c>
      <c r="BN397" s="107" t="n">
        <v>0</v>
      </c>
      <c r="BO397" s="107" t="s">
        <v>361</v>
      </c>
      <c r="BP397" s="2"/>
      <c r="BQ397" s="107" t="s">
        <v>369</v>
      </c>
      <c r="BR397" s="107" t="n">
        <v>-30820200</v>
      </c>
      <c r="BS397" s="107" t="n">
        <v>0</v>
      </c>
      <c r="BT397" s="107" t="n">
        <v>0</v>
      </c>
      <c r="BU397" s="107" t="n">
        <v>0</v>
      </c>
      <c r="BV397" s="107" t="n">
        <v>0</v>
      </c>
      <c r="BW397" s="107" t="n">
        <v>0</v>
      </c>
      <c r="BX397" s="107" t="n">
        <v>0</v>
      </c>
      <c r="BY397" s="107" t="n">
        <v>0</v>
      </c>
      <c r="BZ397" s="107" t="n">
        <v>0</v>
      </c>
      <c r="CA397" s="107" t="n">
        <v>1513.4</v>
      </c>
      <c r="CB397" s="2"/>
      <c r="CC397" s="107" t="n">
        <v>0</v>
      </c>
      <c r="CD397" s="107" t="n">
        <v>96.5</v>
      </c>
      <c r="CE397" s="107" t="n">
        <v>96.51</v>
      </c>
      <c r="CF397" s="107" t="n">
        <v>96.53</v>
      </c>
      <c r="CG397" s="107" t="n">
        <v>200000</v>
      </c>
      <c r="CH397" s="107" t="n">
        <v>3.9226</v>
      </c>
      <c r="CI397" s="2"/>
      <c r="CJ397" s="2"/>
      <c r="CK397" s="2"/>
      <c r="CL397" s="2"/>
    </row>
    <row r="398" customFormat="false" ht="15" hidden="false" customHeight="false" outlineLevel="0" collapsed="false">
      <c r="A398" s="107" t="s">
        <v>864</v>
      </c>
      <c r="B398" s="107" t="n">
        <v>100.2721</v>
      </c>
      <c r="C398" s="107" t="n">
        <v>4.3889</v>
      </c>
      <c r="D398" s="107" t="n">
        <v>0.0361</v>
      </c>
      <c r="E398" s="107" t="n">
        <v>-0.723964562</v>
      </c>
      <c r="F398" s="107" t="s">
        <v>214</v>
      </c>
      <c r="G398" s="107" t="n">
        <v>2.14457758216366</v>
      </c>
      <c r="H398" s="107" t="n">
        <v>-43.0082595552945</v>
      </c>
      <c r="I398" s="109" t="n">
        <v>46590</v>
      </c>
      <c r="J398" s="107" t="n">
        <v>0</v>
      </c>
      <c r="K398" s="107" t="s">
        <v>359</v>
      </c>
      <c r="L398" s="107" t="s">
        <v>298</v>
      </c>
      <c r="M398" s="107" t="n">
        <v>428915.516432732</v>
      </c>
      <c r="N398" s="107" t="n">
        <v>100</v>
      </c>
      <c r="O398" s="107" t="n">
        <v>200544.2</v>
      </c>
      <c r="P398" s="107" t="s">
        <v>366</v>
      </c>
      <c r="Q398" s="107" t="s">
        <v>367</v>
      </c>
      <c r="R398" s="107" t="n">
        <v>-0.0539508040884155</v>
      </c>
      <c r="S398" s="107" t="n">
        <v>0.00272099999999997</v>
      </c>
      <c r="T398" s="107" t="n">
        <v>-0.73198633</v>
      </c>
      <c r="U398" s="107" t="n">
        <v>21069</v>
      </c>
      <c r="V398" s="108" t="s">
        <v>362</v>
      </c>
      <c r="W398" s="107" t="n">
        <v>42003</v>
      </c>
      <c r="X398" s="108" t="s">
        <v>372</v>
      </c>
      <c r="Y398" s="107" t="s">
        <v>859</v>
      </c>
      <c r="Z398" s="107" t="s">
        <v>865</v>
      </c>
      <c r="AA398" s="109" t="n">
        <v>45946</v>
      </c>
      <c r="AB398" s="107" t="n">
        <v>251016000001</v>
      </c>
      <c r="AC398" s="109" t="n">
        <v>45567</v>
      </c>
      <c r="AD398" s="109" t="n">
        <v>46785</v>
      </c>
      <c r="AE398" s="107" t="n">
        <v>4.125</v>
      </c>
      <c r="AF398" s="107" t="n">
        <v>1.2871</v>
      </c>
      <c r="AG398" s="107" t="n">
        <v>490</v>
      </c>
      <c r="AH398" s="107" t="n">
        <v>500000</v>
      </c>
      <c r="AI398" s="107" t="n">
        <v>4.03</v>
      </c>
      <c r="AJ398" s="107" t="n">
        <v>100.22</v>
      </c>
      <c r="AK398" s="107" t="n">
        <v>5.000718</v>
      </c>
      <c r="AL398" s="107" t="n">
        <v>101.190792</v>
      </c>
      <c r="AM398" s="107" t="n">
        <v>5.2045</v>
      </c>
      <c r="AN398" s="107" t="n">
        <v>98.6115</v>
      </c>
      <c r="AO398" s="107" t="n">
        <v>1358.4</v>
      </c>
      <c r="AP398" s="107" t="n">
        <v>1</v>
      </c>
      <c r="AQ398" s="107" t="n">
        <v>493057.5</v>
      </c>
      <c r="AR398" s="107" t="n">
        <v>669769308</v>
      </c>
      <c r="AS398" s="107" t="n">
        <v>501211.5</v>
      </c>
      <c r="AT398" s="107" t="n">
        <v>719188381</v>
      </c>
      <c r="AU398" s="107" t="n">
        <v>-8154</v>
      </c>
      <c r="AV398" s="107" t="n">
        <v>-11076394</v>
      </c>
      <c r="AW398" s="107" t="n">
        <v>0</v>
      </c>
      <c r="AX398" s="107" t="n">
        <v>0</v>
      </c>
      <c r="AY398" s="107" t="n">
        <v>0</v>
      </c>
      <c r="AZ398" s="107" t="n">
        <v>0</v>
      </c>
      <c r="BA398" s="107" t="n">
        <v>0</v>
      </c>
      <c r="BB398" s="107" t="n">
        <v>0</v>
      </c>
      <c r="BC398" s="107" t="n">
        <v>0</v>
      </c>
      <c r="BD398" s="107" t="n">
        <v>0</v>
      </c>
      <c r="BE398" s="107" t="n">
        <v>3322.92</v>
      </c>
      <c r="BF398" s="107" t="n">
        <v>4513854</v>
      </c>
      <c r="BG398" s="107" t="n">
        <v>1419.54</v>
      </c>
      <c r="BH398" s="107" t="n">
        <v>1928303</v>
      </c>
      <c r="BI398" s="107" t="n">
        <v>501100</v>
      </c>
      <c r="BJ398" s="107" t="n">
        <v>719028390</v>
      </c>
      <c r="BK398" s="107" t="n">
        <v>0</v>
      </c>
      <c r="BL398" s="107" t="n">
        <v>0</v>
      </c>
      <c r="BM398" s="107" t="n">
        <v>0</v>
      </c>
      <c r="BN398" s="107" t="n">
        <v>0</v>
      </c>
      <c r="BO398" s="107" t="s">
        <v>374</v>
      </c>
      <c r="BP398" s="2"/>
      <c r="BQ398" s="107" t="s">
        <v>369</v>
      </c>
      <c r="BR398" s="107" t="n">
        <v>-38342679</v>
      </c>
      <c r="BS398" s="107" t="n">
        <v>0</v>
      </c>
      <c r="BT398" s="107" t="n">
        <v>0</v>
      </c>
      <c r="BU398" s="107" t="n">
        <v>111.5</v>
      </c>
      <c r="BV398" s="107" t="n">
        <v>159991</v>
      </c>
      <c r="BW398" s="107" t="n">
        <v>3322.92</v>
      </c>
      <c r="BX398" s="107" t="n">
        <v>4513854</v>
      </c>
      <c r="BY398" s="107" t="n">
        <v>1419.54</v>
      </c>
      <c r="BZ398" s="107" t="n">
        <v>1928303</v>
      </c>
      <c r="CA398" s="107" t="n">
        <v>1434.9</v>
      </c>
      <c r="CB398" s="2"/>
      <c r="CC398" s="107" t="n">
        <v>0</v>
      </c>
      <c r="CD398" s="107" t="n">
        <v>98.58</v>
      </c>
      <c r="CE398" s="107" t="n">
        <v>98.61</v>
      </c>
      <c r="CF398" s="107" t="n">
        <v>98.65</v>
      </c>
      <c r="CG398" s="107" t="n">
        <v>500000</v>
      </c>
      <c r="CH398" s="107" t="n">
        <v>1.2545</v>
      </c>
      <c r="CI398" s="2"/>
      <c r="CJ398" s="2"/>
      <c r="CK398" s="2"/>
      <c r="CL398" s="2"/>
    </row>
    <row r="399" customFormat="false" ht="15" hidden="false" customHeight="false" outlineLevel="0" collapsed="false">
      <c r="A399" s="107" t="s">
        <v>864</v>
      </c>
      <c r="B399" s="107" t="n">
        <v>100.2721</v>
      </c>
      <c r="C399" s="107" t="n">
        <v>4.3889</v>
      </c>
      <c r="D399" s="107" t="n">
        <v>0.0361</v>
      </c>
      <c r="E399" s="107" t="n">
        <v>-2.895858248</v>
      </c>
      <c r="F399" s="107" t="s">
        <v>214</v>
      </c>
      <c r="G399" s="107" t="n">
        <v>2.14457758216366</v>
      </c>
      <c r="H399" s="107" t="n">
        <v>-172.033038221178</v>
      </c>
      <c r="I399" s="109" t="n">
        <v>46590</v>
      </c>
      <c r="J399" s="107" t="n">
        <v>0</v>
      </c>
      <c r="K399" s="107" t="s">
        <v>359</v>
      </c>
      <c r="L399" s="107" t="s">
        <v>298</v>
      </c>
      <c r="M399" s="107" t="n">
        <v>1715662.06573093</v>
      </c>
      <c r="N399" s="107" t="n">
        <v>100.258</v>
      </c>
      <c r="O399" s="107" t="n">
        <v>802176.8</v>
      </c>
      <c r="P399" s="107" t="s">
        <v>366</v>
      </c>
      <c r="Q399" s="107" t="s">
        <v>367</v>
      </c>
      <c r="R399" s="107" t="n">
        <v>-0.0539508057291882</v>
      </c>
      <c r="S399" s="107" t="n">
        <v>0.000140637156137213</v>
      </c>
      <c r="T399" s="107" t="n">
        <v>-2.92794532</v>
      </c>
      <c r="U399" s="107" t="n">
        <v>21069</v>
      </c>
      <c r="V399" s="108" t="s">
        <v>362</v>
      </c>
      <c r="W399" s="107" t="n">
        <v>42003</v>
      </c>
      <c r="X399" s="108" t="s">
        <v>372</v>
      </c>
      <c r="Y399" s="107" t="s">
        <v>862</v>
      </c>
      <c r="Z399" s="107" t="s">
        <v>866</v>
      </c>
      <c r="AA399" s="109" t="n">
        <v>46218</v>
      </c>
      <c r="AB399" s="107" t="n">
        <v>260715000001</v>
      </c>
      <c r="AC399" s="109" t="n">
        <v>46216</v>
      </c>
      <c r="AD399" s="109" t="n">
        <v>47496</v>
      </c>
      <c r="AE399" s="107" t="n">
        <v>4.625</v>
      </c>
      <c r="AF399" s="107" t="n">
        <v>2.9925</v>
      </c>
      <c r="AG399" s="107" t="n">
        <v>1201</v>
      </c>
      <c r="AH399" s="107" t="n">
        <v>200000</v>
      </c>
      <c r="AI399" s="107" t="n">
        <v>4.71</v>
      </c>
      <c r="AJ399" s="107" t="n">
        <v>99.73</v>
      </c>
      <c r="AK399" s="107" t="n">
        <v>4.707195</v>
      </c>
      <c r="AL399" s="107" t="n">
        <v>100.73509</v>
      </c>
      <c r="AM399" s="107" t="n">
        <v>5.4452</v>
      </c>
      <c r="AN399" s="107" t="n">
        <v>97.5525</v>
      </c>
      <c r="AO399" s="107" t="n">
        <v>1358.4</v>
      </c>
      <c r="AP399" s="107" t="n">
        <v>1</v>
      </c>
      <c r="AQ399" s="107" t="n">
        <v>195105</v>
      </c>
      <c r="AR399" s="107" t="n">
        <v>265030632</v>
      </c>
      <c r="AS399" s="107" t="n">
        <v>199456.3</v>
      </c>
      <c r="AT399" s="107" t="n">
        <v>300161786</v>
      </c>
      <c r="AU399" s="107" t="n">
        <v>-4351.3</v>
      </c>
      <c r="AV399" s="107" t="n">
        <v>-5910806</v>
      </c>
      <c r="AW399" s="107" t="n">
        <v>51.39</v>
      </c>
      <c r="AX399" s="107" t="n">
        <v>77336</v>
      </c>
      <c r="AY399" s="107" t="n">
        <v>3.7</v>
      </c>
      <c r="AZ399" s="107" t="n">
        <v>5568</v>
      </c>
      <c r="BA399" s="107" t="n">
        <v>0</v>
      </c>
      <c r="BB399" s="107" t="n">
        <v>0</v>
      </c>
      <c r="BC399" s="107" t="n">
        <v>0</v>
      </c>
      <c r="BD399" s="107" t="n">
        <v>0</v>
      </c>
      <c r="BE399" s="107" t="n">
        <v>1927.08</v>
      </c>
      <c r="BF399" s="107" t="n">
        <v>2617745</v>
      </c>
      <c r="BG399" s="107" t="n">
        <v>31.71</v>
      </c>
      <c r="BH399" s="107" t="n">
        <v>43074</v>
      </c>
      <c r="BI399" s="107" t="n">
        <v>199456.3</v>
      </c>
      <c r="BJ399" s="107" t="n">
        <v>300161786</v>
      </c>
      <c r="BK399" s="107" t="n">
        <v>0</v>
      </c>
      <c r="BL399" s="107" t="n">
        <v>0</v>
      </c>
      <c r="BM399" s="107" t="n">
        <v>0</v>
      </c>
      <c r="BN399" s="107" t="n">
        <v>0</v>
      </c>
      <c r="BO399" s="2"/>
      <c r="BP399" s="2"/>
      <c r="BQ399" s="107" t="s">
        <v>369</v>
      </c>
      <c r="BR399" s="107" t="n">
        <v>-29220348</v>
      </c>
      <c r="BS399" s="107" t="n">
        <v>-8070</v>
      </c>
      <c r="BT399" s="107" t="n">
        <v>0</v>
      </c>
      <c r="BU399" s="107" t="n">
        <v>0</v>
      </c>
      <c r="BV399" s="107" t="n">
        <v>0</v>
      </c>
      <c r="BW399" s="107" t="n">
        <v>1978.47</v>
      </c>
      <c r="BX399" s="107" t="n">
        <v>2687553</v>
      </c>
      <c r="BY399" s="107" t="n">
        <v>35.41</v>
      </c>
      <c r="BZ399" s="107" t="n">
        <v>48100</v>
      </c>
      <c r="CA399" s="107" t="n">
        <v>1504.9</v>
      </c>
      <c r="CB399" s="2"/>
      <c r="CC399" s="107" t="n">
        <v>0</v>
      </c>
      <c r="CD399" s="107" t="n">
        <v>97.53</v>
      </c>
      <c r="CE399" s="107" t="n">
        <v>97.58</v>
      </c>
      <c r="CF399" s="107" t="n">
        <v>97.55</v>
      </c>
      <c r="CG399" s="107" t="n">
        <v>200000</v>
      </c>
      <c r="CH399" s="107" t="n">
        <v>2.9132</v>
      </c>
      <c r="CI399" s="2"/>
      <c r="CJ399" s="2"/>
      <c r="CK399" s="2"/>
      <c r="CL399" s="2"/>
    </row>
    <row r="400" customFormat="false" ht="15" hidden="false" customHeight="false" outlineLevel="0" collapsed="false">
      <c r="A400" s="107" t="s">
        <v>867</v>
      </c>
      <c r="B400" s="107" t="n">
        <v>98.4146</v>
      </c>
      <c r="C400" s="107" t="n">
        <v>5.3613</v>
      </c>
      <c r="D400" s="107" t="n">
        <v>2.5224</v>
      </c>
      <c r="E400" s="107" t="n">
        <v>-49.648197408</v>
      </c>
      <c r="F400" s="108" t="s">
        <v>358</v>
      </c>
      <c r="G400" s="107" t="n">
        <v>2.5224</v>
      </c>
      <c r="H400" s="107" t="n">
        <v>-49.648197408</v>
      </c>
      <c r="I400" s="109" t="n">
        <v>47321</v>
      </c>
      <c r="J400" s="107" t="n">
        <v>3</v>
      </c>
      <c r="K400" s="107" t="s">
        <v>359</v>
      </c>
      <c r="L400" s="107" t="s">
        <v>298</v>
      </c>
      <c r="M400" s="107" t="n">
        <v>504480</v>
      </c>
      <c r="N400" s="107" t="n">
        <v>99.789</v>
      </c>
      <c r="O400" s="107" t="n">
        <v>196829.2</v>
      </c>
      <c r="P400" s="107" t="s">
        <v>366</v>
      </c>
      <c r="Q400" s="107" t="s">
        <v>367</v>
      </c>
      <c r="R400" s="107" t="n">
        <v>-0.0891991794359267</v>
      </c>
      <c r="S400" s="107" t="n">
        <v>-0.0137730611590456</v>
      </c>
      <c r="T400" s="107" t="n">
        <v>-50.9787628</v>
      </c>
      <c r="U400" s="107" t="n">
        <v>21069</v>
      </c>
      <c r="V400" s="108" t="s">
        <v>362</v>
      </c>
      <c r="W400" s="107" t="n">
        <v>42003</v>
      </c>
      <c r="X400" s="108" t="s">
        <v>372</v>
      </c>
      <c r="Y400" s="107" t="s">
        <v>864</v>
      </c>
      <c r="Z400" s="107" t="s">
        <v>868</v>
      </c>
      <c r="AA400" s="109" t="n">
        <v>45495</v>
      </c>
      <c r="AB400" s="107" t="n">
        <v>240722000001</v>
      </c>
      <c r="AC400" s="109" t="n">
        <v>45495</v>
      </c>
      <c r="AD400" s="109" t="n">
        <v>46590</v>
      </c>
      <c r="AE400" s="107" t="n">
        <v>1</v>
      </c>
      <c r="AF400" s="107" t="n">
        <v>0.0356</v>
      </c>
      <c r="AG400" s="107" t="n">
        <v>295</v>
      </c>
      <c r="AH400" s="107" t="n">
        <v>200000</v>
      </c>
      <c r="AI400" s="107" t="n">
        <v>6.17581</v>
      </c>
      <c r="AJ400" s="107" t="n">
        <v>100</v>
      </c>
      <c r="AK400" s="107" t="n">
        <v>0.428099</v>
      </c>
      <c r="AL400" s="107" t="n">
        <v>100.652245</v>
      </c>
      <c r="AM400" s="107" t="n">
        <v>4.3954</v>
      </c>
      <c r="AN400" s="107" t="n">
        <v>100.2577</v>
      </c>
      <c r="AO400" s="107" t="n">
        <v>1358.4</v>
      </c>
      <c r="AP400" s="107" t="n">
        <v>1</v>
      </c>
      <c r="AQ400" s="107" t="n">
        <v>200515.4</v>
      </c>
      <c r="AR400" s="107" t="n">
        <v>272380119</v>
      </c>
      <c r="AS400" s="107" t="n">
        <v>200915.6</v>
      </c>
      <c r="AT400" s="107" t="n">
        <v>288293794</v>
      </c>
      <c r="AU400" s="107" t="n">
        <v>-400.2</v>
      </c>
      <c r="AV400" s="107" t="n">
        <v>-543632</v>
      </c>
      <c r="AW400" s="107" t="n">
        <v>0</v>
      </c>
      <c r="AX400" s="107" t="n">
        <v>0</v>
      </c>
      <c r="AY400" s="107" t="n">
        <v>0</v>
      </c>
      <c r="AZ400" s="107" t="n">
        <v>0</v>
      </c>
      <c r="BA400" s="107" t="n">
        <v>0</v>
      </c>
      <c r="BB400" s="107" t="n">
        <v>0</v>
      </c>
      <c r="BC400" s="107" t="n">
        <v>0</v>
      </c>
      <c r="BD400" s="107" t="n">
        <v>0</v>
      </c>
      <c r="BE400" s="107" t="n">
        <v>388.89</v>
      </c>
      <c r="BF400" s="107" t="n">
        <v>528268</v>
      </c>
      <c r="BG400" s="107" t="n">
        <v>0</v>
      </c>
      <c r="BH400" s="107" t="n">
        <v>0</v>
      </c>
      <c r="BI400" s="107" t="n">
        <v>200000</v>
      </c>
      <c r="BJ400" s="107" t="n">
        <v>286962569</v>
      </c>
      <c r="BK400" s="107" t="n">
        <v>0</v>
      </c>
      <c r="BL400" s="107" t="n">
        <v>0</v>
      </c>
      <c r="BM400" s="107" t="n">
        <v>0</v>
      </c>
      <c r="BN400" s="107" t="n">
        <v>0</v>
      </c>
      <c r="BO400" s="107" t="s">
        <v>367</v>
      </c>
      <c r="BP400" s="2"/>
      <c r="BQ400" s="107" t="s">
        <v>369</v>
      </c>
      <c r="BR400" s="107" t="n">
        <v>-15370043</v>
      </c>
      <c r="BS400" s="107" t="n">
        <v>0</v>
      </c>
      <c r="BT400" s="107" t="n">
        <v>0</v>
      </c>
      <c r="BU400" s="107" t="n">
        <v>915.6</v>
      </c>
      <c r="BV400" s="107" t="n">
        <v>1331225</v>
      </c>
      <c r="BW400" s="107" t="n">
        <v>388.89</v>
      </c>
      <c r="BX400" s="107" t="n">
        <v>528268</v>
      </c>
      <c r="BY400" s="107" t="n">
        <v>0</v>
      </c>
      <c r="BZ400" s="107" t="n">
        <v>0</v>
      </c>
      <c r="CA400" s="107" t="n">
        <v>1434.9</v>
      </c>
      <c r="CB400" s="2"/>
      <c r="CC400" s="107" t="n">
        <v>0</v>
      </c>
      <c r="CD400" s="107" t="n">
        <v>100.21</v>
      </c>
      <c r="CE400" s="107" t="n">
        <v>100.28</v>
      </c>
      <c r="CF400" s="107" t="n">
        <v>100.29</v>
      </c>
      <c r="CG400" s="107" t="n">
        <v>200000</v>
      </c>
      <c r="CH400" s="107" t="n">
        <v>0.0352</v>
      </c>
      <c r="CI400" s="2"/>
      <c r="CJ400" s="2"/>
      <c r="CK400" s="2"/>
      <c r="CL400" s="2"/>
    </row>
    <row r="401" customFormat="false" ht="15" hidden="false" customHeight="false" outlineLevel="0" collapsed="false">
      <c r="A401" s="107" t="s">
        <v>867</v>
      </c>
      <c r="B401" s="107" t="n">
        <v>98.4146</v>
      </c>
      <c r="C401" s="107" t="n">
        <v>5.3613</v>
      </c>
      <c r="D401" s="107" t="n">
        <v>2.5224</v>
      </c>
      <c r="E401" s="107" t="n">
        <v>-198.592789632</v>
      </c>
      <c r="F401" s="108" t="s">
        <v>358</v>
      </c>
      <c r="G401" s="107" t="n">
        <v>2.5224</v>
      </c>
      <c r="H401" s="107" t="n">
        <v>-198.592789632</v>
      </c>
      <c r="I401" s="109" t="n">
        <v>47321</v>
      </c>
      <c r="J401" s="107" t="n">
        <v>3</v>
      </c>
      <c r="K401" s="107" t="s">
        <v>359</v>
      </c>
      <c r="L401" s="107" t="s">
        <v>298</v>
      </c>
      <c r="M401" s="107" t="n">
        <v>2017920</v>
      </c>
      <c r="N401" s="107" t="n">
        <v>99.936</v>
      </c>
      <c r="O401" s="107" t="n">
        <v>787316.8</v>
      </c>
      <c r="P401" s="107" t="s">
        <v>366</v>
      </c>
      <c r="Q401" s="107" t="s">
        <v>367</v>
      </c>
      <c r="R401" s="107" t="n">
        <v>-0.0891991809854153</v>
      </c>
      <c r="S401" s="107" t="n">
        <v>-0.0152237431956454</v>
      </c>
      <c r="T401" s="107" t="n">
        <v>-203.9150512</v>
      </c>
      <c r="U401" s="107" t="n">
        <v>21069</v>
      </c>
      <c r="V401" s="108" t="s">
        <v>362</v>
      </c>
      <c r="W401" s="107" t="n">
        <v>42003</v>
      </c>
      <c r="X401" s="108" t="s">
        <v>372</v>
      </c>
      <c r="Y401" s="107" t="s">
        <v>864</v>
      </c>
      <c r="Z401" s="107" t="s">
        <v>868</v>
      </c>
      <c r="AA401" s="109" t="n">
        <v>45495</v>
      </c>
      <c r="AB401" s="107" t="n">
        <v>240722000002</v>
      </c>
      <c r="AC401" s="109" t="n">
        <v>45495</v>
      </c>
      <c r="AD401" s="109" t="n">
        <v>46590</v>
      </c>
      <c r="AE401" s="107" t="n">
        <v>1</v>
      </c>
      <c r="AF401" s="107" t="n">
        <v>0.0356</v>
      </c>
      <c r="AG401" s="107" t="n">
        <v>295</v>
      </c>
      <c r="AH401" s="107" t="n">
        <v>800000</v>
      </c>
      <c r="AI401" s="107" t="n">
        <v>6.049861</v>
      </c>
      <c r="AJ401" s="107" t="n">
        <v>100.258</v>
      </c>
      <c r="AK401" s="107" t="n">
        <v>0.428099</v>
      </c>
      <c r="AL401" s="107" t="n">
        <v>100.652245</v>
      </c>
      <c r="AM401" s="107" t="n">
        <v>4.3954</v>
      </c>
      <c r="AN401" s="107" t="n">
        <v>100.2577</v>
      </c>
      <c r="AO401" s="107" t="n">
        <v>1358.4</v>
      </c>
      <c r="AP401" s="107" t="n">
        <v>1</v>
      </c>
      <c r="AQ401" s="107" t="n">
        <v>802061.6</v>
      </c>
      <c r="AR401" s="107" t="n">
        <v>1089520477</v>
      </c>
      <c r="AS401" s="107" t="n">
        <v>803662.4</v>
      </c>
      <c r="AT401" s="107" t="n">
        <v>1153175178</v>
      </c>
      <c r="AU401" s="107" t="n">
        <v>-1600.8</v>
      </c>
      <c r="AV401" s="107" t="n">
        <v>-2174527</v>
      </c>
      <c r="AW401" s="107" t="n">
        <v>0</v>
      </c>
      <c r="AX401" s="107" t="n">
        <v>0</v>
      </c>
      <c r="AY401" s="107" t="n">
        <v>0</v>
      </c>
      <c r="AZ401" s="107" t="n">
        <v>0</v>
      </c>
      <c r="BA401" s="107" t="n">
        <v>0</v>
      </c>
      <c r="BB401" s="107" t="n">
        <v>0</v>
      </c>
      <c r="BC401" s="107" t="n">
        <v>0</v>
      </c>
      <c r="BD401" s="107" t="n">
        <v>0</v>
      </c>
      <c r="BE401" s="107" t="n">
        <v>1555.56</v>
      </c>
      <c r="BF401" s="107" t="n">
        <v>2113072</v>
      </c>
      <c r="BG401" s="107" t="n">
        <v>0</v>
      </c>
      <c r="BH401" s="107" t="n">
        <v>0</v>
      </c>
      <c r="BI401" s="107" t="n">
        <v>802064</v>
      </c>
      <c r="BJ401" s="107" t="n">
        <v>1150884357</v>
      </c>
      <c r="BK401" s="107" t="n">
        <v>0</v>
      </c>
      <c r="BL401" s="107" t="n">
        <v>0</v>
      </c>
      <c r="BM401" s="107" t="n">
        <v>0</v>
      </c>
      <c r="BN401" s="107" t="n">
        <v>0</v>
      </c>
      <c r="BO401" s="107" t="s">
        <v>367</v>
      </c>
      <c r="BP401" s="2"/>
      <c r="BQ401" s="107" t="s">
        <v>369</v>
      </c>
      <c r="BR401" s="107" t="n">
        <v>-61480174</v>
      </c>
      <c r="BS401" s="107" t="n">
        <v>0</v>
      </c>
      <c r="BT401" s="107" t="n">
        <v>0</v>
      </c>
      <c r="BU401" s="107" t="n">
        <v>1598.4</v>
      </c>
      <c r="BV401" s="107" t="n">
        <v>2290821</v>
      </c>
      <c r="BW401" s="107" t="n">
        <v>1555.56</v>
      </c>
      <c r="BX401" s="107" t="n">
        <v>2113072</v>
      </c>
      <c r="BY401" s="107" t="n">
        <v>0</v>
      </c>
      <c r="BZ401" s="107" t="n">
        <v>0</v>
      </c>
      <c r="CA401" s="107" t="n">
        <v>1434.9</v>
      </c>
      <c r="CB401" s="2"/>
      <c r="CC401" s="107" t="n">
        <v>0</v>
      </c>
      <c r="CD401" s="107" t="n">
        <v>100.21</v>
      </c>
      <c r="CE401" s="107" t="n">
        <v>100.28</v>
      </c>
      <c r="CF401" s="107" t="n">
        <v>100.29</v>
      </c>
      <c r="CG401" s="107" t="n">
        <v>800000</v>
      </c>
      <c r="CH401" s="107" t="n">
        <v>0.0352</v>
      </c>
      <c r="CI401" s="2"/>
      <c r="CJ401" s="2"/>
      <c r="CK401" s="2"/>
      <c r="CL401" s="2"/>
    </row>
    <row r="402" customFormat="false" ht="15" hidden="false" customHeight="false" outlineLevel="0" collapsed="false">
      <c r="A402" s="107" t="s">
        <v>869</v>
      </c>
      <c r="B402" s="107" t="n">
        <v>96.5955</v>
      </c>
      <c r="C402" s="107" t="n">
        <v>5.3725</v>
      </c>
      <c r="D402" s="107" t="n">
        <v>3.3566</v>
      </c>
      <c r="E402" s="107" t="n">
        <v>-162.11622765</v>
      </c>
      <c r="F402" s="108" t="s">
        <v>358</v>
      </c>
      <c r="G402" s="107" t="n">
        <v>3.3566</v>
      </c>
      <c r="H402" s="107" t="n">
        <v>-162.11622765</v>
      </c>
      <c r="I402" s="109" t="n">
        <v>47685</v>
      </c>
      <c r="J402" s="107" t="n">
        <v>3</v>
      </c>
      <c r="K402" s="107" t="s">
        <v>359</v>
      </c>
      <c r="L402" s="107" t="s">
        <v>298</v>
      </c>
      <c r="M402" s="107" t="n">
        <v>1678300</v>
      </c>
      <c r="N402" s="107" t="n">
        <v>99.491</v>
      </c>
      <c r="O402" s="107" t="n">
        <v>482977.5</v>
      </c>
      <c r="P402" s="107" t="s">
        <v>366</v>
      </c>
      <c r="Q402" s="107" t="s">
        <v>106</v>
      </c>
      <c r="R402" s="107" t="n">
        <v>-0.098384885687892</v>
      </c>
      <c r="S402" s="107" t="n">
        <v>-0.0291031349569307</v>
      </c>
      <c r="T402" s="107" t="n">
        <v>-166.4726847</v>
      </c>
      <c r="U402" s="107" t="n">
        <v>21069</v>
      </c>
      <c r="V402" s="108" t="s">
        <v>362</v>
      </c>
      <c r="W402" s="107" t="n">
        <v>42003</v>
      </c>
      <c r="X402" s="108" t="s">
        <v>372</v>
      </c>
      <c r="Y402" s="107" t="s">
        <v>867</v>
      </c>
      <c r="Z402" s="107" t="s">
        <v>870</v>
      </c>
      <c r="AA402" s="109" t="n">
        <v>45495</v>
      </c>
      <c r="AB402" s="107" t="n">
        <v>240722000001</v>
      </c>
      <c r="AC402" s="109" t="n">
        <v>45495</v>
      </c>
      <c r="AD402" s="109" t="n">
        <v>47321</v>
      </c>
      <c r="AE402" s="107" t="n">
        <v>4.75</v>
      </c>
      <c r="AF402" s="107" t="n">
        <v>2.5878</v>
      </c>
      <c r="AG402" s="107" t="n">
        <v>1026</v>
      </c>
      <c r="AH402" s="107" t="n">
        <v>200000</v>
      </c>
      <c r="AI402" s="107" t="n">
        <v>4.798</v>
      </c>
      <c r="AJ402" s="107" t="n">
        <v>99.789</v>
      </c>
      <c r="AK402" s="107" t="n">
        <v>3.834478</v>
      </c>
      <c r="AL402" s="107" t="n">
        <v>103.30982</v>
      </c>
      <c r="AM402" s="107" t="n">
        <v>5.3092</v>
      </c>
      <c r="AN402" s="107" t="n">
        <v>98.5492</v>
      </c>
      <c r="AO402" s="107" t="n">
        <v>1358.4</v>
      </c>
      <c r="AP402" s="107" t="n">
        <v>1</v>
      </c>
      <c r="AQ402" s="107" t="n">
        <v>197098.4</v>
      </c>
      <c r="AR402" s="107" t="n">
        <v>267738467</v>
      </c>
      <c r="AS402" s="107" t="n">
        <v>204825.2</v>
      </c>
      <c r="AT402" s="107" t="n">
        <v>293903679</v>
      </c>
      <c r="AU402" s="107" t="n">
        <v>-7726.8</v>
      </c>
      <c r="AV402" s="107" t="n">
        <v>-10496085</v>
      </c>
      <c r="AW402" s="107" t="n">
        <v>0</v>
      </c>
      <c r="AX402" s="107" t="n">
        <v>0</v>
      </c>
      <c r="AY402" s="107" t="n">
        <v>0</v>
      </c>
      <c r="AZ402" s="107" t="n">
        <v>0</v>
      </c>
      <c r="BA402" s="107" t="n">
        <v>0</v>
      </c>
      <c r="BB402" s="107" t="n">
        <v>0</v>
      </c>
      <c r="BC402" s="107" t="n">
        <v>0</v>
      </c>
      <c r="BD402" s="107" t="n">
        <v>0</v>
      </c>
      <c r="BE402" s="107" t="n">
        <v>1794.44</v>
      </c>
      <c r="BF402" s="107" t="n">
        <v>2437567</v>
      </c>
      <c r="BG402" s="107" t="n">
        <v>0</v>
      </c>
      <c r="BH402" s="107" t="n">
        <v>0</v>
      </c>
      <c r="BI402" s="107" t="n">
        <v>199578</v>
      </c>
      <c r="BJ402" s="107" t="n">
        <v>286413349</v>
      </c>
      <c r="BK402" s="107" t="n">
        <v>0</v>
      </c>
      <c r="BL402" s="107" t="n">
        <v>0</v>
      </c>
      <c r="BM402" s="107" t="n">
        <v>0</v>
      </c>
      <c r="BN402" s="107" t="n">
        <v>0</v>
      </c>
      <c r="BO402" s="107" t="s">
        <v>367</v>
      </c>
      <c r="BP402" s="2"/>
      <c r="BQ402" s="107" t="s">
        <v>369</v>
      </c>
      <c r="BR402" s="107" t="n">
        <v>-15669127</v>
      </c>
      <c r="BS402" s="107" t="n">
        <v>0</v>
      </c>
      <c r="BT402" s="107" t="n">
        <v>0</v>
      </c>
      <c r="BU402" s="107" t="n">
        <v>5247.2</v>
      </c>
      <c r="BV402" s="107" t="n">
        <v>7490330</v>
      </c>
      <c r="BW402" s="107" t="n">
        <v>1794.44</v>
      </c>
      <c r="BX402" s="107" t="n">
        <v>2437567</v>
      </c>
      <c r="BY402" s="107" t="n">
        <v>0</v>
      </c>
      <c r="BZ402" s="107" t="n">
        <v>0</v>
      </c>
      <c r="CA402" s="107" t="n">
        <v>1434.9</v>
      </c>
      <c r="CB402" s="2"/>
      <c r="CC402" s="107" t="n">
        <v>0</v>
      </c>
      <c r="CD402" s="107" t="n">
        <v>98.5</v>
      </c>
      <c r="CE402" s="107" t="n">
        <v>98.64</v>
      </c>
      <c r="CF402" s="107" t="n">
        <v>98.51</v>
      </c>
      <c r="CG402" s="107" t="n">
        <v>200000</v>
      </c>
      <c r="CH402" s="107" t="n">
        <v>2.5209</v>
      </c>
      <c r="CI402" s="2"/>
      <c r="CJ402" s="2"/>
      <c r="CK402" s="2"/>
      <c r="CL402" s="2"/>
    </row>
    <row r="403" customFormat="false" ht="15" hidden="false" customHeight="false" outlineLevel="0" collapsed="false">
      <c r="A403" s="107" t="s">
        <v>869</v>
      </c>
      <c r="B403" s="107" t="n">
        <v>96.5955</v>
      </c>
      <c r="C403" s="107" t="n">
        <v>5.3725</v>
      </c>
      <c r="D403" s="107" t="n">
        <v>3.3566</v>
      </c>
      <c r="E403" s="107" t="n">
        <v>-1621.1622765</v>
      </c>
      <c r="F403" s="108" t="s">
        <v>358</v>
      </c>
      <c r="G403" s="107" t="n">
        <v>3.3566</v>
      </c>
      <c r="H403" s="107" t="n">
        <v>-1621.1622765</v>
      </c>
      <c r="I403" s="109" t="n">
        <v>47685</v>
      </c>
      <c r="J403" s="107" t="n">
        <v>3</v>
      </c>
      <c r="K403" s="107" t="s">
        <v>359</v>
      </c>
      <c r="L403" s="107" t="s">
        <v>298</v>
      </c>
      <c r="M403" s="107" t="n">
        <v>16783000</v>
      </c>
      <c r="N403" s="107" t="n">
        <v>100.59</v>
      </c>
      <c r="O403" s="107" t="n">
        <v>4829775</v>
      </c>
      <c r="P403" s="107" t="s">
        <v>366</v>
      </c>
      <c r="Q403" s="107" t="s">
        <v>106</v>
      </c>
      <c r="R403" s="107" t="n">
        <v>-0.0983848853166152</v>
      </c>
      <c r="S403" s="107" t="n">
        <v>-0.0397107068297048</v>
      </c>
      <c r="T403" s="107" t="n">
        <v>-1664.726847</v>
      </c>
      <c r="U403" s="107" t="n">
        <v>21069</v>
      </c>
      <c r="V403" s="108" t="s">
        <v>362</v>
      </c>
      <c r="W403" s="107" t="n">
        <v>42003</v>
      </c>
      <c r="X403" s="108" t="s">
        <v>372</v>
      </c>
      <c r="Y403" s="107" t="s">
        <v>867</v>
      </c>
      <c r="Z403" s="107" t="s">
        <v>870</v>
      </c>
      <c r="AA403" s="109" t="n">
        <v>45495</v>
      </c>
      <c r="AB403" s="107" t="n">
        <v>240722000002</v>
      </c>
      <c r="AC403" s="109" t="n">
        <v>45495</v>
      </c>
      <c r="AD403" s="109" t="n">
        <v>47321</v>
      </c>
      <c r="AE403" s="107" t="n">
        <v>4.75</v>
      </c>
      <c r="AF403" s="107" t="n">
        <v>2.5878</v>
      </c>
      <c r="AG403" s="107" t="n">
        <v>1026</v>
      </c>
      <c r="AH403" s="107" t="n">
        <v>800000</v>
      </c>
      <c r="AI403" s="107" t="n">
        <v>4.764536</v>
      </c>
      <c r="AJ403" s="107" t="n">
        <v>99.936</v>
      </c>
      <c r="AK403" s="107" t="n">
        <v>3.834477</v>
      </c>
      <c r="AL403" s="107" t="n">
        <v>103.309822</v>
      </c>
      <c r="AM403" s="107" t="n">
        <v>5.3092</v>
      </c>
      <c r="AN403" s="107" t="n">
        <v>98.5492</v>
      </c>
      <c r="AO403" s="107" t="n">
        <v>1358.4</v>
      </c>
      <c r="AP403" s="107" t="n">
        <v>1</v>
      </c>
      <c r="AQ403" s="107" t="n">
        <v>788393.6</v>
      </c>
      <c r="AR403" s="107" t="n">
        <v>1070953866</v>
      </c>
      <c r="AS403" s="107" t="n">
        <v>819300.8</v>
      </c>
      <c r="AT403" s="107" t="n">
        <v>1175614718</v>
      </c>
      <c r="AU403" s="107" t="n">
        <v>-30907.2</v>
      </c>
      <c r="AV403" s="107" t="n">
        <v>-41984341</v>
      </c>
      <c r="AW403" s="107" t="n">
        <v>0</v>
      </c>
      <c r="AX403" s="107" t="n">
        <v>0</v>
      </c>
      <c r="AY403" s="107" t="n">
        <v>0</v>
      </c>
      <c r="AZ403" s="107" t="n">
        <v>0</v>
      </c>
      <c r="BA403" s="107" t="n">
        <v>0</v>
      </c>
      <c r="BB403" s="107" t="n">
        <v>0</v>
      </c>
      <c r="BC403" s="107" t="n">
        <v>0</v>
      </c>
      <c r="BD403" s="107" t="n">
        <v>0</v>
      </c>
      <c r="BE403" s="107" t="n">
        <v>7177.78</v>
      </c>
      <c r="BF403" s="107" t="n">
        <v>9750296</v>
      </c>
      <c r="BG403" s="107" t="n">
        <v>0</v>
      </c>
      <c r="BH403" s="107" t="n">
        <v>0</v>
      </c>
      <c r="BI403" s="107" t="n">
        <v>799488</v>
      </c>
      <c r="BJ403" s="107" t="n">
        <v>1147382116</v>
      </c>
      <c r="BK403" s="107" t="n">
        <v>0</v>
      </c>
      <c r="BL403" s="107" t="n">
        <v>0</v>
      </c>
      <c r="BM403" s="107" t="n">
        <v>0</v>
      </c>
      <c r="BN403" s="107" t="n">
        <v>0</v>
      </c>
      <c r="BO403" s="107" t="s">
        <v>367</v>
      </c>
      <c r="BP403" s="2"/>
      <c r="BQ403" s="107" t="s">
        <v>369</v>
      </c>
      <c r="BR403" s="107" t="n">
        <v>-62676511</v>
      </c>
      <c r="BS403" s="107" t="n">
        <v>0</v>
      </c>
      <c r="BT403" s="107" t="n">
        <v>0</v>
      </c>
      <c r="BU403" s="107" t="n">
        <v>19812.8</v>
      </c>
      <c r="BV403" s="107" t="n">
        <v>28232602</v>
      </c>
      <c r="BW403" s="107" t="n">
        <v>7177.78</v>
      </c>
      <c r="BX403" s="107" t="n">
        <v>9750296</v>
      </c>
      <c r="BY403" s="107" t="n">
        <v>0</v>
      </c>
      <c r="BZ403" s="107" t="n">
        <v>0</v>
      </c>
      <c r="CA403" s="107" t="n">
        <v>1434.9</v>
      </c>
      <c r="CB403" s="2"/>
      <c r="CC403" s="107" t="n">
        <v>0</v>
      </c>
      <c r="CD403" s="107" t="n">
        <v>98.5</v>
      </c>
      <c r="CE403" s="107" t="n">
        <v>98.64</v>
      </c>
      <c r="CF403" s="107" t="n">
        <v>98.51</v>
      </c>
      <c r="CG403" s="107" t="n">
        <v>800000</v>
      </c>
      <c r="CH403" s="107" t="n">
        <v>2.5209</v>
      </c>
      <c r="CI403" s="2"/>
      <c r="CJ403" s="2"/>
      <c r="CK403" s="2"/>
      <c r="CL403" s="2"/>
    </row>
    <row r="404" customFormat="false" ht="15" hidden="false" customHeight="false" outlineLevel="0" collapsed="false">
      <c r="A404" s="107" t="s">
        <v>871</v>
      </c>
      <c r="B404" s="107" t="n">
        <v>99.9476</v>
      </c>
      <c r="C404" s="107" t="n">
        <v>4.5633</v>
      </c>
      <c r="D404" s="107" t="n">
        <v>0.0316</v>
      </c>
      <c r="E404" s="107" t="n">
        <v>-0.631668832</v>
      </c>
      <c r="F404" s="107" t="s">
        <v>214</v>
      </c>
      <c r="G404" s="107" t="n">
        <v>4.54982781903879</v>
      </c>
      <c r="H404" s="107" t="n">
        <v>-90.9488741852322</v>
      </c>
      <c r="I404" s="2"/>
      <c r="J404" s="107" t="n">
        <v>0</v>
      </c>
      <c r="K404" s="2"/>
      <c r="L404" s="2"/>
      <c r="M404" s="107" t="n">
        <v>909965.563807757</v>
      </c>
      <c r="N404" s="107" t="n">
        <v>100</v>
      </c>
      <c r="O404" s="107" t="n">
        <v>199895.2</v>
      </c>
      <c r="P404" s="2"/>
      <c r="Q404" s="2"/>
      <c r="R404" s="107" t="n">
        <v>-0.0729181830582458</v>
      </c>
      <c r="S404" s="107" t="n">
        <v>-0.00052400000000008</v>
      </c>
      <c r="T404" s="107" t="n">
        <v>-0.63966464</v>
      </c>
      <c r="U404" s="107" t="n">
        <v>21069</v>
      </c>
      <c r="V404" s="108" t="s">
        <v>362</v>
      </c>
      <c r="W404" s="107" t="n">
        <v>42003</v>
      </c>
      <c r="X404" s="108" t="s">
        <v>372</v>
      </c>
      <c r="Y404" s="107" t="s">
        <v>869</v>
      </c>
      <c r="Z404" s="107" t="s">
        <v>872</v>
      </c>
      <c r="AA404" s="109" t="n">
        <v>45863</v>
      </c>
      <c r="AB404" s="107" t="n">
        <v>250725000001</v>
      </c>
      <c r="AC404" s="109" t="n">
        <v>45859</v>
      </c>
      <c r="AD404" s="109" t="n">
        <v>47685</v>
      </c>
      <c r="AE404" s="107" t="n">
        <v>4.375</v>
      </c>
      <c r="AF404" s="107" t="n">
        <v>3.4446</v>
      </c>
      <c r="AG404" s="107" t="n">
        <v>1390</v>
      </c>
      <c r="AH404" s="107" t="n">
        <v>500000</v>
      </c>
      <c r="AI404" s="107" t="n">
        <v>4.48979</v>
      </c>
      <c r="AJ404" s="107" t="n">
        <v>99.491</v>
      </c>
      <c r="AK404" s="107" t="n">
        <v>3.933135</v>
      </c>
      <c r="AL404" s="107" t="n">
        <v>102.382242</v>
      </c>
      <c r="AM404" s="107" t="n">
        <v>5.3378</v>
      </c>
      <c r="AN404" s="107" t="n">
        <v>96.7134</v>
      </c>
      <c r="AO404" s="107" t="n">
        <v>1358.4</v>
      </c>
      <c r="AP404" s="107" t="n">
        <v>1</v>
      </c>
      <c r="AQ404" s="107" t="n">
        <v>483567</v>
      </c>
      <c r="AR404" s="107" t="n">
        <v>656877413</v>
      </c>
      <c r="AS404" s="107" t="n">
        <v>507718.5</v>
      </c>
      <c r="AT404" s="107" t="n">
        <v>728525276</v>
      </c>
      <c r="AU404" s="107" t="n">
        <v>-24151.5</v>
      </c>
      <c r="AV404" s="107" t="n">
        <v>-32807397</v>
      </c>
      <c r="AW404" s="107" t="n">
        <v>0</v>
      </c>
      <c r="AX404" s="107" t="n">
        <v>0</v>
      </c>
      <c r="AY404" s="107" t="n">
        <v>0</v>
      </c>
      <c r="AZ404" s="107" t="n">
        <v>0</v>
      </c>
      <c r="BA404" s="107" t="n">
        <v>0</v>
      </c>
      <c r="BB404" s="107" t="n">
        <v>0</v>
      </c>
      <c r="BC404" s="107" t="n">
        <v>0</v>
      </c>
      <c r="BD404" s="107" t="n">
        <v>0</v>
      </c>
      <c r="BE404" s="107" t="n">
        <v>4192.71</v>
      </c>
      <c r="BF404" s="107" t="n">
        <v>5695377</v>
      </c>
      <c r="BG404" s="107" t="n">
        <v>0</v>
      </c>
      <c r="BH404" s="107" t="n">
        <v>0</v>
      </c>
      <c r="BI404" s="107" t="n">
        <v>497455</v>
      </c>
      <c r="BJ404" s="107" t="n">
        <v>713798180</v>
      </c>
      <c r="BK404" s="107" t="n">
        <v>0</v>
      </c>
      <c r="BL404" s="107" t="n">
        <v>0</v>
      </c>
      <c r="BM404" s="107" t="n">
        <v>0</v>
      </c>
      <c r="BN404" s="107" t="n">
        <v>0</v>
      </c>
      <c r="BO404" s="107" t="s">
        <v>367</v>
      </c>
      <c r="BP404" s="2"/>
      <c r="BQ404" s="107" t="s">
        <v>369</v>
      </c>
      <c r="BR404" s="107" t="n">
        <v>-38840466</v>
      </c>
      <c r="BS404" s="107" t="n">
        <v>0</v>
      </c>
      <c r="BT404" s="107" t="n">
        <v>0</v>
      </c>
      <c r="BU404" s="107" t="n">
        <v>10263.5</v>
      </c>
      <c r="BV404" s="107" t="n">
        <v>14727096</v>
      </c>
      <c r="BW404" s="107" t="n">
        <v>4192.71</v>
      </c>
      <c r="BX404" s="107" t="n">
        <v>5695377</v>
      </c>
      <c r="BY404" s="107" t="n">
        <v>0</v>
      </c>
      <c r="BZ404" s="107" t="n">
        <v>0</v>
      </c>
      <c r="CA404" s="107" t="n">
        <v>1434.9</v>
      </c>
      <c r="CB404" s="2"/>
      <c r="CC404" s="107" t="n">
        <v>0</v>
      </c>
      <c r="CD404" s="107" t="n">
        <v>96.68</v>
      </c>
      <c r="CE404" s="107" t="n">
        <v>96.74</v>
      </c>
      <c r="CF404" s="107" t="n">
        <v>96.71</v>
      </c>
      <c r="CG404" s="107" t="n">
        <v>500000</v>
      </c>
      <c r="CH404" s="107" t="n">
        <v>3.3551</v>
      </c>
      <c r="CI404" s="2"/>
      <c r="CJ404" s="2"/>
      <c r="CK404" s="2"/>
      <c r="CL404" s="2"/>
    </row>
    <row r="405" customFormat="false" ht="15" hidden="false" customHeight="false" outlineLevel="0" collapsed="false">
      <c r="A405" s="107" t="s">
        <v>873</v>
      </c>
      <c r="B405" s="107" t="n">
        <v>96.4457</v>
      </c>
      <c r="C405" s="107" t="n">
        <v>5.4726</v>
      </c>
      <c r="D405" s="107" t="n">
        <v>4.1251</v>
      </c>
      <c r="E405" s="107" t="n">
        <v>-79.569631414</v>
      </c>
      <c r="F405" s="108" t="s">
        <v>358</v>
      </c>
      <c r="G405" s="107" t="n">
        <v>4.1251</v>
      </c>
      <c r="H405" s="107" t="n">
        <v>-79.569631414</v>
      </c>
      <c r="I405" s="109" t="n">
        <v>48052</v>
      </c>
      <c r="J405" s="107" t="n">
        <v>5</v>
      </c>
      <c r="K405" s="107" t="s">
        <v>359</v>
      </c>
      <c r="L405" s="107" t="s">
        <v>298</v>
      </c>
      <c r="M405" s="107" t="n">
        <v>825020</v>
      </c>
      <c r="N405" s="107" t="n">
        <v>99.65</v>
      </c>
      <c r="O405" s="107" t="n">
        <v>192891.4</v>
      </c>
      <c r="P405" s="107" t="s">
        <v>366</v>
      </c>
      <c r="Q405" s="107" t="s">
        <v>374</v>
      </c>
      <c r="R405" s="107" t="n">
        <v>-0.102230976299274</v>
      </c>
      <c r="S405" s="107" t="n">
        <v>-0.032155544405419</v>
      </c>
      <c r="T405" s="107" t="n">
        <v>-81.74737532</v>
      </c>
      <c r="U405" s="107" t="n">
        <v>21069</v>
      </c>
      <c r="V405" s="108" t="s">
        <v>362</v>
      </c>
      <c r="W405" s="107" t="n">
        <v>42003</v>
      </c>
      <c r="X405" s="108" t="s">
        <v>372</v>
      </c>
      <c r="Y405" s="107" t="s">
        <v>869</v>
      </c>
      <c r="Z405" s="107" t="s">
        <v>872</v>
      </c>
      <c r="AA405" s="109" t="n">
        <v>45895</v>
      </c>
      <c r="AB405" s="107" t="n">
        <v>250826000001</v>
      </c>
      <c r="AC405" s="109" t="n">
        <v>45859</v>
      </c>
      <c r="AD405" s="109" t="n">
        <v>47685</v>
      </c>
      <c r="AE405" s="107" t="n">
        <v>4.375</v>
      </c>
      <c r="AF405" s="107" t="n">
        <v>3.4446</v>
      </c>
      <c r="AG405" s="107" t="n">
        <v>1390</v>
      </c>
      <c r="AH405" s="107" t="n">
        <v>5000000</v>
      </c>
      <c r="AI405" s="107" t="n">
        <v>4.23998373</v>
      </c>
      <c r="AJ405" s="107" t="n">
        <v>100.59</v>
      </c>
      <c r="AK405" s="107" t="n">
        <v>3.933135</v>
      </c>
      <c r="AL405" s="107" t="n">
        <v>102.382241</v>
      </c>
      <c r="AM405" s="107" t="n">
        <v>5.3378</v>
      </c>
      <c r="AN405" s="107" t="n">
        <v>96.7134</v>
      </c>
      <c r="AO405" s="107" t="n">
        <v>1358.4</v>
      </c>
      <c r="AP405" s="107" t="n">
        <v>1</v>
      </c>
      <c r="AQ405" s="107" t="n">
        <v>4835670</v>
      </c>
      <c r="AR405" s="107" t="n">
        <v>6568774128</v>
      </c>
      <c r="AS405" s="107" t="n">
        <v>5077185</v>
      </c>
      <c r="AT405" s="107" t="n">
        <v>7285252757</v>
      </c>
      <c r="AU405" s="107" t="n">
        <v>-241515</v>
      </c>
      <c r="AV405" s="107" t="n">
        <v>-328073976</v>
      </c>
      <c r="AW405" s="107" t="n">
        <v>0</v>
      </c>
      <c r="AX405" s="107" t="n">
        <v>0</v>
      </c>
      <c r="AY405" s="107" t="n">
        <v>0</v>
      </c>
      <c r="AZ405" s="107" t="n">
        <v>0</v>
      </c>
      <c r="BA405" s="107" t="n">
        <v>0</v>
      </c>
      <c r="BB405" s="107" t="n">
        <v>0</v>
      </c>
      <c r="BC405" s="107" t="n">
        <v>0</v>
      </c>
      <c r="BD405" s="107" t="n">
        <v>0</v>
      </c>
      <c r="BE405" s="107" t="n">
        <v>41927.08</v>
      </c>
      <c r="BF405" s="107" t="n">
        <v>56953745</v>
      </c>
      <c r="BG405" s="107" t="n">
        <v>0</v>
      </c>
      <c r="BH405" s="107" t="n">
        <v>0</v>
      </c>
      <c r="BI405" s="107" t="n">
        <v>5029500</v>
      </c>
      <c r="BJ405" s="107" t="n">
        <v>7216829550</v>
      </c>
      <c r="BK405" s="107" t="n">
        <v>0</v>
      </c>
      <c r="BL405" s="107" t="n">
        <v>0</v>
      </c>
      <c r="BM405" s="107" t="n">
        <v>0</v>
      </c>
      <c r="BN405" s="107" t="n">
        <v>0</v>
      </c>
      <c r="BO405" s="107" t="s">
        <v>367</v>
      </c>
      <c r="BP405" s="2"/>
      <c r="BQ405" s="107" t="s">
        <v>369</v>
      </c>
      <c r="BR405" s="107" t="n">
        <v>-388404653</v>
      </c>
      <c r="BS405" s="107" t="n">
        <v>0</v>
      </c>
      <c r="BT405" s="107" t="n">
        <v>0</v>
      </c>
      <c r="BU405" s="107" t="n">
        <v>47685</v>
      </c>
      <c r="BV405" s="107" t="n">
        <v>68423207</v>
      </c>
      <c r="BW405" s="107" t="n">
        <v>41927.08</v>
      </c>
      <c r="BX405" s="107" t="n">
        <v>56953745</v>
      </c>
      <c r="BY405" s="107" t="n">
        <v>0</v>
      </c>
      <c r="BZ405" s="107" t="n">
        <v>0</v>
      </c>
      <c r="CA405" s="107" t="n">
        <v>1434.9</v>
      </c>
      <c r="CB405" s="2"/>
      <c r="CC405" s="107" t="n">
        <v>0</v>
      </c>
      <c r="CD405" s="107" t="n">
        <v>96.68</v>
      </c>
      <c r="CE405" s="107" t="n">
        <v>96.74</v>
      </c>
      <c r="CF405" s="107" t="n">
        <v>96.71</v>
      </c>
      <c r="CG405" s="107" t="n">
        <v>5000000</v>
      </c>
      <c r="CH405" s="107" t="n">
        <v>3.3551</v>
      </c>
      <c r="CI405" s="2"/>
      <c r="CJ405" s="2"/>
      <c r="CK405" s="2"/>
      <c r="CL405" s="2"/>
    </row>
    <row r="406" customFormat="false" ht="15" hidden="false" customHeight="false" outlineLevel="0" collapsed="false">
      <c r="A406" s="107" t="s">
        <v>874</v>
      </c>
      <c r="B406" s="107" t="n">
        <v>95.8077</v>
      </c>
      <c r="C406" s="107" t="n">
        <v>5.4308</v>
      </c>
      <c r="D406" s="107" t="n">
        <v>3.8585</v>
      </c>
      <c r="E406" s="107" t="n">
        <v>-73.93480209</v>
      </c>
      <c r="F406" s="108" t="s">
        <v>358</v>
      </c>
      <c r="G406" s="107" t="n">
        <v>3.8585</v>
      </c>
      <c r="H406" s="107" t="n">
        <v>-73.93480209</v>
      </c>
      <c r="I406" s="109" t="n">
        <v>47948</v>
      </c>
      <c r="J406" s="107" t="n">
        <v>5</v>
      </c>
      <c r="K406" s="107" t="s">
        <v>359</v>
      </c>
      <c r="L406" s="107" t="s">
        <v>298</v>
      </c>
      <c r="M406" s="107" t="n">
        <v>771700</v>
      </c>
      <c r="N406" s="107" t="n">
        <v>99.93</v>
      </c>
      <c r="O406" s="107" t="n">
        <v>191615.4</v>
      </c>
      <c r="P406" s="107" t="s">
        <v>495</v>
      </c>
      <c r="Q406" s="107" t="s">
        <v>364</v>
      </c>
      <c r="R406" s="107" t="n">
        <v>-0.118865834893085</v>
      </c>
      <c r="S406" s="107" t="n">
        <v>-0.0412518763134195</v>
      </c>
      <c r="T406" s="107" t="n">
        <v>-75.942931482</v>
      </c>
      <c r="U406" s="107" t="n">
        <v>21069</v>
      </c>
      <c r="V406" s="108" t="s">
        <v>362</v>
      </c>
      <c r="W406" s="107" t="n">
        <v>42003</v>
      </c>
      <c r="X406" s="108" t="s">
        <v>372</v>
      </c>
      <c r="Y406" s="107" t="s">
        <v>871</v>
      </c>
      <c r="Z406" s="107" t="s">
        <v>875</v>
      </c>
      <c r="AA406" s="109" t="n">
        <v>46233</v>
      </c>
      <c r="AB406" s="107" t="n">
        <v>260730000001</v>
      </c>
      <c r="AC406" s="109" t="n">
        <v>46226</v>
      </c>
      <c r="AD406" s="109" t="n">
        <v>47506</v>
      </c>
      <c r="AE406" s="107" t="n">
        <v>0.6</v>
      </c>
      <c r="AF406" s="107" t="n">
        <v>0.0308</v>
      </c>
      <c r="AG406" s="107" t="n">
        <v>1211</v>
      </c>
      <c r="AH406" s="107" t="n">
        <v>200000</v>
      </c>
      <c r="AI406" s="107" t="n">
        <v>4.23127</v>
      </c>
      <c r="AJ406" s="107" t="n">
        <v>100</v>
      </c>
      <c r="AK406" s="107" t="n">
        <v>0.600323</v>
      </c>
      <c r="AL406" s="107" t="n">
        <v>100.115</v>
      </c>
      <c r="AM406" s="107" t="n">
        <v>4.5589</v>
      </c>
      <c r="AN406" s="107" t="n">
        <v>99.9256</v>
      </c>
      <c r="AO406" s="107" t="n">
        <v>1358.4</v>
      </c>
      <c r="AP406" s="107" t="n">
        <v>1</v>
      </c>
      <c r="AQ406" s="107" t="n">
        <v>199851.2</v>
      </c>
      <c r="AR406" s="107" t="n">
        <v>271477870</v>
      </c>
      <c r="AS406" s="107" t="n">
        <v>200000</v>
      </c>
      <c r="AT406" s="107" t="n">
        <v>293240000</v>
      </c>
      <c r="AU406" s="107" t="n">
        <v>-148.8</v>
      </c>
      <c r="AV406" s="107" t="n">
        <v>-202130</v>
      </c>
      <c r="AW406" s="107" t="n">
        <v>23.33</v>
      </c>
      <c r="AX406" s="107" t="n">
        <v>34206</v>
      </c>
      <c r="AY406" s="107" t="n">
        <v>0</v>
      </c>
      <c r="AZ406" s="107" t="n">
        <v>0</v>
      </c>
      <c r="BA406" s="107" t="n">
        <v>0</v>
      </c>
      <c r="BB406" s="107" t="n">
        <v>0</v>
      </c>
      <c r="BC406" s="107" t="n">
        <v>0</v>
      </c>
      <c r="BD406" s="107" t="n">
        <v>0</v>
      </c>
      <c r="BE406" s="107" t="n">
        <v>206.67</v>
      </c>
      <c r="BF406" s="107" t="n">
        <v>280741</v>
      </c>
      <c r="BG406" s="107" t="n">
        <v>0</v>
      </c>
      <c r="BH406" s="107" t="n">
        <v>0</v>
      </c>
      <c r="BI406" s="107" t="n">
        <v>200000</v>
      </c>
      <c r="BJ406" s="107" t="n">
        <v>293240000</v>
      </c>
      <c r="BK406" s="107" t="n">
        <v>0</v>
      </c>
      <c r="BL406" s="107" t="n">
        <v>0</v>
      </c>
      <c r="BM406" s="107" t="n">
        <v>0</v>
      </c>
      <c r="BN406" s="107" t="n">
        <v>0</v>
      </c>
      <c r="BO406" s="107" t="s">
        <v>367</v>
      </c>
      <c r="BP406" s="2"/>
      <c r="BQ406" s="107" t="s">
        <v>369</v>
      </c>
      <c r="BR406" s="107" t="n">
        <v>-21560000</v>
      </c>
      <c r="BS406" s="107" t="n">
        <v>-2515</v>
      </c>
      <c r="BT406" s="107" t="n">
        <v>0</v>
      </c>
      <c r="BU406" s="107" t="n">
        <v>0</v>
      </c>
      <c r="BV406" s="107" t="n">
        <v>0</v>
      </c>
      <c r="BW406" s="107" t="n">
        <v>230</v>
      </c>
      <c r="BX406" s="107" t="n">
        <v>312432</v>
      </c>
      <c r="BY406" s="107" t="n">
        <v>0</v>
      </c>
      <c r="BZ406" s="107" t="n">
        <v>0</v>
      </c>
      <c r="CA406" s="107" t="n">
        <v>1466.2</v>
      </c>
      <c r="CB406" s="2"/>
      <c r="CC406" s="107" t="n">
        <v>0</v>
      </c>
      <c r="CD406" s="107" t="n">
        <v>99.86</v>
      </c>
      <c r="CE406" s="107" t="n">
        <v>99.96</v>
      </c>
      <c r="CF406" s="107" t="n">
        <v>99.95</v>
      </c>
      <c r="CG406" s="107" t="n">
        <v>200000</v>
      </c>
      <c r="CH406" s="107" t="n">
        <v>0.0305</v>
      </c>
      <c r="CI406" s="2"/>
      <c r="CJ406" s="2"/>
      <c r="CK406" s="2"/>
      <c r="CL406" s="2"/>
    </row>
    <row r="407" customFormat="false" ht="15" hidden="false" customHeight="false" outlineLevel="0" collapsed="false">
      <c r="A407" s="107" t="s">
        <v>876</v>
      </c>
      <c r="B407" s="107" t="n">
        <v>96.3629</v>
      </c>
      <c r="C407" s="107" t="n">
        <v>5.564</v>
      </c>
      <c r="D407" s="107" t="n">
        <v>3.3681</v>
      </c>
      <c r="E407" s="107" t="n">
        <v>-2596.47906792</v>
      </c>
      <c r="F407" s="108" t="s">
        <v>358</v>
      </c>
      <c r="G407" s="107" t="n">
        <v>3.3681</v>
      </c>
      <c r="H407" s="107" t="n">
        <v>-2596.47906792</v>
      </c>
      <c r="I407" s="109" t="n">
        <v>47694</v>
      </c>
      <c r="J407" s="107" t="n">
        <v>3</v>
      </c>
      <c r="K407" s="107" t="s">
        <v>359</v>
      </c>
      <c r="L407" s="107" t="s">
        <v>298</v>
      </c>
      <c r="M407" s="107" t="n">
        <v>26944800</v>
      </c>
      <c r="N407" s="107" t="n">
        <v>100.353</v>
      </c>
      <c r="O407" s="107" t="n">
        <v>7709032</v>
      </c>
      <c r="P407" s="107" t="s">
        <v>877</v>
      </c>
      <c r="Q407" s="107" t="s">
        <v>106</v>
      </c>
      <c r="R407" s="107" t="n">
        <v>-0.0931083553392301</v>
      </c>
      <c r="S407" s="107" t="n">
        <v>-0.0397606449234204</v>
      </c>
      <c r="T407" s="107" t="n">
        <v>-2668.71269776</v>
      </c>
      <c r="U407" s="107" t="n">
        <v>21069</v>
      </c>
      <c r="V407" s="108" t="s">
        <v>362</v>
      </c>
      <c r="W407" s="107" t="n">
        <v>42003</v>
      </c>
      <c r="X407" s="108" t="s">
        <v>372</v>
      </c>
      <c r="Y407" s="107" t="s">
        <v>873</v>
      </c>
      <c r="Z407" s="107" t="s">
        <v>878</v>
      </c>
      <c r="AA407" s="109" t="n">
        <v>46233</v>
      </c>
      <c r="AB407" s="107" t="n">
        <v>260730000001</v>
      </c>
      <c r="AC407" s="109" t="n">
        <v>46226</v>
      </c>
      <c r="AD407" s="109" t="n">
        <v>48052</v>
      </c>
      <c r="AE407" s="107" t="n">
        <v>4.625</v>
      </c>
      <c r="AF407" s="107" t="n">
        <v>4.236</v>
      </c>
      <c r="AG407" s="107" t="n">
        <v>1757</v>
      </c>
      <c r="AH407" s="107" t="n">
        <v>200000</v>
      </c>
      <c r="AI407" s="107" t="n">
        <v>4.70392</v>
      </c>
      <c r="AJ407" s="107" t="n">
        <v>99.65</v>
      </c>
      <c r="AK407" s="107" t="n">
        <v>4.702649</v>
      </c>
      <c r="AL407" s="107" t="n">
        <v>100.52344</v>
      </c>
      <c r="AM407" s="107" t="n">
        <v>5.4385</v>
      </c>
      <c r="AN407" s="107" t="n">
        <v>96.5868</v>
      </c>
      <c r="AO407" s="107" t="n">
        <v>1358.4</v>
      </c>
      <c r="AP407" s="107" t="n">
        <v>1</v>
      </c>
      <c r="AQ407" s="107" t="n">
        <v>193173.6</v>
      </c>
      <c r="AR407" s="107" t="n">
        <v>262407018</v>
      </c>
      <c r="AS407" s="107" t="n">
        <v>199293.87</v>
      </c>
      <c r="AT407" s="107" t="n">
        <v>292204673</v>
      </c>
      <c r="AU407" s="107" t="n">
        <v>-6120.27</v>
      </c>
      <c r="AV407" s="107" t="n">
        <v>-8313775</v>
      </c>
      <c r="AW407" s="107" t="n">
        <v>179.86</v>
      </c>
      <c r="AX407" s="107" t="n">
        <v>263710</v>
      </c>
      <c r="AY407" s="107" t="n">
        <v>6.13</v>
      </c>
      <c r="AZ407" s="107" t="n">
        <v>8987</v>
      </c>
      <c r="BA407" s="107" t="n">
        <v>0</v>
      </c>
      <c r="BB407" s="107" t="n">
        <v>0</v>
      </c>
      <c r="BC407" s="107" t="n">
        <v>0</v>
      </c>
      <c r="BD407" s="107" t="n">
        <v>0</v>
      </c>
      <c r="BE407" s="107" t="n">
        <v>1541.67</v>
      </c>
      <c r="BF407" s="107" t="n">
        <v>2094204</v>
      </c>
      <c r="BG407" s="107" t="n">
        <v>25.35</v>
      </c>
      <c r="BH407" s="107" t="n">
        <v>34435</v>
      </c>
      <c r="BI407" s="107" t="n">
        <v>199293.87</v>
      </c>
      <c r="BJ407" s="107" t="n">
        <v>292204673</v>
      </c>
      <c r="BK407" s="107" t="n">
        <v>0</v>
      </c>
      <c r="BL407" s="107" t="n">
        <v>0</v>
      </c>
      <c r="BM407" s="107" t="n">
        <v>0</v>
      </c>
      <c r="BN407" s="107" t="n">
        <v>0</v>
      </c>
      <c r="BO407" s="107" t="s">
        <v>367</v>
      </c>
      <c r="BP407" s="2"/>
      <c r="BQ407" s="107" t="s">
        <v>369</v>
      </c>
      <c r="BR407" s="107" t="n">
        <v>-21483880</v>
      </c>
      <c r="BS407" s="107" t="n">
        <v>-20048</v>
      </c>
      <c r="BT407" s="107" t="n">
        <v>0</v>
      </c>
      <c r="BU407" s="107" t="n">
        <v>0</v>
      </c>
      <c r="BV407" s="107" t="n">
        <v>0</v>
      </c>
      <c r="BW407" s="107" t="n">
        <v>1721.53</v>
      </c>
      <c r="BX407" s="107" t="n">
        <v>2338526</v>
      </c>
      <c r="BY407" s="107" t="n">
        <v>31.48</v>
      </c>
      <c r="BZ407" s="107" t="n">
        <v>42762</v>
      </c>
      <c r="CA407" s="107" t="n">
        <v>1466.2</v>
      </c>
      <c r="CB407" s="2"/>
      <c r="CC407" s="107" t="n">
        <v>0</v>
      </c>
      <c r="CD407" s="107" t="n">
        <v>96.61</v>
      </c>
      <c r="CE407" s="107" t="n">
        <v>96.57</v>
      </c>
      <c r="CF407" s="107" t="n">
        <v>96.58</v>
      </c>
      <c r="CG407" s="107" t="n">
        <v>200000</v>
      </c>
      <c r="CH407" s="107" t="n">
        <v>4.1239</v>
      </c>
      <c r="CI407" s="2"/>
      <c r="CJ407" s="2"/>
      <c r="CK407" s="2"/>
      <c r="CL407" s="2"/>
    </row>
    <row r="408" customFormat="false" ht="15" hidden="false" customHeight="false" outlineLevel="0" collapsed="false">
      <c r="A408" s="107" t="s">
        <v>879</v>
      </c>
      <c r="B408" s="107" t="n">
        <v>95.1148</v>
      </c>
      <c r="C408" s="107" t="n">
        <v>5.4044</v>
      </c>
      <c r="D408" s="107" t="n">
        <v>3.7899</v>
      </c>
      <c r="E408" s="107" t="n">
        <v>-72.095116104</v>
      </c>
      <c r="F408" s="108" t="s">
        <v>358</v>
      </c>
      <c r="G408" s="107" t="n">
        <v>3.7899</v>
      </c>
      <c r="H408" s="107" t="n">
        <v>-72.095116104</v>
      </c>
      <c r="I408" s="109" t="n">
        <v>47875</v>
      </c>
      <c r="J408" s="107" t="n">
        <v>5</v>
      </c>
      <c r="K408" s="107" t="s">
        <v>359</v>
      </c>
      <c r="L408" s="107" t="s">
        <v>298</v>
      </c>
      <c r="M408" s="107" t="n">
        <v>757980</v>
      </c>
      <c r="N408" s="107" t="n">
        <v>99.79</v>
      </c>
      <c r="O408" s="107" t="n">
        <v>190229.6</v>
      </c>
      <c r="P408" s="107" t="s">
        <v>451</v>
      </c>
      <c r="Q408" s="107" t="s">
        <v>106</v>
      </c>
      <c r="R408" s="107" t="n">
        <v>-0.105270930909631</v>
      </c>
      <c r="S408" s="107" t="n">
        <v>-0.0468503858102015</v>
      </c>
      <c r="T408" s="107" t="n">
        <v>-74.043067208</v>
      </c>
      <c r="U408" s="107" t="n">
        <v>21069</v>
      </c>
      <c r="V408" s="108" t="s">
        <v>362</v>
      </c>
      <c r="W408" s="107" t="n">
        <v>42003</v>
      </c>
      <c r="X408" s="108" t="s">
        <v>372</v>
      </c>
      <c r="Y408" s="107" t="s">
        <v>874</v>
      </c>
      <c r="Z408" s="107" t="s">
        <v>880</v>
      </c>
      <c r="AA408" s="109" t="n">
        <v>46126</v>
      </c>
      <c r="AB408" s="107" t="n">
        <v>260414000001</v>
      </c>
      <c r="AC408" s="109" t="n">
        <v>46122</v>
      </c>
      <c r="AD408" s="109" t="n">
        <v>47948</v>
      </c>
      <c r="AE408" s="107" t="n">
        <v>4.375</v>
      </c>
      <c r="AF408" s="107" t="n">
        <v>3.9613</v>
      </c>
      <c r="AG408" s="107" t="n">
        <v>1653</v>
      </c>
      <c r="AH408" s="107" t="n">
        <v>200000</v>
      </c>
      <c r="AI408" s="107" t="n">
        <v>4.39</v>
      </c>
      <c r="AJ408" s="107" t="n">
        <v>99.93</v>
      </c>
      <c r="AK408" s="107" t="n">
        <v>4.390709</v>
      </c>
      <c r="AL408" s="107" t="n">
        <v>102.00085</v>
      </c>
      <c r="AM408" s="107" t="n">
        <v>5.3983</v>
      </c>
      <c r="AN408" s="107" t="n">
        <v>95.9359</v>
      </c>
      <c r="AO408" s="107" t="n">
        <v>1358.4</v>
      </c>
      <c r="AP408" s="107" t="n">
        <v>1</v>
      </c>
      <c r="AQ408" s="107" t="n">
        <v>191871.8</v>
      </c>
      <c r="AR408" s="107" t="n">
        <v>260638653</v>
      </c>
      <c r="AS408" s="107" t="n">
        <v>199859.25</v>
      </c>
      <c r="AT408" s="107" t="n">
        <v>295751719</v>
      </c>
      <c r="AU408" s="107" t="n">
        <v>-7987.45</v>
      </c>
      <c r="AV408" s="107" t="n">
        <v>-10850152</v>
      </c>
      <c r="AW408" s="107" t="n">
        <v>97.22</v>
      </c>
      <c r="AX408" s="107" t="n">
        <v>143866</v>
      </c>
      <c r="AY408" s="107" t="n">
        <v>0.75</v>
      </c>
      <c r="AZ408" s="107" t="n">
        <v>1109</v>
      </c>
      <c r="BA408" s="107" t="n">
        <v>0</v>
      </c>
      <c r="BB408" s="107" t="n">
        <v>0</v>
      </c>
      <c r="BC408" s="107" t="n">
        <v>0</v>
      </c>
      <c r="BD408" s="107" t="n">
        <v>0</v>
      </c>
      <c r="BE408" s="107" t="n">
        <v>4034.72</v>
      </c>
      <c r="BF408" s="107" t="n">
        <v>5480763</v>
      </c>
      <c r="BG408" s="107" t="n">
        <v>9.76</v>
      </c>
      <c r="BH408" s="107" t="n">
        <v>13257</v>
      </c>
      <c r="BI408" s="107" t="n">
        <v>199859.25</v>
      </c>
      <c r="BJ408" s="107" t="n">
        <v>295751719</v>
      </c>
      <c r="BK408" s="107" t="n">
        <v>0</v>
      </c>
      <c r="BL408" s="107" t="n">
        <v>0</v>
      </c>
      <c r="BM408" s="107" t="n">
        <v>0</v>
      </c>
      <c r="BN408" s="107" t="n">
        <v>0</v>
      </c>
      <c r="BO408" s="107" t="s">
        <v>367</v>
      </c>
      <c r="BP408" s="2"/>
      <c r="BQ408" s="107" t="s">
        <v>369</v>
      </c>
      <c r="BR408" s="107" t="n">
        <v>-24262914</v>
      </c>
      <c r="BS408" s="107" t="n">
        <v>-11892</v>
      </c>
      <c r="BT408" s="107" t="n">
        <v>0</v>
      </c>
      <c r="BU408" s="107" t="n">
        <v>0</v>
      </c>
      <c r="BV408" s="107" t="n">
        <v>0</v>
      </c>
      <c r="BW408" s="107" t="n">
        <v>4131.94</v>
      </c>
      <c r="BX408" s="107" t="n">
        <v>5612827</v>
      </c>
      <c r="BY408" s="107" t="n">
        <v>10.51</v>
      </c>
      <c r="BZ408" s="107" t="n">
        <v>14276</v>
      </c>
      <c r="CA408" s="107" t="n">
        <v>1479.8</v>
      </c>
      <c r="CB408" s="2"/>
      <c r="CC408" s="107" t="n">
        <v>0</v>
      </c>
      <c r="CD408" s="107" t="n">
        <v>95.92</v>
      </c>
      <c r="CE408" s="107" t="n">
        <v>95.96</v>
      </c>
      <c r="CF408" s="107" t="n">
        <v>95.93</v>
      </c>
      <c r="CG408" s="107" t="n">
        <v>200000</v>
      </c>
      <c r="CH408" s="107" t="n">
        <v>3.8572</v>
      </c>
      <c r="CI408" s="2"/>
      <c r="CJ408" s="2"/>
      <c r="CK408" s="2"/>
      <c r="CL408" s="2"/>
    </row>
    <row r="409" customFormat="false" ht="15" hidden="false" customHeight="false" outlineLevel="0" collapsed="false">
      <c r="A409" s="107" t="s">
        <v>881</v>
      </c>
      <c r="B409" s="107" t="n">
        <v>98.9148</v>
      </c>
      <c r="C409" s="107" t="n">
        <v>4.8562</v>
      </c>
      <c r="D409" s="107" t="n">
        <v>0.4712</v>
      </c>
      <c r="E409" s="107" t="n">
        <v>-466.0865376</v>
      </c>
      <c r="F409" s="108" t="s">
        <v>358</v>
      </c>
      <c r="G409" s="107" t="n">
        <v>0.4712</v>
      </c>
      <c r="H409" s="107" t="n">
        <v>-466.0865376</v>
      </c>
      <c r="I409" s="109" t="n">
        <v>46478</v>
      </c>
      <c r="J409" s="107" t="n">
        <v>1</v>
      </c>
      <c r="K409" s="107" t="s">
        <v>359</v>
      </c>
      <c r="L409" s="107" t="s">
        <v>298</v>
      </c>
      <c r="M409" s="107" t="n">
        <v>4712000</v>
      </c>
      <c r="N409" s="107" t="n">
        <v>98.7</v>
      </c>
      <c r="O409" s="107" t="n">
        <v>9891480</v>
      </c>
      <c r="P409" s="107" t="s">
        <v>360</v>
      </c>
      <c r="Q409" s="107" t="s">
        <v>364</v>
      </c>
      <c r="R409" s="107" t="n">
        <v>-0.0912389939732593</v>
      </c>
      <c r="S409" s="107" t="n">
        <v>0.00217629179331302</v>
      </c>
      <c r="T409" s="107" t="n">
        <v>-488.7380268</v>
      </c>
      <c r="U409" s="107" t="n">
        <v>21069</v>
      </c>
      <c r="V409" s="108" t="s">
        <v>362</v>
      </c>
      <c r="W409" s="107" t="n">
        <v>42003</v>
      </c>
      <c r="X409" s="108" t="s">
        <v>372</v>
      </c>
      <c r="Y409" s="107" t="s">
        <v>876</v>
      </c>
      <c r="Z409" s="107" t="s">
        <v>882</v>
      </c>
      <c r="AA409" s="109" t="n">
        <v>45971</v>
      </c>
      <c r="AB409" s="107" t="n">
        <v>251110000001</v>
      </c>
      <c r="AC409" s="109" t="n">
        <v>45852</v>
      </c>
      <c r="AD409" s="109" t="n">
        <v>47694</v>
      </c>
      <c r="AE409" s="107" t="n">
        <v>4.5</v>
      </c>
      <c r="AF409" s="107" t="n">
        <v>3.4596</v>
      </c>
      <c r="AG409" s="107" t="n">
        <v>1399</v>
      </c>
      <c r="AH409" s="107" t="n">
        <v>8000000</v>
      </c>
      <c r="AI409" s="107" t="n">
        <v>4.415</v>
      </c>
      <c r="AJ409" s="107" t="n">
        <v>100.353</v>
      </c>
      <c r="AK409" s="107" t="n">
        <v>4.295677</v>
      </c>
      <c r="AL409" s="107" t="n">
        <v>101.4598</v>
      </c>
      <c r="AM409" s="107" t="n">
        <v>5.5287</v>
      </c>
      <c r="AN409" s="107" t="n">
        <v>96.4828</v>
      </c>
      <c r="AO409" s="107" t="n">
        <v>1358.4</v>
      </c>
      <c r="AP409" s="107" t="n">
        <v>1</v>
      </c>
      <c r="AQ409" s="107" t="n">
        <v>7718624</v>
      </c>
      <c r="AR409" s="107" t="n">
        <v>10484978842</v>
      </c>
      <c r="AS409" s="107" t="n">
        <v>8056784</v>
      </c>
      <c r="AT409" s="107" t="n">
        <v>11560679362</v>
      </c>
      <c r="AU409" s="107" t="n">
        <v>-338160</v>
      </c>
      <c r="AV409" s="107" t="n">
        <v>-459356544</v>
      </c>
      <c r="AW409" s="107" t="n">
        <v>0</v>
      </c>
      <c r="AX409" s="107" t="n">
        <v>0</v>
      </c>
      <c r="AY409" s="107" t="n">
        <v>0</v>
      </c>
      <c r="AZ409" s="107" t="n">
        <v>0</v>
      </c>
      <c r="BA409" s="107" t="n">
        <v>0</v>
      </c>
      <c r="BB409" s="107" t="n">
        <v>0</v>
      </c>
      <c r="BC409" s="107" t="n">
        <v>0</v>
      </c>
      <c r="BD409" s="107" t="n">
        <v>0</v>
      </c>
      <c r="BE409" s="107" t="n">
        <v>60000</v>
      </c>
      <c r="BF409" s="107" t="n">
        <v>81504000</v>
      </c>
      <c r="BG409" s="107" t="n">
        <v>0</v>
      </c>
      <c r="BH409" s="107" t="n">
        <v>0</v>
      </c>
      <c r="BI409" s="107" t="n">
        <v>10838124</v>
      </c>
      <c r="BJ409" s="107" t="n">
        <v>15551624128</v>
      </c>
      <c r="BK409" s="107" t="n">
        <v>0</v>
      </c>
      <c r="BL409" s="107" t="n">
        <v>0</v>
      </c>
      <c r="BM409" s="107" t="n">
        <v>0</v>
      </c>
      <c r="BN409" s="107" t="n">
        <v>0</v>
      </c>
      <c r="BO409" s="107" t="s">
        <v>106</v>
      </c>
      <c r="BP409" s="2"/>
      <c r="BQ409" s="107" t="s">
        <v>369</v>
      </c>
      <c r="BR409" s="107" t="n">
        <v>-616343976</v>
      </c>
      <c r="BS409" s="107" t="n">
        <v>0</v>
      </c>
      <c r="BT409" s="107" t="n">
        <v>0</v>
      </c>
      <c r="BU409" s="107" t="n">
        <v>38534.4</v>
      </c>
      <c r="BV409" s="107" t="n">
        <v>55293010</v>
      </c>
      <c r="BW409" s="107" t="n">
        <v>60000</v>
      </c>
      <c r="BX409" s="107" t="n">
        <v>81504000</v>
      </c>
      <c r="BY409" s="107" t="n">
        <v>0</v>
      </c>
      <c r="BZ409" s="107" t="n">
        <v>0</v>
      </c>
      <c r="CA409" s="107" t="n">
        <v>1434.9</v>
      </c>
      <c r="CB409" s="2"/>
      <c r="CC409" s="107" t="n">
        <v>0</v>
      </c>
      <c r="CD409" s="107" t="n">
        <v>96.41</v>
      </c>
      <c r="CE409" s="107" t="n">
        <v>96.54</v>
      </c>
      <c r="CF409" s="107" t="n">
        <v>96.5</v>
      </c>
      <c r="CG409" s="107" t="n">
        <v>8000000</v>
      </c>
      <c r="CH409" s="107" t="n">
        <v>3.3665</v>
      </c>
      <c r="CI409" s="2"/>
      <c r="CJ409" s="2"/>
      <c r="CK409" s="2"/>
      <c r="CL409" s="2"/>
    </row>
    <row r="410" customFormat="false" ht="15" hidden="false" customHeight="false" outlineLevel="0" collapsed="false">
      <c r="A410" s="107" t="s">
        <v>883</v>
      </c>
      <c r="B410" s="107" t="n">
        <v>99.7257</v>
      </c>
      <c r="C410" s="107" t="n">
        <v>5.1796</v>
      </c>
      <c r="D410" s="107" t="n">
        <v>0.0869</v>
      </c>
      <c r="E410" s="107" t="n">
        <v>-17.33232666</v>
      </c>
      <c r="F410" s="108" t="s">
        <v>358</v>
      </c>
      <c r="G410" s="107" t="n">
        <v>0.0869</v>
      </c>
      <c r="H410" s="107" t="n">
        <v>-17.33232666</v>
      </c>
      <c r="I410" s="109" t="n">
        <v>46327</v>
      </c>
      <c r="J410" s="107" t="n">
        <v>1</v>
      </c>
      <c r="K410" s="107" t="s">
        <v>359</v>
      </c>
      <c r="L410" s="107" t="s">
        <v>298</v>
      </c>
      <c r="M410" s="107" t="n">
        <v>173800</v>
      </c>
      <c r="N410" s="107" t="n">
        <v>98.69</v>
      </c>
      <c r="O410" s="107" t="n">
        <v>1994514</v>
      </c>
      <c r="P410" s="107" t="s">
        <v>884</v>
      </c>
      <c r="Q410" s="107" t="s">
        <v>374</v>
      </c>
      <c r="R410" s="107" t="n">
        <v>-0.0425189928140858</v>
      </c>
      <c r="S410" s="107" t="n">
        <v>0.0104944776573108</v>
      </c>
      <c r="T410" s="107" t="n">
        <v>-17.77111974</v>
      </c>
      <c r="U410" s="107" t="n">
        <v>21069</v>
      </c>
      <c r="V410" s="108" t="s">
        <v>362</v>
      </c>
      <c r="W410" s="107" t="n">
        <v>42003</v>
      </c>
      <c r="X410" s="108" t="s">
        <v>372</v>
      </c>
      <c r="Y410" s="107" t="s">
        <v>879</v>
      </c>
      <c r="Z410" s="107" t="s">
        <v>885</v>
      </c>
      <c r="AA410" s="109" t="n">
        <v>46051</v>
      </c>
      <c r="AB410" s="107" t="n">
        <v>260129000001</v>
      </c>
      <c r="AC410" s="109" t="n">
        <v>46049</v>
      </c>
      <c r="AD410" s="109" t="n">
        <v>47875</v>
      </c>
      <c r="AE410" s="107" t="n">
        <v>4.125</v>
      </c>
      <c r="AF410" s="107" t="n">
        <v>3.8902</v>
      </c>
      <c r="AG410" s="107" t="n">
        <v>1580</v>
      </c>
      <c r="AH410" s="107" t="n">
        <v>200000</v>
      </c>
      <c r="AI410" s="107" t="n">
        <v>4.17197</v>
      </c>
      <c r="AJ410" s="107" t="n">
        <v>99.79</v>
      </c>
      <c r="AK410" s="107" t="n">
        <v>4.177341</v>
      </c>
      <c r="AL410" s="107" t="n">
        <v>100.511875</v>
      </c>
      <c r="AM410" s="107" t="n">
        <v>5.3688</v>
      </c>
      <c r="AN410" s="107" t="n">
        <v>95.2492</v>
      </c>
      <c r="AO410" s="107" t="n">
        <v>1358.4</v>
      </c>
      <c r="AP410" s="107" t="n">
        <v>1</v>
      </c>
      <c r="AQ410" s="107" t="n">
        <v>190498.4</v>
      </c>
      <c r="AR410" s="107" t="n">
        <v>258773027</v>
      </c>
      <c r="AS410" s="107" t="n">
        <v>199580</v>
      </c>
      <c r="AT410" s="107" t="n">
        <v>289151504</v>
      </c>
      <c r="AU410" s="107" t="n">
        <v>-9081.6</v>
      </c>
      <c r="AV410" s="107" t="n">
        <v>-12336445</v>
      </c>
      <c r="AW410" s="107" t="n">
        <v>0</v>
      </c>
      <c r="AX410" s="107" t="n">
        <v>0</v>
      </c>
      <c r="AY410" s="107" t="n">
        <v>0</v>
      </c>
      <c r="AZ410" s="107" t="n">
        <v>0</v>
      </c>
      <c r="BA410" s="107" t="n">
        <v>0</v>
      </c>
      <c r="BB410" s="107" t="n">
        <v>0</v>
      </c>
      <c r="BC410" s="107" t="n">
        <v>0</v>
      </c>
      <c r="BD410" s="107" t="n">
        <v>0</v>
      </c>
      <c r="BE410" s="107" t="n">
        <v>1443.75</v>
      </c>
      <c r="BF410" s="107" t="n">
        <v>1961190</v>
      </c>
      <c r="BG410" s="107" t="n">
        <v>0</v>
      </c>
      <c r="BH410" s="107" t="n">
        <v>0</v>
      </c>
      <c r="BI410" s="107" t="n">
        <v>199580</v>
      </c>
      <c r="BJ410" s="107" t="n">
        <v>289151504</v>
      </c>
      <c r="BK410" s="107" t="n">
        <v>0</v>
      </c>
      <c r="BL410" s="107" t="n">
        <v>0</v>
      </c>
      <c r="BM410" s="107" t="n">
        <v>0</v>
      </c>
      <c r="BN410" s="107" t="n">
        <v>0</v>
      </c>
      <c r="BO410" s="107" t="s">
        <v>367</v>
      </c>
      <c r="BP410" s="2"/>
      <c r="BQ410" s="107" t="s">
        <v>367</v>
      </c>
      <c r="BR410" s="107" t="n">
        <v>-18042032</v>
      </c>
      <c r="BS410" s="107" t="n">
        <v>0</v>
      </c>
      <c r="BT410" s="107" t="n">
        <v>0</v>
      </c>
      <c r="BU410" s="107" t="n">
        <v>0</v>
      </c>
      <c r="BV410" s="107" t="n">
        <v>0</v>
      </c>
      <c r="BW410" s="107" t="n">
        <v>1443.75</v>
      </c>
      <c r="BX410" s="107" t="n">
        <v>1961190</v>
      </c>
      <c r="BY410" s="107" t="n">
        <v>0</v>
      </c>
      <c r="BZ410" s="107" t="n">
        <v>0</v>
      </c>
      <c r="CA410" s="107" t="n">
        <v>1448.8</v>
      </c>
      <c r="CB410" s="2"/>
      <c r="CC410" s="107" t="n">
        <v>0</v>
      </c>
      <c r="CD410" s="107" t="n">
        <v>95.24</v>
      </c>
      <c r="CE410" s="107" t="n">
        <v>95.23</v>
      </c>
      <c r="CF410" s="107" t="n">
        <v>95.27</v>
      </c>
      <c r="CG410" s="107" t="n">
        <v>200000</v>
      </c>
      <c r="CH410" s="107" t="n">
        <v>3.7885</v>
      </c>
      <c r="CI410" s="2"/>
      <c r="CJ410" s="2"/>
      <c r="CK410" s="2"/>
      <c r="CL410" s="2"/>
    </row>
    <row r="411" customFormat="false" ht="15" hidden="false" customHeight="false" outlineLevel="0" collapsed="false">
      <c r="A411" s="107" t="s">
        <v>886</v>
      </c>
      <c r="B411" s="107" t="n">
        <v>99.4952</v>
      </c>
      <c r="C411" s="107" t="n">
        <v>5.0491</v>
      </c>
      <c r="D411" s="107" t="n">
        <v>0.5222</v>
      </c>
      <c r="E411" s="107" t="n">
        <v>-429.47154817504</v>
      </c>
      <c r="F411" s="108" t="s">
        <v>358</v>
      </c>
      <c r="G411" s="107" t="n">
        <v>0.5222</v>
      </c>
      <c r="H411" s="107" t="n">
        <v>-429.47154817504</v>
      </c>
      <c r="I411" s="109" t="n">
        <v>46497</v>
      </c>
      <c r="J411" s="107" t="n">
        <v>1</v>
      </c>
      <c r="K411" s="107" t="s">
        <v>359</v>
      </c>
      <c r="L411" s="107" t="s">
        <v>298</v>
      </c>
      <c r="M411" s="107" t="n">
        <v>4316505.2</v>
      </c>
      <c r="N411" s="107" t="n">
        <v>99.92</v>
      </c>
      <c r="O411" s="107" t="n">
        <v>8224273.232</v>
      </c>
      <c r="P411" s="107" t="s">
        <v>887</v>
      </c>
      <c r="Q411" s="107" t="s">
        <v>106</v>
      </c>
      <c r="R411" s="107" t="n">
        <v>-0.0573160275720008</v>
      </c>
      <c r="S411" s="107" t="n">
        <v>-0.00425140112089673</v>
      </c>
      <c r="T411" s="107" t="n">
        <v>-440.32758884128</v>
      </c>
      <c r="U411" s="107" t="n">
        <v>21069</v>
      </c>
      <c r="V411" s="108" t="s">
        <v>362</v>
      </c>
      <c r="W411" s="107" t="n">
        <v>42003</v>
      </c>
      <c r="X411" s="108" t="s">
        <v>372</v>
      </c>
      <c r="Y411" s="107" t="s">
        <v>881</v>
      </c>
      <c r="Z411" s="107" t="s">
        <v>888</v>
      </c>
      <c r="AA411" s="109" t="n">
        <v>46161</v>
      </c>
      <c r="AB411" s="107" t="n">
        <v>260519000001</v>
      </c>
      <c r="AC411" s="109" t="n">
        <v>42095</v>
      </c>
      <c r="AD411" s="109" t="n">
        <v>46478</v>
      </c>
      <c r="AE411" s="107" t="n">
        <v>2.7</v>
      </c>
      <c r="AF411" s="107" t="n">
        <v>0.4915</v>
      </c>
      <c r="AG411" s="107" t="n">
        <v>183</v>
      </c>
      <c r="AH411" s="107" t="n">
        <v>10000000</v>
      </c>
      <c r="AI411" s="107" t="n">
        <v>4.251</v>
      </c>
      <c r="AJ411" s="107" t="n">
        <v>98.7</v>
      </c>
      <c r="AK411" s="107" t="n">
        <v>5.352778</v>
      </c>
      <c r="AL411" s="107" t="n">
        <v>100.0425</v>
      </c>
      <c r="AM411" s="107" t="n">
        <v>4.803</v>
      </c>
      <c r="AN411" s="107" t="n">
        <v>98.9464</v>
      </c>
      <c r="AO411" s="107" t="n">
        <v>1358.4</v>
      </c>
      <c r="AP411" s="107" t="n">
        <v>1</v>
      </c>
      <c r="AQ411" s="107" t="n">
        <v>9894640</v>
      </c>
      <c r="AR411" s="107" t="n">
        <v>13440878976</v>
      </c>
      <c r="AS411" s="107" t="n">
        <v>9870000</v>
      </c>
      <c r="AT411" s="107" t="n">
        <v>14803026000</v>
      </c>
      <c r="AU411" s="107" t="n">
        <v>24640</v>
      </c>
      <c r="AV411" s="107" t="n">
        <v>33470976</v>
      </c>
      <c r="AW411" s="107" t="n">
        <v>36000</v>
      </c>
      <c r="AX411" s="107" t="n">
        <v>53992800</v>
      </c>
      <c r="AY411" s="107" t="n">
        <v>0</v>
      </c>
      <c r="AZ411" s="107" t="n">
        <v>0</v>
      </c>
      <c r="BA411" s="107" t="n">
        <v>0</v>
      </c>
      <c r="BB411" s="107" t="n">
        <v>0</v>
      </c>
      <c r="BC411" s="107" t="n">
        <v>0</v>
      </c>
      <c r="BD411" s="107" t="n">
        <v>0</v>
      </c>
      <c r="BE411" s="107" t="n">
        <v>98250</v>
      </c>
      <c r="BF411" s="107" t="n">
        <v>133462800</v>
      </c>
      <c r="BG411" s="107" t="n">
        <v>0</v>
      </c>
      <c r="BH411" s="107" t="n">
        <v>0</v>
      </c>
      <c r="BI411" s="107" t="n">
        <v>9870000</v>
      </c>
      <c r="BJ411" s="107" t="n">
        <v>14803026000</v>
      </c>
      <c r="BK411" s="107" t="n">
        <v>0</v>
      </c>
      <c r="BL411" s="107" t="n">
        <v>0</v>
      </c>
      <c r="BM411" s="107" t="n">
        <v>0</v>
      </c>
      <c r="BN411" s="107" t="n">
        <v>0</v>
      </c>
      <c r="BO411" s="2"/>
      <c r="BP411" s="2"/>
      <c r="BQ411" s="107" t="s">
        <v>364</v>
      </c>
      <c r="BR411" s="107" t="n">
        <v>-1395618000</v>
      </c>
      <c r="BS411" s="107" t="n">
        <v>-5090400</v>
      </c>
      <c r="BT411" s="107" t="n">
        <v>0</v>
      </c>
      <c r="BU411" s="107" t="n">
        <v>0</v>
      </c>
      <c r="BV411" s="107" t="n">
        <v>0</v>
      </c>
      <c r="BW411" s="107" t="n">
        <v>134250</v>
      </c>
      <c r="BX411" s="107" t="n">
        <v>182365200</v>
      </c>
      <c r="BY411" s="107" t="n">
        <v>0</v>
      </c>
      <c r="BZ411" s="107" t="n">
        <v>0</v>
      </c>
      <c r="CA411" s="107" t="n">
        <v>1499.8</v>
      </c>
      <c r="CB411" s="2"/>
      <c r="CC411" s="107" t="n">
        <v>0</v>
      </c>
      <c r="CD411" s="107" t="n">
        <v>98.85</v>
      </c>
      <c r="CE411" s="107" t="n">
        <v>98.9</v>
      </c>
      <c r="CF411" s="107" t="n">
        <v>99.09</v>
      </c>
      <c r="CG411" s="107" t="n">
        <v>10000000</v>
      </c>
      <c r="CH411" s="107" t="n">
        <v>0.469</v>
      </c>
      <c r="CI411" s="2"/>
      <c r="CJ411" s="2"/>
      <c r="CK411" s="2"/>
      <c r="CL411" s="2"/>
    </row>
    <row r="412" customFormat="false" ht="15" hidden="false" customHeight="false" outlineLevel="0" collapsed="false">
      <c r="A412" s="107" t="s">
        <v>889</v>
      </c>
      <c r="B412" s="107" t="n">
        <v>99.9538</v>
      </c>
      <c r="C412" s="107" t="n">
        <v>5.3992</v>
      </c>
      <c r="D412" s="107" t="n">
        <v>1.4639</v>
      </c>
      <c r="E412" s="107" t="n">
        <v>-310.05709741058</v>
      </c>
      <c r="F412" s="108" t="s">
        <v>358</v>
      </c>
      <c r="G412" s="107" t="n">
        <v>1.4639</v>
      </c>
      <c r="H412" s="107" t="n">
        <v>-310.05709741058</v>
      </c>
      <c r="I412" s="109" t="n">
        <v>46884</v>
      </c>
      <c r="J412" s="107" t="n">
        <v>2</v>
      </c>
      <c r="K412" s="107" t="s">
        <v>359</v>
      </c>
      <c r="L412" s="107" t="s">
        <v>298</v>
      </c>
      <c r="M412" s="107" t="n">
        <v>3102004.1</v>
      </c>
      <c r="N412" s="107" t="n">
        <v>102.13</v>
      </c>
      <c r="O412" s="107" t="n">
        <v>2118021.022</v>
      </c>
      <c r="P412" s="107" t="s">
        <v>887</v>
      </c>
      <c r="Q412" s="107" t="s">
        <v>106</v>
      </c>
      <c r="R412" s="107" t="n">
        <v>-0.100661530986108</v>
      </c>
      <c r="S412" s="107" t="n">
        <v>-0.0213081366885342</v>
      </c>
      <c r="T412" s="107" t="n">
        <v>-318.42328044748</v>
      </c>
      <c r="U412" s="107" t="n">
        <v>21069</v>
      </c>
      <c r="V412" s="108" t="s">
        <v>362</v>
      </c>
      <c r="W412" s="107" t="n">
        <v>42003</v>
      </c>
      <c r="X412" s="108" t="s">
        <v>372</v>
      </c>
      <c r="Y412" s="107" t="s">
        <v>883</v>
      </c>
      <c r="Z412" s="107" t="s">
        <v>890</v>
      </c>
      <c r="AA412" s="109" t="n">
        <v>46080</v>
      </c>
      <c r="AB412" s="107" t="n">
        <v>260227000001</v>
      </c>
      <c r="AC412" s="109" t="n">
        <v>44501</v>
      </c>
      <c r="AD412" s="109" t="n">
        <v>46327</v>
      </c>
      <c r="AE412" s="107" t="n">
        <v>2.125</v>
      </c>
      <c r="AF412" s="107" t="n">
        <v>0.0863</v>
      </c>
      <c r="AG412" s="107" t="n">
        <v>32</v>
      </c>
      <c r="AH412" s="107" t="n">
        <v>2000000</v>
      </c>
      <c r="AI412" s="107" t="n">
        <v>4.1</v>
      </c>
      <c r="AJ412" s="107" t="n">
        <v>98.69</v>
      </c>
      <c r="AK412" s="107" t="n">
        <v>16.646019</v>
      </c>
      <c r="AL412" s="107" t="n">
        <v>99.680533</v>
      </c>
      <c r="AM412" s="107" t="n">
        <v>5.1187</v>
      </c>
      <c r="AN412" s="107" t="n">
        <v>99.7392</v>
      </c>
      <c r="AO412" s="107" t="n">
        <v>1358.4</v>
      </c>
      <c r="AP412" s="107" t="n">
        <v>1</v>
      </c>
      <c r="AQ412" s="107" t="n">
        <v>1994784</v>
      </c>
      <c r="AR412" s="107" t="n">
        <v>2709714586</v>
      </c>
      <c r="AS412" s="107" t="n">
        <v>1973800</v>
      </c>
      <c r="AT412" s="107" t="n">
        <v>2832995140</v>
      </c>
      <c r="AU412" s="107" t="n">
        <v>20984</v>
      </c>
      <c r="AV412" s="107" t="n">
        <v>28504666</v>
      </c>
      <c r="AW412" s="107" t="n">
        <v>0</v>
      </c>
      <c r="AX412" s="107" t="n">
        <v>0</v>
      </c>
      <c r="AY412" s="107" t="n">
        <v>0</v>
      </c>
      <c r="AZ412" s="107" t="n">
        <v>0</v>
      </c>
      <c r="BA412" s="107" t="n">
        <v>0</v>
      </c>
      <c r="BB412" s="107" t="n">
        <v>0</v>
      </c>
      <c r="BC412" s="107" t="n">
        <v>0</v>
      </c>
      <c r="BD412" s="107" t="n">
        <v>0</v>
      </c>
      <c r="BE412" s="107" t="n">
        <v>17590.28</v>
      </c>
      <c r="BF412" s="107" t="n">
        <v>23894636</v>
      </c>
      <c r="BG412" s="107" t="n">
        <v>2220.39</v>
      </c>
      <c r="BH412" s="107" t="n">
        <v>3016177</v>
      </c>
      <c r="BI412" s="107" t="n">
        <v>1973800</v>
      </c>
      <c r="BJ412" s="107" t="n">
        <v>2832995140</v>
      </c>
      <c r="BK412" s="107" t="n">
        <v>0</v>
      </c>
      <c r="BL412" s="107" t="n">
        <v>0</v>
      </c>
      <c r="BM412" s="107" t="n">
        <v>0</v>
      </c>
      <c r="BN412" s="107" t="n">
        <v>0</v>
      </c>
      <c r="BO412" s="107" t="s">
        <v>374</v>
      </c>
      <c r="BP412" s="2"/>
      <c r="BQ412" s="107" t="s">
        <v>369</v>
      </c>
      <c r="BR412" s="107" t="n">
        <v>-151785220</v>
      </c>
      <c r="BS412" s="107" t="n">
        <v>0</v>
      </c>
      <c r="BT412" s="107" t="n">
        <v>0</v>
      </c>
      <c r="BU412" s="107" t="n">
        <v>0</v>
      </c>
      <c r="BV412" s="107" t="n">
        <v>0</v>
      </c>
      <c r="BW412" s="107" t="n">
        <v>17590.28</v>
      </c>
      <c r="BX412" s="107" t="n">
        <v>23894636</v>
      </c>
      <c r="BY412" s="107" t="n">
        <v>2220.39</v>
      </c>
      <c r="BZ412" s="107" t="n">
        <v>3016177</v>
      </c>
      <c r="CA412" s="107" t="n">
        <v>1435.3</v>
      </c>
      <c r="CB412" s="2"/>
      <c r="CC412" s="107" t="n">
        <v>0</v>
      </c>
      <c r="CD412" s="107" t="n">
        <v>99.72</v>
      </c>
      <c r="CE412" s="107" t="n">
        <v>99.73</v>
      </c>
      <c r="CF412" s="107" t="n">
        <v>99.77</v>
      </c>
      <c r="CG412" s="107" t="n">
        <v>2000000</v>
      </c>
      <c r="CH412" s="107" t="n">
        <v>0.0841</v>
      </c>
      <c r="CI412" s="2"/>
      <c r="CJ412" s="2"/>
      <c r="CK412" s="2"/>
      <c r="CL412" s="2"/>
    </row>
    <row r="413" customFormat="false" ht="15" hidden="false" customHeight="false" outlineLevel="0" collapsed="false">
      <c r="A413" s="107" t="s">
        <v>891</v>
      </c>
      <c r="B413" s="107" t="n">
        <v>98.9915</v>
      </c>
      <c r="C413" s="107" t="n">
        <v>5.4827</v>
      </c>
      <c r="D413" s="107" t="n">
        <v>1.5971</v>
      </c>
      <c r="E413" s="107" t="n">
        <v>-537.53770381</v>
      </c>
      <c r="F413" s="108" t="s">
        <v>358</v>
      </c>
      <c r="G413" s="107" t="n">
        <v>1.5971</v>
      </c>
      <c r="H413" s="107" t="n">
        <v>-537.53770381</v>
      </c>
      <c r="I413" s="109" t="n">
        <v>46932</v>
      </c>
      <c r="J413" s="107" t="n">
        <v>2</v>
      </c>
      <c r="K413" s="107" t="s">
        <v>359</v>
      </c>
      <c r="L413" s="107" t="s">
        <v>298</v>
      </c>
      <c r="M413" s="107" t="n">
        <v>5430140</v>
      </c>
      <c r="N413" s="107" t="n">
        <v>101.93</v>
      </c>
      <c r="O413" s="107" t="n">
        <v>3365711</v>
      </c>
      <c r="P413" s="107" t="s">
        <v>892</v>
      </c>
      <c r="Q413" s="107" t="s">
        <v>374</v>
      </c>
      <c r="R413" s="107" t="n">
        <v>-0.0807058265246718</v>
      </c>
      <c r="S413" s="107" t="n">
        <v>-0.0288286078681449</v>
      </c>
      <c r="T413" s="107" t="n">
        <v>-552.27951799</v>
      </c>
      <c r="U413" s="107" t="n">
        <v>21069</v>
      </c>
      <c r="V413" s="108" t="s">
        <v>362</v>
      </c>
      <c r="W413" s="107" t="n">
        <v>42003</v>
      </c>
      <c r="X413" s="108" t="s">
        <v>372</v>
      </c>
      <c r="Y413" s="107" t="s">
        <v>886</v>
      </c>
      <c r="Z413" s="107" t="s">
        <v>893</v>
      </c>
      <c r="AA413" s="109" t="n">
        <v>45973</v>
      </c>
      <c r="AB413" s="107" t="n">
        <v>251112000001</v>
      </c>
      <c r="AC413" s="109" t="n">
        <v>44671</v>
      </c>
      <c r="AD413" s="109" t="n">
        <v>46497</v>
      </c>
      <c r="AE413" s="107" t="n">
        <v>4.125</v>
      </c>
      <c r="AF413" s="107" t="n">
        <v>0.5327</v>
      </c>
      <c r="AG413" s="107" t="n">
        <v>202</v>
      </c>
      <c r="AH413" s="107" t="n">
        <v>8266000</v>
      </c>
      <c r="AI413" s="107" t="n">
        <v>4.18122</v>
      </c>
      <c r="AJ413" s="107" t="n">
        <v>99.92</v>
      </c>
      <c r="AK413" s="107" t="n">
        <v>3.946977</v>
      </c>
      <c r="AL413" s="107" t="n">
        <v>101.928221</v>
      </c>
      <c r="AM413" s="107" t="n">
        <v>4.9851</v>
      </c>
      <c r="AN413" s="107" t="n">
        <v>99.5323</v>
      </c>
      <c r="AO413" s="107" t="n">
        <v>1358.4</v>
      </c>
      <c r="AP413" s="107" t="n">
        <v>1</v>
      </c>
      <c r="AQ413" s="107" t="n">
        <v>8227339.92</v>
      </c>
      <c r="AR413" s="107" t="n">
        <v>11176018545</v>
      </c>
      <c r="AS413" s="107" t="n">
        <v>8268917.9</v>
      </c>
      <c r="AT413" s="107" t="n">
        <v>11865070292</v>
      </c>
      <c r="AU413" s="107" t="n">
        <v>-41577.98</v>
      </c>
      <c r="AV413" s="107" t="n">
        <v>-56479528</v>
      </c>
      <c r="AW413" s="107" t="n">
        <v>0</v>
      </c>
      <c r="AX413" s="107" t="n">
        <v>0</v>
      </c>
      <c r="AY413" s="107" t="n">
        <v>0</v>
      </c>
      <c r="AZ413" s="107" t="n">
        <v>0</v>
      </c>
      <c r="BA413" s="107" t="n">
        <v>0</v>
      </c>
      <c r="BB413" s="107" t="n">
        <v>0</v>
      </c>
      <c r="BC413" s="107" t="n">
        <v>0</v>
      </c>
      <c r="BD413" s="107" t="n">
        <v>0</v>
      </c>
      <c r="BE413" s="107" t="n">
        <v>151543.33</v>
      </c>
      <c r="BF413" s="107" t="n">
        <v>205856459</v>
      </c>
      <c r="BG413" s="107" t="n">
        <v>4925.55</v>
      </c>
      <c r="BH413" s="107" t="n">
        <v>6690867</v>
      </c>
      <c r="BI413" s="107" t="n">
        <v>8259387.2</v>
      </c>
      <c r="BJ413" s="107" t="n">
        <v>11851394693</v>
      </c>
      <c r="BK413" s="107" t="n">
        <v>0</v>
      </c>
      <c r="BL413" s="107" t="n">
        <v>0</v>
      </c>
      <c r="BM413" s="107" t="n">
        <v>0</v>
      </c>
      <c r="BN413" s="107" t="n">
        <v>0</v>
      </c>
      <c r="BO413" s="107" t="s">
        <v>367</v>
      </c>
      <c r="BP413" s="2"/>
      <c r="BQ413" s="107" t="s">
        <v>369</v>
      </c>
      <c r="BR413" s="107" t="n">
        <v>-632572219</v>
      </c>
      <c r="BS413" s="107" t="n">
        <v>0</v>
      </c>
      <c r="BT413" s="107" t="n">
        <v>0</v>
      </c>
      <c r="BU413" s="107" t="n">
        <v>9530.69</v>
      </c>
      <c r="BV413" s="107" t="n">
        <v>13675599</v>
      </c>
      <c r="BW413" s="107" t="n">
        <v>151543.33</v>
      </c>
      <c r="BX413" s="107" t="n">
        <v>205856459</v>
      </c>
      <c r="BY413" s="107" t="n">
        <v>4925.55</v>
      </c>
      <c r="BZ413" s="107" t="n">
        <v>6690867</v>
      </c>
      <c r="CA413" s="107" t="n">
        <v>1434.9</v>
      </c>
      <c r="CB413" s="2"/>
      <c r="CC413" s="107" t="n">
        <v>0</v>
      </c>
      <c r="CD413" s="107" t="n">
        <v>99.5</v>
      </c>
      <c r="CE413" s="107" t="n">
        <v>99.49</v>
      </c>
      <c r="CF413" s="107" t="n">
        <v>99.6</v>
      </c>
      <c r="CG413" s="107" t="n">
        <v>8266000</v>
      </c>
      <c r="CH413" s="107" t="n">
        <v>0.5197</v>
      </c>
      <c r="CI413" s="2"/>
      <c r="CJ413" s="2"/>
      <c r="CK413" s="2"/>
      <c r="CL413" s="2"/>
    </row>
    <row r="414" customFormat="false" ht="15" hidden="false" customHeight="false" outlineLevel="0" collapsed="false">
      <c r="A414" s="107" t="s">
        <v>891</v>
      </c>
      <c r="B414" s="107" t="n">
        <v>98.9915</v>
      </c>
      <c r="C414" s="107" t="n">
        <v>5.4827</v>
      </c>
      <c r="D414" s="107" t="n">
        <v>1.5971</v>
      </c>
      <c r="E414" s="107" t="n">
        <v>-1580.9932465</v>
      </c>
      <c r="F414" s="108" t="s">
        <v>358</v>
      </c>
      <c r="G414" s="107" t="n">
        <v>1.5971</v>
      </c>
      <c r="H414" s="107" t="n">
        <v>-1580.9932465</v>
      </c>
      <c r="I414" s="109" t="n">
        <v>46932</v>
      </c>
      <c r="J414" s="107" t="n">
        <v>2</v>
      </c>
      <c r="K414" s="107" t="s">
        <v>359</v>
      </c>
      <c r="L414" s="107" t="s">
        <v>298</v>
      </c>
      <c r="M414" s="107" t="n">
        <v>15971000</v>
      </c>
      <c r="N414" s="107" t="n">
        <v>101.99</v>
      </c>
      <c r="O414" s="107" t="n">
        <v>9899150</v>
      </c>
      <c r="P414" s="107" t="s">
        <v>892</v>
      </c>
      <c r="Q414" s="107" t="s">
        <v>374</v>
      </c>
      <c r="R414" s="107" t="n">
        <v>-0.0869995296667285</v>
      </c>
      <c r="S414" s="107" t="n">
        <v>-0.029399941170703</v>
      </c>
      <c r="T414" s="107" t="n">
        <v>-1624.3515235</v>
      </c>
      <c r="U414" s="107" t="n">
        <v>21069</v>
      </c>
      <c r="V414" s="108" t="s">
        <v>362</v>
      </c>
      <c r="W414" s="107" t="n">
        <v>42003</v>
      </c>
      <c r="X414" s="108" t="s">
        <v>372</v>
      </c>
      <c r="Y414" s="107" t="s">
        <v>889</v>
      </c>
      <c r="Z414" s="107" t="s">
        <v>894</v>
      </c>
      <c r="AA414" s="109" t="n">
        <v>46133</v>
      </c>
      <c r="AB414" s="107" t="n">
        <v>260421000001</v>
      </c>
      <c r="AC414" s="109" t="n">
        <v>45027</v>
      </c>
      <c r="AD414" s="109" t="n">
        <v>46884</v>
      </c>
      <c r="AE414" s="107" t="n">
        <v>5.375</v>
      </c>
      <c r="AF414" s="107" t="n">
        <v>1.5009</v>
      </c>
      <c r="AG414" s="107" t="n">
        <v>589</v>
      </c>
      <c r="AH414" s="107" t="n">
        <v>2119000</v>
      </c>
      <c r="AI414" s="107" t="n">
        <v>4.28</v>
      </c>
      <c r="AJ414" s="107" t="n">
        <v>102.13</v>
      </c>
      <c r="AK414" s="107" t="n">
        <v>3.66253</v>
      </c>
      <c r="AL414" s="107" t="n">
        <v>104.731119</v>
      </c>
      <c r="AM414" s="107" t="n">
        <v>5.3444</v>
      </c>
      <c r="AN414" s="107" t="n">
        <v>100.0377</v>
      </c>
      <c r="AO414" s="107" t="n">
        <v>1358.4</v>
      </c>
      <c r="AP414" s="107" t="n">
        <v>1</v>
      </c>
      <c r="AQ414" s="107" t="n">
        <v>2119798.86</v>
      </c>
      <c r="AR414" s="107" t="n">
        <v>2879534775</v>
      </c>
      <c r="AS414" s="107" t="n">
        <v>2164134.7</v>
      </c>
      <c r="AT414" s="107" t="n">
        <v>3202919356</v>
      </c>
      <c r="AU414" s="107" t="n">
        <v>-44335.84</v>
      </c>
      <c r="AV414" s="107" t="n">
        <v>-60225801</v>
      </c>
      <c r="AW414" s="107" t="n">
        <v>0</v>
      </c>
      <c r="AX414" s="107" t="n">
        <v>0</v>
      </c>
      <c r="AY414" s="107" t="n">
        <v>0</v>
      </c>
      <c r="AZ414" s="107" t="n">
        <v>0</v>
      </c>
      <c r="BA414" s="107" t="n">
        <v>0</v>
      </c>
      <c r="BB414" s="107" t="n">
        <v>0</v>
      </c>
      <c r="BC414" s="107" t="n">
        <v>0</v>
      </c>
      <c r="BD414" s="107" t="n">
        <v>0</v>
      </c>
      <c r="BE414" s="107" t="n">
        <v>43976.61</v>
      </c>
      <c r="BF414" s="107" t="n">
        <v>59737827</v>
      </c>
      <c r="BG414" s="107" t="n">
        <v>11141.12</v>
      </c>
      <c r="BH414" s="107" t="n">
        <v>15134097</v>
      </c>
      <c r="BI414" s="107" t="n">
        <v>2164134.7</v>
      </c>
      <c r="BJ414" s="107" t="n">
        <v>3202919356</v>
      </c>
      <c r="BK414" s="107" t="n">
        <v>0</v>
      </c>
      <c r="BL414" s="107" t="n">
        <v>0</v>
      </c>
      <c r="BM414" s="107" t="n">
        <v>0</v>
      </c>
      <c r="BN414" s="107" t="n">
        <v>0</v>
      </c>
      <c r="BO414" s="2"/>
      <c r="BP414" s="2"/>
      <c r="BQ414" s="107" t="s">
        <v>369</v>
      </c>
      <c r="BR414" s="107" t="n">
        <v>-263158780</v>
      </c>
      <c r="BS414" s="107" t="n">
        <v>0</v>
      </c>
      <c r="BT414" s="107" t="n">
        <v>0</v>
      </c>
      <c r="BU414" s="107" t="n">
        <v>0</v>
      </c>
      <c r="BV414" s="107" t="n">
        <v>0</v>
      </c>
      <c r="BW414" s="107" t="n">
        <v>43976.61</v>
      </c>
      <c r="BX414" s="107" t="n">
        <v>59737827</v>
      </c>
      <c r="BY414" s="107" t="n">
        <v>11141.12</v>
      </c>
      <c r="BZ414" s="107" t="n">
        <v>15134097</v>
      </c>
      <c r="CA414" s="107" t="n">
        <v>1480</v>
      </c>
      <c r="CB414" s="2"/>
      <c r="CC414" s="107" t="n">
        <v>0</v>
      </c>
      <c r="CD414" s="107" t="n">
        <v>100.01</v>
      </c>
      <c r="CE414" s="107" t="n">
        <v>100.02</v>
      </c>
      <c r="CF414" s="107" t="n">
        <v>100.08</v>
      </c>
      <c r="CG414" s="107" t="n">
        <v>2119000</v>
      </c>
      <c r="CH414" s="107" t="n">
        <v>1.4618</v>
      </c>
      <c r="CI414" s="2"/>
      <c r="CJ414" s="2"/>
      <c r="CK414" s="2"/>
      <c r="CL414" s="2"/>
    </row>
    <row r="415" customFormat="false" ht="15" hidden="false" customHeight="false" outlineLevel="0" collapsed="false">
      <c r="A415" s="107" t="s">
        <v>895</v>
      </c>
      <c r="B415" s="107" t="n">
        <v>99.3527</v>
      </c>
      <c r="C415" s="107" t="n">
        <v>5.3906</v>
      </c>
      <c r="D415" s="107" t="n">
        <v>2.3065</v>
      </c>
      <c r="E415" s="107" t="n">
        <v>-1677.8875726711</v>
      </c>
      <c r="F415" s="108" t="s">
        <v>358</v>
      </c>
      <c r="G415" s="107" t="n">
        <v>2.3065</v>
      </c>
      <c r="H415" s="107" t="n">
        <v>-1677.8875726711</v>
      </c>
      <c r="I415" s="109" t="n">
        <v>47246</v>
      </c>
      <c r="J415" s="107" t="n">
        <v>3</v>
      </c>
      <c r="K415" s="107" t="s">
        <v>359</v>
      </c>
      <c r="L415" s="107" t="s">
        <v>298</v>
      </c>
      <c r="M415" s="107" t="n">
        <v>16888193</v>
      </c>
      <c r="N415" s="107" t="n">
        <v>102.82</v>
      </c>
      <c r="O415" s="107" t="n">
        <v>7274604.694</v>
      </c>
      <c r="P415" s="107" t="s">
        <v>887</v>
      </c>
      <c r="Q415" s="107" t="s">
        <v>106</v>
      </c>
      <c r="R415" s="107" t="n">
        <v>-0.0843208511742361</v>
      </c>
      <c r="S415" s="107" t="n">
        <v>-0.0337220385139078</v>
      </c>
      <c r="T415" s="107" t="n">
        <v>-1723.13561386778</v>
      </c>
      <c r="U415" s="107" t="n">
        <v>21069</v>
      </c>
      <c r="V415" s="108" t="s">
        <v>362</v>
      </c>
      <c r="W415" s="107" t="n">
        <v>42003</v>
      </c>
      <c r="X415" s="108" t="s">
        <v>372</v>
      </c>
      <c r="Y415" s="107" t="s">
        <v>891</v>
      </c>
      <c r="Z415" s="107" t="s">
        <v>896</v>
      </c>
      <c r="AA415" s="109" t="n">
        <v>45946</v>
      </c>
      <c r="AB415" s="107" t="n">
        <v>251016000001</v>
      </c>
      <c r="AC415" s="109" t="n">
        <v>45105</v>
      </c>
      <c r="AD415" s="109" t="n">
        <v>46932</v>
      </c>
      <c r="AE415" s="107" t="n">
        <v>4.875</v>
      </c>
      <c r="AF415" s="107" t="n">
        <v>1.6384</v>
      </c>
      <c r="AG415" s="107" t="n">
        <v>637</v>
      </c>
      <c r="AH415" s="107" t="n">
        <v>3400000</v>
      </c>
      <c r="AI415" s="107" t="n">
        <v>4.11</v>
      </c>
      <c r="AJ415" s="107" t="n">
        <v>101.93</v>
      </c>
      <c r="AK415" s="107" t="n">
        <v>3.363457</v>
      </c>
      <c r="AL415" s="107" t="n">
        <v>103.78101</v>
      </c>
      <c r="AM415" s="107" t="n">
        <v>5.4234</v>
      </c>
      <c r="AN415" s="107" t="n">
        <v>99.0899</v>
      </c>
      <c r="AO415" s="107" t="n">
        <v>1358.4</v>
      </c>
      <c r="AP415" s="107" t="n">
        <v>1</v>
      </c>
      <c r="AQ415" s="107" t="n">
        <v>3369056.6</v>
      </c>
      <c r="AR415" s="107" t="n">
        <v>4576526485</v>
      </c>
      <c r="AS415" s="107" t="n">
        <v>3470080.8</v>
      </c>
      <c r="AT415" s="107" t="n">
        <v>4979218940</v>
      </c>
      <c r="AU415" s="107" t="n">
        <v>-101024.2</v>
      </c>
      <c r="AV415" s="107" t="n">
        <v>-137231274</v>
      </c>
      <c r="AW415" s="107" t="n">
        <v>0</v>
      </c>
      <c r="AX415" s="107" t="n">
        <v>0</v>
      </c>
      <c r="AY415" s="107" t="n">
        <v>0</v>
      </c>
      <c r="AZ415" s="107" t="n">
        <v>0</v>
      </c>
      <c r="BA415" s="107" t="n">
        <v>0</v>
      </c>
      <c r="BB415" s="107" t="n">
        <v>0</v>
      </c>
      <c r="BC415" s="107" t="n">
        <v>0</v>
      </c>
      <c r="BD415" s="107" t="n">
        <v>0</v>
      </c>
      <c r="BE415" s="107" t="n">
        <v>42358.33</v>
      </c>
      <c r="BF415" s="107" t="n">
        <v>57539555</v>
      </c>
      <c r="BG415" s="107" t="n">
        <v>16115.22</v>
      </c>
      <c r="BH415" s="107" t="n">
        <v>21890914</v>
      </c>
      <c r="BI415" s="107" t="n">
        <v>3465620</v>
      </c>
      <c r="BJ415" s="107" t="n">
        <v>4972818138</v>
      </c>
      <c r="BK415" s="107" t="n">
        <v>0</v>
      </c>
      <c r="BL415" s="107" t="n">
        <v>0</v>
      </c>
      <c r="BM415" s="107" t="n">
        <v>0</v>
      </c>
      <c r="BN415" s="107" t="n">
        <v>0</v>
      </c>
      <c r="BO415" s="107" t="s">
        <v>369</v>
      </c>
      <c r="BP415" s="2"/>
      <c r="BQ415" s="107" t="s">
        <v>374</v>
      </c>
      <c r="BR415" s="107" t="n">
        <v>-265461181</v>
      </c>
      <c r="BS415" s="107" t="n">
        <v>0</v>
      </c>
      <c r="BT415" s="107" t="n">
        <v>0</v>
      </c>
      <c r="BU415" s="107" t="n">
        <v>4460.8</v>
      </c>
      <c r="BV415" s="107" t="n">
        <v>6400802</v>
      </c>
      <c r="BW415" s="107" t="n">
        <v>42358.33</v>
      </c>
      <c r="BX415" s="107" t="n">
        <v>57539555</v>
      </c>
      <c r="BY415" s="107" t="n">
        <v>16115.22</v>
      </c>
      <c r="BZ415" s="107" t="n">
        <v>21890914</v>
      </c>
      <c r="CA415" s="107" t="n">
        <v>1434.9</v>
      </c>
      <c r="CB415" s="2"/>
      <c r="CC415" s="107" t="n">
        <v>0</v>
      </c>
      <c r="CD415" s="107" t="n">
        <v>99.09</v>
      </c>
      <c r="CE415" s="107" t="n">
        <v>99.08</v>
      </c>
      <c r="CF415" s="107" t="n">
        <v>99.09</v>
      </c>
      <c r="CG415" s="107" t="n">
        <v>3400000</v>
      </c>
      <c r="CH415" s="107" t="n">
        <v>1.5951</v>
      </c>
      <c r="CI415" s="2"/>
      <c r="CJ415" s="2"/>
      <c r="CK415" s="2"/>
      <c r="CL415" s="2"/>
    </row>
    <row r="416" customFormat="false" ht="15" hidden="false" customHeight="false" outlineLevel="0" collapsed="false">
      <c r="A416" s="107" t="s">
        <v>897</v>
      </c>
      <c r="B416" s="107" t="n">
        <v>100.2058</v>
      </c>
      <c r="C416" s="107" t="n">
        <v>5.0038</v>
      </c>
      <c r="D416" s="107" t="n">
        <v>0.5513</v>
      </c>
      <c r="E416" s="107" t="n">
        <v>-220.97383016</v>
      </c>
      <c r="F416" s="108" t="s">
        <v>358</v>
      </c>
      <c r="G416" s="107" t="n">
        <v>0.5513</v>
      </c>
      <c r="H416" s="107" t="n">
        <v>-220.97383016</v>
      </c>
      <c r="I416" s="109" t="n">
        <v>46509</v>
      </c>
      <c r="J416" s="107" t="n">
        <v>1</v>
      </c>
      <c r="K416" s="107" t="s">
        <v>359</v>
      </c>
      <c r="L416" s="107" t="s">
        <v>298</v>
      </c>
      <c r="M416" s="107" t="n">
        <v>2205200</v>
      </c>
      <c r="N416" s="107" t="n">
        <v>99.904</v>
      </c>
      <c r="O416" s="107" t="n">
        <v>4008232</v>
      </c>
      <c r="P416" s="107" t="s">
        <v>898</v>
      </c>
      <c r="Q416" s="107" t="s">
        <v>361</v>
      </c>
      <c r="R416" s="107" t="n">
        <v>-0.0680896089785819</v>
      </c>
      <c r="S416" s="107" t="n">
        <v>0.00302090006406153</v>
      </c>
      <c r="T416" s="107" t="n">
        <v>-226.50519032</v>
      </c>
      <c r="U416" s="107" t="n">
        <v>21069</v>
      </c>
      <c r="V416" s="108" t="s">
        <v>362</v>
      </c>
      <c r="W416" s="107" t="n">
        <v>42003</v>
      </c>
      <c r="X416" s="108" t="s">
        <v>372</v>
      </c>
      <c r="Y416" s="107" t="s">
        <v>891</v>
      </c>
      <c r="Z416" s="107" t="s">
        <v>896</v>
      </c>
      <c r="AA416" s="109" t="n">
        <v>46078</v>
      </c>
      <c r="AB416" s="107" t="n">
        <v>260225000001</v>
      </c>
      <c r="AC416" s="109" t="n">
        <v>45105</v>
      </c>
      <c r="AD416" s="109" t="n">
        <v>46932</v>
      </c>
      <c r="AE416" s="107" t="n">
        <v>4.875</v>
      </c>
      <c r="AF416" s="107" t="n">
        <v>1.6384</v>
      </c>
      <c r="AG416" s="107" t="n">
        <v>637</v>
      </c>
      <c r="AH416" s="107" t="n">
        <v>10000000</v>
      </c>
      <c r="AI416" s="107" t="n">
        <v>3.97221</v>
      </c>
      <c r="AJ416" s="107" t="n">
        <v>101.99</v>
      </c>
      <c r="AK416" s="107" t="n">
        <v>3.405116</v>
      </c>
      <c r="AL416" s="107" t="n">
        <v>103.70981</v>
      </c>
      <c r="AM416" s="107" t="n">
        <v>5.4234</v>
      </c>
      <c r="AN416" s="107" t="n">
        <v>99.0899</v>
      </c>
      <c r="AO416" s="107" t="n">
        <v>1358.4</v>
      </c>
      <c r="AP416" s="107" t="n">
        <v>1</v>
      </c>
      <c r="AQ416" s="107" t="n">
        <v>9908990</v>
      </c>
      <c r="AR416" s="107" t="n">
        <v>13460372016</v>
      </c>
      <c r="AS416" s="107" t="n">
        <v>10199000</v>
      </c>
      <c r="AT416" s="107" t="n">
        <v>14745714200</v>
      </c>
      <c r="AU416" s="107" t="n">
        <v>-290010</v>
      </c>
      <c r="AV416" s="107" t="n">
        <v>-393949584</v>
      </c>
      <c r="AW416" s="107" t="n">
        <v>0</v>
      </c>
      <c r="AX416" s="107" t="n">
        <v>0</v>
      </c>
      <c r="AY416" s="107" t="n">
        <v>0</v>
      </c>
      <c r="AZ416" s="107" t="n">
        <v>0</v>
      </c>
      <c r="BA416" s="107" t="n">
        <v>0</v>
      </c>
      <c r="BB416" s="107" t="n">
        <v>0</v>
      </c>
      <c r="BC416" s="107" t="n">
        <v>0</v>
      </c>
      <c r="BD416" s="107" t="n">
        <v>0</v>
      </c>
      <c r="BE416" s="107" t="n">
        <v>124583.33</v>
      </c>
      <c r="BF416" s="107" t="n">
        <v>169233995</v>
      </c>
      <c r="BG416" s="107" t="n">
        <v>47397.71</v>
      </c>
      <c r="BH416" s="107" t="n">
        <v>64385049</v>
      </c>
      <c r="BI416" s="107" t="n">
        <v>10199000</v>
      </c>
      <c r="BJ416" s="107" t="n">
        <v>14745714200</v>
      </c>
      <c r="BK416" s="107" t="n">
        <v>0</v>
      </c>
      <c r="BL416" s="107" t="n">
        <v>0</v>
      </c>
      <c r="BM416" s="107" t="n">
        <v>0</v>
      </c>
      <c r="BN416" s="107" t="n">
        <v>0</v>
      </c>
      <c r="BO416" s="107" t="s">
        <v>369</v>
      </c>
      <c r="BP416" s="2"/>
      <c r="BQ416" s="107" t="s">
        <v>374</v>
      </c>
      <c r="BR416" s="107" t="n">
        <v>-891392600</v>
      </c>
      <c r="BS416" s="107" t="n">
        <v>0</v>
      </c>
      <c r="BT416" s="107" t="n">
        <v>0</v>
      </c>
      <c r="BU416" s="107" t="n">
        <v>0</v>
      </c>
      <c r="BV416" s="107" t="n">
        <v>0</v>
      </c>
      <c r="BW416" s="107" t="n">
        <v>124583.33</v>
      </c>
      <c r="BX416" s="107" t="n">
        <v>169233995</v>
      </c>
      <c r="BY416" s="107" t="n">
        <v>47397.71</v>
      </c>
      <c r="BZ416" s="107" t="n">
        <v>64385049</v>
      </c>
      <c r="CA416" s="107" t="n">
        <v>1445.8</v>
      </c>
      <c r="CB416" s="2"/>
      <c r="CC416" s="107" t="n">
        <v>0</v>
      </c>
      <c r="CD416" s="107" t="n">
        <v>99.09</v>
      </c>
      <c r="CE416" s="107" t="n">
        <v>99.08</v>
      </c>
      <c r="CF416" s="107" t="n">
        <v>99.09</v>
      </c>
      <c r="CG416" s="107" t="n">
        <v>10000000</v>
      </c>
      <c r="CH416" s="107" t="n">
        <v>1.5951</v>
      </c>
      <c r="CI416" s="2"/>
      <c r="CJ416" s="2"/>
      <c r="CK416" s="2"/>
      <c r="CL416" s="2"/>
    </row>
    <row r="417" customFormat="false" ht="15" hidden="false" customHeight="false" outlineLevel="0" collapsed="false">
      <c r="A417" s="107" t="s">
        <v>897</v>
      </c>
      <c r="B417" s="107" t="n">
        <v>100.2058</v>
      </c>
      <c r="C417" s="107" t="n">
        <v>5.0038</v>
      </c>
      <c r="D417" s="107" t="n">
        <v>0.5513</v>
      </c>
      <c r="E417" s="107" t="n">
        <v>-55.24345754</v>
      </c>
      <c r="F417" s="108" t="s">
        <v>358</v>
      </c>
      <c r="G417" s="107" t="n">
        <v>0.5513</v>
      </c>
      <c r="H417" s="107" t="n">
        <v>-55.24345754</v>
      </c>
      <c r="I417" s="109" t="n">
        <v>46509</v>
      </c>
      <c r="J417" s="107" t="n">
        <v>1</v>
      </c>
      <c r="K417" s="107" t="s">
        <v>359</v>
      </c>
      <c r="L417" s="107" t="s">
        <v>298</v>
      </c>
      <c r="M417" s="107" t="n">
        <v>551300</v>
      </c>
      <c r="N417" s="107" t="n">
        <v>100.5</v>
      </c>
      <c r="O417" s="107" t="n">
        <v>1002058</v>
      </c>
      <c r="P417" s="107" t="s">
        <v>898</v>
      </c>
      <c r="Q417" s="107" t="s">
        <v>361</v>
      </c>
      <c r="R417" s="107" t="n">
        <v>-0.0680896092972118</v>
      </c>
      <c r="S417" s="107" t="n">
        <v>-0.0029273631840796</v>
      </c>
      <c r="T417" s="107" t="n">
        <v>-56.62629758</v>
      </c>
      <c r="U417" s="107" t="n">
        <v>21069</v>
      </c>
      <c r="V417" s="108" t="s">
        <v>362</v>
      </c>
      <c r="W417" s="107" t="n">
        <v>42003</v>
      </c>
      <c r="X417" s="108" t="s">
        <v>372</v>
      </c>
      <c r="Y417" s="107" t="s">
        <v>895</v>
      </c>
      <c r="Z417" s="107" t="s">
        <v>899</v>
      </c>
      <c r="AA417" s="109" t="n">
        <v>45973</v>
      </c>
      <c r="AB417" s="107" t="n">
        <v>251112000001</v>
      </c>
      <c r="AC417" s="109" t="n">
        <v>45390</v>
      </c>
      <c r="AD417" s="109" t="n">
        <v>47246</v>
      </c>
      <c r="AE417" s="107" t="n">
        <v>5.125</v>
      </c>
      <c r="AF417" s="107" t="n">
        <v>2.3664</v>
      </c>
      <c r="AG417" s="107" t="n">
        <v>951</v>
      </c>
      <c r="AH417" s="107" t="n">
        <v>7322000</v>
      </c>
      <c r="AI417" s="107" t="n">
        <v>4.24665</v>
      </c>
      <c r="AJ417" s="107" t="n">
        <v>102.82</v>
      </c>
      <c r="AK417" s="107" t="n">
        <v>3.966074</v>
      </c>
      <c r="AL417" s="107" t="n">
        <v>104.859527</v>
      </c>
      <c r="AM417" s="107" t="n">
        <v>5.3375</v>
      </c>
      <c r="AN417" s="107" t="n">
        <v>99.4806</v>
      </c>
      <c r="AO417" s="107" t="n">
        <v>1358.4</v>
      </c>
      <c r="AP417" s="107" t="n">
        <v>1</v>
      </c>
      <c r="AQ417" s="107" t="n">
        <v>7283969.53</v>
      </c>
      <c r="AR417" s="107" t="n">
        <v>9894544212</v>
      </c>
      <c r="AS417" s="107" t="n">
        <v>7529798.36</v>
      </c>
      <c r="AT417" s="107" t="n">
        <v>10804507667</v>
      </c>
      <c r="AU417" s="107" t="n">
        <v>-245828.83</v>
      </c>
      <c r="AV417" s="107" t="n">
        <v>-333933880</v>
      </c>
      <c r="AW417" s="107" t="n">
        <v>0</v>
      </c>
      <c r="AX417" s="107" t="n">
        <v>0</v>
      </c>
      <c r="AY417" s="107" t="n">
        <v>0</v>
      </c>
      <c r="AZ417" s="107" t="n">
        <v>0</v>
      </c>
      <c r="BA417" s="107" t="n">
        <v>0</v>
      </c>
      <c r="BB417" s="107" t="n">
        <v>0</v>
      </c>
      <c r="BC417" s="107" t="n">
        <v>0</v>
      </c>
      <c r="BD417" s="107" t="n">
        <v>0</v>
      </c>
      <c r="BE417" s="107" t="n">
        <v>148016.26</v>
      </c>
      <c r="BF417" s="107" t="n">
        <v>201065287</v>
      </c>
      <c r="BG417" s="107" t="n">
        <v>0</v>
      </c>
      <c r="BH417" s="107" t="n">
        <v>0</v>
      </c>
      <c r="BI417" s="107" t="n">
        <v>7528480.4</v>
      </c>
      <c r="BJ417" s="107" t="n">
        <v>10802616526</v>
      </c>
      <c r="BK417" s="107" t="n">
        <v>0</v>
      </c>
      <c r="BL417" s="107" t="n">
        <v>0</v>
      </c>
      <c r="BM417" s="107" t="n">
        <v>0</v>
      </c>
      <c r="BN417" s="107" t="n">
        <v>0</v>
      </c>
      <c r="BO417" s="107" t="s">
        <v>367</v>
      </c>
      <c r="BP417" s="2"/>
      <c r="BQ417" s="107" t="s">
        <v>367</v>
      </c>
      <c r="BR417" s="107" t="n">
        <v>-576029575</v>
      </c>
      <c r="BS417" s="107" t="n">
        <v>0</v>
      </c>
      <c r="BT417" s="107" t="n">
        <v>0</v>
      </c>
      <c r="BU417" s="107" t="n">
        <v>1317.96</v>
      </c>
      <c r="BV417" s="107" t="n">
        <v>1891141</v>
      </c>
      <c r="BW417" s="107" t="n">
        <v>148016.26</v>
      </c>
      <c r="BX417" s="107" t="n">
        <v>201065287</v>
      </c>
      <c r="BY417" s="107" t="n">
        <v>0</v>
      </c>
      <c r="BZ417" s="107" t="n">
        <v>0</v>
      </c>
      <c r="CA417" s="107" t="n">
        <v>1434.9</v>
      </c>
      <c r="CB417" s="2"/>
      <c r="CC417" s="107" t="n">
        <v>0</v>
      </c>
      <c r="CD417" s="107" t="n">
        <v>99.43</v>
      </c>
      <c r="CE417" s="107" t="n">
        <v>99.44</v>
      </c>
      <c r="CF417" s="107" t="n">
        <v>99.57</v>
      </c>
      <c r="CG417" s="107" t="n">
        <v>7322000</v>
      </c>
      <c r="CH417" s="107" t="n">
        <v>2.3049</v>
      </c>
      <c r="CI417" s="2"/>
      <c r="CJ417" s="2"/>
      <c r="CK417" s="2"/>
      <c r="CL417" s="2"/>
    </row>
    <row r="418" customFormat="false" ht="15" hidden="false" customHeight="false" outlineLevel="0" collapsed="false">
      <c r="A418" s="107" t="s">
        <v>900</v>
      </c>
      <c r="B418" s="107" t="n">
        <v>99.6965</v>
      </c>
      <c r="C418" s="107" t="n">
        <v>5.3734</v>
      </c>
      <c r="D418" s="107" t="n">
        <v>2.2867</v>
      </c>
      <c r="E418" s="107" t="n">
        <v>-729.52315696</v>
      </c>
      <c r="F418" s="108" t="s">
        <v>358</v>
      </c>
      <c r="G418" s="107" t="n">
        <v>2.2867</v>
      </c>
      <c r="H418" s="107" t="n">
        <v>-729.52315696</v>
      </c>
      <c r="I418" s="109" t="n">
        <v>47240</v>
      </c>
      <c r="J418" s="107" t="n">
        <v>3</v>
      </c>
      <c r="K418" s="107" t="s">
        <v>359</v>
      </c>
      <c r="L418" s="107" t="s">
        <v>298</v>
      </c>
      <c r="M418" s="107" t="n">
        <v>7317440</v>
      </c>
      <c r="N418" s="107" t="n">
        <v>100.476</v>
      </c>
      <c r="O418" s="107" t="n">
        <v>3190288</v>
      </c>
      <c r="P418" s="107" t="s">
        <v>898</v>
      </c>
      <c r="Q418" s="107" t="s">
        <v>364</v>
      </c>
      <c r="R418" s="107" t="n">
        <v>-0.0882854505038518</v>
      </c>
      <c r="S418" s="107" t="n">
        <v>-0.00775807157928266</v>
      </c>
      <c r="T418" s="107" t="n">
        <v>-749.11152528</v>
      </c>
      <c r="U418" s="107" t="n">
        <v>21069</v>
      </c>
      <c r="V418" s="108" t="s">
        <v>362</v>
      </c>
      <c r="W418" s="107" t="n">
        <v>42003</v>
      </c>
      <c r="X418" s="108" t="s">
        <v>372</v>
      </c>
      <c r="Y418" s="107" t="s">
        <v>897</v>
      </c>
      <c r="Z418" s="107" t="s">
        <v>901</v>
      </c>
      <c r="AA418" s="109" t="n">
        <v>45414</v>
      </c>
      <c r="AB418" s="107" t="n">
        <v>240502000001</v>
      </c>
      <c r="AC418" s="109" t="n">
        <v>45414</v>
      </c>
      <c r="AD418" s="109" t="n">
        <v>46509</v>
      </c>
      <c r="AE418" s="107" t="n">
        <v>5.375</v>
      </c>
      <c r="AF418" s="107" t="n">
        <v>0.5625</v>
      </c>
      <c r="AG418" s="107" t="n">
        <v>214</v>
      </c>
      <c r="AH418" s="107" t="n">
        <v>4000000</v>
      </c>
      <c r="AI418" s="107" t="n">
        <v>5.410097</v>
      </c>
      <c r="AJ418" s="107" t="n">
        <v>99.904</v>
      </c>
      <c r="AK418" s="107" t="n">
        <v>1.953312</v>
      </c>
      <c r="AL418" s="107" t="n">
        <v>104.201596</v>
      </c>
      <c r="AM418" s="107" t="n">
        <v>4.9501</v>
      </c>
      <c r="AN418" s="107" t="n">
        <v>100.2358</v>
      </c>
      <c r="AO418" s="107" t="n">
        <v>1358.4</v>
      </c>
      <c r="AP418" s="107" t="n">
        <v>1</v>
      </c>
      <c r="AQ418" s="107" t="n">
        <v>4009432</v>
      </c>
      <c r="AR418" s="107" t="n">
        <v>5446412429</v>
      </c>
      <c r="AS418" s="107" t="n">
        <v>4076580</v>
      </c>
      <c r="AT418" s="107" t="n">
        <v>5849484642</v>
      </c>
      <c r="AU418" s="107" t="n">
        <v>-67148</v>
      </c>
      <c r="AV418" s="107" t="n">
        <v>-91213843</v>
      </c>
      <c r="AW418" s="107" t="n">
        <v>0</v>
      </c>
      <c r="AX418" s="107" t="n">
        <v>0</v>
      </c>
      <c r="AY418" s="107" t="n">
        <v>0</v>
      </c>
      <c r="AZ418" s="107" t="n">
        <v>0</v>
      </c>
      <c r="BA418" s="107" t="n">
        <v>0</v>
      </c>
      <c r="BB418" s="107" t="n">
        <v>0</v>
      </c>
      <c r="BC418" s="107" t="n">
        <v>0</v>
      </c>
      <c r="BD418" s="107" t="n">
        <v>0</v>
      </c>
      <c r="BE418" s="107" t="n">
        <v>88388.89</v>
      </c>
      <c r="BF418" s="107" t="n">
        <v>120067468</v>
      </c>
      <c r="BG418" s="107" t="n">
        <v>3094.97</v>
      </c>
      <c r="BH418" s="107" t="n">
        <v>4204207</v>
      </c>
      <c r="BI418" s="107" t="n">
        <v>3996160</v>
      </c>
      <c r="BJ418" s="107" t="n">
        <v>5732019505</v>
      </c>
      <c r="BK418" s="107" t="n">
        <v>0</v>
      </c>
      <c r="BL418" s="107" t="n">
        <v>0</v>
      </c>
      <c r="BM418" s="107" t="n">
        <v>0</v>
      </c>
      <c r="BN418" s="107" t="n">
        <v>0</v>
      </c>
      <c r="BO418" s="2"/>
      <c r="BP418" s="2"/>
      <c r="BQ418" s="107" t="s">
        <v>364</v>
      </c>
      <c r="BR418" s="107" t="n">
        <v>-311858370</v>
      </c>
      <c r="BS418" s="107" t="n">
        <v>0</v>
      </c>
      <c r="BT418" s="107" t="n">
        <v>0</v>
      </c>
      <c r="BU418" s="107" t="n">
        <v>80420</v>
      </c>
      <c r="BV418" s="107" t="n">
        <v>117465137</v>
      </c>
      <c r="BW418" s="107" t="n">
        <v>88388.89</v>
      </c>
      <c r="BX418" s="107" t="n">
        <v>120067468</v>
      </c>
      <c r="BY418" s="107" t="n">
        <v>3094.97</v>
      </c>
      <c r="BZ418" s="107" t="n">
        <v>4204207</v>
      </c>
      <c r="CA418" s="107" t="n">
        <v>1434.9</v>
      </c>
      <c r="CB418" s="2"/>
      <c r="CC418" s="107" t="n">
        <v>0</v>
      </c>
      <c r="CD418" s="107" t="n">
        <v>100.19</v>
      </c>
      <c r="CE418" s="107" t="n">
        <v>100.18</v>
      </c>
      <c r="CF418" s="107" t="n">
        <v>100.34</v>
      </c>
      <c r="CG418" s="107" t="n">
        <v>4000000</v>
      </c>
      <c r="CH418" s="107" t="n">
        <v>0.5489</v>
      </c>
      <c r="CI418" s="2"/>
      <c r="CJ418" s="2"/>
      <c r="CK418" s="2"/>
      <c r="CL418" s="2"/>
    </row>
    <row r="419" customFormat="false" ht="15" hidden="false" customHeight="false" outlineLevel="0" collapsed="false">
      <c r="A419" s="107" t="s">
        <v>900</v>
      </c>
      <c r="B419" s="107" t="n">
        <v>99.6965</v>
      </c>
      <c r="C419" s="107" t="n">
        <v>5.3734</v>
      </c>
      <c r="D419" s="107" t="n">
        <v>2.2867</v>
      </c>
      <c r="E419" s="107" t="n">
        <v>-455.9519731</v>
      </c>
      <c r="F419" s="108" t="s">
        <v>358</v>
      </c>
      <c r="G419" s="107" t="n">
        <v>2.2867</v>
      </c>
      <c r="H419" s="107" t="n">
        <v>-455.9519731</v>
      </c>
      <c r="I419" s="109" t="n">
        <v>47240</v>
      </c>
      <c r="J419" s="107" t="n">
        <v>3</v>
      </c>
      <c r="K419" s="107" t="s">
        <v>359</v>
      </c>
      <c r="L419" s="107" t="s">
        <v>298</v>
      </c>
      <c r="M419" s="107" t="n">
        <v>4573400</v>
      </c>
      <c r="N419" s="107" t="n">
        <v>100.477</v>
      </c>
      <c r="O419" s="107" t="n">
        <v>1993930</v>
      </c>
      <c r="P419" s="107" t="s">
        <v>898</v>
      </c>
      <c r="Q419" s="107" t="s">
        <v>364</v>
      </c>
      <c r="R419" s="107" t="n">
        <v>-0.0882854505038518</v>
      </c>
      <c r="S419" s="107" t="n">
        <v>-0.00776794689331894</v>
      </c>
      <c r="T419" s="107" t="n">
        <v>-468.1947033</v>
      </c>
      <c r="U419" s="107" t="n">
        <v>21069</v>
      </c>
      <c r="V419" s="108" t="s">
        <v>362</v>
      </c>
      <c r="W419" s="107" t="n">
        <v>42003</v>
      </c>
      <c r="X419" s="108" t="s">
        <v>372</v>
      </c>
      <c r="Y419" s="107" t="s">
        <v>897</v>
      </c>
      <c r="Z419" s="107" t="s">
        <v>901</v>
      </c>
      <c r="AA419" s="109" t="n">
        <v>45432</v>
      </c>
      <c r="AB419" s="107" t="n">
        <v>240520000001</v>
      </c>
      <c r="AC419" s="109" t="n">
        <v>45414</v>
      </c>
      <c r="AD419" s="109" t="n">
        <v>46509</v>
      </c>
      <c r="AE419" s="107" t="n">
        <v>5.375</v>
      </c>
      <c r="AF419" s="107" t="n">
        <v>0.5625</v>
      </c>
      <c r="AG419" s="107" t="n">
        <v>214</v>
      </c>
      <c r="AH419" s="107" t="n">
        <v>1000000</v>
      </c>
      <c r="AI419" s="107" t="n">
        <v>5.18888</v>
      </c>
      <c r="AJ419" s="107" t="n">
        <v>100.5</v>
      </c>
      <c r="AK419" s="107" t="n">
        <v>1.953313</v>
      </c>
      <c r="AL419" s="107" t="n">
        <v>104.201596</v>
      </c>
      <c r="AM419" s="107" t="n">
        <v>4.9501</v>
      </c>
      <c r="AN419" s="107" t="n">
        <v>100.2358</v>
      </c>
      <c r="AO419" s="107" t="n">
        <v>1358.4</v>
      </c>
      <c r="AP419" s="107" t="n">
        <v>1</v>
      </c>
      <c r="AQ419" s="107" t="n">
        <v>1002358</v>
      </c>
      <c r="AR419" s="107" t="n">
        <v>1361603107</v>
      </c>
      <c r="AS419" s="107" t="n">
        <v>1019145</v>
      </c>
      <c r="AT419" s="107" t="n">
        <v>1462371161</v>
      </c>
      <c r="AU419" s="107" t="n">
        <v>-16787</v>
      </c>
      <c r="AV419" s="107" t="n">
        <v>-22803461</v>
      </c>
      <c r="AW419" s="107" t="n">
        <v>0</v>
      </c>
      <c r="AX419" s="107" t="n">
        <v>0</v>
      </c>
      <c r="AY419" s="107" t="n">
        <v>0</v>
      </c>
      <c r="AZ419" s="107" t="n">
        <v>0</v>
      </c>
      <c r="BA419" s="107" t="n">
        <v>0</v>
      </c>
      <c r="BB419" s="107" t="n">
        <v>0</v>
      </c>
      <c r="BC419" s="107" t="n">
        <v>0</v>
      </c>
      <c r="BD419" s="107" t="n">
        <v>0</v>
      </c>
      <c r="BE419" s="107" t="n">
        <v>22097.22</v>
      </c>
      <c r="BF419" s="107" t="n">
        <v>30016863</v>
      </c>
      <c r="BG419" s="107" t="n">
        <v>773.74</v>
      </c>
      <c r="BH419" s="107" t="n">
        <v>1051048</v>
      </c>
      <c r="BI419" s="107" t="n">
        <v>1005000</v>
      </c>
      <c r="BJ419" s="107" t="n">
        <v>1441766076</v>
      </c>
      <c r="BK419" s="107" t="n">
        <v>0</v>
      </c>
      <c r="BL419" s="107" t="n">
        <v>0</v>
      </c>
      <c r="BM419" s="107" t="n">
        <v>0</v>
      </c>
      <c r="BN419" s="107" t="n">
        <v>0</v>
      </c>
      <c r="BO419" s="2"/>
      <c r="BP419" s="2"/>
      <c r="BQ419" s="107" t="s">
        <v>364</v>
      </c>
      <c r="BR419" s="107" t="n">
        <v>-77964593</v>
      </c>
      <c r="BS419" s="107" t="n">
        <v>0</v>
      </c>
      <c r="BT419" s="107" t="n">
        <v>0</v>
      </c>
      <c r="BU419" s="107" t="n">
        <v>14145</v>
      </c>
      <c r="BV419" s="107" t="n">
        <v>20605085</v>
      </c>
      <c r="BW419" s="107" t="n">
        <v>22097.22</v>
      </c>
      <c r="BX419" s="107" t="n">
        <v>30016863</v>
      </c>
      <c r="BY419" s="107" t="n">
        <v>773.74</v>
      </c>
      <c r="BZ419" s="107" t="n">
        <v>1051048</v>
      </c>
      <c r="CA419" s="107" t="n">
        <v>1434.9</v>
      </c>
      <c r="CB419" s="2"/>
      <c r="CC419" s="107" t="n">
        <v>0</v>
      </c>
      <c r="CD419" s="107" t="n">
        <v>100.19</v>
      </c>
      <c r="CE419" s="107" t="n">
        <v>100.18</v>
      </c>
      <c r="CF419" s="107" t="n">
        <v>100.34</v>
      </c>
      <c r="CG419" s="107" t="n">
        <v>1000000</v>
      </c>
      <c r="CH419" s="107" t="n">
        <v>0.5489</v>
      </c>
      <c r="CI419" s="2"/>
      <c r="CJ419" s="2"/>
      <c r="CK419" s="2"/>
      <c r="CL419" s="2"/>
    </row>
    <row r="420" customFormat="false" ht="15" hidden="false" customHeight="false" outlineLevel="0" collapsed="false">
      <c r="A420" s="107" t="s">
        <v>902</v>
      </c>
      <c r="B420" s="107" t="n">
        <v>99.1431</v>
      </c>
      <c r="C420" s="107" t="n">
        <v>5.085</v>
      </c>
      <c r="D420" s="107" t="n">
        <v>0.9847</v>
      </c>
      <c r="E420" s="107" t="n">
        <v>-19.525242114</v>
      </c>
      <c r="F420" s="108" t="s">
        <v>358</v>
      </c>
      <c r="G420" s="107" t="n">
        <v>0.9847</v>
      </c>
      <c r="H420" s="107" t="n">
        <v>-19.525242114</v>
      </c>
      <c r="I420" s="109" t="n">
        <v>46682</v>
      </c>
      <c r="J420" s="107" t="n">
        <v>2</v>
      </c>
      <c r="K420" s="107" t="s">
        <v>359</v>
      </c>
      <c r="L420" s="107" t="s">
        <v>298</v>
      </c>
      <c r="M420" s="107" t="n">
        <v>196940</v>
      </c>
      <c r="N420" s="107" t="n">
        <v>99.524</v>
      </c>
      <c r="O420" s="107" t="n">
        <v>198286.2</v>
      </c>
      <c r="P420" s="107" t="s">
        <v>903</v>
      </c>
      <c r="Q420" s="107" t="s">
        <v>361</v>
      </c>
      <c r="R420" s="107" t="n">
        <v>-0.0661495622371846</v>
      </c>
      <c r="S420" s="107" t="n">
        <v>-0.00382721755556448</v>
      </c>
      <c r="T420" s="107" t="n">
        <v>-20.020957614</v>
      </c>
      <c r="U420" s="107" t="n">
        <v>21069</v>
      </c>
      <c r="V420" s="108" t="s">
        <v>362</v>
      </c>
      <c r="W420" s="107" t="n">
        <v>42003</v>
      </c>
      <c r="X420" s="108" t="s">
        <v>372</v>
      </c>
      <c r="Y420" s="107" t="s">
        <v>900</v>
      </c>
      <c r="Z420" s="107" t="s">
        <v>904</v>
      </c>
      <c r="AA420" s="109" t="n">
        <v>45450</v>
      </c>
      <c r="AB420" s="107" t="n">
        <v>240607000001</v>
      </c>
      <c r="AC420" s="109" t="n">
        <v>45414</v>
      </c>
      <c r="AD420" s="109" t="n">
        <v>47240</v>
      </c>
      <c r="AE420" s="107" t="n">
        <v>5.25</v>
      </c>
      <c r="AF420" s="107" t="n">
        <v>2.3458</v>
      </c>
      <c r="AG420" s="107" t="n">
        <v>945</v>
      </c>
      <c r="AH420" s="107" t="n">
        <v>3200000</v>
      </c>
      <c r="AI420" s="107" t="n">
        <v>5.13772</v>
      </c>
      <c r="AJ420" s="107" t="n">
        <v>100.476</v>
      </c>
      <c r="AK420" s="107" t="n">
        <v>3.758784</v>
      </c>
      <c r="AL420" s="107" t="n">
        <v>105.800933</v>
      </c>
      <c r="AM420" s="107" t="n">
        <v>5.3254</v>
      </c>
      <c r="AN420" s="107" t="n">
        <v>99.8114</v>
      </c>
      <c r="AO420" s="107" t="n">
        <v>1358.4</v>
      </c>
      <c r="AP420" s="107" t="n">
        <v>1</v>
      </c>
      <c r="AQ420" s="107" t="n">
        <v>3193964.8</v>
      </c>
      <c r="AR420" s="107" t="n">
        <v>4338681784</v>
      </c>
      <c r="AS420" s="107" t="n">
        <v>3316563.2</v>
      </c>
      <c r="AT420" s="107" t="n">
        <v>4758936536</v>
      </c>
      <c r="AU420" s="107" t="n">
        <v>-122598.4</v>
      </c>
      <c r="AV420" s="107" t="n">
        <v>-166537667</v>
      </c>
      <c r="AW420" s="107" t="n">
        <v>0</v>
      </c>
      <c r="AX420" s="107" t="n">
        <v>0</v>
      </c>
      <c r="AY420" s="107" t="n">
        <v>0</v>
      </c>
      <c r="AZ420" s="107" t="n">
        <v>0</v>
      </c>
      <c r="BA420" s="107" t="n">
        <v>0</v>
      </c>
      <c r="BB420" s="107" t="n">
        <v>0</v>
      </c>
      <c r="BC420" s="107" t="n">
        <v>0</v>
      </c>
      <c r="BD420" s="107" t="n">
        <v>0</v>
      </c>
      <c r="BE420" s="107" t="n">
        <v>69066.67</v>
      </c>
      <c r="BF420" s="107" t="n">
        <v>93820164</v>
      </c>
      <c r="BG420" s="107" t="n">
        <v>0</v>
      </c>
      <c r="BH420" s="107" t="n">
        <v>0</v>
      </c>
      <c r="BI420" s="107" t="n">
        <v>5023800</v>
      </c>
      <c r="BJ420" s="107" t="n">
        <v>7271719255</v>
      </c>
      <c r="BK420" s="107" t="n">
        <v>0</v>
      </c>
      <c r="BL420" s="107" t="n">
        <v>0</v>
      </c>
      <c r="BM420" s="107" t="n">
        <v>0</v>
      </c>
      <c r="BN420" s="107" t="n">
        <v>0</v>
      </c>
      <c r="BO420" s="2"/>
      <c r="BP420" s="2"/>
      <c r="BQ420" s="107" t="s">
        <v>364</v>
      </c>
      <c r="BR420" s="107" t="n">
        <v>-253717085</v>
      </c>
      <c r="BS420" s="107" t="n">
        <v>0</v>
      </c>
      <c r="BT420" s="107" t="n">
        <v>0</v>
      </c>
      <c r="BU420" s="107" t="n">
        <v>107935.4</v>
      </c>
      <c r="BV420" s="107" t="n">
        <v>155520415</v>
      </c>
      <c r="BW420" s="107" t="n">
        <v>69066.67</v>
      </c>
      <c r="BX420" s="107" t="n">
        <v>93820164</v>
      </c>
      <c r="BY420" s="107" t="n">
        <v>0</v>
      </c>
      <c r="BZ420" s="107" t="n">
        <v>0</v>
      </c>
      <c r="CA420" s="107" t="n">
        <v>1434.9</v>
      </c>
      <c r="CB420" s="2"/>
      <c r="CC420" s="107" t="n">
        <v>0</v>
      </c>
      <c r="CD420" s="107" t="n">
        <v>99.81</v>
      </c>
      <c r="CE420" s="107" t="n">
        <v>99.76</v>
      </c>
      <c r="CF420" s="107" t="n">
        <v>99.87</v>
      </c>
      <c r="CG420" s="107" t="n">
        <v>3200000</v>
      </c>
      <c r="CH420" s="107" t="n">
        <v>2.285</v>
      </c>
      <c r="CI420" s="2"/>
      <c r="CJ420" s="2"/>
      <c r="CK420" s="2"/>
      <c r="CL420" s="2"/>
    </row>
    <row r="421" customFormat="false" ht="15" hidden="false" customHeight="false" outlineLevel="0" collapsed="false">
      <c r="A421" s="107" t="s">
        <v>905</v>
      </c>
      <c r="B421" s="107" t="n">
        <v>99.5458</v>
      </c>
      <c r="C421" s="107" t="n">
        <v>5.0885</v>
      </c>
      <c r="D421" s="107" t="n">
        <v>0.6043</v>
      </c>
      <c r="E421" s="107" t="n">
        <v>-60.15552694</v>
      </c>
      <c r="F421" s="108" t="s">
        <v>358</v>
      </c>
      <c r="G421" s="107" t="n">
        <v>0.6043</v>
      </c>
      <c r="H421" s="107" t="n">
        <v>-60.15552694</v>
      </c>
      <c r="I421" s="109" t="n">
        <v>46528</v>
      </c>
      <c r="J421" s="107" t="n">
        <v>1</v>
      </c>
      <c r="K421" s="107" t="s">
        <v>359</v>
      </c>
      <c r="L421" s="107" t="s">
        <v>298</v>
      </c>
      <c r="M421" s="107" t="n">
        <v>604300</v>
      </c>
      <c r="N421" s="107" t="n">
        <v>100.3</v>
      </c>
      <c r="O421" s="107" t="n">
        <v>995458</v>
      </c>
      <c r="P421" s="107" t="s">
        <v>906</v>
      </c>
      <c r="Q421" s="107" t="s">
        <v>364</v>
      </c>
      <c r="R421" s="107" t="n">
        <v>-0.0814842241115866</v>
      </c>
      <c r="S421" s="107" t="n">
        <v>-0.00751944167497509</v>
      </c>
      <c r="T421" s="107" t="n">
        <v>-61.68853226</v>
      </c>
      <c r="U421" s="107" t="n">
        <v>21069</v>
      </c>
      <c r="V421" s="108" t="s">
        <v>362</v>
      </c>
      <c r="W421" s="107" t="n">
        <v>42003</v>
      </c>
      <c r="X421" s="108" t="s">
        <v>372</v>
      </c>
      <c r="Y421" s="107" t="s">
        <v>900</v>
      </c>
      <c r="Z421" s="107" t="s">
        <v>904</v>
      </c>
      <c r="AA421" s="109" t="n">
        <v>45450</v>
      </c>
      <c r="AB421" s="107" t="n">
        <v>240607000002</v>
      </c>
      <c r="AC421" s="109" t="n">
        <v>45414</v>
      </c>
      <c r="AD421" s="109" t="n">
        <v>47240</v>
      </c>
      <c r="AE421" s="107" t="n">
        <v>5.25</v>
      </c>
      <c r="AF421" s="107" t="n">
        <v>2.3458</v>
      </c>
      <c r="AG421" s="107" t="n">
        <v>945</v>
      </c>
      <c r="AH421" s="107" t="n">
        <v>2000000</v>
      </c>
      <c r="AI421" s="107" t="n">
        <v>5.13749</v>
      </c>
      <c r="AJ421" s="107" t="n">
        <v>100.477</v>
      </c>
      <c r="AK421" s="107" t="n">
        <v>3.758784</v>
      </c>
      <c r="AL421" s="107" t="n">
        <v>105.800933</v>
      </c>
      <c r="AM421" s="107" t="n">
        <v>5.3254</v>
      </c>
      <c r="AN421" s="107" t="n">
        <v>99.8114</v>
      </c>
      <c r="AO421" s="107" t="n">
        <v>1358.4</v>
      </c>
      <c r="AP421" s="107" t="n">
        <v>1</v>
      </c>
      <c r="AQ421" s="107" t="n">
        <v>1996228</v>
      </c>
      <c r="AR421" s="107" t="n">
        <v>2711676115</v>
      </c>
      <c r="AS421" s="107" t="n">
        <v>2072852</v>
      </c>
      <c r="AT421" s="107" t="n">
        <v>2974335335</v>
      </c>
      <c r="AU421" s="107" t="n">
        <v>-76624</v>
      </c>
      <c r="AV421" s="107" t="n">
        <v>-104086042</v>
      </c>
      <c r="AW421" s="107" t="n">
        <v>0</v>
      </c>
      <c r="AX421" s="107" t="n">
        <v>0</v>
      </c>
      <c r="AY421" s="107" t="n">
        <v>0</v>
      </c>
      <c r="AZ421" s="107" t="n">
        <v>0</v>
      </c>
      <c r="BA421" s="107" t="n">
        <v>0</v>
      </c>
      <c r="BB421" s="107" t="n">
        <v>0</v>
      </c>
      <c r="BC421" s="107" t="n">
        <v>0</v>
      </c>
      <c r="BD421" s="107" t="n">
        <v>0</v>
      </c>
      <c r="BE421" s="107" t="n">
        <v>43166.67</v>
      </c>
      <c r="BF421" s="107" t="n">
        <v>58637604</v>
      </c>
      <c r="BG421" s="107" t="n">
        <v>0</v>
      </c>
      <c r="BH421" s="107" t="n">
        <v>0</v>
      </c>
      <c r="BI421" s="107" t="n">
        <v>2009540</v>
      </c>
      <c r="BJ421" s="107" t="n">
        <v>2883232084</v>
      </c>
      <c r="BK421" s="107" t="n">
        <v>0</v>
      </c>
      <c r="BL421" s="107" t="n">
        <v>0</v>
      </c>
      <c r="BM421" s="107" t="n">
        <v>0</v>
      </c>
      <c r="BN421" s="107" t="n">
        <v>0</v>
      </c>
      <c r="BO421" s="2"/>
      <c r="BP421" s="2"/>
      <c r="BQ421" s="107" t="s">
        <v>364</v>
      </c>
      <c r="BR421" s="107" t="n">
        <v>-158573178</v>
      </c>
      <c r="BS421" s="107" t="n">
        <v>0</v>
      </c>
      <c r="BT421" s="107" t="n">
        <v>0</v>
      </c>
      <c r="BU421" s="107" t="n">
        <v>63312</v>
      </c>
      <c r="BV421" s="107" t="n">
        <v>91103251</v>
      </c>
      <c r="BW421" s="107" t="n">
        <v>43166.67</v>
      </c>
      <c r="BX421" s="107" t="n">
        <v>58637604</v>
      </c>
      <c r="BY421" s="107" t="n">
        <v>0</v>
      </c>
      <c r="BZ421" s="107" t="n">
        <v>0</v>
      </c>
      <c r="CA421" s="107" t="n">
        <v>1434.9</v>
      </c>
      <c r="CB421" s="2"/>
      <c r="CC421" s="107" t="n">
        <v>0</v>
      </c>
      <c r="CD421" s="107" t="n">
        <v>99.81</v>
      </c>
      <c r="CE421" s="107" t="n">
        <v>99.76</v>
      </c>
      <c r="CF421" s="107" t="n">
        <v>99.87</v>
      </c>
      <c r="CG421" s="107" t="n">
        <v>2000000</v>
      </c>
      <c r="CH421" s="107" t="n">
        <v>2.285</v>
      </c>
      <c r="CI421" s="2"/>
      <c r="CJ421" s="2"/>
      <c r="CK421" s="2"/>
      <c r="CL421" s="2"/>
    </row>
    <row r="422" customFormat="false" ht="15" hidden="false" customHeight="false" outlineLevel="0" collapsed="false">
      <c r="A422" s="107" t="s">
        <v>907</v>
      </c>
      <c r="B422" s="107" t="n">
        <v>99.4511</v>
      </c>
      <c r="C422" s="107" t="n">
        <v>5.3587</v>
      </c>
      <c r="D422" s="107" t="n">
        <v>1.4456</v>
      </c>
      <c r="E422" s="107" t="n">
        <v>-287.53302032</v>
      </c>
      <c r="F422" s="108" t="s">
        <v>358</v>
      </c>
      <c r="G422" s="107" t="n">
        <v>1.4456</v>
      </c>
      <c r="H422" s="107" t="n">
        <v>-287.53302032</v>
      </c>
      <c r="I422" s="109" t="n">
        <v>46875</v>
      </c>
      <c r="J422" s="107" t="n">
        <v>2</v>
      </c>
      <c r="K422" s="107" t="s">
        <v>359</v>
      </c>
      <c r="L422" s="107" t="s">
        <v>298</v>
      </c>
      <c r="M422" s="107" t="n">
        <v>2891200</v>
      </c>
      <c r="N422" s="107" t="n">
        <v>102.26</v>
      </c>
      <c r="O422" s="107" t="n">
        <v>1989022</v>
      </c>
      <c r="P422" s="107" t="s">
        <v>908</v>
      </c>
      <c r="Q422" s="107" t="s">
        <v>505</v>
      </c>
      <c r="R422" s="107" t="n">
        <v>-0.0763580674635726</v>
      </c>
      <c r="S422" s="107" t="n">
        <v>-0.0274682182671622</v>
      </c>
      <c r="T422" s="107" t="n">
        <v>-295.23053546</v>
      </c>
      <c r="U422" s="107" t="n">
        <v>21069</v>
      </c>
      <c r="V422" s="108" t="s">
        <v>362</v>
      </c>
      <c r="W422" s="107" t="n">
        <v>42003</v>
      </c>
      <c r="X422" s="108" t="s">
        <v>372</v>
      </c>
      <c r="Y422" s="107" t="s">
        <v>902</v>
      </c>
      <c r="Z422" s="107" t="s">
        <v>909</v>
      </c>
      <c r="AA422" s="109" t="n">
        <v>45587</v>
      </c>
      <c r="AB422" s="107" t="n">
        <v>241022000001</v>
      </c>
      <c r="AC422" s="109" t="n">
        <v>45587</v>
      </c>
      <c r="AD422" s="109" t="n">
        <v>46682</v>
      </c>
      <c r="AE422" s="107" t="n">
        <v>4.25</v>
      </c>
      <c r="AF422" s="107" t="n">
        <v>1.0072</v>
      </c>
      <c r="AG422" s="107" t="n">
        <v>387</v>
      </c>
      <c r="AH422" s="107" t="n">
        <v>200000</v>
      </c>
      <c r="AI422" s="107" t="n">
        <v>4.421</v>
      </c>
      <c r="AJ422" s="107" t="n">
        <v>99.524</v>
      </c>
      <c r="AK422" s="107" t="n">
        <v>3.34583</v>
      </c>
      <c r="AL422" s="107" t="n">
        <v>102.798315</v>
      </c>
      <c r="AM422" s="107" t="n">
        <v>5.0069</v>
      </c>
      <c r="AN422" s="107" t="n">
        <v>99.2246</v>
      </c>
      <c r="AO422" s="107" t="n">
        <v>1358.4</v>
      </c>
      <c r="AP422" s="107" t="n">
        <v>1</v>
      </c>
      <c r="AQ422" s="107" t="n">
        <v>198449.2</v>
      </c>
      <c r="AR422" s="107" t="n">
        <v>269573393</v>
      </c>
      <c r="AS422" s="107" t="n">
        <v>201248.4</v>
      </c>
      <c r="AT422" s="107" t="n">
        <v>288771329</v>
      </c>
      <c r="AU422" s="107" t="n">
        <v>-2799.2</v>
      </c>
      <c r="AV422" s="107" t="n">
        <v>-3802434</v>
      </c>
      <c r="AW422" s="107" t="n">
        <v>0</v>
      </c>
      <c r="AX422" s="107" t="n">
        <v>0</v>
      </c>
      <c r="AY422" s="107" t="n">
        <v>0</v>
      </c>
      <c r="AZ422" s="107" t="n">
        <v>0</v>
      </c>
      <c r="BA422" s="107" t="n">
        <v>0</v>
      </c>
      <c r="BB422" s="107" t="n">
        <v>0</v>
      </c>
      <c r="BC422" s="107" t="n">
        <v>0</v>
      </c>
      <c r="BD422" s="107" t="n">
        <v>0</v>
      </c>
      <c r="BE422" s="107" t="n">
        <v>3730.56</v>
      </c>
      <c r="BF422" s="107" t="n">
        <v>5067592</v>
      </c>
      <c r="BG422" s="107" t="n">
        <v>617.67</v>
      </c>
      <c r="BH422" s="107" t="n">
        <v>839042</v>
      </c>
      <c r="BI422" s="107" t="n">
        <v>199048</v>
      </c>
      <c r="BJ422" s="107" t="n">
        <v>285639914</v>
      </c>
      <c r="BK422" s="107" t="n">
        <v>0</v>
      </c>
      <c r="BL422" s="107" t="n">
        <v>0</v>
      </c>
      <c r="BM422" s="107" t="n">
        <v>0</v>
      </c>
      <c r="BN422" s="107" t="n">
        <v>0</v>
      </c>
      <c r="BO422" s="107" t="s">
        <v>361</v>
      </c>
      <c r="BP422" s="2"/>
      <c r="BQ422" s="107" t="s">
        <v>369</v>
      </c>
      <c r="BR422" s="107" t="n">
        <v>-15395502</v>
      </c>
      <c r="BS422" s="107" t="n">
        <v>0</v>
      </c>
      <c r="BT422" s="107" t="n">
        <v>0</v>
      </c>
      <c r="BU422" s="107" t="n">
        <v>2200.4</v>
      </c>
      <c r="BV422" s="107" t="n">
        <v>3131415</v>
      </c>
      <c r="BW422" s="107" t="n">
        <v>3730.56</v>
      </c>
      <c r="BX422" s="107" t="n">
        <v>5067592</v>
      </c>
      <c r="BY422" s="107" t="n">
        <v>617.67</v>
      </c>
      <c r="BZ422" s="107" t="n">
        <v>839042</v>
      </c>
      <c r="CA422" s="107" t="n">
        <v>1434.9</v>
      </c>
      <c r="CB422" s="2"/>
      <c r="CC422" s="107" t="n">
        <v>0</v>
      </c>
      <c r="CD422" s="107" t="n">
        <v>99.19</v>
      </c>
      <c r="CE422" s="107" t="n">
        <v>99.2</v>
      </c>
      <c r="CF422" s="107" t="n">
        <v>99.29</v>
      </c>
      <c r="CG422" s="107" t="n">
        <v>200000</v>
      </c>
      <c r="CH422" s="107" t="n">
        <v>0.9826</v>
      </c>
      <c r="CI422" s="2"/>
      <c r="CJ422" s="2"/>
      <c r="CK422" s="2"/>
      <c r="CL422" s="2"/>
    </row>
    <row r="423" customFormat="false" ht="15" hidden="false" customHeight="false" outlineLevel="0" collapsed="false">
      <c r="A423" s="107" t="s">
        <v>907</v>
      </c>
      <c r="B423" s="107" t="n">
        <v>99.4511</v>
      </c>
      <c r="C423" s="107" t="n">
        <v>5.3587</v>
      </c>
      <c r="D423" s="107" t="n">
        <v>1.4456</v>
      </c>
      <c r="E423" s="107" t="n">
        <v>-517.559436576</v>
      </c>
      <c r="F423" s="108" t="s">
        <v>358</v>
      </c>
      <c r="G423" s="107" t="n">
        <v>1.4456</v>
      </c>
      <c r="H423" s="107" t="n">
        <v>-517.559436576</v>
      </c>
      <c r="I423" s="109" t="n">
        <v>46875</v>
      </c>
      <c r="J423" s="107" t="n">
        <v>2</v>
      </c>
      <c r="K423" s="107" t="s">
        <v>359</v>
      </c>
      <c r="L423" s="107" t="s">
        <v>298</v>
      </c>
      <c r="M423" s="107" t="n">
        <v>5204160</v>
      </c>
      <c r="N423" s="107" t="n">
        <v>102.21</v>
      </c>
      <c r="O423" s="107" t="n">
        <v>3580239.6</v>
      </c>
      <c r="P423" s="107" t="s">
        <v>908</v>
      </c>
      <c r="Q423" s="107" t="s">
        <v>505</v>
      </c>
      <c r="R423" s="107" t="n">
        <v>-0.0763580674635726</v>
      </c>
      <c r="S423" s="107" t="n">
        <v>-0.0269924664905586</v>
      </c>
      <c r="T423" s="107" t="n">
        <v>-531.414963828</v>
      </c>
      <c r="U423" s="107" t="n">
        <v>21069</v>
      </c>
      <c r="V423" s="108" t="s">
        <v>362</v>
      </c>
      <c r="W423" s="107" t="n">
        <v>42003</v>
      </c>
      <c r="X423" s="108" t="s">
        <v>372</v>
      </c>
      <c r="Y423" s="107" t="s">
        <v>905</v>
      </c>
      <c r="Z423" s="107" t="s">
        <v>910</v>
      </c>
      <c r="AA423" s="109" t="n">
        <v>46132</v>
      </c>
      <c r="AB423" s="107" t="n">
        <v>260420000001</v>
      </c>
      <c r="AC423" s="109" t="n">
        <v>45798</v>
      </c>
      <c r="AD423" s="109" t="n">
        <v>46528</v>
      </c>
      <c r="AE423" s="107" t="n">
        <v>4.375</v>
      </c>
      <c r="AF423" s="107" t="n">
        <v>0.6171</v>
      </c>
      <c r="AG423" s="107" t="n">
        <v>233</v>
      </c>
      <c r="AH423" s="107" t="n">
        <v>1000000</v>
      </c>
      <c r="AI423" s="107" t="n">
        <v>4.09</v>
      </c>
      <c r="AJ423" s="107" t="n">
        <v>100.3</v>
      </c>
      <c r="AK423" s="107" t="n">
        <v>3.731141</v>
      </c>
      <c r="AL423" s="107" t="n">
        <v>101.968118</v>
      </c>
      <c r="AM423" s="107" t="n">
        <v>5.0351</v>
      </c>
      <c r="AN423" s="107" t="n">
        <v>99.581</v>
      </c>
      <c r="AO423" s="107" t="n">
        <v>1358.4</v>
      </c>
      <c r="AP423" s="107" t="n">
        <v>1</v>
      </c>
      <c r="AQ423" s="107" t="n">
        <v>995810</v>
      </c>
      <c r="AR423" s="107" t="n">
        <v>1352708304</v>
      </c>
      <c r="AS423" s="107" t="n">
        <v>1000899.41</v>
      </c>
      <c r="AT423" s="107" t="n">
        <v>1473924472</v>
      </c>
      <c r="AU423" s="107" t="n">
        <v>-5089.41</v>
      </c>
      <c r="AV423" s="107" t="n">
        <v>-6913455</v>
      </c>
      <c r="AW423" s="107" t="n">
        <v>0</v>
      </c>
      <c r="AX423" s="107" t="n">
        <v>0</v>
      </c>
      <c r="AY423" s="107" t="n">
        <v>2100.59</v>
      </c>
      <c r="AZ423" s="107" t="n">
        <v>3093328</v>
      </c>
      <c r="BA423" s="107" t="n">
        <v>0</v>
      </c>
      <c r="BB423" s="107" t="n">
        <v>0</v>
      </c>
      <c r="BC423" s="107" t="n">
        <v>0</v>
      </c>
      <c r="BD423" s="107" t="n">
        <v>0</v>
      </c>
      <c r="BE423" s="107" t="n">
        <v>15677.08</v>
      </c>
      <c r="BF423" s="107" t="n">
        <v>21295745</v>
      </c>
      <c r="BG423" s="107" t="n">
        <v>1004.1</v>
      </c>
      <c r="BH423" s="107" t="n">
        <v>1363969</v>
      </c>
      <c r="BI423" s="107" t="n">
        <v>1000899.41</v>
      </c>
      <c r="BJ423" s="107" t="n">
        <v>1473924472</v>
      </c>
      <c r="BK423" s="107" t="n">
        <v>0</v>
      </c>
      <c r="BL423" s="107" t="n">
        <v>0</v>
      </c>
      <c r="BM423" s="107" t="n">
        <v>0</v>
      </c>
      <c r="BN423" s="107" t="n">
        <v>0</v>
      </c>
      <c r="BO423" s="2"/>
      <c r="BP423" s="2"/>
      <c r="BQ423" s="107" t="s">
        <v>369</v>
      </c>
      <c r="BR423" s="107" t="n">
        <v>-114302713</v>
      </c>
      <c r="BS423" s="107" t="n">
        <v>-239887</v>
      </c>
      <c r="BT423" s="107" t="n">
        <v>0</v>
      </c>
      <c r="BU423" s="107" t="n">
        <v>0</v>
      </c>
      <c r="BV423" s="107" t="n">
        <v>0</v>
      </c>
      <c r="BW423" s="107" t="n">
        <v>15677.08</v>
      </c>
      <c r="BX423" s="107" t="n">
        <v>21295745</v>
      </c>
      <c r="BY423" s="107" t="n">
        <v>3104.69</v>
      </c>
      <c r="BZ423" s="107" t="n">
        <v>4217410</v>
      </c>
      <c r="CA423" s="107" t="n">
        <v>1472.6</v>
      </c>
      <c r="CB423" s="2"/>
      <c r="CC423" s="107" t="n">
        <v>0</v>
      </c>
      <c r="CD423" s="107" t="n">
        <v>99.6</v>
      </c>
      <c r="CE423" s="107" t="n">
        <v>99.56</v>
      </c>
      <c r="CF423" s="107" t="n">
        <v>99.59</v>
      </c>
      <c r="CG423" s="107" t="n">
        <v>1000000</v>
      </c>
      <c r="CH423" s="107" t="n">
        <v>0.6019</v>
      </c>
      <c r="CI423" s="2"/>
      <c r="CJ423" s="2"/>
      <c r="CK423" s="2"/>
      <c r="CL423" s="2"/>
    </row>
    <row r="424" customFormat="false" ht="15" hidden="false" customHeight="false" outlineLevel="0" collapsed="false">
      <c r="A424" s="107" t="s">
        <v>911</v>
      </c>
      <c r="B424" s="107" t="n">
        <v>99.4949</v>
      </c>
      <c r="C424" s="107" t="n">
        <v>5.0224</v>
      </c>
      <c r="D424" s="107" t="n">
        <v>0.6235</v>
      </c>
      <c r="E424" s="107" t="n">
        <v>-186.10521045</v>
      </c>
      <c r="F424" s="108" t="s">
        <v>358</v>
      </c>
      <c r="G424" s="107" t="n">
        <v>0.6235</v>
      </c>
      <c r="H424" s="107" t="n">
        <v>-186.10521045</v>
      </c>
      <c r="I424" s="109" t="n">
        <v>46535</v>
      </c>
      <c r="J424" s="107" t="n">
        <v>1</v>
      </c>
      <c r="K424" s="107" t="s">
        <v>359</v>
      </c>
      <c r="L424" s="107" t="s">
        <v>298</v>
      </c>
      <c r="M424" s="107" t="n">
        <v>1870500</v>
      </c>
      <c r="N424" s="107" t="n">
        <v>99.476</v>
      </c>
      <c r="O424" s="107" t="n">
        <v>2984847</v>
      </c>
      <c r="P424" s="107" t="s">
        <v>903</v>
      </c>
      <c r="Q424" s="107" t="s">
        <v>361</v>
      </c>
      <c r="R424" s="107" t="n">
        <v>-0.0619260011953454</v>
      </c>
      <c r="S424" s="107" t="n">
        <v>0.000189995576822533</v>
      </c>
      <c r="T424" s="107" t="n">
        <v>-190.79142024</v>
      </c>
      <c r="U424" s="107" t="n">
        <v>21069</v>
      </c>
      <c r="V424" s="108" t="s">
        <v>362</v>
      </c>
      <c r="W424" s="107" t="n">
        <v>42003</v>
      </c>
      <c r="X424" s="108" t="s">
        <v>372</v>
      </c>
      <c r="Y424" s="107" t="s">
        <v>907</v>
      </c>
      <c r="Z424" s="107" t="s">
        <v>912</v>
      </c>
      <c r="AA424" s="109" t="n">
        <v>45950</v>
      </c>
      <c r="AB424" s="107" t="n">
        <v>251020000001</v>
      </c>
      <c r="AC424" s="109" t="n">
        <v>45779</v>
      </c>
      <c r="AD424" s="109" t="n">
        <v>46875</v>
      </c>
      <c r="AE424" s="107" t="n">
        <v>5</v>
      </c>
      <c r="AF424" s="107" t="n">
        <v>1.4818</v>
      </c>
      <c r="AG424" s="107" t="n">
        <v>580</v>
      </c>
      <c r="AH424" s="107" t="n">
        <v>2000000</v>
      </c>
      <c r="AI424" s="107" t="n">
        <v>4.05</v>
      </c>
      <c r="AJ424" s="107" t="n">
        <v>102.26</v>
      </c>
      <c r="AK424" s="107" t="n">
        <v>3.649784</v>
      </c>
      <c r="AL424" s="107" t="n">
        <v>104.118313</v>
      </c>
      <c r="AM424" s="107" t="n">
        <v>5.3027</v>
      </c>
      <c r="AN424" s="107" t="n">
        <v>99.5362</v>
      </c>
      <c r="AO424" s="107" t="n">
        <v>1358.4</v>
      </c>
      <c r="AP424" s="107" t="n">
        <v>1</v>
      </c>
      <c r="AQ424" s="107" t="n">
        <v>1990724</v>
      </c>
      <c r="AR424" s="107" t="n">
        <v>2704199482</v>
      </c>
      <c r="AS424" s="107" t="n">
        <v>2041048</v>
      </c>
      <c r="AT424" s="107" t="n">
        <v>2928699775</v>
      </c>
      <c r="AU424" s="107" t="n">
        <v>-50324</v>
      </c>
      <c r="AV424" s="107" t="n">
        <v>-68360121</v>
      </c>
      <c r="AW424" s="107" t="n">
        <v>0</v>
      </c>
      <c r="AX424" s="107" t="n">
        <v>0</v>
      </c>
      <c r="AY424" s="107" t="n">
        <v>0</v>
      </c>
      <c r="AZ424" s="107" t="n">
        <v>0</v>
      </c>
      <c r="BA424" s="107" t="n">
        <v>0</v>
      </c>
      <c r="BB424" s="107" t="n">
        <v>0</v>
      </c>
      <c r="BC424" s="107" t="n">
        <v>0</v>
      </c>
      <c r="BD424" s="107" t="n">
        <v>0</v>
      </c>
      <c r="BE424" s="107" t="n">
        <v>41111.11</v>
      </c>
      <c r="BF424" s="107" t="n">
        <v>55845331</v>
      </c>
      <c r="BG424" s="107" t="n">
        <v>207.15</v>
      </c>
      <c r="BH424" s="107" t="n">
        <v>281392</v>
      </c>
      <c r="BI424" s="107" t="n">
        <v>2045200</v>
      </c>
      <c r="BJ424" s="107" t="n">
        <v>2934657480</v>
      </c>
      <c r="BK424" s="107" t="n">
        <v>0</v>
      </c>
      <c r="BL424" s="107" t="n">
        <v>0</v>
      </c>
      <c r="BM424" s="107" t="n">
        <v>0</v>
      </c>
      <c r="BN424" s="107" t="n">
        <v>0</v>
      </c>
      <c r="BO424" s="107" t="s">
        <v>374</v>
      </c>
      <c r="BP424" s="2"/>
      <c r="BQ424" s="107" t="s">
        <v>369</v>
      </c>
      <c r="BR424" s="107" t="n">
        <v>-156140172</v>
      </c>
      <c r="BS424" s="107" t="n">
        <v>0</v>
      </c>
      <c r="BT424" s="107" t="n">
        <v>0</v>
      </c>
      <c r="BU424" s="107" t="n">
        <v>-4152</v>
      </c>
      <c r="BV424" s="107" t="n">
        <v>-5957705</v>
      </c>
      <c r="BW424" s="107" t="n">
        <v>41111.11</v>
      </c>
      <c r="BX424" s="107" t="n">
        <v>55845331</v>
      </c>
      <c r="BY424" s="107" t="n">
        <v>207.15</v>
      </c>
      <c r="BZ424" s="107" t="n">
        <v>281392</v>
      </c>
      <c r="CA424" s="107" t="n">
        <v>1434.9</v>
      </c>
      <c r="CB424" s="2"/>
      <c r="CC424" s="107" t="n">
        <v>0</v>
      </c>
      <c r="CD424" s="107" t="n">
        <v>99.55</v>
      </c>
      <c r="CE424" s="107" t="n">
        <v>99.54</v>
      </c>
      <c r="CF424" s="107" t="n">
        <v>99.52</v>
      </c>
      <c r="CG424" s="107" t="n">
        <v>2000000</v>
      </c>
      <c r="CH424" s="107" t="n">
        <v>1.4435</v>
      </c>
      <c r="CI424" s="2"/>
      <c r="CJ424" s="2"/>
      <c r="CK424" s="2"/>
      <c r="CL424" s="2"/>
    </row>
    <row r="425" customFormat="false" ht="15" hidden="false" customHeight="false" outlineLevel="0" collapsed="false">
      <c r="A425" s="107" t="s">
        <v>913</v>
      </c>
      <c r="B425" s="107" t="n">
        <v>97.377</v>
      </c>
      <c r="C425" s="107" t="n">
        <v>5.4321</v>
      </c>
      <c r="D425" s="107" t="n">
        <v>3.1409</v>
      </c>
      <c r="E425" s="107" t="n">
        <v>-61.17028386</v>
      </c>
      <c r="F425" s="108" t="s">
        <v>358</v>
      </c>
      <c r="G425" s="107" t="n">
        <v>3.1409</v>
      </c>
      <c r="H425" s="107" t="n">
        <v>-61.17028386</v>
      </c>
      <c r="I425" s="109" t="n">
        <v>47612</v>
      </c>
      <c r="J425" s="107" t="n">
        <v>3</v>
      </c>
      <c r="K425" s="107" t="s">
        <v>359</v>
      </c>
      <c r="L425" s="107" t="s">
        <v>298</v>
      </c>
      <c r="M425" s="107" t="n">
        <v>628180</v>
      </c>
      <c r="N425" s="107" t="n">
        <v>99.7182</v>
      </c>
      <c r="O425" s="107" t="n">
        <v>194754</v>
      </c>
      <c r="P425" s="107" t="s">
        <v>898</v>
      </c>
      <c r="Q425" s="107" t="s">
        <v>364</v>
      </c>
      <c r="R425" s="107" t="n">
        <v>-0.0954943151981301</v>
      </c>
      <c r="S425" s="107" t="n">
        <v>-0.0234781614589914</v>
      </c>
      <c r="T425" s="107" t="n">
        <v>-62.83153548</v>
      </c>
      <c r="U425" s="107" t="n">
        <v>21069</v>
      </c>
      <c r="V425" s="108" t="s">
        <v>362</v>
      </c>
      <c r="W425" s="107" t="n">
        <v>42003</v>
      </c>
      <c r="X425" s="108" t="s">
        <v>372</v>
      </c>
      <c r="Y425" s="107" t="s">
        <v>907</v>
      </c>
      <c r="Z425" s="107" t="s">
        <v>912</v>
      </c>
      <c r="AA425" s="109" t="n">
        <v>45952</v>
      </c>
      <c r="AB425" s="107" t="n">
        <v>251022000001</v>
      </c>
      <c r="AC425" s="109" t="n">
        <v>45779</v>
      </c>
      <c r="AD425" s="109" t="n">
        <v>46875</v>
      </c>
      <c r="AE425" s="107" t="n">
        <v>5</v>
      </c>
      <c r="AF425" s="107" t="n">
        <v>1.4818</v>
      </c>
      <c r="AG425" s="107" t="n">
        <v>580</v>
      </c>
      <c r="AH425" s="107" t="n">
        <v>3600000</v>
      </c>
      <c r="AI425" s="107" t="n">
        <v>4.07</v>
      </c>
      <c r="AJ425" s="107" t="n">
        <v>102.21</v>
      </c>
      <c r="AK425" s="107" t="n">
        <v>3.649784</v>
      </c>
      <c r="AL425" s="107" t="n">
        <v>104.118313</v>
      </c>
      <c r="AM425" s="107" t="n">
        <v>5.3027</v>
      </c>
      <c r="AN425" s="107" t="n">
        <v>99.5362</v>
      </c>
      <c r="AO425" s="107" t="n">
        <v>1358.4</v>
      </c>
      <c r="AP425" s="107" t="n">
        <v>1</v>
      </c>
      <c r="AQ425" s="107" t="n">
        <v>3583303.2</v>
      </c>
      <c r="AR425" s="107" t="n">
        <v>4867559067</v>
      </c>
      <c r="AS425" s="107" t="n">
        <v>3673886.4</v>
      </c>
      <c r="AT425" s="107" t="n">
        <v>5271659595</v>
      </c>
      <c r="AU425" s="107" t="n">
        <v>-90583.2</v>
      </c>
      <c r="AV425" s="107" t="n">
        <v>-123048219</v>
      </c>
      <c r="AW425" s="107" t="n">
        <v>0</v>
      </c>
      <c r="AX425" s="107" t="n">
        <v>0</v>
      </c>
      <c r="AY425" s="107" t="n">
        <v>0</v>
      </c>
      <c r="AZ425" s="107" t="n">
        <v>0</v>
      </c>
      <c r="BA425" s="107" t="n">
        <v>0</v>
      </c>
      <c r="BB425" s="107" t="n">
        <v>0</v>
      </c>
      <c r="BC425" s="107" t="n">
        <v>0</v>
      </c>
      <c r="BD425" s="107" t="n">
        <v>0</v>
      </c>
      <c r="BE425" s="107" t="n">
        <v>74000</v>
      </c>
      <c r="BF425" s="107" t="n">
        <v>100521600</v>
      </c>
      <c r="BG425" s="107" t="n">
        <v>372.87</v>
      </c>
      <c r="BH425" s="107" t="n">
        <v>506506</v>
      </c>
      <c r="BI425" s="107" t="n">
        <v>3679560</v>
      </c>
      <c r="BJ425" s="107" t="n">
        <v>5279800644</v>
      </c>
      <c r="BK425" s="107" t="n">
        <v>0</v>
      </c>
      <c r="BL425" s="107" t="n">
        <v>0</v>
      </c>
      <c r="BM425" s="107" t="n">
        <v>0</v>
      </c>
      <c r="BN425" s="107" t="n">
        <v>0</v>
      </c>
      <c r="BO425" s="107" t="s">
        <v>374</v>
      </c>
      <c r="BP425" s="2"/>
      <c r="BQ425" s="107" t="s">
        <v>369</v>
      </c>
      <c r="BR425" s="107" t="n">
        <v>-281052309</v>
      </c>
      <c r="BS425" s="107" t="n">
        <v>0</v>
      </c>
      <c r="BT425" s="107" t="n">
        <v>0</v>
      </c>
      <c r="BU425" s="107" t="n">
        <v>-5673.6</v>
      </c>
      <c r="BV425" s="107" t="n">
        <v>-8141049</v>
      </c>
      <c r="BW425" s="107" t="n">
        <v>74000</v>
      </c>
      <c r="BX425" s="107" t="n">
        <v>100521600</v>
      </c>
      <c r="BY425" s="107" t="n">
        <v>372.87</v>
      </c>
      <c r="BZ425" s="107" t="n">
        <v>506506</v>
      </c>
      <c r="CA425" s="107" t="n">
        <v>1434.9</v>
      </c>
      <c r="CB425" s="2"/>
      <c r="CC425" s="107" t="n">
        <v>0</v>
      </c>
      <c r="CD425" s="107" t="n">
        <v>99.55</v>
      </c>
      <c r="CE425" s="107" t="n">
        <v>99.54</v>
      </c>
      <c r="CF425" s="107" t="n">
        <v>99.52</v>
      </c>
      <c r="CG425" s="107" t="n">
        <v>3600000</v>
      </c>
      <c r="CH425" s="107" t="n">
        <v>1.4435</v>
      </c>
      <c r="CI425" s="2"/>
      <c r="CJ425" s="2"/>
      <c r="CK425" s="2"/>
      <c r="CL425" s="2"/>
    </row>
    <row r="426" customFormat="false" ht="15" hidden="false" customHeight="false" outlineLevel="0" collapsed="false">
      <c r="A426" s="107" t="s">
        <v>913</v>
      </c>
      <c r="B426" s="107" t="n">
        <v>97.377</v>
      </c>
      <c r="C426" s="107" t="n">
        <v>5.4321</v>
      </c>
      <c r="D426" s="107" t="n">
        <v>3.1409</v>
      </c>
      <c r="E426" s="107" t="n">
        <v>-2752.6627737</v>
      </c>
      <c r="F426" s="108" t="s">
        <v>358</v>
      </c>
      <c r="G426" s="107" t="n">
        <v>3.1409</v>
      </c>
      <c r="H426" s="107" t="n">
        <v>-2752.6627737</v>
      </c>
      <c r="I426" s="109" t="n">
        <v>47612</v>
      </c>
      <c r="J426" s="107" t="n">
        <v>3</v>
      </c>
      <c r="K426" s="107" t="s">
        <v>359</v>
      </c>
      <c r="L426" s="107" t="s">
        <v>298</v>
      </c>
      <c r="M426" s="107" t="n">
        <v>28268100</v>
      </c>
      <c r="N426" s="107" t="n">
        <v>101.392</v>
      </c>
      <c r="O426" s="107" t="n">
        <v>8763930</v>
      </c>
      <c r="P426" s="107" t="s">
        <v>898</v>
      </c>
      <c r="Q426" s="107" t="s">
        <v>364</v>
      </c>
      <c r="R426" s="107" t="n">
        <v>-0.0954943163650303</v>
      </c>
      <c r="S426" s="107" t="n">
        <v>-0.0395987849139972</v>
      </c>
      <c r="T426" s="107" t="n">
        <v>-2827.4190966</v>
      </c>
      <c r="U426" s="107" t="n">
        <v>21069</v>
      </c>
      <c r="V426" s="108" t="s">
        <v>362</v>
      </c>
      <c r="W426" s="107" t="n">
        <v>42003</v>
      </c>
      <c r="X426" s="108" t="s">
        <v>372</v>
      </c>
      <c r="Y426" s="107" t="s">
        <v>911</v>
      </c>
      <c r="Z426" s="107" t="s">
        <v>914</v>
      </c>
      <c r="AA426" s="109" t="n">
        <v>45806</v>
      </c>
      <c r="AB426" s="107" t="n">
        <v>250529000001</v>
      </c>
      <c r="AC426" s="109" t="n">
        <v>45805</v>
      </c>
      <c r="AD426" s="109" t="n">
        <v>46535</v>
      </c>
      <c r="AE426" s="107" t="n">
        <v>4.25</v>
      </c>
      <c r="AF426" s="107" t="n">
        <v>0.6366</v>
      </c>
      <c r="AG426" s="107" t="n">
        <v>240</v>
      </c>
      <c r="AH426" s="107" t="n">
        <v>3000000</v>
      </c>
      <c r="AI426" s="107" t="n">
        <v>4.527</v>
      </c>
      <c r="AJ426" s="107" t="n">
        <v>99.476</v>
      </c>
      <c r="AK426" s="107" t="n">
        <v>2.891126</v>
      </c>
      <c r="AL426" s="107" t="n">
        <v>102.320471</v>
      </c>
      <c r="AM426" s="107" t="n">
        <v>4.9508</v>
      </c>
      <c r="AN426" s="107" t="n">
        <v>99.5428</v>
      </c>
      <c r="AO426" s="107" t="n">
        <v>1358.4</v>
      </c>
      <c r="AP426" s="107" t="n">
        <v>1</v>
      </c>
      <c r="AQ426" s="107" t="n">
        <v>2986284</v>
      </c>
      <c r="AR426" s="107" t="n">
        <v>4056568186</v>
      </c>
      <c r="AS426" s="107" t="n">
        <v>3015798</v>
      </c>
      <c r="AT426" s="107" t="n">
        <v>4327368550</v>
      </c>
      <c r="AU426" s="107" t="n">
        <v>-29514</v>
      </c>
      <c r="AV426" s="107" t="n">
        <v>-40091817</v>
      </c>
      <c r="AW426" s="107" t="n">
        <v>0</v>
      </c>
      <c r="AX426" s="107" t="n">
        <v>0</v>
      </c>
      <c r="AY426" s="107" t="n">
        <v>0</v>
      </c>
      <c r="AZ426" s="107" t="n">
        <v>0</v>
      </c>
      <c r="BA426" s="107" t="n">
        <v>0</v>
      </c>
      <c r="BB426" s="107" t="n">
        <v>0</v>
      </c>
      <c r="BC426" s="107" t="n">
        <v>0</v>
      </c>
      <c r="BD426" s="107" t="n">
        <v>0</v>
      </c>
      <c r="BE426" s="107" t="n">
        <v>43208.33</v>
      </c>
      <c r="BF426" s="107" t="n">
        <v>58694195</v>
      </c>
      <c r="BG426" s="107" t="n">
        <v>10607.8</v>
      </c>
      <c r="BH426" s="107" t="n">
        <v>14409635</v>
      </c>
      <c r="BI426" s="107" t="n">
        <v>2984280</v>
      </c>
      <c r="BJ426" s="107" t="n">
        <v>4282143372</v>
      </c>
      <c r="BK426" s="107" t="n">
        <v>0</v>
      </c>
      <c r="BL426" s="107" t="n">
        <v>0</v>
      </c>
      <c r="BM426" s="107" t="n">
        <v>0</v>
      </c>
      <c r="BN426" s="107" t="n">
        <v>0</v>
      </c>
      <c r="BO426" s="2"/>
      <c r="BP426" s="2"/>
      <c r="BQ426" s="107" t="s">
        <v>369</v>
      </c>
      <c r="BR426" s="107" t="n">
        <v>-230708547</v>
      </c>
      <c r="BS426" s="107" t="n">
        <v>0</v>
      </c>
      <c r="BT426" s="107" t="n">
        <v>0</v>
      </c>
      <c r="BU426" s="107" t="n">
        <v>31518</v>
      </c>
      <c r="BV426" s="107" t="n">
        <v>45225178</v>
      </c>
      <c r="BW426" s="107" t="n">
        <v>43208.33</v>
      </c>
      <c r="BX426" s="107" t="n">
        <v>58694195</v>
      </c>
      <c r="BY426" s="107" t="n">
        <v>10607.8</v>
      </c>
      <c r="BZ426" s="107" t="n">
        <v>14409635</v>
      </c>
      <c r="CA426" s="107" t="n">
        <v>1434.9</v>
      </c>
      <c r="CB426" s="2"/>
      <c r="CC426" s="107" t="n">
        <v>0</v>
      </c>
      <c r="CD426" s="107" t="n">
        <v>99.51</v>
      </c>
      <c r="CE426" s="107" t="n">
        <v>99.52</v>
      </c>
      <c r="CF426" s="107" t="n">
        <v>99.6</v>
      </c>
      <c r="CG426" s="107" t="n">
        <v>3000000</v>
      </c>
      <c r="CH426" s="107" t="n">
        <v>0.6212</v>
      </c>
      <c r="CI426" s="2"/>
      <c r="CJ426" s="2"/>
      <c r="CK426" s="2"/>
      <c r="CL426" s="2"/>
    </row>
    <row r="427" customFormat="false" ht="15" hidden="false" customHeight="false" outlineLevel="0" collapsed="false">
      <c r="A427" s="107" t="s">
        <v>915</v>
      </c>
      <c r="B427" s="107" t="n">
        <v>98.3972</v>
      </c>
      <c r="C427" s="107" t="n">
        <v>5.5772</v>
      </c>
      <c r="D427" s="107" t="n">
        <v>1.6321</v>
      </c>
      <c r="E427" s="107" t="n">
        <v>-120.44555259</v>
      </c>
      <c r="F427" s="108" t="s">
        <v>358</v>
      </c>
      <c r="G427" s="107" t="n">
        <v>1.6321</v>
      </c>
      <c r="H427" s="107" t="n">
        <v>-120.44555259</v>
      </c>
      <c r="I427" s="109" t="n">
        <v>46944</v>
      </c>
      <c r="J427" s="107" t="n">
        <v>2</v>
      </c>
      <c r="K427" s="107" t="s">
        <v>359</v>
      </c>
      <c r="L427" s="107" t="s">
        <v>298</v>
      </c>
      <c r="M427" s="107" t="n">
        <v>1224075</v>
      </c>
      <c r="N427" s="107" t="n">
        <v>99.365</v>
      </c>
      <c r="O427" s="107" t="n">
        <v>737979</v>
      </c>
      <c r="P427" s="107" t="s">
        <v>520</v>
      </c>
      <c r="Q427" s="107" t="s">
        <v>374</v>
      </c>
      <c r="R427" s="107" t="n">
        <v>-0.0708039469929006</v>
      </c>
      <c r="S427" s="107" t="n">
        <v>-0.00973984803502237</v>
      </c>
      <c r="T427" s="107" t="n">
        <v>-123.80335704</v>
      </c>
      <c r="U427" s="107" t="n">
        <v>21069</v>
      </c>
      <c r="V427" s="108" t="s">
        <v>362</v>
      </c>
      <c r="W427" s="107" t="n">
        <v>42003</v>
      </c>
      <c r="X427" s="108" t="s">
        <v>372</v>
      </c>
      <c r="Y427" s="107" t="s">
        <v>913</v>
      </c>
      <c r="Z427" s="107" t="s">
        <v>916</v>
      </c>
      <c r="AA427" s="109" t="n">
        <v>45798</v>
      </c>
      <c r="AB427" s="107" t="n">
        <v>250521000001</v>
      </c>
      <c r="AC427" s="109" t="n">
        <v>45786</v>
      </c>
      <c r="AD427" s="109" t="n">
        <v>47612</v>
      </c>
      <c r="AE427" s="107" t="n">
        <v>4.625</v>
      </c>
      <c r="AF427" s="107" t="n">
        <v>3.2239</v>
      </c>
      <c r="AG427" s="107" t="n">
        <v>1317</v>
      </c>
      <c r="AH427" s="107" t="n">
        <v>200000</v>
      </c>
      <c r="AI427" s="107" t="n">
        <v>4.6885</v>
      </c>
      <c r="AJ427" s="107" t="n">
        <v>99.7182</v>
      </c>
      <c r="AK427" s="107" t="n">
        <v>4.011494</v>
      </c>
      <c r="AL427" s="107" t="n">
        <v>103.84956</v>
      </c>
      <c r="AM427" s="107" t="n">
        <v>5.3991</v>
      </c>
      <c r="AN427" s="107" t="n">
        <v>97.4843</v>
      </c>
      <c r="AO427" s="107" t="n">
        <v>1358.4</v>
      </c>
      <c r="AP427" s="107" t="n">
        <v>1</v>
      </c>
      <c r="AQ427" s="107" t="n">
        <v>194968.6</v>
      </c>
      <c r="AR427" s="107" t="n">
        <v>264845346</v>
      </c>
      <c r="AS427" s="107" t="n">
        <v>204076.2</v>
      </c>
      <c r="AT427" s="107" t="n">
        <v>292828939</v>
      </c>
      <c r="AU427" s="107" t="n">
        <v>-9107.6</v>
      </c>
      <c r="AV427" s="107" t="n">
        <v>-12371764</v>
      </c>
      <c r="AW427" s="107" t="n">
        <v>0</v>
      </c>
      <c r="AX427" s="107" t="n">
        <v>0</v>
      </c>
      <c r="AY427" s="107" t="n">
        <v>0</v>
      </c>
      <c r="AZ427" s="107" t="n">
        <v>0</v>
      </c>
      <c r="BA427" s="107" t="n">
        <v>0</v>
      </c>
      <c r="BB427" s="107" t="n">
        <v>0</v>
      </c>
      <c r="BC427" s="107" t="n">
        <v>0</v>
      </c>
      <c r="BD427" s="107" t="n">
        <v>0</v>
      </c>
      <c r="BE427" s="107" t="n">
        <v>3622.92</v>
      </c>
      <c r="BF427" s="107" t="n">
        <v>4921374</v>
      </c>
      <c r="BG427" s="107" t="n">
        <v>0</v>
      </c>
      <c r="BH427" s="107" t="n">
        <v>0</v>
      </c>
      <c r="BI427" s="107" t="n">
        <v>199436.4</v>
      </c>
      <c r="BJ427" s="107" t="n">
        <v>286171290</v>
      </c>
      <c r="BK427" s="107" t="n">
        <v>0</v>
      </c>
      <c r="BL427" s="107" t="n">
        <v>0</v>
      </c>
      <c r="BM427" s="107" t="n">
        <v>0</v>
      </c>
      <c r="BN427" s="107" t="n">
        <v>0</v>
      </c>
      <c r="BO427" s="2"/>
      <c r="BP427" s="2"/>
      <c r="BQ427" s="107" t="s">
        <v>364</v>
      </c>
      <c r="BR427" s="107" t="n">
        <v>-15611829</v>
      </c>
      <c r="BS427" s="107" t="n">
        <v>0</v>
      </c>
      <c r="BT427" s="107" t="n">
        <v>0</v>
      </c>
      <c r="BU427" s="107" t="n">
        <v>4639.8</v>
      </c>
      <c r="BV427" s="107" t="n">
        <v>6657649</v>
      </c>
      <c r="BW427" s="107" t="n">
        <v>3622.92</v>
      </c>
      <c r="BX427" s="107" t="n">
        <v>4921374</v>
      </c>
      <c r="BY427" s="107" t="n">
        <v>0</v>
      </c>
      <c r="BZ427" s="107" t="n">
        <v>0</v>
      </c>
      <c r="CA427" s="107" t="n">
        <v>1434.9</v>
      </c>
      <c r="CB427" s="2"/>
      <c r="CC427" s="107" t="n">
        <v>0</v>
      </c>
      <c r="CD427" s="107" t="n">
        <v>97.43</v>
      </c>
      <c r="CE427" s="107" t="n">
        <v>97.46</v>
      </c>
      <c r="CF427" s="107" t="n">
        <v>97.56</v>
      </c>
      <c r="CG427" s="107" t="n">
        <v>200000</v>
      </c>
      <c r="CH427" s="107" t="n">
        <v>3.1392</v>
      </c>
      <c r="CI427" s="2"/>
      <c r="CJ427" s="2"/>
      <c r="CK427" s="2"/>
      <c r="CL427" s="2"/>
    </row>
    <row r="428" customFormat="false" ht="15" hidden="false" customHeight="false" outlineLevel="0" collapsed="false">
      <c r="A428" s="107" t="s">
        <v>917</v>
      </c>
      <c r="B428" s="107" t="n">
        <v>94.635</v>
      </c>
      <c r="C428" s="107" t="n">
        <v>5.5117</v>
      </c>
      <c r="D428" s="107" t="n">
        <v>3.4689</v>
      </c>
      <c r="E428" s="107" t="n">
        <v>-853.5263139</v>
      </c>
      <c r="F428" s="108" t="s">
        <v>358</v>
      </c>
      <c r="G428" s="107" t="n">
        <v>3.4689</v>
      </c>
      <c r="H428" s="107" t="n">
        <v>-853.5263139</v>
      </c>
      <c r="I428" s="109" t="n">
        <v>47756</v>
      </c>
      <c r="J428" s="107" t="n">
        <v>3</v>
      </c>
      <c r="K428" s="107" t="s">
        <v>359</v>
      </c>
      <c r="L428" s="107" t="s">
        <v>298</v>
      </c>
      <c r="M428" s="107" t="n">
        <v>9019140</v>
      </c>
      <c r="N428" s="107" t="n">
        <v>99.331</v>
      </c>
      <c r="O428" s="107" t="n">
        <v>2460510</v>
      </c>
      <c r="P428" s="107" t="s">
        <v>918</v>
      </c>
      <c r="Q428" s="107" t="s">
        <v>361</v>
      </c>
      <c r="R428" s="107" t="n">
        <v>-0.09794537306747</v>
      </c>
      <c r="S428" s="107" t="n">
        <v>-0.0472762783018393</v>
      </c>
      <c r="T428" s="107" t="n">
        <v>-877.0487895</v>
      </c>
      <c r="U428" s="107" t="n">
        <v>21069</v>
      </c>
      <c r="V428" s="108" t="s">
        <v>362</v>
      </c>
      <c r="W428" s="107" t="n">
        <v>42003</v>
      </c>
      <c r="X428" s="108" t="s">
        <v>372</v>
      </c>
      <c r="Y428" s="107" t="s">
        <v>913</v>
      </c>
      <c r="Z428" s="107" t="s">
        <v>916</v>
      </c>
      <c r="AA428" s="109" t="n">
        <v>45877</v>
      </c>
      <c r="AB428" s="107" t="n">
        <v>250808000001</v>
      </c>
      <c r="AC428" s="109" t="n">
        <v>45786</v>
      </c>
      <c r="AD428" s="109" t="n">
        <v>47612</v>
      </c>
      <c r="AE428" s="107" t="n">
        <v>4.625</v>
      </c>
      <c r="AF428" s="107" t="n">
        <v>3.2239</v>
      </c>
      <c r="AG428" s="107" t="n">
        <v>1317</v>
      </c>
      <c r="AH428" s="107" t="n">
        <v>9000000</v>
      </c>
      <c r="AI428" s="107" t="n">
        <v>4.29697</v>
      </c>
      <c r="AJ428" s="107" t="n">
        <v>101.392</v>
      </c>
      <c r="AK428" s="107" t="n">
        <v>4.011494</v>
      </c>
      <c r="AL428" s="107" t="n">
        <v>103.849558</v>
      </c>
      <c r="AM428" s="107" t="n">
        <v>5.3991</v>
      </c>
      <c r="AN428" s="107" t="n">
        <v>97.4843</v>
      </c>
      <c r="AO428" s="107" t="n">
        <v>1358.4</v>
      </c>
      <c r="AP428" s="107" t="n">
        <v>1</v>
      </c>
      <c r="AQ428" s="107" t="n">
        <v>8773587</v>
      </c>
      <c r="AR428" s="107" t="n">
        <v>11918040581</v>
      </c>
      <c r="AS428" s="107" t="n">
        <v>9183429</v>
      </c>
      <c r="AT428" s="107" t="n">
        <v>13177302272</v>
      </c>
      <c r="AU428" s="107" t="n">
        <v>-409842</v>
      </c>
      <c r="AV428" s="107" t="n">
        <v>-556729373</v>
      </c>
      <c r="AW428" s="107" t="n">
        <v>0</v>
      </c>
      <c r="AX428" s="107" t="n">
        <v>0</v>
      </c>
      <c r="AY428" s="107" t="n">
        <v>0</v>
      </c>
      <c r="AZ428" s="107" t="n">
        <v>0</v>
      </c>
      <c r="BA428" s="107" t="n">
        <v>0</v>
      </c>
      <c r="BB428" s="107" t="n">
        <v>0</v>
      </c>
      <c r="BC428" s="107" t="n">
        <v>0</v>
      </c>
      <c r="BD428" s="107" t="n">
        <v>0</v>
      </c>
      <c r="BE428" s="107" t="n">
        <v>163031.25</v>
      </c>
      <c r="BF428" s="107" t="n">
        <v>221461650</v>
      </c>
      <c r="BG428" s="107" t="n">
        <v>0</v>
      </c>
      <c r="BH428" s="107" t="n">
        <v>0</v>
      </c>
      <c r="BI428" s="107" t="n">
        <v>9125280</v>
      </c>
      <c r="BJ428" s="107" t="n">
        <v>13093864272</v>
      </c>
      <c r="BK428" s="107" t="n">
        <v>0</v>
      </c>
      <c r="BL428" s="107" t="n">
        <v>0</v>
      </c>
      <c r="BM428" s="107" t="n">
        <v>0</v>
      </c>
      <c r="BN428" s="107" t="n">
        <v>0</v>
      </c>
      <c r="BO428" s="2"/>
      <c r="BP428" s="2"/>
      <c r="BQ428" s="107" t="s">
        <v>364</v>
      </c>
      <c r="BR428" s="107" t="n">
        <v>-702532318</v>
      </c>
      <c r="BS428" s="107" t="n">
        <v>0</v>
      </c>
      <c r="BT428" s="107" t="n">
        <v>0</v>
      </c>
      <c r="BU428" s="107" t="n">
        <v>58149</v>
      </c>
      <c r="BV428" s="107" t="n">
        <v>83438000</v>
      </c>
      <c r="BW428" s="107" t="n">
        <v>163031.25</v>
      </c>
      <c r="BX428" s="107" t="n">
        <v>221461650</v>
      </c>
      <c r="BY428" s="107" t="n">
        <v>0</v>
      </c>
      <c r="BZ428" s="107" t="n">
        <v>0</v>
      </c>
      <c r="CA428" s="107" t="n">
        <v>1434.9</v>
      </c>
      <c r="CB428" s="2"/>
      <c r="CC428" s="107" t="n">
        <v>0</v>
      </c>
      <c r="CD428" s="107" t="n">
        <v>97.43</v>
      </c>
      <c r="CE428" s="107" t="n">
        <v>97.46</v>
      </c>
      <c r="CF428" s="107" t="n">
        <v>97.56</v>
      </c>
      <c r="CG428" s="107" t="n">
        <v>9000000</v>
      </c>
      <c r="CH428" s="107" t="n">
        <v>3.1392</v>
      </c>
      <c r="CI428" s="2"/>
      <c r="CJ428" s="2"/>
      <c r="CK428" s="2"/>
      <c r="CL428" s="2"/>
    </row>
    <row r="429" customFormat="false" ht="15" hidden="false" customHeight="false" outlineLevel="0" collapsed="false">
      <c r="A429" s="107" t="s">
        <v>917</v>
      </c>
      <c r="B429" s="107" t="n">
        <v>94.635</v>
      </c>
      <c r="C429" s="107" t="n">
        <v>5.5117</v>
      </c>
      <c r="D429" s="107" t="n">
        <v>3.4689</v>
      </c>
      <c r="E429" s="107" t="n">
        <v>-1017.66598965</v>
      </c>
      <c r="F429" s="108" t="s">
        <v>358</v>
      </c>
      <c r="G429" s="107" t="n">
        <v>3.4689</v>
      </c>
      <c r="H429" s="107" t="n">
        <v>-1017.66598965</v>
      </c>
      <c r="I429" s="109" t="n">
        <v>47756</v>
      </c>
      <c r="J429" s="107" t="n">
        <v>3</v>
      </c>
      <c r="K429" s="107" t="s">
        <v>359</v>
      </c>
      <c r="L429" s="107" t="s">
        <v>298</v>
      </c>
      <c r="M429" s="107" t="n">
        <v>10753590</v>
      </c>
      <c r="N429" s="107" t="n">
        <v>99.543</v>
      </c>
      <c r="O429" s="107" t="n">
        <v>2933685</v>
      </c>
      <c r="P429" s="107" t="s">
        <v>918</v>
      </c>
      <c r="Q429" s="107" t="s">
        <v>361</v>
      </c>
      <c r="R429" s="107" t="n">
        <v>-0.0979453729890295</v>
      </c>
      <c r="S429" s="107" t="n">
        <v>-0.0493053253367891</v>
      </c>
      <c r="T429" s="107" t="n">
        <v>-1045.71201825</v>
      </c>
      <c r="U429" s="107" t="n">
        <v>21069</v>
      </c>
      <c r="V429" s="108" t="s">
        <v>362</v>
      </c>
      <c r="W429" s="107" t="n">
        <v>42003</v>
      </c>
      <c r="X429" s="108" t="s">
        <v>372</v>
      </c>
      <c r="Y429" s="107" t="s">
        <v>915</v>
      </c>
      <c r="Z429" s="107" t="s">
        <v>919</v>
      </c>
      <c r="AA429" s="109" t="n">
        <v>46234</v>
      </c>
      <c r="AB429" s="107" t="n">
        <v>260731000001</v>
      </c>
      <c r="AC429" s="109" t="n">
        <v>45848</v>
      </c>
      <c r="AD429" s="109" t="n">
        <v>46944</v>
      </c>
      <c r="AE429" s="107" t="n">
        <v>4.625</v>
      </c>
      <c r="AF429" s="107" t="n">
        <v>1.6752</v>
      </c>
      <c r="AG429" s="107" t="n">
        <v>649</v>
      </c>
      <c r="AH429" s="107" t="n">
        <v>750000</v>
      </c>
      <c r="AI429" s="107" t="n">
        <v>4.97</v>
      </c>
      <c r="AJ429" s="107" t="n">
        <v>99.365</v>
      </c>
      <c r="AK429" s="107" t="n">
        <v>4.993862</v>
      </c>
      <c r="AL429" s="107" t="n">
        <v>100.400624</v>
      </c>
      <c r="AM429" s="107" t="n">
        <v>5.5237</v>
      </c>
      <c r="AN429" s="107" t="n">
        <v>98.488</v>
      </c>
      <c r="AO429" s="107" t="n">
        <v>1358.4</v>
      </c>
      <c r="AP429" s="107" t="n">
        <v>1</v>
      </c>
      <c r="AQ429" s="107" t="n">
        <v>738660</v>
      </c>
      <c r="AR429" s="107" t="n">
        <v>1003395744</v>
      </c>
      <c r="AS429" s="107" t="n">
        <v>744865.06</v>
      </c>
      <c r="AT429" s="107" t="n">
        <v>1080128824</v>
      </c>
      <c r="AU429" s="107" t="n">
        <v>-6205.06</v>
      </c>
      <c r="AV429" s="107" t="n">
        <v>-8428954</v>
      </c>
      <c r="AW429" s="107" t="n">
        <v>1927.08</v>
      </c>
      <c r="AX429" s="107" t="n">
        <v>2794458</v>
      </c>
      <c r="AY429" s="107" t="n">
        <v>372.44</v>
      </c>
      <c r="AZ429" s="107" t="n">
        <v>540075</v>
      </c>
      <c r="BA429" s="107" t="n">
        <v>0</v>
      </c>
      <c r="BB429" s="107" t="n">
        <v>0</v>
      </c>
      <c r="BC429" s="107" t="n">
        <v>0</v>
      </c>
      <c r="BD429" s="107" t="n">
        <v>0</v>
      </c>
      <c r="BE429" s="107" t="n">
        <v>5781.25</v>
      </c>
      <c r="BF429" s="107" t="n">
        <v>7853250</v>
      </c>
      <c r="BG429" s="107" t="n">
        <v>58.85</v>
      </c>
      <c r="BH429" s="107" t="n">
        <v>79942</v>
      </c>
      <c r="BI429" s="107" t="n">
        <v>744865.06</v>
      </c>
      <c r="BJ429" s="107" t="n">
        <v>1080128824</v>
      </c>
      <c r="BK429" s="107" t="n">
        <v>0</v>
      </c>
      <c r="BL429" s="107" t="n">
        <v>0</v>
      </c>
      <c r="BM429" s="107" t="n">
        <v>0</v>
      </c>
      <c r="BN429" s="107" t="n">
        <v>0</v>
      </c>
      <c r="BO429" s="107" t="s">
        <v>374</v>
      </c>
      <c r="BP429" s="107" t="s">
        <v>517</v>
      </c>
      <c r="BQ429" s="107" t="s">
        <v>369</v>
      </c>
      <c r="BR429" s="107" t="n">
        <v>-68304126</v>
      </c>
      <c r="BS429" s="107" t="n">
        <v>-210866</v>
      </c>
      <c r="BT429" s="107" t="n">
        <v>0</v>
      </c>
      <c r="BU429" s="107" t="n">
        <v>0</v>
      </c>
      <c r="BV429" s="107" t="n">
        <v>0</v>
      </c>
      <c r="BW429" s="107" t="n">
        <v>7708.33</v>
      </c>
      <c r="BX429" s="107" t="n">
        <v>10470995</v>
      </c>
      <c r="BY429" s="107" t="n">
        <v>431.29</v>
      </c>
      <c r="BZ429" s="107" t="n">
        <v>585864</v>
      </c>
      <c r="CA429" s="107" t="n">
        <v>1450.1</v>
      </c>
      <c r="CB429" s="2"/>
      <c r="CC429" s="107" t="n">
        <v>0</v>
      </c>
      <c r="CD429" s="107" t="n">
        <v>98.52</v>
      </c>
      <c r="CE429" s="107" t="n">
        <v>98.48</v>
      </c>
      <c r="CF429" s="107" t="n">
        <v>98.47</v>
      </c>
      <c r="CG429" s="107" t="n">
        <v>750000</v>
      </c>
      <c r="CH429" s="107" t="n">
        <v>1.6302</v>
      </c>
      <c r="CI429" s="2"/>
      <c r="CJ429" s="2"/>
      <c r="CK429" s="2"/>
      <c r="CL429" s="2"/>
    </row>
    <row r="430" customFormat="false" ht="15" hidden="false" customHeight="false" outlineLevel="0" collapsed="false">
      <c r="A430" s="107" t="s">
        <v>693</v>
      </c>
      <c r="B430" s="107" t="n">
        <v>93.9386</v>
      </c>
      <c r="C430" s="107" t="n">
        <v>5.5083</v>
      </c>
      <c r="D430" s="107" t="n">
        <v>3.9554</v>
      </c>
      <c r="E430" s="107" t="n">
        <v>-1754.90025965212</v>
      </c>
      <c r="F430" s="108" t="s">
        <v>358</v>
      </c>
      <c r="G430" s="107" t="n">
        <v>3.9554</v>
      </c>
      <c r="H430" s="107" t="n">
        <v>-1754.90025965212</v>
      </c>
      <c r="I430" s="109" t="n">
        <v>47972</v>
      </c>
      <c r="J430" s="107" t="n">
        <v>5</v>
      </c>
      <c r="K430" s="107" t="s">
        <v>359</v>
      </c>
      <c r="L430" s="107" t="s">
        <v>298</v>
      </c>
      <c r="M430" s="107" t="n">
        <v>18681354.2</v>
      </c>
      <c r="N430" s="107" t="n">
        <v>98.98</v>
      </c>
      <c r="O430" s="107" t="n">
        <v>4436720.078</v>
      </c>
      <c r="P430" s="107" t="s">
        <v>694</v>
      </c>
      <c r="Q430" s="107" t="s">
        <v>364</v>
      </c>
      <c r="R430" s="107" t="n">
        <v>-0.135536527825596</v>
      </c>
      <c r="S430" s="107" t="n">
        <v>-0.050933521923621</v>
      </c>
      <c r="T430" s="107" t="n">
        <v>-1803.21614130154</v>
      </c>
      <c r="U430" s="107" t="n">
        <v>21069</v>
      </c>
      <c r="V430" s="108" t="s">
        <v>362</v>
      </c>
      <c r="W430" s="107" t="n">
        <v>42003</v>
      </c>
      <c r="X430" s="108" t="s">
        <v>372</v>
      </c>
      <c r="Y430" s="107" t="s">
        <v>917</v>
      </c>
      <c r="Z430" s="107" t="s">
        <v>920</v>
      </c>
      <c r="AA430" s="109" t="n">
        <v>45940</v>
      </c>
      <c r="AB430" s="107" t="n">
        <v>251010000001</v>
      </c>
      <c r="AC430" s="109" t="n">
        <v>45930</v>
      </c>
      <c r="AD430" s="109" t="n">
        <v>47756</v>
      </c>
      <c r="AE430" s="107" t="n">
        <v>4</v>
      </c>
      <c r="AF430" s="107" t="n">
        <v>3.6601</v>
      </c>
      <c r="AG430" s="107" t="n">
        <v>1461</v>
      </c>
      <c r="AH430" s="107" t="n">
        <v>2600000</v>
      </c>
      <c r="AI430" s="107" t="n">
        <v>4.15</v>
      </c>
      <c r="AJ430" s="107" t="n">
        <v>99.331</v>
      </c>
      <c r="AK430" s="107" t="n">
        <v>4.119793</v>
      </c>
      <c r="AL430" s="107" t="n">
        <v>99.562358</v>
      </c>
      <c r="AM430" s="107" t="n">
        <v>5.4787</v>
      </c>
      <c r="AN430" s="107" t="n">
        <v>94.7517</v>
      </c>
      <c r="AO430" s="107" t="n">
        <v>1358.4</v>
      </c>
      <c r="AP430" s="107" t="n">
        <v>1</v>
      </c>
      <c r="AQ430" s="107" t="n">
        <v>2463544.2</v>
      </c>
      <c r="AR430" s="107" t="n">
        <v>3346478441</v>
      </c>
      <c r="AS430" s="107" t="n">
        <v>2585291.8</v>
      </c>
      <c r="AT430" s="107" t="n">
        <v>3709635204</v>
      </c>
      <c r="AU430" s="107" t="n">
        <v>-121747.6</v>
      </c>
      <c r="AV430" s="107" t="n">
        <v>-165381940</v>
      </c>
      <c r="AW430" s="107" t="n">
        <v>0</v>
      </c>
      <c r="AX430" s="107" t="n">
        <v>0</v>
      </c>
      <c r="AY430" s="107" t="n">
        <v>0</v>
      </c>
      <c r="AZ430" s="107" t="n">
        <v>0</v>
      </c>
      <c r="BA430" s="107" t="n">
        <v>0</v>
      </c>
      <c r="BB430" s="107" t="n">
        <v>0</v>
      </c>
      <c r="BC430" s="107" t="n">
        <v>0</v>
      </c>
      <c r="BD430" s="107" t="n">
        <v>0</v>
      </c>
      <c r="BE430" s="107" t="n">
        <v>0</v>
      </c>
      <c r="BF430" s="107" t="n">
        <v>0</v>
      </c>
      <c r="BG430" s="107" t="n">
        <v>3329.53</v>
      </c>
      <c r="BH430" s="107" t="n">
        <v>4522833</v>
      </c>
      <c r="BI430" s="107" t="n">
        <v>2582606</v>
      </c>
      <c r="BJ430" s="107" t="n">
        <v>3705781349</v>
      </c>
      <c r="BK430" s="107" t="n">
        <v>0</v>
      </c>
      <c r="BL430" s="107" t="n">
        <v>0</v>
      </c>
      <c r="BM430" s="107" t="n">
        <v>0</v>
      </c>
      <c r="BN430" s="107" t="n">
        <v>0</v>
      </c>
      <c r="BO430" s="107" t="s">
        <v>361</v>
      </c>
      <c r="BP430" s="2"/>
      <c r="BQ430" s="107" t="s">
        <v>369</v>
      </c>
      <c r="BR430" s="107" t="n">
        <v>-197774823</v>
      </c>
      <c r="BS430" s="107" t="n">
        <v>0</v>
      </c>
      <c r="BT430" s="107" t="n">
        <v>0</v>
      </c>
      <c r="BU430" s="107" t="n">
        <v>2685.8</v>
      </c>
      <c r="BV430" s="107" t="n">
        <v>3853855</v>
      </c>
      <c r="BW430" s="107" t="n">
        <v>0</v>
      </c>
      <c r="BX430" s="107" t="n">
        <v>0</v>
      </c>
      <c r="BY430" s="107" t="n">
        <v>3329.53</v>
      </c>
      <c r="BZ430" s="107" t="n">
        <v>4522833</v>
      </c>
      <c r="CA430" s="107" t="n">
        <v>1434.9</v>
      </c>
      <c r="CB430" s="2"/>
      <c r="CC430" s="107" t="n">
        <v>0</v>
      </c>
      <c r="CD430" s="107" t="n">
        <v>94.76</v>
      </c>
      <c r="CE430" s="107" t="n">
        <v>94.66</v>
      </c>
      <c r="CF430" s="107" t="n">
        <v>94.83</v>
      </c>
      <c r="CG430" s="107" t="n">
        <v>2600000</v>
      </c>
      <c r="CH430" s="107" t="n">
        <v>3.5625</v>
      </c>
      <c r="CI430" s="2"/>
      <c r="CJ430" s="2"/>
      <c r="CK430" s="2"/>
      <c r="CL430" s="2"/>
    </row>
    <row r="431" customFormat="false" ht="15" hidden="false" customHeight="false" outlineLevel="0" collapsed="false">
      <c r="A431" s="107" t="s">
        <v>921</v>
      </c>
      <c r="B431" s="107" t="n">
        <v>96.9724</v>
      </c>
      <c r="C431" s="107" t="n">
        <v>5.6395</v>
      </c>
      <c r="D431" s="107" t="n">
        <v>3.8154</v>
      </c>
      <c r="E431" s="107" t="n">
        <v>-221.993096976</v>
      </c>
      <c r="F431" s="108" t="s">
        <v>358</v>
      </c>
      <c r="G431" s="107" t="n">
        <v>3.8154</v>
      </c>
      <c r="H431" s="107" t="n">
        <v>-221.993096976</v>
      </c>
      <c r="I431" s="109" t="n">
        <v>47951</v>
      </c>
      <c r="J431" s="107" t="n">
        <v>5</v>
      </c>
      <c r="K431" s="107" t="s">
        <v>359</v>
      </c>
      <c r="L431" s="107" t="s">
        <v>298</v>
      </c>
      <c r="M431" s="107" t="n">
        <v>2289240</v>
      </c>
      <c r="N431" s="107" t="n">
        <v>99.63</v>
      </c>
      <c r="O431" s="107" t="n">
        <v>581834.4</v>
      </c>
      <c r="P431" s="107" t="s">
        <v>887</v>
      </c>
      <c r="Q431" s="107" t="s">
        <v>364</v>
      </c>
      <c r="R431" s="107" t="n">
        <v>-0.111446465206196</v>
      </c>
      <c r="S431" s="107" t="n">
        <v>-0.0266746963765934</v>
      </c>
      <c r="T431" s="107" t="n">
        <v>-228.25363512</v>
      </c>
      <c r="U431" s="107" t="n">
        <v>21069</v>
      </c>
      <c r="V431" s="108" t="s">
        <v>362</v>
      </c>
      <c r="W431" s="107" t="n">
        <v>42003</v>
      </c>
      <c r="X431" s="108" t="s">
        <v>372</v>
      </c>
      <c r="Y431" s="107" t="s">
        <v>917</v>
      </c>
      <c r="Z431" s="107" t="s">
        <v>920</v>
      </c>
      <c r="AA431" s="109" t="n">
        <v>45947</v>
      </c>
      <c r="AB431" s="107" t="n">
        <v>251017000001</v>
      </c>
      <c r="AC431" s="109" t="n">
        <v>45930</v>
      </c>
      <c r="AD431" s="109" t="n">
        <v>47756</v>
      </c>
      <c r="AE431" s="107" t="n">
        <v>4</v>
      </c>
      <c r="AF431" s="107" t="n">
        <v>3.6601</v>
      </c>
      <c r="AG431" s="107" t="n">
        <v>1461</v>
      </c>
      <c r="AH431" s="107" t="n">
        <v>3100000</v>
      </c>
      <c r="AI431" s="107" t="n">
        <v>4.10248</v>
      </c>
      <c r="AJ431" s="107" t="n">
        <v>99.543</v>
      </c>
      <c r="AK431" s="107" t="n">
        <v>4.119793</v>
      </c>
      <c r="AL431" s="107" t="n">
        <v>99.562358</v>
      </c>
      <c r="AM431" s="107" t="n">
        <v>5.4787</v>
      </c>
      <c r="AN431" s="107" t="n">
        <v>94.7517</v>
      </c>
      <c r="AO431" s="107" t="n">
        <v>1358.4</v>
      </c>
      <c r="AP431" s="107" t="n">
        <v>1</v>
      </c>
      <c r="AQ431" s="107" t="n">
        <v>2937302.7</v>
      </c>
      <c r="AR431" s="107" t="n">
        <v>3990031988</v>
      </c>
      <c r="AS431" s="107" t="n">
        <v>3082463.3</v>
      </c>
      <c r="AT431" s="107" t="n">
        <v>4423026589</v>
      </c>
      <c r="AU431" s="107" t="n">
        <v>-145160.6</v>
      </c>
      <c r="AV431" s="107" t="n">
        <v>-197186159</v>
      </c>
      <c r="AW431" s="107" t="n">
        <v>0</v>
      </c>
      <c r="AX431" s="107" t="n">
        <v>0</v>
      </c>
      <c r="AY431" s="107" t="n">
        <v>0</v>
      </c>
      <c r="AZ431" s="107" t="n">
        <v>0</v>
      </c>
      <c r="BA431" s="107" t="n">
        <v>0</v>
      </c>
      <c r="BB431" s="107" t="n">
        <v>0</v>
      </c>
      <c r="BC431" s="107" t="n">
        <v>0</v>
      </c>
      <c r="BD431" s="107" t="n">
        <v>0</v>
      </c>
      <c r="BE431" s="107" t="n">
        <v>0</v>
      </c>
      <c r="BF431" s="107" t="n">
        <v>0</v>
      </c>
      <c r="BG431" s="107" t="n">
        <v>3969.82</v>
      </c>
      <c r="BH431" s="107" t="n">
        <v>5392603</v>
      </c>
      <c r="BI431" s="107" t="n">
        <v>3085833</v>
      </c>
      <c r="BJ431" s="107" t="n">
        <v>4427861772</v>
      </c>
      <c r="BK431" s="107" t="n">
        <v>0</v>
      </c>
      <c r="BL431" s="107" t="n">
        <v>0</v>
      </c>
      <c r="BM431" s="107" t="n">
        <v>0</v>
      </c>
      <c r="BN431" s="107" t="n">
        <v>0</v>
      </c>
      <c r="BO431" s="107" t="s">
        <v>361</v>
      </c>
      <c r="BP431" s="2"/>
      <c r="BQ431" s="107" t="s">
        <v>369</v>
      </c>
      <c r="BR431" s="107" t="n">
        <v>-235808442</v>
      </c>
      <c r="BS431" s="107" t="n">
        <v>0</v>
      </c>
      <c r="BT431" s="107" t="n">
        <v>0</v>
      </c>
      <c r="BU431" s="107" t="n">
        <v>-3369.7</v>
      </c>
      <c r="BV431" s="107" t="n">
        <v>-4835183</v>
      </c>
      <c r="BW431" s="107" t="n">
        <v>0</v>
      </c>
      <c r="BX431" s="107" t="n">
        <v>0</v>
      </c>
      <c r="BY431" s="107" t="n">
        <v>3969.82</v>
      </c>
      <c r="BZ431" s="107" t="n">
        <v>5392603</v>
      </c>
      <c r="CA431" s="107" t="n">
        <v>1434.9</v>
      </c>
      <c r="CB431" s="2"/>
      <c r="CC431" s="107" t="n">
        <v>0</v>
      </c>
      <c r="CD431" s="107" t="n">
        <v>94.76</v>
      </c>
      <c r="CE431" s="107" t="n">
        <v>94.66</v>
      </c>
      <c r="CF431" s="107" t="n">
        <v>94.83</v>
      </c>
      <c r="CG431" s="107" t="n">
        <v>3100000</v>
      </c>
      <c r="CH431" s="107" t="n">
        <v>3.5625</v>
      </c>
      <c r="CI431" s="2"/>
      <c r="CJ431" s="2"/>
      <c r="CK431" s="2"/>
      <c r="CL431" s="2"/>
    </row>
    <row r="432" customFormat="false" ht="15" hidden="false" customHeight="false" outlineLevel="0" collapsed="false">
      <c r="A432" s="107" t="s">
        <v>922</v>
      </c>
      <c r="B432" s="107" t="n">
        <v>97.3359</v>
      </c>
      <c r="C432" s="107" t="n">
        <v>5.249</v>
      </c>
      <c r="D432" s="107" t="n">
        <v>2.295</v>
      </c>
      <c r="E432" s="107" t="n">
        <v>-89.3543562</v>
      </c>
      <c r="F432" s="108" t="s">
        <v>358</v>
      </c>
      <c r="G432" s="107" t="n">
        <v>2.295</v>
      </c>
      <c r="H432" s="107" t="n">
        <v>-89.3543562</v>
      </c>
      <c r="I432" s="109" t="n">
        <v>47229</v>
      </c>
      <c r="J432" s="107" t="n">
        <v>3</v>
      </c>
      <c r="K432" s="107" t="s">
        <v>359</v>
      </c>
      <c r="L432" s="107" t="s">
        <v>298</v>
      </c>
      <c r="M432" s="107" t="n">
        <v>918000</v>
      </c>
      <c r="N432" s="107" t="n">
        <v>99.85</v>
      </c>
      <c r="O432" s="107" t="n">
        <v>389343.6</v>
      </c>
      <c r="P432" s="107" t="s">
        <v>923</v>
      </c>
      <c r="Q432" s="107" t="s">
        <v>106</v>
      </c>
      <c r="R432" s="107" t="n">
        <v>-0.0986019447516792</v>
      </c>
      <c r="S432" s="107" t="n">
        <v>-0.0251787681522283</v>
      </c>
      <c r="T432" s="107" t="n">
        <v>-91.698204672</v>
      </c>
      <c r="U432" s="107" t="n">
        <v>21069</v>
      </c>
      <c r="V432" s="108" t="s">
        <v>362</v>
      </c>
      <c r="W432" s="107" t="n">
        <v>42003</v>
      </c>
      <c r="X432" s="108" t="s">
        <v>372</v>
      </c>
      <c r="Y432" s="107" t="s">
        <v>693</v>
      </c>
      <c r="Z432" s="107" t="s">
        <v>696</v>
      </c>
      <c r="AA432" s="109" t="n">
        <v>46092</v>
      </c>
      <c r="AB432" s="107" t="n">
        <v>260311000001</v>
      </c>
      <c r="AC432" s="109" t="n">
        <v>45965</v>
      </c>
      <c r="AD432" s="109" t="n">
        <v>47972</v>
      </c>
      <c r="AE432" s="107" t="n">
        <v>4</v>
      </c>
      <c r="AF432" s="107" t="n">
        <v>4.0623</v>
      </c>
      <c r="AG432" s="107" t="n">
        <v>1677</v>
      </c>
      <c r="AH432" s="107" t="n">
        <v>4723000</v>
      </c>
      <c r="AI432" s="107" t="n">
        <v>4.222</v>
      </c>
      <c r="AJ432" s="107" t="n">
        <v>98.98</v>
      </c>
      <c r="AK432" s="107" t="n">
        <v>4.245925</v>
      </c>
      <c r="AL432" s="107" t="n">
        <v>100.602222</v>
      </c>
      <c r="AM432" s="107" t="n">
        <v>5.4747</v>
      </c>
      <c r="AN432" s="107" t="n">
        <v>94.0724</v>
      </c>
      <c r="AO432" s="107" t="n">
        <v>1358.4</v>
      </c>
      <c r="AP432" s="107" t="n">
        <v>1</v>
      </c>
      <c r="AQ432" s="107" t="n">
        <v>4443039.45</v>
      </c>
      <c r="AR432" s="107" t="n">
        <v>6035424792</v>
      </c>
      <c r="AS432" s="107" t="n">
        <v>4674825.4</v>
      </c>
      <c r="AT432" s="107" t="n">
        <v>6979981804</v>
      </c>
      <c r="AU432" s="107" t="n">
        <v>-231785.95</v>
      </c>
      <c r="AV432" s="107" t="n">
        <v>-314858031</v>
      </c>
      <c r="AW432" s="107" t="n">
        <v>0</v>
      </c>
      <c r="AX432" s="107" t="n">
        <v>0</v>
      </c>
      <c r="AY432" s="107" t="n">
        <v>0</v>
      </c>
      <c r="AZ432" s="107" t="n">
        <v>0</v>
      </c>
      <c r="BA432" s="107" t="n">
        <v>0</v>
      </c>
      <c r="BB432" s="107" t="n">
        <v>0</v>
      </c>
      <c r="BC432" s="107" t="n">
        <v>0</v>
      </c>
      <c r="BD432" s="107" t="n">
        <v>0</v>
      </c>
      <c r="BE432" s="107" t="n">
        <v>76617.56</v>
      </c>
      <c r="BF432" s="107" t="n">
        <v>104077293</v>
      </c>
      <c r="BG432" s="107" t="n">
        <v>0</v>
      </c>
      <c r="BH432" s="107" t="n">
        <v>0</v>
      </c>
      <c r="BI432" s="107" t="n">
        <v>4674825.4</v>
      </c>
      <c r="BJ432" s="107" t="n">
        <v>6979981804</v>
      </c>
      <c r="BK432" s="107" t="n">
        <v>0</v>
      </c>
      <c r="BL432" s="107" t="n">
        <v>0</v>
      </c>
      <c r="BM432" s="107" t="n">
        <v>0</v>
      </c>
      <c r="BN432" s="107" t="n">
        <v>0</v>
      </c>
      <c r="BO432" s="2"/>
      <c r="BP432" s="2"/>
      <c r="BQ432" s="107" t="s">
        <v>364</v>
      </c>
      <c r="BR432" s="107" t="n">
        <v>-629698981</v>
      </c>
      <c r="BS432" s="107" t="n">
        <v>0</v>
      </c>
      <c r="BT432" s="107" t="n">
        <v>0</v>
      </c>
      <c r="BU432" s="107" t="n">
        <v>0</v>
      </c>
      <c r="BV432" s="107" t="n">
        <v>0</v>
      </c>
      <c r="BW432" s="107" t="n">
        <v>76617.56</v>
      </c>
      <c r="BX432" s="107" t="n">
        <v>104077293</v>
      </c>
      <c r="BY432" s="107" t="n">
        <v>0</v>
      </c>
      <c r="BZ432" s="107" t="n">
        <v>0</v>
      </c>
      <c r="CA432" s="107" t="n">
        <v>1493.1</v>
      </c>
      <c r="CB432" s="2"/>
      <c r="CC432" s="107" t="n">
        <v>0</v>
      </c>
      <c r="CD432" s="107" t="n">
        <v>93.97</v>
      </c>
      <c r="CE432" s="107" t="n">
        <v>93.99</v>
      </c>
      <c r="CF432" s="107" t="n">
        <v>94.26</v>
      </c>
      <c r="CG432" s="107" t="n">
        <v>4723000</v>
      </c>
      <c r="CH432" s="107" t="n">
        <v>3.9541</v>
      </c>
      <c r="CI432" s="2"/>
      <c r="CJ432" s="2"/>
      <c r="CK432" s="2"/>
      <c r="CL432" s="2"/>
    </row>
    <row r="433" customFormat="false" ht="15" hidden="false" customHeight="false" outlineLevel="0" collapsed="false">
      <c r="A433" s="107" t="s">
        <v>922</v>
      </c>
      <c r="B433" s="107" t="n">
        <v>97.3359</v>
      </c>
      <c r="C433" s="107" t="n">
        <v>5.249</v>
      </c>
      <c r="D433" s="107" t="n">
        <v>2.295</v>
      </c>
      <c r="E433" s="107" t="n">
        <v>-299.33709327</v>
      </c>
      <c r="F433" s="108" t="s">
        <v>358</v>
      </c>
      <c r="G433" s="107" t="n">
        <v>2.295</v>
      </c>
      <c r="H433" s="107" t="n">
        <v>-299.33709327</v>
      </c>
      <c r="I433" s="109" t="n">
        <v>47229</v>
      </c>
      <c r="J433" s="107" t="n">
        <v>3</v>
      </c>
      <c r="K433" s="107" t="s">
        <v>359</v>
      </c>
      <c r="L433" s="107" t="s">
        <v>298</v>
      </c>
      <c r="M433" s="107" t="n">
        <v>3075300</v>
      </c>
      <c r="N433" s="107" t="n">
        <v>100.07</v>
      </c>
      <c r="O433" s="107" t="n">
        <v>1304301.06</v>
      </c>
      <c r="P433" s="107" t="s">
        <v>923</v>
      </c>
      <c r="Q433" s="107" t="s">
        <v>106</v>
      </c>
      <c r="R433" s="107" t="n">
        <v>-0.106531048690222</v>
      </c>
      <c r="S433" s="107" t="n">
        <v>-0.0273218746877186</v>
      </c>
      <c r="T433" s="107" t="n">
        <v>-307.1889856512</v>
      </c>
      <c r="U433" s="107" t="n">
        <v>21069</v>
      </c>
      <c r="V433" s="108" t="s">
        <v>362</v>
      </c>
      <c r="W433" s="107" t="n">
        <v>42003</v>
      </c>
      <c r="X433" s="108" t="s">
        <v>372</v>
      </c>
      <c r="Y433" s="107" t="s">
        <v>921</v>
      </c>
      <c r="Z433" s="107" t="s">
        <v>924</v>
      </c>
      <c r="AA433" s="109" t="n">
        <v>46127</v>
      </c>
      <c r="AB433" s="107" t="n">
        <v>260415000001</v>
      </c>
      <c r="AC433" s="109" t="n">
        <v>46125</v>
      </c>
      <c r="AD433" s="109" t="n">
        <v>47951</v>
      </c>
      <c r="AE433" s="107" t="n">
        <v>4.875</v>
      </c>
      <c r="AF433" s="107" t="n">
        <v>3.921</v>
      </c>
      <c r="AG433" s="107" t="n">
        <v>1656</v>
      </c>
      <c r="AH433" s="107" t="n">
        <v>600000</v>
      </c>
      <c r="AI433" s="107" t="n">
        <v>4.96</v>
      </c>
      <c r="AJ433" s="107" t="n">
        <v>99.63</v>
      </c>
      <c r="AK433" s="107" t="n">
        <v>4.957217</v>
      </c>
      <c r="AL433" s="107" t="n">
        <v>101.929096</v>
      </c>
      <c r="AM433" s="107" t="n">
        <v>5.6049</v>
      </c>
      <c r="AN433" s="107" t="n">
        <v>97.1086</v>
      </c>
      <c r="AO433" s="107" t="n">
        <v>1358.4</v>
      </c>
      <c r="AP433" s="107" t="n">
        <v>1</v>
      </c>
      <c r="AQ433" s="107" t="n">
        <v>582651.6</v>
      </c>
      <c r="AR433" s="107" t="n">
        <v>791473933</v>
      </c>
      <c r="AS433" s="107" t="n">
        <v>597759.84</v>
      </c>
      <c r="AT433" s="107" t="n">
        <v>890542610</v>
      </c>
      <c r="AU433" s="107" t="n">
        <v>-15108.24</v>
      </c>
      <c r="AV433" s="107" t="n">
        <v>-20523034</v>
      </c>
      <c r="AW433" s="107" t="n">
        <v>162.5</v>
      </c>
      <c r="AX433" s="107" t="n">
        <v>242092</v>
      </c>
      <c r="AY433" s="107" t="n">
        <v>20.16</v>
      </c>
      <c r="AZ433" s="107" t="n">
        <v>30034</v>
      </c>
      <c r="BA433" s="107" t="n">
        <v>0</v>
      </c>
      <c r="BB433" s="107" t="n">
        <v>0</v>
      </c>
      <c r="BC433" s="107" t="n">
        <v>0</v>
      </c>
      <c r="BD433" s="107" t="n">
        <v>0</v>
      </c>
      <c r="BE433" s="107" t="n">
        <v>13406.25</v>
      </c>
      <c r="BF433" s="107" t="n">
        <v>18211050</v>
      </c>
      <c r="BG433" s="107" t="n">
        <v>225.83</v>
      </c>
      <c r="BH433" s="107" t="n">
        <v>306767</v>
      </c>
      <c r="BI433" s="107" t="n">
        <v>597759.84</v>
      </c>
      <c r="BJ433" s="107" t="n">
        <v>890542610</v>
      </c>
      <c r="BK433" s="107" t="n">
        <v>0</v>
      </c>
      <c r="BL433" s="107" t="n">
        <v>0</v>
      </c>
      <c r="BM433" s="107" t="n">
        <v>0</v>
      </c>
      <c r="BN433" s="107" t="n">
        <v>0</v>
      </c>
      <c r="BO433" s="107" t="s">
        <v>367</v>
      </c>
      <c r="BP433" s="2"/>
      <c r="BQ433" s="107" t="s">
        <v>369</v>
      </c>
      <c r="BR433" s="107" t="n">
        <v>-78545643</v>
      </c>
      <c r="BS433" s="107" t="n">
        <v>-24001</v>
      </c>
      <c r="BT433" s="107" t="n">
        <v>0</v>
      </c>
      <c r="BU433" s="107" t="n">
        <v>0</v>
      </c>
      <c r="BV433" s="107" t="n">
        <v>0</v>
      </c>
      <c r="BW433" s="107" t="n">
        <v>13568.75</v>
      </c>
      <c r="BX433" s="107" t="n">
        <v>18431790</v>
      </c>
      <c r="BY433" s="107" t="n">
        <v>245.99</v>
      </c>
      <c r="BZ433" s="107" t="n">
        <v>334152</v>
      </c>
      <c r="CA433" s="107" t="n">
        <v>1489.8</v>
      </c>
      <c r="CB433" s="2"/>
      <c r="CC433" s="107" t="n">
        <v>0</v>
      </c>
      <c r="CD433" s="107" t="n">
        <v>97.1</v>
      </c>
      <c r="CE433" s="107" t="n">
        <v>97.12</v>
      </c>
      <c r="CF433" s="107" t="n">
        <v>97.11</v>
      </c>
      <c r="CG433" s="107" t="n">
        <v>600000</v>
      </c>
      <c r="CH433" s="107" t="n">
        <v>3.8141</v>
      </c>
      <c r="CI433" s="2"/>
      <c r="CJ433" s="2"/>
      <c r="CK433" s="2"/>
      <c r="CL433" s="2"/>
    </row>
    <row r="434" customFormat="false" ht="15" hidden="false" customHeight="false" outlineLevel="0" collapsed="false">
      <c r="A434" s="107" t="s">
        <v>519</v>
      </c>
      <c r="B434" s="107" t="n">
        <v>96.2482</v>
      </c>
      <c r="C434" s="107" t="n">
        <v>5.915</v>
      </c>
      <c r="D434" s="107" t="n">
        <v>4.0061</v>
      </c>
      <c r="E434" s="107" t="n">
        <v>-771.15982804</v>
      </c>
      <c r="F434" s="108" t="s">
        <v>358</v>
      </c>
      <c r="G434" s="107" t="n">
        <v>4.0061</v>
      </c>
      <c r="H434" s="107" t="n">
        <v>-771.15982804</v>
      </c>
      <c r="I434" s="109" t="n">
        <v>48028</v>
      </c>
      <c r="J434" s="107" t="n">
        <v>5</v>
      </c>
      <c r="K434" s="107" t="s">
        <v>359</v>
      </c>
      <c r="L434" s="107" t="s">
        <v>298</v>
      </c>
      <c r="M434" s="107" t="n">
        <v>8012200</v>
      </c>
      <c r="N434" s="107" t="n">
        <v>99.825</v>
      </c>
      <c r="O434" s="107" t="n">
        <v>1924964</v>
      </c>
      <c r="P434" s="107" t="s">
        <v>520</v>
      </c>
      <c r="Q434" s="107" t="s">
        <v>374</v>
      </c>
      <c r="R434" s="107" t="n">
        <v>-0.153142713717689</v>
      </c>
      <c r="S434" s="107" t="n">
        <v>-0.0358307037315302</v>
      </c>
      <c r="T434" s="107" t="n">
        <v>-793.97065144</v>
      </c>
      <c r="U434" s="107" t="n">
        <v>21069</v>
      </c>
      <c r="V434" s="108" t="s">
        <v>362</v>
      </c>
      <c r="W434" s="107" t="n">
        <v>42003</v>
      </c>
      <c r="X434" s="108" t="s">
        <v>372</v>
      </c>
      <c r="Y434" s="107" t="s">
        <v>922</v>
      </c>
      <c r="Z434" s="107" t="s">
        <v>925</v>
      </c>
      <c r="AA434" s="109" t="n">
        <v>46135</v>
      </c>
      <c r="AB434" s="107" t="n">
        <v>260423000001</v>
      </c>
      <c r="AC434" s="109" t="n">
        <v>46133</v>
      </c>
      <c r="AD434" s="109" t="n">
        <v>47229</v>
      </c>
      <c r="AE434" s="107" t="n">
        <v>4.125</v>
      </c>
      <c r="AF434" s="107" t="n">
        <v>2.3529</v>
      </c>
      <c r="AG434" s="107" t="n">
        <v>934</v>
      </c>
      <c r="AH434" s="107" t="n">
        <v>400000</v>
      </c>
      <c r="AI434" s="107" t="n">
        <v>4.18</v>
      </c>
      <c r="AJ434" s="107" t="n">
        <v>99.85</v>
      </c>
      <c r="AK434" s="107" t="n">
        <v>4.175705</v>
      </c>
      <c r="AL434" s="107" t="n">
        <v>101.69784</v>
      </c>
      <c r="AM434" s="107" t="n">
        <v>5.1943</v>
      </c>
      <c r="AN434" s="107" t="n">
        <v>97.4661</v>
      </c>
      <c r="AO434" s="107" t="n">
        <v>1358.4</v>
      </c>
      <c r="AP434" s="107" t="n">
        <v>1</v>
      </c>
      <c r="AQ434" s="107" t="n">
        <v>389864.4</v>
      </c>
      <c r="AR434" s="107" t="n">
        <v>529591801</v>
      </c>
      <c r="AS434" s="107" t="n">
        <v>399394.16</v>
      </c>
      <c r="AT434" s="107" t="n">
        <v>587428931</v>
      </c>
      <c r="AU434" s="107" t="n">
        <v>-9529.76</v>
      </c>
      <c r="AV434" s="107" t="n">
        <v>-12945226</v>
      </c>
      <c r="AW434" s="107" t="n">
        <v>91.67</v>
      </c>
      <c r="AX434" s="107" t="n">
        <v>134828</v>
      </c>
      <c r="AY434" s="107" t="n">
        <v>5.84</v>
      </c>
      <c r="AZ434" s="107" t="n">
        <v>8589</v>
      </c>
      <c r="BA434" s="107" t="n">
        <v>0</v>
      </c>
      <c r="BB434" s="107" t="n">
        <v>0</v>
      </c>
      <c r="BC434" s="107" t="n">
        <v>0</v>
      </c>
      <c r="BD434" s="107" t="n">
        <v>0</v>
      </c>
      <c r="BE434" s="107" t="n">
        <v>7195.83</v>
      </c>
      <c r="BF434" s="107" t="n">
        <v>9774815</v>
      </c>
      <c r="BG434" s="107" t="n">
        <v>103.86</v>
      </c>
      <c r="BH434" s="107" t="n">
        <v>141083</v>
      </c>
      <c r="BI434" s="107" t="n">
        <v>399394.16</v>
      </c>
      <c r="BJ434" s="107" t="n">
        <v>587428931</v>
      </c>
      <c r="BK434" s="107" t="n">
        <v>0</v>
      </c>
      <c r="BL434" s="107" t="n">
        <v>0</v>
      </c>
      <c r="BM434" s="107" t="n">
        <v>0</v>
      </c>
      <c r="BN434" s="107" t="n">
        <v>0</v>
      </c>
      <c r="BO434" s="107" t="s">
        <v>361</v>
      </c>
      <c r="BP434" s="2"/>
      <c r="BQ434" s="107" t="s">
        <v>369</v>
      </c>
      <c r="BR434" s="107" t="n">
        <v>-44891904</v>
      </c>
      <c r="BS434" s="107" t="n">
        <v>-10959</v>
      </c>
      <c r="BT434" s="107" t="n">
        <v>0</v>
      </c>
      <c r="BU434" s="107" t="n">
        <v>0</v>
      </c>
      <c r="BV434" s="107" t="n">
        <v>0</v>
      </c>
      <c r="BW434" s="107" t="n">
        <v>7287.5</v>
      </c>
      <c r="BX434" s="107" t="n">
        <v>9899340</v>
      </c>
      <c r="BY434" s="107" t="n">
        <v>109.7</v>
      </c>
      <c r="BZ434" s="107" t="n">
        <v>149016</v>
      </c>
      <c r="CA434" s="107" t="n">
        <v>1470.8</v>
      </c>
      <c r="CB434" s="2"/>
      <c r="CC434" s="107" t="n">
        <v>0</v>
      </c>
      <c r="CD434" s="107" t="n">
        <v>97.46</v>
      </c>
      <c r="CE434" s="107" t="n">
        <v>97.47</v>
      </c>
      <c r="CF434" s="107" t="n">
        <v>97.46</v>
      </c>
      <c r="CG434" s="107" t="n">
        <v>400000</v>
      </c>
      <c r="CH434" s="107" t="n">
        <v>2.2933</v>
      </c>
      <c r="CI434" s="2"/>
      <c r="CJ434" s="2"/>
      <c r="CK434" s="2"/>
      <c r="CL434" s="2"/>
    </row>
    <row r="435" customFormat="false" ht="15" hidden="false" customHeight="false" outlineLevel="0" collapsed="false">
      <c r="A435" s="107" t="s">
        <v>521</v>
      </c>
      <c r="B435" s="107" t="n">
        <v>98.0015</v>
      </c>
      <c r="C435" s="107" t="n">
        <v>5.6662</v>
      </c>
      <c r="D435" s="107" t="n">
        <v>2.4481</v>
      </c>
      <c r="E435" s="107" t="n">
        <v>-719.75241645</v>
      </c>
      <c r="F435" s="108" t="s">
        <v>358</v>
      </c>
      <c r="G435" s="107" t="n">
        <v>2.4481</v>
      </c>
      <c r="H435" s="107" t="n">
        <v>-719.75241645</v>
      </c>
      <c r="I435" s="109" t="n">
        <v>47298</v>
      </c>
      <c r="J435" s="107" t="n">
        <v>3</v>
      </c>
      <c r="K435" s="107" t="s">
        <v>359</v>
      </c>
      <c r="L435" s="107" t="s">
        <v>298</v>
      </c>
      <c r="M435" s="107" t="n">
        <v>7344300</v>
      </c>
      <c r="N435" s="107" t="n">
        <v>99.829</v>
      </c>
      <c r="O435" s="107" t="n">
        <v>2940045</v>
      </c>
      <c r="P435" s="107" t="s">
        <v>520</v>
      </c>
      <c r="Q435" s="107" t="s">
        <v>374</v>
      </c>
      <c r="R435" s="107" t="n">
        <v>-0.137748846730911</v>
      </c>
      <c r="S435" s="107" t="n">
        <v>-0.0183063037794629</v>
      </c>
      <c r="T435" s="107" t="n">
        <v>-740.15632875</v>
      </c>
      <c r="U435" s="107" t="n">
        <v>21069</v>
      </c>
      <c r="V435" s="108" t="s">
        <v>362</v>
      </c>
      <c r="W435" s="107" t="n">
        <v>42003</v>
      </c>
      <c r="X435" s="108" t="s">
        <v>372</v>
      </c>
      <c r="Y435" s="107" t="s">
        <v>922</v>
      </c>
      <c r="Z435" s="107" t="s">
        <v>925</v>
      </c>
      <c r="AA435" s="109" t="n">
        <v>46139</v>
      </c>
      <c r="AB435" s="107" t="n">
        <v>260427000001</v>
      </c>
      <c r="AC435" s="109" t="n">
        <v>46133</v>
      </c>
      <c r="AD435" s="109" t="n">
        <v>47229</v>
      </c>
      <c r="AE435" s="107" t="n">
        <v>4.125</v>
      </c>
      <c r="AF435" s="107" t="n">
        <v>2.3529</v>
      </c>
      <c r="AG435" s="107" t="n">
        <v>934</v>
      </c>
      <c r="AH435" s="107" t="n">
        <v>1340000</v>
      </c>
      <c r="AI435" s="107" t="n">
        <v>4.09834</v>
      </c>
      <c r="AJ435" s="107" t="n">
        <v>100.07</v>
      </c>
      <c r="AK435" s="107" t="n">
        <v>4.084488</v>
      </c>
      <c r="AL435" s="107" t="n">
        <v>101.917191</v>
      </c>
      <c r="AM435" s="107" t="n">
        <v>5.1943</v>
      </c>
      <c r="AN435" s="107" t="n">
        <v>97.4661</v>
      </c>
      <c r="AO435" s="107" t="n">
        <v>1358.4</v>
      </c>
      <c r="AP435" s="107" t="n">
        <v>1</v>
      </c>
      <c r="AQ435" s="107" t="n">
        <v>1306045.74</v>
      </c>
      <c r="AR435" s="107" t="n">
        <v>1774132533</v>
      </c>
      <c r="AS435" s="107" t="n">
        <v>1340909.74</v>
      </c>
      <c r="AT435" s="107" t="n">
        <v>1985350962</v>
      </c>
      <c r="AU435" s="107" t="n">
        <v>-34864</v>
      </c>
      <c r="AV435" s="107" t="n">
        <v>-47359258</v>
      </c>
      <c r="AW435" s="107" t="n">
        <v>921.25</v>
      </c>
      <c r="AX435" s="107" t="n">
        <v>1364002</v>
      </c>
      <c r="AY435" s="107" t="n">
        <v>28.26</v>
      </c>
      <c r="AZ435" s="107" t="n">
        <v>41841</v>
      </c>
      <c r="BA435" s="107" t="n">
        <v>0</v>
      </c>
      <c r="BB435" s="107" t="n">
        <v>0</v>
      </c>
      <c r="BC435" s="107" t="n">
        <v>0</v>
      </c>
      <c r="BD435" s="107" t="n">
        <v>0</v>
      </c>
      <c r="BE435" s="107" t="n">
        <v>23491.88</v>
      </c>
      <c r="BF435" s="107" t="n">
        <v>31911369</v>
      </c>
      <c r="BG435" s="107" t="n">
        <v>339.24</v>
      </c>
      <c r="BH435" s="107" t="n">
        <v>460824</v>
      </c>
      <c r="BI435" s="107" t="n">
        <v>1340909.74</v>
      </c>
      <c r="BJ435" s="107" t="n">
        <v>1985350962</v>
      </c>
      <c r="BK435" s="107" t="n">
        <v>0</v>
      </c>
      <c r="BL435" s="107" t="n">
        <v>0</v>
      </c>
      <c r="BM435" s="107" t="n">
        <v>0</v>
      </c>
      <c r="BN435" s="107" t="n">
        <v>0</v>
      </c>
      <c r="BO435" s="107" t="s">
        <v>361</v>
      </c>
      <c r="BP435" s="2"/>
      <c r="BQ435" s="107" t="s">
        <v>369</v>
      </c>
      <c r="BR435" s="107" t="n">
        <v>-163859171</v>
      </c>
      <c r="BS435" s="107" t="n">
        <v>-116029</v>
      </c>
      <c r="BT435" s="107" t="n">
        <v>0</v>
      </c>
      <c r="BU435" s="107" t="n">
        <v>0</v>
      </c>
      <c r="BV435" s="107" t="n">
        <v>0</v>
      </c>
      <c r="BW435" s="107" t="n">
        <v>24413.13</v>
      </c>
      <c r="BX435" s="107" t="n">
        <v>33162795</v>
      </c>
      <c r="BY435" s="107" t="n">
        <v>367.5</v>
      </c>
      <c r="BZ435" s="107" t="n">
        <v>499212</v>
      </c>
      <c r="CA435" s="107" t="n">
        <v>1480.6</v>
      </c>
      <c r="CB435" s="2"/>
      <c r="CC435" s="107" t="n">
        <v>0</v>
      </c>
      <c r="CD435" s="107" t="n">
        <v>97.46</v>
      </c>
      <c r="CE435" s="107" t="n">
        <v>97.47</v>
      </c>
      <c r="CF435" s="107" t="n">
        <v>97.46</v>
      </c>
      <c r="CG435" s="107" t="n">
        <v>1340000</v>
      </c>
      <c r="CH435" s="107" t="n">
        <v>2.2933</v>
      </c>
      <c r="CI435" s="2"/>
      <c r="CJ435" s="2"/>
      <c r="CK435" s="2"/>
      <c r="CL435" s="2"/>
    </row>
    <row r="436" customFormat="false" ht="15" hidden="false" customHeight="false" outlineLevel="0" collapsed="false">
      <c r="A436" s="107" t="s">
        <v>926</v>
      </c>
      <c r="B436" s="107" t="n">
        <v>97.838</v>
      </c>
      <c r="C436" s="107" t="n">
        <v>5.5964</v>
      </c>
      <c r="D436" s="107" t="n">
        <v>2.9231</v>
      </c>
      <c r="E436" s="107" t="n">
        <v>-57.19805156</v>
      </c>
      <c r="F436" s="108" t="s">
        <v>358</v>
      </c>
      <c r="G436" s="107" t="n">
        <v>2.9231</v>
      </c>
      <c r="H436" s="107" t="n">
        <v>-57.19805156</v>
      </c>
      <c r="I436" s="2"/>
      <c r="J436" s="2"/>
      <c r="K436" s="2"/>
      <c r="L436" s="2"/>
      <c r="M436" s="107" t="n">
        <v>584620</v>
      </c>
      <c r="N436" s="107" t="n">
        <v>99.857</v>
      </c>
      <c r="O436" s="107" t="n">
        <v>195676</v>
      </c>
      <c r="P436" s="2"/>
      <c r="Q436" s="2"/>
      <c r="R436" s="107" t="n">
        <v>-0.0969657392212395</v>
      </c>
      <c r="S436" s="107" t="n">
        <v>-0.0202189130456554</v>
      </c>
      <c r="T436" s="107" t="n">
        <v>-58.79868124</v>
      </c>
      <c r="U436" s="107" t="n">
        <v>21069</v>
      </c>
      <c r="V436" s="108" t="s">
        <v>362</v>
      </c>
      <c r="W436" s="107" t="n">
        <v>42003</v>
      </c>
      <c r="X436" s="108" t="s">
        <v>372</v>
      </c>
      <c r="Y436" s="107" t="s">
        <v>519</v>
      </c>
      <c r="Z436" s="107" t="s">
        <v>522</v>
      </c>
      <c r="AA436" s="109" t="n">
        <v>46205</v>
      </c>
      <c r="AB436" s="107" t="n">
        <v>260702000001</v>
      </c>
      <c r="AC436" s="109" t="n">
        <v>46202</v>
      </c>
      <c r="AD436" s="109" t="n">
        <v>48028</v>
      </c>
      <c r="AE436" s="107" t="n">
        <v>5</v>
      </c>
      <c r="AF436" s="107" t="n">
        <v>4.1227</v>
      </c>
      <c r="AG436" s="107" t="n">
        <v>1733</v>
      </c>
      <c r="AH436" s="107" t="n">
        <v>2000000</v>
      </c>
      <c r="AI436" s="107" t="n">
        <v>5.04</v>
      </c>
      <c r="AJ436" s="107" t="n">
        <v>99.825</v>
      </c>
      <c r="AK436" s="107" t="n">
        <v>5.038086</v>
      </c>
      <c r="AL436" s="107" t="n">
        <v>101.097071</v>
      </c>
      <c r="AM436" s="107" t="n">
        <v>5.8819</v>
      </c>
      <c r="AN436" s="107" t="n">
        <v>96.3824</v>
      </c>
      <c r="AO436" s="107" t="n">
        <v>1358.4</v>
      </c>
      <c r="AP436" s="107" t="n">
        <v>1</v>
      </c>
      <c r="AQ436" s="107" t="n">
        <v>1927648</v>
      </c>
      <c r="AR436" s="107" t="n">
        <v>2618517043</v>
      </c>
      <c r="AS436" s="107" t="n">
        <v>1996494.55</v>
      </c>
      <c r="AT436" s="107" t="n">
        <v>3091372162</v>
      </c>
      <c r="AU436" s="107" t="n">
        <v>-68846.55</v>
      </c>
      <c r="AV436" s="107" t="n">
        <v>-93521154</v>
      </c>
      <c r="AW436" s="107" t="n">
        <v>833.33</v>
      </c>
      <c r="AX436" s="107" t="n">
        <v>1290328</v>
      </c>
      <c r="AY436" s="107" t="n">
        <v>5.45</v>
      </c>
      <c r="AZ436" s="107" t="n">
        <v>8438</v>
      </c>
      <c r="BA436" s="107" t="n">
        <v>0</v>
      </c>
      <c r="BB436" s="107" t="n">
        <v>0</v>
      </c>
      <c r="BC436" s="107" t="n">
        <v>0</v>
      </c>
      <c r="BD436" s="107" t="n">
        <v>0</v>
      </c>
      <c r="BE436" s="107" t="n">
        <v>24444.45</v>
      </c>
      <c r="BF436" s="107" t="n">
        <v>33205341</v>
      </c>
      <c r="BG436" s="107" t="n">
        <v>163.64</v>
      </c>
      <c r="BH436" s="107" t="n">
        <v>222288</v>
      </c>
      <c r="BI436" s="107" t="n">
        <v>1996494.55</v>
      </c>
      <c r="BJ436" s="107" t="n">
        <v>3091372162</v>
      </c>
      <c r="BK436" s="107" t="n">
        <v>0</v>
      </c>
      <c r="BL436" s="107" t="n">
        <v>0</v>
      </c>
      <c r="BM436" s="107" t="n">
        <v>0</v>
      </c>
      <c r="BN436" s="107" t="n">
        <v>0</v>
      </c>
      <c r="BO436" s="107" t="s">
        <v>374</v>
      </c>
      <c r="BP436" s="2"/>
      <c r="BQ436" s="107" t="s">
        <v>369</v>
      </c>
      <c r="BR436" s="107" t="n">
        <v>-379333965</v>
      </c>
      <c r="BS436" s="107" t="n">
        <v>-159368</v>
      </c>
      <c r="BT436" s="107" t="n">
        <v>0</v>
      </c>
      <c r="BU436" s="107" t="n">
        <v>0</v>
      </c>
      <c r="BV436" s="107" t="n">
        <v>0</v>
      </c>
      <c r="BW436" s="107" t="n">
        <v>25277.78</v>
      </c>
      <c r="BX436" s="107" t="n">
        <v>34337336</v>
      </c>
      <c r="BY436" s="107" t="n">
        <v>169.09</v>
      </c>
      <c r="BZ436" s="107" t="n">
        <v>229691</v>
      </c>
      <c r="CA436" s="107" t="n">
        <v>1548.4</v>
      </c>
      <c r="CB436" s="2"/>
      <c r="CC436" s="107" t="n">
        <v>0</v>
      </c>
      <c r="CD436" s="107" t="n">
        <v>96.29</v>
      </c>
      <c r="CE436" s="107" t="n">
        <v>96.29</v>
      </c>
      <c r="CF436" s="107" t="n">
        <v>96.57</v>
      </c>
      <c r="CG436" s="107" t="n">
        <v>2000000</v>
      </c>
      <c r="CH436" s="107" t="n">
        <v>4.0049</v>
      </c>
      <c r="CI436" s="2"/>
      <c r="CJ436" s="2"/>
      <c r="CK436" s="2"/>
      <c r="CL436" s="2"/>
    </row>
    <row r="437" customFormat="false" ht="15" hidden="false" customHeight="false" outlineLevel="0" collapsed="false">
      <c r="A437" s="107" t="s">
        <v>927</v>
      </c>
      <c r="B437" s="107" t="n">
        <v>98.3649</v>
      </c>
      <c r="C437" s="107" t="n">
        <v>5.3775</v>
      </c>
      <c r="D437" s="107" t="n">
        <v>2.5383</v>
      </c>
      <c r="E437" s="107" t="n">
        <v>-624.199064175</v>
      </c>
      <c r="F437" s="108" t="s">
        <v>358</v>
      </c>
      <c r="G437" s="107" t="n">
        <v>2.5383</v>
      </c>
      <c r="H437" s="107" t="n">
        <v>-624.199064175</v>
      </c>
      <c r="I437" s="2"/>
      <c r="J437" s="2"/>
      <c r="K437" s="2"/>
      <c r="L437" s="2"/>
      <c r="M437" s="107" t="n">
        <v>6345750</v>
      </c>
      <c r="N437" s="107" t="n">
        <v>99.86</v>
      </c>
      <c r="O437" s="107" t="n">
        <v>2459122.5</v>
      </c>
      <c r="P437" s="2"/>
      <c r="Q437" s="2"/>
      <c r="R437" s="107" t="n">
        <v>-0.08630807835217</v>
      </c>
      <c r="S437" s="107" t="n">
        <v>-0.014971960745043</v>
      </c>
      <c r="T437" s="107" t="n">
        <v>-640.970279625</v>
      </c>
      <c r="U437" s="107" t="n">
        <v>21069</v>
      </c>
      <c r="V437" s="108" t="s">
        <v>362</v>
      </c>
      <c r="W437" s="107" t="n">
        <v>42003</v>
      </c>
      <c r="X437" s="108" t="s">
        <v>372</v>
      </c>
      <c r="Y437" s="107" t="s">
        <v>521</v>
      </c>
      <c r="Z437" s="107" t="s">
        <v>527</v>
      </c>
      <c r="AA437" s="109" t="n">
        <v>46205</v>
      </c>
      <c r="AB437" s="107" t="n">
        <v>260702000001</v>
      </c>
      <c r="AC437" s="109" t="n">
        <v>46202</v>
      </c>
      <c r="AD437" s="109" t="n">
        <v>47298</v>
      </c>
      <c r="AE437" s="107" t="n">
        <v>4.875</v>
      </c>
      <c r="AF437" s="107" t="n">
        <v>2.5152</v>
      </c>
      <c r="AG437" s="107" t="n">
        <v>1003</v>
      </c>
      <c r="AH437" s="107" t="n">
        <v>3000000</v>
      </c>
      <c r="AI437" s="107" t="n">
        <v>4.937</v>
      </c>
      <c r="AJ437" s="107" t="n">
        <v>99.829</v>
      </c>
      <c r="AK437" s="107" t="n">
        <v>4.93387</v>
      </c>
      <c r="AL437" s="107" t="n">
        <v>101.075333</v>
      </c>
      <c r="AM437" s="107" t="n">
        <v>5.6143</v>
      </c>
      <c r="AN437" s="107" t="n">
        <v>98.1322</v>
      </c>
      <c r="AO437" s="107" t="n">
        <v>1358.4</v>
      </c>
      <c r="AP437" s="107" t="n">
        <v>1</v>
      </c>
      <c r="AQ437" s="107" t="n">
        <v>2943966</v>
      </c>
      <c r="AR437" s="107" t="n">
        <v>3999083414</v>
      </c>
      <c r="AS437" s="107" t="n">
        <v>2994855.96</v>
      </c>
      <c r="AT437" s="107" t="n">
        <v>4637234969</v>
      </c>
      <c r="AU437" s="107" t="n">
        <v>-50889.96</v>
      </c>
      <c r="AV437" s="107" t="n">
        <v>-69128922</v>
      </c>
      <c r="AW437" s="107" t="n">
        <v>1218.75</v>
      </c>
      <c r="AX437" s="107" t="n">
        <v>1887112</v>
      </c>
      <c r="AY437" s="107" t="n">
        <v>14.04</v>
      </c>
      <c r="AZ437" s="107" t="n">
        <v>21739</v>
      </c>
      <c r="BA437" s="107" t="n">
        <v>0</v>
      </c>
      <c r="BB437" s="107" t="n">
        <v>0</v>
      </c>
      <c r="BC437" s="107" t="n">
        <v>0</v>
      </c>
      <c r="BD437" s="107" t="n">
        <v>0</v>
      </c>
      <c r="BE437" s="107" t="n">
        <v>35750</v>
      </c>
      <c r="BF437" s="107" t="n">
        <v>48562800</v>
      </c>
      <c r="BG437" s="107" t="n">
        <v>421.26</v>
      </c>
      <c r="BH437" s="107" t="n">
        <v>572239</v>
      </c>
      <c r="BI437" s="107" t="n">
        <v>2994855.96</v>
      </c>
      <c r="BJ437" s="107" t="n">
        <v>4637234969</v>
      </c>
      <c r="BK437" s="107" t="n">
        <v>0</v>
      </c>
      <c r="BL437" s="107" t="n">
        <v>0</v>
      </c>
      <c r="BM437" s="107" t="n">
        <v>0</v>
      </c>
      <c r="BN437" s="107" t="n">
        <v>0</v>
      </c>
      <c r="BO437" s="107" t="s">
        <v>374</v>
      </c>
      <c r="BP437" s="2"/>
      <c r="BQ437" s="107" t="s">
        <v>369</v>
      </c>
      <c r="BR437" s="107" t="n">
        <v>-569022633</v>
      </c>
      <c r="BS437" s="107" t="n">
        <v>-234229</v>
      </c>
      <c r="BT437" s="107" t="n">
        <v>0</v>
      </c>
      <c r="BU437" s="107" t="n">
        <v>0</v>
      </c>
      <c r="BV437" s="107" t="n">
        <v>0</v>
      </c>
      <c r="BW437" s="107" t="n">
        <v>36968.75</v>
      </c>
      <c r="BX437" s="107" t="n">
        <v>50218350</v>
      </c>
      <c r="BY437" s="107" t="n">
        <v>435.3</v>
      </c>
      <c r="BZ437" s="107" t="n">
        <v>591311</v>
      </c>
      <c r="CA437" s="107" t="n">
        <v>1548.4</v>
      </c>
      <c r="CB437" s="2"/>
      <c r="CC437" s="107" t="n">
        <v>0</v>
      </c>
      <c r="CD437" s="107" t="n">
        <v>98.18</v>
      </c>
      <c r="CE437" s="107" t="n">
        <v>98.04</v>
      </c>
      <c r="CF437" s="107" t="n">
        <v>98.18</v>
      </c>
      <c r="CG437" s="107" t="n">
        <v>3000000</v>
      </c>
      <c r="CH437" s="107" t="n">
        <v>2.4465</v>
      </c>
      <c r="CI437" s="2"/>
      <c r="CJ437" s="2"/>
      <c r="CK437" s="2"/>
      <c r="CL437" s="2"/>
    </row>
    <row r="438" customFormat="false" ht="15" hidden="false" customHeight="false" outlineLevel="0" collapsed="false">
      <c r="A438" s="107" t="s">
        <v>928</v>
      </c>
      <c r="B438" s="107" t="n">
        <v>98.0631</v>
      </c>
      <c r="C438" s="107" t="n">
        <v>5.4856</v>
      </c>
      <c r="D438" s="107" t="n">
        <v>2.5727</v>
      </c>
      <c r="E438" s="107" t="n">
        <v>-50.457387474</v>
      </c>
      <c r="F438" s="108" t="s">
        <v>358</v>
      </c>
      <c r="G438" s="107" t="n">
        <v>2.5727</v>
      </c>
      <c r="H438" s="107" t="n">
        <v>-50.457387474</v>
      </c>
      <c r="I438" s="2"/>
      <c r="J438" s="2"/>
      <c r="K438" s="2"/>
      <c r="L438" s="2"/>
      <c r="M438" s="107" t="n">
        <v>514540</v>
      </c>
      <c r="N438" s="107" t="n">
        <v>99.683</v>
      </c>
      <c r="O438" s="107" t="n">
        <v>196126.2</v>
      </c>
      <c r="P438" s="2"/>
      <c r="Q438" s="2"/>
      <c r="R438" s="107" t="n">
        <v>-0.0544582021220291</v>
      </c>
      <c r="S438" s="107" t="n">
        <v>-0.0162505141297915</v>
      </c>
      <c r="T438" s="107" t="n">
        <v>-51.842038446</v>
      </c>
      <c r="U438" s="107" t="n">
        <v>21069</v>
      </c>
      <c r="V438" s="108" t="s">
        <v>362</v>
      </c>
      <c r="W438" s="107" t="n">
        <v>42003</v>
      </c>
      <c r="X438" s="108" t="s">
        <v>372</v>
      </c>
      <c r="Y438" s="107" t="s">
        <v>926</v>
      </c>
      <c r="Z438" s="107" t="s">
        <v>929</v>
      </c>
      <c r="AA438" s="109" t="n">
        <v>46226</v>
      </c>
      <c r="AB438" s="107" t="n">
        <v>260723000001</v>
      </c>
      <c r="AC438" s="109" t="n">
        <v>46224</v>
      </c>
      <c r="AD438" s="109" t="n">
        <v>47504</v>
      </c>
      <c r="AE438" s="107" t="n">
        <v>4.875</v>
      </c>
      <c r="AF438" s="107" t="n">
        <v>3.0025</v>
      </c>
      <c r="AG438" s="107" t="n">
        <v>1209</v>
      </c>
      <c r="AH438" s="107" t="n">
        <v>200000</v>
      </c>
      <c r="AI438" s="107" t="n">
        <v>4.92</v>
      </c>
      <c r="AJ438" s="107" t="n">
        <v>99.857</v>
      </c>
      <c r="AK438" s="107" t="n">
        <v>4.917457</v>
      </c>
      <c r="AL438" s="107" t="n">
        <v>100.799195</v>
      </c>
      <c r="AM438" s="107" t="n">
        <v>5.5621</v>
      </c>
      <c r="AN438" s="107" t="n">
        <v>97.9408</v>
      </c>
      <c r="AO438" s="107" t="n">
        <v>1358.4</v>
      </c>
      <c r="AP438" s="107" t="n">
        <v>1</v>
      </c>
      <c r="AQ438" s="107" t="n">
        <v>195881.6</v>
      </c>
      <c r="AR438" s="107" t="n">
        <v>266085565</v>
      </c>
      <c r="AS438" s="107" t="n">
        <v>199711.74</v>
      </c>
      <c r="AT438" s="107" t="n">
        <v>294694644</v>
      </c>
      <c r="AU438" s="107" t="n">
        <v>-3830.14</v>
      </c>
      <c r="AV438" s="107" t="n">
        <v>-5202863</v>
      </c>
      <c r="AW438" s="107" t="n">
        <v>54.17</v>
      </c>
      <c r="AX438" s="107" t="n">
        <v>79933</v>
      </c>
      <c r="AY438" s="107" t="n">
        <v>2.26</v>
      </c>
      <c r="AZ438" s="107" t="n">
        <v>3334</v>
      </c>
      <c r="BA438" s="107" t="n">
        <v>0</v>
      </c>
      <c r="BB438" s="107" t="n">
        <v>0</v>
      </c>
      <c r="BC438" s="107" t="n">
        <v>0</v>
      </c>
      <c r="BD438" s="107" t="n">
        <v>0</v>
      </c>
      <c r="BE438" s="107" t="n">
        <v>1814.58</v>
      </c>
      <c r="BF438" s="107" t="n">
        <v>2464925</v>
      </c>
      <c r="BG438" s="107" t="n">
        <v>15.64</v>
      </c>
      <c r="BH438" s="107" t="n">
        <v>21245</v>
      </c>
      <c r="BI438" s="107" t="n">
        <v>199711.74</v>
      </c>
      <c r="BJ438" s="107" t="n">
        <v>294694644</v>
      </c>
      <c r="BK438" s="107" t="n">
        <v>0</v>
      </c>
      <c r="BL438" s="107" t="n">
        <v>0</v>
      </c>
      <c r="BM438" s="107" t="n">
        <v>0</v>
      </c>
      <c r="BN438" s="107" t="n">
        <v>0</v>
      </c>
      <c r="BO438" s="107" t="s">
        <v>374</v>
      </c>
      <c r="BP438" s="2"/>
      <c r="BQ438" s="107" t="s">
        <v>369</v>
      </c>
      <c r="BR438" s="107" t="n">
        <v>-23406216</v>
      </c>
      <c r="BS438" s="107" t="n">
        <v>-6612</v>
      </c>
      <c r="BT438" s="107" t="n">
        <v>0</v>
      </c>
      <c r="BU438" s="107" t="n">
        <v>0</v>
      </c>
      <c r="BV438" s="107" t="n">
        <v>0</v>
      </c>
      <c r="BW438" s="107" t="n">
        <v>1868.75</v>
      </c>
      <c r="BX438" s="107" t="n">
        <v>2538510</v>
      </c>
      <c r="BY438" s="107" t="n">
        <v>17.9</v>
      </c>
      <c r="BZ438" s="107" t="n">
        <v>24315</v>
      </c>
      <c r="CA438" s="107" t="n">
        <v>1475.6</v>
      </c>
      <c r="CB438" s="2"/>
      <c r="CC438" s="107" t="n">
        <v>0</v>
      </c>
      <c r="CD438" s="107" t="n">
        <v>97.92</v>
      </c>
      <c r="CE438" s="107" t="n">
        <v>97.92</v>
      </c>
      <c r="CF438" s="107" t="n">
        <v>97.97</v>
      </c>
      <c r="CG438" s="107" t="n">
        <v>200000</v>
      </c>
      <c r="CH438" s="107" t="n">
        <v>2.9213</v>
      </c>
      <c r="CI438" s="2"/>
      <c r="CJ438" s="2"/>
      <c r="CK438" s="2"/>
      <c r="CL438" s="2"/>
    </row>
    <row r="439" customFormat="false" ht="15" hidden="false" customHeight="false" outlineLevel="0" collapsed="false">
      <c r="A439" s="107" t="s">
        <v>928</v>
      </c>
      <c r="B439" s="107" t="n">
        <v>98.0631</v>
      </c>
      <c r="C439" s="107" t="n">
        <v>5.4856</v>
      </c>
      <c r="D439" s="107" t="n">
        <v>2.5727</v>
      </c>
      <c r="E439" s="107" t="n">
        <v>-201.829549896</v>
      </c>
      <c r="F439" s="108" t="s">
        <v>358</v>
      </c>
      <c r="G439" s="107" t="n">
        <v>2.5727</v>
      </c>
      <c r="H439" s="107" t="n">
        <v>-201.829549896</v>
      </c>
      <c r="I439" s="2"/>
      <c r="J439" s="2"/>
      <c r="K439" s="2"/>
      <c r="L439" s="2"/>
      <c r="M439" s="107" t="n">
        <v>2058160</v>
      </c>
      <c r="N439" s="107" t="n">
        <v>99.572</v>
      </c>
      <c r="O439" s="107" t="n">
        <v>784504.8</v>
      </c>
      <c r="P439" s="2"/>
      <c r="Q439" s="2"/>
      <c r="R439" s="107" t="n">
        <v>-0.00116507092329165</v>
      </c>
      <c r="S439" s="107" t="n">
        <v>-0.0151538585144417</v>
      </c>
      <c r="T439" s="107" t="n">
        <v>-207.368153784</v>
      </c>
      <c r="U439" s="107" t="n">
        <v>21069</v>
      </c>
      <c r="V439" s="108" t="s">
        <v>362</v>
      </c>
      <c r="W439" s="107" t="n">
        <v>42003</v>
      </c>
      <c r="X439" s="108" t="s">
        <v>372</v>
      </c>
      <c r="Y439" s="107" t="s">
        <v>927</v>
      </c>
      <c r="Z439" s="107" t="s">
        <v>930</v>
      </c>
      <c r="AA439" s="109" t="n">
        <v>46233</v>
      </c>
      <c r="AB439" s="107" t="n">
        <v>260730000001</v>
      </c>
      <c r="AC439" s="109" t="n">
        <v>46231</v>
      </c>
      <c r="AD439" s="109" t="n">
        <v>47327</v>
      </c>
      <c r="AE439" s="107" t="n">
        <v>4.75</v>
      </c>
      <c r="AF439" s="107" t="n">
        <v>2.6042</v>
      </c>
      <c r="AG439" s="107" t="n">
        <v>1032</v>
      </c>
      <c r="AH439" s="107" t="n">
        <v>2500000</v>
      </c>
      <c r="AI439" s="107" t="n">
        <v>4.8</v>
      </c>
      <c r="AJ439" s="107" t="n">
        <v>99.86</v>
      </c>
      <c r="AK439" s="107" t="n">
        <v>4.797774</v>
      </c>
      <c r="AL439" s="107" t="n">
        <v>100.686768</v>
      </c>
      <c r="AM439" s="107" t="n">
        <v>5.3252</v>
      </c>
      <c r="AN439" s="107" t="n">
        <v>98.5008</v>
      </c>
      <c r="AO439" s="107" t="n">
        <v>1358.4</v>
      </c>
      <c r="AP439" s="107" t="n">
        <v>1</v>
      </c>
      <c r="AQ439" s="107" t="n">
        <v>2462520</v>
      </c>
      <c r="AR439" s="107" t="n">
        <v>3345087168</v>
      </c>
      <c r="AS439" s="107" t="n">
        <v>2496468.39</v>
      </c>
      <c r="AT439" s="107" t="n">
        <v>3660321954</v>
      </c>
      <c r="AU439" s="107" t="n">
        <v>-33948.39</v>
      </c>
      <c r="AV439" s="107" t="n">
        <v>-46115493</v>
      </c>
      <c r="AW439" s="107" t="n">
        <v>659.72</v>
      </c>
      <c r="AX439" s="107" t="n">
        <v>967281</v>
      </c>
      <c r="AY439" s="107" t="n">
        <v>31.61</v>
      </c>
      <c r="AZ439" s="107" t="n">
        <v>46346</v>
      </c>
      <c r="BA439" s="107" t="n">
        <v>0</v>
      </c>
      <c r="BB439" s="107" t="n">
        <v>0</v>
      </c>
      <c r="BC439" s="107" t="n">
        <v>0</v>
      </c>
      <c r="BD439" s="107" t="n">
        <v>0</v>
      </c>
      <c r="BE439" s="107" t="n">
        <v>19791.67</v>
      </c>
      <c r="BF439" s="107" t="n">
        <v>26885004</v>
      </c>
      <c r="BG439" s="107" t="n">
        <v>217.82</v>
      </c>
      <c r="BH439" s="107" t="n">
        <v>295886</v>
      </c>
      <c r="BI439" s="107" t="n">
        <v>2496468.39</v>
      </c>
      <c r="BJ439" s="107" t="n">
        <v>3660321954</v>
      </c>
      <c r="BK439" s="107" t="n">
        <v>0</v>
      </c>
      <c r="BL439" s="107" t="n">
        <v>0</v>
      </c>
      <c r="BM439" s="107" t="n">
        <v>0</v>
      </c>
      <c r="BN439" s="107" t="n">
        <v>0</v>
      </c>
      <c r="BO439" s="107" t="s">
        <v>361</v>
      </c>
      <c r="BP439" s="2"/>
      <c r="BQ439" s="107" t="s">
        <v>369</v>
      </c>
      <c r="BR439" s="107" t="n">
        <v>-269119293</v>
      </c>
      <c r="BS439" s="107" t="n">
        <v>-74524</v>
      </c>
      <c r="BT439" s="107" t="n">
        <v>0</v>
      </c>
      <c r="BU439" s="107" t="n">
        <v>0</v>
      </c>
      <c r="BV439" s="107" t="n">
        <v>0</v>
      </c>
      <c r="BW439" s="107" t="n">
        <v>20451.39</v>
      </c>
      <c r="BX439" s="107" t="n">
        <v>27781168</v>
      </c>
      <c r="BY439" s="107" t="n">
        <v>249.43</v>
      </c>
      <c r="BZ439" s="107" t="n">
        <v>338825</v>
      </c>
      <c r="CA439" s="107" t="n">
        <v>1466.2</v>
      </c>
      <c r="CB439" s="2"/>
      <c r="CC439" s="107" t="n">
        <v>0</v>
      </c>
      <c r="CD439" s="107" t="n">
        <v>98.53</v>
      </c>
      <c r="CE439" s="107" t="n">
        <v>98.41</v>
      </c>
      <c r="CF439" s="107" t="n">
        <v>98.56</v>
      </c>
      <c r="CG439" s="107" t="n">
        <v>2500000</v>
      </c>
      <c r="CH439" s="107" t="n">
        <v>2.5367</v>
      </c>
      <c r="CI439" s="2"/>
      <c r="CJ439" s="2"/>
      <c r="CK439" s="2"/>
      <c r="CL439" s="2"/>
    </row>
    <row r="440" customFormat="false" ht="15" hidden="false" customHeight="false" outlineLevel="0" collapsed="false">
      <c r="A440" s="107" t="s">
        <v>931</v>
      </c>
      <c r="B440" s="107" t="n">
        <v>97.8894</v>
      </c>
      <c r="C440" s="107" t="n">
        <v>5.67</v>
      </c>
      <c r="D440" s="107" t="n">
        <v>2.6055</v>
      </c>
      <c r="E440" s="107" t="n">
        <v>-1326.26432484</v>
      </c>
      <c r="F440" s="108" t="s">
        <v>358</v>
      </c>
      <c r="G440" s="107" t="n">
        <v>2.6055</v>
      </c>
      <c r="H440" s="107" t="n">
        <v>-1326.26432484</v>
      </c>
      <c r="I440" s="2"/>
      <c r="J440" s="2"/>
      <c r="K440" s="2"/>
      <c r="L440" s="2"/>
      <c r="M440" s="107" t="n">
        <v>13548600</v>
      </c>
      <c r="N440" s="107" t="n">
        <v>99.437</v>
      </c>
      <c r="O440" s="107" t="n">
        <v>5090248.8</v>
      </c>
      <c r="P440" s="2"/>
      <c r="Q440" s="2"/>
      <c r="R440" s="107" t="n">
        <v>-0.0330043428224731</v>
      </c>
      <c r="S440" s="107" t="n">
        <v>-0.0155636231986082</v>
      </c>
      <c r="T440" s="107" t="n">
        <v>-1363.881263472</v>
      </c>
      <c r="U440" s="107" t="n">
        <v>21069</v>
      </c>
      <c r="V440" s="108" t="s">
        <v>362</v>
      </c>
      <c r="W440" s="107" t="n">
        <v>42003</v>
      </c>
      <c r="X440" s="108" t="s">
        <v>372</v>
      </c>
      <c r="Y440" s="107" t="s">
        <v>928</v>
      </c>
      <c r="Z440" s="107" t="s">
        <v>932</v>
      </c>
      <c r="AA440" s="109" t="n">
        <v>46248</v>
      </c>
      <c r="AB440" s="107" t="n">
        <v>260814000001</v>
      </c>
      <c r="AC440" s="109" t="n">
        <v>46245</v>
      </c>
      <c r="AD440" s="109" t="n">
        <v>47341</v>
      </c>
      <c r="AE440" s="107" t="n">
        <v>4.75</v>
      </c>
      <c r="AF440" s="107" t="n">
        <v>2.6411</v>
      </c>
      <c r="AG440" s="107" t="n">
        <v>1046</v>
      </c>
      <c r="AH440" s="107" t="n">
        <v>200000</v>
      </c>
      <c r="AI440" s="107" t="n">
        <v>4.865</v>
      </c>
      <c r="AJ440" s="107" t="n">
        <v>99.683</v>
      </c>
      <c r="AK440" s="107" t="n">
        <v>4.862673</v>
      </c>
      <c r="AL440" s="107" t="n">
        <v>100.343025</v>
      </c>
      <c r="AM440" s="107" t="n">
        <v>5.4315</v>
      </c>
      <c r="AN440" s="107" t="n">
        <v>98.2049</v>
      </c>
      <c r="AO440" s="107" t="n">
        <v>1358.4</v>
      </c>
      <c r="AP440" s="107" t="n">
        <v>1</v>
      </c>
      <c r="AQ440" s="107" t="n">
        <v>196409.8</v>
      </c>
      <c r="AR440" s="107" t="n">
        <v>266803072</v>
      </c>
      <c r="AS440" s="107" t="n">
        <v>199359.69</v>
      </c>
      <c r="AT440" s="107" t="n">
        <v>282093962</v>
      </c>
      <c r="AU440" s="107" t="n">
        <v>-2949.89</v>
      </c>
      <c r="AV440" s="107" t="n">
        <v>-4007131</v>
      </c>
      <c r="AW440" s="107" t="n">
        <v>79.17</v>
      </c>
      <c r="AX440" s="107" t="n">
        <v>112025</v>
      </c>
      <c r="AY440" s="107" t="n">
        <v>6.31</v>
      </c>
      <c r="AZ440" s="107" t="n">
        <v>8928</v>
      </c>
      <c r="BA440" s="107" t="n">
        <v>0</v>
      </c>
      <c r="BB440" s="107" t="n">
        <v>0</v>
      </c>
      <c r="BC440" s="107" t="n">
        <v>0</v>
      </c>
      <c r="BD440" s="107" t="n">
        <v>0</v>
      </c>
      <c r="BE440" s="107" t="n">
        <v>1213.89</v>
      </c>
      <c r="BF440" s="107" t="n">
        <v>1648947</v>
      </c>
      <c r="BG440" s="107" t="n">
        <v>26.99</v>
      </c>
      <c r="BH440" s="107" t="n">
        <v>36662</v>
      </c>
      <c r="BI440" s="107" t="n">
        <v>199359.69</v>
      </c>
      <c r="BJ440" s="107" t="n">
        <v>282093962</v>
      </c>
      <c r="BK440" s="107" t="n">
        <v>0</v>
      </c>
      <c r="BL440" s="107" t="n">
        <v>0</v>
      </c>
      <c r="BM440" s="107" t="n">
        <v>0</v>
      </c>
      <c r="BN440" s="107" t="n">
        <v>0</v>
      </c>
      <c r="BO440" s="2"/>
      <c r="BP440" s="2"/>
      <c r="BQ440" s="107" t="s">
        <v>369</v>
      </c>
      <c r="BR440" s="107" t="n">
        <v>-11283759</v>
      </c>
      <c r="BS440" s="107" t="n">
        <v>-4836</v>
      </c>
      <c r="BT440" s="107" t="n">
        <v>0</v>
      </c>
      <c r="BU440" s="107" t="n">
        <v>0</v>
      </c>
      <c r="BV440" s="107" t="n">
        <v>0</v>
      </c>
      <c r="BW440" s="107" t="n">
        <v>1293.06</v>
      </c>
      <c r="BX440" s="107" t="n">
        <v>1756492</v>
      </c>
      <c r="BY440" s="107" t="n">
        <v>33.3</v>
      </c>
      <c r="BZ440" s="107" t="n">
        <v>45234</v>
      </c>
      <c r="CA440" s="107" t="n">
        <v>1415</v>
      </c>
      <c r="CB440" s="2"/>
      <c r="CC440" s="107" t="n">
        <v>0</v>
      </c>
      <c r="CD440" s="107" t="n">
        <v>98.17</v>
      </c>
      <c r="CE440" s="107" t="n">
        <v>98.17</v>
      </c>
      <c r="CF440" s="107" t="n">
        <v>98.27</v>
      </c>
      <c r="CG440" s="107" t="n">
        <v>200000</v>
      </c>
      <c r="CH440" s="107" t="n">
        <v>2.5713</v>
      </c>
      <c r="CI440" s="2"/>
      <c r="CJ440" s="2"/>
      <c r="CK440" s="2"/>
      <c r="CL440" s="2"/>
    </row>
    <row r="441" customFormat="false" ht="15" hidden="false" customHeight="false" outlineLevel="0" collapsed="false">
      <c r="A441" s="107" t="s">
        <v>933</v>
      </c>
      <c r="B441" s="107" t="n">
        <v>98.219</v>
      </c>
      <c r="C441" s="107" t="n">
        <v>5.4076</v>
      </c>
      <c r="D441" s="107" t="n">
        <v>2.6677</v>
      </c>
      <c r="E441" s="107" t="n">
        <v>-864.66212679</v>
      </c>
      <c r="F441" s="108" t="s">
        <v>358</v>
      </c>
      <c r="G441" s="107" t="n">
        <v>2.6677</v>
      </c>
      <c r="H441" s="107" t="n">
        <v>-864.66212679</v>
      </c>
      <c r="I441" s="2"/>
      <c r="J441" s="2"/>
      <c r="K441" s="2"/>
      <c r="L441" s="2"/>
      <c r="M441" s="107" t="n">
        <v>8803410</v>
      </c>
      <c r="N441" s="107" t="n">
        <v>99.559</v>
      </c>
      <c r="O441" s="107" t="n">
        <v>3241227</v>
      </c>
      <c r="P441" s="2"/>
      <c r="Q441" s="2"/>
      <c r="R441" s="107" t="n">
        <v>-0.00852767593781725</v>
      </c>
      <c r="S441" s="107" t="n">
        <v>-0.0134593557588968</v>
      </c>
      <c r="T441" s="107" t="n">
        <v>-888.03137346</v>
      </c>
      <c r="U441" s="107" t="n">
        <v>21069</v>
      </c>
      <c r="V441" s="108" t="s">
        <v>362</v>
      </c>
      <c r="W441" s="107" t="n">
        <v>42003</v>
      </c>
      <c r="X441" s="108" t="s">
        <v>372</v>
      </c>
      <c r="Y441" s="107" t="s">
        <v>928</v>
      </c>
      <c r="Z441" s="107" t="s">
        <v>932</v>
      </c>
      <c r="AA441" s="109" t="n">
        <v>46275</v>
      </c>
      <c r="AB441" s="107" t="n">
        <v>260910000001</v>
      </c>
      <c r="AC441" s="109" t="n">
        <v>46245</v>
      </c>
      <c r="AD441" s="109" t="n">
        <v>47341</v>
      </c>
      <c r="AE441" s="107" t="n">
        <v>4.75</v>
      </c>
      <c r="AF441" s="107" t="n">
        <v>2.6411</v>
      </c>
      <c r="AG441" s="107" t="n">
        <v>1046</v>
      </c>
      <c r="AH441" s="107" t="n">
        <v>800000</v>
      </c>
      <c r="AI441" s="107" t="n">
        <v>4.9076</v>
      </c>
      <c r="AJ441" s="107" t="n">
        <v>99.572</v>
      </c>
      <c r="AK441" s="107" t="n">
        <v>4.907689</v>
      </c>
      <c r="AL441" s="107" t="n">
        <v>100.224271</v>
      </c>
      <c r="AM441" s="107" t="n">
        <v>5.4315</v>
      </c>
      <c r="AN441" s="107" t="n">
        <v>98.2049</v>
      </c>
      <c r="AO441" s="107" t="n">
        <v>1358.4</v>
      </c>
      <c r="AP441" s="107" t="n">
        <v>1</v>
      </c>
      <c r="AQ441" s="107" t="n">
        <v>785639.2</v>
      </c>
      <c r="AR441" s="107" t="n">
        <v>1067212289</v>
      </c>
      <c r="AS441" s="107" t="n">
        <v>796488.72</v>
      </c>
      <c r="AT441" s="107" t="n">
        <v>1068171023</v>
      </c>
      <c r="AU441" s="107" t="n">
        <v>-10849.52</v>
      </c>
      <c r="AV441" s="107" t="n">
        <v>-14737988</v>
      </c>
      <c r="AW441" s="107" t="n">
        <v>3061.11</v>
      </c>
      <c r="AX441" s="107" t="n">
        <v>4105254</v>
      </c>
      <c r="AY441" s="107" t="n">
        <v>87.28</v>
      </c>
      <c r="AZ441" s="107" t="n">
        <v>117051</v>
      </c>
      <c r="BA441" s="107" t="n">
        <v>0</v>
      </c>
      <c r="BB441" s="107" t="n">
        <v>0</v>
      </c>
      <c r="BC441" s="107" t="n">
        <v>0</v>
      </c>
      <c r="BD441" s="107" t="n">
        <v>0</v>
      </c>
      <c r="BE441" s="107" t="n">
        <v>2111.11</v>
      </c>
      <c r="BF441" s="107" t="n">
        <v>2867731</v>
      </c>
      <c r="BG441" s="107" t="n">
        <v>45.95</v>
      </c>
      <c r="BH441" s="107" t="n">
        <v>62418</v>
      </c>
      <c r="BI441" s="107" t="n">
        <v>796488.72</v>
      </c>
      <c r="BJ441" s="107" t="n">
        <v>1068171023</v>
      </c>
      <c r="BK441" s="107" t="n">
        <v>0</v>
      </c>
      <c r="BL441" s="107" t="n">
        <v>0</v>
      </c>
      <c r="BM441" s="107" t="n">
        <v>0</v>
      </c>
      <c r="BN441" s="107" t="n">
        <v>0</v>
      </c>
      <c r="BO441" s="2"/>
      <c r="BP441" s="2"/>
      <c r="BQ441" s="107" t="s">
        <v>369</v>
      </c>
      <c r="BR441" s="107" t="n">
        <v>13779254</v>
      </c>
      <c r="BS441" s="107" t="n">
        <v>54468</v>
      </c>
      <c r="BT441" s="107" t="n">
        <v>0</v>
      </c>
      <c r="BU441" s="107" t="n">
        <v>0</v>
      </c>
      <c r="BV441" s="107" t="n">
        <v>0</v>
      </c>
      <c r="BW441" s="107" t="n">
        <v>5172.22</v>
      </c>
      <c r="BX441" s="107" t="n">
        <v>7025943</v>
      </c>
      <c r="BY441" s="107" t="n">
        <v>133.23</v>
      </c>
      <c r="BZ441" s="107" t="n">
        <v>180979</v>
      </c>
      <c r="CA441" s="107" t="n">
        <v>1341.1</v>
      </c>
      <c r="CB441" s="2"/>
      <c r="CC441" s="107" t="n">
        <v>0</v>
      </c>
      <c r="CD441" s="107" t="n">
        <v>98.17</v>
      </c>
      <c r="CE441" s="107" t="n">
        <v>98.17</v>
      </c>
      <c r="CF441" s="107" t="n">
        <v>98.27</v>
      </c>
      <c r="CG441" s="107" t="n">
        <v>800000</v>
      </c>
      <c r="CH441" s="107" t="n">
        <v>2.5713</v>
      </c>
      <c r="CI441" s="2"/>
      <c r="CJ441" s="2"/>
      <c r="CK441" s="2"/>
      <c r="CL441" s="2"/>
    </row>
    <row r="442" customFormat="false" ht="15" hidden="false" customHeight="false" outlineLevel="0" collapsed="false">
      <c r="A442" s="107" t="s">
        <v>934</v>
      </c>
      <c r="B442" s="107" t="n">
        <v>98.6987</v>
      </c>
      <c r="C442" s="107" t="n">
        <v>1.9807</v>
      </c>
      <c r="D442" s="107" t="n">
        <v>1.1313</v>
      </c>
      <c r="E442" s="107" t="n">
        <v>-334973.51793</v>
      </c>
      <c r="F442" s="108" t="s">
        <v>358</v>
      </c>
      <c r="G442" s="107" t="n">
        <v>1.1313</v>
      </c>
      <c r="H442" s="107" t="n">
        <v>-334973.51793</v>
      </c>
      <c r="I442" s="109" t="n">
        <v>46717</v>
      </c>
      <c r="J442" s="107" t="n">
        <v>2</v>
      </c>
      <c r="K442" s="107" t="s">
        <v>359</v>
      </c>
      <c r="L442" s="107" t="s">
        <v>298</v>
      </c>
      <c r="M442" s="107" t="n">
        <v>3393900000</v>
      </c>
      <c r="N442" s="107" t="n">
        <v>100</v>
      </c>
      <c r="O442" s="107" t="n">
        <v>2960961000</v>
      </c>
      <c r="P442" s="107" t="s">
        <v>360</v>
      </c>
      <c r="Q442" s="107" t="s">
        <v>364</v>
      </c>
      <c r="R442" s="107" t="n">
        <v>-0.0620681640896355</v>
      </c>
      <c r="S442" s="107" t="n">
        <v>-0.0130129999999999</v>
      </c>
      <c r="T442" s="107" t="n">
        <v>-338289.79425</v>
      </c>
      <c r="U442" s="107" t="n">
        <v>21069</v>
      </c>
      <c r="V442" s="108" t="s">
        <v>362</v>
      </c>
      <c r="W442" s="107" t="n">
        <v>42003</v>
      </c>
      <c r="X442" s="108" t="s">
        <v>372</v>
      </c>
      <c r="Y442" s="107" t="s">
        <v>931</v>
      </c>
      <c r="Z442" s="107" t="s">
        <v>935</v>
      </c>
      <c r="AA442" s="109" t="n">
        <v>46262</v>
      </c>
      <c r="AB442" s="107" t="n">
        <v>260828000001</v>
      </c>
      <c r="AC442" s="109" t="n">
        <v>46260</v>
      </c>
      <c r="AD442" s="109" t="n">
        <v>47356</v>
      </c>
      <c r="AE442" s="107" t="n">
        <v>4.875</v>
      </c>
      <c r="AF442" s="107" t="n">
        <v>2.6772</v>
      </c>
      <c r="AG442" s="107" t="n">
        <v>1061</v>
      </c>
      <c r="AH442" s="107" t="n">
        <v>5200000</v>
      </c>
      <c r="AI442" s="107" t="n">
        <v>5.08</v>
      </c>
      <c r="AJ442" s="107" t="n">
        <v>99.437</v>
      </c>
      <c r="AK442" s="107" t="n">
        <v>5.076219</v>
      </c>
      <c r="AL442" s="107" t="n">
        <v>99.918468</v>
      </c>
      <c r="AM442" s="107" t="n">
        <v>5.6128</v>
      </c>
      <c r="AN442" s="107" t="n">
        <v>98.0405</v>
      </c>
      <c r="AO442" s="107" t="n">
        <v>1358.4</v>
      </c>
      <c r="AP442" s="107" t="n">
        <v>1</v>
      </c>
      <c r="AQ442" s="107" t="n">
        <v>5098106</v>
      </c>
      <c r="AR442" s="107" t="n">
        <v>6925267190</v>
      </c>
      <c r="AS442" s="107" t="n">
        <v>5170458.63</v>
      </c>
      <c r="AT442" s="107" t="n">
        <v>7159017020</v>
      </c>
      <c r="AU442" s="107" t="n">
        <v>-72352.63</v>
      </c>
      <c r="AV442" s="107" t="n">
        <v>-98283813</v>
      </c>
      <c r="AW442" s="107" t="n">
        <v>1408.33</v>
      </c>
      <c r="AX442" s="107" t="n">
        <v>1949973</v>
      </c>
      <c r="AY442" s="107" t="n">
        <v>265.37</v>
      </c>
      <c r="AZ442" s="107" t="n">
        <v>367431</v>
      </c>
      <c r="BA442" s="107" t="n">
        <v>0</v>
      </c>
      <c r="BB442" s="107" t="n">
        <v>0</v>
      </c>
      <c r="BC442" s="107" t="n">
        <v>0</v>
      </c>
      <c r="BD442" s="107" t="n">
        <v>0</v>
      </c>
      <c r="BE442" s="107" t="n">
        <v>22533.34</v>
      </c>
      <c r="BF442" s="107" t="n">
        <v>30609289</v>
      </c>
      <c r="BG442" s="107" t="n">
        <v>1094.69</v>
      </c>
      <c r="BH442" s="107" t="n">
        <v>1487026</v>
      </c>
      <c r="BI442" s="107" t="n">
        <v>5170458.63</v>
      </c>
      <c r="BJ442" s="107" t="n">
        <v>7159017020</v>
      </c>
      <c r="BK442" s="107" t="n">
        <v>0</v>
      </c>
      <c r="BL442" s="107" t="n">
        <v>0</v>
      </c>
      <c r="BM442" s="107" t="n">
        <v>0</v>
      </c>
      <c r="BN442" s="107" t="n">
        <v>0</v>
      </c>
      <c r="BO442" s="2"/>
      <c r="BP442" s="2"/>
      <c r="BQ442" s="107" t="s">
        <v>369</v>
      </c>
      <c r="BR442" s="107" t="n">
        <v>-135466017</v>
      </c>
      <c r="BS442" s="107" t="n">
        <v>-43850</v>
      </c>
      <c r="BT442" s="107" t="n">
        <v>0</v>
      </c>
      <c r="BU442" s="107" t="n">
        <v>0</v>
      </c>
      <c r="BV442" s="107" t="n">
        <v>0</v>
      </c>
      <c r="BW442" s="107" t="n">
        <v>23941.67</v>
      </c>
      <c r="BX442" s="107" t="n">
        <v>32522364</v>
      </c>
      <c r="BY442" s="107" t="n">
        <v>1360.06</v>
      </c>
      <c r="BZ442" s="107" t="n">
        <v>1847505</v>
      </c>
      <c r="CA442" s="107" t="n">
        <v>1384.6</v>
      </c>
      <c r="CB442" s="2"/>
      <c r="CC442" s="107" t="n">
        <v>0</v>
      </c>
      <c r="CD442" s="107" t="n">
        <v>98.06</v>
      </c>
      <c r="CE442" s="107" t="n">
        <v>98.04</v>
      </c>
      <c r="CF442" s="107" t="n">
        <v>98.02</v>
      </c>
      <c r="CG442" s="107" t="n">
        <v>5200000</v>
      </c>
      <c r="CH442" s="107" t="n">
        <v>2.6041</v>
      </c>
      <c r="CI442" s="2"/>
      <c r="CJ442" s="2"/>
      <c r="CK442" s="2"/>
      <c r="CL442" s="2"/>
    </row>
    <row r="443" customFormat="false" ht="15" hidden="false" customHeight="false" outlineLevel="0" collapsed="false">
      <c r="A443" s="107" t="s">
        <v>934</v>
      </c>
      <c r="B443" s="107" t="n">
        <v>98.6987</v>
      </c>
      <c r="C443" s="107" t="n">
        <v>1.9807</v>
      </c>
      <c r="D443" s="107" t="n">
        <v>1.1313</v>
      </c>
      <c r="E443" s="107" t="n">
        <v>-78160.487517</v>
      </c>
      <c r="F443" s="108" t="s">
        <v>358</v>
      </c>
      <c r="G443" s="107" t="n">
        <v>1.1313</v>
      </c>
      <c r="H443" s="107" t="n">
        <v>-78160.487517</v>
      </c>
      <c r="I443" s="109" t="n">
        <v>46717</v>
      </c>
      <c r="J443" s="107" t="n">
        <v>2</v>
      </c>
      <c r="K443" s="107" t="s">
        <v>359</v>
      </c>
      <c r="L443" s="107" t="s">
        <v>298</v>
      </c>
      <c r="M443" s="107" t="n">
        <v>791910000</v>
      </c>
      <c r="N443" s="107" t="n">
        <v>100.02</v>
      </c>
      <c r="O443" s="107" t="n">
        <v>690890900</v>
      </c>
      <c r="P443" s="107" t="s">
        <v>360</v>
      </c>
      <c r="Q443" s="107" t="s">
        <v>364</v>
      </c>
      <c r="R443" s="107" t="n">
        <v>-0.0620681640807849</v>
      </c>
      <c r="S443" s="107" t="n">
        <v>-0.0132103579284143</v>
      </c>
      <c r="T443" s="107" t="n">
        <v>-78934.285325</v>
      </c>
      <c r="U443" s="107" t="n">
        <v>21069</v>
      </c>
      <c r="V443" s="108" t="s">
        <v>362</v>
      </c>
      <c r="W443" s="107" t="n">
        <v>42003</v>
      </c>
      <c r="X443" s="108" t="s">
        <v>372</v>
      </c>
      <c r="Y443" s="107" t="s">
        <v>933</v>
      </c>
      <c r="Z443" s="107" t="s">
        <v>936</v>
      </c>
      <c r="AA443" s="109" t="n">
        <v>46282</v>
      </c>
      <c r="AB443" s="107" t="n">
        <v>260917000001</v>
      </c>
      <c r="AC443" s="109" t="n">
        <v>46280</v>
      </c>
      <c r="AD443" s="109" t="n">
        <v>47376</v>
      </c>
      <c r="AE443" s="107" t="n">
        <v>4.75</v>
      </c>
      <c r="AF443" s="107" t="n">
        <v>2.7376</v>
      </c>
      <c r="AG443" s="107" t="n">
        <v>1081</v>
      </c>
      <c r="AH443" s="107" t="n">
        <v>3300000</v>
      </c>
      <c r="AI443" s="107" t="n">
        <v>4.91</v>
      </c>
      <c r="AJ443" s="107" t="n">
        <v>99.559</v>
      </c>
      <c r="AK443" s="107" t="n">
        <v>4.908641</v>
      </c>
      <c r="AL443" s="107" t="n">
        <v>99.763799</v>
      </c>
      <c r="AM443" s="107" t="n">
        <v>5.3572</v>
      </c>
      <c r="AN443" s="107" t="n">
        <v>98.3552</v>
      </c>
      <c r="AO443" s="107" t="n">
        <v>1358.4</v>
      </c>
      <c r="AP443" s="107" t="n">
        <v>1</v>
      </c>
      <c r="AQ443" s="107" t="n">
        <v>3245721.6</v>
      </c>
      <c r="AR443" s="107" t="n">
        <v>4408988221</v>
      </c>
      <c r="AS443" s="107" t="n">
        <v>3285289.75</v>
      </c>
      <c r="AT443" s="107" t="n">
        <v>4445982619</v>
      </c>
      <c r="AU443" s="107" t="n">
        <v>-39568.15</v>
      </c>
      <c r="AV443" s="107" t="n">
        <v>-53749375</v>
      </c>
      <c r="AW443" s="107" t="n">
        <v>870.83</v>
      </c>
      <c r="AX443" s="107" t="n">
        <v>1178494</v>
      </c>
      <c r="AY443" s="107" t="n">
        <v>157.25</v>
      </c>
      <c r="AZ443" s="107" t="n">
        <v>212806</v>
      </c>
      <c r="BA443" s="107" t="n">
        <v>0</v>
      </c>
      <c r="BB443" s="107" t="n">
        <v>0</v>
      </c>
      <c r="BC443" s="107" t="n">
        <v>0</v>
      </c>
      <c r="BD443" s="107" t="n">
        <v>0</v>
      </c>
      <c r="BE443" s="107" t="n">
        <v>5660.42</v>
      </c>
      <c r="BF443" s="107" t="n">
        <v>7689115</v>
      </c>
      <c r="BG443" s="107" t="n">
        <v>227.14</v>
      </c>
      <c r="BH443" s="107" t="n">
        <v>308547</v>
      </c>
      <c r="BI443" s="107" t="n">
        <v>3285289.75</v>
      </c>
      <c r="BJ443" s="107" t="n">
        <v>4445982619</v>
      </c>
      <c r="BK443" s="107" t="n">
        <v>0</v>
      </c>
      <c r="BL443" s="107" t="n">
        <v>0</v>
      </c>
      <c r="BM443" s="107" t="n">
        <v>0</v>
      </c>
      <c r="BN443" s="107" t="n">
        <v>0</v>
      </c>
      <c r="BO443" s="2"/>
      <c r="BP443" s="2"/>
      <c r="BQ443" s="107" t="s">
        <v>787</v>
      </c>
      <c r="BR443" s="107" t="n">
        <v>16754977</v>
      </c>
      <c r="BS443" s="107" t="n">
        <v>5243</v>
      </c>
      <c r="BT443" s="107" t="n">
        <v>0</v>
      </c>
      <c r="BU443" s="107" t="n">
        <v>0</v>
      </c>
      <c r="BV443" s="107" t="n">
        <v>0</v>
      </c>
      <c r="BW443" s="107" t="n">
        <v>6531.25</v>
      </c>
      <c r="BX443" s="107" t="n">
        <v>8872050</v>
      </c>
      <c r="BY443" s="107" t="n">
        <v>384.39</v>
      </c>
      <c r="BZ443" s="107" t="n">
        <v>522155</v>
      </c>
      <c r="CA443" s="107" t="n">
        <v>1353.3</v>
      </c>
      <c r="CB443" s="2"/>
      <c r="CC443" s="107" t="n">
        <v>0</v>
      </c>
      <c r="CD443" s="107" t="n">
        <v>98.38</v>
      </c>
      <c r="CE443" s="107" t="n">
        <v>98.31</v>
      </c>
      <c r="CF443" s="107" t="n">
        <v>98.37</v>
      </c>
      <c r="CG443" s="107" t="n">
        <v>3300000</v>
      </c>
      <c r="CH443" s="107" t="n">
        <v>2.6662</v>
      </c>
      <c r="CI443" s="2"/>
      <c r="CJ443" s="2"/>
      <c r="CK443" s="2"/>
      <c r="CL443" s="2"/>
    </row>
    <row r="444" customFormat="false" ht="15" hidden="false" customHeight="false" outlineLevel="0" collapsed="false">
      <c r="A444" s="107" t="s">
        <v>937</v>
      </c>
      <c r="B444" s="107" t="n">
        <v>95.6555</v>
      </c>
      <c r="C444" s="107" t="n">
        <v>2.5328</v>
      </c>
      <c r="D444" s="107" t="n">
        <v>2.9948</v>
      </c>
      <c r="E444" s="107" t="n">
        <v>-28646.90914</v>
      </c>
      <c r="F444" s="108" t="s">
        <v>358</v>
      </c>
      <c r="G444" s="107" t="n">
        <v>2.9948</v>
      </c>
      <c r="H444" s="107" t="n">
        <v>-28646.90914</v>
      </c>
      <c r="I444" s="2"/>
      <c r="J444" s="2"/>
      <c r="K444" s="2"/>
      <c r="L444" s="2"/>
      <c r="M444" s="107" t="n">
        <v>299480000</v>
      </c>
      <c r="N444" s="107" t="n">
        <v>97.21</v>
      </c>
      <c r="O444" s="107" t="n">
        <v>95655500</v>
      </c>
      <c r="P444" s="2"/>
      <c r="Q444" s="2"/>
      <c r="R444" s="107" t="n">
        <v>-0.0665174233108651</v>
      </c>
      <c r="S444" s="107" t="n">
        <v>-0.0159911531735417</v>
      </c>
      <c r="T444" s="107" t="n">
        <v>-29009.443485</v>
      </c>
      <c r="U444" s="107" t="n">
        <v>21069</v>
      </c>
      <c r="V444" s="108" t="s">
        <v>362</v>
      </c>
      <c r="W444" s="107" t="n">
        <v>42006</v>
      </c>
      <c r="X444" s="108" t="s">
        <v>372</v>
      </c>
      <c r="Y444" s="107" t="s">
        <v>934</v>
      </c>
      <c r="Z444" s="107" t="s">
        <v>938</v>
      </c>
      <c r="AA444" s="109" t="n">
        <v>45624</v>
      </c>
      <c r="AB444" s="107" t="n">
        <v>241128000001</v>
      </c>
      <c r="AC444" s="109" t="n">
        <v>45624</v>
      </c>
      <c r="AD444" s="109" t="n">
        <v>46717</v>
      </c>
      <c r="AE444" s="107" t="n">
        <v>0.835</v>
      </c>
      <c r="AF444" s="107" t="n">
        <v>1.1399</v>
      </c>
      <c r="AG444" s="107" t="n">
        <v>422</v>
      </c>
      <c r="AH444" s="107" t="n">
        <v>3000000000</v>
      </c>
      <c r="AI444" s="107" t="n">
        <v>0.835</v>
      </c>
      <c r="AJ444" s="107" t="n">
        <v>100</v>
      </c>
      <c r="AK444" s="107" t="n">
        <v>1.645693</v>
      </c>
      <c r="AL444" s="107" t="n">
        <v>99.354558</v>
      </c>
      <c r="AM444" s="107" t="n">
        <v>1.9747</v>
      </c>
      <c r="AN444" s="107" t="n">
        <v>98.7085</v>
      </c>
      <c r="AO444" s="107" t="n">
        <v>8.6316</v>
      </c>
      <c r="AP444" s="107" t="n">
        <v>0.006354</v>
      </c>
      <c r="AQ444" s="107" t="n">
        <v>2961255000</v>
      </c>
      <c r="AR444" s="107" t="n">
        <v>25560368658</v>
      </c>
      <c r="AS444" s="107" t="n">
        <v>2972058000</v>
      </c>
      <c r="AT444" s="107" t="n">
        <v>27272495825</v>
      </c>
      <c r="AU444" s="107" t="n">
        <v>-10803000</v>
      </c>
      <c r="AV444" s="107" t="n">
        <v>-93247175</v>
      </c>
      <c r="AW444" s="107" t="n">
        <v>0</v>
      </c>
      <c r="AX444" s="107" t="n">
        <v>0</v>
      </c>
      <c r="AY444" s="107" t="n">
        <v>0</v>
      </c>
      <c r="AZ444" s="107" t="n">
        <v>0</v>
      </c>
      <c r="BA444" s="107" t="n">
        <v>0</v>
      </c>
      <c r="BB444" s="107" t="n">
        <v>0</v>
      </c>
      <c r="BC444" s="107" t="n">
        <v>0</v>
      </c>
      <c r="BD444" s="107" t="n">
        <v>0</v>
      </c>
      <c r="BE444" s="107" t="n">
        <v>8578767.12</v>
      </c>
      <c r="BF444" s="107" t="n">
        <v>74048486</v>
      </c>
      <c r="BG444" s="107" t="n">
        <v>0</v>
      </c>
      <c r="BH444" s="107" t="n">
        <v>0</v>
      </c>
      <c r="BI444" s="107" t="n">
        <v>3000000000</v>
      </c>
      <c r="BJ444" s="107" t="n">
        <v>27529867005</v>
      </c>
      <c r="BK444" s="107" t="n">
        <v>0</v>
      </c>
      <c r="BL444" s="107" t="n">
        <v>0</v>
      </c>
      <c r="BM444" s="107" t="n">
        <v>0</v>
      </c>
      <c r="BN444" s="107" t="n">
        <v>0</v>
      </c>
      <c r="BO444" s="107" t="s">
        <v>361</v>
      </c>
      <c r="BP444" s="2"/>
      <c r="BQ444" s="107" t="s">
        <v>369</v>
      </c>
      <c r="BR444" s="107" t="n">
        <v>-1618879992</v>
      </c>
      <c r="BS444" s="107" t="n">
        <v>0</v>
      </c>
      <c r="BT444" s="107" t="n">
        <v>0</v>
      </c>
      <c r="BU444" s="107" t="n">
        <v>-27942000</v>
      </c>
      <c r="BV444" s="107" t="n">
        <v>-257371180</v>
      </c>
      <c r="BW444" s="107" t="n">
        <v>8578767.12</v>
      </c>
      <c r="BX444" s="107" t="n">
        <v>74048486</v>
      </c>
      <c r="BY444" s="107" t="n">
        <v>0</v>
      </c>
      <c r="BZ444" s="107" t="n">
        <v>0</v>
      </c>
      <c r="CA444" s="107" t="n">
        <v>9.176</v>
      </c>
      <c r="CB444" s="2"/>
      <c r="CC444" s="107" t="n">
        <v>0</v>
      </c>
      <c r="CD444" s="107" t="n">
        <v>98.69</v>
      </c>
      <c r="CE444" s="107" t="n">
        <v>98.74</v>
      </c>
      <c r="CF444" s="107" t="n">
        <v>98.69</v>
      </c>
      <c r="CG444" s="107" t="n">
        <v>3000000000</v>
      </c>
      <c r="CH444" s="107" t="n">
        <v>1.1288</v>
      </c>
      <c r="CI444" s="2"/>
      <c r="CJ444" s="2"/>
      <c r="CK444" s="2"/>
      <c r="CL444" s="2"/>
    </row>
    <row r="445" customFormat="false" ht="15" hidden="false" customHeight="false" outlineLevel="0" collapsed="false">
      <c r="A445" s="107" t="s">
        <v>939</v>
      </c>
      <c r="B445" s="107" t="n">
        <v>99.1341</v>
      </c>
      <c r="C445" s="107" t="n">
        <v>2.111</v>
      </c>
      <c r="D445" s="107" t="n">
        <v>1.0894</v>
      </c>
      <c r="E445" s="107" t="n">
        <v>-10799.668854</v>
      </c>
      <c r="F445" s="108" t="s">
        <v>358</v>
      </c>
      <c r="G445" s="107" t="n">
        <v>1.0894</v>
      </c>
      <c r="H445" s="107" t="n">
        <v>-10799.668854</v>
      </c>
      <c r="I445" s="109" t="n">
        <v>46703</v>
      </c>
      <c r="J445" s="107" t="n">
        <v>2</v>
      </c>
      <c r="K445" s="107" t="s">
        <v>359</v>
      </c>
      <c r="L445" s="107" t="s">
        <v>298</v>
      </c>
      <c r="M445" s="107" t="n">
        <v>108940000</v>
      </c>
      <c r="N445" s="107" t="n">
        <v>100.018</v>
      </c>
      <c r="O445" s="107" t="n">
        <v>99134100</v>
      </c>
      <c r="P445" s="107" t="s">
        <v>495</v>
      </c>
      <c r="Q445" s="107" t="s">
        <v>364</v>
      </c>
      <c r="R445" s="107" t="n">
        <v>-0.0626980352824914</v>
      </c>
      <c r="S445" s="107" t="n">
        <v>-0.00883740926633203</v>
      </c>
      <c r="T445" s="107" t="n">
        <v>-10913.673069</v>
      </c>
      <c r="U445" s="107" t="n">
        <v>21069</v>
      </c>
      <c r="V445" s="108" t="s">
        <v>362</v>
      </c>
      <c r="W445" s="107" t="n">
        <v>42006</v>
      </c>
      <c r="X445" s="108" t="s">
        <v>372</v>
      </c>
      <c r="Y445" s="107" t="s">
        <v>934</v>
      </c>
      <c r="Z445" s="107" t="s">
        <v>938</v>
      </c>
      <c r="AA445" s="109" t="n">
        <v>45631</v>
      </c>
      <c r="AB445" s="107" t="n">
        <v>241205000001</v>
      </c>
      <c r="AC445" s="109" t="n">
        <v>45624</v>
      </c>
      <c r="AD445" s="109" t="n">
        <v>46717</v>
      </c>
      <c r="AE445" s="107" t="n">
        <v>0.835</v>
      </c>
      <c r="AF445" s="107" t="n">
        <v>1.1399</v>
      </c>
      <c r="AG445" s="107" t="n">
        <v>422</v>
      </c>
      <c r="AH445" s="107" t="n">
        <v>700000000</v>
      </c>
      <c r="AI445" s="107" t="n">
        <v>0.828</v>
      </c>
      <c r="AJ445" s="107" t="n">
        <v>100.02</v>
      </c>
      <c r="AK445" s="107" t="n">
        <v>1.645693</v>
      </c>
      <c r="AL445" s="107" t="n">
        <v>99.354558</v>
      </c>
      <c r="AM445" s="107" t="n">
        <v>1.9747</v>
      </c>
      <c r="AN445" s="107" t="n">
        <v>98.7085</v>
      </c>
      <c r="AO445" s="107" t="n">
        <v>8.6316</v>
      </c>
      <c r="AP445" s="107" t="n">
        <v>0.006354</v>
      </c>
      <c r="AQ445" s="107" t="n">
        <v>690959500</v>
      </c>
      <c r="AR445" s="107" t="n">
        <v>5964086020</v>
      </c>
      <c r="AS445" s="107" t="n">
        <v>693480200</v>
      </c>
      <c r="AT445" s="107" t="n">
        <v>6363582359</v>
      </c>
      <c r="AU445" s="107" t="n">
        <v>-2520700</v>
      </c>
      <c r="AV445" s="107" t="n">
        <v>-21757674</v>
      </c>
      <c r="AW445" s="107" t="n">
        <v>0</v>
      </c>
      <c r="AX445" s="107" t="n">
        <v>0</v>
      </c>
      <c r="AY445" s="107" t="n">
        <v>0</v>
      </c>
      <c r="AZ445" s="107" t="n">
        <v>0</v>
      </c>
      <c r="BA445" s="107" t="n">
        <v>0</v>
      </c>
      <c r="BB445" s="107" t="n">
        <v>0</v>
      </c>
      <c r="BC445" s="107" t="n">
        <v>0</v>
      </c>
      <c r="BD445" s="107" t="n">
        <v>0</v>
      </c>
      <c r="BE445" s="107" t="n">
        <v>2001712.33</v>
      </c>
      <c r="BF445" s="107" t="n">
        <v>17277980</v>
      </c>
      <c r="BG445" s="107" t="n">
        <v>0</v>
      </c>
      <c r="BH445" s="107" t="n">
        <v>0</v>
      </c>
      <c r="BI445" s="107" t="n">
        <v>700140000</v>
      </c>
      <c r="BJ445" s="107" t="n">
        <v>6424946707</v>
      </c>
      <c r="BK445" s="107" t="n">
        <v>0</v>
      </c>
      <c r="BL445" s="107" t="n">
        <v>0</v>
      </c>
      <c r="BM445" s="107" t="n">
        <v>0</v>
      </c>
      <c r="BN445" s="107" t="n">
        <v>0</v>
      </c>
      <c r="BO445" s="107" t="s">
        <v>361</v>
      </c>
      <c r="BP445" s="2"/>
      <c r="BQ445" s="107" t="s">
        <v>369</v>
      </c>
      <c r="BR445" s="107" t="n">
        <v>-377738665</v>
      </c>
      <c r="BS445" s="107" t="n">
        <v>0</v>
      </c>
      <c r="BT445" s="107" t="n">
        <v>0</v>
      </c>
      <c r="BU445" s="107" t="n">
        <v>-6659800</v>
      </c>
      <c r="BV445" s="107" t="n">
        <v>-61364348</v>
      </c>
      <c r="BW445" s="107" t="n">
        <v>2001712.33</v>
      </c>
      <c r="BX445" s="107" t="n">
        <v>17277980</v>
      </c>
      <c r="BY445" s="107" t="n">
        <v>0</v>
      </c>
      <c r="BZ445" s="107" t="n">
        <v>0</v>
      </c>
      <c r="CA445" s="107" t="n">
        <v>9.176</v>
      </c>
      <c r="CB445" s="2"/>
      <c r="CC445" s="107" t="n">
        <v>0</v>
      </c>
      <c r="CD445" s="107" t="n">
        <v>98.69</v>
      </c>
      <c r="CE445" s="107" t="n">
        <v>98.74</v>
      </c>
      <c r="CF445" s="107" t="n">
        <v>98.69</v>
      </c>
      <c r="CG445" s="107" t="n">
        <v>700000000</v>
      </c>
      <c r="CH445" s="107" t="n">
        <v>1.1288</v>
      </c>
      <c r="CI445" s="2"/>
      <c r="CJ445" s="2"/>
      <c r="CK445" s="2"/>
      <c r="CL445" s="2"/>
    </row>
    <row r="446" customFormat="false" ht="15" hidden="false" customHeight="false" outlineLevel="0" collapsed="false">
      <c r="A446" s="107" t="s">
        <v>940</v>
      </c>
      <c r="B446" s="107" t="n">
        <v>97.6898</v>
      </c>
      <c r="C446" s="107" t="n">
        <v>2.5847</v>
      </c>
      <c r="D446" s="107" t="n">
        <v>2.2435</v>
      </c>
      <c r="E446" s="107" t="n">
        <v>-131500.23978</v>
      </c>
      <c r="F446" s="108" t="s">
        <v>358</v>
      </c>
      <c r="G446" s="107" t="n">
        <v>2.2435</v>
      </c>
      <c r="H446" s="107" t="n">
        <v>-131500.23978</v>
      </c>
      <c r="I446" s="2"/>
      <c r="J446" s="2"/>
      <c r="K446" s="2"/>
      <c r="L446" s="2"/>
      <c r="M446" s="107" t="n">
        <v>1346100000</v>
      </c>
      <c r="N446" s="107" t="n">
        <v>99.145</v>
      </c>
      <c r="O446" s="107" t="n">
        <v>586138800</v>
      </c>
      <c r="P446" s="2"/>
      <c r="Q446" s="2"/>
      <c r="R446" s="107" t="n">
        <v>-0.0414403795606115</v>
      </c>
      <c r="S446" s="107" t="n">
        <v>-0.0146774925613998</v>
      </c>
      <c r="T446" s="107" t="n">
        <v>-133200.0423</v>
      </c>
      <c r="U446" s="107" t="n">
        <v>21069</v>
      </c>
      <c r="V446" s="108" t="s">
        <v>362</v>
      </c>
      <c r="W446" s="107" t="n">
        <v>42006</v>
      </c>
      <c r="X446" s="108" t="s">
        <v>372</v>
      </c>
      <c r="Y446" s="107" t="s">
        <v>937</v>
      </c>
      <c r="Z446" s="107" t="s">
        <v>941</v>
      </c>
      <c r="AA446" s="109" t="n">
        <v>46238</v>
      </c>
      <c r="AB446" s="107" t="n">
        <v>260804000001</v>
      </c>
      <c r="AC446" s="109" t="n">
        <v>45624</v>
      </c>
      <c r="AD446" s="109" t="n">
        <v>47450</v>
      </c>
      <c r="AE446" s="107" t="n">
        <v>1.065</v>
      </c>
      <c r="AF446" s="107" t="n">
        <v>3.0305</v>
      </c>
      <c r="AG446" s="107" t="n">
        <v>1155</v>
      </c>
      <c r="AH446" s="107" t="n">
        <v>100000000</v>
      </c>
      <c r="AI446" s="107" t="n">
        <v>2</v>
      </c>
      <c r="AJ446" s="107" t="n">
        <v>97.21</v>
      </c>
      <c r="AK446" s="107" t="n">
        <v>1.978566</v>
      </c>
      <c r="AL446" s="107" t="n">
        <v>97.574726</v>
      </c>
      <c r="AM446" s="107" t="n">
        <v>2.5207</v>
      </c>
      <c r="AN446" s="107" t="n">
        <v>95.6933</v>
      </c>
      <c r="AO446" s="107" t="n">
        <v>8.6316</v>
      </c>
      <c r="AP446" s="107" t="n">
        <v>0.006354</v>
      </c>
      <c r="AQ446" s="107" t="n">
        <v>95693300</v>
      </c>
      <c r="AR446" s="107" t="n">
        <v>825986288</v>
      </c>
      <c r="AS446" s="107" t="n">
        <v>97210000</v>
      </c>
      <c r="AT446" s="107" t="n">
        <v>885252586</v>
      </c>
      <c r="AU446" s="107" t="n">
        <v>-1516700</v>
      </c>
      <c r="AV446" s="107" t="n">
        <v>-13091548</v>
      </c>
      <c r="AW446" s="107" t="n">
        <v>198410.96</v>
      </c>
      <c r="AX446" s="107" t="n">
        <v>1806849</v>
      </c>
      <c r="AY446" s="107" t="n">
        <v>0</v>
      </c>
      <c r="AZ446" s="107" t="n">
        <v>0</v>
      </c>
      <c r="BA446" s="107" t="n">
        <v>0</v>
      </c>
      <c r="BB446" s="107" t="n">
        <v>0</v>
      </c>
      <c r="BC446" s="107" t="n">
        <v>0</v>
      </c>
      <c r="BD446" s="107" t="n">
        <v>0</v>
      </c>
      <c r="BE446" s="107" t="n">
        <v>166315.07</v>
      </c>
      <c r="BF446" s="107" t="n">
        <v>1435565</v>
      </c>
      <c r="BG446" s="107" t="n">
        <v>0</v>
      </c>
      <c r="BH446" s="107" t="n">
        <v>0</v>
      </c>
      <c r="BI446" s="107" t="n">
        <v>97210000</v>
      </c>
      <c r="BJ446" s="107" t="n">
        <v>885252586</v>
      </c>
      <c r="BK446" s="107" t="n">
        <v>0</v>
      </c>
      <c r="BL446" s="107" t="n">
        <v>0</v>
      </c>
      <c r="BM446" s="107" t="n">
        <v>0</v>
      </c>
      <c r="BN446" s="107" t="n">
        <v>0</v>
      </c>
      <c r="BO446" s="107" t="s">
        <v>361</v>
      </c>
      <c r="BP446" s="2"/>
      <c r="BQ446" s="107" t="s">
        <v>369</v>
      </c>
      <c r="BR446" s="107" t="n">
        <v>-46174750</v>
      </c>
      <c r="BS446" s="107" t="n">
        <v>-94245</v>
      </c>
      <c r="BT446" s="107" t="n">
        <v>0</v>
      </c>
      <c r="BU446" s="107" t="n">
        <v>0</v>
      </c>
      <c r="BV446" s="107" t="n">
        <v>0</v>
      </c>
      <c r="BW446" s="107" t="n">
        <v>364726.03</v>
      </c>
      <c r="BX446" s="107" t="n">
        <v>3148169</v>
      </c>
      <c r="BY446" s="107" t="n">
        <v>0</v>
      </c>
      <c r="BZ446" s="107" t="n">
        <v>0</v>
      </c>
      <c r="CA446" s="107" t="n">
        <v>9.106</v>
      </c>
      <c r="CB446" s="2"/>
      <c r="CC446" s="107" t="n">
        <v>0</v>
      </c>
      <c r="CD446" s="107" t="n">
        <v>95.72</v>
      </c>
      <c r="CE446" s="107" t="n">
        <v>95.66</v>
      </c>
      <c r="CF446" s="107" t="n">
        <v>95.71</v>
      </c>
      <c r="CG446" s="107" t="n">
        <v>100000000</v>
      </c>
      <c r="CH446" s="107" t="n">
        <v>2.9928</v>
      </c>
      <c r="CI446" s="2"/>
      <c r="CJ446" s="2"/>
      <c r="CK446" s="2"/>
      <c r="CL446" s="2"/>
    </row>
    <row r="447" customFormat="false" ht="15" hidden="false" customHeight="false" outlineLevel="0" collapsed="false">
      <c r="A447" s="107" t="s">
        <v>942</v>
      </c>
      <c r="B447" s="107" t="n">
        <v>98.6041</v>
      </c>
      <c r="C447" s="107" t="n">
        <v>2.5346</v>
      </c>
      <c r="D447" s="107" t="n">
        <v>2.6092</v>
      </c>
      <c r="E447" s="107" t="n">
        <v>-257277.81772</v>
      </c>
      <c r="F447" s="108" t="s">
        <v>358</v>
      </c>
      <c r="G447" s="107" t="n">
        <v>2.6092</v>
      </c>
      <c r="H447" s="107" t="n">
        <v>-257277.81772</v>
      </c>
      <c r="I447" s="2"/>
      <c r="J447" s="2"/>
      <c r="K447" s="2"/>
      <c r="L447" s="2"/>
      <c r="M447" s="107" t="n">
        <v>2609200000</v>
      </c>
      <c r="N447" s="107" t="n">
        <v>100.022</v>
      </c>
      <c r="O447" s="107" t="n">
        <v>986041000</v>
      </c>
      <c r="P447" s="2"/>
      <c r="Q447" s="2"/>
      <c r="R447" s="107" t="n">
        <v>-0.0808337853978206</v>
      </c>
      <c r="S447" s="107" t="n">
        <v>-0.0141758813061127</v>
      </c>
      <c r="T447" s="107" t="n">
        <v>-260541.61343</v>
      </c>
      <c r="U447" s="107" t="n">
        <v>21069</v>
      </c>
      <c r="V447" s="108" t="s">
        <v>362</v>
      </c>
      <c r="W447" s="107" t="n">
        <v>42006</v>
      </c>
      <c r="X447" s="108" t="s">
        <v>372</v>
      </c>
      <c r="Y447" s="107" t="s">
        <v>939</v>
      </c>
      <c r="Z447" s="107" t="s">
        <v>943</v>
      </c>
      <c r="AA447" s="109" t="n">
        <v>45979</v>
      </c>
      <c r="AB447" s="107" t="n">
        <v>251118000001</v>
      </c>
      <c r="AC447" s="109" t="n">
        <v>45974</v>
      </c>
      <c r="AD447" s="109" t="n">
        <v>46703</v>
      </c>
      <c r="AE447" s="107" t="n">
        <v>1.322</v>
      </c>
      <c r="AF447" s="107" t="n">
        <v>1.0982</v>
      </c>
      <c r="AG447" s="107" t="n">
        <v>408</v>
      </c>
      <c r="AH447" s="107" t="n">
        <v>100000000</v>
      </c>
      <c r="AI447" s="107" t="n">
        <v>1.322</v>
      </c>
      <c r="AJ447" s="107" t="n">
        <v>100.018</v>
      </c>
      <c r="AK447" s="107" t="n">
        <v>1.704322</v>
      </c>
      <c r="AL447" s="107" t="n">
        <v>100.079568</v>
      </c>
      <c r="AM447" s="107" t="n">
        <v>2.0973</v>
      </c>
      <c r="AN447" s="107" t="n">
        <v>99.1512</v>
      </c>
      <c r="AO447" s="107" t="n">
        <v>8.6316</v>
      </c>
      <c r="AP447" s="107" t="n">
        <v>0.006354</v>
      </c>
      <c r="AQ447" s="107" t="n">
        <v>99151200</v>
      </c>
      <c r="AR447" s="107" t="n">
        <v>855833498</v>
      </c>
      <c r="AS447" s="107" t="n">
        <v>99572500</v>
      </c>
      <c r="AT447" s="107" t="n">
        <v>913707132</v>
      </c>
      <c r="AU447" s="107" t="n">
        <v>-421300</v>
      </c>
      <c r="AV447" s="107" t="n">
        <v>-3636493</v>
      </c>
      <c r="AW447" s="107" t="n">
        <v>0</v>
      </c>
      <c r="AX447" s="107" t="n">
        <v>0</v>
      </c>
      <c r="AY447" s="107" t="n">
        <v>0</v>
      </c>
      <c r="AZ447" s="107" t="n">
        <v>0</v>
      </c>
      <c r="BA447" s="107" t="n">
        <v>0</v>
      </c>
      <c r="BB447" s="107" t="n">
        <v>0</v>
      </c>
      <c r="BC447" s="107" t="n">
        <v>0</v>
      </c>
      <c r="BD447" s="107" t="n">
        <v>0</v>
      </c>
      <c r="BE447" s="107" t="n">
        <v>507068.49</v>
      </c>
      <c r="BF447" s="107" t="n">
        <v>4376812</v>
      </c>
      <c r="BG447" s="107" t="n">
        <v>0</v>
      </c>
      <c r="BH447" s="107" t="n">
        <v>0</v>
      </c>
      <c r="BI447" s="107" t="n">
        <v>100018000</v>
      </c>
      <c r="BJ447" s="107" t="n">
        <v>917795173</v>
      </c>
      <c r="BK447" s="107" t="n">
        <v>0</v>
      </c>
      <c r="BL447" s="107" t="n">
        <v>0</v>
      </c>
      <c r="BM447" s="107" t="n">
        <v>0</v>
      </c>
      <c r="BN447" s="107" t="n">
        <v>0</v>
      </c>
      <c r="BO447" s="2"/>
      <c r="BP447" s="2"/>
      <c r="BQ447" s="107" t="s">
        <v>369</v>
      </c>
      <c r="BR447" s="107" t="n">
        <v>-54237141</v>
      </c>
      <c r="BS447" s="107" t="n">
        <v>0</v>
      </c>
      <c r="BT447" s="107" t="n">
        <v>0</v>
      </c>
      <c r="BU447" s="107" t="n">
        <v>-445500</v>
      </c>
      <c r="BV447" s="107" t="n">
        <v>-4088041</v>
      </c>
      <c r="BW447" s="107" t="n">
        <v>507068.49</v>
      </c>
      <c r="BX447" s="107" t="n">
        <v>4376812</v>
      </c>
      <c r="BY447" s="107" t="n">
        <v>0</v>
      </c>
      <c r="BZ447" s="107" t="n">
        <v>0</v>
      </c>
      <c r="CA447" s="107" t="n">
        <v>9.176</v>
      </c>
      <c r="CB447" s="2"/>
      <c r="CC447" s="107" t="n">
        <v>0</v>
      </c>
      <c r="CD447" s="107" t="n">
        <v>99.15</v>
      </c>
      <c r="CE447" s="107" t="n">
        <v>99.07</v>
      </c>
      <c r="CF447" s="107" t="n">
        <v>99.24</v>
      </c>
      <c r="CG447" s="107" t="n">
        <v>100000000</v>
      </c>
      <c r="CH447" s="107" t="n">
        <v>1.0868</v>
      </c>
      <c r="CI447" s="2"/>
      <c r="CJ447" s="2"/>
      <c r="CK447" s="2"/>
      <c r="CL447" s="2"/>
    </row>
    <row r="448" customFormat="false" ht="15" hidden="false" customHeight="false" outlineLevel="0" collapsed="false">
      <c r="A448" s="107" t="s">
        <v>944</v>
      </c>
      <c r="B448" s="107" t="n">
        <v>99.6993</v>
      </c>
      <c r="C448" s="107" t="n">
        <v>5.4259</v>
      </c>
      <c r="D448" s="107" t="n">
        <v>4.3082</v>
      </c>
      <c r="E448" s="107" t="n">
        <v>-6442.8678639</v>
      </c>
      <c r="F448" s="108" t="s">
        <v>358</v>
      </c>
      <c r="G448" s="107" t="n">
        <v>4.3082</v>
      </c>
      <c r="H448" s="107" t="n">
        <v>-6442.8678639</v>
      </c>
      <c r="I448" s="2"/>
      <c r="J448" s="2"/>
      <c r="K448" s="2"/>
      <c r="L448" s="2"/>
      <c r="M448" s="107" t="n">
        <v>64623000</v>
      </c>
      <c r="N448" s="107" t="n">
        <v>99.784</v>
      </c>
      <c r="O448" s="107" t="n">
        <v>14954895</v>
      </c>
      <c r="P448" s="2"/>
      <c r="Q448" s="2"/>
      <c r="R448" s="107" t="n">
        <v>0.00507397438640546</v>
      </c>
      <c r="S448" s="107" t="n">
        <v>-0.000848833480317612</v>
      </c>
      <c r="T448" s="107" t="n">
        <v>-6617.69058645</v>
      </c>
      <c r="U448" s="107" t="n">
        <v>21069</v>
      </c>
      <c r="V448" s="108" t="s">
        <v>362</v>
      </c>
      <c r="W448" s="107" t="n">
        <v>42006</v>
      </c>
      <c r="X448" s="108" t="s">
        <v>372</v>
      </c>
      <c r="Y448" s="107" t="s">
        <v>940</v>
      </c>
      <c r="Z448" s="107" t="s">
        <v>945</v>
      </c>
      <c r="AA448" s="109" t="n">
        <v>46253</v>
      </c>
      <c r="AB448" s="107" t="n">
        <v>260819000001</v>
      </c>
      <c r="AC448" s="109" t="n">
        <v>45974</v>
      </c>
      <c r="AD448" s="109" t="n">
        <v>47158</v>
      </c>
      <c r="AE448" s="107" t="n">
        <v>1.556</v>
      </c>
      <c r="AF448" s="107" t="n">
        <v>2.2699</v>
      </c>
      <c r="AG448" s="107" t="n">
        <v>863</v>
      </c>
      <c r="AH448" s="107" t="n">
        <v>600000000</v>
      </c>
      <c r="AI448" s="107" t="n">
        <v>2.14</v>
      </c>
      <c r="AJ448" s="107" t="n">
        <v>99.145</v>
      </c>
      <c r="AK448" s="107" t="n">
        <v>1.966718</v>
      </c>
      <c r="AL448" s="107" t="n">
        <v>99.741821</v>
      </c>
      <c r="AM448" s="107" t="n">
        <v>2.5778</v>
      </c>
      <c r="AN448" s="107" t="n">
        <v>97.7074</v>
      </c>
      <c r="AO448" s="107" t="n">
        <v>8.6316</v>
      </c>
      <c r="AP448" s="107" t="n">
        <v>0.006354</v>
      </c>
      <c r="AQ448" s="107" t="n">
        <v>586244400</v>
      </c>
      <c r="AR448" s="107" t="n">
        <v>5060227163</v>
      </c>
      <c r="AS448" s="107" t="n">
        <v>594869999.95</v>
      </c>
      <c r="AT448" s="107" t="n">
        <v>5282564574</v>
      </c>
      <c r="AU448" s="107" t="n">
        <v>-8625599.95</v>
      </c>
      <c r="AV448" s="107" t="n">
        <v>-74452729</v>
      </c>
      <c r="AW448" s="107" t="n">
        <v>2506652.05</v>
      </c>
      <c r="AX448" s="107" t="n">
        <v>22259571</v>
      </c>
      <c r="AY448" s="107" t="n">
        <v>0</v>
      </c>
      <c r="AZ448" s="107" t="n">
        <v>0</v>
      </c>
      <c r="BA448" s="107" t="n">
        <v>0</v>
      </c>
      <c r="BB448" s="107" t="n">
        <v>0</v>
      </c>
      <c r="BC448" s="107" t="n">
        <v>0</v>
      </c>
      <c r="BD448" s="107" t="n">
        <v>0</v>
      </c>
      <c r="BE448" s="107" t="n">
        <v>1074279.46</v>
      </c>
      <c r="BF448" s="107" t="n">
        <v>9272750</v>
      </c>
      <c r="BG448" s="107" t="n">
        <v>0</v>
      </c>
      <c r="BH448" s="107" t="n">
        <v>0</v>
      </c>
      <c r="BI448" s="107" t="n">
        <v>594869999.95</v>
      </c>
      <c r="BJ448" s="107" t="n">
        <v>5282564574</v>
      </c>
      <c r="BK448" s="107" t="n">
        <v>0</v>
      </c>
      <c r="BL448" s="107" t="n">
        <v>0</v>
      </c>
      <c r="BM448" s="107" t="n">
        <v>0</v>
      </c>
      <c r="BN448" s="107" t="n">
        <v>0</v>
      </c>
      <c r="BO448" s="2"/>
      <c r="BP448" s="2"/>
      <c r="BQ448" s="107" t="s">
        <v>369</v>
      </c>
      <c r="BR448" s="107" t="n">
        <v>-147884682</v>
      </c>
      <c r="BS448" s="107" t="n">
        <v>-623153</v>
      </c>
      <c r="BT448" s="107" t="n">
        <v>0</v>
      </c>
      <c r="BU448" s="107" t="n">
        <v>0</v>
      </c>
      <c r="BV448" s="107" t="n">
        <v>0</v>
      </c>
      <c r="BW448" s="107" t="n">
        <v>3580931.51</v>
      </c>
      <c r="BX448" s="107" t="n">
        <v>30909168</v>
      </c>
      <c r="BY448" s="107" t="n">
        <v>0</v>
      </c>
      <c r="BZ448" s="107" t="n">
        <v>0</v>
      </c>
      <c r="CA448" s="107" t="n">
        <v>8.88</v>
      </c>
      <c r="CB448" s="2"/>
      <c r="CC448" s="107" t="n">
        <v>0</v>
      </c>
      <c r="CD448" s="107" t="n">
        <v>97.71</v>
      </c>
      <c r="CE448" s="107" t="n">
        <v>97.69</v>
      </c>
      <c r="CF448" s="107" t="n">
        <v>97.72</v>
      </c>
      <c r="CG448" s="107" t="n">
        <v>600000000</v>
      </c>
      <c r="CH448" s="107" t="n">
        <v>2.241</v>
      </c>
      <c r="CI448" s="2"/>
      <c r="CJ448" s="2"/>
      <c r="CK448" s="2"/>
      <c r="CL448" s="2"/>
    </row>
    <row r="449" customFormat="false" ht="15" hidden="false" customHeight="false" outlineLevel="0" collapsed="false">
      <c r="A449" s="107" t="s">
        <v>946</v>
      </c>
      <c r="B449" s="107" t="n">
        <v>99.3666</v>
      </c>
      <c r="C449" s="107" t="n">
        <v>5.478</v>
      </c>
      <c r="D449" s="107" t="n">
        <v>2.6914</v>
      </c>
      <c r="E449" s="107" t="n">
        <v>-53.487053448</v>
      </c>
      <c r="F449" s="108" t="s">
        <v>358</v>
      </c>
      <c r="G449" s="107" t="n">
        <v>2.6914</v>
      </c>
      <c r="H449" s="107" t="n">
        <v>-53.487053448</v>
      </c>
      <c r="I449" s="2"/>
      <c r="J449" s="2"/>
      <c r="K449" s="2"/>
      <c r="L449" s="2"/>
      <c r="M449" s="107" t="n">
        <v>538280</v>
      </c>
      <c r="N449" s="107" t="n">
        <v>99.918</v>
      </c>
      <c r="O449" s="107" t="n">
        <v>198733.2</v>
      </c>
      <c r="P449" s="2"/>
      <c r="Q449" s="2"/>
      <c r="R449" s="107" t="n">
        <v>-0.0226161230202669</v>
      </c>
      <c r="S449" s="107" t="n">
        <v>-0.00551852519065632</v>
      </c>
      <c r="T449" s="107" t="n">
        <v>-54.951717132</v>
      </c>
      <c r="U449" s="107" t="n">
        <v>21069</v>
      </c>
      <c r="V449" s="108" t="s">
        <v>362</v>
      </c>
      <c r="W449" s="107" t="n">
        <v>42006</v>
      </c>
      <c r="X449" s="108" t="s">
        <v>372</v>
      </c>
      <c r="Y449" s="107" t="s">
        <v>942</v>
      </c>
      <c r="Z449" s="107" t="s">
        <v>947</v>
      </c>
      <c r="AA449" s="109" t="n">
        <v>46213</v>
      </c>
      <c r="AB449" s="107" t="n">
        <v>260710000001</v>
      </c>
      <c r="AC449" s="109" t="n">
        <v>46209</v>
      </c>
      <c r="AD449" s="109" t="n">
        <v>47305</v>
      </c>
      <c r="AE449" s="107" t="n">
        <v>2</v>
      </c>
      <c r="AF449" s="107" t="n">
        <v>2.64</v>
      </c>
      <c r="AG449" s="107" t="n">
        <v>1010</v>
      </c>
      <c r="AH449" s="107" t="n">
        <v>1000000000</v>
      </c>
      <c r="AI449" s="107" t="n">
        <v>2</v>
      </c>
      <c r="AJ449" s="107" t="n">
        <v>100.022</v>
      </c>
      <c r="AK449" s="107" t="n">
        <v>1.989435</v>
      </c>
      <c r="AL449" s="107" t="n">
        <v>100.493232</v>
      </c>
      <c r="AM449" s="107" t="n">
        <v>2.522</v>
      </c>
      <c r="AN449" s="107" t="n">
        <v>98.6381</v>
      </c>
      <c r="AO449" s="107" t="n">
        <v>8.6316</v>
      </c>
      <c r="AP449" s="107" t="n">
        <v>0.006354</v>
      </c>
      <c r="AQ449" s="107" t="n">
        <v>986381000</v>
      </c>
      <c r="AR449" s="107" t="n">
        <v>8514046240</v>
      </c>
      <c r="AS449" s="107" t="n">
        <v>1000220000</v>
      </c>
      <c r="AT449" s="107" t="n">
        <v>9267538410</v>
      </c>
      <c r="AU449" s="107" t="n">
        <v>-13839000</v>
      </c>
      <c r="AV449" s="107" t="n">
        <v>-119452712</v>
      </c>
      <c r="AW449" s="107" t="n">
        <v>219178.08</v>
      </c>
      <c r="AX449" s="107" t="n">
        <v>2030794</v>
      </c>
      <c r="AY449" s="107" t="n">
        <v>0</v>
      </c>
      <c r="AZ449" s="107" t="n">
        <v>0</v>
      </c>
      <c r="BA449" s="107" t="n">
        <v>0</v>
      </c>
      <c r="BB449" s="107" t="n">
        <v>0</v>
      </c>
      <c r="BC449" s="107" t="n">
        <v>0</v>
      </c>
      <c r="BD449" s="107" t="n">
        <v>0</v>
      </c>
      <c r="BE449" s="107" t="n">
        <v>4493150.69</v>
      </c>
      <c r="BF449" s="107" t="n">
        <v>38783079</v>
      </c>
      <c r="BG449" s="107" t="n">
        <v>0</v>
      </c>
      <c r="BH449" s="107" t="n">
        <v>0</v>
      </c>
      <c r="BI449" s="107" t="n">
        <v>1000220000</v>
      </c>
      <c r="BJ449" s="107" t="n">
        <v>9267538410</v>
      </c>
      <c r="BK449" s="107" t="n">
        <v>0</v>
      </c>
      <c r="BL449" s="107" t="n">
        <v>0</v>
      </c>
      <c r="BM449" s="107" t="n">
        <v>0</v>
      </c>
      <c r="BN449" s="107" t="n">
        <v>0</v>
      </c>
      <c r="BO449" s="2"/>
      <c r="BP449" s="2"/>
      <c r="BQ449" s="107" t="s">
        <v>369</v>
      </c>
      <c r="BR449" s="107" t="n">
        <v>-634039458</v>
      </c>
      <c r="BS449" s="107" t="n">
        <v>-138936</v>
      </c>
      <c r="BT449" s="107" t="n">
        <v>0</v>
      </c>
      <c r="BU449" s="107" t="n">
        <v>0</v>
      </c>
      <c r="BV449" s="107" t="n">
        <v>0</v>
      </c>
      <c r="BW449" s="107" t="n">
        <v>4712328.77</v>
      </c>
      <c r="BX449" s="107" t="n">
        <v>40674937</v>
      </c>
      <c r="BY449" s="107" t="n">
        <v>0</v>
      </c>
      <c r="BZ449" s="107" t="n">
        <v>0</v>
      </c>
      <c r="CA449" s="107" t="n">
        <v>9.265</v>
      </c>
      <c r="CB449" s="2"/>
      <c r="CC449" s="107" t="n">
        <v>0</v>
      </c>
      <c r="CD449" s="107" t="n">
        <v>98.66</v>
      </c>
      <c r="CE449" s="107" t="n">
        <v>98.6</v>
      </c>
      <c r="CF449" s="107" t="n">
        <v>98.66</v>
      </c>
      <c r="CG449" s="107" t="n">
        <v>1000000000</v>
      </c>
      <c r="CH449" s="107" t="n">
        <v>2.6071</v>
      </c>
      <c r="CI449" s="2"/>
      <c r="CJ449" s="2"/>
      <c r="CK449" s="2"/>
      <c r="CL449" s="2"/>
    </row>
    <row r="450" customFormat="false" ht="15" hidden="false" customHeight="false" outlineLevel="0" collapsed="false">
      <c r="A450" s="107" t="s">
        <v>948</v>
      </c>
      <c r="B450" s="107" t="n">
        <v>98.8122</v>
      </c>
      <c r="C450" s="107" t="n">
        <v>5.6484</v>
      </c>
      <c r="D450" s="107" t="n">
        <v>4.2461</v>
      </c>
      <c r="E450" s="107" t="n">
        <v>-83.913296484</v>
      </c>
      <c r="F450" s="108" t="s">
        <v>358</v>
      </c>
      <c r="G450" s="107" t="n">
        <v>4.2461</v>
      </c>
      <c r="H450" s="107" t="n">
        <v>-83.913296484</v>
      </c>
      <c r="I450" s="2"/>
      <c r="J450" s="2"/>
      <c r="K450" s="2"/>
      <c r="L450" s="2"/>
      <c r="M450" s="107" t="n">
        <v>849220</v>
      </c>
      <c r="N450" s="107" t="n">
        <v>99.905</v>
      </c>
      <c r="O450" s="107" t="n">
        <v>197624.4</v>
      </c>
      <c r="P450" s="2"/>
      <c r="Q450" s="2"/>
      <c r="R450" s="107" t="n">
        <v>-0.0279447580164258</v>
      </c>
      <c r="S450" s="107" t="n">
        <v>-0.0109383914718982</v>
      </c>
      <c r="T450" s="107" t="n">
        <v>-86.28281304</v>
      </c>
      <c r="U450" s="107" t="n">
        <v>21069</v>
      </c>
      <c r="V450" s="108" t="s">
        <v>362</v>
      </c>
      <c r="W450" s="107" t="n">
        <v>42011</v>
      </c>
      <c r="X450" s="108" t="s">
        <v>372</v>
      </c>
      <c r="Y450" s="107" t="s">
        <v>944</v>
      </c>
      <c r="Z450" s="107" t="s">
        <v>949</v>
      </c>
      <c r="AA450" s="109" t="n">
        <v>46302</v>
      </c>
      <c r="AB450" s="107" t="n">
        <v>261007000001</v>
      </c>
      <c r="AC450" s="109" t="n">
        <v>46302</v>
      </c>
      <c r="AD450" s="109" t="n">
        <v>48128</v>
      </c>
      <c r="AE450" s="107" t="n">
        <v>5.375</v>
      </c>
      <c r="AF450" s="107" t="n">
        <v>4.3841</v>
      </c>
      <c r="AG450" s="107" t="n">
        <v>1833</v>
      </c>
      <c r="AH450" s="107" t="n">
        <v>15000000</v>
      </c>
      <c r="AI450" s="107" t="n">
        <v>5.424903</v>
      </c>
      <c r="AJ450" s="107" t="n">
        <v>99.784</v>
      </c>
      <c r="AK450" s="107" t="n">
        <v>6.092645</v>
      </c>
      <c r="AL450" s="107" t="n">
        <v>99.783176</v>
      </c>
      <c r="AM450" s="107" t="n">
        <v>5.4129</v>
      </c>
      <c r="AN450" s="107" t="n">
        <v>99.7655</v>
      </c>
      <c r="AO450" s="107" t="n">
        <v>1358.4</v>
      </c>
      <c r="AP450" s="107" t="n">
        <v>1</v>
      </c>
      <c r="AQ450" s="107" t="n">
        <v>14964825</v>
      </c>
      <c r="AR450" s="107" t="n">
        <v>20328218280</v>
      </c>
      <c r="AS450" s="107" t="n">
        <v>14967441.09</v>
      </c>
      <c r="AT450" s="107" t="n">
        <v>20235980354</v>
      </c>
      <c r="AU450" s="107" t="n">
        <v>-2616.09</v>
      </c>
      <c r="AV450" s="107" t="n">
        <v>-3553697</v>
      </c>
      <c r="AW450" s="107" t="n">
        <v>0</v>
      </c>
      <c r="AX450" s="107" t="n">
        <v>0</v>
      </c>
      <c r="AY450" s="107" t="n">
        <v>158.91</v>
      </c>
      <c r="AZ450" s="107" t="n">
        <v>214846</v>
      </c>
      <c r="BA450" s="107" t="n">
        <v>0</v>
      </c>
      <c r="BB450" s="107" t="n">
        <v>0</v>
      </c>
      <c r="BC450" s="107" t="n">
        <v>0</v>
      </c>
      <c r="BD450" s="107" t="n">
        <v>0</v>
      </c>
      <c r="BE450" s="107" t="n">
        <v>0</v>
      </c>
      <c r="BF450" s="107" t="n">
        <v>0</v>
      </c>
      <c r="BG450" s="107" t="n">
        <v>0</v>
      </c>
      <c r="BH450" s="107" t="n">
        <v>0</v>
      </c>
      <c r="BI450" s="107" t="n">
        <v>14967441.09</v>
      </c>
      <c r="BJ450" s="107" t="n">
        <v>20235980354</v>
      </c>
      <c r="BK450" s="107" t="n">
        <v>0</v>
      </c>
      <c r="BL450" s="107" t="n">
        <v>0</v>
      </c>
      <c r="BM450" s="107" t="n">
        <v>0</v>
      </c>
      <c r="BN450" s="107" t="n">
        <v>0</v>
      </c>
      <c r="BO450" s="2"/>
      <c r="BP450" s="2"/>
      <c r="BQ450" s="107" t="s">
        <v>787</v>
      </c>
      <c r="BR450" s="107" t="n">
        <v>95791623</v>
      </c>
      <c r="BS450" s="107" t="n">
        <v>1017</v>
      </c>
      <c r="BT450" s="107" t="n">
        <v>0</v>
      </c>
      <c r="BU450" s="107" t="n">
        <v>0</v>
      </c>
      <c r="BV450" s="107" t="n">
        <v>0</v>
      </c>
      <c r="BW450" s="107" t="n">
        <v>0</v>
      </c>
      <c r="BX450" s="107" t="n">
        <v>0</v>
      </c>
      <c r="BY450" s="107" t="n">
        <v>158.91</v>
      </c>
      <c r="BZ450" s="107" t="n">
        <v>215863</v>
      </c>
      <c r="CA450" s="107" t="n">
        <v>1352</v>
      </c>
      <c r="CB450" s="2"/>
      <c r="CC450" s="107" t="n">
        <v>0</v>
      </c>
      <c r="CD450" s="107" t="n">
        <v>99.69</v>
      </c>
      <c r="CE450" s="107" t="n">
        <v>99.85</v>
      </c>
      <c r="CF450" s="107" t="n">
        <v>99.75</v>
      </c>
      <c r="CG450" s="107" t="n">
        <v>15000000</v>
      </c>
      <c r="CH450" s="107" t="n">
        <v>4.2686</v>
      </c>
      <c r="CI450" s="2"/>
      <c r="CJ450" s="2"/>
      <c r="CK450" s="2"/>
      <c r="CL450" s="2"/>
    </row>
    <row r="451" customFormat="false" ht="15" hidden="false" customHeight="false" outlineLevel="0" collapsed="false">
      <c r="A451" s="107" t="s">
        <v>950</v>
      </c>
      <c r="B451" s="107" t="n">
        <v>99.9703</v>
      </c>
      <c r="C451" s="107" t="n">
        <v>4.6986</v>
      </c>
      <c r="D451" s="107" t="n">
        <v>0.0891</v>
      </c>
      <c r="E451" s="107" t="n">
        <v>-4.453676865</v>
      </c>
      <c r="F451" s="107" t="s">
        <v>214</v>
      </c>
      <c r="G451" s="107" t="n">
        <v>4.24882423569045</v>
      </c>
      <c r="H451" s="107" t="n">
        <v>-212.378116744623</v>
      </c>
      <c r="I451" s="2"/>
      <c r="J451" s="107" t="n">
        <v>0</v>
      </c>
      <c r="K451" s="2"/>
      <c r="L451" s="2"/>
      <c r="M451" s="107" t="n">
        <v>2124412.11784523</v>
      </c>
      <c r="N451" s="107" t="n">
        <v>100</v>
      </c>
      <c r="O451" s="107" t="n">
        <v>499851.5</v>
      </c>
      <c r="P451" s="2"/>
      <c r="Q451" s="2"/>
      <c r="R451" s="107" t="n">
        <v>-0.0174909090909091</v>
      </c>
      <c r="S451" s="107" t="n">
        <v>-0.000297000000000103</v>
      </c>
      <c r="T451" s="107" t="n">
        <v>-4.503662015</v>
      </c>
      <c r="U451" s="107" t="n">
        <v>21069</v>
      </c>
      <c r="V451" s="108" t="s">
        <v>362</v>
      </c>
      <c r="W451" s="107" t="n">
        <v>42011</v>
      </c>
      <c r="X451" s="108" t="s">
        <v>372</v>
      </c>
      <c r="Y451" s="107" t="s">
        <v>946</v>
      </c>
      <c r="Z451" s="107" t="s">
        <v>951</v>
      </c>
      <c r="AA451" s="109" t="n">
        <v>46295</v>
      </c>
      <c r="AB451" s="107" t="n">
        <v>260930000001</v>
      </c>
      <c r="AC451" s="109" t="n">
        <v>46295</v>
      </c>
      <c r="AD451" s="109" t="n">
        <v>47391</v>
      </c>
      <c r="AE451" s="107" t="n">
        <v>5.25</v>
      </c>
      <c r="AF451" s="107" t="n">
        <v>2.7639</v>
      </c>
      <c r="AG451" s="107" t="n">
        <v>1096</v>
      </c>
      <c r="AH451" s="107" t="n">
        <v>200000</v>
      </c>
      <c r="AI451" s="107" t="n">
        <v>5.279914</v>
      </c>
      <c r="AJ451" s="107" t="n">
        <v>99.918</v>
      </c>
      <c r="AK451" s="107" t="n">
        <v>5.279913</v>
      </c>
      <c r="AL451" s="107" t="n">
        <v>99.918</v>
      </c>
      <c r="AM451" s="107" t="n">
        <v>5.4241</v>
      </c>
      <c r="AN451" s="107" t="n">
        <v>99.5235</v>
      </c>
      <c r="AO451" s="107" t="n">
        <v>1358.4</v>
      </c>
      <c r="AP451" s="107" t="n">
        <v>1</v>
      </c>
      <c r="AQ451" s="107" t="n">
        <v>199047</v>
      </c>
      <c r="AR451" s="107" t="n">
        <v>270385445</v>
      </c>
      <c r="AS451" s="107" t="n">
        <v>199834.67</v>
      </c>
      <c r="AT451" s="107" t="n">
        <v>276531216</v>
      </c>
      <c r="AU451" s="107" t="n">
        <v>-787.67</v>
      </c>
      <c r="AV451" s="107" t="n">
        <v>-1069971</v>
      </c>
      <c r="AW451" s="107" t="n">
        <v>0</v>
      </c>
      <c r="AX451" s="107" t="n">
        <v>0</v>
      </c>
      <c r="AY451" s="107" t="n">
        <v>1.33</v>
      </c>
      <c r="AZ451" s="107" t="n">
        <v>1840</v>
      </c>
      <c r="BA451" s="107" t="n">
        <v>0</v>
      </c>
      <c r="BB451" s="107" t="n">
        <v>0</v>
      </c>
      <c r="BC451" s="107" t="n">
        <v>0</v>
      </c>
      <c r="BD451" s="107" t="n">
        <v>0</v>
      </c>
      <c r="BE451" s="107" t="n">
        <v>0</v>
      </c>
      <c r="BF451" s="107" t="n">
        <v>0</v>
      </c>
      <c r="BG451" s="107" t="n">
        <v>0</v>
      </c>
      <c r="BH451" s="107" t="n">
        <v>0</v>
      </c>
      <c r="BI451" s="107" t="n">
        <v>199834.67</v>
      </c>
      <c r="BJ451" s="107" t="n">
        <v>276531216</v>
      </c>
      <c r="BK451" s="107" t="n">
        <v>0</v>
      </c>
      <c r="BL451" s="107" t="n">
        <v>0</v>
      </c>
      <c r="BM451" s="107" t="n">
        <v>0</v>
      </c>
      <c r="BN451" s="107" t="n">
        <v>0</v>
      </c>
      <c r="BO451" s="107" t="s">
        <v>361</v>
      </c>
      <c r="BP451" s="2"/>
      <c r="BQ451" s="107" t="s">
        <v>369</v>
      </c>
      <c r="BR451" s="107" t="n">
        <v>-5075800</v>
      </c>
      <c r="BS451" s="107" t="n">
        <v>-33</v>
      </c>
      <c r="BT451" s="107" t="n">
        <v>0</v>
      </c>
      <c r="BU451" s="107" t="n">
        <v>0</v>
      </c>
      <c r="BV451" s="107" t="n">
        <v>0</v>
      </c>
      <c r="BW451" s="107" t="n">
        <v>0</v>
      </c>
      <c r="BX451" s="107" t="n">
        <v>0</v>
      </c>
      <c r="BY451" s="107" t="n">
        <v>1.33</v>
      </c>
      <c r="BZ451" s="107" t="n">
        <v>1806</v>
      </c>
      <c r="CA451" s="107" t="n">
        <v>1383.8</v>
      </c>
      <c r="CB451" s="2"/>
      <c r="CC451" s="107" t="n">
        <v>0</v>
      </c>
      <c r="CD451" s="107" t="n">
        <v>99.54</v>
      </c>
      <c r="CE451" s="107" t="n">
        <v>99.51</v>
      </c>
      <c r="CF451" s="107" t="n">
        <v>99.52</v>
      </c>
      <c r="CG451" s="107" t="n">
        <v>200000</v>
      </c>
      <c r="CH451" s="107" t="n">
        <v>2.6909</v>
      </c>
      <c r="CI451" s="2"/>
      <c r="CJ451" s="2"/>
      <c r="CK451" s="2"/>
      <c r="CL451" s="2"/>
    </row>
    <row r="452" customFormat="false" ht="15" hidden="false" customHeight="false" outlineLevel="0" collapsed="false">
      <c r="A452" s="107" t="n">
        <v>0</v>
      </c>
      <c r="B452" s="2"/>
      <c r="C452" s="107" t="n">
        <v>0</v>
      </c>
      <c r="D452" s="107" t="n">
        <v>0</v>
      </c>
      <c r="E452" s="2"/>
      <c r="F452" s="108" t="s">
        <v>358</v>
      </c>
      <c r="G452" s="107" t="n">
        <v>0</v>
      </c>
      <c r="H452" s="2"/>
      <c r="I452" s="2"/>
      <c r="J452" s="2"/>
      <c r="K452" s="2"/>
      <c r="L452" s="2"/>
      <c r="M452" s="107" t="n">
        <v>0</v>
      </c>
      <c r="N452" s="107" t="n">
        <v>0</v>
      </c>
      <c r="O452" s="107" t="n">
        <v>0</v>
      </c>
      <c r="P452" s="2"/>
      <c r="Q452" s="2"/>
      <c r="R452" s="2"/>
      <c r="S452" s="2"/>
      <c r="T452" s="107" t="n">
        <v>0</v>
      </c>
      <c r="U452" s="107" t="n">
        <v>21069</v>
      </c>
      <c r="V452" s="108" t="s">
        <v>362</v>
      </c>
      <c r="W452" s="107" t="n">
        <v>42011</v>
      </c>
      <c r="X452" s="108" t="s">
        <v>372</v>
      </c>
      <c r="Y452" s="107" t="s">
        <v>948</v>
      </c>
      <c r="Z452" s="107" t="s">
        <v>952</v>
      </c>
      <c r="AA452" s="109" t="n">
        <v>46295</v>
      </c>
      <c r="AB452" s="107" t="n">
        <v>260930000001</v>
      </c>
      <c r="AC452" s="109" t="n">
        <v>46295</v>
      </c>
      <c r="AD452" s="109" t="n">
        <v>48121</v>
      </c>
      <c r="AE452" s="107" t="n">
        <v>5.375</v>
      </c>
      <c r="AF452" s="107" t="n">
        <v>4.365</v>
      </c>
      <c r="AG452" s="107" t="n">
        <v>1826</v>
      </c>
      <c r="AH452" s="107" t="n">
        <v>200000</v>
      </c>
      <c r="AI452" s="107" t="n">
        <v>5.396932</v>
      </c>
      <c r="AJ452" s="107" t="n">
        <v>99.905</v>
      </c>
      <c r="AK452" s="107" t="n">
        <v>5.396932</v>
      </c>
      <c r="AL452" s="107" t="n">
        <v>99.905</v>
      </c>
      <c r="AM452" s="107" t="n">
        <v>5.6161</v>
      </c>
      <c r="AN452" s="107" t="n">
        <v>98.9609</v>
      </c>
      <c r="AO452" s="107" t="n">
        <v>1358.4</v>
      </c>
      <c r="AP452" s="107" t="n">
        <v>1</v>
      </c>
      <c r="AQ452" s="107" t="n">
        <v>197921.8</v>
      </c>
      <c r="AR452" s="107" t="n">
        <v>268856973</v>
      </c>
      <c r="AS452" s="107" t="n">
        <v>199809.07</v>
      </c>
      <c r="AT452" s="107" t="n">
        <v>276495792</v>
      </c>
      <c r="AU452" s="107" t="n">
        <v>-1887.27</v>
      </c>
      <c r="AV452" s="107" t="n">
        <v>-2563668</v>
      </c>
      <c r="AW452" s="107" t="n">
        <v>0</v>
      </c>
      <c r="AX452" s="107" t="n">
        <v>0</v>
      </c>
      <c r="AY452" s="107" t="n">
        <v>0.93</v>
      </c>
      <c r="AZ452" s="107" t="n">
        <v>1286</v>
      </c>
      <c r="BA452" s="107" t="n">
        <v>0</v>
      </c>
      <c r="BB452" s="107" t="n">
        <v>0</v>
      </c>
      <c r="BC452" s="107" t="n">
        <v>0</v>
      </c>
      <c r="BD452" s="107" t="n">
        <v>0</v>
      </c>
      <c r="BE452" s="107" t="n">
        <v>0</v>
      </c>
      <c r="BF452" s="107" t="n">
        <v>0</v>
      </c>
      <c r="BG452" s="107" t="n">
        <v>0</v>
      </c>
      <c r="BH452" s="107" t="n">
        <v>0</v>
      </c>
      <c r="BI452" s="107" t="n">
        <v>199809.07</v>
      </c>
      <c r="BJ452" s="107" t="n">
        <v>276495792</v>
      </c>
      <c r="BK452" s="107" t="n">
        <v>0</v>
      </c>
      <c r="BL452" s="107" t="n">
        <v>0</v>
      </c>
      <c r="BM452" s="107" t="n">
        <v>0</v>
      </c>
      <c r="BN452" s="107" t="n">
        <v>0</v>
      </c>
      <c r="BO452" s="107" t="s">
        <v>361</v>
      </c>
      <c r="BP452" s="2"/>
      <c r="BQ452" s="107" t="s">
        <v>369</v>
      </c>
      <c r="BR452" s="107" t="n">
        <v>-5075151</v>
      </c>
      <c r="BS452" s="107" t="n">
        <v>-23</v>
      </c>
      <c r="BT452" s="107" t="n">
        <v>0</v>
      </c>
      <c r="BU452" s="107" t="n">
        <v>0</v>
      </c>
      <c r="BV452" s="107" t="n">
        <v>0</v>
      </c>
      <c r="BW452" s="107" t="n">
        <v>0</v>
      </c>
      <c r="BX452" s="107" t="n">
        <v>0</v>
      </c>
      <c r="BY452" s="107" t="n">
        <v>0.93</v>
      </c>
      <c r="BZ452" s="107" t="n">
        <v>1263</v>
      </c>
      <c r="CA452" s="107" t="n">
        <v>1383.8</v>
      </c>
      <c r="CB452" s="2"/>
      <c r="CC452" s="107" t="n">
        <v>0</v>
      </c>
      <c r="CD452" s="107" t="n">
        <v>98.96</v>
      </c>
      <c r="CE452" s="107" t="n">
        <v>98.96</v>
      </c>
      <c r="CF452" s="107" t="n">
        <v>98.96</v>
      </c>
      <c r="CG452" s="107" t="n">
        <v>200000</v>
      </c>
      <c r="CH452" s="107" t="n">
        <v>4.2458</v>
      </c>
      <c r="CI452" s="2"/>
      <c r="CJ452" s="2"/>
      <c r="CK452" s="2"/>
      <c r="CL452" s="2"/>
    </row>
    <row r="453" customFormat="false" ht="15" hidden="false" customHeight="false" outlineLevel="0" collapsed="false">
      <c r="A453" s="107" t="n">
        <v>0</v>
      </c>
      <c r="B453" s="2"/>
      <c r="C453" s="107" t="n">
        <v>0</v>
      </c>
      <c r="D453" s="107" t="n">
        <v>0</v>
      </c>
      <c r="E453" s="2"/>
      <c r="F453" s="108" t="s">
        <v>358</v>
      </c>
      <c r="G453" s="107" t="n">
        <v>0</v>
      </c>
      <c r="H453" s="2"/>
      <c r="I453" s="2"/>
      <c r="J453" s="2"/>
      <c r="K453" s="2"/>
      <c r="L453" s="2"/>
      <c r="M453" s="107" t="n">
        <v>0</v>
      </c>
      <c r="N453" s="107" t="n">
        <v>0</v>
      </c>
      <c r="O453" s="107" t="n">
        <v>0</v>
      </c>
      <c r="P453" s="2"/>
      <c r="Q453" s="2"/>
      <c r="R453" s="2"/>
      <c r="S453" s="2"/>
      <c r="T453" s="107" t="n">
        <v>0</v>
      </c>
      <c r="U453" s="107" t="n">
        <v>21069</v>
      </c>
      <c r="V453" s="108" t="s">
        <v>362</v>
      </c>
      <c r="W453" s="107" t="n">
        <v>42011</v>
      </c>
      <c r="X453" s="108" t="s">
        <v>372</v>
      </c>
      <c r="Y453" s="107" t="s">
        <v>950</v>
      </c>
      <c r="Z453" s="107" t="s">
        <v>953</v>
      </c>
      <c r="AA453" s="109" t="n">
        <v>46295</v>
      </c>
      <c r="AB453" s="107" t="n">
        <v>260930000001</v>
      </c>
      <c r="AC453" s="109" t="n">
        <v>46295</v>
      </c>
      <c r="AD453" s="109" t="n">
        <v>47391</v>
      </c>
      <c r="AE453" s="107" t="n">
        <v>0.64</v>
      </c>
      <c r="AF453" s="107" t="n">
        <v>0.0899</v>
      </c>
      <c r="AG453" s="107" t="n">
        <v>1096</v>
      </c>
      <c r="AH453" s="107" t="n">
        <v>500000</v>
      </c>
      <c r="AI453" s="107" t="n">
        <v>4.508582</v>
      </c>
      <c r="AJ453" s="107" t="n">
        <v>100</v>
      </c>
      <c r="AK453" s="107" t="n">
        <v>1.00281</v>
      </c>
      <c r="AL453" s="107" t="n">
        <v>100</v>
      </c>
      <c r="AM453" s="107" t="n">
        <v>4.6977</v>
      </c>
      <c r="AN453" s="107" t="n">
        <v>99.9309</v>
      </c>
      <c r="AO453" s="107" t="n">
        <v>1358.4</v>
      </c>
      <c r="AP453" s="107" t="n">
        <v>1</v>
      </c>
      <c r="AQ453" s="107" t="n">
        <v>499654.5</v>
      </c>
      <c r="AR453" s="107" t="n">
        <v>678730673</v>
      </c>
      <c r="AS453" s="107" t="n">
        <v>500000</v>
      </c>
      <c r="AT453" s="107" t="n">
        <v>691900000</v>
      </c>
      <c r="AU453" s="107" t="n">
        <v>-345.5</v>
      </c>
      <c r="AV453" s="107" t="n">
        <v>-469327</v>
      </c>
      <c r="AW453" s="107" t="n">
        <v>0</v>
      </c>
      <c r="AX453" s="107" t="n">
        <v>0</v>
      </c>
      <c r="AY453" s="107" t="n">
        <v>0</v>
      </c>
      <c r="AZ453" s="107" t="n">
        <v>0</v>
      </c>
      <c r="BA453" s="107" t="n">
        <v>0</v>
      </c>
      <c r="BB453" s="107" t="n">
        <v>0</v>
      </c>
      <c r="BC453" s="107" t="n">
        <v>0</v>
      </c>
      <c r="BD453" s="107" t="n">
        <v>0</v>
      </c>
      <c r="BE453" s="107" t="n">
        <v>0</v>
      </c>
      <c r="BF453" s="107" t="n">
        <v>0</v>
      </c>
      <c r="BG453" s="107" t="n">
        <v>0</v>
      </c>
      <c r="BH453" s="107" t="n">
        <v>0</v>
      </c>
      <c r="BI453" s="107" t="n">
        <v>500000</v>
      </c>
      <c r="BJ453" s="107" t="n">
        <v>691900000</v>
      </c>
      <c r="BK453" s="107" t="n">
        <v>0</v>
      </c>
      <c r="BL453" s="107" t="n">
        <v>0</v>
      </c>
      <c r="BM453" s="107" t="n">
        <v>0</v>
      </c>
      <c r="BN453" s="107" t="n">
        <v>0</v>
      </c>
      <c r="BO453" s="2"/>
      <c r="BP453" s="2"/>
      <c r="BQ453" s="107" t="s">
        <v>369</v>
      </c>
      <c r="BR453" s="107" t="n">
        <v>-12700000</v>
      </c>
      <c r="BS453" s="107" t="n">
        <v>0</v>
      </c>
      <c r="BT453" s="107" t="n">
        <v>0</v>
      </c>
      <c r="BU453" s="107" t="n">
        <v>0</v>
      </c>
      <c r="BV453" s="107" t="n">
        <v>0</v>
      </c>
      <c r="BW453" s="107" t="n">
        <v>0</v>
      </c>
      <c r="BX453" s="107" t="n">
        <v>0</v>
      </c>
      <c r="BY453" s="107" t="n">
        <v>0</v>
      </c>
      <c r="BZ453" s="107" t="n">
        <v>0</v>
      </c>
      <c r="CA453" s="107" t="n">
        <v>1383.8</v>
      </c>
      <c r="CB453" s="2"/>
      <c r="CC453" s="107" t="n">
        <v>0</v>
      </c>
      <c r="CD453" s="107" t="n">
        <v>99.89</v>
      </c>
      <c r="CE453" s="107" t="n">
        <v>100</v>
      </c>
      <c r="CF453" s="107" t="n">
        <v>99.9</v>
      </c>
      <c r="CG453" s="107" t="n">
        <v>500000</v>
      </c>
      <c r="CH453" s="107" t="n">
        <v>0.0889</v>
      </c>
      <c r="CI453" s="2"/>
      <c r="CJ453" s="2"/>
      <c r="CK453" s="2"/>
      <c r="CL45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5" hidden="false" customHeight="false" outlineLevel="0" collapsed="false">
      <c r="A1" s="110" t="s">
        <v>121</v>
      </c>
      <c r="B1" s="110" t="s">
        <v>218</v>
      </c>
      <c r="C1" s="111" t="s">
        <v>127</v>
      </c>
      <c r="D1" s="111" t="s">
        <v>128</v>
      </c>
      <c r="E1" s="111" t="s">
        <v>248</v>
      </c>
      <c r="F1" s="111" t="s">
        <v>249</v>
      </c>
      <c r="G1" s="111" t="s">
        <v>250</v>
      </c>
      <c r="H1" s="111" t="s">
        <v>251</v>
      </c>
      <c r="I1" s="111" t="s">
        <v>252</v>
      </c>
      <c r="J1" s="110" t="s">
        <v>126</v>
      </c>
      <c r="K1" s="110" t="s">
        <v>297</v>
      </c>
      <c r="L1" s="110" t="s">
        <v>124</v>
      </c>
      <c r="M1" s="110" t="s">
        <v>125</v>
      </c>
      <c r="N1" s="110" t="s">
        <v>158</v>
      </c>
      <c r="O1" s="110" t="s">
        <v>39</v>
      </c>
      <c r="P1" s="110" t="s">
        <v>954</v>
      </c>
      <c r="Q1" s="110" t="s">
        <v>955</v>
      </c>
      <c r="R1" s="110" t="s">
        <v>122</v>
      </c>
    </row>
    <row r="2" customFormat="false" ht="15" hidden="false" customHeight="false" outlineLevel="0" collapsed="false">
      <c r="A2" s="107" t="s">
        <v>529</v>
      </c>
      <c r="B2" s="107" t="s">
        <v>114</v>
      </c>
      <c r="C2" s="107" t="n">
        <v>6.148</v>
      </c>
      <c r="D2" s="107" t="n">
        <v>96.954</v>
      </c>
      <c r="E2" s="107" t="n">
        <v>131.37</v>
      </c>
      <c r="F2" s="107" t="n">
        <v>-4.3</v>
      </c>
      <c r="G2" s="107" t="n">
        <v>3.3</v>
      </c>
      <c r="H2" s="107" t="n">
        <v>4.6</v>
      </c>
      <c r="I2" s="107" t="n">
        <v>-2.3</v>
      </c>
      <c r="J2" s="107" t="n">
        <v>3.398</v>
      </c>
      <c r="K2" s="107" t="s">
        <v>956</v>
      </c>
      <c r="L2" s="108" t="s">
        <v>94</v>
      </c>
      <c r="M2" s="107" t="s">
        <v>374</v>
      </c>
      <c r="N2" s="108" t="s">
        <v>90</v>
      </c>
      <c r="O2" s="107" t="n">
        <v>34507</v>
      </c>
      <c r="P2" s="107" t="n">
        <v>20</v>
      </c>
      <c r="Q2" s="107" t="n">
        <v>-31261.6</v>
      </c>
      <c r="R2" s="107" t="s">
        <v>957</v>
      </c>
    </row>
    <row r="3" customFormat="false" ht="15" hidden="false" customHeight="false" outlineLevel="0" collapsed="false">
      <c r="A3" s="107" t="s">
        <v>958</v>
      </c>
      <c r="B3" s="107" t="s">
        <v>114</v>
      </c>
      <c r="C3" s="107" t="n">
        <v>5.56</v>
      </c>
      <c r="D3" s="107" t="n">
        <v>47.288</v>
      </c>
      <c r="E3" s="107" t="n">
        <v>80.929</v>
      </c>
      <c r="F3" s="107" t="n">
        <v>-1.3</v>
      </c>
      <c r="G3" s="107" t="n">
        <v>3.3</v>
      </c>
      <c r="H3" s="107" t="n">
        <v>0.8</v>
      </c>
      <c r="I3" s="107" t="n">
        <v>-1.4</v>
      </c>
      <c r="J3" s="107" t="n">
        <v>4.072</v>
      </c>
      <c r="K3" s="107" t="s">
        <v>956</v>
      </c>
      <c r="L3" s="108" t="s">
        <v>103</v>
      </c>
      <c r="M3" s="107" t="s">
        <v>374</v>
      </c>
      <c r="N3" s="108" t="s">
        <v>959</v>
      </c>
      <c r="O3" s="107" t="n">
        <v>42003</v>
      </c>
      <c r="P3" s="107" t="n">
        <v>3</v>
      </c>
      <c r="Q3" s="107" t="n">
        <v>-977.28</v>
      </c>
      <c r="R3" s="107" t="s">
        <v>960</v>
      </c>
    </row>
    <row r="4" customFormat="false" ht="15" hidden="false" customHeight="false" outlineLevel="0" collapsed="false">
      <c r="A4" s="107" t="s">
        <v>961</v>
      </c>
      <c r="B4" s="107" t="s">
        <v>114</v>
      </c>
      <c r="C4" s="107" t="n">
        <v>5.67</v>
      </c>
      <c r="D4" s="107" t="n">
        <v>58.325</v>
      </c>
      <c r="E4" s="107" t="n">
        <v>91.203</v>
      </c>
      <c r="F4" s="107" t="n">
        <v>-0.9</v>
      </c>
      <c r="G4" s="107" t="n">
        <v>3.8</v>
      </c>
      <c r="H4" s="107" t="n">
        <v>-1.6</v>
      </c>
      <c r="I4" s="107" t="n">
        <v>-0.7</v>
      </c>
      <c r="J4" s="107" t="n">
        <v>4.658</v>
      </c>
      <c r="K4" s="107" t="s">
        <v>962</v>
      </c>
      <c r="L4" s="108" t="s">
        <v>100</v>
      </c>
      <c r="M4" s="2"/>
      <c r="N4" s="108" t="s">
        <v>959</v>
      </c>
      <c r="O4" s="107" t="n">
        <v>42011</v>
      </c>
      <c r="P4" s="107" t="n">
        <v>1</v>
      </c>
      <c r="Q4" s="107" t="n">
        <v>745.28</v>
      </c>
      <c r="R4" s="107" t="s">
        <v>963</v>
      </c>
    </row>
    <row r="5" customFormat="false" ht="15" hidden="false" customHeight="false" outlineLevel="0" collapsed="false">
      <c r="A5" s="107" t="s">
        <v>938</v>
      </c>
      <c r="B5" s="107" t="s">
        <v>116</v>
      </c>
      <c r="C5" s="107" t="n">
        <v>2.022</v>
      </c>
      <c r="D5" s="107" t="n">
        <v>33.4</v>
      </c>
      <c r="E5" s="107" t="n">
        <v>29.127</v>
      </c>
      <c r="F5" s="2"/>
      <c r="G5" s="2"/>
      <c r="H5" s="2"/>
      <c r="I5" s="2"/>
      <c r="J5" s="107" t="n">
        <v>1.125</v>
      </c>
      <c r="K5" s="107" t="s">
        <v>964</v>
      </c>
      <c r="L5" s="108" t="s">
        <v>102</v>
      </c>
      <c r="M5" s="107" t="s">
        <v>361</v>
      </c>
      <c r="N5" s="108" t="s">
        <v>959</v>
      </c>
      <c r="O5" s="107" t="n">
        <v>42006</v>
      </c>
      <c r="P5" s="107" t="n">
        <v>3700</v>
      </c>
      <c r="Q5" s="107" t="n">
        <v>0</v>
      </c>
      <c r="R5" s="107" t="s">
        <v>965</v>
      </c>
    </row>
    <row r="6" customFormat="false" ht="15" hidden="false" customHeight="false" outlineLevel="0" collapsed="false">
      <c r="A6" s="107" t="s">
        <v>941</v>
      </c>
      <c r="B6" s="107" t="s">
        <v>116</v>
      </c>
      <c r="C6" s="107" t="n">
        <v>2.539</v>
      </c>
      <c r="D6" s="107" t="n">
        <v>42.4</v>
      </c>
      <c r="E6" s="107" t="n">
        <v>35.488</v>
      </c>
      <c r="F6" s="2"/>
      <c r="G6" s="2"/>
      <c r="H6" s="2"/>
      <c r="I6" s="2"/>
      <c r="J6" s="107" t="n">
        <v>2.94</v>
      </c>
      <c r="K6" s="107" t="s">
        <v>956</v>
      </c>
      <c r="L6" s="108" t="s">
        <v>102</v>
      </c>
      <c r="M6" s="107" t="s">
        <v>361</v>
      </c>
      <c r="N6" s="108" t="s">
        <v>959</v>
      </c>
      <c r="O6" s="107" t="s">
        <v>966</v>
      </c>
      <c r="P6" s="107" t="n">
        <v>100</v>
      </c>
      <c r="Q6" s="107" t="n">
        <v>0</v>
      </c>
      <c r="R6" s="107" t="s">
        <v>965</v>
      </c>
    </row>
    <row r="7" customFormat="false" ht="15" hidden="false" customHeight="false" outlineLevel="0" collapsed="false">
      <c r="A7" s="107" t="s">
        <v>943</v>
      </c>
      <c r="B7" s="107" t="s">
        <v>116</v>
      </c>
      <c r="C7" s="107" t="n">
        <v>1.794</v>
      </c>
      <c r="D7" s="107" t="n">
        <v>11.2</v>
      </c>
      <c r="E7" s="107" t="n">
        <v>8.295</v>
      </c>
      <c r="F7" s="2"/>
      <c r="G7" s="2"/>
      <c r="H7" s="2"/>
      <c r="I7" s="2"/>
      <c r="J7" s="107" t="n">
        <v>1.087</v>
      </c>
      <c r="K7" s="107" t="s">
        <v>964</v>
      </c>
      <c r="L7" s="108" t="s">
        <v>94</v>
      </c>
      <c r="M7" s="2"/>
      <c r="N7" s="108" t="s">
        <v>959</v>
      </c>
      <c r="O7" s="107" t="n">
        <v>42006</v>
      </c>
      <c r="P7" s="107" t="n">
        <v>100</v>
      </c>
      <c r="Q7" s="107" t="n">
        <v>0</v>
      </c>
      <c r="R7" s="107" t="s">
        <v>967</v>
      </c>
    </row>
    <row r="8" customFormat="false" ht="15" hidden="false" customHeight="false" outlineLevel="0" collapsed="false">
      <c r="A8" s="107" t="s">
        <v>945</v>
      </c>
      <c r="B8" s="107" t="s">
        <v>116</v>
      </c>
      <c r="C8" s="107" t="n">
        <v>2.525</v>
      </c>
      <c r="D8" s="107" t="n">
        <v>56.3</v>
      </c>
      <c r="E8" s="107" t="n">
        <v>49.795</v>
      </c>
      <c r="F8" s="2"/>
      <c r="G8" s="2"/>
      <c r="H8" s="2"/>
      <c r="I8" s="2"/>
      <c r="J8" s="107" t="n">
        <v>2.23</v>
      </c>
      <c r="K8" s="107" t="s">
        <v>964</v>
      </c>
      <c r="L8" s="108" t="s">
        <v>94</v>
      </c>
      <c r="M8" s="2"/>
      <c r="N8" s="108" t="s">
        <v>959</v>
      </c>
      <c r="O8" s="107" t="s">
        <v>966</v>
      </c>
      <c r="P8" s="107" t="n">
        <v>600</v>
      </c>
      <c r="Q8" s="107" t="n">
        <v>0</v>
      </c>
      <c r="R8" s="107" t="s">
        <v>967</v>
      </c>
    </row>
    <row r="9" customFormat="false" ht="15" hidden="false" customHeight="false" outlineLevel="0" collapsed="false">
      <c r="A9" s="107" t="s">
        <v>947</v>
      </c>
      <c r="B9" s="107" t="s">
        <v>116</v>
      </c>
      <c r="C9" s="107" t="n">
        <v>2.506</v>
      </c>
      <c r="D9" s="107" t="n">
        <v>42.4</v>
      </c>
      <c r="E9" s="107" t="n">
        <v>41.768</v>
      </c>
      <c r="F9" s="2"/>
      <c r="G9" s="2"/>
      <c r="H9" s="2"/>
      <c r="I9" s="2"/>
      <c r="J9" s="107" t="n">
        <v>2.592</v>
      </c>
      <c r="K9" s="107" t="s">
        <v>964</v>
      </c>
      <c r="L9" s="108" t="s">
        <v>101</v>
      </c>
      <c r="M9" s="2"/>
      <c r="N9" s="108" t="s">
        <v>959</v>
      </c>
      <c r="O9" s="107" t="n">
        <v>42006</v>
      </c>
      <c r="P9" s="107" t="n">
        <v>1000</v>
      </c>
      <c r="Q9" s="107" t="n">
        <v>0</v>
      </c>
      <c r="R9" s="107" t="s">
        <v>968</v>
      </c>
    </row>
    <row r="10" customFormat="false" ht="15" hidden="false" customHeight="false" outlineLevel="0" collapsed="false">
      <c r="A10" s="107" t="s">
        <v>969</v>
      </c>
      <c r="B10" s="107" t="s">
        <v>114</v>
      </c>
      <c r="C10" s="107" t="n">
        <v>5.518</v>
      </c>
      <c r="D10" s="107" t="n">
        <v>55.531</v>
      </c>
      <c r="E10" s="107" t="n">
        <v>84.045</v>
      </c>
      <c r="F10" s="107" t="n">
        <v>-3.9</v>
      </c>
      <c r="G10" s="107" t="n">
        <v>-2.6</v>
      </c>
      <c r="H10" s="107" t="n">
        <v>-9.3</v>
      </c>
      <c r="I10" s="107" t="n">
        <v>-12</v>
      </c>
      <c r="J10" s="107" t="n">
        <v>2.392</v>
      </c>
      <c r="K10" s="107" t="s">
        <v>964</v>
      </c>
      <c r="L10" s="108" t="s">
        <v>94</v>
      </c>
      <c r="M10" s="2"/>
      <c r="N10" s="108" t="s">
        <v>959</v>
      </c>
      <c r="O10" s="107" t="n">
        <v>34578</v>
      </c>
      <c r="P10" s="107" t="n">
        <v>80</v>
      </c>
      <c r="Q10" s="107" t="n">
        <v>177964.8</v>
      </c>
      <c r="R10" s="107" t="s">
        <v>970</v>
      </c>
    </row>
    <row r="11" customFormat="false" ht="15" hidden="false" customHeight="false" outlineLevel="0" collapsed="false">
      <c r="A11" s="107" t="s">
        <v>531</v>
      </c>
      <c r="B11" s="107" t="s">
        <v>114</v>
      </c>
      <c r="C11" s="107" t="n">
        <v>5.95</v>
      </c>
      <c r="D11" s="107" t="n">
        <v>66.291</v>
      </c>
      <c r="E11" s="107" t="n">
        <v>112.441</v>
      </c>
      <c r="F11" s="107" t="n">
        <v>-4.1</v>
      </c>
      <c r="G11" s="107" t="n">
        <v>-1.9</v>
      </c>
      <c r="H11" s="107" t="n">
        <v>-3.8</v>
      </c>
      <c r="I11" s="107" t="n">
        <v>10.1</v>
      </c>
      <c r="J11" s="107" t="n">
        <v>7.515</v>
      </c>
      <c r="K11" s="107" t="s">
        <v>971</v>
      </c>
      <c r="L11" s="108" t="s">
        <v>103</v>
      </c>
      <c r="M11" s="107" t="s">
        <v>532</v>
      </c>
      <c r="N11" s="108" t="s">
        <v>79</v>
      </c>
      <c r="O11" s="107" t="n">
        <v>34507</v>
      </c>
      <c r="P11" s="107" t="n">
        <v>0.5</v>
      </c>
      <c r="Q11" s="107" t="n">
        <v>1427.85</v>
      </c>
      <c r="R11" s="107" t="s">
        <v>972</v>
      </c>
    </row>
    <row r="12" customFormat="false" ht="15" hidden="false" customHeight="false" outlineLevel="0" collapsed="false">
      <c r="A12" s="107" t="s">
        <v>702</v>
      </c>
      <c r="B12" s="107" t="s">
        <v>114</v>
      </c>
      <c r="C12" s="107" t="n">
        <v>5.755</v>
      </c>
      <c r="D12" s="107" t="n">
        <v>66.853</v>
      </c>
      <c r="E12" s="107" t="n">
        <v>100.286</v>
      </c>
      <c r="F12" s="107" t="n">
        <v>-0.5</v>
      </c>
      <c r="G12" s="107" t="n">
        <v>6.5</v>
      </c>
      <c r="H12" s="107" t="n">
        <v>1.6</v>
      </c>
      <c r="I12" s="107" t="n">
        <v>1.8</v>
      </c>
      <c r="J12" s="107" t="n">
        <v>4.226</v>
      </c>
      <c r="K12" s="107" t="s">
        <v>956</v>
      </c>
      <c r="L12" s="108" t="s">
        <v>94</v>
      </c>
      <c r="M12" s="107" t="s">
        <v>367</v>
      </c>
      <c r="N12" s="108" t="s">
        <v>90</v>
      </c>
      <c r="O12" s="107" t="n">
        <v>38038</v>
      </c>
      <c r="P12" s="107" t="n">
        <v>13</v>
      </c>
      <c r="Q12" s="107" t="n">
        <v>-8790.08</v>
      </c>
      <c r="R12" s="107" t="s">
        <v>973</v>
      </c>
    </row>
    <row r="13" customFormat="false" ht="15" hidden="false" customHeight="false" outlineLevel="0" collapsed="false">
      <c r="A13" s="107" t="s">
        <v>974</v>
      </c>
      <c r="B13" s="107" t="s">
        <v>114</v>
      </c>
      <c r="C13" s="107" t="n">
        <v>5.773</v>
      </c>
      <c r="D13" s="107" t="n">
        <v>68.583</v>
      </c>
      <c r="E13" s="107" t="n">
        <v>103.37</v>
      </c>
      <c r="F13" s="107" t="n">
        <v>-0.3</v>
      </c>
      <c r="G13" s="107" t="n">
        <v>5</v>
      </c>
      <c r="H13" s="107" t="n">
        <v>7</v>
      </c>
      <c r="I13" s="107" t="n">
        <v>10.5</v>
      </c>
      <c r="J13" s="107" t="n">
        <v>3.019</v>
      </c>
      <c r="K13" s="107" t="s">
        <v>956</v>
      </c>
      <c r="L13" s="108" t="s">
        <v>94</v>
      </c>
      <c r="M13" s="107" t="s">
        <v>374</v>
      </c>
      <c r="N13" s="108" t="s">
        <v>90</v>
      </c>
      <c r="O13" s="107" t="n">
        <v>34507</v>
      </c>
      <c r="P13" s="107" t="n">
        <v>0</v>
      </c>
      <c r="Q13" s="107" t="n">
        <v>0</v>
      </c>
      <c r="R13" s="107" t="s">
        <v>973</v>
      </c>
    </row>
    <row r="14" customFormat="false" ht="15" hidden="false" customHeight="false" outlineLevel="0" collapsed="false">
      <c r="A14" s="107" t="s">
        <v>373</v>
      </c>
      <c r="B14" s="107" t="s">
        <v>114</v>
      </c>
      <c r="C14" s="107" t="n">
        <v>5.944</v>
      </c>
      <c r="D14" s="107" t="n">
        <v>85.718</v>
      </c>
      <c r="E14" s="107" t="n">
        <v>119.373</v>
      </c>
      <c r="F14" s="107" t="n">
        <v>-0.8</v>
      </c>
      <c r="G14" s="107" t="n">
        <v>6.4</v>
      </c>
      <c r="H14" s="107" t="n">
        <v>5.6</v>
      </c>
      <c r="I14" s="107" t="n">
        <v>6.9</v>
      </c>
      <c r="J14" s="107" t="n">
        <v>4.02</v>
      </c>
      <c r="K14" s="107" t="s">
        <v>956</v>
      </c>
      <c r="L14" s="108" t="s">
        <v>94</v>
      </c>
      <c r="M14" s="107" t="s">
        <v>374</v>
      </c>
      <c r="N14" s="108" t="s">
        <v>90</v>
      </c>
      <c r="O14" s="107" t="n">
        <v>28096</v>
      </c>
      <c r="P14" s="107" t="n">
        <v>10</v>
      </c>
      <c r="Q14" s="107" t="n">
        <v>-22512</v>
      </c>
      <c r="R14" s="107" t="s">
        <v>973</v>
      </c>
    </row>
    <row r="15" customFormat="false" ht="15" hidden="false" customHeight="false" outlineLevel="0" collapsed="false">
      <c r="A15" s="107" t="s">
        <v>975</v>
      </c>
      <c r="B15" s="107" t="s">
        <v>114</v>
      </c>
      <c r="C15" s="107" t="n">
        <v>5.679</v>
      </c>
      <c r="D15" s="107" t="n">
        <v>67.549</v>
      </c>
      <c r="E15" s="107" t="n">
        <v>102.267</v>
      </c>
      <c r="F15" s="107" t="n">
        <v>-1.9</v>
      </c>
      <c r="G15" s="107" t="n">
        <v>6</v>
      </c>
      <c r="H15" s="107" t="n">
        <v>2.6</v>
      </c>
      <c r="I15" s="107" t="n">
        <v>-4.2</v>
      </c>
      <c r="J15" s="107" t="n">
        <v>3.228</v>
      </c>
      <c r="K15" s="107" t="s">
        <v>956</v>
      </c>
      <c r="L15" s="108" t="s">
        <v>94</v>
      </c>
      <c r="M15" s="107" t="s">
        <v>374</v>
      </c>
      <c r="N15" s="108" t="s">
        <v>79</v>
      </c>
      <c r="O15" s="107" t="n">
        <v>34507</v>
      </c>
      <c r="P15" s="107" t="n">
        <v>0</v>
      </c>
      <c r="Q15" s="107" t="n">
        <v>0</v>
      </c>
      <c r="R15" s="107" t="s">
        <v>976</v>
      </c>
    </row>
    <row r="16" customFormat="false" ht="15" hidden="false" customHeight="false" outlineLevel="0" collapsed="false">
      <c r="A16" s="107" t="s">
        <v>706</v>
      </c>
      <c r="B16" s="107" t="s">
        <v>114</v>
      </c>
      <c r="C16" s="107" t="n">
        <v>6.098</v>
      </c>
      <c r="D16" s="107" t="n">
        <v>85.873</v>
      </c>
      <c r="E16" s="107" t="n">
        <v>133.606</v>
      </c>
      <c r="F16" s="107" t="n">
        <v>-0.7</v>
      </c>
      <c r="G16" s="107" t="n">
        <v>5.3</v>
      </c>
      <c r="H16" s="107" t="n">
        <v>6.7</v>
      </c>
      <c r="I16" s="107" t="n">
        <v>10.2</v>
      </c>
      <c r="J16" s="107" t="n">
        <v>6.779</v>
      </c>
      <c r="K16" s="107" t="s">
        <v>971</v>
      </c>
      <c r="L16" s="108" t="s">
        <v>94</v>
      </c>
      <c r="M16" s="107" t="s">
        <v>374</v>
      </c>
      <c r="N16" s="108" t="s">
        <v>79</v>
      </c>
      <c r="O16" s="107" t="n">
        <v>38038</v>
      </c>
      <c r="P16" s="107" t="n">
        <v>5</v>
      </c>
      <c r="Q16" s="107" t="n">
        <v>-22709.65</v>
      </c>
      <c r="R16" s="107" t="s">
        <v>976</v>
      </c>
    </row>
    <row r="17" customFormat="false" ht="15" hidden="false" customHeight="false" outlineLevel="0" collapsed="false">
      <c r="A17" s="107" t="s">
        <v>977</v>
      </c>
      <c r="B17" s="107" t="s">
        <v>114</v>
      </c>
      <c r="C17" s="107" t="n">
        <v>5.699</v>
      </c>
      <c r="D17" s="107" t="n">
        <v>75.765</v>
      </c>
      <c r="E17" s="107" t="n">
        <v>109.4</v>
      </c>
      <c r="F17" s="107" t="n">
        <v>-1.5</v>
      </c>
      <c r="G17" s="107" t="n">
        <v>4.6</v>
      </c>
      <c r="H17" s="107" t="n">
        <v>-0.2</v>
      </c>
      <c r="I17" s="107" t="n">
        <v>-3.4</v>
      </c>
      <c r="J17" s="107" t="n">
        <v>4.057</v>
      </c>
      <c r="K17" s="107" t="s">
        <v>962</v>
      </c>
      <c r="L17" s="108" t="s">
        <v>94</v>
      </c>
      <c r="M17" s="107" t="s">
        <v>374</v>
      </c>
      <c r="N17" s="108" t="s">
        <v>79</v>
      </c>
      <c r="O17" s="107" t="n">
        <v>28096</v>
      </c>
      <c r="P17" s="107" t="n">
        <v>1</v>
      </c>
      <c r="Q17" s="107" t="n">
        <v>81.14</v>
      </c>
      <c r="R17" s="107" t="s">
        <v>976</v>
      </c>
    </row>
    <row r="18" customFormat="false" ht="15" hidden="false" customHeight="false" outlineLevel="0" collapsed="false">
      <c r="A18" s="107" t="s">
        <v>378</v>
      </c>
      <c r="B18" s="107" t="s">
        <v>114</v>
      </c>
      <c r="C18" s="107" t="n">
        <v>5.208</v>
      </c>
      <c r="D18" s="107" t="n">
        <v>54.993</v>
      </c>
      <c r="E18" s="107" t="n">
        <v>84.711</v>
      </c>
      <c r="F18" s="107" t="n">
        <v>0.6</v>
      </c>
      <c r="G18" s="107" t="n">
        <v>8.7</v>
      </c>
      <c r="H18" s="107" t="n">
        <v>-11</v>
      </c>
      <c r="I18" s="107" t="n">
        <v>-22.9</v>
      </c>
      <c r="J18" s="107" t="n">
        <v>1.36</v>
      </c>
      <c r="K18" s="107" t="s">
        <v>964</v>
      </c>
      <c r="L18" s="108" t="s">
        <v>94</v>
      </c>
      <c r="M18" s="107" t="s">
        <v>377</v>
      </c>
      <c r="N18" s="108" t="s">
        <v>90</v>
      </c>
      <c r="O18" s="107" t="n">
        <v>28096</v>
      </c>
      <c r="P18" s="107" t="n">
        <v>10</v>
      </c>
      <c r="Q18" s="107" t="n">
        <v>14960</v>
      </c>
      <c r="R18" s="107" t="s">
        <v>978</v>
      </c>
    </row>
    <row r="19" customFormat="false" ht="15" hidden="false" customHeight="false" outlineLevel="0" collapsed="false">
      <c r="A19" s="107" t="s">
        <v>746</v>
      </c>
      <c r="B19" s="107" t="s">
        <v>114</v>
      </c>
      <c r="C19" s="107" t="n">
        <v>5.732</v>
      </c>
      <c r="D19" s="107" t="n">
        <v>80.036</v>
      </c>
      <c r="E19" s="107" t="n">
        <v>114.724</v>
      </c>
      <c r="F19" s="107" t="n">
        <v>-2.3</v>
      </c>
      <c r="G19" s="107" t="n">
        <v>6.4</v>
      </c>
      <c r="H19" s="107" t="n">
        <v>-1.8</v>
      </c>
      <c r="I19" s="107" t="n">
        <v>-7.4</v>
      </c>
      <c r="J19" s="107" t="n">
        <v>3.132</v>
      </c>
      <c r="K19" s="107" t="s">
        <v>956</v>
      </c>
      <c r="L19" s="108" t="s">
        <v>94</v>
      </c>
      <c r="M19" s="107" t="s">
        <v>377</v>
      </c>
      <c r="N19" s="108" t="s">
        <v>90</v>
      </c>
      <c r="O19" s="107" t="n">
        <v>38088</v>
      </c>
      <c r="P19" s="107" t="n">
        <v>15</v>
      </c>
      <c r="Q19" s="107" t="n">
        <v>8456.4</v>
      </c>
      <c r="R19" s="107" t="s">
        <v>978</v>
      </c>
    </row>
    <row r="20" customFormat="false" ht="15" hidden="false" customHeight="false" outlineLevel="0" collapsed="false">
      <c r="A20" s="107" t="s">
        <v>380</v>
      </c>
      <c r="B20" s="107" t="s">
        <v>114</v>
      </c>
      <c r="C20" s="107" t="n">
        <v>5.857</v>
      </c>
      <c r="D20" s="107" t="n">
        <v>93.504</v>
      </c>
      <c r="E20" s="107" t="n">
        <v>127.281</v>
      </c>
      <c r="F20" s="107" t="n">
        <v>-1.2</v>
      </c>
      <c r="G20" s="107" t="n">
        <v>3.7</v>
      </c>
      <c r="H20" s="107" t="n">
        <v>-1.4</v>
      </c>
      <c r="I20" s="107" t="n">
        <v>-5.9</v>
      </c>
      <c r="J20" s="107" t="n">
        <v>4.002</v>
      </c>
      <c r="K20" s="107" t="s">
        <v>962</v>
      </c>
      <c r="L20" s="108" t="s">
        <v>94</v>
      </c>
      <c r="M20" s="107" t="s">
        <v>377</v>
      </c>
      <c r="N20" s="108" t="s">
        <v>90</v>
      </c>
      <c r="O20" s="107" t="n">
        <v>28096</v>
      </c>
      <c r="P20" s="107" t="n">
        <v>10</v>
      </c>
      <c r="Q20" s="107" t="n">
        <v>5602.8</v>
      </c>
      <c r="R20" s="107" t="s">
        <v>978</v>
      </c>
    </row>
    <row r="21" customFormat="false" ht="15" hidden="false" customHeight="false" outlineLevel="0" collapsed="false">
      <c r="A21" s="107" t="s">
        <v>382</v>
      </c>
      <c r="B21" s="107" t="s">
        <v>114</v>
      </c>
      <c r="C21" s="107" t="n">
        <v>5.922</v>
      </c>
      <c r="D21" s="107" t="n">
        <v>99.679</v>
      </c>
      <c r="E21" s="107" t="n">
        <v>133.158</v>
      </c>
      <c r="F21" s="107" t="n">
        <v>-1.2</v>
      </c>
      <c r="G21" s="107" t="n">
        <v>7.9</v>
      </c>
      <c r="H21" s="107" t="n">
        <v>-2.3</v>
      </c>
      <c r="I21" s="107" t="n">
        <v>-2.9</v>
      </c>
      <c r="J21" s="107" t="n">
        <v>4.195</v>
      </c>
      <c r="K21" s="107" t="s">
        <v>962</v>
      </c>
      <c r="L21" s="108" t="s">
        <v>94</v>
      </c>
      <c r="M21" s="107" t="s">
        <v>377</v>
      </c>
      <c r="N21" s="108" t="s">
        <v>90</v>
      </c>
      <c r="O21" s="107" t="s">
        <v>966</v>
      </c>
      <c r="P21" s="107" t="n">
        <v>5</v>
      </c>
      <c r="Q21" s="107" t="n">
        <v>4824.25</v>
      </c>
      <c r="R21" s="107" t="s">
        <v>978</v>
      </c>
    </row>
    <row r="22" customFormat="false" ht="15" hidden="false" customHeight="false" outlineLevel="0" collapsed="false">
      <c r="A22" s="107" t="s">
        <v>534</v>
      </c>
      <c r="B22" s="107" t="s">
        <v>114</v>
      </c>
      <c r="C22" s="107" t="n">
        <v>5.75</v>
      </c>
      <c r="D22" s="107" t="n">
        <v>91.092</v>
      </c>
      <c r="E22" s="107" t="n">
        <v>117.375</v>
      </c>
      <c r="F22" s="107" t="n">
        <v>-2</v>
      </c>
      <c r="G22" s="107" t="n">
        <v>7.1</v>
      </c>
      <c r="H22" s="107" t="n">
        <v>1.1</v>
      </c>
      <c r="I22" s="107" t="n">
        <v>-0.1</v>
      </c>
      <c r="J22" s="107" t="n">
        <v>2.869</v>
      </c>
      <c r="K22" s="107" t="s">
        <v>956</v>
      </c>
      <c r="L22" s="108" t="s">
        <v>94</v>
      </c>
      <c r="M22" s="107" t="s">
        <v>374</v>
      </c>
      <c r="N22" s="108" t="s">
        <v>90</v>
      </c>
      <c r="O22" s="107" t="n">
        <v>34507</v>
      </c>
      <c r="P22" s="107" t="n">
        <v>5</v>
      </c>
      <c r="Q22" s="107" t="n">
        <v>-1577.95</v>
      </c>
      <c r="R22" s="107" t="s">
        <v>957</v>
      </c>
    </row>
    <row r="23" customFormat="false" ht="15" hidden="false" customHeight="false" outlineLevel="0" collapsed="false">
      <c r="A23" s="107" t="s">
        <v>979</v>
      </c>
      <c r="B23" s="107" t="s">
        <v>114</v>
      </c>
      <c r="C23" s="107" t="n">
        <v>5.884</v>
      </c>
      <c r="D23" s="107" t="n">
        <v>86.834</v>
      </c>
      <c r="E23" s="107" t="n">
        <v>121.336</v>
      </c>
      <c r="F23" s="107" t="n">
        <v>-2.2</v>
      </c>
      <c r="G23" s="107" t="n">
        <v>8.5</v>
      </c>
      <c r="H23" s="107" t="n">
        <v>4.4</v>
      </c>
      <c r="I23" s="107" t="n">
        <v>1</v>
      </c>
      <c r="J23" s="107" t="n">
        <v>3.266</v>
      </c>
      <c r="K23" s="107" t="s">
        <v>956</v>
      </c>
      <c r="L23" s="108" t="s">
        <v>94</v>
      </c>
      <c r="M23" s="107" t="s">
        <v>374</v>
      </c>
      <c r="N23" s="108" t="s">
        <v>90</v>
      </c>
      <c r="O23" s="107" t="n">
        <v>28096</v>
      </c>
      <c r="P23" s="107" t="n">
        <v>0</v>
      </c>
      <c r="Q23" s="107" t="n">
        <v>0</v>
      </c>
      <c r="R23" s="107" t="s">
        <v>957</v>
      </c>
    </row>
    <row r="24" customFormat="false" ht="15" hidden="false" customHeight="false" outlineLevel="0" collapsed="false">
      <c r="A24" s="107" t="s">
        <v>386</v>
      </c>
      <c r="B24" s="107" t="s">
        <v>114</v>
      </c>
      <c r="C24" s="107" t="n">
        <v>5.807</v>
      </c>
      <c r="D24" s="107" t="n">
        <v>72.018</v>
      </c>
      <c r="E24" s="107" t="n">
        <v>105.103</v>
      </c>
      <c r="F24" s="107" t="n">
        <v>-2.3</v>
      </c>
      <c r="G24" s="107" t="n">
        <v>2.7</v>
      </c>
      <c r="H24" s="107" t="n">
        <v>-10.2</v>
      </c>
      <c r="I24" s="107" t="n">
        <v>15.1</v>
      </c>
      <c r="J24" s="107" t="n">
        <v>4.466</v>
      </c>
      <c r="K24" s="107" t="s">
        <v>962</v>
      </c>
      <c r="L24" s="108" t="s">
        <v>96</v>
      </c>
      <c r="M24" s="107" t="s">
        <v>374</v>
      </c>
      <c r="N24" s="108" t="s">
        <v>79</v>
      </c>
      <c r="O24" s="107" t="n">
        <v>28096</v>
      </c>
      <c r="P24" s="107" t="n">
        <v>10</v>
      </c>
      <c r="Q24" s="107" t="n">
        <v>45553.2</v>
      </c>
      <c r="R24" s="107" t="s">
        <v>980</v>
      </c>
    </row>
    <row r="25" customFormat="false" ht="15" hidden="false" customHeight="false" outlineLevel="0" collapsed="false">
      <c r="A25" s="107" t="s">
        <v>981</v>
      </c>
      <c r="B25" s="107" t="s">
        <v>114</v>
      </c>
      <c r="C25" s="107" t="n">
        <v>4.649</v>
      </c>
      <c r="D25" s="107" t="n">
        <v>-24.054</v>
      </c>
      <c r="E25" s="107" t="n">
        <v>59.064</v>
      </c>
      <c r="F25" s="107" t="n">
        <v>-0.2</v>
      </c>
      <c r="G25" s="107" t="n">
        <v>6.5</v>
      </c>
      <c r="H25" s="107" t="n">
        <v>-18</v>
      </c>
      <c r="I25" s="107" t="n">
        <v>-43</v>
      </c>
      <c r="J25" s="107" t="n">
        <v>0.272</v>
      </c>
      <c r="K25" s="107" t="s">
        <v>982</v>
      </c>
      <c r="L25" s="108" t="s">
        <v>94</v>
      </c>
      <c r="M25" s="107" t="s">
        <v>374</v>
      </c>
      <c r="N25" s="108" t="s">
        <v>90</v>
      </c>
      <c r="O25" s="107" t="n">
        <v>38038</v>
      </c>
      <c r="P25" s="107" t="n">
        <v>5</v>
      </c>
      <c r="Q25" s="107" t="n">
        <v>2448</v>
      </c>
      <c r="R25" s="107" t="s">
        <v>983</v>
      </c>
    </row>
    <row r="26" customFormat="false" ht="15" hidden="false" customHeight="false" outlineLevel="0" collapsed="false">
      <c r="A26" s="107" t="s">
        <v>984</v>
      </c>
      <c r="B26" s="107" t="s">
        <v>114</v>
      </c>
      <c r="C26" s="107" t="n">
        <v>5.186</v>
      </c>
      <c r="D26" s="107" t="n">
        <v>9.941</v>
      </c>
      <c r="E26" s="107" t="n">
        <v>43.755</v>
      </c>
      <c r="F26" s="107" t="n">
        <v>-1.2</v>
      </c>
      <c r="G26" s="107" t="n">
        <v>5.5</v>
      </c>
      <c r="H26" s="107" t="n">
        <v>-7.4</v>
      </c>
      <c r="I26" s="107" t="n">
        <v>-6.8</v>
      </c>
      <c r="J26" s="107" t="n">
        <v>4.219</v>
      </c>
      <c r="K26" s="107" t="s">
        <v>956</v>
      </c>
      <c r="L26" s="108" t="s">
        <v>102</v>
      </c>
      <c r="M26" s="107" t="s">
        <v>361</v>
      </c>
      <c r="N26" s="108" t="s">
        <v>959</v>
      </c>
      <c r="O26" s="107" t="n">
        <v>42003</v>
      </c>
      <c r="P26" s="107" t="n">
        <v>10</v>
      </c>
      <c r="Q26" s="107" t="n">
        <v>31220.6</v>
      </c>
      <c r="R26" s="107" t="s">
        <v>965</v>
      </c>
    </row>
    <row r="27" customFormat="false" ht="15" hidden="false" customHeight="false" outlineLevel="0" collapsed="false">
      <c r="A27" s="107" t="s">
        <v>985</v>
      </c>
      <c r="B27" s="107" t="s">
        <v>114</v>
      </c>
      <c r="C27" s="107" t="n">
        <v>4.483</v>
      </c>
      <c r="D27" s="107" t="n">
        <v>-40.584</v>
      </c>
      <c r="E27" s="107" t="n">
        <v>41.008</v>
      </c>
      <c r="F27" s="107" t="n">
        <v>-0.3</v>
      </c>
      <c r="G27" s="107" t="n">
        <v>-3</v>
      </c>
      <c r="H27" s="107" t="n">
        <v>-29.9</v>
      </c>
      <c r="I27" s="107" t="n">
        <v>-44.5</v>
      </c>
      <c r="J27" s="107" t="n">
        <v>0.294</v>
      </c>
      <c r="K27" s="107" t="s">
        <v>982</v>
      </c>
      <c r="L27" s="108" t="s">
        <v>102</v>
      </c>
      <c r="M27" s="107" t="s">
        <v>361</v>
      </c>
      <c r="N27" s="108" t="s">
        <v>959</v>
      </c>
      <c r="O27" s="107" t="n">
        <v>10227</v>
      </c>
      <c r="P27" s="107" t="n">
        <v>1</v>
      </c>
      <c r="Q27" s="107" t="n">
        <v>879.06</v>
      </c>
      <c r="R27" s="107" t="s">
        <v>965</v>
      </c>
    </row>
    <row r="28" customFormat="false" ht="15" hidden="false" customHeight="false" outlineLevel="0" collapsed="false">
      <c r="A28" s="107" t="s">
        <v>986</v>
      </c>
      <c r="B28" s="107" t="s">
        <v>114</v>
      </c>
      <c r="C28" s="107" t="n">
        <v>5.03</v>
      </c>
      <c r="D28" s="107" t="n">
        <v>14.114</v>
      </c>
      <c r="E28" s="107" t="n">
        <v>34.435</v>
      </c>
      <c r="F28" s="107" t="n">
        <v>-1</v>
      </c>
      <c r="G28" s="107" t="n">
        <v>11</v>
      </c>
      <c r="H28" s="107" t="n">
        <v>5.1</v>
      </c>
      <c r="I28" s="107" t="n">
        <v>-0.7</v>
      </c>
      <c r="J28" s="107" t="n">
        <v>1.887</v>
      </c>
      <c r="K28" s="107" t="s">
        <v>964</v>
      </c>
      <c r="L28" s="108" t="s">
        <v>102</v>
      </c>
      <c r="M28" s="107" t="s">
        <v>361</v>
      </c>
      <c r="N28" s="108" t="s">
        <v>959</v>
      </c>
      <c r="O28" s="107" t="n">
        <v>42003</v>
      </c>
      <c r="P28" s="107" t="n">
        <v>15</v>
      </c>
      <c r="Q28" s="107" t="n">
        <v>-14435.55</v>
      </c>
      <c r="R28" s="107" t="s">
        <v>965</v>
      </c>
    </row>
    <row r="29" customFormat="false" ht="15" hidden="false" customHeight="false" outlineLevel="0" collapsed="false">
      <c r="A29" s="107" t="s">
        <v>987</v>
      </c>
      <c r="B29" s="107" t="s">
        <v>114</v>
      </c>
      <c r="C29" s="107" t="n">
        <v>5.452</v>
      </c>
      <c r="D29" s="107" t="n">
        <v>16.446</v>
      </c>
      <c r="E29" s="107" t="n">
        <v>67.029</v>
      </c>
      <c r="F29" s="107" t="n">
        <v>-0.9</v>
      </c>
      <c r="G29" s="107" t="n">
        <v>1.1</v>
      </c>
      <c r="H29" s="107" t="n">
        <v>2.9</v>
      </c>
      <c r="I29" s="107" t="n">
        <v>6.3</v>
      </c>
      <c r="J29" s="107" t="n">
        <v>5.919</v>
      </c>
      <c r="K29" s="107" t="s">
        <v>962</v>
      </c>
      <c r="L29" s="108" t="s">
        <v>102</v>
      </c>
      <c r="M29" s="107" t="s">
        <v>361</v>
      </c>
      <c r="N29" s="108" t="s">
        <v>959</v>
      </c>
      <c r="O29" s="107" t="n">
        <v>42003</v>
      </c>
      <c r="P29" s="107" t="n">
        <v>0.5</v>
      </c>
      <c r="Q29" s="107" t="n">
        <v>-858.255</v>
      </c>
      <c r="R29" s="107" t="s">
        <v>965</v>
      </c>
    </row>
    <row r="30" customFormat="false" ht="15" hidden="false" customHeight="false" outlineLevel="0" collapsed="false">
      <c r="A30" s="107" t="s">
        <v>988</v>
      </c>
      <c r="B30" s="107" t="s">
        <v>114</v>
      </c>
      <c r="C30" s="107" t="n">
        <v>5.066</v>
      </c>
      <c r="D30" s="107" t="n">
        <v>6.534</v>
      </c>
      <c r="E30" s="107" t="n">
        <v>36.162</v>
      </c>
      <c r="F30" s="107" t="n">
        <v>-1</v>
      </c>
      <c r="G30" s="107" t="n">
        <v>5.5</v>
      </c>
      <c r="H30" s="107" t="n">
        <v>-2.3</v>
      </c>
      <c r="I30" s="107" t="n">
        <v>-5.8</v>
      </c>
      <c r="J30" s="107" t="n">
        <v>2.167</v>
      </c>
      <c r="K30" s="107" t="s">
        <v>964</v>
      </c>
      <c r="L30" s="108" t="s">
        <v>102</v>
      </c>
      <c r="M30" s="107" t="s">
        <v>361</v>
      </c>
      <c r="N30" s="108" t="s">
        <v>959</v>
      </c>
      <c r="O30" s="107" t="n">
        <v>34578</v>
      </c>
      <c r="P30" s="107" t="n">
        <v>2</v>
      </c>
      <c r="Q30" s="107" t="n">
        <v>996.82</v>
      </c>
      <c r="R30" s="107" t="s">
        <v>965</v>
      </c>
    </row>
    <row r="31" customFormat="false" ht="15" hidden="false" customHeight="false" outlineLevel="0" collapsed="false">
      <c r="A31" s="107" t="s">
        <v>782</v>
      </c>
      <c r="B31" s="107" t="s">
        <v>114</v>
      </c>
      <c r="C31" s="107" t="n">
        <v>4.71</v>
      </c>
      <c r="D31" s="107" t="n">
        <v>-17.91</v>
      </c>
      <c r="E31" s="107" t="n">
        <v>24.06</v>
      </c>
      <c r="F31" s="107" t="n">
        <v>0.9</v>
      </c>
      <c r="G31" s="107" t="n">
        <v>15.8</v>
      </c>
      <c r="H31" s="107" t="n">
        <v>-14.3</v>
      </c>
      <c r="I31" s="107" t="n">
        <v>-31</v>
      </c>
      <c r="J31" s="107" t="n">
        <v>0.932</v>
      </c>
      <c r="K31" s="107" t="s">
        <v>982</v>
      </c>
      <c r="L31" s="108" t="s">
        <v>102</v>
      </c>
      <c r="M31" s="107" t="s">
        <v>361</v>
      </c>
      <c r="N31" s="108" t="s">
        <v>959</v>
      </c>
      <c r="O31" s="107" t="n">
        <v>42003</v>
      </c>
      <c r="P31" s="107" t="n">
        <v>0.2</v>
      </c>
      <c r="Q31" s="107" t="n">
        <v>266.552</v>
      </c>
      <c r="R31" s="107" t="s">
        <v>965</v>
      </c>
    </row>
    <row r="32" customFormat="false" ht="15" hidden="false" customHeight="false" outlineLevel="0" collapsed="false">
      <c r="A32" s="107" t="s">
        <v>784</v>
      </c>
      <c r="B32" s="107" t="s">
        <v>114</v>
      </c>
      <c r="C32" s="107" t="n">
        <v>4.951</v>
      </c>
      <c r="D32" s="107" t="n">
        <v>-4.883</v>
      </c>
      <c r="E32" s="107" t="n">
        <v>21.77</v>
      </c>
      <c r="F32" s="107" t="n">
        <v>-2.2</v>
      </c>
      <c r="G32" s="107" t="n">
        <v>3</v>
      </c>
      <c r="H32" s="107" t="n">
        <v>-11.8</v>
      </c>
      <c r="I32" s="107" t="n">
        <v>-19.2</v>
      </c>
      <c r="J32" s="107" t="n">
        <v>2.796</v>
      </c>
      <c r="K32" s="107" t="s">
        <v>964</v>
      </c>
      <c r="L32" s="108" t="s">
        <v>102</v>
      </c>
      <c r="M32" s="107" t="s">
        <v>361</v>
      </c>
      <c r="N32" s="108" t="s">
        <v>959</v>
      </c>
      <c r="O32" s="107" t="n">
        <v>42003</v>
      </c>
      <c r="P32" s="107" t="n">
        <v>0.8</v>
      </c>
      <c r="Q32" s="107" t="n">
        <v>2639.424</v>
      </c>
      <c r="R32" s="107" t="s">
        <v>965</v>
      </c>
    </row>
    <row r="33" customFormat="false" ht="15" hidden="false" customHeight="false" outlineLevel="0" collapsed="false">
      <c r="A33" s="107" t="s">
        <v>989</v>
      </c>
      <c r="B33" s="107" t="s">
        <v>114</v>
      </c>
      <c r="C33" s="107" t="n">
        <v>5.234</v>
      </c>
      <c r="D33" s="107" t="n">
        <v>14.706</v>
      </c>
      <c r="E33" s="107" t="n">
        <v>49.501</v>
      </c>
      <c r="F33" s="107" t="n">
        <v>-3.2</v>
      </c>
      <c r="G33" s="107" t="n">
        <v>16.3</v>
      </c>
      <c r="H33" s="107" t="n">
        <v>8.5</v>
      </c>
      <c r="I33" s="107" t="n">
        <v>-0.5</v>
      </c>
      <c r="J33" s="107" t="n">
        <v>3.042</v>
      </c>
      <c r="K33" s="107" t="s">
        <v>956</v>
      </c>
      <c r="L33" s="108" t="s">
        <v>102</v>
      </c>
      <c r="M33" s="107" t="s">
        <v>361</v>
      </c>
      <c r="N33" s="108" t="s">
        <v>959</v>
      </c>
      <c r="O33" s="107" t="s">
        <v>966</v>
      </c>
      <c r="P33" s="107" t="n">
        <v>0</v>
      </c>
      <c r="Q33" s="107" t="n">
        <v>0</v>
      </c>
      <c r="R33" s="107" t="s">
        <v>965</v>
      </c>
    </row>
    <row r="34" customFormat="false" ht="15" hidden="false" customHeight="false" outlineLevel="0" collapsed="false">
      <c r="A34" s="107" t="s">
        <v>990</v>
      </c>
      <c r="B34" s="107" t="s">
        <v>114</v>
      </c>
      <c r="C34" s="107" t="n">
        <v>5.153</v>
      </c>
      <c r="D34" s="107" t="n">
        <v>6.612</v>
      </c>
      <c r="E34" s="107" t="n">
        <v>40.769</v>
      </c>
      <c r="F34" s="107" t="n">
        <v>0.7</v>
      </c>
      <c r="G34" s="107" t="n">
        <v>-3.6</v>
      </c>
      <c r="H34" s="107" t="n">
        <v>-7.5</v>
      </c>
      <c r="I34" s="107" t="n">
        <v>-8.6</v>
      </c>
      <c r="J34" s="107" t="n">
        <v>3.716</v>
      </c>
      <c r="K34" s="107" t="s">
        <v>956</v>
      </c>
      <c r="L34" s="108" t="s">
        <v>102</v>
      </c>
      <c r="M34" s="107" t="s">
        <v>361</v>
      </c>
      <c r="N34" s="108" t="s">
        <v>959</v>
      </c>
      <c r="O34" s="107" t="n">
        <v>42003</v>
      </c>
      <c r="P34" s="107" t="n">
        <v>11.5</v>
      </c>
      <c r="Q34" s="107" t="n">
        <v>32050.5</v>
      </c>
      <c r="R34" s="107" t="s">
        <v>965</v>
      </c>
    </row>
    <row r="35" customFormat="false" ht="15" hidden="false" customHeight="false" outlineLevel="0" collapsed="false">
      <c r="A35" s="107" t="s">
        <v>991</v>
      </c>
      <c r="B35" s="107" t="s">
        <v>114</v>
      </c>
      <c r="C35" s="107" t="n">
        <v>5.02</v>
      </c>
      <c r="D35" s="107" t="n">
        <v>1.952</v>
      </c>
      <c r="E35" s="107" t="n">
        <v>31.556</v>
      </c>
      <c r="F35" s="107" t="n">
        <v>-4</v>
      </c>
      <c r="G35" s="107" t="n">
        <v>2.1</v>
      </c>
      <c r="H35" s="107" t="n">
        <v>-5.6</v>
      </c>
      <c r="I35" s="107" t="n">
        <v>-12.6</v>
      </c>
      <c r="J35" s="107" t="n">
        <v>2.189</v>
      </c>
      <c r="K35" s="107" t="s">
        <v>964</v>
      </c>
      <c r="L35" s="108" t="s">
        <v>102</v>
      </c>
      <c r="M35" s="107" t="s">
        <v>361</v>
      </c>
      <c r="N35" s="108" t="s">
        <v>959</v>
      </c>
      <c r="O35" s="107" t="n">
        <v>42003</v>
      </c>
      <c r="P35" s="107" t="n">
        <v>3.7</v>
      </c>
      <c r="Q35" s="107" t="n">
        <v>4535.608</v>
      </c>
      <c r="R35" s="107" t="s">
        <v>965</v>
      </c>
    </row>
    <row r="36" customFormat="false" ht="15" hidden="false" customHeight="false" outlineLevel="0" collapsed="false">
      <c r="A36" s="107" t="s">
        <v>992</v>
      </c>
      <c r="B36" s="107" t="s">
        <v>114</v>
      </c>
      <c r="C36" s="107" t="n">
        <v>5.268</v>
      </c>
      <c r="D36" s="107" t="n">
        <v>18.153</v>
      </c>
      <c r="E36" s="107" t="n">
        <v>52.033</v>
      </c>
      <c r="F36" s="107" t="n">
        <v>-2</v>
      </c>
      <c r="G36" s="107" t="n">
        <v>9.3</v>
      </c>
      <c r="H36" s="107" t="n">
        <v>4.3</v>
      </c>
      <c r="I36" s="107" t="n">
        <v>1.8</v>
      </c>
      <c r="J36" s="107" t="n">
        <v>3.942</v>
      </c>
      <c r="K36" s="107" t="s">
        <v>956</v>
      </c>
      <c r="L36" s="108" t="s">
        <v>102</v>
      </c>
      <c r="M36" s="107" t="s">
        <v>361</v>
      </c>
      <c r="N36" s="108" t="s">
        <v>959</v>
      </c>
      <c r="O36" s="107" t="n">
        <v>42003</v>
      </c>
      <c r="P36" s="107" t="n">
        <v>5</v>
      </c>
      <c r="Q36" s="107" t="n">
        <v>-8475.3</v>
      </c>
      <c r="R36" s="107" t="s">
        <v>965</v>
      </c>
    </row>
    <row r="37" customFormat="false" ht="15" hidden="false" customHeight="false" outlineLevel="0" collapsed="false">
      <c r="A37" s="107" t="s">
        <v>993</v>
      </c>
      <c r="B37" s="107" t="s">
        <v>114</v>
      </c>
      <c r="C37" s="107" t="n">
        <v>5.611</v>
      </c>
      <c r="D37" s="107" t="n">
        <v>32.403</v>
      </c>
      <c r="E37" s="107" t="n">
        <v>78.738</v>
      </c>
      <c r="F37" s="107" t="n">
        <v>-0.2</v>
      </c>
      <c r="G37" s="107" t="n">
        <v>3.4</v>
      </c>
      <c r="H37" s="107" t="n">
        <v>1</v>
      </c>
      <c r="I37" s="107" t="n">
        <v>2.9</v>
      </c>
      <c r="J37" s="107" t="n">
        <v>7.559</v>
      </c>
      <c r="K37" s="107" t="s">
        <v>971</v>
      </c>
      <c r="L37" s="108" t="s">
        <v>102</v>
      </c>
      <c r="M37" s="107" t="s">
        <v>361</v>
      </c>
      <c r="N37" s="108" t="s">
        <v>959</v>
      </c>
      <c r="O37" s="107" t="n">
        <v>42003</v>
      </c>
      <c r="P37" s="107" t="n">
        <v>10</v>
      </c>
      <c r="Q37" s="107" t="n">
        <v>-7559</v>
      </c>
      <c r="R37" s="107" t="s">
        <v>965</v>
      </c>
    </row>
    <row r="38" customFormat="false" ht="15" hidden="false" customHeight="false" outlineLevel="0" collapsed="false">
      <c r="A38" s="107" t="s">
        <v>994</v>
      </c>
      <c r="B38" s="107" t="s">
        <v>114</v>
      </c>
      <c r="C38" s="107" t="n">
        <v>5.029</v>
      </c>
      <c r="D38" s="107" t="n">
        <v>2.838</v>
      </c>
      <c r="E38" s="107" t="n">
        <v>30.14</v>
      </c>
      <c r="F38" s="107" t="n">
        <v>-2.1</v>
      </c>
      <c r="G38" s="107" t="n">
        <v>14.2</v>
      </c>
      <c r="H38" s="107" t="n">
        <v>-6</v>
      </c>
      <c r="I38" s="107" t="n">
        <v>-14.9</v>
      </c>
      <c r="J38" s="107" t="n">
        <v>2.642</v>
      </c>
      <c r="K38" s="107" t="s">
        <v>964</v>
      </c>
      <c r="L38" s="108" t="s">
        <v>102</v>
      </c>
      <c r="M38" s="107" t="s">
        <v>361</v>
      </c>
      <c r="N38" s="108" t="s">
        <v>959</v>
      </c>
      <c r="O38" s="107" t="s">
        <v>966</v>
      </c>
      <c r="P38" s="107" t="n">
        <v>0.5</v>
      </c>
      <c r="Q38" s="107" t="n">
        <v>792.6</v>
      </c>
      <c r="R38" s="107" t="s">
        <v>965</v>
      </c>
    </row>
    <row r="39" customFormat="false" ht="15" hidden="false" customHeight="false" outlineLevel="0" collapsed="false">
      <c r="A39" s="107" t="s">
        <v>995</v>
      </c>
      <c r="B39" s="107" t="s">
        <v>114</v>
      </c>
      <c r="C39" s="107" t="n">
        <v>5.238</v>
      </c>
      <c r="D39" s="107" t="n">
        <v>15.142</v>
      </c>
      <c r="E39" s="107" t="n">
        <v>48.563</v>
      </c>
      <c r="F39" s="107" t="n">
        <v>-1.8</v>
      </c>
      <c r="G39" s="107" t="n">
        <v>9.5</v>
      </c>
      <c r="H39" s="107" t="n">
        <v>-2.4</v>
      </c>
      <c r="I39" s="107" t="n">
        <v>-6.1</v>
      </c>
      <c r="J39" s="107" t="n">
        <v>4.323</v>
      </c>
      <c r="K39" s="107" t="s">
        <v>956</v>
      </c>
      <c r="L39" s="108" t="s">
        <v>102</v>
      </c>
      <c r="M39" s="107" t="s">
        <v>361</v>
      </c>
      <c r="N39" s="108" t="s">
        <v>959</v>
      </c>
      <c r="O39" s="107" t="s">
        <v>966</v>
      </c>
      <c r="P39" s="107" t="n">
        <v>0.5</v>
      </c>
      <c r="Q39" s="107" t="n">
        <v>518.76</v>
      </c>
      <c r="R39" s="107" t="s">
        <v>965</v>
      </c>
    </row>
    <row r="40" customFormat="false" ht="15" hidden="false" customHeight="false" outlineLevel="0" collapsed="false">
      <c r="A40" s="107" t="s">
        <v>747</v>
      </c>
      <c r="B40" s="107" t="s">
        <v>114</v>
      </c>
      <c r="C40" s="107" t="n">
        <v>5.63</v>
      </c>
      <c r="D40" s="107" t="n">
        <v>80.467</v>
      </c>
      <c r="E40" s="107" t="n">
        <v>106.819</v>
      </c>
      <c r="F40" s="107" t="n">
        <v>-3.3</v>
      </c>
      <c r="G40" s="107" t="n">
        <v>7</v>
      </c>
      <c r="H40" s="107" t="n">
        <v>1.1</v>
      </c>
      <c r="I40" s="107" t="n">
        <v>-3</v>
      </c>
      <c r="J40" s="107" t="n">
        <v>2.822</v>
      </c>
      <c r="K40" s="107" t="s">
        <v>956</v>
      </c>
      <c r="L40" s="108" t="s">
        <v>94</v>
      </c>
      <c r="M40" s="107" t="s">
        <v>377</v>
      </c>
      <c r="N40" s="108" t="s">
        <v>79</v>
      </c>
      <c r="O40" s="107" t="n">
        <v>38088</v>
      </c>
      <c r="P40" s="107" t="n">
        <v>0.5</v>
      </c>
      <c r="Q40" s="107" t="n">
        <v>-155.21</v>
      </c>
      <c r="R40" s="107" t="s">
        <v>996</v>
      </c>
    </row>
    <row r="41" customFormat="false" ht="15" hidden="false" customHeight="false" outlineLevel="0" collapsed="false">
      <c r="A41" s="107" t="s">
        <v>536</v>
      </c>
      <c r="B41" s="107" t="s">
        <v>114</v>
      </c>
      <c r="C41" s="107" t="n">
        <v>5.697</v>
      </c>
      <c r="D41" s="107" t="n">
        <v>80.286</v>
      </c>
      <c r="E41" s="107" t="n">
        <v>115.045</v>
      </c>
      <c r="F41" s="107" t="n">
        <v>-1.1</v>
      </c>
      <c r="G41" s="107" t="n">
        <v>6.4</v>
      </c>
      <c r="H41" s="107" t="n">
        <v>2.8</v>
      </c>
      <c r="I41" s="107" t="n">
        <v>-3.3</v>
      </c>
      <c r="J41" s="107" t="n">
        <v>3.063</v>
      </c>
      <c r="K41" s="107" t="s">
        <v>956</v>
      </c>
      <c r="L41" s="108" t="s">
        <v>94</v>
      </c>
      <c r="M41" s="107" t="s">
        <v>377</v>
      </c>
      <c r="N41" s="108" t="s">
        <v>79</v>
      </c>
      <c r="O41" s="107" t="n">
        <v>34507</v>
      </c>
      <c r="P41" s="107" t="n">
        <v>1</v>
      </c>
      <c r="Q41" s="107" t="n">
        <v>-857.64</v>
      </c>
      <c r="R41" s="107" t="s">
        <v>996</v>
      </c>
    </row>
    <row r="42" customFormat="false" ht="15" hidden="false" customHeight="false" outlineLevel="0" collapsed="false">
      <c r="A42" s="107" t="s">
        <v>710</v>
      </c>
      <c r="B42" s="107" t="s">
        <v>114</v>
      </c>
      <c r="C42" s="107" t="n">
        <v>5.764</v>
      </c>
      <c r="D42" s="107" t="n">
        <v>85.393</v>
      </c>
      <c r="E42" s="107" t="n">
        <v>119.478</v>
      </c>
      <c r="F42" s="107" t="n">
        <v>-0.9</v>
      </c>
      <c r="G42" s="107" t="n">
        <v>8.7</v>
      </c>
      <c r="H42" s="107" t="n">
        <v>1.3</v>
      </c>
      <c r="I42" s="107" t="n">
        <v>-0.8</v>
      </c>
      <c r="J42" s="107" t="n">
        <v>3.672</v>
      </c>
      <c r="K42" s="107" t="s">
        <v>962</v>
      </c>
      <c r="L42" s="108" t="s">
        <v>94</v>
      </c>
      <c r="M42" s="107" t="s">
        <v>377</v>
      </c>
      <c r="N42" s="108" t="s">
        <v>79</v>
      </c>
      <c r="O42" s="107" t="n">
        <v>38038</v>
      </c>
      <c r="P42" s="107" t="n">
        <v>10</v>
      </c>
      <c r="Q42" s="107" t="n">
        <v>-4773.6</v>
      </c>
      <c r="R42" s="107" t="s">
        <v>996</v>
      </c>
    </row>
    <row r="43" customFormat="false" ht="15" hidden="false" customHeight="false" outlineLevel="0" collapsed="false">
      <c r="A43" s="107" t="s">
        <v>389</v>
      </c>
      <c r="B43" s="107" t="s">
        <v>114</v>
      </c>
      <c r="C43" s="107" t="n">
        <v>5.847</v>
      </c>
      <c r="D43" s="107" t="n">
        <v>93.025</v>
      </c>
      <c r="E43" s="107" t="n">
        <v>126.561</v>
      </c>
      <c r="F43" s="107" t="n">
        <v>-1.7</v>
      </c>
      <c r="G43" s="107" t="n">
        <v>5.5</v>
      </c>
      <c r="H43" s="107" t="n">
        <v>1</v>
      </c>
      <c r="I43" s="107" t="n">
        <v>3.2</v>
      </c>
      <c r="J43" s="107" t="n">
        <v>4.143</v>
      </c>
      <c r="K43" s="107" t="s">
        <v>962</v>
      </c>
      <c r="L43" s="108" t="s">
        <v>94</v>
      </c>
      <c r="M43" s="107" t="s">
        <v>377</v>
      </c>
      <c r="N43" s="108" t="s">
        <v>79</v>
      </c>
      <c r="O43" s="107" t="n">
        <v>28096</v>
      </c>
      <c r="P43" s="107" t="n">
        <v>20</v>
      </c>
      <c r="Q43" s="107" t="n">
        <v>-8286</v>
      </c>
      <c r="R43" s="107" t="s">
        <v>996</v>
      </c>
    </row>
    <row r="44" customFormat="false" ht="15" hidden="false" customHeight="false" outlineLevel="0" collapsed="false">
      <c r="A44" s="107" t="s">
        <v>392</v>
      </c>
      <c r="B44" s="107" t="s">
        <v>114</v>
      </c>
      <c r="C44" s="107" t="n">
        <v>5.508</v>
      </c>
      <c r="D44" s="107" t="n">
        <v>59.085</v>
      </c>
      <c r="E44" s="107" t="n">
        <v>85.698</v>
      </c>
      <c r="F44" s="107" t="n">
        <v>1.8</v>
      </c>
      <c r="G44" s="107" t="n">
        <v>8.7</v>
      </c>
      <c r="H44" s="107" t="n">
        <v>-2.8</v>
      </c>
      <c r="I44" s="107" t="n">
        <v>-10.4</v>
      </c>
      <c r="J44" s="107" t="n">
        <v>1.502</v>
      </c>
      <c r="K44" s="107" t="s">
        <v>964</v>
      </c>
      <c r="L44" s="108" t="s">
        <v>94</v>
      </c>
      <c r="M44" s="107" t="s">
        <v>377</v>
      </c>
      <c r="N44" s="108" t="s">
        <v>79</v>
      </c>
      <c r="O44" s="107" t="n">
        <v>28096</v>
      </c>
      <c r="P44" s="107" t="n">
        <v>1.5</v>
      </c>
      <c r="Q44" s="107" t="n">
        <v>630.84</v>
      </c>
      <c r="R44" s="107" t="s">
        <v>996</v>
      </c>
    </row>
    <row r="45" customFormat="false" ht="15" hidden="false" customHeight="false" outlineLevel="0" collapsed="false">
      <c r="A45" s="107" t="s">
        <v>712</v>
      </c>
      <c r="B45" s="107" t="s">
        <v>114</v>
      </c>
      <c r="C45" s="107" t="n">
        <v>5.798</v>
      </c>
      <c r="D45" s="107" t="n">
        <v>90.411</v>
      </c>
      <c r="E45" s="107" t="n">
        <v>124.271</v>
      </c>
      <c r="F45" s="107" t="n">
        <v>-2.5</v>
      </c>
      <c r="G45" s="107" t="n">
        <v>3.8</v>
      </c>
      <c r="H45" s="107" t="n">
        <v>0.7</v>
      </c>
      <c r="I45" s="107" t="n">
        <v>0.3</v>
      </c>
      <c r="J45" s="107" t="n">
        <v>3.911</v>
      </c>
      <c r="K45" s="107" t="s">
        <v>962</v>
      </c>
      <c r="L45" s="108" t="s">
        <v>94</v>
      </c>
      <c r="M45" s="107" t="s">
        <v>377</v>
      </c>
      <c r="N45" s="108" t="s">
        <v>79</v>
      </c>
      <c r="O45" s="107" t="n">
        <v>38038</v>
      </c>
      <c r="P45" s="107" t="n">
        <v>10</v>
      </c>
      <c r="Q45" s="107" t="n">
        <v>-2737.7</v>
      </c>
      <c r="R45" s="107" t="s">
        <v>996</v>
      </c>
    </row>
    <row r="46" customFormat="false" ht="15" hidden="false" customHeight="false" outlineLevel="0" collapsed="false">
      <c r="A46" s="107" t="s">
        <v>638</v>
      </c>
      <c r="B46" s="107" t="s">
        <v>114</v>
      </c>
      <c r="C46" s="107" t="n">
        <v>5.611</v>
      </c>
      <c r="D46" s="107" t="n">
        <v>54.426</v>
      </c>
      <c r="E46" s="107" t="n">
        <v>78.615</v>
      </c>
      <c r="F46" s="107" t="n">
        <v>0.7</v>
      </c>
      <c r="G46" s="107" t="n">
        <v>9.9</v>
      </c>
      <c r="H46" s="107" t="n">
        <v>-2.7</v>
      </c>
      <c r="I46" s="107" t="n">
        <v>-13.8</v>
      </c>
      <c r="J46" s="107" t="n">
        <v>1.647</v>
      </c>
      <c r="K46" s="107" t="s">
        <v>964</v>
      </c>
      <c r="L46" s="108" t="s">
        <v>94</v>
      </c>
      <c r="M46" s="107" t="s">
        <v>374</v>
      </c>
      <c r="N46" s="108" t="s">
        <v>90</v>
      </c>
      <c r="O46" s="107" t="n">
        <v>34578</v>
      </c>
      <c r="P46" s="107" t="n">
        <v>10</v>
      </c>
      <c r="Q46" s="107" t="n">
        <v>4446.9</v>
      </c>
      <c r="R46" s="107" t="s">
        <v>997</v>
      </c>
    </row>
    <row r="47" customFormat="false" ht="15" hidden="false" customHeight="false" outlineLevel="0" collapsed="false">
      <c r="A47" s="107" t="s">
        <v>639</v>
      </c>
      <c r="B47" s="107" t="s">
        <v>114</v>
      </c>
      <c r="C47" s="107" t="n">
        <v>5.791</v>
      </c>
      <c r="D47" s="107" t="n">
        <v>71.253</v>
      </c>
      <c r="E47" s="107" t="n">
        <v>99.277</v>
      </c>
      <c r="F47" s="107" t="n">
        <v>-2.8</v>
      </c>
      <c r="G47" s="107" t="n">
        <v>5.4</v>
      </c>
      <c r="H47" s="107" t="n">
        <v>-3.3</v>
      </c>
      <c r="I47" s="107" t="n">
        <v>-10.8</v>
      </c>
      <c r="J47" s="107" t="n">
        <v>2.492</v>
      </c>
      <c r="K47" s="107" t="s">
        <v>956</v>
      </c>
      <c r="L47" s="108" t="s">
        <v>94</v>
      </c>
      <c r="M47" s="107" t="s">
        <v>374</v>
      </c>
      <c r="N47" s="108" t="s">
        <v>90</v>
      </c>
      <c r="O47" s="107" t="n">
        <v>34578</v>
      </c>
      <c r="P47" s="107" t="n">
        <v>5</v>
      </c>
      <c r="Q47" s="107" t="n">
        <v>4111.8</v>
      </c>
      <c r="R47" s="107" t="s">
        <v>997</v>
      </c>
    </row>
    <row r="48" customFormat="false" ht="15" hidden="false" customHeight="false" outlineLevel="0" collapsed="false">
      <c r="A48" s="107" t="s">
        <v>139</v>
      </c>
      <c r="B48" s="107" t="s">
        <v>114</v>
      </c>
      <c r="C48" s="107" t="n">
        <v>5.572</v>
      </c>
      <c r="D48" s="107" t="n">
        <v>48.492</v>
      </c>
      <c r="E48" s="107" t="n">
        <v>83.094</v>
      </c>
      <c r="F48" s="107" t="n">
        <v>-0.9</v>
      </c>
      <c r="G48" s="107" t="n">
        <v>1.7</v>
      </c>
      <c r="H48" s="107" t="n">
        <v>4.6</v>
      </c>
      <c r="I48" s="107" t="n">
        <v>3.1</v>
      </c>
      <c r="J48" s="107" t="n">
        <v>3.248</v>
      </c>
      <c r="K48" s="107" t="s">
        <v>956</v>
      </c>
      <c r="L48" s="108" t="s">
        <v>94</v>
      </c>
      <c r="M48" s="107" t="s">
        <v>374</v>
      </c>
      <c r="N48" s="108" t="s">
        <v>90</v>
      </c>
      <c r="O48" s="107" t="n">
        <v>34578</v>
      </c>
      <c r="P48" s="107" t="n">
        <v>10</v>
      </c>
      <c r="Q48" s="107" t="n">
        <v>-14940.8</v>
      </c>
      <c r="R48" s="107" t="s">
        <v>997</v>
      </c>
    </row>
    <row r="49" customFormat="false" ht="15" hidden="false" customHeight="false" outlineLevel="0" collapsed="false">
      <c r="A49" s="107" t="s">
        <v>395</v>
      </c>
      <c r="B49" s="107" t="s">
        <v>114</v>
      </c>
      <c r="C49" s="107" t="n">
        <v>5.408</v>
      </c>
      <c r="D49" s="107" t="n">
        <v>62.799</v>
      </c>
      <c r="E49" s="107" t="n">
        <v>84.48</v>
      </c>
      <c r="F49" s="107" t="n">
        <v>0.6</v>
      </c>
      <c r="G49" s="107" t="n">
        <v>8.2</v>
      </c>
      <c r="H49" s="107" t="n">
        <v>-5.7</v>
      </c>
      <c r="I49" s="107" t="n">
        <v>-17.4</v>
      </c>
      <c r="J49" s="107" t="n">
        <v>1.841</v>
      </c>
      <c r="K49" s="107" t="s">
        <v>964</v>
      </c>
      <c r="L49" s="108" t="s">
        <v>94</v>
      </c>
      <c r="M49" s="107" t="s">
        <v>374</v>
      </c>
      <c r="N49" s="108" t="s">
        <v>90</v>
      </c>
      <c r="O49" s="107" t="n">
        <v>28096</v>
      </c>
      <c r="P49" s="107" t="n">
        <v>5</v>
      </c>
      <c r="Q49" s="107" t="n">
        <v>5246.85</v>
      </c>
      <c r="R49" s="107" t="s">
        <v>997</v>
      </c>
    </row>
    <row r="50" customFormat="false" ht="15" hidden="false" customHeight="false" outlineLevel="0" collapsed="false">
      <c r="A50" s="107" t="s">
        <v>642</v>
      </c>
      <c r="B50" s="107" t="s">
        <v>114</v>
      </c>
      <c r="C50" s="107" t="n">
        <v>5.894</v>
      </c>
      <c r="D50" s="107" t="n">
        <v>89.19</v>
      </c>
      <c r="E50" s="107" t="n">
        <v>122.767</v>
      </c>
      <c r="F50" s="107" t="n">
        <v>-0.6</v>
      </c>
      <c r="G50" s="107" t="n">
        <v>5.3</v>
      </c>
      <c r="H50" s="107" t="n">
        <v>-0.7</v>
      </c>
      <c r="I50" s="107" t="n">
        <v>0.3</v>
      </c>
      <c r="J50" s="107" t="n">
        <v>4.039</v>
      </c>
      <c r="K50" s="107" t="s">
        <v>962</v>
      </c>
      <c r="L50" s="108" t="s">
        <v>94</v>
      </c>
      <c r="M50" s="107" t="s">
        <v>374</v>
      </c>
      <c r="N50" s="108" t="s">
        <v>90</v>
      </c>
      <c r="O50" s="107" t="n">
        <v>34578</v>
      </c>
      <c r="P50" s="107" t="n">
        <v>12</v>
      </c>
      <c r="Q50" s="107" t="n">
        <v>3392.76</v>
      </c>
      <c r="R50" s="107" t="s">
        <v>997</v>
      </c>
    </row>
    <row r="51" customFormat="false" ht="15" hidden="false" customHeight="false" outlineLevel="0" collapsed="false">
      <c r="A51" s="107" t="s">
        <v>998</v>
      </c>
      <c r="B51" s="107" t="s">
        <v>114</v>
      </c>
      <c r="C51" s="107" t="n">
        <v>5.118</v>
      </c>
      <c r="D51" s="107" t="n">
        <v>37.054</v>
      </c>
      <c r="E51" s="107" t="n">
        <v>73.176</v>
      </c>
      <c r="F51" s="107" t="n">
        <v>0.6</v>
      </c>
      <c r="G51" s="107" t="n">
        <v>6.8</v>
      </c>
      <c r="H51" s="107" t="n">
        <v>-15.9</v>
      </c>
      <c r="I51" s="107" t="n">
        <v>-29.4</v>
      </c>
      <c r="J51" s="107" t="n">
        <v>1.093</v>
      </c>
      <c r="K51" s="107" t="s">
        <v>964</v>
      </c>
      <c r="L51" s="108" t="s">
        <v>94</v>
      </c>
      <c r="M51" s="107" t="s">
        <v>374</v>
      </c>
      <c r="N51" s="108" t="s">
        <v>90</v>
      </c>
      <c r="O51" s="107" t="n">
        <v>34507</v>
      </c>
      <c r="P51" s="107" t="n">
        <v>0</v>
      </c>
      <c r="Q51" s="107" t="n">
        <v>0</v>
      </c>
      <c r="R51" s="107" t="s">
        <v>997</v>
      </c>
    </row>
    <row r="52" customFormat="false" ht="15" hidden="false" customHeight="false" outlineLevel="0" collapsed="false">
      <c r="A52" s="107" t="s">
        <v>644</v>
      </c>
      <c r="B52" s="107" t="s">
        <v>114</v>
      </c>
      <c r="C52" s="107" t="n">
        <v>5.644</v>
      </c>
      <c r="D52" s="107" t="n">
        <v>77.115</v>
      </c>
      <c r="E52" s="107" t="n">
        <v>103.398</v>
      </c>
      <c r="F52" s="107" t="n">
        <v>-0.4</v>
      </c>
      <c r="G52" s="107" t="n">
        <v>5.5</v>
      </c>
      <c r="H52" s="107" t="n">
        <v>-5.9</v>
      </c>
      <c r="I52" s="107" t="n">
        <v>-7.4</v>
      </c>
      <c r="J52" s="107" t="n">
        <v>2.869</v>
      </c>
      <c r="K52" s="107" t="s">
        <v>956</v>
      </c>
      <c r="L52" s="108" t="s">
        <v>94</v>
      </c>
      <c r="M52" s="107" t="s">
        <v>374</v>
      </c>
      <c r="N52" s="108" t="s">
        <v>90</v>
      </c>
      <c r="O52" s="107" t="n">
        <v>34578</v>
      </c>
      <c r="P52" s="107" t="n">
        <v>7</v>
      </c>
      <c r="Q52" s="107" t="n">
        <v>11848.97</v>
      </c>
      <c r="R52" s="107" t="s">
        <v>997</v>
      </c>
    </row>
    <row r="53" customFormat="false" ht="15" hidden="false" customHeight="false" outlineLevel="0" collapsed="false">
      <c r="A53" s="107" t="s">
        <v>646</v>
      </c>
      <c r="B53" s="107" t="s">
        <v>114</v>
      </c>
      <c r="C53" s="107" t="n">
        <v>5.72</v>
      </c>
      <c r="D53" s="107" t="n">
        <v>77.335</v>
      </c>
      <c r="E53" s="107" t="n">
        <v>112.007</v>
      </c>
      <c r="F53" s="107" t="n">
        <v>-0.9</v>
      </c>
      <c r="G53" s="107" t="n">
        <v>4.9</v>
      </c>
      <c r="H53" s="107" t="n">
        <v>-1.5</v>
      </c>
      <c r="I53" s="107" t="n">
        <v>-7.6</v>
      </c>
      <c r="J53" s="107" t="n">
        <v>3.164</v>
      </c>
      <c r="K53" s="107" t="s">
        <v>956</v>
      </c>
      <c r="L53" s="108" t="s">
        <v>94</v>
      </c>
      <c r="M53" s="107" t="s">
        <v>374</v>
      </c>
      <c r="N53" s="108" t="s">
        <v>90</v>
      </c>
      <c r="O53" s="107" t="n">
        <v>34578</v>
      </c>
      <c r="P53" s="107" t="n">
        <v>13</v>
      </c>
      <c r="Q53" s="107" t="n">
        <v>6169.8</v>
      </c>
      <c r="R53" s="107" t="s">
        <v>997</v>
      </c>
    </row>
    <row r="54" customFormat="false" ht="15" hidden="false" customHeight="false" outlineLevel="0" collapsed="false">
      <c r="A54" s="107" t="s">
        <v>647</v>
      </c>
      <c r="B54" s="107" t="s">
        <v>114</v>
      </c>
      <c r="C54" s="107" t="n">
        <v>5.783</v>
      </c>
      <c r="D54" s="107" t="n">
        <v>76.917</v>
      </c>
      <c r="E54" s="107" t="n">
        <v>111.409</v>
      </c>
      <c r="F54" s="107" t="n">
        <v>-1.8</v>
      </c>
      <c r="G54" s="107" t="n">
        <v>5.2</v>
      </c>
      <c r="H54" s="107" t="n">
        <v>-1.3</v>
      </c>
      <c r="I54" s="107" t="n">
        <v>-6.4</v>
      </c>
      <c r="J54" s="107" t="n">
        <v>3.27</v>
      </c>
      <c r="K54" s="107" t="s">
        <v>956</v>
      </c>
      <c r="L54" s="108" t="s">
        <v>94</v>
      </c>
      <c r="M54" s="107" t="s">
        <v>374</v>
      </c>
      <c r="N54" s="108" t="s">
        <v>90</v>
      </c>
      <c r="O54" s="107" t="n">
        <v>34578</v>
      </c>
      <c r="P54" s="107" t="n">
        <v>18</v>
      </c>
      <c r="Q54" s="107" t="n">
        <v>7651.8</v>
      </c>
      <c r="R54" s="107" t="s">
        <v>997</v>
      </c>
    </row>
    <row r="55" customFormat="false" ht="15" hidden="false" customHeight="false" outlineLevel="0" collapsed="false">
      <c r="A55" s="107" t="s">
        <v>397</v>
      </c>
      <c r="B55" s="107" t="s">
        <v>114</v>
      </c>
      <c r="C55" s="107" t="n">
        <v>5.818</v>
      </c>
      <c r="D55" s="107" t="n">
        <v>87.03</v>
      </c>
      <c r="E55" s="107" t="n">
        <v>120.773</v>
      </c>
      <c r="F55" s="107" t="n">
        <v>-2</v>
      </c>
      <c r="G55" s="107" t="n">
        <v>4.5</v>
      </c>
      <c r="H55" s="107" t="n">
        <v>-1.2</v>
      </c>
      <c r="I55" s="107" t="n">
        <v>-2.9</v>
      </c>
      <c r="J55" s="107" t="n">
        <v>4.037</v>
      </c>
      <c r="K55" s="107" t="s">
        <v>962</v>
      </c>
      <c r="L55" s="108" t="s">
        <v>94</v>
      </c>
      <c r="M55" s="107" t="s">
        <v>374</v>
      </c>
      <c r="N55" s="108" t="s">
        <v>90</v>
      </c>
      <c r="O55" s="107" t="n">
        <v>28096</v>
      </c>
      <c r="P55" s="107" t="n">
        <v>10</v>
      </c>
      <c r="Q55" s="107" t="n">
        <v>4844.4</v>
      </c>
      <c r="R55" s="107" t="s">
        <v>997</v>
      </c>
    </row>
    <row r="56" customFormat="false" ht="15" hidden="false" customHeight="false" outlineLevel="0" collapsed="false">
      <c r="A56" s="107" t="s">
        <v>999</v>
      </c>
      <c r="B56" s="107" t="s">
        <v>114</v>
      </c>
      <c r="C56" s="107" t="n">
        <v>5.864</v>
      </c>
      <c r="D56" s="107" t="n">
        <v>74.592</v>
      </c>
      <c r="E56" s="107" t="n">
        <v>109.401</v>
      </c>
      <c r="F56" s="107" t="n">
        <v>-0.8</v>
      </c>
      <c r="G56" s="107" t="n">
        <v>1.6</v>
      </c>
      <c r="H56" s="107" t="n">
        <v>0</v>
      </c>
      <c r="I56" s="107" t="n">
        <v>-3.5</v>
      </c>
      <c r="J56" s="107" t="n">
        <v>2.913</v>
      </c>
      <c r="K56" s="107" t="s">
        <v>956</v>
      </c>
      <c r="L56" s="108" t="s">
        <v>101</v>
      </c>
      <c r="M56" s="107" t="s">
        <v>374</v>
      </c>
      <c r="N56" s="108" t="s">
        <v>79</v>
      </c>
      <c r="O56" s="107" t="n">
        <v>34578</v>
      </c>
      <c r="P56" s="107" t="n">
        <v>10.5</v>
      </c>
      <c r="Q56" s="107" t="n">
        <v>0</v>
      </c>
      <c r="R56" s="107" t="s">
        <v>1000</v>
      </c>
    </row>
    <row r="57" customFormat="false" ht="15" hidden="false" customHeight="false" outlineLevel="0" collapsed="false">
      <c r="A57" s="107" t="s">
        <v>651</v>
      </c>
      <c r="B57" s="107" t="s">
        <v>114</v>
      </c>
      <c r="C57" s="107" t="n">
        <v>5.816</v>
      </c>
      <c r="D57" s="107" t="n">
        <v>72.883</v>
      </c>
      <c r="E57" s="107" t="n">
        <v>107.481</v>
      </c>
      <c r="F57" s="107" t="n">
        <v>-0.6</v>
      </c>
      <c r="G57" s="107" t="n">
        <v>2.6</v>
      </c>
      <c r="H57" s="107" t="n">
        <v>-0.8</v>
      </c>
      <c r="I57" s="107" t="n">
        <v>0.5</v>
      </c>
      <c r="J57" s="107" t="n">
        <v>3.215</v>
      </c>
      <c r="K57" s="107" t="s">
        <v>956</v>
      </c>
      <c r="L57" s="108" t="s">
        <v>101</v>
      </c>
      <c r="M57" s="107" t="s">
        <v>374</v>
      </c>
      <c r="N57" s="108" t="s">
        <v>79</v>
      </c>
      <c r="O57" s="107" t="n">
        <v>34578</v>
      </c>
      <c r="P57" s="107" t="n">
        <v>15</v>
      </c>
      <c r="Q57" s="107" t="n">
        <v>3858</v>
      </c>
      <c r="R57" s="107" t="s">
        <v>1000</v>
      </c>
    </row>
    <row r="58" customFormat="false" ht="15" hidden="false" customHeight="false" outlineLevel="0" collapsed="false">
      <c r="A58" s="107" t="s">
        <v>653</v>
      </c>
      <c r="B58" s="107" t="s">
        <v>114</v>
      </c>
      <c r="C58" s="107" t="n">
        <v>5.817</v>
      </c>
      <c r="D58" s="107" t="n">
        <v>72.998</v>
      </c>
      <c r="E58" s="107" t="n">
        <v>107.378</v>
      </c>
      <c r="F58" s="107" t="n">
        <v>-0.8</v>
      </c>
      <c r="G58" s="107" t="n">
        <v>-0.7</v>
      </c>
      <c r="H58" s="107" t="n">
        <v>1.5</v>
      </c>
      <c r="I58" s="107" t="n">
        <v>-2.3</v>
      </c>
      <c r="J58" s="107" t="n">
        <v>3.365</v>
      </c>
      <c r="K58" s="107" t="s">
        <v>956</v>
      </c>
      <c r="L58" s="108" t="s">
        <v>101</v>
      </c>
      <c r="M58" s="107" t="s">
        <v>374</v>
      </c>
      <c r="N58" s="108" t="s">
        <v>79</v>
      </c>
      <c r="O58" s="107" t="n">
        <v>34578</v>
      </c>
      <c r="P58" s="107" t="n">
        <v>8.2</v>
      </c>
      <c r="Q58" s="107" t="n">
        <v>-4138.95</v>
      </c>
      <c r="R58" s="107" t="s">
        <v>1000</v>
      </c>
    </row>
    <row r="59" customFormat="false" ht="15" hidden="false" customHeight="false" outlineLevel="0" collapsed="false">
      <c r="A59" s="107" t="s">
        <v>656</v>
      </c>
      <c r="B59" s="107" t="s">
        <v>114</v>
      </c>
      <c r="C59" s="107" t="n">
        <v>5.851</v>
      </c>
      <c r="D59" s="107" t="n">
        <v>75.317</v>
      </c>
      <c r="E59" s="107" t="n">
        <v>109.633</v>
      </c>
      <c r="F59" s="107" t="n">
        <v>0.2</v>
      </c>
      <c r="G59" s="107" t="n">
        <v>2.2</v>
      </c>
      <c r="H59" s="107" t="n">
        <v>-0.8</v>
      </c>
      <c r="I59" s="107" t="n">
        <v>-3.7</v>
      </c>
      <c r="J59" s="107" t="n">
        <v>3.441</v>
      </c>
      <c r="K59" s="107" t="s">
        <v>956</v>
      </c>
      <c r="L59" s="108" t="s">
        <v>101</v>
      </c>
      <c r="M59" s="107" t="s">
        <v>374</v>
      </c>
      <c r="N59" s="108" t="s">
        <v>79</v>
      </c>
      <c r="O59" s="107" t="n">
        <v>34578</v>
      </c>
      <c r="P59" s="107" t="n">
        <v>7.4</v>
      </c>
      <c r="Q59" s="107" t="n">
        <v>2037.072</v>
      </c>
      <c r="R59" s="107" t="s">
        <v>1000</v>
      </c>
    </row>
    <row r="60" customFormat="false" ht="15" hidden="false" customHeight="false" outlineLevel="0" collapsed="false">
      <c r="A60" s="107" t="s">
        <v>400</v>
      </c>
      <c r="B60" s="107" t="s">
        <v>114</v>
      </c>
      <c r="C60" s="107" t="n">
        <v>5.636</v>
      </c>
      <c r="D60" s="107" t="n">
        <v>63.535</v>
      </c>
      <c r="E60" s="107" t="n">
        <v>93.2</v>
      </c>
      <c r="F60" s="107" t="n">
        <v>0.6</v>
      </c>
      <c r="G60" s="107" t="n">
        <v>2.9</v>
      </c>
      <c r="H60" s="107" t="n">
        <v>0.2</v>
      </c>
      <c r="I60" s="107" t="n">
        <v>-2.2</v>
      </c>
      <c r="J60" s="107" t="n">
        <v>2.14</v>
      </c>
      <c r="K60" s="107" t="s">
        <v>964</v>
      </c>
      <c r="L60" s="108" t="s">
        <v>101</v>
      </c>
      <c r="M60" s="107" t="s">
        <v>374</v>
      </c>
      <c r="N60" s="108" t="s">
        <v>79</v>
      </c>
      <c r="O60" s="107" t="n">
        <v>28096</v>
      </c>
      <c r="P60" s="107" t="n">
        <v>12</v>
      </c>
      <c r="Q60" s="107" t="n">
        <v>-513.6</v>
      </c>
      <c r="R60" s="107" t="s">
        <v>1000</v>
      </c>
    </row>
    <row r="61" customFormat="false" ht="15" hidden="false" customHeight="false" outlineLevel="0" collapsed="false">
      <c r="A61" s="107" t="s">
        <v>659</v>
      </c>
      <c r="B61" s="107" t="s">
        <v>114</v>
      </c>
      <c r="C61" s="107" t="n">
        <v>4.975</v>
      </c>
      <c r="D61" s="107" t="n">
        <v>8.629</v>
      </c>
      <c r="E61" s="107" t="n">
        <v>63.952</v>
      </c>
      <c r="F61" s="107" t="n">
        <v>-5.9</v>
      </c>
      <c r="G61" s="107" t="n">
        <v>16.2</v>
      </c>
      <c r="H61" s="107" t="n">
        <v>0.6</v>
      </c>
      <c r="I61" s="107" t="n">
        <v>-27.6</v>
      </c>
      <c r="J61" s="107" t="n">
        <v>0.715</v>
      </c>
      <c r="K61" s="107" t="s">
        <v>982</v>
      </c>
      <c r="L61" s="108" t="s">
        <v>101</v>
      </c>
      <c r="M61" s="107" t="s">
        <v>374</v>
      </c>
      <c r="N61" s="108" t="s">
        <v>79</v>
      </c>
      <c r="O61" s="107" t="n">
        <v>34578</v>
      </c>
      <c r="P61" s="107" t="n">
        <v>10</v>
      </c>
      <c r="Q61" s="107" t="n">
        <v>-429</v>
      </c>
      <c r="R61" s="107" t="s">
        <v>1000</v>
      </c>
    </row>
    <row r="62" customFormat="false" ht="15" hidden="false" customHeight="false" outlineLevel="0" collapsed="false">
      <c r="A62" s="107" t="s">
        <v>402</v>
      </c>
      <c r="B62" s="107" t="s">
        <v>114</v>
      </c>
      <c r="C62" s="107" t="n">
        <v>5.958</v>
      </c>
      <c r="D62" s="107" t="n">
        <v>87.089</v>
      </c>
      <c r="E62" s="107" t="n">
        <v>120.573</v>
      </c>
      <c r="F62" s="107" t="n">
        <v>-0.3</v>
      </c>
      <c r="G62" s="107" t="n">
        <v>4.7</v>
      </c>
      <c r="H62" s="107" t="n">
        <v>7.1</v>
      </c>
      <c r="I62" s="107" t="n">
        <v>3.1</v>
      </c>
      <c r="J62" s="107" t="n">
        <v>4.168</v>
      </c>
      <c r="K62" s="107" t="s">
        <v>956</v>
      </c>
      <c r="L62" s="108" t="s">
        <v>101</v>
      </c>
      <c r="M62" s="107" t="s">
        <v>374</v>
      </c>
      <c r="N62" s="108" t="s">
        <v>79</v>
      </c>
      <c r="O62" s="107" t="s">
        <v>1001</v>
      </c>
      <c r="P62" s="107" t="n">
        <v>13</v>
      </c>
      <c r="Q62" s="107" t="n">
        <v>-38470.64</v>
      </c>
      <c r="R62" s="107" t="s">
        <v>1000</v>
      </c>
    </row>
    <row r="63" customFormat="false" ht="15" hidden="false" customHeight="false" outlineLevel="0" collapsed="false">
      <c r="A63" s="107" t="s">
        <v>714</v>
      </c>
      <c r="B63" s="107" t="s">
        <v>114</v>
      </c>
      <c r="C63" s="107" t="n">
        <v>5.097</v>
      </c>
      <c r="D63" s="107" t="n">
        <v>20.834</v>
      </c>
      <c r="E63" s="107" t="n">
        <v>60.794</v>
      </c>
      <c r="F63" s="107" t="n">
        <v>-0.6</v>
      </c>
      <c r="G63" s="107" t="n">
        <v>7.3</v>
      </c>
      <c r="H63" s="107" t="n">
        <v>2.7</v>
      </c>
      <c r="I63" s="107" t="n">
        <v>-23.7</v>
      </c>
      <c r="J63" s="107" t="n">
        <v>0.967</v>
      </c>
      <c r="K63" s="107" t="s">
        <v>982</v>
      </c>
      <c r="L63" s="108" t="s">
        <v>101</v>
      </c>
      <c r="M63" s="107" t="s">
        <v>374</v>
      </c>
      <c r="N63" s="108" t="s">
        <v>79</v>
      </c>
      <c r="O63" s="107" t="n">
        <v>38038</v>
      </c>
      <c r="P63" s="107" t="n">
        <v>1</v>
      </c>
      <c r="Q63" s="107" t="n">
        <v>-261.09</v>
      </c>
      <c r="R63" s="107" t="s">
        <v>1000</v>
      </c>
    </row>
    <row r="64" customFormat="false" ht="15" hidden="false" customHeight="false" outlineLevel="0" collapsed="false">
      <c r="A64" s="107" t="s">
        <v>716</v>
      </c>
      <c r="B64" s="107" t="s">
        <v>114</v>
      </c>
      <c r="C64" s="107" t="n">
        <v>5.637</v>
      </c>
      <c r="D64" s="107" t="n">
        <v>63.64</v>
      </c>
      <c r="E64" s="107" t="n">
        <v>90.109</v>
      </c>
      <c r="F64" s="107" t="n">
        <v>0.1</v>
      </c>
      <c r="G64" s="107" t="n">
        <v>2.5</v>
      </c>
      <c r="H64" s="107" t="n">
        <v>1.8</v>
      </c>
      <c r="I64" s="107" t="n">
        <v>-1.9</v>
      </c>
      <c r="J64" s="107" t="n">
        <v>2.818</v>
      </c>
      <c r="K64" s="107" t="s">
        <v>964</v>
      </c>
      <c r="L64" s="108" t="s">
        <v>101</v>
      </c>
      <c r="M64" s="107" t="s">
        <v>374</v>
      </c>
      <c r="N64" s="108" t="s">
        <v>79</v>
      </c>
      <c r="O64" s="107" t="n">
        <v>38038</v>
      </c>
      <c r="P64" s="107" t="n">
        <v>2</v>
      </c>
      <c r="Q64" s="107" t="n">
        <v>-1014.48</v>
      </c>
      <c r="R64" s="107" t="s">
        <v>1000</v>
      </c>
    </row>
    <row r="65" customFormat="false" ht="15" hidden="false" customHeight="false" outlineLevel="0" collapsed="false">
      <c r="A65" s="107" t="s">
        <v>1002</v>
      </c>
      <c r="B65" s="107" t="s">
        <v>114</v>
      </c>
      <c r="C65" s="107" t="n">
        <v>5.935</v>
      </c>
      <c r="D65" s="107" t="n">
        <v>84.819</v>
      </c>
      <c r="E65" s="107" t="n">
        <v>118.073</v>
      </c>
      <c r="F65" s="107" t="n">
        <v>-0.1</v>
      </c>
      <c r="G65" s="107" t="n">
        <v>2.5</v>
      </c>
      <c r="H65" s="107" t="n">
        <v>5.9</v>
      </c>
      <c r="I65" s="107" t="n">
        <v>3</v>
      </c>
      <c r="J65" s="107" t="n">
        <v>4.477</v>
      </c>
      <c r="K65" s="107" t="s">
        <v>956</v>
      </c>
      <c r="L65" s="108" t="s">
        <v>101</v>
      </c>
      <c r="M65" s="107" t="s">
        <v>374</v>
      </c>
      <c r="N65" s="108" t="s">
        <v>79</v>
      </c>
      <c r="O65" s="107" t="n">
        <v>34578</v>
      </c>
      <c r="P65" s="107" t="n">
        <v>5.5</v>
      </c>
      <c r="Q65" s="107" t="n">
        <v>-14527.865</v>
      </c>
      <c r="R65" s="107" t="s">
        <v>1000</v>
      </c>
    </row>
    <row r="66" customFormat="false" ht="15" hidden="false" customHeight="false" outlineLevel="0" collapsed="false">
      <c r="A66" s="107" t="s">
        <v>660</v>
      </c>
      <c r="B66" s="107" t="s">
        <v>114</v>
      </c>
      <c r="C66" s="107" t="n">
        <v>5.295</v>
      </c>
      <c r="D66" s="107" t="n">
        <v>40.564</v>
      </c>
      <c r="E66" s="107" t="n">
        <v>73.484</v>
      </c>
      <c r="F66" s="107" t="n">
        <v>0.1</v>
      </c>
      <c r="G66" s="107" t="n">
        <v>7</v>
      </c>
      <c r="H66" s="107" t="n">
        <v>-3.9</v>
      </c>
      <c r="I66" s="107" t="n">
        <v>-12.7</v>
      </c>
      <c r="J66" s="107" t="n">
        <v>1.228</v>
      </c>
      <c r="K66" s="107" t="s">
        <v>964</v>
      </c>
      <c r="L66" s="108" t="s">
        <v>101</v>
      </c>
      <c r="M66" s="107" t="s">
        <v>374</v>
      </c>
      <c r="N66" s="108" t="s">
        <v>79</v>
      </c>
      <c r="O66" s="107" t="n">
        <v>34578</v>
      </c>
      <c r="P66" s="107" t="n">
        <v>10</v>
      </c>
      <c r="Q66" s="107" t="n">
        <v>4789.2</v>
      </c>
      <c r="R66" s="107" t="s">
        <v>1000</v>
      </c>
    </row>
    <row r="67" customFormat="false" ht="15" hidden="false" customHeight="false" outlineLevel="0" collapsed="false">
      <c r="A67" s="107" t="s">
        <v>661</v>
      </c>
      <c r="B67" s="107" t="s">
        <v>114</v>
      </c>
      <c r="C67" s="107" t="n">
        <v>5.781</v>
      </c>
      <c r="D67" s="107" t="n">
        <v>69.464</v>
      </c>
      <c r="E67" s="107" t="n">
        <v>104.274</v>
      </c>
      <c r="F67" s="107" t="n">
        <v>0.3</v>
      </c>
      <c r="G67" s="107" t="n">
        <v>2.8</v>
      </c>
      <c r="H67" s="107" t="n">
        <v>7.2</v>
      </c>
      <c r="I67" s="107" t="n">
        <v>2.7</v>
      </c>
      <c r="J67" s="107" t="n">
        <v>3.005</v>
      </c>
      <c r="K67" s="107" t="s">
        <v>956</v>
      </c>
      <c r="L67" s="108" t="s">
        <v>101</v>
      </c>
      <c r="M67" s="107" t="s">
        <v>374</v>
      </c>
      <c r="N67" s="108" t="s">
        <v>79</v>
      </c>
      <c r="O67" s="107" t="n">
        <v>34578</v>
      </c>
      <c r="P67" s="107" t="n">
        <v>48.5</v>
      </c>
      <c r="Q67" s="107" t="n">
        <v>-104934.6</v>
      </c>
      <c r="R67" s="107" t="s">
        <v>1000</v>
      </c>
    </row>
    <row r="68" customFormat="false" ht="15" hidden="false" customHeight="false" outlineLevel="0" collapsed="false">
      <c r="A68" s="107" t="s">
        <v>663</v>
      </c>
      <c r="B68" s="107" t="s">
        <v>114</v>
      </c>
      <c r="C68" s="107" t="n">
        <v>5.828</v>
      </c>
      <c r="D68" s="107" t="n">
        <v>74.094</v>
      </c>
      <c r="E68" s="107" t="n">
        <v>108.706</v>
      </c>
      <c r="F68" s="107" t="n">
        <v>-0.2</v>
      </c>
      <c r="G68" s="107" t="n">
        <v>2.7</v>
      </c>
      <c r="H68" s="107" t="n">
        <v>5.1</v>
      </c>
      <c r="I68" s="107" t="n">
        <v>2.8</v>
      </c>
      <c r="J68" s="107" t="n">
        <v>3.23</v>
      </c>
      <c r="K68" s="107" t="s">
        <v>956</v>
      </c>
      <c r="L68" s="108" t="s">
        <v>101</v>
      </c>
      <c r="M68" s="107" t="s">
        <v>374</v>
      </c>
      <c r="N68" s="108" t="s">
        <v>79</v>
      </c>
      <c r="O68" s="107" t="s">
        <v>1001</v>
      </c>
      <c r="P68" s="107" t="n">
        <v>17</v>
      </c>
      <c r="Q68" s="107" t="n">
        <v>-28004.1</v>
      </c>
      <c r="R68" s="107" t="s">
        <v>1000</v>
      </c>
    </row>
    <row r="69" customFormat="false" ht="15" hidden="false" customHeight="false" outlineLevel="0" collapsed="false">
      <c r="A69" s="107" t="s">
        <v>666</v>
      </c>
      <c r="B69" s="107" t="s">
        <v>114</v>
      </c>
      <c r="C69" s="107" t="n">
        <v>5.846</v>
      </c>
      <c r="D69" s="107" t="n">
        <v>75.882</v>
      </c>
      <c r="E69" s="107" t="n">
        <v>110.268</v>
      </c>
      <c r="F69" s="107" t="n">
        <v>0.5</v>
      </c>
      <c r="G69" s="107" t="n">
        <v>3.4</v>
      </c>
      <c r="H69" s="107" t="n">
        <v>4.3</v>
      </c>
      <c r="I69" s="107" t="n">
        <v>3.5</v>
      </c>
      <c r="J69" s="107" t="n">
        <v>3.391</v>
      </c>
      <c r="K69" s="107" t="s">
        <v>956</v>
      </c>
      <c r="L69" s="108" t="s">
        <v>101</v>
      </c>
      <c r="M69" s="107" t="s">
        <v>374</v>
      </c>
      <c r="N69" s="108" t="s">
        <v>79</v>
      </c>
      <c r="O69" s="107" t="n">
        <v>34578</v>
      </c>
      <c r="P69" s="107" t="n">
        <v>0.5</v>
      </c>
      <c r="Q69" s="107" t="n">
        <v>-729.065</v>
      </c>
      <c r="R69" s="107" t="s">
        <v>1000</v>
      </c>
    </row>
    <row r="70" customFormat="false" ht="15" hidden="false" customHeight="false" outlineLevel="0" collapsed="false">
      <c r="A70" s="107" t="s">
        <v>1003</v>
      </c>
      <c r="B70" s="107" t="s">
        <v>114</v>
      </c>
      <c r="C70" s="107" t="n">
        <v>5.865</v>
      </c>
      <c r="D70" s="107" t="n">
        <v>77.781</v>
      </c>
      <c r="E70" s="107" t="n">
        <v>111.947</v>
      </c>
      <c r="F70" s="107" t="n">
        <v>-0.8</v>
      </c>
      <c r="G70" s="107" t="n">
        <v>1.5</v>
      </c>
      <c r="H70" s="107" t="n">
        <v>3.3</v>
      </c>
      <c r="I70" s="107" t="n">
        <v>1.4</v>
      </c>
      <c r="J70" s="107" t="n">
        <v>3.657</v>
      </c>
      <c r="K70" s="107" t="s">
        <v>956</v>
      </c>
      <c r="L70" s="108" t="s">
        <v>101</v>
      </c>
      <c r="M70" s="107" t="s">
        <v>374</v>
      </c>
      <c r="N70" s="108" t="s">
        <v>79</v>
      </c>
      <c r="O70" s="107" t="n">
        <v>34507</v>
      </c>
      <c r="P70" s="107" t="n">
        <v>0.5</v>
      </c>
      <c r="Q70" s="107" t="n">
        <v>-603.405</v>
      </c>
      <c r="R70" s="107" t="s">
        <v>1000</v>
      </c>
    </row>
    <row r="71" customFormat="false" ht="15" hidden="false" customHeight="false" outlineLevel="0" collapsed="false">
      <c r="A71" s="107" t="s">
        <v>1004</v>
      </c>
      <c r="B71" s="107" t="s">
        <v>114</v>
      </c>
      <c r="C71" s="107" t="n">
        <v>5.68</v>
      </c>
      <c r="D71" s="107" t="n">
        <v>68.024</v>
      </c>
      <c r="E71" s="107" t="n">
        <v>97.688</v>
      </c>
      <c r="F71" s="107" t="n">
        <v>0.5</v>
      </c>
      <c r="G71" s="107" t="n">
        <v>6.2</v>
      </c>
      <c r="H71" s="107" t="n">
        <v>9.3</v>
      </c>
      <c r="I71" s="107" t="n">
        <v>6.4</v>
      </c>
      <c r="J71" s="107" t="n">
        <v>2.163</v>
      </c>
      <c r="K71" s="107" t="s">
        <v>964</v>
      </c>
      <c r="L71" s="108" t="s">
        <v>101</v>
      </c>
      <c r="M71" s="107" t="s">
        <v>374</v>
      </c>
      <c r="N71" s="108" t="s">
        <v>79</v>
      </c>
      <c r="O71" s="107" t="n">
        <v>28096</v>
      </c>
      <c r="P71" s="107" t="n">
        <v>2</v>
      </c>
      <c r="Q71" s="107" t="n">
        <v>-4023.18</v>
      </c>
      <c r="R71" s="107" t="s">
        <v>1000</v>
      </c>
    </row>
    <row r="72" customFormat="false" ht="15" hidden="false" customHeight="false" outlineLevel="0" collapsed="false">
      <c r="A72" s="107" t="s">
        <v>668</v>
      </c>
      <c r="B72" s="107" t="s">
        <v>114</v>
      </c>
      <c r="C72" s="107" t="n">
        <v>5.863</v>
      </c>
      <c r="D72" s="107" t="n">
        <v>77.629</v>
      </c>
      <c r="E72" s="107" t="n">
        <v>111.521</v>
      </c>
      <c r="F72" s="107" t="n">
        <v>-0.9</v>
      </c>
      <c r="G72" s="107" t="n">
        <v>3.3</v>
      </c>
      <c r="H72" s="107" t="n">
        <v>6.8</v>
      </c>
      <c r="I72" s="107" t="n">
        <v>1.9</v>
      </c>
      <c r="J72" s="107" t="n">
        <v>3.874</v>
      </c>
      <c r="K72" s="107" t="s">
        <v>956</v>
      </c>
      <c r="L72" s="108" t="s">
        <v>101</v>
      </c>
      <c r="M72" s="107" t="s">
        <v>374</v>
      </c>
      <c r="N72" s="108" t="s">
        <v>79</v>
      </c>
      <c r="O72" s="107" t="n">
        <v>34578</v>
      </c>
      <c r="P72" s="107" t="n">
        <v>4</v>
      </c>
      <c r="Q72" s="107" t="n">
        <v>-10537.28</v>
      </c>
      <c r="R72" s="107" t="s">
        <v>1000</v>
      </c>
    </row>
    <row r="73" customFormat="false" ht="15" hidden="false" customHeight="false" outlineLevel="0" collapsed="false">
      <c r="A73" s="107" t="s">
        <v>408</v>
      </c>
      <c r="B73" s="107" t="s">
        <v>114</v>
      </c>
      <c r="C73" s="107" t="n">
        <v>5.925</v>
      </c>
      <c r="D73" s="107" t="n">
        <v>83.863</v>
      </c>
      <c r="E73" s="107" t="n">
        <v>117.362</v>
      </c>
      <c r="F73" s="107" t="n">
        <v>0.1</v>
      </c>
      <c r="G73" s="107" t="n">
        <v>4.6</v>
      </c>
      <c r="H73" s="107" t="n">
        <v>5</v>
      </c>
      <c r="I73" s="107" t="n">
        <v>2.2</v>
      </c>
      <c r="J73" s="107" t="n">
        <v>4.184</v>
      </c>
      <c r="K73" s="107" t="s">
        <v>956</v>
      </c>
      <c r="L73" s="108" t="s">
        <v>101</v>
      </c>
      <c r="M73" s="107" t="s">
        <v>374</v>
      </c>
      <c r="N73" s="108" t="s">
        <v>79</v>
      </c>
      <c r="O73" s="107" t="n">
        <v>28096</v>
      </c>
      <c r="P73" s="107" t="n">
        <v>1</v>
      </c>
      <c r="Q73" s="107" t="n">
        <v>-2092</v>
      </c>
      <c r="R73" s="107" t="s">
        <v>1000</v>
      </c>
    </row>
    <row r="74" customFormat="false" ht="15" hidden="false" customHeight="false" outlineLevel="0" collapsed="false">
      <c r="A74" s="107" t="s">
        <v>1005</v>
      </c>
      <c r="B74" s="107" t="s">
        <v>114</v>
      </c>
      <c r="C74" s="107" t="n">
        <v>4.988</v>
      </c>
      <c r="D74" s="107" t="n">
        <v>9.837</v>
      </c>
      <c r="E74" s="107" t="n">
        <v>29.569</v>
      </c>
      <c r="F74" s="107" t="n">
        <v>-0.8</v>
      </c>
      <c r="G74" s="107" t="n">
        <v>9.7</v>
      </c>
      <c r="H74" s="107" t="n">
        <v>0.1</v>
      </c>
      <c r="I74" s="107" t="n">
        <v>-8.6</v>
      </c>
      <c r="J74" s="107" t="n">
        <v>1.879</v>
      </c>
      <c r="K74" s="107" t="s">
        <v>964</v>
      </c>
      <c r="L74" s="108" t="s">
        <v>102</v>
      </c>
      <c r="M74" s="2"/>
      <c r="N74" s="108" t="s">
        <v>959</v>
      </c>
      <c r="O74" s="107" t="s">
        <v>966</v>
      </c>
      <c r="P74" s="107" t="n">
        <v>10</v>
      </c>
      <c r="Q74" s="107" t="n">
        <v>-187.9</v>
      </c>
      <c r="R74" s="107" t="s">
        <v>1006</v>
      </c>
    </row>
    <row r="75" customFormat="false" ht="15" hidden="false" customHeight="false" outlineLevel="0" collapsed="false">
      <c r="A75" s="107" t="s">
        <v>801</v>
      </c>
      <c r="B75" s="107" t="s">
        <v>114</v>
      </c>
      <c r="C75" s="107" t="n">
        <v>5.116</v>
      </c>
      <c r="D75" s="107" t="n">
        <v>11.572</v>
      </c>
      <c r="E75" s="107" t="n">
        <v>37.991</v>
      </c>
      <c r="F75" s="107" t="n">
        <v>-1.8</v>
      </c>
      <c r="G75" s="107" t="n">
        <v>-0.2</v>
      </c>
      <c r="H75" s="107" t="n">
        <v>-3.8</v>
      </c>
      <c r="I75" s="107" t="n">
        <v>-8.3</v>
      </c>
      <c r="J75" s="107" t="n">
        <v>2.848</v>
      </c>
      <c r="K75" s="107" t="s">
        <v>964</v>
      </c>
      <c r="L75" s="108" t="s">
        <v>102</v>
      </c>
      <c r="M75" s="2"/>
      <c r="N75" s="108" t="s">
        <v>959</v>
      </c>
      <c r="O75" s="107" t="n">
        <v>42003</v>
      </c>
      <c r="P75" s="107" t="n">
        <v>0.2</v>
      </c>
      <c r="Q75" s="107" t="n">
        <v>216.448</v>
      </c>
      <c r="R75" s="107" t="s">
        <v>1006</v>
      </c>
    </row>
    <row r="76" customFormat="false" ht="15" hidden="false" customHeight="false" outlineLevel="0" collapsed="false">
      <c r="A76" s="107" t="s">
        <v>1007</v>
      </c>
      <c r="B76" s="107" t="s">
        <v>114</v>
      </c>
      <c r="C76" s="107" t="n">
        <v>5.28</v>
      </c>
      <c r="D76" s="107" t="n">
        <v>19.307</v>
      </c>
      <c r="E76" s="107" t="n">
        <v>53.692</v>
      </c>
      <c r="F76" s="107" t="n">
        <v>-2</v>
      </c>
      <c r="G76" s="107" t="n">
        <v>15.2</v>
      </c>
      <c r="H76" s="107" t="n">
        <v>2.8</v>
      </c>
      <c r="I76" s="107" t="n">
        <v>1.6</v>
      </c>
      <c r="J76" s="107" t="n">
        <v>3.435</v>
      </c>
      <c r="K76" s="107" t="s">
        <v>956</v>
      </c>
      <c r="L76" s="108" t="s">
        <v>102</v>
      </c>
      <c r="M76" s="2"/>
      <c r="N76" s="108" t="s">
        <v>959</v>
      </c>
      <c r="O76" s="107" t="n">
        <v>42003</v>
      </c>
      <c r="P76" s="107" t="n">
        <v>10</v>
      </c>
      <c r="Q76" s="107" t="n">
        <v>-9618</v>
      </c>
      <c r="R76" s="107" t="s">
        <v>1006</v>
      </c>
    </row>
    <row r="77" customFormat="false" ht="15" hidden="false" customHeight="false" outlineLevel="0" collapsed="false">
      <c r="A77" s="107" t="s">
        <v>411</v>
      </c>
      <c r="B77" s="107" t="s">
        <v>114</v>
      </c>
      <c r="C77" s="107" t="n">
        <v>5.798</v>
      </c>
      <c r="D77" s="107" t="n">
        <v>83.476</v>
      </c>
      <c r="E77" s="107" t="n">
        <v>117.187</v>
      </c>
      <c r="F77" s="107" t="n">
        <v>-0.6</v>
      </c>
      <c r="G77" s="107" t="n">
        <v>3.6</v>
      </c>
      <c r="H77" s="107" t="n">
        <v>0.2</v>
      </c>
      <c r="I77" s="107" t="n">
        <v>-1</v>
      </c>
      <c r="J77" s="107" t="n">
        <v>4.064</v>
      </c>
      <c r="K77" s="107" t="s">
        <v>962</v>
      </c>
      <c r="L77" s="108" t="s">
        <v>94</v>
      </c>
      <c r="M77" s="107" t="s">
        <v>374</v>
      </c>
      <c r="N77" s="108" t="s">
        <v>90</v>
      </c>
      <c r="O77" s="107" t="n">
        <v>28096</v>
      </c>
      <c r="P77" s="107" t="n">
        <v>10</v>
      </c>
      <c r="Q77" s="107" t="n">
        <v>-812.8</v>
      </c>
      <c r="R77" s="107" t="s">
        <v>1008</v>
      </c>
    </row>
    <row r="78" customFormat="false" ht="15" hidden="false" customHeight="false" outlineLevel="0" collapsed="false">
      <c r="A78" s="107" t="s">
        <v>543</v>
      </c>
      <c r="B78" s="107" t="s">
        <v>114</v>
      </c>
      <c r="C78" s="107" t="n">
        <v>5.49</v>
      </c>
      <c r="D78" s="107" t="n">
        <v>63.856</v>
      </c>
      <c r="E78" s="107" t="n">
        <v>91.133</v>
      </c>
      <c r="F78" s="107" t="n">
        <v>-0.1</v>
      </c>
      <c r="G78" s="107" t="n">
        <v>8</v>
      </c>
      <c r="H78" s="107" t="n">
        <v>-2.9</v>
      </c>
      <c r="I78" s="107" t="n">
        <v>-11.3</v>
      </c>
      <c r="J78" s="107" t="n">
        <v>2.627</v>
      </c>
      <c r="K78" s="107" t="s">
        <v>956</v>
      </c>
      <c r="L78" s="108" t="s">
        <v>94</v>
      </c>
      <c r="M78" s="107" t="s">
        <v>106</v>
      </c>
      <c r="N78" s="108" t="s">
        <v>79</v>
      </c>
      <c r="O78" s="107" t="n">
        <v>34507</v>
      </c>
      <c r="P78" s="107" t="n">
        <v>17</v>
      </c>
      <c r="Q78" s="107" t="n">
        <v>12951.11</v>
      </c>
      <c r="R78" s="107" t="s">
        <v>1009</v>
      </c>
    </row>
    <row r="79" customFormat="false" ht="15" hidden="false" customHeight="false" outlineLevel="0" collapsed="false">
      <c r="A79" s="107" t="s">
        <v>545</v>
      </c>
      <c r="B79" s="107" t="s">
        <v>114</v>
      </c>
      <c r="C79" s="107" t="n">
        <v>5.545</v>
      </c>
      <c r="D79" s="107" t="n">
        <v>62.856</v>
      </c>
      <c r="E79" s="107" t="n">
        <v>97.625</v>
      </c>
      <c r="F79" s="107" t="n">
        <v>-1.6</v>
      </c>
      <c r="G79" s="107" t="n">
        <v>3.5</v>
      </c>
      <c r="H79" s="107" t="n">
        <v>-0.5</v>
      </c>
      <c r="I79" s="107" t="n">
        <v>-10.6</v>
      </c>
      <c r="J79" s="107" t="n">
        <v>3.056</v>
      </c>
      <c r="K79" s="107" t="s">
        <v>956</v>
      </c>
      <c r="L79" s="108" t="s">
        <v>94</v>
      </c>
      <c r="M79" s="107" t="s">
        <v>106</v>
      </c>
      <c r="N79" s="108" t="s">
        <v>79</v>
      </c>
      <c r="O79" s="107" t="n">
        <v>34507</v>
      </c>
      <c r="P79" s="107" t="n">
        <v>1</v>
      </c>
      <c r="Q79" s="107" t="n">
        <v>152.8</v>
      </c>
      <c r="R79" s="107" t="s">
        <v>1009</v>
      </c>
    </row>
    <row r="80" customFormat="false" ht="15" hidden="false" customHeight="false" outlineLevel="0" collapsed="false">
      <c r="A80" s="107" t="s">
        <v>547</v>
      </c>
      <c r="B80" s="107" t="s">
        <v>114</v>
      </c>
      <c r="C80" s="107" t="n">
        <v>5.61</v>
      </c>
      <c r="D80" s="107" t="n">
        <v>69.456</v>
      </c>
      <c r="E80" s="107" t="n">
        <v>103.539</v>
      </c>
      <c r="F80" s="107" t="n">
        <v>-1.4</v>
      </c>
      <c r="G80" s="107" t="n">
        <v>5.4</v>
      </c>
      <c r="H80" s="107" t="n">
        <v>0.7</v>
      </c>
      <c r="I80" s="107" t="n">
        <v>-4.6</v>
      </c>
      <c r="J80" s="107" t="n">
        <v>3.685</v>
      </c>
      <c r="K80" s="107" t="s">
        <v>962</v>
      </c>
      <c r="L80" s="108" t="s">
        <v>94</v>
      </c>
      <c r="M80" s="107" t="s">
        <v>106</v>
      </c>
      <c r="N80" s="108" t="s">
        <v>79</v>
      </c>
      <c r="O80" s="107" t="n">
        <v>34507</v>
      </c>
      <c r="P80" s="107" t="n">
        <v>0.5</v>
      </c>
      <c r="Q80" s="107" t="n">
        <v>-128.975</v>
      </c>
      <c r="R80" s="107" t="s">
        <v>1009</v>
      </c>
    </row>
    <row r="81" customFormat="false" ht="15" hidden="false" customHeight="false" outlineLevel="0" collapsed="false">
      <c r="A81" s="107" t="s">
        <v>550</v>
      </c>
      <c r="B81" s="107" t="s">
        <v>114</v>
      </c>
      <c r="C81" s="107" t="n">
        <v>6.043</v>
      </c>
      <c r="D81" s="107" t="n">
        <v>83.783</v>
      </c>
      <c r="E81" s="107" t="n">
        <v>130.583</v>
      </c>
      <c r="F81" s="107" t="n">
        <v>-0.5</v>
      </c>
      <c r="G81" s="107" t="n">
        <v>2.8</v>
      </c>
      <c r="H81" s="107" t="n">
        <v>2.4</v>
      </c>
      <c r="I81" s="107" t="n">
        <v>4.9</v>
      </c>
      <c r="J81" s="107" t="n">
        <v>7.184</v>
      </c>
      <c r="K81" s="107" t="s">
        <v>1010</v>
      </c>
      <c r="L81" s="108" t="s">
        <v>94</v>
      </c>
      <c r="M81" s="107" t="s">
        <v>106</v>
      </c>
      <c r="N81" s="108" t="s">
        <v>79</v>
      </c>
      <c r="O81" s="107" t="n">
        <v>34507</v>
      </c>
      <c r="P81" s="107" t="n">
        <v>2</v>
      </c>
      <c r="Q81" s="107" t="n">
        <v>-3448.32</v>
      </c>
      <c r="R81" s="107" t="s">
        <v>1009</v>
      </c>
    </row>
    <row r="82" customFormat="false" ht="15" hidden="false" customHeight="false" outlineLevel="0" collapsed="false">
      <c r="A82" s="107" t="s">
        <v>765</v>
      </c>
      <c r="B82" s="107" t="s">
        <v>114</v>
      </c>
      <c r="C82" s="107" t="n">
        <v>5.635</v>
      </c>
      <c r="D82" s="107" t="n">
        <v>73.371</v>
      </c>
      <c r="E82" s="107" t="n">
        <v>107.228</v>
      </c>
      <c r="F82" s="107" t="n">
        <v>-1.7</v>
      </c>
      <c r="G82" s="107" t="n">
        <v>4.1</v>
      </c>
      <c r="H82" s="107" t="n">
        <v>0.5</v>
      </c>
      <c r="I82" s="107" t="n">
        <v>-3.3</v>
      </c>
      <c r="J82" s="107" t="n">
        <v>3.928</v>
      </c>
      <c r="K82" s="107" t="s">
        <v>962</v>
      </c>
      <c r="L82" s="108" t="s">
        <v>94</v>
      </c>
      <c r="M82" s="107" t="s">
        <v>106</v>
      </c>
      <c r="N82" s="108" t="s">
        <v>79</v>
      </c>
      <c r="O82" s="107" t="n">
        <v>38168</v>
      </c>
      <c r="P82" s="107" t="n">
        <v>5</v>
      </c>
      <c r="Q82" s="107" t="n">
        <v>-982</v>
      </c>
      <c r="R82" s="107" t="s">
        <v>1009</v>
      </c>
    </row>
    <row r="83" customFormat="false" ht="15" hidden="false" customHeight="false" outlineLevel="0" collapsed="false">
      <c r="A83" s="107" t="s">
        <v>551</v>
      </c>
      <c r="B83" s="107" t="s">
        <v>114</v>
      </c>
      <c r="C83" s="107" t="n">
        <v>6.066</v>
      </c>
      <c r="D83" s="107" t="n">
        <v>86.903</v>
      </c>
      <c r="E83" s="107" t="n">
        <v>133.187</v>
      </c>
      <c r="F83" s="107" t="n">
        <v>-0.4</v>
      </c>
      <c r="G83" s="107" t="n">
        <v>3.8</v>
      </c>
      <c r="H83" s="107" t="n">
        <v>2.3</v>
      </c>
      <c r="I83" s="107" t="n">
        <v>4</v>
      </c>
      <c r="J83" s="107" t="n">
        <v>7.411</v>
      </c>
      <c r="K83" s="107" t="s">
        <v>1010</v>
      </c>
      <c r="L83" s="108" t="s">
        <v>94</v>
      </c>
      <c r="M83" s="107" t="s">
        <v>106</v>
      </c>
      <c r="N83" s="108" t="s">
        <v>79</v>
      </c>
      <c r="O83" s="107" t="n">
        <v>34507</v>
      </c>
      <c r="P83" s="107" t="n">
        <v>1</v>
      </c>
      <c r="Q83" s="107" t="n">
        <v>-1704.53</v>
      </c>
      <c r="R83" s="107" t="s">
        <v>1009</v>
      </c>
    </row>
    <row r="84" customFormat="false" ht="15" hidden="false" customHeight="false" outlineLevel="0" collapsed="false">
      <c r="A84" s="107" t="s">
        <v>1011</v>
      </c>
      <c r="B84" s="107" t="s">
        <v>114</v>
      </c>
      <c r="C84" s="107" t="n">
        <v>5.839</v>
      </c>
      <c r="D84" s="107" t="n">
        <v>75.23</v>
      </c>
      <c r="E84" s="107" t="n">
        <v>109.281</v>
      </c>
      <c r="F84" s="107" t="n">
        <v>-0.1</v>
      </c>
      <c r="G84" s="107" t="n">
        <v>1.4</v>
      </c>
      <c r="H84" s="107" t="n">
        <v>1.6</v>
      </c>
      <c r="I84" s="107" t="n">
        <v>0.3</v>
      </c>
      <c r="J84" s="107" t="n">
        <v>3.853</v>
      </c>
      <c r="K84" s="107" t="s">
        <v>956</v>
      </c>
      <c r="L84" s="108" t="s">
        <v>94</v>
      </c>
      <c r="M84" s="107" t="s">
        <v>377</v>
      </c>
      <c r="N84" s="108" t="s">
        <v>959</v>
      </c>
      <c r="O84" s="107" t="n">
        <v>34578</v>
      </c>
      <c r="P84" s="107" t="n">
        <v>10.5</v>
      </c>
      <c r="Q84" s="107" t="n">
        <v>-6473.04</v>
      </c>
      <c r="R84" s="107" t="s">
        <v>1012</v>
      </c>
    </row>
    <row r="85" customFormat="false" ht="15" hidden="false" customHeight="false" outlineLevel="0" collapsed="false">
      <c r="A85" s="107" t="s">
        <v>1013</v>
      </c>
      <c r="B85" s="107" t="s">
        <v>114</v>
      </c>
      <c r="C85" s="107" t="n">
        <v>5.062</v>
      </c>
      <c r="D85" s="107" t="n">
        <v>6.195</v>
      </c>
      <c r="E85" s="107" t="n">
        <v>35.394</v>
      </c>
      <c r="F85" s="107" t="n">
        <v>-0.4</v>
      </c>
      <c r="G85" s="107" t="n">
        <v>9.8</v>
      </c>
      <c r="H85" s="107" t="n">
        <v>-0.9</v>
      </c>
      <c r="I85" s="107" t="n">
        <v>-7.5</v>
      </c>
      <c r="J85" s="107" t="n">
        <v>2.261</v>
      </c>
      <c r="K85" s="107" t="s">
        <v>964</v>
      </c>
      <c r="L85" s="108" t="s">
        <v>102</v>
      </c>
      <c r="M85" s="107" t="s">
        <v>361</v>
      </c>
      <c r="N85" s="108" t="s">
        <v>959</v>
      </c>
      <c r="O85" s="107" t="n">
        <v>34578</v>
      </c>
      <c r="P85" s="107" t="n">
        <v>1</v>
      </c>
      <c r="Q85" s="107" t="n">
        <v>203.49</v>
      </c>
      <c r="R85" s="107" t="s">
        <v>1014</v>
      </c>
    </row>
    <row r="86" customFormat="false" ht="15" hidden="false" customHeight="false" outlineLevel="0" collapsed="false">
      <c r="A86" s="107" t="s">
        <v>1015</v>
      </c>
      <c r="B86" s="107" t="s">
        <v>114</v>
      </c>
      <c r="C86" s="107" t="n">
        <v>5.008</v>
      </c>
      <c r="D86" s="107" t="n">
        <v>11.933</v>
      </c>
      <c r="E86" s="107" t="n">
        <v>43.089</v>
      </c>
      <c r="F86" s="107" t="n">
        <v>0.7</v>
      </c>
      <c r="G86" s="107" t="n">
        <v>20</v>
      </c>
      <c r="H86" s="107" t="n">
        <v>1.3</v>
      </c>
      <c r="I86" s="107" t="n">
        <v>-3.3</v>
      </c>
      <c r="J86" s="107" t="n">
        <v>1.302</v>
      </c>
      <c r="K86" s="107" t="s">
        <v>964</v>
      </c>
      <c r="L86" s="108" t="s">
        <v>102</v>
      </c>
      <c r="M86" s="107" t="s">
        <v>361</v>
      </c>
      <c r="N86" s="108" t="s">
        <v>959</v>
      </c>
      <c r="O86" s="107" t="n">
        <v>42003</v>
      </c>
      <c r="P86" s="107" t="n">
        <v>0.5</v>
      </c>
      <c r="Q86" s="107" t="n">
        <v>-84.63</v>
      </c>
      <c r="R86" s="107" t="s">
        <v>1014</v>
      </c>
    </row>
    <row r="87" customFormat="false" ht="15" hidden="false" customHeight="false" outlineLevel="0" collapsed="false">
      <c r="A87" s="107" t="s">
        <v>1016</v>
      </c>
      <c r="B87" s="107" t="s">
        <v>114</v>
      </c>
      <c r="C87" s="107" t="n">
        <v>5.266</v>
      </c>
      <c r="D87" s="107" t="n">
        <v>17.919</v>
      </c>
      <c r="E87" s="107" t="n">
        <v>52.663</v>
      </c>
      <c r="F87" s="107" t="n">
        <v>0.6</v>
      </c>
      <c r="G87" s="107" t="n">
        <v>3.6</v>
      </c>
      <c r="H87" s="107" t="n">
        <v>2.4</v>
      </c>
      <c r="I87" s="107" t="n">
        <v>2</v>
      </c>
      <c r="J87" s="107" t="n">
        <v>3.094</v>
      </c>
      <c r="K87" s="107" t="s">
        <v>956</v>
      </c>
      <c r="L87" s="108" t="s">
        <v>102</v>
      </c>
      <c r="M87" s="107" t="s">
        <v>361</v>
      </c>
      <c r="N87" s="108" t="s">
        <v>959</v>
      </c>
      <c r="O87" s="107" t="n">
        <v>42003</v>
      </c>
      <c r="P87" s="107" t="n">
        <v>0.5</v>
      </c>
      <c r="Q87" s="107" t="n">
        <v>-371.28</v>
      </c>
      <c r="R87" s="107" t="s">
        <v>1014</v>
      </c>
    </row>
    <row r="88" customFormat="false" ht="15" hidden="false" customHeight="false" outlineLevel="0" collapsed="false">
      <c r="A88" s="107" t="s">
        <v>1017</v>
      </c>
      <c r="B88" s="107" t="s">
        <v>114</v>
      </c>
      <c r="C88" s="107" t="n">
        <v>5.239</v>
      </c>
      <c r="D88" s="107" t="n">
        <v>15.182</v>
      </c>
      <c r="E88" s="107" t="n">
        <v>49.354</v>
      </c>
      <c r="F88" s="107" t="n">
        <v>-1.1</v>
      </c>
      <c r="G88" s="107" t="n">
        <v>6</v>
      </c>
      <c r="H88" s="107" t="n">
        <v>-0.6</v>
      </c>
      <c r="I88" s="107" t="n">
        <v>-0.6</v>
      </c>
      <c r="J88" s="107" t="n">
        <v>3.699</v>
      </c>
      <c r="K88" s="107" t="s">
        <v>956</v>
      </c>
      <c r="L88" s="108" t="s">
        <v>102</v>
      </c>
      <c r="M88" s="107" t="s">
        <v>361</v>
      </c>
      <c r="N88" s="108" t="s">
        <v>959</v>
      </c>
      <c r="O88" s="107" t="n">
        <v>42003</v>
      </c>
      <c r="P88" s="107" t="n">
        <v>13.4</v>
      </c>
      <c r="Q88" s="107" t="n">
        <v>2973.996</v>
      </c>
      <c r="R88" s="107" t="s">
        <v>1014</v>
      </c>
    </row>
    <row r="89" customFormat="false" ht="15" hidden="false" customHeight="false" outlineLevel="0" collapsed="false">
      <c r="A89" s="107" t="s">
        <v>1018</v>
      </c>
      <c r="B89" s="107" t="s">
        <v>114</v>
      </c>
      <c r="C89" s="107" t="n">
        <v>5.073</v>
      </c>
      <c r="D89" s="107" t="n">
        <v>7.298</v>
      </c>
      <c r="E89" s="107" t="n">
        <v>36.717</v>
      </c>
      <c r="F89" s="107" t="n">
        <v>-1.1</v>
      </c>
      <c r="G89" s="107" t="n">
        <v>1.2</v>
      </c>
      <c r="H89" s="107" t="n">
        <v>0.7</v>
      </c>
      <c r="I89" s="107" t="n">
        <v>-7.2</v>
      </c>
      <c r="J89" s="107" t="n">
        <v>2.23</v>
      </c>
      <c r="K89" s="107" t="s">
        <v>964</v>
      </c>
      <c r="L89" s="108" t="s">
        <v>102</v>
      </c>
      <c r="M89" s="107" t="s">
        <v>361</v>
      </c>
      <c r="N89" s="108" t="s">
        <v>959</v>
      </c>
      <c r="O89" s="107" t="n">
        <v>42003</v>
      </c>
      <c r="P89" s="107" t="n">
        <v>3.7</v>
      </c>
      <c r="Q89" s="107" t="n">
        <v>-577.57</v>
      </c>
      <c r="R89" s="107" t="s">
        <v>1014</v>
      </c>
    </row>
    <row r="90" customFormat="false" ht="15" hidden="false" customHeight="false" outlineLevel="0" collapsed="false">
      <c r="A90" s="107" t="s">
        <v>814</v>
      </c>
      <c r="B90" s="107" t="s">
        <v>114</v>
      </c>
      <c r="C90" s="107" t="n">
        <v>5.277</v>
      </c>
      <c r="D90" s="107" t="n">
        <v>18.976</v>
      </c>
      <c r="E90" s="107" t="n">
        <v>52.819</v>
      </c>
      <c r="F90" s="107" t="n">
        <v>0.9</v>
      </c>
      <c r="G90" s="107" t="n">
        <v>7.3</v>
      </c>
      <c r="H90" s="107" t="n">
        <v>5.3</v>
      </c>
      <c r="I90" s="107" t="n">
        <v>1.7</v>
      </c>
      <c r="J90" s="107" t="n">
        <v>3.974</v>
      </c>
      <c r="K90" s="107" t="s">
        <v>956</v>
      </c>
      <c r="L90" s="108" t="s">
        <v>102</v>
      </c>
      <c r="M90" s="107" t="s">
        <v>361</v>
      </c>
      <c r="N90" s="108" t="s">
        <v>959</v>
      </c>
      <c r="O90" s="107" t="n">
        <v>42003</v>
      </c>
      <c r="P90" s="107" t="n">
        <v>0.5</v>
      </c>
      <c r="Q90" s="107" t="n">
        <v>-1053.11</v>
      </c>
      <c r="R90" s="107" t="s">
        <v>1014</v>
      </c>
    </row>
    <row r="91" customFormat="false" ht="15" hidden="false" customHeight="false" outlineLevel="0" collapsed="false">
      <c r="A91" s="107" t="s">
        <v>552</v>
      </c>
      <c r="B91" s="107" t="s">
        <v>114</v>
      </c>
      <c r="C91" s="107" t="n">
        <v>6.279</v>
      </c>
      <c r="D91" s="107" t="n">
        <v>64.761</v>
      </c>
      <c r="E91" s="107" t="n">
        <v>164.767</v>
      </c>
      <c r="F91" s="107" t="n">
        <v>-0.2</v>
      </c>
      <c r="G91" s="107" t="n">
        <v>0.7</v>
      </c>
      <c r="H91" s="107" t="n">
        <v>16.8</v>
      </c>
      <c r="I91" s="107" t="n">
        <v>-0.5</v>
      </c>
      <c r="J91" s="107" t="n">
        <v>16.047</v>
      </c>
      <c r="K91" s="107" t="s">
        <v>1019</v>
      </c>
      <c r="L91" s="108" t="s">
        <v>102</v>
      </c>
      <c r="M91" s="107" t="s">
        <v>361</v>
      </c>
      <c r="N91" s="108" t="s">
        <v>959</v>
      </c>
      <c r="O91" s="107" t="n">
        <v>34507</v>
      </c>
      <c r="P91" s="107" t="n">
        <v>2.845</v>
      </c>
      <c r="Q91" s="107" t="n">
        <v>-76698.2412</v>
      </c>
      <c r="R91" s="107" t="s">
        <v>1020</v>
      </c>
    </row>
    <row r="92" customFormat="false" ht="15" hidden="false" customHeight="false" outlineLevel="0" collapsed="false">
      <c r="A92" s="107" t="s">
        <v>749</v>
      </c>
      <c r="B92" s="107" t="s">
        <v>114</v>
      </c>
      <c r="C92" s="107" t="n">
        <v>4.617</v>
      </c>
      <c r="D92" s="107" t="n">
        <v>-27.202</v>
      </c>
      <c r="E92" s="107" t="n">
        <v>51.725</v>
      </c>
      <c r="F92" s="107" t="n">
        <v>-0.4</v>
      </c>
      <c r="G92" s="107" t="n">
        <v>14.7</v>
      </c>
      <c r="H92" s="107" t="n">
        <v>-24.6</v>
      </c>
      <c r="I92" s="107" t="n">
        <v>-40.6</v>
      </c>
      <c r="J92" s="107" t="n">
        <v>0.331</v>
      </c>
      <c r="K92" s="107" t="s">
        <v>982</v>
      </c>
      <c r="L92" s="108" t="s">
        <v>102</v>
      </c>
      <c r="M92" s="107" t="s">
        <v>361</v>
      </c>
      <c r="N92" s="108" t="s">
        <v>959</v>
      </c>
      <c r="O92" s="107" t="n">
        <v>38088</v>
      </c>
      <c r="P92" s="107" t="n">
        <v>15</v>
      </c>
      <c r="Q92" s="107" t="n">
        <v>12213.9</v>
      </c>
      <c r="R92" s="107" t="s">
        <v>1021</v>
      </c>
    </row>
    <row r="93" customFormat="false" ht="15" hidden="false" customHeight="false" outlineLevel="0" collapsed="false">
      <c r="A93" s="107" t="s">
        <v>1022</v>
      </c>
      <c r="B93" s="107" t="s">
        <v>114</v>
      </c>
      <c r="C93" s="107" t="n">
        <v>5.127</v>
      </c>
      <c r="D93" s="107" t="n">
        <v>4.069</v>
      </c>
      <c r="E93" s="107" t="n">
        <v>38.134</v>
      </c>
      <c r="F93" s="107" t="n">
        <v>-1.8</v>
      </c>
      <c r="G93" s="107" t="n">
        <v>6.4</v>
      </c>
      <c r="H93" s="107" t="n">
        <v>2.1</v>
      </c>
      <c r="I93" s="107" t="n">
        <v>1</v>
      </c>
      <c r="J93" s="107" t="n">
        <v>3.756</v>
      </c>
      <c r="K93" s="107" t="s">
        <v>956</v>
      </c>
      <c r="L93" s="108" t="s">
        <v>102</v>
      </c>
      <c r="M93" s="107" t="s">
        <v>361</v>
      </c>
      <c r="N93" s="108" t="s">
        <v>959</v>
      </c>
      <c r="O93" s="107" t="n">
        <v>34578</v>
      </c>
      <c r="P93" s="107" t="n">
        <v>0.5</v>
      </c>
      <c r="Q93" s="107" t="n">
        <v>-394.38</v>
      </c>
      <c r="R93" s="107" t="s">
        <v>1023</v>
      </c>
    </row>
    <row r="94" customFormat="false" ht="15" hidden="false" customHeight="false" outlineLevel="0" collapsed="false">
      <c r="A94" s="107" t="s">
        <v>1024</v>
      </c>
      <c r="B94" s="107" t="s">
        <v>114</v>
      </c>
      <c r="C94" s="107" t="n">
        <v>5.16</v>
      </c>
      <c r="D94" s="107" t="n">
        <v>7.352</v>
      </c>
      <c r="E94" s="107" t="n">
        <v>41.159</v>
      </c>
      <c r="F94" s="107" t="n">
        <v>4</v>
      </c>
      <c r="G94" s="107" t="n">
        <v>10.4</v>
      </c>
      <c r="H94" s="107" t="n">
        <v>-1.4</v>
      </c>
      <c r="I94" s="107" t="n">
        <v>1.6</v>
      </c>
      <c r="J94" s="107" t="n">
        <v>4.023</v>
      </c>
      <c r="K94" s="107" t="s">
        <v>956</v>
      </c>
      <c r="L94" s="108" t="s">
        <v>102</v>
      </c>
      <c r="M94" s="107" t="s">
        <v>361</v>
      </c>
      <c r="N94" s="108" t="s">
        <v>959</v>
      </c>
      <c r="O94" s="107" t="n">
        <v>34578</v>
      </c>
      <c r="P94" s="107" t="n">
        <v>0.5</v>
      </c>
      <c r="Q94" s="107" t="n">
        <v>281.61</v>
      </c>
      <c r="R94" s="107" t="s">
        <v>1023</v>
      </c>
    </row>
    <row r="95" customFormat="false" ht="15" hidden="false" customHeight="false" outlineLevel="0" collapsed="false">
      <c r="A95" s="107" t="s">
        <v>820</v>
      </c>
      <c r="B95" s="107" t="s">
        <v>114</v>
      </c>
      <c r="C95" s="107" t="n">
        <v>5.192</v>
      </c>
      <c r="D95" s="107" t="n">
        <v>19.199</v>
      </c>
      <c r="E95" s="107" t="n">
        <v>46.647</v>
      </c>
      <c r="F95" s="107" t="n">
        <v>-2.9</v>
      </c>
      <c r="G95" s="107" t="n">
        <v>17.3</v>
      </c>
      <c r="H95" s="107" t="n">
        <v>-0.1</v>
      </c>
      <c r="I95" s="107" t="n">
        <v>-8.2</v>
      </c>
      <c r="J95" s="107" t="n">
        <v>2.589</v>
      </c>
      <c r="K95" s="107" t="s">
        <v>964</v>
      </c>
      <c r="L95" s="108" t="s">
        <v>102</v>
      </c>
      <c r="M95" s="107" t="s">
        <v>361</v>
      </c>
      <c r="N95" s="108" t="s">
        <v>959</v>
      </c>
      <c r="O95" s="107" t="n">
        <v>42003</v>
      </c>
      <c r="P95" s="107" t="n">
        <v>0.2</v>
      </c>
      <c r="Q95" s="107" t="n">
        <v>5.178</v>
      </c>
      <c r="R95" s="107" t="s">
        <v>1025</v>
      </c>
    </row>
    <row r="96" customFormat="false" ht="15" hidden="false" customHeight="false" outlineLevel="0" collapsed="false">
      <c r="A96" s="107" t="s">
        <v>417</v>
      </c>
      <c r="B96" s="107" t="s">
        <v>114</v>
      </c>
      <c r="C96" s="107" t="n">
        <v>5.781</v>
      </c>
      <c r="D96" s="107" t="n">
        <v>78.554</v>
      </c>
      <c r="E96" s="107" t="n">
        <v>112.431</v>
      </c>
      <c r="F96" s="107" t="n">
        <v>-1.5</v>
      </c>
      <c r="G96" s="107" t="n">
        <v>4.8</v>
      </c>
      <c r="H96" s="107" t="n">
        <v>1.3</v>
      </c>
      <c r="I96" s="107" t="n">
        <v>-0.2</v>
      </c>
      <c r="J96" s="107" t="n">
        <v>3.894</v>
      </c>
      <c r="K96" s="107" t="s">
        <v>962</v>
      </c>
      <c r="L96" s="108" t="s">
        <v>94</v>
      </c>
      <c r="M96" s="107" t="s">
        <v>374</v>
      </c>
      <c r="N96" s="108" t="s">
        <v>959</v>
      </c>
      <c r="O96" s="107" t="n">
        <v>28096</v>
      </c>
      <c r="P96" s="107" t="n">
        <v>5</v>
      </c>
      <c r="Q96" s="107" t="n">
        <v>-2531.1</v>
      </c>
      <c r="R96" s="107" t="s">
        <v>1026</v>
      </c>
    </row>
    <row r="97" customFormat="false" ht="15" hidden="false" customHeight="false" outlineLevel="0" collapsed="false">
      <c r="A97" s="107" t="s">
        <v>717</v>
      </c>
      <c r="B97" s="107" t="s">
        <v>114</v>
      </c>
      <c r="C97" s="107" t="n">
        <v>5.617</v>
      </c>
      <c r="D97" s="107" t="n">
        <v>61.583</v>
      </c>
      <c r="E97" s="107" t="n">
        <v>89.007</v>
      </c>
      <c r="F97" s="107" t="n">
        <v>-2.3</v>
      </c>
      <c r="G97" s="107" t="n">
        <v>5.9</v>
      </c>
      <c r="H97" s="107" t="n">
        <v>-3</v>
      </c>
      <c r="I97" s="107" t="n">
        <v>-6.4</v>
      </c>
      <c r="J97" s="107" t="n">
        <v>2.582</v>
      </c>
      <c r="K97" s="107" t="s">
        <v>956</v>
      </c>
      <c r="L97" s="108" t="s">
        <v>94</v>
      </c>
      <c r="M97" s="107" t="s">
        <v>374</v>
      </c>
      <c r="N97" s="108" t="s">
        <v>959</v>
      </c>
      <c r="O97" s="107" t="n">
        <v>38038</v>
      </c>
      <c r="P97" s="107" t="n">
        <v>5</v>
      </c>
      <c r="Q97" s="107" t="n">
        <v>3873</v>
      </c>
      <c r="R97" s="107" t="s">
        <v>1027</v>
      </c>
    </row>
    <row r="98" customFormat="false" ht="15" hidden="false" customHeight="false" outlineLevel="0" collapsed="false">
      <c r="A98" s="107" t="s">
        <v>421</v>
      </c>
      <c r="B98" s="107" t="s">
        <v>114</v>
      </c>
      <c r="C98" s="107" t="n">
        <v>5.696</v>
      </c>
      <c r="D98" s="107" t="n">
        <v>66.564</v>
      </c>
      <c r="E98" s="107" t="n">
        <v>100.913</v>
      </c>
      <c r="F98" s="107" t="n">
        <v>-1.7</v>
      </c>
      <c r="G98" s="107" t="n">
        <v>4.8</v>
      </c>
      <c r="H98" s="107" t="n">
        <v>-0.8</v>
      </c>
      <c r="I98" s="107" t="n">
        <v>-4.3</v>
      </c>
      <c r="J98" s="107" t="n">
        <v>3.452</v>
      </c>
      <c r="K98" s="107" t="s">
        <v>956</v>
      </c>
      <c r="L98" s="108" t="s">
        <v>94</v>
      </c>
      <c r="M98" s="107" t="s">
        <v>374</v>
      </c>
      <c r="N98" s="108" t="s">
        <v>959</v>
      </c>
      <c r="O98" s="107" t="n">
        <v>28096</v>
      </c>
      <c r="P98" s="107" t="n">
        <v>1</v>
      </c>
      <c r="Q98" s="107" t="n">
        <v>276.16</v>
      </c>
      <c r="R98" s="107" t="s">
        <v>1027</v>
      </c>
    </row>
    <row r="99" customFormat="false" ht="15" hidden="false" customHeight="false" outlineLevel="0" collapsed="false">
      <c r="A99" s="107" t="s">
        <v>424</v>
      </c>
      <c r="B99" s="107" t="s">
        <v>114</v>
      </c>
      <c r="C99" s="107" t="n">
        <v>5.365</v>
      </c>
      <c r="D99" s="107" t="n">
        <v>51.913</v>
      </c>
      <c r="E99" s="107" t="n">
        <v>78.994</v>
      </c>
      <c r="F99" s="107" t="n">
        <v>0.1</v>
      </c>
      <c r="G99" s="107" t="n">
        <v>7.5</v>
      </c>
      <c r="H99" s="107" t="n">
        <v>-6.2</v>
      </c>
      <c r="I99" s="107" t="n">
        <v>-17</v>
      </c>
      <c r="J99" s="107" t="n">
        <v>1.456</v>
      </c>
      <c r="K99" s="107" t="s">
        <v>964</v>
      </c>
      <c r="L99" s="108" t="s">
        <v>94</v>
      </c>
      <c r="M99" s="107" t="s">
        <v>374</v>
      </c>
      <c r="N99" s="108" t="s">
        <v>79</v>
      </c>
      <c r="O99" s="107" t="n">
        <v>28096</v>
      </c>
      <c r="P99" s="107" t="n">
        <v>10</v>
      </c>
      <c r="Q99" s="107" t="n">
        <v>9027.2</v>
      </c>
      <c r="R99" s="107" t="s">
        <v>1028</v>
      </c>
    </row>
    <row r="100" customFormat="false" ht="15" hidden="false" customHeight="false" outlineLevel="0" collapsed="false">
      <c r="A100" s="107" t="s">
        <v>556</v>
      </c>
      <c r="B100" s="107" t="s">
        <v>114</v>
      </c>
      <c r="C100" s="107" t="n">
        <v>5.399</v>
      </c>
      <c r="D100" s="107" t="n">
        <v>68.575</v>
      </c>
      <c r="E100" s="107" t="n">
        <v>98.227</v>
      </c>
      <c r="F100" s="107" t="n">
        <v>0.5</v>
      </c>
      <c r="G100" s="107" t="n">
        <v>7.2</v>
      </c>
      <c r="H100" s="107" t="n">
        <v>-2.8</v>
      </c>
      <c r="I100" s="107" t="n">
        <v>-14.2</v>
      </c>
      <c r="J100" s="107" t="n">
        <v>2.166</v>
      </c>
      <c r="K100" s="107" t="s">
        <v>956</v>
      </c>
      <c r="L100" s="108" t="s">
        <v>94</v>
      </c>
      <c r="M100" s="107" t="s">
        <v>374</v>
      </c>
      <c r="N100" s="108" t="s">
        <v>79</v>
      </c>
      <c r="O100" s="107" t="n">
        <v>34507</v>
      </c>
      <c r="P100" s="107" t="n">
        <v>10</v>
      </c>
      <c r="Q100" s="107" t="n">
        <v>6064.8</v>
      </c>
      <c r="R100" s="107" t="s">
        <v>1028</v>
      </c>
    </row>
    <row r="101" customFormat="false" ht="15" hidden="false" customHeight="false" outlineLevel="0" collapsed="false">
      <c r="A101" s="107" t="s">
        <v>719</v>
      </c>
      <c r="B101" s="107" t="s">
        <v>114</v>
      </c>
      <c r="C101" s="107" t="n">
        <v>5.778</v>
      </c>
      <c r="D101" s="107" t="n">
        <v>88.048</v>
      </c>
      <c r="E101" s="107" t="n">
        <v>121.921</v>
      </c>
      <c r="F101" s="107" t="n">
        <v>0.2</v>
      </c>
      <c r="G101" s="107" t="n">
        <v>5.6</v>
      </c>
      <c r="H101" s="107" t="n">
        <v>1.9</v>
      </c>
      <c r="I101" s="107" t="n">
        <v>-1.2</v>
      </c>
      <c r="J101" s="107" t="n">
        <v>3.899</v>
      </c>
      <c r="K101" s="107" t="s">
        <v>962</v>
      </c>
      <c r="L101" s="108" t="s">
        <v>94</v>
      </c>
      <c r="M101" s="107" t="s">
        <v>374</v>
      </c>
      <c r="N101" s="108" t="s">
        <v>79</v>
      </c>
      <c r="O101" s="107" t="n">
        <v>38038</v>
      </c>
      <c r="P101" s="107" t="n">
        <v>20</v>
      </c>
      <c r="Q101" s="107" t="n">
        <v>-14816.2</v>
      </c>
      <c r="R101" s="107" t="s">
        <v>1028</v>
      </c>
    </row>
    <row r="102" customFormat="false" ht="15" hidden="false" customHeight="false" outlineLevel="0" collapsed="false">
      <c r="A102" s="107" t="s">
        <v>558</v>
      </c>
      <c r="B102" s="107" t="s">
        <v>114</v>
      </c>
      <c r="C102" s="107" t="n">
        <v>5.474</v>
      </c>
      <c r="D102" s="107" t="n">
        <v>69.638</v>
      </c>
      <c r="E102" s="107" t="n">
        <v>98.176</v>
      </c>
      <c r="F102" s="107" t="n">
        <v>-1</v>
      </c>
      <c r="G102" s="107" t="n">
        <v>6.3</v>
      </c>
      <c r="H102" s="107" t="n">
        <v>-3.6</v>
      </c>
      <c r="I102" s="107" t="n">
        <v>-11.9</v>
      </c>
      <c r="J102" s="107" t="n">
        <v>2.359</v>
      </c>
      <c r="K102" s="107" t="s">
        <v>956</v>
      </c>
      <c r="L102" s="108" t="s">
        <v>94</v>
      </c>
      <c r="M102" s="107" t="s">
        <v>374</v>
      </c>
      <c r="N102" s="108" t="s">
        <v>79</v>
      </c>
      <c r="O102" s="107" t="n">
        <v>34507</v>
      </c>
      <c r="P102" s="107" t="n">
        <v>10</v>
      </c>
      <c r="Q102" s="107" t="n">
        <v>8492.4</v>
      </c>
      <c r="R102" s="107" t="s">
        <v>1028</v>
      </c>
    </row>
    <row r="103" customFormat="false" ht="15" hidden="false" customHeight="false" outlineLevel="0" collapsed="false">
      <c r="A103" s="107" t="s">
        <v>427</v>
      </c>
      <c r="B103" s="107" t="s">
        <v>114</v>
      </c>
      <c r="C103" s="107" t="n">
        <v>5.255</v>
      </c>
      <c r="D103" s="107" t="n">
        <v>63.087</v>
      </c>
      <c r="E103" s="107" t="n">
        <v>86.298</v>
      </c>
      <c r="F103" s="107" t="n">
        <v>-0.2</v>
      </c>
      <c r="G103" s="107" t="n">
        <v>7.5</v>
      </c>
      <c r="H103" s="107" t="n">
        <v>-3</v>
      </c>
      <c r="I103" s="107" t="n">
        <v>-22.9</v>
      </c>
      <c r="J103" s="107" t="n">
        <v>1.708</v>
      </c>
      <c r="K103" s="107" t="s">
        <v>964</v>
      </c>
      <c r="L103" s="108" t="s">
        <v>94</v>
      </c>
      <c r="M103" s="107" t="s">
        <v>374</v>
      </c>
      <c r="N103" s="108" t="s">
        <v>79</v>
      </c>
      <c r="O103" s="107" t="s">
        <v>966</v>
      </c>
      <c r="P103" s="107" t="n">
        <v>20</v>
      </c>
      <c r="Q103" s="107" t="n">
        <v>10248</v>
      </c>
      <c r="R103" s="107" t="s">
        <v>1028</v>
      </c>
    </row>
    <row r="104" customFormat="false" ht="15" hidden="false" customHeight="false" outlineLevel="0" collapsed="false">
      <c r="A104" s="107" t="s">
        <v>561</v>
      </c>
      <c r="B104" s="107" t="s">
        <v>114</v>
      </c>
      <c r="C104" s="107" t="n">
        <v>5.456</v>
      </c>
      <c r="D104" s="107" t="n">
        <v>65.866</v>
      </c>
      <c r="E104" s="107" t="n">
        <v>94.037</v>
      </c>
      <c r="F104" s="107" t="n">
        <v>-1.1</v>
      </c>
      <c r="G104" s="107" t="n">
        <v>6.1</v>
      </c>
      <c r="H104" s="107" t="n">
        <v>-3.9</v>
      </c>
      <c r="I104" s="107" t="n">
        <v>-11.3</v>
      </c>
      <c r="J104" s="107" t="n">
        <v>2.432</v>
      </c>
      <c r="K104" s="107" t="s">
        <v>956</v>
      </c>
      <c r="L104" s="108" t="s">
        <v>94</v>
      </c>
      <c r="M104" s="107" t="s">
        <v>367</v>
      </c>
      <c r="N104" s="108" t="s">
        <v>79</v>
      </c>
      <c r="O104" s="107" t="n">
        <v>34507</v>
      </c>
      <c r="P104" s="107" t="n">
        <v>0.5</v>
      </c>
      <c r="Q104" s="107" t="n">
        <v>474.24</v>
      </c>
      <c r="R104" s="107" t="s">
        <v>1029</v>
      </c>
    </row>
    <row r="105" customFormat="false" ht="15" hidden="false" customHeight="false" outlineLevel="0" collapsed="false">
      <c r="A105" s="107" t="s">
        <v>432</v>
      </c>
      <c r="B105" s="107" t="s">
        <v>114</v>
      </c>
      <c r="C105" s="107" t="n">
        <v>5.449</v>
      </c>
      <c r="D105" s="107" t="n">
        <v>56.009</v>
      </c>
      <c r="E105" s="107" t="n">
        <v>79.136</v>
      </c>
      <c r="F105" s="107" t="n">
        <v>1.6</v>
      </c>
      <c r="G105" s="107" t="n">
        <v>7.3</v>
      </c>
      <c r="H105" s="107" t="n">
        <v>3.9</v>
      </c>
      <c r="I105" s="107" t="n">
        <v>2.2</v>
      </c>
      <c r="J105" s="107" t="n">
        <v>1.75</v>
      </c>
      <c r="K105" s="107" t="s">
        <v>964</v>
      </c>
      <c r="L105" s="108" t="s">
        <v>94</v>
      </c>
      <c r="M105" s="107" t="s">
        <v>377</v>
      </c>
      <c r="N105" s="108" t="s">
        <v>959</v>
      </c>
      <c r="O105" s="107" t="n">
        <v>28096</v>
      </c>
      <c r="P105" s="107" t="n">
        <v>28.09</v>
      </c>
      <c r="Q105" s="107" t="n">
        <v>-19171.425</v>
      </c>
      <c r="R105" s="107" t="s">
        <v>1030</v>
      </c>
    </row>
    <row r="106" customFormat="false" ht="15" hidden="false" customHeight="false" outlineLevel="0" collapsed="false">
      <c r="A106" s="107" t="s">
        <v>1031</v>
      </c>
      <c r="B106" s="107" t="s">
        <v>114</v>
      </c>
      <c r="C106" s="107" t="n">
        <v>5.436</v>
      </c>
      <c r="D106" s="107" t="n">
        <v>54.694</v>
      </c>
      <c r="E106" s="107" t="n">
        <v>77.905</v>
      </c>
      <c r="F106" s="107" t="n">
        <v>1.4</v>
      </c>
      <c r="G106" s="107" t="n">
        <v>6.4</v>
      </c>
      <c r="H106" s="107" t="n">
        <v>4.2</v>
      </c>
      <c r="I106" s="107" t="n">
        <v>-0.3</v>
      </c>
      <c r="J106" s="107" t="n">
        <v>1.692</v>
      </c>
      <c r="K106" s="107" t="s">
        <v>964</v>
      </c>
      <c r="L106" s="108" t="s">
        <v>94</v>
      </c>
      <c r="M106" s="107" t="s">
        <v>377</v>
      </c>
      <c r="N106" s="108" t="s">
        <v>959</v>
      </c>
      <c r="O106" s="107" t="n">
        <v>28096</v>
      </c>
      <c r="P106" s="107" t="n">
        <v>0</v>
      </c>
      <c r="Q106" s="107" t="n">
        <v>0</v>
      </c>
      <c r="R106" s="107" t="s">
        <v>1030</v>
      </c>
    </row>
    <row r="107" customFormat="false" ht="15" hidden="false" customHeight="false" outlineLevel="0" collapsed="false">
      <c r="A107" s="107" t="s">
        <v>563</v>
      </c>
      <c r="B107" s="107" t="s">
        <v>114</v>
      </c>
      <c r="C107" s="107" t="n">
        <v>6.135</v>
      </c>
      <c r="D107" s="107" t="n">
        <v>84.802</v>
      </c>
      <c r="E107" s="107" t="n">
        <v>132.247</v>
      </c>
      <c r="F107" s="107" t="n">
        <v>0.2</v>
      </c>
      <c r="G107" s="107" t="n">
        <v>3.2</v>
      </c>
      <c r="H107" s="107" t="n">
        <v>4.7</v>
      </c>
      <c r="I107" s="107" t="n">
        <v>3.2</v>
      </c>
      <c r="J107" s="107" t="n">
        <v>6.914</v>
      </c>
      <c r="K107" s="107" t="s">
        <v>971</v>
      </c>
      <c r="L107" s="108" t="s">
        <v>94</v>
      </c>
      <c r="M107" s="107" t="s">
        <v>377</v>
      </c>
      <c r="N107" s="108" t="s">
        <v>959</v>
      </c>
      <c r="O107" s="107" t="n">
        <v>34507</v>
      </c>
      <c r="P107" s="107" t="n">
        <v>0.5</v>
      </c>
      <c r="Q107" s="107" t="n">
        <v>-1624.79</v>
      </c>
      <c r="R107" s="107" t="s">
        <v>1030</v>
      </c>
    </row>
    <row r="108" customFormat="false" ht="15" hidden="false" customHeight="false" outlineLevel="0" collapsed="false">
      <c r="A108" s="107" t="s">
        <v>567</v>
      </c>
      <c r="B108" s="107" t="s">
        <v>114</v>
      </c>
      <c r="C108" s="107" t="n">
        <v>5.672</v>
      </c>
      <c r="D108" s="107" t="n">
        <v>67.14</v>
      </c>
      <c r="E108" s="107" t="n">
        <v>94.698</v>
      </c>
      <c r="F108" s="107" t="n">
        <v>-1</v>
      </c>
      <c r="G108" s="107" t="n">
        <v>1.7</v>
      </c>
      <c r="H108" s="107" t="n">
        <v>0.1</v>
      </c>
      <c r="I108" s="107" t="n">
        <v>-3</v>
      </c>
      <c r="J108" s="107" t="n">
        <v>2.563</v>
      </c>
      <c r="K108" s="107" t="s">
        <v>964</v>
      </c>
      <c r="L108" s="108" t="s">
        <v>94</v>
      </c>
      <c r="M108" s="107" t="s">
        <v>377</v>
      </c>
      <c r="N108" s="108" t="s">
        <v>959</v>
      </c>
      <c r="O108" s="107" t="n">
        <v>34507</v>
      </c>
      <c r="P108" s="107" t="n">
        <v>1</v>
      </c>
      <c r="Q108" s="107" t="n">
        <v>-25.63</v>
      </c>
      <c r="R108" s="107" t="s">
        <v>1030</v>
      </c>
    </row>
    <row r="109" customFormat="false" ht="15" hidden="false" customHeight="false" outlineLevel="0" collapsed="false">
      <c r="A109" s="107" t="s">
        <v>434</v>
      </c>
      <c r="B109" s="107" t="s">
        <v>114</v>
      </c>
      <c r="C109" s="107" t="n">
        <v>6.006</v>
      </c>
      <c r="D109" s="107" t="n">
        <v>91.944</v>
      </c>
      <c r="E109" s="107" t="n">
        <v>125.379</v>
      </c>
      <c r="F109" s="107" t="n">
        <v>-0.3</v>
      </c>
      <c r="G109" s="107" t="n">
        <v>3.6</v>
      </c>
      <c r="H109" s="107" t="n">
        <v>1.1</v>
      </c>
      <c r="I109" s="107" t="n">
        <v>4.6</v>
      </c>
      <c r="J109" s="107" t="n">
        <v>4.233</v>
      </c>
      <c r="K109" s="107" t="s">
        <v>956</v>
      </c>
      <c r="L109" s="108" t="s">
        <v>94</v>
      </c>
      <c r="M109" s="107" t="s">
        <v>377</v>
      </c>
      <c r="N109" s="108" t="s">
        <v>959</v>
      </c>
      <c r="O109" s="107" t="n">
        <v>28096</v>
      </c>
      <c r="P109" s="107" t="n">
        <v>1</v>
      </c>
      <c r="Q109" s="107" t="n">
        <v>-465.63</v>
      </c>
      <c r="R109" s="107" t="s">
        <v>1030</v>
      </c>
    </row>
    <row r="110" customFormat="false" ht="15" hidden="false" customHeight="false" outlineLevel="0" collapsed="false">
      <c r="A110" s="107" t="s">
        <v>1032</v>
      </c>
      <c r="B110" s="107" t="s">
        <v>114</v>
      </c>
      <c r="C110" s="2"/>
      <c r="D110" s="2"/>
      <c r="E110" s="2"/>
      <c r="F110" s="107" t="n">
        <v>-33</v>
      </c>
      <c r="G110" s="107" t="n">
        <v>121.7</v>
      </c>
      <c r="H110" s="2"/>
      <c r="I110" s="107" t="n">
        <v>115.5</v>
      </c>
      <c r="J110" s="2"/>
      <c r="K110" s="107" t="s">
        <v>982</v>
      </c>
      <c r="L110" s="108" t="s">
        <v>94</v>
      </c>
      <c r="M110" s="107" t="s">
        <v>505</v>
      </c>
      <c r="N110" s="108" t="s">
        <v>959</v>
      </c>
      <c r="O110" s="107" t="n">
        <v>42003</v>
      </c>
      <c r="P110" s="107" t="n">
        <v>0</v>
      </c>
      <c r="Q110" s="107" t="n">
        <v>0</v>
      </c>
      <c r="R110" s="107" t="s">
        <v>1033</v>
      </c>
    </row>
    <row r="111" customFormat="false" ht="15" hidden="false" customHeight="false" outlineLevel="0" collapsed="false">
      <c r="A111" s="107" t="s">
        <v>1034</v>
      </c>
      <c r="B111" s="107" t="s">
        <v>114</v>
      </c>
      <c r="C111" s="107" t="n">
        <v>5.255</v>
      </c>
      <c r="D111" s="107" t="n">
        <v>36.624</v>
      </c>
      <c r="E111" s="107" t="n">
        <v>60.218</v>
      </c>
      <c r="F111" s="107" t="n">
        <v>1.4</v>
      </c>
      <c r="G111" s="107" t="n">
        <v>2.7</v>
      </c>
      <c r="H111" s="107" t="n">
        <v>-0.7</v>
      </c>
      <c r="I111" s="107" t="n">
        <v>6.5</v>
      </c>
      <c r="J111" s="107" t="n">
        <v>1.682</v>
      </c>
      <c r="K111" s="107" t="s">
        <v>964</v>
      </c>
      <c r="L111" s="108" t="s">
        <v>94</v>
      </c>
      <c r="M111" s="107" t="s">
        <v>367</v>
      </c>
      <c r="N111" s="108" t="s">
        <v>959</v>
      </c>
      <c r="O111" s="107" t="s">
        <v>1035</v>
      </c>
      <c r="P111" s="107" t="n">
        <v>3</v>
      </c>
      <c r="Q111" s="107" t="n">
        <v>353.22</v>
      </c>
      <c r="R111" s="107" t="s">
        <v>1033</v>
      </c>
    </row>
    <row r="112" customFormat="false" ht="15" hidden="false" customHeight="false" outlineLevel="0" collapsed="false">
      <c r="A112" s="107" t="s">
        <v>437</v>
      </c>
      <c r="B112" s="107" t="s">
        <v>114</v>
      </c>
      <c r="C112" s="107" t="n">
        <v>5.854</v>
      </c>
      <c r="D112" s="107" t="n">
        <v>50.088</v>
      </c>
      <c r="E112" s="107" t="n">
        <v>75.638</v>
      </c>
      <c r="F112" s="107" t="n">
        <v>1.4</v>
      </c>
      <c r="G112" s="107" t="n">
        <v>7.9</v>
      </c>
      <c r="H112" s="107" t="n">
        <v>-13.9</v>
      </c>
      <c r="I112" s="107" t="n">
        <v>-23.9</v>
      </c>
      <c r="J112" s="107" t="n">
        <v>1.557</v>
      </c>
      <c r="K112" s="107" t="s">
        <v>964</v>
      </c>
      <c r="L112" s="108" t="s">
        <v>94</v>
      </c>
      <c r="M112" s="107" t="s">
        <v>374</v>
      </c>
      <c r="N112" s="108" t="s">
        <v>90</v>
      </c>
      <c r="O112" s="107" t="n">
        <v>28096</v>
      </c>
      <c r="P112" s="107" t="n">
        <v>13</v>
      </c>
      <c r="Q112" s="107" t="n">
        <v>28134.99</v>
      </c>
      <c r="R112" s="107" t="s">
        <v>1036</v>
      </c>
    </row>
    <row r="113" customFormat="false" ht="15" hidden="false" customHeight="false" outlineLevel="0" collapsed="false">
      <c r="A113" s="107" t="s">
        <v>569</v>
      </c>
      <c r="B113" s="107" t="s">
        <v>114</v>
      </c>
      <c r="C113" s="107" t="n">
        <v>5.998</v>
      </c>
      <c r="D113" s="107" t="n">
        <v>72.096</v>
      </c>
      <c r="E113" s="107" t="n">
        <v>100.291</v>
      </c>
      <c r="F113" s="107" t="n">
        <v>-1.4</v>
      </c>
      <c r="G113" s="107" t="n">
        <v>3.9</v>
      </c>
      <c r="H113" s="107" t="n">
        <v>-7.3</v>
      </c>
      <c r="I113" s="107" t="n">
        <v>-11.5</v>
      </c>
      <c r="J113" s="107" t="n">
        <v>2.438</v>
      </c>
      <c r="K113" s="107" t="s">
        <v>956</v>
      </c>
      <c r="L113" s="108" t="s">
        <v>94</v>
      </c>
      <c r="M113" s="107" t="s">
        <v>374</v>
      </c>
      <c r="N113" s="108" t="s">
        <v>90</v>
      </c>
      <c r="O113" s="107" t="n">
        <v>34507</v>
      </c>
      <c r="P113" s="107" t="n">
        <v>5</v>
      </c>
      <c r="Q113" s="107" t="n">
        <v>8898.7</v>
      </c>
      <c r="R113" s="107" t="s">
        <v>1036</v>
      </c>
    </row>
    <row r="114" customFormat="false" ht="15" hidden="false" customHeight="false" outlineLevel="0" collapsed="false">
      <c r="A114" s="107" t="s">
        <v>440</v>
      </c>
      <c r="B114" s="107" t="s">
        <v>114</v>
      </c>
      <c r="C114" s="107" t="n">
        <v>5.616</v>
      </c>
      <c r="D114" s="107" t="n">
        <v>61.577</v>
      </c>
      <c r="E114" s="107" t="n">
        <v>89.956</v>
      </c>
      <c r="F114" s="107" t="n">
        <v>-0.7</v>
      </c>
      <c r="G114" s="107" t="n">
        <v>0.1</v>
      </c>
      <c r="H114" s="107" t="n">
        <v>-0.3</v>
      </c>
      <c r="I114" s="107" t="n">
        <v>-6.2</v>
      </c>
      <c r="J114" s="107" t="n">
        <v>2.411</v>
      </c>
      <c r="K114" s="107" t="s">
        <v>964</v>
      </c>
      <c r="L114" s="108" t="s">
        <v>94</v>
      </c>
      <c r="M114" s="107" t="s">
        <v>377</v>
      </c>
      <c r="N114" s="108" t="s">
        <v>959</v>
      </c>
      <c r="O114" s="107" t="n">
        <v>28096</v>
      </c>
      <c r="P114" s="107" t="n">
        <v>5</v>
      </c>
      <c r="Q114" s="107" t="n">
        <v>361.65</v>
      </c>
      <c r="R114" s="107" t="s">
        <v>967</v>
      </c>
    </row>
    <row r="115" customFormat="false" ht="15" hidden="false" customHeight="false" outlineLevel="0" collapsed="false">
      <c r="A115" s="107" t="s">
        <v>443</v>
      </c>
      <c r="B115" s="107" t="s">
        <v>114</v>
      </c>
      <c r="C115" s="107" t="n">
        <v>5.607</v>
      </c>
      <c r="D115" s="107" t="n">
        <v>87.451</v>
      </c>
      <c r="E115" s="107" t="n">
        <v>112.831</v>
      </c>
      <c r="F115" s="107" t="n">
        <v>-0.1</v>
      </c>
      <c r="G115" s="107" t="n">
        <v>11.1</v>
      </c>
      <c r="H115" s="107" t="n">
        <v>-2</v>
      </c>
      <c r="I115" s="107" t="n">
        <v>-5.8</v>
      </c>
      <c r="J115" s="107" t="n">
        <v>1.563</v>
      </c>
      <c r="K115" s="107" t="s">
        <v>964</v>
      </c>
      <c r="L115" s="108" t="s">
        <v>94</v>
      </c>
      <c r="M115" s="107" t="s">
        <v>107</v>
      </c>
      <c r="N115" s="108" t="s">
        <v>90</v>
      </c>
      <c r="O115" s="107" t="n">
        <v>28096</v>
      </c>
      <c r="P115" s="107" t="n">
        <v>1</v>
      </c>
      <c r="Q115" s="107" t="n">
        <v>312.6</v>
      </c>
      <c r="R115" s="107" t="s">
        <v>1037</v>
      </c>
    </row>
    <row r="116" customFormat="false" ht="15" hidden="false" customHeight="false" outlineLevel="0" collapsed="false">
      <c r="A116" s="107" t="s">
        <v>446</v>
      </c>
      <c r="B116" s="107" t="s">
        <v>114</v>
      </c>
      <c r="C116" s="107" t="n">
        <v>5.707</v>
      </c>
      <c r="D116" s="107" t="n">
        <v>78.25</v>
      </c>
      <c r="E116" s="107" t="n">
        <v>112.125</v>
      </c>
      <c r="F116" s="107" t="n">
        <v>-0.5</v>
      </c>
      <c r="G116" s="107" t="n">
        <v>4</v>
      </c>
      <c r="H116" s="107" t="n">
        <v>-3.3</v>
      </c>
      <c r="I116" s="107" t="n">
        <v>-6.8</v>
      </c>
      <c r="J116" s="107" t="n">
        <v>3.897</v>
      </c>
      <c r="K116" s="107" t="s">
        <v>962</v>
      </c>
      <c r="L116" s="108" t="s">
        <v>94</v>
      </c>
      <c r="M116" s="107" t="s">
        <v>374</v>
      </c>
      <c r="N116" s="108" t="s">
        <v>959</v>
      </c>
      <c r="O116" s="107" t="n">
        <v>28096</v>
      </c>
      <c r="P116" s="107" t="n">
        <v>5</v>
      </c>
      <c r="Q116" s="107" t="n">
        <v>6430.05</v>
      </c>
      <c r="R116" s="107" t="s">
        <v>1038</v>
      </c>
    </row>
    <row r="117" customFormat="false" ht="15" hidden="false" customHeight="false" outlineLevel="0" collapsed="false">
      <c r="A117" s="107" t="s">
        <v>1039</v>
      </c>
      <c r="B117" s="107" t="s">
        <v>114</v>
      </c>
      <c r="C117" s="107" t="n">
        <v>5.664</v>
      </c>
      <c r="D117" s="107" t="n">
        <v>3.4</v>
      </c>
      <c r="E117" s="107" t="n">
        <v>73.805</v>
      </c>
      <c r="F117" s="107" t="n">
        <v>-0.1</v>
      </c>
      <c r="G117" s="107" t="n">
        <v>0.3</v>
      </c>
      <c r="H117" s="107" t="n">
        <v>0.4</v>
      </c>
      <c r="I117" s="107" t="n">
        <v>0.5</v>
      </c>
      <c r="J117" s="107" t="n">
        <v>15.113</v>
      </c>
      <c r="K117" s="107" t="s">
        <v>1019</v>
      </c>
      <c r="L117" s="108" t="s">
        <v>102</v>
      </c>
      <c r="M117" s="2"/>
      <c r="N117" s="108" t="s">
        <v>79</v>
      </c>
      <c r="O117" s="107" t="n">
        <v>38088</v>
      </c>
      <c r="P117" s="107" t="n">
        <v>5</v>
      </c>
      <c r="Q117" s="107" t="n">
        <v>-3022.6</v>
      </c>
      <c r="R117" s="107" t="s">
        <v>1040</v>
      </c>
    </row>
    <row r="118" customFormat="false" ht="15" hidden="false" customHeight="false" outlineLevel="0" collapsed="false">
      <c r="A118" s="107" t="s">
        <v>1041</v>
      </c>
      <c r="B118" s="107" t="s">
        <v>114</v>
      </c>
      <c r="C118" s="107" t="n">
        <v>4.811</v>
      </c>
      <c r="D118" s="107" t="n">
        <v>-7.784</v>
      </c>
      <c r="E118" s="107" t="n">
        <v>19.808</v>
      </c>
      <c r="F118" s="107" t="n">
        <v>0.9</v>
      </c>
      <c r="G118" s="107" t="n">
        <v>1</v>
      </c>
      <c r="H118" s="107" t="n">
        <v>-5</v>
      </c>
      <c r="I118" s="107" t="n">
        <v>-9.1</v>
      </c>
      <c r="J118" s="107" t="n">
        <v>1.468</v>
      </c>
      <c r="K118" s="107" t="s">
        <v>964</v>
      </c>
      <c r="L118" s="108" t="s">
        <v>102</v>
      </c>
      <c r="M118" s="2"/>
      <c r="N118" s="108" t="s">
        <v>79</v>
      </c>
      <c r="O118" s="107" t="n">
        <v>34507</v>
      </c>
      <c r="P118" s="107" t="n">
        <v>1</v>
      </c>
      <c r="Q118" s="107" t="n">
        <v>734</v>
      </c>
      <c r="R118" s="107" t="s">
        <v>1040</v>
      </c>
    </row>
    <row r="119" customFormat="false" ht="15" hidden="false" customHeight="false" outlineLevel="0" collapsed="false">
      <c r="A119" s="107" t="s">
        <v>1042</v>
      </c>
      <c r="B119" s="107" t="s">
        <v>114</v>
      </c>
      <c r="C119" s="107" t="n">
        <v>5.219</v>
      </c>
      <c r="D119" s="107" t="n">
        <v>3.04</v>
      </c>
      <c r="E119" s="107" t="n">
        <v>43.178</v>
      </c>
      <c r="F119" s="107" t="n">
        <v>0.3</v>
      </c>
      <c r="G119" s="107" t="n">
        <v>0.9</v>
      </c>
      <c r="H119" s="107" t="n">
        <v>0</v>
      </c>
      <c r="I119" s="107" t="n">
        <v>-0.8</v>
      </c>
      <c r="J119" s="107" t="n">
        <v>6.377</v>
      </c>
      <c r="K119" s="107" t="s">
        <v>971</v>
      </c>
      <c r="L119" s="108" t="s">
        <v>102</v>
      </c>
      <c r="M119" s="2"/>
      <c r="N119" s="108" t="s">
        <v>79</v>
      </c>
      <c r="O119" s="107" t="n">
        <v>34507</v>
      </c>
      <c r="P119" s="107" t="n">
        <v>0</v>
      </c>
      <c r="Q119" s="107" t="n">
        <v>0</v>
      </c>
      <c r="R119" s="107" t="s">
        <v>1040</v>
      </c>
    </row>
    <row r="120" customFormat="false" ht="15" hidden="false" customHeight="false" outlineLevel="0" collapsed="false">
      <c r="A120" s="107" t="s">
        <v>1043</v>
      </c>
      <c r="B120" s="107" t="s">
        <v>114</v>
      </c>
      <c r="C120" s="107" t="n">
        <v>5.225</v>
      </c>
      <c r="D120" s="107" t="n">
        <v>3.546</v>
      </c>
      <c r="E120" s="107" t="n">
        <v>43.302</v>
      </c>
      <c r="F120" s="107" t="n">
        <v>0.1</v>
      </c>
      <c r="G120" s="107" t="n">
        <v>1.3</v>
      </c>
      <c r="H120" s="107" t="n">
        <v>-0.1</v>
      </c>
      <c r="I120" s="107" t="n">
        <v>-1.3</v>
      </c>
      <c r="J120" s="107" t="n">
        <v>6.414</v>
      </c>
      <c r="K120" s="107" t="s">
        <v>971</v>
      </c>
      <c r="L120" s="108" t="s">
        <v>102</v>
      </c>
      <c r="M120" s="2"/>
      <c r="N120" s="108" t="s">
        <v>79</v>
      </c>
      <c r="O120" s="107" t="n">
        <v>34507</v>
      </c>
      <c r="P120" s="107" t="n">
        <v>2</v>
      </c>
      <c r="Q120" s="107" t="n">
        <v>128.28</v>
      </c>
      <c r="R120" s="107" t="s">
        <v>1040</v>
      </c>
    </row>
    <row r="121" customFormat="false" ht="15" hidden="false" customHeight="false" outlineLevel="0" collapsed="false">
      <c r="A121" s="107" t="s">
        <v>1044</v>
      </c>
      <c r="B121" s="107" t="s">
        <v>114</v>
      </c>
      <c r="C121" s="107" t="n">
        <v>5.009</v>
      </c>
      <c r="D121" s="107" t="n">
        <v>0.849</v>
      </c>
      <c r="E121" s="107" t="n">
        <v>27.18</v>
      </c>
      <c r="F121" s="107" t="n">
        <v>-0.2</v>
      </c>
      <c r="G121" s="107" t="n">
        <v>0.2</v>
      </c>
      <c r="H121" s="107" t="n">
        <v>-1.1</v>
      </c>
      <c r="I121" s="107" t="n">
        <v>-0.9</v>
      </c>
      <c r="J121" s="107" t="n">
        <v>2.87</v>
      </c>
      <c r="K121" s="107" t="s">
        <v>956</v>
      </c>
      <c r="L121" s="108" t="s">
        <v>102</v>
      </c>
      <c r="M121" s="2"/>
      <c r="N121" s="108" t="s">
        <v>79</v>
      </c>
      <c r="O121" s="107" t="n">
        <v>34507</v>
      </c>
      <c r="P121" s="107" t="n">
        <v>0</v>
      </c>
      <c r="Q121" s="107" t="n">
        <v>0</v>
      </c>
      <c r="R121" s="107" t="s">
        <v>1040</v>
      </c>
    </row>
    <row r="122" customFormat="false" ht="15" hidden="false" customHeight="false" outlineLevel="0" collapsed="false">
      <c r="A122" s="107" t="s">
        <v>1045</v>
      </c>
      <c r="B122" s="107" t="s">
        <v>114</v>
      </c>
      <c r="C122" s="107" t="n">
        <v>5.263</v>
      </c>
      <c r="D122" s="107" t="n">
        <v>-2.406</v>
      </c>
      <c r="E122" s="107" t="n">
        <v>45.293</v>
      </c>
      <c r="F122" s="107" t="n">
        <v>-0.1</v>
      </c>
      <c r="G122" s="107" t="n">
        <v>-1.1</v>
      </c>
      <c r="H122" s="107" t="n">
        <v>2</v>
      </c>
      <c r="I122" s="107" t="n">
        <v>1.1</v>
      </c>
      <c r="J122" s="107" t="n">
        <v>7.125</v>
      </c>
      <c r="K122" s="107" t="s">
        <v>971</v>
      </c>
      <c r="L122" s="108" t="s">
        <v>102</v>
      </c>
      <c r="M122" s="2"/>
      <c r="N122" s="108" t="s">
        <v>79</v>
      </c>
      <c r="O122" s="107" t="n">
        <v>34507</v>
      </c>
      <c r="P122" s="107" t="n">
        <v>15</v>
      </c>
      <c r="Q122" s="107" t="n">
        <v>-21375</v>
      </c>
      <c r="R122" s="107" t="s">
        <v>1040</v>
      </c>
    </row>
    <row r="123" customFormat="false" ht="15" hidden="false" customHeight="false" outlineLevel="0" collapsed="false">
      <c r="A123" s="107" t="s">
        <v>1046</v>
      </c>
      <c r="B123" s="107" t="s">
        <v>114</v>
      </c>
      <c r="C123" s="107" t="n">
        <v>5.27</v>
      </c>
      <c r="D123" s="107" t="n">
        <v>-1.749</v>
      </c>
      <c r="E123" s="107" t="n">
        <v>45.433</v>
      </c>
      <c r="F123" s="107" t="n">
        <v>-0.3</v>
      </c>
      <c r="G123" s="107" t="n">
        <v>-1</v>
      </c>
      <c r="H123" s="107" t="n">
        <v>1.4</v>
      </c>
      <c r="I123" s="107" t="n">
        <v>0.7</v>
      </c>
      <c r="J123" s="107" t="n">
        <v>7.375</v>
      </c>
      <c r="K123" s="107" t="s">
        <v>971</v>
      </c>
      <c r="L123" s="108" t="s">
        <v>102</v>
      </c>
      <c r="M123" s="2"/>
      <c r="N123" s="108" t="s">
        <v>79</v>
      </c>
      <c r="O123" s="107" t="s">
        <v>1047</v>
      </c>
      <c r="P123" s="107" t="n">
        <v>94</v>
      </c>
      <c r="Q123" s="107" t="n">
        <v>-97055</v>
      </c>
      <c r="R123" s="107" t="s">
        <v>1040</v>
      </c>
    </row>
    <row r="124" customFormat="false" ht="15" hidden="false" customHeight="false" outlineLevel="0" collapsed="false">
      <c r="A124" s="107" t="s">
        <v>1048</v>
      </c>
      <c r="B124" s="107" t="s">
        <v>114</v>
      </c>
      <c r="C124" s="107" t="n">
        <v>5.145</v>
      </c>
      <c r="D124" s="107" t="n">
        <v>-4.42</v>
      </c>
      <c r="E124" s="107" t="n">
        <v>37.878</v>
      </c>
      <c r="F124" s="107" t="n">
        <v>-0.2</v>
      </c>
      <c r="G124" s="107" t="n">
        <v>-2.5</v>
      </c>
      <c r="H124" s="107" t="n">
        <v>0.5</v>
      </c>
      <c r="I124" s="107" t="n">
        <v>0.2</v>
      </c>
      <c r="J124" s="107" t="n">
        <v>5.298</v>
      </c>
      <c r="K124" s="107" t="s">
        <v>962</v>
      </c>
      <c r="L124" s="108" t="s">
        <v>102</v>
      </c>
      <c r="M124" s="2"/>
      <c r="N124" s="108" t="s">
        <v>79</v>
      </c>
      <c r="O124" s="107" t="n">
        <v>38038</v>
      </c>
      <c r="P124" s="107" t="n">
        <v>20</v>
      </c>
      <c r="Q124" s="107" t="n">
        <v>-5298</v>
      </c>
      <c r="R124" s="107" t="s">
        <v>1040</v>
      </c>
    </row>
    <row r="125" customFormat="false" ht="15" hidden="false" customHeight="false" outlineLevel="0" collapsed="false">
      <c r="A125" s="107" t="s">
        <v>1049</v>
      </c>
      <c r="B125" s="107" t="s">
        <v>114</v>
      </c>
      <c r="C125" s="107" t="n">
        <v>5.151</v>
      </c>
      <c r="D125" s="107" t="n">
        <v>-3.848</v>
      </c>
      <c r="E125" s="107" t="n">
        <v>38.344</v>
      </c>
      <c r="F125" s="107" t="n">
        <v>-0.2</v>
      </c>
      <c r="G125" s="107" t="n">
        <v>-2.1</v>
      </c>
      <c r="H125" s="107" t="n">
        <v>0.7</v>
      </c>
      <c r="I125" s="107" t="n">
        <v>0.1</v>
      </c>
      <c r="J125" s="107" t="n">
        <v>5.381</v>
      </c>
      <c r="K125" s="107" t="s">
        <v>962</v>
      </c>
      <c r="L125" s="108" t="s">
        <v>102</v>
      </c>
      <c r="M125" s="2"/>
      <c r="N125" s="108" t="s">
        <v>79</v>
      </c>
      <c r="O125" s="107" t="n">
        <v>38038</v>
      </c>
      <c r="P125" s="107" t="n">
        <v>16</v>
      </c>
      <c r="Q125" s="107" t="n">
        <v>-6026.72</v>
      </c>
      <c r="R125" s="107" t="s">
        <v>1040</v>
      </c>
    </row>
    <row r="126" customFormat="false" ht="15" hidden="false" customHeight="false" outlineLevel="0" collapsed="false">
      <c r="A126" s="107" t="s">
        <v>1050</v>
      </c>
      <c r="B126" s="107" t="s">
        <v>114</v>
      </c>
      <c r="C126" s="107" t="n">
        <v>5.159</v>
      </c>
      <c r="D126" s="107" t="n">
        <v>-3.054</v>
      </c>
      <c r="E126" s="107" t="n">
        <v>38.894</v>
      </c>
      <c r="F126" s="107" t="n">
        <v>-0.2</v>
      </c>
      <c r="G126" s="107" t="n">
        <v>-1.7</v>
      </c>
      <c r="H126" s="107" t="n">
        <v>0.6</v>
      </c>
      <c r="I126" s="107" t="n">
        <v>0</v>
      </c>
      <c r="J126" s="107" t="n">
        <v>5.456</v>
      </c>
      <c r="K126" s="107" t="s">
        <v>962</v>
      </c>
      <c r="L126" s="108" t="s">
        <v>102</v>
      </c>
      <c r="M126" s="2"/>
      <c r="N126" s="108" t="s">
        <v>79</v>
      </c>
      <c r="O126" s="107" t="n">
        <v>38038</v>
      </c>
      <c r="P126" s="107" t="n">
        <v>100</v>
      </c>
      <c r="Q126" s="107" t="n">
        <v>-32736</v>
      </c>
      <c r="R126" s="107" t="s">
        <v>1040</v>
      </c>
    </row>
    <row r="127" customFormat="false" ht="15" hidden="false" customHeight="false" outlineLevel="0" collapsed="false">
      <c r="A127" s="107" t="s">
        <v>1051</v>
      </c>
      <c r="B127" s="107" t="s">
        <v>114</v>
      </c>
      <c r="C127" s="107" t="n">
        <v>5.282</v>
      </c>
      <c r="D127" s="107" t="n">
        <v>-0.532</v>
      </c>
      <c r="E127" s="107" t="n">
        <v>45.618</v>
      </c>
      <c r="F127" s="107" t="n">
        <v>0</v>
      </c>
      <c r="G127" s="107" t="n">
        <v>-0.2</v>
      </c>
      <c r="H127" s="107" t="n">
        <v>0.9</v>
      </c>
      <c r="I127" s="107" t="n">
        <v>0</v>
      </c>
      <c r="J127" s="107" t="n">
        <v>7.739</v>
      </c>
      <c r="K127" s="107" t="s">
        <v>971</v>
      </c>
      <c r="L127" s="108" t="s">
        <v>102</v>
      </c>
      <c r="M127" s="2"/>
      <c r="N127" s="108" t="s">
        <v>79</v>
      </c>
      <c r="O127" s="107" t="s">
        <v>1047</v>
      </c>
      <c r="P127" s="107" t="n">
        <v>40</v>
      </c>
      <c r="Q127" s="107" t="n">
        <v>-27860.4</v>
      </c>
      <c r="R127" s="107" t="s">
        <v>1040</v>
      </c>
    </row>
    <row r="128" customFormat="false" ht="15" hidden="false" customHeight="false" outlineLevel="0" collapsed="false">
      <c r="A128" s="107" t="s">
        <v>1052</v>
      </c>
      <c r="B128" s="107" t="s">
        <v>114</v>
      </c>
      <c r="C128" s="107" t="n">
        <v>5.287</v>
      </c>
      <c r="D128" s="107" t="n">
        <v>-0.024</v>
      </c>
      <c r="E128" s="107" t="n">
        <v>45.622</v>
      </c>
      <c r="F128" s="107" t="n">
        <v>0</v>
      </c>
      <c r="G128" s="107" t="n">
        <v>0.1</v>
      </c>
      <c r="H128" s="107" t="n">
        <v>0.7</v>
      </c>
      <c r="I128" s="107" t="n">
        <v>0</v>
      </c>
      <c r="J128" s="107" t="n">
        <v>7.745</v>
      </c>
      <c r="K128" s="107" t="s">
        <v>971</v>
      </c>
      <c r="L128" s="108" t="s">
        <v>102</v>
      </c>
      <c r="M128" s="2"/>
      <c r="N128" s="108" t="s">
        <v>79</v>
      </c>
      <c r="O128" s="107" t="s">
        <v>1047</v>
      </c>
      <c r="P128" s="107" t="n">
        <v>30</v>
      </c>
      <c r="Q128" s="107" t="n">
        <v>-16264.5</v>
      </c>
      <c r="R128" s="107" t="s">
        <v>1040</v>
      </c>
    </row>
    <row r="129" customFormat="false" ht="15" hidden="false" customHeight="false" outlineLevel="0" collapsed="false">
      <c r="A129" s="107" t="s">
        <v>577</v>
      </c>
      <c r="B129" s="107" t="s">
        <v>114</v>
      </c>
      <c r="C129" s="107" t="n">
        <v>5.633</v>
      </c>
      <c r="D129" s="107" t="n">
        <v>71.282</v>
      </c>
      <c r="E129" s="107" t="n">
        <v>106.051</v>
      </c>
      <c r="F129" s="107" t="n">
        <v>-1.3</v>
      </c>
      <c r="G129" s="107" t="n">
        <v>5.8</v>
      </c>
      <c r="H129" s="107" t="n">
        <v>4</v>
      </c>
      <c r="I129" s="107" t="n">
        <v>-4.3</v>
      </c>
      <c r="J129" s="107" t="n">
        <v>3.051</v>
      </c>
      <c r="K129" s="107" t="s">
        <v>956</v>
      </c>
      <c r="L129" s="108" t="s">
        <v>94</v>
      </c>
      <c r="M129" s="107" t="s">
        <v>374</v>
      </c>
      <c r="N129" s="108" t="s">
        <v>79</v>
      </c>
      <c r="O129" s="107" t="n">
        <v>34507</v>
      </c>
      <c r="P129" s="107" t="n">
        <v>10</v>
      </c>
      <c r="Q129" s="107" t="n">
        <v>-12204</v>
      </c>
      <c r="R129" s="107" t="s">
        <v>1053</v>
      </c>
    </row>
    <row r="130" customFormat="false" ht="15" hidden="false" customHeight="false" outlineLevel="0" collapsed="false">
      <c r="A130" s="107" t="s">
        <v>1054</v>
      </c>
      <c r="B130" s="107" t="s">
        <v>114</v>
      </c>
      <c r="C130" s="107" t="n">
        <v>5.344</v>
      </c>
      <c r="D130" s="107" t="n">
        <v>49.118</v>
      </c>
      <c r="E130" s="107" t="n">
        <v>75.731</v>
      </c>
      <c r="F130" s="107" t="n">
        <v>0.8</v>
      </c>
      <c r="G130" s="107" t="n">
        <v>8.6</v>
      </c>
      <c r="H130" s="107" t="n">
        <v>-5.8</v>
      </c>
      <c r="I130" s="107" t="n">
        <v>-20.4</v>
      </c>
      <c r="J130" s="107" t="n">
        <v>1.486</v>
      </c>
      <c r="K130" s="107" t="s">
        <v>964</v>
      </c>
      <c r="L130" s="108" t="s">
        <v>94</v>
      </c>
      <c r="M130" s="107" t="s">
        <v>374</v>
      </c>
      <c r="N130" s="108" t="s">
        <v>79</v>
      </c>
      <c r="O130" s="107" t="n">
        <v>28096</v>
      </c>
      <c r="P130" s="107" t="n">
        <v>0</v>
      </c>
      <c r="Q130" s="107" t="n">
        <v>0</v>
      </c>
      <c r="R130" s="107" t="s">
        <v>1053</v>
      </c>
    </row>
    <row r="131" customFormat="false" ht="15" hidden="false" customHeight="false" outlineLevel="0" collapsed="false">
      <c r="A131" s="107" t="s">
        <v>1055</v>
      </c>
      <c r="B131" s="107" t="s">
        <v>114</v>
      </c>
      <c r="C131" s="107" t="n">
        <v>5.351</v>
      </c>
      <c r="D131" s="107" t="n">
        <v>63.779</v>
      </c>
      <c r="E131" s="107" t="n">
        <v>93.26</v>
      </c>
      <c r="F131" s="107" t="n">
        <v>-1.3</v>
      </c>
      <c r="G131" s="107" t="n">
        <v>6.8</v>
      </c>
      <c r="H131" s="107" t="n">
        <v>-1.1</v>
      </c>
      <c r="I131" s="107" t="n">
        <v>-12.2</v>
      </c>
      <c r="J131" s="107" t="n">
        <v>2.206</v>
      </c>
      <c r="K131" s="107" t="s">
        <v>956</v>
      </c>
      <c r="L131" s="108" t="s">
        <v>94</v>
      </c>
      <c r="M131" s="107" t="s">
        <v>374</v>
      </c>
      <c r="N131" s="108" t="s">
        <v>79</v>
      </c>
      <c r="O131" s="107" t="n">
        <v>38168</v>
      </c>
      <c r="P131" s="107" t="n">
        <v>10</v>
      </c>
      <c r="Q131" s="107" t="n">
        <v>2426.6</v>
      </c>
      <c r="R131" s="107" t="s">
        <v>1053</v>
      </c>
    </row>
    <row r="132" customFormat="false" ht="15" hidden="false" customHeight="false" outlineLevel="0" collapsed="false">
      <c r="A132" s="107" t="s">
        <v>449</v>
      </c>
      <c r="B132" s="107" t="s">
        <v>114</v>
      </c>
      <c r="C132" s="107" t="n">
        <v>5.146</v>
      </c>
      <c r="D132" s="107" t="n">
        <v>55.866</v>
      </c>
      <c r="E132" s="107" t="n">
        <v>81.331</v>
      </c>
      <c r="F132" s="107" t="n">
        <v>0.1</v>
      </c>
      <c r="G132" s="107" t="n">
        <v>10.4</v>
      </c>
      <c r="H132" s="107" t="n">
        <v>-3.1</v>
      </c>
      <c r="I132" s="107" t="n">
        <v>-17.8</v>
      </c>
      <c r="J132" s="107" t="n">
        <v>1.567</v>
      </c>
      <c r="K132" s="107" t="s">
        <v>964</v>
      </c>
      <c r="L132" s="108" t="s">
        <v>94</v>
      </c>
      <c r="M132" s="107" t="s">
        <v>374</v>
      </c>
      <c r="N132" s="108" t="s">
        <v>79</v>
      </c>
      <c r="O132" s="107" t="n">
        <v>28096</v>
      </c>
      <c r="P132" s="107" t="n">
        <v>5</v>
      </c>
      <c r="Q132" s="107" t="n">
        <v>2428.85</v>
      </c>
      <c r="R132" s="107" t="s">
        <v>1053</v>
      </c>
    </row>
    <row r="133" customFormat="false" ht="15" hidden="false" customHeight="false" outlineLevel="0" collapsed="false">
      <c r="A133" s="107" t="s">
        <v>1056</v>
      </c>
      <c r="B133" s="107" t="s">
        <v>114</v>
      </c>
      <c r="C133" s="107" t="n">
        <v>5.71</v>
      </c>
      <c r="D133" s="107" t="n">
        <v>78.071</v>
      </c>
      <c r="E133" s="107" t="n">
        <v>111.64</v>
      </c>
      <c r="F133" s="107" t="n">
        <v>-2.1</v>
      </c>
      <c r="G133" s="107" t="n">
        <v>5.4</v>
      </c>
      <c r="H133" s="107" t="n">
        <v>-0.3</v>
      </c>
      <c r="I133" s="107" t="n">
        <v>-5</v>
      </c>
      <c r="J133" s="107" t="n">
        <v>4.12</v>
      </c>
      <c r="K133" s="107" t="s">
        <v>962</v>
      </c>
      <c r="L133" s="108" t="s">
        <v>94</v>
      </c>
      <c r="M133" s="107" t="s">
        <v>374</v>
      </c>
      <c r="N133" s="108" t="s">
        <v>79</v>
      </c>
      <c r="O133" s="107" t="n">
        <v>28096</v>
      </c>
      <c r="P133" s="107" t="n">
        <v>5</v>
      </c>
      <c r="Q133" s="107" t="n">
        <v>618</v>
      </c>
      <c r="R133" s="107" t="s">
        <v>1053</v>
      </c>
    </row>
    <row r="134" customFormat="false" ht="15" hidden="false" customHeight="false" outlineLevel="0" collapsed="false">
      <c r="A134" s="107" t="s">
        <v>1057</v>
      </c>
      <c r="B134" s="107" t="s">
        <v>114</v>
      </c>
      <c r="C134" s="107" t="n">
        <v>5.255</v>
      </c>
      <c r="D134" s="107" t="n">
        <v>25.503</v>
      </c>
      <c r="E134" s="107" t="n">
        <v>54.972</v>
      </c>
      <c r="F134" s="107" t="n">
        <v>-0.1</v>
      </c>
      <c r="G134" s="107" t="n">
        <v>6.5</v>
      </c>
      <c r="H134" s="107" t="n">
        <v>0.4</v>
      </c>
      <c r="I134" s="107" t="n">
        <v>-8.1</v>
      </c>
      <c r="J134" s="107" t="n">
        <v>2.197</v>
      </c>
      <c r="K134" s="107" t="s">
        <v>964</v>
      </c>
      <c r="L134" s="108" t="s">
        <v>94</v>
      </c>
      <c r="M134" s="107" t="s">
        <v>367</v>
      </c>
      <c r="N134" s="108" t="s">
        <v>959</v>
      </c>
      <c r="O134" s="107" t="n">
        <v>42003</v>
      </c>
      <c r="P134" s="107" t="n">
        <v>0.5</v>
      </c>
      <c r="Q134" s="107" t="n">
        <v>-43.94</v>
      </c>
      <c r="R134" s="107" t="s">
        <v>1058</v>
      </c>
    </row>
    <row r="135" customFormat="false" ht="15" hidden="false" customHeight="false" outlineLevel="0" collapsed="false">
      <c r="A135" s="107" t="s">
        <v>1059</v>
      </c>
      <c r="B135" s="107" t="s">
        <v>114</v>
      </c>
      <c r="C135" s="107" t="n">
        <v>5.552</v>
      </c>
      <c r="D135" s="107" t="n">
        <v>66.29</v>
      </c>
      <c r="E135" s="107" t="n">
        <v>88.439</v>
      </c>
      <c r="F135" s="107" t="n">
        <v>-0.1</v>
      </c>
      <c r="G135" s="107" t="n">
        <v>4</v>
      </c>
      <c r="H135" s="107" t="n">
        <v>1</v>
      </c>
      <c r="I135" s="107" t="n">
        <v>0.3</v>
      </c>
      <c r="J135" s="107" t="n">
        <v>1.77</v>
      </c>
      <c r="K135" s="107" t="s">
        <v>964</v>
      </c>
      <c r="L135" s="108" t="s">
        <v>94</v>
      </c>
      <c r="M135" s="107" t="s">
        <v>377</v>
      </c>
      <c r="N135" s="108" t="s">
        <v>959</v>
      </c>
      <c r="O135" s="107" t="n">
        <v>28096</v>
      </c>
      <c r="P135" s="107" t="n">
        <v>17.3</v>
      </c>
      <c r="Q135" s="107" t="n">
        <v>-3062.1</v>
      </c>
      <c r="R135" s="107" t="s">
        <v>1058</v>
      </c>
    </row>
    <row r="136" customFormat="false" ht="15" hidden="false" customHeight="false" outlineLevel="0" collapsed="false">
      <c r="A136" s="107" t="s">
        <v>579</v>
      </c>
      <c r="B136" s="107" t="s">
        <v>114</v>
      </c>
      <c r="C136" s="107" t="n">
        <v>6.548</v>
      </c>
      <c r="D136" s="107" t="n">
        <v>48.274</v>
      </c>
      <c r="E136" s="107" t="n">
        <v>84.592</v>
      </c>
      <c r="F136" s="107" t="n">
        <v>0.6</v>
      </c>
      <c r="G136" s="107" t="n">
        <v>10.1</v>
      </c>
      <c r="H136" s="107" t="n">
        <v>-0.6</v>
      </c>
      <c r="I136" s="107" t="n">
        <v>5.4</v>
      </c>
      <c r="J136" s="107" t="n">
        <v>1.068</v>
      </c>
      <c r="K136" s="107" t="s">
        <v>964</v>
      </c>
      <c r="L136" s="108" t="s">
        <v>94</v>
      </c>
      <c r="M136" s="107" t="s">
        <v>377</v>
      </c>
      <c r="N136" s="108" t="s">
        <v>90</v>
      </c>
      <c r="O136" s="107" t="n">
        <v>34507</v>
      </c>
      <c r="P136" s="107" t="n">
        <v>3</v>
      </c>
      <c r="Q136" s="107" t="n">
        <v>192.24</v>
      </c>
      <c r="R136" s="107" t="s">
        <v>1060</v>
      </c>
    </row>
    <row r="137" customFormat="false" ht="15" hidden="false" customHeight="false" outlineLevel="0" collapsed="false">
      <c r="A137" s="107" t="s">
        <v>1061</v>
      </c>
      <c r="B137" s="107" t="s">
        <v>114</v>
      </c>
      <c r="C137" s="107" t="n">
        <v>6.088</v>
      </c>
      <c r="D137" s="107" t="n">
        <v>35.872</v>
      </c>
      <c r="E137" s="107" t="n">
        <v>113.474</v>
      </c>
      <c r="F137" s="107" t="n">
        <v>1.5</v>
      </c>
      <c r="G137" s="107" t="n">
        <v>11.8</v>
      </c>
      <c r="H137" s="107" t="n">
        <v>-5.5</v>
      </c>
      <c r="I137" s="107" t="n">
        <v>0.2</v>
      </c>
      <c r="J137" s="107" t="n">
        <v>0.35</v>
      </c>
      <c r="K137" s="107" t="s">
        <v>964</v>
      </c>
      <c r="L137" s="108" t="s">
        <v>94</v>
      </c>
      <c r="M137" s="107" t="s">
        <v>377</v>
      </c>
      <c r="N137" s="108" t="s">
        <v>90</v>
      </c>
      <c r="O137" s="107" t="n">
        <v>34507</v>
      </c>
      <c r="P137" s="107" t="n">
        <v>2</v>
      </c>
      <c r="Q137" s="107" t="n">
        <v>385</v>
      </c>
      <c r="R137" s="107" t="s">
        <v>1060</v>
      </c>
    </row>
    <row r="138" customFormat="false" ht="15" hidden="false" customHeight="false" outlineLevel="0" collapsed="false">
      <c r="A138" s="107" t="s">
        <v>455</v>
      </c>
      <c r="B138" s="107" t="s">
        <v>114</v>
      </c>
      <c r="C138" s="107" t="n">
        <v>5.995</v>
      </c>
      <c r="D138" s="107" t="n">
        <v>71.312</v>
      </c>
      <c r="E138" s="107" t="n">
        <v>100.598</v>
      </c>
      <c r="F138" s="107" t="n">
        <v>-2.2</v>
      </c>
      <c r="G138" s="107" t="n">
        <v>5.5</v>
      </c>
      <c r="H138" s="107" t="n">
        <v>-2.2</v>
      </c>
      <c r="I138" s="107" t="n">
        <v>-1.8</v>
      </c>
      <c r="J138" s="107" t="n">
        <v>2.189</v>
      </c>
      <c r="K138" s="107" t="s">
        <v>956</v>
      </c>
      <c r="L138" s="108" t="s">
        <v>94</v>
      </c>
      <c r="M138" s="107" t="s">
        <v>377</v>
      </c>
      <c r="N138" s="108" t="s">
        <v>90</v>
      </c>
      <c r="O138" s="107" t="n">
        <v>28096</v>
      </c>
      <c r="P138" s="107" t="n">
        <v>12</v>
      </c>
      <c r="Q138" s="107" t="n">
        <v>5778.96</v>
      </c>
      <c r="R138" s="107" t="s">
        <v>1060</v>
      </c>
    </row>
    <row r="139" customFormat="false" ht="15" hidden="false" customHeight="false" outlineLevel="0" collapsed="false">
      <c r="A139" s="107" t="s">
        <v>1062</v>
      </c>
      <c r="B139" s="107" t="s">
        <v>114</v>
      </c>
      <c r="C139" s="107" t="n">
        <v>5.72</v>
      </c>
      <c r="D139" s="107" t="n">
        <v>38.768</v>
      </c>
      <c r="E139" s="107" t="n">
        <v>71.361</v>
      </c>
      <c r="F139" s="107" t="n">
        <v>2.4</v>
      </c>
      <c r="G139" s="107" t="n">
        <v>8.9</v>
      </c>
      <c r="H139" s="107" t="n">
        <v>-20.7</v>
      </c>
      <c r="I139" s="107" t="n">
        <v>-30.3</v>
      </c>
      <c r="J139" s="107" t="n">
        <v>1.249</v>
      </c>
      <c r="K139" s="107" t="s">
        <v>964</v>
      </c>
      <c r="L139" s="108" t="s">
        <v>94</v>
      </c>
      <c r="M139" s="107" t="s">
        <v>374</v>
      </c>
      <c r="N139" s="108" t="s">
        <v>90</v>
      </c>
      <c r="O139" s="107" t="n">
        <v>28096</v>
      </c>
      <c r="P139" s="107" t="n">
        <v>0</v>
      </c>
      <c r="Q139" s="107" t="n">
        <v>0</v>
      </c>
      <c r="R139" s="107" t="s">
        <v>1063</v>
      </c>
    </row>
    <row r="140" customFormat="false" ht="15" hidden="false" customHeight="false" outlineLevel="0" collapsed="false">
      <c r="A140" s="107" t="s">
        <v>1064</v>
      </c>
      <c r="B140" s="107" t="s">
        <v>114</v>
      </c>
      <c r="C140" s="107" t="n">
        <v>6.175</v>
      </c>
      <c r="D140" s="107" t="n">
        <v>69.956</v>
      </c>
      <c r="E140" s="107" t="n">
        <v>104.554</v>
      </c>
      <c r="F140" s="107" t="n">
        <v>-1.5</v>
      </c>
      <c r="G140" s="107" t="n">
        <v>9</v>
      </c>
      <c r="H140" s="107" t="n">
        <v>-1.2</v>
      </c>
      <c r="I140" s="107" t="n">
        <v>-8</v>
      </c>
      <c r="J140" s="107" t="n">
        <v>3.282</v>
      </c>
      <c r="K140" s="107" t="s">
        <v>956</v>
      </c>
      <c r="L140" s="108" t="s">
        <v>94</v>
      </c>
      <c r="M140" s="107" t="s">
        <v>374</v>
      </c>
      <c r="N140" s="108" t="s">
        <v>90</v>
      </c>
      <c r="O140" s="107" t="n">
        <v>28096</v>
      </c>
      <c r="P140" s="107" t="n">
        <v>11</v>
      </c>
      <c r="Q140" s="107" t="n">
        <v>4332.24</v>
      </c>
      <c r="R140" s="107" t="s">
        <v>1063</v>
      </c>
    </row>
    <row r="141" customFormat="false" ht="15" hidden="false" customHeight="false" outlineLevel="0" collapsed="false">
      <c r="A141" s="107" t="s">
        <v>583</v>
      </c>
      <c r="B141" s="107" t="s">
        <v>114</v>
      </c>
      <c r="C141" s="107" t="n">
        <v>5.755</v>
      </c>
      <c r="D141" s="107" t="n">
        <v>63.608</v>
      </c>
      <c r="E141" s="107" t="n">
        <v>92.893</v>
      </c>
      <c r="F141" s="107" t="n">
        <v>-2.5</v>
      </c>
      <c r="G141" s="107" t="n">
        <v>7.9</v>
      </c>
      <c r="H141" s="107" t="n">
        <v>0.2</v>
      </c>
      <c r="I141" s="107" t="n">
        <v>-8.7</v>
      </c>
      <c r="J141" s="107" t="n">
        <v>2.221</v>
      </c>
      <c r="K141" s="107" t="s">
        <v>956</v>
      </c>
      <c r="L141" s="108" t="s">
        <v>94</v>
      </c>
      <c r="M141" s="107" t="s">
        <v>374</v>
      </c>
      <c r="N141" s="108" t="s">
        <v>90</v>
      </c>
      <c r="O141" s="107" t="n">
        <v>34507</v>
      </c>
      <c r="P141" s="107" t="n">
        <v>10</v>
      </c>
      <c r="Q141" s="107" t="n">
        <v>-444.2</v>
      </c>
      <c r="R141" s="107" t="s">
        <v>1063</v>
      </c>
    </row>
    <row r="142" customFormat="false" ht="15" hidden="false" customHeight="false" outlineLevel="0" collapsed="false">
      <c r="A142" s="107" t="s">
        <v>1065</v>
      </c>
      <c r="B142" s="107" t="s">
        <v>114</v>
      </c>
      <c r="C142" s="107" t="n">
        <v>5.44</v>
      </c>
      <c r="D142" s="107" t="n">
        <v>69.677</v>
      </c>
      <c r="E142" s="107" t="n">
        <v>98.216</v>
      </c>
      <c r="F142" s="107" t="n">
        <v>-0.2</v>
      </c>
      <c r="G142" s="107" t="n">
        <v>6</v>
      </c>
      <c r="H142" s="107" t="n">
        <v>-5.5</v>
      </c>
      <c r="I142" s="107" t="n">
        <v>-15.3</v>
      </c>
      <c r="J142" s="107" t="n">
        <v>2.351</v>
      </c>
      <c r="K142" s="107" t="s">
        <v>956</v>
      </c>
      <c r="L142" s="108" t="s">
        <v>94</v>
      </c>
      <c r="M142" s="107" t="s">
        <v>374</v>
      </c>
      <c r="N142" s="108" t="s">
        <v>90</v>
      </c>
      <c r="O142" s="107" t="n">
        <v>34578</v>
      </c>
      <c r="P142" s="107" t="n">
        <v>0</v>
      </c>
      <c r="Q142" s="107" t="n">
        <v>0</v>
      </c>
      <c r="R142" s="107" t="s">
        <v>1063</v>
      </c>
    </row>
    <row r="143" customFormat="false" ht="15" hidden="false" customHeight="false" outlineLevel="0" collapsed="false">
      <c r="A143" s="107" t="s">
        <v>458</v>
      </c>
      <c r="B143" s="107" t="s">
        <v>114</v>
      </c>
      <c r="C143" s="107" t="n">
        <v>5.81</v>
      </c>
      <c r="D143" s="107" t="n">
        <v>87.734</v>
      </c>
      <c r="E143" s="107" t="n">
        <v>121.104</v>
      </c>
      <c r="F143" s="107" t="n">
        <v>-2.5</v>
      </c>
      <c r="G143" s="107" t="n">
        <v>3.8</v>
      </c>
      <c r="H143" s="107" t="n">
        <v>-2</v>
      </c>
      <c r="I143" s="107" t="n">
        <v>-3.3</v>
      </c>
      <c r="J143" s="107" t="n">
        <v>4.362</v>
      </c>
      <c r="K143" s="107" t="s">
        <v>962</v>
      </c>
      <c r="L143" s="108" t="s">
        <v>94</v>
      </c>
      <c r="M143" s="107" t="s">
        <v>374</v>
      </c>
      <c r="N143" s="108" t="s">
        <v>90</v>
      </c>
      <c r="O143" s="107" t="n">
        <v>28096</v>
      </c>
      <c r="P143" s="107" t="n">
        <v>1</v>
      </c>
      <c r="Q143" s="107" t="n">
        <v>872.4</v>
      </c>
      <c r="R143" s="107" t="s">
        <v>1063</v>
      </c>
    </row>
    <row r="144" customFormat="false" ht="15" hidden="false" customHeight="false" outlineLevel="0" collapsed="false">
      <c r="A144" s="107" t="s">
        <v>587</v>
      </c>
      <c r="B144" s="107" t="s">
        <v>114</v>
      </c>
      <c r="C144" s="107" t="n">
        <v>6.327</v>
      </c>
      <c r="D144" s="107" t="n">
        <v>103.987</v>
      </c>
      <c r="E144" s="107" t="n">
        <v>151.028</v>
      </c>
      <c r="F144" s="107" t="n">
        <v>-0.7</v>
      </c>
      <c r="G144" s="107" t="n">
        <v>2.9</v>
      </c>
      <c r="H144" s="107" t="n">
        <v>3.3</v>
      </c>
      <c r="I144" s="107" t="n">
        <v>6.5</v>
      </c>
      <c r="J144" s="107" t="n">
        <v>7.121</v>
      </c>
      <c r="K144" s="107" t="s">
        <v>971</v>
      </c>
      <c r="L144" s="108" t="s">
        <v>94</v>
      </c>
      <c r="M144" s="107" t="s">
        <v>106</v>
      </c>
      <c r="N144" s="108" t="s">
        <v>959</v>
      </c>
      <c r="O144" s="107" t="s">
        <v>1066</v>
      </c>
      <c r="P144" s="107" t="n">
        <v>5.2</v>
      </c>
      <c r="Q144" s="107" t="n">
        <v>-12219.636</v>
      </c>
      <c r="R144" s="107" t="s">
        <v>1067</v>
      </c>
    </row>
    <row r="145" customFormat="false" ht="15" hidden="false" customHeight="false" outlineLevel="0" collapsed="false">
      <c r="A145" s="107" t="s">
        <v>461</v>
      </c>
      <c r="B145" s="107" t="s">
        <v>114</v>
      </c>
      <c r="C145" s="107" t="n">
        <v>5.722</v>
      </c>
      <c r="D145" s="107" t="n">
        <v>72.166</v>
      </c>
      <c r="E145" s="107" t="n">
        <v>98.535</v>
      </c>
      <c r="F145" s="107" t="n">
        <v>-0.7</v>
      </c>
      <c r="G145" s="107" t="n">
        <v>2.9</v>
      </c>
      <c r="H145" s="107" t="n">
        <v>4.2</v>
      </c>
      <c r="I145" s="107" t="n">
        <v>1.1</v>
      </c>
      <c r="J145" s="107" t="n">
        <v>2.786</v>
      </c>
      <c r="K145" s="107" t="s">
        <v>956</v>
      </c>
      <c r="L145" s="108" t="s">
        <v>94</v>
      </c>
      <c r="M145" s="107" t="s">
        <v>106</v>
      </c>
      <c r="N145" s="108" t="s">
        <v>959</v>
      </c>
      <c r="O145" s="107" t="s">
        <v>1068</v>
      </c>
      <c r="P145" s="107" t="n">
        <v>1.7</v>
      </c>
      <c r="Q145" s="107" t="n">
        <v>-1989.204</v>
      </c>
      <c r="R145" s="107" t="s">
        <v>1067</v>
      </c>
    </row>
    <row r="146" customFormat="false" ht="15" hidden="false" customHeight="false" outlineLevel="0" collapsed="false">
      <c r="A146" s="107" t="s">
        <v>590</v>
      </c>
      <c r="B146" s="107" t="s">
        <v>114</v>
      </c>
      <c r="C146" s="107" t="n">
        <v>5.634</v>
      </c>
      <c r="D146" s="107" t="n">
        <v>63.367</v>
      </c>
      <c r="E146" s="107" t="n">
        <v>90.889</v>
      </c>
      <c r="F146" s="107" t="n">
        <v>0.5</v>
      </c>
      <c r="G146" s="107" t="n">
        <v>3</v>
      </c>
      <c r="H146" s="107" t="n">
        <v>2.3</v>
      </c>
      <c r="I146" s="107" t="n">
        <v>0.9</v>
      </c>
      <c r="J146" s="107" t="n">
        <v>2.568</v>
      </c>
      <c r="K146" s="107" t="s">
        <v>964</v>
      </c>
      <c r="L146" s="108" t="s">
        <v>103</v>
      </c>
      <c r="M146" s="107" t="s">
        <v>377</v>
      </c>
      <c r="N146" s="108" t="s">
        <v>959</v>
      </c>
      <c r="O146" s="107" t="n">
        <v>34507</v>
      </c>
      <c r="P146" s="107" t="n">
        <v>2</v>
      </c>
      <c r="Q146" s="107" t="n">
        <v>-1181.28</v>
      </c>
      <c r="R146" s="107" t="s">
        <v>1069</v>
      </c>
    </row>
    <row r="147" customFormat="false" ht="15" hidden="false" customHeight="false" outlineLevel="0" collapsed="false">
      <c r="A147" s="107" t="s">
        <v>1070</v>
      </c>
      <c r="B147" s="107" t="s">
        <v>114</v>
      </c>
      <c r="C147" s="107" t="n">
        <v>5.84</v>
      </c>
      <c r="D147" s="107" t="n">
        <v>75.285</v>
      </c>
      <c r="E147" s="107" t="n">
        <v>109.615</v>
      </c>
      <c r="F147" s="107" t="n">
        <v>-0.9</v>
      </c>
      <c r="G147" s="107" t="n">
        <v>2.7</v>
      </c>
      <c r="H147" s="107" t="n">
        <v>0.7</v>
      </c>
      <c r="I147" s="107" t="n">
        <v>3.3</v>
      </c>
      <c r="J147" s="107" t="n">
        <v>3.464</v>
      </c>
      <c r="K147" s="107" t="s">
        <v>956</v>
      </c>
      <c r="L147" s="108" t="s">
        <v>103</v>
      </c>
      <c r="M147" s="107" t="s">
        <v>377</v>
      </c>
      <c r="N147" s="108" t="s">
        <v>959</v>
      </c>
      <c r="O147" s="107" t="n">
        <v>34578</v>
      </c>
      <c r="P147" s="107" t="n">
        <v>0</v>
      </c>
      <c r="Q147" s="107" t="n">
        <v>0</v>
      </c>
      <c r="R147" s="107" t="s">
        <v>1069</v>
      </c>
    </row>
    <row r="148" customFormat="false" ht="15" hidden="false" customHeight="false" outlineLevel="0" collapsed="false">
      <c r="A148" s="107" t="s">
        <v>1071</v>
      </c>
      <c r="B148" s="107" t="s">
        <v>114</v>
      </c>
      <c r="C148" s="107" t="n">
        <v>6.04</v>
      </c>
      <c r="D148" s="107" t="n">
        <v>95.28</v>
      </c>
      <c r="E148" s="107" t="n">
        <v>127.51</v>
      </c>
      <c r="F148" s="107" t="n">
        <v>-0.8</v>
      </c>
      <c r="G148" s="107" t="n">
        <v>1.5</v>
      </c>
      <c r="H148" s="107" t="n">
        <v>-2.7</v>
      </c>
      <c r="I148" s="107" t="n">
        <v>-0.2</v>
      </c>
      <c r="J148" s="107" t="n">
        <v>5.003</v>
      </c>
      <c r="K148" s="107" t="s">
        <v>962</v>
      </c>
      <c r="L148" s="108" t="s">
        <v>103</v>
      </c>
      <c r="M148" s="107" t="s">
        <v>377</v>
      </c>
      <c r="N148" s="108" t="s">
        <v>959</v>
      </c>
      <c r="O148" s="107" t="n">
        <v>34507</v>
      </c>
      <c r="P148" s="107" t="n">
        <v>0</v>
      </c>
      <c r="Q148" s="107" t="n">
        <v>0</v>
      </c>
      <c r="R148" s="107" t="s">
        <v>1069</v>
      </c>
    </row>
    <row r="149" customFormat="false" ht="15" hidden="false" customHeight="false" outlineLevel="0" collapsed="false">
      <c r="A149" s="107" t="s">
        <v>753</v>
      </c>
      <c r="B149" s="107" t="s">
        <v>114</v>
      </c>
      <c r="C149" s="107" t="n">
        <v>6.331</v>
      </c>
      <c r="D149" s="107" t="n">
        <v>104.357</v>
      </c>
      <c r="E149" s="107" t="n">
        <v>151.707</v>
      </c>
      <c r="F149" s="107" t="n">
        <v>-0.7</v>
      </c>
      <c r="G149" s="107" t="n">
        <v>3.7</v>
      </c>
      <c r="H149" s="107" t="n">
        <v>3.4</v>
      </c>
      <c r="I149" s="107" t="n">
        <v>10.2</v>
      </c>
      <c r="J149" s="107" t="n">
        <v>6.944</v>
      </c>
      <c r="K149" s="107" t="s">
        <v>971</v>
      </c>
      <c r="L149" s="108" t="s">
        <v>103</v>
      </c>
      <c r="M149" s="107" t="s">
        <v>377</v>
      </c>
      <c r="N149" s="108" t="s">
        <v>959</v>
      </c>
      <c r="O149" s="107" t="n">
        <v>38088</v>
      </c>
      <c r="P149" s="107" t="n">
        <v>5</v>
      </c>
      <c r="Q149" s="107" t="n">
        <v>-11804.8</v>
      </c>
      <c r="R149" s="107" t="s">
        <v>1069</v>
      </c>
    </row>
    <row r="150" customFormat="false" ht="15" hidden="false" customHeight="false" outlineLevel="0" collapsed="false">
      <c r="A150" s="107" t="s">
        <v>1072</v>
      </c>
      <c r="B150" s="107" t="s">
        <v>114</v>
      </c>
      <c r="C150" s="107" t="n">
        <v>5.448</v>
      </c>
      <c r="D150" s="107" t="n">
        <v>44.76</v>
      </c>
      <c r="E150" s="107" t="n">
        <v>71.424</v>
      </c>
      <c r="F150" s="107" t="n">
        <v>2.4</v>
      </c>
      <c r="G150" s="107" t="n">
        <v>3</v>
      </c>
      <c r="H150" s="107" t="n">
        <v>4.1</v>
      </c>
      <c r="I150" s="107" t="n">
        <v>0.6</v>
      </c>
      <c r="J150" s="107" t="n">
        <v>2.776</v>
      </c>
      <c r="K150" s="107" t="s">
        <v>964</v>
      </c>
      <c r="L150" s="108" t="s">
        <v>94</v>
      </c>
      <c r="M150" s="107" t="s">
        <v>106</v>
      </c>
      <c r="N150" s="108" t="s">
        <v>959</v>
      </c>
      <c r="O150" s="107" t="n">
        <v>34507</v>
      </c>
      <c r="P150" s="107" t="n">
        <v>0</v>
      </c>
      <c r="Q150" s="107" t="n">
        <v>0</v>
      </c>
      <c r="R150" s="107" t="s">
        <v>1073</v>
      </c>
    </row>
    <row r="151" customFormat="false" ht="15" hidden="false" customHeight="false" outlineLevel="0" collapsed="false">
      <c r="A151" s="107" t="s">
        <v>464</v>
      </c>
      <c r="B151" s="107" t="s">
        <v>114</v>
      </c>
      <c r="C151" s="107" t="n">
        <v>6.533</v>
      </c>
      <c r="D151" s="107" t="n">
        <v>144.658</v>
      </c>
      <c r="E151" s="107" t="n">
        <v>178.091</v>
      </c>
      <c r="F151" s="107" t="n">
        <v>-5.6</v>
      </c>
      <c r="G151" s="107" t="n">
        <v>8.8</v>
      </c>
      <c r="H151" s="107" t="n">
        <v>5.5</v>
      </c>
      <c r="I151" s="107" t="n">
        <v>27.2</v>
      </c>
      <c r="J151" s="107" t="n">
        <v>4.21</v>
      </c>
      <c r="K151" s="107" t="s">
        <v>956</v>
      </c>
      <c r="L151" s="108" t="s">
        <v>103</v>
      </c>
      <c r="M151" s="107" t="s">
        <v>107</v>
      </c>
      <c r="N151" s="108" t="s">
        <v>79</v>
      </c>
      <c r="O151" s="107" t="n">
        <v>28096</v>
      </c>
      <c r="P151" s="107" t="n">
        <v>5</v>
      </c>
      <c r="Q151" s="107" t="n">
        <v>-11577.5</v>
      </c>
      <c r="R151" s="107" t="s">
        <v>1074</v>
      </c>
    </row>
    <row r="152" customFormat="false" ht="15" hidden="false" customHeight="false" outlineLevel="0" collapsed="false">
      <c r="A152" s="107" t="s">
        <v>1075</v>
      </c>
      <c r="B152" s="107" t="s">
        <v>114</v>
      </c>
      <c r="C152" s="107" t="n">
        <v>5.462</v>
      </c>
      <c r="D152" s="107" t="n">
        <v>37.493</v>
      </c>
      <c r="E152" s="107" t="n">
        <v>71.094</v>
      </c>
      <c r="F152" s="107" t="n">
        <v>-0.1</v>
      </c>
      <c r="G152" s="107" t="n">
        <v>1.2</v>
      </c>
      <c r="H152" s="107" t="n">
        <v>2</v>
      </c>
      <c r="I152" s="107" t="n">
        <v>2.8</v>
      </c>
      <c r="J152" s="107" t="n">
        <v>4.139</v>
      </c>
      <c r="K152" s="107" t="s">
        <v>956</v>
      </c>
      <c r="L152" s="108" t="s">
        <v>94</v>
      </c>
      <c r="M152" s="107" t="s">
        <v>367</v>
      </c>
      <c r="N152" s="108" t="s">
        <v>959</v>
      </c>
      <c r="O152" s="107" t="n">
        <v>42003</v>
      </c>
      <c r="P152" s="107" t="n">
        <v>4.2</v>
      </c>
      <c r="Q152" s="107" t="n">
        <v>-3476.76</v>
      </c>
      <c r="R152" s="107" t="s">
        <v>1012</v>
      </c>
    </row>
    <row r="153" customFormat="false" ht="15" hidden="false" customHeight="false" outlineLevel="0" collapsed="false">
      <c r="A153" s="107" t="s">
        <v>827</v>
      </c>
      <c r="B153" s="107" t="s">
        <v>114</v>
      </c>
      <c r="C153" s="107" t="n">
        <v>5.267</v>
      </c>
      <c r="D153" s="107" t="n">
        <v>17.98</v>
      </c>
      <c r="E153" s="107" t="n">
        <v>51.65</v>
      </c>
      <c r="F153" s="107" t="n">
        <v>-0.8</v>
      </c>
      <c r="G153" s="107" t="n">
        <v>0.6</v>
      </c>
      <c r="H153" s="107" t="n">
        <v>0.8</v>
      </c>
      <c r="I153" s="107" t="n">
        <v>4.4</v>
      </c>
      <c r="J153" s="107" t="n">
        <v>4.086</v>
      </c>
      <c r="K153" s="107" t="s">
        <v>956</v>
      </c>
      <c r="L153" s="108" t="s">
        <v>102</v>
      </c>
      <c r="M153" s="2"/>
      <c r="N153" s="108" t="s">
        <v>959</v>
      </c>
      <c r="O153" s="107" t="n">
        <v>42003</v>
      </c>
      <c r="P153" s="107" t="n">
        <v>3.2</v>
      </c>
      <c r="Q153" s="107" t="n">
        <v>-1046.016</v>
      </c>
      <c r="R153" s="107" t="s">
        <v>965</v>
      </c>
    </row>
    <row r="154" customFormat="false" ht="15" hidden="false" customHeight="false" outlineLevel="0" collapsed="false">
      <c r="A154" s="107" t="s">
        <v>1076</v>
      </c>
      <c r="B154" s="107" t="s">
        <v>114</v>
      </c>
      <c r="C154" s="107" t="n">
        <v>5.465</v>
      </c>
      <c r="D154" s="107" t="n">
        <v>57.597</v>
      </c>
      <c r="E154" s="107" t="n">
        <v>79.703</v>
      </c>
      <c r="F154" s="107" t="n">
        <v>0.4</v>
      </c>
      <c r="G154" s="107" t="n">
        <v>6.1</v>
      </c>
      <c r="H154" s="107" t="n">
        <v>1.1</v>
      </c>
      <c r="I154" s="107" t="n">
        <v>3.2</v>
      </c>
      <c r="J154" s="107" t="n">
        <v>1.77</v>
      </c>
      <c r="K154" s="107" t="s">
        <v>964</v>
      </c>
      <c r="L154" s="108" t="s">
        <v>98</v>
      </c>
      <c r="M154" s="107" t="s">
        <v>377</v>
      </c>
      <c r="N154" s="108" t="s">
        <v>959</v>
      </c>
      <c r="O154" s="107" t="n">
        <v>28096</v>
      </c>
      <c r="P154" s="107" t="n">
        <v>5</v>
      </c>
      <c r="Q154" s="107" t="n">
        <v>-973.5</v>
      </c>
      <c r="R154" s="107" t="s">
        <v>1077</v>
      </c>
    </row>
    <row r="155" customFormat="false" ht="15" hidden="false" customHeight="false" outlineLevel="0" collapsed="false">
      <c r="A155" s="107" t="s">
        <v>1078</v>
      </c>
      <c r="B155" s="107" t="s">
        <v>114</v>
      </c>
      <c r="C155" s="107" t="n">
        <v>5.694</v>
      </c>
      <c r="D155" s="107" t="n">
        <v>60.728</v>
      </c>
      <c r="E155" s="107" t="n">
        <v>94.796</v>
      </c>
      <c r="F155" s="107" t="n">
        <v>-0.2</v>
      </c>
      <c r="G155" s="107" t="n">
        <v>3</v>
      </c>
      <c r="H155" s="107" t="n">
        <v>1.4</v>
      </c>
      <c r="I155" s="107" t="n">
        <v>1.1</v>
      </c>
      <c r="J155" s="107" t="n">
        <v>3.702</v>
      </c>
      <c r="K155" s="107" t="s">
        <v>956</v>
      </c>
      <c r="L155" s="108" t="s">
        <v>98</v>
      </c>
      <c r="M155" s="107" t="s">
        <v>377</v>
      </c>
      <c r="N155" s="108" t="s">
        <v>959</v>
      </c>
      <c r="O155" s="107" t="n">
        <v>28096</v>
      </c>
      <c r="P155" s="107" t="n">
        <v>2.5</v>
      </c>
      <c r="Q155" s="107" t="n">
        <v>-1295.7</v>
      </c>
      <c r="R155" s="107" t="s">
        <v>1077</v>
      </c>
    </row>
    <row r="156" customFormat="false" ht="15" hidden="false" customHeight="false" outlineLevel="0" collapsed="false">
      <c r="A156" s="107" t="s">
        <v>1079</v>
      </c>
      <c r="B156" s="107" t="s">
        <v>114</v>
      </c>
      <c r="C156" s="107" t="n">
        <v>5.325</v>
      </c>
      <c r="D156" s="107" t="n">
        <v>43.538</v>
      </c>
      <c r="E156" s="107" t="n">
        <v>75.478</v>
      </c>
      <c r="F156" s="107" t="n">
        <v>1.4</v>
      </c>
      <c r="G156" s="107" t="n">
        <v>14.7</v>
      </c>
      <c r="H156" s="107" t="n">
        <v>0.8</v>
      </c>
      <c r="I156" s="107" t="n">
        <v>-11.9</v>
      </c>
      <c r="J156" s="107" t="n">
        <v>1.267</v>
      </c>
      <c r="K156" s="107" t="s">
        <v>964</v>
      </c>
      <c r="L156" s="108" t="s">
        <v>101</v>
      </c>
      <c r="M156" s="2"/>
      <c r="N156" s="108" t="s">
        <v>959</v>
      </c>
      <c r="O156" s="107" t="s">
        <v>1080</v>
      </c>
      <c r="P156" s="107" t="n">
        <v>2.5</v>
      </c>
      <c r="Q156" s="107" t="n">
        <v>-253.4</v>
      </c>
      <c r="R156" s="107" t="s">
        <v>1081</v>
      </c>
    </row>
    <row r="157" customFormat="false" ht="15" hidden="false" customHeight="false" outlineLevel="0" collapsed="false">
      <c r="A157" s="107" t="s">
        <v>1082</v>
      </c>
      <c r="B157" s="107" t="s">
        <v>114</v>
      </c>
      <c r="C157" s="107" t="n">
        <v>4.825</v>
      </c>
      <c r="D157" s="107" t="n">
        <v>-6.459</v>
      </c>
      <c r="E157" s="107" t="n">
        <v>37.829</v>
      </c>
      <c r="F157" s="107" t="n">
        <v>0.6</v>
      </c>
      <c r="G157" s="107" t="n">
        <v>11.1</v>
      </c>
      <c r="H157" s="107" t="n">
        <v>-5.3</v>
      </c>
      <c r="I157" s="107" t="n">
        <v>-18.4</v>
      </c>
      <c r="J157" s="107" t="n">
        <v>0.891</v>
      </c>
      <c r="K157" s="107" t="s">
        <v>982</v>
      </c>
      <c r="L157" s="108" t="s">
        <v>102</v>
      </c>
      <c r="M157" s="107" t="s">
        <v>361</v>
      </c>
      <c r="N157" s="108" t="s">
        <v>959</v>
      </c>
      <c r="O157" s="107" t="n">
        <v>42003</v>
      </c>
      <c r="P157" s="107" t="n">
        <v>0.5</v>
      </c>
      <c r="Q157" s="107" t="n">
        <v>236.115</v>
      </c>
      <c r="R157" s="107" t="s">
        <v>1083</v>
      </c>
    </row>
    <row r="158" customFormat="false" ht="15" hidden="false" customHeight="false" outlineLevel="0" collapsed="false">
      <c r="A158" s="107" t="s">
        <v>1084</v>
      </c>
      <c r="B158" s="107" t="s">
        <v>114</v>
      </c>
      <c r="C158" s="107" t="n">
        <v>5.337</v>
      </c>
      <c r="D158" s="107" t="n">
        <v>25.028</v>
      </c>
      <c r="E158" s="107" t="n">
        <v>59.805</v>
      </c>
      <c r="F158" s="107" t="n">
        <v>0.5</v>
      </c>
      <c r="G158" s="107" t="n">
        <v>4.2</v>
      </c>
      <c r="H158" s="107" t="n">
        <v>3.1</v>
      </c>
      <c r="I158" s="107" t="n">
        <v>1</v>
      </c>
      <c r="J158" s="107" t="n">
        <v>3.05</v>
      </c>
      <c r="K158" s="107" t="s">
        <v>956</v>
      </c>
      <c r="L158" s="108" t="s">
        <v>102</v>
      </c>
      <c r="M158" s="107" t="s">
        <v>361</v>
      </c>
      <c r="N158" s="108" t="s">
        <v>959</v>
      </c>
      <c r="O158" s="107" t="n">
        <v>42003</v>
      </c>
      <c r="P158" s="107" t="n">
        <v>5</v>
      </c>
      <c r="Q158" s="107" t="n">
        <v>-4727.5</v>
      </c>
      <c r="R158" s="107" t="s">
        <v>1083</v>
      </c>
    </row>
    <row r="159" customFormat="false" ht="15" hidden="false" customHeight="false" outlineLevel="0" collapsed="false">
      <c r="A159" s="107" t="s">
        <v>1085</v>
      </c>
      <c r="B159" s="107" t="s">
        <v>114</v>
      </c>
      <c r="C159" s="107" t="n">
        <v>5.293</v>
      </c>
      <c r="D159" s="107" t="n">
        <v>20.575</v>
      </c>
      <c r="E159" s="107" t="n">
        <v>54.744</v>
      </c>
      <c r="F159" s="107" t="n">
        <v>-4</v>
      </c>
      <c r="G159" s="107" t="n">
        <v>4.3</v>
      </c>
      <c r="H159" s="107" t="n">
        <v>-2.8</v>
      </c>
      <c r="I159" s="107" t="n">
        <v>-4.5</v>
      </c>
      <c r="J159" s="107" t="n">
        <v>3.694</v>
      </c>
      <c r="K159" s="107" t="s">
        <v>956</v>
      </c>
      <c r="L159" s="108" t="s">
        <v>102</v>
      </c>
      <c r="M159" s="107" t="s">
        <v>361</v>
      </c>
      <c r="N159" s="108" t="s">
        <v>959</v>
      </c>
      <c r="O159" s="107" t="n">
        <v>42003</v>
      </c>
      <c r="P159" s="107" t="n">
        <v>3.5</v>
      </c>
      <c r="Q159" s="107" t="n">
        <v>3620.12</v>
      </c>
      <c r="R159" s="107" t="s">
        <v>1083</v>
      </c>
    </row>
    <row r="160" customFormat="false" ht="15" hidden="false" customHeight="false" outlineLevel="0" collapsed="false">
      <c r="A160" s="107" t="s">
        <v>1086</v>
      </c>
      <c r="B160" s="107" t="s">
        <v>114</v>
      </c>
      <c r="C160" s="107" t="n">
        <v>5.308</v>
      </c>
      <c r="D160" s="107" t="n">
        <v>22.155</v>
      </c>
      <c r="E160" s="107" t="n">
        <v>56.03</v>
      </c>
      <c r="F160" s="107" t="n">
        <v>-1.6</v>
      </c>
      <c r="G160" s="107" t="n">
        <v>2.1</v>
      </c>
      <c r="H160" s="107" t="n">
        <v>-2.5</v>
      </c>
      <c r="I160" s="107" t="n">
        <v>-4.8</v>
      </c>
      <c r="J160" s="107" t="n">
        <v>3.947</v>
      </c>
      <c r="K160" s="107" t="s">
        <v>956</v>
      </c>
      <c r="L160" s="108" t="s">
        <v>102</v>
      </c>
      <c r="M160" s="107" t="s">
        <v>361</v>
      </c>
      <c r="N160" s="108" t="s">
        <v>959</v>
      </c>
      <c r="O160" s="107" t="n">
        <v>42003</v>
      </c>
      <c r="P160" s="107" t="n">
        <v>6</v>
      </c>
      <c r="Q160" s="107" t="n">
        <v>5920.5</v>
      </c>
      <c r="R160" s="107" t="s">
        <v>1083</v>
      </c>
    </row>
    <row r="161" customFormat="false" ht="15" hidden="false" customHeight="false" outlineLevel="0" collapsed="false">
      <c r="A161" s="107" t="s">
        <v>839</v>
      </c>
      <c r="B161" s="107" t="s">
        <v>114</v>
      </c>
      <c r="C161" s="107" t="n">
        <v>4.738</v>
      </c>
      <c r="D161" s="107" t="n">
        <v>-15.09</v>
      </c>
      <c r="E161" s="107" t="n">
        <v>48.008</v>
      </c>
      <c r="F161" s="107" t="n">
        <v>8.3</v>
      </c>
      <c r="G161" s="107" t="n">
        <v>12.3</v>
      </c>
      <c r="H161" s="107" t="n">
        <v>-11.1</v>
      </c>
      <c r="I161" s="107" t="n">
        <v>-26.9</v>
      </c>
      <c r="J161" s="107" t="n">
        <v>0.604</v>
      </c>
      <c r="K161" s="107" t="s">
        <v>982</v>
      </c>
      <c r="L161" s="108" t="s">
        <v>102</v>
      </c>
      <c r="M161" s="107" t="s">
        <v>361</v>
      </c>
      <c r="N161" s="108" t="s">
        <v>959</v>
      </c>
      <c r="O161" s="107" t="n">
        <v>42003</v>
      </c>
      <c r="P161" s="107" t="n">
        <v>1</v>
      </c>
      <c r="Q161" s="107" t="n">
        <v>670.44</v>
      </c>
      <c r="R161" s="107" t="s">
        <v>1087</v>
      </c>
    </row>
    <row r="162" customFormat="false" ht="15" hidden="false" customHeight="false" outlineLevel="0" collapsed="false">
      <c r="A162" s="107" t="s">
        <v>1088</v>
      </c>
      <c r="B162" s="107" t="s">
        <v>114</v>
      </c>
      <c r="C162" s="107" t="n">
        <v>5.459</v>
      </c>
      <c r="D162" s="107" t="n">
        <v>37.241</v>
      </c>
      <c r="E162" s="107" t="n">
        <v>70.845</v>
      </c>
      <c r="F162" s="107" t="n">
        <v>0.9</v>
      </c>
      <c r="G162" s="107" t="n">
        <v>5.2</v>
      </c>
      <c r="H162" s="107" t="n">
        <v>2.3</v>
      </c>
      <c r="I162" s="107" t="n">
        <v>0.8</v>
      </c>
      <c r="J162" s="107" t="n">
        <v>4.137</v>
      </c>
      <c r="K162" s="107" t="s">
        <v>956</v>
      </c>
      <c r="L162" s="108" t="s">
        <v>102</v>
      </c>
      <c r="M162" s="107" t="s">
        <v>361</v>
      </c>
      <c r="N162" s="108" t="s">
        <v>959</v>
      </c>
      <c r="O162" s="107" t="n">
        <v>42003</v>
      </c>
      <c r="P162" s="107" t="n">
        <v>5</v>
      </c>
      <c r="Q162" s="107" t="n">
        <v>-4757.55</v>
      </c>
      <c r="R162" s="107" t="s">
        <v>1087</v>
      </c>
    </row>
    <row r="163" customFormat="false" ht="15" hidden="false" customHeight="false" outlineLevel="0" collapsed="false">
      <c r="A163" s="107" t="s">
        <v>1089</v>
      </c>
      <c r="B163" s="107" t="s">
        <v>114</v>
      </c>
      <c r="C163" s="107" t="n">
        <v>5.501</v>
      </c>
      <c r="D163" s="107" t="n">
        <v>41.416</v>
      </c>
      <c r="E163" s="107" t="n">
        <v>74.902</v>
      </c>
      <c r="F163" s="107" t="n">
        <v>0.6</v>
      </c>
      <c r="G163" s="107" t="n">
        <v>2</v>
      </c>
      <c r="H163" s="107" t="n">
        <v>0.8</v>
      </c>
      <c r="I163" s="107" t="n">
        <v>4.5</v>
      </c>
      <c r="J163" s="107" t="n">
        <v>4.245</v>
      </c>
      <c r="K163" s="107" t="s">
        <v>956</v>
      </c>
      <c r="L163" s="108" t="s">
        <v>102</v>
      </c>
      <c r="M163" s="107" t="s">
        <v>361</v>
      </c>
      <c r="N163" s="108" t="s">
        <v>959</v>
      </c>
      <c r="O163" s="107" t="n">
        <v>42003</v>
      </c>
      <c r="P163" s="107" t="n">
        <v>16.5</v>
      </c>
      <c r="Q163" s="107" t="n">
        <v>-5603.4</v>
      </c>
      <c r="R163" s="107" t="s">
        <v>1025</v>
      </c>
    </row>
    <row r="164" customFormat="false" ht="15" hidden="false" customHeight="false" outlineLevel="0" collapsed="false">
      <c r="A164" s="107" t="s">
        <v>680</v>
      </c>
      <c r="B164" s="107" t="s">
        <v>114</v>
      </c>
      <c r="C164" s="107" t="n">
        <v>5.286</v>
      </c>
      <c r="D164" s="107" t="n">
        <v>28.554</v>
      </c>
      <c r="E164" s="107" t="n">
        <v>55.746</v>
      </c>
      <c r="F164" s="107" t="n">
        <v>-1</v>
      </c>
      <c r="G164" s="107" t="n">
        <v>4.1</v>
      </c>
      <c r="H164" s="107" t="n">
        <v>-0.5</v>
      </c>
      <c r="I164" s="107" t="n">
        <v>-7.1</v>
      </c>
      <c r="J164" s="107" t="n">
        <v>2.659</v>
      </c>
      <c r="K164" s="107" t="s">
        <v>964</v>
      </c>
      <c r="L164" s="108" t="s">
        <v>100</v>
      </c>
      <c r="M164" s="107" t="s">
        <v>361</v>
      </c>
      <c r="N164" s="108" t="s">
        <v>959</v>
      </c>
      <c r="O164" s="107" t="n">
        <v>34578</v>
      </c>
      <c r="P164" s="107" t="n">
        <v>21.1</v>
      </c>
      <c r="Q164" s="107" t="n">
        <v>2805.245</v>
      </c>
      <c r="R164" s="107" t="s">
        <v>1090</v>
      </c>
    </row>
    <row r="165" customFormat="false" ht="15" hidden="false" customHeight="false" outlineLevel="0" collapsed="false">
      <c r="A165" s="107" t="s">
        <v>1091</v>
      </c>
      <c r="B165" s="107" t="s">
        <v>114</v>
      </c>
      <c r="C165" s="107" t="n">
        <v>5.53</v>
      </c>
      <c r="D165" s="107" t="n">
        <v>44.295</v>
      </c>
      <c r="E165" s="107" t="n">
        <v>77.798</v>
      </c>
      <c r="F165" s="107" t="n">
        <v>-0.7</v>
      </c>
      <c r="G165" s="107" t="n">
        <v>6.6</v>
      </c>
      <c r="H165" s="107" t="n">
        <v>-1.3</v>
      </c>
      <c r="I165" s="107" t="n">
        <v>-0.2</v>
      </c>
      <c r="J165" s="107" t="n">
        <v>4.225</v>
      </c>
      <c r="K165" s="107" t="s">
        <v>956</v>
      </c>
      <c r="L165" s="108" t="s">
        <v>100</v>
      </c>
      <c r="M165" s="2"/>
      <c r="N165" s="108" t="s">
        <v>959</v>
      </c>
      <c r="O165" s="107" t="n">
        <v>42003</v>
      </c>
      <c r="P165" s="107" t="n">
        <v>6</v>
      </c>
      <c r="Q165" s="107" t="n">
        <v>3295.5</v>
      </c>
      <c r="R165" s="107" t="s">
        <v>1090</v>
      </c>
    </row>
    <row r="166" customFormat="false" ht="15" hidden="false" customHeight="false" outlineLevel="0" collapsed="false">
      <c r="A166" s="107" t="s">
        <v>1092</v>
      </c>
      <c r="B166" s="107" t="s">
        <v>114</v>
      </c>
      <c r="C166" s="2"/>
      <c r="D166" s="2"/>
      <c r="E166" s="2"/>
      <c r="F166" s="107" t="n">
        <v>-418.9</v>
      </c>
      <c r="G166" s="2"/>
      <c r="H166" s="2"/>
      <c r="I166" s="107" t="n">
        <v>-418.9</v>
      </c>
      <c r="J166" s="2"/>
      <c r="K166" s="107" t="s">
        <v>982</v>
      </c>
      <c r="L166" s="108" t="s">
        <v>102</v>
      </c>
      <c r="M166" s="107" t="s">
        <v>505</v>
      </c>
      <c r="N166" s="108" t="s">
        <v>959</v>
      </c>
      <c r="O166" s="107" t="n">
        <v>42003</v>
      </c>
      <c r="P166" s="107" t="n">
        <v>0</v>
      </c>
      <c r="Q166" s="107" t="n">
        <v>0</v>
      </c>
      <c r="R166" s="107" t="s">
        <v>1020</v>
      </c>
    </row>
    <row r="167" customFormat="false" ht="15" hidden="false" customHeight="false" outlineLevel="0" collapsed="false">
      <c r="A167" s="107" t="s">
        <v>1093</v>
      </c>
      <c r="B167" s="107" t="s">
        <v>114</v>
      </c>
      <c r="C167" s="107" t="n">
        <v>5.419</v>
      </c>
      <c r="D167" s="107" t="n">
        <v>33.196</v>
      </c>
      <c r="E167" s="107" t="n">
        <v>67.227</v>
      </c>
      <c r="F167" s="107" t="n">
        <v>0.1</v>
      </c>
      <c r="G167" s="107" t="n">
        <v>4.1</v>
      </c>
      <c r="H167" s="107" t="n">
        <v>-0.1</v>
      </c>
      <c r="I167" s="107" t="n">
        <v>0.3</v>
      </c>
      <c r="J167" s="107" t="n">
        <v>3.753</v>
      </c>
      <c r="K167" s="107" t="s">
        <v>956</v>
      </c>
      <c r="L167" s="108" t="s">
        <v>102</v>
      </c>
      <c r="M167" s="107" t="s">
        <v>361</v>
      </c>
      <c r="N167" s="108" t="s">
        <v>959</v>
      </c>
      <c r="O167" s="107" t="n">
        <v>42003</v>
      </c>
      <c r="P167" s="107" t="n">
        <v>0.2</v>
      </c>
      <c r="Q167" s="107" t="n">
        <v>7.506</v>
      </c>
      <c r="R167" s="107" t="s">
        <v>1020</v>
      </c>
    </row>
    <row r="168" customFormat="false" ht="15" hidden="false" customHeight="false" outlineLevel="0" collapsed="false">
      <c r="A168" s="107" t="s">
        <v>850</v>
      </c>
      <c r="B168" s="107" t="s">
        <v>114</v>
      </c>
      <c r="C168" s="107" t="n">
        <v>4.387</v>
      </c>
      <c r="D168" s="2"/>
      <c r="E168" s="2"/>
      <c r="F168" s="107" t="n">
        <v>-12.1</v>
      </c>
      <c r="G168" s="107" t="n">
        <v>-10.9</v>
      </c>
      <c r="H168" s="107" t="n">
        <v>-19</v>
      </c>
      <c r="I168" s="107" t="n">
        <v>-36.2</v>
      </c>
      <c r="J168" s="107" t="n">
        <v>0.008</v>
      </c>
      <c r="K168" s="107" t="s">
        <v>964</v>
      </c>
      <c r="L168" s="108" t="s">
        <v>102</v>
      </c>
      <c r="M168" s="107" t="s">
        <v>361</v>
      </c>
      <c r="N168" s="108" t="s">
        <v>959</v>
      </c>
      <c r="O168" s="107" t="s">
        <v>966</v>
      </c>
      <c r="P168" s="107" t="n">
        <v>0.2</v>
      </c>
      <c r="Q168" s="107" t="n">
        <v>3.04</v>
      </c>
      <c r="R168" s="107" t="s">
        <v>1020</v>
      </c>
    </row>
    <row r="169" customFormat="false" ht="15" hidden="false" customHeight="false" outlineLevel="0" collapsed="false">
      <c r="A169" s="107" t="s">
        <v>1094</v>
      </c>
      <c r="B169" s="107" t="s">
        <v>114</v>
      </c>
      <c r="C169" s="107" t="n">
        <v>5.557</v>
      </c>
      <c r="D169" s="107" t="n">
        <v>47.011</v>
      </c>
      <c r="E169" s="107" t="n">
        <v>80.429</v>
      </c>
      <c r="F169" s="107" t="n">
        <v>0.1</v>
      </c>
      <c r="G169" s="107" t="n">
        <v>3</v>
      </c>
      <c r="H169" s="107" t="n">
        <v>0.8</v>
      </c>
      <c r="I169" s="107" t="n">
        <v>-2.3</v>
      </c>
      <c r="J169" s="107" t="n">
        <v>4.301</v>
      </c>
      <c r="K169" s="107" t="s">
        <v>956</v>
      </c>
      <c r="L169" s="108" t="s">
        <v>102</v>
      </c>
      <c r="M169" s="107" t="s">
        <v>361</v>
      </c>
      <c r="N169" s="108" t="s">
        <v>959</v>
      </c>
      <c r="O169" s="107" t="s">
        <v>966</v>
      </c>
      <c r="P169" s="107" t="n">
        <v>0.2</v>
      </c>
      <c r="Q169" s="107" t="n">
        <v>-68.816</v>
      </c>
      <c r="R169" s="107" t="s">
        <v>1020</v>
      </c>
    </row>
    <row r="170" customFormat="false" ht="15" hidden="false" customHeight="false" outlineLevel="0" collapsed="false">
      <c r="A170" s="107" t="s">
        <v>1095</v>
      </c>
      <c r="B170" s="107" t="s">
        <v>114</v>
      </c>
      <c r="C170" s="107" t="n">
        <v>4.965</v>
      </c>
      <c r="D170" s="107" t="n">
        <v>7.625</v>
      </c>
      <c r="E170" s="107" t="n">
        <v>47.015</v>
      </c>
      <c r="F170" s="107" t="n">
        <v>-3.2</v>
      </c>
      <c r="G170" s="107" t="n">
        <v>24.7</v>
      </c>
      <c r="H170" s="107" t="n">
        <v>-0.4</v>
      </c>
      <c r="I170" s="107" t="n">
        <v>-20</v>
      </c>
      <c r="J170" s="107" t="n">
        <v>0.984</v>
      </c>
      <c r="K170" s="107" t="s">
        <v>982</v>
      </c>
      <c r="L170" s="108" t="s">
        <v>102</v>
      </c>
      <c r="M170" s="107" t="s">
        <v>361</v>
      </c>
      <c r="N170" s="108" t="s">
        <v>959</v>
      </c>
      <c r="O170" s="107" t="n">
        <v>42003</v>
      </c>
      <c r="P170" s="107" t="n">
        <v>0.2</v>
      </c>
      <c r="Q170" s="107" t="n">
        <v>7.872</v>
      </c>
      <c r="R170" s="107" t="s">
        <v>1096</v>
      </c>
    </row>
    <row r="171" customFormat="false" ht="15" hidden="false" customHeight="false" outlineLevel="0" collapsed="false">
      <c r="A171" s="107" t="s">
        <v>855</v>
      </c>
      <c r="B171" s="107" t="s">
        <v>114</v>
      </c>
      <c r="C171" s="107" t="n">
        <v>5.231</v>
      </c>
      <c r="D171" s="107" t="n">
        <v>34.22</v>
      </c>
      <c r="E171" s="107" t="n">
        <v>54.073</v>
      </c>
      <c r="F171" s="107" t="n">
        <v>-1</v>
      </c>
      <c r="G171" s="107" t="n">
        <v>12.1</v>
      </c>
      <c r="H171" s="107" t="n">
        <v>4.7</v>
      </c>
      <c r="I171" s="107" t="n">
        <v>-3.1</v>
      </c>
      <c r="J171" s="107" t="n">
        <v>1.933</v>
      </c>
      <c r="K171" s="107" t="s">
        <v>964</v>
      </c>
      <c r="L171" s="108" t="s">
        <v>102</v>
      </c>
      <c r="M171" s="107" t="s">
        <v>361</v>
      </c>
      <c r="N171" s="108" t="s">
        <v>959</v>
      </c>
      <c r="O171" s="107" t="n">
        <v>42003</v>
      </c>
      <c r="P171" s="107" t="n">
        <v>0.5</v>
      </c>
      <c r="Q171" s="107" t="n">
        <v>-454.255</v>
      </c>
      <c r="R171" s="107" t="s">
        <v>1096</v>
      </c>
    </row>
    <row r="172" customFormat="false" ht="15" hidden="false" customHeight="false" outlineLevel="0" collapsed="false">
      <c r="A172" s="107" t="s">
        <v>1097</v>
      </c>
      <c r="B172" s="107" t="s">
        <v>114</v>
      </c>
      <c r="C172" s="107" t="n">
        <v>5.489</v>
      </c>
      <c r="D172" s="107" t="n">
        <v>40.269</v>
      </c>
      <c r="E172" s="107" t="n">
        <v>74.407</v>
      </c>
      <c r="F172" s="107" t="n">
        <v>-1</v>
      </c>
      <c r="G172" s="107" t="n">
        <v>7.5</v>
      </c>
      <c r="H172" s="107" t="n">
        <v>1.7</v>
      </c>
      <c r="I172" s="107" t="n">
        <v>0.7</v>
      </c>
      <c r="J172" s="107" t="n">
        <v>3.712</v>
      </c>
      <c r="K172" s="107" t="s">
        <v>956</v>
      </c>
      <c r="L172" s="108" t="s">
        <v>102</v>
      </c>
      <c r="M172" s="107" t="s">
        <v>361</v>
      </c>
      <c r="N172" s="108" t="s">
        <v>959</v>
      </c>
      <c r="O172" s="107" t="n">
        <v>42003</v>
      </c>
      <c r="P172" s="107" t="n">
        <v>2.2</v>
      </c>
      <c r="Q172" s="107" t="n">
        <v>-1388.288</v>
      </c>
      <c r="R172" s="107" t="s">
        <v>1096</v>
      </c>
    </row>
    <row r="173" customFormat="false" ht="15" hidden="false" customHeight="false" outlineLevel="0" collapsed="false">
      <c r="A173" s="107" t="s">
        <v>1098</v>
      </c>
      <c r="B173" s="107" t="s">
        <v>114</v>
      </c>
      <c r="C173" s="107" t="n">
        <v>5.292</v>
      </c>
      <c r="D173" s="107" t="n">
        <v>29.129</v>
      </c>
      <c r="E173" s="107" t="n">
        <v>57.802</v>
      </c>
      <c r="F173" s="107" t="n">
        <v>-2.6</v>
      </c>
      <c r="G173" s="107" t="n">
        <v>7.4</v>
      </c>
      <c r="H173" s="107" t="n">
        <v>-2.4</v>
      </c>
      <c r="I173" s="107" t="n">
        <v>-11.2</v>
      </c>
      <c r="J173" s="107" t="n">
        <v>2.386</v>
      </c>
      <c r="K173" s="107" t="s">
        <v>964</v>
      </c>
      <c r="L173" s="108" t="s">
        <v>102</v>
      </c>
      <c r="M173" s="107" t="s">
        <v>361</v>
      </c>
      <c r="N173" s="108" t="s">
        <v>959</v>
      </c>
      <c r="O173" s="107" t="n">
        <v>42003</v>
      </c>
      <c r="P173" s="107" t="n">
        <v>0.5</v>
      </c>
      <c r="Q173" s="107" t="n">
        <v>286.32</v>
      </c>
      <c r="R173" s="107" t="s">
        <v>1096</v>
      </c>
    </row>
    <row r="174" customFormat="false" ht="15" hidden="false" customHeight="false" outlineLevel="0" collapsed="false">
      <c r="A174" s="107" t="s">
        <v>1099</v>
      </c>
      <c r="B174" s="107" t="s">
        <v>114</v>
      </c>
      <c r="C174" s="107" t="n">
        <v>5.552</v>
      </c>
      <c r="D174" s="107" t="n">
        <v>46.541</v>
      </c>
      <c r="E174" s="107" t="n">
        <v>80.235</v>
      </c>
      <c r="F174" s="107" t="n">
        <v>-1.3</v>
      </c>
      <c r="G174" s="107" t="n">
        <v>9.8</v>
      </c>
      <c r="H174" s="107" t="n">
        <v>0.8</v>
      </c>
      <c r="I174" s="107" t="n">
        <v>2.7</v>
      </c>
      <c r="J174" s="107" t="n">
        <v>4.1</v>
      </c>
      <c r="K174" s="107" t="s">
        <v>956</v>
      </c>
      <c r="L174" s="108" t="s">
        <v>102</v>
      </c>
      <c r="M174" s="107" t="s">
        <v>361</v>
      </c>
      <c r="N174" s="108" t="s">
        <v>959</v>
      </c>
      <c r="O174" s="107" t="n">
        <v>42003</v>
      </c>
      <c r="P174" s="107" t="n">
        <v>0.2</v>
      </c>
      <c r="Q174" s="107" t="n">
        <v>-65.6</v>
      </c>
      <c r="R174" s="107" t="s">
        <v>1096</v>
      </c>
    </row>
    <row r="175" customFormat="false" ht="15" hidden="false" customHeight="false" outlineLevel="0" collapsed="false">
      <c r="A175" s="107" t="s">
        <v>1100</v>
      </c>
      <c r="B175" s="107" t="s">
        <v>114</v>
      </c>
      <c r="C175" s="107" t="n">
        <v>5.163</v>
      </c>
      <c r="D175" s="107" t="n">
        <v>27.355</v>
      </c>
      <c r="E175" s="107" t="n">
        <v>58.576</v>
      </c>
      <c r="F175" s="107" t="n">
        <v>0</v>
      </c>
      <c r="G175" s="107" t="n">
        <v>11.8</v>
      </c>
      <c r="H175" s="107" t="n">
        <v>-6.1</v>
      </c>
      <c r="I175" s="107" t="n">
        <v>-5.4</v>
      </c>
      <c r="J175" s="107" t="n">
        <v>1.303</v>
      </c>
      <c r="K175" s="107" t="s">
        <v>964</v>
      </c>
      <c r="L175" s="108" t="s">
        <v>103</v>
      </c>
      <c r="M175" s="107" t="s">
        <v>374</v>
      </c>
      <c r="N175" s="108" t="s">
        <v>959</v>
      </c>
      <c r="O175" s="107" t="n">
        <v>42003</v>
      </c>
      <c r="P175" s="107" t="n">
        <v>0.5</v>
      </c>
      <c r="Q175" s="107" t="n">
        <v>397.415</v>
      </c>
      <c r="R175" s="107" t="s">
        <v>1101</v>
      </c>
    </row>
    <row r="176" customFormat="false" ht="15" hidden="false" customHeight="false" outlineLevel="0" collapsed="false">
      <c r="A176" s="107" t="s">
        <v>1102</v>
      </c>
      <c r="B176" s="107" t="s">
        <v>114</v>
      </c>
      <c r="C176" s="107" t="n">
        <v>5.491</v>
      </c>
      <c r="D176" s="107" t="n">
        <v>49.042</v>
      </c>
      <c r="E176" s="107" t="n">
        <v>75.185</v>
      </c>
      <c r="F176" s="107" t="n">
        <v>1.5</v>
      </c>
      <c r="G176" s="107" t="n">
        <v>8</v>
      </c>
      <c r="H176" s="107" t="n">
        <v>0</v>
      </c>
      <c r="I176" s="107" t="n">
        <v>-9.9</v>
      </c>
      <c r="J176" s="107" t="n">
        <v>3.048</v>
      </c>
      <c r="K176" s="107" t="s">
        <v>956</v>
      </c>
      <c r="L176" s="108" t="s">
        <v>103</v>
      </c>
      <c r="M176" s="2"/>
      <c r="N176" s="108" t="s">
        <v>959</v>
      </c>
      <c r="O176" s="107" t="n">
        <v>42011</v>
      </c>
      <c r="P176" s="107" t="n">
        <v>0.2</v>
      </c>
      <c r="Q176" s="107" t="n">
        <v>0</v>
      </c>
      <c r="R176" s="107" t="s">
        <v>1101</v>
      </c>
    </row>
    <row r="177" customFormat="false" ht="15" hidden="false" customHeight="false" outlineLevel="0" collapsed="false">
      <c r="A177" s="107" t="s">
        <v>1103</v>
      </c>
      <c r="B177" s="107" t="s">
        <v>114</v>
      </c>
      <c r="C177" s="107" t="n">
        <v>5.649</v>
      </c>
      <c r="D177" s="107" t="n">
        <v>76</v>
      </c>
      <c r="E177" s="107" t="n">
        <v>96.023</v>
      </c>
      <c r="F177" s="107" t="n">
        <v>-0.3</v>
      </c>
      <c r="G177" s="107" t="n">
        <v>4.7</v>
      </c>
      <c r="H177" s="107" t="n">
        <v>4.5</v>
      </c>
      <c r="I177" s="107" t="n">
        <v>1.7</v>
      </c>
      <c r="J177" s="107" t="n">
        <v>1.898</v>
      </c>
      <c r="K177" s="107" t="s">
        <v>964</v>
      </c>
      <c r="L177" s="108" t="s">
        <v>101</v>
      </c>
      <c r="M177" s="107" t="s">
        <v>107</v>
      </c>
      <c r="N177" s="108" t="s">
        <v>959</v>
      </c>
      <c r="O177" s="107" t="n">
        <v>28096</v>
      </c>
      <c r="P177" s="107" t="n">
        <v>4.2</v>
      </c>
      <c r="Q177" s="107" t="n">
        <v>-3587.22</v>
      </c>
      <c r="R177" s="107" t="s">
        <v>1104</v>
      </c>
    </row>
    <row r="178" customFormat="false" ht="15" hidden="false" customHeight="false" outlineLevel="0" collapsed="false">
      <c r="A178" s="107" t="s">
        <v>1105</v>
      </c>
      <c r="B178" s="107" t="s">
        <v>114</v>
      </c>
      <c r="C178" s="107" t="n">
        <v>5.125</v>
      </c>
      <c r="D178" s="107" t="n">
        <v>23.608</v>
      </c>
      <c r="E178" s="107" t="n">
        <v>77.4</v>
      </c>
      <c r="F178" s="107" t="n">
        <v>9.3</v>
      </c>
      <c r="G178" s="107" t="n">
        <v>16.1</v>
      </c>
      <c r="H178" s="107" t="n">
        <v>-11.5</v>
      </c>
      <c r="I178" s="107" t="n">
        <v>-30.7</v>
      </c>
      <c r="J178" s="107" t="n">
        <v>0.737</v>
      </c>
      <c r="K178" s="107" t="s">
        <v>982</v>
      </c>
      <c r="L178" s="108" t="s">
        <v>101</v>
      </c>
      <c r="M178" s="107" t="s">
        <v>107</v>
      </c>
      <c r="N178" s="108" t="s">
        <v>959</v>
      </c>
      <c r="O178" s="107" t="n">
        <v>28096</v>
      </c>
      <c r="P178" s="107" t="n">
        <v>0.2</v>
      </c>
      <c r="Q178" s="107" t="n">
        <v>169.51</v>
      </c>
      <c r="R178" s="107" t="s">
        <v>1104</v>
      </c>
    </row>
    <row r="179" customFormat="false" ht="15" hidden="false" customHeight="false" outlineLevel="0" collapsed="false">
      <c r="A179" s="107" t="s">
        <v>1106</v>
      </c>
      <c r="B179" s="107" t="s">
        <v>114</v>
      </c>
      <c r="C179" s="107" t="n">
        <v>5.734</v>
      </c>
      <c r="D179" s="107" t="n">
        <v>73.376</v>
      </c>
      <c r="E179" s="107" t="n">
        <v>100.898</v>
      </c>
      <c r="F179" s="107" t="n">
        <v>-1.7</v>
      </c>
      <c r="G179" s="107" t="n">
        <v>2.7</v>
      </c>
      <c r="H179" s="107" t="n">
        <v>-2.4</v>
      </c>
      <c r="I179" s="107" t="n">
        <v>-5.3</v>
      </c>
      <c r="J179" s="107" t="n">
        <v>2.559</v>
      </c>
      <c r="K179" s="107" t="s">
        <v>964</v>
      </c>
      <c r="L179" s="108" t="s">
        <v>101</v>
      </c>
      <c r="M179" s="107" t="s">
        <v>107</v>
      </c>
      <c r="N179" s="108" t="s">
        <v>959</v>
      </c>
      <c r="O179" s="107" t="n">
        <v>34578</v>
      </c>
      <c r="P179" s="107" t="n">
        <v>133</v>
      </c>
      <c r="Q179" s="107" t="n">
        <v>81683.28</v>
      </c>
      <c r="R179" s="107" t="s">
        <v>1104</v>
      </c>
    </row>
    <row r="180" customFormat="false" ht="15" hidden="false" customHeight="false" outlineLevel="0" collapsed="false">
      <c r="A180" s="107" t="s">
        <v>1107</v>
      </c>
      <c r="B180" s="107" t="s">
        <v>114</v>
      </c>
      <c r="C180" s="107" t="n">
        <v>5.58</v>
      </c>
      <c r="D180" s="107" t="n">
        <v>69.041</v>
      </c>
      <c r="E180" s="107" t="n">
        <v>96.548</v>
      </c>
      <c r="F180" s="107" t="n">
        <v>1.2</v>
      </c>
      <c r="G180" s="107" t="n">
        <v>8.7</v>
      </c>
      <c r="H180" s="107" t="n">
        <v>0.1</v>
      </c>
      <c r="I180" s="107" t="n">
        <v>-3.5</v>
      </c>
      <c r="J180" s="107" t="n">
        <v>1.462</v>
      </c>
      <c r="K180" s="107" t="s">
        <v>964</v>
      </c>
      <c r="L180" s="108" t="s">
        <v>101</v>
      </c>
      <c r="M180" s="107" t="s">
        <v>107</v>
      </c>
      <c r="N180" s="108" t="s">
        <v>959</v>
      </c>
      <c r="O180" s="107" t="n">
        <v>34578</v>
      </c>
      <c r="P180" s="107" t="n">
        <v>2</v>
      </c>
      <c r="Q180" s="107" t="n">
        <v>-29.24</v>
      </c>
      <c r="R180" s="107" t="s">
        <v>1104</v>
      </c>
    </row>
    <row r="181" customFormat="false" ht="15" hidden="false" customHeight="false" outlineLevel="0" collapsed="false">
      <c r="A181" s="107" t="s">
        <v>1108</v>
      </c>
      <c r="B181" s="107" t="s">
        <v>114</v>
      </c>
      <c r="C181" s="107" t="n">
        <v>5.984</v>
      </c>
      <c r="D181" s="107" t="n">
        <v>89.683</v>
      </c>
      <c r="E181" s="107" t="n">
        <v>124.279</v>
      </c>
      <c r="F181" s="107" t="n">
        <v>-2.7</v>
      </c>
      <c r="G181" s="107" t="n">
        <v>2.1</v>
      </c>
      <c r="H181" s="107" t="n">
        <v>2.6</v>
      </c>
      <c r="I181" s="107" t="n">
        <v>-2.2</v>
      </c>
      <c r="J181" s="107" t="n">
        <v>3.234</v>
      </c>
      <c r="K181" s="107" t="s">
        <v>956</v>
      </c>
      <c r="L181" s="108" t="s">
        <v>101</v>
      </c>
      <c r="M181" s="107" t="s">
        <v>107</v>
      </c>
      <c r="N181" s="108" t="s">
        <v>959</v>
      </c>
      <c r="O181" s="107" t="n">
        <v>34578</v>
      </c>
      <c r="P181" s="107" t="n">
        <v>16.5</v>
      </c>
      <c r="Q181" s="107" t="n">
        <v>-13873.86</v>
      </c>
      <c r="R181" s="107" t="s">
        <v>1104</v>
      </c>
    </row>
    <row r="182" customFormat="false" ht="15" hidden="false" customHeight="false" outlineLevel="0" collapsed="false">
      <c r="A182" s="107" t="s">
        <v>1109</v>
      </c>
      <c r="B182" s="107" t="s">
        <v>114</v>
      </c>
      <c r="C182" s="107" t="n">
        <v>6.524</v>
      </c>
      <c r="D182" s="107" t="n">
        <v>123.715</v>
      </c>
      <c r="E182" s="107" t="n">
        <v>171.655</v>
      </c>
      <c r="F182" s="107" t="n">
        <v>0.1</v>
      </c>
      <c r="G182" s="107" t="n">
        <v>4.5</v>
      </c>
      <c r="H182" s="107" t="n">
        <v>3.1</v>
      </c>
      <c r="I182" s="107" t="n">
        <v>4.8</v>
      </c>
      <c r="J182" s="107" t="n">
        <v>6.767</v>
      </c>
      <c r="K182" s="107" t="s">
        <v>971</v>
      </c>
      <c r="L182" s="108" t="s">
        <v>101</v>
      </c>
      <c r="M182" s="107" t="s">
        <v>107</v>
      </c>
      <c r="N182" s="108" t="s">
        <v>959</v>
      </c>
      <c r="O182" s="107" t="s">
        <v>1110</v>
      </c>
      <c r="P182" s="107" t="n">
        <v>9</v>
      </c>
      <c r="Q182" s="107" t="n">
        <v>-18879.93</v>
      </c>
      <c r="R182" s="107" t="s">
        <v>1104</v>
      </c>
    </row>
    <row r="183" customFormat="false" ht="15" hidden="false" customHeight="false" outlineLevel="0" collapsed="false">
      <c r="A183" s="107" t="s">
        <v>686</v>
      </c>
      <c r="B183" s="107" t="s">
        <v>114</v>
      </c>
      <c r="C183" s="107" t="n">
        <v>5.689</v>
      </c>
      <c r="D183" s="107" t="n">
        <v>68.865</v>
      </c>
      <c r="E183" s="107" t="n">
        <v>97.501</v>
      </c>
      <c r="F183" s="107" t="n">
        <v>-1.1</v>
      </c>
      <c r="G183" s="107" t="n">
        <v>4.7</v>
      </c>
      <c r="H183" s="107" t="n">
        <v>-6.4</v>
      </c>
      <c r="I183" s="107" t="n">
        <v>-11.2</v>
      </c>
      <c r="J183" s="107" t="n">
        <v>2.38</v>
      </c>
      <c r="K183" s="107" t="s">
        <v>964</v>
      </c>
      <c r="L183" s="108" t="s">
        <v>101</v>
      </c>
      <c r="M183" s="107" t="s">
        <v>107</v>
      </c>
      <c r="N183" s="108" t="s">
        <v>959</v>
      </c>
      <c r="O183" s="107" t="n">
        <v>34578</v>
      </c>
      <c r="P183" s="107" t="n">
        <v>3</v>
      </c>
      <c r="Q183" s="107" t="n">
        <v>4569.6</v>
      </c>
      <c r="R183" s="107" t="s">
        <v>1104</v>
      </c>
    </row>
    <row r="184" customFormat="false" ht="15" hidden="false" customHeight="false" outlineLevel="0" collapsed="false">
      <c r="A184" s="107" t="s">
        <v>1111</v>
      </c>
      <c r="B184" s="107" t="s">
        <v>114</v>
      </c>
      <c r="C184" s="107" t="n">
        <v>6.622</v>
      </c>
      <c r="D184" s="107" t="n">
        <v>133.507</v>
      </c>
      <c r="E184" s="107" t="n">
        <v>179.393</v>
      </c>
      <c r="F184" s="107" t="n">
        <v>0.2</v>
      </c>
      <c r="G184" s="107" t="n">
        <v>3.8</v>
      </c>
      <c r="H184" s="107" t="n">
        <v>0.8</v>
      </c>
      <c r="I184" s="107" t="n">
        <v>2.4</v>
      </c>
      <c r="J184" s="107" t="n">
        <v>7.347</v>
      </c>
      <c r="K184" s="107" t="s">
        <v>971</v>
      </c>
      <c r="L184" s="108" t="s">
        <v>101</v>
      </c>
      <c r="M184" s="107" t="s">
        <v>107</v>
      </c>
      <c r="N184" s="108" t="s">
        <v>959</v>
      </c>
      <c r="O184" s="107" t="n">
        <v>34507</v>
      </c>
      <c r="P184" s="107" t="n">
        <v>9</v>
      </c>
      <c r="Q184" s="107" t="n">
        <v>-5289.84</v>
      </c>
      <c r="R184" s="107" t="s">
        <v>1104</v>
      </c>
    </row>
    <row r="185" customFormat="false" ht="15" hidden="false" customHeight="false" outlineLevel="0" collapsed="false">
      <c r="A185" s="107" t="s">
        <v>1112</v>
      </c>
      <c r="B185" s="107" t="s">
        <v>114</v>
      </c>
      <c r="C185" s="107" t="n">
        <v>5.497</v>
      </c>
      <c r="D185" s="107" t="n">
        <v>49.669</v>
      </c>
      <c r="E185" s="107" t="n">
        <v>78.035</v>
      </c>
      <c r="F185" s="107" t="n">
        <v>-1.6</v>
      </c>
      <c r="G185" s="107" t="n">
        <v>8.6</v>
      </c>
      <c r="H185" s="107" t="n">
        <v>-0.4</v>
      </c>
      <c r="I185" s="107" t="n">
        <v>-7.8</v>
      </c>
      <c r="J185" s="107" t="n">
        <v>2.364</v>
      </c>
      <c r="K185" s="107" t="s">
        <v>964</v>
      </c>
      <c r="L185" s="108" t="s">
        <v>96</v>
      </c>
      <c r="M185" s="107" t="s">
        <v>377</v>
      </c>
      <c r="N185" s="108" t="s">
        <v>959</v>
      </c>
      <c r="O185" s="107" t="s">
        <v>1001</v>
      </c>
      <c r="P185" s="107" t="n">
        <v>18</v>
      </c>
      <c r="Q185" s="107" t="n">
        <v>1702.08</v>
      </c>
      <c r="R185" s="107" t="s">
        <v>1113</v>
      </c>
    </row>
    <row r="186" customFormat="false" ht="15" hidden="false" customHeight="false" outlineLevel="0" collapsed="false">
      <c r="A186" s="107" t="s">
        <v>868</v>
      </c>
      <c r="B186" s="107" t="s">
        <v>114</v>
      </c>
      <c r="C186" s="107" t="n">
        <v>4.32</v>
      </c>
      <c r="D186" s="2"/>
      <c r="E186" s="2"/>
      <c r="F186" s="107" t="n">
        <v>-2.7</v>
      </c>
      <c r="G186" s="107" t="n">
        <v>-1.6</v>
      </c>
      <c r="H186" s="107" t="n">
        <v>-12.4</v>
      </c>
      <c r="I186" s="107" t="n">
        <v>-27.3</v>
      </c>
      <c r="J186" s="107" t="n">
        <v>0.008</v>
      </c>
      <c r="K186" s="107" t="s">
        <v>982</v>
      </c>
      <c r="L186" s="108" t="s">
        <v>94</v>
      </c>
      <c r="M186" s="107" t="s">
        <v>367</v>
      </c>
      <c r="N186" s="108" t="s">
        <v>959</v>
      </c>
      <c r="O186" s="107" t="n">
        <v>42003</v>
      </c>
      <c r="P186" s="107" t="n">
        <v>1</v>
      </c>
      <c r="Q186" s="107" t="n">
        <v>9.92</v>
      </c>
      <c r="R186" s="107" t="s">
        <v>1033</v>
      </c>
    </row>
    <row r="187" customFormat="false" ht="15" hidden="false" customHeight="false" outlineLevel="0" collapsed="false">
      <c r="A187" s="107" t="s">
        <v>1114</v>
      </c>
      <c r="B187" s="107" t="s">
        <v>114</v>
      </c>
      <c r="C187" s="107" t="n">
        <v>5.277</v>
      </c>
      <c r="D187" s="107" t="n">
        <v>27.633</v>
      </c>
      <c r="E187" s="107" t="n">
        <v>54.91</v>
      </c>
      <c r="F187" s="107" t="n">
        <v>-1.1</v>
      </c>
      <c r="G187" s="107" t="n">
        <v>0.1</v>
      </c>
      <c r="H187" s="107" t="n">
        <v>-4.4</v>
      </c>
      <c r="I187" s="107" t="n">
        <v>-11.4</v>
      </c>
      <c r="J187" s="107" t="n">
        <v>2.635</v>
      </c>
      <c r="K187" s="107" t="s">
        <v>964</v>
      </c>
      <c r="L187" s="108" t="s">
        <v>94</v>
      </c>
      <c r="M187" s="107" t="s">
        <v>367</v>
      </c>
      <c r="N187" s="108" t="s">
        <v>959</v>
      </c>
      <c r="O187" s="107" t="n">
        <v>42003</v>
      </c>
      <c r="P187" s="107" t="n">
        <v>1</v>
      </c>
      <c r="Q187" s="107" t="n">
        <v>1159.4</v>
      </c>
      <c r="R187" s="107" t="s">
        <v>1033</v>
      </c>
    </row>
    <row r="188" customFormat="false" ht="15" hidden="false" customHeight="false" outlineLevel="0" collapsed="false">
      <c r="A188" s="107" t="s">
        <v>1115</v>
      </c>
      <c r="B188" s="107" t="s">
        <v>114</v>
      </c>
      <c r="C188" s="107" t="n">
        <v>5.353</v>
      </c>
      <c r="D188" s="107" t="n">
        <v>26.638</v>
      </c>
      <c r="E188" s="107" t="n">
        <v>60.954</v>
      </c>
      <c r="F188" s="107" t="n">
        <v>-0.1</v>
      </c>
      <c r="G188" s="107" t="n">
        <v>4.8</v>
      </c>
      <c r="H188" s="107" t="n">
        <v>-2.3</v>
      </c>
      <c r="I188" s="107" t="n">
        <v>-0.3</v>
      </c>
      <c r="J188" s="107" t="n">
        <v>3.509</v>
      </c>
      <c r="K188" s="107" t="s">
        <v>956</v>
      </c>
      <c r="L188" s="108" t="s">
        <v>94</v>
      </c>
      <c r="M188" s="107" t="s">
        <v>367</v>
      </c>
      <c r="N188" s="108" t="s">
        <v>959</v>
      </c>
      <c r="O188" s="107" t="n">
        <v>42003</v>
      </c>
      <c r="P188" s="107" t="n">
        <v>5.5</v>
      </c>
      <c r="Q188" s="107" t="n">
        <v>4438.885</v>
      </c>
      <c r="R188" s="107" t="s">
        <v>1033</v>
      </c>
    </row>
    <row r="189" customFormat="false" ht="15" hidden="false" customHeight="false" outlineLevel="0" collapsed="false">
      <c r="A189" s="107" t="s">
        <v>875</v>
      </c>
      <c r="B189" s="107" t="s">
        <v>114</v>
      </c>
      <c r="C189" s="107" t="n">
        <v>4.458</v>
      </c>
      <c r="D189" s="2"/>
      <c r="E189" s="2"/>
      <c r="F189" s="107" t="n">
        <v>-14.6</v>
      </c>
      <c r="G189" s="107" t="n">
        <v>-13.2</v>
      </c>
      <c r="H189" s="107" t="n">
        <v>-18.1</v>
      </c>
      <c r="I189" s="107" t="n">
        <v>-34.4</v>
      </c>
      <c r="J189" s="107" t="n">
        <v>0.008</v>
      </c>
      <c r="K189" s="107" t="s">
        <v>956</v>
      </c>
      <c r="L189" s="108" t="s">
        <v>94</v>
      </c>
      <c r="M189" s="107" t="s">
        <v>367</v>
      </c>
      <c r="N189" s="108" t="s">
        <v>959</v>
      </c>
      <c r="O189" s="107" t="s">
        <v>966</v>
      </c>
      <c r="P189" s="107" t="n">
        <v>0.2</v>
      </c>
      <c r="Q189" s="107" t="n">
        <v>2.896</v>
      </c>
      <c r="R189" s="107" t="s">
        <v>1033</v>
      </c>
    </row>
    <row r="190" customFormat="false" ht="15" hidden="false" customHeight="false" outlineLevel="0" collapsed="false">
      <c r="A190" s="107" t="s">
        <v>1116</v>
      </c>
      <c r="B190" s="107" t="s">
        <v>114</v>
      </c>
      <c r="C190" s="107" t="n">
        <v>5.46</v>
      </c>
      <c r="D190" s="107" t="n">
        <v>37.296</v>
      </c>
      <c r="E190" s="107" t="n">
        <v>70.709</v>
      </c>
      <c r="F190" s="107" t="n">
        <v>0.6</v>
      </c>
      <c r="G190" s="107" t="n">
        <v>5.5</v>
      </c>
      <c r="H190" s="107" t="n">
        <v>-4</v>
      </c>
      <c r="I190" s="107" t="n">
        <v>-8.3</v>
      </c>
      <c r="J190" s="107" t="n">
        <v>4.318</v>
      </c>
      <c r="K190" s="107" t="s">
        <v>956</v>
      </c>
      <c r="L190" s="108" t="s">
        <v>94</v>
      </c>
      <c r="M190" s="107" t="s">
        <v>367</v>
      </c>
      <c r="N190" s="108" t="s">
        <v>959</v>
      </c>
      <c r="O190" s="107" t="s">
        <v>966</v>
      </c>
      <c r="P190" s="107" t="n">
        <v>0.2</v>
      </c>
      <c r="Q190" s="107" t="n">
        <v>345.44</v>
      </c>
      <c r="R190" s="107" t="s">
        <v>1033</v>
      </c>
    </row>
    <row r="191" customFormat="false" ht="15" hidden="false" customHeight="false" outlineLevel="0" collapsed="false">
      <c r="A191" s="107" t="s">
        <v>1117</v>
      </c>
      <c r="B191" s="107" t="s">
        <v>114</v>
      </c>
      <c r="C191" s="107" t="n">
        <v>5.811</v>
      </c>
      <c r="D191" s="107" t="n">
        <v>72.436</v>
      </c>
      <c r="E191" s="107" t="n">
        <v>106.943</v>
      </c>
      <c r="F191" s="107" t="n">
        <v>-0.1</v>
      </c>
      <c r="G191" s="107" t="n">
        <v>5.2</v>
      </c>
      <c r="H191" s="107" t="n">
        <v>2.4</v>
      </c>
      <c r="I191" s="107" t="n">
        <v>3.9</v>
      </c>
      <c r="J191" s="107" t="n">
        <v>3.259</v>
      </c>
      <c r="K191" s="107" t="s">
        <v>956</v>
      </c>
      <c r="L191" s="108" t="s">
        <v>99</v>
      </c>
      <c r="M191" s="107" t="s">
        <v>377</v>
      </c>
      <c r="N191" s="108" t="s">
        <v>959</v>
      </c>
      <c r="O191" s="107" t="s">
        <v>1118</v>
      </c>
      <c r="P191" s="107" t="n">
        <v>22.6</v>
      </c>
      <c r="Q191" s="107" t="n">
        <v>-17676.816</v>
      </c>
      <c r="R191" s="107" t="s">
        <v>1119</v>
      </c>
    </row>
    <row r="192" customFormat="false" ht="15" hidden="false" customHeight="false" outlineLevel="0" collapsed="false">
      <c r="A192" s="107" t="s">
        <v>1120</v>
      </c>
      <c r="B192" s="107" t="s">
        <v>114</v>
      </c>
      <c r="C192" s="107" t="n">
        <v>6.256</v>
      </c>
      <c r="D192" s="107" t="n">
        <v>96.877</v>
      </c>
      <c r="E192" s="107" t="n">
        <v>144.621</v>
      </c>
      <c r="F192" s="107" t="n">
        <v>0.6</v>
      </c>
      <c r="G192" s="107" t="n">
        <v>2.5</v>
      </c>
      <c r="H192" s="107" t="n">
        <v>0</v>
      </c>
      <c r="I192" s="107" t="n">
        <v>3.4</v>
      </c>
      <c r="J192" s="107" t="n">
        <v>6.708</v>
      </c>
      <c r="K192" s="107" t="s">
        <v>971</v>
      </c>
      <c r="L192" s="108" t="s">
        <v>99</v>
      </c>
      <c r="M192" s="107" t="s">
        <v>377</v>
      </c>
      <c r="N192" s="108" t="s">
        <v>959</v>
      </c>
      <c r="O192" s="107" t="n">
        <v>38038</v>
      </c>
      <c r="P192" s="107" t="n">
        <v>10</v>
      </c>
      <c r="Q192" s="107" t="n">
        <v>0</v>
      </c>
      <c r="R192" s="107" t="s">
        <v>1119</v>
      </c>
    </row>
    <row r="193" customFormat="false" ht="15" hidden="false" customHeight="false" outlineLevel="0" collapsed="false">
      <c r="A193" s="107" t="s">
        <v>1121</v>
      </c>
      <c r="B193" s="107" t="s">
        <v>114</v>
      </c>
      <c r="C193" s="107" t="n">
        <v>5.439</v>
      </c>
      <c r="D193" s="107" t="n">
        <v>35.234</v>
      </c>
      <c r="E193" s="107" t="n">
        <v>68.902</v>
      </c>
      <c r="F193" s="107" t="n">
        <v>0.9</v>
      </c>
      <c r="G193" s="107" t="n">
        <v>5.9</v>
      </c>
      <c r="H193" s="107" t="n">
        <v>0.5</v>
      </c>
      <c r="I193" s="107" t="n">
        <v>0.6</v>
      </c>
      <c r="J193" s="107" t="n">
        <v>4.054</v>
      </c>
      <c r="K193" s="107" t="s">
        <v>956</v>
      </c>
      <c r="L193" s="108" t="s">
        <v>94</v>
      </c>
      <c r="M193" s="107" t="s">
        <v>367</v>
      </c>
      <c r="N193" s="108" t="s">
        <v>959</v>
      </c>
      <c r="O193" s="107" t="n">
        <v>42003</v>
      </c>
      <c r="P193" s="107" t="n">
        <v>0.2</v>
      </c>
      <c r="Q193" s="107" t="n">
        <v>-40.54</v>
      </c>
      <c r="R193" s="107" t="s">
        <v>967</v>
      </c>
    </row>
    <row r="194" customFormat="false" ht="15" hidden="false" customHeight="false" outlineLevel="0" collapsed="false">
      <c r="A194" s="107" t="s">
        <v>1122</v>
      </c>
      <c r="B194" s="107" t="s">
        <v>114</v>
      </c>
      <c r="C194" s="107" t="n">
        <v>5.379</v>
      </c>
      <c r="D194" s="107" t="n">
        <v>48.966</v>
      </c>
      <c r="E194" s="107" t="n">
        <v>81.232</v>
      </c>
      <c r="F194" s="107" t="n">
        <v>-1.4</v>
      </c>
      <c r="G194" s="107" t="n">
        <v>20.4</v>
      </c>
      <c r="H194" s="107" t="n">
        <v>6.4</v>
      </c>
      <c r="I194" s="107" t="n">
        <v>0.9</v>
      </c>
      <c r="J194" s="107" t="n">
        <v>1.25</v>
      </c>
      <c r="K194" s="107" t="s">
        <v>964</v>
      </c>
      <c r="L194" s="108" t="s">
        <v>99</v>
      </c>
      <c r="M194" s="107" t="s">
        <v>377</v>
      </c>
      <c r="N194" s="108" t="s">
        <v>959</v>
      </c>
      <c r="O194" s="107" t="n">
        <v>28096</v>
      </c>
      <c r="P194" s="107" t="n">
        <v>5</v>
      </c>
      <c r="Q194" s="107" t="n">
        <v>-4000</v>
      </c>
      <c r="R194" s="107" t="s">
        <v>1123</v>
      </c>
    </row>
    <row r="195" customFormat="false" ht="15" hidden="false" customHeight="false" outlineLevel="0" collapsed="false">
      <c r="A195" s="107" t="s">
        <v>1124</v>
      </c>
      <c r="B195" s="107" t="s">
        <v>114</v>
      </c>
      <c r="C195" s="107" t="n">
        <v>4.836</v>
      </c>
      <c r="D195" s="107" t="n">
        <v>-5.276</v>
      </c>
      <c r="E195" s="107" t="n">
        <v>75.363</v>
      </c>
      <c r="F195" s="107" t="n">
        <v>2.1</v>
      </c>
      <c r="G195" s="107" t="n">
        <v>-0.7</v>
      </c>
      <c r="H195" s="107" t="n">
        <v>-15.9</v>
      </c>
      <c r="I195" s="107" t="n">
        <v>-37.3</v>
      </c>
      <c r="J195" s="107" t="n">
        <v>0.308</v>
      </c>
      <c r="K195" s="107" t="s">
        <v>982</v>
      </c>
      <c r="L195" s="108" t="s">
        <v>99</v>
      </c>
      <c r="M195" s="107" t="s">
        <v>377</v>
      </c>
      <c r="N195" s="108" t="s">
        <v>959</v>
      </c>
      <c r="O195" s="107" t="n">
        <v>38168</v>
      </c>
      <c r="P195" s="107" t="n">
        <v>0.2</v>
      </c>
      <c r="Q195" s="107" t="n">
        <v>97.944</v>
      </c>
      <c r="R195" s="107" t="s">
        <v>1123</v>
      </c>
    </row>
    <row r="196" customFormat="false" ht="15" hidden="false" customHeight="false" outlineLevel="0" collapsed="false">
      <c r="A196" s="107" t="s">
        <v>1125</v>
      </c>
      <c r="B196" s="107" t="s">
        <v>114</v>
      </c>
      <c r="C196" s="107" t="n">
        <v>5.801</v>
      </c>
      <c r="D196" s="107" t="n">
        <v>71.457</v>
      </c>
      <c r="E196" s="107" t="n">
        <v>105.329</v>
      </c>
      <c r="F196" s="107" t="n">
        <v>-0.3</v>
      </c>
      <c r="G196" s="107" t="n">
        <v>6</v>
      </c>
      <c r="H196" s="107" t="n">
        <v>0.6</v>
      </c>
      <c r="I196" s="107" t="n">
        <v>0.1</v>
      </c>
      <c r="J196" s="107" t="n">
        <v>3.9</v>
      </c>
      <c r="K196" s="107" t="s">
        <v>956</v>
      </c>
      <c r="L196" s="108" t="s">
        <v>99</v>
      </c>
      <c r="M196" s="107" t="s">
        <v>377</v>
      </c>
      <c r="N196" s="108" t="s">
        <v>959</v>
      </c>
      <c r="O196" s="107" t="n">
        <v>34507</v>
      </c>
      <c r="P196" s="107" t="n">
        <v>0.2</v>
      </c>
      <c r="Q196" s="107" t="n">
        <v>-46.8</v>
      </c>
      <c r="R196" s="107" t="s">
        <v>1123</v>
      </c>
    </row>
    <row r="197" customFormat="false" ht="15" hidden="false" customHeight="false" outlineLevel="0" collapsed="false">
      <c r="A197" s="107" t="s">
        <v>601</v>
      </c>
      <c r="B197" s="107" t="s">
        <v>114</v>
      </c>
      <c r="C197" s="107" t="n">
        <v>6.238</v>
      </c>
      <c r="D197" s="107" t="n">
        <v>95.061</v>
      </c>
      <c r="E197" s="107" t="n">
        <v>141.38</v>
      </c>
      <c r="F197" s="107" t="n">
        <v>0.7</v>
      </c>
      <c r="G197" s="107" t="n">
        <v>5.3</v>
      </c>
      <c r="H197" s="107" t="n">
        <v>-0.9</v>
      </c>
      <c r="I197" s="107" t="n">
        <v>4.5</v>
      </c>
      <c r="J197" s="107" t="n">
        <v>7.363</v>
      </c>
      <c r="K197" s="107" t="s">
        <v>971</v>
      </c>
      <c r="L197" s="108" t="s">
        <v>99</v>
      </c>
      <c r="M197" s="107" t="s">
        <v>377</v>
      </c>
      <c r="N197" s="108" t="s">
        <v>959</v>
      </c>
      <c r="O197" s="107" t="s">
        <v>1066</v>
      </c>
      <c r="P197" s="107" t="n">
        <v>20.2</v>
      </c>
      <c r="Q197" s="107" t="n">
        <v>13385.934</v>
      </c>
      <c r="R197" s="107" t="s">
        <v>1123</v>
      </c>
    </row>
    <row r="198" customFormat="false" ht="15" hidden="false" customHeight="false" outlineLevel="0" collapsed="false">
      <c r="A198" s="107" t="s">
        <v>1126</v>
      </c>
      <c r="B198" s="107" t="s">
        <v>114</v>
      </c>
      <c r="C198" s="107" t="n">
        <v>6.111</v>
      </c>
      <c r="D198" s="107" t="n">
        <v>102.421</v>
      </c>
      <c r="E198" s="107" t="n">
        <v>135.893</v>
      </c>
      <c r="F198" s="107" t="n">
        <v>-0.1</v>
      </c>
      <c r="G198" s="107" t="n">
        <v>2.1</v>
      </c>
      <c r="H198" s="107" t="n">
        <v>-4.7</v>
      </c>
      <c r="I198" s="107" t="n">
        <v>2.3</v>
      </c>
      <c r="J198" s="107" t="n">
        <v>4.202</v>
      </c>
      <c r="K198" s="107" t="s">
        <v>956</v>
      </c>
      <c r="L198" s="108" t="s">
        <v>99</v>
      </c>
      <c r="M198" s="107" t="s">
        <v>107</v>
      </c>
      <c r="N198" s="108" t="s">
        <v>959</v>
      </c>
      <c r="O198" s="107" t="n">
        <v>28096</v>
      </c>
      <c r="P198" s="107" t="n">
        <v>15</v>
      </c>
      <c r="Q198" s="107" t="n">
        <v>29624.1</v>
      </c>
      <c r="R198" s="107" t="s">
        <v>1127</v>
      </c>
    </row>
    <row r="199" customFormat="false" ht="15" hidden="false" customHeight="false" outlineLevel="0" collapsed="false">
      <c r="A199" s="107" t="s">
        <v>1128</v>
      </c>
      <c r="B199" s="107" t="s">
        <v>114</v>
      </c>
      <c r="C199" s="107" t="n">
        <v>5.584</v>
      </c>
      <c r="D199" s="107" t="n">
        <v>49.756</v>
      </c>
      <c r="E199" s="107" t="n">
        <v>84.05</v>
      </c>
      <c r="F199" s="107" t="n">
        <v>-0.6</v>
      </c>
      <c r="G199" s="107" t="n">
        <v>10.6</v>
      </c>
      <c r="H199" s="107" t="n">
        <v>2.2</v>
      </c>
      <c r="I199" s="107" t="n">
        <v>-1.7</v>
      </c>
      <c r="J199" s="107" t="n">
        <v>3.526</v>
      </c>
      <c r="K199" s="107" t="s">
        <v>956</v>
      </c>
      <c r="L199" s="108" t="s">
        <v>94</v>
      </c>
      <c r="M199" s="107" t="s">
        <v>106</v>
      </c>
      <c r="N199" s="108" t="s">
        <v>959</v>
      </c>
      <c r="O199" s="107" t="n">
        <v>42003</v>
      </c>
      <c r="P199" s="107" t="n">
        <v>8</v>
      </c>
      <c r="Q199" s="107" t="n">
        <v>-6205.76</v>
      </c>
      <c r="R199" s="107" t="s">
        <v>1129</v>
      </c>
    </row>
    <row r="200" customFormat="false" ht="15" hidden="false" customHeight="false" outlineLevel="0" collapsed="false">
      <c r="A200" s="107" t="s">
        <v>1130</v>
      </c>
      <c r="B200" s="107" t="s">
        <v>114</v>
      </c>
      <c r="C200" s="107" t="n">
        <v>5.735</v>
      </c>
      <c r="D200" s="107" t="n">
        <v>64.862</v>
      </c>
      <c r="E200" s="107" t="n">
        <v>98.727</v>
      </c>
      <c r="F200" s="107" t="n">
        <v>-0.2</v>
      </c>
      <c r="G200" s="107" t="n">
        <v>2</v>
      </c>
      <c r="H200" s="107" t="n">
        <v>2.6</v>
      </c>
      <c r="I200" s="107" t="n">
        <v>15.9</v>
      </c>
      <c r="J200" s="107" t="n">
        <v>4.073</v>
      </c>
      <c r="K200" s="107" t="s">
        <v>956</v>
      </c>
      <c r="L200" s="108" t="s">
        <v>96</v>
      </c>
      <c r="M200" s="107" t="s">
        <v>374</v>
      </c>
      <c r="N200" s="108" t="s">
        <v>959</v>
      </c>
      <c r="O200" s="107" t="n">
        <v>28096</v>
      </c>
      <c r="P200" s="107" t="n">
        <v>34</v>
      </c>
      <c r="Q200" s="107" t="n">
        <v>-36005.32</v>
      </c>
      <c r="R200" s="107" t="s">
        <v>1131</v>
      </c>
    </row>
    <row r="201" customFormat="false" ht="15" hidden="false" customHeight="false" outlineLevel="0" collapsed="false">
      <c r="A201" s="107" t="s">
        <v>1132</v>
      </c>
      <c r="B201" s="107" t="s">
        <v>114</v>
      </c>
      <c r="C201" s="107" t="n">
        <v>5.253</v>
      </c>
      <c r="D201" s="107" t="n">
        <v>36.357</v>
      </c>
      <c r="E201" s="107" t="n">
        <v>68.623</v>
      </c>
      <c r="F201" s="107" t="n">
        <v>-0.8</v>
      </c>
      <c r="G201" s="107" t="n">
        <v>4.5</v>
      </c>
      <c r="H201" s="107" t="n">
        <v>0.3</v>
      </c>
      <c r="I201" s="107" t="n">
        <v>-4.2</v>
      </c>
      <c r="J201" s="107" t="n">
        <v>1.246</v>
      </c>
      <c r="K201" s="107" t="s">
        <v>964</v>
      </c>
      <c r="L201" s="108" t="s">
        <v>96</v>
      </c>
      <c r="M201" s="107" t="s">
        <v>374</v>
      </c>
      <c r="N201" s="108" t="s">
        <v>959</v>
      </c>
      <c r="O201" s="107" t="n">
        <v>28096</v>
      </c>
      <c r="P201" s="107" t="n">
        <v>16.8</v>
      </c>
      <c r="Q201" s="107" t="n">
        <v>-627.984</v>
      </c>
      <c r="R201" s="107" t="s">
        <v>1131</v>
      </c>
    </row>
    <row r="202" customFormat="false" ht="15" hidden="false" customHeight="false" outlineLevel="0" collapsed="false">
      <c r="A202" s="107" t="s">
        <v>1133</v>
      </c>
      <c r="B202" s="107" t="s">
        <v>114</v>
      </c>
      <c r="C202" s="107" t="n">
        <v>5.909</v>
      </c>
      <c r="D202" s="107" t="n">
        <v>62.161</v>
      </c>
      <c r="E202" s="107" t="n">
        <v>113.723</v>
      </c>
      <c r="F202" s="107" t="n">
        <v>0.5</v>
      </c>
      <c r="G202" s="107" t="n">
        <v>2.4</v>
      </c>
      <c r="H202" s="107" t="n">
        <v>2.6</v>
      </c>
      <c r="I202" s="107" t="n">
        <v>13.3</v>
      </c>
      <c r="J202" s="107" t="n">
        <v>5.215</v>
      </c>
      <c r="K202" s="107" t="s">
        <v>962</v>
      </c>
      <c r="L202" s="108" t="s">
        <v>96</v>
      </c>
      <c r="M202" s="107" t="s">
        <v>374</v>
      </c>
      <c r="N202" s="108" t="s">
        <v>959</v>
      </c>
      <c r="O202" s="107" t="s">
        <v>1068</v>
      </c>
      <c r="P202" s="107" t="n">
        <v>13</v>
      </c>
      <c r="Q202" s="107" t="n">
        <v>-17626.7</v>
      </c>
      <c r="R202" s="107" t="s">
        <v>1131</v>
      </c>
    </row>
    <row r="203" customFormat="false" ht="15" hidden="false" customHeight="false" outlineLevel="0" collapsed="false">
      <c r="A203" s="107" t="s">
        <v>1134</v>
      </c>
      <c r="B203" s="107" t="s">
        <v>114</v>
      </c>
      <c r="C203" s="107" t="n">
        <v>5.471</v>
      </c>
      <c r="D203" s="107" t="n">
        <v>47.125</v>
      </c>
      <c r="E203" s="107" t="n">
        <v>76.692</v>
      </c>
      <c r="F203" s="107" t="n">
        <v>-1.2</v>
      </c>
      <c r="G203" s="107" t="n">
        <v>0.5</v>
      </c>
      <c r="H203" s="107" t="n">
        <v>-3.7</v>
      </c>
      <c r="I203" s="107" t="n">
        <v>2.3</v>
      </c>
      <c r="J203" s="107" t="n">
        <v>2.159</v>
      </c>
      <c r="K203" s="107" t="s">
        <v>964</v>
      </c>
      <c r="L203" s="108" t="s">
        <v>96</v>
      </c>
      <c r="M203" s="107" t="s">
        <v>374</v>
      </c>
      <c r="N203" s="108" t="s">
        <v>959</v>
      </c>
      <c r="O203" s="107" t="n">
        <v>28096</v>
      </c>
      <c r="P203" s="107" t="n">
        <v>3.9</v>
      </c>
      <c r="Q203" s="107" t="n">
        <v>3115.437</v>
      </c>
      <c r="R203" s="107" t="s">
        <v>1131</v>
      </c>
    </row>
    <row r="204" customFormat="false" ht="15" hidden="false" customHeight="false" outlineLevel="0" collapsed="false">
      <c r="A204" s="107" t="s">
        <v>1135</v>
      </c>
      <c r="B204" s="107" t="s">
        <v>114</v>
      </c>
      <c r="C204" s="107" t="n">
        <v>5.364</v>
      </c>
      <c r="D204" s="107" t="n">
        <v>47.464</v>
      </c>
      <c r="E204" s="107" t="n">
        <v>68.082</v>
      </c>
      <c r="F204" s="107" t="n">
        <v>0.5</v>
      </c>
      <c r="G204" s="107" t="n">
        <v>5.6</v>
      </c>
      <c r="H204" s="107" t="n">
        <v>2.9</v>
      </c>
      <c r="I204" s="107" t="n">
        <v>3</v>
      </c>
      <c r="J204" s="107" t="n">
        <v>1.879</v>
      </c>
      <c r="K204" s="107" t="s">
        <v>964</v>
      </c>
      <c r="L204" s="108" t="s">
        <v>96</v>
      </c>
      <c r="M204" s="107" t="s">
        <v>374</v>
      </c>
      <c r="N204" s="108" t="s">
        <v>959</v>
      </c>
      <c r="O204" s="107" t="n">
        <v>34507</v>
      </c>
      <c r="P204" s="107" t="n">
        <v>0.2</v>
      </c>
      <c r="Q204" s="107" t="n">
        <v>-108.982</v>
      </c>
      <c r="R204" s="107" t="s">
        <v>1131</v>
      </c>
    </row>
    <row r="205" customFormat="false" ht="15" hidden="false" customHeight="false" outlineLevel="0" collapsed="false">
      <c r="A205" s="107" t="s">
        <v>1136</v>
      </c>
      <c r="B205" s="107" t="s">
        <v>114</v>
      </c>
      <c r="C205" s="107" t="n">
        <v>5.683</v>
      </c>
      <c r="D205" s="107" t="n">
        <v>59.661</v>
      </c>
      <c r="E205" s="107" t="n">
        <v>93.845</v>
      </c>
      <c r="F205" s="107" t="n">
        <v>-0.5</v>
      </c>
      <c r="G205" s="107" t="n">
        <v>2.7</v>
      </c>
      <c r="H205" s="107" t="n">
        <v>0.9</v>
      </c>
      <c r="I205" s="107" t="n">
        <v>10.9</v>
      </c>
      <c r="J205" s="107" t="n">
        <v>3.646</v>
      </c>
      <c r="K205" s="107" t="s">
        <v>956</v>
      </c>
      <c r="L205" s="108" t="s">
        <v>96</v>
      </c>
      <c r="M205" s="107" t="s">
        <v>374</v>
      </c>
      <c r="N205" s="108" t="s">
        <v>959</v>
      </c>
      <c r="O205" s="107" t="n">
        <v>28096</v>
      </c>
      <c r="P205" s="107" t="n">
        <v>7.5</v>
      </c>
      <c r="Q205" s="107" t="n">
        <v>-2461.05</v>
      </c>
      <c r="R205" s="107" t="s">
        <v>1131</v>
      </c>
    </row>
    <row r="206" customFormat="false" ht="15" hidden="false" customHeight="false" outlineLevel="0" collapsed="false">
      <c r="A206" s="107" t="s">
        <v>1137</v>
      </c>
      <c r="B206" s="107" t="s">
        <v>114</v>
      </c>
      <c r="C206" s="107" t="n">
        <v>5.357</v>
      </c>
      <c r="D206" s="107" t="n">
        <v>27.038</v>
      </c>
      <c r="E206" s="107" t="n">
        <v>60.884</v>
      </c>
      <c r="F206" s="107" t="n">
        <v>-0.3</v>
      </c>
      <c r="G206" s="107" t="n">
        <v>-3.5</v>
      </c>
      <c r="H206" s="107" t="n">
        <v>-1.4</v>
      </c>
      <c r="I206" s="107" t="n">
        <v>-2.3</v>
      </c>
      <c r="J206" s="107" t="n">
        <v>3.962</v>
      </c>
      <c r="K206" s="107" t="s">
        <v>956</v>
      </c>
      <c r="L206" s="108" t="s">
        <v>94</v>
      </c>
      <c r="M206" s="107" t="s">
        <v>367</v>
      </c>
      <c r="N206" s="108" t="s">
        <v>959</v>
      </c>
      <c r="O206" s="107" t="n">
        <v>42003</v>
      </c>
      <c r="P206" s="107" t="n">
        <v>0.2</v>
      </c>
      <c r="Q206" s="107" t="n">
        <v>110.936</v>
      </c>
      <c r="R206" s="107" t="s">
        <v>1058</v>
      </c>
    </row>
    <row r="207" customFormat="false" ht="15" hidden="false" customHeight="false" outlineLevel="0" collapsed="false">
      <c r="A207" s="107" t="s">
        <v>888</v>
      </c>
      <c r="B207" s="107" t="s">
        <v>114</v>
      </c>
      <c r="C207" s="107" t="n">
        <v>5.017</v>
      </c>
      <c r="D207" s="107" t="n">
        <v>12.748</v>
      </c>
      <c r="E207" s="107" t="n">
        <v>80.12</v>
      </c>
      <c r="F207" s="107" t="n">
        <v>-3.2</v>
      </c>
      <c r="G207" s="107" t="n">
        <v>0.3</v>
      </c>
      <c r="H207" s="107" t="n">
        <v>-18</v>
      </c>
      <c r="I207" s="107" t="n">
        <v>-25.9</v>
      </c>
      <c r="J207" s="107" t="n">
        <v>0.489</v>
      </c>
      <c r="K207" s="107" t="s">
        <v>982</v>
      </c>
      <c r="L207" s="108" t="s">
        <v>102</v>
      </c>
      <c r="M207" s="2"/>
      <c r="N207" s="108" t="s">
        <v>959</v>
      </c>
      <c r="O207" s="107" t="n">
        <v>42003</v>
      </c>
      <c r="P207" s="107" t="n">
        <v>10</v>
      </c>
      <c r="Q207" s="107" t="n">
        <v>8802</v>
      </c>
      <c r="R207" s="107" t="s">
        <v>965</v>
      </c>
    </row>
    <row r="208" customFormat="false" ht="15" hidden="false" customHeight="false" outlineLevel="0" collapsed="false">
      <c r="A208" s="107" t="s">
        <v>1138</v>
      </c>
      <c r="B208" s="107" t="s">
        <v>114</v>
      </c>
      <c r="C208" s="2"/>
      <c r="D208" s="2"/>
      <c r="E208" s="2"/>
      <c r="F208" s="107" t="n">
        <v>2.9</v>
      </c>
      <c r="G208" s="107" t="n">
        <v>59.8</v>
      </c>
      <c r="H208" s="2"/>
      <c r="I208" s="107" t="n">
        <v>72.8</v>
      </c>
      <c r="J208" s="2"/>
      <c r="K208" s="107" t="s">
        <v>982</v>
      </c>
      <c r="L208" s="108" t="s">
        <v>102</v>
      </c>
      <c r="M208" s="2"/>
      <c r="N208" s="108" t="s">
        <v>959</v>
      </c>
      <c r="O208" s="107" t="n">
        <v>42003</v>
      </c>
      <c r="P208" s="107" t="n">
        <v>0</v>
      </c>
      <c r="Q208" s="107" t="n">
        <v>0</v>
      </c>
      <c r="R208" s="107" t="s">
        <v>965</v>
      </c>
    </row>
    <row r="209" customFormat="false" ht="15" hidden="false" customHeight="false" outlineLevel="0" collapsed="false">
      <c r="A209" s="107" t="s">
        <v>1139</v>
      </c>
      <c r="B209" s="107" t="s">
        <v>114</v>
      </c>
      <c r="C209" s="107" t="n">
        <v>5.554</v>
      </c>
      <c r="D209" s="107" t="n">
        <v>66.478</v>
      </c>
      <c r="E209" s="107" t="n">
        <v>94.282</v>
      </c>
      <c r="F209" s="107" t="n">
        <v>0.4</v>
      </c>
      <c r="G209" s="107" t="n">
        <v>14.1</v>
      </c>
      <c r="H209" s="107" t="n">
        <v>5.4</v>
      </c>
      <c r="I209" s="107" t="n">
        <v>1.5</v>
      </c>
      <c r="J209" s="107" t="n">
        <v>1.442</v>
      </c>
      <c r="K209" s="107" t="s">
        <v>964</v>
      </c>
      <c r="L209" s="108" t="s">
        <v>94</v>
      </c>
      <c r="M209" s="107" t="s">
        <v>377</v>
      </c>
      <c r="N209" s="108" t="s">
        <v>959</v>
      </c>
      <c r="O209" s="107" t="n">
        <v>28096</v>
      </c>
      <c r="P209" s="107" t="n">
        <v>8.8</v>
      </c>
      <c r="Q209" s="107" t="n">
        <v>-6852.384</v>
      </c>
      <c r="R209" s="107" t="s">
        <v>967</v>
      </c>
    </row>
    <row r="210" customFormat="false" ht="15" hidden="false" customHeight="false" outlineLevel="0" collapsed="false">
      <c r="A210" s="107" t="s">
        <v>1140</v>
      </c>
      <c r="B210" s="107" t="s">
        <v>114</v>
      </c>
      <c r="C210" s="107" t="n">
        <v>5.607</v>
      </c>
      <c r="D210" s="107" t="n">
        <v>60.703</v>
      </c>
      <c r="E210" s="107" t="n">
        <v>90.074</v>
      </c>
      <c r="F210" s="107" t="n">
        <v>-1.8</v>
      </c>
      <c r="G210" s="107" t="n">
        <v>0.9</v>
      </c>
      <c r="H210" s="107" t="n">
        <v>-0.5</v>
      </c>
      <c r="I210" s="107" t="n">
        <v>-7.3</v>
      </c>
      <c r="J210" s="107" t="n">
        <v>2.213</v>
      </c>
      <c r="K210" s="107" t="s">
        <v>964</v>
      </c>
      <c r="L210" s="108" t="s">
        <v>94</v>
      </c>
      <c r="M210" s="107" t="s">
        <v>377</v>
      </c>
      <c r="N210" s="108" t="s">
        <v>959</v>
      </c>
      <c r="O210" s="107" t="n">
        <v>28096</v>
      </c>
      <c r="P210" s="107" t="n">
        <v>19.5</v>
      </c>
      <c r="Q210" s="107" t="n">
        <v>2157.675</v>
      </c>
      <c r="R210" s="107" t="s">
        <v>1012</v>
      </c>
    </row>
    <row r="211" customFormat="false" ht="15" hidden="false" customHeight="false" outlineLevel="0" collapsed="false">
      <c r="A211" s="107" t="s">
        <v>1141</v>
      </c>
      <c r="B211" s="107" t="s">
        <v>115</v>
      </c>
      <c r="C211" s="107" t="n">
        <v>3.815</v>
      </c>
      <c r="D211" s="107" t="n">
        <v>57.597</v>
      </c>
      <c r="E211" s="107" t="n">
        <v>24.118</v>
      </c>
      <c r="F211" s="2"/>
      <c r="G211" s="2"/>
      <c r="H211" s="2"/>
      <c r="I211" s="2"/>
      <c r="J211" s="107" t="n">
        <v>2.939</v>
      </c>
      <c r="K211" s="107" t="s">
        <v>964</v>
      </c>
      <c r="L211" s="108" t="s">
        <v>94</v>
      </c>
      <c r="M211" s="107" t="s">
        <v>364</v>
      </c>
      <c r="N211" s="108" t="s">
        <v>959</v>
      </c>
      <c r="O211" s="107" t="n">
        <v>38070</v>
      </c>
      <c r="P211" s="107" t="n">
        <v>3</v>
      </c>
      <c r="Q211" s="107" t="n">
        <v>0</v>
      </c>
      <c r="R211" s="107" t="s">
        <v>1142</v>
      </c>
    </row>
    <row r="212" customFormat="false" ht="15" hidden="false" customHeight="false" outlineLevel="0" collapsed="false">
      <c r="A212" s="107" t="s">
        <v>740</v>
      </c>
      <c r="B212" s="107" t="s">
        <v>115</v>
      </c>
      <c r="C212" s="107" t="n">
        <v>3.956</v>
      </c>
      <c r="D212" s="107" t="n">
        <v>71.727</v>
      </c>
      <c r="E212" s="107" t="n">
        <v>37.938</v>
      </c>
      <c r="F212" s="2"/>
      <c r="G212" s="2"/>
      <c r="H212" s="2"/>
      <c r="I212" s="2"/>
      <c r="J212" s="107" t="n">
        <v>3.079</v>
      </c>
      <c r="K212" s="107" t="s">
        <v>956</v>
      </c>
      <c r="L212" s="108" t="s">
        <v>95</v>
      </c>
      <c r="M212" s="107" t="s">
        <v>106</v>
      </c>
      <c r="N212" s="108" t="s">
        <v>959</v>
      </c>
      <c r="O212" s="107" t="n">
        <v>38070</v>
      </c>
      <c r="P212" s="107" t="n">
        <v>1</v>
      </c>
      <c r="Q212" s="107" t="n">
        <v>0</v>
      </c>
      <c r="R212" s="107" t="s">
        <v>1143</v>
      </c>
    </row>
    <row r="213" customFormat="false" ht="15" hidden="false" customHeight="false" outlineLevel="0" collapsed="false">
      <c r="A213" s="107" t="s">
        <v>741</v>
      </c>
      <c r="B213" s="107" t="s">
        <v>115</v>
      </c>
      <c r="C213" s="107" t="n">
        <v>4.201</v>
      </c>
      <c r="D213" s="107" t="n">
        <v>87.148</v>
      </c>
      <c r="E213" s="107" t="n">
        <v>51.302</v>
      </c>
      <c r="F213" s="2"/>
      <c r="G213" s="2"/>
      <c r="H213" s="2"/>
      <c r="I213" s="2"/>
      <c r="J213" s="107" t="n">
        <v>2.525</v>
      </c>
      <c r="K213" s="107" t="s">
        <v>956</v>
      </c>
      <c r="L213" s="108" t="s">
        <v>94</v>
      </c>
      <c r="M213" s="107" t="s">
        <v>374</v>
      </c>
      <c r="N213" s="108" t="s">
        <v>79</v>
      </c>
      <c r="O213" s="107" t="n">
        <v>38070</v>
      </c>
      <c r="P213" s="107" t="n">
        <v>5</v>
      </c>
      <c r="Q213" s="107" t="n">
        <v>0</v>
      </c>
      <c r="R213" s="107" t="s">
        <v>1053</v>
      </c>
    </row>
    <row r="214" customFormat="false" ht="15" hidden="false" customHeight="false" outlineLevel="0" collapsed="false">
      <c r="A214" s="107" t="s">
        <v>1144</v>
      </c>
      <c r="B214" s="107" t="s">
        <v>114</v>
      </c>
      <c r="C214" s="2"/>
      <c r="D214" s="2"/>
      <c r="E214" s="2"/>
      <c r="F214" s="107" t="n">
        <v>-14.4</v>
      </c>
      <c r="G214" s="107" t="n">
        <v>-5.5</v>
      </c>
      <c r="H214" s="107" t="n">
        <v>-14.8</v>
      </c>
      <c r="I214" s="107" t="n">
        <v>-13.4</v>
      </c>
      <c r="J214" s="2"/>
      <c r="K214" s="107" t="s">
        <v>982</v>
      </c>
      <c r="L214" s="108" t="s">
        <v>100</v>
      </c>
      <c r="M214" s="107" t="s">
        <v>505</v>
      </c>
      <c r="N214" s="108" t="s">
        <v>959</v>
      </c>
      <c r="O214" s="107" t="n">
        <v>42003</v>
      </c>
      <c r="P214" s="107" t="n">
        <v>0</v>
      </c>
      <c r="Q214" s="107" t="n">
        <v>0</v>
      </c>
      <c r="R214" s="107" t="s">
        <v>1145</v>
      </c>
    </row>
    <row r="215" customFormat="false" ht="15" hidden="false" customHeight="false" outlineLevel="0" collapsed="false">
      <c r="A215" s="107" t="s">
        <v>1146</v>
      </c>
      <c r="B215" s="107" t="s">
        <v>114</v>
      </c>
      <c r="C215" s="107" t="n">
        <v>4.708</v>
      </c>
      <c r="D215" s="107" t="n">
        <v>-18.113</v>
      </c>
      <c r="E215" s="107" t="n">
        <v>80.2</v>
      </c>
      <c r="F215" s="107" t="n">
        <v>0</v>
      </c>
      <c r="G215" s="107" t="n">
        <v>-6.6</v>
      </c>
      <c r="H215" s="107" t="n">
        <v>-22.4</v>
      </c>
      <c r="I215" s="107" t="n">
        <v>-53.9</v>
      </c>
      <c r="J215" s="107" t="n">
        <v>0.072</v>
      </c>
      <c r="K215" s="107" t="s">
        <v>982</v>
      </c>
      <c r="L215" s="108" t="s">
        <v>94</v>
      </c>
      <c r="M215" s="107" t="s">
        <v>374</v>
      </c>
      <c r="N215" s="108" t="s">
        <v>959</v>
      </c>
      <c r="O215" s="107" t="n">
        <v>42003</v>
      </c>
      <c r="P215" s="107" t="n">
        <v>2</v>
      </c>
      <c r="Q215" s="107" t="n">
        <v>322.56</v>
      </c>
      <c r="R215" s="107" t="s">
        <v>1147</v>
      </c>
    </row>
    <row r="216" customFormat="false" ht="15" hidden="false" customHeight="false" outlineLevel="0" collapsed="false">
      <c r="A216" s="107" t="s">
        <v>1148</v>
      </c>
      <c r="B216" s="107" t="s">
        <v>114</v>
      </c>
      <c r="C216" s="2"/>
      <c r="D216" s="2"/>
      <c r="E216" s="2"/>
      <c r="F216" s="2"/>
      <c r="G216" s="2"/>
      <c r="H216" s="2"/>
      <c r="I216" s="2"/>
      <c r="J216" s="2"/>
      <c r="K216" s="107" t="s">
        <v>982</v>
      </c>
      <c r="L216" s="108" t="s">
        <v>94</v>
      </c>
      <c r="M216" s="2"/>
      <c r="N216" s="108" t="s">
        <v>90</v>
      </c>
      <c r="O216" s="107" t="n">
        <v>34507</v>
      </c>
      <c r="P216" s="107" t="n">
        <v>0</v>
      </c>
      <c r="Q216" s="107" t="n">
        <v>0</v>
      </c>
      <c r="R216" s="107" t="s">
        <v>1149</v>
      </c>
    </row>
    <row r="217" customFormat="false" ht="15" hidden="false" customHeight="false" outlineLevel="0" collapsed="false">
      <c r="A217" s="107" t="s">
        <v>1150</v>
      </c>
      <c r="B217" s="107" t="s">
        <v>114</v>
      </c>
      <c r="C217" s="107" t="n">
        <v>4.66</v>
      </c>
      <c r="D217" s="107" t="n">
        <v>-22.867</v>
      </c>
      <c r="E217" s="107" t="n">
        <v>44.964</v>
      </c>
      <c r="F217" s="107" t="n">
        <v>-0.9</v>
      </c>
      <c r="G217" s="107" t="n">
        <v>0.8</v>
      </c>
      <c r="H217" s="107" t="n">
        <v>-28.3</v>
      </c>
      <c r="I217" s="107" t="n">
        <v>-47.5</v>
      </c>
      <c r="J217" s="107" t="n">
        <v>0.532</v>
      </c>
      <c r="K217" s="107" t="s">
        <v>982</v>
      </c>
      <c r="L217" s="108" t="s">
        <v>102</v>
      </c>
      <c r="M217" s="107" t="s">
        <v>367</v>
      </c>
      <c r="N217" s="108" t="s">
        <v>959</v>
      </c>
      <c r="O217" s="107" t="n">
        <v>42003</v>
      </c>
      <c r="P217" s="107" t="n">
        <v>8.266</v>
      </c>
      <c r="Q217" s="107" t="n">
        <v>12444.95896</v>
      </c>
      <c r="R217" s="107" t="s">
        <v>1151</v>
      </c>
    </row>
    <row r="218" customFormat="false" ht="15" hidden="false" customHeight="false" outlineLevel="0" collapsed="false">
      <c r="A218" s="107" t="s">
        <v>1152</v>
      </c>
      <c r="B218" s="107" t="s">
        <v>114</v>
      </c>
      <c r="C218" s="107" t="n">
        <v>4.513</v>
      </c>
      <c r="D218" s="2"/>
      <c r="E218" s="2"/>
      <c r="F218" s="107" t="n">
        <v>-10.1</v>
      </c>
      <c r="G218" s="107" t="n">
        <v>-3.9</v>
      </c>
      <c r="H218" s="107" t="n">
        <v>-9</v>
      </c>
      <c r="I218" s="107" t="n">
        <v>-31.1</v>
      </c>
      <c r="J218" s="107" t="n">
        <v>0.003</v>
      </c>
      <c r="K218" s="107" t="s">
        <v>982</v>
      </c>
      <c r="L218" s="108" t="s">
        <v>94</v>
      </c>
      <c r="M218" s="2"/>
      <c r="N218" s="108" t="s">
        <v>90</v>
      </c>
      <c r="O218" s="107" t="n">
        <v>34507</v>
      </c>
      <c r="P218" s="107" t="n">
        <v>10</v>
      </c>
      <c r="Q218" s="107" t="n">
        <v>27</v>
      </c>
      <c r="R218" s="107" t="s">
        <v>1149</v>
      </c>
    </row>
    <row r="219" customFormat="false" ht="15" hidden="false" customHeight="false" outlineLevel="0" collapsed="false">
      <c r="A219" s="107" t="s">
        <v>758</v>
      </c>
      <c r="B219" s="107" t="s">
        <v>115</v>
      </c>
      <c r="C219" s="107" t="n">
        <v>4.011</v>
      </c>
      <c r="D219" s="107" t="n">
        <v>73.863</v>
      </c>
      <c r="E219" s="107" t="n">
        <v>43.412</v>
      </c>
      <c r="F219" s="2"/>
      <c r="G219" s="2"/>
      <c r="H219" s="2"/>
      <c r="I219" s="2"/>
      <c r="J219" s="107" t="n">
        <v>2.982</v>
      </c>
      <c r="K219" s="107" t="s">
        <v>956</v>
      </c>
      <c r="L219" s="108" t="s">
        <v>94</v>
      </c>
      <c r="M219" s="107" t="s">
        <v>374</v>
      </c>
      <c r="N219" s="108" t="s">
        <v>92</v>
      </c>
      <c r="O219" s="107" t="n">
        <v>38167</v>
      </c>
      <c r="P219" s="107" t="n">
        <v>5</v>
      </c>
      <c r="Q219" s="107" t="n">
        <v>0</v>
      </c>
      <c r="R219" s="107" t="s">
        <v>1153</v>
      </c>
    </row>
    <row r="220" customFormat="false" ht="15" hidden="false" customHeight="false" outlineLevel="0" collapsed="false">
      <c r="A220" s="107" t="s">
        <v>1154</v>
      </c>
      <c r="B220" s="107" t="s">
        <v>114</v>
      </c>
      <c r="C220" s="107" t="n">
        <v>5.277</v>
      </c>
      <c r="D220" s="107" t="n">
        <v>38.777</v>
      </c>
      <c r="E220" s="107" t="n">
        <v>64.624</v>
      </c>
      <c r="F220" s="107" t="n">
        <v>0.3</v>
      </c>
      <c r="G220" s="107" t="n">
        <v>4.9</v>
      </c>
      <c r="H220" s="107" t="n">
        <v>1.1</v>
      </c>
      <c r="I220" s="107" t="n">
        <v>-4.3</v>
      </c>
      <c r="J220" s="107" t="n">
        <v>1.523</v>
      </c>
      <c r="K220" s="107" t="s">
        <v>964</v>
      </c>
      <c r="L220" s="108" t="s">
        <v>102</v>
      </c>
      <c r="M220" s="2"/>
      <c r="N220" s="108" t="s">
        <v>959</v>
      </c>
      <c r="O220" s="107" t="n">
        <v>42003</v>
      </c>
      <c r="P220" s="107" t="n">
        <v>2.119</v>
      </c>
      <c r="Q220" s="107" t="n">
        <v>-354.99607</v>
      </c>
      <c r="R220" s="107" t="s">
        <v>1151</v>
      </c>
    </row>
    <row r="221" customFormat="false" ht="15" hidden="false" customHeight="false" outlineLevel="0" collapsed="false">
      <c r="A221" s="107" t="s">
        <v>1155</v>
      </c>
      <c r="B221" s="107" t="s">
        <v>114</v>
      </c>
      <c r="C221" s="107" t="n">
        <v>5.405</v>
      </c>
      <c r="D221" s="107" t="n">
        <v>51.579</v>
      </c>
      <c r="E221" s="107" t="n">
        <v>75.386</v>
      </c>
      <c r="F221" s="107" t="n">
        <v>0.6</v>
      </c>
      <c r="G221" s="107" t="n">
        <v>9.3</v>
      </c>
      <c r="H221" s="107" t="n">
        <v>5.7</v>
      </c>
      <c r="I221" s="107" t="n">
        <v>-1</v>
      </c>
      <c r="J221" s="107" t="n">
        <v>1.66</v>
      </c>
      <c r="K221" s="107" t="s">
        <v>964</v>
      </c>
      <c r="L221" s="108" t="s">
        <v>103</v>
      </c>
      <c r="M221" s="107" t="s">
        <v>505</v>
      </c>
      <c r="N221" s="108" t="s">
        <v>959</v>
      </c>
      <c r="O221" s="107" t="n">
        <v>42003</v>
      </c>
      <c r="P221" s="107" t="n">
        <v>13.4</v>
      </c>
      <c r="Q221" s="107" t="n">
        <v>-12679.08</v>
      </c>
      <c r="R221" s="107" t="s">
        <v>1156</v>
      </c>
    </row>
    <row r="222" customFormat="false" ht="15" hidden="false" customHeight="false" outlineLevel="0" collapsed="false">
      <c r="A222" s="107" t="s">
        <v>1157</v>
      </c>
      <c r="B222" s="107" t="s">
        <v>114</v>
      </c>
      <c r="C222" s="2"/>
      <c r="D222" s="2"/>
      <c r="E222" s="2"/>
      <c r="F222" s="107" t="n">
        <v>1.6</v>
      </c>
      <c r="G222" s="107" t="n">
        <v>0.9</v>
      </c>
      <c r="H222" s="2"/>
      <c r="I222" s="107" t="n">
        <v>7.3</v>
      </c>
      <c r="J222" s="2"/>
      <c r="K222" s="107" t="s">
        <v>982</v>
      </c>
      <c r="L222" s="108" t="s">
        <v>94</v>
      </c>
      <c r="M222" s="107" t="s">
        <v>505</v>
      </c>
      <c r="N222" s="108" t="s">
        <v>959</v>
      </c>
      <c r="O222" s="107" t="n">
        <v>38038</v>
      </c>
      <c r="P222" s="107" t="n">
        <v>0</v>
      </c>
      <c r="Q222" s="107" t="n">
        <v>0</v>
      </c>
      <c r="R222" s="107" t="s">
        <v>1158</v>
      </c>
    </row>
    <row r="223" customFormat="false" ht="15" hidden="false" customHeight="false" outlineLevel="0" collapsed="false">
      <c r="A223" s="107" t="s">
        <v>1159</v>
      </c>
      <c r="B223" s="107" t="s">
        <v>114</v>
      </c>
      <c r="C223" s="2"/>
      <c r="D223" s="2"/>
      <c r="E223" s="2"/>
      <c r="F223" s="107" t="n">
        <v>-29.3</v>
      </c>
      <c r="G223" s="107" t="n">
        <v>-36.1</v>
      </c>
      <c r="H223" s="107" t="n">
        <v>-37.5</v>
      </c>
      <c r="I223" s="107" t="n">
        <v>-59.7</v>
      </c>
      <c r="J223" s="2"/>
      <c r="K223" s="107" t="s">
        <v>982</v>
      </c>
      <c r="L223" s="108" t="s">
        <v>100</v>
      </c>
      <c r="M223" s="2"/>
      <c r="N223" s="108" t="s">
        <v>959</v>
      </c>
      <c r="O223" s="107" t="n">
        <v>42003</v>
      </c>
      <c r="P223" s="107" t="n">
        <v>3.5</v>
      </c>
      <c r="Q223" s="107" t="n">
        <v>0</v>
      </c>
      <c r="R223" s="107" t="s">
        <v>1160</v>
      </c>
    </row>
    <row r="224" customFormat="false" ht="15" hidden="false" customHeight="false" outlineLevel="0" collapsed="false">
      <c r="A224" s="107" t="s">
        <v>1161</v>
      </c>
      <c r="B224" s="107" t="s">
        <v>114</v>
      </c>
      <c r="C224" s="107" t="n">
        <v>4.82</v>
      </c>
      <c r="D224" s="107" t="n">
        <v>-6.955</v>
      </c>
      <c r="E224" s="107" t="n">
        <v>90.549</v>
      </c>
      <c r="F224" s="107" t="n">
        <v>-9.8</v>
      </c>
      <c r="G224" s="107" t="n">
        <v>-8.3</v>
      </c>
      <c r="H224" s="107" t="n">
        <v>-36.7</v>
      </c>
      <c r="I224" s="107" t="n">
        <v>-46.7</v>
      </c>
      <c r="J224" s="107" t="n">
        <v>0.086</v>
      </c>
      <c r="K224" s="107" t="s">
        <v>982</v>
      </c>
      <c r="L224" s="108" t="s">
        <v>94</v>
      </c>
      <c r="M224" s="107" t="s">
        <v>107</v>
      </c>
      <c r="N224" s="108" t="s">
        <v>959</v>
      </c>
      <c r="O224" s="107" t="s">
        <v>1162</v>
      </c>
      <c r="P224" s="107" t="n">
        <v>66.5</v>
      </c>
      <c r="Q224" s="107" t="n">
        <v>20988.73</v>
      </c>
      <c r="R224" s="107" t="s">
        <v>1163</v>
      </c>
    </row>
    <row r="225" customFormat="false" ht="15" hidden="false" customHeight="false" outlineLevel="0" collapsed="false">
      <c r="A225" s="107" t="s">
        <v>617</v>
      </c>
      <c r="B225" s="107" t="s">
        <v>114</v>
      </c>
      <c r="C225" s="107" t="n">
        <v>5.752</v>
      </c>
      <c r="D225" s="107" t="n">
        <v>75.174</v>
      </c>
      <c r="E225" s="107" t="n">
        <v>104.618</v>
      </c>
      <c r="F225" s="107" t="n">
        <v>-1.3</v>
      </c>
      <c r="G225" s="107" t="n">
        <v>1.1</v>
      </c>
      <c r="H225" s="107" t="n">
        <v>-3.6</v>
      </c>
      <c r="I225" s="107" t="n">
        <v>-10.4</v>
      </c>
      <c r="J225" s="107" t="n">
        <v>2.167</v>
      </c>
      <c r="K225" s="107" t="s">
        <v>964</v>
      </c>
      <c r="L225" s="108" t="s">
        <v>94</v>
      </c>
      <c r="M225" s="107" t="s">
        <v>505</v>
      </c>
      <c r="N225" s="108" t="s">
        <v>959</v>
      </c>
      <c r="O225" s="107" t="n">
        <v>34578</v>
      </c>
      <c r="P225" s="107" t="n">
        <v>9</v>
      </c>
      <c r="Q225" s="107" t="n">
        <v>7021.08</v>
      </c>
      <c r="R225" s="107" t="s">
        <v>1158</v>
      </c>
    </row>
    <row r="226" customFormat="false" ht="15" hidden="false" customHeight="false" outlineLevel="0" collapsed="false">
      <c r="A226" s="107" t="s">
        <v>1164</v>
      </c>
      <c r="B226" s="107" t="s">
        <v>114</v>
      </c>
      <c r="C226" s="107" t="n">
        <v>4.864</v>
      </c>
      <c r="D226" s="107" t="n">
        <v>-2.522</v>
      </c>
      <c r="E226" s="107" t="n">
        <v>77.546</v>
      </c>
      <c r="F226" s="107" t="n">
        <v>-0.4</v>
      </c>
      <c r="G226" s="107" t="n">
        <v>-5.8</v>
      </c>
      <c r="H226" s="107" t="n">
        <v>-35.7</v>
      </c>
      <c r="I226" s="107" t="n">
        <v>-55.1</v>
      </c>
      <c r="J226" s="107" t="n">
        <v>0.308</v>
      </c>
      <c r="K226" s="107" t="s">
        <v>982</v>
      </c>
      <c r="L226" s="108" t="s">
        <v>94</v>
      </c>
      <c r="M226" s="107" t="s">
        <v>505</v>
      </c>
      <c r="N226" s="108" t="s">
        <v>959</v>
      </c>
      <c r="O226" s="107" t="n">
        <v>34507</v>
      </c>
      <c r="P226" s="107" t="n">
        <v>0</v>
      </c>
      <c r="Q226" s="107" t="n">
        <v>0</v>
      </c>
      <c r="R226" s="107" t="s">
        <v>1158</v>
      </c>
    </row>
    <row r="227" customFormat="false" ht="15" hidden="false" customHeight="false" outlineLevel="0" collapsed="false">
      <c r="A227" s="107" t="s">
        <v>1165</v>
      </c>
      <c r="B227" s="107" t="s">
        <v>114</v>
      </c>
      <c r="C227" s="107" t="n">
        <v>4.801</v>
      </c>
      <c r="D227" s="107" t="n">
        <v>-8.802</v>
      </c>
      <c r="E227" s="107" t="n">
        <v>71.838</v>
      </c>
      <c r="F227" s="107" t="n">
        <v>2.1</v>
      </c>
      <c r="G227" s="107" t="n">
        <v>3.9</v>
      </c>
      <c r="H227" s="107" t="n">
        <v>-18.5</v>
      </c>
      <c r="I227" s="107" t="n">
        <v>-39.5</v>
      </c>
      <c r="J227" s="107" t="n">
        <v>0.3</v>
      </c>
      <c r="K227" s="107" t="s">
        <v>982</v>
      </c>
      <c r="L227" s="108" t="s">
        <v>98</v>
      </c>
      <c r="M227" s="2"/>
      <c r="N227" s="108" t="s">
        <v>959</v>
      </c>
      <c r="O227" s="107" t="n">
        <v>34507</v>
      </c>
      <c r="P227" s="107" t="n">
        <v>0.4</v>
      </c>
      <c r="Q227" s="107" t="n">
        <v>222</v>
      </c>
      <c r="R227" s="107" t="s">
        <v>1166</v>
      </c>
    </row>
    <row r="228" customFormat="false" ht="15" hidden="false" customHeight="false" outlineLevel="0" collapsed="false">
      <c r="A228" s="107" t="s">
        <v>1167</v>
      </c>
      <c r="B228" s="107" t="s">
        <v>114</v>
      </c>
      <c r="C228" s="107" t="n">
        <v>5.38</v>
      </c>
      <c r="D228" s="107" t="n">
        <v>37.939</v>
      </c>
      <c r="E228" s="107" t="n">
        <v>66.134</v>
      </c>
      <c r="F228" s="107" t="n">
        <v>-1.2</v>
      </c>
      <c r="G228" s="107" t="n">
        <v>2.9</v>
      </c>
      <c r="H228" s="107" t="n">
        <v>-0.9</v>
      </c>
      <c r="I228" s="107" t="n">
        <v>-8.8</v>
      </c>
      <c r="J228" s="107" t="n">
        <v>2.41</v>
      </c>
      <c r="K228" s="107" t="s">
        <v>964</v>
      </c>
      <c r="L228" s="108" t="s">
        <v>102</v>
      </c>
      <c r="M228" s="107" t="s">
        <v>367</v>
      </c>
      <c r="N228" s="108" t="s">
        <v>959</v>
      </c>
      <c r="O228" s="107" t="n">
        <v>42003</v>
      </c>
      <c r="P228" s="107" t="n">
        <v>7.322</v>
      </c>
      <c r="Q228" s="107" t="n">
        <v>1588.1418</v>
      </c>
      <c r="R228" s="107" t="s">
        <v>1151</v>
      </c>
    </row>
    <row r="229" customFormat="false" ht="15" hidden="false" customHeight="false" outlineLevel="0" collapsed="false">
      <c r="A229" s="107" t="s">
        <v>1168</v>
      </c>
      <c r="B229" s="107" t="s">
        <v>114</v>
      </c>
      <c r="C229" s="107" t="n">
        <v>5.633</v>
      </c>
      <c r="D229" s="107" t="n">
        <v>63.247</v>
      </c>
      <c r="E229" s="107" t="n">
        <v>91.614</v>
      </c>
      <c r="F229" s="107" t="n">
        <v>-0.9</v>
      </c>
      <c r="G229" s="107" t="n">
        <v>2.3</v>
      </c>
      <c r="H229" s="107" t="n">
        <v>-5.1</v>
      </c>
      <c r="I229" s="107" t="n">
        <v>-6.9</v>
      </c>
      <c r="J229" s="107" t="n">
        <v>2.351</v>
      </c>
      <c r="K229" s="107" t="s">
        <v>964</v>
      </c>
      <c r="L229" s="108" t="s">
        <v>94</v>
      </c>
      <c r="M229" s="2"/>
      <c r="N229" s="108" t="s">
        <v>959</v>
      </c>
      <c r="O229" s="107" t="n">
        <v>34578</v>
      </c>
      <c r="P229" s="107" t="n">
        <v>0.2</v>
      </c>
      <c r="Q229" s="107" t="n">
        <v>239.802</v>
      </c>
      <c r="R229" s="107" t="s">
        <v>970</v>
      </c>
    </row>
    <row r="230" customFormat="false" ht="15" hidden="false" customHeight="false" outlineLevel="0" collapsed="false">
      <c r="A230" s="107" t="s">
        <v>1169</v>
      </c>
      <c r="B230" s="107" t="s">
        <v>114</v>
      </c>
      <c r="C230" s="107" t="n">
        <v>4.844</v>
      </c>
      <c r="D230" s="107" t="n">
        <v>-4.522</v>
      </c>
      <c r="E230" s="107" t="n">
        <v>60.887</v>
      </c>
      <c r="F230" s="107" t="n">
        <v>-0.6</v>
      </c>
      <c r="G230" s="107" t="n">
        <v>17.1</v>
      </c>
      <c r="H230" s="107" t="n">
        <v>-17.1</v>
      </c>
      <c r="I230" s="107" t="n">
        <v>-36.5</v>
      </c>
      <c r="J230" s="107" t="n">
        <v>0.562</v>
      </c>
      <c r="K230" s="107" t="s">
        <v>982</v>
      </c>
      <c r="L230" s="108" t="s">
        <v>102</v>
      </c>
      <c r="M230" s="2"/>
      <c r="N230" s="108" t="s">
        <v>959</v>
      </c>
      <c r="O230" s="107" t="n">
        <v>42003</v>
      </c>
      <c r="P230" s="107" t="n">
        <v>5</v>
      </c>
      <c r="Q230" s="107" t="n">
        <v>4805.1</v>
      </c>
      <c r="R230" s="107" t="s">
        <v>1170</v>
      </c>
    </row>
    <row r="231" customFormat="false" ht="15" hidden="false" customHeight="false" outlineLevel="0" collapsed="false">
      <c r="A231" s="107" t="s">
        <v>1171</v>
      </c>
      <c r="B231" s="107" t="s">
        <v>114</v>
      </c>
      <c r="C231" s="107" t="n">
        <v>5.319</v>
      </c>
      <c r="D231" s="107" t="n">
        <v>31.857</v>
      </c>
      <c r="E231" s="107" t="n">
        <v>60.126</v>
      </c>
      <c r="F231" s="107" t="n">
        <v>-1.6</v>
      </c>
      <c r="G231" s="107" t="n">
        <v>-1.6</v>
      </c>
      <c r="H231" s="107" t="n">
        <v>3.9</v>
      </c>
      <c r="I231" s="107" t="n">
        <v>-7.1</v>
      </c>
      <c r="J231" s="107" t="n">
        <v>2.389</v>
      </c>
      <c r="K231" s="107" t="s">
        <v>964</v>
      </c>
      <c r="L231" s="108" t="s">
        <v>102</v>
      </c>
      <c r="M231" s="2"/>
      <c r="N231" s="108" t="s">
        <v>959</v>
      </c>
      <c r="O231" s="107" t="n">
        <v>42003</v>
      </c>
      <c r="P231" s="107" t="n">
        <v>5.2</v>
      </c>
      <c r="Q231" s="107" t="n">
        <v>-4844.892</v>
      </c>
      <c r="R231" s="107" t="s">
        <v>1170</v>
      </c>
    </row>
    <row r="232" customFormat="false" ht="15" hidden="false" customHeight="false" outlineLevel="0" collapsed="false">
      <c r="A232" s="107" t="s">
        <v>1172</v>
      </c>
      <c r="B232" s="107" t="s">
        <v>116</v>
      </c>
      <c r="C232" s="2"/>
      <c r="D232" s="2"/>
      <c r="E232" s="2"/>
      <c r="F232" s="2"/>
      <c r="G232" s="2"/>
      <c r="H232" s="2"/>
      <c r="I232" s="2"/>
      <c r="J232" s="2"/>
      <c r="K232" s="107" t="s">
        <v>982</v>
      </c>
      <c r="L232" s="108" t="s">
        <v>102</v>
      </c>
      <c r="M232" s="2"/>
      <c r="N232" s="108" t="s">
        <v>959</v>
      </c>
      <c r="O232" s="107" t="n">
        <v>42006</v>
      </c>
      <c r="P232" s="107" t="n">
        <v>0</v>
      </c>
      <c r="Q232" s="107" t="n">
        <v>0</v>
      </c>
      <c r="R232" s="107" t="s">
        <v>965</v>
      </c>
    </row>
    <row r="233" customFormat="false" ht="15" hidden="false" customHeight="false" outlineLevel="0" collapsed="false">
      <c r="A233" s="107" t="s">
        <v>1173</v>
      </c>
      <c r="B233" s="107" t="s">
        <v>114</v>
      </c>
      <c r="C233" s="107" t="n">
        <v>4.829</v>
      </c>
      <c r="D233" s="107" t="n">
        <v>-5.974</v>
      </c>
      <c r="E233" s="107" t="n">
        <v>31.977</v>
      </c>
      <c r="F233" s="107" t="n">
        <v>-0.5</v>
      </c>
      <c r="G233" s="107" t="n">
        <v>11.7</v>
      </c>
      <c r="H233" s="107" t="n">
        <v>-18.9</v>
      </c>
      <c r="I233" s="107" t="n">
        <v>-36.3</v>
      </c>
      <c r="J233" s="107" t="n">
        <v>1.016</v>
      </c>
      <c r="K233" s="107" t="s">
        <v>964</v>
      </c>
      <c r="L233" s="108" t="s">
        <v>102</v>
      </c>
      <c r="M233" s="107" t="s">
        <v>361</v>
      </c>
      <c r="N233" s="108" t="s">
        <v>959</v>
      </c>
      <c r="O233" s="107" t="n">
        <v>42003</v>
      </c>
      <c r="P233" s="107" t="n">
        <v>0.2</v>
      </c>
      <c r="Q233" s="107" t="n">
        <v>384.048</v>
      </c>
      <c r="R233" s="107" t="s">
        <v>1174</v>
      </c>
    </row>
    <row r="234" customFormat="false" ht="15" hidden="false" customHeight="false" outlineLevel="0" collapsed="false">
      <c r="A234" s="107" t="s">
        <v>1175</v>
      </c>
      <c r="B234" s="107" t="s">
        <v>115</v>
      </c>
      <c r="C234" s="107" t="n">
        <v>3.982</v>
      </c>
      <c r="D234" s="107" t="n">
        <v>73.726</v>
      </c>
      <c r="E234" s="107" t="n">
        <v>41.373</v>
      </c>
      <c r="F234" s="2"/>
      <c r="G234" s="2"/>
      <c r="H234" s="2"/>
      <c r="I234" s="2"/>
      <c r="J234" s="107" t="n">
        <v>2.703</v>
      </c>
      <c r="K234" s="107" t="s">
        <v>964</v>
      </c>
      <c r="L234" s="108" t="s">
        <v>101</v>
      </c>
      <c r="M234" s="107" t="s">
        <v>106</v>
      </c>
      <c r="N234" s="108" t="s">
        <v>90</v>
      </c>
      <c r="O234" s="107" t="n">
        <v>38167</v>
      </c>
      <c r="P234" s="107" t="n">
        <v>2</v>
      </c>
      <c r="Q234" s="107" t="n">
        <v>0</v>
      </c>
      <c r="R234" s="107" t="s">
        <v>1176</v>
      </c>
    </row>
    <row r="235" customFormat="false" ht="15" hidden="false" customHeight="false" outlineLevel="0" collapsed="false">
      <c r="A235" s="107" t="s">
        <v>1177</v>
      </c>
      <c r="B235" s="107" t="s">
        <v>114</v>
      </c>
      <c r="C235" s="107" t="n">
        <v>5.638</v>
      </c>
      <c r="D235" s="107" t="n">
        <v>74.91</v>
      </c>
      <c r="E235" s="107" t="n">
        <v>103.975</v>
      </c>
      <c r="F235" s="107" t="n">
        <v>-0.3</v>
      </c>
      <c r="G235" s="107" t="n">
        <v>11.3</v>
      </c>
      <c r="H235" s="107" t="n">
        <v>-0.5</v>
      </c>
      <c r="I235" s="107" t="n">
        <v>-3.7</v>
      </c>
      <c r="J235" s="107" t="n">
        <v>1.381</v>
      </c>
      <c r="K235" s="107" t="s">
        <v>964</v>
      </c>
      <c r="L235" s="108" t="s">
        <v>94</v>
      </c>
      <c r="M235" s="2"/>
      <c r="N235" s="108" t="s">
        <v>959</v>
      </c>
      <c r="O235" s="107" t="n">
        <v>28096</v>
      </c>
      <c r="P235" s="107" t="n">
        <v>21</v>
      </c>
      <c r="Q235" s="107" t="n">
        <v>1450.05</v>
      </c>
      <c r="R235" s="107" t="s">
        <v>1158</v>
      </c>
    </row>
    <row r="236" customFormat="false" ht="15" hidden="false" customHeight="false" outlineLevel="0" collapsed="false">
      <c r="A236" s="107" t="s">
        <v>619</v>
      </c>
      <c r="B236" s="107" t="s">
        <v>114</v>
      </c>
      <c r="C236" s="107" t="n">
        <v>5.703</v>
      </c>
      <c r="D236" s="107" t="n">
        <v>53.762</v>
      </c>
      <c r="E236" s="107" t="n">
        <v>88.132</v>
      </c>
      <c r="F236" s="107" t="n">
        <v>-6</v>
      </c>
      <c r="G236" s="107" t="n">
        <v>0.7</v>
      </c>
      <c r="H236" s="107" t="n">
        <v>-6.7</v>
      </c>
      <c r="I236" s="107" t="n">
        <v>-24.4</v>
      </c>
      <c r="J236" s="107" t="n">
        <v>3.449</v>
      </c>
      <c r="K236" s="107" t="s">
        <v>956</v>
      </c>
      <c r="L236" s="108" t="s">
        <v>94</v>
      </c>
      <c r="M236" s="107" t="s">
        <v>374</v>
      </c>
      <c r="N236" s="108" t="s">
        <v>92</v>
      </c>
      <c r="O236" s="107" t="n">
        <v>34507</v>
      </c>
      <c r="P236" s="107" t="n">
        <v>25</v>
      </c>
      <c r="Q236" s="107" t="n">
        <v>57770.75</v>
      </c>
      <c r="R236" s="107" t="s">
        <v>1153</v>
      </c>
    </row>
    <row r="237" customFormat="false" ht="15" hidden="false" customHeight="false" outlineLevel="0" collapsed="false">
      <c r="A237" s="107" t="s">
        <v>621</v>
      </c>
      <c r="B237" s="107" t="s">
        <v>114</v>
      </c>
      <c r="C237" s="107" t="n">
        <v>5.831</v>
      </c>
      <c r="D237" s="107" t="n">
        <v>74.787</v>
      </c>
      <c r="E237" s="107" t="n">
        <v>103.582</v>
      </c>
      <c r="F237" s="107" t="n">
        <v>-3.9</v>
      </c>
      <c r="G237" s="107" t="n">
        <v>10.1</v>
      </c>
      <c r="H237" s="107" t="n">
        <v>4.1</v>
      </c>
      <c r="I237" s="107" t="n">
        <v>-3.9</v>
      </c>
      <c r="J237" s="107" t="n">
        <v>2.323</v>
      </c>
      <c r="K237" s="107" t="s">
        <v>964</v>
      </c>
      <c r="L237" s="108" t="s">
        <v>94</v>
      </c>
      <c r="M237" s="2"/>
      <c r="N237" s="108" t="s">
        <v>79</v>
      </c>
      <c r="O237" s="107" t="n">
        <v>34507</v>
      </c>
      <c r="P237" s="107" t="n">
        <v>20</v>
      </c>
      <c r="Q237" s="107" t="n">
        <v>-19048.6</v>
      </c>
      <c r="R237" s="107" t="s">
        <v>1178</v>
      </c>
    </row>
    <row r="238" customFormat="false" ht="15" hidden="false" customHeight="false" outlineLevel="0" collapsed="false">
      <c r="A238" s="107" t="s">
        <v>622</v>
      </c>
      <c r="B238" s="107" t="s">
        <v>114</v>
      </c>
      <c r="C238" s="107" t="n">
        <v>5.276</v>
      </c>
      <c r="D238" s="107" t="n">
        <v>12.128</v>
      </c>
      <c r="E238" s="107" t="n">
        <v>46.758</v>
      </c>
      <c r="F238" s="107" t="n">
        <v>-31.1</v>
      </c>
      <c r="G238" s="107" t="n">
        <v>-0.4</v>
      </c>
      <c r="H238" s="107" t="n">
        <v>-49.5</v>
      </c>
      <c r="I238" s="107" t="n">
        <v>-76.5</v>
      </c>
      <c r="J238" s="107" t="n">
        <v>3.171</v>
      </c>
      <c r="K238" s="107" t="s">
        <v>956</v>
      </c>
      <c r="L238" s="108" t="s">
        <v>94</v>
      </c>
      <c r="M238" s="2"/>
      <c r="N238" s="108" t="s">
        <v>79</v>
      </c>
      <c r="O238" s="107" t="n">
        <v>34507</v>
      </c>
      <c r="P238" s="107" t="n">
        <v>20</v>
      </c>
      <c r="Q238" s="107" t="n">
        <v>313929</v>
      </c>
      <c r="R238" s="107" t="s">
        <v>1053</v>
      </c>
    </row>
    <row r="239" customFormat="false" ht="15" hidden="false" customHeight="false" outlineLevel="0" collapsed="false">
      <c r="A239" s="107" t="s">
        <v>1179</v>
      </c>
      <c r="B239" s="107" t="s">
        <v>114</v>
      </c>
      <c r="C239" s="107" t="n">
        <v>5.514</v>
      </c>
      <c r="D239" s="107" t="n">
        <v>62.53</v>
      </c>
      <c r="E239" s="107" t="n">
        <v>88.845</v>
      </c>
      <c r="F239" s="107" t="n">
        <v>1</v>
      </c>
      <c r="G239" s="107" t="n">
        <v>14.1</v>
      </c>
      <c r="H239" s="107" t="n">
        <v>-3.5</v>
      </c>
      <c r="I239" s="107" t="n">
        <v>-4.2</v>
      </c>
      <c r="J239" s="107" t="n">
        <v>1.497</v>
      </c>
      <c r="K239" s="107" t="s">
        <v>964</v>
      </c>
      <c r="L239" s="108" t="s">
        <v>94</v>
      </c>
      <c r="M239" s="107" t="s">
        <v>374</v>
      </c>
      <c r="N239" s="108" t="s">
        <v>959</v>
      </c>
      <c r="O239" s="107" t="s">
        <v>966</v>
      </c>
      <c r="P239" s="107" t="n">
        <v>0</v>
      </c>
      <c r="Q239" s="107" t="n">
        <v>0</v>
      </c>
      <c r="R239" s="107" t="s">
        <v>1180</v>
      </c>
    </row>
    <row r="240" customFormat="false" ht="15" hidden="false" customHeight="false" outlineLevel="0" collapsed="false">
      <c r="A240" s="107" t="s">
        <v>1181</v>
      </c>
      <c r="B240" s="107" t="s">
        <v>114</v>
      </c>
      <c r="C240" s="107" t="n">
        <v>4.751</v>
      </c>
      <c r="D240" s="107" t="n">
        <v>-13.86</v>
      </c>
      <c r="E240" s="107" t="n">
        <v>47.89</v>
      </c>
      <c r="F240" s="107" t="n">
        <v>-0.7</v>
      </c>
      <c r="G240" s="107" t="n">
        <v>17.2</v>
      </c>
      <c r="H240" s="107" t="n">
        <v>-18.4</v>
      </c>
      <c r="I240" s="107" t="n">
        <v>-35.8</v>
      </c>
      <c r="J240" s="107" t="n">
        <v>0.617</v>
      </c>
      <c r="K240" s="107" t="s">
        <v>982</v>
      </c>
      <c r="L240" s="108" t="s">
        <v>102</v>
      </c>
      <c r="M240" s="2"/>
      <c r="N240" s="108" t="s">
        <v>959</v>
      </c>
      <c r="O240" s="107" t="n">
        <v>42003</v>
      </c>
      <c r="P240" s="107" t="n">
        <v>1</v>
      </c>
      <c r="Q240" s="107" t="n">
        <v>1135.28</v>
      </c>
      <c r="R240" s="107" t="s">
        <v>1182</v>
      </c>
    </row>
    <row r="241" customFormat="false" ht="15" hidden="false" customHeight="false" outlineLevel="0" collapsed="false">
      <c r="A241" s="107" t="s">
        <v>912</v>
      </c>
      <c r="B241" s="107" t="s">
        <v>114</v>
      </c>
      <c r="C241" s="107" t="n">
        <v>5.181</v>
      </c>
      <c r="D241" s="107" t="n">
        <v>29.185</v>
      </c>
      <c r="E241" s="107" t="n">
        <v>55.415</v>
      </c>
      <c r="F241" s="107" t="n">
        <v>-0.7</v>
      </c>
      <c r="G241" s="107" t="n">
        <v>15.9</v>
      </c>
      <c r="H241" s="107" t="n">
        <v>-8.8</v>
      </c>
      <c r="I241" s="107" t="n">
        <v>-15.1</v>
      </c>
      <c r="J241" s="107" t="n">
        <v>1.503</v>
      </c>
      <c r="K241" s="107" t="s">
        <v>964</v>
      </c>
      <c r="L241" s="108" t="s">
        <v>95</v>
      </c>
      <c r="M241" s="107" t="s">
        <v>374</v>
      </c>
      <c r="N241" s="108" t="s">
        <v>959</v>
      </c>
      <c r="O241" s="107" t="n">
        <v>42003</v>
      </c>
      <c r="P241" s="107" t="n">
        <v>5.6</v>
      </c>
      <c r="Q241" s="107" t="n">
        <v>7406.784</v>
      </c>
      <c r="R241" s="107" t="s">
        <v>1183</v>
      </c>
    </row>
    <row r="242" customFormat="false" ht="15" hidden="false" customHeight="false" outlineLevel="0" collapsed="false">
      <c r="A242" s="107" t="s">
        <v>1184</v>
      </c>
      <c r="B242" s="107" t="s">
        <v>114</v>
      </c>
      <c r="C242" s="107" t="n">
        <v>4.736</v>
      </c>
      <c r="D242" s="107" t="n">
        <v>-15.299</v>
      </c>
      <c r="E242" s="107" t="n">
        <v>45.104</v>
      </c>
      <c r="F242" s="107" t="n">
        <v>-1.3</v>
      </c>
      <c r="G242" s="107" t="n">
        <v>6.4</v>
      </c>
      <c r="H242" s="107" t="n">
        <v>-21.3</v>
      </c>
      <c r="I242" s="107" t="n">
        <v>-40.8</v>
      </c>
      <c r="J242" s="107" t="n">
        <v>0.637</v>
      </c>
      <c r="K242" s="107" t="s">
        <v>982</v>
      </c>
      <c r="L242" s="108" t="s">
        <v>102</v>
      </c>
      <c r="M242" s="2"/>
      <c r="N242" s="108" t="s">
        <v>959</v>
      </c>
      <c r="O242" s="107" t="n">
        <v>42003</v>
      </c>
      <c r="P242" s="107" t="n">
        <v>3</v>
      </c>
      <c r="Q242" s="107" t="n">
        <v>4070.43</v>
      </c>
      <c r="R242" s="107" t="s">
        <v>1174</v>
      </c>
    </row>
    <row r="243" customFormat="false" ht="15" hidden="false" customHeight="false" outlineLevel="0" collapsed="false">
      <c r="A243" s="107" t="s">
        <v>1185</v>
      </c>
      <c r="B243" s="107" t="s">
        <v>114</v>
      </c>
      <c r="C243" s="107" t="n">
        <v>5.459</v>
      </c>
      <c r="D243" s="107" t="n">
        <v>37.184</v>
      </c>
      <c r="E243" s="107" t="n">
        <v>71.686</v>
      </c>
      <c r="F243" s="107" t="n">
        <v>-0.3</v>
      </c>
      <c r="G243" s="107" t="n">
        <v>5.5</v>
      </c>
      <c r="H243" s="107" t="n">
        <v>7.7</v>
      </c>
      <c r="I243" s="107" t="n">
        <v>0.2</v>
      </c>
      <c r="J243" s="107" t="n">
        <v>3.286</v>
      </c>
      <c r="K243" s="107" t="s">
        <v>956</v>
      </c>
      <c r="L243" s="108" t="s">
        <v>102</v>
      </c>
      <c r="M243" s="2"/>
      <c r="N243" s="108" t="s">
        <v>959</v>
      </c>
      <c r="O243" s="107" t="n">
        <v>42003</v>
      </c>
      <c r="P243" s="107" t="n">
        <v>9.2</v>
      </c>
      <c r="Q243" s="107" t="n">
        <v>-23278.024</v>
      </c>
      <c r="R243" s="107" t="s">
        <v>1170</v>
      </c>
    </row>
    <row r="244" customFormat="false" ht="15" hidden="false" customHeight="false" outlineLevel="0" collapsed="false">
      <c r="A244" s="107" t="s">
        <v>509</v>
      </c>
      <c r="B244" s="107" t="s">
        <v>114</v>
      </c>
      <c r="C244" s="107" t="n">
        <v>5.357</v>
      </c>
      <c r="D244" s="107" t="n">
        <v>46.802</v>
      </c>
      <c r="E244" s="107" t="n">
        <v>71.927</v>
      </c>
      <c r="F244" s="107" t="n">
        <v>0.3</v>
      </c>
      <c r="G244" s="107" t="n">
        <v>10.2</v>
      </c>
      <c r="H244" s="107" t="n">
        <v>-2.9</v>
      </c>
      <c r="I244" s="107" t="n">
        <v>-4.6</v>
      </c>
      <c r="J244" s="107" t="n">
        <v>1.578</v>
      </c>
      <c r="K244" s="107" t="s">
        <v>964</v>
      </c>
      <c r="L244" s="108" t="s">
        <v>97</v>
      </c>
      <c r="M244" s="107" t="s">
        <v>106</v>
      </c>
      <c r="N244" s="108" t="s">
        <v>959</v>
      </c>
      <c r="O244" s="107" t="n">
        <v>28096</v>
      </c>
      <c r="P244" s="107" t="n">
        <v>0.5</v>
      </c>
      <c r="Q244" s="107" t="n">
        <v>228.81</v>
      </c>
      <c r="R244" s="107" t="s">
        <v>1186</v>
      </c>
    </row>
    <row r="245" customFormat="false" ht="15" hidden="false" customHeight="false" outlineLevel="0" collapsed="false">
      <c r="A245" s="107" t="s">
        <v>1187</v>
      </c>
      <c r="B245" s="107" t="s">
        <v>114</v>
      </c>
      <c r="C245" s="107" t="n">
        <v>5.824</v>
      </c>
      <c r="D245" s="107" t="n">
        <v>73.689</v>
      </c>
      <c r="E245" s="107" t="n">
        <v>108.033</v>
      </c>
      <c r="F245" s="107" t="n">
        <v>0</v>
      </c>
      <c r="G245" s="107" t="n">
        <v>3.8</v>
      </c>
      <c r="H245" s="107" t="n">
        <v>1.6</v>
      </c>
      <c r="I245" s="107" t="n">
        <v>-0.9</v>
      </c>
      <c r="J245" s="107" t="n">
        <v>3.446</v>
      </c>
      <c r="K245" s="107" t="s">
        <v>956</v>
      </c>
      <c r="L245" s="108" t="s">
        <v>94</v>
      </c>
      <c r="M245" s="107" t="s">
        <v>374</v>
      </c>
      <c r="N245" s="108" t="s">
        <v>959</v>
      </c>
      <c r="O245" s="107" t="n">
        <v>34578</v>
      </c>
      <c r="P245" s="107" t="n">
        <v>17.6</v>
      </c>
      <c r="Q245" s="107" t="n">
        <v>-9703.936</v>
      </c>
      <c r="R245" s="107" t="s">
        <v>1188</v>
      </c>
    </row>
    <row r="246" customFormat="false" ht="15" hidden="false" customHeight="false" outlineLevel="0" collapsed="false">
      <c r="A246" s="107" t="s">
        <v>1189</v>
      </c>
      <c r="B246" s="107" t="s">
        <v>114</v>
      </c>
      <c r="C246" s="107" t="n">
        <v>5.516</v>
      </c>
      <c r="D246" s="107" t="n">
        <v>62.709</v>
      </c>
      <c r="E246" s="107" t="n">
        <v>86.005</v>
      </c>
      <c r="F246" s="107" t="n">
        <v>0.2</v>
      </c>
      <c r="G246" s="107" t="n">
        <v>9.7</v>
      </c>
      <c r="H246" s="107" t="n">
        <v>2.5</v>
      </c>
      <c r="I246" s="107" t="n">
        <v>-0.4</v>
      </c>
      <c r="J246" s="107" t="n">
        <v>1.696</v>
      </c>
      <c r="K246" s="107" t="s">
        <v>964</v>
      </c>
      <c r="L246" s="108" t="s">
        <v>94</v>
      </c>
      <c r="M246" s="107" t="s">
        <v>374</v>
      </c>
      <c r="N246" s="108" t="s">
        <v>959</v>
      </c>
      <c r="O246" s="107" t="s">
        <v>966</v>
      </c>
      <c r="P246" s="107" t="n">
        <v>0.75</v>
      </c>
      <c r="Q246" s="107" t="n">
        <v>-318</v>
      </c>
      <c r="R246" s="107" t="s">
        <v>1188</v>
      </c>
    </row>
    <row r="247" customFormat="false" ht="15" hidden="false" customHeight="false" outlineLevel="0" collapsed="false">
      <c r="A247" s="107" t="s">
        <v>743</v>
      </c>
      <c r="B247" s="107" t="s">
        <v>115</v>
      </c>
      <c r="C247" s="107" t="n">
        <v>3.733</v>
      </c>
      <c r="D247" s="107" t="n">
        <v>73.997</v>
      </c>
      <c r="E247" s="107" t="n">
        <v>39.256</v>
      </c>
      <c r="F247" s="2"/>
      <c r="G247" s="2"/>
      <c r="H247" s="2"/>
      <c r="I247" s="2"/>
      <c r="J247" s="107" t="n">
        <v>1.77</v>
      </c>
      <c r="K247" s="107" t="s">
        <v>964</v>
      </c>
      <c r="L247" s="108" t="s">
        <v>94</v>
      </c>
      <c r="M247" s="107" t="s">
        <v>374</v>
      </c>
      <c r="N247" s="108" t="s">
        <v>79</v>
      </c>
      <c r="O247" s="107" t="n">
        <v>38070</v>
      </c>
      <c r="P247" s="107" t="n">
        <v>1</v>
      </c>
      <c r="Q247" s="107" t="n">
        <v>0</v>
      </c>
      <c r="R247" s="107" t="s">
        <v>1053</v>
      </c>
    </row>
    <row r="248" customFormat="false" ht="15" hidden="false" customHeight="false" outlineLevel="0" collapsed="false">
      <c r="A248" s="107" t="s">
        <v>920</v>
      </c>
      <c r="B248" s="107" t="s">
        <v>114</v>
      </c>
      <c r="C248" s="107" t="n">
        <v>5.524</v>
      </c>
      <c r="D248" s="107" t="n">
        <v>43.749</v>
      </c>
      <c r="E248" s="107" t="n">
        <v>77.885</v>
      </c>
      <c r="F248" s="107" t="n">
        <v>0.1</v>
      </c>
      <c r="G248" s="107" t="n">
        <v>2.4</v>
      </c>
      <c r="H248" s="107" t="n">
        <v>3.3</v>
      </c>
      <c r="I248" s="107" t="n">
        <v>7.1</v>
      </c>
      <c r="J248" s="107" t="n">
        <v>3.713</v>
      </c>
      <c r="K248" s="107" t="s">
        <v>956</v>
      </c>
      <c r="L248" s="108" t="s">
        <v>101</v>
      </c>
      <c r="M248" s="107" t="s">
        <v>361</v>
      </c>
      <c r="N248" s="108" t="s">
        <v>959</v>
      </c>
      <c r="O248" s="107" t="n">
        <v>42003</v>
      </c>
      <c r="P248" s="107" t="n">
        <v>5.7</v>
      </c>
      <c r="Q248" s="107" t="n">
        <v>-6984.153</v>
      </c>
      <c r="R248" s="107" t="s">
        <v>968</v>
      </c>
    </row>
    <row r="249" customFormat="false" ht="15" hidden="false" customHeight="false" outlineLevel="0" collapsed="false">
      <c r="A249" s="107" t="s">
        <v>1190</v>
      </c>
      <c r="B249" s="107" t="s">
        <v>114</v>
      </c>
      <c r="C249" s="107" t="n">
        <v>5.859</v>
      </c>
      <c r="D249" s="107" t="n">
        <v>77.27</v>
      </c>
      <c r="E249" s="107" t="n">
        <v>111.404</v>
      </c>
      <c r="F249" s="107" t="n">
        <v>0.2</v>
      </c>
      <c r="G249" s="107" t="n">
        <v>2.9</v>
      </c>
      <c r="H249" s="107" t="n">
        <v>0.5</v>
      </c>
      <c r="I249" s="107" t="n">
        <v>1.6</v>
      </c>
      <c r="J249" s="107" t="n">
        <v>3.699</v>
      </c>
      <c r="K249" s="107" t="s">
        <v>956</v>
      </c>
      <c r="L249" s="108" t="s">
        <v>94</v>
      </c>
      <c r="M249" s="2"/>
      <c r="N249" s="108" t="s">
        <v>959</v>
      </c>
      <c r="O249" s="107" t="n">
        <v>34578</v>
      </c>
      <c r="P249" s="107" t="n">
        <v>5.2</v>
      </c>
      <c r="Q249" s="107" t="n">
        <v>-961.74</v>
      </c>
      <c r="R249" s="107" t="s">
        <v>1191</v>
      </c>
    </row>
    <row r="250" customFormat="false" ht="15" hidden="false" customHeight="false" outlineLevel="0" collapsed="false">
      <c r="A250" s="107" t="s">
        <v>1192</v>
      </c>
      <c r="B250" s="107" t="s">
        <v>114</v>
      </c>
      <c r="C250" s="107" t="n">
        <v>5.708</v>
      </c>
      <c r="D250" s="107" t="n">
        <v>81.835</v>
      </c>
      <c r="E250" s="107" t="n">
        <v>101.443</v>
      </c>
      <c r="F250" s="107" t="n">
        <v>0.1</v>
      </c>
      <c r="G250" s="107" t="n">
        <v>6.3</v>
      </c>
      <c r="H250" s="107" t="n">
        <v>2.5</v>
      </c>
      <c r="I250" s="107" t="n">
        <v>-0.4</v>
      </c>
      <c r="J250" s="107" t="n">
        <v>1.918</v>
      </c>
      <c r="K250" s="107" t="s">
        <v>964</v>
      </c>
      <c r="L250" s="108" t="s">
        <v>94</v>
      </c>
      <c r="M250" s="2"/>
      <c r="N250" s="108" t="s">
        <v>959</v>
      </c>
      <c r="O250" s="107" t="n">
        <v>28096</v>
      </c>
      <c r="P250" s="107" t="n">
        <v>18</v>
      </c>
      <c r="Q250" s="107" t="n">
        <v>-8631</v>
      </c>
      <c r="R250" s="107" t="s">
        <v>1158</v>
      </c>
    </row>
    <row r="251" customFormat="false" ht="15" hidden="false" customHeight="false" outlineLevel="0" collapsed="false">
      <c r="A251" s="107" t="s">
        <v>696</v>
      </c>
      <c r="B251" s="107" t="s">
        <v>114</v>
      </c>
      <c r="C251" s="107" t="n">
        <v>5.536</v>
      </c>
      <c r="D251" s="107" t="n">
        <v>44.963</v>
      </c>
      <c r="E251" s="107" t="n">
        <v>78.571</v>
      </c>
      <c r="F251" s="107" t="n">
        <v>-0.7</v>
      </c>
      <c r="G251" s="107" t="n">
        <v>3.4</v>
      </c>
      <c r="H251" s="107" t="n">
        <v>-1</v>
      </c>
      <c r="I251" s="107" t="n">
        <v>4.4</v>
      </c>
      <c r="J251" s="107" t="n">
        <v>4.144</v>
      </c>
      <c r="K251" s="107" t="s">
        <v>956</v>
      </c>
      <c r="L251" s="108" t="s">
        <v>100</v>
      </c>
      <c r="M251" s="2"/>
      <c r="N251" s="108" t="s">
        <v>959</v>
      </c>
      <c r="O251" s="107" t="s">
        <v>1193</v>
      </c>
      <c r="P251" s="107" t="n">
        <v>22.223</v>
      </c>
      <c r="Q251" s="107" t="n">
        <v>9209.2112</v>
      </c>
      <c r="R251" s="107" t="s">
        <v>963</v>
      </c>
    </row>
    <row r="252" customFormat="false" ht="15" hidden="false" customHeight="false" outlineLevel="0" collapsed="false">
      <c r="A252" s="107" t="s">
        <v>762</v>
      </c>
      <c r="B252" s="107" t="s">
        <v>115</v>
      </c>
      <c r="C252" s="107" t="n">
        <v>4.002</v>
      </c>
      <c r="D252" s="107" t="n">
        <v>78.855</v>
      </c>
      <c r="E252" s="107" t="n">
        <v>45.045</v>
      </c>
      <c r="F252" s="2"/>
      <c r="G252" s="2"/>
      <c r="H252" s="2"/>
      <c r="I252" s="2"/>
      <c r="J252" s="107" t="n">
        <v>2.212</v>
      </c>
      <c r="K252" s="107" t="s">
        <v>964</v>
      </c>
      <c r="L252" s="108" t="s">
        <v>101</v>
      </c>
      <c r="M252" s="2"/>
      <c r="N252" s="108" t="s">
        <v>959</v>
      </c>
      <c r="O252" s="107" t="n">
        <v>38167</v>
      </c>
      <c r="P252" s="107" t="n">
        <v>3</v>
      </c>
      <c r="Q252" s="107" t="n">
        <v>0</v>
      </c>
      <c r="R252" s="107" t="s">
        <v>1081</v>
      </c>
    </row>
    <row r="253" customFormat="false" ht="15" hidden="false" customHeight="false" outlineLevel="0" collapsed="false">
      <c r="A253" s="107" t="s">
        <v>1194</v>
      </c>
      <c r="B253" s="107" t="s">
        <v>114</v>
      </c>
      <c r="C253" s="107" t="n">
        <v>5.764</v>
      </c>
      <c r="D253" s="107" t="n">
        <v>76.351</v>
      </c>
      <c r="E253" s="107" t="n">
        <v>105.256</v>
      </c>
      <c r="F253" s="107" t="n">
        <v>-1.2</v>
      </c>
      <c r="G253" s="107" t="n">
        <v>1.1</v>
      </c>
      <c r="H253" s="107" t="n">
        <v>-4.1</v>
      </c>
      <c r="I253" s="107" t="n">
        <v>-10.5</v>
      </c>
      <c r="J253" s="107" t="n">
        <v>2.329</v>
      </c>
      <c r="K253" s="107" t="s">
        <v>964</v>
      </c>
      <c r="L253" s="108" t="s">
        <v>94</v>
      </c>
      <c r="M253" s="2"/>
      <c r="N253" s="108" t="s">
        <v>959</v>
      </c>
      <c r="O253" s="107" t="n">
        <v>34578</v>
      </c>
      <c r="P253" s="107" t="n">
        <v>54.4</v>
      </c>
      <c r="Q253" s="107" t="n">
        <v>51946.016</v>
      </c>
      <c r="R253" s="107" t="s">
        <v>1158</v>
      </c>
    </row>
    <row r="254" customFormat="false" ht="15" hidden="false" customHeight="false" outlineLevel="0" collapsed="false">
      <c r="A254" s="107" t="s">
        <v>1195</v>
      </c>
      <c r="B254" s="107" t="s">
        <v>114</v>
      </c>
      <c r="C254" s="107" t="n">
        <v>6.087</v>
      </c>
      <c r="D254" s="107" t="n">
        <v>100.03</v>
      </c>
      <c r="E254" s="107" t="n">
        <v>133.771</v>
      </c>
      <c r="F254" s="107" t="n">
        <v>0.3</v>
      </c>
      <c r="G254" s="107" t="n">
        <v>4.7</v>
      </c>
      <c r="H254" s="107" t="n">
        <v>-1.1</v>
      </c>
      <c r="I254" s="107" t="n">
        <v>-2</v>
      </c>
      <c r="J254" s="107" t="n">
        <v>4.051</v>
      </c>
      <c r="K254" s="107" t="s">
        <v>956</v>
      </c>
      <c r="L254" s="108" t="s">
        <v>94</v>
      </c>
      <c r="M254" s="2"/>
      <c r="N254" s="108" t="s">
        <v>959</v>
      </c>
      <c r="O254" s="107" t="n">
        <v>28096</v>
      </c>
      <c r="P254" s="107" t="n">
        <v>3</v>
      </c>
      <c r="Q254" s="107" t="n">
        <v>1336.83</v>
      </c>
      <c r="R254" s="107" t="s">
        <v>1158</v>
      </c>
    </row>
    <row r="255" customFormat="false" ht="15" hidden="false" customHeight="false" outlineLevel="0" collapsed="false">
      <c r="A255" s="107" t="s">
        <v>516</v>
      </c>
      <c r="B255" s="107" t="s">
        <v>114</v>
      </c>
      <c r="C255" s="107" t="n">
        <v>5.923</v>
      </c>
      <c r="D255" s="107" t="n">
        <v>91.699</v>
      </c>
      <c r="E255" s="107" t="n">
        <v>125.229</v>
      </c>
      <c r="F255" s="107" t="n">
        <v>-1.3</v>
      </c>
      <c r="G255" s="107" t="n">
        <v>6.3</v>
      </c>
      <c r="H255" s="107" t="n">
        <v>1.4</v>
      </c>
      <c r="I255" s="107" t="n">
        <v>4.5</v>
      </c>
      <c r="J255" s="107" t="n">
        <v>4.178</v>
      </c>
      <c r="K255" s="107" t="s">
        <v>962</v>
      </c>
      <c r="L255" s="108" t="s">
        <v>94</v>
      </c>
      <c r="M255" s="107" t="s">
        <v>377</v>
      </c>
      <c r="N255" s="108" t="s">
        <v>90</v>
      </c>
      <c r="O255" s="107" t="n">
        <v>28096</v>
      </c>
      <c r="P255" s="107" t="n">
        <v>10</v>
      </c>
      <c r="Q255" s="107" t="n">
        <v>-5849.2</v>
      </c>
      <c r="R255" s="107" t="s">
        <v>1060</v>
      </c>
    </row>
    <row r="256" customFormat="false" ht="15" hidden="false" customHeight="false" outlineLevel="0" collapsed="false">
      <c r="A256" s="107" t="s">
        <v>1196</v>
      </c>
      <c r="B256" s="107" t="s">
        <v>114</v>
      </c>
      <c r="C256" s="107" t="n">
        <v>5.651</v>
      </c>
      <c r="D256" s="107" t="n">
        <v>56.385</v>
      </c>
      <c r="E256" s="107" t="n">
        <v>90.045</v>
      </c>
      <c r="F256" s="107" t="n">
        <v>-1.8</v>
      </c>
      <c r="G256" s="107" t="n">
        <v>2.8</v>
      </c>
      <c r="H256" s="107" t="n">
        <v>0.2</v>
      </c>
      <c r="I256" s="107" t="n">
        <v>0.9</v>
      </c>
      <c r="J256" s="107" t="n">
        <v>4.009</v>
      </c>
      <c r="K256" s="107" t="s">
        <v>956</v>
      </c>
      <c r="L256" s="108" t="s">
        <v>102</v>
      </c>
      <c r="M256" s="107" t="s">
        <v>367</v>
      </c>
      <c r="N256" s="108" t="s">
        <v>959</v>
      </c>
      <c r="O256" s="107" t="n">
        <v>42003</v>
      </c>
      <c r="P256" s="107" t="n">
        <v>0.6</v>
      </c>
      <c r="Q256" s="107" t="n">
        <v>-48.108</v>
      </c>
      <c r="R256" s="107" t="s">
        <v>1197</v>
      </c>
    </row>
    <row r="257" customFormat="false" ht="15" hidden="false" customHeight="false" outlineLevel="0" collapsed="false">
      <c r="A257" s="107" t="s">
        <v>1198</v>
      </c>
      <c r="B257" s="107" t="s">
        <v>114</v>
      </c>
      <c r="C257" s="107" t="n">
        <v>5.203</v>
      </c>
      <c r="D257" s="107" t="n">
        <v>20.232</v>
      </c>
      <c r="E257" s="107" t="n">
        <v>48.635</v>
      </c>
      <c r="F257" s="107" t="n">
        <v>-2.9</v>
      </c>
      <c r="G257" s="107" t="n">
        <v>2.1</v>
      </c>
      <c r="H257" s="107" t="n">
        <v>-0.9</v>
      </c>
      <c r="I257" s="107" t="n">
        <v>-8.3</v>
      </c>
      <c r="J257" s="107" t="n">
        <v>2.394</v>
      </c>
      <c r="K257" s="107" t="s">
        <v>964</v>
      </c>
      <c r="L257" s="108" t="s">
        <v>97</v>
      </c>
      <c r="M257" s="107" t="s">
        <v>361</v>
      </c>
      <c r="N257" s="108" t="s">
        <v>959</v>
      </c>
      <c r="O257" s="107" t="n">
        <v>42003</v>
      </c>
      <c r="P257" s="107" t="n">
        <v>1.74</v>
      </c>
      <c r="Q257" s="107" t="n">
        <v>374.9004</v>
      </c>
      <c r="R257" s="107" t="s">
        <v>1199</v>
      </c>
    </row>
    <row r="258" customFormat="false" ht="15" hidden="false" customHeight="false" outlineLevel="0" collapsed="false">
      <c r="A258" s="107" t="s">
        <v>1200</v>
      </c>
      <c r="B258" s="107" t="s">
        <v>114</v>
      </c>
      <c r="C258" s="107" t="n">
        <v>5.987</v>
      </c>
      <c r="D258" s="107" t="n">
        <v>90.057</v>
      </c>
      <c r="E258" s="107" t="n">
        <v>123.595</v>
      </c>
      <c r="F258" s="107" t="n">
        <v>-0.1</v>
      </c>
      <c r="G258" s="107" t="n">
        <v>3.3</v>
      </c>
      <c r="H258" s="107" t="n">
        <v>-1.8</v>
      </c>
      <c r="I258" s="107" t="n">
        <v>2.6</v>
      </c>
      <c r="J258" s="107" t="n">
        <v>4.141</v>
      </c>
      <c r="K258" s="107" t="s">
        <v>956</v>
      </c>
      <c r="L258" s="108" t="s">
        <v>94</v>
      </c>
      <c r="M258" s="107" t="s">
        <v>374</v>
      </c>
      <c r="N258" s="108" t="s">
        <v>959</v>
      </c>
      <c r="O258" s="107" t="s">
        <v>966</v>
      </c>
      <c r="P258" s="107" t="n">
        <v>0</v>
      </c>
      <c r="Q258" s="107" t="n">
        <v>0</v>
      </c>
      <c r="R258" s="107" t="s">
        <v>1180</v>
      </c>
    </row>
    <row r="259" customFormat="false" ht="15" hidden="false" customHeight="false" outlineLevel="0" collapsed="false">
      <c r="A259" s="107" t="s">
        <v>1201</v>
      </c>
      <c r="B259" s="107" t="s">
        <v>114</v>
      </c>
      <c r="C259" s="107" t="n">
        <v>5.805</v>
      </c>
      <c r="D259" s="107" t="n">
        <v>80.439</v>
      </c>
      <c r="E259" s="107" t="n">
        <v>107.912</v>
      </c>
      <c r="F259" s="107" t="n">
        <v>-1.4</v>
      </c>
      <c r="G259" s="107" t="n">
        <v>6.2</v>
      </c>
      <c r="H259" s="107" t="n">
        <v>-4.7</v>
      </c>
      <c r="I259" s="107" t="n">
        <v>-11</v>
      </c>
      <c r="J259" s="107" t="n">
        <v>2.57</v>
      </c>
      <c r="K259" s="107" t="s">
        <v>964</v>
      </c>
      <c r="L259" s="108" t="s">
        <v>94</v>
      </c>
      <c r="M259" s="2"/>
      <c r="N259" s="108" t="s">
        <v>959</v>
      </c>
      <c r="O259" s="107" t="n">
        <v>34507</v>
      </c>
      <c r="P259" s="107" t="n">
        <v>5</v>
      </c>
      <c r="Q259" s="107" t="n">
        <v>6039.5</v>
      </c>
      <c r="R259" s="107" t="s">
        <v>1158</v>
      </c>
    </row>
    <row r="260" customFormat="false" ht="15" hidden="false" customHeight="false" outlineLevel="0" collapsed="false">
      <c r="A260" s="107" t="s">
        <v>1202</v>
      </c>
      <c r="B260" s="107" t="s">
        <v>114</v>
      </c>
      <c r="C260" s="107" t="n">
        <v>6.11</v>
      </c>
      <c r="D260" s="107" t="n">
        <v>102.298</v>
      </c>
      <c r="E260" s="107" t="n">
        <v>135.753</v>
      </c>
      <c r="F260" s="107" t="n">
        <v>0.1</v>
      </c>
      <c r="G260" s="107" t="n">
        <v>4.9</v>
      </c>
      <c r="H260" s="107" t="n">
        <v>-2.3</v>
      </c>
      <c r="I260" s="107" t="n">
        <v>-5.8</v>
      </c>
      <c r="J260" s="107" t="n">
        <v>4.203</v>
      </c>
      <c r="K260" s="107" t="s">
        <v>956</v>
      </c>
      <c r="L260" s="108" t="s">
        <v>94</v>
      </c>
      <c r="M260" s="2"/>
      <c r="N260" s="108" t="s">
        <v>959</v>
      </c>
      <c r="O260" s="107" t="s">
        <v>1068</v>
      </c>
      <c r="P260" s="107" t="n">
        <v>17.5</v>
      </c>
      <c r="Q260" s="107" t="n">
        <v>16917.075</v>
      </c>
      <c r="R260" s="107" t="s">
        <v>1158</v>
      </c>
    </row>
    <row r="261" customFormat="false" ht="15" hidden="false" customHeight="false" outlineLevel="0" collapsed="false">
      <c r="A261" s="107" t="s">
        <v>522</v>
      </c>
      <c r="B261" s="107" t="s">
        <v>114</v>
      </c>
      <c r="C261" s="107" t="n">
        <v>5.96</v>
      </c>
      <c r="D261" s="107" t="n">
        <v>87.277</v>
      </c>
      <c r="E261" s="107" t="n">
        <v>120.749</v>
      </c>
      <c r="F261" s="107" t="n">
        <v>0</v>
      </c>
      <c r="G261" s="107" t="n">
        <v>4.6</v>
      </c>
      <c r="H261" s="107" t="n">
        <v>-2.8</v>
      </c>
      <c r="I261" s="107" t="n">
        <v>0.3</v>
      </c>
      <c r="J261" s="107" t="n">
        <v>4.206</v>
      </c>
      <c r="K261" s="107" t="s">
        <v>956</v>
      </c>
      <c r="L261" s="108" t="s">
        <v>94</v>
      </c>
      <c r="M261" s="107" t="s">
        <v>374</v>
      </c>
      <c r="N261" s="108" t="s">
        <v>959</v>
      </c>
      <c r="O261" s="107" t="s">
        <v>1080</v>
      </c>
      <c r="P261" s="107" t="n">
        <v>5</v>
      </c>
      <c r="Q261" s="107" t="n">
        <v>5888.4</v>
      </c>
      <c r="R261" s="107" t="s">
        <v>1188</v>
      </c>
    </row>
    <row r="262" customFormat="false" ht="15" hidden="false" customHeight="false" outlineLevel="0" collapsed="false">
      <c r="A262" s="107" t="s">
        <v>1203</v>
      </c>
      <c r="B262" s="107" t="s">
        <v>114</v>
      </c>
      <c r="C262" s="107" t="n">
        <v>5.615</v>
      </c>
      <c r="D262" s="107" t="n">
        <v>61.473</v>
      </c>
      <c r="E262" s="107" t="n">
        <v>89.031</v>
      </c>
      <c r="F262" s="107" t="n">
        <v>-1.6</v>
      </c>
      <c r="G262" s="107" t="n">
        <v>0.7</v>
      </c>
      <c r="H262" s="107" t="n">
        <v>-8.8</v>
      </c>
      <c r="I262" s="107" t="n">
        <v>-12.7</v>
      </c>
      <c r="J262" s="107" t="n">
        <v>2.558</v>
      </c>
      <c r="K262" s="107" t="s">
        <v>964</v>
      </c>
      <c r="L262" s="108" t="s">
        <v>94</v>
      </c>
      <c r="M262" s="107" t="s">
        <v>374</v>
      </c>
      <c r="N262" s="108" t="s">
        <v>959</v>
      </c>
      <c r="O262" s="107" t="s">
        <v>1204</v>
      </c>
      <c r="P262" s="107" t="n">
        <v>7</v>
      </c>
      <c r="Q262" s="107" t="n">
        <v>15757.28</v>
      </c>
      <c r="R262" s="107" t="s">
        <v>1188</v>
      </c>
    </row>
    <row r="263" customFormat="false" ht="15" hidden="false" customHeight="false" outlineLevel="0" collapsed="false">
      <c r="A263" s="107" t="s">
        <v>1205</v>
      </c>
      <c r="B263" s="107" t="s">
        <v>114</v>
      </c>
      <c r="C263" s="107" t="n">
        <v>5.607</v>
      </c>
      <c r="D263" s="107" t="n">
        <v>60.626</v>
      </c>
      <c r="E263" s="107" t="n">
        <v>86.749</v>
      </c>
      <c r="F263" s="107" t="n">
        <v>1.1</v>
      </c>
      <c r="G263" s="107" t="n">
        <v>13.5</v>
      </c>
      <c r="H263" s="107" t="n">
        <v>-0.4</v>
      </c>
      <c r="I263" s="107" t="n">
        <v>-1.2</v>
      </c>
      <c r="J263" s="107" t="n">
        <v>3.051</v>
      </c>
      <c r="K263" s="107" t="s">
        <v>956</v>
      </c>
      <c r="L263" s="108" t="s">
        <v>95</v>
      </c>
      <c r="M263" s="107" t="s">
        <v>374</v>
      </c>
      <c r="N263" s="108" t="s">
        <v>959</v>
      </c>
      <c r="O263" s="107" t="s">
        <v>966</v>
      </c>
      <c r="P263" s="107" t="n">
        <v>0.2</v>
      </c>
      <c r="Q263" s="107" t="n">
        <v>24.408</v>
      </c>
      <c r="R263" s="107" t="s">
        <v>1183</v>
      </c>
    </row>
    <row r="264" customFormat="false" ht="15" hidden="false" customHeight="false" outlineLevel="0" collapsed="false">
      <c r="A264" s="107" t="s">
        <v>1206</v>
      </c>
      <c r="B264" s="107" t="s">
        <v>114</v>
      </c>
      <c r="C264" s="107" t="n">
        <v>5.349</v>
      </c>
      <c r="D264" s="107" t="n">
        <v>34.912</v>
      </c>
      <c r="E264" s="107" t="n">
        <v>62.116</v>
      </c>
      <c r="F264" s="107" t="n">
        <v>-1.2</v>
      </c>
      <c r="G264" s="107" t="n">
        <v>2.4</v>
      </c>
      <c r="H264" s="107" t="n">
        <v>-5.5</v>
      </c>
      <c r="I264" s="107" t="n">
        <v>-17.4</v>
      </c>
      <c r="J264" s="107" t="n">
        <v>2.644</v>
      </c>
      <c r="K264" s="107" t="s">
        <v>964</v>
      </c>
      <c r="L264" s="108" t="s">
        <v>100</v>
      </c>
      <c r="M264" s="107" t="s">
        <v>361</v>
      </c>
      <c r="N264" s="108" t="s">
        <v>959</v>
      </c>
      <c r="O264" s="107" t="s">
        <v>966</v>
      </c>
      <c r="P264" s="107" t="n">
        <v>2.5</v>
      </c>
      <c r="Q264" s="107" t="n">
        <v>3635.5</v>
      </c>
      <c r="R264" s="107" t="s">
        <v>1145</v>
      </c>
    </row>
    <row r="265" customFormat="false" ht="15" hidden="false" customHeight="false" outlineLevel="0" collapsed="false">
      <c r="A265" s="107" t="s">
        <v>630</v>
      </c>
      <c r="B265" s="107" t="s">
        <v>114</v>
      </c>
      <c r="C265" s="107" t="n">
        <v>5.616</v>
      </c>
      <c r="D265" s="107" t="n">
        <v>61.571</v>
      </c>
      <c r="E265" s="107" t="n">
        <v>88.787</v>
      </c>
      <c r="F265" s="107" t="n">
        <v>-2</v>
      </c>
      <c r="G265" s="107" t="n">
        <v>0.4</v>
      </c>
      <c r="H265" s="107" t="n">
        <v>-5.7</v>
      </c>
      <c r="I265" s="107" t="n">
        <v>-22.9</v>
      </c>
      <c r="J265" s="107" t="n">
        <v>2.632</v>
      </c>
      <c r="K265" s="107" t="s">
        <v>964</v>
      </c>
      <c r="L265" s="108" t="s">
        <v>97</v>
      </c>
      <c r="M265" s="107" t="s">
        <v>374</v>
      </c>
      <c r="N265" s="108" t="s">
        <v>959</v>
      </c>
      <c r="O265" s="107" t="s">
        <v>966</v>
      </c>
      <c r="P265" s="107" t="n">
        <v>0.2</v>
      </c>
      <c r="Q265" s="107" t="n">
        <v>300.048</v>
      </c>
      <c r="R265" s="107" t="s">
        <v>1207</v>
      </c>
    </row>
    <row r="266" customFormat="false" ht="15" hidden="false" customHeight="false" outlineLevel="0" collapsed="false">
      <c r="A266" s="107" t="s">
        <v>1208</v>
      </c>
      <c r="B266" s="107" t="s">
        <v>114</v>
      </c>
      <c r="C266" s="107" t="n">
        <v>5.462</v>
      </c>
      <c r="D266" s="107" t="n">
        <v>46.213</v>
      </c>
      <c r="E266" s="107" t="n">
        <v>73.245</v>
      </c>
      <c r="F266" s="107" t="n">
        <v>-0.9</v>
      </c>
      <c r="G266" s="107" t="n">
        <v>-0.3</v>
      </c>
      <c r="H266" s="107" t="n">
        <v>-2.7</v>
      </c>
      <c r="I266" s="107" t="n">
        <v>-6</v>
      </c>
      <c r="J266" s="107" t="n">
        <v>2.679</v>
      </c>
      <c r="K266" s="107" t="s">
        <v>964</v>
      </c>
      <c r="L266" s="108" t="s">
        <v>101</v>
      </c>
      <c r="M266" s="2"/>
      <c r="N266" s="108" t="s">
        <v>959</v>
      </c>
      <c r="O266" s="107" t="s">
        <v>966</v>
      </c>
      <c r="P266" s="107" t="n">
        <v>0.2</v>
      </c>
      <c r="Q266" s="107" t="n">
        <v>144.666</v>
      </c>
      <c r="R266" s="107" t="s">
        <v>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2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28"/>
  </cols>
  <sheetData>
    <row r="1" customFormat="false" ht="21.6" hidden="false" customHeight="false" outlineLevel="0" collapsed="false">
      <c r="A1" s="1" t="s">
        <v>1209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1210</v>
      </c>
      <c r="B2" s="2"/>
      <c r="C2" s="2"/>
      <c r="D2" s="2"/>
      <c r="E2" s="2"/>
      <c r="F2" s="2"/>
      <c r="G2" s="2"/>
      <c r="H2" s="19" t="s">
        <v>1211</v>
      </c>
      <c r="I2" s="2"/>
      <c r="J2" s="2"/>
    </row>
    <row r="3" customFormat="false" ht="15" hidden="false" customHeight="false" outlineLevel="0" collapsed="false">
      <c r="A3" s="5" t="s">
        <v>213</v>
      </c>
      <c r="B3" s="5" t="s">
        <v>1212</v>
      </c>
      <c r="C3" s="5" t="s">
        <v>123</v>
      </c>
      <c r="D3" s="5" t="s">
        <v>158</v>
      </c>
      <c r="E3" s="5" t="s">
        <v>124</v>
      </c>
      <c r="F3" s="5" t="s">
        <v>1213</v>
      </c>
      <c r="G3" s="2"/>
      <c r="H3" s="5" t="s">
        <v>1214</v>
      </c>
      <c r="I3" s="5" t="s">
        <v>1215</v>
      </c>
      <c r="J3" s="5" t="s">
        <v>1213</v>
      </c>
    </row>
    <row r="4" customFormat="false" ht="15" hidden="false" customHeight="false" outlineLevel="0" collapsed="false">
      <c r="A4" s="43" t="s">
        <v>704</v>
      </c>
      <c r="B4" s="43" t="s">
        <v>983</v>
      </c>
      <c r="C4" s="108" t="s">
        <v>82</v>
      </c>
      <c r="D4" s="108" t="s">
        <v>90</v>
      </c>
      <c r="E4" s="108" t="s">
        <v>94</v>
      </c>
      <c r="F4" s="43"/>
      <c r="G4" s="2"/>
      <c r="H4" s="107" t="s">
        <v>754</v>
      </c>
      <c r="I4" s="107" t="s">
        <v>758</v>
      </c>
      <c r="J4" s="70" t="s">
        <v>1216</v>
      </c>
    </row>
    <row r="5" customFormat="false" ht="15" hidden="false" customHeight="false" outlineLevel="0" collapsed="false">
      <c r="A5" s="43" t="s">
        <v>734</v>
      </c>
      <c r="B5" s="43" t="s">
        <v>1142</v>
      </c>
      <c r="C5" s="108" t="s">
        <v>88</v>
      </c>
      <c r="D5" s="108" t="s">
        <v>959</v>
      </c>
      <c r="E5" s="108" t="s">
        <v>94</v>
      </c>
      <c r="F5" s="43"/>
      <c r="G5" s="2"/>
      <c r="H5" s="107" t="s">
        <v>608</v>
      </c>
      <c r="I5" s="107" t="s">
        <v>1152</v>
      </c>
      <c r="J5" s="70" t="s">
        <v>1217</v>
      </c>
    </row>
    <row r="6" customFormat="false" ht="15" hidden="false" customHeight="false" outlineLevel="0" collapsed="false">
      <c r="A6" s="43" t="s">
        <v>385</v>
      </c>
      <c r="B6" s="43" t="s">
        <v>980</v>
      </c>
      <c r="C6" s="108" t="s">
        <v>79</v>
      </c>
      <c r="D6" s="108" t="s">
        <v>79</v>
      </c>
      <c r="E6" s="108" t="s">
        <v>96</v>
      </c>
      <c r="F6" s="43"/>
      <c r="G6" s="2"/>
      <c r="H6" s="112"/>
      <c r="I6" s="112"/>
      <c r="J6" s="70"/>
    </row>
    <row r="7" customFormat="false" ht="15" hidden="false" customHeight="false" outlineLevel="0" collapsed="false">
      <c r="A7" s="43" t="s">
        <v>701</v>
      </c>
      <c r="B7" s="43" t="s">
        <v>976</v>
      </c>
      <c r="C7" s="108" t="s">
        <v>79</v>
      </c>
      <c r="D7" s="108" t="s">
        <v>79</v>
      </c>
      <c r="E7" s="108" t="s">
        <v>94</v>
      </c>
      <c r="F7" s="43"/>
      <c r="G7" s="2"/>
      <c r="H7" s="112"/>
      <c r="I7" s="112"/>
      <c r="J7" s="70"/>
    </row>
    <row r="8" customFormat="false" ht="15" hidden="false" customHeight="false" outlineLevel="0" collapsed="false">
      <c r="A8" s="43" t="s">
        <v>376</v>
      </c>
      <c r="B8" s="43" t="s">
        <v>978</v>
      </c>
      <c r="C8" s="108" t="s">
        <v>81</v>
      </c>
      <c r="D8" s="108" t="s">
        <v>90</v>
      </c>
      <c r="E8" s="108" t="s">
        <v>94</v>
      </c>
      <c r="F8" s="43"/>
      <c r="G8" s="2"/>
      <c r="H8" s="112"/>
      <c r="I8" s="112"/>
      <c r="J8" s="70"/>
    </row>
    <row r="9" customFormat="false" ht="15" hidden="false" customHeight="false" outlineLevel="0" collapsed="false">
      <c r="A9" s="43" t="s">
        <v>756</v>
      </c>
      <c r="B9" s="43" t="s">
        <v>1176</v>
      </c>
      <c r="C9" s="108" t="s">
        <v>84</v>
      </c>
      <c r="D9" s="108" t="s">
        <v>90</v>
      </c>
      <c r="E9" s="108" t="s">
        <v>101</v>
      </c>
      <c r="F9" s="43"/>
      <c r="G9" s="2"/>
      <c r="H9" s="112"/>
      <c r="I9" s="112"/>
      <c r="J9" s="70"/>
    </row>
    <row r="10" customFormat="false" ht="15" hidden="false" customHeight="false" outlineLevel="0" collapsed="false">
      <c r="A10" s="43" t="s">
        <v>524</v>
      </c>
      <c r="B10" s="43" t="s">
        <v>957</v>
      </c>
      <c r="C10" s="108" t="s">
        <v>82</v>
      </c>
      <c r="D10" s="108" t="s">
        <v>90</v>
      </c>
      <c r="E10" s="108" t="s">
        <v>94</v>
      </c>
      <c r="F10" s="43"/>
      <c r="G10" s="2"/>
      <c r="H10" s="112"/>
      <c r="I10" s="112"/>
      <c r="J10" s="70"/>
    </row>
    <row r="11" customFormat="false" ht="15" hidden="false" customHeight="false" outlineLevel="0" collapsed="false">
      <c r="A11" s="43" t="s">
        <v>498</v>
      </c>
      <c r="B11" s="43" t="s">
        <v>1012</v>
      </c>
      <c r="C11" s="108" t="s">
        <v>78</v>
      </c>
      <c r="D11" s="108" t="s">
        <v>959</v>
      </c>
      <c r="E11" s="108" t="s">
        <v>94</v>
      </c>
      <c r="F11" s="43"/>
      <c r="G11" s="2"/>
      <c r="H11" s="112"/>
      <c r="I11" s="112"/>
      <c r="J11" s="70"/>
    </row>
    <row r="12" customFormat="false" ht="15" hidden="false" customHeight="false" outlineLevel="0" collapsed="false">
      <c r="A12" s="43" t="s">
        <v>504</v>
      </c>
      <c r="B12" s="43" t="s">
        <v>1158</v>
      </c>
      <c r="C12" s="108" t="s">
        <v>78</v>
      </c>
      <c r="D12" s="108" t="s">
        <v>959</v>
      </c>
      <c r="E12" s="108" t="s">
        <v>94</v>
      </c>
      <c r="F12" s="43"/>
      <c r="G12" s="2"/>
      <c r="H12" s="112"/>
      <c r="I12" s="112"/>
      <c r="J12" s="70"/>
    </row>
    <row r="13" customFormat="false" ht="15" hidden="false" customHeight="false" outlineLevel="0" collapsed="false">
      <c r="A13" s="43" t="s">
        <v>501</v>
      </c>
      <c r="B13" s="43" t="s">
        <v>1163</v>
      </c>
      <c r="C13" s="108" t="s">
        <v>78</v>
      </c>
      <c r="D13" s="108" t="s">
        <v>959</v>
      </c>
      <c r="E13" s="108" t="s">
        <v>94</v>
      </c>
      <c r="F13" s="43"/>
      <c r="G13" s="2"/>
      <c r="H13" s="112"/>
      <c r="I13" s="112"/>
      <c r="J13" s="70"/>
    </row>
    <row r="14" customFormat="false" ht="15" hidden="false" customHeight="false" outlineLevel="0" collapsed="false">
      <c r="A14" s="43" t="s">
        <v>360</v>
      </c>
      <c r="B14" s="43" t="s">
        <v>965</v>
      </c>
      <c r="C14" s="108" t="s">
        <v>78</v>
      </c>
      <c r="D14" s="108" t="s">
        <v>959</v>
      </c>
      <c r="E14" s="108" t="s">
        <v>102</v>
      </c>
      <c r="F14" s="43"/>
      <c r="G14" s="2"/>
      <c r="H14" s="112"/>
      <c r="I14" s="112"/>
      <c r="J14" s="70"/>
    </row>
    <row r="15" customFormat="false" ht="15" hidden="false" customHeight="false" outlineLevel="0" collapsed="false">
      <c r="A15" s="43" t="s">
        <v>1218</v>
      </c>
      <c r="B15" s="43" t="s">
        <v>972</v>
      </c>
      <c r="C15" s="108" t="s">
        <v>79</v>
      </c>
      <c r="D15" s="108" t="s">
        <v>79</v>
      </c>
      <c r="E15" s="108" t="s">
        <v>103</v>
      </c>
      <c r="F15" s="43"/>
      <c r="G15" s="2"/>
      <c r="H15" s="112"/>
      <c r="I15" s="112"/>
      <c r="J15" s="70"/>
    </row>
    <row r="16" customFormat="false" ht="15" hidden="false" customHeight="false" outlineLevel="0" collapsed="false">
      <c r="A16" s="43" t="s">
        <v>388</v>
      </c>
      <c r="B16" s="43" t="s">
        <v>996</v>
      </c>
      <c r="C16" s="108" t="s">
        <v>79</v>
      </c>
      <c r="D16" s="108" t="s">
        <v>79</v>
      </c>
      <c r="E16" s="108" t="s">
        <v>94</v>
      </c>
      <c r="F16" s="43"/>
      <c r="G16" s="2"/>
      <c r="H16" s="2"/>
      <c r="I16" s="2"/>
      <c r="J16" s="2"/>
    </row>
    <row r="17" customFormat="false" ht="15" hidden="false" customHeight="false" outlineLevel="0" collapsed="false">
      <c r="A17" s="43" t="s">
        <v>466</v>
      </c>
      <c r="B17" s="43" t="s">
        <v>1077</v>
      </c>
      <c r="C17" s="108" t="s">
        <v>78</v>
      </c>
      <c r="D17" s="108" t="s">
        <v>959</v>
      </c>
      <c r="E17" s="108" t="s">
        <v>98</v>
      </c>
      <c r="F17" s="43"/>
      <c r="G17" s="2"/>
      <c r="H17" s="2"/>
      <c r="I17" s="2"/>
      <c r="J17" s="2"/>
    </row>
    <row r="18" customFormat="false" ht="15" hidden="false" customHeight="false" outlineLevel="0" collapsed="false">
      <c r="A18" s="43" t="s">
        <v>1219</v>
      </c>
      <c r="B18" s="43" t="s">
        <v>1180</v>
      </c>
      <c r="C18" s="108" t="s">
        <v>78</v>
      </c>
      <c r="D18" s="108" t="s">
        <v>959</v>
      </c>
      <c r="E18" s="108" t="s">
        <v>94</v>
      </c>
      <c r="F18" s="43"/>
      <c r="G18" s="2"/>
      <c r="H18" s="2"/>
      <c r="I18" s="2"/>
      <c r="J18" s="2"/>
    </row>
    <row r="19" customFormat="false" ht="15" hidden="false" customHeight="false" outlineLevel="0" collapsed="false">
      <c r="A19" s="43" t="s">
        <v>692</v>
      </c>
      <c r="B19" s="43" t="s">
        <v>1191</v>
      </c>
      <c r="C19" s="108" t="s">
        <v>78</v>
      </c>
      <c r="D19" s="108" t="s">
        <v>959</v>
      </c>
      <c r="E19" s="108" t="s">
        <v>94</v>
      </c>
      <c r="F19" s="43"/>
      <c r="G19" s="2"/>
      <c r="H19" s="2"/>
      <c r="I19" s="2"/>
      <c r="J19" s="2"/>
    </row>
    <row r="20" customFormat="false" ht="15" hidden="false" customHeight="false" outlineLevel="0" collapsed="false">
      <c r="A20" s="43" t="s">
        <v>892</v>
      </c>
      <c r="B20" s="43" t="s">
        <v>1156</v>
      </c>
      <c r="C20" s="108" t="s">
        <v>78</v>
      </c>
      <c r="D20" s="108" t="s">
        <v>959</v>
      </c>
      <c r="E20" s="108" t="s">
        <v>103</v>
      </c>
      <c r="F20" s="43"/>
      <c r="G20" s="2"/>
      <c r="H20" s="2"/>
      <c r="I20" s="2"/>
      <c r="J20" s="2"/>
    </row>
    <row r="21" customFormat="false" ht="15" hidden="false" customHeight="false" outlineLevel="0" collapsed="false">
      <c r="A21" s="43" t="s">
        <v>834</v>
      </c>
      <c r="B21" s="43" t="s">
        <v>1087</v>
      </c>
      <c r="C21" s="108" t="s">
        <v>78</v>
      </c>
      <c r="D21" s="108" t="s">
        <v>959</v>
      </c>
      <c r="E21" s="108" t="s">
        <v>102</v>
      </c>
      <c r="F21" s="43"/>
      <c r="G21" s="2"/>
      <c r="H21" s="2"/>
      <c r="I21" s="2"/>
      <c r="J21" s="2"/>
    </row>
    <row r="22" customFormat="false" ht="15" hidden="false" customHeight="false" outlineLevel="0" collapsed="false">
      <c r="A22" s="43" t="s">
        <v>394</v>
      </c>
      <c r="B22" s="43" t="s">
        <v>997</v>
      </c>
      <c r="C22" s="108" t="s">
        <v>81</v>
      </c>
      <c r="D22" s="108" t="s">
        <v>90</v>
      </c>
      <c r="E22" s="108" t="s">
        <v>94</v>
      </c>
      <c r="F22" s="43"/>
      <c r="G22" s="2"/>
      <c r="H22" s="2"/>
      <c r="I22" s="2"/>
      <c r="J22" s="2"/>
    </row>
    <row r="23" customFormat="false" ht="15" hidden="false" customHeight="false" outlineLevel="0" collapsed="false">
      <c r="A23" s="43" t="s">
        <v>629</v>
      </c>
      <c r="B23" s="43" t="s">
        <v>970</v>
      </c>
      <c r="C23" s="108" t="s">
        <v>78</v>
      </c>
      <c r="D23" s="108" t="s">
        <v>959</v>
      </c>
      <c r="E23" s="108" t="s">
        <v>94</v>
      </c>
      <c r="F23" s="43"/>
      <c r="G23" s="2"/>
      <c r="H23" s="2"/>
      <c r="I23" s="2"/>
      <c r="J23" s="2"/>
    </row>
    <row r="24" customFormat="false" ht="15" hidden="false" customHeight="false" outlineLevel="0" collapsed="false">
      <c r="A24" s="43" t="s">
        <v>399</v>
      </c>
      <c r="B24" s="43" t="s">
        <v>1000</v>
      </c>
      <c r="C24" s="108" t="s">
        <v>79</v>
      </c>
      <c r="D24" s="108" t="s">
        <v>79</v>
      </c>
      <c r="E24" s="108" t="s">
        <v>101</v>
      </c>
      <c r="F24" s="43"/>
      <c r="G24" s="2"/>
      <c r="H24" s="2"/>
      <c r="I24" s="2"/>
      <c r="J24" s="2"/>
    </row>
    <row r="25" customFormat="false" ht="15" hidden="false" customHeight="false" outlineLevel="0" collapsed="false">
      <c r="A25" s="43" t="s">
        <v>469</v>
      </c>
      <c r="B25" s="43" t="s">
        <v>1081</v>
      </c>
      <c r="C25" s="108" t="s">
        <v>78</v>
      </c>
      <c r="D25" s="108" t="s">
        <v>959</v>
      </c>
      <c r="E25" s="108" t="s">
        <v>101</v>
      </c>
      <c r="F25" s="43"/>
      <c r="G25" s="2"/>
      <c r="H25" s="2"/>
      <c r="I25" s="2"/>
      <c r="J25" s="2"/>
    </row>
    <row r="26" customFormat="false" ht="15" hidden="false" customHeight="false" outlineLevel="0" collapsed="false">
      <c r="A26" s="43" t="s">
        <v>489</v>
      </c>
      <c r="B26" s="43" t="s">
        <v>1131</v>
      </c>
      <c r="C26" s="108" t="s">
        <v>78</v>
      </c>
      <c r="D26" s="108" t="s">
        <v>959</v>
      </c>
      <c r="E26" s="108" t="s">
        <v>96</v>
      </c>
      <c r="F26" s="43"/>
      <c r="G26" s="2"/>
      <c r="H26" s="2"/>
      <c r="I26" s="2"/>
      <c r="J26" s="2"/>
    </row>
    <row r="27" customFormat="false" ht="15" hidden="false" customHeight="false" outlineLevel="0" collapsed="false">
      <c r="A27" s="43" t="s">
        <v>884</v>
      </c>
      <c r="B27" s="43" t="s">
        <v>1147</v>
      </c>
      <c r="C27" s="108" t="s">
        <v>78</v>
      </c>
      <c r="D27" s="108" t="s">
        <v>959</v>
      </c>
      <c r="E27" s="108" t="s">
        <v>94</v>
      </c>
      <c r="F27" s="43"/>
      <c r="G27" s="2"/>
      <c r="H27" s="2"/>
      <c r="I27" s="2"/>
      <c r="J27" s="2"/>
    </row>
    <row r="28" customFormat="false" ht="15" hidden="false" customHeight="false" outlineLevel="0" collapsed="false">
      <c r="A28" s="43" t="s">
        <v>795</v>
      </c>
      <c r="B28" s="43" t="s">
        <v>1006</v>
      </c>
      <c r="C28" s="108" t="s">
        <v>78</v>
      </c>
      <c r="D28" s="108" t="s">
        <v>959</v>
      </c>
      <c r="E28" s="108" t="s">
        <v>102</v>
      </c>
      <c r="F28" s="43"/>
      <c r="G28" s="2"/>
      <c r="H28" s="2"/>
      <c r="I28" s="2"/>
      <c r="J28" s="2"/>
    </row>
    <row r="29" customFormat="false" ht="15" hidden="false" customHeight="false" outlineLevel="0" collapsed="false">
      <c r="A29" s="43" t="s">
        <v>1220</v>
      </c>
      <c r="B29" s="43" t="s">
        <v>1008</v>
      </c>
      <c r="C29" s="108" t="s">
        <v>85</v>
      </c>
      <c r="D29" s="108" t="s">
        <v>90</v>
      </c>
      <c r="E29" s="108" t="s">
        <v>94</v>
      </c>
      <c r="F29" s="43"/>
      <c r="G29" s="2"/>
      <c r="H29" s="2"/>
      <c r="I29" s="2"/>
      <c r="J29" s="2"/>
    </row>
    <row r="30" customFormat="false" ht="15" hidden="false" customHeight="false" outlineLevel="0" collapsed="false">
      <c r="A30" s="43" t="s">
        <v>736</v>
      </c>
      <c r="B30" s="43" t="s">
        <v>1143</v>
      </c>
      <c r="C30" s="108" t="s">
        <v>80</v>
      </c>
      <c r="D30" s="108" t="s">
        <v>959</v>
      </c>
      <c r="E30" s="108" t="s">
        <v>95</v>
      </c>
      <c r="F30" s="43"/>
      <c r="G30" s="2"/>
      <c r="H30" s="2"/>
      <c r="I30" s="2"/>
      <c r="J30" s="2"/>
    </row>
    <row r="31" customFormat="false" ht="15" hidden="false" customHeight="false" outlineLevel="0" collapsed="false">
      <c r="A31" s="43" t="s">
        <v>538</v>
      </c>
      <c r="B31" s="43" t="s">
        <v>1009</v>
      </c>
      <c r="C31" s="108" t="s">
        <v>79</v>
      </c>
      <c r="D31" s="108" t="s">
        <v>79</v>
      </c>
      <c r="E31" s="108" t="s">
        <v>94</v>
      </c>
      <c r="F31" s="43"/>
      <c r="G31" s="2"/>
      <c r="H31" s="2"/>
      <c r="I31" s="2"/>
      <c r="J31" s="2"/>
    </row>
    <row r="32" customFormat="false" ht="15" hidden="false" customHeight="false" outlineLevel="0" collapsed="false">
      <c r="A32" s="43" t="s">
        <v>670</v>
      </c>
      <c r="B32" s="43" t="s">
        <v>1014</v>
      </c>
      <c r="C32" s="108" t="s">
        <v>78</v>
      </c>
      <c r="D32" s="108" t="s">
        <v>959</v>
      </c>
      <c r="E32" s="108" t="s">
        <v>102</v>
      </c>
      <c r="F32" s="43"/>
      <c r="G32" s="2"/>
      <c r="H32" s="2"/>
      <c r="I32" s="2"/>
      <c r="J32" s="2"/>
    </row>
    <row r="33" customFormat="false" ht="15" hidden="false" customHeight="false" outlineLevel="0" collapsed="false">
      <c r="A33" s="43" t="s">
        <v>826</v>
      </c>
      <c r="B33" s="43" t="s">
        <v>1083</v>
      </c>
      <c r="C33" s="108" t="s">
        <v>78</v>
      </c>
      <c r="D33" s="108" t="s">
        <v>959</v>
      </c>
      <c r="E33" s="108" t="s">
        <v>102</v>
      </c>
      <c r="F33" s="43"/>
      <c r="G33" s="2"/>
      <c r="H33" s="2"/>
      <c r="I33" s="2"/>
      <c r="J33" s="2"/>
    </row>
    <row r="34" customFormat="false" ht="15" hidden="false" customHeight="false" outlineLevel="0" collapsed="false">
      <c r="A34" s="43" t="s">
        <v>898</v>
      </c>
      <c r="B34" s="43" t="s">
        <v>1170</v>
      </c>
      <c r="C34" s="108" t="s">
        <v>78</v>
      </c>
      <c r="D34" s="108" t="s">
        <v>959</v>
      </c>
      <c r="E34" s="108" t="s">
        <v>102</v>
      </c>
      <c r="F34" s="43"/>
      <c r="G34" s="2"/>
      <c r="H34" s="2"/>
      <c r="I34" s="2"/>
      <c r="J34" s="2"/>
    </row>
    <row r="35" customFormat="false" ht="15" hidden="false" customHeight="false" outlineLevel="0" collapsed="false">
      <c r="A35" s="43" t="s">
        <v>694</v>
      </c>
      <c r="B35" s="43" t="s">
        <v>963</v>
      </c>
      <c r="C35" s="108" t="s">
        <v>78</v>
      </c>
      <c r="D35" s="108" t="s">
        <v>959</v>
      </c>
      <c r="E35" s="108" t="s">
        <v>100</v>
      </c>
      <c r="F35" s="43"/>
      <c r="G35" s="2"/>
      <c r="H35" s="2"/>
      <c r="I35" s="2"/>
      <c r="J35" s="2"/>
    </row>
    <row r="36" customFormat="false" ht="15" hidden="false" customHeight="false" outlineLevel="0" collapsed="false">
      <c r="A36" s="43" t="s">
        <v>677</v>
      </c>
      <c r="B36" s="43" t="s">
        <v>1090</v>
      </c>
      <c r="C36" s="108" t="s">
        <v>78</v>
      </c>
      <c r="D36" s="108" t="s">
        <v>959</v>
      </c>
      <c r="E36" s="108" t="s">
        <v>100</v>
      </c>
      <c r="F36" s="43"/>
      <c r="G36" s="2"/>
      <c r="H36" s="2"/>
      <c r="I36" s="2"/>
      <c r="J36" s="2"/>
    </row>
    <row r="37" customFormat="false" ht="15" hidden="false" customHeight="false" outlineLevel="0" collapsed="false">
      <c r="A37" s="43" t="s">
        <v>903</v>
      </c>
      <c r="B37" s="43" t="s">
        <v>1174</v>
      </c>
      <c r="C37" s="108" t="s">
        <v>78</v>
      </c>
      <c r="D37" s="108" t="s">
        <v>959</v>
      </c>
      <c r="E37" s="108" t="s">
        <v>102</v>
      </c>
      <c r="F37" s="43"/>
      <c r="G37" s="2"/>
      <c r="H37" s="2"/>
      <c r="I37" s="2"/>
      <c r="J37" s="2"/>
    </row>
    <row r="38" customFormat="false" ht="15" hidden="false" customHeight="false" outlineLevel="0" collapsed="false">
      <c r="A38" s="43" t="s">
        <v>1221</v>
      </c>
      <c r="B38" s="43" t="s">
        <v>1145</v>
      </c>
      <c r="C38" s="108" t="s">
        <v>78</v>
      </c>
      <c r="D38" s="108" t="s">
        <v>959</v>
      </c>
      <c r="E38" s="108" t="s">
        <v>100</v>
      </c>
      <c r="F38" s="43"/>
      <c r="G38" s="2"/>
      <c r="H38" s="2"/>
      <c r="I38" s="2"/>
      <c r="J38" s="2"/>
    </row>
    <row r="39" customFormat="false" ht="15" hidden="false" customHeight="false" outlineLevel="0" collapsed="false">
      <c r="A39" s="43" t="s">
        <v>887</v>
      </c>
      <c r="B39" s="43" t="s">
        <v>1151</v>
      </c>
      <c r="C39" s="108" t="s">
        <v>78</v>
      </c>
      <c r="D39" s="108" t="s">
        <v>959</v>
      </c>
      <c r="E39" s="108" t="s">
        <v>102</v>
      </c>
      <c r="F39" s="43"/>
      <c r="G39" s="2"/>
      <c r="H39" s="2"/>
      <c r="I39" s="2"/>
      <c r="J39" s="2"/>
    </row>
    <row r="40" customFormat="false" ht="15" hidden="false" customHeight="false" outlineLevel="0" collapsed="false">
      <c r="A40" s="43" t="s">
        <v>923</v>
      </c>
      <c r="B40" s="43" t="s">
        <v>1199</v>
      </c>
      <c r="C40" s="108" t="s">
        <v>78</v>
      </c>
      <c r="D40" s="108" t="s">
        <v>959</v>
      </c>
      <c r="E40" s="108" t="s">
        <v>97</v>
      </c>
      <c r="F40" s="43"/>
      <c r="G40" s="2"/>
      <c r="H40" s="2"/>
      <c r="I40" s="2"/>
      <c r="J40" s="2"/>
    </row>
    <row r="41" customFormat="false" ht="15" hidden="false" customHeight="false" outlineLevel="0" collapsed="false">
      <c r="A41" s="43" t="s">
        <v>1222</v>
      </c>
      <c r="B41" s="43" t="s">
        <v>1023</v>
      </c>
      <c r="C41" s="108" t="s">
        <v>78</v>
      </c>
      <c r="D41" s="108" t="s">
        <v>959</v>
      </c>
      <c r="E41" s="108" t="s">
        <v>102</v>
      </c>
      <c r="F41" s="43"/>
      <c r="G41" s="2"/>
      <c r="H41" s="2"/>
      <c r="I41" s="2"/>
      <c r="J41" s="2"/>
    </row>
    <row r="42" customFormat="false" ht="15" hidden="false" customHeight="false" outlineLevel="0" collapsed="false">
      <c r="A42" s="43" t="s">
        <v>918</v>
      </c>
      <c r="B42" s="43" t="s">
        <v>968</v>
      </c>
      <c r="C42" s="108" t="s">
        <v>78</v>
      </c>
      <c r="D42" s="108" t="s">
        <v>959</v>
      </c>
      <c r="E42" s="108" t="s">
        <v>101</v>
      </c>
      <c r="F42" s="43"/>
      <c r="G42" s="2"/>
      <c r="H42" s="2"/>
      <c r="I42" s="2"/>
      <c r="J42" s="2"/>
    </row>
    <row r="43" customFormat="false" ht="15" hidden="false" customHeight="false" outlineLevel="0" collapsed="false">
      <c r="A43" s="43" t="s">
        <v>860</v>
      </c>
      <c r="B43" s="43" t="s">
        <v>1101</v>
      </c>
      <c r="C43" s="108" t="s">
        <v>78</v>
      </c>
      <c r="D43" s="108" t="s">
        <v>959</v>
      </c>
      <c r="E43" s="108" t="s">
        <v>103</v>
      </c>
      <c r="F43" s="43"/>
      <c r="G43" s="2"/>
      <c r="H43" s="2"/>
      <c r="I43" s="2"/>
      <c r="J43" s="2"/>
    </row>
    <row r="44" customFormat="false" ht="15" hidden="false" customHeight="false" outlineLevel="0" collapsed="false">
      <c r="A44" s="43" t="s">
        <v>549</v>
      </c>
      <c r="B44" s="43" t="s">
        <v>1020</v>
      </c>
      <c r="C44" s="108" t="s">
        <v>78</v>
      </c>
      <c r="D44" s="108" t="s">
        <v>959</v>
      </c>
      <c r="E44" s="108" t="s">
        <v>102</v>
      </c>
      <c r="F44" s="43"/>
      <c r="G44" s="2"/>
      <c r="H44" s="2"/>
      <c r="I44" s="2"/>
      <c r="J44" s="2"/>
    </row>
    <row r="45" customFormat="false" ht="15" hidden="false" customHeight="false" outlineLevel="0" collapsed="false">
      <c r="A45" s="43" t="s">
        <v>816</v>
      </c>
      <c r="B45" s="43" t="s">
        <v>1025</v>
      </c>
      <c r="C45" s="108" t="s">
        <v>78</v>
      </c>
      <c r="D45" s="108" t="s">
        <v>959</v>
      </c>
      <c r="E45" s="108" t="s">
        <v>102</v>
      </c>
      <c r="F45" s="43"/>
      <c r="G45" s="2"/>
      <c r="H45" s="2"/>
      <c r="I45" s="2"/>
      <c r="J45" s="2"/>
    </row>
    <row r="46" customFormat="false" ht="15" hidden="false" customHeight="false" outlineLevel="0" collapsed="false">
      <c r="A46" s="43" t="s">
        <v>849</v>
      </c>
      <c r="B46" s="43" t="s">
        <v>1096</v>
      </c>
      <c r="C46" s="108" t="s">
        <v>78</v>
      </c>
      <c r="D46" s="108" t="s">
        <v>959</v>
      </c>
      <c r="E46" s="108" t="s">
        <v>102</v>
      </c>
      <c r="F46" s="43"/>
      <c r="G46" s="2"/>
      <c r="H46" s="2"/>
      <c r="I46" s="2"/>
      <c r="J46" s="2"/>
    </row>
    <row r="47" customFormat="false" ht="15" hidden="false" customHeight="false" outlineLevel="0" collapsed="false">
      <c r="A47" s="43" t="s">
        <v>906</v>
      </c>
      <c r="B47" s="43" t="s">
        <v>1182</v>
      </c>
      <c r="C47" s="108" t="s">
        <v>78</v>
      </c>
      <c r="D47" s="108" t="s">
        <v>959</v>
      </c>
      <c r="E47" s="108" t="s">
        <v>102</v>
      </c>
      <c r="F47" s="43"/>
      <c r="G47" s="2"/>
      <c r="H47" s="2"/>
      <c r="I47" s="2"/>
      <c r="J47" s="2"/>
    </row>
    <row r="48" customFormat="false" ht="15" hidden="false" customHeight="false" outlineLevel="0" collapsed="false">
      <c r="A48" s="43" t="s">
        <v>1223</v>
      </c>
      <c r="B48" s="43" t="s">
        <v>1160</v>
      </c>
      <c r="C48" s="108" t="s">
        <v>78</v>
      </c>
      <c r="D48" s="108" t="s">
        <v>959</v>
      </c>
      <c r="E48" s="108" t="s">
        <v>100</v>
      </c>
      <c r="F48" s="43"/>
      <c r="G48" s="2"/>
      <c r="H48" s="2"/>
      <c r="I48" s="2"/>
      <c r="J48" s="2"/>
    </row>
    <row r="49" customFormat="false" ht="15" hidden="false" customHeight="false" outlineLevel="0" collapsed="false">
      <c r="A49" s="43" t="s">
        <v>908</v>
      </c>
      <c r="B49" s="43" t="s">
        <v>1183</v>
      </c>
      <c r="C49" s="108" t="s">
        <v>78</v>
      </c>
      <c r="D49" s="108" t="s">
        <v>959</v>
      </c>
      <c r="E49" s="108" t="s">
        <v>95</v>
      </c>
      <c r="F49" s="43"/>
      <c r="G49" s="2"/>
      <c r="H49" s="2"/>
      <c r="I49" s="2"/>
      <c r="J49" s="2"/>
    </row>
    <row r="50" customFormat="false" ht="15" hidden="false" customHeight="false" outlineLevel="0" collapsed="false">
      <c r="A50" s="43" t="s">
        <v>508</v>
      </c>
      <c r="B50" s="43" t="s">
        <v>1186</v>
      </c>
      <c r="C50" s="108" t="s">
        <v>80</v>
      </c>
      <c r="D50" s="108" t="s">
        <v>959</v>
      </c>
      <c r="E50" s="108" t="s">
        <v>97</v>
      </c>
      <c r="F50" s="43"/>
      <c r="G50" s="2"/>
      <c r="H50" s="2"/>
      <c r="I50" s="2"/>
      <c r="J50" s="2"/>
    </row>
    <row r="51" customFormat="false" ht="15" hidden="false" customHeight="false" outlineLevel="0" collapsed="false">
      <c r="A51" s="43" t="s">
        <v>479</v>
      </c>
      <c r="B51" s="43" t="s">
        <v>1113</v>
      </c>
      <c r="C51" s="108" t="s">
        <v>78</v>
      </c>
      <c r="D51" s="108" t="s">
        <v>959</v>
      </c>
      <c r="E51" s="108" t="s">
        <v>96</v>
      </c>
      <c r="F51" s="43"/>
      <c r="G51" s="2"/>
      <c r="H51" s="2"/>
      <c r="I51" s="2"/>
      <c r="J51" s="2"/>
    </row>
    <row r="52" customFormat="false" ht="15" hidden="false" customHeight="false" outlineLevel="0" collapsed="false">
      <c r="A52" s="43" t="s">
        <v>472</v>
      </c>
      <c r="B52" s="43" t="s">
        <v>1104</v>
      </c>
      <c r="C52" s="108" t="s">
        <v>78</v>
      </c>
      <c r="D52" s="108" t="s">
        <v>959</v>
      </c>
      <c r="E52" s="108" t="s">
        <v>101</v>
      </c>
      <c r="F52" s="43"/>
      <c r="G52" s="2"/>
      <c r="H52" s="2"/>
      <c r="I52" s="2"/>
      <c r="J52" s="2"/>
    </row>
    <row r="53" customFormat="false" ht="15" hidden="false" customHeight="false" outlineLevel="0" collapsed="false">
      <c r="A53" s="43" t="s">
        <v>420</v>
      </c>
      <c r="B53" s="43" t="s">
        <v>1027</v>
      </c>
      <c r="C53" s="108" t="s">
        <v>80</v>
      </c>
      <c r="D53" s="108" t="s">
        <v>959</v>
      </c>
      <c r="E53" s="108" t="s">
        <v>94</v>
      </c>
      <c r="F53" s="43"/>
      <c r="G53" s="2"/>
      <c r="H53" s="2"/>
      <c r="I53" s="2"/>
      <c r="J53" s="2"/>
    </row>
    <row r="54" customFormat="false" ht="15" hidden="false" customHeight="false" outlineLevel="0" collapsed="false">
      <c r="A54" s="43" t="s">
        <v>423</v>
      </c>
      <c r="B54" s="43" t="s">
        <v>1028</v>
      </c>
      <c r="C54" s="108" t="s">
        <v>79</v>
      </c>
      <c r="D54" s="108" t="s">
        <v>79</v>
      </c>
      <c r="E54" s="108" t="s">
        <v>94</v>
      </c>
      <c r="F54" s="43"/>
      <c r="G54" s="2"/>
      <c r="H54" s="2"/>
      <c r="I54" s="2"/>
      <c r="J54" s="2"/>
    </row>
    <row r="55" customFormat="false" ht="15" hidden="false" customHeight="false" outlineLevel="0" collapsed="false">
      <c r="A55" s="43" t="s">
        <v>416</v>
      </c>
      <c r="B55" s="43" t="s">
        <v>1026</v>
      </c>
      <c r="C55" s="108" t="s">
        <v>80</v>
      </c>
      <c r="D55" s="108" t="s">
        <v>959</v>
      </c>
      <c r="E55" s="108" t="s">
        <v>94</v>
      </c>
      <c r="F55" s="43"/>
      <c r="G55" s="2"/>
      <c r="H55" s="2"/>
      <c r="I55" s="2"/>
      <c r="J55" s="2"/>
    </row>
    <row r="56" customFormat="false" ht="15" hidden="false" customHeight="false" outlineLevel="0" collapsed="false">
      <c r="A56" s="43" t="s">
        <v>366</v>
      </c>
      <c r="B56" s="43" t="s">
        <v>1033</v>
      </c>
      <c r="C56" s="108" t="s">
        <v>78</v>
      </c>
      <c r="D56" s="108" t="s">
        <v>959</v>
      </c>
      <c r="E56" s="108" t="s">
        <v>94</v>
      </c>
      <c r="F56" s="43"/>
      <c r="G56" s="2"/>
      <c r="H56" s="2"/>
      <c r="I56" s="2"/>
      <c r="J56" s="2"/>
    </row>
    <row r="57" customFormat="false" ht="15" hidden="false" customHeight="false" outlineLevel="0" collapsed="false">
      <c r="A57" s="43" t="s">
        <v>764</v>
      </c>
      <c r="B57" s="43" t="s">
        <v>960</v>
      </c>
      <c r="C57" s="108" t="s">
        <v>78</v>
      </c>
      <c r="D57" s="108" t="s">
        <v>959</v>
      </c>
      <c r="E57" s="108" t="s">
        <v>103</v>
      </c>
      <c r="F57" s="43"/>
      <c r="G57" s="2"/>
      <c r="H57" s="2"/>
      <c r="I57" s="2"/>
      <c r="J57" s="2"/>
    </row>
    <row r="58" customFormat="false" ht="15" hidden="false" customHeight="false" outlineLevel="0" collapsed="false">
      <c r="A58" s="43" t="s">
        <v>520</v>
      </c>
      <c r="B58" s="43" t="s">
        <v>1188</v>
      </c>
      <c r="C58" s="108" t="s">
        <v>78</v>
      </c>
      <c r="D58" s="108" t="s">
        <v>959</v>
      </c>
      <c r="E58" s="108" t="s">
        <v>94</v>
      </c>
      <c r="F58" s="43"/>
      <c r="G58" s="2"/>
      <c r="H58" s="2"/>
      <c r="I58" s="2"/>
      <c r="J58" s="2"/>
    </row>
    <row r="59" customFormat="false" ht="15" hidden="false" customHeight="false" outlineLevel="0" collapsed="false">
      <c r="A59" s="43" t="s">
        <v>431</v>
      </c>
      <c r="B59" s="43" t="s">
        <v>1030</v>
      </c>
      <c r="C59" s="108" t="s">
        <v>80</v>
      </c>
      <c r="D59" s="108" t="s">
        <v>959</v>
      </c>
      <c r="E59" s="108" t="s">
        <v>94</v>
      </c>
      <c r="F59" s="43"/>
      <c r="G59" s="2"/>
      <c r="H59" s="2"/>
      <c r="I59" s="2"/>
      <c r="J59" s="2"/>
    </row>
    <row r="60" customFormat="false" ht="15" hidden="false" customHeight="false" outlineLevel="0" collapsed="false">
      <c r="A60" s="43" t="s">
        <v>460</v>
      </c>
      <c r="B60" s="43" t="s">
        <v>1067</v>
      </c>
      <c r="C60" s="108" t="s">
        <v>80</v>
      </c>
      <c r="D60" s="108" t="s">
        <v>959</v>
      </c>
      <c r="E60" s="108" t="s">
        <v>94</v>
      </c>
      <c r="F60" s="43"/>
      <c r="G60" s="2"/>
      <c r="H60" s="2"/>
      <c r="I60" s="2"/>
      <c r="J60" s="2"/>
    </row>
    <row r="61" customFormat="false" ht="15" hidden="false" customHeight="false" outlineLevel="0" collapsed="false">
      <c r="A61" s="43" t="s">
        <v>586</v>
      </c>
      <c r="B61" s="43" t="s">
        <v>1069</v>
      </c>
      <c r="C61" s="108" t="s">
        <v>80</v>
      </c>
      <c r="D61" s="108" t="s">
        <v>959</v>
      </c>
      <c r="E61" s="108" t="s">
        <v>103</v>
      </c>
      <c r="F61" s="43"/>
      <c r="G61" s="2"/>
      <c r="H61" s="2"/>
      <c r="I61" s="2"/>
      <c r="J61" s="2"/>
    </row>
    <row r="62" customFormat="false" ht="15" hidden="false" customHeight="false" outlineLevel="0" collapsed="false">
      <c r="A62" s="43" t="s">
        <v>436</v>
      </c>
      <c r="B62" s="43" t="s">
        <v>1036</v>
      </c>
      <c r="C62" s="108" t="s">
        <v>81</v>
      </c>
      <c r="D62" s="108" t="s">
        <v>90</v>
      </c>
      <c r="E62" s="108" t="s">
        <v>94</v>
      </c>
      <c r="F62" s="43"/>
      <c r="G62" s="2"/>
      <c r="H62" s="2"/>
      <c r="I62" s="2"/>
      <c r="J62" s="2"/>
    </row>
    <row r="63" customFormat="false" ht="15" hidden="false" customHeight="false" outlineLevel="0" collapsed="false">
      <c r="A63" s="43" t="s">
        <v>595</v>
      </c>
      <c r="B63" s="43" t="s">
        <v>1119</v>
      </c>
      <c r="C63" s="108" t="s">
        <v>78</v>
      </c>
      <c r="D63" s="108" t="s">
        <v>959</v>
      </c>
      <c r="E63" s="108" t="s">
        <v>99</v>
      </c>
      <c r="F63" s="43"/>
      <c r="G63" s="2"/>
      <c r="H63" s="2"/>
      <c r="I63" s="2"/>
      <c r="J63" s="2"/>
    </row>
    <row r="64" customFormat="false" ht="15" hidden="false" customHeight="false" outlineLevel="0" collapsed="false">
      <c r="A64" s="43" t="s">
        <v>483</v>
      </c>
      <c r="B64" s="43" t="s">
        <v>1123</v>
      </c>
      <c r="C64" s="108" t="s">
        <v>78</v>
      </c>
      <c r="D64" s="108" t="s">
        <v>959</v>
      </c>
      <c r="E64" s="108" t="s">
        <v>99</v>
      </c>
      <c r="F64" s="43"/>
      <c r="G64" s="2"/>
      <c r="H64" s="2"/>
      <c r="I64" s="2"/>
      <c r="J64" s="2"/>
    </row>
    <row r="65" customFormat="false" ht="15" hidden="false" customHeight="false" outlineLevel="0" collapsed="false">
      <c r="A65" s="43" t="s">
        <v>486</v>
      </c>
      <c r="B65" s="43" t="s">
        <v>1127</v>
      </c>
      <c r="C65" s="108" t="s">
        <v>78</v>
      </c>
      <c r="D65" s="108" t="s">
        <v>959</v>
      </c>
      <c r="E65" s="108" t="s">
        <v>99</v>
      </c>
      <c r="F65" s="43"/>
      <c r="G65" s="2"/>
      <c r="H65" s="2"/>
      <c r="I65" s="2"/>
      <c r="J65" s="2"/>
    </row>
    <row r="66" customFormat="false" ht="15" hidden="false" customHeight="false" outlineLevel="0" collapsed="false">
      <c r="A66" s="43" t="s">
        <v>625</v>
      </c>
      <c r="B66" s="43" t="s">
        <v>1207</v>
      </c>
      <c r="C66" s="108" t="s">
        <v>78</v>
      </c>
      <c r="D66" s="108" t="s">
        <v>959</v>
      </c>
      <c r="E66" s="108" t="s">
        <v>97</v>
      </c>
      <c r="F66" s="43"/>
      <c r="G66" s="2"/>
      <c r="H66" s="2"/>
      <c r="I66" s="2"/>
      <c r="J66" s="2"/>
    </row>
    <row r="67" customFormat="false" ht="15" hidden="false" customHeight="false" outlineLevel="0" collapsed="false">
      <c r="A67" s="43" t="s">
        <v>371</v>
      </c>
      <c r="B67" s="43" t="s">
        <v>973</v>
      </c>
      <c r="C67" s="108" t="s">
        <v>83</v>
      </c>
      <c r="D67" s="108" t="s">
        <v>90</v>
      </c>
      <c r="E67" s="108" t="s">
        <v>94</v>
      </c>
      <c r="F67" s="43"/>
      <c r="G67" s="2"/>
      <c r="H67" s="2"/>
      <c r="I67" s="2"/>
      <c r="J67" s="2"/>
    </row>
    <row r="68" customFormat="false" ht="15" hidden="false" customHeight="false" outlineLevel="0" collapsed="false">
      <c r="A68" s="43" t="s">
        <v>877</v>
      </c>
      <c r="B68" s="43" t="s">
        <v>1129</v>
      </c>
      <c r="C68" s="108" t="s">
        <v>78</v>
      </c>
      <c r="D68" s="108" t="s">
        <v>959</v>
      </c>
      <c r="E68" s="108" t="s">
        <v>94</v>
      </c>
      <c r="F68" s="43"/>
      <c r="G68" s="2"/>
      <c r="H68" s="2"/>
      <c r="I68" s="2"/>
      <c r="J68" s="2"/>
    </row>
    <row r="69" customFormat="false" ht="15" hidden="false" customHeight="false" outlineLevel="0" collapsed="false">
      <c r="A69" s="43" t="s">
        <v>495</v>
      </c>
      <c r="B69" s="43" t="s">
        <v>967</v>
      </c>
      <c r="C69" s="108" t="s">
        <v>78</v>
      </c>
      <c r="D69" s="108" t="s">
        <v>959</v>
      </c>
      <c r="E69" s="108" t="s">
        <v>94</v>
      </c>
      <c r="F69" s="43"/>
      <c r="G69" s="2"/>
      <c r="H69" s="2"/>
      <c r="I69" s="2"/>
      <c r="J69" s="2"/>
    </row>
    <row r="70" customFormat="false" ht="15" hidden="false" customHeight="false" outlineLevel="0" collapsed="false">
      <c r="A70" s="43" t="s">
        <v>1224</v>
      </c>
      <c r="B70" s="43" t="s">
        <v>1166</v>
      </c>
      <c r="C70" s="108" t="s">
        <v>78</v>
      </c>
      <c r="D70" s="108" t="s">
        <v>959</v>
      </c>
      <c r="E70" s="108" t="s">
        <v>98</v>
      </c>
      <c r="F70" s="43"/>
      <c r="G70" s="2"/>
      <c r="H70" s="2"/>
      <c r="I70" s="2"/>
      <c r="J70" s="2"/>
    </row>
    <row r="71" customFormat="false" ht="15" hidden="false" customHeight="false" outlineLevel="0" collapsed="false">
      <c r="A71" s="43" t="s">
        <v>442</v>
      </c>
      <c r="B71" s="43" t="s">
        <v>1037</v>
      </c>
      <c r="C71" s="108" t="s">
        <v>82</v>
      </c>
      <c r="D71" s="108" t="s">
        <v>90</v>
      </c>
      <c r="E71" s="108" t="s">
        <v>94</v>
      </c>
      <c r="F71" s="43"/>
      <c r="G71" s="2"/>
      <c r="H71" s="2"/>
      <c r="I71" s="2"/>
      <c r="J71" s="2"/>
    </row>
    <row r="72" customFormat="false" ht="15" hidden="false" customHeight="false" outlineLevel="0" collapsed="false">
      <c r="A72" s="43" t="s">
        <v>463</v>
      </c>
      <c r="B72" s="43" t="s">
        <v>1074</v>
      </c>
      <c r="C72" s="108" t="s">
        <v>79</v>
      </c>
      <c r="D72" s="108" t="s">
        <v>79</v>
      </c>
      <c r="E72" s="108" t="s">
        <v>103</v>
      </c>
      <c r="F72" s="43"/>
      <c r="G72" s="2"/>
      <c r="H72" s="2"/>
      <c r="I72" s="2"/>
      <c r="J72" s="2"/>
    </row>
    <row r="73" customFormat="false" ht="15" hidden="false" customHeight="false" outlineLevel="0" collapsed="false">
      <c r="A73" s="43" t="s">
        <v>454</v>
      </c>
      <c r="B73" s="43" t="s">
        <v>1060</v>
      </c>
      <c r="C73" s="108" t="s">
        <v>81</v>
      </c>
      <c r="D73" s="108" t="s">
        <v>90</v>
      </c>
      <c r="E73" s="108" t="s">
        <v>94</v>
      </c>
      <c r="F73" s="43"/>
      <c r="G73" s="2"/>
      <c r="H73" s="2"/>
      <c r="I73" s="2"/>
      <c r="J73" s="2"/>
    </row>
    <row r="74" customFormat="false" ht="15" hidden="false" customHeight="false" outlineLevel="0" collapsed="false">
      <c r="A74" s="43" t="s">
        <v>445</v>
      </c>
      <c r="B74" s="43" t="s">
        <v>1038</v>
      </c>
      <c r="C74" s="108" t="s">
        <v>80</v>
      </c>
      <c r="D74" s="108" t="s">
        <v>959</v>
      </c>
      <c r="E74" s="108" t="s">
        <v>94</v>
      </c>
      <c r="F74" s="43"/>
      <c r="G74" s="2"/>
      <c r="H74" s="2"/>
      <c r="I74" s="2"/>
      <c r="J74" s="2"/>
    </row>
    <row r="75" customFormat="false" ht="15" hidden="false" customHeight="false" outlineLevel="0" collapsed="false">
      <c r="A75" s="43" t="s">
        <v>1225</v>
      </c>
      <c r="B75" s="43" t="s">
        <v>1073</v>
      </c>
      <c r="C75" s="108" t="s">
        <v>80</v>
      </c>
      <c r="D75" s="108" t="s">
        <v>959</v>
      </c>
      <c r="E75" s="108" t="s">
        <v>94</v>
      </c>
      <c r="F75" s="43"/>
      <c r="G75" s="2"/>
      <c r="H75" s="2"/>
      <c r="I75" s="2"/>
      <c r="J75" s="2"/>
    </row>
    <row r="76" customFormat="false" ht="15" hidden="false" customHeight="false" outlineLevel="0" collapsed="false">
      <c r="A76" s="43" t="s">
        <v>566</v>
      </c>
      <c r="B76" s="43" t="s">
        <v>1040</v>
      </c>
      <c r="C76" s="108" t="s">
        <v>79</v>
      </c>
      <c r="D76" s="108" t="s">
        <v>79</v>
      </c>
      <c r="E76" s="108" t="s">
        <v>102</v>
      </c>
      <c r="F76" s="43"/>
      <c r="G76" s="2"/>
      <c r="H76" s="2"/>
      <c r="I76" s="2"/>
      <c r="J76" s="2"/>
    </row>
    <row r="77" customFormat="false" ht="15" hidden="false" customHeight="false" outlineLevel="0" collapsed="false">
      <c r="A77" s="43" t="s">
        <v>615</v>
      </c>
      <c r="B77" s="43" t="s">
        <v>1153</v>
      </c>
      <c r="C77" s="108" t="s">
        <v>87</v>
      </c>
      <c r="D77" s="108" t="s">
        <v>92</v>
      </c>
      <c r="E77" s="108" t="s">
        <v>94</v>
      </c>
      <c r="F77" s="43"/>
      <c r="G77" s="2"/>
      <c r="H77" s="2"/>
      <c r="I77" s="2"/>
      <c r="J77" s="2"/>
    </row>
    <row r="78" customFormat="false" ht="15" hidden="false" customHeight="false" outlineLevel="0" collapsed="false">
      <c r="A78" s="43" t="s">
        <v>457</v>
      </c>
      <c r="B78" s="43" t="s">
        <v>1063</v>
      </c>
      <c r="C78" s="108" t="s">
        <v>86</v>
      </c>
      <c r="D78" s="108" t="s">
        <v>90</v>
      </c>
      <c r="E78" s="108" t="s">
        <v>94</v>
      </c>
      <c r="F78" s="43"/>
      <c r="G78" s="2"/>
      <c r="H78" s="2"/>
      <c r="I78" s="2"/>
      <c r="J78" s="2"/>
    </row>
    <row r="79" customFormat="false" ht="15" hidden="false" customHeight="false" outlineLevel="0" collapsed="false">
      <c r="A79" s="43" t="s">
        <v>448</v>
      </c>
      <c r="B79" s="43" t="s">
        <v>1053</v>
      </c>
      <c r="C79" s="108" t="s">
        <v>79</v>
      </c>
      <c r="D79" s="108" t="s">
        <v>79</v>
      </c>
      <c r="E79" s="108" t="s">
        <v>94</v>
      </c>
      <c r="F79" s="43"/>
      <c r="G79" s="2"/>
      <c r="H79" s="2"/>
      <c r="I79" s="2"/>
      <c r="J79" s="2"/>
    </row>
    <row r="80" customFormat="false" ht="15" hidden="false" customHeight="false" outlineLevel="0" collapsed="false">
      <c r="A80" s="43" t="s">
        <v>451</v>
      </c>
      <c r="B80" s="43" t="s">
        <v>1058</v>
      </c>
      <c r="C80" s="108" t="s">
        <v>78</v>
      </c>
      <c r="D80" s="108" t="s">
        <v>959</v>
      </c>
      <c r="E80" s="108" t="s">
        <v>94</v>
      </c>
      <c r="F80" s="43"/>
      <c r="G80" s="2"/>
      <c r="H80" s="2"/>
      <c r="I80" s="2"/>
      <c r="J80" s="2"/>
    </row>
    <row r="81" customFormat="false" ht="15" hidden="false" customHeight="false" outlineLevel="0" collapsed="false">
      <c r="A81" s="43" t="s">
        <v>609</v>
      </c>
      <c r="B81" s="43" t="s">
        <v>1226</v>
      </c>
      <c r="C81" s="108" t="s">
        <v>82</v>
      </c>
      <c r="D81" s="108" t="s">
        <v>90</v>
      </c>
      <c r="E81" s="108" t="s">
        <v>94</v>
      </c>
      <c r="F81" s="64" t="s">
        <v>1227</v>
      </c>
      <c r="G81" s="2"/>
      <c r="H81" s="2"/>
      <c r="I81" s="2"/>
      <c r="J81" s="2"/>
    </row>
    <row r="82" customFormat="false" ht="15" hidden="false" customHeight="false" outlineLevel="0" collapsed="false">
      <c r="A82" s="43" t="s">
        <v>627</v>
      </c>
      <c r="B82" s="43" t="s">
        <v>1228</v>
      </c>
      <c r="C82" s="108" t="s">
        <v>78</v>
      </c>
      <c r="D82" s="108" t="s">
        <v>959</v>
      </c>
      <c r="E82" s="108" t="s">
        <v>94</v>
      </c>
      <c r="F82" s="64" t="s">
        <v>1229</v>
      </c>
      <c r="G82" s="2"/>
      <c r="H82" s="2"/>
      <c r="I82" s="2"/>
      <c r="J82" s="2"/>
    </row>
    <row r="83" customFormat="false" ht="15" hidden="false" customHeight="false" outlineLevel="0" collapsed="false">
      <c r="A83" s="43" t="s">
        <v>769</v>
      </c>
      <c r="B83" s="43" t="s">
        <v>1230</v>
      </c>
      <c r="C83" s="112"/>
      <c r="D83" s="112"/>
      <c r="E83" s="112"/>
      <c r="F83" s="64" t="s">
        <v>1231</v>
      </c>
      <c r="G83" s="2"/>
      <c r="H83" s="2"/>
      <c r="I83" s="2"/>
      <c r="J83" s="2"/>
    </row>
    <row r="84" customFormat="false" ht="15" hidden="false" customHeight="false" outlineLevel="0" collapsed="false">
      <c r="A84" s="64" t="s">
        <v>1232</v>
      </c>
      <c r="B84" s="43" t="s">
        <v>1233</v>
      </c>
      <c r="C84" s="108" t="s">
        <v>78</v>
      </c>
      <c r="D84" s="108" t="s">
        <v>959</v>
      </c>
      <c r="E84" s="108" t="s">
        <v>94</v>
      </c>
      <c r="F84" s="64" t="s">
        <v>1234</v>
      </c>
      <c r="G84" s="2"/>
      <c r="H84" s="2"/>
      <c r="I84" s="2"/>
      <c r="J84" s="2"/>
    </row>
    <row r="85" customFormat="false" ht="15" hidden="false" customHeight="false" outlineLevel="0" collapsed="false">
      <c r="A85" s="113"/>
      <c r="B85" s="2"/>
      <c r="C85" s="113"/>
      <c r="D85" s="113"/>
      <c r="E85" s="113"/>
      <c r="F85" s="2"/>
      <c r="G85" s="2"/>
      <c r="H85" s="2"/>
      <c r="I85" s="2"/>
      <c r="J85" s="2"/>
    </row>
    <row r="86" customFormat="false" ht="15" hidden="false" customHeight="false" outlineLevel="0" collapsed="false">
      <c r="A86" s="113"/>
      <c r="B86" s="2"/>
      <c r="C86" s="113"/>
      <c r="D86" s="113"/>
      <c r="E86" s="113"/>
      <c r="F86" s="2"/>
      <c r="G86" s="2"/>
      <c r="H86" s="2"/>
      <c r="I86" s="2"/>
      <c r="J86" s="2"/>
    </row>
    <row r="87" customFormat="false" ht="15" hidden="false" customHeight="false" outlineLevel="0" collapsed="false">
      <c r="A87" s="113"/>
      <c r="B87" s="2"/>
      <c r="C87" s="113"/>
      <c r="D87" s="113"/>
      <c r="E87" s="113"/>
      <c r="F87" s="2"/>
      <c r="G87" s="2"/>
      <c r="H87" s="2"/>
      <c r="I87" s="2"/>
      <c r="J87" s="2"/>
    </row>
    <row r="88" customFormat="false" ht="15" hidden="false" customHeight="false" outlineLevel="0" collapsed="false">
      <c r="A88" s="113"/>
      <c r="B88" s="2"/>
      <c r="C88" s="113"/>
      <c r="D88" s="113"/>
      <c r="E88" s="113"/>
      <c r="F88" s="2"/>
      <c r="G88" s="2"/>
      <c r="H88" s="2"/>
      <c r="I88" s="2"/>
      <c r="J88" s="2"/>
    </row>
    <row r="89" customFormat="false" ht="15" hidden="false" customHeight="false" outlineLevel="0" collapsed="false">
      <c r="A89" s="113"/>
      <c r="B89" s="2"/>
      <c r="C89" s="113"/>
      <c r="D89" s="113"/>
      <c r="E89" s="113"/>
      <c r="F89" s="2"/>
      <c r="G89" s="2"/>
      <c r="H89" s="2"/>
      <c r="I89" s="2"/>
      <c r="J89" s="2"/>
    </row>
    <row r="90" customFormat="false" ht="15" hidden="false" customHeight="false" outlineLevel="0" collapsed="false">
      <c r="A90" s="113"/>
      <c r="B90" s="2"/>
      <c r="C90" s="113"/>
      <c r="D90" s="113"/>
      <c r="E90" s="113"/>
      <c r="F90" s="2"/>
      <c r="G90" s="2"/>
      <c r="H90" s="2"/>
      <c r="I90" s="2"/>
      <c r="J90" s="2"/>
    </row>
    <row r="91" customFormat="false" ht="15" hidden="false" customHeight="false" outlineLevel="0" collapsed="false">
      <c r="A91" s="113"/>
      <c r="B91" s="2"/>
      <c r="C91" s="113"/>
      <c r="D91" s="113"/>
      <c r="E91" s="113"/>
      <c r="F91" s="2"/>
      <c r="G91" s="2"/>
      <c r="H91" s="2"/>
      <c r="I91" s="2"/>
      <c r="J91" s="2"/>
    </row>
    <row r="92" customFormat="false" ht="15" hidden="false" customHeight="false" outlineLevel="0" collapsed="false">
      <c r="A92" s="113"/>
      <c r="B92" s="2"/>
      <c r="C92" s="113"/>
      <c r="D92" s="113"/>
      <c r="E92" s="113"/>
      <c r="F92" s="2"/>
      <c r="G92" s="2"/>
      <c r="H92" s="2"/>
      <c r="I92" s="2"/>
      <c r="J9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2"/>
    <col collapsed="false" customWidth="true" hidden="false" outlineLevel="0" max="10" min="9" style="0" width="8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9"/>
  </cols>
  <sheetData>
    <row r="1" customFormat="false" ht="21.6" hidden="false" customHeight="false" outlineLevel="0" collapsed="false">
      <c r="A1" s="1" t="s">
        <v>1235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7.15" hidden="false" customHeight="false" outlineLevel="0" collapsed="false">
      <c r="A3" s="5" t="s">
        <v>1236</v>
      </c>
      <c r="B3" s="5"/>
      <c r="C3" s="5" t="s">
        <v>2</v>
      </c>
      <c r="D3" s="5" t="s">
        <v>1237</v>
      </c>
      <c r="E3" s="2"/>
      <c r="F3" s="2"/>
      <c r="G3" s="2"/>
      <c r="H3" s="2"/>
      <c r="I3" s="24" t="s">
        <v>1238</v>
      </c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19" t="s">
        <v>1239</v>
      </c>
      <c r="B4" s="2"/>
      <c r="C4" s="114" t="n">
        <v>46296</v>
      </c>
      <c r="D4" s="70" t="s">
        <v>1240</v>
      </c>
      <c r="E4" s="2"/>
      <c r="F4" s="2"/>
      <c r="G4" s="2"/>
      <c r="H4" s="2"/>
      <c r="I4" s="5" t="s">
        <v>1241</v>
      </c>
      <c r="J4" s="5" t="s">
        <v>1242</v>
      </c>
      <c r="K4" s="5" t="s">
        <v>1243</v>
      </c>
      <c r="L4" s="5" t="s">
        <v>1244</v>
      </c>
      <c r="M4" s="5" t="s">
        <v>1245</v>
      </c>
      <c r="N4" s="2"/>
      <c r="O4" s="78" t="s">
        <v>1246</v>
      </c>
      <c r="P4" s="78" t="s">
        <v>1247</v>
      </c>
    </row>
    <row r="5" customFormat="false" ht="15" hidden="false" customHeight="false" outlineLevel="0" collapsed="false">
      <c r="A5" s="19" t="s">
        <v>1248</v>
      </c>
      <c r="B5" s="2"/>
      <c r="C5" s="115" t="s">
        <v>1249</v>
      </c>
      <c r="D5" s="72" t="s">
        <v>1250</v>
      </c>
      <c r="E5" s="2"/>
      <c r="F5" s="2"/>
      <c r="G5" s="2"/>
      <c r="H5" s="2"/>
      <c r="I5" s="19" t="s">
        <v>1251</v>
      </c>
      <c r="J5" s="2"/>
      <c r="K5" s="2"/>
      <c r="L5" s="2" t="n">
        <f aca="false">IF(COUNT($O$5:$O$19)=0,"",MIN($O$5:$O$19))</f>
        <v>3</v>
      </c>
      <c r="M5" s="2"/>
      <c r="N5" s="2"/>
      <c r="O5" s="78" t="str">
        <f aca="false">IF(COUNTIF(원자료_잔고!$A$1:$EZ$1,$K$7)&gt;0,1,"")</f>
        <v/>
      </c>
      <c r="P5" s="78" t="n">
        <f aca="false">IF(COUNTIF(원자료_시장!$A$1:$BZ$1,$K$24)&gt;0,1,"")</f>
        <v>1</v>
      </c>
    </row>
    <row r="6" customFormat="false" ht="15" hidden="false" customHeight="false" outlineLevel="0" collapsed="false">
      <c r="A6" s="116" t="s">
        <v>1252</v>
      </c>
      <c r="B6" s="2"/>
      <c r="C6" s="71" t="n">
        <v>1</v>
      </c>
      <c r="D6" s="72" t="s">
        <v>1253</v>
      </c>
      <c r="E6" s="2"/>
      <c r="F6" s="2"/>
      <c r="G6" s="2"/>
      <c r="H6" s="2"/>
      <c r="I6" s="19" t="s">
        <v>1254</v>
      </c>
      <c r="J6" s="2"/>
      <c r="K6" s="2"/>
      <c r="L6" s="2" t="n">
        <f aca="false">IF(COUNT($P$5:$P$19)=0,"",MIN($P$5:$P$19))</f>
        <v>1</v>
      </c>
      <c r="M6" s="2"/>
      <c r="N6" s="2"/>
      <c r="O6" s="78" t="str">
        <f aca="false">IF(COUNTIF(원자료_잔고!$A$2:$EZ$2,$K$7)&gt;0,2,"")</f>
        <v/>
      </c>
      <c r="P6" s="78" t="str">
        <f aca="false">IF(COUNTIF(원자료_시장!$A$2:$BZ$2,$K$24)&gt;0,2,"")</f>
        <v/>
      </c>
    </row>
    <row r="7" customFormat="false" ht="15" hidden="false" customHeight="false" outlineLevel="0" collapsed="false">
      <c r="A7" s="19" t="s">
        <v>1255</v>
      </c>
      <c r="B7" s="2"/>
      <c r="C7" s="41" t="n">
        <v>5</v>
      </c>
      <c r="D7" s="70" t="s">
        <v>1256</v>
      </c>
      <c r="E7" s="2"/>
      <c r="F7" s="2"/>
      <c r="G7" s="2"/>
      <c r="H7" s="2"/>
      <c r="I7" s="117" t="s">
        <v>1257</v>
      </c>
      <c r="J7" s="118" t="s">
        <v>1258</v>
      </c>
      <c r="K7" s="119" t="s">
        <v>307</v>
      </c>
      <c r="L7" s="2" t="n">
        <f aca="false">IFERROR(MATCH(K7,INDEX(원자료_잔고!$A$1:$EZ$15,설정!$L$5,0),0),"")</f>
        <v>25</v>
      </c>
      <c r="M7" s="2" t="str">
        <f aca="false">IF(L7="","헤더없음","OK")</f>
        <v>OK</v>
      </c>
      <c r="N7" s="2"/>
      <c r="O7" s="78" t="n">
        <f aca="false">IF(COUNTIF(원자료_잔고!$A$3:$EZ$3,$K$7)&gt;0,3,"")</f>
        <v>3</v>
      </c>
      <c r="P7" s="78" t="str">
        <f aca="false">IF(COUNTIF(원자료_시장!$A$3:$BZ$3,$K$24)&gt;0,3,"")</f>
        <v/>
      </c>
    </row>
    <row r="8" customFormat="false" ht="15" hidden="false" customHeight="false" outlineLevel="0" collapsed="false">
      <c r="A8" s="116" t="s">
        <v>1259</v>
      </c>
      <c r="B8" s="2"/>
      <c r="C8" s="81" t="n">
        <v>0.5</v>
      </c>
      <c r="D8" s="70" t="s">
        <v>1260</v>
      </c>
      <c r="E8" s="2"/>
      <c r="F8" s="2"/>
      <c r="G8" s="2"/>
      <c r="H8" s="2"/>
      <c r="I8" s="117" t="s">
        <v>1257</v>
      </c>
      <c r="J8" s="118" t="s">
        <v>1261</v>
      </c>
      <c r="K8" s="119" t="s">
        <v>197</v>
      </c>
      <c r="L8" s="2" t="n">
        <f aca="false">IFERROR(MATCH(K8,INDEX(원자료_잔고!$A$1:$EZ$15,설정!$L$5,0),0),"")</f>
        <v>26</v>
      </c>
      <c r="M8" s="2" t="str">
        <f aca="false">IF(L8="","헤더없음","OK")</f>
        <v>OK</v>
      </c>
      <c r="N8" s="2"/>
      <c r="O8" s="78" t="str">
        <f aca="false">IF(COUNTIF(원자료_잔고!$A$4:$EZ$4,$K$7)&gt;0,4,"")</f>
        <v/>
      </c>
      <c r="P8" s="78" t="str">
        <f aca="false">IF(COUNTIF(원자료_시장!$A$4:$BZ$4,$K$24)&gt;0,4,"")</f>
        <v/>
      </c>
    </row>
    <row r="9" customFormat="false" ht="15" hidden="false" customHeight="false" outlineLevel="0" collapsed="false">
      <c r="A9" s="19" t="s">
        <v>1262</v>
      </c>
      <c r="B9" s="2"/>
      <c r="C9" s="41" t="n">
        <v>50</v>
      </c>
      <c r="D9" s="70" t="s">
        <v>1263</v>
      </c>
      <c r="E9" s="2"/>
      <c r="F9" s="2"/>
      <c r="G9" s="2"/>
      <c r="H9" s="2"/>
      <c r="I9" s="117" t="s">
        <v>1257</v>
      </c>
      <c r="J9" s="118" t="s">
        <v>1264</v>
      </c>
      <c r="K9" s="119" t="s">
        <v>39</v>
      </c>
      <c r="L9" s="2" t="n">
        <f aca="false">IFERROR(MATCH(K9,INDEX(원자료_잔고!$A$1:$EZ$15,설정!$L$5,0),0),"")</f>
        <v>23</v>
      </c>
      <c r="M9" s="2" t="str">
        <f aca="false">IF(L9="","헤더없음","OK")</f>
        <v>OK</v>
      </c>
      <c r="N9" s="2"/>
      <c r="O9" s="78" t="str">
        <f aca="false">IF(COUNTIF(원자료_잔고!$A$5:$EZ$5,$K$7)&gt;0,5,"")</f>
        <v/>
      </c>
      <c r="P9" s="78" t="str">
        <f aca="false">IF(COUNTIF(원자료_시장!$A$5:$BZ$5,$K$24)&gt;0,5,"")</f>
        <v/>
      </c>
    </row>
    <row r="10" customFormat="false" ht="15" hidden="false" customHeight="false" outlineLevel="0" collapsed="false">
      <c r="A10" s="19" t="s">
        <v>1265</v>
      </c>
      <c r="B10" s="2"/>
      <c r="C10" s="41" t="n">
        <v>25</v>
      </c>
      <c r="D10" s="70" t="s">
        <v>1266</v>
      </c>
      <c r="E10" s="2"/>
      <c r="F10" s="2"/>
      <c r="G10" s="2"/>
      <c r="H10" s="2"/>
      <c r="I10" s="117" t="s">
        <v>1257</v>
      </c>
      <c r="J10" s="118" t="s">
        <v>1267</v>
      </c>
      <c r="K10" s="119" t="s">
        <v>199</v>
      </c>
      <c r="L10" s="2" t="n">
        <f aca="false">IFERROR(MATCH(K10,INDEX(원자료_잔고!$A$1:$EZ$15,설정!$L$5,0),0),"")</f>
        <v>24</v>
      </c>
      <c r="M10" s="2" t="str">
        <f aca="false">IF(L10="","헤더없음","OK")</f>
        <v>OK</v>
      </c>
      <c r="N10" s="2"/>
      <c r="O10" s="78" t="str">
        <f aca="false">IF(COUNTIF(원자료_잔고!$A$6:$EZ$6,$K$7)&gt;0,6,"")</f>
        <v/>
      </c>
      <c r="P10" s="78" t="str">
        <f aca="false">IF(COUNTIF(원자료_시장!$A$6:$BZ$6,$K$24)&gt;0,6,"")</f>
        <v/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117" t="s">
        <v>1257</v>
      </c>
      <c r="J11" s="118" t="s">
        <v>1268</v>
      </c>
      <c r="K11" s="119" t="s">
        <v>200</v>
      </c>
      <c r="L11" s="2" t="n">
        <f aca="false">IFERROR(MATCH(K11,INDEX(원자료_잔고!$A$1:$EZ$15,설정!$L$5,0),0),"")</f>
        <v>34</v>
      </c>
      <c r="M11" s="2" t="str">
        <f aca="false">IF(L11="","헤더없음","OK")</f>
        <v>OK</v>
      </c>
      <c r="N11" s="2"/>
      <c r="O11" s="78" t="str">
        <f aca="false">IF(COUNTIF(원자료_잔고!$A$7:$EZ$7,$K$7)&gt;0,7,"")</f>
        <v/>
      </c>
      <c r="P11" s="78" t="str">
        <f aca="false">IF(COUNTIF(원자료_시장!$A$7:$BZ$7,$K$24)&gt;0,7,"")</f>
        <v/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117" t="s">
        <v>1257</v>
      </c>
      <c r="J12" s="118" t="s">
        <v>1269</v>
      </c>
      <c r="K12" s="119" t="s">
        <v>201</v>
      </c>
      <c r="L12" s="2" t="n">
        <f aca="false">IFERROR(MATCH(K12,INDEX(원자료_잔고!$A$1:$EZ$15,설정!$L$5,0),0),"")</f>
        <v>40</v>
      </c>
      <c r="M12" s="2" t="str">
        <f aca="false">IF(L12="","헤더없음","OK")</f>
        <v>OK</v>
      </c>
      <c r="N12" s="2"/>
      <c r="O12" s="78" t="str">
        <f aca="false">IF(COUNTIF(원자료_잔고!$A$8:$EZ$8,$K$7)&gt;0,8,"")</f>
        <v/>
      </c>
      <c r="P12" s="78" t="str">
        <f aca="false">IF(COUNTIF(원자료_시장!$A$8:$BZ$8,$K$24)&gt;0,8,"")</f>
        <v/>
      </c>
    </row>
    <row r="13" customFormat="false" ht="15" hidden="false" customHeight="false" outlineLevel="0" collapsed="false">
      <c r="A13" s="19" t="s">
        <v>1270</v>
      </c>
      <c r="B13" s="2"/>
      <c r="C13" s="2"/>
      <c r="D13" s="2"/>
      <c r="E13" s="2"/>
      <c r="F13" s="19" t="s">
        <v>1271</v>
      </c>
      <c r="G13" s="19" t="s">
        <v>1272</v>
      </c>
      <c r="H13" s="2"/>
      <c r="I13" s="117" t="s">
        <v>1257</v>
      </c>
      <c r="J13" s="118" t="s">
        <v>1273</v>
      </c>
      <c r="K13" s="119" t="s">
        <v>316</v>
      </c>
      <c r="L13" s="2" t="n">
        <f aca="false">IFERROR(MATCH(K13,INDEX(원자료_잔고!$A$1:$EZ$15,설정!$L$5,0),0),"")</f>
        <v>39</v>
      </c>
      <c r="M13" s="2" t="str">
        <f aca="false">IF(L13="","헤더없음","OK")</f>
        <v>OK</v>
      </c>
      <c r="N13" s="2"/>
      <c r="O13" s="78" t="str">
        <f aca="false">IF(COUNTIF(원자료_잔고!$A$9:$EZ$9,$K$7)&gt;0,9,"")</f>
        <v/>
      </c>
      <c r="P13" s="78" t="str">
        <f aca="false">IF(COUNTIF(원자료_시장!$A$9:$BZ$9,$K$24)&gt;0,9,"")</f>
        <v/>
      </c>
    </row>
    <row r="14" customFormat="false" ht="15" hidden="false" customHeight="false" outlineLevel="0" collapsed="false">
      <c r="A14" s="5" t="s">
        <v>1274</v>
      </c>
      <c r="B14" s="5" t="s">
        <v>1275</v>
      </c>
      <c r="C14" s="5" t="s">
        <v>227</v>
      </c>
      <c r="D14" s="5" t="s">
        <v>1276</v>
      </c>
      <c r="E14" s="2"/>
      <c r="F14" s="108" t="s">
        <v>288</v>
      </c>
      <c r="G14" s="2"/>
      <c r="H14" s="2"/>
      <c r="I14" s="117" t="s">
        <v>1257</v>
      </c>
      <c r="J14" s="118" t="s">
        <v>1277</v>
      </c>
      <c r="K14" s="119" t="s">
        <v>203</v>
      </c>
      <c r="L14" s="2" t="n">
        <f aca="false">IFERROR(MATCH(K14,INDEX(원자료_잔고!$A$1:$EZ$15,설정!$L$5,0),0),"")</f>
        <v>86</v>
      </c>
      <c r="M14" s="2" t="str">
        <f aca="false">IF(L14="","헤더없음","OK")</f>
        <v>OK</v>
      </c>
      <c r="N14" s="2"/>
      <c r="O14" s="78" t="str">
        <f aca="false">IF(COUNTIF(원자료_잔고!$A$10:$EZ$10,$K$7)&gt;0,10,"")</f>
        <v/>
      </c>
      <c r="P14" s="78" t="str">
        <f aca="false">IF(COUNTIF(원자료_시장!$A$10:$BZ$10,$K$24)&gt;0,10,"")</f>
        <v/>
      </c>
    </row>
    <row r="15" customFormat="false" ht="15" hidden="false" customHeight="false" outlineLevel="0" collapsed="false">
      <c r="A15" s="107" t="s">
        <v>787</v>
      </c>
      <c r="B15" s="107" t="s">
        <v>787</v>
      </c>
      <c r="C15" s="107" t="s">
        <v>1278</v>
      </c>
      <c r="D15" s="107" t="n">
        <v>1</v>
      </c>
      <c r="E15" s="2"/>
      <c r="F15" s="108" t="s">
        <v>1249</v>
      </c>
      <c r="G15" s="2"/>
      <c r="H15" s="2"/>
      <c r="I15" s="117" t="s">
        <v>1257</v>
      </c>
      <c r="J15" s="118" t="s">
        <v>1279</v>
      </c>
      <c r="K15" s="119" t="s">
        <v>204</v>
      </c>
      <c r="L15" s="2" t="n">
        <f aca="false">IFERROR(MATCH(K15,INDEX(원자료_잔고!$A$1:$EZ$15,설정!$L$5,0),0),"")</f>
        <v>30</v>
      </c>
      <c r="M15" s="2" t="str">
        <f aca="false">IF(L15="","헤더없음","OK")</f>
        <v>OK</v>
      </c>
      <c r="N15" s="2"/>
      <c r="O15" s="78" t="str">
        <f aca="false">IF(COUNTIF(원자료_잔고!$A$11:$EZ$11,$K$7)&gt;0,11,"")</f>
        <v/>
      </c>
      <c r="P15" s="78" t="str">
        <f aca="false">IF(COUNTIF(원자료_시장!$A$11:$BZ$11,$K$24)&gt;0,11,"")</f>
        <v/>
      </c>
    </row>
    <row r="16" customFormat="false" ht="15" hidden="false" customHeight="false" outlineLevel="0" collapsed="false">
      <c r="A16" s="107" t="s">
        <v>532</v>
      </c>
      <c r="B16" s="107" t="s">
        <v>532</v>
      </c>
      <c r="C16" s="107" t="s">
        <v>1278</v>
      </c>
      <c r="D16" s="107" t="n">
        <v>2</v>
      </c>
      <c r="E16" s="2"/>
      <c r="F16" s="107" t="n">
        <v>10227</v>
      </c>
      <c r="G16" s="120"/>
      <c r="H16" s="2"/>
      <c r="I16" s="117" t="s">
        <v>1257</v>
      </c>
      <c r="J16" s="118" t="s">
        <v>1280</v>
      </c>
      <c r="K16" s="119" t="s">
        <v>205</v>
      </c>
      <c r="L16" s="2" t="n">
        <f aca="false">IFERROR(MATCH(K16,INDEX(원자료_잔고!$A$1:$EZ$15,설정!$L$5,0),0),"")</f>
        <v>31</v>
      </c>
      <c r="M16" s="2" t="str">
        <f aca="false">IF(L16="","헤더없음","OK")</f>
        <v>OK</v>
      </c>
      <c r="N16" s="2"/>
      <c r="O16" s="78" t="str">
        <f aca="false">IF(COUNTIF(원자료_잔고!$A$12:$EZ$12,$K$7)&gt;0,12,"")</f>
        <v/>
      </c>
      <c r="P16" s="78" t="str">
        <f aca="false">IF(COUNTIF(원자료_시장!$A$12:$BZ$12,$K$24)&gt;0,12,"")</f>
        <v/>
      </c>
    </row>
    <row r="17" customFormat="false" ht="15" hidden="false" customHeight="false" outlineLevel="0" collapsed="false">
      <c r="A17" s="107" t="s">
        <v>361</v>
      </c>
      <c r="B17" s="107" t="s">
        <v>361</v>
      </c>
      <c r="C17" s="107" t="s">
        <v>1278</v>
      </c>
      <c r="D17" s="107" t="n">
        <v>3</v>
      </c>
      <c r="E17" s="2"/>
      <c r="F17" s="107" t="n">
        <v>28096</v>
      </c>
      <c r="G17" s="120" t="s">
        <v>181</v>
      </c>
      <c r="H17" s="2"/>
      <c r="I17" s="117" t="s">
        <v>1257</v>
      </c>
      <c r="J17" s="118" t="s">
        <v>1281</v>
      </c>
      <c r="K17" s="112" t="s">
        <v>318</v>
      </c>
      <c r="L17" s="2" t="n">
        <f aca="false">IFERROR(MATCH(K17,INDEX(원자료_잔고!$A$1:$EZ$15,설정!$L$5,0),0),"")</f>
        <v>42</v>
      </c>
      <c r="M17" s="2" t="str">
        <f aca="false">IF(L17="","헤더없음","OK")</f>
        <v>OK</v>
      </c>
      <c r="N17" s="2"/>
      <c r="O17" s="78" t="str">
        <f aca="false">IF(COUNTIF(원자료_잔고!$A$13:$EZ$13,$K$7)&gt;0,13,"")</f>
        <v/>
      </c>
      <c r="P17" s="78" t="str">
        <f aca="false">IF(COUNTIF(원자료_시장!$A$13:$BZ$13,$K$24)&gt;0,13,"")</f>
        <v/>
      </c>
    </row>
    <row r="18" customFormat="false" ht="15" hidden="false" customHeight="false" outlineLevel="0" collapsed="false">
      <c r="A18" s="107" t="s">
        <v>364</v>
      </c>
      <c r="B18" s="107" t="s">
        <v>364</v>
      </c>
      <c r="C18" s="107" t="s">
        <v>1278</v>
      </c>
      <c r="D18" s="107" t="n">
        <v>4</v>
      </c>
      <c r="E18" s="2"/>
      <c r="F18" s="107" t="n">
        <v>34507</v>
      </c>
      <c r="G18" s="120" t="s">
        <v>181</v>
      </c>
      <c r="H18" s="2"/>
      <c r="I18" s="117" t="s">
        <v>1257</v>
      </c>
      <c r="J18" s="118" t="s">
        <v>1282</v>
      </c>
      <c r="K18" s="119" t="s">
        <v>207</v>
      </c>
      <c r="L18" s="2" t="n">
        <f aca="false">IFERROR(MATCH(K18,INDEX(원자료_잔고!$A$1:$EZ$15,설정!$L$5,0),0),"")</f>
        <v>43</v>
      </c>
      <c r="M18" s="2" t="str">
        <f aca="false">IF(L18="","헤더없음","OK")</f>
        <v>OK</v>
      </c>
      <c r="N18" s="2"/>
      <c r="O18" s="78" t="str">
        <f aca="false">IF(COUNTIF(원자료_잔고!$A$14:$EZ$14,$K$7)&gt;0,14,"")</f>
        <v/>
      </c>
      <c r="P18" s="78" t="str">
        <f aca="false">IF(COUNTIF(원자료_시장!$A$14:$BZ$14,$K$24)&gt;0,14,"")</f>
        <v/>
      </c>
    </row>
    <row r="19" customFormat="false" ht="15" hidden="false" customHeight="false" outlineLevel="0" collapsed="false">
      <c r="A19" s="107" t="s">
        <v>367</v>
      </c>
      <c r="B19" s="107" t="s">
        <v>367</v>
      </c>
      <c r="C19" s="107" t="s">
        <v>106</v>
      </c>
      <c r="D19" s="107" t="n">
        <v>5</v>
      </c>
      <c r="E19" s="2"/>
      <c r="F19" s="107" t="n">
        <v>34578</v>
      </c>
      <c r="G19" s="120" t="s">
        <v>181</v>
      </c>
      <c r="H19" s="2"/>
      <c r="I19" s="117" t="s">
        <v>1257</v>
      </c>
      <c r="J19" s="118" t="s">
        <v>1283</v>
      </c>
      <c r="K19" s="119" t="s">
        <v>208</v>
      </c>
      <c r="L19" s="2" t="n">
        <f aca="false">IFERROR(MATCH(K19,INDEX(원자료_잔고!$A$1:$EZ$15,설정!$L$5,0),0),"")</f>
        <v>47</v>
      </c>
      <c r="M19" s="2" t="str">
        <f aca="false">IF(L19="","헤더없음","OK")</f>
        <v>OK</v>
      </c>
      <c r="N19" s="2"/>
      <c r="O19" s="78" t="str">
        <f aca="false">IF(COUNTIF(원자료_잔고!$A$15:$EZ$15,$K$7)&gt;0,15,"")</f>
        <v/>
      </c>
      <c r="P19" s="78" t="str">
        <f aca="false">IF(COUNTIF(원자료_시장!$A$15:$BZ$15,$K$24)&gt;0,15,"")</f>
        <v/>
      </c>
    </row>
    <row r="20" customFormat="false" ht="15" hidden="false" customHeight="false" outlineLevel="0" collapsed="false">
      <c r="A20" s="107" t="s">
        <v>106</v>
      </c>
      <c r="B20" s="107" t="s">
        <v>106</v>
      </c>
      <c r="C20" s="107" t="s">
        <v>106</v>
      </c>
      <c r="D20" s="107" t="n">
        <v>6</v>
      </c>
      <c r="E20" s="2"/>
      <c r="F20" s="107" t="n">
        <v>38038</v>
      </c>
      <c r="G20" s="120"/>
      <c r="H20" s="2"/>
      <c r="I20" s="117" t="s">
        <v>1257</v>
      </c>
      <c r="J20" s="118" t="s">
        <v>1284</v>
      </c>
      <c r="K20" s="119" t="s">
        <v>320</v>
      </c>
      <c r="L20" s="2" t="n">
        <f aca="false">IFERROR(MATCH(K20,INDEX(원자료_잔고!$A$1:$EZ$15,설정!$L$5,0),0),"")</f>
        <v>45</v>
      </c>
      <c r="M20" s="2" t="str">
        <f aca="false">IF(L20="","헤더없음","OK")</f>
        <v>OK</v>
      </c>
      <c r="N20" s="2"/>
      <c r="O20" s="2"/>
      <c r="P20" s="2"/>
    </row>
    <row r="21" customFormat="false" ht="15" hidden="false" customHeight="false" outlineLevel="0" collapsed="false">
      <c r="A21" s="107" t="s">
        <v>374</v>
      </c>
      <c r="B21" s="107" t="s">
        <v>374</v>
      </c>
      <c r="C21" s="107" t="s">
        <v>106</v>
      </c>
      <c r="D21" s="107" t="n">
        <v>7</v>
      </c>
      <c r="E21" s="2"/>
      <c r="F21" s="107" t="n">
        <v>38064</v>
      </c>
      <c r="G21" s="120"/>
      <c r="H21" s="2"/>
      <c r="I21" s="117" t="s">
        <v>1257</v>
      </c>
      <c r="J21" s="118" t="s">
        <v>1285</v>
      </c>
      <c r="K21" s="112" t="s">
        <v>209</v>
      </c>
      <c r="L21" s="2" t="n">
        <f aca="false">IFERROR(MATCH(K21,INDEX(원자료_잔고!$A$1:$EZ$15,설정!$L$5,0),0),"")</f>
        <v>67</v>
      </c>
      <c r="M21" s="2" t="str">
        <f aca="false">IF(L21="","헤더없음","OK")</f>
        <v>OK</v>
      </c>
      <c r="N21" s="2"/>
      <c r="O21" s="2"/>
      <c r="P21" s="2"/>
    </row>
    <row r="22" customFormat="false" ht="15" hidden="false" customHeight="false" outlineLevel="0" collapsed="false">
      <c r="A22" s="107" t="s">
        <v>377</v>
      </c>
      <c r="B22" s="107" t="s">
        <v>377</v>
      </c>
      <c r="C22" s="107" t="s">
        <v>107</v>
      </c>
      <c r="D22" s="107" t="n">
        <v>8</v>
      </c>
      <c r="E22" s="2"/>
      <c r="F22" s="107" t="n">
        <v>38070</v>
      </c>
      <c r="G22" s="120"/>
      <c r="H22" s="2"/>
      <c r="I22" s="117" t="s">
        <v>1257</v>
      </c>
      <c r="J22" s="118" t="s">
        <v>1286</v>
      </c>
      <c r="K22" s="112" t="s">
        <v>210</v>
      </c>
      <c r="L22" s="2" t="n">
        <f aca="false">IFERROR(MATCH(K22,INDEX(원자료_잔고!$A$1:$EZ$15,설정!$L$5,0),0),"")</f>
        <v>68</v>
      </c>
      <c r="M22" s="2" t="str">
        <f aca="false">IF(L22="","헤더없음","OK")</f>
        <v>OK</v>
      </c>
      <c r="N22" s="2"/>
      <c r="O22" s="2"/>
      <c r="P22" s="2"/>
    </row>
    <row r="23" customFormat="false" ht="15" hidden="false" customHeight="false" outlineLevel="0" collapsed="false">
      <c r="A23" s="107" t="s">
        <v>107</v>
      </c>
      <c r="B23" s="107" t="s">
        <v>107</v>
      </c>
      <c r="C23" s="107" t="s">
        <v>107</v>
      </c>
      <c r="D23" s="107" t="n">
        <v>9</v>
      </c>
      <c r="E23" s="2"/>
      <c r="F23" s="107" t="n">
        <v>38088</v>
      </c>
      <c r="G23" s="120"/>
      <c r="H23" s="2"/>
      <c r="I23" s="117" t="s">
        <v>1257</v>
      </c>
      <c r="J23" s="118" t="s">
        <v>1287</v>
      </c>
      <c r="K23" s="112" t="s">
        <v>211</v>
      </c>
      <c r="L23" s="2" t="n">
        <f aca="false">IFERROR(MATCH(K23,INDEX(원자료_잔고!$A$1:$EZ$15,설정!$L$5,0),0),"")</f>
        <v>69</v>
      </c>
      <c r="M23" s="2" t="str">
        <f aca="false">IF(L23="","헤더없음","OK")</f>
        <v>OK</v>
      </c>
      <c r="N23" s="2"/>
      <c r="O23" s="2"/>
      <c r="P23" s="2"/>
    </row>
    <row r="24" customFormat="false" ht="15" hidden="false" customHeight="false" outlineLevel="0" collapsed="false">
      <c r="A24" s="107" t="s">
        <v>490</v>
      </c>
      <c r="B24" s="107" t="s">
        <v>490</v>
      </c>
      <c r="C24" s="107" t="s">
        <v>107</v>
      </c>
      <c r="D24" s="107" t="n">
        <v>10</v>
      </c>
      <c r="E24" s="2"/>
      <c r="F24" s="107" t="n">
        <v>38167</v>
      </c>
      <c r="G24" s="120"/>
      <c r="H24" s="2"/>
      <c r="I24" s="117" t="s">
        <v>1288</v>
      </c>
      <c r="J24" s="118" t="s">
        <v>1261</v>
      </c>
      <c r="K24" s="119" t="s">
        <v>121</v>
      </c>
      <c r="L24" s="2" t="n">
        <f aca="false">IFERROR(MATCH(K24,INDEX(원자료_시장!$A$1:$BZ$15,설정!$L$6,0),0),"")</f>
        <v>1</v>
      </c>
      <c r="M24" s="2" t="str">
        <f aca="false">IF(L24="","헤더없음","OK")</f>
        <v>OK</v>
      </c>
      <c r="N24" s="2"/>
      <c r="O24" s="2"/>
      <c r="P24" s="2"/>
    </row>
    <row r="25" customFormat="false" ht="15" hidden="false" customHeight="false" outlineLevel="0" collapsed="false">
      <c r="A25" s="107" t="s">
        <v>1289</v>
      </c>
      <c r="B25" s="107" t="s">
        <v>1289</v>
      </c>
      <c r="C25" s="107" t="s">
        <v>108</v>
      </c>
      <c r="D25" s="107" t="n">
        <v>11</v>
      </c>
      <c r="E25" s="2"/>
      <c r="F25" s="107" t="n">
        <v>38168</v>
      </c>
      <c r="G25" s="120" t="s">
        <v>181</v>
      </c>
      <c r="H25" s="2"/>
      <c r="I25" s="117" t="s">
        <v>1288</v>
      </c>
      <c r="J25" s="118" t="s">
        <v>1290</v>
      </c>
      <c r="K25" s="119" t="s">
        <v>218</v>
      </c>
      <c r="L25" s="2" t="n">
        <f aca="false">IFERROR(MATCH(K25,INDEX(원자료_시장!$A$1:$BZ$15,설정!$L$6,0),0),"")</f>
        <v>2</v>
      </c>
      <c r="M25" s="2" t="str">
        <f aca="false">IF(L25="","헤더없음","OK")</f>
        <v>OK</v>
      </c>
      <c r="N25" s="2"/>
      <c r="O25" s="2"/>
      <c r="P25" s="2"/>
    </row>
    <row r="26" customFormat="false" ht="15" hidden="false" customHeight="false" outlineLevel="0" collapsed="false">
      <c r="A26" s="107" t="s">
        <v>1291</v>
      </c>
      <c r="B26" s="107" t="s">
        <v>1291</v>
      </c>
      <c r="C26" s="107" t="s">
        <v>108</v>
      </c>
      <c r="D26" s="107" t="n">
        <v>12</v>
      </c>
      <c r="E26" s="2"/>
      <c r="F26" s="107" t="n">
        <v>42003</v>
      </c>
      <c r="G26" s="120"/>
      <c r="H26" s="2"/>
      <c r="I26" s="117" t="s">
        <v>1288</v>
      </c>
      <c r="J26" s="118" t="s">
        <v>1273</v>
      </c>
      <c r="K26" s="112" t="s">
        <v>127</v>
      </c>
      <c r="L26" s="2" t="n">
        <f aca="false">IFERROR(MATCH(K26,INDEX(원자료_시장!$A$1:$BZ$15,설정!$L$6,0),0),"")</f>
        <v>3</v>
      </c>
      <c r="M26" s="2" t="str">
        <f aca="false">IF(L26="","헤더없음","OK")</f>
        <v>OK</v>
      </c>
      <c r="N26" s="2"/>
      <c r="O26" s="2"/>
      <c r="P26" s="2"/>
    </row>
    <row r="27" customFormat="false" ht="15" hidden="false" customHeight="false" outlineLevel="0" collapsed="false">
      <c r="A27" s="107" t="s">
        <v>1292</v>
      </c>
      <c r="B27" s="107" t="s">
        <v>1292</v>
      </c>
      <c r="C27" s="107" t="s">
        <v>108</v>
      </c>
      <c r="D27" s="107" t="n">
        <v>13</v>
      </c>
      <c r="E27" s="2"/>
      <c r="F27" s="107" t="n">
        <v>42006</v>
      </c>
      <c r="G27" s="120"/>
      <c r="H27" s="2"/>
      <c r="I27" s="117" t="s">
        <v>1288</v>
      </c>
      <c r="J27" s="118" t="s">
        <v>1293</v>
      </c>
      <c r="K27" s="112" t="s">
        <v>128</v>
      </c>
      <c r="L27" s="2" t="n">
        <f aca="false">IFERROR(MATCH(K27,INDEX(원자료_시장!$A$1:$BZ$15,설정!$L$6,0),0),"")</f>
        <v>4</v>
      </c>
      <c r="M27" s="2" t="str">
        <f aca="false">IF(L27="","헤더없음","OK")</f>
        <v>OK</v>
      </c>
      <c r="N27" s="2"/>
      <c r="O27" s="2"/>
      <c r="P27" s="2"/>
    </row>
    <row r="28" customFormat="false" ht="15" hidden="false" customHeight="false" outlineLevel="0" collapsed="false">
      <c r="A28" s="107" t="s">
        <v>1294</v>
      </c>
      <c r="B28" s="107" t="s">
        <v>1294</v>
      </c>
      <c r="C28" s="107" t="s">
        <v>108</v>
      </c>
      <c r="D28" s="107" t="n">
        <v>14</v>
      </c>
      <c r="E28" s="2"/>
      <c r="F28" s="107" t="n">
        <v>42011</v>
      </c>
      <c r="G28" s="120"/>
      <c r="H28" s="2"/>
      <c r="I28" s="117" t="s">
        <v>1288</v>
      </c>
      <c r="J28" s="118" t="s">
        <v>1295</v>
      </c>
      <c r="K28" s="112" t="s">
        <v>248</v>
      </c>
      <c r="L28" s="2" t="n">
        <f aca="false">IFERROR(MATCH(K28,INDEX(원자료_시장!$A$1:$BZ$15,설정!$L$6,0),0),"")</f>
        <v>5</v>
      </c>
      <c r="M28" s="2" t="str">
        <f aca="false">IF(L28="","헤더없음","OK")</f>
        <v>OK</v>
      </c>
      <c r="N28" s="2"/>
      <c r="O28" s="2"/>
      <c r="P28" s="2"/>
    </row>
    <row r="29" customFormat="false" ht="15" hidden="false" customHeight="false" outlineLevel="0" collapsed="false">
      <c r="A29" s="107" t="s">
        <v>1296</v>
      </c>
      <c r="B29" s="107" t="s">
        <v>1296</v>
      </c>
      <c r="C29" s="107" t="s">
        <v>108</v>
      </c>
      <c r="D29" s="107" t="n">
        <v>15</v>
      </c>
      <c r="E29" s="2"/>
      <c r="F29" s="112"/>
      <c r="G29" s="120"/>
      <c r="H29" s="2"/>
      <c r="I29" s="117" t="s">
        <v>1288</v>
      </c>
      <c r="J29" s="118" t="s">
        <v>1297</v>
      </c>
      <c r="K29" s="112" t="s">
        <v>249</v>
      </c>
      <c r="L29" s="2" t="n">
        <f aca="false">IFERROR(MATCH(K29,INDEX(원자료_시장!$A$1:$BZ$15,설정!$L$6,0),0),"")</f>
        <v>6</v>
      </c>
      <c r="M29" s="2" t="str">
        <f aca="false">IF(L29="","헤더없음","OK")</f>
        <v>OK</v>
      </c>
      <c r="N29" s="2"/>
      <c r="O29" s="2"/>
      <c r="P29" s="2"/>
    </row>
    <row r="30" customFormat="false" ht="15" hidden="false" customHeight="false" outlineLevel="0" collapsed="false">
      <c r="A30" s="107" t="s">
        <v>1298</v>
      </c>
      <c r="B30" s="107" t="s">
        <v>1298</v>
      </c>
      <c r="C30" s="107" t="s">
        <v>108</v>
      </c>
      <c r="D30" s="107" t="n">
        <v>16</v>
      </c>
      <c r="E30" s="2"/>
      <c r="F30" s="112"/>
      <c r="G30" s="120"/>
      <c r="H30" s="2"/>
      <c r="I30" s="117" t="s">
        <v>1288</v>
      </c>
      <c r="J30" s="118" t="s">
        <v>1299</v>
      </c>
      <c r="K30" s="112" t="s">
        <v>250</v>
      </c>
      <c r="L30" s="2" t="n">
        <f aca="false">IFERROR(MATCH(K30,INDEX(원자료_시장!$A$1:$BZ$15,설정!$L$6,0),0),"")</f>
        <v>7</v>
      </c>
      <c r="M30" s="2" t="str">
        <f aca="false">IF(L30="","헤더없음","OK")</f>
        <v>OK</v>
      </c>
      <c r="N30" s="2"/>
      <c r="O30" s="2"/>
      <c r="P30" s="2"/>
    </row>
    <row r="31" customFormat="false" ht="15" hidden="false" customHeight="false" outlineLevel="0" collapsed="false">
      <c r="A31" s="107" t="s">
        <v>1300</v>
      </c>
      <c r="B31" s="107" t="s">
        <v>787</v>
      </c>
      <c r="C31" s="107" t="s">
        <v>1278</v>
      </c>
      <c r="D31" s="107" t="n">
        <v>1</v>
      </c>
      <c r="E31" s="2"/>
      <c r="F31" s="112"/>
      <c r="G31" s="120"/>
      <c r="H31" s="2"/>
      <c r="I31" s="117" t="s">
        <v>1288</v>
      </c>
      <c r="J31" s="118" t="s">
        <v>1301</v>
      </c>
      <c r="K31" s="112" t="s">
        <v>251</v>
      </c>
      <c r="L31" s="2" t="n">
        <f aca="false">IFERROR(MATCH(K31,INDEX(원자료_시장!$A$1:$BZ$15,설정!$L$6,0),0),"")</f>
        <v>8</v>
      </c>
      <c r="M31" s="2" t="str">
        <f aca="false">IF(L31="","헤더없음","OK")</f>
        <v>OK</v>
      </c>
      <c r="N31" s="2"/>
      <c r="O31" s="2"/>
      <c r="P31" s="2"/>
    </row>
    <row r="32" customFormat="false" ht="15" hidden="false" customHeight="false" outlineLevel="0" collapsed="false">
      <c r="A32" s="107" t="s">
        <v>1302</v>
      </c>
      <c r="B32" s="107" t="s">
        <v>532</v>
      </c>
      <c r="C32" s="107" t="s">
        <v>1278</v>
      </c>
      <c r="D32" s="107" t="n">
        <v>2</v>
      </c>
      <c r="E32" s="2"/>
      <c r="F32" s="112"/>
      <c r="G32" s="120"/>
      <c r="H32" s="2"/>
      <c r="I32" s="117" t="s">
        <v>1288</v>
      </c>
      <c r="J32" s="118" t="s">
        <v>1303</v>
      </c>
      <c r="K32" s="112" t="s">
        <v>252</v>
      </c>
      <c r="L32" s="2" t="n">
        <f aca="false">IFERROR(MATCH(K32,INDEX(원자료_시장!$A$1:$BZ$15,설정!$L$6,0),0),"")</f>
        <v>9</v>
      </c>
      <c r="M32" s="2" t="str">
        <f aca="false">IF(L32="","헤더없음","OK")</f>
        <v>OK</v>
      </c>
      <c r="N32" s="2"/>
      <c r="O32" s="2"/>
      <c r="P32" s="2"/>
    </row>
    <row r="33" customFormat="false" ht="15" hidden="false" customHeight="false" outlineLevel="0" collapsed="false">
      <c r="A33" s="107" t="s">
        <v>1304</v>
      </c>
      <c r="B33" s="107" t="s">
        <v>361</v>
      </c>
      <c r="C33" s="107" t="s">
        <v>1278</v>
      </c>
      <c r="D33" s="107" t="n">
        <v>3</v>
      </c>
      <c r="E33" s="2"/>
      <c r="F33" s="112"/>
      <c r="G33" s="120"/>
      <c r="H33" s="2"/>
      <c r="I33" s="117" t="s">
        <v>1288</v>
      </c>
      <c r="J33" s="118" t="s">
        <v>1305</v>
      </c>
      <c r="K33" s="119" t="s">
        <v>126</v>
      </c>
      <c r="L33" s="2" t="n">
        <f aca="false">IFERROR(MATCH(K33,INDEX(원자료_시장!$A$1:$BZ$15,설정!$L$6,0),0),"")</f>
        <v>10</v>
      </c>
      <c r="M33" s="2" t="str">
        <f aca="false">IF(L33="","헤더없음","OK")</f>
        <v>OK</v>
      </c>
      <c r="N33" s="2"/>
      <c r="O33" s="2"/>
      <c r="P33" s="2"/>
    </row>
    <row r="34" customFormat="false" ht="15" hidden="false" customHeight="false" outlineLevel="0" collapsed="false">
      <c r="A34" s="107" t="s">
        <v>1306</v>
      </c>
      <c r="B34" s="107" t="s">
        <v>364</v>
      </c>
      <c r="C34" s="107" t="s">
        <v>1278</v>
      </c>
      <c r="D34" s="107" t="n">
        <v>4</v>
      </c>
      <c r="E34" s="2"/>
      <c r="F34" s="112"/>
      <c r="G34" s="120"/>
      <c r="H34" s="2"/>
      <c r="I34" s="117" t="s">
        <v>1288</v>
      </c>
      <c r="J34" s="118" t="s">
        <v>1307</v>
      </c>
      <c r="K34" s="119" t="s">
        <v>124</v>
      </c>
      <c r="L34" s="2" t="n">
        <f aca="false">IFERROR(MATCH(K34,INDEX(원자료_시장!$A$1:$BZ$15,설정!$L$6,0),0),"")</f>
        <v>12</v>
      </c>
      <c r="M34" s="2" t="str">
        <f aca="false">IF(L34="","헤더없음","OK")</f>
        <v>OK</v>
      </c>
      <c r="N34" s="2"/>
      <c r="O34" s="2"/>
      <c r="P34" s="2"/>
    </row>
    <row r="35" customFormat="false" ht="15" hidden="false" customHeight="false" outlineLevel="0" collapsed="false">
      <c r="A35" s="107" t="s">
        <v>418</v>
      </c>
      <c r="B35" s="107" t="s">
        <v>367</v>
      </c>
      <c r="C35" s="107" t="s">
        <v>106</v>
      </c>
      <c r="D35" s="107" t="n">
        <v>5</v>
      </c>
      <c r="E35" s="2"/>
      <c r="F35" s="112"/>
      <c r="G35" s="120"/>
      <c r="H35" s="2"/>
      <c r="I35" s="117" t="s">
        <v>1288</v>
      </c>
      <c r="J35" s="118" t="s">
        <v>1308</v>
      </c>
      <c r="K35" s="119" t="s">
        <v>125</v>
      </c>
      <c r="L35" s="2" t="n">
        <f aca="false">IFERROR(MATCH(K35,INDEX(원자료_시장!$A$1:$BZ$15,설정!$L$6,0),0),"")</f>
        <v>13</v>
      </c>
      <c r="M35" s="2" t="str">
        <f aca="false">IF(L35="","헤더없음","OK")</f>
        <v>OK</v>
      </c>
      <c r="N35" s="2"/>
      <c r="O35" s="2"/>
      <c r="P35" s="2"/>
    </row>
    <row r="36" customFormat="false" ht="15" hidden="false" customHeight="false" outlineLevel="0" collapsed="false">
      <c r="A36" s="107" t="s">
        <v>1309</v>
      </c>
      <c r="B36" s="107" t="s">
        <v>106</v>
      </c>
      <c r="C36" s="107" t="s">
        <v>106</v>
      </c>
      <c r="D36" s="107" t="n">
        <v>6</v>
      </c>
      <c r="E36" s="2"/>
      <c r="F36" s="112"/>
      <c r="G36" s="120"/>
      <c r="H36" s="2"/>
      <c r="I36" s="117" t="s">
        <v>1288</v>
      </c>
      <c r="J36" s="118" t="s">
        <v>1310</v>
      </c>
      <c r="K36" s="119" t="s">
        <v>158</v>
      </c>
      <c r="L36" s="2" t="n">
        <f aca="false">IFERROR(MATCH(K36,INDEX(원자료_시장!$A$1:$BZ$15,설정!$L$6,0),0),"")</f>
        <v>14</v>
      </c>
      <c r="M36" s="2" t="str">
        <f aca="false">IF(L36="","헤더없음","OK")</f>
        <v>OK</v>
      </c>
      <c r="N36" s="2"/>
      <c r="O36" s="2"/>
      <c r="P36" s="2"/>
    </row>
    <row r="37" customFormat="false" ht="15" hidden="false" customHeight="false" outlineLevel="0" collapsed="false">
      <c r="A37" s="107" t="s">
        <v>517</v>
      </c>
      <c r="B37" s="107" t="s">
        <v>374</v>
      </c>
      <c r="C37" s="107" t="s">
        <v>106</v>
      </c>
      <c r="D37" s="107" t="n">
        <v>7</v>
      </c>
      <c r="E37" s="2"/>
      <c r="F37" s="2"/>
      <c r="G37" s="2"/>
      <c r="H37" s="2"/>
      <c r="I37" s="117" t="s">
        <v>1288</v>
      </c>
      <c r="J37" s="118" t="s">
        <v>1311</v>
      </c>
      <c r="K37" s="119" t="s">
        <v>122</v>
      </c>
      <c r="L37" s="2" t="n">
        <f aca="false">IFERROR(MATCH(K37,INDEX(원자료_시장!$A$1:$BZ$15,설정!$L$6,0),0),"")</f>
        <v>18</v>
      </c>
      <c r="M37" s="2" t="str">
        <f aca="false">IF(L37="","헤더없음","OK")</f>
        <v>OK</v>
      </c>
      <c r="N37" s="2"/>
      <c r="O37" s="2"/>
      <c r="P37" s="2"/>
    </row>
    <row r="38" customFormat="false" ht="15" hidden="false" customHeight="false" outlineLevel="0" collapsed="false">
      <c r="A38" s="107" t="s">
        <v>1312</v>
      </c>
      <c r="B38" s="107" t="s">
        <v>377</v>
      </c>
      <c r="C38" s="107" t="s">
        <v>107</v>
      </c>
      <c r="D38" s="107" t="n">
        <v>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107" t="s">
        <v>481</v>
      </c>
      <c r="B39" s="107" t="s">
        <v>107</v>
      </c>
      <c r="C39" s="107" t="s">
        <v>107</v>
      </c>
      <c r="D39" s="107" t="n">
        <v>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107" t="s">
        <v>1313</v>
      </c>
      <c r="B40" s="107" t="s">
        <v>490</v>
      </c>
      <c r="C40" s="107" t="s">
        <v>107</v>
      </c>
      <c r="D40" s="107" t="n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107" t="s">
        <v>1314</v>
      </c>
      <c r="B41" s="107" t="s">
        <v>1289</v>
      </c>
      <c r="C41" s="107" t="s">
        <v>108</v>
      </c>
      <c r="D41" s="107" t="n">
        <v>11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107" t="s">
        <v>1315</v>
      </c>
      <c r="B42" s="107" t="s">
        <v>1291</v>
      </c>
      <c r="C42" s="107" t="s">
        <v>108</v>
      </c>
      <c r="D42" s="107" t="n">
        <v>12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107" t="s">
        <v>1316</v>
      </c>
      <c r="B43" s="107" t="s">
        <v>1292</v>
      </c>
      <c r="C43" s="107" t="s">
        <v>108</v>
      </c>
      <c r="D43" s="107" t="n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107" t="s">
        <v>1317</v>
      </c>
      <c r="B44" s="107" t="s">
        <v>1294</v>
      </c>
      <c r="C44" s="107" t="s">
        <v>108</v>
      </c>
      <c r="D44" s="107" t="n">
        <v>14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107" t="s">
        <v>1318</v>
      </c>
      <c r="B45" s="107" t="s">
        <v>1296</v>
      </c>
      <c r="C45" s="107" t="s">
        <v>108</v>
      </c>
      <c r="D45" s="107" t="n">
        <v>15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107" t="s">
        <v>1319</v>
      </c>
      <c r="B46" s="107" t="s">
        <v>1298</v>
      </c>
      <c r="C46" s="107" t="s">
        <v>108</v>
      </c>
      <c r="D46" s="107" t="n">
        <v>16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107" t="s">
        <v>505</v>
      </c>
      <c r="B47" s="107"/>
      <c r="C47" s="108" t="s">
        <v>109</v>
      </c>
      <c r="D47" s="107" t="n">
        <v>99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</sheetData>
  <conditionalFormatting sqref="M7:M37">
    <cfRule type="cellIs" priority="2" operator="equal" aboveAverage="0" equalAverage="0" bottom="0" percent="0" rank="0" text="" dxfId="2">
      <formula>"헤더없음"</formula>
    </cfRule>
  </conditionalFormatting>
  <dataValidations count="2">
    <dataValidation allowBlank="false" errorStyle="warning" operator="between" showDropDown="false" showErrorMessage="false" showInputMessage="false" sqref="C5" type="list">
      <formula1>$F$14:$F$36</formula1>
      <formula2>0</formula2>
    </dataValidation>
    <dataValidation allowBlank="true" errorStyle="stop" operator="between" showDropDown="false" showErrorMessage="false" showInputMessage="false" sqref="G16:G36" type="list">
      <formula1>"Y"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1320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9" t="s">
        <v>1321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3" t="s">
        <v>1322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43" t="s">
        <v>1323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43" t="s">
        <v>1324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43" t="s">
        <v>1325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43" t="s">
        <v>1326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43"/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19" t="s">
        <v>1327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43" t="s">
        <v>1328</v>
      </c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43" t="s">
        <v>1329</v>
      </c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43" t="s">
        <v>1330</v>
      </c>
      <c r="B13" s="2"/>
      <c r="C13" s="2"/>
      <c r="D13" s="2"/>
      <c r="E13" s="2"/>
      <c r="F13" s="2"/>
      <c r="G13" s="2"/>
    </row>
    <row r="14" customFormat="false" ht="15" hidden="false" customHeight="false" outlineLevel="0" collapsed="false">
      <c r="A14" s="43"/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19" t="s">
        <v>1331</v>
      </c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43" t="s">
        <v>1332</v>
      </c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43" t="s">
        <v>1333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43" t="s">
        <v>1334</v>
      </c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43" t="s">
        <v>1335</v>
      </c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43" t="s">
        <v>1336</v>
      </c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43" t="s">
        <v>1337</v>
      </c>
      <c r="B21" s="2"/>
      <c r="C21" s="2"/>
      <c r="D21" s="2"/>
      <c r="E21" s="2"/>
      <c r="F21" s="2"/>
      <c r="G21" s="2"/>
    </row>
    <row r="22" customFormat="false" ht="15" hidden="false" customHeight="false" outlineLevel="0" collapsed="false">
      <c r="A22" s="43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19" t="s">
        <v>1338</v>
      </c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43" t="s">
        <v>1339</v>
      </c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43" t="s">
        <v>1340</v>
      </c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43" t="s">
        <v>1341</v>
      </c>
      <c r="B26" s="2"/>
      <c r="C26" s="2"/>
      <c r="D26" s="2"/>
      <c r="E26" s="2"/>
      <c r="F26" s="2"/>
      <c r="G26" s="2"/>
    </row>
    <row r="27" customFormat="false" ht="15" hidden="false" customHeight="false" outlineLevel="0" collapsed="false">
      <c r="A27" s="43" t="s">
        <v>1342</v>
      </c>
      <c r="B27" s="2"/>
      <c r="C27" s="2"/>
      <c r="D27" s="2"/>
      <c r="E27" s="2"/>
      <c r="F27" s="2"/>
      <c r="G27" s="2"/>
    </row>
    <row r="28" customFormat="false" ht="15" hidden="false" customHeight="false" outlineLevel="0" collapsed="false">
      <c r="A28" s="43"/>
      <c r="B28" s="2"/>
      <c r="C28" s="2"/>
      <c r="D28" s="2"/>
      <c r="E28" s="2"/>
      <c r="F28" s="2"/>
      <c r="G28" s="2"/>
    </row>
    <row r="29" customFormat="false" ht="15" hidden="false" customHeight="false" outlineLevel="0" collapsed="false">
      <c r="A29" s="19" t="s">
        <v>1343</v>
      </c>
      <c r="B29" s="2"/>
      <c r="C29" s="2"/>
      <c r="D29" s="2"/>
      <c r="E29" s="2"/>
      <c r="F29" s="2"/>
      <c r="G29" s="2"/>
    </row>
    <row r="30" customFormat="false" ht="17.15" hidden="false" customHeight="false" outlineLevel="0" collapsed="false">
      <c r="A30" s="117" t="s">
        <v>1344</v>
      </c>
      <c r="B30" s="105" t="n">
        <f aca="false">SUM(보유분석!$Q$2:$Q$801)</f>
        <v>450</v>
      </c>
      <c r="C30" s="2"/>
      <c r="D30" s="2"/>
      <c r="E30" s="2"/>
      <c r="F30" s="2"/>
      <c r="G30" s="2"/>
    </row>
    <row r="31" customFormat="false" ht="17.15" hidden="false" customHeight="false" outlineLevel="0" collapsed="false">
      <c r="A31" s="117" t="s">
        <v>1345</v>
      </c>
      <c r="B31" s="105" t="n">
        <f aca="false">COUNTIFS(보유분석!$AC$2:$AC$801,1,보유분석!$AW$2:$AW$801,"*시장데이터없음*")</f>
        <v>5</v>
      </c>
      <c r="C31" s="2"/>
      <c r="D31" s="2"/>
      <c r="E31" s="2"/>
      <c r="F31" s="2"/>
      <c r="G31" s="2"/>
    </row>
    <row r="32" customFormat="false" ht="17.15" hidden="false" customHeight="false" outlineLevel="0" collapsed="false">
      <c r="A32" s="117" t="s">
        <v>1346</v>
      </c>
      <c r="B32" s="8" t="n">
        <f aca="false">SUMIFS(보유분석!$AA$2:$AA$801,보유분석!$AC$2:$AC$801,1,보유분석!$AW$2:$AW$801,"*시장데이터없음*")</f>
        <v>20.6277266</v>
      </c>
      <c r="C32" s="2"/>
      <c r="D32" s="2"/>
      <c r="E32" s="2"/>
      <c r="F32" s="2"/>
      <c r="G32" s="2"/>
    </row>
    <row r="33" customFormat="false" ht="17.15" hidden="false" customHeight="false" outlineLevel="0" collapsed="false">
      <c r="A33" s="2" t="s">
        <v>1347</v>
      </c>
      <c r="B33" s="105" t="n">
        <f aca="false">COUNTIFS(보유분석!$AC$2:$AC$801,1,보유분석!$AW$2:$AW$801,"*FRN*")</f>
        <v>1</v>
      </c>
      <c r="C33" s="2"/>
      <c r="D33" s="2"/>
      <c r="E33" s="2"/>
      <c r="F33" s="2"/>
      <c r="G33" s="2"/>
    </row>
    <row r="34" customFormat="false" ht="17.15" hidden="false" customHeight="false" outlineLevel="0" collapsed="false">
      <c r="A34" s="2" t="s">
        <v>1348</v>
      </c>
      <c r="B34" s="105" t="n">
        <f aca="false">COUNTIFS(보유분석!$AC$2:$AC$801,1,보유분석!$AW$2:$AW$801,"*BBB0미만*")</f>
        <v>0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A35" s="117" t="s">
        <v>1349</v>
      </c>
      <c r="B35" s="105" t="n">
        <f aca="false">COUNTIFS(보유분석!$AC$2:$AC$801,1,보유분석!$AW$2:$AW$801,"*등급없음*")</f>
        <v>10</v>
      </c>
      <c r="C35" s="2"/>
      <c r="D35" s="2"/>
      <c r="E35" s="2"/>
      <c r="F35" s="2"/>
      <c r="G35" s="2"/>
    </row>
    <row r="36" customFormat="false" ht="17.15" hidden="false" customHeight="false" outlineLevel="0" collapsed="false">
      <c r="A36" s="117" t="s">
        <v>1350</v>
      </c>
      <c r="B36" s="105" t="n">
        <f aca="false">COUNTIFS(보유분석!$AC$2:$AC$801,1,보유분석!$AW$2:$AW$801,"*비USD*")</f>
        <v>0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A37" s="117" t="s">
        <v>1351</v>
      </c>
      <c r="B37" s="105" t="n">
        <f aca="false">COUNTIFS(보유분석!$AC$2:$AC$801,1,보유분석!$AW$2:$AW$801,"*만기경과*")</f>
        <v>0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A38" s="117" t="s">
        <v>1352</v>
      </c>
      <c r="B38" s="105" t="n">
        <f aca="false">COUNTIFS(보유분석!$AC$2:$AC$801,1,보유분석!$AI$2:$AI$801,"미분류")</f>
        <v>0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A39" s="117" t="s">
        <v>1353</v>
      </c>
      <c r="B39" s="105" t="n">
        <f aca="false">COUNTIF(설정!$M$7:$M$37,"헤더없음")</f>
        <v>0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19" t="s">
        <v>1354</v>
      </c>
      <c r="B41" s="2"/>
      <c r="C41" s="2"/>
      <c r="D41" s="2"/>
      <c r="E41" s="2"/>
      <c r="F41" s="68" t="s">
        <v>1355</v>
      </c>
      <c r="G41" s="2"/>
    </row>
    <row r="42" customFormat="false" ht="15" hidden="false" customHeight="false" outlineLevel="0" collapsed="false">
      <c r="A42" s="5" t="s">
        <v>1356</v>
      </c>
      <c r="B42" s="5" t="s">
        <v>40</v>
      </c>
      <c r="C42" s="25" t="s">
        <v>198</v>
      </c>
      <c r="D42" s="5" t="s">
        <v>39</v>
      </c>
      <c r="E42" s="2"/>
      <c r="F42" s="2"/>
      <c r="G42" s="2"/>
    </row>
    <row r="43" customFormat="false" ht="15" hidden="false" customHeight="false" outlineLevel="0" collapsed="false">
      <c r="A43" s="17" t="str">
        <f aca="false">IF(G43="","",INDEX(보유분석!$A:$A,G43))</f>
        <v>JPM 5.041 07/23/32</v>
      </c>
      <c r="B43" s="80" t="n">
        <f aca="false">IF(G43="","",INDEX(보유분석!$AA:$AA,G43))</f>
        <v>9.68843</v>
      </c>
      <c r="C43" s="17" t="str">
        <f aca="false">IF(G43="","",INDEX(보유분석!$B:$B,G43))</f>
        <v>US48128BAU52</v>
      </c>
      <c r="D43" s="17" t="str">
        <f aca="false">IF(G43="","",INDEX(보유분석!$C:$C,G43))</f>
        <v>28096</v>
      </c>
      <c r="E43" s="2"/>
      <c r="F43" s="78" t="n">
        <f aca="false">SUMPRODUCT(LARGE((보유분석!$AC$2:$AC$801=1)*ISNUMBER(SEARCH("시장데이터없음",보유분석!$AW$2:$AW$801))*(보유분석!$AA$2:$AA$801+ROW(보유분석!$AA$2:$AA$801)/1000000000),1))</f>
        <v>9.688430023</v>
      </c>
      <c r="G43" s="78" t="n">
        <f aca="false">IF(F43&lt;=0,"",SUMPRODUCT((ROUND((보유분석!$AC$2:$AC$801=1)*ISNUMBER(SEARCH("시장데이터없음",보유분석!$AW$2:$AW$801))*(보유분석!$AA$2:$AA$801+ROW(보유분석!$AA$2:$AA$801)/1000000000),12)=ROUND(F43,12))*ROW(보유분석!$AA$2:$AA$801)))</f>
        <v>23</v>
      </c>
    </row>
    <row r="44" customFormat="false" ht="15" hidden="false" customHeight="false" outlineLevel="0" collapsed="false">
      <c r="A44" s="17" t="str">
        <f aca="false">IF(G44="","",INDEX(보유분석!$A:$A,G44))</f>
        <v>UBS 5.3791 10/11/31</v>
      </c>
      <c r="B44" s="80" t="n">
        <f aca="false">IF(G44="","",INDEX(보유분석!$AA:$AA,G44))</f>
        <v>4.906685</v>
      </c>
      <c r="C44" s="17" t="str">
        <f aca="false">IF(G44="","",INDEX(보유분석!$B:$B,G44))</f>
        <v>USH42097FW29</v>
      </c>
      <c r="D44" s="17" t="str">
        <f aca="false">IF(G44="","",INDEX(보유분석!$C:$C,G44))</f>
        <v>34507</v>
      </c>
      <c r="E44" s="2"/>
      <c r="F44" s="78" t="n">
        <f aca="false">SUMPRODUCT(LARGE((보유분석!$AC$2:$AC$801=1)*ISNUMBER(SEARCH("시장데이터없음",보유분석!$AW$2:$AW$801))*(보유분석!$AA$2:$AA$801+ROW(보유분석!$AA$2:$AA$801)/1000000000),2))</f>
        <v>4.906685122</v>
      </c>
      <c r="G44" s="78" t="n">
        <f aca="false">IF(F44&lt;=0,"",SUMPRODUCT((ROUND((보유분석!$AC$2:$AC$801=1)*ISNUMBER(SEARCH("시장데이터없음",보유분석!$AW$2:$AW$801))*(보유분석!$AA$2:$AA$801+ROW(보유분석!$AA$2:$AA$801)/1000000000),12)=ROUND(F44,12))*ROW(보유분석!$AA$2:$AA$801)))</f>
        <v>122</v>
      </c>
    </row>
    <row r="45" customFormat="false" ht="15" hidden="false" customHeight="false" outlineLevel="0" collapsed="false">
      <c r="A45" s="17" t="str">
        <f aca="false">IF(G45="","",INDEX(보유분석!$A:$A,G45))</f>
        <v>MS 5.17 07/14/32</v>
      </c>
      <c r="B45" s="80" t="n">
        <f aca="false">IF(G45="","",INDEX(보유분석!$AA:$AA,G45))</f>
        <v>4.842835</v>
      </c>
      <c r="C45" s="17" t="str">
        <f aca="false">IF(G45="","",INDEX(보유분석!$B:$B,G45))</f>
        <v>US61748UBA97</v>
      </c>
      <c r="D45" s="17" t="str">
        <f aca="false">IF(G45="","",INDEX(보유분석!$C:$C,G45))</f>
        <v>28096</v>
      </c>
      <c r="E45" s="2"/>
      <c r="F45" s="78" t="n">
        <f aca="false">SUMPRODUCT(LARGE((보유분석!$AC$2:$AC$801=1)*ISNUMBER(SEARCH("시장데이터없음",보유분석!$AW$2:$AW$801))*(보유분석!$AA$2:$AA$801+ROW(보유분석!$AA$2:$AA$801)/1000000000),3))</f>
        <v>4.84283503</v>
      </c>
      <c r="G45" s="78" t="n">
        <f aca="false">IF(F45&lt;=0,"",SUMPRODUCT((ROUND((보유분석!$AC$2:$AC$801=1)*ISNUMBER(SEARCH("시장데이터없음",보유분석!$AW$2:$AW$801))*(보유분석!$AA$2:$AA$801+ROW(보유분석!$AA$2:$AA$801)/1000000000),12)=ROUND(F45,12))*ROW(보유분석!$AA$2:$AA$801)))</f>
        <v>30</v>
      </c>
    </row>
    <row r="46" customFormat="false" ht="15" hidden="false" customHeight="false" outlineLevel="0" collapsed="false">
      <c r="A46" s="17" t="str">
        <f aca="false">IF(G46="","",INDEX(보유분석!$A:$A,G46))</f>
        <v>HYNMTR 5.4 09/17/29</v>
      </c>
      <c r="B46" s="80" t="n">
        <f aca="false">IF(G46="","",INDEX(보유분석!$AA:$AA,G46))</f>
        <v>0.992721</v>
      </c>
      <c r="C46" s="17" t="str">
        <f aca="false">IF(G46="","",INDEX(보유분석!$B:$B,G46))</f>
        <v>US44891CER07</v>
      </c>
      <c r="D46" s="17" t="str">
        <f aca="false">IF(G46="","",INDEX(보유분석!$C:$C,G46))</f>
        <v>34507</v>
      </c>
      <c r="E46" s="2"/>
      <c r="F46" s="78" t="n">
        <f aca="false">SUMPRODUCT(LARGE((보유분석!$AC$2:$AC$801=1)*ISNUMBER(SEARCH("시장데이터없음",보유분석!$AW$2:$AW$801))*(보유분석!$AA$2:$AA$801+ROW(보유분석!$AA$2:$AA$801)/1000000000),4))</f>
        <v>0.992721099</v>
      </c>
      <c r="G46" s="78" t="n">
        <f aca="false">IF(F46&lt;=0,"",SUMPRODUCT((ROUND((보유분석!$AC$2:$AC$801=1)*ISNUMBER(SEARCH("시장데이터없음",보유분석!$AW$2:$AW$801))*(보유분석!$AA$2:$AA$801+ROW(보유분석!$AA$2:$AA$801)/1000000000),12)=ROUND(F46,12))*ROW(보유분석!$AA$2:$AA$801)))</f>
        <v>99</v>
      </c>
    </row>
    <row r="47" customFormat="false" ht="15" hidden="false" customHeight="false" outlineLevel="0" collapsed="false">
      <c r="A47" s="17" t="str">
        <f aca="false">IF(G47="","",INDEX(보유분석!$A:$A,G47))</f>
        <v>KORSFC 4.875 09/17/29</v>
      </c>
      <c r="B47" s="80" t="n">
        <f aca="false">IF(G47="","",INDEX(보유분석!$AA:$AA,G47))</f>
        <v>0.1970556</v>
      </c>
      <c r="C47" s="17" t="str">
        <f aca="false">IF(G47="","",INDEX(보유분석!$B:$B,G47))</f>
        <v>XS3504731228</v>
      </c>
      <c r="D47" s="17" t="str">
        <f aca="false">IF(G47="","",INDEX(보유분석!$C:$C,G47))</f>
        <v>34507</v>
      </c>
      <c r="E47" s="2"/>
      <c r="F47" s="78" t="n">
        <f aca="false">SUMPRODUCT(LARGE((보유분석!$AC$2:$AC$801=1)*ISNUMBER(SEARCH("시장데이터없음",보유분석!$AW$2:$AW$801))*(보유분석!$AA$2:$AA$801+ROW(보유분석!$AA$2:$AA$801)/1000000000),5))</f>
        <v>0.197055762</v>
      </c>
      <c r="G47" s="78" t="n">
        <f aca="false">IF(F47&lt;=0,"",SUMPRODUCT((ROUND((보유분석!$AC$2:$AC$801=1)*ISNUMBER(SEARCH("시장데이터없음",보유분석!$AW$2:$AW$801))*(보유분석!$AA$2:$AA$801+ROW(보유분석!$AA$2:$AA$801)/1000000000),12)=ROUND(F47,12))*ROW(보유분석!$AA$2:$AA$801)))</f>
        <v>162</v>
      </c>
    </row>
    <row r="48" customFormat="false" ht="15" hidden="false" customHeight="false" outlineLevel="0" collapsed="false">
      <c r="A48" s="17" t="str">
        <f aca="false">IF(G48="","",INDEX(보유분석!$A:$A,G48))</f>
        <v/>
      </c>
      <c r="B48" s="80" t="str">
        <f aca="false">IF(G48="","",INDEX(보유분석!$AA:$AA,G48))</f>
        <v/>
      </c>
      <c r="C48" s="17" t="str">
        <f aca="false">IF(G48="","",INDEX(보유분석!$B:$B,G48))</f>
        <v/>
      </c>
      <c r="D48" s="17" t="str">
        <f aca="false">IF(G48="","",INDEX(보유분석!$C:$C,G48))</f>
        <v/>
      </c>
      <c r="E48" s="2"/>
      <c r="F48" s="78" t="n">
        <f aca="false">SUMPRODUCT(LARGE((보유분석!$AC$2:$AC$801=1)*ISNUMBER(SEARCH("시장데이터없음",보유분석!$AW$2:$AW$801))*(보유분석!$AA$2:$AA$801+ROW(보유분석!$AA$2:$AA$801)/1000000000),6))</f>
        <v>0</v>
      </c>
      <c r="G48" s="78" t="str">
        <f aca="false">IF(F48&lt;=0,"",SUMPRODUCT((ROUND((보유분석!$AC$2:$AC$801=1)*ISNUMBER(SEARCH("시장데이터없음",보유분석!$AW$2:$AW$801))*(보유분석!$AA$2:$AA$801+ROW(보유분석!$AA$2:$AA$801)/1000000000),12)=ROUND(F48,12))*ROW(보유분석!$AA$2:$AA$801)))</f>
        <v/>
      </c>
    </row>
    <row r="49" customFormat="false" ht="15" hidden="false" customHeight="false" outlineLevel="0" collapsed="false">
      <c r="A49" s="17" t="str">
        <f aca="false">IF(G49="","",INDEX(보유분석!$A:$A,G49))</f>
        <v/>
      </c>
      <c r="B49" s="80" t="str">
        <f aca="false">IF(G49="","",INDEX(보유분석!$AA:$AA,G49))</f>
        <v/>
      </c>
      <c r="C49" s="17" t="str">
        <f aca="false">IF(G49="","",INDEX(보유분석!$B:$B,G49))</f>
        <v/>
      </c>
      <c r="D49" s="17" t="str">
        <f aca="false">IF(G49="","",INDEX(보유분석!$C:$C,G49))</f>
        <v/>
      </c>
      <c r="E49" s="2"/>
      <c r="F49" s="78" t="n">
        <f aca="false">SUMPRODUCT(LARGE((보유분석!$AC$2:$AC$801=1)*ISNUMBER(SEARCH("시장데이터없음",보유분석!$AW$2:$AW$801))*(보유분석!$AA$2:$AA$801+ROW(보유분석!$AA$2:$AA$801)/1000000000),7))</f>
        <v>0</v>
      </c>
      <c r="G49" s="78" t="str">
        <f aca="false">IF(F49&lt;=0,"",SUMPRODUCT((ROUND((보유분석!$AC$2:$AC$801=1)*ISNUMBER(SEARCH("시장데이터없음",보유분석!$AW$2:$AW$801))*(보유분석!$AA$2:$AA$801+ROW(보유분석!$AA$2:$AA$801)/1000000000),12)=ROUND(F49,12))*ROW(보유분석!$AA$2:$AA$801)))</f>
        <v/>
      </c>
    </row>
    <row r="50" customFormat="false" ht="15" hidden="false" customHeight="false" outlineLevel="0" collapsed="false">
      <c r="A50" s="17" t="str">
        <f aca="false">IF(G50="","",INDEX(보유분석!$A:$A,G50))</f>
        <v/>
      </c>
      <c r="B50" s="80" t="str">
        <f aca="false">IF(G50="","",INDEX(보유분석!$AA:$AA,G50))</f>
        <v/>
      </c>
      <c r="C50" s="17" t="str">
        <f aca="false">IF(G50="","",INDEX(보유분석!$B:$B,G50))</f>
        <v/>
      </c>
      <c r="D50" s="17" t="str">
        <f aca="false">IF(G50="","",INDEX(보유분석!$C:$C,G50))</f>
        <v/>
      </c>
      <c r="E50" s="2"/>
      <c r="F50" s="78" t="n">
        <f aca="false">SUMPRODUCT(LARGE((보유분석!$AC$2:$AC$801=1)*ISNUMBER(SEARCH("시장데이터없음",보유분석!$AW$2:$AW$801))*(보유분석!$AA$2:$AA$801+ROW(보유분석!$AA$2:$AA$801)/1000000000),8))</f>
        <v>0</v>
      </c>
      <c r="G50" s="78" t="str">
        <f aca="false">IF(F50&lt;=0,"",SUMPRODUCT((ROUND((보유분석!$AC$2:$AC$801=1)*ISNUMBER(SEARCH("시장데이터없음",보유분석!$AW$2:$AW$801))*(보유분석!$AA$2:$AA$801+ROW(보유분석!$AA$2:$AA$801)/1000000000),12)=ROUND(F50,12))*ROW(보유분석!$AA$2:$AA$801)))</f>
        <v/>
      </c>
    </row>
    <row r="51" customFormat="false" ht="15" hidden="false" customHeight="false" outlineLevel="0" collapsed="false">
      <c r="A51" s="17" t="str">
        <f aca="false">IF(G51="","",INDEX(보유분석!$A:$A,G51))</f>
        <v/>
      </c>
      <c r="B51" s="80" t="str">
        <f aca="false">IF(G51="","",INDEX(보유분석!$AA:$AA,G51))</f>
        <v/>
      </c>
      <c r="C51" s="17" t="str">
        <f aca="false">IF(G51="","",INDEX(보유분석!$B:$B,G51))</f>
        <v/>
      </c>
      <c r="D51" s="17" t="str">
        <f aca="false">IF(G51="","",INDEX(보유분석!$C:$C,G51))</f>
        <v/>
      </c>
      <c r="E51" s="2"/>
      <c r="F51" s="78" t="n">
        <f aca="false">SUMPRODUCT(LARGE((보유분석!$AC$2:$AC$801=1)*ISNUMBER(SEARCH("시장데이터없음",보유분석!$AW$2:$AW$801))*(보유분석!$AA$2:$AA$801+ROW(보유분석!$AA$2:$AA$801)/1000000000),9))</f>
        <v>0</v>
      </c>
      <c r="G51" s="78" t="str">
        <f aca="false">IF(F51&lt;=0,"",SUMPRODUCT((ROUND((보유분석!$AC$2:$AC$801=1)*ISNUMBER(SEARCH("시장데이터없음",보유분석!$AW$2:$AW$801))*(보유분석!$AA$2:$AA$801+ROW(보유분석!$AA$2:$AA$801)/1000000000),12)=ROUND(F51,12))*ROW(보유분석!$AA$2:$AA$801)))</f>
        <v/>
      </c>
    </row>
    <row r="52" customFormat="false" ht="15" hidden="false" customHeight="false" outlineLevel="0" collapsed="false">
      <c r="A52" s="17" t="str">
        <f aca="false">IF(G52="","",INDEX(보유분석!$A:$A,G52))</f>
        <v/>
      </c>
      <c r="B52" s="80" t="str">
        <f aca="false">IF(G52="","",INDEX(보유분석!$AA:$AA,G52))</f>
        <v/>
      </c>
      <c r="C52" s="17" t="str">
        <f aca="false">IF(G52="","",INDEX(보유분석!$B:$B,G52))</f>
        <v/>
      </c>
      <c r="D52" s="17" t="str">
        <f aca="false">IF(G52="","",INDEX(보유분석!$C:$C,G52))</f>
        <v/>
      </c>
      <c r="E52" s="2"/>
      <c r="F52" s="78" t="n">
        <f aca="false">SUMPRODUCT(LARGE((보유분석!$AC$2:$AC$801=1)*ISNUMBER(SEARCH("시장데이터없음",보유분석!$AW$2:$AW$801))*(보유분석!$AA$2:$AA$801+ROW(보유분석!$AA$2:$AA$801)/1000000000),10))</f>
        <v>0</v>
      </c>
      <c r="G52" s="78" t="str">
        <f aca="false">IF(F52&lt;=0,"",SUMPRODUCT((ROUND((보유분석!$AC$2:$AC$801=1)*ISNUMBER(SEARCH("시장데이터없음",보유분석!$AW$2:$AW$801))*(보유분석!$AA$2:$AA$801+ROW(보유분석!$AA$2:$AA$801)/1000000000),12)=ROUND(F52,12))*ROW(보유분석!$AA$2:$AA$801)))</f>
        <v/>
      </c>
    </row>
    <row r="53" customFormat="false" ht="15" hidden="false" customHeight="false" outlineLevel="0" collapsed="false">
      <c r="A53" s="17" t="str">
        <f aca="false">IF(G53="","",INDEX(보유분석!$A:$A,G53))</f>
        <v/>
      </c>
      <c r="B53" s="80" t="str">
        <f aca="false">IF(G53="","",INDEX(보유분석!$AA:$AA,G53))</f>
        <v/>
      </c>
      <c r="C53" s="17" t="str">
        <f aca="false">IF(G53="","",INDEX(보유분석!$B:$B,G53))</f>
        <v/>
      </c>
      <c r="D53" s="17" t="str">
        <f aca="false">IF(G53="","",INDEX(보유분석!$C:$C,G53))</f>
        <v/>
      </c>
      <c r="E53" s="2"/>
      <c r="F53" s="78" t="n">
        <f aca="false">SUMPRODUCT(LARGE((보유분석!$AC$2:$AC$801=1)*ISNUMBER(SEARCH("시장데이터없음",보유분석!$AW$2:$AW$801))*(보유분석!$AA$2:$AA$801+ROW(보유분석!$AA$2:$AA$801)/1000000000),11))</f>
        <v>0</v>
      </c>
      <c r="G53" s="78" t="str">
        <f aca="false">IF(F53&lt;=0,"",SUMPRODUCT((ROUND((보유분석!$AC$2:$AC$801=1)*ISNUMBER(SEARCH("시장데이터없음",보유분석!$AW$2:$AW$801))*(보유분석!$AA$2:$AA$801+ROW(보유분석!$AA$2:$AA$801)/1000000000),12)=ROUND(F53,12))*ROW(보유분석!$AA$2:$AA$801)))</f>
        <v/>
      </c>
    </row>
    <row r="54" customFormat="false" ht="15" hidden="false" customHeight="false" outlineLevel="0" collapsed="false">
      <c r="A54" s="17" t="str">
        <f aca="false">IF(G54="","",INDEX(보유분석!$A:$A,G54))</f>
        <v/>
      </c>
      <c r="B54" s="80" t="str">
        <f aca="false">IF(G54="","",INDEX(보유분석!$AA:$AA,G54))</f>
        <v/>
      </c>
      <c r="C54" s="17" t="str">
        <f aca="false">IF(G54="","",INDEX(보유분석!$B:$B,G54))</f>
        <v/>
      </c>
      <c r="D54" s="17" t="str">
        <f aca="false">IF(G54="","",INDEX(보유분석!$C:$C,G54))</f>
        <v/>
      </c>
      <c r="E54" s="2"/>
      <c r="F54" s="78" t="n">
        <f aca="false">SUMPRODUCT(LARGE((보유분석!$AC$2:$AC$801=1)*ISNUMBER(SEARCH("시장데이터없음",보유분석!$AW$2:$AW$801))*(보유분석!$AA$2:$AA$801+ROW(보유분석!$AA$2:$AA$801)/1000000000),12))</f>
        <v>0</v>
      </c>
      <c r="G54" s="78" t="str">
        <f aca="false">IF(F54&lt;=0,"",SUMPRODUCT((ROUND((보유분석!$AC$2:$AC$801=1)*ISNUMBER(SEARCH("시장데이터없음",보유분석!$AW$2:$AW$801))*(보유분석!$AA$2:$AA$801+ROW(보유분석!$AA$2:$AA$801)/1000000000),12)=ROUND(F54,12))*ROW(보유분석!$AA$2:$AA$801)))</f>
        <v/>
      </c>
    </row>
    <row r="55" customFormat="false" ht="15" hidden="false" customHeight="false" outlineLevel="0" collapsed="false">
      <c r="A55" s="17" t="str">
        <f aca="false">IF(G55="","",INDEX(보유분석!$A:$A,G55))</f>
        <v/>
      </c>
      <c r="B55" s="80" t="str">
        <f aca="false">IF(G55="","",INDEX(보유분석!$AA:$AA,G55))</f>
        <v/>
      </c>
      <c r="C55" s="17" t="str">
        <f aca="false">IF(G55="","",INDEX(보유분석!$B:$B,G55))</f>
        <v/>
      </c>
      <c r="D55" s="17" t="str">
        <f aca="false">IF(G55="","",INDEX(보유분석!$C:$C,G55))</f>
        <v/>
      </c>
      <c r="E55" s="2"/>
      <c r="F55" s="78" t="n">
        <f aca="false">SUMPRODUCT(LARGE((보유분석!$AC$2:$AC$801=1)*ISNUMBER(SEARCH("시장데이터없음",보유분석!$AW$2:$AW$801))*(보유분석!$AA$2:$AA$801+ROW(보유분석!$AA$2:$AA$801)/1000000000),13))</f>
        <v>0</v>
      </c>
      <c r="G55" s="78" t="str">
        <f aca="false">IF(F55&lt;=0,"",SUMPRODUCT((ROUND((보유분석!$AC$2:$AC$801=1)*ISNUMBER(SEARCH("시장데이터없음",보유분석!$AW$2:$AW$801))*(보유분석!$AA$2:$AA$801+ROW(보유분석!$AA$2:$AA$801)/1000000000),12)=ROUND(F55,12))*ROW(보유분석!$AA$2:$AA$801)))</f>
        <v/>
      </c>
    </row>
    <row r="56" customFormat="false" ht="15" hidden="false" customHeight="false" outlineLevel="0" collapsed="false">
      <c r="A56" s="17" t="str">
        <f aca="false">IF(G56="","",INDEX(보유분석!$A:$A,G56))</f>
        <v/>
      </c>
      <c r="B56" s="80" t="str">
        <f aca="false">IF(G56="","",INDEX(보유분석!$AA:$AA,G56))</f>
        <v/>
      </c>
      <c r="C56" s="17" t="str">
        <f aca="false">IF(G56="","",INDEX(보유분석!$B:$B,G56))</f>
        <v/>
      </c>
      <c r="D56" s="17" t="str">
        <f aca="false">IF(G56="","",INDEX(보유분석!$C:$C,G56))</f>
        <v/>
      </c>
      <c r="E56" s="2"/>
      <c r="F56" s="78" t="n">
        <f aca="false">SUMPRODUCT(LARGE((보유분석!$AC$2:$AC$801=1)*ISNUMBER(SEARCH("시장데이터없음",보유분석!$AW$2:$AW$801))*(보유분석!$AA$2:$AA$801+ROW(보유분석!$AA$2:$AA$801)/1000000000),14))</f>
        <v>0</v>
      </c>
      <c r="G56" s="78" t="str">
        <f aca="false">IF(F56&lt;=0,"",SUMPRODUCT((ROUND((보유분석!$AC$2:$AC$801=1)*ISNUMBER(SEARCH("시장데이터없음",보유분석!$AW$2:$AW$801))*(보유분석!$AA$2:$AA$801+ROW(보유분석!$AA$2:$AA$801)/1000000000),12)=ROUND(F56,12))*ROW(보유분석!$AA$2:$AA$801)))</f>
        <v/>
      </c>
    </row>
    <row r="57" customFormat="false" ht="15" hidden="false" customHeight="false" outlineLevel="0" collapsed="false">
      <c r="A57" s="17" t="str">
        <f aca="false">IF(G57="","",INDEX(보유분석!$A:$A,G57))</f>
        <v/>
      </c>
      <c r="B57" s="80" t="str">
        <f aca="false">IF(G57="","",INDEX(보유분석!$AA:$AA,G57))</f>
        <v/>
      </c>
      <c r="C57" s="17" t="str">
        <f aca="false">IF(G57="","",INDEX(보유분석!$B:$B,G57))</f>
        <v/>
      </c>
      <c r="D57" s="17" t="str">
        <f aca="false">IF(G57="","",INDEX(보유분석!$C:$C,G57))</f>
        <v/>
      </c>
      <c r="E57" s="2"/>
      <c r="F57" s="78" t="n">
        <f aca="false">SUMPRODUCT(LARGE((보유분석!$AC$2:$AC$801=1)*ISNUMBER(SEARCH("시장데이터없음",보유분석!$AW$2:$AW$801))*(보유분석!$AA$2:$AA$801+ROW(보유분석!$AA$2:$AA$801)/1000000000),15))</f>
        <v>0</v>
      </c>
      <c r="G57" s="78" t="str">
        <f aca="false">IF(F57&lt;=0,"",SUMPRODUCT((ROUND((보유분석!$AC$2:$AC$801=1)*ISNUMBER(SEARCH("시장데이터없음",보유분석!$AW$2:$AW$801))*(보유분석!$AA$2:$AA$801+ROW(보유분석!$AA$2:$AA$801)/1000000000),12)=ROUND(F57,12))*ROW(보유분석!$AA$2:$AA$801)))</f>
        <v/>
      </c>
    </row>
    <row r="58" customFormat="false" ht="15" hidden="false" customHeight="false" outlineLevel="0" collapsed="false">
      <c r="A58" s="17" t="str">
        <f aca="false">IF(G58="","",INDEX(보유분석!$A:$A,G58))</f>
        <v/>
      </c>
      <c r="B58" s="80" t="str">
        <f aca="false">IF(G58="","",INDEX(보유분석!$AA:$AA,G58))</f>
        <v/>
      </c>
      <c r="C58" s="17" t="str">
        <f aca="false">IF(G58="","",INDEX(보유분석!$B:$B,G58))</f>
        <v/>
      </c>
      <c r="D58" s="17" t="str">
        <f aca="false">IF(G58="","",INDEX(보유분석!$C:$C,G58))</f>
        <v/>
      </c>
      <c r="E58" s="2"/>
      <c r="F58" s="78" t="n">
        <f aca="false">SUMPRODUCT(LARGE((보유분석!$AC$2:$AC$801=1)*ISNUMBER(SEARCH("시장데이터없음",보유분석!$AW$2:$AW$801))*(보유분석!$AA$2:$AA$801+ROW(보유분석!$AA$2:$AA$801)/1000000000),16))</f>
        <v>0</v>
      </c>
      <c r="G58" s="78" t="str">
        <f aca="false">IF(F58&lt;=0,"",SUMPRODUCT((ROUND((보유분석!$AC$2:$AC$801=1)*ISNUMBER(SEARCH("시장데이터없음",보유분석!$AW$2:$AW$801))*(보유분석!$AA$2:$AA$801+ROW(보유분석!$AA$2:$AA$801)/1000000000),12)=ROUND(F58,12))*ROW(보유분석!$AA$2:$AA$801)))</f>
        <v/>
      </c>
    </row>
    <row r="59" customFormat="false" ht="15" hidden="false" customHeight="false" outlineLevel="0" collapsed="false">
      <c r="A59" s="17" t="str">
        <f aca="false">IF(G59="","",INDEX(보유분석!$A:$A,G59))</f>
        <v/>
      </c>
      <c r="B59" s="80" t="str">
        <f aca="false">IF(G59="","",INDEX(보유분석!$AA:$AA,G59))</f>
        <v/>
      </c>
      <c r="C59" s="17" t="str">
        <f aca="false">IF(G59="","",INDEX(보유분석!$B:$B,G59))</f>
        <v/>
      </c>
      <c r="D59" s="17" t="str">
        <f aca="false">IF(G59="","",INDEX(보유분석!$C:$C,G59))</f>
        <v/>
      </c>
      <c r="E59" s="2"/>
      <c r="F59" s="78" t="n">
        <f aca="false">SUMPRODUCT(LARGE((보유분석!$AC$2:$AC$801=1)*ISNUMBER(SEARCH("시장데이터없음",보유분석!$AW$2:$AW$801))*(보유분석!$AA$2:$AA$801+ROW(보유분석!$AA$2:$AA$801)/1000000000),17))</f>
        <v>0</v>
      </c>
      <c r="G59" s="78" t="str">
        <f aca="false">IF(F59&lt;=0,"",SUMPRODUCT((ROUND((보유분석!$AC$2:$AC$801=1)*ISNUMBER(SEARCH("시장데이터없음",보유분석!$AW$2:$AW$801))*(보유분석!$AA$2:$AA$801+ROW(보유분석!$AA$2:$AA$801)/1000000000),12)=ROUND(F59,12))*ROW(보유분석!$AA$2:$AA$801)))</f>
        <v/>
      </c>
    </row>
    <row r="60" customFormat="false" ht="15" hidden="false" customHeight="false" outlineLevel="0" collapsed="false">
      <c r="A60" s="17" t="str">
        <f aca="false">IF(G60="","",INDEX(보유분석!$A:$A,G60))</f>
        <v/>
      </c>
      <c r="B60" s="80" t="str">
        <f aca="false">IF(G60="","",INDEX(보유분석!$AA:$AA,G60))</f>
        <v/>
      </c>
      <c r="C60" s="17" t="str">
        <f aca="false">IF(G60="","",INDEX(보유분석!$B:$B,G60))</f>
        <v/>
      </c>
      <c r="D60" s="17" t="str">
        <f aca="false">IF(G60="","",INDEX(보유분석!$C:$C,G60))</f>
        <v/>
      </c>
      <c r="E60" s="2"/>
      <c r="F60" s="78" t="n">
        <f aca="false">SUMPRODUCT(LARGE((보유분석!$AC$2:$AC$801=1)*ISNUMBER(SEARCH("시장데이터없음",보유분석!$AW$2:$AW$801))*(보유분석!$AA$2:$AA$801+ROW(보유분석!$AA$2:$AA$801)/1000000000),18))</f>
        <v>0</v>
      </c>
      <c r="G60" s="78" t="str">
        <f aca="false">IF(F60&lt;=0,"",SUMPRODUCT((ROUND((보유분석!$AC$2:$AC$801=1)*ISNUMBER(SEARCH("시장데이터없음",보유분석!$AW$2:$AW$801))*(보유분석!$AA$2:$AA$801+ROW(보유분석!$AA$2:$AA$801)/1000000000),12)=ROUND(F60,12))*ROW(보유분석!$AA$2:$AA$801)))</f>
        <v/>
      </c>
    </row>
    <row r="61" customFormat="false" ht="15" hidden="false" customHeight="false" outlineLevel="0" collapsed="false">
      <c r="A61" s="17" t="str">
        <f aca="false">IF(G61="","",INDEX(보유분석!$A:$A,G61))</f>
        <v/>
      </c>
      <c r="B61" s="80" t="str">
        <f aca="false">IF(G61="","",INDEX(보유분석!$AA:$AA,G61))</f>
        <v/>
      </c>
      <c r="C61" s="17" t="str">
        <f aca="false">IF(G61="","",INDEX(보유분석!$B:$B,G61))</f>
        <v/>
      </c>
      <c r="D61" s="17" t="str">
        <f aca="false">IF(G61="","",INDEX(보유분석!$C:$C,G61))</f>
        <v/>
      </c>
      <c r="E61" s="2"/>
      <c r="F61" s="78" t="n">
        <f aca="false">SUMPRODUCT(LARGE((보유분석!$AC$2:$AC$801=1)*ISNUMBER(SEARCH("시장데이터없음",보유분석!$AW$2:$AW$801))*(보유분석!$AA$2:$AA$801+ROW(보유분석!$AA$2:$AA$801)/1000000000),19))</f>
        <v>0</v>
      </c>
      <c r="G61" s="78" t="str">
        <f aca="false">IF(F61&lt;=0,"",SUMPRODUCT((ROUND((보유분석!$AC$2:$AC$801=1)*ISNUMBER(SEARCH("시장데이터없음",보유분석!$AW$2:$AW$801))*(보유분석!$AA$2:$AA$801+ROW(보유분석!$AA$2:$AA$801)/1000000000),12)=ROUND(F61,12))*ROW(보유분석!$AA$2:$AA$801)))</f>
        <v/>
      </c>
    </row>
    <row r="62" customFormat="false" ht="15" hidden="false" customHeight="false" outlineLevel="0" collapsed="false">
      <c r="A62" s="17" t="str">
        <f aca="false">IF(G62="","",INDEX(보유분석!$A:$A,G62))</f>
        <v/>
      </c>
      <c r="B62" s="80" t="str">
        <f aca="false">IF(G62="","",INDEX(보유분석!$AA:$AA,G62))</f>
        <v/>
      </c>
      <c r="C62" s="17" t="str">
        <f aca="false">IF(G62="","",INDEX(보유분석!$B:$B,G62))</f>
        <v/>
      </c>
      <c r="D62" s="17" t="str">
        <f aca="false">IF(G62="","",INDEX(보유분석!$C:$C,G62))</f>
        <v/>
      </c>
      <c r="E62" s="2"/>
      <c r="F62" s="78" t="n">
        <f aca="false">SUMPRODUCT(LARGE((보유분석!$AC$2:$AC$801=1)*ISNUMBER(SEARCH("시장데이터없음",보유분석!$AW$2:$AW$801))*(보유분석!$AA$2:$AA$801+ROW(보유분석!$AA$2:$AA$801)/1000000000),20))</f>
        <v>0</v>
      </c>
      <c r="G62" s="78" t="str">
        <f aca="false">IF(F62&lt;=0,"",SUMPRODUCT((ROUND((보유분석!$AC$2:$AC$801=1)*ISNUMBER(SEARCH("시장데이터없음",보유분석!$AW$2:$AW$801))*(보유분석!$AA$2:$AA$801+ROW(보유분석!$AA$2:$AA$801)/1000000000),12)=ROUND(F62,12))*ROW(보유분석!$AA$2:$AA$801)))</f>
        <v/>
      </c>
    </row>
    <row r="63" customFormat="false" ht="15" hidden="false" customHeight="false" outlineLevel="0" collapsed="false">
      <c r="A63" s="17" t="str">
        <f aca="false">IF(G63="","",INDEX(보유분석!$A:$A,G63))</f>
        <v/>
      </c>
      <c r="B63" s="80" t="str">
        <f aca="false">IF(G63="","",INDEX(보유분석!$AA:$AA,G63))</f>
        <v/>
      </c>
      <c r="C63" s="17" t="str">
        <f aca="false">IF(G63="","",INDEX(보유분석!$B:$B,G63))</f>
        <v/>
      </c>
      <c r="D63" s="17" t="str">
        <f aca="false">IF(G63="","",INDEX(보유분석!$C:$C,G63))</f>
        <v/>
      </c>
      <c r="E63" s="2"/>
      <c r="F63" s="78" t="n">
        <f aca="false">SUMPRODUCT(LARGE((보유분석!$AC$2:$AC$801=1)*ISNUMBER(SEARCH("시장데이터없음",보유분석!$AW$2:$AW$801))*(보유분석!$AA$2:$AA$801+ROW(보유분석!$AA$2:$AA$801)/1000000000),21))</f>
        <v>0</v>
      </c>
      <c r="G63" s="78" t="str">
        <f aca="false">IF(F63&lt;=0,"",SUMPRODUCT((ROUND((보유분석!$AC$2:$AC$801=1)*ISNUMBER(SEARCH("시장데이터없음",보유분석!$AW$2:$AW$801))*(보유분석!$AA$2:$AA$801+ROW(보유분석!$AA$2:$AA$801)/1000000000),12)=ROUND(F63,12))*ROW(보유분석!$AA$2:$AA$801)))</f>
        <v/>
      </c>
    </row>
    <row r="64" customFormat="false" ht="15" hidden="false" customHeight="false" outlineLevel="0" collapsed="false">
      <c r="A64" s="17" t="str">
        <f aca="false">IF(G64="","",INDEX(보유분석!$A:$A,G64))</f>
        <v/>
      </c>
      <c r="B64" s="80" t="str">
        <f aca="false">IF(G64="","",INDEX(보유분석!$AA:$AA,G64))</f>
        <v/>
      </c>
      <c r="C64" s="17" t="str">
        <f aca="false">IF(G64="","",INDEX(보유분석!$B:$B,G64))</f>
        <v/>
      </c>
      <c r="D64" s="17" t="str">
        <f aca="false">IF(G64="","",INDEX(보유분석!$C:$C,G64))</f>
        <v/>
      </c>
      <c r="E64" s="2"/>
      <c r="F64" s="78" t="n">
        <f aca="false">SUMPRODUCT(LARGE((보유분석!$AC$2:$AC$801=1)*ISNUMBER(SEARCH("시장데이터없음",보유분석!$AW$2:$AW$801))*(보유분석!$AA$2:$AA$801+ROW(보유분석!$AA$2:$AA$801)/1000000000),22))</f>
        <v>0</v>
      </c>
      <c r="G64" s="78" t="str">
        <f aca="false">IF(F64&lt;=0,"",SUMPRODUCT((ROUND((보유분석!$AC$2:$AC$801=1)*ISNUMBER(SEARCH("시장데이터없음",보유분석!$AW$2:$AW$801))*(보유분석!$AA$2:$AA$801+ROW(보유분석!$AA$2:$AA$801)/1000000000),12)=ROUND(F64,12))*ROW(보유분석!$AA$2:$AA$801)))</f>
        <v/>
      </c>
    </row>
    <row r="65" customFormat="false" ht="15" hidden="false" customHeight="false" outlineLevel="0" collapsed="false">
      <c r="A65" s="17" t="str">
        <f aca="false">IF(G65="","",INDEX(보유분석!$A:$A,G65))</f>
        <v/>
      </c>
      <c r="B65" s="80" t="str">
        <f aca="false">IF(G65="","",INDEX(보유분석!$AA:$AA,G65))</f>
        <v/>
      </c>
      <c r="C65" s="17" t="str">
        <f aca="false">IF(G65="","",INDEX(보유분석!$B:$B,G65))</f>
        <v/>
      </c>
      <c r="D65" s="17" t="str">
        <f aca="false">IF(G65="","",INDEX(보유분석!$C:$C,G65))</f>
        <v/>
      </c>
      <c r="E65" s="2"/>
      <c r="F65" s="78" t="n">
        <f aca="false">SUMPRODUCT(LARGE((보유분석!$AC$2:$AC$801=1)*ISNUMBER(SEARCH("시장데이터없음",보유분석!$AW$2:$AW$801))*(보유분석!$AA$2:$AA$801+ROW(보유분석!$AA$2:$AA$801)/1000000000),23))</f>
        <v>0</v>
      </c>
      <c r="G65" s="78" t="str">
        <f aca="false">IF(F65&lt;=0,"",SUMPRODUCT((ROUND((보유분석!$AC$2:$AC$801=1)*ISNUMBER(SEARCH("시장데이터없음",보유분석!$AW$2:$AW$801))*(보유분석!$AA$2:$AA$801+ROW(보유분석!$AA$2:$AA$801)/1000000000),12)=ROUND(F65,12))*ROW(보유분석!$AA$2:$AA$801)))</f>
        <v/>
      </c>
    </row>
    <row r="66" customFormat="false" ht="15" hidden="false" customHeight="false" outlineLevel="0" collapsed="false">
      <c r="A66" s="17" t="str">
        <f aca="false">IF(G66="","",INDEX(보유분석!$A:$A,G66))</f>
        <v/>
      </c>
      <c r="B66" s="80" t="str">
        <f aca="false">IF(G66="","",INDEX(보유분석!$AA:$AA,G66))</f>
        <v/>
      </c>
      <c r="C66" s="17" t="str">
        <f aca="false">IF(G66="","",INDEX(보유분석!$B:$B,G66))</f>
        <v/>
      </c>
      <c r="D66" s="17" t="str">
        <f aca="false">IF(G66="","",INDEX(보유분석!$C:$C,G66))</f>
        <v/>
      </c>
      <c r="E66" s="2"/>
      <c r="F66" s="78" t="n">
        <f aca="false">SUMPRODUCT(LARGE((보유분석!$AC$2:$AC$801=1)*ISNUMBER(SEARCH("시장데이터없음",보유분석!$AW$2:$AW$801))*(보유분석!$AA$2:$AA$801+ROW(보유분석!$AA$2:$AA$801)/1000000000),24))</f>
        <v>0</v>
      </c>
      <c r="G66" s="78" t="str">
        <f aca="false">IF(F66&lt;=0,"",SUMPRODUCT((ROUND((보유분석!$AC$2:$AC$801=1)*ISNUMBER(SEARCH("시장데이터없음",보유분석!$AW$2:$AW$801))*(보유분석!$AA$2:$AA$801+ROW(보유분석!$AA$2:$AA$801)/1000000000),12)=ROUND(F66,12))*ROW(보유분석!$AA$2:$AA$801)))</f>
        <v/>
      </c>
    </row>
    <row r="67" customFormat="false" ht="15" hidden="false" customHeight="false" outlineLevel="0" collapsed="false">
      <c r="A67" s="17" t="str">
        <f aca="false">IF(G67="","",INDEX(보유분석!$A:$A,G67))</f>
        <v/>
      </c>
      <c r="B67" s="80" t="str">
        <f aca="false">IF(G67="","",INDEX(보유분석!$AA:$AA,G67))</f>
        <v/>
      </c>
      <c r="C67" s="17" t="str">
        <f aca="false">IF(G67="","",INDEX(보유분석!$B:$B,G67))</f>
        <v/>
      </c>
      <c r="D67" s="17" t="str">
        <f aca="false">IF(G67="","",INDEX(보유분석!$C:$C,G67))</f>
        <v/>
      </c>
      <c r="E67" s="2"/>
      <c r="F67" s="78" t="n">
        <f aca="false">SUMPRODUCT(LARGE((보유분석!$AC$2:$AC$801=1)*ISNUMBER(SEARCH("시장데이터없음",보유분석!$AW$2:$AW$801))*(보유분석!$AA$2:$AA$801+ROW(보유분석!$AA$2:$AA$801)/1000000000),25))</f>
        <v>0</v>
      </c>
      <c r="G67" s="78" t="str">
        <f aca="false">IF(F67&lt;=0,"",SUMPRODUCT((ROUND((보유분석!$AC$2:$AC$801=1)*ISNUMBER(SEARCH("시장데이터없음",보유분석!$AW$2:$AW$801))*(보유분석!$AA$2:$AA$801+ROW(보유분석!$AA$2:$AA$801)/1000000000),12)=ROUND(F67,12))*ROW(보유분석!$AA$2:$AA$801)))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2026-10-01T07:56:58Z</dcterms:created>
  <dc:creator>openpyxl</dc:creator>
  <dc:description/>
  <dc:language>en-US</dc:language>
  <cp:lastModifiedBy/>
  <dcterms:modified xsi:type="dcterms:W3CDTF">2026-10-01T07:57:13Z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